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4816"/>
  <workbookPr autoCompressPictures="0"/>
  <bookViews>
    <workbookView xWindow="6060" yWindow="1240" windowWidth="22500" windowHeight="15480"/>
  </bookViews>
  <sheets>
    <sheet name="Revenue Summary 2014" sheetId="41" r:id="rId1"/>
    <sheet name="Splits" sheetId="42" r:id="rId2"/>
    <sheet name="Jun14 Revenue" sheetId="40" r:id="rId3"/>
    <sheet name="June GL" sheetId="17" r:id="rId4"/>
    <sheet name="May14 Revenue" sheetId="39" r:id="rId5"/>
    <sheet name="Apr14 Revenue" sheetId="38" r:id="rId6"/>
    <sheet name="Mar14 Revenue" sheetId="37" r:id="rId7"/>
    <sheet name="Feb14 Revenue" sheetId="36" r:id="rId8"/>
    <sheet name="Jan14 Revenue" sheetId="35" r:id="rId9"/>
    <sheet name="Dec13 Revenue" sheetId="34" r:id="rId10"/>
    <sheet name="Nov13 Revenue" sheetId="33" r:id="rId11"/>
    <sheet name="Oct13 Revenue" sheetId="32" r:id="rId12"/>
    <sheet name="Sept13 Revenue" sheetId="31" r:id="rId13"/>
    <sheet name="Aug 2013 Revenue" sheetId="30" r:id="rId14"/>
    <sheet name="July 2013 Revenue" sheetId="29" r:id="rId15"/>
    <sheet name="June 2013 Revenue" sheetId="28" r:id="rId16"/>
    <sheet name="May 2013 Revenue" sheetId="27" r:id="rId17"/>
    <sheet name="Apr 2013 Revenue" sheetId="26" r:id="rId18"/>
    <sheet name="Mar 2013 Revenue" sheetId="25" r:id="rId19"/>
    <sheet name="Feb 2013 Revenue" sheetId="24" r:id="rId20"/>
    <sheet name="Jan 2013 Revenue" sheetId="23" r:id="rId21"/>
    <sheet name="Dec 2012 Revenue" sheetId="22" r:id="rId22"/>
    <sheet name="Nov 2012 Revenue" sheetId="21" r:id="rId23"/>
    <sheet name="Oct 2012 Revenue" sheetId="20" r:id="rId24"/>
    <sheet name="Sept 2012 Revenue" sheetId="19" r:id="rId25"/>
    <sheet name="Aug 2012 Revenue" sheetId="18" r:id="rId26"/>
    <sheet name="July 2012 DMV Revenue" sheetId="14" r:id="rId27"/>
    <sheet name="June 2012 DMV Revenue" sheetId="15" r:id="rId28"/>
    <sheet name="May 2012 DMV Revenue" sheetId="11" r:id="rId29"/>
    <sheet name="Sheet3" sheetId="13" state="hidden" r:id="rId30"/>
    <sheet name="Apr 2012 DMV Revenue" sheetId="10" r:id="rId31"/>
    <sheet name="Sheet2" sheetId="12" r:id="rId32"/>
    <sheet name="Q1 2012 DMV-Revenue" sheetId="9" r:id="rId33"/>
    <sheet name="Q4 DMV -  Revenue" sheetId="8" r:id="rId34"/>
    <sheet name="Q3 DMV -  Revenue" sheetId="7" r:id="rId35"/>
    <sheet name="Q2 DMV -  Revenue" sheetId="6" r:id="rId36"/>
    <sheet name="Q1 DMV -  Revenue" sheetId="5" r:id="rId37"/>
    <sheet name="Q4 DMV - Revenue" sheetId="4" r:id="rId38"/>
    <sheet name="Q3 DMV - Revenue" sheetId="1" r:id="rId39"/>
    <sheet name="Q2 DMV - Revenue" sheetId="2" r:id="rId40"/>
    <sheet name="Q1 DMV - Revenue" sheetId="3" r:id="rId41"/>
    <sheet name="Sheet1" sheetId="16" r:id="rId42"/>
  </sheets>
  <definedNames>
    <definedName name="_xlnm._FilterDatabase" localSheetId="40" hidden="1">'Q1 DMV - Revenue'!$A$18:$K$217</definedName>
    <definedName name="_xlnm._FilterDatabase" localSheetId="39" hidden="1">'Q2 DMV - Revenue'!$A$18:$K$228</definedName>
    <definedName name="_xlnm.Print_Area" localSheetId="13">'Aug 2013 Revenue'!$D$14:$M$225</definedName>
    <definedName name="_xlnm.Print_Area" localSheetId="28">'May 2012 DMV Revenue'!$C$14:$M$252</definedName>
    <definedName name="_xlnm.Print_Area" localSheetId="32">'Q1 2012 DMV-Revenue'!$B$18:$AB$284</definedName>
    <definedName name="_xlnm.Print_Area" localSheetId="36">'Q1 DMV -  Revenue'!$C$17:$P$260</definedName>
    <definedName name="_xlnm.Print_Area" localSheetId="40">'Q1 DMV - Revenue'!$E$1:$T$226</definedName>
    <definedName name="_xlnm.Print_Area" localSheetId="35">'Q2 DMV -  Revenue'!$C$17:$P$265</definedName>
    <definedName name="_xlnm.Print_Area" localSheetId="39">'Q2 DMV - Revenue'!$E$1:$T$237</definedName>
    <definedName name="_xlnm.Print_Area" localSheetId="34">'Q3 DMV -  Revenue'!$B$18:$J$272</definedName>
    <definedName name="_xlnm.Print_Area" localSheetId="38">'Q3 DMV - Revenue'!$C$17:$N$233</definedName>
    <definedName name="_xlnm.Print_Area" localSheetId="33">'Q4 DMV -  Revenue'!$A$1:$AH$298</definedName>
    <definedName name="_xlnm.Print_Area" localSheetId="37">'Q4 DMV - Revenue'!$C$17:$P$247</definedName>
    <definedName name="_xlnm.Print_Titles" localSheetId="40">'Q1 DMV - Revenue'!$17:$18</definedName>
    <definedName name="_xlnm.Print_Titles" localSheetId="39">'Q2 DMV - Revenue'!$17:$18</definedName>
    <definedName name="Z_005F2F7B_A3A9_4755_A4DF_7CE06C365CC2_.wvu.Cols" localSheetId="25" hidden="1">'Aug 2012 Revenue'!$G:$H</definedName>
    <definedName name="Z_005F2F7B_A3A9_4755_A4DF_7CE06C365CC2_.wvu.Cols" localSheetId="26" hidden="1">'July 2012 DMV Revenue'!$G:$H</definedName>
    <definedName name="Z_005F2F7B_A3A9_4755_A4DF_7CE06C365CC2_.wvu.Cols" localSheetId="27" hidden="1">'June 2012 DMV Revenue'!$G:$H</definedName>
    <definedName name="Z_005F2F7B_A3A9_4755_A4DF_7CE06C365CC2_.wvu.Cols" localSheetId="28" hidden="1">'May 2012 DMV Revenue'!$G:$H</definedName>
    <definedName name="Z_005F2F7B_A3A9_4755_A4DF_7CE06C365CC2_.wvu.Cols" localSheetId="40" hidden="1">'Q1 DMV - Revenue'!$A:$E</definedName>
    <definedName name="Z_005F2F7B_A3A9_4755_A4DF_7CE06C365CC2_.wvu.Cols" localSheetId="39" hidden="1">'Q2 DMV - Revenue'!$A:$E</definedName>
    <definedName name="Z_005F2F7B_A3A9_4755_A4DF_7CE06C365CC2_.wvu.Cols" localSheetId="38" hidden="1">'Q3 DMV - Revenue'!$A:$B</definedName>
    <definedName name="Z_005F2F7B_A3A9_4755_A4DF_7CE06C365CC2_.wvu.FilterData" localSheetId="40" hidden="1">'Q1 DMV - Revenue'!$A$18:$K$217</definedName>
    <definedName name="Z_005F2F7B_A3A9_4755_A4DF_7CE06C365CC2_.wvu.FilterData" localSheetId="39" hidden="1">'Q2 DMV - Revenue'!$A$18:$K$228</definedName>
    <definedName name="Z_005F2F7B_A3A9_4755_A4DF_7CE06C365CC2_.wvu.PrintArea" localSheetId="28" hidden="1">'May 2012 DMV Revenue'!$C$14:$M$252</definedName>
    <definedName name="Z_005F2F7B_A3A9_4755_A4DF_7CE06C365CC2_.wvu.PrintArea" localSheetId="32" hidden="1">'Q1 2012 DMV-Revenue'!$B$18:$AB$284</definedName>
    <definedName name="Z_005F2F7B_A3A9_4755_A4DF_7CE06C365CC2_.wvu.PrintArea" localSheetId="40" hidden="1">'Q1 DMV - Revenue'!$F$19:$K$216</definedName>
    <definedName name="Z_005F2F7B_A3A9_4755_A4DF_7CE06C365CC2_.wvu.PrintArea" localSheetId="39" hidden="1">'Q2 DMV - Revenue'!$E$1:$T$237</definedName>
    <definedName name="Z_005F2F7B_A3A9_4755_A4DF_7CE06C365CC2_.wvu.PrintArea" localSheetId="33" hidden="1">'Q4 DMV -  Revenue'!$D$261:$AD$301</definedName>
    <definedName name="Z_005F2F7B_A3A9_4755_A4DF_7CE06C365CC2_.wvu.PrintTitles" localSheetId="40" hidden="1">'Q1 DMV - Revenue'!$17:$18</definedName>
    <definedName name="Z_005F2F7B_A3A9_4755_A4DF_7CE06C365CC2_.wvu.PrintTitles" localSheetId="39" hidden="1">'Q2 DMV - Revenue'!$17:$18</definedName>
    <definedName name="Z_005F2F7B_A3A9_4755_A4DF_7CE06C365CC2_.wvu.Rows" localSheetId="3" hidden="1">'June GL'!$6:$70</definedName>
    <definedName name="Z_005F2F7B_A3A9_4755_A4DF_7CE06C365CC2_.wvu.Rows" localSheetId="31" hidden="1">Sheet2!$4:$66</definedName>
    <definedName name="Z_02F59B17_E220_4642_BB17_5F49176E353D_.wvu.FilterData" localSheetId="40" hidden="1">'Q1 DMV - Revenue'!$A$18:$K$217</definedName>
    <definedName name="Z_02F59B17_E220_4642_BB17_5F49176E353D_.wvu.FilterData" localSheetId="39" hidden="1">'Q2 DMV - Revenue'!$A$18:$K$228</definedName>
    <definedName name="Z_03D293C6_3F8F_4C1A_8ADF_C7EB2E528546_.wvu.FilterData" localSheetId="40" hidden="1">'Q1 DMV - Revenue'!$A$18:$K$217</definedName>
    <definedName name="Z_041E0462_B6EA_414A_9F2E_C14ADEFAE5F2_.wvu.Cols" localSheetId="27" hidden="1">'June 2012 DMV Revenue'!$G:$H</definedName>
    <definedName name="Z_041E0462_B6EA_414A_9F2E_C14ADEFAE5F2_.wvu.Cols" localSheetId="28" hidden="1">'May 2012 DMV Revenue'!$G:$H</definedName>
    <definedName name="Z_041E0462_B6EA_414A_9F2E_C14ADEFAE5F2_.wvu.Cols" localSheetId="40" hidden="1">'Q1 DMV - Revenue'!$A:$E</definedName>
    <definedName name="Z_041E0462_B6EA_414A_9F2E_C14ADEFAE5F2_.wvu.Cols" localSheetId="39" hidden="1">'Q2 DMV - Revenue'!$A:$E</definedName>
    <definedName name="Z_041E0462_B6EA_414A_9F2E_C14ADEFAE5F2_.wvu.Cols" localSheetId="38" hidden="1">'Q3 DMV - Revenue'!$A:$B</definedName>
    <definedName name="Z_041E0462_B6EA_414A_9F2E_C14ADEFAE5F2_.wvu.Cols" localSheetId="37" hidden="1">'Q4 DMV - Revenue'!$A:$B</definedName>
    <definedName name="Z_041E0462_B6EA_414A_9F2E_C14ADEFAE5F2_.wvu.FilterData" localSheetId="40" hidden="1">'Q1 DMV - Revenue'!$A$18:$K$217</definedName>
    <definedName name="Z_041E0462_B6EA_414A_9F2E_C14ADEFAE5F2_.wvu.FilterData" localSheetId="39" hidden="1">'Q2 DMV - Revenue'!$A$18:$K$228</definedName>
    <definedName name="Z_041E0462_B6EA_414A_9F2E_C14ADEFAE5F2_.wvu.PrintArea" localSheetId="32" hidden="1">'Q1 2012 DMV-Revenue'!$B$18:$AB$284</definedName>
    <definedName name="Z_041E0462_B6EA_414A_9F2E_C14ADEFAE5F2_.wvu.PrintArea" localSheetId="36" hidden="1">'Q1 DMV -  Revenue'!$C$17:$P$260</definedName>
    <definedName name="Z_041E0462_B6EA_414A_9F2E_C14ADEFAE5F2_.wvu.PrintArea" localSheetId="40" hidden="1">'Q1 DMV - Revenue'!$E$1:$T$226</definedName>
    <definedName name="Z_041E0462_B6EA_414A_9F2E_C14ADEFAE5F2_.wvu.PrintArea" localSheetId="35" hidden="1">'Q2 DMV -  Revenue'!$C$17:$P$265</definedName>
    <definedName name="Z_041E0462_B6EA_414A_9F2E_C14ADEFAE5F2_.wvu.PrintArea" localSheetId="39" hidden="1">'Q2 DMV - Revenue'!$E$1:$T$237</definedName>
    <definedName name="Z_041E0462_B6EA_414A_9F2E_C14ADEFAE5F2_.wvu.PrintArea" localSheetId="34" hidden="1">'Q3 DMV -  Revenue'!$B$18:$J$272</definedName>
    <definedName name="Z_041E0462_B6EA_414A_9F2E_C14ADEFAE5F2_.wvu.PrintArea" localSheetId="38" hidden="1">'Q3 DMV - Revenue'!$C$17:$N$233</definedName>
    <definedName name="Z_041E0462_B6EA_414A_9F2E_C14ADEFAE5F2_.wvu.PrintArea" localSheetId="33" hidden="1">'Q4 DMV -  Revenue'!$A$1:$AH$298</definedName>
    <definedName name="Z_041E0462_B6EA_414A_9F2E_C14ADEFAE5F2_.wvu.PrintArea" localSheetId="37" hidden="1">'Q4 DMV - Revenue'!$C$17:$P$247</definedName>
    <definedName name="Z_041E0462_B6EA_414A_9F2E_C14ADEFAE5F2_.wvu.PrintTitles" localSheetId="40" hidden="1">'Q1 DMV - Revenue'!$17:$18</definedName>
    <definedName name="Z_041E0462_B6EA_414A_9F2E_C14ADEFAE5F2_.wvu.PrintTitles" localSheetId="39" hidden="1">'Q2 DMV - Revenue'!$17:$18</definedName>
    <definedName name="Z_041E0462_B6EA_414A_9F2E_C14ADEFAE5F2_.wvu.Rows" localSheetId="41" hidden="1">Sheet1!$5:$63</definedName>
    <definedName name="Z_052EB80C_43CD_4032_B56E_FAA5E2AD96CA_.wvu.FilterData" localSheetId="40" hidden="1">'Q1 DMV - Revenue'!$E$18:$J$217</definedName>
    <definedName name="Z_052EB80C_43CD_4032_B56E_FAA5E2AD96CA_.wvu.FilterData" localSheetId="39" hidden="1">'Q2 DMV - Revenue'!$E$18:$J$228</definedName>
    <definedName name="Z_0857394F_B297_4DB0_B247_D94AF394D22C_.wvu.FilterData" localSheetId="40" hidden="1">'Q1 DMV - Revenue'!$A$18:$K$217</definedName>
    <definedName name="Z_0857394F_B297_4DB0_B247_D94AF394D22C_.wvu.FilterData" localSheetId="39" hidden="1">'Q2 DMV - Revenue'!$A$18:$K$228</definedName>
    <definedName name="Z_09626CD8_7E18_45B7_B2A4_273508CBA1AD_.wvu.FilterData" localSheetId="39" hidden="1">'Q2 DMV - Revenue'!$A$18:$K$228</definedName>
    <definedName name="Z_0977B644_FC2E_4CA0_A61F_F7931A34A9F5_.wvu.FilterData" localSheetId="40" hidden="1">'Q1 DMV - Revenue'!$A$18:$K$217</definedName>
    <definedName name="Z_0977B644_FC2E_4CA0_A61F_F7931A34A9F5_.wvu.FilterData" localSheetId="39" hidden="1">'Q2 DMV - Revenue'!$A$18:$K$228</definedName>
    <definedName name="Z_0983F989_7B59_47C1_8361_9C8A48A84110_.wvu.FilterData" localSheetId="40" hidden="1">'Q1 DMV - Revenue'!$A$18:$K$217</definedName>
    <definedName name="Z_0983F989_7B59_47C1_8361_9C8A48A84110_.wvu.FilterData" localSheetId="39" hidden="1">'Q2 DMV - Revenue'!$A$18:$K$228</definedName>
    <definedName name="Z_09A95D49_507B_485F_9BED_C3489B6A2DB2_.wvu.FilterData" localSheetId="40" hidden="1">'Q1 DMV - Revenue'!$E$18:$J$217</definedName>
    <definedName name="Z_09A95D49_507B_485F_9BED_C3489B6A2DB2_.wvu.FilterData" localSheetId="39" hidden="1">'Q2 DMV - Revenue'!$E$18:$J$228</definedName>
    <definedName name="Z_0CF9720F_7235_44C0_AC30_BD76C7BB564A_.wvu.FilterData" localSheetId="40" hidden="1">'Q1 DMV - Revenue'!$A$18:$K$217</definedName>
    <definedName name="Z_0CF9720F_7235_44C0_AC30_BD76C7BB564A_.wvu.FilterData" localSheetId="39" hidden="1">'Q2 DMV - Revenue'!$A$18:$K$228</definedName>
    <definedName name="Z_0D92B57E_D06B_4E46_8290_80A2CC9E786B_.wvu.FilterData" localSheetId="39" hidden="1">'Q2 DMV - Revenue'!$A$18:$K$228</definedName>
    <definedName name="Z_0D9B9175_BDC5_4BFE_AC21_291CF4915A27_.wvu.FilterData" localSheetId="40" hidden="1">'Q1 DMV - Revenue'!$A$18:$K$217</definedName>
    <definedName name="Z_0D9B9175_BDC5_4BFE_AC21_291CF4915A27_.wvu.FilterData" localSheetId="39" hidden="1">'Q2 DMV - Revenue'!$A$18:$K$228</definedName>
    <definedName name="Z_0E745009_4380_4EA1_B0B5_6B711AF98ACA_.wvu.FilterData" localSheetId="40" hidden="1">'Q1 DMV - Revenue'!$E$18:$J$217</definedName>
    <definedName name="Z_0E745009_4380_4EA1_B0B5_6B711AF98ACA_.wvu.FilterData" localSheetId="39" hidden="1">'Q2 DMV - Revenue'!$E$18:$J$228</definedName>
    <definedName name="Z_0E9BA691_9E6D_4BFA_A280_0BC09C91DF4D_.wvu.FilterData" localSheetId="40" hidden="1">'Q1 DMV - Revenue'!$A$18:$K$217</definedName>
    <definedName name="Z_0E9BA691_9E6D_4BFA_A280_0BC09C91DF4D_.wvu.FilterData" localSheetId="39" hidden="1">'Q2 DMV - Revenue'!$A$18:$K$228</definedName>
    <definedName name="Z_1212DD85_1CC1_4714_80A3_DDEC6C7C90C4_.wvu.FilterData" localSheetId="40" hidden="1">'Q1 DMV - Revenue'!$E$18:$J$217</definedName>
    <definedName name="Z_1212DD85_1CC1_4714_80A3_DDEC6C7C90C4_.wvu.FilterData" localSheetId="39" hidden="1">'Q2 DMV - Revenue'!$E$18:$J$228</definedName>
    <definedName name="Z_138CED54_F6B6_48DA_94AA_5DCC4839A592_.wvu.FilterData" localSheetId="40" hidden="1">'Q1 DMV - Revenue'!$A$18:$K$217</definedName>
    <definedName name="Z_16925328_6EDC_40C5_A81E_21EDFC5678ED_.wvu.FilterData" localSheetId="39" hidden="1">'Q2 DMV - Revenue'!$A$18:$K$228</definedName>
    <definedName name="Z_176D6875_2499_4FB6_BB0F_E8BEFB13F267_.wvu.FilterData" localSheetId="40" hidden="1">'Q1 DMV - Revenue'!$A$18:$K$217</definedName>
    <definedName name="Z_176D6875_2499_4FB6_BB0F_E8BEFB13F267_.wvu.FilterData" localSheetId="39" hidden="1">'Q2 DMV - Revenue'!$A$18:$K$228</definedName>
    <definedName name="Z_178F3223_7376_4376_BAB3_B5A1BAF8BD11_.wvu.FilterData" localSheetId="39" hidden="1">'Q2 DMV - Revenue'!$A$18:$K$228</definedName>
    <definedName name="Z_184F7B8B_5D7D_46E4_8121_52A89611735D_.wvu.FilterData" localSheetId="40" hidden="1">'Q1 DMV - Revenue'!$A$18:$K$217</definedName>
    <definedName name="Z_184F7B8B_5D7D_46E4_8121_52A89611735D_.wvu.FilterData" localSheetId="39" hidden="1">'Q2 DMV - Revenue'!$A$18:$K$228</definedName>
    <definedName name="Z_19673ADA_0B6E_420C_87C4_DFC2B9AF85E8_.wvu.Cols" localSheetId="40" hidden="1">'Q1 DMV - Revenue'!$A:$E</definedName>
    <definedName name="Z_19673ADA_0B6E_420C_87C4_DFC2B9AF85E8_.wvu.Cols" localSheetId="39" hidden="1">'Q2 DMV - Revenue'!$A:$E</definedName>
    <definedName name="Z_19673ADA_0B6E_420C_87C4_DFC2B9AF85E8_.wvu.FilterData" localSheetId="40" hidden="1">'Q1 DMV - Revenue'!$A$18:$K$217</definedName>
    <definedName name="Z_19673ADA_0B6E_420C_87C4_DFC2B9AF85E8_.wvu.FilterData" localSheetId="39" hidden="1">'Q2 DMV - Revenue'!$A$18:$K$228</definedName>
    <definedName name="Z_19673ADA_0B6E_420C_87C4_DFC2B9AF85E8_.wvu.PrintArea" localSheetId="36" hidden="1">'Q1 DMV -  Revenue'!$B$240:$L$243</definedName>
    <definedName name="Z_19673ADA_0B6E_420C_87C4_DFC2B9AF85E8_.wvu.PrintArea" localSheetId="40" hidden="1">'Q1 DMV - Revenue'!$Q$222:$V$227</definedName>
    <definedName name="Z_19673ADA_0B6E_420C_87C4_DFC2B9AF85E8_.wvu.PrintArea" localSheetId="35" hidden="1">'Q2 DMV -  Revenue'!$C$1:$AG$282</definedName>
    <definedName name="Z_19673ADA_0B6E_420C_87C4_DFC2B9AF85E8_.wvu.PrintArea" localSheetId="39" hidden="1">'Q2 DMV - Revenue'!$E$1:$T$237</definedName>
    <definedName name="Z_19673ADA_0B6E_420C_87C4_DFC2B9AF85E8_.wvu.PrintArea" localSheetId="38" hidden="1">'Q3 DMV - Revenue'!$A$2:$Y$258</definedName>
    <definedName name="Z_19673ADA_0B6E_420C_87C4_DFC2B9AF85E8_.wvu.PrintArea" localSheetId="37" hidden="1">'Q4 DMV - Revenue'!$A$10:$AD$272</definedName>
    <definedName name="Z_19673ADA_0B6E_420C_87C4_DFC2B9AF85E8_.wvu.PrintTitles" localSheetId="36" hidden="1">'Q1 DMV -  Revenue'!$4:$18</definedName>
    <definedName name="Z_19673ADA_0B6E_420C_87C4_DFC2B9AF85E8_.wvu.PrintTitles" localSheetId="40" hidden="1">'Q1 DMV - Revenue'!$17:$18</definedName>
    <definedName name="Z_19673ADA_0B6E_420C_87C4_DFC2B9AF85E8_.wvu.PrintTitles" localSheetId="35" hidden="1">'Q2 DMV -  Revenue'!$17:$18</definedName>
    <definedName name="Z_19673ADA_0B6E_420C_87C4_DFC2B9AF85E8_.wvu.PrintTitles" localSheetId="39" hidden="1">'Q2 DMV - Revenue'!$17:$18</definedName>
    <definedName name="Z_19673ADA_0B6E_420C_87C4_DFC2B9AF85E8_.wvu.PrintTitles" localSheetId="38" hidden="1">'Q3 DMV - Revenue'!$17:$18</definedName>
    <definedName name="Z_19673ADA_0B6E_420C_87C4_DFC2B9AF85E8_.wvu.PrintTitles" localSheetId="37" hidden="1">'Q4 DMV - Revenue'!$10:$18</definedName>
    <definedName name="Z_1A02E1E6_332D_46D8_9565_4DA2714DC0E6_.wvu.FilterData" localSheetId="40" hidden="1">'Q1 DMV - Revenue'!$A$18:$K$217</definedName>
    <definedName name="Z_1A02E1E6_332D_46D8_9565_4DA2714DC0E6_.wvu.FilterData" localSheetId="39" hidden="1">'Q2 DMV - Revenue'!$A$18:$K$228</definedName>
    <definedName name="Z_1A523082_5AFD_4DA8_929E_504B03D9E67E_.wvu.FilterData" localSheetId="40" hidden="1">'Q1 DMV - Revenue'!$A$18:$K$217</definedName>
    <definedName name="Z_1A523082_5AFD_4DA8_929E_504B03D9E67E_.wvu.FilterData" localSheetId="39" hidden="1">'Q2 DMV - Revenue'!$A$18:$K$228</definedName>
    <definedName name="Z_1ADC6DD7_18B3_4B02_92D1_26078C6A6F87_.wvu.FilterData" localSheetId="40" hidden="1">'Q1 DMV - Revenue'!$A$18:$K$217</definedName>
    <definedName name="Z_1ADC6DD7_18B3_4B02_92D1_26078C6A6F87_.wvu.FilterData" localSheetId="39" hidden="1">'Q2 DMV - Revenue'!$A$18:$K$228</definedName>
    <definedName name="Z_1C932D25_F988_4325_8042_724F9378B9ED_.wvu.FilterData" localSheetId="40" hidden="1">'Q1 DMV - Revenue'!$A$18:$K$217</definedName>
    <definedName name="Z_1C932D25_F988_4325_8042_724F9378B9ED_.wvu.FilterData" localSheetId="39" hidden="1">'Q2 DMV - Revenue'!$A$18:$K$228</definedName>
    <definedName name="Z_1CC5440D_2545_4EF7_9070_7F5FB8F9A945_.wvu.FilterData" localSheetId="40" hidden="1">'Q1 DMV - Revenue'!$A$18:$K$217</definedName>
    <definedName name="Z_1CC5440D_2545_4EF7_9070_7F5FB8F9A945_.wvu.FilterData" localSheetId="39" hidden="1">'Q2 DMV - Revenue'!$A$18:$K$228</definedName>
    <definedName name="Z_1E5CDF54_A850_4E75_9939_A792789114AC_.wvu.FilterData" localSheetId="39" hidden="1">'Q2 DMV - Revenue'!$A$18:$K$228</definedName>
    <definedName name="Z_1F791C17_12E9_4B39_B0FB_8CB421C71D47_.wvu.FilterData" localSheetId="40" hidden="1">'Q1 DMV - Revenue'!$A$18:$K$217</definedName>
    <definedName name="Z_1F791C17_12E9_4B39_B0FB_8CB421C71D47_.wvu.FilterData" localSheetId="39" hidden="1">'Q2 DMV - Revenue'!$A$18:$K$228</definedName>
    <definedName name="Z_1FE2CF68_27AB_43AF_AA9C_025EBF6C90DE_.wvu.FilterData" localSheetId="40" hidden="1">'Q1 DMV - Revenue'!$A$18:$K$217</definedName>
    <definedName name="Z_1FE2CF68_27AB_43AF_AA9C_025EBF6C90DE_.wvu.FilterData" localSheetId="39" hidden="1">'Q2 DMV - Revenue'!$A$18:$K$228</definedName>
    <definedName name="Z_213BBF10_4E34_407E_96F1_B53AC21D90D1_.wvu.FilterData" localSheetId="39" hidden="1">'Q2 DMV - Revenue'!$A$18:$K$228</definedName>
    <definedName name="Z_2201F0F8_02F2_4A7E_8AAD_8BE9819630DE_.wvu.FilterData" localSheetId="40" hidden="1">'Q1 DMV - Revenue'!$A$18:$K$217</definedName>
    <definedName name="Z_2201F0F8_02F2_4A7E_8AAD_8BE9819630DE_.wvu.FilterData" localSheetId="39" hidden="1">'Q2 DMV - Revenue'!$A$18:$K$228</definedName>
    <definedName name="Z_222DEF26_35DC_4A48_9C25_C66F5CE10DB2_.wvu.FilterData" localSheetId="40" hidden="1">'Q1 DMV - Revenue'!$A$18:$K$217</definedName>
    <definedName name="Z_222DEF26_35DC_4A48_9C25_C66F5CE10DB2_.wvu.FilterData" localSheetId="39" hidden="1">'Q2 DMV - Revenue'!$A$18:$K$228</definedName>
    <definedName name="Z_22853AD4_FCB1_48B8_B92F_79122E9558D5_.wvu.FilterData" localSheetId="40" hidden="1">'Q1 DMV - Revenue'!$A$18:$K$217</definedName>
    <definedName name="Z_22853AD4_FCB1_48B8_B92F_79122E9558D5_.wvu.FilterData" localSheetId="39" hidden="1">'Q2 DMV - Revenue'!$A$18:$K$228</definedName>
    <definedName name="Z_229FB0BD_98E2_4BF2_9DF3_F2B3705A1B79_.wvu.FilterData" localSheetId="40" hidden="1">'Q1 DMV - Revenue'!$A$18:$K$217</definedName>
    <definedName name="Z_229FB0BD_98E2_4BF2_9DF3_F2B3705A1B79_.wvu.FilterData" localSheetId="39" hidden="1">'Q2 DMV - Revenue'!$A$18:$K$228</definedName>
    <definedName name="Z_22FBB9E6_4E66_4AC7_BE8A_2DED07CD70DB_.wvu.FilterData" localSheetId="40" hidden="1">'Q1 DMV - Revenue'!$A$18:$K$217</definedName>
    <definedName name="Z_22FBB9E6_4E66_4AC7_BE8A_2DED07CD70DB_.wvu.FilterData" localSheetId="39" hidden="1">'Q2 DMV - Revenue'!$A$18:$K$228</definedName>
    <definedName name="Z_232906C3_B740_49A2_8D86_D8D6BD6F942B_.wvu.FilterData" localSheetId="40" hidden="1">'Q1 DMV - Revenue'!$A$18:$K$217</definedName>
    <definedName name="Z_232906C3_B740_49A2_8D86_D8D6BD6F942B_.wvu.FilterData" localSheetId="39" hidden="1">'Q2 DMV - Revenue'!$A$18:$K$228</definedName>
    <definedName name="Z_233114FE_3C18_4E1E_AC71_4E2F7C95ED97_.wvu.FilterData" localSheetId="40" hidden="1">'Q1 DMV - Revenue'!$A$18:$K$217</definedName>
    <definedName name="Z_233114FE_3C18_4E1E_AC71_4E2F7C95ED97_.wvu.FilterData" localSheetId="39" hidden="1">'Q2 DMV - Revenue'!$A$18:$K$228</definedName>
    <definedName name="Z_23C5A848_3EF9_49C5_B631_0D8E18C93E60_.wvu.FilterData" localSheetId="40" hidden="1">'Q1 DMV - Revenue'!$E$18:$J$217</definedName>
    <definedName name="Z_23C5A848_3EF9_49C5_B631_0D8E18C93E60_.wvu.FilterData" localSheetId="39" hidden="1">'Q2 DMV - Revenue'!$E$18:$J$228</definedName>
    <definedName name="Z_23FAB9D5_120C_40D4_9147_129E9725502F_.wvu.FilterData" localSheetId="40" hidden="1">'Q1 DMV - Revenue'!$E$18:$J$217</definedName>
    <definedName name="Z_23FAB9D5_120C_40D4_9147_129E9725502F_.wvu.FilterData" localSheetId="39" hidden="1">'Q2 DMV - Revenue'!$E$18:$J$228</definedName>
    <definedName name="Z_24CAA6F2_2DFB_4096_8289_F81CDF5E7018_.wvu.FilterData" localSheetId="39" hidden="1">'Q2 DMV - Revenue'!$A$18:$K$228</definedName>
    <definedName name="Z_2567C4EA_A8A3_4F56_9EEA_4AA000835E0C_.wvu.FilterData" localSheetId="40" hidden="1">'Q1 DMV - Revenue'!$A$18:$K$217</definedName>
    <definedName name="Z_2567C4EA_A8A3_4F56_9EEA_4AA000835E0C_.wvu.FilterData" localSheetId="39" hidden="1">'Q2 DMV - Revenue'!$A$18:$K$228</definedName>
    <definedName name="Z_268AA79C_5F33_4769_B1E2_F156068A61A8_.wvu.FilterData" localSheetId="40" hidden="1">'Q1 DMV - Revenue'!$A$18:$K$217</definedName>
    <definedName name="Z_268AA79C_5F33_4769_B1E2_F156068A61A8_.wvu.FilterData" localSheetId="39" hidden="1">'Q2 DMV - Revenue'!$A$18:$K$228</definedName>
    <definedName name="Z_26B033D0_B833_494F_9868_A63F516784E8_.wvu.FilterData" localSheetId="40" hidden="1">'Q1 DMV - Revenue'!$A$18:$K$217</definedName>
    <definedName name="Z_26B033D0_B833_494F_9868_A63F516784E8_.wvu.FilterData" localSheetId="39" hidden="1">'Q2 DMV - Revenue'!$A$18:$K$228</definedName>
    <definedName name="Z_26B5BDE8_F3D8_4E9C_B8C2_AEEA93CA02E4_.wvu.FilterData" localSheetId="40" hidden="1">'Q1 DMV - Revenue'!$E$18:$J$217</definedName>
    <definedName name="Z_26B5BDE8_F3D8_4E9C_B8C2_AEEA93CA02E4_.wvu.FilterData" localSheetId="39" hidden="1">'Q2 DMV - Revenue'!$E$18:$J$228</definedName>
    <definedName name="Z_273A0E45_E11F_4703_A840_CC0A2EDDE020_.wvu.FilterData" localSheetId="40" hidden="1">'Q1 DMV - Revenue'!$A$18:$K$217</definedName>
    <definedName name="Z_273A0E45_E11F_4703_A840_CC0A2EDDE020_.wvu.FilterData" localSheetId="39" hidden="1">'Q2 DMV - Revenue'!$A$18:$K$228</definedName>
    <definedName name="Z_28087848_6049_4A92_BE60_DFEF3A0C7C49_.wvu.FilterData" localSheetId="39" hidden="1">'Q2 DMV - Revenue'!$A$18:$K$228</definedName>
    <definedName name="Z_28A4D66F_D234_46A2_A4AA_8819268718B7_.wvu.FilterData" localSheetId="39" hidden="1">'Q2 DMV - Revenue'!$A$18:$K$228</definedName>
    <definedName name="Z_2925B147_B7E5_4CF2_A932_A09A5E7E3BE3_.wvu.FilterData" localSheetId="40" hidden="1">'Q1 DMV - Revenue'!$A$18:$K$217</definedName>
    <definedName name="Z_2925B147_B7E5_4CF2_A932_A09A5E7E3BE3_.wvu.FilterData" localSheetId="39" hidden="1">'Q2 DMV - Revenue'!$A$18:$K$228</definedName>
    <definedName name="Z_2ACBE512_A9C9_45C1_B743_E2146C34AC31_.wvu.FilterData" localSheetId="40" hidden="1">'Q1 DMV - Revenue'!$A$18:$K$217</definedName>
    <definedName name="Z_2ACBE512_A9C9_45C1_B743_E2146C34AC31_.wvu.FilterData" localSheetId="39" hidden="1">'Q2 DMV - Revenue'!$A$18:$K$228</definedName>
    <definedName name="Z_2BF20C15_FBAD_471C_ABDF_422AD322DB55_.wvu.FilterData" localSheetId="40" hidden="1">'Q1 DMV - Revenue'!$A$18:$K$217</definedName>
    <definedName name="Z_2BF20C15_FBAD_471C_ABDF_422AD322DB55_.wvu.FilterData" localSheetId="39" hidden="1">'Q2 DMV - Revenue'!$A$18:$K$228</definedName>
    <definedName name="Z_2D7579CB_5E87_48CB_B104_1CC96231D9DD_.wvu.FilterData" localSheetId="39" hidden="1">'Q2 DMV - Revenue'!$A$18:$K$228</definedName>
    <definedName name="Z_2DEFF19C_0A23_4E1B_BE11_76FD6D260CB8_.wvu.FilterData" localSheetId="40" hidden="1">'Q1 DMV - Revenue'!$A$18:$K$217</definedName>
    <definedName name="Z_2DEFF19C_0A23_4E1B_BE11_76FD6D260CB8_.wvu.FilterData" localSheetId="39" hidden="1">'Q2 DMV - Revenue'!$A$18:$K$228</definedName>
    <definedName name="Z_2E3E1A0B_C3C5_47A4_B804_0380497081D6_.wvu.FilterData" localSheetId="40" hidden="1">'Q1 DMV - Revenue'!$A$18:$K$217</definedName>
    <definedName name="Z_2E3E1A0B_C3C5_47A4_B804_0380497081D6_.wvu.FilterData" localSheetId="39" hidden="1">'Q2 DMV - Revenue'!$A$18:$K$228</definedName>
    <definedName name="Z_2E6E84F1_AF5A_4874_968C_B71DE145F307_.wvu.FilterData" localSheetId="40" hidden="1">'Q1 DMV - Revenue'!$A$18:$K$217</definedName>
    <definedName name="Z_2E6E84F1_AF5A_4874_968C_B71DE145F307_.wvu.FilterData" localSheetId="39" hidden="1">'Q2 DMV - Revenue'!$A$18:$K$228</definedName>
    <definedName name="Z_2EB27632_F828_4A42_86C7_129F30D5741A_.wvu.FilterData" localSheetId="40" hidden="1">'Q1 DMV - Revenue'!$A$18:$K$217</definedName>
    <definedName name="Z_2EB27632_F828_4A42_86C7_129F30D5741A_.wvu.FilterData" localSheetId="39" hidden="1">'Q2 DMV - Revenue'!$A$18:$K$228</definedName>
    <definedName name="Z_2ED03104_486C_4EF0_B8E5_0F4579AB95A8_.wvu.FilterData" localSheetId="40" hidden="1">'Q1 DMV - Revenue'!$A$18:$K$217</definedName>
    <definedName name="Z_2ED03104_486C_4EF0_B8E5_0F4579AB95A8_.wvu.FilterData" localSheetId="39" hidden="1">'Q2 DMV - Revenue'!$A$18:$K$228</definedName>
    <definedName name="Z_2F4EB1A4_8F1F_49F7_9C15_082B0A2C8B11_.wvu.FilterData" localSheetId="40" hidden="1">'Q1 DMV - Revenue'!$A$18:$K$217</definedName>
    <definedName name="Z_2F4EB1A4_8F1F_49F7_9C15_082B0A2C8B11_.wvu.FilterData" localSheetId="39" hidden="1">'Q2 DMV - Revenue'!$A$18:$K$228</definedName>
    <definedName name="Z_30A11500_4841_4B87_8A51_613B69C619CA_.wvu.FilterData" localSheetId="40" hidden="1">'Q1 DMV - Revenue'!$A$18:$K$217</definedName>
    <definedName name="Z_30A11500_4841_4B87_8A51_613B69C619CA_.wvu.FilterData" localSheetId="39" hidden="1">'Q2 DMV - Revenue'!$A$18:$K$228</definedName>
    <definedName name="Z_30EF2F7D_596A_4F42_BFFC_293775FB231D_.wvu.Cols" localSheetId="36" hidden="1">'Q1 DMV -  Revenue'!$A:$B</definedName>
    <definedName name="Z_30EF2F7D_596A_4F42_BFFC_293775FB231D_.wvu.Cols" localSheetId="40" hidden="1">'Q1 DMV - Revenue'!$A:$E</definedName>
    <definedName name="Z_30EF2F7D_596A_4F42_BFFC_293775FB231D_.wvu.Cols" localSheetId="39" hidden="1">'Q2 DMV - Revenue'!$A:$E</definedName>
    <definedName name="Z_30EF2F7D_596A_4F42_BFFC_293775FB231D_.wvu.FilterData" localSheetId="40" hidden="1">'Q1 DMV - Revenue'!$A$18:$K$217</definedName>
    <definedName name="Z_30EF2F7D_596A_4F42_BFFC_293775FB231D_.wvu.FilterData" localSheetId="39" hidden="1">'Q2 DMV - Revenue'!$A$18:$K$228</definedName>
    <definedName name="Z_30EF2F7D_596A_4F42_BFFC_293775FB231D_.wvu.PrintArea" localSheetId="40" hidden="1">'Q1 DMV - Revenue'!$F$19:$K$214</definedName>
    <definedName name="Z_30EF2F7D_596A_4F42_BFFC_293775FB231D_.wvu.PrintArea" localSheetId="39" hidden="1">'Q2 DMV - Revenue'!$E$1:$T$237</definedName>
    <definedName name="Z_30EF2F7D_596A_4F42_BFFC_293775FB231D_.wvu.PrintArea" localSheetId="38" hidden="1">'Q3 DMV - Revenue'!$A$2:$Y$258</definedName>
    <definedName name="Z_30EF2F7D_596A_4F42_BFFC_293775FB231D_.wvu.PrintTitles" localSheetId="40" hidden="1">'Q1 DMV - Revenue'!$17:$18</definedName>
    <definedName name="Z_30EF2F7D_596A_4F42_BFFC_293775FB231D_.wvu.PrintTitles" localSheetId="39" hidden="1">'Q2 DMV - Revenue'!$17:$18</definedName>
    <definedName name="Z_30EF2F7D_596A_4F42_BFFC_293775FB231D_.wvu.PrintTitles" localSheetId="38" hidden="1">'Q3 DMV - Revenue'!$17:$18</definedName>
    <definedName name="Z_32101850_1B6D_48BF_944F_EC3A170225BC_.wvu.FilterData" localSheetId="40" hidden="1">'Q1 DMV - Revenue'!$E$18:$J$217</definedName>
    <definedName name="Z_32101850_1B6D_48BF_944F_EC3A170225BC_.wvu.FilterData" localSheetId="39" hidden="1">'Q2 DMV - Revenue'!$E$18:$J$228</definedName>
    <definedName name="Z_341EF2D5_B45B_4190_9304_120B99885207_.wvu.FilterData" localSheetId="39" hidden="1">'Q2 DMV - Revenue'!$A$18:$K$228</definedName>
    <definedName name="Z_367C117C_7362_4B46_AA9A_68044FF390BE_.wvu.FilterData" localSheetId="40" hidden="1">'Q1 DMV - Revenue'!$A$18:$K$217</definedName>
    <definedName name="Z_367C117C_7362_4B46_AA9A_68044FF390BE_.wvu.FilterData" localSheetId="39" hidden="1">'Q2 DMV - Revenue'!$A$18:$K$228</definedName>
    <definedName name="Z_37B7F8B2_7136_4A47_994E_5975FB541086_.wvu.FilterData" localSheetId="40" hidden="1">'Q1 DMV - Revenue'!$A$18:$K$217</definedName>
    <definedName name="Z_37B7F8B2_7136_4A47_994E_5975FB541086_.wvu.FilterData" localSheetId="39" hidden="1">'Q2 DMV - Revenue'!$A$18:$K$228</definedName>
    <definedName name="Z_37E770EC_62AF_490D_AF10_A7593A66DE41_.wvu.FilterData" localSheetId="40" hidden="1">'Q1 DMV - Revenue'!$A$18:$K$217</definedName>
    <definedName name="Z_37E770EC_62AF_490D_AF10_A7593A66DE41_.wvu.FilterData" localSheetId="39" hidden="1">'Q2 DMV - Revenue'!$A$18:$K$228</definedName>
    <definedName name="Z_3A0E90B9_4DC3_4FDA_B6C1_EB48248A916C_.wvu.FilterData" localSheetId="40" hidden="1">'Q1 DMV - Revenue'!$A$18:$K$217</definedName>
    <definedName name="Z_3A0E90B9_4DC3_4FDA_B6C1_EB48248A916C_.wvu.FilterData" localSheetId="39" hidden="1">'Q2 DMV - Revenue'!$A$18:$K$228</definedName>
    <definedName name="Z_3A3950FB_F904_41B8_9B65_562E7538C5CD_.wvu.FilterData" localSheetId="40" hidden="1">'Q1 DMV - Revenue'!$A$18:$K$217</definedName>
    <definedName name="Z_3A3950FB_F904_41B8_9B65_562E7538C5CD_.wvu.FilterData" localSheetId="39" hidden="1">'Q2 DMV - Revenue'!$A$18:$K$228</definedName>
    <definedName name="Z_3AD5B66B_C42D_43E3_AC90_605786CA4D34_.wvu.FilterData" localSheetId="40" hidden="1">'Q1 DMV - Revenue'!$A$18:$K$217</definedName>
    <definedName name="Z_3AD5B66B_C42D_43E3_AC90_605786CA4D34_.wvu.FilterData" localSheetId="39" hidden="1">'Q2 DMV - Revenue'!$A$18:$K$228</definedName>
    <definedName name="Z_3C8384BD_5064_482C_AB2B_1072F48D3A1C_.wvu.FilterData" localSheetId="40" hidden="1">'Q1 DMV - Revenue'!$A$18:$K$217</definedName>
    <definedName name="Z_3C8384BD_5064_482C_AB2B_1072F48D3A1C_.wvu.FilterData" localSheetId="39" hidden="1">'Q2 DMV - Revenue'!$A$18:$K$228</definedName>
    <definedName name="Z_3ECAD2F0_3EA3_4136_9382_5426727406E2_.wvu.FilterData" localSheetId="40" hidden="1">'Q1 DMV - Revenue'!$E$18:$J$217</definedName>
    <definedName name="Z_3ECAD2F0_3EA3_4136_9382_5426727406E2_.wvu.FilterData" localSheetId="39" hidden="1">'Q2 DMV - Revenue'!$E$18:$J$228</definedName>
    <definedName name="Z_3EE5E96F_573A_4643_A702_44C30DCF3CB9_.wvu.Cols" localSheetId="40" hidden="1">'Q1 DMV - Revenue'!$A:$E</definedName>
    <definedName name="Z_3EE5E96F_573A_4643_A702_44C30DCF3CB9_.wvu.Cols" localSheetId="39" hidden="1">'Q2 DMV - Revenue'!$A:$E</definedName>
    <definedName name="Z_3EE5E96F_573A_4643_A702_44C30DCF3CB9_.wvu.FilterData" localSheetId="40" hidden="1">'Q1 DMV - Revenue'!$A$18:$K$217</definedName>
    <definedName name="Z_3EE5E96F_573A_4643_A702_44C30DCF3CB9_.wvu.FilterData" localSheetId="39" hidden="1">'Q2 DMV - Revenue'!$A$18:$K$228</definedName>
    <definedName name="Z_3EE5E96F_573A_4643_A702_44C30DCF3CB9_.wvu.PrintArea" localSheetId="40" hidden="1">'Q1 DMV - Revenue'!$F$17:$R$218</definedName>
    <definedName name="Z_3EE5E96F_573A_4643_A702_44C30DCF3CB9_.wvu.PrintArea" localSheetId="39" hidden="1">'Q2 DMV - Revenue'!$F$17:$R$229</definedName>
    <definedName name="Z_3EE5E96F_573A_4643_A702_44C30DCF3CB9_.wvu.PrintTitles" localSheetId="40" hidden="1">'Q1 DMV - Revenue'!$17:$18</definedName>
    <definedName name="Z_3EE5E96F_573A_4643_A702_44C30DCF3CB9_.wvu.PrintTitles" localSheetId="39" hidden="1">'Q2 DMV - Revenue'!$17:$18</definedName>
    <definedName name="Z_408F2EC4_60D8_4202_BE67_93406308AD8E_.wvu.FilterData" localSheetId="40" hidden="1">'Q1 DMV - Revenue'!$A$18:$K$217</definedName>
    <definedName name="Z_408F2EC4_60D8_4202_BE67_93406308AD8E_.wvu.FilterData" localSheetId="39" hidden="1">'Q2 DMV - Revenue'!$A$18:$K$228</definedName>
    <definedName name="Z_41408497_BB89_4FD0_9872_81E39AA4AE57_.wvu.FilterData" localSheetId="40" hidden="1">'Q1 DMV - Revenue'!$E$18:$J$217</definedName>
    <definedName name="Z_41408497_BB89_4FD0_9872_81E39AA4AE57_.wvu.FilterData" localSheetId="39" hidden="1">'Q2 DMV - Revenue'!$E$18:$J$228</definedName>
    <definedName name="Z_4279628F_3C2E_451D_B3C0_C3F39BD49DC9_.wvu.FilterData" localSheetId="40" hidden="1">'Q1 DMV - Revenue'!$A$18:$K$217</definedName>
    <definedName name="Z_4279628F_3C2E_451D_B3C0_C3F39BD49DC9_.wvu.FilterData" localSheetId="39" hidden="1">'Q2 DMV - Revenue'!$A$18:$K$228</definedName>
    <definedName name="Z_432B9703_6269_42B3_AF69_9079A6ADD86D_.wvu.FilterData" localSheetId="40" hidden="1">'Q1 DMV - Revenue'!$A$18:$K$217</definedName>
    <definedName name="Z_432B9703_6269_42B3_AF69_9079A6ADD86D_.wvu.FilterData" localSheetId="39" hidden="1">'Q2 DMV - Revenue'!$A$18:$K$228</definedName>
    <definedName name="Z_46035827_30AE_4595_9F1F_8C160FFECDD9_.wvu.FilterData" localSheetId="40" hidden="1">'Q1 DMV - Revenue'!$A$18:$K$217</definedName>
    <definedName name="Z_46035827_30AE_4595_9F1F_8C160FFECDD9_.wvu.FilterData" localSheetId="39" hidden="1">'Q2 DMV - Revenue'!$A$18:$K$228</definedName>
    <definedName name="Z_46281468_A6BB_4ED1_8150_8E746512CDD2_.wvu.FilterData" localSheetId="39" hidden="1">'Q2 DMV - Revenue'!$A$18:$K$228</definedName>
    <definedName name="Z_471E0DC0_0CFD_405C_BCC8_E1EBFEA273DD_.wvu.FilterData" localSheetId="40" hidden="1">'Q1 DMV - Revenue'!$A$18:$K$217</definedName>
    <definedName name="Z_471E0DC0_0CFD_405C_BCC8_E1EBFEA273DD_.wvu.FilterData" localSheetId="39" hidden="1">'Q2 DMV - Revenue'!$A$18:$K$228</definedName>
    <definedName name="Z_4736F55F_83FE_4EBC_99E5_650444E5748D_.wvu.FilterData" localSheetId="40" hidden="1">'Q1 DMV - Revenue'!$E$18:$J$217</definedName>
    <definedName name="Z_4736F55F_83FE_4EBC_99E5_650444E5748D_.wvu.FilterData" localSheetId="39" hidden="1">'Q2 DMV - Revenue'!$E$18:$J$228</definedName>
    <definedName name="Z_48F1BF08_112D_4C0A_9339_AE01602E85B9_.wvu.FilterData" localSheetId="40" hidden="1">'Q1 DMV - Revenue'!$A$18:$K$217</definedName>
    <definedName name="Z_48F1BF08_112D_4C0A_9339_AE01602E85B9_.wvu.FilterData" localSheetId="39" hidden="1">'Q2 DMV - Revenue'!$A$18:$K$228</definedName>
    <definedName name="Z_491D4AF1_6BBE_44B1_A9A8_866659180B9C_.wvu.FilterData" localSheetId="40" hidden="1">'Q1 DMV - Revenue'!$A$18:$K$217</definedName>
    <definedName name="Z_491D4AF1_6BBE_44B1_A9A8_866659180B9C_.wvu.FilterData" localSheetId="39" hidden="1">'Q2 DMV - Revenue'!$A$18:$K$228</definedName>
    <definedName name="Z_4AC69F65_EC69_43D9_B82D_2A380496F8C9_.wvu.FilterData" localSheetId="39" hidden="1">'Q2 DMV - Revenue'!$A$18:$K$228</definedName>
    <definedName name="Z_4B7357D4_1013_40DE_BC0E_0F27A61666A9_.wvu.FilterData" localSheetId="40" hidden="1">'Q1 DMV - Revenue'!$A$18:$K$217</definedName>
    <definedName name="Z_4B7357D4_1013_40DE_BC0E_0F27A61666A9_.wvu.FilterData" localSheetId="39" hidden="1">'Q2 DMV - Revenue'!$A$18:$K$228</definedName>
    <definedName name="Z_4CC9BCB5_F8F5_4F6D_AE70_DC799FE9CB00_.wvu.FilterData" localSheetId="40" hidden="1">'Q1 DMV - Revenue'!$E$18:$J$217</definedName>
    <definedName name="Z_4CC9BCB5_F8F5_4F6D_AE70_DC799FE9CB00_.wvu.FilterData" localSheetId="39" hidden="1">'Q2 DMV - Revenue'!$E$18:$J$228</definedName>
    <definedName name="Z_5439C1DB_039B_4528_ABFC_84DD5822D635_.wvu.FilterData" localSheetId="40" hidden="1">'Q1 DMV - Revenue'!$A$18:$K$217</definedName>
    <definedName name="Z_5439C1DB_039B_4528_ABFC_84DD5822D635_.wvu.FilterData" localSheetId="39" hidden="1">'Q2 DMV - Revenue'!$A$18:$K$228</definedName>
    <definedName name="Z_54C20205_B886_4492_BEFD_5C296FB79C98_.wvu.FilterData" localSheetId="40" hidden="1">'Q1 DMV - Revenue'!$A$18:$K$217</definedName>
    <definedName name="Z_54C20205_B886_4492_BEFD_5C296FB79C98_.wvu.FilterData" localSheetId="39" hidden="1">'Q2 DMV - Revenue'!$A$18:$K$228</definedName>
    <definedName name="Z_5988DFF0_E65B_4EE3_8D85_C4BF77D1D6ED_.wvu.FilterData" localSheetId="40" hidden="1">'Q1 DMV - Revenue'!$A$18:$K$217</definedName>
    <definedName name="Z_5988DFF0_E65B_4EE3_8D85_C4BF77D1D6ED_.wvu.FilterData" localSheetId="39" hidden="1">'Q2 DMV - Revenue'!$A$18:$K$228</definedName>
    <definedName name="Z_5AAAB9C2_01B1_46FB_BD47_55CFAE877B5D_.wvu.FilterData" localSheetId="40" hidden="1">'Q1 DMV - Revenue'!$A$18:$K$217</definedName>
    <definedName name="Z_5AAAB9C2_01B1_46FB_BD47_55CFAE877B5D_.wvu.FilterData" localSheetId="39" hidden="1">'Q2 DMV - Revenue'!$A$18:$K$228</definedName>
    <definedName name="Z_5AD4F7F7_FC9C_48CA_8F9D_81B2C31B9F42_.wvu.FilterData" localSheetId="40" hidden="1">'Q1 DMV - Revenue'!$E$18:$J$217</definedName>
    <definedName name="Z_5AD4F7F7_FC9C_48CA_8F9D_81B2C31B9F42_.wvu.FilterData" localSheetId="39" hidden="1">'Q2 DMV - Revenue'!$E$18:$J$228</definedName>
    <definedName name="Z_5C2E6D1E_54C4_4ADC_98B4_B0C49C9D8096_.wvu.FilterData" localSheetId="40" hidden="1">'Q1 DMV - Revenue'!$A$18:$K$217</definedName>
    <definedName name="Z_5C2E6D1E_54C4_4ADC_98B4_B0C49C9D8096_.wvu.FilterData" localSheetId="39" hidden="1">'Q2 DMV - Revenue'!$A$18:$K$228</definedName>
    <definedName name="Z_5C936C10_6B57_4596_9609_FA096FE19E1B_.wvu.FilterData" localSheetId="40" hidden="1">'Q1 DMV - Revenue'!$E$18:$J$217</definedName>
    <definedName name="Z_5C936C10_6B57_4596_9609_FA096FE19E1B_.wvu.FilterData" localSheetId="39" hidden="1">'Q2 DMV - Revenue'!$E$18:$J$228</definedName>
    <definedName name="Z_5CD1892D_3A11_4AB4_88D8_90B411C1CDA1_.wvu.FilterData" localSheetId="40" hidden="1">'Q1 DMV - Revenue'!$E$18:$J$217</definedName>
    <definedName name="Z_5CD1892D_3A11_4AB4_88D8_90B411C1CDA1_.wvu.FilterData" localSheetId="39" hidden="1">'Q2 DMV - Revenue'!$E$18:$J$228</definedName>
    <definedName name="Z_5CFE0364_0DF4_4E99_B337_6376D84D0674_.wvu.FilterData" localSheetId="40" hidden="1">'Q1 DMV - Revenue'!$A$18:$K$217</definedName>
    <definedName name="Z_5CFE0364_0DF4_4E99_B337_6376D84D0674_.wvu.FilterData" localSheetId="39" hidden="1">'Q2 DMV - Revenue'!$A$18:$K$228</definedName>
    <definedName name="Z_600F04F6_3B0B_4819_B4D2_9B077BDEEBD5_.wvu.FilterData" localSheetId="40" hidden="1">'Q1 DMV - Revenue'!$A$18:$K$217</definedName>
    <definedName name="Z_600F04F6_3B0B_4819_B4D2_9B077BDEEBD5_.wvu.FilterData" localSheetId="39" hidden="1">'Q2 DMV - Revenue'!$A$18:$K$228</definedName>
    <definedName name="Z_62A095BB_2340_47EB_9FBB_D06820B0C428_.wvu.FilterData" localSheetId="40" hidden="1">'Q1 DMV - Revenue'!$A$18:$K$217</definedName>
    <definedName name="Z_62A095BB_2340_47EB_9FBB_D06820B0C428_.wvu.FilterData" localSheetId="39" hidden="1">'Q2 DMV - Revenue'!$A$18:$K$228</definedName>
    <definedName name="Z_64DEBAF8_0426_4B95_822F_FF537683650A_.wvu.FilterData" localSheetId="40" hidden="1">'Q1 DMV - Revenue'!$A$18:$K$217</definedName>
    <definedName name="Z_64DEBAF8_0426_4B95_822F_FF537683650A_.wvu.FilterData" localSheetId="39" hidden="1">'Q2 DMV - Revenue'!$A$18:$K$228</definedName>
    <definedName name="Z_65D0AC42_77C1_4E65_AB4B_34904097D8B2_.wvu.FilterData" localSheetId="40" hidden="1">'Q1 DMV - Revenue'!$A$18:$K$217</definedName>
    <definedName name="Z_65D0AC42_77C1_4E65_AB4B_34904097D8B2_.wvu.FilterData" localSheetId="39" hidden="1">'Q2 DMV - Revenue'!$A$18:$K$228</definedName>
    <definedName name="Z_66CAA0CC_E160_4083_9C4C_5061694BC24B_.wvu.FilterData" localSheetId="40" hidden="1">'Q1 DMV - Revenue'!$A$18:$K$217</definedName>
    <definedName name="Z_66CAA0CC_E160_4083_9C4C_5061694BC24B_.wvu.FilterData" localSheetId="39" hidden="1">'Q2 DMV - Revenue'!$A$18:$K$228</definedName>
    <definedName name="Z_69EB2E16_AFDE_4571_A1DB_BF37D051CF07_.wvu.FilterData" localSheetId="40" hidden="1">'Q1 DMV - Revenue'!$E$18:$J$217</definedName>
    <definedName name="Z_69EB2E16_AFDE_4571_A1DB_BF37D051CF07_.wvu.FilterData" localSheetId="39" hidden="1">'Q2 DMV - Revenue'!$E$18:$J$228</definedName>
    <definedName name="Z_6ADB27C2_F7EE_4B3C_8418_3286E405E54A_.wvu.FilterData" localSheetId="40" hidden="1">'Q1 DMV - Revenue'!$E$18:$J$217</definedName>
    <definedName name="Z_6ADB27C2_F7EE_4B3C_8418_3286E405E54A_.wvu.FilterData" localSheetId="39" hidden="1">'Q2 DMV - Revenue'!$E$18:$J$228</definedName>
    <definedName name="Z_6BD2282D_F39F_4D11_A058_7006E4E5866F_.wvu.FilterData" localSheetId="40" hidden="1">'Q1 DMV - Revenue'!$E$18:$J$217</definedName>
    <definedName name="Z_6BD2282D_F39F_4D11_A058_7006E4E5866F_.wvu.FilterData" localSheetId="39" hidden="1">'Q2 DMV - Revenue'!$E$18:$J$228</definedName>
    <definedName name="Z_6BD68837_8A73_48BD_BC19_7688259587B7_.wvu.FilterData" localSheetId="40" hidden="1">'Q1 DMV - Revenue'!$A$18:$K$217</definedName>
    <definedName name="Z_6BD68837_8A73_48BD_BC19_7688259587B7_.wvu.FilterData" localSheetId="39" hidden="1">'Q2 DMV - Revenue'!$A$18:$K$228</definedName>
    <definedName name="Z_6D179DD9_0EF0_4878_87D6_CB4D495FBF22_.wvu.FilterData" localSheetId="40" hidden="1">'Q1 DMV - Revenue'!$A$18:$K$217</definedName>
    <definedName name="Z_6D179DD9_0EF0_4878_87D6_CB4D495FBF22_.wvu.FilterData" localSheetId="39" hidden="1">'Q2 DMV - Revenue'!$A$18:$K$228</definedName>
    <definedName name="Z_6F4B4768_8A4D_42E2_B88D_A2E3A11E334D_.wvu.Cols" localSheetId="40" hidden="1">'Q1 DMV - Revenue'!$A:$E</definedName>
    <definedName name="Z_6F4B4768_8A4D_42E2_B88D_A2E3A11E334D_.wvu.Cols" localSheetId="39" hidden="1">'Q2 DMV - Revenue'!$A:$E</definedName>
    <definedName name="Z_6F4B4768_8A4D_42E2_B88D_A2E3A11E334D_.wvu.Cols" localSheetId="38" hidden="1">'Q3 DMV - Revenue'!$A:$B</definedName>
    <definedName name="Z_6F4B4768_8A4D_42E2_B88D_A2E3A11E334D_.wvu.Cols" localSheetId="37" hidden="1">'Q4 DMV - Revenue'!$A:$B</definedName>
    <definedName name="Z_6F4B4768_8A4D_42E2_B88D_A2E3A11E334D_.wvu.FilterData" localSheetId="40" hidden="1">'Q1 DMV - Revenue'!$A$18:$K$217</definedName>
    <definedName name="Z_6F4B4768_8A4D_42E2_B88D_A2E3A11E334D_.wvu.FilterData" localSheetId="39" hidden="1">'Q2 DMV - Revenue'!$A$18:$K$228</definedName>
    <definedName name="Z_6F4B4768_8A4D_42E2_B88D_A2E3A11E334D_.wvu.PrintArea" localSheetId="40" hidden="1">'Q1 DMV - Revenue'!$E$1:$T$226</definedName>
    <definedName name="Z_6F4B4768_8A4D_42E2_B88D_A2E3A11E334D_.wvu.PrintArea" localSheetId="39" hidden="1">'Q2 DMV - Revenue'!$E$1:$T$237</definedName>
    <definedName name="Z_6F4B4768_8A4D_42E2_B88D_A2E3A11E334D_.wvu.PrintTitles" localSheetId="40" hidden="1">'Q1 DMV - Revenue'!$17:$18</definedName>
    <definedName name="Z_6F4B4768_8A4D_42E2_B88D_A2E3A11E334D_.wvu.PrintTitles" localSheetId="39" hidden="1">'Q2 DMV - Revenue'!$17:$18</definedName>
    <definedName name="Z_70C19ADE_A933_4576_B362_5242BAC66BA1_.wvu.FilterData" localSheetId="39" hidden="1">'Q2 DMV - Revenue'!$A$18:$K$228</definedName>
    <definedName name="Z_71AA5758_B491_4704_A83F_038A6899939A_.wvu.FilterData" localSheetId="40" hidden="1">'Q1 DMV - Revenue'!$A$18:$K$217</definedName>
    <definedName name="Z_71AA5758_B491_4704_A83F_038A6899939A_.wvu.FilterData" localSheetId="39" hidden="1">'Q2 DMV - Revenue'!$A$18:$K$228</definedName>
    <definedName name="Z_72863366_DBE8_4F72_8F69_B3A61323BAA8_.wvu.FilterData" localSheetId="40" hidden="1">'Q1 DMV - Revenue'!$A$18:$K$217</definedName>
    <definedName name="Z_72863366_DBE8_4F72_8F69_B3A61323BAA8_.wvu.FilterData" localSheetId="39" hidden="1">'Q2 DMV - Revenue'!$A$18:$K$228</definedName>
    <definedName name="Z_72B0E57A_075A_4612_8505_508AE87557C5_.wvu.FilterData" localSheetId="40" hidden="1">'Q1 DMV - Revenue'!$A$18:$K$217</definedName>
    <definedName name="Z_72B0E57A_075A_4612_8505_508AE87557C5_.wvu.FilterData" localSheetId="39" hidden="1">'Q2 DMV - Revenue'!$A$18:$K$228</definedName>
    <definedName name="Z_72FB8F7E_0A79_496D_A187_54EACE035FB9_.wvu.FilterData" localSheetId="40" hidden="1">'Q1 DMV - Revenue'!$A$18:$K$217</definedName>
    <definedName name="Z_72FB8F7E_0A79_496D_A187_54EACE035FB9_.wvu.FilterData" localSheetId="39" hidden="1">'Q2 DMV - Revenue'!$A$18:$K$228</definedName>
    <definedName name="Z_740B10ED_52B8_4E81_8D00_22D0D325D6F1_.wvu.FilterData" localSheetId="40" hidden="1">'Q1 DMV - Revenue'!$E$18:$J$217</definedName>
    <definedName name="Z_740B10ED_52B8_4E81_8D00_22D0D325D6F1_.wvu.FilterData" localSheetId="39" hidden="1">'Q2 DMV - Revenue'!$E$18:$J$228</definedName>
    <definedName name="Z_74416BD9_6C89_4C41_9500_0BD9B7DFB8B6_.wvu.FilterData" localSheetId="40" hidden="1">'Q1 DMV - Revenue'!$A$18:$K$217</definedName>
    <definedName name="Z_74416BD9_6C89_4C41_9500_0BD9B7DFB8B6_.wvu.FilterData" localSheetId="39" hidden="1">'Q2 DMV - Revenue'!$A$18:$K$228</definedName>
    <definedName name="Z_76A113E5_307C_45AB_BA90_45F2869B4A40_.wvu.FilterData" localSheetId="40" hidden="1">'Q1 DMV - Revenue'!$A$18:$K$217</definedName>
    <definedName name="Z_76A113E5_307C_45AB_BA90_45F2869B4A40_.wvu.FilterData" localSheetId="39" hidden="1">'Q2 DMV - Revenue'!$A$18:$K$228</definedName>
    <definedName name="Z_78FFF7EE_1905_42B5_B604_6298809E541D_.wvu.FilterData" localSheetId="40" hidden="1">'Q1 DMV - Revenue'!$E$18:$J$217</definedName>
    <definedName name="Z_78FFF7EE_1905_42B5_B604_6298809E541D_.wvu.FilterData" localSheetId="39" hidden="1">'Q2 DMV - Revenue'!$E$18:$J$228</definedName>
    <definedName name="Z_797B2857_CBD2_4B1B_9603_791480195906_.wvu.FilterData" localSheetId="40" hidden="1">'Q1 DMV - Revenue'!$A$18:$K$217</definedName>
    <definedName name="Z_797B2857_CBD2_4B1B_9603_791480195906_.wvu.FilterData" localSheetId="39" hidden="1">'Q2 DMV - Revenue'!$A$18:$K$228</definedName>
    <definedName name="Z_7E21FBE8_6459_4F46_B276_8520B0B46DFA_.wvu.FilterData" localSheetId="40" hidden="1">'Q1 DMV - Revenue'!$A$18:$K$217</definedName>
    <definedName name="Z_7E21FBE8_6459_4F46_B276_8520B0B46DFA_.wvu.FilterData" localSheetId="39" hidden="1">'Q2 DMV - Revenue'!$A$18:$K$228</definedName>
    <definedName name="Z_7E2E4039_1D17_428D_9606_B18D4244F409_.wvu.FilterData" localSheetId="40" hidden="1">'Q1 DMV - Revenue'!$A$18:$K$217</definedName>
    <definedName name="Z_7E2E4039_1D17_428D_9606_B18D4244F409_.wvu.FilterData" localSheetId="39" hidden="1">'Q2 DMV - Revenue'!$A$18:$K$228</definedName>
    <definedName name="Z_7FE71E3A_56FF_4848_9656_71ADD17F0C53_.wvu.FilterData" localSheetId="40" hidden="1">'Q1 DMV - Revenue'!$E$18:$J$217</definedName>
    <definedName name="Z_7FE71E3A_56FF_4848_9656_71ADD17F0C53_.wvu.FilterData" localSheetId="39" hidden="1">'Q2 DMV - Revenue'!$E$18:$J$228</definedName>
    <definedName name="Z_82C5863E_4324_4AD3_8AA2_8C74498D4201_.wvu.FilterData" localSheetId="40" hidden="1">'Q1 DMV - Revenue'!$A$18:$K$217</definedName>
    <definedName name="Z_82C5863E_4324_4AD3_8AA2_8C74498D4201_.wvu.FilterData" localSheetId="39" hidden="1">'Q2 DMV - Revenue'!$A$18:$K$228</definedName>
    <definedName name="Z_83E5794A_E013_447D_A8A6_F229324740F7_.wvu.FilterData" localSheetId="40" hidden="1">'Q1 DMV - Revenue'!$A$18:$K$217</definedName>
    <definedName name="Z_83E5794A_E013_447D_A8A6_F229324740F7_.wvu.FilterData" localSheetId="39" hidden="1">'Q2 DMV - Revenue'!$A$18:$K$228</definedName>
    <definedName name="Z_8432349D_43D0_4C17_AA29_D2A91CCD0D60_.wvu.FilterData" localSheetId="40" hidden="1">'Q1 DMV - Revenue'!$E$18:$J$217</definedName>
    <definedName name="Z_8432349D_43D0_4C17_AA29_D2A91CCD0D60_.wvu.FilterData" localSheetId="39" hidden="1">'Q2 DMV - Revenue'!$E$18:$J$228</definedName>
    <definedName name="Z_8531BF06_0974_4E36_84C9_108AAE048C28_.wvu.FilterData" localSheetId="40" hidden="1">'Q1 DMV - Revenue'!$A$18:$K$217</definedName>
    <definedName name="Z_8531BF06_0974_4E36_84C9_108AAE048C28_.wvu.FilterData" localSheetId="39" hidden="1">'Q2 DMV - Revenue'!$A$18:$K$228</definedName>
    <definedName name="Z_86CCC894_C193_4761_8385_3C374FD67B70_.wvu.Cols" localSheetId="25" hidden="1">'Aug 2012 Revenue'!$G:$H</definedName>
    <definedName name="Z_86CCC894_C193_4761_8385_3C374FD67B70_.wvu.Cols" localSheetId="21" hidden="1">'Dec 2012 Revenue'!$G:$H</definedName>
    <definedName name="Z_86CCC894_C193_4761_8385_3C374FD67B70_.wvu.Cols" localSheetId="26" hidden="1">'July 2012 DMV Revenue'!$G:$H</definedName>
    <definedName name="Z_86CCC894_C193_4761_8385_3C374FD67B70_.wvu.Cols" localSheetId="27" hidden="1">'June 2012 DMV Revenue'!$G:$H</definedName>
    <definedName name="Z_86CCC894_C193_4761_8385_3C374FD67B70_.wvu.Cols" localSheetId="28" hidden="1">'May 2012 DMV Revenue'!$G:$H</definedName>
    <definedName name="Z_86CCC894_C193_4761_8385_3C374FD67B70_.wvu.Cols" localSheetId="22" hidden="1">'Nov 2012 Revenue'!$G:$H</definedName>
    <definedName name="Z_86CCC894_C193_4761_8385_3C374FD67B70_.wvu.Cols" localSheetId="23" hidden="1">'Oct 2012 Revenue'!$G:$H</definedName>
    <definedName name="Z_86CCC894_C193_4761_8385_3C374FD67B70_.wvu.Cols" localSheetId="40" hidden="1">'Q1 DMV - Revenue'!$A:$E</definedName>
    <definedName name="Z_86CCC894_C193_4761_8385_3C374FD67B70_.wvu.Cols" localSheetId="39" hidden="1">'Q2 DMV - Revenue'!$A:$E</definedName>
    <definedName name="Z_86CCC894_C193_4761_8385_3C374FD67B70_.wvu.Cols" localSheetId="38" hidden="1">'Q3 DMV - Revenue'!$A:$B</definedName>
    <definedName name="Z_86CCC894_C193_4761_8385_3C374FD67B70_.wvu.Cols" localSheetId="37" hidden="1">'Q4 DMV - Revenue'!$A:$B</definedName>
    <definedName name="Z_86CCC894_C193_4761_8385_3C374FD67B70_.wvu.Cols" localSheetId="24" hidden="1">'Sept 2012 Revenue'!$G:$H</definedName>
    <definedName name="Z_86CCC894_C193_4761_8385_3C374FD67B70_.wvu.FilterData" localSheetId="40" hidden="1">'Q1 DMV - Revenue'!$A$18:$K$217</definedName>
    <definedName name="Z_86CCC894_C193_4761_8385_3C374FD67B70_.wvu.FilterData" localSheetId="39" hidden="1">'Q2 DMV - Revenue'!$A$18:$K$228</definedName>
    <definedName name="Z_86CCC894_C193_4761_8385_3C374FD67B70_.wvu.PrintArea" localSheetId="28" hidden="1">'May 2012 DMV Revenue'!$C$14:$M$252</definedName>
    <definedName name="Z_86CCC894_C193_4761_8385_3C374FD67B70_.wvu.PrintArea" localSheetId="32" hidden="1">'Q1 2012 DMV-Revenue'!$B$18:$AB$284</definedName>
    <definedName name="Z_86CCC894_C193_4761_8385_3C374FD67B70_.wvu.PrintArea" localSheetId="36" hidden="1">'Q1 DMV -  Revenue'!$C$17:$P$260</definedName>
    <definedName name="Z_86CCC894_C193_4761_8385_3C374FD67B70_.wvu.PrintArea" localSheetId="40" hidden="1">'Q1 DMV - Revenue'!$E$1:$T$226</definedName>
    <definedName name="Z_86CCC894_C193_4761_8385_3C374FD67B70_.wvu.PrintArea" localSheetId="35" hidden="1">'Q2 DMV -  Revenue'!$C$17:$P$265</definedName>
    <definedName name="Z_86CCC894_C193_4761_8385_3C374FD67B70_.wvu.PrintArea" localSheetId="39" hidden="1">'Q2 DMV - Revenue'!$E$1:$T$237</definedName>
    <definedName name="Z_86CCC894_C193_4761_8385_3C374FD67B70_.wvu.PrintArea" localSheetId="34" hidden="1">'Q3 DMV -  Revenue'!$B$18:$J$272</definedName>
    <definedName name="Z_86CCC894_C193_4761_8385_3C374FD67B70_.wvu.PrintArea" localSheetId="38" hidden="1">'Q3 DMV - Revenue'!$C$17:$N$233</definedName>
    <definedName name="Z_86CCC894_C193_4761_8385_3C374FD67B70_.wvu.PrintArea" localSheetId="33" hidden="1">'Q4 DMV -  Revenue'!$A$1:$AH$298</definedName>
    <definedName name="Z_86CCC894_C193_4761_8385_3C374FD67B70_.wvu.PrintArea" localSheetId="37" hidden="1">'Q4 DMV - Revenue'!$C$17:$P$247</definedName>
    <definedName name="Z_86CCC894_C193_4761_8385_3C374FD67B70_.wvu.PrintTitles" localSheetId="40" hidden="1">'Q1 DMV - Revenue'!$17:$18</definedName>
    <definedName name="Z_86CCC894_C193_4761_8385_3C374FD67B70_.wvu.PrintTitles" localSheetId="39" hidden="1">'Q2 DMV - Revenue'!$17:$18</definedName>
    <definedName name="Z_86CCC894_C193_4761_8385_3C374FD67B70_.wvu.Rows" localSheetId="21" hidden="1">'Dec 2012 Revenue'!$51:$54,'Dec 2012 Revenue'!$73:$76</definedName>
    <definedName name="Z_86CCC894_C193_4761_8385_3C374FD67B70_.wvu.Rows" localSheetId="3" hidden="1">'June GL'!$8:$58,'June GL'!$71:$71</definedName>
    <definedName name="Z_86CCC894_C193_4761_8385_3C374FD67B70_.wvu.Rows" localSheetId="22" hidden="1">'Nov 2012 Revenue'!$61:$66,'Nov 2012 Revenue'!$134:$139,'Nov 2012 Revenue'!$141:$141</definedName>
    <definedName name="Z_86CCC894_C193_4761_8385_3C374FD67B70_.wvu.Rows" localSheetId="31" hidden="1">Sheet2!$4:$66</definedName>
    <definedName name="Z_877F39C3_103A_4096_98DB_3FD659A37E23_.wvu.FilterData" localSheetId="40" hidden="1">'Q1 DMV - Revenue'!$A$18:$K$217</definedName>
    <definedName name="Z_877F39C3_103A_4096_98DB_3FD659A37E23_.wvu.FilterData" localSheetId="39" hidden="1">'Q2 DMV - Revenue'!$A$18:$K$228</definedName>
    <definedName name="Z_88D01FD8_0D34_4B60_843C_AF53D4027C4E_.wvu.FilterData" localSheetId="40" hidden="1">'Q1 DMV - Revenue'!$A$18:$K$217</definedName>
    <definedName name="Z_88D01FD8_0D34_4B60_843C_AF53D4027C4E_.wvu.FilterData" localSheetId="39" hidden="1">'Q2 DMV - Revenue'!$A$18:$K$228</definedName>
    <definedName name="Z_89814ABA_125D_46F2_8D38_AF8108D768DD_.wvu.FilterData" localSheetId="40" hidden="1">'Q1 DMV - Revenue'!$A$18:$K$217</definedName>
    <definedName name="Z_89814ABA_125D_46F2_8D38_AF8108D768DD_.wvu.FilterData" localSheetId="39" hidden="1">'Q2 DMV - Revenue'!$A$18:$K$228</definedName>
    <definedName name="Z_89DDB1AC_FA12_4C86_A27C_B81B89FBDF9C_.wvu.FilterData" localSheetId="40" hidden="1">'Q1 DMV - Revenue'!$A$18:$K$217</definedName>
    <definedName name="Z_89DDB1AC_FA12_4C86_A27C_B81B89FBDF9C_.wvu.FilterData" localSheetId="39" hidden="1">'Q2 DMV - Revenue'!$A$18:$K$228</definedName>
    <definedName name="Z_8AC65629_3750_48D1_B4EA_B49BF8C0FCE0_.wvu.FilterData" localSheetId="40" hidden="1">'Q1 DMV - Revenue'!$A$18:$K$217</definedName>
    <definedName name="Z_8AC65629_3750_48D1_B4EA_B49BF8C0FCE0_.wvu.FilterData" localSheetId="39" hidden="1">'Q2 DMV - Revenue'!$A$18:$K$228</definedName>
    <definedName name="Z_8DA96D53_ADF2_42B5_8224_13193B45C653_.wvu.FilterData" localSheetId="40" hidden="1">'Q1 DMV - Revenue'!$A$18:$K$217</definedName>
    <definedName name="Z_8DA96D53_ADF2_42B5_8224_13193B45C653_.wvu.FilterData" localSheetId="39" hidden="1">'Q2 DMV - Revenue'!$A$18:$K$228</definedName>
    <definedName name="Z_8E501A7C_2D4C_403C_8D45_FF8190228549_.wvu.FilterData" localSheetId="40" hidden="1">'Q1 DMV - Revenue'!$A$18:$K$217</definedName>
    <definedName name="Z_8E501A7C_2D4C_403C_8D45_FF8190228549_.wvu.FilterData" localSheetId="39" hidden="1">'Q2 DMV - Revenue'!$A$18:$K$228</definedName>
    <definedName name="Z_8E762C0B_CD8B_4B29_8E89_1FD338BE4A37_.wvu.FilterData" localSheetId="40" hidden="1">'Q1 DMV - Revenue'!$A$18:$K$217</definedName>
    <definedName name="Z_8E762C0B_CD8B_4B29_8E89_1FD338BE4A37_.wvu.FilterData" localSheetId="39" hidden="1">'Q2 DMV - Revenue'!$A$18:$K$228</definedName>
    <definedName name="Z_8F7837D7_6C68_4522_82A6_1248B30110AF_.wvu.FilterData" localSheetId="40" hidden="1">'Q1 DMV - Revenue'!$E$18:$J$217</definedName>
    <definedName name="Z_8F7837D7_6C68_4522_82A6_1248B30110AF_.wvu.FilterData" localSheetId="39" hidden="1">'Q2 DMV - Revenue'!$E$18:$J$228</definedName>
    <definedName name="Z_90611807_BB27_45C9_AE73_E44D3849A3BC_.wvu.FilterData" localSheetId="40" hidden="1">'Q1 DMV - Revenue'!$E$18:$J$217</definedName>
    <definedName name="Z_90611807_BB27_45C9_AE73_E44D3849A3BC_.wvu.FilterData" localSheetId="39" hidden="1">'Q2 DMV - Revenue'!$E$18:$J$228</definedName>
    <definedName name="Z_906270B4_09D8_43F8_AA4F_0F23BFF79317_.wvu.FilterData" localSheetId="40" hidden="1">'Q1 DMV - Revenue'!$A$18:$K$217</definedName>
    <definedName name="Z_906270B4_09D8_43F8_AA4F_0F23BFF79317_.wvu.FilterData" localSheetId="39" hidden="1">'Q2 DMV - Revenue'!$A$18:$K$228</definedName>
    <definedName name="Z_9119D973_7C73_42DA_8988_D4289612A705_.wvu.FilterData" localSheetId="39" hidden="1">'Q2 DMV - Revenue'!$A$18:$K$228</definedName>
    <definedName name="Z_91725D3E_6467_4C0E_91B2_8EECDC9299E3_.wvu.FilterData" localSheetId="40" hidden="1">'Q1 DMV - Revenue'!$A$18:$K$217</definedName>
    <definedName name="Z_91725D3E_6467_4C0E_91B2_8EECDC9299E3_.wvu.FilterData" localSheetId="39" hidden="1">'Q2 DMV - Revenue'!$A$18:$K$228</definedName>
    <definedName name="Z_927DEC49_6DC0_42BB_A946_565155C7B7BE_.wvu.FilterData" localSheetId="39" hidden="1">'Q2 DMV - Revenue'!$A$18:$K$228</definedName>
    <definedName name="Z_928DFC89_65BD_4D69_89AF_F347D6F9C0E4_.wvu.FilterData" localSheetId="40" hidden="1">'Q1 DMV - Revenue'!$A$18:$K$217</definedName>
    <definedName name="Z_928DFC89_65BD_4D69_89AF_F347D6F9C0E4_.wvu.FilterData" localSheetId="39" hidden="1">'Q2 DMV - Revenue'!$A$18:$K$228</definedName>
    <definedName name="Z_92D50AB1_A28E_44A6_BA33_630ABB64D858_.wvu.FilterData" localSheetId="40" hidden="1">'Q1 DMV - Revenue'!$A$18:$K$217</definedName>
    <definedName name="Z_92D50AB1_A28E_44A6_BA33_630ABB64D858_.wvu.FilterData" localSheetId="39" hidden="1">'Q2 DMV - Revenue'!$A$18:$K$228</definedName>
    <definedName name="Z_946E673D_4390_47ED_813C_4C411C7882E3_.wvu.FilterData" localSheetId="40" hidden="1">'Q1 DMV - Revenue'!$A$18:$K$217</definedName>
    <definedName name="Z_946E673D_4390_47ED_813C_4C411C7882E3_.wvu.FilterData" localSheetId="39" hidden="1">'Q2 DMV - Revenue'!$A$18:$K$228</definedName>
    <definedName name="Z_947F2AE6_83A3_4ACE_A011_88708DC4A3C7_.wvu.FilterData" localSheetId="40" hidden="1">'Q1 DMV - Revenue'!$E$18:$J$217</definedName>
    <definedName name="Z_947F2AE6_83A3_4ACE_A011_88708DC4A3C7_.wvu.FilterData" localSheetId="39" hidden="1">'Q2 DMV - Revenue'!$E$18:$J$228</definedName>
    <definedName name="Z_94A8F8AF_2CCD_40FE_A532_C697AA1E4DED_.wvu.FilterData" localSheetId="40" hidden="1">'Q1 DMV - Revenue'!$E$18:$J$217</definedName>
    <definedName name="Z_94A8F8AF_2CCD_40FE_A532_C697AA1E4DED_.wvu.FilterData" localSheetId="39" hidden="1">'Q2 DMV - Revenue'!$E$18:$J$228</definedName>
    <definedName name="Z_94B117E8_E6F9_4E75_919A_6F0D3FCA703C_.wvu.FilterData" localSheetId="40" hidden="1">'Q1 DMV - Revenue'!$A$18:$K$217</definedName>
    <definedName name="Z_94B117E8_E6F9_4E75_919A_6F0D3FCA703C_.wvu.FilterData" localSheetId="39" hidden="1">'Q2 DMV - Revenue'!$A$18:$K$228</definedName>
    <definedName name="Z_94C0112E_2548_4E31_A452_3D0D7D4A7B7A_.wvu.FilterData" localSheetId="39" hidden="1">'Q2 DMV - Revenue'!$A$18:$K$228</definedName>
    <definedName name="Z_9601A597_EFE2_45CF_9B30_52F1778B9195_.wvu.FilterData" localSheetId="40" hidden="1">'Q1 DMV - Revenue'!$A$18:$K$217</definedName>
    <definedName name="Z_9601A597_EFE2_45CF_9B30_52F1778B9195_.wvu.FilterData" localSheetId="39" hidden="1">'Q2 DMV - Revenue'!$A$18:$K$228</definedName>
    <definedName name="Z_9622E865_F0B6_4279_B110_951B79285021_.wvu.FilterData" localSheetId="40" hidden="1">'Q1 DMV - Revenue'!$A$18:$K$217</definedName>
    <definedName name="Z_9622E865_F0B6_4279_B110_951B79285021_.wvu.FilterData" localSheetId="39" hidden="1">'Q2 DMV - Revenue'!$A$18:$K$228</definedName>
    <definedName name="Z_96BEC7F5_4F2C_4102_8243_280117996CD2_.wvu.FilterData" localSheetId="40" hidden="1">'Q1 DMV - Revenue'!$A$18:$K$217</definedName>
    <definedName name="Z_96BEC7F5_4F2C_4102_8243_280117996CD2_.wvu.FilterData" localSheetId="39" hidden="1">'Q2 DMV - Revenue'!$A$18:$K$228</definedName>
    <definedName name="Z_974DD7CF_6512_4A57_967E_ABE33027DF94_.wvu.FilterData" localSheetId="40" hidden="1">'Q1 DMV - Revenue'!$A$18:$K$217</definedName>
    <definedName name="Z_974DD7CF_6512_4A57_967E_ABE33027DF94_.wvu.FilterData" localSheetId="39" hidden="1">'Q2 DMV - Revenue'!$A$18:$K$228</definedName>
    <definedName name="Z_97B73072_D452_4195_89E1_46B9EE505DED_.wvu.FilterData" localSheetId="40" hidden="1">'Q1 DMV - Revenue'!$A$18:$K$217</definedName>
    <definedName name="Z_97B73072_D452_4195_89E1_46B9EE505DED_.wvu.FilterData" localSheetId="39" hidden="1">'Q2 DMV - Revenue'!$A$18:$K$228</definedName>
    <definedName name="Z_9853A085_C3B4_49C8_A4FA_8B7FF33B2ED3_.wvu.FilterData" localSheetId="40" hidden="1">'Q1 DMV - Revenue'!$A$18:$K$217</definedName>
    <definedName name="Z_9853A085_C3B4_49C8_A4FA_8B7FF33B2ED3_.wvu.FilterData" localSheetId="39" hidden="1">'Q2 DMV - Revenue'!$A$18:$K$228</definedName>
    <definedName name="Z_98721F54_5B27_4908_B1F2_A5CF3F70E2B2_.wvu.FilterData" localSheetId="39" hidden="1">'Q2 DMV - Revenue'!$A$18:$K$228</definedName>
    <definedName name="Z_9995F608_6189_44BF_991E_9A825C7A0857_.wvu.FilterData" localSheetId="40" hidden="1">'Q1 DMV - Revenue'!$A$18:$K$217</definedName>
    <definedName name="Z_9995F608_6189_44BF_991E_9A825C7A0857_.wvu.FilterData" localSheetId="39" hidden="1">'Q2 DMV - Revenue'!$A$18:$K$228</definedName>
    <definedName name="Z_9A05127F_79C1_445D_B626_7A2885DC17E1_.wvu.FilterData" localSheetId="40" hidden="1">'Q1 DMV - Revenue'!$E$18:$J$217</definedName>
    <definedName name="Z_9A05127F_79C1_445D_B626_7A2885DC17E1_.wvu.FilterData" localSheetId="39" hidden="1">'Q2 DMV - Revenue'!$E$18:$J$228</definedName>
    <definedName name="Z_9A5DE4BD_4BFA_4340_B545_795DD6EFA6C3_.wvu.FilterData" localSheetId="40" hidden="1">'Q1 DMV - Revenue'!$A$18:$K$217</definedName>
    <definedName name="Z_9A5DE4BD_4BFA_4340_B545_795DD6EFA6C3_.wvu.FilterData" localSheetId="39" hidden="1">'Q2 DMV - Revenue'!$A$18:$K$228</definedName>
    <definedName name="Z_9C3187E6_F092_4CFC_9EA9_8F5E2B99099C_.wvu.FilterData" localSheetId="40" hidden="1">'Q1 DMV - Revenue'!$A$18:$K$217</definedName>
    <definedName name="Z_9C3187E6_F092_4CFC_9EA9_8F5E2B99099C_.wvu.FilterData" localSheetId="39" hidden="1">'Q2 DMV - Revenue'!$A$18:$K$228</definedName>
    <definedName name="Z_9D3A8399_C6AA_4794_AF7A_618B8FBD0F23_.wvu.FilterData" localSheetId="40" hidden="1">'Q1 DMV - Revenue'!$E$18:$J$217</definedName>
    <definedName name="Z_9D3A8399_C6AA_4794_AF7A_618B8FBD0F23_.wvu.FilterData" localSheetId="39" hidden="1">'Q2 DMV - Revenue'!$E$18:$J$228</definedName>
    <definedName name="Z_9E38571F_E22C_4E6F_B45C_65C5C94B8DA6_.wvu.FilterData" localSheetId="40" hidden="1">'Q1 DMV - Revenue'!$A$18:$K$217</definedName>
    <definedName name="Z_9E38571F_E22C_4E6F_B45C_65C5C94B8DA6_.wvu.FilterData" localSheetId="39" hidden="1">'Q2 DMV - Revenue'!$A$18:$K$228</definedName>
    <definedName name="Z_9F9D4D81_8A62_46BF_91C6_96912C8CB945_.wvu.FilterData" localSheetId="40" hidden="1">'Q1 DMV - Revenue'!$A$18:$K$217</definedName>
    <definedName name="Z_9F9D4D81_8A62_46BF_91C6_96912C8CB945_.wvu.FilterData" localSheetId="39" hidden="1">'Q2 DMV - Revenue'!$A$18:$K$228</definedName>
    <definedName name="Z_A191E619_8B99_4585_B28F_7B43A05D722F_.wvu.FilterData" localSheetId="40" hidden="1">'Q1 DMV - Revenue'!$A$18:$K$217</definedName>
    <definedName name="Z_A191E619_8B99_4585_B28F_7B43A05D722F_.wvu.FilterData" localSheetId="39" hidden="1">'Q2 DMV - Revenue'!$A$18:$K$228</definedName>
    <definedName name="Z_A1A2F5F9_4479_4569_9217_4E646198F754_.wvu.FilterData" localSheetId="40" hidden="1">'Q1 DMV - Revenue'!$A$18:$K$217</definedName>
    <definedName name="Z_A207137B_7619_4C32_94CC_6F9741088928_.wvu.FilterData" localSheetId="40" hidden="1">'Q1 DMV - Revenue'!$A$18:$K$217</definedName>
    <definedName name="Z_A207137B_7619_4C32_94CC_6F9741088928_.wvu.FilterData" localSheetId="39" hidden="1">'Q2 DMV - Revenue'!$A$18:$K$228</definedName>
    <definedName name="Z_A329E468_94C4_418C_9372_62F05A5877B0_.wvu.FilterData" localSheetId="39" hidden="1">'Q2 DMV - Revenue'!$A$18:$K$228</definedName>
    <definedName name="Z_A367E20B_153E_49AB_999C_1A2873382635_.wvu.FilterData" localSheetId="40" hidden="1">'Q1 DMV - Revenue'!$A$18:$K$217</definedName>
    <definedName name="Z_A367E20B_153E_49AB_999C_1A2873382635_.wvu.FilterData" localSheetId="39" hidden="1">'Q2 DMV - Revenue'!$A$18:$K$228</definedName>
    <definedName name="Z_A49A96E2_1FA0_4E9F_835F_5A914BA444F7_.wvu.FilterData" localSheetId="40" hidden="1">'Q1 DMV - Revenue'!$A$18:$K$217</definedName>
    <definedName name="Z_A49A96E2_1FA0_4E9F_835F_5A914BA444F7_.wvu.FilterData" localSheetId="39" hidden="1">'Q2 DMV - Revenue'!$A$18:$K$228</definedName>
    <definedName name="Z_A5964146_BDC2_4357_879F_3B4F4CAAB00C_.wvu.FilterData" localSheetId="40" hidden="1">'Q1 DMV - Revenue'!$E$18:$J$217</definedName>
    <definedName name="Z_A5964146_BDC2_4357_879F_3B4F4CAAB00C_.wvu.FilterData" localSheetId="39" hidden="1">'Q2 DMV - Revenue'!$E$18:$J$228</definedName>
    <definedName name="Z_A6D105A8_F3F8_4045_83EA_8812D2E401D6_.wvu.Cols" localSheetId="40" hidden="1">'Q1 DMV - Revenue'!$A:$E</definedName>
    <definedName name="Z_A6D105A8_F3F8_4045_83EA_8812D2E401D6_.wvu.Cols" localSheetId="39" hidden="1">'Q2 DMV - Revenue'!$A:$E</definedName>
    <definedName name="Z_A6D105A8_F3F8_4045_83EA_8812D2E401D6_.wvu.Cols" localSheetId="38" hidden="1">'Q3 DMV - Revenue'!$A:$B</definedName>
    <definedName name="Z_A6D105A8_F3F8_4045_83EA_8812D2E401D6_.wvu.Cols" localSheetId="37" hidden="1">'Q4 DMV - Revenue'!$A:$B</definedName>
    <definedName name="Z_A6D105A8_F3F8_4045_83EA_8812D2E401D6_.wvu.FilterData" localSheetId="40" hidden="1">'Q1 DMV - Revenue'!$A$18:$K$217</definedName>
    <definedName name="Z_A6D105A8_F3F8_4045_83EA_8812D2E401D6_.wvu.FilterData" localSheetId="39" hidden="1">'Q2 DMV - Revenue'!$A$18:$K$228</definedName>
    <definedName name="Z_A6D105A8_F3F8_4045_83EA_8812D2E401D6_.wvu.PrintArea" localSheetId="36" hidden="1">'Q1 DMV -  Revenue'!$C$17:$P$260</definedName>
    <definedName name="Z_A6D105A8_F3F8_4045_83EA_8812D2E401D6_.wvu.PrintArea" localSheetId="40" hidden="1">'Q1 DMV - Revenue'!$E$1:$T$226</definedName>
    <definedName name="Z_A6D105A8_F3F8_4045_83EA_8812D2E401D6_.wvu.PrintArea" localSheetId="35" hidden="1">'Q2 DMV -  Revenue'!$C$17:$P$265</definedName>
    <definedName name="Z_A6D105A8_F3F8_4045_83EA_8812D2E401D6_.wvu.PrintArea" localSheetId="39" hidden="1">'Q2 DMV - Revenue'!$E$1:$T$237</definedName>
    <definedName name="Z_A6D105A8_F3F8_4045_83EA_8812D2E401D6_.wvu.PrintArea" localSheetId="34" hidden="1">'Q3 DMV -  Revenue'!$B$18:$J$272</definedName>
    <definedName name="Z_A6D105A8_F3F8_4045_83EA_8812D2E401D6_.wvu.PrintArea" localSheetId="38" hidden="1">'Q3 DMV - Revenue'!$C$17:$N$233</definedName>
    <definedName name="Z_A6D105A8_F3F8_4045_83EA_8812D2E401D6_.wvu.PrintArea" localSheetId="37" hidden="1">'Q4 DMV - Revenue'!$C$17:$P$247</definedName>
    <definedName name="Z_A6D105A8_F3F8_4045_83EA_8812D2E401D6_.wvu.PrintTitles" localSheetId="40" hidden="1">'Q1 DMV - Revenue'!$17:$18</definedName>
    <definedName name="Z_A6D105A8_F3F8_4045_83EA_8812D2E401D6_.wvu.PrintTitles" localSheetId="39" hidden="1">'Q2 DMV - Revenue'!$17:$18</definedName>
    <definedName name="Z_A8C7D8FB_C0C6_4500_B844_A9209370CC0A_.wvu.FilterData" localSheetId="40" hidden="1">'Q1 DMV - Revenue'!$A$18:$K$217</definedName>
    <definedName name="Z_A8C7D8FB_C0C6_4500_B844_A9209370CC0A_.wvu.FilterData" localSheetId="39" hidden="1">'Q2 DMV - Revenue'!$A$18:$K$228</definedName>
    <definedName name="Z_AA14E4E6_79F1_4EA0_A7A6_BB9856D03912_.wvu.FilterData" localSheetId="40" hidden="1">'Q1 DMV - Revenue'!$A$18:$K$217</definedName>
    <definedName name="Z_AA14E4E6_79F1_4EA0_A7A6_BB9856D03912_.wvu.FilterData" localSheetId="39" hidden="1">'Q2 DMV - Revenue'!$A$18:$K$228</definedName>
    <definedName name="Z_AC2C944B_953A_4718_BC41_200B14FBEB57_.wvu.FilterData" localSheetId="40" hidden="1">'Q1 DMV - Revenue'!$E$18:$J$217</definedName>
    <definedName name="Z_AC2C944B_953A_4718_BC41_200B14FBEB57_.wvu.FilterData" localSheetId="39" hidden="1">'Q2 DMV - Revenue'!$E$18:$J$228</definedName>
    <definedName name="Z_AD5C9ADE_A539_463A_817A_F9CFF0E09439_.wvu.FilterData" localSheetId="40" hidden="1">'Q1 DMV - Revenue'!$A$18:$K$217</definedName>
    <definedName name="Z_AD5C9ADE_A539_463A_817A_F9CFF0E09439_.wvu.FilterData" localSheetId="39" hidden="1">'Q2 DMV - Revenue'!$A$18:$K$228</definedName>
    <definedName name="Z_AD8D3D66_EBF7_4693_8471_6DA1613F39D8_.wvu.FilterData" localSheetId="39" hidden="1">'Q2 DMV - Revenue'!$A$18:$K$228</definedName>
    <definedName name="Z_AD965D97_E326_4CA5_ABD6_80E8DAC85114_.wvu.FilterData" localSheetId="40" hidden="1">'Q1 DMV - Revenue'!$A$18:$K$217</definedName>
    <definedName name="Z_AD965D97_E326_4CA5_ABD6_80E8DAC85114_.wvu.FilterData" localSheetId="39" hidden="1">'Q2 DMV - Revenue'!$A$18:$K$228</definedName>
    <definedName name="Z_AFEBBFEB_2F49_44D4_814D_09E68DB7FEE3_.wvu.FilterData" localSheetId="40" hidden="1">'Q1 DMV - Revenue'!$A$18:$K$217</definedName>
    <definedName name="Z_AFEBBFEB_2F49_44D4_814D_09E68DB7FEE3_.wvu.FilterData" localSheetId="39" hidden="1">'Q2 DMV - Revenue'!$A$18:$K$228</definedName>
    <definedName name="Z_B0EF5207_B635_4DC0_826B_250DFFF4BC1C_.wvu.FilterData" localSheetId="40" hidden="1">'Q1 DMV - Revenue'!$A$18:$K$217</definedName>
    <definedName name="Z_B0EF5207_B635_4DC0_826B_250DFFF4BC1C_.wvu.FilterData" localSheetId="39" hidden="1">'Q2 DMV - Revenue'!$A$18:$K$228</definedName>
    <definedName name="Z_B120CC3D_6A69_4D1D_8A08_0D32375A3731_.wvu.FilterData" localSheetId="40" hidden="1">'Q1 DMV - Revenue'!$A$18:$K$217</definedName>
    <definedName name="Z_B120CC3D_6A69_4D1D_8A08_0D32375A3731_.wvu.FilterData" localSheetId="39" hidden="1">'Q2 DMV - Revenue'!$A$18:$K$228</definedName>
    <definedName name="Z_B13DB954_7F6A_492D_A952_9ED78591979B_.wvu.FilterData" localSheetId="40" hidden="1">'Q1 DMV - Revenue'!$A$18:$K$217</definedName>
    <definedName name="Z_B13DB954_7F6A_492D_A952_9ED78591979B_.wvu.FilterData" localSheetId="39" hidden="1">'Q2 DMV - Revenue'!$A$18:$K$228</definedName>
    <definedName name="Z_B1A27812_1C3B_480D_89B6_5F9E71C26DED_.wvu.FilterData" localSheetId="39" hidden="1">'Q2 DMV - Revenue'!$A$18:$K$228</definedName>
    <definedName name="Z_B1F143C5_A0B7_4801_B609_D2A320EDD6D9_.wvu.FilterData" localSheetId="40" hidden="1">'Q1 DMV - Revenue'!$A$18:$K$217</definedName>
    <definedName name="Z_B1F143C5_A0B7_4801_B609_D2A320EDD6D9_.wvu.FilterData" localSheetId="39" hidden="1">'Q2 DMV - Revenue'!$A$18:$K$228</definedName>
    <definedName name="Z_B291531E_E025_4F8B_986C_C4FA079FE592_.wvu.FilterData" localSheetId="40" hidden="1">'Q1 DMV - Revenue'!$E$18:$J$217</definedName>
    <definedName name="Z_B291531E_E025_4F8B_986C_C4FA079FE592_.wvu.FilterData" localSheetId="39" hidden="1">'Q2 DMV - Revenue'!$E$18:$J$228</definedName>
    <definedName name="Z_B341F71C_EEF0_4DD4_A554_2DECEF9F0D17_.wvu.FilterData" localSheetId="40" hidden="1">'Q1 DMV - Revenue'!$A$18:$K$217</definedName>
    <definedName name="Z_B341F71C_EEF0_4DD4_A554_2DECEF9F0D17_.wvu.FilterData" localSheetId="39" hidden="1">'Q2 DMV - Revenue'!$A$18:$K$228</definedName>
    <definedName name="Z_B3B618BD_4A6B_4547_9513_D138FDE3FDA9_.wvu.FilterData" localSheetId="40" hidden="1">'Q1 DMV - Revenue'!$A$18:$K$217</definedName>
    <definedName name="Z_B3B618BD_4A6B_4547_9513_D138FDE3FDA9_.wvu.FilterData" localSheetId="39" hidden="1">'Q2 DMV - Revenue'!$A$18:$K$228</definedName>
    <definedName name="Z_B41BA366_C439_467E_8D7C_92B77F258AE7_.wvu.Cols" localSheetId="40" hidden="1">'Q1 DMV - Revenue'!$A:$E</definedName>
    <definedName name="Z_B41BA366_C439_467E_8D7C_92B77F258AE7_.wvu.FilterData" localSheetId="40" hidden="1">'Q1 DMV - Revenue'!$A$18:$K$217</definedName>
    <definedName name="Z_B41BA366_C439_467E_8D7C_92B77F258AE7_.wvu.FilterData" localSheetId="39" hidden="1">'Q2 DMV - Revenue'!$A$18:$K$228</definedName>
    <definedName name="Z_B41BA366_C439_467E_8D7C_92B77F258AE7_.wvu.PrintArea" localSheetId="40" hidden="1">'Q1 DMV - Revenue'!$U$216:$W$218</definedName>
    <definedName name="Z_B41BA366_C439_467E_8D7C_92B77F258AE7_.wvu.PrintArea" localSheetId="39" hidden="1">'Q2 DMV - Revenue'!$V$230:$Z$241</definedName>
    <definedName name="Z_B41BA366_C439_467E_8D7C_92B77F258AE7_.wvu.PrintTitles" localSheetId="40" hidden="1">'Q1 DMV - Revenue'!$17:$18</definedName>
    <definedName name="Z_B41BA366_C439_467E_8D7C_92B77F258AE7_.wvu.PrintTitles" localSheetId="39" hidden="1">'Q2 DMV - Revenue'!$17:$18</definedName>
    <definedName name="Z_B423FC13_C3A5_473E_A29F_83494066720C_.wvu.FilterData" localSheetId="40" hidden="1">'Q1 DMV - Revenue'!$E$18:$J$217</definedName>
    <definedName name="Z_B423FC13_C3A5_473E_A29F_83494066720C_.wvu.FilterData" localSheetId="39" hidden="1">'Q2 DMV - Revenue'!$E$18:$J$228</definedName>
    <definedName name="Z_B61C8C27_4CFD_4B11_9EF0_EB178D16E41D_.wvu.FilterData" localSheetId="40" hidden="1">'Q1 DMV - Revenue'!$A$18:$K$217</definedName>
    <definedName name="Z_B61C8C27_4CFD_4B11_9EF0_EB178D16E41D_.wvu.FilterData" localSheetId="39" hidden="1">'Q2 DMV - Revenue'!$A$18:$K$228</definedName>
    <definedName name="Z_B687E0A4_C759_4451_9BB8_3C0C854075B0_.wvu.FilterData" localSheetId="40" hidden="1">'Q1 DMV - Revenue'!$A$18:$K$217</definedName>
    <definedName name="Z_B687E0A4_C759_4451_9BB8_3C0C854075B0_.wvu.FilterData" localSheetId="39" hidden="1">'Q2 DMV - Revenue'!$A$18:$K$228</definedName>
    <definedName name="Z_B87BB6DF_A3A9_467A_B05F_4F5778229C17_.wvu.FilterData" localSheetId="40" hidden="1">'Q1 DMV - Revenue'!$E$18:$J$217</definedName>
    <definedName name="Z_B87BB6DF_A3A9_467A_B05F_4F5778229C17_.wvu.FilterData" localSheetId="39" hidden="1">'Q2 DMV - Revenue'!$E$18:$J$228</definedName>
    <definedName name="Z_B9F795BE_E512_4EEE_A8D3_482FD0EA7353_.wvu.FilterData" localSheetId="40" hidden="1">'Q1 DMV - Revenue'!$A$18:$K$217</definedName>
    <definedName name="Z_B9F795BE_E512_4EEE_A8D3_482FD0EA7353_.wvu.FilterData" localSheetId="39" hidden="1">'Q2 DMV - Revenue'!$A$18:$K$228</definedName>
    <definedName name="Z_BB094945_017B_4B6B_8A47_A01B87DCA2B7_.wvu.FilterData" localSheetId="40" hidden="1">'Q1 DMV - Revenue'!$A$18:$K$217</definedName>
    <definedName name="Z_BB094945_017B_4B6B_8A47_A01B87DCA2B7_.wvu.FilterData" localSheetId="39" hidden="1">'Q2 DMV - Revenue'!$A$18:$K$228</definedName>
    <definedName name="Z_BBFEA02D_1372_4EDF_80E0_FEB2921CCD18_.wvu.FilterData" localSheetId="40" hidden="1">'Q1 DMV - Revenue'!$A$18:$K$217</definedName>
    <definedName name="Z_BBFEA02D_1372_4EDF_80E0_FEB2921CCD18_.wvu.FilterData" localSheetId="39" hidden="1">'Q2 DMV - Revenue'!$A$18:$K$228</definedName>
    <definedName name="Z_BD7D997B_BA2A_4315_8EA1_B044347FAC9C_.wvu.FilterData" localSheetId="40" hidden="1">'Q1 DMV - Revenue'!$E$18:$J$217</definedName>
    <definedName name="Z_BD7D997B_BA2A_4315_8EA1_B044347FAC9C_.wvu.FilterData" localSheetId="39" hidden="1">'Q2 DMV - Revenue'!$E$18:$J$228</definedName>
    <definedName name="Z_BF369B62_DC9E_4391_88DE_037038AFE813_.wvu.FilterData" localSheetId="40" hidden="1">'Q1 DMV - Revenue'!$E$18:$J$217</definedName>
    <definedName name="Z_BF369B62_DC9E_4391_88DE_037038AFE813_.wvu.FilterData" localSheetId="39" hidden="1">'Q2 DMV - Revenue'!$E$18:$J$228</definedName>
    <definedName name="Z_C13A4756_4ECD_4F8E_BCBB_88A276A3E2C0_.wvu.FilterData" localSheetId="40" hidden="1">'Q1 DMV - Revenue'!$A$18:$K$217</definedName>
    <definedName name="Z_C13A4756_4ECD_4F8E_BCBB_88A276A3E2C0_.wvu.FilterData" localSheetId="39" hidden="1">'Q2 DMV - Revenue'!$A$18:$K$228</definedName>
    <definedName name="Z_C161E87C_AEBD_4278_957E_329708AB04CA_.wvu.FilterData" localSheetId="40" hidden="1">'Q1 DMV - Revenue'!$E$18:$J$217</definedName>
    <definedName name="Z_C161E87C_AEBD_4278_957E_329708AB04CA_.wvu.FilterData" localSheetId="39" hidden="1">'Q2 DMV - Revenue'!$E$18:$J$228</definedName>
    <definedName name="Z_C1EA411D_6E6C_4809_ADD5_083B90D8FC32_.wvu.FilterData" localSheetId="40" hidden="1">'Q1 DMV - Revenue'!$E$18:$J$217</definedName>
    <definedName name="Z_C1EA411D_6E6C_4809_ADD5_083B90D8FC32_.wvu.FilterData" localSheetId="39" hidden="1">'Q2 DMV - Revenue'!$E$18:$J$228</definedName>
    <definedName name="Z_C232D7C4_B5B1_479B_AD42_4E7EAD3A60BA_.wvu.FilterData" localSheetId="40" hidden="1">'Q1 DMV - Revenue'!$A$18:$K$217</definedName>
    <definedName name="Z_C232D7C4_B5B1_479B_AD42_4E7EAD3A60BA_.wvu.FilterData" localSheetId="39" hidden="1">'Q2 DMV - Revenue'!$A$18:$K$228</definedName>
    <definedName name="Z_C2ABA369_709E_420F_9F75_A2D5F6476979_.wvu.FilterData" localSheetId="40" hidden="1">'Q1 DMV - Revenue'!$A$18:$K$217</definedName>
    <definedName name="Z_C2ABA369_709E_420F_9F75_A2D5F6476979_.wvu.FilterData" localSheetId="39" hidden="1">'Q2 DMV - Revenue'!$A$18:$K$228</definedName>
    <definedName name="Z_C3873D12_55BE_478A_8E74_9352D1DBD494_.wvu.FilterData" localSheetId="39" hidden="1">'Q2 DMV - Revenue'!$A$18:$K$228</definedName>
    <definedName name="Z_C38A5958_B2FA_4BDE_B6CF_032B1E37185B_.wvu.FilterData" localSheetId="40" hidden="1">'Q1 DMV - Revenue'!$A$18:$K$217</definedName>
    <definedName name="Z_C38A5958_B2FA_4BDE_B6CF_032B1E37185B_.wvu.FilterData" localSheetId="39" hidden="1">'Q2 DMV - Revenue'!$A$18:$K$228</definedName>
    <definedName name="Z_C3E15054_4291_49C0_ADFC_B8031EF71442_.wvu.FilterData" localSheetId="40" hidden="1">'Q1 DMV - Revenue'!$E$18:$J$217</definedName>
    <definedName name="Z_C3E15054_4291_49C0_ADFC_B8031EF71442_.wvu.FilterData" localSheetId="39" hidden="1">'Q2 DMV - Revenue'!$E$18:$J$228</definedName>
    <definedName name="Z_C44AE220_E1C5_493B_89C8_C1AB7E614195_.wvu.FilterData" localSheetId="40" hidden="1">'Q1 DMV - Revenue'!$A$18:$K$217</definedName>
    <definedName name="Z_C44AE220_E1C5_493B_89C8_C1AB7E614195_.wvu.FilterData" localSheetId="39" hidden="1">'Q2 DMV - Revenue'!$A$18:$K$228</definedName>
    <definedName name="Z_C4D872B9_0B89_45C8_96C7_E8E480CA7BCC_.wvu.FilterData" localSheetId="40" hidden="1">'Q1 DMV - Revenue'!$A$18:$K$217</definedName>
    <definedName name="Z_C4D872B9_0B89_45C8_96C7_E8E480CA7BCC_.wvu.FilterData" localSheetId="39" hidden="1">'Q2 DMV - Revenue'!$A$18:$K$228</definedName>
    <definedName name="Z_C548D7C5_28D2_4A57_AC65_3C088DD2A0BE_.wvu.FilterData" localSheetId="40" hidden="1">'Q1 DMV - Revenue'!$A$18:$K$217</definedName>
    <definedName name="Z_C548D7C5_28D2_4A57_AC65_3C088DD2A0BE_.wvu.FilterData" localSheetId="39" hidden="1">'Q2 DMV - Revenue'!$A$18:$K$228</definedName>
    <definedName name="Z_C556ED11_986C_4D92_9742_734D7B122C45_.wvu.FilterData" localSheetId="40" hidden="1">'Q1 DMV - Revenue'!$E$18:$J$217</definedName>
    <definedName name="Z_C556ED11_986C_4D92_9742_734D7B122C45_.wvu.FilterData" localSheetId="39" hidden="1">'Q2 DMV - Revenue'!$E$18:$J$228</definedName>
    <definedName name="Z_C622672A_664F_4DFC_88B2_EDF7FC553378_.wvu.FilterData" localSheetId="40" hidden="1">'Q1 DMV - Revenue'!$A$18:$K$217</definedName>
    <definedName name="Z_C622672A_664F_4DFC_88B2_EDF7FC553378_.wvu.FilterData" localSheetId="39" hidden="1">'Q2 DMV - Revenue'!$A$18:$K$228</definedName>
    <definedName name="Z_C6D4BA2F_4BFB_4C4F_B29C_B592AF543BDB_.wvu.FilterData" localSheetId="40" hidden="1">'Q1 DMV - Revenue'!$A$18:$K$217</definedName>
    <definedName name="Z_C6D4BA2F_4BFB_4C4F_B29C_B592AF543BDB_.wvu.FilterData" localSheetId="39" hidden="1">'Q2 DMV - Revenue'!$A$18:$K$228</definedName>
    <definedName name="Z_C7887827_6D19_4CDE_B2A2_3E582AA956E3_.wvu.FilterData" localSheetId="40" hidden="1">'Q1 DMV - Revenue'!$A$18:$K$217</definedName>
    <definedName name="Z_C7887827_6D19_4CDE_B2A2_3E582AA956E3_.wvu.FilterData" localSheetId="39" hidden="1">'Q2 DMV - Revenue'!$A$18:$K$228</definedName>
    <definedName name="Z_C8FFBA21_E7EA_434C_95CC_99C54762FF47_.wvu.FilterData" localSheetId="40" hidden="1">'Q1 DMV - Revenue'!$A$18:$K$217</definedName>
    <definedName name="Z_C8FFBA21_E7EA_434C_95CC_99C54762FF47_.wvu.FilterData" localSheetId="39" hidden="1">'Q2 DMV - Revenue'!$A$18:$K$228</definedName>
    <definedName name="Z_C91DFED2_BC9E_4AC1_995C_D2DF5F1F0EE6_.wvu.FilterData" localSheetId="40" hidden="1">'Q1 DMV - Revenue'!$A$18:$K$217</definedName>
    <definedName name="Z_C91DFED2_BC9E_4AC1_995C_D2DF5F1F0EE6_.wvu.FilterData" localSheetId="39" hidden="1">'Q2 DMV - Revenue'!$A$18:$K$228</definedName>
    <definedName name="Z_CA45B2CB_FEC7_4FA5_B95E_CF5C0E861720_.wvu.FilterData" localSheetId="40" hidden="1">'Q1 DMV - Revenue'!$A$18:$K$217</definedName>
    <definedName name="Z_CA45B2CB_FEC7_4FA5_B95E_CF5C0E861720_.wvu.FilterData" localSheetId="39" hidden="1">'Q2 DMV - Revenue'!$A$18:$K$228</definedName>
    <definedName name="Z_CBE1B62A_514B_4CE5_878F_C90CC9A7BC19_.wvu.FilterData" localSheetId="39" hidden="1">'Q2 DMV - Revenue'!$A$18:$K$228</definedName>
    <definedName name="Z_CDC07A5D_DD82_44F4_BD98_62A7305ACFF2_.wvu.FilterData" localSheetId="40" hidden="1">'Q1 DMV - Revenue'!$A$18:$K$217</definedName>
    <definedName name="Z_CDC07A5D_DD82_44F4_BD98_62A7305ACFF2_.wvu.FilterData" localSheetId="39" hidden="1">'Q2 DMV - Revenue'!$A$18:$K$228</definedName>
    <definedName name="Z_CE831BFA_8D3E_4F8B_8731_8C73DC245DDF_.wvu.FilterData" localSheetId="39" hidden="1">'Q2 DMV - Revenue'!$A$18:$K$228</definedName>
    <definedName name="Z_D10AD58A_BA7F_4C0B_B59C_A87D5A62603F_.wvu.FilterData" localSheetId="40" hidden="1">'Q1 DMV - Revenue'!$E$18:$J$217</definedName>
    <definedName name="Z_D10AD58A_BA7F_4C0B_B59C_A87D5A62603F_.wvu.FilterData" localSheetId="39" hidden="1">'Q2 DMV - Revenue'!$E$18:$J$228</definedName>
    <definedName name="Z_D18AF66E_20B8_434B_B1FA_4F8A77700D66_.wvu.FilterData" localSheetId="40" hidden="1">'Q1 DMV - Revenue'!$A$18:$K$217</definedName>
    <definedName name="Z_D2466636_92DD_4140_9209_32CBADF142F2_.wvu.FilterData" localSheetId="40" hidden="1">'Q1 DMV - Revenue'!$A$18:$K$217</definedName>
    <definedName name="Z_D2466636_92DD_4140_9209_32CBADF142F2_.wvu.FilterData" localSheetId="39" hidden="1">'Q2 DMV - Revenue'!$A$18:$K$228</definedName>
    <definedName name="Z_D37779CE_30B0_46B1_A1F8_055F3C9E0206_.wvu.FilterData" localSheetId="40" hidden="1">'Q1 DMV - Revenue'!$A$18:$K$217</definedName>
    <definedName name="Z_D37779CE_30B0_46B1_A1F8_055F3C9E0206_.wvu.FilterData" localSheetId="39" hidden="1">'Q2 DMV - Revenue'!$A$18:$K$228</definedName>
    <definedName name="Z_D3C14518_CF7F_452F_9758_CB40F1A29912_.wvu.FilterData" localSheetId="40" hidden="1">'Q1 DMV - Revenue'!$A$18:$K$217</definedName>
    <definedName name="Z_D3C14518_CF7F_452F_9758_CB40F1A29912_.wvu.FilterData" localSheetId="39" hidden="1">'Q2 DMV - Revenue'!$A$18:$K$228</definedName>
    <definedName name="Z_D3CBD86D_0B34_40AC_BD97_D8082E871349_.wvu.Cols" localSheetId="28" hidden="1">'May 2012 DMV Revenue'!$G:$H</definedName>
    <definedName name="Z_D3CBD86D_0B34_40AC_BD97_D8082E871349_.wvu.Cols" localSheetId="40" hidden="1">'Q1 DMV - Revenue'!$A:$E</definedName>
    <definedName name="Z_D3CBD86D_0B34_40AC_BD97_D8082E871349_.wvu.Cols" localSheetId="39" hidden="1">'Q2 DMV - Revenue'!$A:$E</definedName>
    <definedName name="Z_D3CBD86D_0B34_40AC_BD97_D8082E871349_.wvu.Cols" localSheetId="38" hidden="1">'Q3 DMV - Revenue'!$A:$B</definedName>
    <definedName name="Z_D3CBD86D_0B34_40AC_BD97_D8082E871349_.wvu.Cols" localSheetId="37" hidden="1">'Q4 DMV - Revenue'!$A:$B</definedName>
    <definedName name="Z_D3CBD86D_0B34_40AC_BD97_D8082E871349_.wvu.FilterData" localSheetId="40" hidden="1">'Q1 DMV - Revenue'!$A$18:$K$217</definedName>
    <definedName name="Z_D3CBD86D_0B34_40AC_BD97_D8082E871349_.wvu.FilterData" localSheetId="39" hidden="1">'Q2 DMV - Revenue'!$A$18:$K$228</definedName>
    <definedName name="Z_D3CBD86D_0B34_40AC_BD97_D8082E871349_.wvu.PrintArea" localSheetId="36" hidden="1">'Q1 DMV -  Revenue'!$C$17:$P$260</definedName>
    <definedName name="Z_D3CBD86D_0B34_40AC_BD97_D8082E871349_.wvu.PrintArea" localSheetId="40" hidden="1">'Q1 DMV - Revenue'!$E$1:$T$226</definedName>
    <definedName name="Z_D3CBD86D_0B34_40AC_BD97_D8082E871349_.wvu.PrintArea" localSheetId="35" hidden="1">'Q2 DMV -  Revenue'!$C$17:$P$265</definedName>
    <definedName name="Z_D3CBD86D_0B34_40AC_BD97_D8082E871349_.wvu.PrintArea" localSheetId="39" hidden="1">'Q2 DMV - Revenue'!$E$1:$T$237</definedName>
    <definedName name="Z_D3CBD86D_0B34_40AC_BD97_D8082E871349_.wvu.PrintArea" localSheetId="34" hidden="1">'Q3 DMV -  Revenue'!$B$18:$J$272</definedName>
    <definedName name="Z_D3CBD86D_0B34_40AC_BD97_D8082E871349_.wvu.PrintArea" localSheetId="38" hidden="1">'Q3 DMV - Revenue'!$C$17:$N$233</definedName>
    <definedName name="Z_D3CBD86D_0B34_40AC_BD97_D8082E871349_.wvu.PrintArea" localSheetId="33" hidden="1">'Q4 DMV -  Revenue'!$A$1:$AH$298</definedName>
    <definedName name="Z_D3CBD86D_0B34_40AC_BD97_D8082E871349_.wvu.PrintArea" localSheetId="37" hidden="1">'Q4 DMV - Revenue'!$C$17:$P$247</definedName>
    <definedName name="Z_D3CBD86D_0B34_40AC_BD97_D8082E871349_.wvu.PrintTitles" localSheetId="40" hidden="1">'Q1 DMV - Revenue'!$17:$18</definedName>
    <definedName name="Z_D3CBD86D_0B34_40AC_BD97_D8082E871349_.wvu.PrintTitles" localSheetId="39" hidden="1">'Q2 DMV - Revenue'!$17:$18</definedName>
    <definedName name="Z_D501F877_55A9_4B0D_B505_A0AEAB796709_.wvu.FilterData" localSheetId="40" hidden="1">'Q1 DMV - Revenue'!$A$18:$K$217</definedName>
    <definedName name="Z_D501F877_55A9_4B0D_B505_A0AEAB796709_.wvu.FilterData" localSheetId="39" hidden="1">'Q2 DMV - Revenue'!$A$18:$K$228</definedName>
    <definedName name="Z_D682A05D_DF42_468F_8BFB_72EC32E655BD_.wvu.FilterData" localSheetId="40" hidden="1">'Q1 DMV - Revenue'!$A$18:$K$217</definedName>
    <definedName name="Z_D682A05D_DF42_468F_8BFB_72EC32E655BD_.wvu.FilterData" localSheetId="39" hidden="1">'Q2 DMV - Revenue'!$A$18:$K$228</definedName>
    <definedName name="Z_D8953EA1_5F5E_4826_A6D3_16DA9FAD74C5_.wvu.FilterData" localSheetId="39" hidden="1">'Q2 DMV - Revenue'!$A$18:$K$228</definedName>
    <definedName name="Z_D8BEA94C_BDA5_4630_8023_E68C3E391A6B_.wvu.FilterData" localSheetId="39" hidden="1">'Q2 DMV - Revenue'!$A$18:$K$228</definedName>
    <definedName name="Z_DED4E676_7517_4CCB_A5DA_6C2EF8DB1D7C_.wvu.FilterData" localSheetId="40" hidden="1">'Q1 DMV - Revenue'!$A$18:$K$217</definedName>
    <definedName name="Z_DED4E676_7517_4CCB_A5DA_6C2EF8DB1D7C_.wvu.FilterData" localSheetId="39" hidden="1">'Q2 DMV - Revenue'!$A$18:$K$228</definedName>
    <definedName name="Z_DED75057_008A_4FA4_BD03_63144888A1E2_.wvu.FilterData" localSheetId="39" hidden="1">'Q2 DMV - Revenue'!$A$18:$K$228</definedName>
    <definedName name="Z_DF9E1C28_1C9F_4345_9025_34617307B3E1_.wvu.FilterData" localSheetId="40" hidden="1">'Q1 DMV - Revenue'!$A$18:$K$217</definedName>
    <definedName name="Z_DF9E1C28_1C9F_4345_9025_34617307B3E1_.wvu.FilterData" localSheetId="39" hidden="1">'Q2 DMV - Revenue'!$A$18:$K$228</definedName>
    <definedName name="Z_E0388276_A0BE_46D8_9B80_A9FC60ABF4E1_.wvu.FilterData" localSheetId="40" hidden="1">'Q1 DMV - Revenue'!$A$18:$K$217</definedName>
    <definedName name="Z_E19E213D_89AB_41AC_AD7A_5DC22A1CAF83_.wvu.FilterData" localSheetId="40" hidden="1">'Q1 DMV - Revenue'!$A$18:$K$217</definedName>
    <definedName name="Z_E19E213D_89AB_41AC_AD7A_5DC22A1CAF83_.wvu.FilterData" localSheetId="39" hidden="1">'Q2 DMV - Revenue'!$A$18:$K$228</definedName>
    <definedName name="Z_E1E1E349_EB55_4654_A6AA_E07385C6C669_.wvu.FilterData" localSheetId="40" hidden="1">'Q1 DMV - Revenue'!$A$18:$K$217</definedName>
    <definedName name="Z_E1E1E349_EB55_4654_A6AA_E07385C6C669_.wvu.FilterData" localSheetId="39" hidden="1">'Q2 DMV - Revenue'!$A$18:$K$228</definedName>
    <definedName name="Z_E3011691_4129_4D12_9F0D_88017C1B7E8F_.wvu.FilterData" localSheetId="40" hidden="1">'Q1 DMV - Revenue'!$A$18:$K$217</definedName>
    <definedName name="Z_E3011691_4129_4D12_9F0D_88017C1B7E8F_.wvu.FilterData" localSheetId="39" hidden="1">'Q2 DMV - Revenue'!$A$18:$K$228</definedName>
    <definedName name="Z_E59BC8E0_7C28_432A_83CF_26797CF3B9E9_.wvu.FilterData" localSheetId="40" hidden="1">'Q1 DMV - Revenue'!$A$18:$K$217</definedName>
    <definedName name="Z_E59BC8E0_7C28_432A_83CF_26797CF3B9E9_.wvu.FilterData" localSheetId="39" hidden="1">'Q2 DMV - Revenue'!$A$18:$K$228</definedName>
    <definedName name="Z_E882E670_FC9E_44DF_BAE6_0D27FF5AD633_.wvu.FilterData" localSheetId="40" hidden="1">'Q1 DMV - Revenue'!$A$18:$K$217</definedName>
    <definedName name="Z_E882E670_FC9E_44DF_BAE6_0D27FF5AD633_.wvu.FilterData" localSheetId="39" hidden="1">'Q2 DMV - Revenue'!$A$18:$K$228</definedName>
    <definedName name="Z_E8D50701_AAFD_4F44_91D4_23A44F5A224D_.wvu.FilterData" localSheetId="40" hidden="1">'Q1 DMV - Revenue'!$A$18:$K$217</definedName>
    <definedName name="Z_E8D50701_AAFD_4F44_91D4_23A44F5A224D_.wvu.FilterData" localSheetId="39" hidden="1">'Q2 DMV - Revenue'!$A$18:$K$228</definedName>
    <definedName name="Z_E99CD08D_BF1F_437E_BBB9_B8E4BAFC2F50_.wvu.FilterData" localSheetId="40" hidden="1">'Q1 DMV - Revenue'!$A$18:$K$217</definedName>
    <definedName name="Z_E99CD08D_BF1F_437E_BBB9_B8E4BAFC2F50_.wvu.FilterData" localSheetId="39" hidden="1">'Q2 DMV - Revenue'!$A$18:$K$228</definedName>
    <definedName name="Z_EA8EDB9C_685C_4A6C_99EB_DED6C2581FCB_.wvu.FilterData" localSheetId="40" hidden="1">'Q1 DMV - Revenue'!$A$18:$K$217</definedName>
    <definedName name="Z_EA8EDB9C_685C_4A6C_99EB_DED6C2581FCB_.wvu.FilterData" localSheetId="39" hidden="1">'Q2 DMV - Revenue'!$A$18:$K$228</definedName>
    <definedName name="Z_EAD60427_EED9_4BA8_BD26_3C00E46B1F0E_.wvu.Cols" localSheetId="40" hidden="1">'Q1 DMV - Revenue'!$A:$E</definedName>
    <definedName name="Z_EAD60427_EED9_4BA8_BD26_3C00E46B1F0E_.wvu.Cols" localSheetId="39" hidden="1">'Q2 DMV - Revenue'!$A:$E</definedName>
    <definedName name="Z_EAD60427_EED9_4BA8_BD26_3C00E46B1F0E_.wvu.Cols" localSheetId="38" hidden="1">'Q3 DMV - Revenue'!$A:$B</definedName>
    <definedName name="Z_EAD60427_EED9_4BA8_BD26_3C00E46B1F0E_.wvu.Cols" localSheetId="37" hidden="1">'Q4 DMV - Revenue'!$A:$B</definedName>
    <definedName name="Z_EAD60427_EED9_4BA8_BD26_3C00E46B1F0E_.wvu.FilterData" localSheetId="40" hidden="1">'Q1 DMV - Revenue'!$A$18:$K$217</definedName>
    <definedName name="Z_EAD60427_EED9_4BA8_BD26_3C00E46B1F0E_.wvu.FilterData" localSheetId="39" hidden="1">'Q2 DMV - Revenue'!$A$18:$K$228</definedName>
    <definedName name="Z_EAD60427_EED9_4BA8_BD26_3C00E46B1F0E_.wvu.PrintArea" localSheetId="36" hidden="1">'Q1 DMV -  Revenue'!$C$17:$P$260</definedName>
    <definedName name="Z_EAD60427_EED9_4BA8_BD26_3C00E46B1F0E_.wvu.PrintArea" localSheetId="40" hidden="1">'Q1 DMV - Revenue'!$E$1:$T$226</definedName>
    <definedName name="Z_EAD60427_EED9_4BA8_BD26_3C00E46B1F0E_.wvu.PrintArea" localSheetId="35" hidden="1">'Q2 DMV -  Revenue'!$C$17:$P$265</definedName>
    <definedName name="Z_EAD60427_EED9_4BA8_BD26_3C00E46B1F0E_.wvu.PrintArea" localSheetId="39" hidden="1">'Q2 DMV - Revenue'!$E$1:$T$237</definedName>
    <definedName name="Z_EAD60427_EED9_4BA8_BD26_3C00E46B1F0E_.wvu.PrintArea" localSheetId="38" hidden="1">'Q3 DMV - Revenue'!$C$17:$N$233</definedName>
    <definedName name="Z_EAD60427_EED9_4BA8_BD26_3C00E46B1F0E_.wvu.PrintArea" localSheetId="37" hidden="1">'Q4 DMV - Revenue'!$C$17:$P$247</definedName>
    <definedName name="Z_EAD60427_EED9_4BA8_BD26_3C00E46B1F0E_.wvu.PrintTitles" localSheetId="40" hidden="1">'Q1 DMV - Revenue'!$17:$18</definedName>
    <definedName name="Z_EAD60427_EED9_4BA8_BD26_3C00E46B1F0E_.wvu.PrintTitles" localSheetId="39" hidden="1">'Q2 DMV - Revenue'!$17:$18</definedName>
    <definedName name="Z_EB424CBB_6ED5_4528_9A0F_321951E30FB4_.wvu.FilterData" localSheetId="40" hidden="1">'Q1 DMV - Revenue'!$A$18:$K$217</definedName>
    <definedName name="Z_EB424CBB_6ED5_4528_9A0F_321951E30FB4_.wvu.FilterData" localSheetId="39" hidden="1">'Q2 DMV - Revenue'!$A$18:$K$228</definedName>
    <definedName name="Z_EC19E196_40B4_4F9A_928C_0F29B7DEE51F_.wvu.FilterData" localSheetId="40" hidden="1">'Q1 DMV - Revenue'!$E$18:$J$217</definedName>
    <definedName name="Z_EC19E196_40B4_4F9A_928C_0F29B7DEE51F_.wvu.FilterData" localSheetId="39" hidden="1">'Q2 DMV - Revenue'!$E$18:$J$228</definedName>
    <definedName name="Z_EE1669DB_B0BA_4149_921D_A8C0E9059C89_.wvu.FilterData" localSheetId="40" hidden="1">'Q1 DMV - Revenue'!$E$18:$J$217</definedName>
    <definedName name="Z_EE1669DB_B0BA_4149_921D_A8C0E9059C89_.wvu.FilterData" localSheetId="39" hidden="1">'Q2 DMV - Revenue'!$E$18:$J$228</definedName>
    <definedName name="Z_F3A5D58B_ECDF_4B1A_AD8F_F5CB5C73E827_.wvu.FilterData" localSheetId="40" hidden="1">'Q1 DMV - Revenue'!$E$18:$J$217</definedName>
    <definedName name="Z_F3A5D58B_ECDF_4B1A_AD8F_F5CB5C73E827_.wvu.FilterData" localSheetId="39" hidden="1">'Q2 DMV - Revenue'!$E$18:$J$228</definedName>
    <definedName name="Z_F46884C9_1557_4428_B511_BC2D392B003E_.wvu.FilterData" localSheetId="39" hidden="1">'Q2 DMV - Revenue'!$A$18:$K$228</definedName>
    <definedName name="Z_F4950A09_77F6_46BA_911E_7C7E017785D3_.wvu.FilterData" localSheetId="40" hidden="1">'Q1 DMV - Revenue'!$E$18:$J$217</definedName>
    <definedName name="Z_F4950A09_77F6_46BA_911E_7C7E017785D3_.wvu.FilterData" localSheetId="39" hidden="1">'Q2 DMV - Revenue'!$E$18:$J$228</definedName>
    <definedName name="Z_F4B38318_ED90_4F01_B839_13F56C8CBA9E_.wvu.FilterData" localSheetId="40" hidden="1">'Q1 DMV - Revenue'!$A$18:$K$217</definedName>
    <definedName name="Z_F4B38318_ED90_4F01_B839_13F56C8CBA9E_.wvu.FilterData" localSheetId="39" hidden="1">'Q2 DMV - Revenue'!$A$18:$K$228</definedName>
    <definedName name="Z_F4D47B76_FD1C_43C0_AA27_0063A40F978A_.wvu.FilterData" localSheetId="39" hidden="1">'Q2 DMV - Revenue'!$A$18:$K$228</definedName>
    <definedName name="Z_F51D4358_C812_4FAA_A01F_99BCEE8EE94D_.wvu.FilterData" localSheetId="40" hidden="1">'Q1 DMV - Revenue'!$A$18:$K$217</definedName>
    <definedName name="Z_F51D4358_C812_4FAA_A01F_99BCEE8EE94D_.wvu.FilterData" localSheetId="39" hidden="1">'Q2 DMV - Revenue'!$A$18:$K$228</definedName>
    <definedName name="Z_F5DF2503_E2F2_4D04_8EFE_0A283AB948D6_.wvu.FilterData" localSheetId="40" hidden="1">'Q1 DMV - Revenue'!$A$18:$K$217</definedName>
    <definedName name="Z_F5DF2503_E2F2_4D04_8EFE_0A283AB948D6_.wvu.FilterData" localSheetId="39" hidden="1">'Q2 DMV - Revenue'!$A$18:$K$228</definedName>
    <definedName name="Z_F745B4E6_1C4F_4F18_B314_468D6DB45B7C_.wvu.FilterData" localSheetId="40" hidden="1">'Q1 DMV - Revenue'!$A$18:$K$217</definedName>
    <definedName name="Z_F745B4E6_1C4F_4F18_B314_468D6DB45B7C_.wvu.FilterData" localSheetId="39" hidden="1">'Q2 DMV - Revenue'!$A$18:$K$228</definedName>
    <definedName name="Z_F93ADEBF_89B0_4C83_9706_1FE12D5B1CE1_.wvu.FilterData" localSheetId="40" hidden="1">'Q1 DMV - Revenue'!$A$18:$K$217</definedName>
    <definedName name="Z_F93ADEBF_89B0_4C83_9706_1FE12D5B1CE1_.wvu.FilterData" localSheetId="39" hidden="1">'Q2 DMV - Revenue'!$A$18:$K$228</definedName>
    <definedName name="Z_F9D97270_FA75_4044_9058_1490C7EEADCD_.wvu.FilterData" localSheetId="40" hidden="1">'Q1 DMV - Revenue'!$A$18:$K$217</definedName>
    <definedName name="Z_F9D97270_FA75_4044_9058_1490C7EEADCD_.wvu.FilterData" localSheetId="39" hidden="1">'Q2 DMV - Revenue'!$A$18:$K$228</definedName>
    <definedName name="Z_FBB4E27B_C157_469A_A64F_17B8B8E33533_.wvu.Cols" localSheetId="40" hidden="1">'Q1 DMV - Revenue'!$A:$E</definedName>
    <definedName name="Z_FBB4E27B_C157_469A_A64F_17B8B8E33533_.wvu.Cols" localSheetId="39" hidden="1">'Q2 DMV - Revenue'!$A:$E</definedName>
    <definedName name="Z_FBB4E27B_C157_469A_A64F_17B8B8E33533_.wvu.FilterData" localSheetId="40" hidden="1">'Q1 DMV - Revenue'!$A$18:$K$217</definedName>
    <definedName name="Z_FBB4E27B_C157_469A_A64F_17B8B8E33533_.wvu.FilterData" localSheetId="39" hidden="1">'Q2 DMV - Revenue'!$A$18:$K$224</definedName>
    <definedName name="Z_FBB4E27B_C157_469A_A64F_17B8B8E33533_.wvu.PrintArea" localSheetId="40" hidden="1">'Q1 DMV - Revenue'!$E$1:$T$226</definedName>
    <definedName name="Z_FBB4E27B_C157_469A_A64F_17B8B8E33533_.wvu.PrintArea" localSheetId="39" hidden="1">'Q2 DMV - Revenue'!$E$1:$T$237</definedName>
    <definedName name="Z_FBB4E27B_C157_469A_A64F_17B8B8E33533_.wvu.PrintTitles" localSheetId="40" hidden="1">'Q1 DMV - Revenue'!$17:$18</definedName>
    <definedName name="Z_FBB4E27B_C157_469A_A64F_17B8B8E33533_.wvu.PrintTitles" localSheetId="39" hidden="1">'Q2 DMV - Revenue'!$17:$18</definedName>
    <definedName name="Z_FC53B648_947B_406D_B0FC_BC928827358D_.wvu.FilterData" localSheetId="40" hidden="1">'Q1 DMV - Revenue'!$A$18:$K$217</definedName>
    <definedName name="Z_FC53B648_947B_406D_B0FC_BC928827358D_.wvu.FilterData" localSheetId="39" hidden="1">'Q2 DMV - Revenue'!$A$18:$K$228</definedName>
    <definedName name="Z_FCCAF160_526A_423A_BDC4_7A4E400A3D49_.wvu.FilterData" localSheetId="40" hidden="1">'Q1 DMV - Revenue'!$A$18:$K$217</definedName>
    <definedName name="Z_FCCAF160_526A_423A_BDC4_7A4E400A3D49_.wvu.FilterData" localSheetId="39" hidden="1">'Q2 DMV - Revenue'!$A$18:$K$228</definedName>
    <definedName name="Z_FFB58B51_697B_40BF_80FC_1DF219E57472_.wvu.FilterData" localSheetId="39" hidden="1">'Q2 DMV - Revenue'!$A$18:$K$228</definedName>
  </definedNames>
  <calcPr calcId="140001" concurrentCalc="0"/>
  <customWorkbookViews>
    <customWorkbookView name="Jeff Nimerofsky - Personal View" guid="{005F2F7B-A3A9-4755-A4DF-7CE06C365CC2}" mergeInterval="0" personalView="1" maximized="1" xWindow="1" yWindow="1" windowWidth="1676" windowHeight="774" activeSheetId="18"/>
    <customWorkbookView name="adelprado - Personal View" guid="{D3CBD86D-0B34-40AC-BD97-D8082E871349}" mergeInterval="0" personalView="1" maximized="1" xWindow="1" yWindow="1" windowWidth="1440" windowHeight="670" activeSheetId="11"/>
    <customWorkbookView name="Alex Miko - Personal View" guid="{A6D105A8-F3F8-4045-83EA-8812D2E401D6}" mergeInterval="0" personalView="1" maximized="1" xWindow="1" yWindow="1" windowWidth="1440" windowHeight="670" tabRatio="767" activeSheetId="8"/>
    <customWorkbookView name="Michael Beauchamp - Personal View" guid="{6F4B4768-8A4D-42E2-B88D-A2E3A11E334D}" mergeInterval="0" personalView="1" maximized="1" xWindow="1" yWindow="1" windowWidth="1280" windowHeight="799" activeSheetId="4"/>
    <customWorkbookView name="Jim McCarthy - Personal View" guid="{B41BA366-C439-467E-8D7C-92B77F258AE7}" mergeInterval="0" personalView="1" maximized="1" xWindow="1" yWindow="1" windowWidth="1280" windowHeight="832" activeSheetId="1"/>
    <customWorkbookView name="Shameka McFarlane - Personal View" guid="{FBB4E27B-C157-469A-A64F-17B8B8E33533}" autoUpdate="1" mergeInterval="15" changesSavedWin="1" personalView="1" maximized="1" xWindow="1" yWindow="1" windowWidth="1440" windowHeight="708" activeSheetId="2" showComments="commIndAndComment"/>
    <customWorkbookView name=" Michael Nolan - Personal View" guid="{3EE5E96F-573A-4643-A702-44C30DCF3CB9}" mergeInterval="0" personalView="1" maximized="1" xWindow="1" yWindow="1" windowWidth="1280" windowHeight="770" activeSheetId="3"/>
    <customWorkbookView name="James Mccarthy - Personal View" guid="{30EF2F7D-596A-4F42-BFFC-293775FB231D}" mergeInterval="0" personalView="1" maximized="1" xWindow="1" yWindow="1" windowWidth="1280" windowHeight="794" activeSheetId="6"/>
    <customWorkbookView name="Anastasia Lekkas - Personal View" guid="{19673ADA-0B6E-420C-87C4-DFC2B9AF85E8}" mergeInterval="0" personalView="1" maximized="1" xWindow="1" yWindow="1" windowWidth="1280" windowHeight="777" activeSheetId="6"/>
    <customWorkbookView name="alekkas - Personal View" guid="{EAD60427-EED9-4BA8-BD26-3C00E46B1F0E}" mergeInterval="0" personalView="1" maximized="1" xWindow="1" yWindow="1" windowWidth="1596" windowHeight="670" activeSheetId="7"/>
    <customWorkbookView name="epaulino - Personal View" guid="{041E0462-B6EA-414A-9F2E-C14ADEFAE5F2}" mergeInterval="0" personalView="1" maximized="1" xWindow="1" yWindow="1" windowWidth="1152" windowHeight="673" activeSheetId="11"/>
    <customWorkbookView name="mbeauchamp - Personal View" guid="{86CCC894-C193-4761-8385-3C374FD67B70}" mergeInterval="0" personalView="1" maximized="1" xWindow="1" yWindow="1" windowWidth="1123" windowHeight="632" activeSheetId="22"/>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D80" i="41" l="1"/>
  <c r="D79" i="41"/>
  <c r="H5" i="41"/>
  <c r="H4" i="41"/>
  <c r="D91" i="41"/>
  <c r="D68" i="41"/>
  <c r="D84" i="41"/>
  <c r="D67" i="41"/>
  <c r="D81" i="41"/>
  <c r="G37" i="41"/>
  <c r="G78" i="41"/>
  <c r="G68" i="41"/>
  <c r="G84" i="41"/>
  <c r="G87" i="41"/>
  <c r="G86" i="41"/>
  <c r="F37" i="41"/>
  <c r="F78" i="41"/>
  <c r="F68" i="41"/>
  <c r="F84" i="41"/>
  <c r="F87" i="41"/>
  <c r="F86" i="41"/>
  <c r="E37" i="41"/>
  <c r="E78" i="41"/>
  <c r="E68" i="41"/>
  <c r="E84" i="41"/>
  <c r="E87" i="41"/>
  <c r="E86" i="41"/>
  <c r="C37" i="41"/>
  <c r="C78" i="41"/>
  <c r="C68" i="41"/>
  <c r="C84" i="41"/>
  <c r="C87" i="41"/>
  <c r="C86" i="41"/>
  <c r="H73" i="41"/>
  <c r="G73" i="41"/>
  <c r="F73" i="41"/>
  <c r="E73" i="41"/>
  <c r="C73" i="41"/>
  <c r="D73" i="41"/>
  <c r="G67" i="41"/>
  <c r="G81" i="41"/>
  <c r="G82" i="41"/>
  <c r="G89" i="41"/>
  <c r="F67" i="41"/>
  <c r="F81" i="41"/>
  <c r="F82" i="41"/>
  <c r="F89" i="41"/>
  <c r="D86" i="41"/>
  <c r="D87" i="41"/>
  <c r="E67" i="41"/>
  <c r="E81" i="41"/>
  <c r="E82" i="41"/>
  <c r="E89" i="41"/>
  <c r="C67" i="41"/>
  <c r="C81" i="41"/>
  <c r="C82" i="41"/>
  <c r="C89" i="41"/>
  <c r="G93" i="41"/>
  <c r="F93" i="41"/>
  <c r="E93" i="41"/>
  <c r="C93" i="41"/>
  <c r="D82" i="41"/>
  <c r="D89" i="41"/>
  <c r="D93" i="41"/>
  <c r="D37" i="41"/>
  <c r="G92" i="41"/>
  <c r="G24" i="41"/>
  <c r="G25" i="41"/>
  <c r="G26" i="41"/>
  <c r="G28" i="41"/>
  <c r="G95" i="41"/>
  <c r="F92" i="41"/>
  <c r="F24" i="41"/>
  <c r="F25" i="41"/>
  <c r="F26" i="41"/>
  <c r="F28" i="41"/>
  <c r="F95" i="41"/>
  <c r="E92" i="41"/>
  <c r="E24" i="41"/>
  <c r="E25" i="41"/>
  <c r="E26" i="41"/>
  <c r="E28" i="41"/>
  <c r="E95" i="41"/>
  <c r="D92" i="41"/>
  <c r="D24" i="41"/>
  <c r="D25" i="41"/>
  <c r="D26" i="41"/>
  <c r="D28" i="41"/>
  <c r="D95" i="41"/>
  <c r="C92" i="41"/>
  <c r="C24" i="41"/>
  <c r="C25" i="41"/>
  <c r="C26" i="41"/>
  <c r="C28" i="41"/>
  <c r="C95" i="41"/>
  <c r="S27" i="42"/>
  <c r="R27" i="42"/>
  <c r="Q27" i="42"/>
  <c r="P27" i="42"/>
  <c r="O27" i="42"/>
  <c r="N27" i="42"/>
  <c r="M27" i="42"/>
  <c r="L27" i="42"/>
  <c r="K27" i="42"/>
  <c r="J27" i="42"/>
  <c r="I27" i="42"/>
  <c r="H27" i="42"/>
  <c r="G27" i="42"/>
  <c r="P17" i="42"/>
  <c r="P18" i="42"/>
  <c r="O17" i="42"/>
  <c r="O18" i="42"/>
  <c r="N17" i="42"/>
  <c r="N18" i="42"/>
  <c r="P11" i="42"/>
  <c r="O11" i="42"/>
  <c r="N11" i="42"/>
  <c r="M11" i="42"/>
  <c r="L11" i="42"/>
  <c r="K11" i="42"/>
  <c r="J11" i="42"/>
  <c r="I11" i="42"/>
  <c r="H11" i="42"/>
  <c r="G11" i="42"/>
  <c r="F9" i="42"/>
  <c r="F11" i="42"/>
  <c r="E9" i="42"/>
  <c r="E11" i="42"/>
  <c r="D9" i="42"/>
  <c r="D11" i="42"/>
  <c r="C9" i="42"/>
  <c r="C11" i="42"/>
  <c r="B9" i="42"/>
  <c r="B11" i="42"/>
  <c r="S6" i="42"/>
  <c r="R6" i="42"/>
  <c r="Q6" i="42"/>
  <c r="P6" i="42"/>
  <c r="O6" i="42"/>
  <c r="N6" i="42"/>
  <c r="M6" i="42"/>
  <c r="L6" i="42"/>
  <c r="K6" i="42"/>
  <c r="J6" i="42"/>
  <c r="I6" i="42"/>
  <c r="H6" i="42"/>
  <c r="G6" i="42"/>
  <c r="G48" i="41"/>
  <c r="G51" i="41"/>
  <c r="G52" i="41"/>
  <c r="G49" i="41"/>
  <c r="G53" i="41"/>
  <c r="G54" i="41"/>
  <c r="G45" i="41"/>
  <c r="G46" i="41"/>
  <c r="G47" i="41"/>
  <c r="G50" i="41"/>
  <c r="G55" i="41"/>
  <c r="G57" i="41"/>
  <c r="F48" i="41"/>
  <c r="F51" i="41"/>
  <c r="F52" i="41"/>
  <c r="F49" i="41"/>
  <c r="F53" i="41"/>
  <c r="F54" i="41"/>
  <c r="F45" i="41"/>
  <c r="F46" i="41"/>
  <c r="F47" i="41"/>
  <c r="F50" i="41"/>
  <c r="F55" i="41"/>
  <c r="F57" i="41"/>
  <c r="E48" i="41"/>
  <c r="E51" i="41"/>
  <c r="E52" i="41"/>
  <c r="E49" i="41"/>
  <c r="E53" i="41"/>
  <c r="E54" i="41"/>
  <c r="E45" i="41"/>
  <c r="E46" i="41"/>
  <c r="E47" i="41"/>
  <c r="E50" i="41"/>
  <c r="E55" i="41"/>
  <c r="E57" i="41"/>
  <c r="D48" i="41"/>
  <c r="D51" i="41"/>
  <c r="D52" i="41"/>
  <c r="D49" i="41"/>
  <c r="D53" i="41"/>
  <c r="D54" i="41"/>
  <c r="D45" i="41"/>
  <c r="D46" i="41"/>
  <c r="D47" i="41"/>
  <c r="D50" i="41"/>
  <c r="D55" i="41"/>
  <c r="D57" i="41"/>
  <c r="C46" i="41"/>
  <c r="C47" i="41"/>
  <c r="C48" i="41"/>
  <c r="C49" i="41"/>
  <c r="C45" i="41"/>
  <c r="C50" i="41"/>
  <c r="C51" i="41"/>
  <c r="C52" i="41"/>
  <c r="C53" i="41"/>
  <c r="C54" i="41"/>
  <c r="C55" i="41"/>
  <c r="C57" i="41"/>
  <c r="J244" i="37"/>
  <c r="H3" i="17"/>
  <c r="I237" i="40"/>
  <c r="I70" i="40"/>
  <c r="I193" i="40"/>
  <c r="E216" i="40"/>
  <c r="I238" i="40"/>
  <c r="I218" i="40"/>
  <c r="E218" i="40"/>
  <c r="I191" i="40"/>
  <c r="E91" i="40"/>
  <c r="T148" i="39"/>
  <c r="T135" i="37"/>
  <c r="Q135" i="37"/>
  <c r="V135" i="37"/>
  <c r="F135" i="38"/>
  <c r="E31" i="40"/>
  <c r="I114" i="40"/>
  <c r="E190" i="40"/>
  <c r="T189" i="39"/>
  <c r="E83" i="40"/>
  <c r="E117" i="40"/>
  <c r="E64" i="40"/>
  <c r="T17" i="39"/>
  <c r="T236" i="39"/>
  <c r="E22" i="40"/>
  <c r="E45" i="40"/>
  <c r="E47" i="40"/>
  <c r="T82" i="39"/>
  <c r="E131" i="40"/>
  <c r="T168" i="39"/>
  <c r="E125" i="40"/>
  <c r="J244" i="40"/>
  <c r="E138" i="40"/>
  <c r="Q237" i="39"/>
  <c r="V237" i="39"/>
  <c r="Q236" i="39"/>
  <c r="V236" i="39"/>
  <c r="F236" i="40"/>
  <c r="J236" i="40"/>
  <c r="AF236" i="40"/>
  <c r="Q235" i="39"/>
  <c r="V235" i="39"/>
  <c r="Q234" i="39"/>
  <c r="V234" i="39"/>
  <c r="Q233" i="39"/>
  <c r="V233" i="39"/>
  <c r="Q232" i="39"/>
  <c r="V232" i="39"/>
  <c r="F232" i="40"/>
  <c r="J232" i="40"/>
  <c r="AE232" i="40"/>
  <c r="Q231" i="39"/>
  <c r="V231" i="39"/>
  <c r="Q230" i="39"/>
  <c r="V230" i="39"/>
  <c r="Q229" i="39"/>
  <c r="V229" i="39"/>
  <c r="Q228" i="39"/>
  <c r="V228" i="39"/>
  <c r="F228" i="40"/>
  <c r="J228" i="40"/>
  <c r="AE228" i="40"/>
  <c r="Q227" i="39"/>
  <c r="V227" i="39"/>
  <c r="Q226" i="39"/>
  <c r="V226" i="39"/>
  <c r="Q225" i="39"/>
  <c r="V225" i="39"/>
  <c r="Q224" i="39"/>
  <c r="V224" i="39"/>
  <c r="F224" i="40"/>
  <c r="J224" i="40"/>
  <c r="AF224" i="40"/>
  <c r="Q223" i="39"/>
  <c r="V223" i="39"/>
  <c r="Q222" i="39"/>
  <c r="V222" i="39"/>
  <c r="Q221" i="39"/>
  <c r="V221" i="39"/>
  <c r="Q220" i="39"/>
  <c r="V220" i="39"/>
  <c r="F220" i="40"/>
  <c r="J220" i="40"/>
  <c r="AF220" i="40"/>
  <c r="Q219" i="39"/>
  <c r="V219" i="39"/>
  <c r="Q218" i="39"/>
  <c r="V218" i="39"/>
  <c r="Q217" i="39"/>
  <c r="V217" i="39"/>
  <c r="Q216" i="39"/>
  <c r="V216" i="39"/>
  <c r="F216" i="40"/>
  <c r="J216" i="40"/>
  <c r="AF216" i="40"/>
  <c r="Q215" i="39"/>
  <c r="V215" i="39"/>
  <c r="Q214" i="39"/>
  <c r="V214" i="39"/>
  <c r="Q213" i="39"/>
  <c r="V213" i="39"/>
  <c r="Q212" i="39"/>
  <c r="V212" i="39"/>
  <c r="F212" i="40"/>
  <c r="J212" i="40"/>
  <c r="AE212" i="40"/>
  <c r="Q211" i="39"/>
  <c r="V211" i="39"/>
  <c r="Q210" i="39"/>
  <c r="V210" i="39"/>
  <c r="Q209" i="39"/>
  <c r="V209" i="39"/>
  <c r="Q208" i="39"/>
  <c r="V208" i="39"/>
  <c r="F208" i="40"/>
  <c r="J208" i="40"/>
  <c r="AE208" i="40"/>
  <c r="Q207" i="39"/>
  <c r="V207" i="39"/>
  <c r="Q206" i="39"/>
  <c r="V206" i="39"/>
  <c r="Q205" i="39"/>
  <c r="V205" i="39"/>
  <c r="Q204" i="39"/>
  <c r="V204" i="39"/>
  <c r="F204" i="40"/>
  <c r="J204" i="40"/>
  <c r="AD204" i="40"/>
  <c r="Q203" i="39"/>
  <c r="V203" i="39"/>
  <c r="Q202" i="39"/>
  <c r="V202" i="39"/>
  <c r="Q201" i="39"/>
  <c r="V201" i="39"/>
  <c r="Q200" i="39"/>
  <c r="V200" i="39"/>
  <c r="F200" i="40"/>
  <c r="J200" i="40"/>
  <c r="AE200" i="40"/>
  <c r="Q199" i="39"/>
  <c r="V199" i="39"/>
  <c r="Q198" i="39"/>
  <c r="V198" i="39"/>
  <c r="Q197" i="39"/>
  <c r="V197" i="39"/>
  <c r="Q196" i="39"/>
  <c r="V196" i="39"/>
  <c r="F196" i="40"/>
  <c r="J196" i="40"/>
  <c r="AE196" i="40"/>
  <c r="Q195" i="39"/>
  <c r="V195" i="39"/>
  <c r="Q194" i="39"/>
  <c r="V194" i="39"/>
  <c r="Q193" i="39"/>
  <c r="V193" i="39"/>
  <c r="Q192" i="39"/>
  <c r="V192" i="39"/>
  <c r="F192" i="40"/>
  <c r="J192" i="40"/>
  <c r="AE192" i="40"/>
  <c r="Q191" i="39"/>
  <c r="V191" i="39"/>
  <c r="Q190" i="39"/>
  <c r="V190" i="39"/>
  <c r="Q189" i="39"/>
  <c r="V189" i="39"/>
  <c r="F189" i="40"/>
  <c r="J189" i="40"/>
  <c r="AD189" i="40"/>
  <c r="Q188" i="39"/>
  <c r="V188" i="39"/>
  <c r="Q187" i="39"/>
  <c r="V187" i="39"/>
  <c r="Q186" i="39"/>
  <c r="V186" i="39"/>
  <c r="Q185" i="39"/>
  <c r="V185" i="39"/>
  <c r="Q184" i="39"/>
  <c r="V184" i="39"/>
  <c r="F184" i="40"/>
  <c r="J184" i="40"/>
  <c r="AD184" i="40"/>
  <c r="Q183" i="39"/>
  <c r="V183" i="39"/>
  <c r="Q182" i="39"/>
  <c r="V182" i="39"/>
  <c r="Q181" i="39"/>
  <c r="V181" i="39"/>
  <c r="Q180" i="39"/>
  <c r="V180" i="39"/>
  <c r="F180" i="40"/>
  <c r="J180" i="40"/>
  <c r="AD180" i="40"/>
  <c r="Q179" i="39"/>
  <c r="V179" i="39"/>
  <c r="Q178" i="39"/>
  <c r="V178" i="39"/>
  <c r="Q177" i="39"/>
  <c r="V177" i="39"/>
  <c r="Q176" i="39"/>
  <c r="V176" i="39"/>
  <c r="F176" i="40"/>
  <c r="J176" i="40"/>
  <c r="AD176" i="40"/>
  <c r="Q175" i="39"/>
  <c r="V175" i="39"/>
  <c r="Q174" i="39"/>
  <c r="V174" i="39"/>
  <c r="Q173" i="39"/>
  <c r="V173" i="39"/>
  <c r="Q172" i="39"/>
  <c r="V172" i="39"/>
  <c r="F172" i="40"/>
  <c r="J172" i="40"/>
  <c r="AD172" i="40"/>
  <c r="Q171" i="39"/>
  <c r="V171" i="39"/>
  <c r="Q170" i="39"/>
  <c r="V170" i="39"/>
  <c r="Q169" i="39"/>
  <c r="V169" i="39"/>
  <c r="Q168" i="39"/>
  <c r="V168" i="39"/>
  <c r="F168" i="40"/>
  <c r="J168" i="40"/>
  <c r="AE168" i="40"/>
  <c r="Q167" i="39"/>
  <c r="V167" i="39"/>
  <c r="Q166" i="39"/>
  <c r="V166" i="39"/>
  <c r="Q165" i="39"/>
  <c r="V165" i="39"/>
  <c r="Q164" i="39"/>
  <c r="V164" i="39"/>
  <c r="F164" i="40"/>
  <c r="J164" i="40"/>
  <c r="AD164" i="40"/>
  <c r="Q163" i="39"/>
  <c r="V163" i="39"/>
  <c r="Q162" i="39"/>
  <c r="V162" i="39"/>
  <c r="Q161" i="39"/>
  <c r="V161" i="39"/>
  <c r="F161" i="40"/>
  <c r="J161" i="40"/>
  <c r="AD161" i="40"/>
  <c r="Q160" i="39"/>
  <c r="V160" i="39"/>
  <c r="F160" i="40"/>
  <c r="J160" i="40"/>
  <c r="AF160" i="40"/>
  <c r="Q159" i="39"/>
  <c r="V159" i="39"/>
  <c r="Q158" i="39"/>
  <c r="V158" i="39"/>
  <c r="Q157" i="39"/>
  <c r="V157" i="39"/>
  <c r="F157" i="40"/>
  <c r="J157" i="40"/>
  <c r="AF157" i="40"/>
  <c r="Q156" i="39"/>
  <c r="V156" i="39"/>
  <c r="F156" i="40"/>
  <c r="J156" i="40"/>
  <c r="AD156" i="40"/>
  <c r="Q155" i="39"/>
  <c r="V155" i="39"/>
  <c r="Q154" i="39"/>
  <c r="V154" i="39"/>
  <c r="Q153" i="39"/>
  <c r="V153" i="39"/>
  <c r="Q152" i="39"/>
  <c r="V152" i="39"/>
  <c r="F152" i="40"/>
  <c r="J152" i="40"/>
  <c r="AE152" i="40"/>
  <c r="Q151" i="39"/>
  <c r="V151" i="39"/>
  <c r="Q150" i="39"/>
  <c r="V150" i="39"/>
  <c r="Q149" i="39"/>
  <c r="V149" i="39"/>
  <c r="F149" i="40"/>
  <c r="J149" i="40"/>
  <c r="AD149" i="40"/>
  <c r="Q148" i="39"/>
  <c r="V148" i="39"/>
  <c r="F148" i="40"/>
  <c r="J148" i="40"/>
  <c r="AD148" i="40"/>
  <c r="Q147" i="39"/>
  <c r="V147" i="39"/>
  <c r="Q146" i="39"/>
  <c r="V146" i="39"/>
  <c r="Q145" i="39"/>
  <c r="V145" i="39"/>
  <c r="Q144" i="39"/>
  <c r="V144" i="39"/>
  <c r="F144" i="40"/>
  <c r="J144" i="40"/>
  <c r="AD144" i="40"/>
  <c r="Q143" i="39"/>
  <c r="V143" i="39"/>
  <c r="Q142" i="39"/>
  <c r="V142" i="39"/>
  <c r="Q141" i="39"/>
  <c r="V141" i="39"/>
  <c r="Q140" i="39"/>
  <c r="V140" i="39"/>
  <c r="F140" i="40"/>
  <c r="J140" i="40"/>
  <c r="AD140" i="40"/>
  <c r="Q139" i="39"/>
  <c r="V139" i="39"/>
  <c r="Q138" i="39"/>
  <c r="V138" i="39"/>
  <c r="Q137" i="39"/>
  <c r="V137" i="39"/>
  <c r="Q136" i="39"/>
  <c r="V136" i="39"/>
  <c r="F136" i="40"/>
  <c r="J136" i="40"/>
  <c r="AD136" i="40"/>
  <c r="Q135" i="39"/>
  <c r="V135" i="39"/>
  <c r="F135" i="40"/>
  <c r="J135" i="40"/>
  <c r="AE135" i="40"/>
  <c r="Q134" i="39"/>
  <c r="V134" i="39"/>
  <c r="Q133" i="39"/>
  <c r="V133" i="39"/>
  <c r="Q132" i="39"/>
  <c r="V132" i="39"/>
  <c r="F132" i="40"/>
  <c r="J132" i="40"/>
  <c r="AE132" i="40"/>
  <c r="Q131" i="39"/>
  <c r="V131" i="39"/>
  <c r="Q130" i="39"/>
  <c r="V130" i="39"/>
  <c r="Q129" i="39"/>
  <c r="V129" i="39"/>
  <c r="Q128" i="39"/>
  <c r="V128" i="39"/>
  <c r="F128" i="40"/>
  <c r="J128" i="40"/>
  <c r="AE128" i="40"/>
  <c r="Q127" i="39"/>
  <c r="V127" i="39"/>
  <c r="Q126" i="39"/>
  <c r="V126" i="39"/>
  <c r="Q125" i="39"/>
  <c r="V125" i="39"/>
  <c r="Q124" i="39"/>
  <c r="V124" i="39"/>
  <c r="F124" i="40"/>
  <c r="J124" i="40"/>
  <c r="AD124" i="40"/>
  <c r="Q123" i="39"/>
  <c r="V123" i="39"/>
  <c r="Q122" i="39"/>
  <c r="V122" i="39"/>
  <c r="Q121" i="39"/>
  <c r="V121" i="39"/>
  <c r="Q120" i="39"/>
  <c r="V120" i="39"/>
  <c r="F120" i="40"/>
  <c r="J120" i="40"/>
  <c r="AD120" i="40"/>
  <c r="Q119" i="39"/>
  <c r="V119" i="39"/>
  <c r="Q118" i="39"/>
  <c r="V118" i="39"/>
  <c r="Q117" i="39"/>
  <c r="V117" i="39"/>
  <c r="Q116" i="39"/>
  <c r="V116" i="39"/>
  <c r="F116" i="40"/>
  <c r="J116" i="40"/>
  <c r="AD116" i="40"/>
  <c r="Q115" i="39"/>
  <c r="V115" i="39"/>
  <c r="Q114" i="39"/>
  <c r="V114" i="39"/>
  <c r="Q113" i="39"/>
  <c r="V113" i="39"/>
  <c r="Q112" i="39"/>
  <c r="V112" i="39"/>
  <c r="F112" i="40"/>
  <c r="J112" i="40"/>
  <c r="AD112" i="40"/>
  <c r="Q111" i="39"/>
  <c r="V111" i="39"/>
  <c r="Q110" i="39"/>
  <c r="V110" i="39"/>
  <c r="Q109" i="39"/>
  <c r="V109" i="39"/>
  <c r="Q108" i="39"/>
  <c r="V108" i="39"/>
  <c r="F108" i="40"/>
  <c r="J108" i="40"/>
  <c r="AD108" i="40"/>
  <c r="Q107" i="39"/>
  <c r="V107" i="39"/>
  <c r="Q106" i="39"/>
  <c r="V106" i="39"/>
  <c r="Q105" i="39"/>
  <c r="V105" i="39"/>
  <c r="Q104" i="39"/>
  <c r="V104" i="39"/>
  <c r="F104" i="40"/>
  <c r="J104" i="40"/>
  <c r="AD104" i="40"/>
  <c r="Q103" i="39"/>
  <c r="V103" i="39"/>
  <c r="Q102" i="39"/>
  <c r="V102" i="39"/>
  <c r="Q101" i="39"/>
  <c r="V101" i="39"/>
  <c r="Q100" i="39"/>
  <c r="V100" i="39"/>
  <c r="F100" i="40"/>
  <c r="J100" i="40"/>
  <c r="AE100" i="40"/>
  <c r="Q99" i="39"/>
  <c r="V99" i="39"/>
  <c r="Q98" i="39"/>
  <c r="V98" i="39"/>
  <c r="Q97" i="39"/>
  <c r="V97" i="39"/>
  <c r="Q96" i="39"/>
  <c r="V96" i="39"/>
  <c r="F96" i="40"/>
  <c r="J96" i="40"/>
  <c r="AE96" i="40"/>
  <c r="Q95" i="39"/>
  <c r="V95" i="39"/>
  <c r="Q94" i="39"/>
  <c r="V94" i="39"/>
  <c r="Q93" i="39"/>
  <c r="V93" i="39"/>
  <c r="F93" i="40"/>
  <c r="J93" i="40"/>
  <c r="AF93" i="40"/>
  <c r="Q92" i="39"/>
  <c r="V92" i="39"/>
  <c r="F92" i="40"/>
  <c r="J92" i="40"/>
  <c r="AD92" i="40"/>
  <c r="Q91" i="39"/>
  <c r="V91" i="39"/>
  <c r="Q90" i="39"/>
  <c r="V90" i="39"/>
  <c r="Q89" i="39"/>
  <c r="V89" i="39"/>
  <c r="Q88" i="39"/>
  <c r="V88" i="39"/>
  <c r="F88" i="40"/>
  <c r="J88" i="40"/>
  <c r="AD88" i="40"/>
  <c r="Q87" i="39"/>
  <c r="V87" i="39"/>
  <c r="Q86" i="39"/>
  <c r="V86" i="39"/>
  <c r="Q85" i="39"/>
  <c r="V85" i="39"/>
  <c r="Q84" i="39"/>
  <c r="V84" i="39"/>
  <c r="F84" i="40"/>
  <c r="J84" i="40"/>
  <c r="AE84" i="40"/>
  <c r="Q83" i="39"/>
  <c r="V83" i="39"/>
  <c r="Q82" i="39"/>
  <c r="V82" i="39"/>
  <c r="F82" i="40"/>
  <c r="J82" i="40"/>
  <c r="AD82" i="40"/>
  <c r="Q81" i="39"/>
  <c r="V81" i="39"/>
  <c r="Q80" i="39"/>
  <c r="V80" i="39"/>
  <c r="F80" i="40"/>
  <c r="J80" i="40"/>
  <c r="AE80" i="40"/>
  <c r="Q79" i="39"/>
  <c r="V79" i="39"/>
  <c r="Q78" i="39"/>
  <c r="V78" i="39"/>
  <c r="Q77" i="39"/>
  <c r="V77" i="39"/>
  <c r="Q76" i="39"/>
  <c r="V76" i="39"/>
  <c r="F76" i="40"/>
  <c r="J76" i="40"/>
  <c r="AE76" i="40"/>
  <c r="Q75" i="39"/>
  <c r="V75" i="39"/>
  <c r="Q74" i="39"/>
  <c r="V74" i="39"/>
  <c r="Q73" i="39"/>
  <c r="V73" i="39"/>
  <c r="Q72" i="39"/>
  <c r="V72" i="39"/>
  <c r="F72" i="40"/>
  <c r="J72" i="40"/>
  <c r="AD72" i="40"/>
  <c r="Q71" i="39"/>
  <c r="V71" i="39"/>
  <c r="Q70" i="39"/>
  <c r="V70" i="39"/>
  <c r="Q69" i="39"/>
  <c r="V69" i="39"/>
  <c r="Q68" i="39"/>
  <c r="V68" i="39"/>
  <c r="F68" i="40"/>
  <c r="J68" i="40"/>
  <c r="AD68" i="40"/>
  <c r="Q67" i="39"/>
  <c r="V67" i="39"/>
  <c r="Q66" i="39"/>
  <c r="V66" i="39"/>
  <c r="Q65" i="39"/>
  <c r="V65" i="39"/>
  <c r="Q64" i="39"/>
  <c r="V64" i="39"/>
  <c r="F64" i="40"/>
  <c r="J64" i="40"/>
  <c r="AD64" i="40"/>
  <c r="Q63" i="39"/>
  <c r="V63" i="39"/>
  <c r="Q62" i="39"/>
  <c r="V62" i="39"/>
  <c r="Q61" i="39"/>
  <c r="V61" i="39"/>
  <c r="Q60" i="39"/>
  <c r="V60" i="39"/>
  <c r="F60" i="40"/>
  <c r="J60" i="40"/>
  <c r="AE60" i="40"/>
  <c r="Q59" i="39"/>
  <c r="V59" i="39"/>
  <c r="Q58" i="39"/>
  <c r="V58" i="39"/>
  <c r="Q57" i="39"/>
  <c r="V57" i="39"/>
  <c r="F57" i="40"/>
  <c r="J57" i="40"/>
  <c r="AD57" i="40"/>
  <c r="Q56" i="39"/>
  <c r="V56" i="39"/>
  <c r="F56" i="40"/>
  <c r="J56" i="40"/>
  <c r="AD56" i="40"/>
  <c r="Q55" i="39"/>
  <c r="V55" i="39"/>
  <c r="Q54" i="39"/>
  <c r="V54" i="39"/>
  <c r="Q53" i="39"/>
  <c r="V53" i="39"/>
  <c r="Q52" i="39"/>
  <c r="V52" i="39"/>
  <c r="F52" i="40"/>
  <c r="J52" i="40"/>
  <c r="AE52" i="40"/>
  <c r="Q51" i="39"/>
  <c r="V51" i="39"/>
  <c r="Q50" i="39"/>
  <c r="V50" i="39"/>
  <c r="Q49" i="39"/>
  <c r="V49" i="39"/>
  <c r="Q48" i="39"/>
  <c r="V48" i="39"/>
  <c r="F48" i="40"/>
  <c r="J48" i="40"/>
  <c r="AE48" i="40"/>
  <c r="Q47" i="39"/>
  <c r="V47" i="39"/>
  <c r="Q46" i="39"/>
  <c r="V46" i="39"/>
  <c r="Q45" i="39"/>
  <c r="V45" i="39"/>
  <c r="Q44" i="39"/>
  <c r="V44" i="39"/>
  <c r="F44" i="40"/>
  <c r="J44" i="40"/>
  <c r="AD44" i="40"/>
  <c r="Q43" i="39"/>
  <c r="V43" i="39"/>
  <c r="Q42" i="39"/>
  <c r="V42" i="39"/>
  <c r="Q41" i="39"/>
  <c r="V41" i="39"/>
  <c r="F41" i="40"/>
  <c r="J41" i="40"/>
  <c r="AF41" i="40"/>
  <c r="Q40" i="39"/>
  <c r="V40" i="39"/>
  <c r="F40" i="40"/>
  <c r="J40" i="40"/>
  <c r="AD40" i="40"/>
  <c r="Q39" i="39"/>
  <c r="V39" i="39"/>
  <c r="Q38" i="39"/>
  <c r="V38" i="39"/>
  <c r="Q37" i="39"/>
  <c r="V37" i="39"/>
  <c r="F37" i="40"/>
  <c r="J37" i="40"/>
  <c r="AD37" i="40"/>
  <c r="Q36" i="39"/>
  <c r="V36" i="39"/>
  <c r="F36" i="40"/>
  <c r="J36" i="40"/>
  <c r="AD36" i="40"/>
  <c r="Q35" i="39"/>
  <c r="V35" i="39"/>
  <c r="F35" i="40"/>
  <c r="J35" i="40"/>
  <c r="AD35" i="40"/>
  <c r="Q34" i="39"/>
  <c r="V34" i="39"/>
  <c r="Q33" i="39"/>
  <c r="V33" i="39"/>
  <c r="F33" i="40"/>
  <c r="J33" i="40"/>
  <c r="AD33" i="40"/>
  <c r="Q32" i="39"/>
  <c r="V32" i="39"/>
  <c r="F32" i="40"/>
  <c r="J32" i="40"/>
  <c r="AD32" i="40"/>
  <c r="Q31" i="39"/>
  <c r="V31" i="39"/>
  <c r="Q30" i="39"/>
  <c r="V30" i="39"/>
  <c r="F30" i="40"/>
  <c r="J30" i="40"/>
  <c r="AD30" i="40"/>
  <c r="Q29" i="39"/>
  <c r="V29" i="39"/>
  <c r="Q28" i="39"/>
  <c r="V28" i="39"/>
  <c r="F28" i="40"/>
  <c r="J28" i="40"/>
  <c r="AD28" i="40"/>
  <c r="Q27" i="39"/>
  <c r="V27" i="39"/>
  <c r="Q26" i="39"/>
  <c r="V26" i="39"/>
  <c r="Q25" i="39"/>
  <c r="V25" i="39"/>
  <c r="Q24" i="39"/>
  <c r="V24" i="39"/>
  <c r="F24" i="40"/>
  <c r="J24" i="40"/>
  <c r="AD24" i="40"/>
  <c r="Q23" i="39"/>
  <c r="V23" i="39"/>
  <c r="Q22" i="39"/>
  <c r="V22" i="39"/>
  <c r="Q21" i="39"/>
  <c r="V21" i="39"/>
  <c r="Q20" i="39"/>
  <c r="V20" i="39"/>
  <c r="F20" i="40"/>
  <c r="J20" i="40"/>
  <c r="AE20" i="40"/>
  <c r="Q19" i="39"/>
  <c r="V19" i="39"/>
  <c r="Q18" i="39"/>
  <c r="V18" i="39"/>
  <c r="Q17" i="39"/>
  <c r="V17" i="39"/>
  <c r="F17" i="40"/>
  <c r="J17" i="40"/>
  <c r="AD17" i="40"/>
  <c r="Q16" i="39"/>
  <c r="V16" i="39"/>
  <c r="F16" i="40"/>
  <c r="J16" i="40"/>
  <c r="J237" i="40"/>
  <c r="AF237" i="40"/>
  <c r="F235" i="40"/>
  <c r="J235" i="40"/>
  <c r="AD235" i="40"/>
  <c r="F234" i="40"/>
  <c r="J234" i="40"/>
  <c r="AD234" i="40"/>
  <c r="F233" i="40"/>
  <c r="J233" i="40"/>
  <c r="AD233" i="40"/>
  <c r="F231" i="40"/>
  <c r="J231" i="40"/>
  <c r="AD231" i="40"/>
  <c r="F230" i="40"/>
  <c r="J230" i="40"/>
  <c r="AE230" i="40"/>
  <c r="F229" i="40"/>
  <c r="J229" i="40"/>
  <c r="AE229" i="40"/>
  <c r="F227" i="40"/>
  <c r="J227" i="40"/>
  <c r="AE227" i="40"/>
  <c r="F226" i="40"/>
  <c r="J226" i="40"/>
  <c r="AD226" i="40"/>
  <c r="F225" i="40"/>
  <c r="J225" i="40"/>
  <c r="AD225" i="40"/>
  <c r="F223" i="40"/>
  <c r="J223" i="40"/>
  <c r="AE223" i="40"/>
  <c r="F222" i="40"/>
  <c r="J222" i="40"/>
  <c r="AD222" i="40"/>
  <c r="F221" i="40"/>
  <c r="J221" i="40"/>
  <c r="AD221" i="40"/>
  <c r="F219" i="40"/>
  <c r="J219" i="40"/>
  <c r="AD219" i="40"/>
  <c r="F218" i="40"/>
  <c r="J218" i="40"/>
  <c r="AD218" i="40"/>
  <c r="F217" i="40"/>
  <c r="J217" i="40"/>
  <c r="AD217" i="40"/>
  <c r="F215" i="40"/>
  <c r="J215" i="40"/>
  <c r="AD215" i="40"/>
  <c r="F214" i="40"/>
  <c r="J214" i="40"/>
  <c r="AE214" i="40"/>
  <c r="F213" i="40"/>
  <c r="J213" i="40"/>
  <c r="AF213" i="40"/>
  <c r="F211" i="40"/>
  <c r="J211" i="40"/>
  <c r="AE211" i="40"/>
  <c r="F210" i="40"/>
  <c r="J210" i="40"/>
  <c r="AE210" i="40"/>
  <c r="F209" i="40"/>
  <c r="J209" i="40"/>
  <c r="AE209" i="40"/>
  <c r="F207" i="40"/>
  <c r="J207" i="40"/>
  <c r="AE207" i="40"/>
  <c r="F206" i="40"/>
  <c r="J206" i="40"/>
  <c r="AD206" i="40"/>
  <c r="F205" i="40"/>
  <c r="J205" i="40"/>
  <c r="AD205" i="40"/>
  <c r="F203" i="40"/>
  <c r="J203" i="40"/>
  <c r="AD203" i="40"/>
  <c r="F202" i="40"/>
  <c r="J202" i="40"/>
  <c r="AE202" i="40"/>
  <c r="F201" i="40"/>
  <c r="J201" i="40"/>
  <c r="AE201" i="40"/>
  <c r="F199" i="40"/>
  <c r="J199" i="40"/>
  <c r="AD199" i="40"/>
  <c r="F198" i="40"/>
  <c r="J198" i="40"/>
  <c r="AE198" i="40"/>
  <c r="F197" i="40"/>
  <c r="J197" i="40"/>
  <c r="AE197" i="40"/>
  <c r="F195" i="40"/>
  <c r="J195" i="40"/>
  <c r="AD195" i="40"/>
  <c r="F194" i="40"/>
  <c r="J194" i="40"/>
  <c r="AD194" i="40"/>
  <c r="F193" i="40"/>
  <c r="J193" i="40"/>
  <c r="AD193" i="40"/>
  <c r="F191" i="40"/>
  <c r="J191" i="40"/>
  <c r="AD191" i="40"/>
  <c r="F190" i="40"/>
  <c r="J190" i="40"/>
  <c r="AE190" i="40"/>
  <c r="F188" i="40"/>
  <c r="J188" i="40"/>
  <c r="AF188" i="40"/>
  <c r="F187" i="40"/>
  <c r="J187" i="40"/>
  <c r="AE187" i="40"/>
  <c r="F186" i="40"/>
  <c r="J186" i="40"/>
  <c r="AD186" i="40"/>
  <c r="F185" i="40"/>
  <c r="J185" i="40"/>
  <c r="AE185" i="40"/>
  <c r="F183" i="40"/>
  <c r="J183" i="40"/>
  <c r="AD183" i="40"/>
  <c r="F182" i="40"/>
  <c r="J182" i="40"/>
  <c r="AD182" i="40"/>
  <c r="F181" i="40"/>
  <c r="J181" i="40"/>
  <c r="AE181" i="40"/>
  <c r="F179" i="40"/>
  <c r="J179" i="40"/>
  <c r="AD179" i="40"/>
  <c r="F178" i="40"/>
  <c r="J178" i="40"/>
  <c r="AD178" i="40"/>
  <c r="F177" i="40"/>
  <c r="J177" i="40"/>
  <c r="AD177" i="40"/>
  <c r="F175" i="40"/>
  <c r="J175" i="40"/>
  <c r="AE175" i="40"/>
  <c r="F174" i="40"/>
  <c r="J174" i="40"/>
  <c r="AD174" i="40"/>
  <c r="F173" i="40"/>
  <c r="J173" i="40"/>
  <c r="AD173" i="40"/>
  <c r="F171" i="40"/>
  <c r="J171" i="40"/>
  <c r="AD171" i="40"/>
  <c r="F170" i="40"/>
  <c r="J170" i="40"/>
  <c r="AD170" i="40"/>
  <c r="F169" i="40"/>
  <c r="J169" i="40"/>
  <c r="AE169" i="40"/>
  <c r="F167" i="40"/>
  <c r="J167" i="40"/>
  <c r="AE167" i="40"/>
  <c r="F166" i="40"/>
  <c r="J166" i="40"/>
  <c r="AE166" i="40"/>
  <c r="F165" i="40"/>
  <c r="J165" i="40"/>
  <c r="AD165" i="40"/>
  <c r="F163" i="40"/>
  <c r="J163" i="40"/>
  <c r="AE163" i="40"/>
  <c r="F162" i="40"/>
  <c r="J162" i="40"/>
  <c r="AE162" i="40"/>
  <c r="F159" i="40"/>
  <c r="J159" i="40"/>
  <c r="AE159" i="40"/>
  <c r="F158" i="40"/>
  <c r="J158" i="40"/>
  <c r="AE158" i="40"/>
  <c r="F155" i="40"/>
  <c r="J155" i="40"/>
  <c r="AD155" i="40"/>
  <c r="F154" i="40"/>
  <c r="J154" i="40"/>
  <c r="AF154" i="40"/>
  <c r="F153" i="40"/>
  <c r="J153" i="40"/>
  <c r="AD153" i="40"/>
  <c r="F151" i="40"/>
  <c r="J151" i="40"/>
  <c r="AE151" i="40"/>
  <c r="F150" i="40"/>
  <c r="J150" i="40"/>
  <c r="AF150" i="40"/>
  <c r="F147" i="40"/>
  <c r="J147" i="40"/>
  <c r="AE147" i="40"/>
  <c r="F146" i="40"/>
  <c r="J146" i="40"/>
  <c r="AE146" i="40"/>
  <c r="F145" i="40"/>
  <c r="J145" i="40"/>
  <c r="AD145" i="40"/>
  <c r="F143" i="40"/>
  <c r="J143" i="40"/>
  <c r="AD143" i="40"/>
  <c r="F142" i="40"/>
  <c r="J142" i="40"/>
  <c r="AD142" i="40"/>
  <c r="F141" i="40"/>
  <c r="J141" i="40"/>
  <c r="AD141" i="40"/>
  <c r="F139" i="40"/>
  <c r="J139" i="40"/>
  <c r="AD139" i="40"/>
  <c r="F138" i="40"/>
  <c r="J138" i="40"/>
  <c r="AD138" i="40"/>
  <c r="F137" i="40"/>
  <c r="J137" i="40"/>
  <c r="AD137" i="40"/>
  <c r="F134" i="40"/>
  <c r="J134" i="40"/>
  <c r="AD134" i="40"/>
  <c r="F133" i="40"/>
  <c r="J133" i="40"/>
  <c r="AE133" i="40"/>
  <c r="F131" i="40"/>
  <c r="J131" i="40"/>
  <c r="AF131" i="40"/>
  <c r="F130" i="40"/>
  <c r="J130" i="40"/>
  <c r="AD130" i="40"/>
  <c r="F129" i="40"/>
  <c r="J129" i="40"/>
  <c r="AD129" i="40"/>
  <c r="F127" i="40"/>
  <c r="J127" i="40"/>
  <c r="AD127" i="40"/>
  <c r="F126" i="40"/>
  <c r="J126" i="40"/>
  <c r="AD126" i="40"/>
  <c r="F125" i="40"/>
  <c r="J125" i="40"/>
  <c r="AD125" i="40"/>
  <c r="F123" i="40"/>
  <c r="J123" i="40"/>
  <c r="AD123" i="40"/>
  <c r="F122" i="40"/>
  <c r="J122" i="40"/>
  <c r="AD122" i="40"/>
  <c r="F121" i="40"/>
  <c r="J121" i="40"/>
  <c r="AD121" i="40"/>
  <c r="F119" i="40"/>
  <c r="J119" i="40"/>
  <c r="AE119" i="40"/>
  <c r="F118" i="40"/>
  <c r="J118" i="40"/>
  <c r="AE118" i="40"/>
  <c r="F117" i="40"/>
  <c r="J117" i="40"/>
  <c r="AD117" i="40"/>
  <c r="J115" i="40"/>
  <c r="AD115" i="40"/>
  <c r="F114" i="40"/>
  <c r="J114" i="40"/>
  <c r="AD114" i="40"/>
  <c r="F113" i="40"/>
  <c r="J113" i="40"/>
  <c r="AD113" i="40"/>
  <c r="F111" i="40"/>
  <c r="J111" i="40"/>
  <c r="AD111" i="40"/>
  <c r="F110" i="40"/>
  <c r="J110" i="40"/>
  <c r="AD110" i="40"/>
  <c r="F109" i="40"/>
  <c r="J109" i="40"/>
  <c r="AD109" i="40"/>
  <c r="F107" i="40"/>
  <c r="J107" i="40"/>
  <c r="AD107" i="40"/>
  <c r="F106" i="40"/>
  <c r="J106" i="40"/>
  <c r="AD106" i="40"/>
  <c r="F105" i="40"/>
  <c r="J105" i="40"/>
  <c r="AD105" i="40"/>
  <c r="F103" i="40"/>
  <c r="J103" i="40"/>
  <c r="AF103" i="40"/>
  <c r="F102" i="40"/>
  <c r="J102" i="40"/>
  <c r="AD102" i="40"/>
  <c r="F101" i="40"/>
  <c r="J101" i="40"/>
  <c r="AE101" i="40"/>
  <c r="F99" i="40"/>
  <c r="J99" i="40"/>
  <c r="AE99" i="40"/>
  <c r="F98" i="40"/>
  <c r="J98" i="40"/>
  <c r="AE98" i="40"/>
  <c r="F97" i="40"/>
  <c r="J97" i="40"/>
  <c r="AD97" i="40"/>
  <c r="F95" i="40"/>
  <c r="J95" i="40"/>
  <c r="AE95" i="40"/>
  <c r="F94" i="40"/>
  <c r="J94" i="40"/>
  <c r="AF94" i="40"/>
  <c r="F91" i="40"/>
  <c r="J91" i="40"/>
  <c r="AD91" i="40"/>
  <c r="F90" i="40"/>
  <c r="J90" i="40"/>
  <c r="AD90" i="40"/>
  <c r="F89" i="40"/>
  <c r="J89" i="40"/>
  <c r="AD89" i="40"/>
  <c r="F87" i="40"/>
  <c r="J87" i="40"/>
  <c r="AD87" i="40"/>
  <c r="F86" i="40"/>
  <c r="J86" i="40"/>
  <c r="AD86" i="40"/>
  <c r="F85" i="40"/>
  <c r="J85" i="40"/>
  <c r="AE85" i="40"/>
  <c r="F83" i="40"/>
  <c r="J83" i="40"/>
  <c r="AE83" i="40"/>
  <c r="F81" i="40"/>
  <c r="J81" i="40"/>
  <c r="AE81" i="40"/>
  <c r="F79" i="40"/>
  <c r="J79" i="40"/>
  <c r="AD79" i="40"/>
  <c r="F78" i="40"/>
  <c r="J78" i="40"/>
  <c r="AD78" i="40"/>
  <c r="F77" i="40"/>
  <c r="J77" i="40"/>
  <c r="AD77" i="40"/>
  <c r="F75" i="40"/>
  <c r="J75" i="40"/>
  <c r="AD75" i="40"/>
  <c r="F74" i="40"/>
  <c r="J74" i="40"/>
  <c r="AD74" i="40"/>
  <c r="F73" i="40"/>
  <c r="J73" i="40"/>
  <c r="AD73" i="40"/>
  <c r="F71" i="40"/>
  <c r="J71" i="40"/>
  <c r="AD71" i="40"/>
  <c r="F70" i="40"/>
  <c r="J70" i="40"/>
  <c r="AD70" i="40"/>
  <c r="F69" i="40"/>
  <c r="J69" i="40"/>
  <c r="AD69" i="40"/>
  <c r="F67" i="40"/>
  <c r="J67" i="40"/>
  <c r="AD67" i="40"/>
  <c r="F66" i="40"/>
  <c r="J66" i="40"/>
  <c r="AD66" i="40"/>
  <c r="F65" i="40"/>
  <c r="J65" i="40"/>
  <c r="AD65" i="40"/>
  <c r="F63" i="40"/>
  <c r="J63" i="40"/>
  <c r="AD63" i="40"/>
  <c r="F62" i="40"/>
  <c r="J62" i="40"/>
  <c r="AF62" i="40"/>
  <c r="F61" i="40"/>
  <c r="J61" i="40"/>
  <c r="AE61" i="40"/>
  <c r="F59" i="40"/>
  <c r="J59" i="40"/>
  <c r="AD59" i="40"/>
  <c r="F58" i="40"/>
  <c r="J58" i="40"/>
  <c r="AE58" i="40"/>
  <c r="F55" i="40"/>
  <c r="J55" i="40"/>
  <c r="AE55" i="40"/>
  <c r="F54" i="40"/>
  <c r="J54" i="40"/>
  <c r="AE54" i="40"/>
  <c r="F53" i="40"/>
  <c r="J53" i="40"/>
  <c r="AE53" i="40"/>
  <c r="F51" i="40"/>
  <c r="J51" i="40"/>
  <c r="AD51" i="40"/>
  <c r="F50" i="40"/>
  <c r="J50" i="40"/>
  <c r="AD50" i="40"/>
  <c r="F49" i="40"/>
  <c r="J49" i="40"/>
  <c r="AD49" i="40"/>
  <c r="F47" i="40"/>
  <c r="J47" i="40"/>
  <c r="AD47" i="40"/>
  <c r="F46" i="40"/>
  <c r="J46" i="40"/>
  <c r="AD46" i="40"/>
  <c r="F45" i="40"/>
  <c r="J45" i="40"/>
  <c r="AE45" i="40"/>
  <c r="F43" i="40"/>
  <c r="J43" i="40"/>
  <c r="AD43" i="40"/>
  <c r="F42" i="40"/>
  <c r="J42" i="40"/>
  <c r="AF42" i="40"/>
  <c r="F39" i="40"/>
  <c r="J39" i="40"/>
  <c r="AD39" i="40"/>
  <c r="F38" i="40"/>
  <c r="J38" i="40"/>
  <c r="AD38" i="40"/>
  <c r="F34" i="40"/>
  <c r="J34" i="40"/>
  <c r="AD34" i="40"/>
  <c r="F31" i="40"/>
  <c r="J31" i="40"/>
  <c r="AD31" i="40"/>
  <c r="F29" i="40"/>
  <c r="J29" i="40"/>
  <c r="AE29" i="40"/>
  <c r="F27" i="40"/>
  <c r="J27" i="40"/>
  <c r="AD27" i="40"/>
  <c r="F26" i="40"/>
  <c r="J26" i="40"/>
  <c r="AD26" i="40"/>
  <c r="F25" i="40"/>
  <c r="J25" i="40"/>
  <c r="AE25" i="40"/>
  <c r="F23" i="40"/>
  <c r="J23" i="40"/>
  <c r="AD23" i="40"/>
  <c r="F22" i="40"/>
  <c r="J22" i="40"/>
  <c r="AD22" i="40"/>
  <c r="F21" i="40"/>
  <c r="J21" i="40"/>
  <c r="AD21" i="40"/>
  <c r="F19" i="40"/>
  <c r="J19" i="40"/>
  <c r="AE19" i="40"/>
  <c r="F18" i="40"/>
  <c r="J18" i="40"/>
  <c r="AE18" i="40"/>
  <c r="AB239" i="40"/>
  <c r="AA250" i="40"/>
  <c r="AA239" i="40"/>
  <c r="AA247" i="40"/>
  <c r="T239" i="40"/>
  <c r="P239" i="40"/>
  <c r="O239" i="40"/>
  <c r="N239" i="40"/>
  <c r="M239" i="40"/>
  <c r="L239" i="40"/>
  <c r="H239" i="40"/>
  <c r="G239" i="40"/>
  <c r="AJ238" i="40"/>
  <c r="AI238" i="40"/>
  <c r="AF238" i="40"/>
  <c r="AE238" i="40"/>
  <c r="Z238" i="40"/>
  <c r="Y238" i="40"/>
  <c r="V238" i="40"/>
  <c r="Q238" i="40"/>
  <c r="AH238" i="40"/>
  <c r="AI237" i="40"/>
  <c r="Q237" i="40"/>
  <c r="AH237" i="40"/>
  <c r="AE237" i="40"/>
  <c r="AD237" i="40"/>
  <c r="Y237" i="40"/>
  <c r="X237" i="40"/>
  <c r="V237" i="40"/>
  <c r="AJ237" i="40"/>
  <c r="AI236" i="40"/>
  <c r="AH236" i="40"/>
  <c r="AE236" i="40"/>
  <c r="AD236" i="40"/>
  <c r="Y236" i="40"/>
  <c r="X236" i="40"/>
  <c r="V236" i="40"/>
  <c r="Q236" i="40"/>
  <c r="Z236" i="40"/>
  <c r="AC236" i="40"/>
  <c r="AJ235" i="40"/>
  <c r="AI235" i="40"/>
  <c r="AF235" i="40"/>
  <c r="AE235" i="40"/>
  <c r="Z235" i="40"/>
  <c r="Y235" i="40"/>
  <c r="V235" i="40"/>
  <c r="Q235" i="40"/>
  <c r="X235" i="40"/>
  <c r="AJ234" i="40"/>
  <c r="AI234" i="40"/>
  <c r="AF234" i="40"/>
  <c r="AE234" i="40"/>
  <c r="Z234" i="40"/>
  <c r="Y234" i="40"/>
  <c r="V234" i="40"/>
  <c r="Q234" i="40"/>
  <c r="AJ233" i="40"/>
  <c r="AI233" i="40"/>
  <c r="AF233" i="40"/>
  <c r="AE233" i="40"/>
  <c r="Z233" i="40"/>
  <c r="Y233" i="40"/>
  <c r="V233" i="40"/>
  <c r="Q233" i="40"/>
  <c r="AH233" i="40"/>
  <c r="AJ232" i="40"/>
  <c r="AH232" i="40"/>
  <c r="AF232" i="40"/>
  <c r="AD232" i="40"/>
  <c r="Z232" i="40"/>
  <c r="X232" i="40"/>
  <c r="V232" i="40"/>
  <c r="Q232" i="40"/>
  <c r="Y232" i="40"/>
  <c r="AJ231" i="40"/>
  <c r="AI231" i="40"/>
  <c r="AF231" i="40"/>
  <c r="AE231" i="40"/>
  <c r="Z231" i="40"/>
  <c r="Y231" i="40"/>
  <c r="V231" i="40"/>
  <c r="Q231" i="40"/>
  <c r="X231" i="40"/>
  <c r="AC231" i="40"/>
  <c r="AJ230" i="40"/>
  <c r="AH230" i="40"/>
  <c r="AF230" i="40"/>
  <c r="AD230" i="40"/>
  <c r="Z230" i="40"/>
  <c r="X230" i="40"/>
  <c r="V230" i="40"/>
  <c r="Q230" i="40"/>
  <c r="AI230" i="40"/>
  <c r="AJ229" i="40"/>
  <c r="AH229" i="40"/>
  <c r="AF229" i="40"/>
  <c r="AD229" i="40"/>
  <c r="Z229" i="40"/>
  <c r="X229" i="40"/>
  <c r="V229" i="40"/>
  <c r="Q229" i="40"/>
  <c r="Y229" i="40"/>
  <c r="AJ228" i="40"/>
  <c r="AH228" i="40"/>
  <c r="AF228" i="40"/>
  <c r="AD228" i="40"/>
  <c r="Z228" i="40"/>
  <c r="X228" i="40"/>
  <c r="V228" i="40"/>
  <c r="Q228" i="40"/>
  <c r="Y228" i="40"/>
  <c r="AJ227" i="40"/>
  <c r="AH227" i="40"/>
  <c r="AF227" i="40"/>
  <c r="AD227" i="40"/>
  <c r="Z227" i="40"/>
  <c r="X227" i="40"/>
  <c r="V227" i="40"/>
  <c r="Q227" i="40"/>
  <c r="AJ226" i="40"/>
  <c r="AI226" i="40"/>
  <c r="AF226" i="40"/>
  <c r="AE226" i="40"/>
  <c r="Z226" i="40"/>
  <c r="Y226" i="40"/>
  <c r="V226" i="40"/>
  <c r="Q226" i="40"/>
  <c r="AJ225" i="40"/>
  <c r="AI225" i="40"/>
  <c r="AF225" i="40"/>
  <c r="AE225" i="40"/>
  <c r="Z225" i="40"/>
  <c r="Y225" i="40"/>
  <c r="V225" i="40"/>
  <c r="Q225" i="40"/>
  <c r="AH225" i="40"/>
  <c r="AI224" i="40"/>
  <c r="AH224" i="40"/>
  <c r="AE224" i="40"/>
  <c r="AD224" i="40"/>
  <c r="Y224" i="40"/>
  <c r="X224" i="40"/>
  <c r="V224" i="40"/>
  <c r="Q224" i="40"/>
  <c r="Z224" i="40"/>
  <c r="AJ223" i="40"/>
  <c r="AH223" i="40"/>
  <c r="AF223" i="40"/>
  <c r="AD223" i="40"/>
  <c r="Z223" i="40"/>
  <c r="X223" i="40"/>
  <c r="V223" i="40"/>
  <c r="Q223" i="40"/>
  <c r="AJ222" i="40"/>
  <c r="AI222" i="40"/>
  <c r="AF222" i="40"/>
  <c r="AE222" i="40"/>
  <c r="Z222" i="40"/>
  <c r="Y222" i="40"/>
  <c r="V222" i="40"/>
  <c r="Q222" i="40"/>
  <c r="AJ221" i="40"/>
  <c r="AI221" i="40"/>
  <c r="AF221" i="40"/>
  <c r="AE221" i="40"/>
  <c r="Z221" i="40"/>
  <c r="Y221" i="40"/>
  <c r="V221" i="40"/>
  <c r="Q221" i="40"/>
  <c r="AH221" i="40"/>
  <c r="AI220" i="40"/>
  <c r="AH220" i="40"/>
  <c r="AE220" i="40"/>
  <c r="AD220" i="40"/>
  <c r="Y220" i="40"/>
  <c r="X220" i="40"/>
  <c r="V220" i="40"/>
  <c r="Q220" i="40"/>
  <c r="Z220" i="40"/>
  <c r="AJ219" i="40"/>
  <c r="AI219" i="40"/>
  <c r="AF219" i="40"/>
  <c r="AE219" i="40"/>
  <c r="Z219" i="40"/>
  <c r="Y219" i="40"/>
  <c r="V219" i="40"/>
  <c r="Q219" i="40"/>
  <c r="X219" i="40"/>
  <c r="AJ218" i="40"/>
  <c r="AI218" i="40"/>
  <c r="AF218" i="40"/>
  <c r="AE218" i="40"/>
  <c r="Z218" i="40"/>
  <c r="Y218" i="40"/>
  <c r="Q218" i="40"/>
  <c r="X218" i="40"/>
  <c r="AJ217" i="40"/>
  <c r="AI217" i="40"/>
  <c r="AF217" i="40"/>
  <c r="AE217" i="40"/>
  <c r="Z217" i="40"/>
  <c r="Y217" i="40"/>
  <c r="V217" i="40"/>
  <c r="Q217" i="40"/>
  <c r="AH217" i="40"/>
  <c r="AI216" i="40"/>
  <c r="AH216" i="40"/>
  <c r="AE216" i="40"/>
  <c r="AD216" i="40"/>
  <c r="Y216" i="40"/>
  <c r="X216" i="40"/>
  <c r="V216" i="40"/>
  <c r="Q216" i="40"/>
  <c r="AJ216" i="40"/>
  <c r="AJ215" i="40"/>
  <c r="AI215" i="40"/>
  <c r="AF215" i="40"/>
  <c r="AE215" i="40"/>
  <c r="Z215" i="40"/>
  <c r="Y215" i="40"/>
  <c r="V215" i="40"/>
  <c r="Q215" i="40"/>
  <c r="AJ214" i="40"/>
  <c r="AH214" i="40"/>
  <c r="AF214" i="40"/>
  <c r="AD214" i="40"/>
  <c r="Z214" i="40"/>
  <c r="X214" i="40"/>
  <c r="V214" i="40"/>
  <c r="Q214" i="40"/>
  <c r="Y214" i="40"/>
  <c r="AI213" i="40"/>
  <c r="AH213" i="40"/>
  <c r="AE213" i="40"/>
  <c r="AD213" i="40"/>
  <c r="Y213" i="40"/>
  <c r="X213" i="40"/>
  <c r="V213" i="40"/>
  <c r="Q213" i="40"/>
  <c r="Z213" i="40"/>
  <c r="AJ212" i="40"/>
  <c r="AH212" i="40"/>
  <c r="AF212" i="40"/>
  <c r="AD212" i="40"/>
  <c r="Z212" i="40"/>
  <c r="X212" i="40"/>
  <c r="V212" i="40"/>
  <c r="Q212" i="40"/>
  <c r="AJ211" i="40"/>
  <c r="AH211" i="40"/>
  <c r="AF211" i="40"/>
  <c r="AD211" i="40"/>
  <c r="Z211" i="40"/>
  <c r="X211" i="40"/>
  <c r="V211" i="40"/>
  <c r="Q211" i="40"/>
  <c r="AI211" i="40"/>
  <c r="AJ210" i="40"/>
  <c r="AH210" i="40"/>
  <c r="AF210" i="40"/>
  <c r="AD210" i="40"/>
  <c r="Z210" i="40"/>
  <c r="X210" i="40"/>
  <c r="V210" i="40"/>
  <c r="Q210" i="40"/>
  <c r="AI210" i="40"/>
  <c r="AJ209" i="40"/>
  <c r="AH209" i="40"/>
  <c r="AF209" i="40"/>
  <c r="AD209" i="40"/>
  <c r="Z209" i="40"/>
  <c r="X209" i="40"/>
  <c r="V209" i="40"/>
  <c r="Q209" i="40"/>
  <c r="Y209" i="40"/>
  <c r="AJ208" i="40"/>
  <c r="AH208" i="40"/>
  <c r="AF208" i="40"/>
  <c r="AD208" i="40"/>
  <c r="Z208" i="40"/>
  <c r="X208" i="40"/>
  <c r="V208" i="40"/>
  <c r="Q208" i="40"/>
  <c r="AJ207" i="40"/>
  <c r="AH207" i="40"/>
  <c r="AF207" i="40"/>
  <c r="AD207" i="40"/>
  <c r="Z207" i="40"/>
  <c r="X207" i="40"/>
  <c r="V207" i="40"/>
  <c r="Q207" i="40"/>
  <c r="AI207" i="40"/>
  <c r="AJ206" i="40"/>
  <c r="AI206" i="40"/>
  <c r="AF206" i="40"/>
  <c r="AE206" i="40"/>
  <c r="Z206" i="40"/>
  <c r="Y206" i="40"/>
  <c r="V206" i="40"/>
  <c r="Q206" i="40"/>
  <c r="AH206" i="40"/>
  <c r="AJ205" i="40"/>
  <c r="AI205" i="40"/>
  <c r="AF205" i="40"/>
  <c r="AE205" i="40"/>
  <c r="Z205" i="40"/>
  <c r="Y205" i="40"/>
  <c r="V205" i="40"/>
  <c r="Q205" i="40"/>
  <c r="X205" i="40"/>
  <c r="AJ204" i="40"/>
  <c r="AI204" i="40"/>
  <c r="AF204" i="40"/>
  <c r="AE204" i="40"/>
  <c r="Z204" i="40"/>
  <c r="Y204" i="40"/>
  <c r="V204" i="40"/>
  <c r="Q204" i="40"/>
  <c r="X204" i="40"/>
  <c r="AJ203" i="40"/>
  <c r="AI203" i="40"/>
  <c r="AF203" i="40"/>
  <c r="AE203" i="40"/>
  <c r="Z203" i="40"/>
  <c r="Y203" i="40"/>
  <c r="V203" i="40"/>
  <c r="Q203" i="40"/>
  <c r="AJ202" i="40"/>
  <c r="AH202" i="40"/>
  <c r="AF202" i="40"/>
  <c r="AD202" i="40"/>
  <c r="Z202" i="40"/>
  <c r="Q202" i="40"/>
  <c r="Y202" i="40"/>
  <c r="X202" i="40"/>
  <c r="V202" i="40"/>
  <c r="AI202" i="40"/>
  <c r="AJ201" i="40"/>
  <c r="AH201" i="40"/>
  <c r="AF201" i="40"/>
  <c r="AD201" i="40"/>
  <c r="Z201" i="40"/>
  <c r="X201" i="40"/>
  <c r="V201" i="40"/>
  <c r="Q201" i="40"/>
  <c r="AI201" i="40"/>
  <c r="AJ200" i="40"/>
  <c r="AH200" i="40"/>
  <c r="AF200" i="40"/>
  <c r="AD200" i="40"/>
  <c r="Z200" i="40"/>
  <c r="X200" i="40"/>
  <c r="Q200" i="40"/>
  <c r="V200" i="40"/>
  <c r="AJ199" i="40"/>
  <c r="AI199" i="40"/>
  <c r="AF199" i="40"/>
  <c r="AE199" i="40"/>
  <c r="Z199" i="40"/>
  <c r="Y199" i="40"/>
  <c r="V199" i="40"/>
  <c r="Q199" i="40"/>
  <c r="AJ198" i="40"/>
  <c r="AH198" i="40"/>
  <c r="AF198" i="40"/>
  <c r="AD198" i="40"/>
  <c r="Z198" i="40"/>
  <c r="X198" i="40"/>
  <c r="V198" i="40"/>
  <c r="Q198" i="40"/>
  <c r="Y198" i="40"/>
  <c r="AJ197" i="40"/>
  <c r="AH197" i="40"/>
  <c r="AF197" i="40"/>
  <c r="AD197" i="40"/>
  <c r="Z197" i="40"/>
  <c r="X197" i="40"/>
  <c r="V197" i="40"/>
  <c r="Q197" i="40"/>
  <c r="Y197" i="40"/>
  <c r="AJ196" i="40"/>
  <c r="AH196" i="40"/>
  <c r="AF196" i="40"/>
  <c r="AD196" i="40"/>
  <c r="Z196" i="40"/>
  <c r="X196" i="40"/>
  <c r="V196" i="40"/>
  <c r="Q196" i="40"/>
  <c r="AJ195" i="40"/>
  <c r="AI195" i="40"/>
  <c r="AF195" i="40"/>
  <c r="AE195" i="40"/>
  <c r="Z195" i="40"/>
  <c r="Y195" i="40"/>
  <c r="V195" i="40"/>
  <c r="Q195" i="40"/>
  <c r="AJ194" i="40"/>
  <c r="AI194" i="40"/>
  <c r="AF194" i="40"/>
  <c r="AE194" i="40"/>
  <c r="Z194" i="40"/>
  <c r="Y194" i="40"/>
  <c r="V194" i="40"/>
  <c r="Q194" i="40"/>
  <c r="AH194" i="40"/>
  <c r="AJ193" i="40"/>
  <c r="AI193" i="40"/>
  <c r="AF193" i="40"/>
  <c r="AE193" i="40"/>
  <c r="Z193" i="40"/>
  <c r="Y193" i="40"/>
  <c r="V193" i="40"/>
  <c r="Q193" i="40"/>
  <c r="X193" i="40"/>
  <c r="AJ192" i="40"/>
  <c r="AH192" i="40"/>
  <c r="AF192" i="40"/>
  <c r="AD192" i="40"/>
  <c r="Z192" i="40"/>
  <c r="X192" i="40"/>
  <c r="V192" i="40"/>
  <c r="Q192" i="40"/>
  <c r="AJ191" i="40"/>
  <c r="AI191" i="40"/>
  <c r="AF191" i="40"/>
  <c r="AE191" i="40"/>
  <c r="Z191" i="40"/>
  <c r="Y191" i="40"/>
  <c r="V191" i="40"/>
  <c r="Q191" i="40"/>
  <c r="I239" i="40"/>
  <c r="AJ190" i="40"/>
  <c r="AH190" i="40"/>
  <c r="AF190" i="40"/>
  <c r="AD190" i="40"/>
  <c r="Z190" i="40"/>
  <c r="X190" i="40"/>
  <c r="V190" i="40"/>
  <c r="Q190" i="40"/>
  <c r="AI190" i="40"/>
  <c r="AJ189" i="40"/>
  <c r="AI189" i="40"/>
  <c r="AF189" i="40"/>
  <c r="AE189" i="40"/>
  <c r="Z189" i="40"/>
  <c r="Y189" i="40"/>
  <c r="V189" i="40"/>
  <c r="Q189" i="40"/>
  <c r="AI188" i="40"/>
  <c r="AH188" i="40"/>
  <c r="AE188" i="40"/>
  <c r="AD188" i="40"/>
  <c r="Y188" i="40"/>
  <c r="X188" i="40"/>
  <c r="V188" i="40"/>
  <c r="Q188" i="40"/>
  <c r="Z188" i="40"/>
  <c r="AJ187" i="40"/>
  <c r="AH187" i="40"/>
  <c r="AF187" i="40"/>
  <c r="AD187" i="40"/>
  <c r="Z187" i="40"/>
  <c r="X187" i="40"/>
  <c r="V187" i="40"/>
  <c r="Q187" i="40"/>
  <c r="AI187" i="40"/>
  <c r="AJ186" i="40"/>
  <c r="AI186" i="40"/>
  <c r="AF186" i="40"/>
  <c r="AE186" i="40"/>
  <c r="Z186" i="40"/>
  <c r="Y186" i="40"/>
  <c r="V186" i="40"/>
  <c r="Q186" i="40"/>
  <c r="X186" i="40"/>
  <c r="AJ185" i="40"/>
  <c r="AH185" i="40"/>
  <c r="AF185" i="40"/>
  <c r="AD185" i="40"/>
  <c r="Z185" i="40"/>
  <c r="X185" i="40"/>
  <c r="V185" i="40"/>
  <c r="Q185" i="40"/>
  <c r="AI185" i="40"/>
  <c r="AJ184" i="40"/>
  <c r="AI184" i="40"/>
  <c r="AF184" i="40"/>
  <c r="AE184" i="40"/>
  <c r="Z184" i="40"/>
  <c r="Y184" i="40"/>
  <c r="V184" i="40"/>
  <c r="Q184" i="40"/>
  <c r="AH184" i="40"/>
  <c r="AJ183" i="40"/>
  <c r="AI183" i="40"/>
  <c r="AF183" i="40"/>
  <c r="AE183" i="40"/>
  <c r="Z183" i="40"/>
  <c r="Y183" i="40"/>
  <c r="Q183" i="40"/>
  <c r="V183" i="40"/>
  <c r="AJ182" i="40"/>
  <c r="AI182" i="40"/>
  <c r="Q182" i="40"/>
  <c r="AH182" i="40"/>
  <c r="AF182" i="40"/>
  <c r="AE182" i="40"/>
  <c r="Z182" i="40"/>
  <c r="Y182" i="40"/>
  <c r="V182" i="40"/>
  <c r="X182" i="40"/>
  <c r="AJ181" i="40"/>
  <c r="AH181" i="40"/>
  <c r="AF181" i="40"/>
  <c r="AD181" i="40"/>
  <c r="Z181" i="40"/>
  <c r="X181" i="40"/>
  <c r="V181" i="40"/>
  <c r="Q181" i="40"/>
  <c r="AI181" i="40"/>
  <c r="AJ180" i="40"/>
  <c r="AI180" i="40"/>
  <c r="AF180" i="40"/>
  <c r="AE180" i="40"/>
  <c r="Z180" i="40"/>
  <c r="Y180" i="40"/>
  <c r="V180" i="40"/>
  <c r="Q180" i="40"/>
  <c r="AH180" i="40"/>
  <c r="AJ179" i="40"/>
  <c r="AI179" i="40"/>
  <c r="AF179" i="40"/>
  <c r="AE179" i="40"/>
  <c r="Z179" i="40"/>
  <c r="Y179" i="40"/>
  <c r="V179" i="40"/>
  <c r="Q179" i="40"/>
  <c r="X179" i="40"/>
  <c r="AJ178" i="40"/>
  <c r="AI178" i="40"/>
  <c r="AF178" i="40"/>
  <c r="AE178" i="40"/>
  <c r="Z178" i="40"/>
  <c r="Y178" i="40"/>
  <c r="V178" i="40"/>
  <c r="Q178" i="40"/>
  <c r="X178" i="40"/>
  <c r="AJ177" i="40"/>
  <c r="AI177" i="40"/>
  <c r="AF177" i="40"/>
  <c r="AE177" i="40"/>
  <c r="Z177" i="40"/>
  <c r="Y177" i="40"/>
  <c r="V177" i="40"/>
  <c r="Q177" i="40"/>
  <c r="AJ176" i="40"/>
  <c r="AI176" i="40"/>
  <c r="AF176" i="40"/>
  <c r="AE176" i="40"/>
  <c r="Z176" i="40"/>
  <c r="Y176" i="40"/>
  <c r="V176" i="40"/>
  <c r="Q176" i="40"/>
  <c r="AH176" i="40"/>
  <c r="AJ175" i="40"/>
  <c r="AH175" i="40"/>
  <c r="AF175" i="40"/>
  <c r="AD175" i="40"/>
  <c r="Z175" i="40"/>
  <c r="X175" i="40"/>
  <c r="V175" i="40"/>
  <c r="Q175" i="40"/>
  <c r="Y175" i="40"/>
  <c r="AJ174" i="40"/>
  <c r="AI174" i="40"/>
  <c r="AF174" i="40"/>
  <c r="AE174" i="40"/>
  <c r="Z174" i="40"/>
  <c r="Y174" i="40"/>
  <c r="V174" i="40"/>
  <c r="Q174" i="40"/>
  <c r="X174" i="40"/>
  <c r="AJ173" i="40"/>
  <c r="AI173" i="40"/>
  <c r="AF173" i="40"/>
  <c r="AE173" i="40"/>
  <c r="Z173" i="40"/>
  <c r="Y173" i="40"/>
  <c r="V173" i="40"/>
  <c r="Q173" i="40"/>
  <c r="AJ172" i="40"/>
  <c r="AI172" i="40"/>
  <c r="AF172" i="40"/>
  <c r="AE172" i="40"/>
  <c r="Z172" i="40"/>
  <c r="Y172" i="40"/>
  <c r="V172" i="40"/>
  <c r="Q172" i="40"/>
  <c r="AH172" i="40"/>
  <c r="AJ171" i="40"/>
  <c r="AI171" i="40"/>
  <c r="AF171" i="40"/>
  <c r="AE171" i="40"/>
  <c r="Z171" i="40"/>
  <c r="Y171" i="40"/>
  <c r="V171" i="40"/>
  <c r="Q171" i="40"/>
  <c r="AH171" i="40"/>
  <c r="AJ170" i="40"/>
  <c r="AI170" i="40"/>
  <c r="AF170" i="40"/>
  <c r="AE170" i="40"/>
  <c r="Z170" i="40"/>
  <c r="Y170" i="40"/>
  <c r="V170" i="40"/>
  <c r="Q170" i="40"/>
  <c r="X170" i="40"/>
  <c r="AJ169" i="40"/>
  <c r="AH169" i="40"/>
  <c r="AF169" i="40"/>
  <c r="AD169" i="40"/>
  <c r="Z169" i="40"/>
  <c r="X169" i="40"/>
  <c r="V169" i="40"/>
  <c r="Q169" i="40"/>
  <c r="AI169" i="40"/>
  <c r="AJ168" i="40"/>
  <c r="AH168" i="40"/>
  <c r="AF168" i="40"/>
  <c r="AD168" i="40"/>
  <c r="Z168" i="40"/>
  <c r="X168" i="40"/>
  <c r="V168" i="40"/>
  <c r="Q168" i="40"/>
  <c r="Y168" i="40"/>
  <c r="AJ167" i="40"/>
  <c r="AH167" i="40"/>
  <c r="AF167" i="40"/>
  <c r="AD167" i="40"/>
  <c r="Z167" i="40"/>
  <c r="X167" i="40"/>
  <c r="V167" i="40"/>
  <c r="Q167" i="40"/>
  <c r="Y167" i="40"/>
  <c r="AJ166" i="40"/>
  <c r="AH166" i="40"/>
  <c r="AF166" i="40"/>
  <c r="AD166" i="40"/>
  <c r="Z166" i="40"/>
  <c r="X166" i="40"/>
  <c r="V166" i="40"/>
  <c r="Q166" i="40"/>
  <c r="AJ165" i="40"/>
  <c r="AI165" i="40"/>
  <c r="AF165" i="40"/>
  <c r="AE165" i="40"/>
  <c r="Z165" i="40"/>
  <c r="Y165" i="40"/>
  <c r="V165" i="40"/>
  <c r="Q165" i="40"/>
  <c r="AJ164" i="40"/>
  <c r="AI164" i="40"/>
  <c r="AF164" i="40"/>
  <c r="AE164" i="40"/>
  <c r="Z164" i="40"/>
  <c r="Y164" i="40"/>
  <c r="V164" i="40"/>
  <c r="Q164" i="40"/>
  <c r="AH164" i="40"/>
  <c r="AJ163" i="40"/>
  <c r="Q163" i="40"/>
  <c r="AI163" i="40"/>
  <c r="AH163" i="40"/>
  <c r="AF163" i="40"/>
  <c r="AD163" i="40"/>
  <c r="Z163" i="40"/>
  <c r="X163" i="40"/>
  <c r="V163" i="40"/>
  <c r="Y163" i="40"/>
  <c r="AJ162" i="40"/>
  <c r="AH162" i="40"/>
  <c r="AF162" i="40"/>
  <c r="AD162" i="40"/>
  <c r="Z162" i="40"/>
  <c r="X162" i="40"/>
  <c r="V162" i="40"/>
  <c r="Q162" i="40"/>
  <c r="AJ161" i="40"/>
  <c r="AI161" i="40"/>
  <c r="AF161" i="40"/>
  <c r="AE161" i="40"/>
  <c r="Z161" i="40"/>
  <c r="Y161" i="40"/>
  <c r="V161" i="40"/>
  <c r="Q161" i="40"/>
  <c r="AI160" i="40"/>
  <c r="AH160" i="40"/>
  <c r="AE160" i="40"/>
  <c r="AD160" i="40"/>
  <c r="Y160" i="40"/>
  <c r="X160" i="40"/>
  <c r="V160" i="40"/>
  <c r="Q160" i="40"/>
  <c r="Z160" i="40"/>
  <c r="AJ159" i="40"/>
  <c r="AH159" i="40"/>
  <c r="AF159" i="40"/>
  <c r="AD159" i="40"/>
  <c r="Z159" i="40"/>
  <c r="X159" i="40"/>
  <c r="V159" i="40"/>
  <c r="Q159" i="40"/>
  <c r="Y159" i="40"/>
  <c r="AJ158" i="40"/>
  <c r="AH158" i="40"/>
  <c r="AF158" i="40"/>
  <c r="AD158" i="40"/>
  <c r="Z158" i="40"/>
  <c r="X158" i="40"/>
  <c r="V158" i="40"/>
  <c r="Q158" i="40"/>
  <c r="AI157" i="40"/>
  <c r="AH157" i="40"/>
  <c r="AE157" i="40"/>
  <c r="AD157" i="40"/>
  <c r="Y157" i="40"/>
  <c r="X157" i="40"/>
  <c r="V157" i="40"/>
  <c r="Q157" i="40"/>
  <c r="AJ157" i="40"/>
  <c r="AJ156" i="40"/>
  <c r="AI156" i="40"/>
  <c r="AF156" i="40"/>
  <c r="AE156" i="40"/>
  <c r="Z156" i="40"/>
  <c r="Y156" i="40"/>
  <c r="V156" i="40"/>
  <c r="Q156" i="40"/>
  <c r="AH156" i="40"/>
  <c r="AJ155" i="40"/>
  <c r="AI155" i="40"/>
  <c r="AF155" i="40"/>
  <c r="AE155" i="40"/>
  <c r="Z155" i="40"/>
  <c r="Y155" i="40"/>
  <c r="V155" i="40"/>
  <c r="Q155" i="40"/>
  <c r="AH155" i="40"/>
  <c r="AI154" i="40"/>
  <c r="AH154" i="40"/>
  <c r="AE154" i="40"/>
  <c r="AD154" i="40"/>
  <c r="Y154" i="40"/>
  <c r="X154" i="40"/>
  <c r="V154" i="40"/>
  <c r="Q154" i="40"/>
  <c r="AJ154" i="40"/>
  <c r="AJ153" i="40"/>
  <c r="AI153" i="40"/>
  <c r="AF153" i="40"/>
  <c r="AE153" i="40"/>
  <c r="Z153" i="40"/>
  <c r="Y153" i="40"/>
  <c r="V153" i="40"/>
  <c r="Q153" i="40"/>
  <c r="AJ152" i="40"/>
  <c r="AH152" i="40"/>
  <c r="AF152" i="40"/>
  <c r="AD152" i="40"/>
  <c r="Z152" i="40"/>
  <c r="X152" i="40"/>
  <c r="V152" i="40"/>
  <c r="Q152" i="40"/>
  <c r="Y152" i="40"/>
  <c r="AJ151" i="40"/>
  <c r="AH151" i="40"/>
  <c r="AF151" i="40"/>
  <c r="AD151" i="40"/>
  <c r="Z151" i="40"/>
  <c r="X151" i="40"/>
  <c r="V151" i="40"/>
  <c r="Q151" i="40"/>
  <c r="Y151" i="40"/>
  <c r="AI150" i="40"/>
  <c r="AH150" i="40"/>
  <c r="AE150" i="40"/>
  <c r="AD150" i="40"/>
  <c r="Y150" i="40"/>
  <c r="X150" i="40"/>
  <c r="V150" i="40"/>
  <c r="Q150" i="40"/>
  <c r="AJ150" i="40"/>
  <c r="AJ149" i="40"/>
  <c r="AI149" i="40"/>
  <c r="AF149" i="40"/>
  <c r="AE149" i="40"/>
  <c r="Z149" i="40"/>
  <c r="Y149" i="40"/>
  <c r="V149" i="40"/>
  <c r="Q149" i="40"/>
  <c r="AJ148" i="40"/>
  <c r="AI148" i="40"/>
  <c r="AF148" i="40"/>
  <c r="AE148" i="40"/>
  <c r="Z148" i="40"/>
  <c r="Y148" i="40"/>
  <c r="V148" i="40"/>
  <c r="Q148" i="40"/>
  <c r="AH148" i="40"/>
  <c r="AJ147" i="40"/>
  <c r="AH147" i="40"/>
  <c r="AF147" i="40"/>
  <c r="AD147" i="40"/>
  <c r="Z147" i="40"/>
  <c r="X147" i="40"/>
  <c r="V147" i="40"/>
  <c r="Q147" i="40"/>
  <c r="Y147" i="40"/>
  <c r="AJ146" i="40"/>
  <c r="AH146" i="40"/>
  <c r="AF146" i="40"/>
  <c r="AD146" i="40"/>
  <c r="Z146" i="40"/>
  <c r="X146" i="40"/>
  <c r="V146" i="40"/>
  <c r="Q146" i="40"/>
  <c r="AJ145" i="40"/>
  <c r="AI145" i="40"/>
  <c r="AF145" i="40"/>
  <c r="AE145" i="40"/>
  <c r="Z145" i="40"/>
  <c r="Y145" i="40"/>
  <c r="V145" i="40"/>
  <c r="Q145" i="40"/>
  <c r="X145" i="40"/>
  <c r="AJ144" i="40"/>
  <c r="AI144" i="40"/>
  <c r="AF144" i="40"/>
  <c r="AE144" i="40"/>
  <c r="Z144" i="40"/>
  <c r="Y144" i="40"/>
  <c r="V144" i="40"/>
  <c r="Q144" i="40"/>
  <c r="AH144" i="40"/>
  <c r="AJ143" i="40"/>
  <c r="AI143" i="40"/>
  <c r="AF143" i="40"/>
  <c r="AE143" i="40"/>
  <c r="Z143" i="40"/>
  <c r="Y143" i="40"/>
  <c r="V143" i="40"/>
  <c r="Q143" i="40"/>
  <c r="AH143" i="40"/>
  <c r="AJ142" i="40"/>
  <c r="AI142" i="40"/>
  <c r="AF142" i="40"/>
  <c r="AE142" i="40"/>
  <c r="Z142" i="40"/>
  <c r="Y142" i="40"/>
  <c r="V142" i="40"/>
  <c r="Q142" i="40"/>
  <c r="AH142" i="40"/>
  <c r="AJ141" i="40"/>
  <c r="AI141" i="40"/>
  <c r="Q141" i="40"/>
  <c r="AH141" i="40"/>
  <c r="AF141" i="40"/>
  <c r="AE141" i="40"/>
  <c r="Z141" i="40"/>
  <c r="Y141" i="40"/>
  <c r="V141" i="40"/>
  <c r="X141" i="40"/>
  <c r="AJ140" i="40"/>
  <c r="AI140" i="40"/>
  <c r="AF140" i="40"/>
  <c r="AE140" i="40"/>
  <c r="Z140" i="40"/>
  <c r="Y140" i="40"/>
  <c r="V140" i="40"/>
  <c r="Q140" i="40"/>
  <c r="AH140" i="40"/>
  <c r="AJ139" i="40"/>
  <c r="AI139" i="40"/>
  <c r="AF139" i="40"/>
  <c r="AE139" i="40"/>
  <c r="Z139" i="40"/>
  <c r="Y139" i="40"/>
  <c r="V139" i="40"/>
  <c r="Q139" i="40"/>
  <c r="X139" i="40"/>
  <c r="AJ138" i="40"/>
  <c r="AI138" i="40"/>
  <c r="AF138" i="40"/>
  <c r="AE138" i="40"/>
  <c r="Z138" i="40"/>
  <c r="Y138" i="40"/>
  <c r="V138" i="40"/>
  <c r="Q138" i="40"/>
  <c r="AH138" i="40"/>
  <c r="AJ137" i="40"/>
  <c r="AI137" i="40"/>
  <c r="AF137" i="40"/>
  <c r="AE137" i="40"/>
  <c r="Z137" i="40"/>
  <c r="Y137" i="40"/>
  <c r="V137" i="40"/>
  <c r="Q137" i="40"/>
  <c r="X137" i="40"/>
  <c r="AJ136" i="40"/>
  <c r="AI136" i="40"/>
  <c r="AF136" i="40"/>
  <c r="AE136" i="40"/>
  <c r="Z136" i="40"/>
  <c r="Y136" i="40"/>
  <c r="V136" i="40"/>
  <c r="Q136" i="40"/>
  <c r="AH136" i="40"/>
  <c r="AJ135" i="40"/>
  <c r="AH135" i="40"/>
  <c r="AF135" i="40"/>
  <c r="AD135" i="40"/>
  <c r="Z135" i="40"/>
  <c r="X135" i="40"/>
  <c r="Q135" i="40"/>
  <c r="Y135" i="40"/>
  <c r="AJ134" i="40"/>
  <c r="AI134" i="40"/>
  <c r="AF134" i="40"/>
  <c r="AE134" i="40"/>
  <c r="Z134" i="40"/>
  <c r="Y134" i="40"/>
  <c r="Q134" i="40"/>
  <c r="X134" i="40"/>
  <c r="AJ133" i="40"/>
  <c r="AH133" i="40"/>
  <c r="AF133" i="40"/>
  <c r="AD133" i="40"/>
  <c r="Z133" i="40"/>
  <c r="X133" i="40"/>
  <c r="V133" i="40"/>
  <c r="Q133" i="40"/>
  <c r="Y133" i="40"/>
  <c r="AJ132" i="40"/>
  <c r="AH132" i="40"/>
  <c r="AF132" i="40"/>
  <c r="AD132" i="40"/>
  <c r="Z132" i="40"/>
  <c r="X132" i="40"/>
  <c r="V132" i="40"/>
  <c r="Q132" i="40"/>
  <c r="Y132" i="40"/>
  <c r="AI131" i="40"/>
  <c r="AH131" i="40"/>
  <c r="AE131" i="40"/>
  <c r="AD131" i="40"/>
  <c r="Y131" i="40"/>
  <c r="X131" i="40"/>
  <c r="Q131" i="40"/>
  <c r="Z131" i="40"/>
  <c r="AJ130" i="40"/>
  <c r="AI130" i="40"/>
  <c r="AF130" i="40"/>
  <c r="AE130" i="40"/>
  <c r="Z130" i="40"/>
  <c r="Y130" i="40"/>
  <c r="Q130" i="40"/>
  <c r="X130" i="40"/>
  <c r="V130" i="40"/>
  <c r="AH130" i="40"/>
  <c r="AJ129" i="40"/>
  <c r="AI129" i="40"/>
  <c r="AF129" i="40"/>
  <c r="AE129" i="40"/>
  <c r="Z129" i="40"/>
  <c r="Y129" i="40"/>
  <c r="V129" i="40"/>
  <c r="Q129" i="40"/>
  <c r="X129" i="40"/>
  <c r="AJ128" i="40"/>
  <c r="AH128" i="40"/>
  <c r="AF128" i="40"/>
  <c r="AD128" i="40"/>
  <c r="Z128" i="40"/>
  <c r="X128" i="40"/>
  <c r="V128" i="40"/>
  <c r="Q128" i="40"/>
  <c r="AI128" i="40"/>
  <c r="AJ127" i="40"/>
  <c r="AI127" i="40"/>
  <c r="AF127" i="40"/>
  <c r="AE127" i="40"/>
  <c r="Z127" i="40"/>
  <c r="Y127" i="40"/>
  <c r="V127" i="40"/>
  <c r="Q127" i="40"/>
  <c r="AH127" i="40"/>
  <c r="AJ126" i="40"/>
  <c r="AI126" i="40"/>
  <c r="AF126" i="40"/>
  <c r="AE126" i="40"/>
  <c r="Z126" i="40"/>
  <c r="Y126" i="40"/>
  <c r="V126" i="40"/>
  <c r="Q126" i="40"/>
  <c r="X126" i="40"/>
  <c r="AJ125" i="40"/>
  <c r="AI125" i="40"/>
  <c r="AF125" i="40"/>
  <c r="AE125" i="40"/>
  <c r="Z125" i="40"/>
  <c r="Y125" i="40"/>
  <c r="V125" i="40"/>
  <c r="Q125" i="40"/>
  <c r="AH125" i="40"/>
  <c r="AJ124" i="40"/>
  <c r="AI124" i="40"/>
  <c r="AF124" i="40"/>
  <c r="AE124" i="40"/>
  <c r="Z124" i="40"/>
  <c r="Y124" i="40"/>
  <c r="V124" i="40"/>
  <c r="Q124" i="40"/>
  <c r="X124" i="40"/>
  <c r="AJ123" i="40"/>
  <c r="AI123" i="40"/>
  <c r="AF123" i="40"/>
  <c r="AE123" i="40"/>
  <c r="Z123" i="40"/>
  <c r="Y123" i="40"/>
  <c r="V123" i="40"/>
  <c r="Q123" i="40"/>
  <c r="AH123" i="40"/>
  <c r="AJ122" i="40"/>
  <c r="AI122" i="40"/>
  <c r="AF122" i="40"/>
  <c r="AE122" i="40"/>
  <c r="Z122" i="40"/>
  <c r="Y122" i="40"/>
  <c r="V122" i="40"/>
  <c r="Q122" i="40"/>
  <c r="AH122" i="40"/>
  <c r="AJ121" i="40"/>
  <c r="AI121" i="40"/>
  <c r="AF121" i="40"/>
  <c r="AE121" i="40"/>
  <c r="Z121" i="40"/>
  <c r="Y121" i="40"/>
  <c r="V121" i="40"/>
  <c r="Q121" i="40"/>
  <c r="X121" i="40"/>
  <c r="AJ120" i="40"/>
  <c r="AI120" i="40"/>
  <c r="AF120" i="40"/>
  <c r="AE120" i="40"/>
  <c r="Z120" i="40"/>
  <c r="Y120" i="40"/>
  <c r="V120" i="40"/>
  <c r="Q120" i="40"/>
  <c r="X120" i="40"/>
  <c r="AJ119" i="40"/>
  <c r="AH119" i="40"/>
  <c r="AF119" i="40"/>
  <c r="AD119" i="40"/>
  <c r="Z119" i="40"/>
  <c r="X119" i="40"/>
  <c r="V119" i="40"/>
  <c r="Q119" i="40"/>
  <c r="AI119" i="40"/>
  <c r="AJ118" i="40"/>
  <c r="AH118" i="40"/>
  <c r="AF118" i="40"/>
  <c r="AD118" i="40"/>
  <c r="Z118" i="40"/>
  <c r="X118" i="40"/>
  <c r="V118" i="40"/>
  <c r="Q118" i="40"/>
  <c r="Y118" i="40"/>
  <c r="AJ117" i="40"/>
  <c r="AI117" i="40"/>
  <c r="AF117" i="40"/>
  <c r="AE117" i="40"/>
  <c r="Z117" i="40"/>
  <c r="Y117" i="40"/>
  <c r="V117" i="40"/>
  <c r="Q117" i="40"/>
  <c r="X117" i="40"/>
  <c r="AJ116" i="40"/>
  <c r="AI116" i="40"/>
  <c r="AF116" i="40"/>
  <c r="AE116" i="40"/>
  <c r="Z116" i="40"/>
  <c r="Y116" i="40"/>
  <c r="V116" i="40"/>
  <c r="Q116" i="40"/>
  <c r="X116" i="40"/>
  <c r="AC116" i="40"/>
  <c r="AJ115" i="40"/>
  <c r="AI115" i="40"/>
  <c r="AF115" i="40"/>
  <c r="AE115" i="40"/>
  <c r="Z115" i="40"/>
  <c r="Y115" i="40"/>
  <c r="V115" i="40"/>
  <c r="Q115" i="40"/>
  <c r="AH115" i="40"/>
  <c r="AJ114" i="40"/>
  <c r="AI114" i="40"/>
  <c r="AF114" i="40"/>
  <c r="AE114" i="40"/>
  <c r="Z114" i="40"/>
  <c r="Y114" i="40"/>
  <c r="V114" i="40"/>
  <c r="Q114" i="40"/>
  <c r="X114" i="40"/>
  <c r="AC114" i="40"/>
  <c r="AJ113" i="40"/>
  <c r="AI113" i="40"/>
  <c r="AF113" i="40"/>
  <c r="AE113" i="40"/>
  <c r="Z113" i="40"/>
  <c r="Y113" i="40"/>
  <c r="V113" i="40"/>
  <c r="Q113" i="40"/>
  <c r="X113" i="40"/>
  <c r="AC113" i="40"/>
  <c r="AJ112" i="40"/>
  <c r="AI112" i="40"/>
  <c r="Q112" i="40"/>
  <c r="AH112" i="40"/>
  <c r="AF112" i="40"/>
  <c r="AE112" i="40"/>
  <c r="Z112" i="40"/>
  <c r="Y112" i="40"/>
  <c r="V112" i="40"/>
  <c r="X112" i="40"/>
  <c r="AJ111" i="40"/>
  <c r="AI111" i="40"/>
  <c r="AF111" i="40"/>
  <c r="AE111" i="40"/>
  <c r="Z111" i="40"/>
  <c r="Y111" i="40"/>
  <c r="Q111" i="40"/>
  <c r="X111" i="40"/>
  <c r="AC111" i="40"/>
  <c r="V111" i="40"/>
  <c r="AH111" i="40"/>
  <c r="AJ110" i="40"/>
  <c r="AI110" i="40"/>
  <c r="AF110" i="40"/>
  <c r="AE110" i="40"/>
  <c r="Z110" i="40"/>
  <c r="Y110" i="40"/>
  <c r="V110" i="40"/>
  <c r="Q110" i="40"/>
  <c r="X110" i="40"/>
  <c r="AJ109" i="40"/>
  <c r="AI109" i="40"/>
  <c r="AF109" i="40"/>
  <c r="AE109" i="40"/>
  <c r="Z109" i="40"/>
  <c r="Y109" i="40"/>
  <c r="V109" i="40"/>
  <c r="Q109" i="40"/>
  <c r="X109" i="40"/>
  <c r="AJ108" i="40"/>
  <c r="AI108" i="40"/>
  <c r="AF108" i="40"/>
  <c r="AE108" i="40"/>
  <c r="Z108" i="40"/>
  <c r="Y108" i="40"/>
  <c r="V108" i="40"/>
  <c r="Q108" i="40"/>
  <c r="X108" i="40"/>
  <c r="AC108" i="40"/>
  <c r="AJ107" i="40"/>
  <c r="AI107" i="40"/>
  <c r="AF107" i="40"/>
  <c r="AE107" i="40"/>
  <c r="Z107" i="40"/>
  <c r="Y107" i="40"/>
  <c r="V107" i="40"/>
  <c r="Q107" i="40"/>
  <c r="AH107" i="40"/>
  <c r="AJ106" i="40"/>
  <c r="AI106" i="40"/>
  <c r="AF106" i="40"/>
  <c r="AE106" i="40"/>
  <c r="Z106" i="40"/>
  <c r="Y106" i="40"/>
  <c r="Q106" i="40"/>
  <c r="X106" i="40"/>
  <c r="AC106" i="40"/>
  <c r="V106" i="40"/>
  <c r="AH106" i="40"/>
  <c r="AJ105" i="40"/>
  <c r="AI105" i="40"/>
  <c r="AF105" i="40"/>
  <c r="AE105" i="40"/>
  <c r="Z105" i="40"/>
  <c r="Y105" i="40"/>
  <c r="V105" i="40"/>
  <c r="Q105" i="40"/>
  <c r="AH105" i="40"/>
  <c r="AJ104" i="40"/>
  <c r="AI104" i="40"/>
  <c r="AF104" i="40"/>
  <c r="AE104" i="40"/>
  <c r="Z104" i="40"/>
  <c r="Y104" i="40"/>
  <c r="V104" i="40"/>
  <c r="Q104" i="40"/>
  <c r="X104" i="40"/>
  <c r="AC104" i="40"/>
  <c r="AI103" i="40"/>
  <c r="AH103" i="40"/>
  <c r="AE103" i="40"/>
  <c r="AD103" i="40"/>
  <c r="Y103" i="40"/>
  <c r="X103" i="40"/>
  <c r="V103" i="40"/>
  <c r="Q103" i="40"/>
  <c r="AJ103" i="40"/>
  <c r="AJ102" i="40"/>
  <c r="AI102" i="40"/>
  <c r="AF102" i="40"/>
  <c r="AE102" i="40"/>
  <c r="Z102" i="40"/>
  <c r="Y102" i="40"/>
  <c r="Q102" i="40"/>
  <c r="X102" i="40"/>
  <c r="AC102" i="40"/>
  <c r="V102" i="40"/>
  <c r="AH102" i="40"/>
  <c r="AJ101" i="40"/>
  <c r="AH101" i="40"/>
  <c r="AF101" i="40"/>
  <c r="AD101" i="40"/>
  <c r="Z101" i="40"/>
  <c r="X101" i="40"/>
  <c r="V101" i="40"/>
  <c r="Q101" i="40"/>
  <c r="Y101" i="40"/>
  <c r="AJ100" i="40"/>
  <c r="AH100" i="40"/>
  <c r="AF100" i="40"/>
  <c r="AD100" i="40"/>
  <c r="Z100" i="40"/>
  <c r="Q100" i="40"/>
  <c r="Y100" i="40"/>
  <c r="X100" i="40"/>
  <c r="V100" i="40"/>
  <c r="AI100" i="40"/>
  <c r="AJ99" i="40"/>
  <c r="AH99" i="40"/>
  <c r="AF99" i="40"/>
  <c r="AD99" i="40"/>
  <c r="Z99" i="40"/>
  <c r="Q99" i="40"/>
  <c r="Y99" i="40"/>
  <c r="X99" i="40"/>
  <c r="V99" i="40"/>
  <c r="AI99" i="40"/>
  <c r="AJ98" i="40"/>
  <c r="AH98" i="40"/>
  <c r="AF98" i="40"/>
  <c r="AD98" i="40"/>
  <c r="Z98" i="40"/>
  <c r="X98" i="40"/>
  <c r="V98" i="40"/>
  <c r="Q98" i="40"/>
  <c r="AI98" i="40"/>
  <c r="AJ97" i="40"/>
  <c r="AI97" i="40"/>
  <c r="AF97" i="40"/>
  <c r="AE97" i="40"/>
  <c r="Z97" i="40"/>
  <c r="Y97" i="40"/>
  <c r="Q97" i="40"/>
  <c r="X97" i="40"/>
  <c r="AC97" i="40"/>
  <c r="V97" i="40"/>
  <c r="AH97" i="40"/>
  <c r="AJ96" i="40"/>
  <c r="AH96" i="40"/>
  <c r="AF96" i="40"/>
  <c r="AD96" i="40"/>
  <c r="Z96" i="40"/>
  <c r="X96" i="40"/>
  <c r="V96" i="40"/>
  <c r="Q96" i="40"/>
  <c r="AI96" i="40"/>
  <c r="AJ95" i="40"/>
  <c r="AH95" i="40"/>
  <c r="AF95" i="40"/>
  <c r="AD95" i="40"/>
  <c r="Z95" i="40"/>
  <c r="X95" i="40"/>
  <c r="V95" i="40"/>
  <c r="Q95" i="40"/>
  <c r="Y95" i="40"/>
  <c r="AI94" i="40"/>
  <c r="AH94" i="40"/>
  <c r="AE94" i="40"/>
  <c r="AD94" i="40"/>
  <c r="Y94" i="40"/>
  <c r="X94" i="40"/>
  <c r="V94" i="40"/>
  <c r="Q94" i="40"/>
  <c r="Z94" i="40"/>
  <c r="AI93" i="40"/>
  <c r="AH93" i="40"/>
  <c r="AE93" i="40"/>
  <c r="AD93" i="40"/>
  <c r="Y93" i="40"/>
  <c r="X93" i="40"/>
  <c r="V93" i="40"/>
  <c r="Q93" i="40"/>
  <c r="AJ93" i="40"/>
  <c r="AJ92" i="40"/>
  <c r="AI92" i="40"/>
  <c r="AF92" i="40"/>
  <c r="AE92" i="40"/>
  <c r="Z92" i="40"/>
  <c r="Y92" i="40"/>
  <c r="V92" i="40"/>
  <c r="Q92" i="40"/>
  <c r="X92" i="40"/>
  <c r="AJ91" i="40"/>
  <c r="AI91" i="40"/>
  <c r="AF91" i="40"/>
  <c r="AE91" i="40"/>
  <c r="Z91" i="40"/>
  <c r="Y91" i="40"/>
  <c r="V91" i="40"/>
  <c r="Q91" i="40"/>
  <c r="AJ90" i="40"/>
  <c r="AI90" i="40"/>
  <c r="AF90" i="40"/>
  <c r="AE90" i="40"/>
  <c r="Z90" i="40"/>
  <c r="Y90" i="40"/>
  <c r="V90" i="40"/>
  <c r="Q90" i="40"/>
  <c r="X90" i="40"/>
  <c r="AC90" i="40"/>
  <c r="AJ89" i="40"/>
  <c r="AI89" i="40"/>
  <c r="Q89" i="40"/>
  <c r="AH89" i="40"/>
  <c r="AF89" i="40"/>
  <c r="AE89" i="40"/>
  <c r="Z89" i="40"/>
  <c r="Y89" i="40"/>
  <c r="V89" i="40"/>
  <c r="X89" i="40"/>
  <c r="AJ88" i="40"/>
  <c r="AI88" i="40"/>
  <c r="AF88" i="40"/>
  <c r="AE88" i="40"/>
  <c r="Z88" i="40"/>
  <c r="Y88" i="40"/>
  <c r="V88" i="40"/>
  <c r="Q88" i="40"/>
  <c r="X88" i="40"/>
  <c r="AJ87" i="40"/>
  <c r="AI87" i="40"/>
  <c r="AF87" i="40"/>
  <c r="AE87" i="40"/>
  <c r="Z87" i="40"/>
  <c r="Y87" i="40"/>
  <c r="V87" i="40"/>
  <c r="Q87" i="40"/>
  <c r="AH87" i="40"/>
  <c r="AJ86" i="40"/>
  <c r="AI86" i="40"/>
  <c r="AF86" i="40"/>
  <c r="AE86" i="40"/>
  <c r="Z86" i="40"/>
  <c r="Y86" i="40"/>
  <c r="V86" i="40"/>
  <c r="Q86" i="40"/>
  <c r="X86" i="40"/>
  <c r="AJ85" i="40"/>
  <c r="AH85" i="40"/>
  <c r="AF85" i="40"/>
  <c r="AD85" i="40"/>
  <c r="Z85" i="40"/>
  <c r="X85" i="40"/>
  <c r="V85" i="40"/>
  <c r="Q85" i="40"/>
  <c r="Y85" i="40"/>
  <c r="AJ84" i="40"/>
  <c r="AH84" i="40"/>
  <c r="AF84" i="40"/>
  <c r="AD84" i="40"/>
  <c r="Z84" i="40"/>
  <c r="X84" i="40"/>
  <c r="V84" i="40"/>
  <c r="Q84" i="40"/>
  <c r="AI84" i="40"/>
  <c r="AJ83" i="40"/>
  <c r="AH83" i="40"/>
  <c r="AF83" i="40"/>
  <c r="AD83" i="40"/>
  <c r="Z83" i="40"/>
  <c r="X83" i="40"/>
  <c r="V83" i="40"/>
  <c r="Q83" i="40"/>
  <c r="AJ82" i="40"/>
  <c r="AI82" i="40"/>
  <c r="Q82" i="40"/>
  <c r="AH82" i="40"/>
  <c r="AF82" i="40"/>
  <c r="AE82" i="40"/>
  <c r="Z82" i="40"/>
  <c r="Y82" i="40"/>
  <c r="V82" i="40"/>
  <c r="X82" i="40"/>
  <c r="AJ81" i="40"/>
  <c r="AH81" i="40"/>
  <c r="AF81" i="40"/>
  <c r="AD81" i="40"/>
  <c r="Z81" i="40"/>
  <c r="X81" i="40"/>
  <c r="Q81" i="40"/>
  <c r="Y81" i="40"/>
  <c r="AC81" i="40"/>
  <c r="V81" i="40"/>
  <c r="AJ80" i="40"/>
  <c r="Q80" i="40"/>
  <c r="AI80" i="40"/>
  <c r="AH80" i="40"/>
  <c r="AF80" i="40"/>
  <c r="AD80" i="40"/>
  <c r="Z80" i="40"/>
  <c r="X80" i="40"/>
  <c r="V80" i="40"/>
  <c r="Y80" i="40"/>
  <c r="AJ79" i="40"/>
  <c r="AI79" i="40"/>
  <c r="AF79" i="40"/>
  <c r="AE79" i="40"/>
  <c r="Z79" i="40"/>
  <c r="Y79" i="40"/>
  <c r="V79" i="40"/>
  <c r="Q79" i="40"/>
  <c r="AJ78" i="40"/>
  <c r="AI78" i="40"/>
  <c r="AF78" i="40"/>
  <c r="AE78" i="40"/>
  <c r="Z78" i="40"/>
  <c r="Y78" i="40"/>
  <c r="V78" i="40"/>
  <c r="Q78" i="40"/>
  <c r="X78" i="40"/>
  <c r="AJ77" i="40"/>
  <c r="AI77" i="40"/>
  <c r="AF77" i="40"/>
  <c r="AE77" i="40"/>
  <c r="Z77" i="40"/>
  <c r="Y77" i="40"/>
  <c r="V77" i="40"/>
  <c r="Q77" i="40"/>
  <c r="AH77" i="40"/>
  <c r="AJ76" i="40"/>
  <c r="AH76" i="40"/>
  <c r="AF76" i="40"/>
  <c r="AD76" i="40"/>
  <c r="Z76" i="40"/>
  <c r="X76" i="40"/>
  <c r="V76" i="40"/>
  <c r="Q76" i="40"/>
  <c r="Y76" i="40"/>
  <c r="AC76" i="40"/>
  <c r="AJ75" i="40"/>
  <c r="AI75" i="40"/>
  <c r="AF75" i="40"/>
  <c r="AE75" i="40"/>
  <c r="Z75" i="40"/>
  <c r="Y75" i="40"/>
  <c r="V75" i="40"/>
  <c r="Q75" i="40"/>
  <c r="AJ74" i="40"/>
  <c r="AI74" i="40"/>
  <c r="AF74" i="40"/>
  <c r="AE74" i="40"/>
  <c r="Z74" i="40"/>
  <c r="Y74" i="40"/>
  <c r="V74" i="40"/>
  <c r="Q74" i="40"/>
  <c r="X74" i="40"/>
  <c r="AC74" i="40"/>
  <c r="AJ73" i="40"/>
  <c r="AI73" i="40"/>
  <c r="AF73" i="40"/>
  <c r="AE73" i="40"/>
  <c r="Z73" i="40"/>
  <c r="Y73" i="40"/>
  <c r="V73" i="40"/>
  <c r="Q73" i="40"/>
  <c r="AH73" i="40"/>
  <c r="AJ72" i="40"/>
  <c r="AI72" i="40"/>
  <c r="Q72" i="40"/>
  <c r="AH72" i="40"/>
  <c r="AF72" i="40"/>
  <c r="AE72" i="40"/>
  <c r="Z72" i="40"/>
  <c r="Y72" i="40"/>
  <c r="X72" i="40"/>
  <c r="V72" i="40"/>
  <c r="AJ71" i="40"/>
  <c r="AI71" i="40"/>
  <c r="AF71" i="40"/>
  <c r="AE71" i="40"/>
  <c r="Z71" i="40"/>
  <c r="Y71" i="40"/>
  <c r="V71" i="40"/>
  <c r="Q71" i="40"/>
  <c r="AH71" i="40"/>
  <c r="AJ70" i="40"/>
  <c r="AI70" i="40"/>
  <c r="AF70" i="40"/>
  <c r="AE70" i="40"/>
  <c r="Z70" i="40"/>
  <c r="Y70" i="40"/>
  <c r="V70" i="40"/>
  <c r="Q70" i="40"/>
  <c r="X70" i="40"/>
  <c r="AJ69" i="40"/>
  <c r="AI69" i="40"/>
  <c r="AF69" i="40"/>
  <c r="AE69" i="40"/>
  <c r="Z69" i="40"/>
  <c r="Y69" i="40"/>
  <c r="V69" i="40"/>
  <c r="Q69" i="40"/>
  <c r="AH69" i="40"/>
  <c r="AJ68" i="40"/>
  <c r="AI68" i="40"/>
  <c r="AF68" i="40"/>
  <c r="AE68" i="40"/>
  <c r="Z68" i="40"/>
  <c r="Y68" i="40"/>
  <c r="V68" i="40"/>
  <c r="Q68" i="40"/>
  <c r="X68" i="40"/>
  <c r="AJ67" i="40"/>
  <c r="AI67" i="40"/>
  <c r="AF67" i="40"/>
  <c r="AE67" i="40"/>
  <c r="Z67" i="40"/>
  <c r="Y67" i="40"/>
  <c r="V67" i="40"/>
  <c r="Q67" i="40"/>
  <c r="AH67" i="40"/>
  <c r="AJ66" i="40"/>
  <c r="AI66" i="40"/>
  <c r="AF66" i="40"/>
  <c r="AE66" i="40"/>
  <c r="Z66" i="40"/>
  <c r="Y66" i="40"/>
  <c r="V66" i="40"/>
  <c r="Q66" i="40"/>
  <c r="X66" i="40"/>
  <c r="AJ65" i="40"/>
  <c r="AI65" i="40"/>
  <c r="AF65" i="40"/>
  <c r="AE65" i="40"/>
  <c r="Z65" i="40"/>
  <c r="Y65" i="40"/>
  <c r="V65" i="40"/>
  <c r="Q65" i="40"/>
  <c r="AH65" i="40"/>
  <c r="AJ64" i="40"/>
  <c r="AI64" i="40"/>
  <c r="AF64" i="40"/>
  <c r="AE64" i="40"/>
  <c r="Z64" i="40"/>
  <c r="Y64" i="40"/>
  <c r="V64" i="40"/>
  <c r="Q64" i="40"/>
  <c r="X64" i="40"/>
  <c r="AJ63" i="40"/>
  <c r="AI63" i="40"/>
  <c r="AF63" i="40"/>
  <c r="AE63" i="40"/>
  <c r="Z63" i="40"/>
  <c r="Y63" i="40"/>
  <c r="V63" i="40"/>
  <c r="Q63" i="40"/>
  <c r="AH63" i="40"/>
  <c r="AI62" i="40"/>
  <c r="AH62" i="40"/>
  <c r="AE62" i="40"/>
  <c r="AD62" i="40"/>
  <c r="Y62" i="40"/>
  <c r="X62" i="40"/>
  <c r="V62" i="40"/>
  <c r="Q62" i="40"/>
  <c r="Z62" i="40"/>
  <c r="AJ61" i="40"/>
  <c r="AH61" i="40"/>
  <c r="AF61" i="40"/>
  <c r="AD61" i="40"/>
  <c r="Z61" i="40"/>
  <c r="X61" i="40"/>
  <c r="V61" i="40"/>
  <c r="Q61" i="40"/>
  <c r="Y61" i="40"/>
  <c r="AJ60" i="40"/>
  <c r="AH60" i="40"/>
  <c r="AF60" i="40"/>
  <c r="AD60" i="40"/>
  <c r="Z60" i="40"/>
  <c r="X60" i="40"/>
  <c r="V60" i="40"/>
  <c r="Q60" i="40"/>
  <c r="AI60" i="40"/>
  <c r="AJ59" i="40"/>
  <c r="AI59" i="40"/>
  <c r="AF59" i="40"/>
  <c r="AE59" i="40"/>
  <c r="Z59" i="40"/>
  <c r="Y59" i="40"/>
  <c r="Q59" i="40"/>
  <c r="X59" i="40"/>
  <c r="V59" i="40"/>
  <c r="AH59" i="40"/>
  <c r="AJ58" i="40"/>
  <c r="AH58" i="40"/>
  <c r="AF58" i="40"/>
  <c r="AD58" i="40"/>
  <c r="Z58" i="40"/>
  <c r="X58" i="40"/>
  <c r="V58" i="40"/>
  <c r="Q58" i="40"/>
  <c r="AI58" i="40"/>
  <c r="AJ57" i="40"/>
  <c r="AI57" i="40"/>
  <c r="AF57" i="40"/>
  <c r="AE57" i="40"/>
  <c r="Z57" i="40"/>
  <c r="Y57" i="40"/>
  <c r="V57" i="40"/>
  <c r="Q57" i="40"/>
  <c r="AH57" i="40"/>
  <c r="AJ56" i="40"/>
  <c r="AI56" i="40"/>
  <c r="AF56" i="40"/>
  <c r="AE56" i="40"/>
  <c r="Z56" i="40"/>
  <c r="Y56" i="40"/>
  <c r="Q56" i="40"/>
  <c r="X56" i="40"/>
  <c r="V56" i="40"/>
  <c r="AH56" i="40"/>
  <c r="AJ55" i="40"/>
  <c r="AH55" i="40"/>
  <c r="AF55" i="40"/>
  <c r="AD55" i="40"/>
  <c r="Z55" i="40"/>
  <c r="X55" i="40"/>
  <c r="V55" i="40"/>
  <c r="Q55" i="40"/>
  <c r="Y55" i="40"/>
  <c r="AJ54" i="40"/>
  <c r="AH54" i="40"/>
  <c r="AF54" i="40"/>
  <c r="AD54" i="40"/>
  <c r="Z54" i="40"/>
  <c r="Q54" i="40"/>
  <c r="Y54" i="40"/>
  <c r="X54" i="40"/>
  <c r="AC54" i="40"/>
  <c r="V54" i="40"/>
  <c r="AI54" i="40"/>
  <c r="AJ53" i="40"/>
  <c r="AH53" i="40"/>
  <c r="AF53" i="40"/>
  <c r="AD53" i="40"/>
  <c r="Z53" i="40"/>
  <c r="X53" i="40"/>
  <c r="V53" i="40"/>
  <c r="Q53" i="40"/>
  <c r="Y53" i="40"/>
  <c r="AJ52" i="40"/>
  <c r="AH52" i="40"/>
  <c r="AF52" i="40"/>
  <c r="AD52" i="40"/>
  <c r="Z52" i="40"/>
  <c r="X52" i="40"/>
  <c r="V52" i="40"/>
  <c r="Q52" i="40"/>
  <c r="Y52" i="40"/>
  <c r="AJ51" i="40"/>
  <c r="AI51" i="40"/>
  <c r="AF51" i="40"/>
  <c r="AE51" i="40"/>
  <c r="Z51" i="40"/>
  <c r="Y51" i="40"/>
  <c r="V51" i="40"/>
  <c r="Q51" i="40"/>
  <c r="AH51" i="40"/>
  <c r="AJ50" i="40"/>
  <c r="AI50" i="40"/>
  <c r="Q50" i="40"/>
  <c r="AH50" i="40"/>
  <c r="AF50" i="40"/>
  <c r="AE50" i="40"/>
  <c r="Z50" i="40"/>
  <c r="Y50" i="40"/>
  <c r="V50" i="40"/>
  <c r="X50" i="40"/>
  <c r="AJ49" i="40"/>
  <c r="AI49" i="40"/>
  <c r="AF49" i="40"/>
  <c r="AE49" i="40"/>
  <c r="Z49" i="40"/>
  <c r="Y49" i="40"/>
  <c r="Q49" i="40"/>
  <c r="X49" i="40"/>
  <c r="AC49" i="40"/>
  <c r="V49" i="40"/>
  <c r="AH49" i="40"/>
  <c r="AJ48" i="40"/>
  <c r="AH48" i="40"/>
  <c r="AF48" i="40"/>
  <c r="AD48" i="40"/>
  <c r="Z48" i="40"/>
  <c r="X48" i="40"/>
  <c r="V48" i="40"/>
  <c r="Q48" i="40"/>
  <c r="Y48" i="40"/>
  <c r="AJ47" i="40"/>
  <c r="AI47" i="40"/>
  <c r="AF47" i="40"/>
  <c r="AE47" i="40"/>
  <c r="Z47" i="40"/>
  <c r="Y47" i="40"/>
  <c r="V47" i="40"/>
  <c r="Q47" i="40"/>
  <c r="AH47" i="40"/>
  <c r="AJ46" i="40"/>
  <c r="AI46" i="40"/>
  <c r="AF46" i="40"/>
  <c r="AE46" i="40"/>
  <c r="Z46" i="40"/>
  <c r="Y46" i="40"/>
  <c r="V46" i="40"/>
  <c r="Q46" i="40"/>
  <c r="X46" i="40"/>
  <c r="AJ45" i="40"/>
  <c r="AH45" i="40"/>
  <c r="AF45" i="40"/>
  <c r="AD45" i="40"/>
  <c r="Z45" i="40"/>
  <c r="X45" i="40"/>
  <c r="V45" i="40"/>
  <c r="Q45" i="40"/>
  <c r="Y45" i="40"/>
  <c r="E239" i="40"/>
  <c r="AJ44" i="40"/>
  <c r="AI44" i="40"/>
  <c r="AF44" i="40"/>
  <c r="AE44" i="40"/>
  <c r="Z44" i="40"/>
  <c r="Y44" i="40"/>
  <c r="Q44" i="40"/>
  <c r="AH44" i="40"/>
  <c r="AJ43" i="40"/>
  <c r="AI43" i="40"/>
  <c r="AF43" i="40"/>
  <c r="AE43" i="40"/>
  <c r="Z43" i="40"/>
  <c r="Y43" i="40"/>
  <c r="V43" i="40"/>
  <c r="Q43" i="40"/>
  <c r="AH43" i="40"/>
  <c r="AI42" i="40"/>
  <c r="AH42" i="40"/>
  <c r="AE42" i="40"/>
  <c r="AD42" i="40"/>
  <c r="Y42" i="40"/>
  <c r="X42" i="40"/>
  <c r="V42" i="40"/>
  <c r="Q42" i="40"/>
  <c r="Z42" i="40"/>
  <c r="AI41" i="40"/>
  <c r="AH41" i="40"/>
  <c r="AE41" i="40"/>
  <c r="AD41" i="40"/>
  <c r="Y41" i="40"/>
  <c r="X41" i="40"/>
  <c r="V41" i="40"/>
  <c r="Q41" i="40"/>
  <c r="AJ41" i="40"/>
  <c r="AJ40" i="40"/>
  <c r="AI40" i="40"/>
  <c r="AF40" i="40"/>
  <c r="AE40" i="40"/>
  <c r="Z40" i="40"/>
  <c r="Y40" i="40"/>
  <c r="V40" i="40"/>
  <c r="Q40" i="40"/>
  <c r="X40" i="40"/>
  <c r="AJ39" i="40"/>
  <c r="AI39" i="40"/>
  <c r="AF39" i="40"/>
  <c r="AE39" i="40"/>
  <c r="Z39" i="40"/>
  <c r="Y39" i="40"/>
  <c r="V39" i="40"/>
  <c r="Q39" i="40"/>
  <c r="AH39" i="40"/>
  <c r="AJ38" i="40"/>
  <c r="AI38" i="40"/>
  <c r="AF38" i="40"/>
  <c r="AE38" i="40"/>
  <c r="Z38" i="40"/>
  <c r="Y38" i="40"/>
  <c r="V38" i="40"/>
  <c r="Q38" i="40"/>
  <c r="X38" i="40"/>
  <c r="AJ37" i="40"/>
  <c r="AI37" i="40"/>
  <c r="AF37" i="40"/>
  <c r="AE37" i="40"/>
  <c r="Z37" i="40"/>
  <c r="Y37" i="40"/>
  <c r="V37" i="40"/>
  <c r="Q37" i="40"/>
  <c r="AH37" i="40"/>
  <c r="AJ36" i="40"/>
  <c r="AI36" i="40"/>
  <c r="AF36" i="40"/>
  <c r="AE36" i="40"/>
  <c r="Z36" i="40"/>
  <c r="Y36" i="40"/>
  <c r="V36" i="40"/>
  <c r="Q36" i="40"/>
  <c r="AH36" i="40"/>
  <c r="AJ35" i="40"/>
  <c r="AI35" i="40"/>
  <c r="AF35" i="40"/>
  <c r="AE35" i="40"/>
  <c r="Z35" i="40"/>
  <c r="Y35" i="40"/>
  <c r="V35" i="40"/>
  <c r="Q35" i="40"/>
  <c r="X35" i="40"/>
  <c r="AJ34" i="40"/>
  <c r="AI34" i="40"/>
  <c r="AF34" i="40"/>
  <c r="AE34" i="40"/>
  <c r="Z34" i="40"/>
  <c r="Y34" i="40"/>
  <c r="V34" i="40"/>
  <c r="Q34" i="40"/>
  <c r="X34" i="40"/>
  <c r="AJ33" i="40"/>
  <c r="AI33" i="40"/>
  <c r="AF33" i="40"/>
  <c r="AE33" i="40"/>
  <c r="Z33" i="40"/>
  <c r="Y33" i="40"/>
  <c r="V33" i="40"/>
  <c r="Q33" i="40"/>
  <c r="AH33" i="40"/>
  <c r="AJ32" i="40"/>
  <c r="AI32" i="40"/>
  <c r="AF32" i="40"/>
  <c r="AE32" i="40"/>
  <c r="Z32" i="40"/>
  <c r="Y32" i="40"/>
  <c r="V32" i="40"/>
  <c r="Q32" i="40"/>
  <c r="X32" i="40"/>
  <c r="AJ31" i="40"/>
  <c r="AI31" i="40"/>
  <c r="AF31" i="40"/>
  <c r="AE31" i="40"/>
  <c r="Z31" i="40"/>
  <c r="Y31" i="40"/>
  <c r="V31" i="40"/>
  <c r="Q31" i="40"/>
  <c r="AH31" i="40"/>
  <c r="AJ30" i="40"/>
  <c r="AI30" i="40"/>
  <c r="AF30" i="40"/>
  <c r="AE30" i="40"/>
  <c r="Z30" i="40"/>
  <c r="Y30" i="40"/>
  <c r="V30" i="40"/>
  <c r="Q30" i="40"/>
  <c r="X30" i="40"/>
  <c r="AJ29" i="40"/>
  <c r="AH29" i="40"/>
  <c r="AF29" i="40"/>
  <c r="AD29" i="40"/>
  <c r="Z29" i="40"/>
  <c r="X29" i="40"/>
  <c r="V29" i="40"/>
  <c r="Q29" i="40"/>
  <c r="Y29" i="40"/>
  <c r="AJ28" i="40"/>
  <c r="AI28" i="40"/>
  <c r="AF28" i="40"/>
  <c r="AE28" i="40"/>
  <c r="Z28" i="40"/>
  <c r="Y28" i="40"/>
  <c r="Q28" i="40"/>
  <c r="X28" i="40"/>
  <c r="AC28" i="40"/>
  <c r="V28" i="40"/>
  <c r="AH28" i="40"/>
  <c r="AJ27" i="40"/>
  <c r="AI27" i="40"/>
  <c r="AF27" i="40"/>
  <c r="AE27" i="40"/>
  <c r="Z27" i="40"/>
  <c r="Y27" i="40"/>
  <c r="V27" i="40"/>
  <c r="Q27" i="40"/>
  <c r="AH27" i="40"/>
  <c r="AJ26" i="40"/>
  <c r="AI26" i="40"/>
  <c r="AF26" i="40"/>
  <c r="AE26" i="40"/>
  <c r="Z26" i="40"/>
  <c r="Y26" i="40"/>
  <c r="V26" i="40"/>
  <c r="Q26" i="40"/>
  <c r="X26" i="40"/>
  <c r="AC26" i="40"/>
  <c r="AJ25" i="40"/>
  <c r="AH25" i="40"/>
  <c r="AF25" i="40"/>
  <c r="AD25" i="40"/>
  <c r="Z25" i="40"/>
  <c r="X25" i="40"/>
  <c r="V25" i="40"/>
  <c r="Q25" i="40"/>
  <c r="AI25" i="40"/>
  <c r="AJ24" i="40"/>
  <c r="AI24" i="40"/>
  <c r="AF24" i="40"/>
  <c r="AE24" i="40"/>
  <c r="Z24" i="40"/>
  <c r="Y24" i="40"/>
  <c r="V24" i="40"/>
  <c r="Q24" i="40"/>
  <c r="X24" i="40"/>
  <c r="AJ23" i="40"/>
  <c r="AI23" i="40"/>
  <c r="AF23" i="40"/>
  <c r="AE23" i="40"/>
  <c r="Z23" i="40"/>
  <c r="Y23" i="40"/>
  <c r="V23" i="40"/>
  <c r="Q23" i="40"/>
  <c r="X23" i="40"/>
  <c r="AJ22" i="40"/>
  <c r="AI22" i="40"/>
  <c r="AF22" i="40"/>
  <c r="AE22" i="40"/>
  <c r="Z22" i="40"/>
  <c r="Y22" i="40"/>
  <c r="V22" i="40"/>
  <c r="Q22" i="40"/>
  <c r="X22" i="40"/>
  <c r="AJ21" i="40"/>
  <c r="AI21" i="40"/>
  <c r="AF21" i="40"/>
  <c r="AE21" i="40"/>
  <c r="Z21" i="40"/>
  <c r="Y21" i="40"/>
  <c r="V21" i="40"/>
  <c r="Q21" i="40"/>
  <c r="AH21" i="40"/>
  <c r="AJ20" i="40"/>
  <c r="AH20" i="40"/>
  <c r="AF20" i="40"/>
  <c r="AD20" i="40"/>
  <c r="Z20" i="40"/>
  <c r="X20" i="40"/>
  <c r="V20" i="40"/>
  <c r="Q20" i="40"/>
  <c r="Y20" i="40"/>
  <c r="AJ19" i="40"/>
  <c r="AH19" i="40"/>
  <c r="AF19" i="40"/>
  <c r="AD19" i="40"/>
  <c r="Z19" i="40"/>
  <c r="X19" i="40"/>
  <c r="V19" i="40"/>
  <c r="Q19" i="40"/>
  <c r="Y19" i="40"/>
  <c r="AJ18" i="40"/>
  <c r="AH18" i="40"/>
  <c r="AF18" i="40"/>
  <c r="AD18" i="40"/>
  <c r="Z18" i="40"/>
  <c r="X18" i="40"/>
  <c r="V18" i="40"/>
  <c r="Q18" i="40"/>
  <c r="AI18" i="40"/>
  <c r="AJ17" i="40"/>
  <c r="AI17" i="40"/>
  <c r="AF17" i="40"/>
  <c r="AE17" i="40"/>
  <c r="Z17" i="40"/>
  <c r="Y17" i="40"/>
  <c r="V17" i="40"/>
  <c r="Q17" i="40"/>
  <c r="AH17" i="40"/>
  <c r="AJ16" i="40"/>
  <c r="AH16" i="40"/>
  <c r="AF16" i="40"/>
  <c r="AD16" i="40"/>
  <c r="Z16" i="40"/>
  <c r="Q16" i="40"/>
  <c r="Y16" i="40"/>
  <c r="X16" i="40"/>
  <c r="AC16" i="40"/>
  <c r="V16" i="40"/>
  <c r="AI16" i="40"/>
  <c r="I191" i="39"/>
  <c r="I240" i="40"/>
  <c r="M240" i="40"/>
  <c r="J247" i="40"/>
  <c r="X176" i="40"/>
  <c r="AC176" i="40"/>
  <c r="AH88" i="40"/>
  <c r="AL88" i="40"/>
  <c r="AC38" i="40"/>
  <c r="AH40" i="40"/>
  <c r="AL40" i="40"/>
  <c r="AH32" i="40"/>
  <c r="AL32" i="40"/>
  <c r="X36" i="40"/>
  <c r="AC36" i="40"/>
  <c r="AC20" i="40"/>
  <c r="AC40" i="40"/>
  <c r="X44" i="40"/>
  <c r="AC46" i="40"/>
  <c r="AC64" i="40"/>
  <c r="AC66" i="40"/>
  <c r="AC72" i="40"/>
  <c r="AC86" i="40"/>
  <c r="AC100" i="40"/>
  <c r="AC110" i="40"/>
  <c r="AC145" i="40"/>
  <c r="X206" i="40"/>
  <c r="AC206" i="40"/>
  <c r="AC228" i="40"/>
  <c r="AC232" i="40"/>
  <c r="AC32" i="40"/>
  <c r="X21" i="40"/>
  <c r="AC21" i="40"/>
  <c r="AC34" i="40"/>
  <c r="AH70" i="40"/>
  <c r="AL70" i="40"/>
  <c r="AI76" i="40"/>
  <c r="AC85" i="40"/>
  <c r="Y98" i="40"/>
  <c r="AC98" i="40"/>
  <c r="AC129" i="40"/>
  <c r="AH137" i="40"/>
  <c r="X148" i="40"/>
  <c r="AC148" i="40"/>
  <c r="AI159" i="40"/>
  <c r="AC24" i="40"/>
  <c r="X27" i="40"/>
  <c r="AC27" i="40"/>
  <c r="AC30" i="40"/>
  <c r="AC35" i="40"/>
  <c r="X39" i="40"/>
  <c r="AC39" i="40"/>
  <c r="AI52" i="40"/>
  <c r="AH78" i="40"/>
  <c r="X87" i="40"/>
  <c r="AC87" i="40"/>
  <c r="AC89" i="40"/>
  <c r="AH92" i="40"/>
  <c r="X105" i="40"/>
  <c r="AC105" i="40"/>
  <c r="AI135" i="40"/>
  <c r="AC160" i="40"/>
  <c r="X180" i="40"/>
  <c r="X194" i="40"/>
  <c r="AC194" i="40"/>
  <c r="Y25" i="40"/>
  <c r="X31" i="40"/>
  <c r="AC31" i="40"/>
  <c r="AC48" i="40"/>
  <c r="AC52" i="40"/>
  <c r="AH109" i="40"/>
  <c r="AH117" i="40"/>
  <c r="AL117" i="40"/>
  <c r="AC124" i="40"/>
  <c r="AH134" i="40"/>
  <c r="AL134" i="40"/>
  <c r="AC139" i="40"/>
  <c r="AH186" i="40"/>
  <c r="Y190" i="40"/>
  <c r="AC190" i="40"/>
  <c r="AI197" i="40"/>
  <c r="X221" i="40"/>
  <c r="AC224" i="40"/>
  <c r="AJ224" i="40"/>
  <c r="X225" i="40"/>
  <c r="AC225" i="40"/>
  <c r="X172" i="40"/>
  <c r="AC172" i="40"/>
  <c r="AH178" i="40"/>
  <c r="AL178" i="40"/>
  <c r="AC193" i="40"/>
  <c r="Y201" i="40"/>
  <c r="AC201" i="40"/>
  <c r="AC205" i="40"/>
  <c r="X217" i="40"/>
  <c r="AC217" i="40"/>
  <c r="AH219" i="40"/>
  <c r="X156" i="40"/>
  <c r="AC156" i="40"/>
  <c r="X171" i="40"/>
  <c r="AC171" i="40"/>
  <c r="AC179" i="40"/>
  <c r="X184" i="40"/>
  <c r="AC209" i="40"/>
  <c r="AI167" i="40"/>
  <c r="AC197" i="40"/>
  <c r="AI198" i="40"/>
  <c r="AL198" i="40"/>
  <c r="AI209" i="40"/>
  <c r="AC221" i="40"/>
  <c r="AL59" i="40"/>
  <c r="AL100" i="40"/>
  <c r="AL172" i="40"/>
  <c r="AL112" i="40"/>
  <c r="AL54" i="40"/>
  <c r="AL107" i="40"/>
  <c r="AL180" i="40"/>
  <c r="AL109" i="40"/>
  <c r="AC80" i="40"/>
  <c r="AC159" i="40"/>
  <c r="AI118" i="40"/>
  <c r="AC151" i="40"/>
  <c r="AC175" i="40"/>
  <c r="AH179" i="40"/>
  <c r="AL179" i="40"/>
  <c r="AI20" i="40"/>
  <c r="AI45" i="40"/>
  <c r="AI48" i="40"/>
  <c r="Y60" i="40"/>
  <c r="AC60" i="40"/>
  <c r="AH68" i="40"/>
  <c r="AH90" i="40"/>
  <c r="AL90" i="40"/>
  <c r="AJ131" i="40"/>
  <c r="AL131" i="40"/>
  <c r="AL138" i="40"/>
  <c r="AH139" i="40"/>
  <c r="AL17" i="40"/>
  <c r="AH38" i="40"/>
  <c r="AL38" i="40"/>
  <c r="X63" i="40"/>
  <c r="AC63" i="40"/>
  <c r="X73" i="40"/>
  <c r="AC73" i="40"/>
  <c r="AC78" i="40"/>
  <c r="AH86" i="40"/>
  <c r="AH104" i="40"/>
  <c r="AH110" i="40"/>
  <c r="AH114" i="40"/>
  <c r="AL114" i="40"/>
  <c r="AH116" i="40"/>
  <c r="AC117" i="40"/>
  <c r="AC118" i="40"/>
  <c r="AC121" i="40"/>
  <c r="X122" i="40"/>
  <c r="AC122" i="40"/>
  <c r="X125" i="40"/>
  <c r="AC125" i="40"/>
  <c r="AC126" i="40"/>
  <c r="AH126" i="40"/>
  <c r="AL126" i="40"/>
  <c r="AL127" i="40"/>
  <c r="AC131" i="40"/>
  <c r="AI133" i="40"/>
  <c r="AC137" i="40"/>
  <c r="X138" i="40"/>
  <c r="AC138" i="40"/>
  <c r="X143" i="40"/>
  <c r="AC143" i="40"/>
  <c r="X144" i="40"/>
  <c r="AC144" i="40"/>
  <c r="AI147" i="40"/>
  <c r="AI151" i="40"/>
  <c r="AI152" i="40"/>
  <c r="AL154" i="40"/>
  <c r="X155" i="40"/>
  <c r="AC155" i="40"/>
  <c r="AJ160" i="40"/>
  <c r="AL164" i="40"/>
  <c r="AC167" i="40"/>
  <c r="AI175" i="40"/>
  <c r="AL175" i="40"/>
  <c r="AC178" i="40"/>
  <c r="AC182" i="40"/>
  <c r="X183" i="40"/>
  <c r="AC183" i="40"/>
  <c r="AC186" i="40"/>
  <c r="AC188" i="40"/>
  <c r="AH193" i="40"/>
  <c r="AL193" i="40"/>
  <c r="AC204" i="40"/>
  <c r="AH205" i="40"/>
  <c r="Y210" i="40"/>
  <c r="Y211" i="40"/>
  <c r="AC211" i="40"/>
  <c r="AC213" i="40"/>
  <c r="AJ213" i="40"/>
  <c r="AC214" i="40"/>
  <c r="AC219" i="40"/>
  <c r="AC220" i="40"/>
  <c r="AI228" i="40"/>
  <c r="AI229" i="40"/>
  <c r="AL229" i="40"/>
  <c r="AH231" i="40"/>
  <c r="X233" i="40"/>
  <c r="AC233" i="40"/>
  <c r="AC235" i="40"/>
  <c r="V239" i="40"/>
  <c r="AH24" i="40"/>
  <c r="AL24" i="40"/>
  <c r="AH64" i="40"/>
  <c r="AL64" i="40"/>
  <c r="AI95" i="40"/>
  <c r="AL102" i="40"/>
  <c r="AC133" i="40"/>
  <c r="AC147" i="40"/>
  <c r="AI168" i="40"/>
  <c r="AH183" i="40"/>
  <c r="AJ188" i="40"/>
  <c r="AL188" i="40"/>
  <c r="AI214" i="40"/>
  <c r="AL214" i="40"/>
  <c r="AJ220" i="40"/>
  <c r="AC59" i="40"/>
  <c r="AC68" i="40"/>
  <c r="AC94" i="40"/>
  <c r="Y96" i="40"/>
  <c r="AC96" i="40"/>
  <c r="AH113" i="40"/>
  <c r="AL122" i="40"/>
  <c r="AC130" i="40"/>
  <c r="AC132" i="40"/>
  <c r="AL143" i="40"/>
  <c r="Y181" i="40"/>
  <c r="AC181" i="40"/>
  <c r="Y185" i="40"/>
  <c r="AC185" i="40"/>
  <c r="Y187" i="40"/>
  <c r="AC187" i="40"/>
  <c r="AC23" i="40"/>
  <c r="AH26" i="40"/>
  <c r="X33" i="40"/>
  <c r="AC33" i="40"/>
  <c r="AJ42" i="40"/>
  <c r="AL42" i="40"/>
  <c r="AC45" i="40"/>
  <c r="AI55" i="40"/>
  <c r="Y58" i="40"/>
  <c r="AC58" i="40"/>
  <c r="AC62" i="40"/>
  <c r="AJ62" i="40"/>
  <c r="AL62" i="40"/>
  <c r="X17" i="40"/>
  <c r="AC17" i="40"/>
  <c r="Y18" i="40"/>
  <c r="AC18" i="40"/>
  <c r="AC19" i="40"/>
  <c r="AC22" i="40"/>
  <c r="AH30" i="40"/>
  <c r="AL30" i="40"/>
  <c r="AC42" i="40"/>
  <c r="AH46" i="40"/>
  <c r="AL46" i="40"/>
  <c r="AC50" i="40"/>
  <c r="X51" i="40"/>
  <c r="AC51" i="40"/>
  <c r="AI53" i="40"/>
  <c r="AL56" i="40"/>
  <c r="AC56" i="40"/>
  <c r="AL63" i="40"/>
  <c r="AH66" i="40"/>
  <c r="AL67" i="40"/>
  <c r="AC70" i="40"/>
  <c r="AH74" i="40"/>
  <c r="AL74" i="40"/>
  <c r="X77" i="40"/>
  <c r="AC77" i="40"/>
  <c r="AL78" i="40"/>
  <c r="AI81" i="40"/>
  <c r="AC82" i="40"/>
  <c r="AL87" i="40"/>
  <c r="AC88" i="40"/>
  <c r="AJ94" i="40"/>
  <c r="AC101" i="40"/>
  <c r="AH108" i="40"/>
  <c r="AC109" i="40"/>
  <c r="AC112" i="40"/>
  <c r="AC120" i="40"/>
  <c r="X127" i="40"/>
  <c r="AH129" i="40"/>
  <c r="AL129" i="40"/>
  <c r="AC134" i="40"/>
  <c r="X136" i="40"/>
  <c r="AC136" i="40"/>
  <c r="AC141" i="40"/>
  <c r="AH145" i="40"/>
  <c r="AL145" i="40"/>
  <c r="AC163" i="40"/>
  <c r="X164" i="40"/>
  <c r="AC170" i="40"/>
  <c r="AL171" i="40"/>
  <c r="AC174" i="40"/>
  <c r="AL176" i="40"/>
  <c r="AL194" i="40"/>
  <c r="AC198" i="40"/>
  <c r="AL206" i="40"/>
  <c r="AC210" i="40"/>
  <c r="Y230" i="40"/>
  <c r="AC230" i="40"/>
  <c r="AI232" i="40"/>
  <c r="AL232" i="40"/>
  <c r="AL217" i="40"/>
  <c r="AL31" i="40"/>
  <c r="AL37" i="40"/>
  <c r="AL207" i="40"/>
  <c r="AL216" i="40"/>
  <c r="AL18" i="40"/>
  <c r="AL27" i="40"/>
  <c r="AL28" i="40"/>
  <c r="AL36" i="40"/>
  <c r="AL41" i="40"/>
  <c r="AL45" i="40"/>
  <c r="AL47" i="40"/>
  <c r="AL93" i="40"/>
  <c r="AL96" i="40"/>
  <c r="AL113" i="40"/>
  <c r="AL128" i="40"/>
  <c r="AL137" i="40"/>
  <c r="AL156" i="40"/>
  <c r="AL163" i="40"/>
  <c r="AL169" i="40"/>
  <c r="AL181" i="40"/>
  <c r="AL183" i="40"/>
  <c r="AL185" i="40"/>
  <c r="AL219" i="40"/>
  <c r="AL51" i="40"/>
  <c r="AL53" i="40"/>
  <c r="AL130" i="40"/>
  <c r="AL148" i="40"/>
  <c r="AL155" i="40"/>
  <c r="AL201" i="40"/>
  <c r="AL205" i="40"/>
  <c r="AL230" i="40"/>
  <c r="AL231" i="40"/>
  <c r="AL65" i="40"/>
  <c r="AL82" i="40"/>
  <c r="AL116" i="40"/>
  <c r="AL141" i="40"/>
  <c r="AL150" i="40"/>
  <c r="AL21" i="40"/>
  <c r="AL55" i="40"/>
  <c r="AL68" i="40"/>
  <c r="AL73" i="40"/>
  <c r="AL108" i="40"/>
  <c r="AL110" i="40"/>
  <c r="AL139" i="40"/>
  <c r="AL144" i="40"/>
  <c r="AL147" i="40"/>
  <c r="AL151" i="40"/>
  <c r="AL182" i="40"/>
  <c r="AL186" i="40"/>
  <c r="AL211" i="40"/>
  <c r="AL221" i="40"/>
  <c r="AL233" i="40"/>
  <c r="AL43" i="40"/>
  <c r="AL49" i="40"/>
  <c r="AL57" i="40"/>
  <c r="AL80" i="40"/>
  <c r="AL84" i="40"/>
  <c r="AL104" i="40"/>
  <c r="AL25" i="40"/>
  <c r="AL26" i="40"/>
  <c r="AL33" i="40"/>
  <c r="AL44" i="40"/>
  <c r="AL58" i="40"/>
  <c r="AL66" i="40"/>
  <c r="AL69" i="40"/>
  <c r="AL71" i="40"/>
  <c r="AL77" i="40"/>
  <c r="AL86" i="40"/>
  <c r="AL94" i="40"/>
  <c r="AL99" i="40"/>
  <c r="AL103" i="40"/>
  <c r="AL105" i="40"/>
  <c r="AL106" i="40"/>
  <c r="AL111" i="40"/>
  <c r="AL115" i="40"/>
  <c r="AL123" i="40"/>
  <c r="AL136" i="40"/>
  <c r="AL140" i="40"/>
  <c r="AL142" i="40"/>
  <c r="AL184" i="40"/>
  <c r="AL190" i="40"/>
  <c r="AL220" i="40"/>
  <c r="AE16" i="40"/>
  <c r="AE239" i="40"/>
  <c r="AE243" i="40"/>
  <c r="AI61" i="40"/>
  <c r="AL61" i="40"/>
  <c r="AL39" i="40"/>
  <c r="AH23" i="40"/>
  <c r="AL23" i="40"/>
  <c r="AI29" i="40"/>
  <c r="AL29" i="40"/>
  <c r="AH35" i="40"/>
  <c r="AL35" i="40"/>
  <c r="Z41" i="40"/>
  <c r="AL60" i="40"/>
  <c r="AL72" i="40"/>
  <c r="AL92" i="40"/>
  <c r="AH91" i="40"/>
  <c r="AL91" i="40"/>
  <c r="X91" i="40"/>
  <c r="AC91" i="40"/>
  <c r="X79" i="40"/>
  <c r="AC79" i="40"/>
  <c r="AH79" i="40"/>
  <c r="AL79" i="40"/>
  <c r="Y83" i="40"/>
  <c r="AC83" i="40"/>
  <c r="AI83" i="40"/>
  <c r="AL83" i="40"/>
  <c r="AL48" i="40"/>
  <c r="AL20" i="40"/>
  <c r="AH22" i="40"/>
  <c r="AL22" i="40"/>
  <c r="AC25" i="40"/>
  <c r="AH34" i="40"/>
  <c r="AL34" i="40"/>
  <c r="X37" i="40"/>
  <c r="AC37" i="40"/>
  <c r="AC41" i="40"/>
  <c r="X43" i="40"/>
  <c r="AC43" i="40"/>
  <c r="AC44" i="40"/>
  <c r="X47" i="40"/>
  <c r="AC47" i="40"/>
  <c r="AL50" i="40"/>
  <c r="AC53" i="40"/>
  <c r="AC55" i="40"/>
  <c r="X57" i="40"/>
  <c r="AC57" i="40"/>
  <c r="X69" i="40"/>
  <c r="AC69" i="40"/>
  <c r="X71" i="40"/>
  <c r="AC71" i="40"/>
  <c r="AL76" i="40"/>
  <c r="AL89" i="40"/>
  <c r="AL95" i="40"/>
  <c r="AL97" i="40"/>
  <c r="AL157" i="40"/>
  <c r="X75" i="40"/>
  <c r="AC75" i="40"/>
  <c r="AH75" i="40"/>
  <c r="AL75" i="40"/>
  <c r="AI19" i="40"/>
  <c r="AC29" i="40"/>
  <c r="AL52" i="40"/>
  <c r="AC61" i="40"/>
  <c r="X65" i="40"/>
  <c r="AC65" i="40"/>
  <c r="X67" i="40"/>
  <c r="AC67" i="40"/>
  <c r="AL81" i="40"/>
  <c r="AC92" i="40"/>
  <c r="AL119" i="40"/>
  <c r="AL125" i="40"/>
  <c r="AC135" i="40"/>
  <c r="X161" i="40"/>
  <c r="AC161" i="40"/>
  <c r="AH161" i="40"/>
  <c r="AL161" i="40"/>
  <c r="Y166" i="40"/>
  <c r="AC166" i="40"/>
  <c r="AI166" i="40"/>
  <c r="AL166" i="40"/>
  <c r="X189" i="40"/>
  <c r="AC189" i="40"/>
  <c r="AH189" i="40"/>
  <c r="AL189" i="40"/>
  <c r="Y192" i="40"/>
  <c r="AC192" i="40"/>
  <c r="AI192" i="40"/>
  <c r="AL192" i="40"/>
  <c r="X199" i="40"/>
  <c r="AC199" i="40"/>
  <c r="AH199" i="40"/>
  <c r="AL199" i="40"/>
  <c r="Y212" i="40"/>
  <c r="AC212" i="40"/>
  <c r="AI212" i="40"/>
  <c r="AL212" i="40"/>
  <c r="X215" i="40"/>
  <c r="AC215" i="40"/>
  <c r="AH215" i="40"/>
  <c r="AL215" i="40"/>
  <c r="Y223" i="40"/>
  <c r="AC223" i="40"/>
  <c r="AI223" i="40"/>
  <c r="AL223" i="40"/>
  <c r="Y84" i="40"/>
  <c r="AC84" i="40"/>
  <c r="Z93" i="40"/>
  <c r="AC93" i="40"/>
  <c r="AC95" i="40"/>
  <c r="AC99" i="40"/>
  <c r="Z103" i="40"/>
  <c r="Y119" i="40"/>
  <c r="AC119" i="40"/>
  <c r="AH121" i="40"/>
  <c r="AL121" i="40"/>
  <c r="AH124" i="40"/>
  <c r="AL124" i="40"/>
  <c r="AC127" i="40"/>
  <c r="Z150" i="40"/>
  <c r="AC150" i="40"/>
  <c r="AC152" i="40"/>
  <c r="Z157" i="40"/>
  <c r="AC157" i="40"/>
  <c r="AC164" i="40"/>
  <c r="Y169" i="40"/>
  <c r="AC169" i="40"/>
  <c r="AH170" i="40"/>
  <c r="AL170" i="40"/>
  <c r="AH174" i="40"/>
  <c r="AL174" i="40"/>
  <c r="AC180" i="40"/>
  <c r="AL197" i="40"/>
  <c r="AC202" i="40"/>
  <c r="AH204" i="40"/>
  <c r="AL204" i="40"/>
  <c r="AL209" i="40"/>
  <c r="AL210" i="40"/>
  <c r="AL213" i="40"/>
  <c r="AL224" i="40"/>
  <c r="AL225" i="40"/>
  <c r="AH235" i="40"/>
  <c r="AL235" i="40"/>
  <c r="X153" i="40"/>
  <c r="AC153" i="40"/>
  <c r="AH153" i="40"/>
  <c r="AL153" i="40"/>
  <c r="X173" i="40"/>
  <c r="AC173" i="40"/>
  <c r="AH173" i="40"/>
  <c r="AL173" i="40"/>
  <c r="Y196" i="40"/>
  <c r="AC196" i="40"/>
  <c r="AI196" i="40"/>
  <c r="AL196" i="40"/>
  <c r="X203" i="40"/>
  <c r="AC203" i="40"/>
  <c r="AH203" i="40"/>
  <c r="AL203" i="40"/>
  <c r="Y208" i="40"/>
  <c r="AC208" i="40"/>
  <c r="AI208" i="40"/>
  <c r="AL208" i="40"/>
  <c r="X226" i="40"/>
  <c r="AC226" i="40"/>
  <c r="AH226" i="40"/>
  <c r="AL226" i="40"/>
  <c r="Y146" i="40"/>
  <c r="AC146" i="40"/>
  <c r="AI146" i="40"/>
  <c r="AL146" i="40"/>
  <c r="X149" i="40"/>
  <c r="AC149" i="40"/>
  <c r="AH149" i="40"/>
  <c r="AL149" i="40"/>
  <c r="Y162" i="40"/>
  <c r="AC162" i="40"/>
  <c r="AI162" i="40"/>
  <c r="AL162" i="40"/>
  <c r="X165" i="40"/>
  <c r="AC165" i="40"/>
  <c r="AH165" i="40"/>
  <c r="AL165" i="40"/>
  <c r="X177" i="40"/>
  <c r="AC177" i="40"/>
  <c r="AH177" i="40"/>
  <c r="AL177" i="40"/>
  <c r="X191" i="40"/>
  <c r="AC191" i="40"/>
  <c r="AH191" i="40"/>
  <c r="AL191" i="40"/>
  <c r="Y200" i="40"/>
  <c r="AC200" i="40"/>
  <c r="AI200" i="40"/>
  <c r="AL200" i="40"/>
  <c r="X222" i="40"/>
  <c r="AC222" i="40"/>
  <c r="AH222" i="40"/>
  <c r="AL222" i="40"/>
  <c r="X234" i="40"/>
  <c r="AC234" i="40"/>
  <c r="AH234" i="40"/>
  <c r="AL234" i="40"/>
  <c r="AL152" i="40"/>
  <c r="AL202" i="40"/>
  <c r="Q239" i="40"/>
  <c r="AF239" i="40"/>
  <c r="AF243" i="40"/>
  <c r="AI85" i="40"/>
  <c r="AL85" i="40"/>
  <c r="AL98" i="40"/>
  <c r="AH120" i="40"/>
  <c r="AL120" i="40"/>
  <c r="X123" i="40"/>
  <c r="AC123" i="40"/>
  <c r="Y128" i="40"/>
  <c r="AC128" i="40"/>
  <c r="AI132" i="40"/>
  <c r="AL132" i="40"/>
  <c r="X142" i="40"/>
  <c r="AC142" i="40"/>
  <c r="AL159" i="40"/>
  <c r="AC168" i="40"/>
  <c r="AC184" i="40"/>
  <c r="AL187" i="40"/>
  <c r="Y207" i="40"/>
  <c r="AC207" i="40"/>
  <c r="Z216" i="40"/>
  <c r="AC216" i="40"/>
  <c r="AC229" i="40"/>
  <c r="AL237" i="40"/>
  <c r="Y158" i="40"/>
  <c r="AC158" i="40"/>
  <c r="AI158" i="40"/>
  <c r="AL158" i="40"/>
  <c r="X195" i="40"/>
  <c r="AC195" i="40"/>
  <c r="AH195" i="40"/>
  <c r="AL195" i="40"/>
  <c r="Y227" i="40"/>
  <c r="AC227" i="40"/>
  <c r="AI227" i="40"/>
  <c r="AL227" i="40"/>
  <c r="AI101" i="40"/>
  <c r="AL101" i="40"/>
  <c r="X107" i="40"/>
  <c r="AC107" i="40"/>
  <c r="X115" i="40"/>
  <c r="AC115" i="40"/>
  <c r="AL118" i="40"/>
  <c r="AL133" i="40"/>
  <c r="AL135" i="40"/>
  <c r="X140" i="40"/>
  <c r="AC140" i="40"/>
  <c r="Z154" i="40"/>
  <c r="AC154" i="40"/>
  <c r="AL160" i="40"/>
  <c r="AL167" i="40"/>
  <c r="AL168" i="40"/>
  <c r="AC218" i="40"/>
  <c r="AL228" i="40"/>
  <c r="AH218" i="40"/>
  <c r="AL218" i="40"/>
  <c r="AJ236" i="40"/>
  <c r="Z237" i="40"/>
  <c r="AC237" i="40"/>
  <c r="X238" i="40"/>
  <c r="AC238" i="40"/>
  <c r="T168" i="38"/>
  <c r="Q105" i="38"/>
  <c r="V105" i="38"/>
  <c r="F105" i="39"/>
  <c r="T57" i="38"/>
  <c r="T17" i="38"/>
  <c r="T194" i="38"/>
  <c r="T193" i="38"/>
  <c r="AL16" i="40"/>
  <c r="AJ239" i="40"/>
  <c r="AJ243" i="40"/>
  <c r="AJ245" i="40"/>
  <c r="Z239" i="40"/>
  <c r="AA252" i="40"/>
  <c r="AI239" i="40"/>
  <c r="AI243" i="40"/>
  <c r="AI245" i="40"/>
  <c r="AH239" i="40"/>
  <c r="AH243" i="40"/>
  <c r="AL236" i="40"/>
  <c r="X239" i="40"/>
  <c r="Y239" i="40"/>
  <c r="AA249" i="40"/>
  <c r="AL19" i="40"/>
  <c r="AC103" i="40"/>
  <c r="I238" i="39"/>
  <c r="E190" i="39"/>
  <c r="M193" i="38"/>
  <c r="Z244" i="40"/>
  <c r="Z253" i="40"/>
  <c r="AA246" i="40"/>
  <c r="AA253" i="40"/>
  <c r="T148" i="38"/>
  <c r="T82" i="38"/>
  <c r="Q82" i="38"/>
  <c r="V82" i="38"/>
  <c r="T191" i="38"/>
  <c r="Q191" i="38"/>
  <c r="V191" i="38"/>
  <c r="T236" i="38"/>
  <c r="Q94" i="38"/>
  <c r="Q95" i="38"/>
  <c r="V95" i="38"/>
  <c r="Q96" i="38"/>
  <c r="Q97" i="38"/>
  <c r="Q98" i="38"/>
  <c r="Q99" i="38"/>
  <c r="V99" i="38"/>
  <c r="T135" i="38"/>
  <c r="J244" i="39"/>
  <c r="E45" i="39"/>
  <c r="X177" i="39"/>
  <c r="Q177" i="38"/>
  <c r="V177" i="38"/>
  <c r="Q237" i="38"/>
  <c r="V237" i="38"/>
  <c r="Q236" i="38"/>
  <c r="V236" i="38"/>
  <c r="Q235" i="38"/>
  <c r="V235" i="38"/>
  <c r="Q234" i="38"/>
  <c r="V234" i="38"/>
  <c r="Q233" i="38"/>
  <c r="V233" i="38"/>
  <c r="Q232" i="38"/>
  <c r="V232" i="38"/>
  <c r="Q231" i="38"/>
  <c r="V231" i="38"/>
  <c r="Q230" i="38"/>
  <c r="V230" i="38"/>
  <c r="Q229" i="38"/>
  <c r="V229" i="38"/>
  <c r="Q228" i="38"/>
  <c r="V228" i="38"/>
  <c r="Q227" i="38"/>
  <c r="V227" i="38"/>
  <c r="Q226" i="38"/>
  <c r="V226" i="38"/>
  <c r="Q225" i="38"/>
  <c r="V225" i="38"/>
  <c r="Q224" i="38"/>
  <c r="V224" i="38"/>
  <c r="Q223" i="38"/>
  <c r="V223" i="38"/>
  <c r="Q222" i="38"/>
  <c r="V222" i="38"/>
  <c r="Q221" i="38"/>
  <c r="V221" i="38"/>
  <c r="Q220" i="38"/>
  <c r="V220" i="38"/>
  <c r="Q219" i="38"/>
  <c r="V219" i="38"/>
  <c r="Q218" i="38"/>
  <c r="V218" i="38"/>
  <c r="Q217" i="38"/>
  <c r="V217" i="38"/>
  <c r="Q216" i="38"/>
  <c r="V216" i="38"/>
  <c r="Q215" i="38"/>
  <c r="V215" i="38"/>
  <c r="Q214" i="38"/>
  <c r="V214" i="38"/>
  <c r="Q213" i="38"/>
  <c r="V213" i="38"/>
  <c r="Q212" i="38"/>
  <c r="V212" i="38"/>
  <c r="Q211" i="38"/>
  <c r="V211" i="38"/>
  <c r="Q210" i="38"/>
  <c r="V210" i="38"/>
  <c r="Q209" i="38"/>
  <c r="V209" i="38"/>
  <c r="Q208" i="38"/>
  <c r="V208" i="38"/>
  <c r="Q207" i="38"/>
  <c r="V207" i="38"/>
  <c r="Q206" i="38"/>
  <c r="V206" i="38"/>
  <c r="Q205" i="38"/>
  <c r="V205" i="38"/>
  <c r="Q204" i="38"/>
  <c r="V204" i="38"/>
  <c r="Q203" i="38"/>
  <c r="V203" i="38"/>
  <c r="Q202" i="38"/>
  <c r="V202" i="38"/>
  <c r="Q201" i="38"/>
  <c r="V201" i="38"/>
  <c r="Q200" i="38"/>
  <c r="V200" i="38"/>
  <c r="Q199" i="38"/>
  <c r="V199" i="38"/>
  <c r="Q198" i="38"/>
  <c r="V198" i="38"/>
  <c r="Q197" i="38"/>
  <c r="V197" i="38"/>
  <c r="Q196" i="38"/>
  <c r="V196" i="38"/>
  <c r="Q195" i="38"/>
  <c r="V195" i="38"/>
  <c r="M194" i="38"/>
  <c r="Q194" i="38"/>
  <c r="V194" i="38"/>
  <c r="Q192" i="38"/>
  <c r="V192" i="38"/>
  <c r="Q190" i="38"/>
  <c r="V190" i="38"/>
  <c r="Q189" i="38"/>
  <c r="V189" i="38"/>
  <c r="Q188" i="38"/>
  <c r="V188" i="38"/>
  <c r="Q187" i="38"/>
  <c r="V187" i="38"/>
  <c r="Q186" i="38"/>
  <c r="V186" i="38"/>
  <c r="Q185" i="38"/>
  <c r="V185" i="38"/>
  <c r="Q184" i="38"/>
  <c r="V184" i="38"/>
  <c r="Q183" i="38"/>
  <c r="V183" i="38"/>
  <c r="Q182" i="38"/>
  <c r="V182" i="38"/>
  <c r="Q181" i="38"/>
  <c r="V181" i="38"/>
  <c r="Q180" i="38"/>
  <c r="V180" i="38"/>
  <c r="Q179" i="38"/>
  <c r="V179" i="38"/>
  <c r="Q178" i="38"/>
  <c r="V178" i="38"/>
  <c r="Q176" i="38"/>
  <c r="V176" i="38"/>
  <c r="Q175" i="38"/>
  <c r="V175" i="38"/>
  <c r="Q174" i="38"/>
  <c r="V174" i="38"/>
  <c r="Q173" i="38"/>
  <c r="V173" i="38"/>
  <c r="Q172" i="38"/>
  <c r="V172" i="38"/>
  <c r="Q171" i="38"/>
  <c r="V171" i="38"/>
  <c r="Q170" i="38"/>
  <c r="V170" i="38"/>
  <c r="Q169" i="38"/>
  <c r="V169" i="38"/>
  <c r="Q168" i="38"/>
  <c r="V168" i="38"/>
  <c r="Q167" i="38"/>
  <c r="V167" i="38"/>
  <c r="Q166" i="38"/>
  <c r="V166" i="38"/>
  <c r="Q165" i="38"/>
  <c r="V165" i="38"/>
  <c r="Q164" i="38"/>
  <c r="V164" i="38"/>
  <c r="Q163" i="38"/>
  <c r="V163" i="38"/>
  <c r="Q162" i="38"/>
  <c r="V162" i="38"/>
  <c r="Q161" i="38"/>
  <c r="V161" i="38"/>
  <c r="Q160" i="38"/>
  <c r="V160" i="38"/>
  <c r="Q159" i="38"/>
  <c r="V159" i="38"/>
  <c r="Q158" i="38"/>
  <c r="V158" i="38"/>
  <c r="Q157" i="38"/>
  <c r="V157" i="38"/>
  <c r="Q156" i="38"/>
  <c r="V156" i="38"/>
  <c r="Q155" i="38"/>
  <c r="V155" i="38"/>
  <c r="Q154" i="38"/>
  <c r="V154" i="38"/>
  <c r="Q153" i="38"/>
  <c r="V153" i="38"/>
  <c r="Q152" i="38"/>
  <c r="V152" i="38"/>
  <c r="Q151" i="38"/>
  <c r="V151" i="38"/>
  <c r="Q150" i="38"/>
  <c r="V150" i="38"/>
  <c r="Q149" i="38"/>
  <c r="V149" i="38"/>
  <c r="Q148" i="38"/>
  <c r="V148" i="38"/>
  <c r="Q147" i="38"/>
  <c r="V147" i="38"/>
  <c r="Q146" i="38"/>
  <c r="V146" i="38"/>
  <c r="Q145" i="38"/>
  <c r="V145" i="38"/>
  <c r="Q144" i="38"/>
  <c r="V144" i="38"/>
  <c r="Q143" i="38"/>
  <c r="V143" i="38"/>
  <c r="Q142" i="38"/>
  <c r="V142" i="38"/>
  <c r="Q141" i="38"/>
  <c r="V141" i="38"/>
  <c r="Q140" i="38"/>
  <c r="V140" i="38"/>
  <c r="Q139" i="38"/>
  <c r="V139" i="38"/>
  <c r="Q138" i="38"/>
  <c r="V138" i="38"/>
  <c r="Q137" i="38"/>
  <c r="V137" i="38"/>
  <c r="Q136" i="38"/>
  <c r="V136" i="38"/>
  <c r="Q135" i="38"/>
  <c r="V135" i="38"/>
  <c r="F135" i="39"/>
  <c r="J135" i="39"/>
  <c r="AE135" i="39"/>
  <c r="Q134" i="38"/>
  <c r="V134" i="38"/>
  <c r="F134" i="39"/>
  <c r="J134" i="39"/>
  <c r="AD134" i="39"/>
  <c r="Q133" i="38"/>
  <c r="V133" i="38"/>
  <c r="Q132" i="38"/>
  <c r="V132" i="38"/>
  <c r="Q131" i="38"/>
  <c r="V131" i="38"/>
  <c r="Q130" i="38"/>
  <c r="V130" i="38"/>
  <c r="Q129" i="38"/>
  <c r="V129" i="38"/>
  <c r="Q128" i="38"/>
  <c r="V128" i="38"/>
  <c r="Q127" i="38"/>
  <c r="V127" i="38"/>
  <c r="Q126" i="38"/>
  <c r="V126" i="38"/>
  <c r="Q125" i="38"/>
  <c r="V125" i="38"/>
  <c r="Q124" i="38"/>
  <c r="V124" i="38"/>
  <c r="Q123" i="38"/>
  <c r="V123" i="38"/>
  <c r="Q122" i="38"/>
  <c r="V122" i="38"/>
  <c r="Q121" i="38"/>
  <c r="V121" i="38"/>
  <c r="Q120" i="38"/>
  <c r="V120" i="38"/>
  <c r="Q119" i="38"/>
  <c r="V119" i="38"/>
  <c r="Q118" i="38"/>
  <c r="V118" i="38"/>
  <c r="Q117" i="38"/>
  <c r="V117" i="38"/>
  <c r="Q116" i="38"/>
  <c r="V116" i="38"/>
  <c r="Q115" i="38"/>
  <c r="V115" i="38"/>
  <c r="Q114" i="38"/>
  <c r="V114" i="38"/>
  <c r="Q113" i="38"/>
  <c r="V113" i="38"/>
  <c r="Q112" i="38"/>
  <c r="V112" i="38"/>
  <c r="Q111" i="38"/>
  <c r="V111" i="38"/>
  <c r="Q110" i="38"/>
  <c r="V110" i="38"/>
  <c r="Q109" i="38"/>
  <c r="V109" i="38"/>
  <c r="Q108" i="38"/>
  <c r="V108" i="38"/>
  <c r="Q107" i="38"/>
  <c r="V107" i="38"/>
  <c r="Q106" i="38"/>
  <c r="V106" i="38"/>
  <c r="Q104" i="38"/>
  <c r="V104" i="38"/>
  <c r="Q103" i="38"/>
  <c r="V103" i="38"/>
  <c r="Q102" i="38"/>
  <c r="V102" i="38"/>
  <c r="Q101" i="38"/>
  <c r="V101" i="38"/>
  <c r="Q100" i="38"/>
  <c r="V100" i="38"/>
  <c r="V98" i="38"/>
  <c r="V97" i="38"/>
  <c r="V96" i="38"/>
  <c r="V94" i="38"/>
  <c r="Q93" i="38"/>
  <c r="V93" i="38"/>
  <c r="Q92" i="38"/>
  <c r="V92" i="38"/>
  <c r="Q91" i="38"/>
  <c r="V91" i="38"/>
  <c r="Q90" i="38"/>
  <c r="V90" i="38"/>
  <c r="Q89" i="38"/>
  <c r="V89" i="38"/>
  <c r="Q88" i="38"/>
  <c r="V88" i="38"/>
  <c r="Q87" i="38"/>
  <c r="V87" i="38"/>
  <c r="Q86" i="38"/>
  <c r="V86" i="38"/>
  <c r="Q85" i="38"/>
  <c r="V85" i="38"/>
  <c r="Q84" i="38"/>
  <c r="V84" i="38"/>
  <c r="Q83" i="38"/>
  <c r="V83" i="38"/>
  <c r="Q81" i="38"/>
  <c r="V81" i="38"/>
  <c r="Q80" i="38"/>
  <c r="V80" i="38"/>
  <c r="Q79" i="38"/>
  <c r="V79" i="38"/>
  <c r="Q78" i="38"/>
  <c r="V78" i="38"/>
  <c r="Q77" i="38"/>
  <c r="V77" i="38"/>
  <c r="Q76" i="38"/>
  <c r="V76" i="38"/>
  <c r="Q75" i="38"/>
  <c r="V75" i="38"/>
  <c r="Q74" i="38"/>
  <c r="V74" i="38"/>
  <c r="Q73" i="38"/>
  <c r="V73" i="38"/>
  <c r="Q72" i="38"/>
  <c r="V72" i="38"/>
  <c r="Q71" i="38"/>
  <c r="V71" i="38"/>
  <c r="Q70" i="38"/>
  <c r="V70" i="38"/>
  <c r="Q69" i="38"/>
  <c r="V69" i="38"/>
  <c r="Q68" i="38"/>
  <c r="V68" i="38"/>
  <c r="Q67" i="38"/>
  <c r="V67" i="38"/>
  <c r="Q66" i="38"/>
  <c r="V66" i="38"/>
  <c r="Q65" i="38"/>
  <c r="V65" i="38"/>
  <c r="Q64" i="38"/>
  <c r="V64" i="38"/>
  <c r="Q63" i="38"/>
  <c r="V63" i="38"/>
  <c r="Q62" i="38"/>
  <c r="V62" i="38"/>
  <c r="Q61" i="38"/>
  <c r="V61" i="38"/>
  <c r="Q60" i="38"/>
  <c r="V60" i="38"/>
  <c r="Q59" i="38"/>
  <c r="V59" i="38"/>
  <c r="Q58" i="38"/>
  <c r="V58" i="38"/>
  <c r="Q57" i="38"/>
  <c r="V57" i="38"/>
  <c r="Q56" i="38"/>
  <c r="V56" i="38"/>
  <c r="Q55" i="38"/>
  <c r="V55" i="38"/>
  <c r="Q54" i="38"/>
  <c r="V54" i="38"/>
  <c r="Q53" i="38"/>
  <c r="V53" i="38"/>
  <c r="Q52" i="38"/>
  <c r="V52" i="38"/>
  <c r="Q51" i="38"/>
  <c r="V51" i="38"/>
  <c r="Q50" i="38"/>
  <c r="V50" i="38"/>
  <c r="Q49" i="38"/>
  <c r="V49" i="38"/>
  <c r="Q48" i="38"/>
  <c r="V48" i="38"/>
  <c r="Q47" i="38"/>
  <c r="V47" i="38"/>
  <c r="Q46" i="38"/>
  <c r="V46" i="38"/>
  <c r="Q45" i="38"/>
  <c r="V45" i="38"/>
  <c r="Q44" i="38"/>
  <c r="V44" i="38"/>
  <c r="F44" i="39"/>
  <c r="J44" i="39"/>
  <c r="AD44" i="39"/>
  <c r="Q43" i="38"/>
  <c r="V43" i="38"/>
  <c r="Q42" i="38"/>
  <c r="V42" i="38"/>
  <c r="Q41" i="38"/>
  <c r="V41" i="38"/>
  <c r="Q40" i="38"/>
  <c r="V40" i="38"/>
  <c r="Q39" i="38"/>
  <c r="V39" i="38"/>
  <c r="Q38" i="38"/>
  <c r="V38" i="38"/>
  <c r="Q37" i="38"/>
  <c r="V37" i="38"/>
  <c r="Q36" i="38"/>
  <c r="V36" i="38"/>
  <c r="Q35" i="38"/>
  <c r="V35" i="38"/>
  <c r="Q34" i="38"/>
  <c r="V34" i="38"/>
  <c r="Q33" i="38"/>
  <c r="V33" i="38"/>
  <c r="Q32" i="38"/>
  <c r="V32" i="38"/>
  <c r="Q31" i="38"/>
  <c r="V31" i="38"/>
  <c r="Q30" i="38"/>
  <c r="V30" i="38"/>
  <c r="Q29" i="38"/>
  <c r="V29" i="38"/>
  <c r="Q28" i="38"/>
  <c r="V28" i="38"/>
  <c r="Q27" i="38"/>
  <c r="V27" i="38"/>
  <c r="Q26" i="38"/>
  <c r="V26" i="38"/>
  <c r="Q25" i="38"/>
  <c r="V25" i="38"/>
  <c r="Q24" i="38"/>
  <c r="V24" i="38"/>
  <c r="Q23" i="38"/>
  <c r="V23" i="38"/>
  <c r="Q22" i="38"/>
  <c r="V22" i="38"/>
  <c r="Q21" i="38"/>
  <c r="V21" i="38"/>
  <c r="Q20" i="38"/>
  <c r="V20" i="38"/>
  <c r="Q19" i="38"/>
  <c r="V19" i="38"/>
  <c r="Q18" i="38"/>
  <c r="V18" i="38"/>
  <c r="Q17" i="38"/>
  <c r="V17" i="38"/>
  <c r="Q16" i="38"/>
  <c r="V16" i="38"/>
  <c r="F218" i="39"/>
  <c r="J218" i="39"/>
  <c r="AD218" i="39"/>
  <c r="F131" i="39"/>
  <c r="J131" i="39"/>
  <c r="AF131" i="39"/>
  <c r="AB239" i="39"/>
  <c r="AA250" i="39"/>
  <c r="AA239" i="39"/>
  <c r="AA247" i="39"/>
  <c r="T239" i="39"/>
  <c r="P239" i="39"/>
  <c r="O239" i="39"/>
  <c r="N239" i="39"/>
  <c r="L239" i="39"/>
  <c r="H239" i="39"/>
  <c r="G239" i="39"/>
  <c r="AJ238" i="39"/>
  <c r="AI238" i="39"/>
  <c r="AF238" i="39"/>
  <c r="AE238" i="39"/>
  <c r="Z238" i="39"/>
  <c r="Y238" i="39"/>
  <c r="Q238" i="39"/>
  <c r="V238" i="39"/>
  <c r="F238" i="40"/>
  <c r="X238" i="39"/>
  <c r="AI237" i="39"/>
  <c r="AH237" i="39"/>
  <c r="AE237" i="39"/>
  <c r="AD237" i="39"/>
  <c r="Y237" i="39"/>
  <c r="X237" i="39"/>
  <c r="Z237" i="39"/>
  <c r="AI236" i="39"/>
  <c r="AH236" i="39"/>
  <c r="AE236" i="39"/>
  <c r="AD236" i="39"/>
  <c r="Y236" i="39"/>
  <c r="X236" i="39"/>
  <c r="Z236" i="39"/>
  <c r="AJ235" i="39"/>
  <c r="AI235" i="39"/>
  <c r="AF235" i="39"/>
  <c r="AE235" i="39"/>
  <c r="Z235" i="39"/>
  <c r="Y235" i="39"/>
  <c r="AH235" i="39"/>
  <c r="AJ234" i="39"/>
  <c r="AI234" i="39"/>
  <c r="AF234" i="39"/>
  <c r="AE234" i="39"/>
  <c r="Z234" i="39"/>
  <c r="Y234" i="39"/>
  <c r="X234" i="39"/>
  <c r="AJ233" i="39"/>
  <c r="AI233" i="39"/>
  <c r="AF233" i="39"/>
  <c r="AE233" i="39"/>
  <c r="Z233" i="39"/>
  <c r="Y233" i="39"/>
  <c r="AJ232" i="39"/>
  <c r="AH232" i="39"/>
  <c r="AF232" i="39"/>
  <c r="AD232" i="39"/>
  <c r="Z232" i="39"/>
  <c r="X232" i="39"/>
  <c r="AI232" i="39"/>
  <c r="AJ231" i="39"/>
  <c r="AI231" i="39"/>
  <c r="AH231" i="39"/>
  <c r="AF231" i="39"/>
  <c r="AE231" i="39"/>
  <c r="Z231" i="39"/>
  <c r="Y231" i="39"/>
  <c r="X231" i="39"/>
  <c r="AJ230" i="39"/>
  <c r="AH230" i="39"/>
  <c r="AF230" i="39"/>
  <c r="AD230" i="39"/>
  <c r="Z230" i="39"/>
  <c r="X230" i="39"/>
  <c r="AI230" i="39"/>
  <c r="AJ229" i="39"/>
  <c r="AH229" i="39"/>
  <c r="AF229" i="39"/>
  <c r="AD229" i="39"/>
  <c r="Z229" i="39"/>
  <c r="X229" i="39"/>
  <c r="AJ228" i="39"/>
  <c r="AH228" i="39"/>
  <c r="AF228" i="39"/>
  <c r="AD228" i="39"/>
  <c r="Z228" i="39"/>
  <c r="Y228" i="39"/>
  <c r="X228" i="39"/>
  <c r="AC228" i="39"/>
  <c r="AI228" i="39"/>
  <c r="AJ227" i="39"/>
  <c r="AH227" i="39"/>
  <c r="AF227" i="39"/>
  <c r="AD227" i="39"/>
  <c r="Z227" i="39"/>
  <c r="X227" i="39"/>
  <c r="AI227" i="39"/>
  <c r="AJ226" i="39"/>
  <c r="AI226" i="39"/>
  <c r="AF226" i="39"/>
  <c r="AE226" i="39"/>
  <c r="Z226" i="39"/>
  <c r="Y226" i="39"/>
  <c r="X226" i="39"/>
  <c r="AJ225" i="39"/>
  <c r="AI225" i="39"/>
  <c r="AF225" i="39"/>
  <c r="AE225" i="39"/>
  <c r="Z225" i="39"/>
  <c r="Y225" i="39"/>
  <c r="AI224" i="39"/>
  <c r="AH224" i="39"/>
  <c r="AE224" i="39"/>
  <c r="AD224" i="39"/>
  <c r="Y224" i="39"/>
  <c r="X224" i="39"/>
  <c r="Z224" i="39"/>
  <c r="AJ223" i="39"/>
  <c r="AH223" i="39"/>
  <c r="AF223" i="39"/>
  <c r="AD223" i="39"/>
  <c r="Z223" i="39"/>
  <c r="X223" i="39"/>
  <c r="Y223" i="39"/>
  <c r="AJ222" i="39"/>
  <c r="AI222" i="39"/>
  <c r="AF222" i="39"/>
  <c r="AE222" i="39"/>
  <c r="Z222" i="39"/>
  <c r="Y222" i="39"/>
  <c r="X222" i="39"/>
  <c r="AJ221" i="39"/>
  <c r="AI221" i="39"/>
  <c r="AF221" i="39"/>
  <c r="AE221" i="39"/>
  <c r="Z221" i="39"/>
  <c r="Y221" i="39"/>
  <c r="AI220" i="39"/>
  <c r="AH220" i="39"/>
  <c r="AE220" i="39"/>
  <c r="AD220" i="39"/>
  <c r="Y220" i="39"/>
  <c r="X220" i="39"/>
  <c r="Z220" i="39"/>
  <c r="AJ219" i="39"/>
  <c r="AI219" i="39"/>
  <c r="AF219" i="39"/>
  <c r="AE219" i="39"/>
  <c r="Z219" i="39"/>
  <c r="Y219" i="39"/>
  <c r="X219" i="39"/>
  <c r="AC219" i="39"/>
  <c r="AJ218" i="39"/>
  <c r="AI218" i="39"/>
  <c r="AF218" i="39"/>
  <c r="AE218" i="39"/>
  <c r="Z218" i="39"/>
  <c r="Y218" i="39"/>
  <c r="X218" i="39"/>
  <c r="AJ217" i="39"/>
  <c r="AI217" i="39"/>
  <c r="AF217" i="39"/>
  <c r="AE217" i="39"/>
  <c r="Z217" i="39"/>
  <c r="Y217" i="39"/>
  <c r="AH217" i="39"/>
  <c r="AI216" i="39"/>
  <c r="AH216" i="39"/>
  <c r="AE216" i="39"/>
  <c r="AD216" i="39"/>
  <c r="Y216" i="39"/>
  <c r="X216" i="39"/>
  <c r="Z216" i="39"/>
  <c r="AJ215" i="39"/>
  <c r="AI215" i="39"/>
  <c r="AF215" i="39"/>
  <c r="AE215" i="39"/>
  <c r="Z215" i="39"/>
  <c r="Y215" i="39"/>
  <c r="X215" i="39"/>
  <c r="AC215" i="39"/>
  <c r="AJ214" i="39"/>
  <c r="AH214" i="39"/>
  <c r="AF214" i="39"/>
  <c r="AD214" i="39"/>
  <c r="Z214" i="39"/>
  <c r="X214" i="39"/>
  <c r="AI213" i="39"/>
  <c r="AH213" i="39"/>
  <c r="AE213" i="39"/>
  <c r="AD213" i="39"/>
  <c r="Y213" i="39"/>
  <c r="X213" i="39"/>
  <c r="Z213" i="39"/>
  <c r="AJ212" i="39"/>
  <c r="AH212" i="39"/>
  <c r="AF212" i="39"/>
  <c r="AD212" i="39"/>
  <c r="Z212" i="39"/>
  <c r="X212" i="39"/>
  <c r="AI212" i="39"/>
  <c r="AJ211" i="39"/>
  <c r="AH211" i="39"/>
  <c r="AF211" i="39"/>
  <c r="AD211" i="39"/>
  <c r="Z211" i="39"/>
  <c r="X211" i="39"/>
  <c r="AI211" i="39"/>
  <c r="AJ210" i="39"/>
  <c r="AH210" i="39"/>
  <c r="AF210" i="39"/>
  <c r="AD210" i="39"/>
  <c r="Z210" i="39"/>
  <c r="X210" i="39"/>
  <c r="AJ209" i="39"/>
  <c r="AH209" i="39"/>
  <c r="AF209" i="39"/>
  <c r="AD209" i="39"/>
  <c r="Z209" i="39"/>
  <c r="X209" i="39"/>
  <c r="Y209" i="39"/>
  <c r="AJ208" i="39"/>
  <c r="AH208" i="39"/>
  <c r="AF208" i="39"/>
  <c r="AD208" i="39"/>
  <c r="Z208" i="39"/>
  <c r="X208" i="39"/>
  <c r="AI208" i="39"/>
  <c r="AJ207" i="39"/>
  <c r="AH207" i="39"/>
  <c r="AF207" i="39"/>
  <c r="AD207" i="39"/>
  <c r="Z207" i="39"/>
  <c r="X207" i="39"/>
  <c r="AI207" i="39"/>
  <c r="AJ206" i="39"/>
  <c r="AI206" i="39"/>
  <c r="AF206" i="39"/>
  <c r="AE206" i="39"/>
  <c r="Z206" i="39"/>
  <c r="Y206" i="39"/>
  <c r="AJ205" i="39"/>
  <c r="AI205" i="39"/>
  <c r="AF205" i="39"/>
  <c r="AE205" i="39"/>
  <c r="Z205" i="39"/>
  <c r="Y205" i="39"/>
  <c r="AH205" i="39"/>
  <c r="AJ204" i="39"/>
  <c r="AI204" i="39"/>
  <c r="AF204" i="39"/>
  <c r="AE204" i="39"/>
  <c r="Z204" i="39"/>
  <c r="Y204" i="39"/>
  <c r="X204" i="39"/>
  <c r="AJ203" i="39"/>
  <c r="AI203" i="39"/>
  <c r="AH203" i="39"/>
  <c r="AF203" i="39"/>
  <c r="AE203" i="39"/>
  <c r="Z203" i="39"/>
  <c r="Y203" i="39"/>
  <c r="X203" i="39"/>
  <c r="AJ202" i="39"/>
  <c r="AH202" i="39"/>
  <c r="AF202" i="39"/>
  <c r="AD202" i="39"/>
  <c r="Z202" i="39"/>
  <c r="X202" i="39"/>
  <c r="AJ201" i="39"/>
  <c r="AH201" i="39"/>
  <c r="AF201" i="39"/>
  <c r="AD201" i="39"/>
  <c r="Z201" i="39"/>
  <c r="X201" i="39"/>
  <c r="AI201" i="39"/>
  <c r="AJ200" i="39"/>
  <c r="AH200" i="39"/>
  <c r="AF200" i="39"/>
  <c r="AD200" i="39"/>
  <c r="Z200" i="39"/>
  <c r="X200" i="39"/>
  <c r="Y200" i="39"/>
  <c r="AJ199" i="39"/>
  <c r="AI199" i="39"/>
  <c r="AF199" i="39"/>
  <c r="AE199" i="39"/>
  <c r="Z199" i="39"/>
  <c r="Y199" i="39"/>
  <c r="X199" i="39"/>
  <c r="AC199" i="39"/>
  <c r="AJ198" i="39"/>
  <c r="AH198" i="39"/>
  <c r="AF198" i="39"/>
  <c r="AD198" i="39"/>
  <c r="Z198" i="39"/>
  <c r="X198" i="39"/>
  <c r="AJ197" i="39"/>
  <c r="AH197" i="39"/>
  <c r="AF197" i="39"/>
  <c r="AD197" i="39"/>
  <c r="Z197" i="39"/>
  <c r="X197" i="39"/>
  <c r="AI197" i="39"/>
  <c r="AJ196" i="39"/>
  <c r="AH196" i="39"/>
  <c r="AF196" i="39"/>
  <c r="AD196" i="39"/>
  <c r="Z196" i="39"/>
  <c r="X196" i="39"/>
  <c r="AI196" i="39"/>
  <c r="AJ195" i="39"/>
  <c r="AI195" i="39"/>
  <c r="AH195" i="39"/>
  <c r="AF195" i="39"/>
  <c r="AE195" i="39"/>
  <c r="Z195" i="39"/>
  <c r="Y195" i="39"/>
  <c r="X195" i="39"/>
  <c r="AJ194" i="39"/>
  <c r="AI194" i="39"/>
  <c r="AF194" i="39"/>
  <c r="AE194" i="39"/>
  <c r="Z194" i="39"/>
  <c r="Y194" i="39"/>
  <c r="AJ193" i="39"/>
  <c r="AI193" i="39"/>
  <c r="AF193" i="39"/>
  <c r="AE193" i="39"/>
  <c r="Z193" i="39"/>
  <c r="Y193" i="39"/>
  <c r="AJ192" i="39"/>
  <c r="AH192" i="39"/>
  <c r="AF192" i="39"/>
  <c r="AD192" i="39"/>
  <c r="Z192" i="39"/>
  <c r="X192" i="39"/>
  <c r="AI192" i="39"/>
  <c r="AJ191" i="39"/>
  <c r="AI191" i="39"/>
  <c r="AF191" i="39"/>
  <c r="AE191" i="39"/>
  <c r="Z191" i="39"/>
  <c r="Y191" i="39"/>
  <c r="AH191" i="39"/>
  <c r="AJ190" i="39"/>
  <c r="AH190" i="39"/>
  <c r="AF190" i="39"/>
  <c r="AD190" i="39"/>
  <c r="Z190" i="39"/>
  <c r="X190" i="39"/>
  <c r="AI190" i="39"/>
  <c r="AJ189" i="39"/>
  <c r="AI189" i="39"/>
  <c r="AF189" i="39"/>
  <c r="AE189" i="39"/>
  <c r="Z189" i="39"/>
  <c r="Y189" i="39"/>
  <c r="X189" i="39"/>
  <c r="AI188" i="39"/>
  <c r="AH188" i="39"/>
  <c r="AE188" i="39"/>
  <c r="AD188" i="39"/>
  <c r="Y188" i="39"/>
  <c r="X188" i="39"/>
  <c r="AJ188" i="39"/>
  <c r="AJ187" i="39"/>
  <c r="AH187" i="39"/>
  <c r="AF187" i="39"/>
  <c r="AD187" i="39"/>
  <c r="Z187" i="39"/>
  <c r="X187" i="39"/>
  <c r="AJ186" i="39"/>
  <c r="AI186" i="39"/>
  <c r="AF186" i="39"/>
  <c r="AE186" i="39"/>
  <c r="Z186" i="39"/>
  <c r="Y186" i="39"/>
  <c r="AH186" i="39"/>
  <c r="AJ185" i="39"/>
  <c r="AH185" i="39"/>
  <c r="AF185" i="39"/>
  <c r="AD185" i="39"/>
  <c r="Z185" i="39"/>
  <c r="X185" i="39"/>
  <c r="Y185" i="39"/>
  <c r="AJ184" i="39"/>
  <c r="AI184" i="39"/>
  <c r="AF184" i="39"/>
  <c r="AE184" i="39"/>
  <c r="Z184" i="39"/>
  <c r="Y184" i="39"/>
  <c r="X184" i="39"/>
  <c r="AJ183" i="39"/>
  <c r="AI183" i="39"/>
  <c r="AF183" i="39"/>
  <c r="AE183" i="39"/>
  <c r="Z183" i="39"/>
  <c r="Y183" i="39"/>
  <c r="AJ182" i="39"/>
  <c r="AI182" i="39"/>
  <c r="AF182" i="39"/>
  <c r="AE182" i="39"/>
  <c r="Z182" i="39"/>
  <c r="Y182" i="39"/>
  <c r="AH182" i="39"/>
  <c r="AJ181" i="39"/>
  <c r="AH181" i="39"/>
  <c r="AF181" i="39"/>
  <c r="AD181" i="39"/>
  <c r="Z181" i="39"/>
  <c r="X181" i="39"/>
  <c r="AI181" i="39"/>
  <c r="AJ180" i="39"/>
  <c r="AI180" i="39"/>
  <c r="AH180" i="39"/>
  <c r="AF180" i="39"/>
  <c r="AE180" i="39"/>
  <c r="Z180" i="39"/>
  <c r="Y180" i="39"/>
  <c r="X180" i="39"/>
  <c r="AJ179" i="39"/>
  <c r="AI179" i="39"/>
  <c r="AF179" i="39"/>
  <c r="AE179" i="39"/>
  <c r="Z179" i="39"/>
  <c r="Y179" i="39"/>
  <c r="AJ178" i="39"/>
  <c r="AI178" i="39"/>
  <c r="AF178" i="39"/>
  <c r="AE178" i="39"/>
  <c r="Z178" i="39"/>
  <c r="Y178" i="39"/>
  <c r="AH178" i="39"/>
  <c r="AJ177" i="39"/>
  <c r="AI177" i="39"/>
  <c r="AH177" i="39"/>
  <c r="AF177" i="39"/>
  <c r="AE177" i="39"/>
  <c r="Z177" i="39"/>
  <c r="Y177" i="39"/>
  <c r="AJ176" i="39"/>
  <c r="AI176" i="39"/>
  <c r="AF176" i="39"/>
  <c r="AE176" i="39"/>
  <c r="Z176" i="39"/>
  <c r="Y176" i="39"/>
  <c r="AJ175" i="39"/>
  <c r="AH175" i="39"/>
  <c r="AF175" i="39"/>
  <c r="AD175" i="39"/>
  <c r="Z175" i="39"/>
  <c r="X175" i="39"/>
  <c r="AI175" i="39"/>
  <c r="AJ174" i="39"/>
  <c r="AI174" i="39"/>
  <c r="AF174" i="39"/>
  <c r="AE174" i="39"/>
  <c r="Z174" i="39"/>
  <c r="Y174" i="39"/>
  <c r="X174" i="39"/>
  <c r="AJ173" i="39"/>
  <c r="AI173" i="39"/>
  <c r="AF173" i="39"/>
  <c r="AE173" i="39"/>
  <c r="Z173" i="39"/>
  <c r="Y173" i="39"/>
  <c r="X173" i="39"/>
  <c r="AJ172" i="39"/>
  <c r="AI172" i="39"/>
  <c r="AF172" i="39"/>
  <c r="AE172" i="39"/>
  <c r="Z172" i="39"/>
  <c r="Y172" i="39"/>
  <c r="AJ171" i="39"/>
  <c r="AI171" i="39"/>
  <c r="AF171" i="39"/>
  <c r="AE171" i="39"/>
  <c r="Z171" i="39"/>
  <c r="Y171" i="39"/>
  <c r="AH171" i="39"/>
  <c r="AJ170" i="39"/>
  <c r="AI170" i="39"/>
  <c r="AF170" i="39"/>
  <c r="AE170" i="39"/>
  <c r="Z170" i="39"/>
  <c r="Y170" i="39"/>
  <c r="X170" i="39"/>
  <c r="AH170" i="39"/>
  <c r="AJ169" i="39"/>
  <c r="AH169" i="39"/>
  <c r="AF169" i="39"/>
  <c r="AD169" i="39"/>
  <c r="Z169" i="39"/>
  <c r="X169" i="39"/>
  <c r="Y169" i="39"/>
  <c r="AC169" i="39"/>
  <c r="AJ168" i="39"/>
  <c r="AH168" i="39"/>
  <c r="AF168" i="39"/>
  <c r="AD168" i="39"/>
  <c r="Z168" i="39"/>
  <c r="X168" i="39"/>
  <c r="AJ167" i="39"/>
  <c r="AH167" i="39"/>
  <c r="AF167" i="39"/>
  <c r="AD167" i="39"/>
  <c r="Z167" i="39"/>
  <c r="X167" i="39"/>
  <c r="AI167" i="39"/>
  <c r="AJ166" i="39"/>
  <c r="AH166" i="39"/>
  <c r="AF166" i="39"/>
  <c r="AD166" i="39"/>
  <c r="Z166" i="39"/>
  <c r="X166" i="39"/>
  <c r="AI166" i="39"/>
  <c r="AJ165" i="39"/>
  <c r="AI165" i="39"/>
  <c r="AF165" i="39"/>
  <c r="AE165" i="39"/>
  <c r="Z165" i="39"/>
  <c r="Y165" i="39"/>
  <c r="AH165" i="39"/>
  <c r="AJ164" i="39"/>
  <c r="AI164" i="39"/>
  <c r="AF164" i="39"/>
  <c r="AE164" i="39"/>
  <c r="Z164" i="39"/>
  <c r="Y164" i="39"/>
  <c r="AJ163" i="39"/>
  <c r="AH163" i="39"/>
  <c r="AF163" i="39"/>
  <c r="AD163" i="39"/>
  <c r="Z163" i="39"/>
  <c r="X163" i="39"/>
  <c r="AI163" i="39"/>
  <c r="AJ162" i="39"/>
  <c r="AH162" i="39"/>
  <c r="AF162" i="39"/>
  <c r="AD162" i="39"/>
  <c r="Z162" i="39"/>
  <c r="X162" i="39"/>
  <c r="AI162" i="39"/>
  <c r="AJ161" i="39"/>
  <c r="AI161" i="39"/>
  <c r="AF161" i="39"/>
  <c r="AE161" i="39"/>
  <c r="Z161" i="39"/>
  <c r="Y161" i="39"/>
  <c r="AH161" i="39"/>
  <c r="AI160" i="39"/>
  <c r="AH160" i="39"/>
  <c r="AE160" i="39"/>
  <c r="AD160" i="39"/>
  <c r="Y160" i="39"/>
  <c r="X160" i="39"/>
  <c r="AJ160" i="39"/>
  <c r="AJ159" i="39"/>
  <c r="AH159" i="39"/>
  <c r="AF159" i="39"/>
  <c r="AD159" i="39"/>
  <c r="Z159" i="39"/>
  <c r="X159" i="39"/>
  <c r="AI159" i="39"/>
  <c r="AJ158" i="39"/>
  <c r="AH158" i="39"/>
  <c r="AF158" i="39"/>
  <c r="AD158" i="39"/>
  <c r="Z158" i="39"/>
  <c r="X158" i="39"/>
  <c r="AI158" i="39"/>
  <c r="AI157" i="39"/>
  <c r="AH157" i="39"/>
  <c r="AE157" i="39"/>
  <c r="AD157" i="39"/>
  <c r="Y157" i="39"/>
  <c r="X157" i="39"/>
  <c r="AJ157" i="39"/>
  <c r="AJ156" i="39"/>
  <c r="AI156" i="39"/>
  <c r="AF156" i="39"/>
  <c r="AE156" i="39"/>
  <c r="Z156" i="39"/>
  <c r="Y156" i="39"/>
  <c r="X156" i="39"/>
  <c r="AJ155" i="39"/>
  <c r="AI155" i="39"/>
  <c r="AF155" i="39"/>
  <c r="AE155" i="39"/>
  <c r="Z155" i="39"/>
  <c r="Y155" i="39"/>
  <c r="X155" i="39"/>
  <c r="AI154" i="39"/>
  <c r="AH154" i="39"/>
  <c r="AE154" i="39"/>
  <c r="AD154" i="39"/>
  <c r="Y154" i="39"/>
  <c r="X154" i="39"/>
  <c r="AJ154" i="39"/>
  <c r="AJ153" i="39"/>
  <c r="AI153" i="39"/>
  <c r="AF153" i="39"/>
  <c r="AE153" i="39"/>
  <c r="Z153" i="39"/>
  <c r="Y153" i="39"/>
  <c r="AH153" i="39"/>
  <c r="AJ152" i="39"/>
  <c r="AH152" i="39"/>
  <c r="AF152" i="39"/>
  <c r="AD152" i="39"/>
  <c r="Z152" i="39"/>
  <c r="X152" i="39"/>
  <c r="Y152" i="39"/>
  <c r="AJ151" i="39"/>
  <c r="AH151" i="39"/>
  <c r="AF151" i="39"/>
  <c r="AD151" i="39"/>
  <c r="Z151" i="39"/>
  <c r="X151" i="39"/>
  <c r="AI151" i="39"/>
  <c r="AI150" i="39"/>
  <c r="AH150" i="39"/>
  <c r="AE150" i="39"/>
  <c r="AD150" i="39"/>
  <c r="Y150" i="39"/>
  <c r="X150" i="39"/>
  <c r="AJ150" i="39"/>
  <c r="AJ149" i="39"/>
  <c r="AI149" i="39"/>
  <c r="AF149" i="39"/>
  <c r="AE149" i="39"/>
  <c r="Z149" i="39"/>
  <c r="Y149" i="39"/>
  <c r="X149" i="39"/>
  <c r="AJ148" i="39"/>
  <c r="AI148" i="39"/>
  <c r="AF148" i="39"/>
  <c r="AE148" i="39"/>
  <c r="Z148" i="39"/>
  <c r="Y148" i="39"/>
  <c r="AH148" i="39"/>
  <c r="AJ147" i="39"/>
  <c r="AH147" i="39"/>
  <c r="AF147" i="39"/>
  <c r="AD147" i="39"/>
  <c r="Z147" i="39"/>
  <c r="X147" i="39"/>
  <c r="AI147" i="39"/>
  <c r="AJ146" i="39"/>
  <c r="AH146" i="39"/>
  <c r="AF146" i="39"/>
  <c r="AD146" i="39"/>
  <c r="Z146" i="39"/>
  <c r="X146" i="39"/>
  <c r="Y146" i="39"/>
  <c r="AC146" i="39"/>
  <c r="AJ145" i="39"/>
  <c r="AI145" i="39"/>
  <c r="AF145" i="39"/>
  <c r="AE145" i="39"/>
  <c r="Z145" i="39"/>
  <c r="Y145" i="39"/>
  <c r="X145" i="39"/>
  <c r="AJ144" i="39"/>
  <c r="AI144" i="39"/>
  <c r="AF144" i="39"/>
  <c r="AE144" i="39"/>
  <c r="Z144" i="39"/>
  <c r="Y144" i="39"/>
  <c r="AH144" i="39"/>
  <c r="AJ143" i="39"/>
  <c r="AI143" i="39"/>
  <c r="AF143" i="39"/>
  <c r="AE143" i="39"/>
  <c r="Z143" i="39"/>
  <c r="Y143" i="39"/>
  <c r="X143" i="39"/>
  <c r="AJ142" i="39"/>
  <c r="AI142" i="39"/>
  <c r="AF142" i="39"/>
  <c r="AE142" i="39"/>
  <c r="Z142" i="39"/>
  <c r="Y142" i="39"/>
  <c r="AH142" i="39"/>
  <c r="AJ141" i="39"/>
  <c r="AI141" i="39"/>
  <c r="AF141" i="39"/>
  <c r="AE141" i="39"/>
  <c r="Z141" i="39"/>
  <c r="Y141" i="39"/>
  <c r="X141" i="39"/>
  <c r="AJ140" i="39"/>
  <c r="AI140" i="39"/>
  <c r="AF140" i="39"/>
  <c r="AE140" i="39"/>
  <c r="Z140" i="39"/>
  <c r="Y140" i="39"/>
  <c r="AH140" i="39"/>
  <c r="AJ139" i="39"/>
  <c r="AI139" i="39"/>
  <c r="AF139" i="39"/>
  <c r="AE139" i="39"/>
  <c r="Z139" i="39"/>
  <c r="Y139" i="39"/>
  <c r="X139" i="39"/>
  <c r="AJ138" i="39"/>
  <c r="AI138" i="39"/>
  <c r="AF138" i="39"/>
  <c r="AE138" i="39"/>
  <c r="Z138" i="39"/>
  <c r="Y138" i="39"/>
  <c r="AH138" i="39"/>
  <c r="AJ137" i="39"/>
  <c r="AI137" i="39"/>
  <c r="AF137" i="39"/>
  <c r="AE137" i="39"/>
  <c r="Z137" i="39"/>
  <c r="Y137" i="39"/>
  <c r="X137" i="39"/>
  <c r="AC137" i="39"/>
  <c r="AJ136" i="39"/>
  <c r="AI136" i="39"/>
  <c r="AF136" i="39"/>
  <c r="AE136" i="39"/>
  <c r="Z136" i="39"/>
  <c r="Y136" i="39"/>
  <c r="AH136" i="39"/>
  <c r="AJ135" i="39"/>
  <c r="AH135" i="39"/>
  <c r="AF135" i="39"/>
  <c r="AD135" i="39"/>
  <c r="Z135" i="39"/>
  <c r="X135" i="39"/>
  <c r="AI135" i="39"/>
  <c r="AJ134" i="39"/>
  <c r="AI134" i="39"/>
  <c r="AF134" i="39"/>
  <c r="AE134" i="39"/>
  <c r="Z134" i="39"/>
  <c r="Y134" i="39"/>
  <c r="X134" i="39"/>
  <c r="AJ133" i="39"/>
  <c r="AH133" i="39"/>
  <c r="AF133" i="39"/>
  <c r="AD133" i="39"/>
  <c r="Z133" i="39"/>
  <c r="Y133" i="39"/>
  <c r="X133" i="39"/>
  <c r="AI133" i="39"/>
  <c r="AJ132" i="39"/>
  <c r="AH132" i="39"/>
  <c r="AF132" i="39"/>
  <c r="AD132" i="39"/>
  <c r="Z132" i="39"/>
  <c r="X132" i="39"/>
  <c r="Y132" i="39"/>
  <c r="AI131" i="39"/>
  <c r="AH131" i="39"/>
  <c r="AE131" i="39"/>
  <c r="AD131" i="39"/>
  <c r="Y131" i="39"/>
  <c r="X131" i="39"/>
  <c r="AJ131" i="39"/>
  <c r="AJ130" i="39"/>
  <c r="AI130" i="39"/>
  <c r="AF130" i="39"/>
  <c r="AE130" i="39"/>
  <c r="Z130" i="39"/>
  <c r="Y130" i="39"/>
  <c r="AH130" i="39"/>
  <c r="AJ129" i="39"/>
  <c r="AI129" i="39"/>
  <c r="AF129" i="39"/>
  <c r="AE129" i="39"/>
  <c r="Z129" i="39"/>
  <c r="Y129" i="39"/>
  <c r="AH129" i="39"/>
  <c r="AJ128" i="39"/>
  <c r="AH128" i="39"/>
  <c r="AF128" i="39"/>
  <c r="AD128" i="39"/>
  <c r="Z128" i="39"/>
  <c r="X128" i="39"/>
  <c r="AI128" i="39"/>
  <c r="AJ127" i="39"/>
  <c r="AI127" i="39"/>
  <c r="AF127" i="39"/>
  <c r="AE127" i="39"/>
  <c r="Z127" i="39"/>
  <c r="Y127" i="39"/>
  <c r="AH127" i="39"/>
  <c r="AJ126" i="39"/>
  <c r="AI126" i="39"/>
  <c r="AF126" i="39"/>
  <c r="AE126" i="39"/>
  <c r="Z126" i="39"/>
  <c r="Y126" i="39"/>
  <c r="X126" i="39"/>
  <c r="AC126" i="39"/>
  <c r="AH126" i="39"/>
  <c r="AJ125" i="39"/>
  <c r="AI125" i="39"/>
  <c r="AF125" i="39"/>
  <c r="AE125" i="39"/>
  <c r="Z125" i="39"/>
  <c r="Y125" i="39"/>
  <c r="AH125" i="39"/>
  <c r="AJ124" i="39"/>
  <c r="AI124" i="39"/>
  <c r="AF124" i="39"/>
  <c r="AE124" i="39"/>
  <c r="Z124" i="39"/>
  <c r="Y124" i="39"/>
  <c r="X124" i="39"/>
  <c r="AJ123" i="39"/>
  <c r="AI123" i="39"/>
  <c r="AF123" i="39"/>
  <c r="AE123" i="39"/>
  <c r="Z123" i="39"/>
  <c r="Y123" i="39"/>
  <c r="AH123" i="39"/>
  <c r="AJ122" i="39"/>
  <c r="AI122" i="39"/>
  <c r="AH122" i="39"/>
  <c r="AF122" i="39"/>
  <c r="AE122" i="39"/>
  <c r="Z122" i="39"/>
  <c r="Y122" i="39"/>
  <c r="X122" i="39"/>
  <c r="AJ121" i="39"/>
  <c r="AI121" i="39"/>
  <c r="AF121" i="39"/>
  <c r="AE121" i="39"/>
  <c r="Z121" i="39"/>
  <c r="Y121" i="39"/>
  <c r="X121" i="39"/>
  <c r="AH121" i="39"/>
  <c r="AJ120" i="39"/>
  <c r="AI120" i="39"/>
  <c r="AF120" i="39"/>
  <c r="AE120" i="39"/>
  <c r="Z120" i="39"/>
  <c r="Y120" i="39"/>
  <c r="X120" i="39"/>
  <c r="AJ119" i="39"/>
  <c r="AH119" i="39"/>
  <c r="AF119" i="39"/>
  <c r="AD119" i="39"/>
  <c r="Z119" i="39"/>
  <c r="X119" i="39"/>
  <c r="AI119" i="39"/>
  <c r="AJ118" i="39"/>
  <c r="AH118" i="39"/>
  <c r="AF118" i="39"/>
  <c r="AD118" i="39"/>
  <c r="Z118" i="39"/>
  <c r="X118" i="39"/>
  <c r="AI118" i="39"/>
  <c r="AJ117" i="39"/>
  <c r="AI117" i="39"/>
  <c r="AF117" i="39"/>
  <c r="AE117" i="39"/>
  <c r="Z117" i="39"/>
  <c r="Y117" i="39"/>
  <c r="AH117" i="39"/>
  <c r="AJ116" i="39"/>
  <c r="AI116" i="39"/>
  <c r="AF116" i="39"/>
  <c r="AE116" i="39"/>
  <c r="Z116" i="39"/>
  <c r="Y116" i="39"/>
  <c r="X116" i="39"/>
  <c r="AJ115" i="39"/>
  <c r="AI115" i="39"/>
  <c r="AF115" i="39"/>
  <c r="AE115" i="39"/>
  <c r="Z115" i="39"/>
  <c r="Y115" i="39"/>
  <c r="AH115" i="39"/>
  <c r="AJ114" i="39"/>
  <c r="AI114" i="39"/>
  <c r="AF114" i="39"/>
  <c r="AE114" i="39"/>
  <c r="Z114" i="39"/>
  <c r="Y114" i="39"/>
  <c r="AH114" i="39"/>
  <c r="I239" i="39"/>
  <c r="AJ113" i="39"/>
  <c r="AI113" i="39"/>
  <c r="AF113" i="39"/>
  <c r="AE113" i="39"/>
  <c r="Z113" i="39"/>
  <c r="Y113" i="39"/>
  <c r="AH113" i="39"/>
  <c r="AJ112" i="39"/>
  <c r="AI112" i="39"/>
  <c r="AF112" i="39"/>
  <c r="AE112" i="39"/>
  <c r="Z112" i="39"/>
  <c r="Y112" i="39"/>
  <c r="AH112" i="39"/>
  <c r="AJ111" i="39"/>
  <c r="AI111" i="39"/>
  <c r="AH111" i="39"/>
  <c r="AF111" i="39"/>
  <c r="AE111" i="39"/>
  <c r="Z111" i="39"/>
  <c r="Y111" i="39"/>
  <c r="X111" i="39"/>
  <c r="AJ110" i="39"/>
  <c r="AI110" i="39"/>
  <c r="AF110" i="39"/>
  <c r="AE110" i="39"/>
  <c r="Z110" i="39"/>
  <c r="Y110" i="39"/>
  <c r="AH110" i="39"/>
  <c r="AJ109" i="39"/>
  <c r="AI109" i="39"/>
  <c r="AF109" i="39"/>
  <c r="AE109" i="39"/>
  <c r="Z109" i="39"/>
  <c r="Y109" i="39"/>
  <c r="AH109" i="39"/>
  <c r="AJ108" i="39"/>
  <c r="AI108" i="39"/>
  <c r="AH108" i="39"/>
  <c r="AF108" i="39"/>
  <c r="AE108" i="39"/>
  <c r="Z108" i="39"/>
  <c r="Y108" i="39"/>
  <c r="X108" i="39"/>
  <c r="AJ107" i="39"/>
  <c r="AI107" i="39"/>
  <c r="AF107" i="39"/>
  <c r="AE107" i="39"/>
  <c r="Z107" i="39"/>
  <c r="Y107" i="39"/>
  <c r="X107" i="39"/>
  <c r="AJ106" i="39"/>
  <c r="AI106" i="39"/>
  <c r="AF106" i="39"/>
  <c r="AE106" i="39"/>
  <c r="Z106" i="39"/>
  <c r="Y106" i="39"/>
  <c r="AH106" i="39"/>
  <c r="AJ105" i="39"/>
  <c r="AI105" i="39"/>
  <c r="AF105" i="39"/>
  <c r="AE105" i="39"/>
  <c r="Z105" i="39"/>
  <c r="Y105" i="39"/>
  <c r="X105" i="39"/>
  <c r="AJ104" i="39"/>
  <c r="AI104" i="39"/>
  <c r="AF104" i="39"/>
  <c r="AE104" i="39"/>
  <c r="Z104" i="39"/>
  <c r="Y104" i="39"/>
  <c r="X104" i="39"/>
  <c r="AI103" i="39"/>
  <c r="AH103" i="39"/>
  <c r="AE103" i="39"/>
  <c r="AD103" i="39"/>
  <c r="Y103" i="39"/>
  <c r="X103" i="39"/>
  <c r="Z103" i="39"/>
  <c r="AJ102" i="39"/>
  <c r="AI102" i="39"/>
  <c r="AF102" i="39"/>
  <c r="AE102" i="39"/>
  <c r="Z102" i="39"/>
  <c r="Y102" i="39"/>
  <c r="AH102" i="39"/>
  <c r="AJ101" i="39"/>
  <c r="AH101" i="39"/>
  <c r="AF101" i="39"/>
  <c r="AD101" i="39"/>
  <c r="Z101" i="39"/>
  <c r="Y101" i="39"/>
  <c r="X101" i="39"/>
  <c r="AI101" i="39"/>
  <c r="AJ100" i="39"/>
  <c r="AH100" i="39"/>
  <c r="AF100" i="39"/>
  <c r="AD100" i="39"/>
  <c r="Z100" i="39"/>
  <c r="X100" i="39"/>
  <c r="Y100" i="39"/>
  <c r="AC100" i="39"/>
  <c r="AJ99" i="39"/>
  <c r="AH99" i="39"/>
  <c r="AF99" i="39"/>
  <c r="AD99" i="39"/>
  <c r="Z99" i="39"/>
  <c r="X99" i="39"/>
  <c r="AI99" i="39"/>
  <c r="AJ98" i="39"/>
  <c r="AH98" i="39"/>
  <c r="AF98" i="39"/>
  <c r="AD98" i="39"/>
  <c r="Z98" i="39"/>
  <c r="X98" i="39"/>
  <c r="Y98" i="39"/>
  <c r="AJ97" i="39"/>
  <c r="AI97" i="39"/>
  <c r="AH97" i="39"/>
  <c r="AF97" i="39"/>
  <c r="AE97" i="39"/>
  <c r="Z97" i="39"/>
  <c r="Y97" i="39"/>
  <c r="X97" i="39"/>
  <c r="AC97" i="39"/>
  <c r="AJ96" i="39"/>
  <c r="AH96" i="39"/>
  <c r="AF96" i="39"/>
  <c r="AD96" i="39"/>
  <c r="Z96" i="39"/>
  <c r="X96" i="39"/>
  <c r="Y96" i="39"/>
  <c r="AJ95" i="39"/>
  <c r="AH95" i="39"/>
  <c r="AF95" i="39"/>
  <c r="AD95" i="39"/>
  <c r="Z95" i="39"/>
  <c r="X95" i="39"/>
  <c r="AI95" i="39"/>
  <c r="AI94" i="39"/>
  <c r="AH94" i="39"/>
  <c r="AE94" i="39"/>
  <c r="AD94" i="39"/>
  <c r="Y94" i="39"/>
  <c r="X94" i="39"/>
  <c r="Z94" i="39"/>
  <c r="AI93" i="39"/>
  <c r="AH93" i="39"/>
  <c r="AE93" i="39"/>
  <c r="AD93" i="39"/>
  <c r="Y93" i="39"/>
  <c r="X93" i="39"/>
  <c r="Z93" i="39"/>
  <c r="AJ92" i="39"/>
  <c r="AI92" i="39"/>
  <c r="AF92" i="39"/>
  <c r="AE92" i="39"/>
  <c r="Z92" i="39"/>
  <c r="Y92" i="39"/>
  <c r="X92" i="39"/>
  <c r="AJ91" i="39"/>
  <c r="AI91" i="39"/>
  <c r="AF91" i="39"/>
  <c r="AE91" i="39"/>
  <c r="Z91" i="39"/>
  <c r="Y91" i="39"/>
  <c r="X91" i="39"/>
  <c r="AJ90" i="39"/>
  <c r="AI90" i="39"/>
  <c r="AF90" i="39"/>
  <c r="AE90" i="39"/>
  <c r="Z90" i="39"/>
  <c r="Y90" i="39"/>
  <c r="AH90" i="39"/>
  <c r="AJ89" i="39"/>
  <c r="AI89" i="39"/>
  <c r="AF89" i="39"/>
  <c r="AE89" i="39"/>
  <c r="Z89" i="39"/>
  <c r="Y89" i="39"/>
  <c r="AH89" i="39"/>
  <c r="AJ88" i="39"/>
  <c r="AI88" i="39"/>
  <c r="AF88" i="39"/>
  <c r="AE88" i="39"/>
  <c r="Z88" i="39"/>
  <c r="Y88" i="39"/>
  <c r="X88" i="39"/>
  <c r="AH88" i="39"/>
  <c r="AJ87" i="39"/>
  <c r="AI87" i="39"/>
  <c r="AF87" i="39"/>
  <c r="AE87" i="39"/>
  <c r="Z87" i="39"/>
  <c r="Y87" i="39"/>
  <c r="X87" i="39"/>
  <c r="AJ86" i="39"/>
  <c r="AI86" i="39"/>
  <c r="AF86" i="39"/>
  <c r="AE86" i="39"/>
  <c r="Z86" i="39"/>
  <c r="Y86" i="39"/>
  <c r="AH86" i="39"/>
  <c r="AJ85" i="39"/>
  <c r="AH85" i="39"/>
  <c r="AF85" i="39"/>
  <c r="AD85" i="39"/>
  <c r="Z85" i="39"/>
  <c r="X85" i="39"/>
  <c r="AI85" i="39"/>
  <c r="AJ84" i="39"/>
  <c r="AH84" i="39"/>
  <c r="AF84" i="39"/>
  <c r="AD84" i="39"/>
  <c r="Z84" i="39"/>
  <c r="X84" i="39"/>
  <c r="Y84" i="39"/>
  <c r="AJ83" i="39"/>
  <c r="AH83" i="39"/>
  <c r="AF83" i="39"/>
  <c r="AD83" i="39"/>
  <c r="Z83" i="39"/>
  <c r="X83" i="39"/>
  <c r="AI83" i="39"/>
  <c r="AJ82" i="39"/>
  <c r="AI82" i="39"/>
  <c r="AF82" i="39"/>
  <c r="AE82" i="39"/>
  <c r="Z82" i="39"/>
  <c r="Y82" i="39"/>
  <c r="AH82" i="39"/>
  <c r="AJ81" i="39"/>
  <c r="AH81" i="39"/>
  <c r="AF81" i="39"/>
  <c r="AD81" i="39"/>
  <c r="Z81" i="39"/>
  <c r="X81" i="39"/>
  <c r="AI81" i="39"/>
  <c r="AJ80" i="39"/>
  <c r="AH80" i="39"/>
  <c r="AF80" i="39"/>
  <c r="AD80" i="39"/>
  <c r="Z80" i="39"/>
  <c r="X80" i="39"/>
  <c r="Y80" i="39"/>
  <c r="AJ79" i="39"/>
  <c r="AI79" i="39"/>
  <c r="AF79" i="39"/>
  <c r="AE79" i="39"/>
  <c r="Z79" i="39"/>
  <c r="Y79" i="39"/>
  <c r="X79" i="39"/>
  <c r="AJ78" i="39"/>
  <c r="AI78" i="39"/>
  <c r="AF78" i="39"/>
  <c r="AE78" i="39"/>
  <c r="Z78" i="39"/>
  <c r="Y78" i="39"/>
  <c r="AH78" i="39"/>
  <c r="AJ77" i="39"/>
  <c r="AI77" i="39"/>
  <c r="AF77" i="39"/>
  <c r="AE77" i="39"/>
  <c r="Z77" i="39"/>
  <c r="Y77" i="39"/>
  <c r="X77" i="39"/>
  <c r="AC77" i="39"/>
  <c r="AJ76" i="39"/>
  <c r="AH76" i="39"/>
  <c r="AF76" i="39"/>
  <c r="AD76" i="39"/>
  <c r="Z76" i="39"/>
  <c r="X76" i="39"/>
  <c r="Y76" i="39"/>
  <c r="AJ75" i="39"/>
  <c r="AI75" i="39"/>
  <c r="AF75" i="39"/>
  <c r="AE75" i="39"/>
  <c r="Z75" i="39"/>
  <c r="Y75" i="39"/>
  <c r="X75" i="39"/>
  <c r="AJ74" i="39"/>
  <c r="AI74" i="39"/>
  <c r="AF74" i="39"/>
  <c r="AE74" i="39"/>
  <c r="Z74" i="39"/>
  <c r="Y74" i="39"/>
  <c r="AH74" i="39"/>
  <c r="AJ73" i="39"/>
  <c r="AI73" i="39"/>
  <c r="AF73" i="39"/>
  <c r="AE73" i="39"/>
  <c r="Z73" i="39"/>
  <c r="Y73" i="39"/>
  <c r="AH73" i="39"/>
  <c r="AJ72" i="39"/>
  <c r="AI72" i="39"/>
  <c r="AF72" i="39"/>
  <c r="AE72" i="39"/>
  <c r="Z72" i="39"/>
  <c r="Y72" i="39"/>
  <c r="X72" i="39"/>
  <c r="AJ71" i="39"/>
  <c r="AI71" i="39"/>
  <c r="AF71" i="39"/>
  <c r="AE71" i="39"/>
  <c r="Z71" i="39"/>
  <c r="Y71" i="39"/>
  <c r="AH71" i="39"/>
  <c r="AJ70" i="39"/>
  <c r="AI70" i="39"/>
  <c r="AF70" i="39"/>
  <c r="AE70" i="39"/>
  <c r="Z70" i="39"/>
  <c r="Y70" i="39"/>
  <c r="X70" i="39"/>
  <c r="AJ69" i="39"/>
  <c r="AI69" i="39"/>
  <c r="AF69" i="39"/>
  <c r="AE69" i="39"/>
  <c r="Z69" i="39"/>
  <c r="Y69" i="39"/>
  <c r="AH69" i="39"/>
  <c r="AJ68" i="39"/>
  <c r="AI68" i="39"/>
  <c r="AF68" i="39"/>
  <c r="AE68" i="39"/>
  <c r="Z68" i="39"/>
  <c r="Y68" i="39"/>
  <c r="X68" i="39"/>
  <c r="AJ67" i="39"/>
  <c r="AI67" i="39"/>
  <c r="AF67" i="39"/>
  <c r="AE67" i="39"/>
  <c r="Z67" i="39"/>
  <c r="Y67" i="39"/>
  <c r="AH67" i="39"/>
  <c r="AJ66" i="39"/>
  <c r="AI66" i="39"/>
  <c r="AF66" i="39"/>
  <c r="AE66" i="39"/>
  <c r="Z66" i="39"/>
  <c r="Y66" i="39"/>
  <c r="X66" i="39"/>
  <c r="AJ65" i="39"/>
  <c r="AI65" i="39"/>
  <c r="AF65" i="39"/>
  <c r="AE65" i="39"/>
  <c r="Z65" i="39"/>
  <c r="Y65" i="39"/>
  <c r="AH65" i="39"/>
  <c r="AJ64" i="39"/>
  <c r="AI64" i="39"/>
  <c r="AF64" i="39"/>
  <c r="AE64" i="39"/>
  <c r="Z64" i="39"/>
  <c r="Y64" i="39"/>
  <c r="X64" i="39"/>
  <c r="AJ63" i="39"/>
  <c r="AI63" i="39"/>
  <c r="AF63" i="39"/>
  <c r="AE63" i="39"/>
  <c r="Z63" i="39"/>
  <c r="Y63" i="39"/>
  <c r="AH63" i="39"/>
  <c r="AI62" i="39"/>
  <c r="AH62" i="39"/>
  <c r="AE62" i="39"/>
  <c r="AD62" i="39"/>
  <c r="Y62" i="39"/>
  <c r="X62" i="39"/>
  <c r="Z62" i="39"/>
  <c r="AJ61" i="39"/>
  <c r="AH61" i="39"/>
  <c r="AF61" i="39"/>
  <c r="AD61" i="39"/>
  <c r="Z61" i="39"/>
  <c r="X61" i="39"/>
  <c r="Y61" i="39"/>
  <c r="AJ60" i="39"/>
  <c r="AH60" i="39"/>
  <c r="AF60" i="39"/>
  <c r="AD60" i="39"/>
  <c r="Z60" i="39"/>
  <c r="Y60" i="39"/>
  <c r="X60" i="39"/>
  <c r="AI60" i="39"/>
  <c r="AJ59" i="39"/>
  <c r="AI59" i="39"/>
  <c r="AF59" i="39"/>
  <c r="AE59" i="39"/>
  <c r="Z59" i="39"/>
  <c r="Y59" i="39"/>
  <c r="AH59" i="39"/>
  <c r="AJ58" i="39"/>
  <c r="AH58" i="39"/>
  <c r="AF58" i="39"/>
  <c r="AD58" i="39"/>
  <c r="Z58" i="39"/>
  <c r="Y58" i="39"/>
  <c r="X58" i="39"/>
  <c r="AC58" i="39"/>
  <c r="AI58" i="39"/>
  <c r="AJ57" i="39"/>
  <c r="AI57" i="39"/>
  <c r="AF57" i="39"/>
  <c r="AE57" i="39"/>
  <c r="Z57" i="39"/>
  <c r="Y57" i="39"/>
  <c r="X57" i="39"/>
  <c r="AC57" i="39"/>
  <c r="AH57" i="39"/>
  <c r="AJ56" i="39"/>
  <c r="AI56" i="39"/>
  <c r="AF56" i="39"/>
  <c r="AE56" i="39"/>
  <c r="Z56" i="39"/>
  <c r="Y56" i="39"/>
  <c r="AH56" i="39"/>
  <c r="AJ55" i="39"/>
  <c r="AH55" i="39"/>
  <c r="AF55" i="39"/>
  <c r="AD55" i="39"/>
  <c r="Z55" i="39"/>
  <c r="X55" i="39"/>
  <c r="AI55" i="39"/>
  <c r="AJ54" i="39"/>
  <c r="AH54" i="39"/>
  <c r="AF54" i="39"/>
  <c r="AD54" i="39"/>
  <c r="Z54" i="39"/>
  <c r="X54" i="39"/>
  <c r="AI54" i="39"/>
  <c r="AJ53" i="39"/>
  <c r="AH53" i="39"/>
  <c r="AF53" i="39"/>
  <c r="AD53" i="39"/>
  <c r="Z53" i="39"/>
  <c r="X53" i="39"/>
  <c r="Y53" i="39"/>
  <c r="AJ52" i="39"/>
  <c r="AH52" i="39"/>
  <c r="AF52" i="39"/>
  <c r="AD52" i="39"/>
  <c r="Z52" i="39"/>
  <c r="X52" i="39"/>
  <c r="AI52" i="39"/>
  <c r="AJ51" i="39"/>
  <c r="AI51" i="39"/>
  <c r="AF51" i="39"/>
  <c r="AE51" i="39"/>
  <c r="Z51" i="39"/>
  <c r="Y51" i="39"/>
  <c r="AH51" i="39"/>
  <c r="AJ50" i="39"/>
  <c r="AI50" i="39"/>
  <c r="AH50" i="39"/>
  <c r="AF50" i="39"/>
  <c r="AE50" i="39"/>
  <c r="Z50" i="39"/>
  <c r="Y50" i="39"/>
  <c r="X50" i="39"/>
  <c r="AJ49" i="39"/>
  <c r="AI49" i="39"/>
  <c r="AF49" i="39"/>
  <c r="AE49" i="39"/>
  <c r="Z49" i="39"/>
  <c r="Y49" i="39"/>
  <c r="AH49" i="39"/>
  <c r="AJ48" i="39"/>
  <c r="AH48" i="39"/>
  <c r="AF48" i="39"/>
  <c r="AD48" i="39"/>
  <c r="Z48" i="39"/>
  <c r="X48" i="39"/>
  <c r="Y48" i="39"/>
  <c r="AJ47" i="39"/>
  <c r="AI47" i="39"/>
  <c r="AF47" i="39"/>
  <c r="AE47" i="39"/>
  <c r="Z47" i="39"/>
  <c r="Y47" i="39"/>
  <c r="AH47" i="39"/>
  <c r="AJ46" i="39"/>
  <c r="AI46" i="39"/>
  <c r="AH46" i="39"/>
  <c r="AF46" i="39"/>
  <c r="AE46" i="39"/>
  <c r="Z46" i="39"/>
  <c r="Y46" i="39"/>
  <c r="X46" i="39"/>
  <c r="AJ45" i="39"/>
  <c r="AH45" i="39"/>
  <c r="AF45" i="39"/>
  <c r="AD45" i="39"/>
  <c r="Z45" i="39"/>
  <c r="X45" i="39"/>
  <c r="Y45" i="39"/>
  <c r="AJ44" i="39"/>
  <c r="AI44" i="39"/>
  <c r="AF44" i="39"/>
  <c r="AE44" i="39"/>
  <c r="Z44" i="39"/>
  <c r="Y44" i="39"/>
  <c r="X44" i="39"/>
  <c r="AJ43" i="39"/>
  <c r="AI43" i="39"/>
  <c r="AF43" i="39"/>
  <c r="AE43" i="39"/>
  <c r="Z43" i="39"/>
  <c r="Y43" i="39"/>
  <c r="X43" i="39"/>
  <c r="AI42" i="39"/>
  <c r="AH42" i="39"/>
  <c r="AE42" i="39"/>
  <c r="AD42" i="39"/>
  <c r="Y42" i="39"/>
  <c r="X42" i="39"/>
  <c r="AJ42" i="39"/>
  <c r="AI41" i="39"/>
  <c r="AH41" i="39"/>
  <c r="AE41" i="39"/>
  <c r="AD41" i="39"/>
  <c r="Y41" i="39"/>
  <c r="X41" i="39"/>
  <c r="Z41" i="39"/>
  <c r="AJ40" i="39"/>
  <c r="AI40" i="39"/>
  <c r="AF40" i="39"/>
  <c r="AE40" i="39"/>
  <c r="Z40" i="39"/>
  <c r="Y40" i="39"/>
  <c r="AH40" i="39"/>
  <c r="AJ39" i="39"/>
  <c r="AI39" i="39"/>
  <c r="AF39" i="39"/>
  <c r="AE39" i="39"/>
  <c r="Z39" i="39"/>
  <c r="Y39" i="39"/>
  <c r="X39" i="39"/>
  <c r="AJ38" i="39"/>
  <c r="AI38" i="39"/>
  <c r="AF38" i="39"/>
  <c r="AE38" i="39"/>
  <c r="Z38" i="39"/>
  <c r="Y38" i="39"/>
  <c r="AH38" i="39"/>
  <c r="AJ37" i="39"/>
  <c r="AI37" i="39"/>
  <c r="AF37" i="39"/>
  <c r="AE37" i="39"/>
  <c r="Z37" i="39"/>
  <c r="Y37" i="39"/>
  <c r="AH37" i="39"/>
  <c r="AJ36" i="39"/>
  <c r="AI36" i="39"/>
  <c r="AF36" i="39"/>
  <c r="AE36" i="39"/>
  <c r="Z36" i="39"/>
  <c r="Y36" i="39"/>
  <c r="AH36" i="39"/>
  <c r="AJ35" i="39"/>
  <c r="AI35" i="39"/>
  <c r="AF35" i="39"/>
  <c r="AE35" i="39"/>
  <c r="Z35" i="39"/>
  <c r="Y35" i="39"/>
  <c r="X35" i="39"/>
  <c r="AJ34" i="39"/>
  <c r="AI34" i="39"/>
  <c r="AF34" i="39"/>
  <c r="AE34" i="39"/>
  <c r="Z34" i="39"/>
  <c r="Y34" i="39"/>
  <c r="AH34" i="39"/>
  <c r="AJ33" i="39"/>
  <c r="AI33" i="39"/>
  <c r="AF33" i="39"/>
  <c r="AE33" i="39"/>
  <c r="Z33" i="39"/>
  <c r="Y33" i="39"/>
  <c r="X33" i="39"/>
  <c r="AJ32" i="39"/>
  <c r="AI32" i="39"/>
  <c r="AF32" i="39"/>
  <c r="AE32" i="39"/>
  <c r="Z32" i="39"/>
  <c r="Y32" i="39"/>
  <c r="AH32" i="39"/>
  <c r="AJ31" i="39"/>
  <c r="AI31" i="39"/>
  <c r="AF31" i="39"/>
  <c r="AE31" i="39"/>
  <c r="Z31" i="39"/>
  <c r="Y31" i="39"/>
  <c r="X31" i="39"/>
  <c r="AJ30" i="39"/>
  <c r="AI30" i="39"/>
  <c r="AF30" i="39"/>
  <c r="AE30" i="39"/>
  <c r="Z30" i="39"/>
  <c r="Y30" i="39"/>
  <c r="AH30" i="39"/>
  <c r="AJ29" i="39"/>
  <c r="AH29" i="39"/>
  <c r="AF29" i="39"/>
  <c r="AD29" i="39"/>
  <c r="Z29" i="39"/>
  <c r="X29" i="39"/>
  <c r="AI29" i="39"/>
  <c r="AJ28" i="39"/>
  <c r="AI28" i="39"/>
  <c r="AF28" i="39"/>
  <c r="AE28" i="39"/>
  <c r="Z28" i="39"/>
  <c r="Y28" i="39"/>
  <c r="X28" i="39"/>
  <c r="AJ27" i="39"/>
  <c r="AI27" i="39"/>
  <c r="AF27" i="39"/>
  <c r="AE27" i="39"/>
  <c r="Z27" i="39"/>
  <c r="Y27" i="39"/>
  <c r="AH27" i="39"/>
  <c r="AJ26" i="39"/>
  <c r="AI26" i="39"/>
  <c r="AF26" i="39"/>
  <c r="AE26" i="39"/>
  <c r="Z26" i="39"/>
  <c r="Y26" i="39"/>
  <c r="X26" i="39"/>
  <c r="AJ25" i="39"/>
  <c r="AH25" i="39"/>
  <c r="AF25" i="39"/>
  <c r="AD25" i="39"/>
  <c r="Z25" i="39"/>
  <c r="X25" i="39"/>
  <c r="Y25" i="39"/>
  <c r="AJ24" i="39"/>
  <c r="AI24" i="39"/>
  <c r="AF24" i="39"/>
  <c r="AE24" i="39"/>
  <c r="Z24" i="39"/>
  <c r="Y24" i="39"/>
  <c r="AH24" i="39"/>
  <c r="AJ23" i="39"/>
  <c r="AI23" i="39"/>
  <c r="AF23" i="39"/>
  <c r="AE23" i="39"/>
  <c r="Z23" i="39"/>
  <c r="Y23" i="39"/>
  <c r="AH23" i="39"/>
  <c r="AJ22" i="39"/>
  <c r="AI22" i="39"/>
  <c r="AF22" i="39"/>
  <c r="AE22" i="39"/>
  <c r="Z22" i="39"/>
  <c r="Y22" i="39"/>
  <c r="X22" i="39"/>
  <c r="AJ21" i="39"/>
  <c r="AI21" i="39"/>
  <c r="AF21" i="39"/>
  <c r="AE21" i="39"/>
  <c r="Z21" i="39"/>
  <c r="Y21" i="39"/>
  <c r="AH21" i="39"/>
  <c r="AJ20" i="39"/>
  <c r="AI20" i="39"/>
  <c r="AH20" i="39"/>
  <c r="AF20" i="39"/>
  <c r="AD20" i="39"/>
  <c r="Z20" i="39"/>
  <c r="X20" i="39"/>
  <c r="Y20" i="39"/>
  <c r="AJ19" i="39"/>
  <c r="AH19" i="39"/>
  <c r="AF19" i="39"/>
  <c r="AD19" i="39"/>
  <c r="Z19" i="39"/>
  <c r="X19" i="39"/>
  <c r="AI19" i="39"/>
  <c r="AJ18" i="39"/>
  <c r="AH18" i="39"/>
  <c r="AF18" i="39"/>
  <c r="AD18" i="39"/>
  <c r="Z18" i="39"/>
  <c r="X18" i="39"/>
  <c r="AI18" i="39"/>
  <c r="AJ17" i="39"/>
  <c r="AI17" i="39"/>
  <c r="AF17" i="39"/>
  <c r="AE17" i="39"/>
  <c r="Z17" i="39"/>
  <c r="Y17" i="39"/>
  <c r="AH17" i="39"/>
  <c r="AJ16" i="39"/>
  <c r="AH16" i="39"/>
  <c r="AF16" i="39"/>
  <c r="AD16" i="39"/>
  <c r="Z16" i="39"/>
  <c r="X16" i="39"/>
  <c r="I238" i="38"/>
  <c r="I114" i="38"/>
  <c r="J238" i="40"/>
  <c r="F239" i="40"/>
  <c r="F240" i="40"/>
  <c r="I240" i="39"/>
  <c r="AH218" i="39"/>
  <c r="AL218" i="39"/>
  <c r="X165" i="39"/>
  <c r="AC165" i="39"/>
  <c r="X161" i="39"/>
  <c r="AC161" i="39"/>
  <c r="AC120" i="39"/>
  <c r="AC88" i="39"/>
  <c r="AI61" i="39"/>
  <c r="AH43" i="39"/>
  <c r="X37" i="39"/>
  <c r="AC37" i="39"/>
  <c r="AH22" i="39"/>
  <c r="X38" i="39"/>
  <c r="AC38" i="39"/>
  <c r="AC48" i="39"/>
  <c r="X56" i="39"/>
  <c r="AC56" i="39"/>
  <c r="AC72" i="39"/>
  <c r="X89" i="39"/>
  <c r="AH91" i="39"/>
  <c r="AC92" i="39"/>
  <c r="AC105" i="39"/>
  <c r="X114" i="39"/>
  <c r="X127" i="39"/>
  <c r="AC127" i="39"/>
  <c r="AC134" i="39"/>
  <c r="AC149" i="39"/>
  <c r="AH155" i="39"/>
  <c r="AC174" i="39"/>
  <c r="AC189" i="39"/>
  <c r="AC236" i="39"/>
  <c r="AC20" i="39"/>
  <c r="AC26" i="39"/>
  <c r="AC33" i="39"/>
  <c r="AH35" i="39"/>
  <c r="AH39" i="39"/>
  <c r="X49" i="39"/>
  <c r="AC49" i="39"/>
  <c r="Y52" i="39"/>
  <c r="AC52" i="39"/>
  <c r="AC64" i="39"/>
  <c r="AC68" i="39"/>
  <c r="AH70" i="39"/>
  <c r="AC76" i="39"/>
  <c r="Y85" i="39"/>
  <c r="AC87" i="39"/>
  <c r="AC104" i="39"/>
  <c r="AC107" i="39"/>
  <c r="AH124" i="39"/>
  <c r="AC133" i="39"/>
  <c r="Y159" i="39"/>
  <c r="Y163" i="39"/>
  <c r="AC163" i="39"/>
  <c r="AC173" i="39"/>
  <c r="AC184" i="39"/>
  <c r="Y201" i="39"/>
  <c r="AH222" i="39"/>
  <c r="AI48" i="39"/>
  <c r="AC28" i="39"/>
  <c r="AC31" i="39"/>
  <c r="AI53" i="39"/>
  <c r="AC60" i="39"/>
  <c r="AC66" i="39"/>
  <c r="AC103" i="39"/>
  <c r="AC114" i="39"/>
  <c r="AC121" i="39"/>
  <c r="AC143" i="39"/>
  <c r="Y151" i="39"/>
  <c r="AC151" i="39"/>
  <c r="AC156" i="39"/>
  <c r="Y162" i="39"/>
  <c r="AC162" i="39"/>
  <c r="Y166" i="39"/>
  <c r="AC170" i="39"/>
  <c r="AC204" i="39"/>
  <c r="AC218" i="39"/>
  <c r="AJ62" i="39"/>
  <c r="AH64" i="39"/>
  <c r="AH72" i="39"/>
  <c r="AH143" i="39"/>
  <c r="AC209" i="39"/>
  <c r="Q239" i="39"/>
  <c r="AI25" i="39"/>
  <c r="Y29" i="39"/>
  <c r="AC29" i="39"/>
  <c r="AH33" i="39"/>
  <c r="AC44" i="39"/>
  <c r="AC62" i="39"/>
  <c r="AH68" i="39"/>
  <c r="AC96" i="39"/>
  <c r="AH104" i="39"/>
  <c r="Y119" i="39"/>
  <c r="AC119" i="39"/>
  <c r="AC122" i="39"/>
  <c r="AC166" i="39"/>
  <c r="AH173" i="39"/>
  <c r="AC177" i="39"/>
  <c r="Y181" i="39"/>
  <c r="AC181" i="39"/>
  <c r="Y212" i="39"/>
  <c r="AC212" i="39"/>
  <c r="AH219" i="39"/>
  <c r="AJ220" i="39"/>
  <c r="X17" i="39"/>
  <c r="AC17" i="39"/>
  <c r="Y18" i="39"/>
  <c r="AC18" i="39"/>
  <c r="X24" i="39"/>
  <c r="AC24" i="39"/>
  <c r="E239" i="39"/>
  <c r="X30" i="39"/>
  <c r="AC30" i="39"/>
  <c r="AC35" i="39"/>
  <c r="AI45" i="39"/>
  <c r="AC46" i="39"/>
  <c r="Y54" i="39"/>
  <c r="AC54" i="39"/>
  <c r="X65" i="39"/>
  <c r="AC65" i="39"/>
  <c r="X73" i="39"/>
  <c r="AC73" i="39"/>
  <c r="AC79" i="39"/>
  <c r="AC84" i="39"/>
  <c r="X86" i="39"/>
  <c r="AC86" i="39"/>
  <c r="AH105" i="39"/>
  <c r="AH107" i="39"/>
  <c r="AC108" i="39"/>
  <c r="X109" i="39"/>
  <c r="AC109" i="39"/>
  <c r="AC111" i="39"/>
  <c r="X112" i="39"/>
  <c r="AC112" i="39"/>
  <c r="X113" i="39"/>
  <c r="AC113" i="39"/>
  <c r="X115" i="39"/>
  <c r="AC115" i="39"/>
  <c r="AC116" i="39"/>
  <c r="AC124" i="39"/>
  <c r="X130" i="39"/>
  <c r="AC130" i="39"/>
  <c r="X138" i="39"/>
  <c r="AC138" i="39"/>
  <c r="AC139" i="39"/>
  <c r="AH139" i="39"/>
  <c r="X148" i="39"/>
  <c r="AH156" i="39"/>
  <c r="Y158" i="39"/>
  <c r="AC158" i="39"/>
  <c r="AH174" i="39"/>
  <c r="Y175" i="39"/>
  <c r="AC175" i="39"/>
  <c r="AC180" i="39"/>
  <c r="AH184" i="39"/>
  <c r="AI185" i="39"/>
  <c r="AH189" i="39"/>
  <c r="X191" i="39"/>
  <c r="AC191" i="39"/>
  <c r="Y192" i="39"/>
  <c r="AC192" i="39"/>
  <c r="Y196" i="39"/>
  <c r="AC196" i="39"/>
  <c r="Y197" i="39"/>
  <c r="AC197" i="39"/>
  <c r="AH199" i="39"/>
  <c r="AI200" i="39"/>
  <c r="AH204" i="39"/>
  <c r="Y208" i="39"/>
  <c r="AC208" i="39"/>
  <c r="AI209" i="39"/>
  <c r="AC222" i="39"/>
  <c r="AC223" i="39"/>
  <c r="AC226" i="39"/>
  <c r="Y227" i="39"/>
  <c r="AC234" i="39"/>
  <c r="AC238" i="39"/>
  <c r="AC185" i="39"/>
  <c r="AC200" i="39"/>
  <c r="AJ213" i="39"/>
  <c r="AI223" i="39"/>
  <c r="AH28" i="39"/>
  <c r="AC53" i="39"/>
  <c r="AH77" i="39"/>
  <c r="Y81" i="39"/>
  <c r="AC81" i="39"/>
  <c r="AC85" i="39"/>
  <c r="AC89" i="39"/>
  <c r="AC101" i="39"/>
  <c r="Y118" i="39"/>
  <c r="AC118" i="39"/>
  <c r="Y128" i="39"/>
  <c r="AC128" i="39"/>
  <c r="AL131" i="39"/>
  <c r="Z131" i="39"/>
  <c r="AC131" i="39"/>
  <c r="AC132" i="39"/>
  <c r="Y147" i="39"/>
  <c r="AC147" i="39"/>
  <c r="Y167" i="39"/>
  <c r="AI169" i="39"/>
  <c r="X21" i="39"/>
  <c r="AC21" i="39"/>
  <c r="AC22" i="39"/>
  <c r="AH26" i="39"/>
  <c r="AH31" i="39"/>
  <c r="X34" i="39"/>
  <c r="AC34" i="39"/>
  <c r="AC39" i="39"/>
  <c r="AC41" i="39"/>
  <c r="AJ41" i="39"/>
  <c r="AC43" i="39"/>
  <c r="AC50" i="39"/>
  <c r="AH66" i="39"/>
  <c r="X69" i="39"/>
  <c r="AC69" i="39"/>
  <c r="AC70" i="39"/>
  <c r="AC75" i="39"/>
  <c r="AC80" i="39"/>
  <c r="AH87" i="39"/>
  <c r="AC91" i="39"/>
  <c r="AH92" i="39"/>
  <c r="AC93" i="39"/>
  <c r="AJ93" i="39"/>
  <c r="AJ103" i="39"/>
  <c r="X110" i="39"/>
  <c r="AC110" i="39"/>
  <c r="AH120" i="39"/>
  <c r="X140" i="39"/>
  <c r="AC141" i="39"/>
  <c r="AC145" i="39"/>
  <c r="X153" i="39"/>
  <c r="AC153" i="39"/>
  <c r="AC155" i="39"/>
  <c r="AC195" i="39"/>
  <c r="AC203" i="39"/>
  <c r="X205" i="39"/>
  <c r="AC205" i="39"/>
  <c r="AH215" i="39"/>
  <c r="AJ216" i="39"/>
  <c r="X217" i="39"/>
  <c r="AC217" i="39"/>
  <c r="AC227" i="39"/>
  <c r="AC231" i="39"/>
  <c r="Y232" i="39"/>
  <c r="AC232" i="39"/>
  <c r="AH234" i="39"/>
  <c r="AH238" i="39"/>
  <c r="AH226" i="39"/>
  <c r="AJ224" i="39"/>
  <c r="AC237" i="39"/>
  <c r="AJ237" i="39"/>
  <c r="AC25" i="39"/>
  <c r="AC45" i="39"/>
  <c r="AC61" i="39"/>
  <c r="AH183" i="39"/>
  <c r="X183" i="39"/>
  <c r="AC183" i="39"/>
  <c r="AI198" i="39"/>
  <c r="Y198" i="39"/>
  <c r="AC198" i="39"/>
  <c r="AI210" i="39"/>
  <c r="Y210" i="39"/>
  <c r="AC210" i="39"/>
  <c r="AH221" i="39"/>
  <c r="X221" i="39"/>
  <c r="AC221" i="39"/>
  <c r="AH225" i="39"/>
  <c r="X225" i="39"/>
  <c r="AC225" i="39"/>
  <c r="AI229" i="39"/>
  <c r="Y229" i="39"/>
  <c r="AC229" i="39"/>
  <c r="AH233" i="39"/>
  <c r="X233" i="39"/>
  <c r="AC233" i="39"/>
  <c r="AI168" i="39"/>
  <c r="Y168" i="39"/>
  <c r="AC168" i="39"/>
  <c r="AH172" i="39"/>
  <c r="X172" i="39"/>
  <c r="AC172" i="39"/>
  <c r="AH193" i="39"/>
  <c r="X193" i="39"/>
  <c r="AC193" i="39"/>
  <c r="AH206" i="39"/>
  <c r="X206" i="39"/>
  <c r="AC206" i="39"/>
  <c r="AI214" i="39"/>
  <c r="Y214" i="39"/>
  <c r="AC214" i="39"/>
  <c r="AC98" i="39"/>
  <c r="AC152" i="39"/>
  <c r="Z160" i="39"/>
  <c r="AC160" i="39"/>
  <c r="Y16" i="39"/>
  <c r="Y19" i="39"/>
  <c r="AC19" i="39"/>
  <c r="Y55" i="39"/>
  <c r="AC55" i="39"/>
  <c r="X74" i="39"/>
  <c r="AC74" i="39"/>
  <c r="X78" i="39"/>
  <c r="AC78" i="39"/>
  <c r="X82" i="39"/>
  <c r="AC82" i="39"/>
  <c r="AI84" i="39"/>
  <c r="AI96" i="39"/>
  <c r="AI98" i="39"/>
  <c r="Y99" i="39"/>
  <c r="AC99" i="39"/>
  <c r="AH116" i="39"/>
  <c r="X125" i="39"/>
  <c r="AC125" i="39"/>
  <c r="AH134" i="39"/>
  <c r="AL134" i="39"/>
  <c r="X136" i="39"/>
  <c r="AC136" i="39"/>
  <c r="AH141" i="39"/>
  <c r="X144" i="39"/>
  <c r="AC144" i="39"/>
  <c r="AC148" i="39"/>
  <c r="AI152" i="39"/>
  <c r="Z154" i="39"/>
  <c r="Z157" i="39"/>
  <c r="AC157" i="39"/>
  <c r="AC201" i="39"/>
  <c r="AC220" i="39"/>
  <c r="AC224" i="39"/>
  <c r="AH176" i="39"/>
  <c r="X176" i="39"/>
  <c r="AC176" i="39"/>
  <c r="AH179" i="39"/>
  <c r="X179" i="39"/>
  <c r="AC179" i="39"/>
  <c r="AI187" i="39"/>
  <c r="Y187" i="39"/>
  <c r="AC187" i="39"/>
  <c r="AH194" i="39"/>
  <c r="X194" i="39"/>
  <c r="AC194" i="39"/>
  <c r="AI202" i="39"/>
  <c r="Y202" i="39"/>
  <c r="AC202" i="39"/>
  <c r="X23" i="39"/>
  <c r="AC23" i="39"/>
  <c r="X27" i="39"/>
  <c r="AC27" i="39"/>
  <c r="X40" i="39"/>
  <c r="AC40" i="39"/>
  <c r="Z42" i="39"/>
  <c r="AC42" i="39"/>
  <c r="X59" i="39"/>
  <c r="AC59" i="39"/>
  <c r="X63" i="39"/>
  <c r="AC63" i="39"/>
  <c r="X67" i="39"/>
  <c r="AC67" i="39"/>
  <c r="X71" i="39"/>
  <c r="AC71" i="39"/>
  <c r="AI76" i="39"/>
  <c r="AI80" i="39"/>
  <c r="X90" i="39"/>
  <c r="AC90" i="39"/>
  <c r="AC94" i="39"/>
  <c r="AJ94" i="39"/>
  <c r="X102" i="39"/>
  <c r="AC102" i="39"/>
  <c r="X106" i="39"/>
  <c r="AC106" i="39"/>
  <c r="X117" i="39"/>
  <c r="AC117" i="39"/>
  <c r="X123" i="39"/>
  <c r="AC123" i="39"/>
  <c r="X129" i="39"/>
  <c r="AC129" i="39"/>
  <c r="AI132" i="39"/>
  <c r="Y135" i="39"/>
  <c r="AC135" i="39"/>
  <c r="X142" i="39"/>
  <c r="AC142" i="39"/>
  <c r="AI146" i="39"/>
  <c r="Z150" i="39"/>
  <c r="AC150" i="39"/>
  <c r="AC213" i="39"/>
  <c r="AC216" i="39"/>
  <c r="AH164" i="39"/>
  <c r="X164" i="39"/>
  <c r="AC164" i="39"/>
  <c r="AH44" i="39"/>
  <c r="AL44" i="39"/>
  <c r="AI16" i="39"/>
  <c r="X32" i="39"/>
  <c r="AC32" i="39"/>
  <c r="X36" i="39"/>
  <c r="AC36" i="39"/>
  <c r="X47" i="39"/>
  <c r="AC47" i="39"/>
  <c r="X51" i="39"/>
  <c r="AC51" i="39"/>
  <c r="AC16" i="39"/>
  <c r="AH75" i="39"/>
  <c r="AH79" i="39"/>
  <c r="Y83" i="39"/>
  <c r="AC83" i="39"/>
  <c r="Y95" i="39"/>
  <c r="AC95" i="39"/>
  <c r="AI100" i="39"/>
  <c r="AL135" i="39"/>
  <c r="AH137" i="39"/>
  <c r="AC140" i="39"/>
  <c r="AH145" i="39"/>
  <c r="AH149" i="39"/>
  <c r="AC159" i="39"/>
  <c r="AC167" i="39"/>
  <c r="X235" i="39"/>
  <c r="AC235" i="39"/>
  <c r="AJ236" i="39"/>
  <c r="M239" i="39"/>
  <c r="M240" i="39"/>
  <c r="J247" i="39"/>
  <c r="X171" i="39"/>
  <c r="AC171" i="39"/>
  <c r="X178" i="39"/>
  <c r="AC178" i="39"/>
  <c r="X182" i="39"/>
  <c r="AC182" i="39"/>
  <c r="X186" i="39"/>
  <c r="AC186" i="39"/>
  <c r="Z188" i="39"/>
  <c r="AC188" i="39"/>
  <c r="V239" i="39"/>
  <c r="Y190" i="39"/>
  <c r="AC190" i="39"/>
  <c r="Y207" i="39"/>
  <c r="AC207" i="39"/>
  <c r="Y211" i="39"/>
  <c r="AC211" i="39"/>
  <c r="Y230" i="39"/>
  <c r="AC230" i="39"/>
  <c r="AD238" i="40"/>
  <c r="J239" i="40"/>
  <c r="J243" i="40"/>
  <c r="J245" i="40"/>
  <c r="Z239" i="39"/>
  <c r="AA252" i="39"/>
  <c r="AJ239" i="39"/>
  <c r="AJ243" i="39"/>
  <c r="AH239" i="39"/>
  <c r="AH243" i="39"/>
  <c r="X239" i="39"/>
  <c r="AC154" i="39"/>
  <c r="AI239" i="39"/>
  <c r="AI243" i="39"/>
  <c r="Y239" i="39"/>
  <c r="AA249" i="39"/>
  <c r="I189" i="38"/>
  <c r="T191" i="37"/>
  <c r="T222" i="37"/>
  <c r="T82" i="37"/>
  <c r="T168" i="37"/>
  <c r="T148" i="37"/>
  <c r="E153" i="38"/>
  <c r="E29" i="38"/>
  <c r="T105" i="37"/>
  <c r="V105" i="37"/>
  <c r="E154" i="38"/>
  <c r="E156" i="38"/>
  <c r="E190" i="38"/>
  <c r="T236" i="37"/>
  <c r="T17" i="37"/>
  <c r="AJ182" i="38"/>
  <c r="AI182" i="38"/>
  <c r="AF182" i="38"/>
  <c r="AE182" i="38"/>
  <c r="Z182" i="38"/>
  <c r="Y182" i="38"/>
  <c r="AH182" i="38"/>
  <c r="Q183" i="37"/>
  <c r="V183" i="37"/>
  <c r="F182" i="38"/>
  <c r="J182" i="38"/>
  <c r="AD182" i="38"/>
  <c r="AJ182" i="37"/>
  <c r="AI182" i="37"/>
  <c r="AF182" i="37"/>
  <c r="AE182" i="37"/>
  <c r="Z182" i="37"/>
  <c r="Y182" i="37"/>
  <c r="Q182" i="37"/>
  <c r="AH182" i="37"/>
  <c r="J182" i="37"/>
  <c r="AD182" i="37"/>
  <c r="AL182" i="37"/>
  <c r="AJ126" i="38"/>
  <c r="AI126" i="38"/>
  <c r="AF126" i="38"/>
  <c r="AE126" i="38"/>
  <c r="Z126" i="38"/>
  <c r="Y126" i="38"/>
  <c r="X126" i="38"/>
  <c r="AC126" i="38"/>
  <c r="F126" i="39"/>
  <c r="J126" i="39"/>
  <c r="AD126" i="39"/>
  <c r="AL126" i="39"/>
  <c r="AH126" i="38"/>
  <c r="AJ126" i="37"/>
  <c r="AI126" i="37"/>
  <c r="AF126" i="37"/>
  <c r="AE126" i="37"/>
  <c r="Z126" i="37"/>
  <c r="Y126" i="37"/>
  <c r="Q126" i="37"/>
  <c r="AH126" i="37"/>
  <c r="J126" i="37"/>
  <c r="AD126" i="37"/>
  <c r="AL126" i="37"/>
  <c r="Q238" i="37"/>
  <c r="V238" i="37"/>
  <c r="F238" i="38"/>
  <c r="J238" i="38"/>
  <c r="AD238" i="38"/>
  <c r="Q237" i="37"/>
  <c r="V237" i="37"/>
  <c r="F237" i="38"/>
  <c r="J237" i="38"/>
  <c r="AF237" i="38"/>
  <c r="Q235" i="37"/>
  <c r="V235" i="37"/>
  <c r="F235" i="38"/>
  <c r="J235" i="38"/>
  <c r="AD235" i="38"/>
  <c r="Q234" i="37"/>
  <c r="V234" i="37"/>
  <c r="F234" i="38"/>
  <c r="J234" i="38"/>
  <c r="AD234" i="38"/>
  <c r="Q233" i="37"/>
  <c r="V233" i="37"/>
  <c r="F233" i="38"/>
  <c r="J233" i="38"/>
  <c r="AD233" i="38"/>
  <c r="Q232" i="37"/>
  <c r="V232" i="37"/>
  <c r="F232" i="38"/>
  <c r="J232" i="38"/>
  <c r="AE232" i="38"/>
  <c r="Q231" i="37"/>
  <c r="V231" i="37"/>
  <c r="F231" i="38"/>
  <c r="J231" i="38"/>
  <c r="AD231" i="38"/>
  <c r="Q230" i="37"/>
  <c r="V230" i="37"/>
  <c r="F230" i="38"/>
  <c r="J230" i="38"/>
  <c r="AE230" i="38"/>
  <c r="Q229" i="37"/>
  <c r="V229" i="37"/>
  <c r="F229" i="38"/>
  <c r="J229" i="38"/>
  <c r="AE229" i="38"/>
  <c r="Q228" i="37"/>
  <c r="V228" i="37"/>
  <c r="F228" i="38"/>
  <c r="J228" i="38"/>
  <c r="AE228" i="38"/>
  <c r="Q227" i="37"/>
  <c r="V227" i="37"/>
  <c r="F227" i="38"/>
  <c r="J227" i="38"/>
  <c r="AE227" i="38"/>
  <c r="Q225" i="37"/>
  <c r="V225" i="37"/>
  <c r="F225" i="38"/>
  <c r="J225" i="38"/>
  <c r="AD225" i="38"/>
  <c r="Q224" i="37"/>
  <c r="V224" i="37"/>
  <c r="F224" i="38"/>
  <c r="J224" i="38"/>
  <c r="AF224" i="38"/>
  <c r="Q223" i="37"/>
  <c r="V223" i="37"/>
  <c r="F223" i="38"/>
  <c r="J223" i="38"/>
  <c r="AE223" i="38"/>
  <c r="Q220" i="37"/>
  <c r="V220" i="37"/>
  <c r="F220" i="38"/>
  <c r="J220" i="38"/>
  <c r="AF220" i="38"/>
  <c r="Q219" i="37"/>
  <c r="V219" i="37"/>
  <c r="F219" i="38"/>
  <c r="J219" i="38"/>
  <c r="AD219" i="38"/>
  <c r="Q218" i="37"/>
  <c r="V218" i="37"/>
  <c r="F218" i="38"/>
  <c r="J218" i="38"/>
  <c r="AD218" i="38"/>
  <c r="Q217" i="37"/>
  <c r="V217" i="37"/>
  <c r="F217" i="38"/>
  <c r="J217" i="38"/>
  <c r="AD217" i="38"/>
  <c r="Q216" i="37"/>
  <c r="V216" i="37"/>
  <c r="F216" i="38"/>
  <c r="J216" i="38"/>
  <c r="AF216" i="38"/>
  <c r="Q214" i="37"/>
  <c r="V214" i="37"/>
  <c r="F214" i="38"/>
  <c r="J214" i="38"/>
  <c r="AE214" i="38"/>
  <c r="Q213" i="37"/>
  <c r="V213" i="37"/>
  <c r="F213" i="38"/>
  <c r="J213" i="38"/>
  <c r="AF213" i="38"/>
  <c r="Q212" i="37"/>
  <c r="V212" i="37"/>
  <c r="F212" i="38"/>
  <c r="J212" i="38"/>
  <c r="AE212" i="38"/>
  <c r="Q211" i="37"/>
  <c r="V211" i="37"/>
  <c r="F211" i="38"/>
  <c r="J211" i="38"/>
  <c r="AE211" i="38"/>
  <c r="Q210" i="37"/>
  <c r="V210" i="37"/>
  <c r="F210" i="38"/>
  <c r="J210" i="38"/>
  <c r="AE210" i="38"/>
  <c r="Q209" i="37"/>
  <c r="V209" i="37"/>
  <c r="F209" i="38"/>
  <c r="J209" i="38"/>
  <c r="AE209" i="38"/>
  <c r="Q208" i="37"/>
  <c r="V208" i="37"/>
  <c r="F208" i="38"/>
  <c r="J208" i="38"/>
  <c r="AE208" i="38"/>
  <c r="Q207" i="37"/>
  <c r="V207" i="37"/>
  <c r="F207" i="38"/>
  <c r="J207" i="38"/>
  <c r="AE207" i="38"/>
  <c r="Q206" i="37"/>
  <c r="V206" i="37"/>
  <c r="F206" i="38"/>
  <c r="J206" i="38"/>
  <c r="AD206" i="38"/>
  <c r="Q205" i="37"/>
  <c r="V205" i="37"/>
  <c r="F205" i="38"/>
  <c r="J205" i="38"/>
  <c r="AD205" i="38"/>
  <c r="Q204" i="37"/>
  <c r="V204" i="37"/>
  <c r="F204" i="38"/>
  <c r="J204" i="38"/>
  <c r="AD204" i="38"/>
  <c r="Q203" i="37"/>
  <c r="V203" i="37"/>
  <c r="F203" i="38"/>
  <c r="J203" i="38"/>
  <c r="AD203" i="38"/>
  <c r="Q202" i="37"/>
  <c r="V202" i="37"/>
  <c r="F202" i="38"/>
  <c r="J202" i="38"/>
  <c r="AE202" i="38"/>
  <c r="Q201" i="37"/>
  <c r="V201" i="37"/>
  <c r="F201" i="38"/>
  <c r="J201" i="38"/>
  <c r="AE201" i="38"/>
  <c r="Q200" i="37"/>
  <c r="V200" i="37"/>
  <c r="F200" i="38"/>
  <c r="J200" i="38"/>
  <c r="AE200" i="38"/>
  <c r="Q198" i="37"/>
  <c r="V198" i="37"/>
  <c r="F198" i="38"/>
  <c r="J198" i="38"/>
  <c r="AE198" i="38"/>
  <c r="Q197" i="37"/>
  <c r="V197" i="37"/>
  <c r="F197" i="38"/>
  <c r="J197" i="38"/>
  <c r="AE197" i="38"/>
  <c r="Q196" i="37"/>
  <c r="V196" i="37"/>
  <c r="F196" i="38"/>
  <c r="J196" i="38"/>
  <c r="AE196" i="38"/>
  <c r="Q195" i="37"/>
  <c r="V195" i="37"/>
  <c r="F195" i="38"/>
  <c r="J195" i="38"/>
  <c r="AD195" i="38"/>
  <c r="Q194" i="37"/>
  <c r="V194" i="37"/>
  <c r="F194" i="38"/>
  <c r="J194" i="38"/>
  <c r="AD194" i="38"/>
  <c r="Q193" i="37"/>
  <c r="V193" i="37"/>
  <c r="F193" i="38"/>
  <c r="J193" i="38"/>
  <c r="AD193" i="38"/>
  <c r="Q191" i="37"/>
  <c r="V191" i="37"/>
  <c r="F191" i="38"/>
  <c r="J191" i="38"/>
  <c r="AD191" i="38"/>
  <c r="Q190" i="37"/>
  <c r="V190" i="37"/>
  <c r="F190" i="38"/>
  <c r="J190" i="38"/>
  <c r="AE190" i="38"/>
  <c r="Q189" i="37"/>
  <c r="V189" i="37"/>
  <c r="F189" i="38"/>
  <c r="J189" i="38"/>
  <c r="AD189" i="38"/>
  <c r="Q187" i="37"/>
  <c r="V187" i="37"/>
  <c r="F188" i="38"/>
  <c r="J188" i="38"/>
  <c r="AF188" i="38"/>
  <c r="F187" i="38"/>
  <c r="J187" i="38"/>
  <c r="AE187" i="38"/>
  <c r="Q186" i="37"/>
  <c r="V186" i="37"/>
  <c r="F186" i="38"/>
  <c r="J186" i="38"/>
  <c r="AD186" i="38"/>
  <c r="Q185" i="37"/>
  <c r="V185" i="37"/>
  <c r="F185" i="38"/>
  <c r="J185" i="38"/>
  <c r="AE185" i="38"/>
  <c r="Q181" i="37"/>
  <c r="V181" i="37"/>
  <c r="F181" i="38"/>
  <c r="J181" i="38"/>
  <c r="AE181" i="38"/>
  <c r="Q180" i="37"/>
  <c r="V180" i="37"/>
  <c r="F180" i="38"/>
  <c r="J180" i="38"/>
  <c r="AD180" i="38"/>
  <c r="M179" i="37"/>
  <c r="Q179" i="37"/>
  <c r="V179" i="37"/>
  <c r="F179" i="38"/>
  <c r="J179" i="38"/>
  <c r="AD179" i="38"/>
  <c r="Q178" i="37"/>
  <c r="V178" i="37"/>
  <c r="F178" i="38"/>
  <c r="J178" i="38"/>
  <c r="AD178" i="38"/>
  <c r="Q176" i="37"/>
  <c r="V176" i="37"/>
  <c r="F176" i="38"/>
  <c r="J176" i="38"/>
  <c r="AD176" i="38"/>
  <c r="Q175" i="37"/>
  <c r="V175" i="37"/>
  <c r="F175" i="38"/>
  <c r="J175" i="38"/>
  <c r="AE175" i="38"/>
  <c r="Q173" i="37"/>
  <c r="V173" i="37"/>
  <c r="F173" i="38"/>
  <c r="J173" i="38"/>
  <c r="AD173" i="38"/>
  <c r="Q172" i="37"/>
  <c r="V172" i="37"/>
  <c r="F172" i="38"/>
  <c r="J172" i="38"/>
  <c r="AD172" i="38"/>
  <c r="Q171" i="37"/>
  <c r="V171" i="37"/>
  <c r="F171" i="38"/>
  <c r="J171" i="38"/>
  <c r="AD171" i="38"/>
  <c r="Q170" i="37"/>
  <c r="V170" i="37"/>
  <c r="F170" i="38"/>
  <c r="J170" i="38"/>
  <c r="AD170" i="38"/>
  <c r="Q169" i="37"/>
  <c r="V169" i="37"/>
  <c r="F169" i="38"/>
  <c r="J169" i="38"/>
  <c r="AE169" i="38"/>
  <c r="Q167" i="37"/>
  <c r="V167" i="37"/>
  <c r="F167" i="38"/>
  <c r="J167" i="38"/>
  <c r="AE167" i="38"/>
  <c r="Q166" i="37"/>
  <c r="V166" i="37"/>
  <c r="F166" i="38"/>
  <c r="J166" i="38"/>
  <c r="AE166" i="38"/>
  <c r="Q165" i="37"/>
  <c r="V165" i="37"/>
  <c r="F165" i="38"/>
  <c r="J165" i="38"/>
  <c r="AD165" i="38"/>
  <c r="Q164" i="37"/>
  <c r="V164" i="37"/>
  <c r="F164" i="38"/>
  <c r="J164" i="38"/>
  <c r="AD164" i="38"/>
  <c r="Q162" i="37"/>
  <c r="V162" i="37"/>
  <c r="F162" i="38"/>
  <c r="J162" i="38"/>
  <c r="AE162" i="38"/>
  <c r="Q161" i="37"/>
  <c r="V161" i="37"/>
  <c r="F161" i="38"/>
  <c r="J161" i="38"/>
  <c r="AD161" i="38"/>
  <c r="Q160" i="37"/>
  <c r="V160" i="37"/>
  <c r="F160" i="38"/>
  <c r="J160" i="38"/>
  <c r="AF160" i="38"/>
  <c r="Q159" i="37"/>
  <c r="V159" i="37"/>
  <c r="F159" i="38"/>
  <c r="J159" i="38"/>
  <c r="AE159" i="38"/>
  <c r="Q158" i="37"/>
  <c r="V158" i="37"/>
  <c r="F158" i="38"/>
  <c r="J158" i="38"/>
  <c r="AE158" i="38"/>
  <c r="Q157" i="37"/>
  <c r="V157" i="37"/>
  <c r="F157" i="38"/>
  <c r="J157" i="38"/>
  <c r="AF157" i="38"/>
  <c r="Q156" i="37"/>
  <c r="V156" i="37"/>
  <c r="F156" i="38"/>
  <c r="J156" i="38"/>
  <c r="AD156" i="38"/>
  <c r="Q155" i="37"/>
  <c r="V155" i="37"/>
  <c r="F155" i="38"/>
  <c r="J155" i="38"/>
  <c r="AD155" i="38"/>
  <c r="Q153" i="37"/>
  <c r="V153" i="37"/>
  <c r="F153" i="38"/>
  <c r="J153" i="38"/>
  <c r="AD153" i="38"/>
  <c r="Q152" i="37"/>
  <c r="V152" i="37"/>
  <c r="F152" i="38"/>
  <c r="J152" i="38"/>
  <c r="AE152" i="38"/>
  <c r="Q151" i="37"/>
  <c r="V151" i="37"/>
  <c r="F151" i="38"/>
  <c r="J151" i="38"/>
  <c r="AE151" i="38"/>
  <c r="Q150" i="37"/>
  <c r="V150" i="37"/>
  <c r="F150" i="38"/>
  <c r="J150" i="38"/>
  <c r="AF150" i="38"/>
  <c r="Q147" i="37"/>
  <c r="V147" i="37"/>
  <c r="F147" i="38"/>
  <c r="J147" i="38"/>
  <c r="AE147" i="38"/>
  <c r="Q146" i="37"/>
  <c r="V146" i="37"/>
  <c r="F146" i="38"/>
  <c r="J146" i="38"/>
  <c r="AE146" i="38"/>
  <c r="Q145" i="37"/>
  <c r="V145" i="37"/>
  <c r="F145" i="38"/>
  <c r="J145" i="38"/>
  <c r="AD145" i="38"/>
  <c r="Q144" i="37"/>
  <c r="V144" i="37"/>
  <c r="F144" i="38"/>
  <c r="J144" i="38"/>
  <c r="AD144" i="38"/>
  <c r="Q143" i="37"/>
  <c r="V143" i="37"/>
  <c r="F143" i="38"/>
  <c r="J143" i="38"/>
  <c r="AD143" i="38"/>
  <c r="Q142" i="37"/>
  <c r="V142" i="37"/>
  <c r="F142" i="38"/>
  <c r="J142" i="38"/>
  <c r="AD142" i="38"/>
  <c r="Q141" i="37"/>
  <c r="V141" i="37"/>
  <c r="F141" i="38"/>
  <c r="J141" i="38"/>
  <c r="AD141" i="38"/>
  <c r="Q140" i="37"/>
  <c r="V140" i="37"/>
  <c r="F140" i="38"/>
  <c r="J140" i="38"/>
  <c r="AD140" i="38"/>
  <c r="Q139" i="37"/>
  <c r="V139" i="37"/>
  <c r="F139" i="38"/>
  <c r="J139" i="38"/>
  <c r="AD139" i="38"/>
  <c r="Q138" i="37"/>
  <c r="V138" i="37"/>
  <c r="F138" i="38"/>
  <c r="J138" i="38"/>
  <c r="AD138" i="38"/>
  <c r="Q137" i="37"/>
  <c r="V137" i="37"/>
  <c r="F137" i="38"/>
  <c r="J137" i="38"/>
  <c r="AD137" i="38"/>
  <c r="Q136" i="37"/>
  <c r="V136" i="37"/>
  <c r="F136" i="38"/>
  <c r="J136" i="38"/>
  <c r="AD136" i="38"/>
  <c r="Q133" i="37"/>
  <c r="V133" i="37"/>
  <c r="F133" i="38"/>
  <c r="J133" i="38"/>
  <c r="AE133" i="38"/>
  <c r="Q132" i="37"/>
  <c r="V132" i="37"/>
  <c r="F132" i="38"/>
  <c r="J132" i="38"/>
  <c r="AE132" i="38"/>
  <c r="Q131" i="37"/>
  <c r="V131" i="37"/>
  <c r="F131" i="38"/>
  <c r="J131" i="38"/>
  <c r="AF131" i="38"/>
  <c r="Q130" i="37"/>
  <c r="V130" i="37"/>
  <c r="F130" i="38"/>
  <c r="J130" i="38"/>
  <c r="AD130" i="38"/>
  <c r="Q129" i="37"/>
  <c r="V129" i="37"/>
  <c r="F129" i="38"/>
  <c r="J129" i="38"/>
  <c r="AD129" i="38"/>
  <c r="Q128" i="37"/>
  <c r="V128" i="37"/>
  <c r="F128" i="38"/>
  <c r="J128" i="38"/>
  <c r="AE128" i="38"/>
  <c r="Q125" i="37"/>
  <c r="V125" i="37"/>
  <c r="F125" i="38"/>
  <c r="J125" i="38"/>
  <c r="AD125" i="38"/>
  <c r="Q124" i="37"/>
  <c r="V124" i="37"/>
  <c r="F124" i="38"/>
  <c r="J124" i="38"/>
  <c r="AD124" i="38"/>
  <c r="Q123" i="37"/>
  <c r="V123" i="37"/>
  <c r="F123" i="38"/>
  <c r="J123" i="38"/>
  <c r="AD123" i="38"/>
  <c r="Q122" i="37"/>
  <c r="V122" i="37"/>
  <c r="F122" i="38"/>
  <c r="J122" i="38"/>
  <c r="AD122" i="38"/>
  <c r="Q121" i="37"/>
  <c r="V121" i="37"/>
  <c r="F121" i="38"/>
  <c r="J121" i="38"/>
  <c r="AD121" i="38"/>
  <c r="Q119" i="37"/>
  <c r="V119" i="37"/>
  <c r="F119" i="38"/>
  <c r="J119" i="38"/>
  <c r="AE119" i="38"/>
  <c r="Q118" i="37"/>
  <c r="V118" i="37"/>
  <c r="F118" i="38"/>
  <c r="J118" i="38"/>
  <c r="AE118" i="38"/>
  <c r="Q117" i="37"/>
  <c r="V117" i="37"/>
  <c r="F117" i="38"/>
  <c r="J117" i="38"/>
  <c r="AD117" i="38"/>
  <c r="Q116" i="37"/>
  <c r="V116" i="37"/>
  <c r="F116" i="38"/>
  <c r="J116" i="38"/>
  <c r="AD116" i="38"/>
  <c r="Q115" i="37"/>
  <c r="V115" i="37"/>
  <c r="F115" i="38"/>
  <c r="J115" i="38"/>
  <c r="AD115" i="38"/>
  <c r="Q114" i="37"/>
  <c r="V114" i="37"/>
  <c r="F114" i="38"/>
  <c r="J114" i="38"/>
  <c r="AD114" i="38"/>
  <c r="Q113" i="37"/>
  <c r="V113" i="37"/>
  <c r="F113" i="38"/>
  <c r="J113" i="38"/>
  <c r="AD113" i="38"/>
  <c r="Q112" i="37"/>
  <c r="V112" i="37"/>
  <c r="F112" i="38"/>
  <c r="J112" i="38"/>
  <c r="AD112" i="38"/>
  <c r="Q111" i="37"/>
  <c r="V111" i="37"/>
  <c r="F111" i="38"/>
  <c r="J111" i="38"/>
  <c r="AD111" i="38"/>
  <c r="Q110" i="37"/>
  <c r="V110" i="37"/>
  <c r="F110" i="38"/>
  <c r="J110" i="38"/>
  <c r="AD110" i="38"/>
  <c r="Q109" i="37"/>
  <c r="V109" i="37"/>
  <c r="F109" i="38"/>
  <c r="J109" i="38"/>
  <c r="AD109" i="38"/>
  <c r="Q108" i="37"/>
  <c r="V108" i="37"/>
  <c r="F108" i="38"/>
  <c r="J108" i="38"/>
  <c r="AD108" i="38"/>
  <c r="Q107" i="37"/>
  <c r="V107" i="37"/>
  <c r="F107" i="38"/>
  <c r="J107" i="38"/>
  <c r="AD107" i="38"/>
  <c r="Q106" i="37"/>
  <c r="V106" i="37"/>
  <c r="F106" i="38"/>
  <c r="J106" i="38"/>
  <c r="AD106" i="38"/>
  <c r="F105" i="38"/>
  <c r="J105" i="38"/>
  <c r="AD105" i="38"/>
  <c r="Q104" i="37"/>
  <c r="V104" i="37"/>
  <c r="F104" i="38"/>
  <c r="J104" i="38"/>
  <c r="AD104" i="38"/>
  <c r="Q102" i="37"/>
  <c r="V102" i="37"/>
  <c r="F102" i="38"/>
  <c r="J102" i="38"/>
  <c r="AD102" i="38"/>
  <c r="Q101" i="37"/>
  <c r="V101" i="37"/>
  <c r="F101" i="38"/>
  <c r="J101" i="38"/>
  <c r="AE101" i="38"/>
  <c r="Q100" i="37"/>
  <c r="V100" i="37"/>
  <c r="F100" i="38"/>
  <c r="J100" i="38"/>
  <c r="AE100" i="38"/>
  <c r="Q99" i="37"/>
  <c r="V99" i="37"/>
  <c r="F99" i="38"/>
  <c r="J99" i="38"/>
  <c r="AE99" i="38"/>
  <c r="Q98" i="37"/>
  <c r="V98" i="37"/>
  <c r="F98" i="38"/>
  <c r="J98" i="38"/>
  <c r="AE98" i="38"/>
  <c r="Q97" i="37"/>
  <c r="V97" i="37"/>
  <c r="F97" i="38"/>
  <c r="J97" i="38"/>
  <c r="AD97" i="38"/>
  <c r="Q96" i="37"/>
  <c r="V96" i="37"/>
  <c r="F96" i="38"/>
  <c r="J96" i="38"/>
  <c r="AE96" i="38"/>
  <c r="Q95" i="37"/>
  <c r="V95" i="37"/>
  <c r="F95" i="38"/>
  <c r="J95" i="38"/>
  <c r="AE95" i="38"/>
  <c r="Q94" i="37"/>
  <c r="V94" i="37"/>
  <c r="F94" i="38"/>
  <c r="J94" i="38"/>
  <c r="AF94" i="38"/>
  <c r="Q92" i="37"/>
  <c r="V92" i="37"/>
  <c r="F92" i="38"/>
  <c r="J92" i="38"/>
  <c r="AD92" i="38"/>
  <c r="Q91" i="37"/>
  <c r="V91" i="37"/>
  <c r="F91" i="38"/>
  <c r="J91" i="38"/>
  <c r="AD91" i="38"/>
  <c r="Q90" i="37"/>
  <c r="V90" i="37"/>
  <c r="F90" i="38"/>
  <c r="J90" i="38"/>
  <c r="AD90" i="38"/>
  <c r="Q89" i="37"/>
  <c r="V89" i="37"/>
  <c r="F89" i="38"/>
  <c r="J89" i="38"/>
  <c r="AD89" i="38"/>
  <c r="Q87" i="37"/>
  <c r="V87" i="37"/>
  <c r="F87" i="38"/>
  <c r="J87" i="38"/>
  <c r="AD87" i="38"/>
  <c r="Q86" i="37"/>
  <c r="V86" i="37"/>
  <c r="F86" i="38"/>
  <c r="J86" i="38"/>
  <c r="AD86" i="38"/>
  <c r="Q85" i="37"/>
  <c r="V85" i="37"/>
  <c r="F85" i="38"/>
  <c r="J85" i="38"/>
  <c r="AE85" i="38"/>
  <c r="Q84" i="37"/>
  <c r="V84" i="37"/>
  <c r="F84" i="38"/>
  <c r="J84" i="38"/>
  <c r="AE84" i="38"/>
  <c r="Q83" i="37"/>
  <c r="V83" i="37"/>
  <c r="F83" i="38"/>
  <c r="J83" i="38"/>
  <c r="AE83" i="38"/>
  <c r="Q82" i="37"/>
  <c r="V82" i="37"/>
  <c r="F82" i="38"/>
  <c r="J82" i="38"/>
  <c r="AD82" i="38"/>
  <c r="Q81" i="37"/>
  <c r="V81" i="37"/>
  <c r="F81" i="38"/>
  <c r="J81" i="38"/>
  <c r="AE81" i="38"/>
  <c r="Q80" i="37"/>
  <c r="V80" i="37"/>
  <c r="F80" i="38"/>
  <c r="J80" i="38"/>
  <c r="AE80" i="38"/>
  <c r="Q79" i="37"/>
  <c r="V79" i="37"/>
  <c r="F79" i="38"/>
  <c r="J79" i="38"/>
  <c r="AD79" i="38"/>
  <c r="Q78" i="37"/>
  <c r="V78" i="37"/>
  <c r="F78" i="38"/>
  <c r="J78" i="38"/>
  <c r="AD78" i="38"/>
  <c r="Q77" i="37"/>
  <c r="V77" i="37"/>
  <c r="F77" i="38"/>
  <c r="J77" i="38"/>
  <c r="AD77" i="38"/>
  <c r="Q76" i="37"/>
  <c r="V76" i="37"/>
  <c r="F76" i="38"/>
  <c r="J76" i="38"/>
  <c r="AE76" i="38"/>
  <c r="Q75" i="37"/>
  <c r="V75" i="37"/>
  <c r="F75" i="38"/>
  <c r="J75" i="38"/>
  <c r="AD75" i="38"/>
  <c r="Q74" i="37"/>
  <c r="V74" i="37"/>
  <c r="F74" i="38"/>
  <c r="J74" i="38"/>
  <c r="AD74" i="38"/>
  <c r="Q73" i="37"/>
  <c r="V73" i="37"/>
  <c r="F73" i="38"/>
  <c r="J73" i="38"/>
  <c r="AD73" i="38"/>
  <c r="Q72" i="37"/>
  <c r="V72" i="37"/>
  <c r="F72" i="38"/>
  <c r="J72" i="38"/>
  <c r="AD72" i="38"/>
  <c r="Q71" i="37"/>
  <c r="V71" i="37"/>
  <c r="F71" i="38"/>
  <c r="J71" i="38"/>
  <c r="AD71" i="38"/>
  <c r="Q69" i="37"/>
  <c r="V69" i="37"/>
  <c r="F69" i="38"/>
  <c r="J69" i="38"/>
  <c r="AD69" i="38"/>
  <c r="Q68" i="37"/>
  <c r="V68" i="37"/>
  <c r="F68" i="38"/>
  <c r="J68" i="38"/>
  <c r="AD68" i="38"/>
  <c r="Q67" i="37"/>
  <c r="V67" i="37"/>
  <c r="F67" i="38"/>
  <c r="J67" i="38"/>
  <c r="AD67" i="38"/>
  <c r="Q66" i="37"/>
  <c r="V66" i="37"/>
  <c r="F66" i="38"/>
  <c r="J66" i="38"/>
  <c r="AD66" i="38"/>
  <c r="Q65" i="37"/>
  <c r="V65" i="37"/>
  <c r="F65" i="38"/>
  <c r="J65" i="38"/>
  <c r="AD65" i="38"/>
  <c r="Q64" i="37"/>
  <c r="V64" i="37"/>
  <c r="F64" i="38"/>
  <c r="J64" i="38"/>
  <c r="AD64" i="38"/>
  <c r="Q63" i="37"/>
  <c r="V63" i="37"/>
  <c r="F63" i="38"/>
  <c r="J63" i="38"/>
  <c r="AD63" i="38"/>
  <c r="Q62" i="37"/>
  <c r="V62" i="37"/>
  <c r="F62" i="38"/>
  <c r="J62" i="38"/>
  <c r="AF62" i="38"/>
  <c r="Q61" i="37"/>
  <c r="V61" i="37"/>
  <c r="F61" i="38"/>
  <c r="J61" i="38"/>
  <c r="AE61" i="38"/>
  <c r="Q60" i="37"/>
  <c r="V60" i="37"/>
  <c r="F60" i="38"/>
  <c r="J60" i="38"/>
  <c r="AE60" i="38"/>
  <c r="Q59" i="37"/>
  <c r="V59" i="37"/>
  <c r="F59" i="38"/>
  <c r="J59" i="38"/>
  <c r="AD59" i="38"/>
  <c r="Q58" i="37"/>
  <c r="V58" i="37"/>
  <c r="F58" i="38"/>
  <c r="J58" i="38"/>
  <c r="AE58" i="38"/>
  <c r="Q57" i="37"/>
  <c r="V57" i="37"/>
  <c r="F57" i="38"/>
  <c r="J57" i="38"/>
  <c r="AD57" i="38"/>
  <c r="Q56" i="37"/>
  <c r="V56" i="37"/>
  <c r="F56" i="38"/>
  <c r="J56" i="38"/>
  <c r="AD56" i="38"/>
  <c r="Q55" i="37"/>
  <c r="V55" i="37"/>
  <c r="F55" i="38"/>
  <c r="J55" i="38"/>
  <c r="AE55" i="38"/>
  <c r="Q54" i="37"/>
  <c r="V54" i="37"/>
  <c r="F54" i="38"/>
  <c r="J54" i="38"/>
  <c r="AE54" i="38"/>
  <c r="Q53" i="37"/>
  <c r="V53" i="37"/>
  <c r="F53" i="38"/>
  <c r="J53" i="38"/>
  <c r="AE53" i="38"/>
  <c r="Q52" i="37"/>
  <c r="V52" i="37"/>
  <c r="F52" i="38"/>
  <c r="J52" i="38"/>
  <c r="AE52" i="38"/>
  <c r="Q51" i="37"/>
  <c r="V51" i="37"/>
  <c r="F51" i="38"/>
  <c r="J51" i="38"/>
  <c r="AD51" i="38"/>
  <c r="Q50" i="37"/>
  <c r="V50" i="37"/>
  <c r="F50" i="38"/>
  <c r="J50" i="38"/>
  <c r="AD50" i="38"/>
  <c r="Q49" i="37"/>
  <c r="V49" i="37"/>
  <c r="F49" i="38"/>
  <c r="J49" i="38"/>
  <c r="AD49" i="38"/>
  <c r="Q48" i="37"/>
  <c r="V48" i="37"/>
  <c r="F48" i="38"/>
  <c r="J48" i="38"/>
  <c r="AE48" i="38"/>
  <c r="Q46" i="37"/>
  <c r="V46" i="37"/>
  <c r="F46" i="38"/>
  <c r="J46" i="38"/>
  <c r="AD46" i="38"/>
  <c r="Q45" i="37"/>
  <c r="V45" i="37"/>
  <c r="F45" i="38"/>
  <c r="J45" i="38"/>
  <c r="AE45" i="38"/>
  <c r="Q44" i="37"/>
  <c r="V44" i="37"/>
  <c r="F44" i="38"/>
  <c r="J44" i="38"/>
  <c r="AD44" i="38"/>
  <c r="Q43" i="37"/>
  <c r="V43" i="37"/>
  <c r="F43" i="38"/>
  <c r="J43" i="38"/>
  <c r="AD43" i="38"/>
  <c r="Q41" i="37"/>
  <c r="V41" i="37"/>
  <c r="F41" i="38"/>
  <c r="J41" i="38"/>
  <c r="AF41" i="38"/>
  <c r="Q37" i="37"/>
  <c r="V37" i="37"/>
  <c r="F37" i="38"/>
  <c r="J37" i="38"/>
  <c r="AD37" i="38"/>
  <c r="Q35" i="37"/>
  <c r="V35" i="37"/>
  <c r="F35" i="38"/>
  <c r="J35" i="38"/>
  <c r="AD35" i="38"/>
  <c r="Q34" i="37"/>
  <c r="V34" i="37"/>
  <c r="F34" i="38"/>
  <c r="J34" i="38"/>
  <c r="AD34" i="38"/>
  <c r="Q31" i="37"/>
  <c r="V31" i="37"/>
  <c r="F31" i="38"/>
  <c r="J31" i="38"/>
  <c r="AD31" i="38"/>
  <c r="Q28" i="37"/>
  <c r="V28" i="37"/>
  <c r="F28" i="38"/>
  <c r="J28" i="38"/>
  <c r="AD28" i="38"/>
  <c r="Q27" i="37"/>
  <c r="V27" i="37"/>
  <c r="F27" i="38"/>
  <c r="J27" i="38"/>
  <c r="AD27" i="38"/>
  <c r="Q26" i="37"/>
  <c r="V26" i="37"/>
  <c r="F26" i="38"/>
  <c r="J26" i="38"/>
  <c r="AD26" i="38"/>
  <c r="Q25" i="37"/>
  <c r="V25" i="37"/>
  <c r="F25" i="38"/>
  <c r="J25" i="38"/>
  <c r="AE25" i="38"/>
  <c r="Q23" i="37"/>
  <c r="V23" i="37"/>
  <c r="F23" i="38"/>
  <c r="J23" i="38"/>
  <c r="AD23" i="38"/>
  <c r="Q21" i="37"/>
  <c r="V21" i="37"/>
  <c r="F21" i="38"/>
  <c r="J21" i="38"/>
  <c r="AD21" i="38"/>
  <c r="Q20" i="37"/>
  <c r="V20" i="37"/>
  <c r="F20" i="38"/>
  <c r="J20" i="38"/>
  <c r="AE20" i="38"/>
  <c r="Q19" i="37"/>
  <c r="V19" i="37"/>
  <c r="F19" i="38"/>
  <c r="J19" i="38"/>
  <c r="AE19" i="38"/>
  <c r="Q16" i="37"/>
  <c r="V16" i="37"/>
  <c r="F16" i="38"/>
  <c r="Q226" i="37"/>
  <c r="V226" i="37"/>
  <c r="F226" i="38"/>
  <c r="J226" i="38"/>
  <c r="AD226" i="38"/>
  <c r="Q222" i="37"/>
  <c r="V222" i="37"/>
  <c r="F222" i="38"/>
  <c r="J222" i="38"/>
  <c r="AD222" i="38"/>
  <c r="Q221" i="37"/>
  <c r="V221" i="37"/>
  <c r="F221" i="38"/>
  <c r="J221" i="38"/>
  <c r="AD221" i="38"/>
  <c r="Q215" i="37"/>
  <c r="V215" i="37"/>
  <c r="F215" i="38"/>
  <c r="J215" i="38"/>
  <c r="AD215" i="38"/>
  <c r="Q199" i="37"/>
  <c r="V199" i="37"/>
  <c r="F199" i="38"/>
  <c r="J199" i="38"/>
  <c r="AD199" i="38"/>
  <c r="Q192" i="37"/>
  <c r="V192" i="37"/>
  <c r="F192" i="38"/>
  <c r="J192" i="38"/>
  <c r="AE192" i="38"/>
  <c r="Q188" i="37"/>
  <c r="V188" i="37"/>
  <c r="Q184" i="37"/>
  <c r="V184" i="37"/>
  <c r="F184" i="38"/>
  <c r="J184" i="38"/>
  <c r="AD184" i="38"/>
  <c r="Q177" i="37"/>
  <c r="V177" i="37"/>
  <c r="F177" i="38"/>
  <c r="J177" i="38"/>
  <c r="AD177" i="38"/>
  <c r="Q174" i="37"/>
  <c r="V174" i="37"/>
  <c r="F174" i="38"/>
  <c r="J174" i="38"/>
  <c r="AD174" i="38"/>
  <c r="Q168" i="37"/>
  <c r="V168" i="37"/>
  <c r="F168" i="38"/>
  <c r="J168" i="38"/>
  <c r="AE168" i="38"/>
  <c r="Q163" i="37"/>
  <c r="V163" i="37"/>
  <c r="F163" i="38"/>
  <c r="J163" i="38"/>
  <c r="AE163" i="38"/>
  <c r="Q154" i="37"/>
  <c r="V154" i="37"/>
  <c r="F154" i="38"/>
  <c r="J154" i="38"/>
  <c r="AF154" i="38"/>
  <c r="Q149" i="37"/>
  <c r="V149" i="37"/>
  <c r="F149" i="38"/>
  <c r="J149" i="38"/>
  <c r="AD149" i="38"/>
  <c r="Q148" i="37"/>
  <c r="V148" i="37"/>
  <c r="F148" i="38"/>
  <c r="J148" i="38"/>
  <c r="AD148" i="38"/>
  <c r="J135" i="38"/>
  <c r="AE135" i="38"/>
  <c r="Q134" i="37"/>
  <c r="V134" i="37"/>
  <c r="F134" i="38"/>
  <c r="J134" i="38"/>
  <c r="AD134" i="38"/>
  <c r="Q127" i="37"/>
  <c r="V127" i="37"/>
  <c r="F127" i="38"/>
  <c r="J127" i="38"/>
  <c r="AD127" i="38"/>
  <c r="Q120" i="37"/>
  <c r="V120" i="37"/>
  <c r="F120" i="38"/>
  <c r="J120" i="38"/>
  <c r="AD120" i="38"/>
  <c r="Q103" i="37"/>
  <c r="V103" i="37"/>
  <c r="F103" i="38"/>
  <c r="J103" i="38"/>
  <c r="AF103" i="38"/>
  <c r="Q93" i="37"/>
  <c r="V93" i="37"/>
  <c r="F93" i="38"/>
  <c r="J93" i="38"/>
  <c r="AF93" i="38"/>
  <c r="Q88" i="37"/>
  <c r="V88" i="37"/>
  <c r="F88" i="38"/>
  <c r="J88" i="38"/>
  <c r="AD88" i="38"/>
  <c r="Q70" i="37"/>
  <c r="V70" i="37"/>
  <c r="F70" i="38"/>
  <c r="J70" i="38"/>
  <c r="AD70" i="38"/>
  <c r="Q47" i="37"/>
  <c r="V47" i="37"/>
  <c r="F47" i="38"/>
  <c r="J47" i="38"/>
  <c r="AD47" i="38"/>
  <c r="Q42" i="37"/>
  <c r="V42" i="37"/>
  <c r="F42" i="38"/>
  <c r="J42" i="38"/>
  <c r="AF42" i="38"/>
  <c r="Q40" i="37"/>
  <c r="V40" i="37"/>
  <c r="F40" i="38"/>
  <c r="J40" i="38"/>
  <c r="AD40" i="38"/>
  <c r="Q39" i="37"/>
  <c r="V39" i="37"/>
  <c r="F39" i="38"/>
  <c r="J39" i="38"/>
  <c r="AD39" i="38"/>
  <c r="Q38" i="37"/>
  <c r="V38" i="37"/>
  <c r="F38" i="38"/>
  <c r="J38" i="38"/>
  <c r="AD38" i="38"/>
  <c r="Q36" i="37"/>
  <c r="V36" i="37"/>
  <c r="F36" i="38"/>
  <c r="J36" i="38"/>
  <c r="AD36" i="38"/>
  <c r="Q33" i="37"/>
  <c r="V33" i="37"/>
  <c r="F33" i="38"/>
  <c r="J33" i="38"/>
  <c r="AD33" i="38"/>
  <c r="Q32" i="37"/>
  <c r="V32" i="37"/>
  <c r="F32" i="38"/>
  <c r="J32" i="38"/>
  <c r="AD32" i="38"/>
  <c r="Q30" i="37"/>
  <c r="V30" i="37"/>
  <c r="F30" i="38"/>
  <c r="J30" i="38"/>
  <c r="AD30" i="38"/>
  <c r="Q29" i="37"/>
  <c r="V29" i="37"/>
  <c r="F29" i="38"/>
  <c r="J29" i="38"/>
  <c r="AE29" i="38"/>
  <c r="Q24" i="37"/>
  <c r="V24" i="37"/>
  <c r="F24" i="38"/>
  <c r="J24" i="38"/>
  <c r="AD24" i="38"/>
  <c r="Q22" i="37"/>
  <c r="V22" i="37"/>
  <c r="F22" i="38"/>
  <c r="J22" i="38"/>
  <c r="AD22" i="38"/>
  <c r="Q18" i="37"/>
  <c r="V18" i="37"/>
  <c r="F18" i="38"/>
  <c r="J18" i="38"/>
  <c r="AE18" i="38"/>
  <c r="Q17" i="37"/>
  <c r="V17" i="37"/>
  <c r="F17" i="38"/>
  <c r="J17" i="38"/>
  <c r="AD17" i="38"/>
  <c r="AB239" i="38"/>
  <c r="AA250" i="38"/>
  <c r="AA239" i="38"/>
  <c r="AA247" i="38"/>
  <c r="T239" i="38"/>
  <c r="P239" i="38"/>
  <c r="O239" i="38"/>
  <c r="N239" i="38"/>
  <c r="L239" i="38"/>
  <c r="H239" i="38"/>
  <c r="G239" i="38"/>
  <c r="AJ238" i="38"/>
  <c r="AI238" i="38"/>
  <c r="AF238" i="38"/>
  <c r="AE238" i="38"/>
  <c r="Z238" i="38"/>
  <c r="Y238" i="38"/>
  <c r="Q238" i="38"/>
  <c r="V238" i="38"/>
  <c r="F238" i="39"/>
  <c r="AI237" i="38"/>
  <c r="AH237" i="38"/>
  <c r="AE237" i="38"/>
  <c r="AD237" i="38"/>
  <c r="Y237" i="38"/>
  <c r="X237" i="38"/>
  <c r="F237" i="39"/>
  <c r="J237" i="39"/>
  <c r="AF237" i="39"/>
  <c r="AL237" i="39"/>
  <c r="Z237" i="38"/>
  <c r="AI236" i="38"/>
  <c r="AH236" i="38"/>
  <c r="AE236" i="38"/>
  <c r="AD236" i="38"/>
  <c r="Y236" i="38"/>
  <c r="X236" i="38"/>
  <c r="F236" i="39"/>
  <c r="J236" i="39"/>
  <c r="AF236" i="39"/>
  <c r="AL236" i="39"/>
  <c r="AJ236" i="38"/>
  <c r="AJ235" i="38"/>
  <c r="AI235" i="38"/>
  <c r="AH235" i="38"/>
  <c r="AF235" i="38"/>
  <c r="AE235" i="38"/>
  <c r="Z235" i="38"/>
  <c r="Y235" i="38"/>
  <c r="F235" i="39"/>
  <c r="J235" i="39"/>
  <c r="AD235" i="39"/>
  <c r="AL235" i="39"/>
  <c r="X235" i="38"/>
  <c r="AJ234" i="38"/>
  <c r="AI234" i="38"/>
  <c r="AF234" i="38"/>
  <c r="AE234" i="38"/>
  <c r="Z234" i="38"/>
  <c r="Y234" i="38"/>
  <c r="F234" i="39"/>
  <c r="J234" i="39"/>
  <c r="AD234" i="39"/>
  <c r="AL234" i="39"/>
  <c r="AJ233" i="38"/>
  <c r="AI233" i="38"/>
  <c r="AF233" i="38"/>
  <c r="AE233" i="38"/>
  <c r="Z233" i="38"/>
  <c r="Y233" i="38"/>
  <c r="X233" i="38"/>
  <c r="F233" i="39"/>
  <c r="J233" i="39"/>
  <c r="AD233" i="39"/>
  <c r="AL233" i="39"/>
  <c r="AH233" i="38"/>
  <c r="AJ232" i="38"/>
  <c r="AH232" i="38"/>
  <c r="AF232" i="38"/>
  <c r="AD232" i="38"/>
  <c r="Z232" i="38"/>
  <c r="X232" i="38"/>
  <c r="Y232" i="38"/>
  <c r="AC232" i="38"/>
  <c r="F232" i="39"/>
  <c r="J232" i="39"/>
  <c r="AE232" i="39"/>
  <c r="AL232" i="39"/>
  <c r="AJ231" i="38"/>
  <c r="AI231" i="38"/>
  <c r="AF231" i="38"/>
  <c r="AE231" i="38"/>
  <c r="Z231" i="38"/>
  <c r="Y231" i="38"/>
  <c r="F231" i="39"/>
  <c r="J231" i="39"/>
  <c r="AD231" i="39"/>
  <c r="AL231" i="39"/>
  <c r="X231" i="38"/>
  <c r="AC231" i="38"/>
  <c r="AJ230" i="38"/>
  <c r="AH230" i="38"/>
  <c r="AF230" i="38"/>
  <c r="AD230" i="38"/>
  <c r="Z230" i="38"/>
  <c r="X230" i="38"/>
  <c r="F230" i="39"/>
  <c r="J230" i="39"/>
  <c r="AE230" i="39"/>
  <c r="AL230" i="39"/>
  <c r="AJ229" i="38"/>
  <c r="AH229" i="38"/>
  <c r="AF229" i="38"/>
  <c r="AD229" i="38"/>
  <c r="Z229" i="38"/>
  <c r="X229" i="38"/>
  <c r="F229" i="39"/>
  <c r="J229" i="39"/>
  <c r="AE229" i="39"/>
  <c r="AL229" i="39"/>
  <c r="AI229" i="38"/>
  <c r="AJ228" i="38"/>
  <c r="AH228" i="38"/>
  <c r="AF228" i="38"/>
  <c r="AD228" i="38"/>
  <c r="Z228" i="38"/>
  <c r="X228" i="38"/>
  <c r="F228" i="39"/>
  <c r="J228" i="39"/>
  <c r="AE228" i="39"/>
  <c r="AL228" i="39"/>
  <c r="Y228" i="38"/>
  <c r="AJ227" i="38"/>
  <c r="AH227" i="38"/>
  <c r="AF227" i="38"/>
  <c r="AD227" i="38"/>
  <c r="Z227" i="38"/>
  <c r="X227" i="38"/>
  <c r="F227" i="39"/>
  <c r="J227" i="39"/>
  <c r="AE227" i="39"/>
  <c r="AL227" i="39"/>
  <c r="AI227" i="38"/>
  <c r="AJ226" i="38"/>
  <c r="AI226" i="38"/>
  <c r="AF226" i="38"/>
  <c r="AE226" i="38"/>
  <c r="Z226" i="38"/>
  <c r="Y226" i="38"/>
  <c r="F226" i="39"/>
  <c r="J226" i="39"/>
  <c r="AD226" i="39"/>
  <c r="AL226" i="39"/>
  <c r="AJ225" i="38"/>
  <c r="AI225" i="38"/>
  <c r="AF225" i="38"/>
  <c r="AE225" i="38"/>
  <c r="Z225" i="38"/>
  <c r="Y225" i="38"/>
  <c r="F225" i="39"/>
  <c r="J225" i="39"/>
  <c r="AD225" i="39"/>
  <c r="AL225" i="39"/>
  <c r="AI224" i="38"/>
  <c r="AH224" i="38"/>
  <c r="AE224" i="38"/>
  <c r="AD224" i="38"/>
  <c r="Y224" i="38"/>
  <c r="X224" i="38"/>
  <c r="F224" i="39"/>
  <c r="J224" i="39"/>
  <c r="AF224" i="39"/>
  <c r="AL224" i="39"/>
  <c r="Z224" i="38"/>
  <c r="AJ223" i="38"/>
  <c r="AH223" i="38"/>
  <c r="AF223" i="38"/>
  <c r="AD223" i="38"/>
  <c r="Z223" i="38"/>
  <c r="X223" i="38"/>
  <c r="F223" i="39"/>
  <c r="J223" i="39"/>
  <c r="AE223" i="39"/>
  <c r="AL223" i="39"/>
  <c r="Y223" i="38"/>
  <c r="AJ222" i="38"/>
  <c r="AI222" i="38"/>
  <c r="AF222" i="38"/>
  <c r="AE222" i="38"/>
  <c r="Z222" i="38"/>
  <c r="Y222" i="38"/>
  <c r="F222" i="39"/>
  <c r="J222" i="39"/>
  <c r="AD222" i="39"/>
  <c r="AL222" i="39"/>
  <c r="X222" i="38"/>
  <c r="AJ221" i="38"/>
  <c r="AI221" i="38"/>
  <c r="AF221" i="38"/>
  <c r="AE221" i="38"/>
  <c r="Z221" i="38"/>
  <c r="Y221" i="38"/>
  <c r="F221" i="39"/>
  <c r="J221" i="39"/>
  <c r="AD221" i="39"/>
  <c r="AL221" i="39"/>
  <c r="X221" i="38"/>
  <c r="AC221" i="38"/>
  <c r="AI220" i="38"/>
  <c r="AH220" i="38"/>
  <c r="AE220" i="38"/>
  <c r="AD220" i="38"/>
  <c r="Y220" i="38"/>
  <c r="X220" i="38"/>
  <c r="Z220" i="38"/>
  <c r="AC220" i="38"/>
  <c r="F220" i="39"/>
  <c r="J220" i="39"/>
  <c r="AF220" i="39"/>
  <c r="AL220" i="39"/>
  <c r="AJ219" i="38"/>
  <c r="AI219" i="38"/>
  <c r="AF219" i="38"/>
  <c r="AE219" i="38"/>
  <c r="Z219" i="38"/>
  <c r="Y219" i="38"/>
  <c r="X219" i="38"/>
  <c r="AC219" i="38"/>
  <c r="F219" i="39"/>
  <c r="J219" i="39"/>
  <c r="AD219" i="39"/>
  <c r="AL219" i="39"/>
  <c r="AH219" i="38"/>
  <c r="AJ218" i="38"/>
  <c r="AI218" i="38"/>
  <c r="AH218" i="38"/>
  <c r="AF218" i="38"/>
  <c r="AE218" i="38"/>
  <c r="Z218" i="38"/>
  <c r="Y218" i="38"/>
  <c r="X218" i="38"/>
  <c r="AJ217" i="38"/>
  <c r="AI217" i="38"/>
  <c r="AF217" i="38"/>
  <c r="AE217" i="38"/>
  <c r="Z217" i="38"/>
  <c r="Y217" i="38"/>
  <c r="X217" i="38"/>
  <c r="F217" i="39"/>
  <c r="J217" i="39"/>
  <c r="AD217" i="39"/>
  <c r="AL217" i="39"/>
  <c r="AH217" i="38"/>
  <c r="AI216" i="38"/>
  <c r="AH216" i="38"/>
  <c r="AE216" i="38"/>
  <c r="AD216" i="38"/>
  <c r="Y216" i="38"/>
  <c r="X216" i="38"/>
  <c r="F216" i="39"/>
  <c r="J216" i="39"/>
  <c r="AF216" i="39"/>
  <c r="AL216" i="39"/>
  <c r="Z216" i="38"/>
  <c r="AJ215" i="38"/>
  <c r="AI215" i="38"/>
  <c r="AH215" i="38"/>
  <c r="AF215" i="38"/>
  <c r="AE215" i="38"/>
  <c r="Z215" i="38"/>
  <c r="Y215" i="38"/>
  <c r="F215" i="39"/>
  <c r="J215" i="39"/>
  <c r="AD215" i="39"/>
  <c r="AL215" i="39"/>
  <c r="X215" i="38"/>
  <c r="AJ214" i="38"/>
  <c r="AH214" i="38"/>
  <c r="AF214" i="38"/>
  <c r="AD214" i="38"/>
  <c r="Z214" i="38"/>
  <c r="X214" i="38"/>
  <c r="F214" i="39"/>
  <c r="J214" i="39"/>
  <c r="AE214" i="39"/>
  <c r="AL214" i="39"/>
  <c r="AI213" i="38"/>
  <c r="AH213" i="38"/>
  <c r="AE213" i="38"/>
  <c r="AD213" i="38"/>
  <c r="Y213" i="38"/>
  <c r="X213" i="38"/>
  <c r="Z213" i="38"/>
  <c r="AC213" i="38"/>
  <c r="F213" i="39"/>
  <c r="J213" i="39"/>
  <c r="AF213" i="39"/>
  <c r="AL213" i="39"/>
  <c r="AJ212" i="38"/>
  <c r="AH212" i="38"/>
  <c r="AF212" i="38"/>
  <c r="AD212" i="38"/>
  <c r="Z212" i="38"/>
  <c r="Y212" i="38"/>
  <c r="X212" i="38"/>
  <c r="F212" i="39"/>
  <c r="J212" i="39"/>
  <c r="AE212" i="39"/>
  <c r="AL212" i="39"/>
  <c r="AI212" i="38"/>
  <c r="AJ211" i="38"/>
  <c r="AH211" i="38"/>
  <c r="AF211" i="38"/>
  <c r="AD211" i="38"/>
  <c r="Z211" i="38"/>
  <c r="X211" i="38"/>
  <c r="F211" i="39"/>
  <c r="J211" i="39"/>
  <c r="AE211" i="39"/>
  <c r="AL211" i="39"/>
  <c r="AI211" i="38"/>
  <c r="AJ210" i="38"/>
  <c r="AH210" i="38"/>
  <c r="AF210" i="38"/>
  <c r="AD210" i="38"/>
  <c r="Z210" i="38"/>
  <c r="X210" i="38"/>
  <c r="F210" i="39"/>
  <c r="J210" i="39"/>
  <c r="AE210" i="39"/>
  <c r="AL210" i="39"/>
  <c r="AJ209" i="38"/>
  <c r="AH209" i="38"/>
  <c r="AF209" i="38"/>
  <c r="AD209" i="38"/>
  <c r="Z209" i="38"/>
  <c r="X209" i="38"/>
  <c r="F209" i="39"/>
  <c r="J209" i="39"/>
  <c r="AE209" i="39"/>
  <c r="AL209" i="39"/>
  <c r="Y209" i="38"/>
  <c r="AJ208" i="38"/>
  <c r="AH208" i="38"/>
  <c r="AF208" i="38"/>
  <c r="AD208" i="38"/>
  <c r="Z208" i="38"/>
  <c r="X208" i="38"/>
  <c r="F208" i="39"/>
  <c r="J208" i="39"/>
  <c r="AE208" i="39"/>
  <c r="AL208" i="39"/>
  <c r="Y208" i="38"/>
  <c r="AJ207" i="38"/>
  <c r="AH207" i="38"/>
  <c r="AF207" i="38"/>
  <c r="AD207" i="38"/>
  <c r="Z207" i="38"/>
  <c r="X207" i="38"/>
  <c r="F207" i="39"/>
  <c r="J207" i="39"/>
  <c r="AE207" i="39"/>
  <c r="AL207" i="39"/>
  <c r="AI207" i="38"/>
  <c r="AJ206" i="38"/>
  <c r="AI206" i="38"/>
  <c r="AF206" i="38"/>
  <c r="AE206" i="38"/>
  <c r="Z206" i="38"/>
  <c r="Y206" i="38"/>
  <c r="F206" i="39"/>
  <c r="J206" i="39"/>
  <c r="AD206" i="39"/>
  <c r="AL206" i="39"/>
  <c r="AJ205" i="38"/>
  <c r="AI205" i="38"/>
  <c r="AF205" i="38"/>
  <c r="AE205" i="38"/>
  <c r="Z205" i="38"/>
  <c r="Y205" i="38"/>
  <c r="X205" i="38"/>
  <c r="F205" i="39"/>
  <c r="J205" i="39"/>
  <c r="AD205" i="39"/>
  <c r="AL205" i="39"/>
  <c r="AH205" i="38"/>
  <c r="AJ204" i="38"/>
  <c r="AI204" i="38"/>
  <c r="AF204" i="38"/>
  <c r="AE204" i="38"/>
  <c r="Z204" i="38"/>
  <c r="Y204" i="38"/>
  <c r="F204" i="39"/>
  <c r="J204" i="39"/>
  <c r="AD204" i="39"/>
  <c r="AL204" i="39"/>
  <c r="AH204" i="38"/>
  <c r="AJ203" i="38"/>
  <c r="AI203" i="38"/>
  <c r="AF203" i="38"/>
  <c r="AE203" i="38"/>
  <c r="Z203" i="38"/>
  <c r="Y203" i="38"/>
  <c r="X203" i="38"/>
  <c r="F203" i="39"/>
  <c r="J203" i="39"/>
  <c r="AD203" i="39"/>
  <c r="AL203" i="39"/>
  <c r="AH203" i="38"/>
  <c r="AJ202" i="38"/>
  <c r="AH202" i="38"/>
  <c r="AF202" i="38"/>
  <c r="AD202" i="38"/>
  <c r="Z202" i="38"/>
  <c r="X202" i="38"/>
  <c r="F202" i="39"/>
  <c r="J202" i="39"/>
  <c r="AE202" i="39"/>
  <c r="AL202" i="39"/>
  <c r="AI202" i="38"/>
  <c r="AJ201" i="38"/>
  <c r="AH201" i="38"/>
  <c r="AF201" i="38"/>
  <c r="AD201" i="38"/>
  <c r="Z201" i="38"/>
  <c r="X201" i="38"/>
  <c r="F201" i="39"/>
  <c r="J201" i="39"/>
  <c r="AE201" i="39"/>
  <c r="AL201" i="39"/>
  <c r="AJ200" i="38"/>
  <c r="AH200" i="38"/>
  <c r="AF200" i="38"/>
  <c r="AD200" i="38"/>
  <c r="Z200" i="38"/>
  <c r="X200" i="38"/>
  <c r="F200" i="39"/>
  <c r="J200" i="39"/>
  <c r="AE200" i="39"/>
  <c r="AL200" i="39"/>
  <c r="AJ199" i="38"/>
  <c r="AI199" i="38"/>
  <c r="AH199" i="38"/>
  <c r="AF199" i="38"/>
  <c r="AE199" i="38"/>
  <c r="Z199" i="38"/>
  <c r="Y199" i="38"/>
  <c r="F199" i="39"/>
  <c r="J199" i="39"/>
  <c r="AD199" i="39"/>
  <c r="AL199" i="39"/>
  <c r="X199" i="38"/>
  <c r="AJ198" i="38"/>
  <c r="AH198" i="38"/>
  <c r="AF198" i="38"/>
  <c r="AD198" i="38"/>
  <c r="Z198" i="38"/>
  <c r="X198" i="38"/>
  <c r="F198" i="39"/>
  <c r="J198" i="39"/>
  <c r="AE198" i="39"/>
  <c r="AL198" i="39"/>
  <c r="AJ197" i="38"/>
  <c r="AH197" i="38"/>
  <c r="AF197" i="38"/>
  <c r="AD197" i="38"/>
  <c r="Z197" i="38"/>
  <c r="X197" i="38"/>
  <c r="F197" i="39"/>
  <c r="J197" i="39"/>
  <c r="AE197" i="39"/>
  <c r="AL197" i="39"/>
  <c r="AI197" i="38"/>
  <c r="AJ196" i="38"/>
  <c r="AH196" i="38"/>
  <c r="AF196" i="38"/>
  <c r="AD196" i="38"/>
  <c r="Z196" i="38"/>
  <c r="X196" i="38"/>
  <c r="F196" i="39"/>
  <c r="J196" i="39"/>
  <c r="AE196" i="39"/>
  <c r="AL196" i="39"/>
  <c r="Y196" i="38"/>
  <c r="AJ195" i="38"/>
  <c r="AI195" i="38"/>
  <c r="AH195" i="38"/>
  <c r="AF195" i="38"/>
  <c r="AE195" i="38"/>
  <c r="Z195" i="38"/>
  <c r="Y195" i="38"/>
  <c r="F195" i="39"/>
  <c r="J195" i="39"/>
  <c r="AD195" i="39"/>
  <c r="AL195" i="39"/>
  <c r="X195" i="38"/>
  <c r="AJ194" i="38"/>
  <c r="AI194" i="38"/>
  <c r="AF194" i="38"/>
  <c r="AE194" i="38"/>
  <c r="Z194" i="38"/>
  <c r="Y194" i="38"/>
  <c r="F194" i="39"/>
  <c r="J194" i="39"/>
  <c r="AD194" i="39"/>
  <c r="AL194" i="39"/>
  <c r="AJ193" i="38"/>
  <c r="AI193" i="38"/>
  <c r="AF193" i="38"/>
  <c r="AE193" i="38"/>
  <c r="Z193" i="38"/>
  <c r="Y193" i="38"/>
  <c r="Q193" i="38"/>
  <c r="AJ192" i="38"/>
  <c r="AH192" i="38"/>
  <c r="AF192" i="38"/>
  <c r="AD192" i="38"/>
  <c r="Z192" i="38"/>
  <c r="X192" i="38"/>
  <c r="F192" i="39"/>
  <c r="J192" i="39"/>
  <c r="AE192" i="39"/>
  <c r="AL192" i="39"/>
  <c r="AJ191" i="38"/>
  <c r="AI191" i="38"/>
  <c r="AF191" i="38"/>
  <c r="AE191" i="38"/>
  <c r="Z191" i="38"/>
  <c r="Y191" i="38"/>
  <c r="F191" i="39"/>
  <c r="J191" i="39"/>
  <c r="AD191" i="39"/>
  <c r="AL191" i="39"/>
  <c r="X191" i="38"/>
  <c r="AJ190" i="38"/>
  <c r="AH190" i="38"/>
  <c r="AF190" i="38"/>
  <c r="AD190" i="38"/>
  <c r="Z190" i="38"/>
  <c r="X190" i="38"/>
  <c r="F190" i="39"/>
  <c r="J190" i="39"/>
  <c r="AE190" i="39"/>
  <c r="AL190" i="39"/>
  <c r="AJ189" i="38"/>
  <c r="AI189" i="38"/>
  <c r="AF189" i="38"/>
  <c r="AE189" i="38"/>
  <c r="Z189" i="38"/>
  <c r="Y189" i="38"/>
  <c r="F189" i="39"/>
  <c r="J189" i="39"/>
  <c r="AD189" i="39"/>
  <c r="AL189" i="39"/>
  <c r="AH189" i="38"/>
  <c r="AJ188" i="38"/>
  <c r="AI188" i="38"/>
  <c r="AH188" i="38"/>
  <c r="AE188" i="38"/>
  <c r="AD188" i="38"/>
  <c r="Y188" i="38"/>
  <c r="X188" i="38"/>
  <c r="Z188" i="38"/>
  <c r="AJ187" i="38"/>
  <c r="AH187" i="38"/>
  <c r="AF187" i="38"/>
  <c r="AD187" i="38"/>
  <c r="Z187" i="38"/>
  <c r="X187" i="38"/>
  <c r="Y187" i="38"/>
  <c r="AJ186" i="38"/>
  <c r="AI186" i="38"/>
  <c r="AH186" i="38"/>
  <c r="AF186" i="38"/>
  <c r="AE186" i="38"/>
  <c r="Z186" i="38"/>
  <c r="Y186" i="38"/>
  <c r="F186" i="39"/>
  <c r="J186" i="39"/>
  <c r="AD186" i="39"/>
  <c r="AL186" i="39"/>
  <c r="X186" i="38"/>
  <c r="AJ185" i="38"/>
  <c r="AH185" i="38"/>
  <c r="AF185" i="38"/>
  <c r="AD185" i="38"/>
  <c r="Z185" i="38"/>
  <c r="X185" i="38"/>
  <c r="F185" i="39"/>
  <c r="J185" i="39"/>
  <c r="AE185" i="39"/>
  <c r="AL185" i="39"/>
  <c r="AJ184" i="38"/>
  <c r="AI184" i="38"/>
  <c r="AF184" i="38"/>
  <c r="AE184" i="38"/>
  <c r="Z184" i="38"/>
  <c r="Y184" i="38"/>
  <c r="X184" i="38"/>
  <c r="F184" i="39"/>
  <c r="J184" i="39"/>
  <c r="AD184" i="39"/>
  <c r="AL184" i="39"/>
  <c r="AH184" i="38"/>
  <c r="AJ183" i="38"/>
  <c r="AI183" i="38"/>
  <c r="AF183" i="38"/>
  <c r="AE183" i="38"/>
  <c r="Z183" i="38"/>
  <c r="Y183" i="38"/>
  <c r="X183" i="38"/>
  <c r="F183" i="39"/>
  <c r="J183" i="39"/>
  <c r="AD183" i="39"/>
  <c r="AL183" i="39"/>
  <c r="AH183" i="38"/>
  <c r="AJ181" i="38"/>
  <c r="AH181" i="38"/>
  <c r="AF181" i="38"/>
  <c r="AD181" i="38"/>
  <c r="Z181" i="38"/>
  <c r="X181" i="38"/>
  <c r="F181" i="39"/>
  <c r="J181" i="39"/>
  <c r="AE181" i="39"/>
  <c r="AL181" i="39"/>
  <c r="AI181" i="38"/>
  <c r="AJ180" i="38"/>
  <c r="AI180" i="38"/>
  <c r="AF180" i="38"/>
  <c r="AE180" i="38"/>
  <c r="Z180" i="38"/>
  <c r="Y180" i="38"/>
  <c r="F180" i="39"/>
  <c r="J180" i="39"/>
  <c r="AD180" i="39"/>
  <c r="AL180" i="39"/>
  <c r="AJ179" i="38"/>
  <c r="AI179" i="38"/>
  <c r="AF179" i="38"/>
  <c r="AE179" i="38"/>
  <c r="Z179" i="38"/>
  <c r="Y179" i="38"/>
  <c r="F179" i="39"/>
  <c r="J179" i="39"/>
  <c r="AD179" i="39"/>
  <c r="AL179" i="39"/>
  <c r="AJ178" i="38"/>
  <c r="AI178" i="38"/>
  <c r="AF178" i="38"/>
  <c r="AE178" i="38"/>
  <c r="Z178" i="38"/>
  <c r="Y178" i="38"/>
  <c r="F178" i="39"/>
  <c r="J178" i="39"/>
  <c r="AD178" i="39"/>
  <c r="AL178" i="39"/>
  <c r="AH178" i="38"/>
  <c r="AJ177" i="38"/>
  <c r="AI177" i="38"/>
  <c r="AF177" i="38"/>
  <c r="AE177" i="38"/>
  <c r="Z177" i="38"/>
  <c r="Y177" i="38"/>
  <c r="F177" i="39"/>
  <c r="J177" i="39"/>
  <c r="AD177" i="39"/>
  <c r="AL177" i="39"/>
  <c r="X177" i="38"/>
  <c r="AC177" i="38"/>
  <c r="AJ176" i="38"/>
  <c r="AI176" i="38"/>
  <c r="AH176" i="38"/>
  <c r="AF176" i="38"/>
  <c r="AE176" i="38"/>
  <c r="Z176" i="38"/>
  <c r="Y176" i="38"/>
  <c r="F176" i="39"/>
  <c r="J176" i="39"/>
  <c r="AD176" i="39"/>
  <c r="AL176" i="39"/>
  <c r="X176" i="38"/>
  <c r="AJ175" i="38"/>
  <c r="AH175" i="38"/>
  <c r="AF175" i="38"/>
  <c r="AD175" i="38"/>
  <c r="Z175" i="38"/>
  <c r="X175" i="38"/>
  <c r="F175" i="39"/>
  <c r="J175" i="39"/>
  <c r="AE175" i="39"/>
  <c r="AL175" i="39"/>
  <c r="AJ174" i="38"/>
  <c r="AI174" i="38"/>
  <c r="AF174" i="38"/>
  <c r="AE174" i="38"/>
  <c r="Z174" i="38"/>
  <c r="Y174" i="38"/>
  <c r="X174" i="38"/>
  <c r="F174" i="39"/>
  <c r="J174" i="39"/>
  <c r="AD174" i="39"/>
  <c r="AL174" i="39"/>
  <c r="AH174" i="38"/>
  <c r="AJ173" i="38"/>
  <c r="AI173" i="38"/>
  <c r="AH173" i="38"/>
  <c r="AF173" i="38"/>
  <c r="AE173" i="38"/>
  <c r="Z173" i="38"/>
  <c r="Y173" i="38"/>
  <c r="X173" i="38"/>
  <c r="F173" i="39"/>
  <c r="J173" i="39"/>
  <c r="AD173" i="39"/>
  <c r="AL173" i="39"/>
  <c r="AJ172" i="38"/>
  <c r="AI172" i="38"/>
  <c r="AF172" i="38"/>
  <c r="AE172" i="38"/>
  <c r="Z172" i="38"/>
  <c r="Y172" i="38"/>
  <c r="F172" i="39"/>
  <c r="J172" i="39"/>
  <c r="AD172" i="39"/>
  <c r="AL172" i="39"/>
  <c r="X172" i="38"/>
  <c r="AC172" i="38"/>
  <c r="AJ171" i="38"/>
  <c r="AI171" i="38"/>
  <c r="AF171" i="38"/>
  <c r="AE171" i="38"/>
  <c r="Z171" i="38"/>
  <c r="Y171" i="38"/>
  <c r="F171" i="39"/>
  <c r="J171" i="39"/>
  <c r="AD171" i="39"/>
  <c r="AL171" i="39"/>
  <c r="AJ170" i="38"/>
  <c r="AI170" i="38"/>
  <c r="AF170" i="38"/>
  <c r="AE170" i="38"/>
  <c r="Z170" i="38"/>
  <c r="Y170" i="38"/>
  <c r="F170" i="39"/>
  <c r="J170" i="39"/>
  <c r="AD170" i="39"/>
  <c r="AL170" i="39"/>
  <c r="AH170" i="38"/>
  <c r="AJ169" i="38"/>
  <c r="AH169" i="38"/>
  <c r="AF169" i="38"/>
  <c r="AD169" i="38"/>
  <c r="Z169" i="38"/>
  <c r="X169" i="38"/>
  <c r="F169" i="39"/>
  <c r="J169" i="39"/>
  <c r="AE169" i="39"/>
  <c r="AL169" i="39"/>
  <c r="Y169" i="38"/>
  <c r="AJ168" i="38"/>
  <c r="AH168" i="38"/>
  <c r="AF168" i="38"/>
  <c r="AD168" i="38"/>
  <c r="Z168" i="38"/>
  <c r="X168" i="38"/>
  <c r="F168" i="39"/>
  <c r="J168" i="39"/>
  <c r="AE168" i="39"/>
  <c r="AL168" i="39"/>
  <c r="Y168" i="38"/>
  <c r="AJ167" i="38"/>
  <c r="AH167" i="38"/>
  <c r="AF167" i="38"/>
  <c r="AD167" i="38"/>
  <c r="Z167" i="38"/>
  <c r="X167" i="38"/>
  <c r="F167" i="39"/>
  <c r="J167" i="39"/>
  <c r="AE167" i="39"/>
  <c r="AL167" i="39"/>
  <c r="AJ166" i="38"/>
  <c r="AH166" i="38"/>
  <c r="AF166" i="38"/>
  <c r="AD166" i="38"/>
  <c r="Z166" i="38"/>
  <c r="Y166" i="38"/>
  <c r="X166" i="38"/>
  <c r="F166" i="39"/>
  <c r="J166" i="39"/>
  <c r="AE166" i="39"/>
  <c r="AL166" i="39"/>
  <c r="AI166" i="38"/>
  <c r="AJ165" i="38"/>
  <c r="AI165" i="38"/>
  <c r="AF165" i="38"/>
  <c r="AE165" i="38"/>
  <c r="Z165" i="38"/>
  <c r="Y165" i="38"/>
  <c r="F165" i="39"/>
  <c r="J165" i="39"/>
  <c r="AD165" i="39"/>
  <c r="AL165" i="39"/>
  <c r="X165" i="38"/>
  <c r="AJ164" i="38"/>
  <c r="AI164" i="38"/>
  <c r="AH164" i="38"/>
  <c r="AF164" i="38"/>
  <c r="AE164" i="38"/>
  <c r="Z164" i="38"/>
  <c r="Y164" i="38"/>
  <c r="F164" i="39"/>
  <c r="J164" i="39"/>
  <c r="AD164" i="39"/>
  <c r="AL164" i="39"/>
  <c r="X164" i="38"/>
  <c r="AJ163" i="38"/>
  <c r="AH163" i="38"/>
  <c r="AF163" i="38"/>
  <c r="AD163" i="38"/>
  <c r="Z163" i="38"/>
  <c r="X163" i="38"/>
  <c r="F163" i="39"/>
  <c r="J163" i="39"/>
  <c r="AE163" i="39"/>
  <c r="AL163" i="39"/>
  <c r="AJ162" i="38"/>
  <c r="AH162" i="38"/>
  <c r="AF162" i="38"/>
  <c r="AD162" i="38"/>
  <c r="Z162" i="38"/>
  <c r="Y162" i="38"/>
  <c r="X162" i="38"/>
  <c r="F162" i="39"/>
  <c r="J162" i="39"/>
  <c r="AE162" i="39"/>
  <c r="AL162" i="39"/>
  <c r="AI162" i="38"/>
  <c r="AJ161" i="38"/>
  <c r="AI161" i="38"/>
  <c r="AF161" i="38"/>
  <c r="AE161" i="38"/>
  <c r="Z161" i="38"/>
  <c r="Y161" i="38"/>
  <c r="F161" i="39"/>
  <c r="J161" i="39"/>
  <c r="AD161" i="39"/>
  <c r="AL161" i="39"/>
  <c r="X161" i="38"/>
  <c r="AI160" i="38"/>
  <c r="AH160" i="38"/>
  <c r="AE160" i="38"/>
  <c r="AD160" i="38"/>
  <c r="Y160" i="38"/>
  <c r="X160" i="38"/>
  <c r="F160" i="39"/>
  <c r="J160" i="39"/>
  <c r="AF160" i="39"/>
  <c r="AL160" i="39"/>
  <c r="AJ160" i="38"/>
  <c r="AJ159" i="38"/>
  <c r="AH159" i="38"/>
  <c r="AF159" i="38"/>
  <c r="AD159" i="38"/>
  <c r="Z159" i="38"/>
  <c r="X159" i="38"/>
  <c r="F159" i="39"/>
  <c r="J159" i="39"/>
  <c r="AE159" i="39"/>
  <c r="AL159" i="39"/>
  <c r="AJ158" i="38"/>
  <c r="AI158" i="38"/>
  <c r="AH158" i="38"/>
  <c r="AF158" i="38"/>
  <c r="AD158" i="38"/>
  <c r="Z158" i="38"/>
  <c r="Y158" i="38"/>
  <c r="X158" i="38"/>
  <c r="F158" i="39"/>
  <c r="J158" i="39"/>
  <c r="AE158" i="39"/>
  <c r="AL158" i="39"/>
  <c r="AI157" i="38"/>
  <c r="AH157" i="38"/>
  <c r="AE157" i="38"/>
  <c r="AD157" i="38"/>
  <c r="Y157" i="38"/>
  <c r="X157" i="38"/>
  <c r="F157" i="39"/>
  <c r="J157" i="39"/>
  <c r="AF157" i="39"/>
  <c r="AL157" i="39"/>
  <c r="Z157" i="38"/>
  <c r="AJ156" i="38"/>
  <c r="AI156" i="38"/>
  <c r="AF156" i="38"/>
  <c r="AE156" i="38"/>
  <c r="Z156" i="38"/>
  <c r="Y156" i="38"/>
  <c r="F156" i="39"/>
  <c r="J156" i="39"/>
  <c r="AD156" i="39"/>
  <c r="AL156" i="39"/>
  <c r="X156" i="38"/>
  <c r="AC156" i="38"/>
  <c r="AJ155" i="38"/>
  <c r="AI155" i="38"/>
  <c r="AF155" i="38"/>
  <c r="AE155" i="38"/>
  <c r="Z155" i="38"/>
  <c r="Y155" i="38"/>
  <c r="F155" i="39"/>
  <c r="J155" i="39"/>
  <c r="AD155" i="39"/>
  <c r="AL155" i="39"/>
  <c r="AI154" i="38"/>
  <c r="AH154" i="38"/>
  <c r="AE154" i="38"/>
  <c r="AD154" i="38"/>
  <c r="Y154" i="38"/>
  <c r="X154" i="38"/>
  <c r="F154" i="39"/>
  <c r="J154" i="39"/>
  <c r="AF154" i="39"/>
  <c r="AL154" i="39"/>
  <c r="Z154" i="38"/>
  <c r="AJ153" i="38"/>
  <c r="AI153" i="38"/>
  <c r="AF153" i="38"/>
  <c r="AE153" i="38"/>
  <c r="Z153" i="38"/>
  <c r="Y153" i="38"/>
  <c r="F153" i="39"/>
  <c r="J153" i="39"/>
  <c r="AD153" i="39"/>
  <c r="AL153" i="39"/>
  <c r="X153" i="38"/>
  <c r="AC153" i="38"/>
  <c r="AJ152" i="38"/>
  <c r="AH152" i="38"/>
  <c r="AF152" i="38"/>
  <c r="AD152" i="38"/>
  <c r="Z152" i="38"/>
  <c r="X152" i="38"/>
  <c r="F152" i="39"/>
  <c r="J152" i="39"/>
  <c r="AE152" i="39"/>
  <c r="AL152" i="39"/>
  <c r="AI152" i="38"/>
  <c r="AJ151" i="38"/>
  <c r="AH151" i="38"/>
  <c r="AF151" i="38"/>
  <c r="AD151" i="38"/>
  <c r="Z151" i="38"/>
  <c r="X151" i="38"/>
  <c r="F151" i="39"/>
  <c r="J151" i="39"/>
  <c r="AE151" i="39"/>
  <c r="AL151" i="39"/>
  <c r="AI150" i="38"/>
  <c r="AH150" i="38"/>
  <c r="AE150" i="38"/>
  <c r="AD150" i="38"/>
  <c r="Y150" i="38"/>
  <c r="X150" i="38"/>
  <c r="F150" i="39"/>
  <c r="J150" i="39"/>
  <c r="AF150" i="39"/>
  <c r="AL150" i="39"/>
  <c r="Z150" i="38"/>
  <c r="AJ149" i="38"/>
  <c r="AI149" i="38"/>
  <c r="AF149" i="38"/>
  <c r="AE149" i="38"/>
  <c r="Z149" i="38"/>
  <c r="Y149" i="38"/>
  <c r="X149" i="38"/>
  <c r="F149" i="39"/>
  <c r="J149" i="39"/>
  <c r="AD149" i="39"/>
  <c r="AL149" i="39"/>
  <c r="AH149" i="38"/>
  <c r="AJ148" i="38"/>
  <c r="AI148" i="38"/>
  <c r="AF148" i="38"/>
  <c r="AE148" i="38"/>
  <c r="Z148" i="38"/>
  <c r="Y148" i="38"/>
  <c r="F148" i="39"/>
  <c r="J148" i="39"/>
  <c r="AD148" i="39"/>
  <c r="AL148" i="39"/>
  <c r="X148" i="38"/>
  <c r="AC148" i="38"/>
  <c r="AJ147" i="38"/>
  <c r="AH147" i="38"/>
  <c r="AF147" i="38"/>
  <c r="AD147" i="38"/>
  <c r="Z147" i="38"/>
  <c r="X147" i="38"/>
  <c r="F147" i="39"/>
  <c r="J147" i="39"/>
  <c r="AE147" i="39"/>
  <c r="AL147" i="39"/>
  <c r="AJ146" i="38"/>
  <c r="AH146" i="38"/>
  <c r="AF146" i="38"/>
  <c r="AD146" i="38"/>
  <c r="Z146" i="38"/>
  <c r="X146" i="38"/>
  <c r="F146" i="39"/>
  <c r="J146" i="39"/>
  <c r="AE146" i="39"/>
  <c r="AL146" i="39"/>
  <c r="AJ145" i="38"/>
  <c r="AI145" i="38"/>
  <c r="AF145" i="38"/>
  <c r="AE145" i="38"/>
  <c r="Z145" i="38"/>
  <c r="Y145" i="38"/>
  <c r="F145" i="39"/>
  <c r="J145" i="39"/>
  <c r="AD145" i="39"/>
  <c r="AL145" i="39"/>
  <c r="AH145" i="38"/>
  <c r="AJ144" i="38"/>
  <c r="AI144" i="38"/>
  <c r="AF144" i="38"/>
  <c r="AE144" i="38"/>
  <c r="Z144" i="38"/>
  <c r="Y144" i="38"/>
  <c r="F144" i="39"/>
  <c r="J144" i="39"/>
  <c r="AD144" i="39"/>
  <c r="AL144" i="39"/>
  <c r="X144" i="38"/>
  <c r="AC144" i="38"/>
  <c r="AJ143" i="38"/>
  <c r="AI143" i="38"/>
  <c r="AH143" i="38"/>
  <c r="AF143" i="38"/>
  <c r="AE143" i="38"/>
  <c r="Z143" i="38"/>
  <c r="Y143" i="38"/>
  <c r="F143" i="39"/>
  <c r="J143" i="39"/>
  <c r="AD143" i="39"/>
  <c r="AL143" i="39"/>
  <c r="X143" i="38"/>
  <c r="AJ142" i="38"/>
  <c r="AI142" i="38"/>
  <c r="AF142" i="38"/>
  <c r="AE142" i="38"/>
  <c r="Z142" i="38"/>
  <c r="Y142" i="38"/>
  <c r="F142" i="39"/>
  <c r="J142" i="39"/>
  <c r="AD142" i="39"/>
  <c r="AL142" i="39"/>
  <c r="AJ141" i="38"/>
  <c r="AI141" i="38"/>
  <c r="AF141" i="38"/>
  <c r="AE141" i="38"/>
  <c r="Z141" i="38"/>
  <c r="Y141" i="38"/>
  <c r="X141" i="38"/>
  <c r="AC141" i="38"/>
  <c r="F141" i="39"/>
  <c r="J141" i="39"/>
  <c r="AD141" i="39"/>
  <c r="AL141" i="39"/>
  <c r="AH141" i="38"/>
  <c r="AJ140" i="38"/>
  <c r="AI140" i="38"/>
  <c r="AF140" i="38"/>
  <c r="AE140" i="38"/>
  <c r="Z140" i="38"/>
  <c r="Y140" i="38"/>
  <c r="F140" i="39"/>
  <c r="J140" i="39"/>
  <c r="AD140" i="39"/>
  <c r="AL140" i="39"/>
  <c r="X140" i="38"/>
  <c r="AC140" i="38"/>
  <c r="AJ139" i="38"/>
  <c r="AI139" i="38"/>
  <c r="AH139" i="38"/>
  <c r="AF139" i="38"/>
  <c r="AE139" i="38"/>
  <c r="Z139" i="38"/>
  <c r="Y139" i="38"/>
  <c r="F139" i="39"/>
  <c r="J139" i="39"/>
  <c r="AD139" i="39"/>
  <c r="AL139" i="39"/>
  <c r="X139" i="38"/>
  <c r="AJ138" i="38"/>
  <c r="AI138" i="38"/>
  <c r="AF138" i="38"/>
  <c r="AE138" i="38"/>
  <c r="Z138" i="38"/>
  <c r="Y138" i="38"/>
  <c r="F138" i="39"/>
  <c r="J138" i="39"/>
  <c r="AD138" i="39"/>
  <c r="AL138" i="39"/>
  <c r="X138" i="38"/>
  <c r="AC138" i="38"/>
  <c r="AJ137" i="38"/>
  <c r="AI137" i="38"/>
  <c r="AF137" i="38"/>
  <c r="AE137" i="38"/>
  <c r="Z137" i="38"/>
  <c r="Y137" i="38"/>
  <c r="F137" i="39"/>
  <c r="J137" i="39"/>
  <c r="AD137" i="39"/>
  <c r="AL137" i="39"/>
  <c r="AH137" i="38"/>
  <c r="AJ136" i="38"/>
  <c r="AI136" i="38"/>
  <c r="AF136" i="38"/>
  <c r="AE136" i="38"/>
  <c r="Z136" i="38"/>
  <c r="Y136" i="38"/>
  <c r="F136" i="39"/>
  <c r="J136" i="39"/>
  <c r="AD136" i="39"/>
  <c r="AL136" i="39"/>
  <c r="X136" i="38"/>
  <c r="AC136" i="38"/>
  <c r="AJ135" i="38"/>
  <c r="AH135" i="38"/>
  <c r="AF135" i="38"/>
  <c r="AD135" i="38"/>
  <c r="Z135" i="38"/>
  <c r="X135" i="38"/>
  <c r="Y135" i="38"/>
  <c r="AJ134" i="38"/>
  <c r="AI134" i="38"/>
  <c r="AF134" i="38"/>
  <c r="AE134" i="38"/>
  <c r="Z134" i="38"/>
  <c r="Y134" i="38"/>
  <c r="X134" i="38"/>
  <c r="AH134" i="38"/>
  <c r="AJ133" i="38"/>
  <c r="AH133" i="38"/>
  <c r="AF133" i="38"/>
  <c r="AD133" i="38"/>
  <c r="Z133" i="38"/>
  <c r="X133" i="38"/>
  <c r="F133" i="39"/>
  <c r="J133" i="39"/>
  <c r="AE133" i="39"/>
  <c r="AL133" i="39"/>
  <c r="Y133" i="38"/>
  <c r="AC133" i="38"/>
  <c r="AJ132" i="38"/>
  <c r="AH132" i="38"/>
  <c r="AF132" i="38"/>
  <c r="AD132" i="38"/>
  <c r="Z132" i="38"/>
  <c r="X132" i="38"/>
  <c r="F132" i="39"/>
  <c r="J132" i="39"/>
  <c r="AE132" i="39"/>
  <c r="AL132" i="39"/>
  <c r="AI132" i="38"/>
  <c r="AI131" i="38"/>
  <c r="AH131" i="38"/>
  <c r="AE131" i="38"/>
  <c r="AD131" i="38"/>
  <c r="Y131" i="38"/>
  <c r="X131" i="38"/>
  <c r="Z131" i="38"/>
  <c r="AJ130" i="38"/>
  <c r="AI130" i="38"/>
  <c r="AF130" i="38"/>
  <c r="AE130" i="38"/>
  <c r="Z130" i="38"/>
  <c r="Y130" i="38"/>
  <c r="F130" i="39"/>
  <c r="J130" i="39"/>
  <c r="AD130" i="39"/>
  <c r="AL130" i="39"/>
  <c r="AH130" i="38"/>
  <c r="AJ129" i="38"/>
  <c r="AI129" i="38"/>
  <c r="AF129" i="38"/>
  <c r="AE129" i="38"/>
  <c r="Z129" i="38"/>
  <c r="Y129" i="38"/>
  <c r="F129" i="39"/>
  <c r="J129" i="39"/>
  <c r="AD129" i="39"/>
  <c r="AL129" i="39"/>
  <c r="X129" i="38"/>
  <c r="AJ128" i="38"/>
  <c r="AH128" i="38"/>
  <c r="AF128" i="38"/>
  <c r="AD128" i="38"/>
  <c r="Z128" i="38"/>
  <c r="X128" i="38"/>
  <c r="F128" i="39"/>
  <c r="J128" i="39"/>
  <c r="AE128" i="39"/>
  <c r="AL128" i="39"/>
  <c r="Y128" i="38"/>
  <c r="AJ127" i="38"/>
  <c r="AI127" i="38"/>
  <c r="AF127" i="38"/>
  <c r="AE127" i="38"/>
  <c r="Z127" i="38"/>
  <c r="Y127" i="38"/>
  <c r="X127" i="38"/>
  <c r="AC127" i="38"/>
  <c r="F127" i="39"/>
  <c r="J127" i="39"/>
  <c r="AD127" i="39"/>
  <c r="AL127" i="39"/>
  <c r="AH127" i="38"/>
  <c r="AJ125" i="38"/>
  <c r="AI125" i="38"/>
  <c r="AF125" i="38"/>
  <c r="AE125" i="38"/>
  <c r="Z125" i="38"/>
  <c r="Y125" i="38"/>
  <c r="F125" i="39"/>
  <c r="J125" i="39"/>
  <c r="AD125" i="39"/>
  <c r="AL125" i="39"/>
  <c r="AH125" i="38"/>
  <c r="AJ124" i="38"/>
  <c r="AI124" i="38"/>
  <c r="AH124" i="38"/>
  <c r="AF124" i="38"/>
  <c r="AE124" i="38"/>
  <c r="Z124" i="38"/>
  <c r="Y124" i="38"/>
  <c r="F124" i="39"/>
  <c r="J124" i="39"/>
  <c r="AD124" i="39"/>
  <c r="AL124" i="39"/>
  <c r="X124" i="38"/>
  <c r="AJ123" i="38"/>
  <c r="AI123" i="38"/>
  <c r="AF123" i="38"/>
  <c r="AE123" i="38"/>
  <c r="Z123" i="38"/>
  <c r="Y123" i="38"/>
  <c r="F123" i="39"/>
  <c r="J123" i="39"/>
  <c r="AD123" i="39"/>
  <c r="AL123" i="39"/>
  <c r="AH123" i="38"/>
  <c r="AJ122" i="38"/>
  <c r="AI122" i="38"/>
  <c r="AF122" i="38"/>
  <c r="AE122" i="38"/>
  <c r="Z122" i="38"/>
  <c r="Y122" i="38"/>
  <c r="F122" i="39"/>
  <c r="J122" i="39"/>
  <c r="AD122" i="39"/>
  <c r="AL122" i="39"/>
  <c r="X122" i="38"/>
  <c r="AJ121" i="38"/>
  <c r="AI121" i="38"/>
  <c r="AH121" i="38"/>
  <c r="AF121" i="38"/>
  <c r="AE121" i="38"/>
  <c r="Z121" i="38"/>
  <c r="Y121" i="38"/>
  <c r="X121" i="38"/>
  <c r="AC121" i="38"/>
  <c r="F121" i="39"/>
  <c r="J121" i="39"/>
  <c r="AD121" i="39"/>
  <c r="AL121" i="39"/>
  <c r="AJ120" i="38"/>
  <c r="AI120" i="38"/>
  <c r="AF120" i="38"/>
  <c r="AE120" i="38"/>
  <c r="Z120" i="38"/>
  <c r="Y120" i="38"/>
  <c r="F120" i="39"/>
  <c r="J120" i="39"/>
  <c r="AD120" i="39"/>
  <c r="AL120" i="39"/>
  <c r="X120" i="38"/>
  <c r="AJ119" i="38"/>
  <c r="AH119" i="38"/>
  <c r="AF119" i="38"/>
  <c r="AD119" i="38"/>
  <c r="Z119" i="38"/>
  <c r="X119" i="38"/>
  <c r="F119" i="39"/>
  <c r="J119" i="39"/>
  <c r="AE119" i="39"/>
  <c r="AL119" i="39"/>
  <c r="AI119" i="38"/>
  <c r="AJ118" i="38"/>
  <c r="AI118" i="38"/>
  <c r="AH118" i="38"/>
  <c r="AF118" i="38"/>
  <c r="AD118" i="38"/>
  <c r="Z118" i="38"/>
  <c r="Y118" i="38"/>
  <c r="X118" i="38"/>
  <c r="AC118" i="38"/>
  <c r="F118" i="39"/>
  <c r="J118" i="39"/>
  <c r="AE118" i="39"/>
  <c r="AL118" i="39"/>
  <c r="AJ117" i="38"/>
  <c r="AI117" i="38"/>
  <c r="AF117" i="38"/>
  <c r="AE117" i="38"/>
  <c r="Z117" i="38"/>
  <c r="Y117" i="38"/>
  <c r="F117" i="39"/>
  <c r="J117" i="39"/>
  <c r="AD117" i="39"/>
  <c r="AL117" i="39"/>
  <c r="AH117" i="38"/>
  <c r="AJ116" i="38"/>
  <c r="AI116" i="38"/>
  <c r="AF116" i="38"/>
  <c r="AE116" i="38"/>
  <c r="Z116" i="38"/>
  <c r="Y116" i="38"/>
  <c r="F116" i="39"/>
  <c r="J116" i="39"/>
  <c r="AD116" i="39"/>
  <c r="AL116" i="39"/>
  <c r="X116" i="38"/>
  <c r="AC116" i="38"/>
  <c r="AJ115" i="38"/>
  <c r="AI115" i="38"/>
  <c r="AF115" i="38"/>
  <c r="AE115" i="38"/>
  <c r="Z115" i="38"/>
  <c r="Y115" i="38"/>
  <c r="F115" i="39"/>
  <c r="J115" i="39"/>
  <c r="AD115" i="39"/>
  <c r="AL115" i="39"/>
  <c r="AH115" i="38"/>
  <c r="AJ114" i="38"/>
  <c r="AI114" i="38"/>
  <c r="AH114" i="38"/>
  <c r="AF114" i="38"/>
  <c r="AE114" i="38"/>
  <c r="Z114" i="38"/>
  <c r="Y114" i="38"/>
  <c r="X114" i="38"/>
  <c r="F114" i="39"/>
  <c r="J114" i="39"/>
  <c r="AD114" i="39"/>
  <c r="AL114" i="39"/>
  <c r="I239" i="38"/>
  <c r="I240" i="38"/>
  <c r="AJ113" i="38"/>
  <c r="AI113" i="38"/>
  <c r="AF113" i="38"/>
  <c r="AE113" i="38"/>
  <c r="Z113" i="38"/>
  <c r="Y113" i="38"/>
  <c r="F113" i="39"/>
  <c r="J113" i="39"/>
  <c r="AD113" i="39"/>
  <c r="AL113" i="39"/>
  <c r="X113" i="38"/>
  <c r="AC113" i="38"/>
  <c r="AJ112" i="38"/>
  <c r="AI112" i="38"/>
  <c r="AH112" i="38"/>
  <c r="AF112" i="38"/>
  <c r="AE112" i="38"/>
  <c r="Z112" i="38"/>
  <c r="Y112" i="38"/>
  <c r="F112" i="39"/>
  <c r="J112" i="39"/>
  <c r="AD112" i="39"/>
  <c r="AL112" i="39"/>
  <c r="X112" i="38"/>
  <c r="AC112" i="38"/>
  <c r="AJ111" i="38"/>
  <c r="AI111" i="38"/>
  <c r="AF111" i="38"/>
  <c r="AE111" i="38"/>
  <c r="Z111" i="38"/>
  <c r="Y111" i="38"/>
  <c r="F111" i="39"/>
  <c r="J111" i="39"/>
  <c r="AD111" i="39"/>
  <c r="AL111" i="39"/>
  <c r="X111" i="38"/>
  <c r="AJ110" i="38"/>
  <c r="AI110" i="38"/>
  <c r="AF110" i="38"/>
  <c r="AE110" i="38"/>
  <c r="Z110" i="38"/>
  <c r="Y110" i="38"/>
  <c r="F110" i="39"/>
  <c r="J110" i="39"/>
  <c r="AD110" i="39"/>
  <c r="AL110" i="39"/>
  <c r="AH110" i="38"/>
  <c r="AJ109" i="38"/>
  <c r="AI109" i="38"/>
  <c r="AF109" i="38"/>
  <c r="AE109" i="38"/>
  <c r="Z109" i="38"/>
  <c r="Y109" i="38"/>
  <c r="F109" i="39"/>
  <c r="J109" i="39"/>
  <c r="AD109" i="39"/>
  <c r="AL109" i="39"/>
  <c r="X109" i="38"/>
  <c r="AC109" i="38"/>
  <c r="AJ108" i="38"/>
  <c r="AI108" i="38"/>
  <c r="AF108" i="38"/>
  <c r="AE108" i="38"/>
  <c r="Z108" i="38"/>
  <c r="Y108" i="38"/>
  <c r="F108" i="39"/>
  <c r="J108" i="39"/>
  <c r="AD108" i="39"/>
  <c r="AL108" i="39"/>
  <c r="AH108" i="38"/>
  <c r="AJ107" i="38"/>
  <c r="AI107" i="38"/>
  <c r="AF107" i="38"/>
  <c r="AE107" i="38"/>
  <c r="Z107" i="38"/>
  <c r="Y107" i="38"/>
  <c r="F107" i="39"/>
  <c r="J107" i="39"/>
  <c r="AD107" i="39"/>
  <c r="AL107" i="39"/>
  <c r="X107" i="38"/>
  <c r="AC107" i="38"/>
  <c r="AJ106" i="38"/>
  <c r="AI106" i="38"/>
  <c r="AF106" i="38"/>
  <c r="AE106" i="38"/>
  <c r="Z106" i="38"/>
  <c r="Y106" i="38"/>
  <c r="F106" i="39"/>
  <c r="J106" i="39"/>
  <c r="AD106" i="39"/>
  <c r="AL106" i="39"/>
  <c r="AH106" i="38"/>
  <c r="AJ105" i="38"/>
  <c r="AI105" i="38"/>
  <c r="AF105" i="38"/>
  <c r="AE105" i="38"/>
  <c r="Z105" i="38"/>
  <c r="Y105" i="38"/>
  <c r="J105" i="39"/>
  <c r="AD105" i="39"/>
  <c r="AL105" i="39"/>
  <c r="X105" i="38"/>
  <c r="AC105" i="38"/>
  <c r="AJ104" i="38"/>
  <c r="AI104" i="38"/>
  <c r="AH104" i="38"/>
  <c r="AF104" i="38"/>
  <c r="AE104" i="38"/>
  <c r="Z104" i="38"/>
  <c r="Y104" i="38"/>
  <c r="F104" i="39"/>
  <c r="J104" i="39"/>
  <c r="AD104" i="39"/>
  <c r="AL104" i="39"/>
  <c r="X104" i="38"/>
  <c r="AC104" i="38"/>
  <c r="AI103" i="38"/>
  <c r="AH103" i="38"/>
  <c r="AE103" i="38"/>
  <c r="AD103" i="38"/>
  <c r="Y103" i="38"/>
  <c r="X103" i="38"/>
  <c r="F103" i="39"/>
  <c r="J103" i="39"/>
  <c r="AF103" i="39"/>
  <c r="AL103" i="39"/>
  <c r="Z103" i="38"/>
  <c r="AJ102" i="38"/>
  <c r="AI102" i="38"/>
  <c r="AF102" i="38"/>
  <c r="AE102" i="38"/>
  <c r="Z102" i="38"/>
  <c r="Y102" i="38"/>
  <c r="F102" i="39"/>
  <c r="J102" i="39"/>
  <c r="AD102" i="39"/>
  <c r="AL102" i="39"/>
  <c r="AH102" i="38"/>
  <c r="AJ101" i="38"/>
  <c r="AH101" i="38"/>
  <c r="AF101" i="38"/>
  <c r="AD101" i="38"/>
  <c r="Z101" i="38"/>
  <c r="X101" i="38"/>
  <c r="F101" i="39"/>
  <c r="J101" i="39"/>
  <c r="AE101" i="39"/>
  <c r="AL101" i="39"/>
  <c r="Y101" i="38"/>
  <c r="AJ100" i="38"/>
  <c r="AH100" i="38"/>
  <c r="AF100" i="38"/>
  <c r="AD100" i="38"/>
  <c r="Z100" i="38"/>
  <c r="X100" i="38"/>
  <c r="F100" i="39"/>
  <c r="J100" i="39"/>
  <c r="AE100" i="39"/>
  <c r="AL100" i="39"/>
  <c r="Y100" i="38"/>
  <c r="AJ99" i="38"/>
  <c r="AH99" i="38"/>
  <c r="AF99" i="38"/>
  <c r="AD99" i="38"/>
  <c r="Z99" i="38"/>
  <c r="X99" i="38"/>
  <c r="F99" i="39"/>
  <c r="J99" i="39"/>
  <c r="AE99" i="39"/>
  <c r="AL99" i="39"/>
  <c r="AI99" i="38"/>
  <c r="AJ98" i="38"/>
  <c r="AH98" i="38"/>
  <c r="AF98" i="38"/>
  <c r="AD98" i="38"/>
  <c r="Z98" i="38"/>
  <c r="X98" i="38"/>
  <c r="Y98" i="38"/>
  <c r="AC98" i="38"/>
  <c r="F98" i="39"/>
  <c r="J98" i="39"/>
  <c r="AE98" i="39"/>
  <c r="AL98" i="39"/>
  <c r="AJ97" i="38"/>
  <c r="AI97" i="38"/>
  <c r="AF97" i="38"/>
  <c r="AE97" i="38"/>
  <c r="Z97" i="38"/>
  <c r="Y97" i="38"/>
  <c r="F97" i="39"/>
  <c r="J97" i="39"/>
  <c r="AD97" i="39"/>
  <c r="AL97" i="39"/>
  <c r="X97" i="38"/>
  <c r="AC97" i="38"/>
  <c r="AJ96" i="38"/>
  <c r="AH96" i="38"/>
  <c r="AF96" i="38"/>
  <c r="AD96" i="38"/>
  <c r="Z96" i="38"/>
  <c r="X96" i="38"/>
  <c r="Y96" i="38"/>
  <c r="AC96" i="38"/>
  <c r="F96" i="39"/>
  <c r="J96" i="39"/>
  <c r="AE96" i="39"/>
  <c r="AL96" i="39"/>
  <c r="AJ95" i="38"/>
  <c r="AH95" i="38"/>
  <c r="AF95" i="38"/>
  <c r="AD95" i="38"/>
  <c r="Z95" i="38"/>
  <c r="X95" i="38"/>
  <c r="Y95" i="38"/>
  <c r="AC95" i="38"/>
  <c r="F95" i="39"/>
  <c r="J95" i="39"/>
  <c r="AE95" i="39"/>
  <c r="AL95" i="39"/>
  <c r="AI95" i="38"/>
  <c r="AI94" i="38"/>
  <c r="AH94" i="38"/>
  <c r="AE94" i="38"/>
  <c r="AD94" i="38"/>
  <c r="Y94" i="38"/>
  <c r="X94" i="38"/>
  <c r="Z94" i="38"/>
  <c r="AC94" i="38"/>
  <c r="F94" i="39"/>
  <c r="J94" i="39"/>
  <c r="AF94" i="39"/>
  <c r="AL94" i="39"/>
  <c r="AJ94" i="38"/>
  <c r="AI93" i="38"/>
  <c r="AH93" i="38"/>
  <c r="AE93" i="38"/>
  <c r="AD93" i="38"/>
  <c r="Y93" i="38"/>
  <c r="X93" i="38"/>
  <c r="F93" i="39"/>
  <c r="J93" i="39"/>
  <c r="AF93" i="39"/>
  <c r="AL93" i="39"/>
  <c r="Z93" i="38"/>
  <c r="AC93" i="38"/>
  <c r="AJ92" i="38"/>
  <c r="AI92" i="38"/>
  <c r="AF92" i="38"/>
  <c r="AE92" i="38"/>
  <c r="Z92" i="38"/>
  <c r="Y92" i="38"/>
  <c r="F92" i="39"/>
  <c r="J92" i="39"/>
  <c r="AD92" i="39"/>
  <c r="AL92" i="39"/>
  <c r="AH92" i="38"/>
  <c r="AJ91" i="38"/>
  <c r="AI91" i="38"/>
  <c r="AF91" i="38"/>
  <c r="AE91" i="38"/>
  <c r="Z91" i="38"/>
  <c r="Y91" i="38"/>
  <c r="F91" i="39"/>
  <c r="J91" i="39"/>
  <c r="AD91" i="39"/>
  <c r="AL91" i="39"/>
  <c r="X91" i="38"/>
  <c r="AC91" i="38"/>
  <c r="AJ90" i="38"/>
  <c r="AI90" i="38"/>
  <c r="AF90" i="38"/>
  <c r="AE90" i="38"/>
  <c r="Z90" i="38"/>
  <c r="Y90" i="38"/>
  <c r="F90" i="39"/>
  <c r="J90" i="39"/>
  <c r="AD90" i="39"/>
  <c r="AL90" i="39"/>
  <c r="AH90" i="38"/>
  <c r="AJ89" i="38"/>
  <c r="AI89" i="38"/>
  <c r="AF89" i="38"/>
  <c r="AE89" i="38"/>
  <c r="Z89" i="38"/>
  <c r="Y89" i="38"/>
  <c r="F89" i="39"/>
  <c r="J89" i="39"/>
  <c r="AD89" i="39"/>
  <c r="AL89" i="39"/>
  <c r="AH89" i="38"/>
  <c r="AJ88" i="38"/>
  <c r="AI88" i="38"/>
  <c r="AF88" i="38"/>
  <c r="AE88" i="38"/>
  <c r="Z88" i="38"/>
  <c r="Y88" i="38"/>
  <c r="F88" i="39"/>
  <c r="J88" i="39"/>
  <c r="AD88" i="39"/>
  <c r="AL88" i="39"/>
  <c r="X88" i="38"/>
  <c r="AJ87" i="38"/>
  <c r="AI87" i="38"/>
  <c r="AF87" i="38"/>
  <c r="AE87" i="38"/>
  <c r="Z87" i="38"/>
  <c r="Y87" i="38"/>
  <c r="F87" i="39"/>
  <c r="J87" i="39"/>
  <c r="AD87" i="39"/>
  <c r="AL87" i="39"/>
  <c r="X87" i="38"/>
  <c r="AJ86" i="38"/>
  <c r="AI86" i="38"/>
  <c r="AF86" i="38"/>
  <c r="AE86" i="38"/>
  <c r="Z86" i="38"/>
  <c r="Y86" i="38"/>
  <c r="F86" i="39"/>
  <c r="J86" i="39"/>
  <c r="AD86" i="39"/>
  <c r="AL86" i="39"/>
  <c r="AH86" i="38"/>
  <c r="AJ85" i="38"/>
  <c r="AI85" i="38"/>
  <c r="AH85" i="38"/>
  <c r="AF85" i="38"/>
  <c r="AD85" i="38"/>
  <c r="Z85" i="38"/>
  <c r="X85" i="38"/>
  <c r="F85" i="39"/>
  <c r="J85" i="39"/>
  <c r="AE85" i="39"/>
  <c r="AL85" i="39"/>
  <c r="Y85" i="38"/>
  <c r="AC85" i="38"/>
  <c r="AJ84" i="38"/>
  <c r="AH84" i="38"/>
  <c r="AF84" i="38"/>
  <c r="AD84" i="38"/>
  <c r="Z84" i="38"/>
  <c r="X84" i="38"/>
  <c r="F84" i="39"/>
  <c r="J84" i="39"/>
  <c r="AE84" i="39"/>
  <c r="AL84" i="39"/>
  <c r="Y84" i="38"/>
  <c r="AJ83" i="38"/>
  <c r="AH83" i="38"/>
  <c r="AF83" i="38"/>
  <c r="AD83" i="38"/>
  <c r="Z83" i="38"/>
  <c r="X83" i="38"/>
  <c r="F83" i="39"/>
  <c r="J83" i="39"/>
  <c r="AE83" i="39"/>
  <c r="AL83" i="39"/>
  <c r="AI83" i="38"/>
  <c r="AJ82" i="38"/>
  <c r="AI82" i="38"/>
  <c r="AF82" i="38"/>
  <c r="AE82" i="38"/>
  <c r="Z82" i="38"/>
  <c r="Y82" i="38"/>
  <c r="F82" i="39"/>
  <c r="J82" i="39"/>
  <c r="AD82" i="39"/>
  <c r="AL82" i="39"/>
  <c r="X82" i="38"/>
  <c r="AC82" i="38"/>
  <c r="AJ81" i="38"/>
  <c r="AH81" i="38"/>
  <c r="AF81" i="38"/>
  <c r="AD81" i="38"/>
  <c r="Z81" i="38"/>
  <c r="X81" i="38"/>
  <c r="F81" i="39"/>
  <c r="J81" i="39"/>
  <c r="AE81" i="39"/>
  <c r="AL81" i="39"/>
  <c r="AI81" i="38"/>
  <c r="AJ80" i="38"/>
  <c r="AH80" i="38"/>
  <c r="AF80" i="38"/>
  <c r="AD80" i="38"/>
  <c r="Z80" i="38"/>
  <c r="X80" i="38"/>
  <c r="F80" i="39"/>
  <c r="J80" i="39"/>
  <c r="AE80" i="39"/>
  <c r="AL80" i="39"/>
  <c r="AI80" i="38"/>
  <c r="AJ79" i="38"/>
  <c r="AI79" i="38"/>
  <c r="AF79" i="38"/>
  <c r="AE79" i="38"/>
  <c r="Z79" i="38"/>
  <c r="Y79" i="38"/>
  <c r="F79" i="39"/>
  <c r="J79" i="39"/>
  <c r="AD79" i="39"/>
  <c r="AL79" i="39"/>
  <c r="AH79" i="38"/>
  <c r="AJ78" i="38"/>
  <c r="AI78" i="38"/>
  <c r="AF78" i="38"/>
  <c r="AE78" i="38"/>
  <c r="Z78" i="38"/>
  <c r="Y78" i="38"/>
  <c r="F78" i="39"/>
  <c r="J78" i="39"/>
  <c r="AD78" i="39"/>
  <c r="AL78" i="39"/>
  <c r="X78" i="38"/>
  <c r="AC78" i="38"/>
  <c r="AJ77" i="38"/>
  <c r="AI77" i="38"/>
  <c r="AF77" i="38"/>
  <c r="AE77" i="38"/>
  <c r="Z77" i="38"/>
  <c r="Y77" i="38"/>
  <c r="F77" i="39"/>
  <c r="J77" i="39"/>
  <c r="AD77" i="39"/>
  <c r="AL77" i="39"/>
  <c r="AH77" i="38"/>
  <c r="AJ76" i="38"/>
  <c r="AH76" i="38"/>
  <c r="AF76" i="38"/>
  <c r="AD76" i="38"/>
  <c r="Z76" i="38"/>
  <c r="Y76" i="38"/>
  <c r="X76" i="38"/>
  <c r="F76" i="39"/>
  <c r="J76" i="39"/>
  <c r="AE76" i="39"/>
  <c r="AL76" i="39"/>
  <c r="AI76" i="38"/>
  <c r="AJ75" i="38"/>
  <c r="AI75" i="38"/>
  <c r="AF75" i="38"/>
  <c r="AE75" i="38"/>
  <c r="Z75" i="38"/>
  <c r="Y75" i="38"/>
  <c r="F75" i="39"/>
  <c r="J75" i="39"/>
  <c r="AD75" i="39"/>
  <c r="AL75" i="39"/>
  <c r="AH75" i="38"/>
  <c r="AJ74" i="38"/>
  <c r="AI74" i="38"/>
  <c r="AF74" i="38"/>
  <c r="AE74" i="38"/>
  <c r="Z74" i="38"/>
  <c r="Y74" i="38"/>
  <c r="F74" i="39"/>
  <c r="J74" i="39"/>
  <c r="AD74" i="39"/>
  <c r="AL74" i="39"/>
  <c r="X74" i="38"/>
  <c r="AC74" i="38"/>
  <c r="AJ73" i="38"/>
  <c r="AI73" i="38"/>
  <c r="AF73" i="38"/>
  <c r="AE73" i="38"/>
  <c r="Z73" i="38"/>
  <c r="Y73" i="38"/>
  <c r="F73" i="39"/>
  <c r="J73" i="39"/>
  <c r="AD73" i="39"/>
  <c r="AL73" i="39"/>
  <c r="AH73" i="38"/>
  <c r="AJ72" i="38"/>
  <c r="AI72" i="38"/>
  <c r="AF72" i="38"/>
  <c r="AE72" i="38"/>
  <c r="Z72" i="38"/>
  <c r="Y72" i="38"/>
  <c r="F72" i="39"/>
  <c r="J72" i="39"/>
  <c r="AD72" i="39"/>
  <c r="AL72" i="39"/>
  <c r="AH72" i="38"/>
  <c r="AJ71" i="38"/>
  <c r="AI71" i="38"/>
  <c r="AF71" i="38"/>
  <c r="AE71" i="38"/>
  <c r="Z71" i="38"/>
  <c r="Y71" i="38"/>
  <c r="F71" i="39"/>
  <c r="J71" i="39"/>
  <c r="AD71" i="39"/>
  <c r="AL71" i="39"/>
  <c r="AH71" i="38"/>
  <c r="AJ70" i="38"/>
  <c r="AI70" i="38"/>
  <c r="AH70" i="38"/>
  <c r="AF70" i="38"/>
  <c r="AE70" i="38"/>
  <c r="Z70" i="38"/>
  <c r="Y70" i="38"/>
  <c r="F70" i="39"/>
  <c r="J70" i="39"/>
  <c r="AD70" i="39"/>
  <c r="AL70" i="39"/>
  <c r="X70" i="38"/>
  <c r="AJ69" i="38"/>
  <c r="AI69" i="38"/>
  <c r="AH69" i="38"/>
  <c r="AF69" i="38"/>
  <c r="AE69" i="38"/>
  <c r="Z69" i="38"/>
  <c r="Y69" i="38"/>
  <c r="X69" i="38"/>
  <c r="F69" i="39"/>
  <c r="J69" i="39"/>
  <c r="AD69" i="39"/>
  <c r="AL69" i="39"/>
  <c r="AJ68" i="38"/>
  <c r="AI68" i="38"/>
  <c r="AF68" i="38"/>
  <c r="AE68" i="38"/>
  <c r="Z68" i="38"/>
  <c r="Y68" i="38"/>
  <c r="X68" i="38"/>
  <c r="AC68" i="38"/>
  <c r="F68" i="39"/>
  <c r="J68" i="39"/>
  <c r="AD68" i="39"/>
  <c r="AL68" i="39"/>
  <c r="AH68" i="38"/>
  <c r="AJ67" i="38"/>
  <c r="AI67" i="38"/>
  <c r="AF67" i="38"/>
  <c r="AE67" i="38"/>
  <c r="Z67" i="38"/>
  <c r="Y67" i="38"/>
  <c r="F67" i="39"/>
  <c r="J67" i="39"/>
  <c r="AD67" i="39"/>
  <c r="AL67" i="39"/>
  <c r="AH67" i="38"/>
  <c r="AJ66" i="38"/>
  <c r="AI66" i="38"/>
  <c r="AF66" i="38"/>
  <c r="AE66" i="38"/>
  <c r="Z66" i="38"/>
  <c r="Y66" i="38"/>
  <c r="F66" i="39"/>
  <c r="J66" i="39"/>
  <c r="AD66" i="39"/>
  <c r="AL66" i="39"/>
  <c r="AH66" i="38"/>
  <c r="AJ65" i="38"/>
  <c r="AI65" i="38"/>
  <c r="AF65" i="38"/>
  <c r="AE65" i="38"/>
  <c r="Z65" i="38"/>
  <c r="Y65" i="38"/>
  <c r="X65" i="38"/>
  <c r="AC65" i="38"/>
  <c r="F65" i="39"/>
  <c r="J65" i="39"/>
  <c r="AD65" i="39"/>
  <c r="AL65" i="39"/>
  <c r="AH65" i="38"/>
  <c r="AJ64" i="38"/>
  <c r="AI64" i="38"/>
  <c r="AF64" i="38"/>
  <c r="AE64" i="38"/>
  <c r="Z64" i="38"/>
  <c r="Y64" i="38"/>
  <c r="X64" i="38"/>
  <c r="AC64" i="38"/>
  <c r="F64" i="39"/>
  <c r="J64" i="39"/>
  <c r="AD64" i="39"/>
  <c r="AL64" i="39"/>
  <c r="AH64" i="38"/>
  <c r="AJ63" i="38"/>
  <c r="AI63" i="38"/>
  <c r="AF63" i="38"/>
  <c r="AE63" i="38"/>
  <c r="Z63" i="38"/>
  <c r="Y63" i="38"/>
  <c r="F63" i="39"/>
  <c r="J63" i="39"/>
  <c r="AD63" i="39"/>
  <c r="AL63" i="39"/>
  <c r="AH63" i="38"/>
  <c r="AI62" i="38"/>
  <c r="AH62" i="38"/>
  <c r="AE62" i="38"/>
  <c r="AD62" i="38"/>
  <c r="Y62" i="38"/>
  <c r="X62" i="38"/>
  <c r="Z62" i="38"/>
  <c r="AC62" i="38"/>
  <c r="F62" i="39"/>
  <c r="J62" i="39"/>
  <c r="AF62" i="39"/>
  <c r="AL62" i="39"/>
  <c r="AJ61" i="38"/>
  <c r="AH61" i="38"/>
  <c r="AF61" i="38"/>
  <c r="AD61" i="38"/>
  <c r="Z61" i="38"/>
  <c r="X61" i="38"/>
  <c r="F61" i="39"/>
  <c r="J61" i="39"/>
  <c r="AE61" i="39"/>
  <c r="AL61" i="39"/>
  <c r="Y61" i="38"/>
  <c r="AJ60" i="38"/>
  <c r="AH60" i="38"/>
  <c r="AF60" i="38"/>
  <c r="AD60" i="38"/>
  <c r="Z60" i="38"/>
  <c r="X60" i="38"/>
  <c r="F60" i="39"/>
  <c r="J60" i="39"/>
  <c r="AE60" i="39"/>
  <c r="AL60" i="39"/>
  <c r="Y60" i="38"/>
  <c r="AC60" i="38"/>
  <c r="AJ59" i="38"/>
  <c r="AI59" i="38"/>
  <c r="AF59" i="38"/>
  <c r="AE59" i="38"/>
  <c r="Z59" i="38"/>
  <c r="Y59" i="38"/>
  <c r="F59" i="39"/>
  <c r="J59" i="39"/>
  <c r="AD59" i="39"/>
  <c r="AL59" i="39"/>
  <c r="AH59" i="38"/>
  <c r="AJ58" i="38"/>
  <c r="AH58" i="38"/>
  <c r="AF58" i="38"/>
  <c r="AD58" i="38"/>
  <c r="Z58" i="38"/>
  <c r="X58" i="38"/>
  <c r="F58" i="39"/>
  <c r="J58" i="39"/>
  <c r="AE58" i="39"/>
  <c r="AL58" i="39"/>
  <c r="AI58" i="38"/>
  <c r="AJ57" i="38"/>
  <c r="AI57" i="38"/>
  <c r="AF57" i="38"/>
  <c r="AE57" i="38"/>
  <c r="Z57" i="38"/>
  <c r="Y57" i="38"/>
  <c r="F57" i="39"/>
  <c r="J57" i="39"/>
  <c r="AD57" i="39"/>
  <c r="AL57" i="39"/>
  <c r="X57" i="38"/>
  <c r="AC57" i="38"/>
  <c r="AJ56" i="38"/>
  <c r="AI56" i="38"/>
  <c r="AF56" i="38"/>
  <c r="AE56" i="38"/>
  <c r="Z56" i="38"/>
  <c r="Y56" i="38"/>
  <c r="F56" i="39"/>
  <c r="J56" i="39"/>
  <c r="AD56" i="39"/>
  <c r="AL56" i="39"/>
  <c r="X56" i="38"/>
  <c r="AC56" i="38"/>
  <c r="AJ55" i="38"/>
  <c r="AH55" i="38"/>
  <c r="AF55" i="38"/>
  <c r="AD55" i="38"/>
  <c r="Z55" i="38"/>
  <c r="X55" i="38"/>
  <c r="F55" i="39"/>
  <c r="J55" i="39"/>
  <c r="AE55" i="39"/>
  <c r="AL55" i="39"/>
  <c r="AI55" i="38"/>
  <c r="AJ54" i="38"/>
  <c r="AH54" i="38"/>
  <c r="AF54" i="38"/>
  <c r="AD54" i="38"/>
  <c r="Z54" i="38"/>
  <c r="X54" i="38"/>
  <c r="F54" i="39"/>
  <c r="J54" i="39"/>
  <c r="AE54" i="39"/>
  <c r="AL54" i="39"/>
  <c r="AI54" i="38"/>
  <c r="AJ53" i="38"/>
  <c r="AH53" i="38"/>
  <c r="AF53" i="38"/>
  <c r="AD53" i="38"/>
  <c r="Z53" i="38"/>
  <c r="X53" i="38"/>
  <c r="F53" i="39"/>
  <c r="J53" i="39"/>
  <c r="AE53" i="39"/>
  <c r="AL53" i="39"/>
  <c r="Y53" i="38"/>
  <c r="AJ52" i="38"/>
  <c r="AH52" i="38"/>
  <c r="AF52" i="38"/>
  <c r="AD52" i="38"/>
  <c r="Z52" i="38"/>
  <c r="X52" i="38"/>
  <c r="F52" i="39"/>
  <c r="J52" i="39"/>
  <c r="AE52" i="39"/>
  <c r="AL52" i="39"/>
  <c r="Y52" i="38"/>
  <c r="AC52" i="38"/>
  <c r="AJ51" i="38"/>
  <c r="AI51" i="38"/>
  <c r="AF51" i="38"/>
  <c r="AE51" i="38"/>
  <c r="Z51" i="38"/>
  <c r="Y51" i="38"/>
  <c r="F51" i="39"/>
  <c r="J51" i="39"/>
  <c r="AD51" i="39"/>
  <c r="AL51" i="39"/>
  <c r="AH51" i="38"/>
  <c r="AJ50" i="38"/>
  <c r="AI50" i="38"/>
  <c r="AF50" i="38"/>
  <c r="AE50" i="38"/>
  <c r="Z50" i="38"/>
  <c r="Y50" i="38"/>
  <c r="F50" i="39"/>
  <c r="J50" i="39"/>
  <c r="AD50" i="39"/>
  <c r="AL50" i="39"/>
  <c r="AH50" i="38"/>
  <c r="AJ49" i="38"/>
  <c r="AI49" i="38"/>
  <c r="AF49" i="38"/>
  <c r="AE49" i="38"/>
  <c r="Z49" i="38"/>
  <c r="Y49" i="38"/>
  <c r="F49" i="39"/>
  <c r="J49" i="39"/>
  <c r="AD49" i="39"/>
  <c r="AL49" i="39"/>
  <c r="X49" i="38"/>
  <c r="AC49" i="38"/>
  <c r="AJ48" i="38"/>
  <c r="AI48" i="38"/>
  <c r="AH48" i="38"/>
  <c r="AF48" i="38"/>
  <c r="AD48" i="38"/>
  <c r="Z48" i="38"/>
  <c r="X48" i="38"/>
  <c r="F48" i="39"/>
  <c r="J48" i="39"/>
  <c r="AE48" i="39"/>
  <c r="AL48" i="39"/>
  <c r="Y48" i="38"/>
  <c r="AJ47" i="38"/>
  <c r="AI47" i="38"/>
  <c r="AF47" i="38"/>
  <c r="AE47" i="38"/>
  <c r="Z47" i="38"/>
  <c r="Y47" i="38"/>
  <c r="F47" i="39"/>
  <c r="J47" i="39"/>
  <c r="AD47" i="39"/>
  <c r="AL47" i="39"/>
  <c r="AH47" i="38"/>
  <c r="AJ46" i="38"/>
  <c r="AI46" i="38"/>
  <c r="AF46" i="38"/>
  <c r="AE46" i="38"/>
  <c r="Z46" i="38"/>
  <c r="Y46" i="38"/>
  <c r="F46" i="39"/>
  <c r="J46" i="39"/>
  <c r="AD46" i="39"/>
  <c r="AL46" i="39"/>
  <c r="AH46" i="38"/>
  <c r="AJ45" i="38"/>
  <c r="AH45" i="38"/>
  <c r="AF45" i="38"/>
  <c r="AD45" i="38"/>
  <c r="Z45" i="38"/>
  <c r="X45" i="38"/>
  <c r="F45" i="39"/>
  <c r="J45" i="39"/>
  <c r="AE45" i="39"/>
  <c r="AL45" i="39"/>
  <c r="Y45" i="38"/>
  <c r="AJ44" i="38"/>
  <c r="AI44" i="38"/>
  <c r="AF44" i="38"/>
  <c r="AE44" i="38"/>
  <c r="Z44" i="38"/>
  <c r="Y44" i="38"/>
  <c r="X44" i="38"/>
  <c r="AJ43" i="38"/>
  <c r="AI43" i="38"/>
  <c r="AF43" i="38"/>
  <c r="AE43" i="38"/>
  <c r="Z43" i="38"/>
  <c r="Y43" i="38"/>
  <c r="F43" i="39"/>
  <c r="J43" i="39"/>
  <c r="AD43" i="39"/>
  <c r="AL43" i="39"/>
  <c r="AH43" i="38"/>
  <c r="AI42" i="38"/>
  <c r="AH42" i="38"/>
  <c r="AE42" i="38"/>
  <c r="AD42" i="38"/>
  <c r="Y42" i="38"/>
  <c r="X42" i="38"/>
  <c r="F42" i="39"/>
  <c r="J42" i="39"/>
  <c r="AF42" i="39"/>
  <c r="AL42" i="39"/>
  <c r="Z42" i="38"/>
  <c r="AI41" i="38"/>
  <c r="AH41" i="38"/>
  <c r="AE41" i="38"/>
  <c r="AD41" i="38"/>
  <c r="Y41" i="38"/>
  <c r="X41" i="38"/>
  <c r="F41" i="39"/>
  <c r="J41" i="39"/>
  <c r="AF41" i="39"/>
  <c r="AJ41" i="38"/>
  <c r="AJ40" i="38"/>
  <c r="AI40" i="38"/>
  <c r="AF40" i="38"/>
  <c r="AE40" i="38"/>
  <c r="Z40" i="38"/>
  <c r="Y40" i="38"/>
  <c r="F40" i="39"/>
  <c r="J40" i="39"/>
  <c r="AD40" i="39"/>
  <c r="AL40" i="39"/>
  <c r="AH40" i="38"/>
  <c r="AJ39" i="38"/>
  <c r="AI39" i="38"/>
  <c r="AF39" i="38"/>
  <c r="AE39" i="38"/>
  <c r="Z39" i="38"/>
  <c r="Y39" i="38"/>
  <c r="F39" i="39"/>
  <c r="J39" i="39"/>
  <c r="AD39" i="39"/>
  <c r="AL39" i="39"/>
  <c r="AH39" i="38"/>
  <c r="AJ38" i="38"/>
  <c r="AI38" i="38"/>
  <c r="AF38" i="38"/>
  <c r="AE38" i="38"/>
  <c r="Z38" i="38"/>
  <c r="Y38" i="38"/>
  <c r="F38" i="39"/>
  <c r="J38" i="39"/>
  <c r="AD38" i="39"/>
  <c r="AL38" i="39"/>
  <c r="X38" i="38"/>
  <c r="AJ37" i="38"/>
  <c r="AI37" i="38"/>
  <c r="AF37" i="38"/>
  <c r="AE37" i="38"/>
  <c r="Z37" i="38"/>
  <c r="Y37" i="38"/>
  <c r="F37" i="39"/>
  <c r="J37" i="39"/>
  <c r="AD37" i="39"/>
  <c r="AL37" i="39"/>
  <c r="AH37" i="38"/>
  <c r="AJ36" i="38"/>
  <c r="AI36" i="38"/>
  <c r="AF36" i="38"/>
  <c r="AE36" i="38"/>
  <c r="Z36" i="38"/>
  <c r="Y36" i="38"/>
  <c r="F36" i="39"/>
  <c r="J36" i="39"/>
  <c r="AD36" i="39"/>
  <c r="AL36" i="39"/>
  <c r="AH36" i="38"/>
  <c r="AJ35" i="38"/>
  <c r="AI35" i="38"/>
  <c r="AF35" i="38"/>
  <c r="AE35" i="38"/>
  <c r="Z35" i="38"/>
  <c r="Y35" i="38"/>
  <c r="F35" i="39"/>
  <c r="J35" i="39"/>
  <c r="AD35" i="39"/>
  <c r="AL35" i="39"/>
  <c r="AH35" i="38"/>
  <c r="AJ34" i="38"/>
  <c r="AI34" i="38"/>
  <c r="AF34" i="38"/>
  <c r="AE34" i="38"/>
  <c r="Z34" i="38"/>
  <c r="Y34" i="38"/>
  <c r="F34" i="39"/>
  <c r="J34" i="39"/>
  <c r="AD34" i="39"/>
  <c r="AL34" i="39"/>
  <c r="X34" i="38"/>
  <c r="AJ33" i="38"/>
  <c r="AI33" i="38"/>
  <c r="AF33" i="38"/>
  <c r="AE33" i="38"/>
  <c r="Z33" i="38"/>
  <c r="Y33" i="38"/>
  <c r="F33" i="39"/>
  <c r="J33" i="39"/>
  <c r="AD33" i="39"/>
  <c r="AL33" i="39"/>
  <c r="AH33" i="38"/>
  <c r="AJ32" i="38"/>
  <c r="AI32" i="38"/>
  <c r="AF32" i="38"/>
  <c r="AE32" i="38"/>
  <c r="Z32" i="38"/>
  <c r="Y32" i="38"/>
  <c r="F32" i="39"/>
  <c r="J32" i="39"/>
  <c r="AD32" i="39"/>
  <c r="AL32" i="39"/>
  <c r="AH32" i="38"/>
  <c r="AJ31" i="38"/>
  <c r="AI31" i="38"/>
  <c r="AF31" i="38"/>
  <c r="AE31" i="38"/>
  <c r="Z31" i="38"/>
  <c r="Y31" i="38"/>
  <c r="F31" i="39"/>
  <c r="J31" i="39"/>
  <c r="AD31" i="39"/>
  <c r="AL31" i="39"/>
  <c r="AH31" i="38"/>
  <c r="AJ30" i="38"/>
  <c r="AI30" i="38"/>
  <c r="AF30" i="38"/>
  <c r="AE30" i="38"/>
  <c r="Z30" i="38"/>
  <c r="Y30" i="38"/>
  <c r="F30" i="39"/>
  <c r="J30" i="39"/>
  <c r="AD30" i="39"/>
  <c r="AL30" i="39"/>
  <c r="AH30" i="38"/>
  <c r="AJ29" i="38"/>
  <c r="AH29" i="38"/>
  <c r="AF29" i="38"/>
  <c r="AD29" i="38"/>
  <c r="Z29" i="38"/>
  <c r="X29" i="38"/>
  <c r="F29" i="39"/>
  <c r="J29" i="39"/>
  <c r="AE29" i="39"/>
  <c r="AL29" i="39"/>
  <c r="Y29" i="38"/>
  <c r="AJ28" i="38"/>
  <c r="AI28" i="38"/>
  <c r="AF28" i="38"/>
  <c r="AE28" i="38"/>
  <c r="Z28" i="38"/>
  <c r="Y28" i="38"/>
  <c r="F28" i="39"/>
  <c r="J28" i="39"/>
  <c r="AD28" i="39"/>
  <c r="AL28" i="39"/>
  <c r="AH28" i="38"/>
  <c r="AJ27" i="38"/>
  <c r="AI27" i="38"/>
  <c r="AF27" i="38"/>
  <c r="AE27" i="38"/>
  <c r="Z27" i="38"/>
  <c r="Y27" i="38"/>
  <c r="F27" i="39"/>
  <c r="J27" i="39"/>
  <c r="AD27" i="39"/>
  <c r="AL27" i="39"/>
  <c r="AH27" i="38"/>
  <c r="AJ26" i="38"/>
  <c r="AI26" i="38"/>
  <c r="AH26" i="38"/>
  <c r="AF26" i="38"/>
  <c r="AE26" i="38"/>
  <c r="Z26" i="38"/>
  <c r="Y26" i="38"/>
  <c r="X26" i="38"/>
  <c r="F26" i="39"/>
  <c r="J26" i="39"/>
  <c r="AD26" i="39"/>
  <c r="AL26" i="39"/>
  <c r="AJ25" i="38"/>
  <c r="AH25" i="38"/>
  <c r="AF25" i="38"/>
  <c r="AD25" i="38"/>
  <c r="Z25" i="38"/>
  <c r="X25" i="38"/>
  <c r="F25" i="39"/>
  <c r="J25" i="39"/>
  <c r="AE25" i="39"/>
  <c r="AL25" i="39"/>
  <c r="Y25" i="38"/>
  <c r="AJ24" i="38"/>
  <c r="AI24" i="38"/>
  <c r="AF24" i="38"/>
  <c r="AE24" i="38"/>
  <c r="Z24" i="38"/>
  <c r="Y24" i="38"/>
  <c r="F24" i="39"/>
  <c r="J24" i="39"/>
  <c r="AD24" i="39"/>
  <c r="AL24" i="39"/>
  <c r="AH24" i="38"/>
  <c r="AJ23" i="38"/>
  <c r="AI23" i="38"/>
  <c r="AF23" i="38"/>
  <c r="AE23" i="38"/>
  <c r="Z23" i="38"/>
  <c r="Y23" i="38"/>
  <c r="F23" i="39"/>
  <c r="J23" i="39"/>
  <c r="AD23" i="39"/>
  <c r="AL23" i="39"/>
  <c r="AH23" i="38"/>
  <c r="AJ22" i="38"/>
  <c r="AI22" i="38"/>
  <c r="AF22" i="38"/>
  <c r="AE22" i="38"/>
  <c r="Z22" i="38"/>
  <c r="Y22" i="38"/>
  <c r="F22" i="39"/>
  <c r="J22" i="39"/>
  <c r="AD22" i="39"/>
  <c r="AL22" i="39"/>
  <c r="X22" i="38"/>
  <c r="AC22" i="38"/>
  <c r="AJ21" i="38"/>
  <c r="AI21" i="38"/>
  <c r="AF21" i="38"/>
  <c r="AE21" i="38"/>
  <c r="Z21" i="38"/>
  <c r="Y21" i="38"/>
  <c r="F21" i="39"/>
  <c r="J21" i="39"/>
  <c r="AD21" i="39"/>
  <c r="AL21" i="39"/>
  <c r="X21" i="38"/>
  <c r="AC21" i="38"/>
  <c r="AJ20" i="38"/>
  <c r="AH20" i="38"/>
  <c r="AF20" i="38"/>
  <c r="AD20" i="38"/>
  <c r="Z20" i="38"/>
  <c r="X20" i="38"/>
  <c r="F20" i="39"/>
  <c r="J20" i="39"/>
  <c r="AE20" i="39"/>
  <c r="AL20" i="39"/>
  <c r="AI20" i="38"/>
  <c r="AJ19" i="38"/>
  <c r="AH19" i="38"/>
  <c r="AF19" i="38"/>
  <c r="AD19" i="38"/>
  <c r="Z19" i="38"/>
  <c r="X19" i="38"/>
  <c r="F19" i="39"/>
  <c r="J19" i="39"/>
  <c r="AE19" i="39"/>
  <c r="AL19" i="39"/>
  <c r="AI19" i="38"/>
  <c r="AJ18" i="38"/>
  <c r="AH18" i="38"/>
  <c r="AF18" i="38"/>
  <c r="AD18" i="38"/>
  <c r="Z18" i="38"/>
  <c r="X18" i="38"/>
  <c r="F18" i="39"/>
  <c r="J18" i="39"/>
  <c r="AE18" i="39"/>
  <c r="AL18" i="39"/>
  <c r="AI18" i="38"/>
  <c r="AJ17" i="38"/>
  <c r="AI17" i="38"/>
  <c r="AF17" i="38"/>
  <c r="AE17" i="38"/>
  <c r="Z17" i="38"/>
  <c r="Y17" i="38"/>
  <c r="F17" i="39"/>
  <c r="J17" i="39"/>
  <c r="AD17" i="39"/>
  <c r="AL17" i="39"/>
  <c r="AH17" i="38"/>
  <c r="AJ16" i="38"/>
  <c r="AI16" i="38"/>
  <c r="AH16" i="38"/>
  <c r="AF16" i="38"/>
  <c r="AD16" i="38"/>
  <c r="Z16" i="38"/>
  <c r="X16" i="38"/>
  <c r="F16" i="39"/>
  <c r="J16" i="39"/>
  <c r="AE16" i="39"/>
  <c r="AL16" i="39"/>
  <c r="I114" i="37"/>
  <c r="I189" i="37"/>
  <c r="E17" i="37"/>
  <c r="E18" i="37"/>
  <c r="E83" i="37"/>
  <c r="E147" i="37"/>
  <c r="E204" i="37"/>
  <c r="E226" i="37"/>
  <c r="AJ200" i="37"/>
  <c r="AH200" i="37"/>
  <c r="AF200" i="37"/>
  <c r="AD200" i="37"/>
  <c r="Z200" i="37"/>
  <c r="X200" i="37"/>
  <c r="AI200" i="37"/>
  <c r="J200" i="37"/>
  <c r="AE200" i="37"/>
  <c r="AJ198" i="36"/>
  <c r="AH198" i="36"/>
  <c r="AF198" i="36"/>
  <c r="AD198" i="36"/>
  <c r="Z198" i="36"/>
  <c r="X198" i="36"/>
  <c r="Q198" i="36"/>
  <c r="V198" i="36"/>
  <c r="J198" i="36"/>
  <c r="AE198" i="36"/>
  <c r="AC233" i="38"/>
  <c r="AH222" i="38"/>
  <c r="AC191" i="38"/>
  <c r="AC165" i="38"/>
  <c r="AC161" i="38"/>
  <c r="AC122" i="38"/>
  <c r="AH88" i="38"/>
  <c r="AC88" i="38"/>
  <c r="X30" i="38"/>
  <c r="AC29" i="38"/>
  <c r="X33" i="38"/>
  <c r="AC33" i="38"/>
  <c r="AH34" i="38"/>
  <c r="AC38" i="38"/>
  <c r="AC25" i="38"/>
  <c r="X204" i="38"/>
  <c r="AC204" i="38"/>
  <c r="AI200" i="38"/>
  <c r="V236" i="37"/>
  <c r="F236" i="38"/>
  <c r="J236" i="38"/>
  <c r="AF236" i="38"/>
  <c r="X182" i="38"/>
  <c r="AC182" i="38"/>
  <c r="F182" i="39"/>
  <c r="J182" i="39"/>
  <c r="AD182" i="39"/>
  <c r="AL182" i="39"/>
  <c r="X182" i="37"/>
  <c r="AC182" i="37"/>
  <c r="V182" i="37"/>
  <c r="F183" i="38"/>
  <c r="J183" i="38"/>
  <c r="AD183" i="38"/>
  <c r="X126" i="37"/>
  <c r="AC126" i="37"/>
  <c r="V126" i="37"/>
  <c r="F126" i="38"/>
  <c r="J126" i="38"/>
  <c r="AD126" i="38"/>
  <c r="E239" i="38"/>
  <c r="Y80" i="38"/>
  <c r="AC80" i="38"/>
  <c r="AI53" i="38"/>
  <c r="AH56" i="38"/>
  <c r="AI98" i="38"/>
  <c r="AC101" i="38"/>
  <c r="AJ131" i="38"/>
  <c r="AJ154" i="38"/>
  <c r="AH161" i="38"/>
  <c r="AH165" i="38"/>
  <c r="AI196" i="38"/>
  <c r="AI223" i="38"/>
  <c r="Y18" i="38"/>
  <c r="AH22" i="38"/>
  <c r="AC26" i="38"/>
  <c r="AH57" i="38"/>
  <c r="AI60" i="38"/>
  <c r="AC69" i="38"/>
  <c r="Y81" i="38"/>
  <c r="AC81" i="38"/>
  <c r="AH109" i="38"/>
  <c r="AC114" i="38"/>
  <c r="AH136" i="38"/>
  <c r="AC149" i="38"/>
  <c r="AC173" i="38"/>
  <c r="Y197" i="38"/>
  <c r="AI208" i="38"/>
  <c r="AI209" i="38"/>
  <c r="AC212" i="38"/>
  <c r="Y229" i="38"/>
  <c r="X17" i="38"/>
  <c r="AC17" i="38"/>
  <c r="AI25" i="38"/>
  <c r="X37" i="38"/>
  <c r="AC37" i="38"/>
  <c r="Y54" i="38"/>
  <c r="AC54" i="38"/>
  <c r="AI61" i="38"/>
  <c r="X72" i="38"/>
  <c r="AC72" i="38"/>
  <c r="X75" i="38"/>
  <c r="AC75" i="38"/>
  <c r="X89" i="38"/>
  <c r="AC89" i="38"/>
  <c r="AC124" i="38"/>
  <c r="AI128" i="38"/>
  <c r="AH140" i="38"/>
  <c r="AJ157" i="38"/>
  <c r="AC164" i="38"/>
  <c r="AH177" i="38"/>
  <c r="X189" i="38"/>
  <c r="AC189" i="38"/>
  <c r="AH191" i="38"/>
  <c r="AC196" i="38"/>
  <c r="AC222" i="38"/>
  <c r="AH231" i="38"/>
  <c r="AH21" i="38"/>
  <c r="AJ42" i="38"/>
  <c r="AC45" i="38"/>
  <c r="AH97" i="38"/>
  <c r="AC128" i="38"/>
  <c r="AI187" i="38"/>
  <c r="AJ224" i="38"/>
  <c r="AI228" i="38"/>
  <c r="Y19" i="38"/>
  <c r="AC19" i="38"/>
  <c r="AI29" i="38"/>
  <c r="AC34" i="38"/>
  <c r="AH38" i="38"/>
  <c r="Y58" i="38"/>
  <c r="AC76" i="38"/>
  <c r="AC84" i="38"/>
  <c r="AJ93" i="38"/>
  <c r="AH105" i="38"/>
  <c r="AH113" i="38"/>
  <c r="AH144" i="38"/>
  <c r="AH153" i="38"/>
  <c r="AC158" i="38"/>
  <c r="AI169" i="38"/>
  <c r="AC183" i="38"/>
  <c r="AC203" i="38"/>
  <c r="AJ216" i="38"/>
  <c r="AC18" i="38"/>
  <c r="AI45" i="38"/>
  <c r="AH49" i="38"/>
  <c r="AC53" i="38"/>
  <c r="AC58" i="38"/>
  <c r="AJ62" i="38"/>
  <c r="X73" i="38"/>
  <c r="AC73" i="38"/>
  <c r="AH78" i="38"/>
  <c r="Y83" i="38"/>
  <c r="AC83" i="38"/>
  <c r="AC87" i="38"/>
  <c r="AI101" i="38"/>
  <c r="AC111" i="38"/>
  <c r="X115" i="38"/>
  <c r="AC115" i="38"/>
  <c r="AH122" i="38"/>
  <c r="AC129" i="38"/>
  <c r="AC143" i="38"/>
  <c r="X145" i="38"/>
  <c r="AC145" i="38"/>
  <c r="AJ150" i="38"/>
  <c r="AH156" i="38"/>
  <c r="AC186" i="38"/>
  <c r="AC187" i="38"/>
  <c r="AC195" i="38"/>
  <c r="AJ220" i="38"/>
  <c r="AC223" i="38"/>
  <c r="AC224" i="38"/>
  <c r="AC228" i="38"/>
  <c r="AC44" i="38"/>
  <c r="AC48" i="38"/>
  <c r="AI52" i="38"/>
  <c r="AC70" i="38"/>
  <c r="X86" i="38"/>
  <c r="AC86" i="38"/>
  <c r="AH91" i="38"/>
  <c r="AC100" i="38"/>
  <c r="AJ103" i="38"/>
  <c r="AH107" i="38"/>
  <c r="X110" i="38"/>
  <c r="AC110" i="38"/>
  <c r="Y119" i="38"/>
  <c r="AC120" i="38"/>
  <c r="AC131" i="38"/>
  <c r="AC135" i="38"/>
  <c r="AI135" i="38"/>
  <c r="AH138" i="38"/>
  <c r="AC139" i="38"/>
  <c r="AH148" i="38"/>
  <c r="AC169" i="38"/>
  <c r="X170" i="38"/>
  <c r="AC170" i="38"/>
  <c r="AH172" i="38"/>
  <c r="AC176" i="38"/>
  <c r="X178" i="38"/>
  <c r="AC178" i="38"/>
  <c r="AC199" i="38"/>
  <c r="Y200" i="38"/>
  <c r="AC200" i="38"/>
  <c r="AC208" i="38"/>
  <c r="AJ213" i="38"/>
  <c r="AC215" i="38"/>
  <c r="AC218" i="38"/>
  <c r="AI232" i="38"/>
  <c r="AC235" i="38"/>
  <c r="AJ237" i="38"/>
  <c r="AC103" i="38"/>
  <c r="AC42" i="38"/>
  <c r="AH194" i="38"/>
  <c r="X194" i="38"/>
  <c r="AC194" i="38"/>
  <c r="AH142" i="38"/>
  <c r="X142" i="38"/>
  <c r="AC142" i="38"/>
  <c r="AI151" i="38"/>
  <c r="Y151" i="38"/>
  <c r="AC151" i="38"/>
  <c r="AH155" i="38"/>
  <c r="X155" i="38"/>
  <c r="AC155" i="38"/>
  <c r="AI201" i="38"/>
  <c r="Y201" i="38"/>
  <c r="AC201" i="38"/>
  <c r="AH44" i="38"/>
  <c r="Y20" i="38"/>
  <c r="AC20" i="38"/>
  <c r="X23" i="38"/>
  <c r="AC23" i="38"/>
  <c r="X35" i="38"/>
  <c r="AC35" i="38"/>
  <c r="Z41" i="38"/>
  <c r="AC41" i="38"/>
  <c r="X43" i="38"/>
  <c r="AC43" i="38"/>
  <c r="X46" i="38"/>
  <c r="AC46" i="38"/>
  <c r="X50" i="38"/>
  <c r="AC50" i="38"/>
  <c r="Y55" i="38"/>
  <c r="AC55" i="38"/>
  <c r="X66" i="38"/>
  <c r="AC66" i="38"/>
  <c r="X71" i="38"/>
  <c r="AC71" i="38"/>
  <c r="X79" i="38"/>
  <c r="AC79" i="38"/>
  <c r="AH82" i="38"/>
  <c r="AI84" i="38"/>
  <c r="X92" i="38"/>
  <c r="AC92" i="38"/>
  <c r="AI96" i="38"/>
  <c r="Y99" i="38"/>
  <c r="X108" i="38"/>
  <c r="AC108" i="38"/>
  <c r="AH116" i="38"/>
  <c r="AC119" i="38"/>
  <c r="X125" i="38"/>
  <c r="AC125" i="38"/>
  <c r="AH129" i="38"/>
  <c r="Y132" i="38"/>
  <c r="AC132" i="38"/>
  <c r="AC134" i="38"/>
  <c r="AC162" i="38"/>
  <c r="AC184" i="38"/>
  <c r="AC188" i="38"/>
  <c r="AC197" i="38"/>
  <c r="AC205" i="38"/>
  <c r="AC229" i="38"/>
  <c r="AI159" i="38"/>
  <c r="Y159" i="38"/>
  <c r="AC159" i="38"/>
  <c r="AH171" i="38"/>
  <c r="X171" i="38"/>
  <c r="AC171" i="38"/>
  <c r="AH206" i="38"/>
  <c r="X206" i="38"/>
  <c r="AC206" i="38"/>
  <c r="AH234" i="38"/>
  <c r="X234" i="38"/>
  <c r="AC234" i="38"/>
  <c r="AI146" i="38"/>
  <c r="Y146" i="38"/>
  <c r="AC146" i="38"/>
  <c r="AI147" i="38"/>
  <c r="Y147" i="38"/>
  <c r="AC147" i="38"/>
  <c r="AI163" i="38"/>
  <c r="Y163" i="38"/>
  <c r="AC163" i="38"/>
  <c r="AI198" i="38"/>
  <c r="Y198" i="38"/>
  <c r="AC198" i="38"/>
  <c r="X27" i="38"/>
  <c r="AC27" i="38"/>
  <c r="X31" i="38"/>
  <c r="AC31" i="38"/>
  <c r="X39" i="38"/>
  <c r="AC39" i="38"/>
  <c r="Y16" i="38"/>
  <c r="X24" i="38"/>
  <c r="AC24" i="38"/>
  <c r="X28" i="38"/>
  <c r="AC28" i="38"/>
  <c r="X32" i="38"/>
  <c r="AC32" i="38"/>
  <c r="X36" i="38"/>
  <c r="AC36" i="38"/>
  <c r="X40" i="38"/>
  <c r="AC40" i="38"/>
  <c r="X47" i="38"/>
  <c r="AC47" i="38"/>
  <c r="X51" i="38"/>
  <c r="AC51" i="38"/>
  <c r="X59" i="38"/>
  <c r="AC59" i="38"/>
  <c r="X63" i="38"/>
  <c r="AC63" i="38"/>
  <c r="X67" i="38"/>
  <c r="AC67" i="38"/>
  <c r="AH74" i="38"/>
  <c r="X77" i="38"/>
  <c r="AC77" i="38"/>
  <c r="AH87" i="38"/>
  <c r="X90" i="38"/>
  <c r="AC90" i="38"/>
  <c r="X102" i="38"/>
  <c r="AC102" i="38"/>
  <c r="X106" i="38"/>
  <c r="AC106" i="38"/>
  <c r="AH111" i="38"/>
  <c r="X117" i="38"/>
  <c r="AC117" i="38"/>
  <c r="AH120" i="38"/>
  <c r="X123" i="38"/>
  <c r="AC123" i="38"/>
  <c r="X130" i="38"/>
  <c r="AC130" i="38"/>
  <c r="X137" i="38"/>
  <c r="AC137" i="38"/>
  <c r="AC150" i="38"/>
  <c r="AC154" i="38"/>
  <c r="AC157" i="38"/>
  <c r="AC166" i="38"/>
  <c r="AC209" i="38"/>
  <c r="AC217" i="38"/>
  <c r="AC237" i="38"/>
  <c r="AH180" i="38"/>
  <c r="X180" i="38"/>
  <c r="AC180" i="38"/>
  <c r="AI185" i="38"/>
  <c r="Y185" i="38"/>
  <c r="AC185" i="38"/>
  <c r="AI190" i="38"/>
  <c r="Y190" i="38"/>
  <c r="AC190" i="38"/>
  <c r="AI214" i="38"/>
  <c r="Y214" i="38"/>
  <c r="AC214" i="38"/>
  <c r="AI167" i="38"/>
  <c r="Y167" i="38"/>
  <c r="AC167" i="38"/>
  <c r="AI175" i="38"/>
  <c r="Y175" i="38"/>
  <c r="AC175" i="38"/>
  <c r="AI210" i="38"/>
  <c r="Y210" i="38"/>
  <c r="AC210" i="38"/>
  <c r="AH221" i="38"/>
  <c r="AH225" i="38"/>
  <c r="X225" i="38"/>
  <c r="AC225" i="38"/>
  <c r="AH226" i="38"/>
  <c r="X226" i="38"/>
  <c r="AC226" i="38"/>
  <c r="AI230" i="38"/>
  <c r="Y230" i="38"/>
  <c r="AC230" i="38"/>
  <c r="AH238" i="38"/>
  <c r="X238" i="38"/>
  <c r="AC238" i="38"/>
  <c r="AI100" i="38"/>
  <c r="AI133" i="38"/>
  <c r="M239" i="38"/>
  <c r="M240" i="38"/>
  <c r="J247" i="38"/>
  <c r="Z160" i="38"/>
  <c r="AC160" i="38"/>
  <c r="Y152" i="38"/>
  <c r="AC152" i="38"/>
  <c r="Y181" i="38"/>
  <c r="AC181" i="38"/>
  <c r="Y202" i="38"/>
  <c r="AC202" i="38"/>
  <c r="Y207" i="38"/>
  <c r="AC207" i="38"/>
  <c r="Y211" i="38"/>
  <c r="AC211" i="38"/>
  <c r="Y227" i="38"/>
  <c r="AC227" i="38"/>
  <c r="Z236" i="38"/>
  <c r="AC236" i="38"/>
  <c r="AL200" i="37"/>
  <c r="Y200" i="37"/>
  <c r="AC200" i="37"/>
  <c r="Y198" i="36"/>
  <c r="AC198" i="36"/>
  <c r="AI198" i="36"/>
  <c r="AL198" i="36"/>
  <c r="J244" i="38"/>
  <c r="T17" i="36"/>
  <c r="AH179" i="38"/>
  <c r="X179" i="38"/>
  <c r="AC179" i="38"/>
  <c r="AC16" i="38"/>
  <c r="T147" i="36"/>
  <c r="T189" i="36"/>
  <c r="T220" i="36"/>
  <c r="I239" i="37"/>
  <c r="T82" i="36"/>
  <c r="T151" i="36"/>
  <c r="T234" i="36"/>
  <c r="T167" i="36"/>
  <c r="T134" i="36"/>
  <c r="Q134" i="36"/>
  <c r="V134" i="36"/>
  <c r="F135" i="37"/>
  <c r="J135" i="37"/>
  <c r="AE135" i="37"/>
  <c r="T29" i="36"/>
  <c r="Q29" i="36"/>
  <c r="V29" i="36"/>
  <c r="Q225" i="36"/>
  <c r="V225" i="36"/>
  <c r="Q224" i="36"/>
  <c r="V224" i="36"/>
  <c r="Q223" i="36"/>
  <c r="V223" i="36"/>
  <c r="Q222" i="36"/>
  <c r="V222" i="36"/>
  <c r="Q221" i="36"/>
  <c r="V221" i="36"/>
  <c r="Q220" i="36"/>
  <c r="V220" i="36"/>
  <c r="Q219" i="36"/>
  <c r="V219" i="36"/>
  <c r="Q218" i="36"/>
  <c r="V218" i="36"/>
  <c r="Q217" i="36"/>
  <c r="V217" i="36"/>
  <c r="Q216" i="36"/>
  <c r="V216" i="36"/>
  <c r="Q215" i="36"/>
  <c r="V215" i="36"/>
  <c r="Q214" i="36"/>
  <c r="V214" i="36"/>
  <c r="Q213" i="36"/>
  <c r="V213" i="36"/>
  <c r="Q212" i="36"/>
  <c r="V212" i="36"/>
  <c r="Q211" i="36"/>
  <c r="V211" i="36"/>
  <c r="Q210" i="36"/>
  <c r="V210" i="36"/>
  <c r="Q209" i="36"/>
  <c r="V209" i="36"/>
  <c r="Q208" i="36"/>
  <c r="V208" i="36"/>
  <c r="Q207" i="36"/>
  <c r="V207" i="36"/>
  <c r="Q206" i="36"/>
  <c r="V206" i="36"/>
  <c r="Q144" i="36"/>
  <c r="V144" i="36"/>
  <c r="Q143" i="36"/>
  <c r="V143" i="36"/>
  <c r="Q142" i="36"/>
  <c r="V142" i="36"/>
  <c r="Q141" i="36"/>
  <c r="V141" i="36"/>
  <c r="Q140" i="36"/>
  <c r="V140" i="36"/>
  <c r="Q139" i="36"/>
  <c r="V139" i="36"/>
  <c r="Q138" i="36"/>
  <c r="V138" i="36"/>
  <c r="Q137" i="36"/>
  <c r="V137" i="36"/>
  <c r="Q136" i="36"/>
  <c r="V136" i="36"/>
  <c r="Q135" i="36"/>
  <c r="V135" i="36"/>
  <c r="Q133" i="36"/>
  <c r="V133" i="36"/>
  <c r="F134" i="37"/>
  <c r="J134" i="37"/>
  <c r="AD134" i="37"/>
  <c r="Q132" i="36"/>
  <c r="V132" i="36"/>
  <c r="Q131" i="36"/>
  <c r="V131" i="36"/>
  <c r="Q130" i="36"/>
  <c r="V130" i="36"/>
  <c r="F131" i="37"/>
  <c r="J131" i="37"/>
  <c r="AF131" i="37"/>
  <c r="Q129" i="36"/>
  <c r="V129" i="36"/>
  <c r="Q128" i="36"/>
  <c r="V128" i="36"/>
  <c r="Q127" i="36"/>
  <c r="V127" i="36"/>
  <c r="Q126" i="36"/>
  <c r="V126" i="36"/>
  <c r="Q125" i="36"/>
  <c r="V125" i="36"/>
  <c r="Q124" i="36"/>
  <c r="V124" i="36"/>
  <c r="Q123" i="36"/>
  <c r="V123" i="36"/>
  <c r="Q122" i="36"/>
  <c r="V122" i="36"/>
  <c r="Q121" i="36"/>
  <c r="V121" i="36"/>
  <c r="Q120" i="36"/>
  <c r="V120" i="36"/>
  <c r="Q119" i="36"/>
  <c r="V119" i="36"/>
  <c r="Q118" i="36"/>
  <c r="V118" i="36"/>
  <c r="Q117" i="36"/>
  <c r="V117" i="36"/>
  <c r="Q116" i="36"/>
  <c r="V116" i="36"/>
  <c r="Q115" i="36"/>
  <c r="V115" i="36"/>
  <c r="Q114" i="36"/>
  <c r="V114" i="36"/>
  <c r="Q113" i="36"/>
  <c r="V113" i="36"/>
  <c r="Q112" i="36"/>
  <c r="V112" i="36"/>
  <c r="Q111" i="36"/>
  <c r="V111" i="36"/>
  <c r="Q110" i="36"/>
  <c r="V110" i="36"/>
  <c r="Q109" i="36"/>
  <c r="V109" i="36"/>
  <c r="Q108" i="36"/>
  <c r="V108" i="36"/>
  <c r="Q107" i="36"/>
  <c r="V107" i="36"/>
  <c r="Q106" i="36"/>
  <c r="V106" i="36"/>
  <c r="Q105" i="36"/>
  <c r="V105" i="36"/>
  <c r="Q104" i="36"/>
  <c r="V104" i="36"/>
  <c r="Q103" i="36"/>
  <c r="V103" i="36"/>
  <c r="Q102" i="36"/>
  <c r="V102" i="36"/>
  <c r="Q101" i="36"/>
  <c r="V101" i="36"/>
  <c r="Q100" i="36"/>
  <c r="V100" i="36"/>
  <c r="Q99" i="36"/>
  <c r="V99" i="36"/>
  <c r="Q98" i="36"/>
  <c r="V98" i="36"/>
  <c r="Q97" i="36"/>
  <c r="V97" i="36"/>
  <c r="Q96" i="36"/>
  <c r="V96" i="36"/>
  <c r="Q95" i="36"/>
  <c r="V95" i="36"/>
  <c r="Q94" i="36"/>
  <c r="V94" i="36"/>
  <c r="Q93" i="36"/>
  <c r="V93" i="36"/>
  <c r="Q92" i="36"/>
  <c r="V92" i="36"/>
  <c r="Q91" i="36"/>
  <c r="V91" i="36"/>
  <c r="Q90" i="36"/>
  <c r="V90" i="36"/>
  <c r="Q89" i="36"/>
  <c r="V89" i="36"/>
  <c r="Q88" i="36"/>
  <c r="V88" i="36"/>
  <c r="Q87" i="36"/>
  <c r="V87" i="36"/>
  <c r="Q86" i="36"/>
  <c r="V86" i="36"/>
  <c r="Q85" i="36"/>
  <c r="V85" i="36"/>
  <c r="Q84" i="36"/>
  <c r="V84" i="36"/>
  <c r="Q83" i="36"/>
  <c r="V83" i="36"/>
  <c r="Q82" i="36"/>
  <c r="V82" i="36"/>
  <c r="Q81" i="36"/>
  <c r="V81" i="36"/>
  <c r="Q80" i="36"/>
  <c r="V80" i="36"/>
  <c r="Q79" i="36"/>
  <c r="V79" i="36"/>
  <c r="Q78" i="36"/>
  <c r="V78" i="36"/>
  <c r="Q77" i="36"/>
  <c r="V77" i="36"/>
  <c r="Q76" i="36"/>
  <c r="V76" i="36"/>
  <c r="Q75" i="36"/>
  <c r="V75" i="36"/>
  <c r="Q74" i="36"/>
  <c r="V74" i="36"/>
  <c r="Q73" i="36"/>
  <c r="V73" i="36"/>
  <c r="Q72" i="36"/>
  <c r="V72" i="36"/>
  <c r="Q71" i="36"/>
  <c r="V71" i="36"/>
  <c r="Q70" i="36"/>
  <c r="V70" i="36"/>
  <c r="Q69" i="36"/>
  <c r="V69" i="36"/>
  <c r="Q68" i="36"/>
  <c r="V68" i="36"/>
  <c r="Q67" i="36"/>
  <c r="V67" i="36"/>
  <c r="Q66" i="36"/>
  <c r="V66" i="36"/>
  <c r="Q65" i="36"/>
  <c r="V65" i="36"/>
  <c r="Q64" i="36"/>
  <c r="V64" i="36"/>
  <c r="Q63" i="36"/>
  <c r="V63" i="36"/>
  <c r="Q62" i="36"/>
  <c r="V62" i="36"/>
  <c r="Q61" i="36"/>
  <c r="V61" i="36"/>
  <c r="Q60" i="36"/>
  <c r="V60" i="36"/>
  <c r="Q59" i="36"/>
  <c r="V59" i="36"/>
  <c r="Q58" i="36"/>
  <c r="V58" i="36"/>
  <c r="Q57" i="36"/>
  <c r="V57" i="36"/>
  <c r="Q56" i="36"/>
  <c r="V56" i="36"/>
  <c r="Q55" i="36"/>
  <c r="V55" i="36"/>
  <c r="Q54" i="36"/>
  <c r="V54" i="36"/>
  <c r="Q53" i="36"/>
  <c r="V53" i="36"/>
  <c r="Q52" i="36"/>
  <c r="V52" i="36"/>
  <c r="Q51" i="36"/>
  <c r="V51" i="36"/>
  <c r="Q50" i="36"/>
  <c r="V50" i="36"/>
  <c r="Q49" i="36"/>
  <c r="V49" i="36"/>
  <c r="Q48" i="36"/>
  <c r="V48" i="36"/>
  <c r="Q47" i="36"/>
  <c r="V47" i="36"/>
  <c r="Q46" i="36"/>
  <c r="V46" i="36"/>
  <c r="Q45" i="36"/>
  <c r="V45" i="36"/>
  <c r="Q44" i="36"/>
  <c r="V44" i="36"/>
  <c r="Q43" i="36"/>
  <c r="V43" i="36"/>
  <c r="Q42" i="36"/>
  <c r="V42" i="36"/>
  <c r="Q41" i="36"/>
  <c r="V41" i="36"/>
  <c r="Q40" i="36"/>
  <c r="V40" i="36"/>
  <c r="Q39" i="36"/>
  <c r="V39" i="36"/>
  <c r="Q38" i="36"/>
  <c r="V38" i="36"/>
  <c r="Q37" i="36"/>
  <c r="V37" i="36"/>
  <c r="Q36" i="36"/>
  <c r="V36" i="36"/>
  <c r="Q35" i="36"/>
  <c r="V35" i="36"/>
  <c r="Q34" i="36"/>
  <c r="V34" i="36"/>
  <c r="Q33" i="36"/>
  <c r="V33" i="36"/>
  <c r="Q32" i="36"/>
  <c r="V32" i="36"/>
  <c r="Q31" i="36"/>
  <c r="V31" i="36"/>
  <c r="Q30" i="36"/>
  <c r="V30" i="36"/>
  <c r="Q28" i="36"/>
  <c r="V28" i="36"/>
  <c r="Q27" i="36"/>
  <c r="V27" i="36"/>
  <c r="Q26" i="36"/>
  <c r="V26" i="36"/>
  <c r="Q25" i="36"/>
  <c r="V25" i="36"/>
  <c r="Q24" i="36"/>
  <c r="V24" i="36"/>
  <c r="Q23" i="36"/>
  <c r="V23" i="36"/>
  <c r="Q22" i="36"/>
  <c r="V22" i="36"/>
  <c r="Q21" i="36"/>
  <c r="V21" i="36"/>
  <c r="Q18" i="36"/>
  <c r="V18" i="36"/>
  <c r="Q17" i="36"/>
  <c r="V17" i="36"/>
  <c r="Q16" i="36"/>
  <c r="V16" i="36"/>
  <c r="F218" i="37"/>
  <c r="J218" i="37"/>
  <c r="AD218" i="37"/>
  <c r="F44" i="37"/>
  <c r="J44" i="37"/>
  <c r="AD44" i="37"/>
  <c r="AB239" i="37"/>
  <c r="AA250" i="37"/>
  <c r="AA239" i="37"/>
  <c r="AA247" i="37"/>
  <c r="T239" i="37"/>
  <c r="P239" i="37"/>
  <c r="O239" i="37"/>
  <c r="N239" i="37"/>
  <c r="M239" i="37"/>
  <c r="L239" i="37"/>
  <c r="H239" i="37"/>
  <c r="G239" i="37"/>
  <c r="AJ238" i="37"/>
  <c r="AI238" i="37"/>
  <c r="AF238" i="37"/>
  <c r="AE238" i="37"/>
  <c r="Z238" i="37"/>
  <c r="Y238" i="37"/>
  <c r="AH238" i="37"/>
  <c r="AI237" i="37"/>
  <c r="AH237" i="37"/>
  <c r="AE237" i="37"/>
  <c r="AD237" i="37"/>
  <c r="Y237" i="37"/>
  <c r="X237" i="37"/>
  <c r="Z237" i="37"/>
  <c r="AC237" i="37"/>
  <c r="AI236" i="37"/>
  <c r="AH236" i="37"/>
  <c r="AE236" i="37"/>
  <c r="AD236" i="37"/>
  <c r="Y236" i="37"/>
  <c r="X236" i="37"/>
  <c r="AJ236" i="37"/>
  <c r="AJ235" i="37"/>
  <c r="AI235" i="37"/>
  <c r="AF235" i="37"/>
  <c r="AE235" i="37"/>
  <c r="Z235" i="37"/>
  <c r="Y235" i="37"/>
  <c r="X235" i="37"/>
  <c r="AC235" i="37"/>
  <c r="AJ234" i="37"/>
  <c r="AI234" i="37"/>
  <c r="AF234" i="37"/>
  <c r="AE234" i="37"/>
  <c r="Z234" i="37"/>
  <c r="Y234" i="37"/>
  <c r="AJ233" i="37"/>
  <c r="AI233" i="37"/>
  <c r="AF233" i="37"/>
  <c r="AE233" i="37"/>
  <c r="Z233" i="37"/>
  <c r="Y233" i="37"/>
  <c r="AJ232" i="37"/>
  <c r="AH232" i="37"/>
  <c r="AF232" i="37"/>
  <c r="AD232" i="37"/>
  <c r="Z232" i="37"/>
  <c r="X232" i="37"/>
  <c r="AI232" i="37"/>
  <c r="AJ231" i="37"/>
  <c r="AI231" i="37"/>
  <c r="AF231" i="37"/>
  <c r="AE231" i="37"/>
  <c r="Z231" i="37"/>
  <c r="Y231" i="37"/>
  <c r="AH231" i="37"/>
  <c r="AJ230" i="37"/>
  <c r="AH230" i="37"/>
  <c r="AF230" i="37"/>
  <c r="AD230" i="37"/>
  <c r="Z230" i="37"/>
  <c r="X230" i="37"/>
  <c r="Y230" i="37"/>
  <c r="AC230" i="37"/>
  <c r="AJ229" i="37"/>
  <c r="AH229" i="37"/>
  <c r="AF229" i="37"/>
  <c r="AD229" i="37"/>
  <c r="Z229" i="37"/>
  <c r="X229" i="37"/>
  <c r="AI229" i="37"/>
  <c r="AJ228" i="37"/>
  <c r="AH228" i="37"/>
  <c r="AF228" i="37"/>
  <c r="AD228" i="37"/>
  <c r="Z228" i="37"/>
  <c r="X228" i="37"/>
  <c r="AJ227" i="37"/>
  <c r="AH227" i="37"/>
  <c r="AF227" i="37"/>
  <c r="AD227" i="37"/>
  <c r="Z227" i="37"/>
  <c r="X227" i="37"/>
  <c r="AI227" i="37"/>
  <c r="AJ226" i="37"/>
  <c r="AI226" i="37"/>
  <c r="AF226" i="37"/>
  <c r="AE226" i="37"/>
  <c r="Z226" i="37"/>
  <c r="Y226" i="37"/>
  <c r="X226" i="37"/>
  <c r="AJ225" i="37"/>
  <c r="AI225" i="37"/>
  <c r="AF225" i="37"/>
  <c r="AE225" i="37"/>
  <c r="Z225" i="37"/>
  <c r="Y225" i="37"/>
  <c r="X225" i="37"/>
  <c r="AI224" i="37"/>
  <c r="AH224" i="37"/>
  <c r="AE224" i="37"/>
  <c r="AD224" i="37"/>
  <c r="Y224" i="37"/>
  <c r="X224" i="37"/>
  <c r="Z224" i="37"/>
  <c r="AJ223" i="37"/>
  <c r="AH223" i="37"/>
  <c r="AF223" i="37"/>
  <c r="AD223" i="37"/>
  <c r="Z223" i="37"/>
  <c r="X223" i="37"/>
  <c r="AI223" i="37"/>
  <c r="AJ222" i="37"/>
  <c r="AI222" i="37"/>
  <c r="AF222" i="37"/>
  <c r="AE222" i="37"/>
  <c r="Z222" i="37"/>
  <c r="Y222" i="37"/>
  <c r="AJ221" i="37"/>
  <c r="AI221" i="37"/>
  <c r="AF221" i="37"/>
  <c r="AE221" i="37"/>
  <c r="Z221" i="37"/>
  <c r="Y221" i="37"/>
  <c r="AI220" i="37"/>
  <c r="AH220" i="37"/>
  <c r="AE220" i="37"/>
  <c r="AD220" i="37"/>
  <c r="Y220" i="37"/>
  <c r="X220" i="37"/>
  <c r="Z220" i="37"/>
  <c r="AJ219" i="37"/>
  <c r="AI219" i="37"/>
  <c r="AF219" i="37"/>
  <c r="AE219" i="37"/>
  <c r="Z219" i="37"/>
  <c r="Y219" i="37"/>
  <c r="X219" i="37"/>
  <c r="AJ218" i="37"/>
  <c r="AI218" i="37"/>
  <c r="AF218" i="37"/>
  <c r="AE218" i="37"/>
  <c r="Z218" i="37"/>
  <c r="Y218" i="37"/>
  <c r="X218" i="37"/>
  <c r="AH218" i="37"/>
  <c r="AJ217" i="37"/>
  <c r="AI217" i="37"/>
  <c r="AF217" i="37"/>
  <c r="AE217" i="37"/>
  <c r="Z217" i="37"/>
  <c r="Y217" i="37"/>
  <c r="AH217" i="37"/>
  <c r="AI216" i="37"/>
  <c r="AH216" i="37"/>
  <c r="AE216" i="37"/>
  <c r="AD216" i="37"/>
  <c r="Y216" i="37"/>
  <c r="X216" i="37"/>
  <c r="Z216" i="37"/>
  <c r="AJ215" i="37"/>
  <c r="AI215" i="37"/>
  <c r="AF215" i="37"/>
  <c r="AE215" i="37"/>
  <c r="Z215" i="37"/>
  <c r="Y215" i="37"/>
  <c r="X215" i="37"/>
  <c r="AJ214" i="37"/>
  <c r="AH214" i="37"/>
  <c r="AF214" i="37"/>
  <c r="AD214" i="37"/>
  <c r="Z214" i="37"/>
  <c r="X214" i="37"/>
  <c r="AI214" i="37"/>
  <c r="AI213" i="37"/>
  <c r="AH213" i="37"/>
  <c r="AE213" i="37"/>
  <c r="AD213" i="37"/>
  <c r="Y213" i="37"/>
  <c r="X213" i="37"/>
  <c r="AJ213" i="37"/>
  <c r="AJ212" i="37"/>
  <c r="AH212" i="37"/>
  <c r="AF212" i="37"/>
  <c r="AD212" i="37"/>
  <c r="Z212" i="37"/>
  <c r="X212" i="37"/>
  <c r="AI212" i="37"/>
  <c r="AJ211" i="37"/>
  <c r="AH211" i="37"/>
  <c r="AF211" i="37"/>
  <c r="AD211" i="37"/>
  <c r="Z211" i="37"/>
  <c r="X211" i="37"/>
  <c r="Y211" i="37"/>
  <c r="AJ210" i="37"/>
  <c r="AH210" i="37"/>
  <c r="AF210" i="37"/>
  <c r="AD210" i="37"/>
  <c r="Z210" i="37"/>
  <c r="X210" i="37"/>
  <c r="AJ209" i="37"/>
  <c r="AH209" i="37"/>
  <c r="AF209" i="37"/>
  <c r="AD209" i="37"/>
  <c r="Z209" i="37"/>
  <c r="X209" i="37"/>
  <c r="AI209" i="37"/>
  <c r="AJ208" i="37"/>
  <c r="AH208" i="37"/>
  <c r="AF208" i="37"/>
  <c r="AD208" i="37"/>
  <c r="Z208" i="37"/>
  <c r="X208" i="37"/>
  <c r="Y208" i="37"/>
  <c r="AJ207" i="37"/>
  <c r="AH207" i="37"/>
  <c r="AF207" i="37"/>
  <c r="AD207" i="37"/>
  <c r="Z207" i="37"/>
  <c r="X207" i="37"/>
  <c r="Y207" i="37"/>
  <c r="AJ206" i="37"/>
  <c r="AI206" i="37"/>
  <c r="AF206" i="37"/>
  <c r="AE206" i="37"/>
  <c r="Z206" i="37"/>
  <c r="Y206" i="37"/>
  <c r="X206" i="37"/>
  <c r="AJ205" i="37"/>
  <c r="AI205" i="37"/>
  <c r="AF205" i="37"/>
  <c r="AE205" i="37"/>
  <c r="Z205" i="37"/>
  <c r="Y205" i="37"/>
  <c r="AH205" i="37"/>
  <c r="AJ204" i="37"/>
  <c r="AI204" i="37"/>
  <c r="AF204" i="37"/>
  <c r="AE204" i="37"/>
  <c r="Z204" i="37"/>
  <c r="Y204" i="37"/>
  <c r="X204" i="37"/>
  <c r="AJ203" i="37"/>
  <c r="AI203" i="37"/>
  <c r="AF203" i="37"/>
  <c r="AE203" i="37"/>
  <c r="Z203" i="37"/>
  <c r="Y203" i="37"/>
  <c r="AJ202" i="37"/>
  <c r="AF202" i="37"/>
  <c r="Z202" i="37"/>
  <c r="X202" i="37"/>
  <c r="AJ201" i="37"/>
  <c r="AH201" i="37"/>
  <c r="AF201" i="37"/>
  <c r="AD201" i="37"/>
  <c r="Z201" i="37"/>
  <c r="X201" i="37"/>
  <c r="AI201" i="37"/>
  <c r="AJ199" i="37"/>
  <c r="AI199" i="37"/>
  <c r="AF199" i="37"/>
  <c r="AE199" i="37"/>
  <c r="Z199" i="37"/>
  <c r="Y199" i="37"/>
  <c r="X199" i="37"/>
  <c r="AJ198" i="37"/>
  <c r="AH198" i="37"/>
  <c r="AF198" i="37"/>
  <c r="AD198" i="37"/>
  <c r="Z198" i="37"/>
  <c r="X198" i="37"/>
  <c r="Y198" i="37"/>
  <c r="AJ197" i="37"/>
  <c r="AH197" i="37"/>
  <c r="AF197" i="37"/>
  <c r="AD197" i="37"/>
  <c r="Z197" i="37"/>
  <c r="X197" i="37"/>
  <c r="AI197" i="37"/>
  <c r="AJ196" i="37"/>
  <c r="AH196" i="37"/>
  <c r="AF196" i="37"/>
  <c r="AD196" i="37"/>
  <c r="Z196" i="37"/>
  <c r="X196" i="37"/>
  <c r="AI196" i="37"/>
  <c r="AJ195" i="37"/>
  <c r="AI195" i="37"/>
  <c r="AF195" i="37"/>
  <c r="AE195" i="37"/>
  <c r="Z195" i="37"/>
  <c r="Y195" i="37"/>
  <c r="X195" i="37"/>
  <c r="AJ194" i="37"/>
  <c r="AI194" i="37"/>
  <c r="AF194" i="37"/>
  <c r="AE194" i="37"/>
  <c r="Z194" i="37"/>
  <c r="Y194" i="37"/>
  <c r="X194" i="37"/>
  <c r="AJ193" i="37"/>
  <c r="AI193" i="37"/>
  <c r="AF193" i="37"/>
  <c r="AE193" i="37"/>
  <c r="Z193" i="37"/>
  <c r="Y193" i="37"/>
  <c r="AJ192" i="37"/>
  <c r="AH192" i="37"/>
  <c r="AF192" i="37"/>
  <c r="AD192" i="37"/>
  <c r="Z192" i="37"/>
  <c r="X192" i="37"/>
  <c r="AI192" i="37"/>
  <c r="AJ191" i="37"/>
  <c r="AI191" i="37"/>
  <c r="AF191" i="37"/>
  <c r="AE191" i="37"/>
  <c r="Z191" i="37"/>
  <c r="Y191" i="37"/>
  <c r="X191" i="37"/>
  <c r="AH191" i="37"/>
  <c r="AJ190" i="37"/>
  <c r="AH190" i="37"/>
  <c r="AF190" i="37"/>
  <c r="AD190" i="37"/>
  <c r="Z190" i="37"/>
  <c r="X190" i="37"/>
  <c r="Y190" i="37"/>
  <c r="AJ189" i="37"/>
  <c r="AI189" i="37"/>
  <c r="AF189" i="37"/>
  <c r="AE189" i="37"/>
  <c r="Z189" i="37"/>
  <c r="Y189" i="37"/>
  <c r="X189" i="37"/>
  <c r="AI188" i="37"/>
  <c r="AH188" i="37"/>
  <c r="AE188" i="37"/>
  <c r="AD188" i="37"/>
  <c r="Y188" i="37"/>
  <c r="X188" i="37"/>
  <c r="AJ188" i="37"/>
  <c r="AJ187" i="37"/>
  <c r="AH187" i="37"/>
  <c r="AF187" i="37"/>
  <c r="AD187" i="37"/>
  <c r="Z187" i="37"/>
  <c r="X187" i="37"/>
  <c r="AI187" i="37"/>
  <c r="AJ186" i="37"/>
  <c r="AI186" i="37"/>
  <c r="AF186" i="37"/>
  <c r="AE186" i="37"/>
  <c r="Z186" i="37"/>
  <c r="Y186" i="37"/>
  <c r="AJ185" i="37"/>
  <c r="AH185" i="37"/>
  <c r="AF185" i="37"/>
  <c r="AD185" i="37"/>
  <c r="Z185" i="37"/>
  <c r="X185" i="37"/>
  <c r="AI185" i="37"/>
  <c r="AJ184" i="37"/>
  <c r="AI184" i="37"/>
  <c r="AF184" i="37"/>
  <c r="AE184" i="37"/>
  <c r="Z184" i="37"/>
  <c r="Y184" i="37"/>
  <c r="X184" i="37"/>
  <c r="AJ183" i="37"/>
  <c r="AI183" i="37"/>
  <c r="AF183" i="37"/>
  <c r="AE183" i="37"/>
  <c r="Z183" i="37"/>
  <c r="Y183" i="37"/>
  <c r="AJ181" i="37"/>
  <c r="AH181" i="37"/>
  <c r="AF181" i="37"/>
  <c r="AD181" i="37"/>
  <c r="Z181" i="37"/>
  <c r="X181" i="37"/>
  <c r="AI181" i="37"/>
  <c r="AJ180" i="37"/>
  <c r="AI180" i="37"/>
  <c r="AF180" i="37"/>
  <c r="AE180" i="37"/>
  <c r="Z180" i="37"/>
  <c r="Y180" i="37"/>
  <c r="X180" i="37"/>
  <c r="AJ179" i="37"/>
  <c r="AI179" i="37"/>
  <c r="AF179" i="37"/>
  <c r="AE179" i="37"/>
  <c r="Z179" i="37"/>
  <c r="Y179" i="37"/>
  <c r="AJ178" i="37"/>
  <c r="AI178" i="37"/>
  <c r="AF178" i="37"/>
  <c r="AE178" i="37"/>
  <c r="Z178" i="37"/>
  <c r="Y178" i="37"/>
  <c r="X178" i="37"/>
  <c r="AJ177" i="37"/>
  <c r="AI177" i="37"/>
  <c r="AF177" i="37"/>
  <c r="AE177" i="37"/>
  <c r="Z177" i="37"/>
  <c r="Y177" i="37"/>
  <c r="AJ176" i="37"/>
  <c r="AI176" i="37"/>
  <c r="AF176" i="37"/>
  <c r="AE176" i="37"/>
  <c r="Z176" i="37"/>
  <c r="Y176" i="37"/>
  <c r="X176" i="37"/>
  <c r="AJ175" i="37"/>
  <c r="AH175" i="37"/>
  <c r="AF175" i="37"/>
  <c r="AD175" i="37"/>
  <c r="Z175" i="37"/>
  <c r="X175" i="37"/>
  <c r="Y175" i="37"/>
  <c r="AJ174" i="37"/>
  <c r="AI174" i="37"/>
  <c r="AF174" i="37"/>
  <c r="AE174" i="37"/>
  <c r="Z174" i="37"/>
  <c r="Y174" i="37"/>
  <c r="X174" i="37"/>
  <c r="AJ173" i="37"/>
  <c r="AI173" i="37"/>
  <c r="AF173" i="37"/>
  <c r="AE173" i="37"/>
  <c r="Z173" i="37"/>
  <c r="Y173" i="37"/>
  <c r="AJ172" i="37"/>
  <c r="AI172" i="37"/>
  <c r="AF172" i="37"/>
  <c r="AE172" i="37"/>
  <c r="Z172" i="37"/>
  <c r="Y172" i="37"/>
  <c r="X172" i="37"/>
  <c r="AC172" i="37"/>
  <c r="AJ171" i="37"/>
  <c r="AI171" i="37"/>
  <c r="AF171" i="37"/>
  <c r="AE171" i="37"/>
  <c r="Z171" i="37"/>
  <c r="Y171" i="37"/>
  <c r="AH171" i="37"/>
  <c r="AJ170" i="37"/>
  <c r="AI170" i="37"/>
  <c r="AF170" i="37"/>
  <c r="AE170" i="37"/>
  <c r="Z170" i="37"/>
  <c r="Y170" i="37"/>
  <c r="X170" i="37"/>
  <c r="AJ169" i="37"/>
  <c r="AH169" i="37"/>
  <c r="AF169" i="37"/>
  <c r="AD169" i="37"/>
  <c r="Z169" i="37"/>
  <c r="X169" i="37"/>
  <c r="AI169" i="37"/>
  <c r="AJ168" i="37"/>
  <c r="AH168" i="37"/>
  <c r="AF168" i="37"/>
  <c r="AD168" i="37"/>
  <c r="Z168" i="37"/>
  <c r="X168" i="37"/>
  <c r="Y168" i="37"/>
  <c r="AJ167" i="37"/>
  <c r="AH167" i="37"/>
  <c r="AF167" i="37"/>
  <c r="AD167" i="37"/>
  <c r="Z167" i="37"/>
  <c r="X167" i="37"/>
  <c r="Y167" i="37"/>
  <c r="AJ166" i="37"/>
  <c r="AH166" i="37"/>
  <c r="AF166" i="37"/>
  <c r="AD166" i="37"/>
  <c r="Z166" i="37"/>
  <c r="X166" i="37"/>
  <c r="AI166" i="37"/>
  <c r="AJ165" i="37"/>
  <c r="AI165" i="37"/>
  <c r="AF165" i="37"/>
  <c r="AE165" i="37"/>
  <c r="Z165" i="37"/>
  <c r="Y165" i="37"/>
  <c r="AJ164" i="37"/>
  <c r="AI164" i="37"/>
  <c r="AF164" i="37"/>
  <c r="AE164" i="37"/>
  <c r="Z164" i="37"/>
  <c r="Y164" i="37"/>
  <c r="X164" i="37"/>
  <c r="AJ163" i="37"/>
  <c r="AH163" i="37"/>
  <c r="AF163" i="37"/>
  <c r="AD163" i="37"/>
  <c r="Z163" i="37"/>
  <c r="X163" i="37"/>
  <c r="Y163" i="37"/>
  <c r="AJ162" i="37"/>
  <c r="AH162" i="37"/>
  <c r="AF162" i="37"/>
  <c r="AD162" i="37"/>
  <c r="Z162" i="37"/>
  <c r="X162" i="37"/>
  <c r="AJ161" i="37"/>
  <c r="AI161" i="37"/>
  <c r="AF161" i="37"/>
  <c r="AE161" i="37"/>
  <c r="Z161" i="37"/>
  <c r="Y161" i="37"/>
  <c r="AH161" i="37"/>
  <c r="AI160" i="37"/>
  <c r="AH160" i="37"/>
  <c r="AE160" i="37"/>
  <c r="AD160" i="37"/>
  <c r="Y160" i="37"/>
  <c r="X160" i="37"/>
  <c r="Z160" i="37"/>
  <c r="AJ159" i="37"/>
  <c r="AH159" i="37"/>
  <c r="AF159" i="37"/>
  <c r="AD159" i="37"/>
  <c r="Z159" i="37"/>
  <c r="X159" i="37"/>
  <c r="Y159" i="37"/>
  <c r="AJ158" i="37"/>
  <c r="AH158" i="37"/>
  <c r="AF158" i="37"/>
  <c r="AD158" i="37"/>
  <c r="Z158" i="37"/>
  <c r="X158" i="37"/>
  <c r="AI158" i="37"/>
  <c r="AI157" i="37"/>
  <c r="AH157" i="37"/>
  <c r="AE157" i="37"/>
  <c r="AD157" i="37"/>
  <c r="Y157" i="37"/>
  <c r="X157" i="37"/>
  <c r="Z157" i="37"/>
  <c r="AJ156" i="37"/>
  <c r="AI156" i="37"/>
  <c r="AF156" i="37"/>
  <c r="AE156" i="37"/>
  <c r="Z156" i="37"/>
  <c r="Y156" i="37"/>
  <c r="AH156" i="37"/>
  <c r="AJ155" i="37"/>
  <c r="AI155" i="37"/>
  <c r="AF155" i="37"/>
  <c r="AE155" i="37"/>
  <c r="Z155" i="37"/>
  <c r="Y155" i="37"/>
  <c r="AH155" i="37"/>
  <c r="AI154" i="37"/>
  <c r="AH154" i="37"/>
  <c r="AE154" i="37"/>
  <c r="AD154" i="37"/>
  <c r="Y154" i="37"/>
  <c r="X154" i="37"/>
  <c r="AJ154" i="37"/>
  <c r="AJ153" i="37"/>
  <c r="AI153" i="37"/>
  <c r="AF153" i="37"/>
  <c r="AE153" i="37"/>
  <c r="Z153" i="37"/>
  <c r="Y153" i="37"/>
  <c r="X153" i="37"/>
  <c r="AH153" i="37"/>
  <c r="AJ152" i="37"/>
  <c r="AH152" i="37"/>
  <c r="AF152" i="37"/>
  <c r="AD152" i="37"/>
  <c r="Z152" i="37"/>
  <c r="Y152" i="37"/>
  <c r="X152" i="37"/>
  <c r="AI152" i="37"/>
  <c r="AJ151" i="37"/>
  <c r="AH151" i="37"/>
  <c r="AF151" i="37"/>
  <c r="AD151" i="37"/>
  <c r="Z151" i="37"/>
  <c r="X151" i="37"/>
  <c r="Y151" i="37"/>
  <c r="AI150" i="37"/>
  <c r="AH150" i="37"/>
  <c r="AE150" i="37"/>
  <c r="AD150" i="37"/>
  <c r="Y150" i="37"/>
  <c r="X150" i="37"/>
  <c r="Z150" i="37"/>
  <c r="AJ149" i="37"/>
  <c r="AI149" i="37"/>
  <c r="AF149" i="37"/>
  <c r="AE149" i="37"/>
  <c r="Z149" i="37"/>
  <c r="Y149" i="37"/>
  <c r="AJ148" i="37"/>
  <c r="AI148" i="37"/>
  <c r="AF148" i="37"/>
  <c r="AE148" i="37"/>
  <c r="Z148" i="37"/>
  <c r="Y148" i="37"/>
  <c r="X148" i="37"/>
  <c r="AJ147" i="37"/>
  <c r="AH147" i="37"/>
  <c r="AF147" i="37"/>
  <c r="AD147" i="37"/>
  <c r="Z147" i="37"/>
  <c r="X147" i="37"/>
  <c r="Y147" i="37"/>
  <c r="AJ146" i="37"/>
  <c r="AH146" i="37"/>
  <c r="AF146" i="37"/>
  <c r="AD146" i="37"/>
  <c r="Z146" i="37"/>
  <c r="X146" i="37"/>
  <c r="AI146" i="37"/>
  <c r="AJ145" i="37"/>
  <c r="AI145" i="37"/>
  <c r="AF145" i="37"/>
  <c r="AE145" i="37"/>
  <c r="Z145" i="37"/>
  <c r="Y145" i="37"/>
  <c r="AJ144" i="37"/>
  <c r="AI144" i="37"/>
  <c r="AF144" i="37"/>
  <c r="AE144" i="37"/>
  <c r="Z144" i="37"/>
  <c r="Y144" i="37"/>
  <c r="X144" i="37"/>
  <c r="AJ143" i="37"/>
  <c r="AI143" i="37"/>
  <c r="AF143" i="37"/>
  <c r="AE143" i="37"/>
  <c r="Z143" i="37"/>
  <c r="Y143" i="37"/>
  <c r="AH143" i="37"/>
  <c r="AJ142" i="37"/>
  <c r="AI142" i="37"/>
  <c r="AF142" i="37"/>
  <c r="AE142" i="37"/>
  <c r="Z142" i="37"/>
  <c r="Y142" i="37"/>
  <c r="X142" i="37"/>
  <c r="AJ141" i="37"/>
  <c r="AI141" i="37"/>
  <c r="AF141" i="37"/>
  <c r="AE141" i="37"/>
  <c r="Z141" i="37"/>
  <c r="Y141" i="37"/>
  <c r="AH141" i="37"/>
  <c r="AJ140" i="37"/>
  <c r="AI140" i="37"/>
  <c r="AF140" i="37"/>
  <c r="AE140" i="37"/>
  <c r="Z140" i="37"/>
  <c r="Y140" i="37"/>
  <c r="AH140" i="37"/>
  <c r="AJ139" i="37"/>
  <c r="AI139" i="37"/>
  <c r="AF139" i="37"/>
  <c r="AE139" i="37"/>
  <c r="Z139" i="37"/>
  <c r="Y139" i="37"/>
  <c r="AJ138" i="37"/>
  <c r="AI138" i="37"/>
  <c r="AF138" i="37"/>
  <c r="AE138" i="37"/>
  <c r="Z138" i="37"/>
  <c r="Y138" i="37"/>
  <c r="X138" i="37"/>
  <c r="AJ137" i="37"/>
  <c r="AI137" i="37"/>
  <c r="AF137" i="37"/>
  <c r="AE137" i="37"/>
  <c r="Z137" i="37"/>
  <c r="Y137" i="37"/>
  <c r="AJ136" i="37"/>
  <c r="AI136" i="37"/>
  <c r="AF136" i="37"/>
  <c r="AE136" i="37"/>
  <c r="Z136" i="37"/>
  <c r="Y136" i="37"/>
  <c r="X136" i="37"/>
  <c r="AJ135" i="37"/>
  <c r="AH135" i="37"/>
  <c r="AF135" i="37"/>
  <c r="AD135" i="37"/>
  <c r="Z135" i="37"/>
  <c r="X135" i="37"/>
  <c r="Y135" i="37"/>
  <c r="AJ134" i="37"/>
  <c r="AI134" i="37"/>
  <c r="AF134" i="37"/>
  <c r="AE134" i="37"/>
  <c r="Z134" i="37"/>
  <c r="Y134" i="37"/>
  <c r="AH134" i="37"/>
  <c r="AJ133" i="37"/>
  <c r="AH133" i="37"/>
  <c r="AF133" i="37"/>
  <c r="AD133" i="37"/>
  <c r="Z133" i="37"/>
  <c r="X133" i="37"/>
  <c r="Y133" i="37"/>
  <c r="AJ132" i="37"/>
  <c r="AH132" i="37"/>
  <c r="AF132" i="37"/>
  <c r="AD132" i="37"/>
  <c r="Z132" i="37"/>
  <c r="X132" i="37"/>
  <c r="AI131" i="37"/>
  <c r="AH131" i="37"/>
  <c r="AE131" i="37"/>
  <c r="AD131" i="37"/>
  <c r="Y131" i="37"/>
  <c r="X131" i="37"/>
  <c r="Z131" i="37"/>
  <c r="AJ130" i="37"/>
  <c r="AI130" i="37"/>
  <c r="AF130" i="37"/>
  <c r="AE130" i="37"/>
  <c r="Z130" i="37"/>
  <c r="Y130" i="37"/>
  <c r="X130" i="37"/>
  <c r="AJ129" i="37"/>
  <c r="AI129" i="37"/>
  <c r="AF129" i="37"/>
  <c r="AE129" i="37"/>
  <c r="Z129" i="37"/>
  <c r="Y129" i="37"/>
  <c r="AJ128" i="37"/>
  <c r="AH128" i="37"/>
  <c r="AF128" i="37"/>
  <c r="AD128" i="37"/>
  <c r="Z128" i="37"/>
  <c r="X128" i="37"/>
  <c r="AJ127" i="37"/>
  <c r="AI127" i="37"/>
  <c r="AF127" i="37"/>
  <c r="AE127" i="37"/>
  <c r="Z127" i="37"/>
  <c r="Y127" i="37"/>
  <c r="AH127" i="37"/>
  <c r="AJ125" i="37"/>
  <c r="AI125" i="37"/>
  <c r="AF125" i="37"/>
  <c r="AE125" i="37"/>
  <c r="Z125" i="37"/>
  <c r="Y125" i="37"/>
  <c r="X125" i="37"/>
  <c r="AJ124" i="37"/>
  <c r="AI124" i="37"/>
  <c r="AF124" i="37"/>
  <c r="AE124" i="37"/>
  <c r="Z124" i="37"/>
  <c r="Y124" i="37"/>
  <c r="AH124" i="37"/>
  <c r="AJ123" i="37"/>
  <c r="AI123" i="37"/>
  <c r="AF123" i="37"/>
  <c r="AE123" i="37"/>
  <c r="Z123" i="37"/>
  <c r="Y123" i="37"/>
  <c r="X123" i="37"/>
  <c r="AJ122" i="37"/>
  <c r="AI122" i="37"/>
  <c r="AF122" i="37"/>
  <c r="AE122" i="37"/>
  <c r="Z122" i="37"/>
  <c r="Y122" i="37"/>
  <c r="AJ121" i="37"/>
  <c r="AI121" i="37"/>
  <c r="AF121" i="37"/>
  <c r="AE121" i="37"/>
  <c r="Z121" i="37"/>
  <c r="Y121" i="37"/>
  <c r="X121" i="37"/>
  <c r="AH121" i="37"/>
  <c r="AJ120" i="37"/>
  <c r="AI120" i="37"/>
  <c r="AF120" i="37"/>
  <c r="AE120" i="37"/>
  <c r="Z120" i="37"/>
  <c r="Y120" i="37"/>
  <c r="X120" i="37"/>
  <c r="AJ119" i="37"/>
  <c r="AH119" i="37"/>
  <c r="AF119" i="37"/>
  <c r="AD119" i="37"/>
  <c r="Z119" i="37"/>
  <c r="X119" i="37"/>
  <c r="AI119" i="37"/>
  <c r="AJ118" i="37"/>
  <c r="AH118" i="37"/>
  <c r="AF118" i="37"/>
  <c r="AD118" i="37"/>
  <c r="Z118" i="37"/>
  <c r="X118" i="37"/>
  <c r="AI118" i="37"/>
  <c r="AJ117" i="37"/>
  <c r="AI117" i="37"/>
  <c r="AF117" i="37"/>
  <c r="AE117" i="37"/>
  <c r="Z117" i="37"/>
  <c r="Y117" i="37"/>
  <c r="X117" i="37"/>
  <c r="AJ116" i="37"/>
  <c r="AI116" i="37"/>
  <c r="AF116" i="37"/>
  <c r="AE116" i="37"/>
  <c r="Z116" i="37"/>
  <c r="Y116" i="37"/>
  <c r="X116" i="37"/>
  <c r="AJ115" i="37"/>
  <c r="AI115" i="37"/>
  <c r="AF115" i="37"/>
  <c r="AE115" i="37"/>
  <c r="Z115" i="37"/>
  <c r="Y115" i="37"/>
  <c r="AJ114" i="37"/>
  <c r="AI114" i="37"/>
  <c r="AF114" i="37"/>
  <c r="AE114" i="37"/>
  <c r="Z114" i="37"/>
  <c r="Y114" i="37"/>
  <c r="AH114" i="37"/>
  <c r="AJ113" i="37"/>
  <c r="AI113" i="37"/>
  <c r="AF113" i="37"/>
  <c r="AE113" i="37"/>
  <c r="Z113" i="37"/>
  <c r="Y113" i="37"/>
  <c r="AH113" i="37"/>
  <c r="AJ112" i="37"/>
  <c r="AI112" i="37"/>
  <c r="AF112" i="37"/>
  <c r="AE112" i="37"/>
  <c r="Z112" i="37"/>
  <c r="Y112" i="37"/>
  <c r="AH112" i="37"/>
  <c r="AJ111" i="37"/>
  <c r="AI111" i="37"/>
  <c r="AF111" i="37"/>
  <c r="AE111" i="37"/>
  <c r="Z111" i="37"/>
  <c r="Y111" i="37"/>
  <c r="X111" i="37"/>
  <c r="AJ110" i="37"/>
  <c r="AI110" i="37"/>
  <c r="AF110" i="37"/>
  <c r="AE110" i="37"/>
  <c r="Z110" i="37"/>
  <c r="Y110" i="37"/>
  <c r="AJ109" i="37"/>
  <c r="AI109" i="37"/>
  <c r="AF109" i="37"/>
  <c r="AE109" i="37"/>
  <c r="Z109" i="37"/>
  <c r="Y109" i="37"/>
  <c r="X109" i="37"/>
  <c r="AJ108" i="37"/>
  <c r="AI108" i="37"/>
  <c r="AF108" i="37"/>
  <c r="AE108" i="37"/>
  <c r="Z108" i="37"/>
  <c r="Y108" i="37"/>
  <c r="X108" i="37"/>
  <c r="AJ107" i="37"/>
  <c r="AI107" i="37"/>
  <c r="AF107" i="37"/>
  <c r="AE107" i="37"/>
  <c r="Z107" i="37"/>
  <c r="Y107" i="37"/>
  <c r="AJ106" i="37"/>
  <c r="AI106" i="37"/>
  <c r="AF106" i="37"/>
  <c r="AE106" i="37"/>
  <c r="Z106" i="37"/>
  <c r="Y106" i="37"/>
  <c r="AH106" i="37"/>
  <c r="AJ105" i="37"/>
  <c r="AI105" i="37"/>
  <c r="AF105" i="37"/>
  <c r="AE105" i="37"/>
  <c r="Z105" i="37"/>
  <c r="Y105" i="37"/>
  <c r="AH105" i="37"/>
  <c r="AJ104" i="37"/>
  <c r="AI104" i="37"/>
  <c r="AF104" i="37"/>
  <c r="AE104" i="37"/>
  <c r="Z104" i="37"/>
  <c r="Y104" i="37"/>
  <c r="AH104" i="37"/>
  <c r="AI103" i="37"/>
  <c r="AE103" i="37"/>
  <c r="Y103" i="37"/>
  <c r="X103" i="37"/>
  <c r="AJ102" i="37"/>
  <c r="AI102" i="37"/>
  <c r="AF102" i="37"/>
  <c r="AE102" i="37"/>
  <c r="Z102" i="37"/>
  <c r="Y102" i="37"/>
  <c r="AJ101" i="37"/>
  <c r="AH101" i="37"/>
  <c r="AF101" i="37"/>
  <c r="AD101" i="37"/>
  <c r="Z101" i="37"/>
  <c r="Y101" i="37"/>
  <c r="X101" i="37"/>
  <c r="AI101" i="37"/>
  <c r="AJ100" i="37"/>
  <c r="AH100" i="37"/>
  <c r="AF100" i="37"/>
  <c r="AD100" i="37"/>
  <c r="Z100" i="37"/>
  <c r="X100" i="37"/>
  <c r="Y100" i="37"/>
  <c r="AJ99" i="37"/>
  <c r="AH99" i="37"/>
  <c r="AF99" i="37"/>
  <c r="AD99" i="37"/>
  <c r="Z99" i="37"/>
  <c r="X99" i="37"/>
  <c r="AI99" i="37"/>
  <c r="AJ98" i="37"/>
  <c r="AH98" i="37"/>
  <c r="AF98" i="37"/>
  <c r="AD98" i="37"/>
  <c r="Z98" i="37"/>
  <c r="X98" i="37"/>
  <c r="AI98" i="37"/>
  <c r="AJ97" i="37"/>
  <c r="AI97" i="37"/>
  <c r="AF97" i="37"/>
  <c r="AE97" i="37"/>
  <c r="Z97" i="37"/>
  <c r="Y97" i="37"/>
  <c r="X97" i="37"/>
  <c r="AJ96" i="37"/>
  <c r="AH96" i="37"/>
  <c r="AF96" i="37"/>
  <c r="AD96" i="37"/>
  <c r="Z96" i="37"/>
  <c r="X96" i="37"/>
  <c r="Y96" i="37"/>
  <c r="AJ95" i="37"/>
  <c r="AH95" i="37"/>
  <c r="AF95" i="37"/>
  <c r="AD95" i="37"/>
  <c r="Z95" i="37"/>
  <c r="X95" i="37"/>
  <c r="AI95" i="37"/>
  <c r="AI94" i="37"/>
  <c r="AH94" i="37"/>
  <c r="AE94" i="37"/>
  <c r="AD94" i="37"/>
  <c r="Y94" i="37"/>
  <c r="X94" i="37"/>
  <c r="AJ94" i="37"/>
  <c r="AI93" i="37"/>
  <c r="AH93" i="37"/>
  <c r="AE93" i="37"/>
  <c r="AD93" i="37"/>
  <c r="Y93" i="37"/>
  <c r="X93" i="37"/>
  <c r="Z93" i="37"/>
  <c r="AJ92" i="37"/>
  <c r="AI92" i="37"/>
  <c r="AF92" i="37"/>
  <c r="AE92" i="37"/>
  <c r="Z92" i="37"/>
  <c r="Y92" i="37"/>
  <c r="AH92" i="37"/>
  <c r="AJ91" i="37"/>
  <c r="AI91" i="37"/>
  <c r="AF91" i="37"/>
  <c r="AE91" i="37"/>
  <c r="Z91" i="37"/>
  <c r="Y91" i="37"/>
  <c r="X91" i="37"/>
  <c r="AJ90" i="37"/>
  <c r="AI90" i="37"/>
  <c r="AF90" i="37"/>
  <c r="AE90" i="37"/>
  <c r="Z90" i="37"/>
  <c r="Y90" i="37"/>
  <c r="AJ89" i="37"/>
  <c r="AI89" i="37"/>
  <c r="AF89" i="37"/>
  <c r="AE89" i="37"/>
  <c r="Z89" i="37"/>
  <c r="Y89" i="37"/>
  <c r="X89" i="37"/>
  <c r="AJ88" i="37"/>
  <c r="AI88" i="37"/>
  <c r="AF88" i="37"/>
  <c r="AE88" i="37"/>
  <c r="Z88" i="37"/>
  <c r="Y88" i="37"/>
  <c r="X88" i="37"/>
  <c r="AJ87" i="37"/>
  <c r="AI87" i="37"/>
  <c r="AF87" i="37"/>
  <c r="AE87" i="37"/>
  <c r="Z87" i="37"/>
  <c r="Y87" i="37"/>
  <c r="AJ86" i="37"/>
  <c r="AI86" i="37"/>
  <c r="AF86" i="37"/>
  <c r="AE86" i="37"/>
  <c r="Z86" i="37"/>
  <c r="Y86" i="37"/>
  <c r="AH86" i="37"/>
  <c r="AJ85" i="37"/>
  <c r="AH85" i="37"/>
  <c r="AF85" i="37"/>
  <c r="AD85" i="37"/>
  <c r="Z85" i="37"/>
  <c r="X85" i="37"/>
  <c r="AI85" i="37"/>
  <c r="AJ84" i="37"/>
  <c r="AH84" i="37"/>
  <c r="AF84" i="37"/>
  <c r="AD84" i="37"/>
  <c r="Z84" i="37"/>
  <c r="X84" i="37"/>
  <c r="Y84" i="37"/>
  <c r="AJ83" i="37"/>
  <c r="AH83" i="37"/>
  <c r="AF83" i="37"/>
  <c r="AD83" i="37"/>
  <c r="Z83" i="37"/>
  <c r="X83" i="37"/>
  <c r="AI83" i="37"/>
  <c r="AJ82" i="37"/>
  <c r="AI82" i="37"/>
  <c r="AF82" i="37"/>
  <c r="AE82" i="37"/>
  <c r="Z82" i="37"/>
  <c r="Y82" i="37"/>
  <c r="AH82" i="37"/>
  <c r="AJ81" i="37"/>
  <c r="AH81" i="37"/>
  <c r="AF81" i="37"/>
  <c r="AD81" i="37"/>
  <c r="Z81" i="37"/>
  <c r="X81" i="37"/>
  <c r="AI81" i="37"/>
  <c r="AJ80" i="37"/>
  <c r="AH80" i="37"/>
  <c r="AF80" i="37"/>
  <c r="AD80" i="37"/>
  <c r="Z80" i="37"/>
  <c r="X80" i="37"/>
  <c r="Y80" i="37"/>
  <c r="AJ79" i="37"/>
  <c r="AI79" i="37"/>
  <c r="AF79" i="37"/>
  <c r="AE79" i="37"/>
  <c r="Z79" i="37"/>
  <c r="Y79" i="37"/>
  <c r="X79" i="37"/>
  <c r="AJ78" i="37"/>
  <c r="AI78" i="37"/>
  <c r="AF78" i="37"/>
  <c r="AE78" i="37"/>
  <c r="Z78" i="37"/>
  <c r="Y78" i="37"/>
  <c r="AH78" i="37"/>
  <c r="AJ77" i="37"/>
  <c r="AI77" i="37"/>
  <c r="AF77" i="37"/>
  <c r="AE77" i="37"/>
  <c r="Z77" i="37"/>
  <c r="Y77" i="37"/>
  <c r="X77" i="37"/>
  <c r="AC77" i="37"/>
  <c r="AH77" i="37"/>
  <c r="AJ76" i="37"/>
  <c r="AH76" i="37"/>
  <c r="AF76" i="37"/>
  <c r="AD76" i="37"/>
  <c r="Z76" i="37"/>
  <c r="X76" i="37"/>
  <c r="Y76" i="37"/>
  <c r="AJ75" i="37"/>
  <c r="AI75" i="37"/>
  <c r="AF75" i="37"/>
  <c r="AE75" i="37"/>
  <c r="Z75" i="37"/>
  <c r="Y75" i="37"/>
  <c r="X75" i="37"/>
  <c r="AJ74" i="37"/>
  <c r="AI74" i="37"/>
  <c r="AF74" i="37"/>
  <c r="AE74" i="37"/>
  <c r="Z74" i="37"/>
  <c r="Y74" i="37"/>
  <c r="AH74" i="37"/>
  <c r="AJ73" i="37"/>
  <c r="AI73" i="37"/>
  <c r="AF73" i="37"/>
  <c r="AE73" i="37"/>
  <c r="Z73" i="37"/>
  <c r="Y73" i="37"/>
  <c r="X73" i="37"/>
  <c r="AJ72" i="37"/>
  <c r="AI72" i="37"/>
  <c r="AF72" i="37"/>
  <c r="AE72" i="37"/>
  <c r="Z72" i="37"/>
  <c r="Y72" i="37"/>
  <c r="X72" i="37"/>
  <c r="AJ71" i="37"/>
  <c r="AI71" i="37"/>
  <c r="AF71" i="37"/>
  <c r="AE71" i="37"/>
  <c r="Z71" i="37"/>
  <c r="Y71" i="37"/>
  <c r="AJ70" i="37"/>
  <c r="AI70" i="37"/>
  <c r="AF70" i="37"/>
  <c r="AE70" i="37"/>
  <c r="Z70" i="37"/>
  <c r="Y70" i="37"/>
  <c r="AH70" i="37"/>
  <c r="AJ69" i="37"/>
  <c r="AI69" i="37"/>
  <c r="AF69" i="37"/>
  <c r="AE69" i="37"/>
  <c r="Z69" i="37"/>
  <c r="Y69" i="37"/>
  <c r="X69" i="37"/>
  <c r="AJ68" i="37"/>
  <c r="AI68" i="37"/>
  <c r="AF68" i="37"/>
  <c r="AE68" i="37"/>
  <c r="Z68" i="37"/>
  <c r="Y68" i="37"/>
  <c r="X68" i="37"/>
  <c r="AJ67" i="37"/>
  <c r="AI67" i="37"/>
  <c r="AF67" i="37"/>
  <c r="AE67" i="37"/>
  <c r="Z67" i="37"/>
  <c r="Y67" i="37"/>
  <c r="X67" i="37"/>
  <c r="AJ66" i="37"/>
  <c r="AI66" i="37"/>
  <c r="AF66" i="37"/>
  <c r="AE66" i="37"/>
  <c r="Z66" i="37"/>
  <c r="Y66" i="37"/>
  <c r="AH66" i="37"/>
  <c r="AJ65" i="37"/>
  <c r="AI65" i="37"/>
  <c r="AF65" i="37"/>
  <c r="AE65" i="37"/>
  <c r="Z65" i="37"/>
  <c r="Y65" i="37"/>
  <c r="X65" i="37"/>
  <c r="AJ64" i="37"/>
  <c r="AI64" i="37"/>
  <c r="AF64" i="37"/>
  <c r="AE64" i="37"/>
  <c r="Z64" i="37"/>
  <c r="Y64" i="37"/>
  <c r="AH64" i="37"/>
  <c r="AJ63" i="37"/>
  <c r="AI63" i="37"/>
  <c r="AF63" i="37"/>
  <c r="AE63" i="37"/>
  <c r="Z63" i="37"/>
  <c r="Y63" i="37"/>
  <c r="X63" i="37"/>
  <c r="AI62" i="37"/>
  <c r="AH62" i="37"/>
  <c r="AE62" i="37"/>
  <c r="AD62" i="37"/>
  <c r="Y62" i="37"/>
  <c r="X62" i="37"/>
  <c r="AJ62" i="37"/>
  <c r="AJ61" i="37"/>
  <c r="AH61" i="37"/>
  <c r="AF61" i="37"/>
  <c r="AD61" i="37"/>
  <c r="Z61" i="37"/>
  <c r="X61" i="37"/>
  <c r="AI61" i="37"/>
  <c r="AJ60" i="37"/>
  <c r="AH60" i="37"/>
  <c r="AF60" i="37"/>
  <c r="AD60" i="37"/>
  <c r="Z60" i="37"/>
  <c r="X60" i="37"/>
  <c r="Y60" i="37"/>
  <c r="AJ59" i="37"/>
  <c r="AI59" i="37"/>
  <c r="AF59" i="37"/>
  <c r="AE59" i="37"/>
  <c r="Z59" i="37"/>
  <c r="Y59" i="37"/>
  <c r="AH59" i="37"/>
  <c r="AJ58" i="37"/>
  <c r="AH58" i="37"/>
  <c r="AF58" i="37"/>
  <c r="AD58" i="37"/>
  <c r="Z58" i="37"/>
  <c r="X58" i="37"/>
  <c r="AI58" i="37"/>
  <c r="AJ57" i="37"/>
  <c r="AI57" i="37"/>
  <c r="AF57" i="37"/>
  <c r="AE57" i="37"/>
  <c r="Z57" i="37"/>
  <c r="Y57" i="37"/>
  <c r="AH57" i="37"/>
  <c r="AJ56" i="37"/>
  <c r="AI56" i="37"/>
  <c r="AF56" i="37"/>
  <c r="AE56" i="37"/>
  <c r="Z56" i="37"/>
  <c r="Y56" i="37"/>
  <c r="X56" i="37"/>
  <c r="AH56" i="37"/>
  <c r="AJ55" i="37"/>
  <c r="AH55" i="37"/>
  <c r="AF55" i="37"/>
  <c r="AD55" i="37"/>
  <c r="Z55" i="37"/>
  <c r="X55" i="37"/>
  <c r="Y55" i="37"/>
  <c r="AJ54" i="37"/>
  <c r="AH54" i="37"/>
  <c r="AF54" i="37"/>
  <c r="AD54" i="37"/>
  <c r="Z54" i="37"/>
  <c r="X54" i="37"/>
  <c r="AI54" i="37"/>
  <c r="AJ53" i="37"/>
  <c r="AH53" i="37"/>
  <c r="AF53" i="37"/>
  <c r="AD53" i="37"/>
  <c r="Z53" i="37"/>
  <c r="X53" i="37"/>
  <c r="Y53" i="37"/>
  <c r="AJ52" i="37"/>
  <c r="AH52" i="37"/>
  <c r="AF52" i="37"/>
  <c r="AD52" i="37"/>
  <c r="Z52" i="37"/>
  <c r="X52" i="37"/>
  <c r="Y52" i="37"/>
  <c r="AJ51" i="37"/>
  <c r="AI51" i="37"/>
  <c r="AF51" i="37"/>
  <c r="AE51" i="37"/>
  <c r="Z51" i="37"/>
  <c r="Y51" i="37"/>
  <c r="AH51" i="37"/>
  <c r="AJ50" i="37"/>
  <c r="AI50" i="37"/>
  <c r="AF50" i="37"/>
  <c r="AE50" i="37"/>
  <c r="Z50" i="37"/>
  <c r="Y50" i="37"/>
  <c r="X50" i="37"/>
  <c r="AJ49" i="37"/>
  <c r="AI49" i="37"/>
  <c r="AF49" i="37"/>
  <c r="AE49" i="37"/>
  <c r="Z49" i="37"/>
  <c r="Y49" i="37"/>
  <c r="AH49" i="37"/>
  <c r="AJ48" i="37"/>
  <c r="AH48" i="37"/>
  <c r="AF48" i="37"/>
  <c r="AD48" i="37"/>
  <c r="Z48" i="37"/>
  <c r="X48" i="37"/>
  <c r="AI48" i="37"/>
  <c r="AJ47" i="37"/>
  <c r="AI47" i="37"/>
  <c r="AF47" i="37"/>
  <c r="AE47" i="37"/>
  <c r="Z47" i="37"/>
  <c r="Y47" i="37"/>
  <c r="AH47" i="37"/>
  <c r="AJ46" i="37"/>
  <c r="AI46" i="37"/>
  <c r="AF46" i="37"/>
  <c r="AE46" i="37"/>
  <c r="Z46" i="37"/>
  <c r="Y46" i="37"/>
  <c r="X46" i="37"/>
  <c r="AJ45" i="37"/>
  <c r="AH45" i="37"/>
  <c r="AF45" i="37"/>
  <c r="AD45" i="37"/>
  <c r="Z45" i="37"/>
  <c r="Y45" i="37"/>
  <c r="X45" i="37"/>
  <c r="AI45" i="37"/>
  <c r="AJ44" i="37"/>
  <c r="AI44" i="37"/>
  <c r="AF44" i="37"/>
  <c r="AE44" i="37"/>
  <c r="Z44" i="37"/>
  <c r="Y44" i="37"/>
  <c r="X44" i="37"/>
  <c r="AJ43" i="37"/>
  <c r="AI43" i="37"/>
  <c r="AF43" i="37"/>
  <c r="AE43" i="37"/>
  <c r="Z43" i="37"/>
  <c r="Y43" i="37"/>
  <c r="X43" i="37"/>
  <c r="AI42" i="37"/>
  <c r="AH42" i="37"/>
  <c r="AE42" i="37"/>
  <c r="AD42" i="37"/>
  <c r="Y42" i="37"/>
  <c r="X42" i="37"/>
  <c r="Z42" i="37"/>
  <c r="AI41" i="37"/>
  <c r="AH41" i="37"/>
  <c r="AE41" i="37"/>
  <c r="AD41" i="37"/>
  <c r="Y41" i="37"/>
  <c r="X41" i="37"/>
  <c r="Z41" i="37"/>
  <c r="AJ40" i="37"/>
  <c r="AI40" i="37"/>
  <c r="AF40" i="37"/>
  <c r="AE40" i="37"/>
  <c r="Z40" i="37"/>
  <c r="Y40" i="37"/>
  <c r="X40" i="37"/>
  <c r="AC40" i="37"/>
  <c r="AH40" i="37"/>
  <c r="AJ39" i="37"/>
  <c r="AI39" i="37"/>
  <c r="AF39" i="37"/>
  <c r="AE39" i="37"/>
  <c r="Z39" i="37"/>
  <c r="Y39" i="37"/>
  <c r="X39" i="37"/>
  <c r="AJ38" i="37"/>
  <c r="AI38" i="37"/>
  <c r="AF38" i="37"/>
  <c r="AE38" i="37"/>
  <c r="Z38" i="37"/>
  <c r="Y38" i="37"/>
  <c r="AH38" i="37"/>
  <c r="AJ37" i="37"/>
  <c r="AI37" i="37"/>
  <c r="AF37" i="37"/>
  <c r="AE37" i="37"/>
  <c r="Z37" i="37"/>
  <c r="Y37" i="37"/>
  <c r="AH37" i="37"/>
  <c r="AJ36" i="37"/>
  <c r="AI36" i="37"/>
  <c r="AF36" i="37"/>
  <c r="AE36" i="37"/>
  <c r="Z36" i="37"/>
  <c r="Y36" i="37"/>
  <c r="AH36" i="37"/>
  <c r="AJ35" i="37"/>
  <c r="AI35" i="37"/>
  <c r="AF35" i="37"/>
  <c r="AE35" i="37"/>
  <c r="Z35" i="37"/>
  <c r="Y35" i="37"/>
  <c r="X35" i="37"/>
  <c r="AJ34" i="37"/>
  <c r="AI34" i="37"/>
  <c r="AF34" i="37"/>
  <c r="AE34" i="37"/>
  <c r="Z34" i="37"/>
  <c r="Y34" i="37"/>
  <c r="AH34" i="37"/>
  <c r="AJ33" i="37"/>
  <c r="AI33" i="37"/>
  <c r="AF33" i="37"/>
  <c r="AE33" i="37"/>
  <c r="Z33" i="37"/>
  <c r="Y33" i="37"/>
  <c r="X33" i="37"/>
  <c r="AJ32" i="37"/>
  <c r="AI32" i="37"/>
  <c r="AF32" i="37"/>
  <c r="AE32" i="37"/>
  <c r="Z32" i="37"/>
  <c r="Y32" i="37"/>
  <c r="AH32" i="37"/>
  <c r="AJ31" i="37"/>
  <c r="AI31" i="37"/>
  <c r="AF31" i="37"/>
  <c r="AE31" i="37"/>
  <c r="Z31" i="37"/>
  <c r="Y31" i="37"/>
  <c r="X31" i="37"/>
  <c r="AJ30" i="37"/>
  <c r="AI30" i="37"/>
  <c r="AF30" i="37"/>
  <c r="AE30" i="37"/>
  <c r="Z30" i="37"/>
  <c r="Y30" i="37"/>
  <c r="AH30" i="37"/>
  <c r="AJ29" i="37"/>
  <c r="AH29" i="37"/>
  <c r="AF29" i="37"/>
  <c r="AD29" i="37"/>
  <c r="Z29" i="37"/>
  <c r="X29" i="37"/>
  <c r="AI29" i="37"/>
  <c r="AJ28" i="37"/>
  <c r="AI28" i="37"/>
  <c r="AF28" i="37"/>
  <c r="AE28" i="37"/>
  <c r="Z28" i="37"/>
  <c r="Y28" i="37"/>
  <c r="AH28" i="37"/>
  <c r="AJ27" i="37"/>
  <c r="AI27" i="37"/>
  <c r="AF27" i="37"/>
  <c r="AE27" i="37"/>
  <c r="Z27" i="37"/>
  <c r="Y27" i="37"/>
  <c r="X27" i="37"/>
  <c r="AJ26" i="37"/>
  <c r="AI26" i="37"/>
  <c r="AF26" i="37"/>
  <c r="AE26" i="37"/>
  <c r="Z26" i="37"/>
  <c r="Y26" i="37"/>
  <c r="AH26" i="37"/>
  <c r="AJ25" i="37"/>
  <c r="AH25" i="37"/>
  <c r="AF25" i="37"/>
  <c r="AD25" i="37"/>
  <c r="Z25" i="37"/>
  <c r="X25" i="37"/>
  <c r="AI25" i="37"/>
  <c r="E239" i="37"/>
  <c r="AJ24" i="37"/>
  <c r="AI24" i="37"/>
  <c r="AF24" i="37"/>
  <c r="AE24" i="37"/>
  <c r="Z24" i="37"/>
  <c r="Y24" i="37"/>
  <c r="X24" i="37"/>
  <c r="AC24" i="37"/>
  <c r="AH24" i="37"/>
  <c r="AJ23" i="37"/>
  <c r="AI23" i="37"/>
  <c r="AF23" i="37"/>
  <c r="AE23" i="37"/>
  <c r="Z23" i="37"/>
  <c r="Y23" i="37"/>
  <c r="AH23" i="37"/>
  <c r="AJ22" i="37"/>
  <c r="AI22" i="37"/>
  <c r="AF22" i="37"/>
  <c r="AE22" i="37"/>
  <c r="Z22" i="37"/>
  <c r="Y22" i="37"/>
  <c r="X22" i="37"/>
  <c r="AJ21" i="37"/>
  <c r="AI21" i="37"/>
  <c r="AF21" i="37"/>
  <c r="AE21" i="37"/>
  <c r="Z21" i="37"/>
  <c r="Y21" i="37"/>
  <c r="AH21" i="37"/>
  <c r="AJ20" i="37"/>
  <c r="AH20" i="37"/>
  <c r="AF20" i="37"/>
  <c r="AD20" i="37"/>
  <c r="Z20" i="37"/>
  <c r="Y20" i="37"/>
  <c r="X20" i="37"/>
  <c r="AI20" i="37"/>
  <c r="AJ19" i="37"/>
  <c r="AH19" i="37"/>
  <c r="AF19" i="37"/>
  <c r="AD19" i="37"/>
  <c r="Z19" i="37"/>
  <c r="X19" i="37"/>
  <c r="Y19" i="37"/>
  <c r="AJ18" i="37"/>
  <c r="AH18" i="37"/>
  <c r="AF18" i="37"/>
  <c r="AD18" i="37"/>
  <c r="Z18" i="37"/>
  <c r="X18" i="37"/>
  <c r="AI18" i="37"/>
  <c r="AJ17" i="37"/>
  <c r="AI17" i="37"/>
  <c r="AF17" i="37"/>
  <c r="AE17" i="37"/>
  <c r="Z17" i="37"/>
  <c r="Y17" i="37"/>
  <c r="AH17" i="37"/>
  <c r="AJ16" i="37"/>
  <c r="AH16" i="37"/>
  <c r="AF16" i="37"/>
  <c r="AD16" i="37"/>
  <c r="Z16" i="37"/>
  <c r="X16" i="37"/>
  <c r="E187" i="36"/>
  <c r="AC46" i="37"/>
  <c r="AH89" i="37"/>
  <c r="AH172" i="37"/>
  <c r="AH215" i="37"/>
  <c r="AC218" i="37"/>
  <c r="X38" i="37"/>
  <c r="AC38" i="37"/>
  <c r="AC50" i="37"/>
  <c r="X66" i="37"/>
  <c r="Y85" i="37"/>
  <c r="AC85" i="37"/>
  <c r="X104" i="37"/>
  <c r="AH142" i="37"/>
  <c r="AC174" i="37"/>
  <c r="AC180" i="37"/>
  <c r="AC195" i="37"/>
  <c r="AC198" i="37"/>
  <c r="AI202" i="37"/>
  <c r="Y232" i="37"/>
  <c r="AC232" i="37"/>
  <c r="AC108" i="37"/>
  <c r="AC109" i="37"/>
  <c r="AC116" i="37"/>
  <c r="AC117" i="37"/>
  <c r="X140" i="37"/>
  <c r="X171" i="37"/>
  <c r="Y223" i="37"/>
  <c r="Y25" i="37"/>
  <c r="AC25" i="37"/>
  <c r="AI52" i="37"/>
  <c r="Y81" i="37"/>
  <c r="AC121" i="37"/>
  <c r="AC140" i="37"/>
  <c r="Y185" i="37"/>
  <c r="AH199" i="37"/>
  <c r="Y209" i="37"/>
  <c r="AC209" i="37"/>
  <c r="AC215" i="37"/>
  <c r="AC22" i="37"/>
  <c r="Y48" i="37"/>
  <c r="AC48" i="37"/>
  <c r="X64" i="37"/>
  <c r="AC64" i="37"/>
  <c r="AC69" i="37"/>
  <c r="AC72" i="37"/>
  <c r="AC73" i="37"/>
  <c r="AC81" i="37"/>
  <c r="AC88" i="37"/>
  <c r="X92" i="37"/>
  <c r="AC92" i="37"/>
  <c r="Z103" i="37"/>
  <c r="AC103" i="37"/>
  <c r="AC130" i="37"/>
  <c r="AH136" i="37"/>
  <c r="AH144" i="37"/>
  <c r="X161" i="37"/>
  <c r="AC161" i="37"/>
  <c r="Y197" i="37"/>
  <c r="AC204" i="37"/>
  <c r="AI208" i="37"/>
  <c r="AH219" i="37"/>
  <c r="Y227" i="37"/>
  <c r="X231" i="37"/>
  <c r="AC231" i="37"/>
  <c r="AC208" i="37"/>
  <c r="AC66" i="37"/>
  <c r="Y119" i="37"/>
  <c r="AC119" i="37"/>
  <c r="AC171" i="37"/>
  <c r="AC191" i="37"/>
  <c r="AC223" i="37"/>
  <c r="AC19" i="37"/>
  <c r="AC27" i="37"/>
  <c r="AC33" i="37"/>
  <c r="AC55" i="37"/>
  <c r="X59" i="37"/>
  <c r="AC59" i="37"/>
  <c r="AC65" i="37"/>
  <c r="AH79" i="37"/>
  <c r="AC84" i="37"/>
  <c r="Z94" i="37"/>
  <c r="AJ103" i="37"/>
  <c r="X112" i="37"/>
  <c r="AC112" i="37"/>
  <c r="AC133" i="37"/>
  <c r="AC138" i="37"/>
  <c r="AC151" i="37"/>
  <c r="X155" i="37"/>
  <c r="AC164" i="37"/>
  <c r="AC189" i="37"/>
  <c r="Y192" i="37"/>
  <c r="AC192" i="37"/>
  <c r="AC197" i="37"/>
  <c r="Y201" i="37"/>
  <c r="Y202" i="37"/>
  <c r="AC202" i="37"/>
  <c r="AC184" i="37"/>
  <c r="AC63" i="37"/>
  <c r="AC167" i="37"/>
  <c r="I240" i="37"/>
  <c r="M240" i="37"/>
  <c r="J247" i="37"/>
  <c r="AI168" i="37"/>
  <c r="AC148" i="37"/>
  <c r="X47" i="37"/>
  <c r="AC47" i="37"/>
  <c r="AC43" i="37"/>
  <c r="AC31" i="37"/>
  <c r="X37" i="37"/>
  <c r="AC37" i="37"/>
  <c r="AC41" i="37"/>
  <c r="AH35" i="37"/>
  <c r="AC226" i="37"/>
  <c r="AC168" i="37"/>
  <c r="AC135" i="37"/>
  <c r="X127" i="37"/>
  <c r="AC127" i="37"/>
  <c r="AH123" i="37"/>
  <c r="AC52" i="37"/>
  <c r="X82" i="37"/>
  <c r="AC82" i="37"/>
  <c r="Y61" i="37"/>
  <c r="AC61" i="37"/>
  <c r="AC44" i="37"/>
  <c r="AH73" i="37"/>
  <c r="AH109" i="37"/>
  <c r="AJ131" i="37"/>
  <c r="AJ160" i="37"/>
  <c r="AJ220" i="37"/>
  <c r="AH33" i="37"/>
  <c r="AI53" i="37"/>
  <c r="AC56" i="37"/>
  <c r="AC76" i="37"/>
  <c r="Y83" i="37"/>
  <c r="AC83" i="37"/>
  <c r="AC89" i="37"/>
  <c r="AH97" i="37"/>
  <c r="AC101" i="37"/>
  <c r="AC104" i="37"/>
  <c r="AH117" i="37"/>
  <c r="AH130" i="37"/>
  <c r="AC136" i="37"/>
  <c r="AH148" i="37"/>
  <c r="Y166" i="37"/>
  <c r="AC166" i="37"/>
  <c r="AH180" i="37"/>
  <c r="AC190" i="37"/>
  <c r="AC201" i="37"/>
  <c r="AH204" i="37"/>
  <c r="AC207" i="37"/>
  <c r="AJ224" i="37"/>
  <c r="AC227" i="37"/>
  <c r="X21" i="37"/>
  <c r="AC21" i="37"/>
  <c r="AH27" i="37"/>
  <c r="X30" i="37"/>
  <c r="AC30" i="37"/>
  <c r="X32" i="37"/>
  <c r="AC32" i="37"/>
  <c r="AC35" i="37"/>
  <c r="AJ41" i="37"/>
  <c r="Y58" i="37"/>
  <c r="AC58" i="37"/>
  <c r="AH63" i="37"/>
  <c r="AH65" i="37"/>
  <c r="AC68" i="37"/>
  <c r="X74" i="37"/>
  <c r="AC74" i="37"/>
  <c r="AC79" i="37"/>
  <c r="AC80" i="37"/>
  <c r="X86" i="37"/>
  <c r="AC86" i="37"/>
  <c r="Y95" i="37"/>
  <c r="AC95" i="37"/>
  <c r="AC96" i="37"/>
  <c r="Y98" i="37"/>
  <c r="AC98" i="37"/>
  <c r="X105" i="37"/>
  <c r="AC105" i="37"/>
  <c r="X113" i="37"/>
  <c r="AC113" i="37"/>
  <c r="AC125" i="37"/>
  <c r="AH125" i="37"/>
  <c r="X134" i="37"/>
  <c r="AC134" i="37"/>
  <c r="AI135" i="37"/>
  <c r="AC142" i="37"/>
  <c r="X143" i="37"/>
  <c r="AC143" i="37"/>
  <c r="AJ150" i="37"/>
  <c r="X156" i="37"/>
  <c r="AC156" i="37"/>
  <c r="AC160" i="37"/>
  <c r="AC163" i="37"/>
  <c r="AH164" i="37"/>
  <c r="AH176" i="37"/>
  <c r="Y187" i="37"/>
  <c r="AC187" i="37"/>
  <c r="AC194" i="37"/>
  <c r="AH195" i="37"/>
  <c r="X205" i="37"/>
  <c r="AC211" i="37"/>
  <c r="Y212" i="37"/>
  <c r="AC212" i="37"/>
  <c r="AJ216" i="37"/>
  <c r="X217" i="37"/>
  <c r="AC225" i="37"/>
  <c r="AH235" i="37"/>
  <c r="AJ42" i="37"/>
  <c r="AC20" i="37"/>
  <c r="Y29" i="37"/>
  <c r="AC29" i="37"/>
  <c r="AC60" i="37"/>
  <c r="AH69" i="37"/>
  <c r="AC97" i="37"/>
  <c r="AC153" i="37"/>
  <c r="AC155" i="37"/>
  <c r="AJ157" i="37"/>
  <c r="Y169" i="37"/>
  <c r="AC169" i="37"/>
  <c r="Y181" i="37"/>
  <c r="AC185" i="37"/>
  <c r="Y214" i="37"/>
  <c r="AC214" i="37"/>
  <c r="AC219" i="37"/>
  <c r="AJ237" i="37"/>
  <c r="X17" i="37"/>
  <c r="AC17" i="37"/>
  <c r="AC39" i="37"/>
  <c r="AH50" i="37"/>
  <c r="AC53" i="37"/>
  <c r="AC67" i="37"/>
  <c r="X70" i="37"/>
  <c r="AC70" i="37"/>
  <c r="AH75" i="37"/>
  <c r="X78" i="37"/>
  <c r="AH91" i="37"/>
  <c r="AC93" i="37"/>
  <c r="AJ93" i="37"/>
  <c r="AH103" i="37"/>
  <c r="X106" i="37"/>
  <c r="AC106" i="37"/>
  <c r="AH111" i="37"/>
  <c r="X114" i="37"/>
  <c r="AC114" i="37"/>
  <c r="AC120" i="37"/>
  <c r="AC123" i="37"/>
  <c r="X124" i="37"/>
  <c r="AC124" i="37"/>
  <c r="AC131" i="37"/>
  <c r="AH138" i="37"/>
  <c r="X141" i="37"/>
  <c r="AC141" i="37"/>
  <c r="AC150" i="37"/>
  <c r="AC152" i="37"/>
  <c r="AC157" i="37"/>
  <c r="AH170" i="37"/>
  <c r="AH174" i="37"/>
  <c r="AC175" i="37"/>
  <c r="AC178" i="37"/>
  <c r="AH189" i="37"/>
  <c r="AC199" i="37"/>
  <c r="AH206" i="37"/>
  <c r="AH226" i="37"/>
  <c r="X107" i="37"/>
  <c r="AC107" i="37"/>
  <c r="AH107" i="37"/>
  <c r="AH129" i="37"/>
  <c r="X129" i="37"/>
  <c r="AC129" i="37"/>
  <c r="AI132" i="37"/>
  <c r="Y132" i="37"/>
  <c r="AC132" i="37"/>
  <c r="AH177" i="37"/>
  <c r="X177" i="37"/>
  <c r="AC177" i="37"/>
  <c r="AH234" i="37"/>
  <c r="X234" i="37"/>
  <c r="AC234" i="37"/>
  <c r="AH90" i="37"/>
  <c r="X90" i="37"/>
  <c r="AC90" i="37"/>
  <c r="AH102" i="37"/>
  <c r="X102" i="37"/>
  <c r="AC102" i="37"/>
  <c r="AH137" i="37"/>
  <c r="X137" i="37"/>
  <c r="AC137" i="37"/>
  <c r="AH165" i="37"/>
  <c r="X165" i="37"/>
  <c r="AC165" i="37"/>
  <c r="X193" i="37"/>
  <c r="AC193" i="37"/>
  <c r="AH193" i="37"/>
  <c r="Q239" i="37"/>
  <c r="Y16" i="37"/>
  <c r="AC16" i="37"/>
  <c r="AH71" i="37"/>
  <c r="X71" i="37"/>
  <c r="AC71" i="37"/>
  <c r="X87" i="37"/>
  <c r="AC87" i="37"/>
  <c r="AH87" i="37"/>
  <c r="X115" i="37"/>
  <c r="AC115" i="37"/>
  <c r="AH115" i="37"/>
  <c r="AI128" i="37"/>
  <c r="Y128" i="37"/>
  <c r="AC128" i="37"/>
  <c r="AH173" i="37"/>
  <c r="X173" i="37"/>
  <c r="AC173" i="37"/>
  <c r="AH179" i="37"/>
  <c r="X179" i="37"/>
  <c r="AC179" i="37"/>
  <c r="X183" i="37"/>
  <c r="AC183" i="37"/>
  <c r="AH183" i="37"/>
  <c r="AH186" i="37"/>
  <c r="X186" i="37"/>
  <c r="AC186" i="37"/>
  <c r="AH203" i="37"/>
  <c r="X203" i="37"/>
  <c r="AC203" i="37"/>
  <c r="X221" i="37"/>
  <c r="AC221" i="37"/>
  <c r="AH221" i="37"/>
  <c r="X233" i="37"/>
  <c r="AC233" i="37"/>
  <c r="AH233" i="37"/>
  <c r="AI19" i="37"/>
  <c r="AH44" i="37"/>
  <c r="Z62" i="37"/>
  <c r="AC62" i="37"/>
  <c r="AH116" i="37"/>
  <c r="AI175" i="37"/>
  <c r="AH184" i="37"/>
  <c r="V239" i="37"/>
  <c r="AH22" i="37"/>
  <c r="X28" i="37"/>
  <c r="AC28" i="37"/>
  <c r="X36" i="37"/>
  <c r="AC36" i="37"/>
  <c r="AH43" i="37"/>
  <c r="AC45" i="37"/>
  <c r="X51" i="37"/>
  <c r="AC51" i="37"/>
  <c r="Y54" i="37"/>
  <c r="AC54" i="37"/>
  <c r="AH67" i="37"/>
  <c r="AH68" i="37"/>
  <c r="AH72" i="37"/>
  <c r="Y99" i="37"/>
  <c r="AC99" i="37"/>
  <c r="AC111" i="37"/>
  <c r="AC144" i="37"/>
  <c r="Y146" i="37"/>
  <c r="AC146" i="37"/>
  <c r="Y158" i="37"/>
  <c r="AC158" i="37"/>
  <c r="AI163" i="37"/>
  <c r="AC181" i="37"/>
  <c r="Y196" i="37"/>
  <c r="AC196" i="37"/>
  <c r="AI198" i="37"/>
  <c r="AC205" i="37"/>
  <c r="AI16" i="37"/>
  <c r="Y18" i="37"/>
  <c r="AC18" i="37"/>
  <c r="X23" i="37"/>
  <c r="AC23" i="37"/>
  <c r="X26" i="37"/>
  <c r="AC26" i="37"/>
  <c r="AH31" i="37"/>
  <c r="X34" i="37"/>
  <c r="AC34" i="37"/>
  <c r="AH39" i="37"/>
  <c r="AH46" i="37"/>
  <c r="X49" i="37"/>
  <c r="AC49" i="37"/>
  <c r="X57" i="37"/>
  <c r="AC57" i="37"/>
  <c r="AC75" i="37"/>
  <c r="AC78" i="37"/>
  <c r="AC100" i="37"/>
  <c r="AH108" i="37"/>
  <c r="Y118" i="37"/>
  <c r="AH120" i="37"/>
  <c r="AI133" i="37"/>
  <c r="AC147" i="37"/>
  <c r="AC159" i="37"/>
  <c r="AC176" i="37"/>
  <c r="AH178" i="37"/>
  <c r="AH202" i="37"/>
  <c r="AI211" i="37"/>
  <c r="Z213" i="37"/>
  <c r="AC213" i="37"/>
  <c r="AH149" i="37"/>
  <c r="X149" i="37"/>
  <c r="AC149" i="37"/>
  <c r="AI210" i="37"/>
  <c r="Y210" i="37"/>
  <c r="AC210" i="37"/>
  <c r="AH222" i="37"/>
  <c r="X222" i="37"/>
  <c r="AC222" i="37"/>
  <c r="AH110" i="37"/>
  <c r="X110" i="37"/>
  <c r="AC110" i="37"/>
  <c r="AH122" i="37"/>
  <c r="X122" i="37"/>
  <c r="AC122" i="37"/>
  <c r="AH139" i="37"/>
  <c r="X139" i="37"/>
  <c r="AC139" i="37"/>
  <c r="AH145" i="37"/>
  <c r="X145" i="37"/>
  <c r="AC145" i="37"/>
  <c r="AI162" i="37"/>
  <c r="Y162" i="37"/>
  <c r="AC162" i="37"/>
  <c r="AI228" i="37"/>
  <c r="Y228" i="37"/>
  <c r="AC228" i="37"/>
  <c r="AC42" i="37"/>
  <c r="AH88" i="37"/>
  <c r="AI96" i="37"/>
  <c r="AI151" i="37"/>
  <c r="AI55" i="37"/>
  <c r="AI60" i="37"/>
  <c r="AI84" i="37"/>
  <c r="AC91" i="37"/>
  <c r="Z154" i="37"/>
  <c r="AC154" i="37"/>
  <c r="AC170" i="37"/>
  <c r="AH194" i="37"/>
  <c r="AC206" i="37"/>
  <c r="AC216" i="37"/>
  <c r="AC220" i="37"/>
  <c r="AC217" i="37"/>
  <c r="AC224" i="37"/>
  <c r="AI230" i="37"/>
  <c r="AI76" i="37"/>
  <c r="AI80" i="37"/>
  <c r="AC94" i="37"/>
  <c r="AC118" i="37"/>
  <c r="Z188" i="37"/>
  <c r="AC188" i="37"/>
  <c r="AI190" i="37"/>
  <c r="AI207" i="37"/>
  <c r="AH225" i="37"/>
  <c r="Z236" i="37"/>
  <c r="AC236" i="37"/>
  <c r="AI100" i="37"/>
  <c r="AI147" i="37"/>
  <c r="AI159" i="37"/>
  <c r="AI167" i="37"/>
  <c r="Y229" i="37"/>
  <c r="AC229" i="37"/>
  <c r="X238" i="37"/>
  <c r="AC238" i="37"/>
  <c r="T137" i="35"/>
  <c r="T189" i="35"/>
  <c r="T134" i="35"/>
  <c r="E130" i="36"/>
  <c r="I187" i="36"/>
  <c r="E60" i="36"/>
  <c r="T219" i="35"/>
  <c r="AJ239" i="37"/>
  <c r="AJ243" i="37"/>
  <c r="AH239" i="37"/>
  <c r="AH243" i="37"/>
  <c r="Z239" i="37"/>
  <c r="AA252" i="37"/>
  <c r="Y239" i="37"/>
  <c r="AA249" i="37"/>
  <c r="AI239" i="37"/>
  <c r="AI243" i="37"/>
  <c r="X239" i="37"/>
  <c r="T167" i="35"/>
  <c r="E25" i="36"/>
  <c r="T233" i="35"/>
  <c r="T147" i="35"/>
  <c r="Z244" i="37"/>
  <c r="Z253" i="37"/>
  <c r="AA246" i="37"/>
  <c r="AA253" i="37"/>
  <c r="Q234" i="35"/>
  <c r="V234" i="35"/>
  <c r="Q233" i="35"/>
  <c r="V233" i="35"/>
  <c r="Q232" i="35"/>
  <c r="V232" i="35"/>
  <c r="Q231" i="35"/>
  <c r="V231" i="35"/>
  <c r="Q230" i="35"/>
  <c r="V230" i="35"/>
  <c r="Q229" i="35"/>
  <c r="V229" i="35"/>
  <c r="Q228" i="35"/>
  <c r="V228" i="35"/>
  <c r="Q227" i="35"/>
  <c r="V227" i="35"/>
  <c r="Q226" i="35"/>
  <c r="V226" i="35"/>
  <c r="Q225" i="35"/>
  <c r="V225" i="35"/>
  <c r="Q224" i="35"/>
  <c r="V224" i="35"/>
  <c r="Q223" i="35"/>
  <c r="V223" i="35"/>
  <c r="Q222" i="35"/>
  <c r="V222" i="35"/>
  <c r="Q221" i="35"/>
  <c r="V221" i="35"/>
  <c r="Q220" i="35"/>
  <c r="V220" i="35"/>
  <c r="Q219" i="35"/>
  <c r="V219" i="35"/>
  <c r="Q218" i="35"/>
  <c r="V218" i="35"/>
  <c r="Q217" i="35"/>
  <c r="V217" i="35"/>
  <c r="Q216" i="35"/>
  <c r="V216" i="35"/>
  <c r="Q215" i="35"/>
  <c r="V215" i="35"/>
  <c r="Q214" i="35"/>
  <c r="V214" i="35"/>
  <c r="Q213" i="35"/>
  <c r="V213" i="35"/>
  <c r="Q212" i="35"/>
  <c r="V212" i="35"/>
  <c r="Q211" i="35"/>
  <c r="V211" i="35"/>
  <c r="Q210" i="35"/>
  <c r="V210" i="35"/>
  <c r="Q209" i="35"/>
  <c r="V209" i="35"/>
  <c r="Q208" i="35"/>
  <c r="V208" i="35"/>
  <c r="Q207" i="35"/>
  <c r="V207" i="35"/>
  <c r="Q206" i="35"/>
  <c r="V206" i="35"/>
  <c r="Q205" i="35"/>
  <c r="V205" i="35"/>
  <c r="Q204" i="35"/>
  <c r="V204" i="35"/>
  <c r="Q203" i="35"/>
  <c r="V203" i="35"/>
  <c r="Q202" i="35"/>
  <c r="V202" i="35"/>
  <c r="Q201" i="35"/>
  <c r="V201" i="35"/>
  <c r="Q200" i="35"/>
  <c r="V200" i="35"/>
  <c r="Q199" i="35"/>
  <c r="V199" i="35"/>
  <c r="Q198" i="35"/>
  <c r="V198" i="35"/>
  <c r="Q197" i="35"/>
  <c r="V197" i="35"/>
  <c r="Q196" i="35"/>
  <c r="V196" i="35"/>
  <c r="Q195" i="35"/>
  <c r="V195" i="35"/>
  <c r="Q194" i="35"/>
  <c r="V194" i="35"/>
  <c r="Q193" i="35"/>
  <c r="V193" i="35"/>
  <c r="Q192" i="35"/>
  <c r="V192" i="35"/>
  <c r="Q191" i="35"/>
  <c r="V191" i="35"/>
  <c r="Q190" i="35"/>
  <c r="V190" i="35"/>
  <c r="Q189" i="35"/>
  <c r="V189" i="35"/>
  <c r="Q188" i="35"/>
  <c r="V188" i="35"/>
  <c r="Q187" i="35"/>
  <c r="V187" i="35"/>
  <c r="Q186" i="35"/>
  <c r="V186" i="35"/>
  <c r="Q185" i="35"/>
  <c r="V185" i="35"/>
  <c r="Q184" i="35"/>
  <c r="V184" i="35"/>
  <c r="Q183" i="35"/>
  <c r="V183" i="35"/>
  <c r="Q182" i="35"/>
  <c r="V182" i="35"/>
  <c r="Q181" i="35"/>
  <c r="V181" i="35"/>
  <c r="Q180" i="35"/>
  <c r="V180" i="35"/>
  <c r="Q179" i="35"/>
  <c r="V179" i="35"/>
  <c r="Q178" i="35"/>
  <c r="V178" i="35"/>
  <c r="Q177" i="35"/>
  <c r="V177" i="35"/>
  <c r="Q176" i="35"/>
  <c r="V176" i="35"/>
  <c r="Q175" i="35"/>
  <c r="V175" i="35"/>
  <c r="Q174" i="35"/>
  <c r="V174" i="35"/>
  <c r="Q173" i="35"/>
  <c r="V173" i="35"/>
  <c r="Q172" i="35"/>
  <c r="V172" i="35"/>
  <c r="Q171" i="35"/>
  <c r="V171" i="35"/>
  <c r="Q167" i="35"/>
  <c r="V167" i="35"/>
  <c r="Q166" i="35"/>
  <c r="V166" i="35"/>
  <c r="Q165" i="35"/>
  <c r="V165" i="35"/>
  <c r="Q164" i="35"/>
  <c r="V164" i="35"/>
  <c r="Q163" i="35"/>
  <c r="V163" i="35"/>
  <c r="Q162" i="35"/>
  <c r="V162" i="35"/>
  <c r="Q161" i="35"/>
  <c r="V161" i="35"/>
  <c r="Q160" i="35"/>
  <c r="V160" i="35"/>
  <c r="Q159" i="35"/>
  <c r="V159" i="35"/>
  <c r="Q158" i="35"/>
  <c r="V158" i="35"/>
  <c r="Q157" i="35"/>
  <c r="V157" i="35"/>
  <c r="Q156" i="35"/>
  <c r="V156" i="35"/>
  <c r="Q155" i="35"/>
  <c r="V155" i="35"/>
  <c r="Q154" i="35"/>
  <c r="V154" i="35"/>
  <c r="Q153" i="35"/>
  <c r="V153" i="35"/>
  <c r="Q152" i="35"/>
  <c r="V152" i="35"/>
  <c r="Q151" i="35"/>
  <c r="V151" i="35"/>
  <c r="Q150" i="35"/>
  <c r="V150" i="35"/>
  <c r="Q149" i="35"/>
  <c r="V149" i="35"/>
  <c r="Q148" i="35"/>
  <c r="V148" i="35"/>
  <c r="Q147" i="35"/>
  <c r="V147" i="35"/>
  <c r="Q146" i="35"/>
  <c r="V146" i="35"/>
  <c r="Q145" i="35"/>
  <c r="V145" i="35"/>
  <c r="Q144" i="35"/>
  <c r="V144" i="35"/>
  <c r="Q143" i="35"/>
  <c r="V143" i="35"/>
  <c r="Q142" i="35"/>
  <c r="V142" i="35"/>
  <c r="Q141" i="35"/>
  <c r="V141" i="35"/>
  <c r="Q140" i="35"/>
  <c r="V140" i="35"/>
  <c r="Q139" i="35"/>
  <c r="V139" i="35"/>
  <c r="Q138" i="35"/>
  <c r="V138" i="35"/>
  <c r="Q137" i="35"/>
  <c r="V137" i="35"/>
  <c r="Q136" i="35"/>
  <c r="V136" i="35"/>
  <c r="Q135" i="35"/>
  <c r="V135" i="35"/>
  <c r="Q134" i="35"/>
  <c r="V134" i="35"/>
  <c r="Q133" i="35"/>
  <c r="V133" i="35"/>
  <c r="Q132" i="35"/>
  <c r="V132" i="35"/>
  <c r="Q131" i="35"/>
  <c r="V131" i="35"/>
  <c r="Q130" i="35"/>
  <c r="V130" i="35"/>
  <c r="F130" i="36"/>
  <c r="J130" i="36"/>
  <c r="AF130" i="36"/>
  <c r="Q129" i="35"/>
  <c r="V129" i="35"/>
  <c r="Q128" i="35"/>
  <c r="V128" i="35"/>
  <c r="Q127" i="35"/>
  <c r="V127" i="35"/>
  <c r="Q126" i="35"/>
  <c r="V126" i="35"/>
  <c r="Q125" i="35"/>
  <c r="V125" i="35"/>
  <c r="Q124" i="35"/>
  <c r="V124" i="35"/>
  <c r="Q123" i="35"/>
  <c r="V123" i="35"/>
  <c r="Q122" i="35"/>
  <c r="V122" i="35"/>
  <c r="Q121" i="35"/>
  <c r="V121" i="35"/>
  <c r="Q120" i="35"/>
  <c r="V120" i="35"/>
  <c r="Q119" i="35"/>
  <c r="V119" i="35"/>
  <c r="Q118" i="35"/>
  <c r="V118" i="35"/>
  <c r="Q117" i="35"/>
  <c r="V117" i="35"/>
  <c r="Q116" i="35"/>
  <c r="V116" i="35"/>
  <c r="Q115" i="35"/>
  <c r="V115" i="35"/>
  <c r="Q114" i="35"/>
  <c r="V114" i="35"/>
  <c r="Q113" i="35"/>
  <c r="V113" i="35"/>
  <c r="Q112" i="35"/>
  <c r="V112" i="35"/>
  <c r="Q111" i="35"/>
  <c r="V111" i="35"/>
  <c r="Q110" i="35"/>
  <c r="V110" i="35"/>
  <c r="Q109" i="35"/>
  <c r="V109" i="35"/>
  <c r="Q108" i="35"/>
  <c r="V108" i="35"/>
  <c r="Q107" i="35"/>
  <c r="V107" i="35"/>
  <c r="Q106" i="35"/>
  <c r="V106" i="35"/>
  <c r="Q105" i="35"/>
  <c r="V105" i="35"/>
  <c r="Q104" i="35"/>
  <c r="V104" i="35"/>
  <c r="Q103" i="35"/>
  <c r="V103" i="35"/>
  <c r="Q102" i="35"/>
  <c r="V102" i="35"/>
  <c r="Q101" i="35"/>
  <c r="V101" i="35"/>
  <c r="Q100" i="35"/>
  <c r="V100" i="35"/>
  <c r="Q99" i="35"/>
  <c r="V99" i="35"/>
  <c r="Q98" i="35"/>
  <c r="V98" i="35"/>
  <c r="Q97" i="35"/>
  <c r="V97" i="35"/>
  <c r="Q96" i="35"/>
  <c r="V96" i="35"/>
  <c r="Q95" i="35"/>
  <c r="V95" i="35"/>
  <c r="Q94" i="35"/>
  <c r="V94" i="35"/>
  <c r="Q93" i="35"/>
  <c r="V93" i="35"/>
  <c r="Q92" i="35"/>
  <c r="V92" i="35"/>
  <c r="Q91" i="35"/>
  <c r="V91" i="35"/>
  <c r="Q90" i="35"/>
  <c r="V90" i="35"/>
  <c r="Q89" i="35"/>
  <c r="V89" i="35"/>
  <c r="Q88" i="35"/>
  <c r="V88" i="35"/>
  <c r="Q87" i="35"/>
  <c r="V87" i="35"/>
  <c r="Q86" i="35"/>
  <c r="V86" i="35"/>
  <c r="Q85" i="35"/>
  <c r="V85" i="35"/>
  <c r="Q84" i="35"/>
  <c r="V84" i="35"/>
  <c r="Q83" i="35"/>
  <c r="V83" i="35"/>
  <c r="Q82" i="35"/>
  <c r="V82" i="35"/>
  <c r="Q81" i="35"/>
  <c r="V81" i="35"/>
  <c r="Q80" i="35"/>
  <c r="V80" i="35"/>
  <c r="Q79" i="35"/>
  <c r="V79" i="35"/>
  <c r="Q78" i="35"/>
  <c r="V78" i="35"/>
  <c r="Q77" i="35"/>
  <c r="V77" i="35"/>
  <c r="Q76" i="35"/>
  <c r="V76" i="35"/>
  <c r="Q75" i="35"/>
  <c r="V75" i="35"/>
  <c r="Q74" i="35"/>
  <c r="V74" i="35"/>
  <c r="Q73" i="35"/>
  <c r="V73" i="35"/>
  <c r="Q72" i="35"/>
  <c r="V72" i="35"/>
  <c r="Q71" i="35"/>
  <c r="V71" i="35"/>
  <c r="Q70" i="35"/>
  <c r="V70" i="35"/>
  <c r="Q69" i="35"/>
  <c r="V69" i="35"/>
  <c r="Q68" i="35"/>
  <c r="V68" i="35"/>
  <c r="Q67" i="35"/>
  <c r="V67" i="35"/>
  <c r="Q66" i="35"/>
  <c r="V66" i="35"/>
  <c r="Q65" i="35"/>
  <c r="V65" i="35"/>
  <c r="Q64" i="35"/>
  <c r="V64" i="35"/>
  <c r="Q63" i="35"/>
  <c r="V63" i="35"/>
  <c r="Q62" i="35"/>
  <c r="V62" i="35"/>
  <c r="Q61" i="35"/>
  <c r="V61" i="35"/>
  <c r="Q60" i="35"/>
  <c r="V60" i="35"/>
  <c r="Q59" i="35"/>
  <c r="V59" i="35"/>
  <c r="Q58" i="35"/>
  <c r="V58" i="35"/>
  <c r="Q57" i="35"/>
  <c r="V57" i="35"/>
  <c r="Q50" i="35"/>
  <c r="V50" i="35"/>
  <c r="Q49" i="35"/>
  <c r="V49" i="35"/>
  <c r="Q48" i="35"/>
  <c r="V48" i="35"/>
  <c r="Q47" i="35"/>
  <c r="V47" i="35"/>
  <c r="Q46" i="35"/>
  <c r="V46" i="35"/>
  <c r="Q45" i="35"/>
  <c r="V45" i="35"/>
  <c r="Q44" i="35"/>
  <c r="V44" i="35"/>
  <c r="Q43" i="35"/>
  <c r="V43" i="35"/>
  <c r="Q42" i="35"/>
  <c r="V42" i="35"/>
  <c r="Q41" i="35"/>
  <c r="V41" i="35"/>
  <c r="Q40" i="35"/>
  <c r="V40" i="35"/>
  <c r="Q39" i="35"/>
  <c r="V39" i="35"/>
  <c r="Q38" i="35"/>
  <c r="V38" i="35"/>
  <c r="Q37" i="35"/>
  <c r="V37" i="35"/>
  <c r="Q36" i="35"/>
  <c r="V36" i="35"/>
  <c r="Q35" i="35"/>
  <c r="V35" i="35"/>
  <c r="Q34" i="35"/>
  <c r="V34" i="35"/>
  <c r="Q33" i="35"/>
  <c r="V33" i="35"/>
  <c r="Q32" i="35"/>
  <c r="V32" i="35"/>
  <c r="Q31" i="35"/>
  <c r="V31" i="35"/>
  <c r="Q30" i="35"/>
  <c r="V30" i="35"/>
  <c r="Q29" i="35"/>
  <c r="V29" i="35"/>
  <c r="Q28" i="35"/>
  <c r="V28" i="35"/>
  <c r="Q27" i="35"/>
  <c r="V27" i="35"/>
  <c r="Q26" i="35"/>
  <c r="V26" i="35"/>
  <c r="Q25" i="35"/>
  <c r="V25" i="35"/>
  <c r="Q24" i="35"/>
  <c r="V24" i="35"/>
  <c r="Q23" i="35"/>
  <c r="V23" i="35"/>
  <c r="Q22" i="35"/>
  <c r="V22" i="35"/>
  <c r="Q21" i="35"/>
  <c r="V21" i="35"/>
  <c r="Q20" i="35"/>
  <c r="V20" i="35"/>
  <c r="F216" i="36"/>
  <c r="J216" i="36"/>
  <c r="AD216" i="36"/>
  <c r="F134" i="36"/>
  <c r="J134" i="36"/>
  <c r="AE134" i="36"/>
  <c r="F133" i="36"/>
  <c r="J133" i="36"/>
  <c r="AD133" i="36"/>
  <c r="F44" i="36"/>
  <c r="J44" i="36"/>
  <c r="AD44" i="36"/>
  <c r="J242" i="36"/>
  <c r="AB237" i="36"/>
  <c r="AA248" i="36"/>
  <c r="AA237" i="36"/>
  <c r="AA245" i="36"/>
  <c r="T237" i="36"/>
  <c r="P237" i="36"/>
  <c r="O237" i="36"/>
  <c r="N237" i="36"/>
  <c r="M237" i="36"/>
  <c r="L237" i="36"/>
  <c r="I237" i="36"/>
  <c r="H237" i="36"/>
  <c r="G237" i="36"/>
  <c r="AJ236" i="36"/>
  <c r="AI236" i="36"/>
  <c r="AF236" i="36"/>
  <c r="AE236" i="36"/>
  <c r="Z236" i="36"/>
  <c r="Y236" i="36"/>
  <c r="Q236" i="36"/>
  <c r="V236" i="36"/>
  <c r="F238" i="37"/>
  <c r="J238" i="37"/>
  <c r="AD238" i="37"/>
  <c r="X236" i="36"/>
  <c r="AC236" i="36"/>
  <c r="AI235" i="36"/>
  <c r="AH235" i="36"/>
  <c r="AE235" i="36"/>
  <c r="AD235" i="36"/>
  <c r="Y235" i="36"/>
  <c r="X235" i="36"/>
  <c r="Q235" i="36"/>
  <c r="V235" i="36"/>
  <c r="F237" i="37"/>
  <c r="J237" i="37"/>
  <c r="AF237" i="37"/>
  <c r="Z235" i="36"/>
  <c r="AC235" i="36"/>
  <c r="AI234" i="36"/>
  <c r="AH234" i="36"/>
  <c r="AE234" i="36"/>
  <c r="AD234" i="36"/>
  <c r="Y234" i="36"/>
  <c r="X234" i="36"/>
  <c r="Q234" i="36"/>
  <c r="V234" i="36"/>
  <c r="F236" i="37"/>
  <c r="J236" i="37"/>
  <c r="AF236" i="37"/>
  <c r="AJ234" i="36"/>
  <c r="AJ233" i="36"/>
  <c r="AI233" i="36"/>
  <c r="AF233" i="36"/>
  <c r="AE233" i="36"/>
  <c r="Z233" i="36"/>
  <c r="Y233" i="36"/>
  <c r="Q233" i="36"/>
  <c r="V233" i="36"/>
  <c r="F235" i="37"/>
  <c r="J235" i="37"/>
  <c r="AD235" i="37"/>
  <c r="X233" i="36"/>
  <c r="AJ232" i="36"/>
  <c r="AI232" i="36"/>
  <c r="AF232" i="36"/>
  <c r="AE232" i="36"/>
  <c r="Z232" i="36"/>
  <c r="Y232" i="36"/>
  <c r="Q232" i="36"/>
  <c r="V232" i="36"/>
  <c r="F234" i="37"/>
  <c r="J234" i="37"/>
  <c r="AD234" i="37"/>
  <c r="AJ231" i="36"/>
  <c r="AI231" i="36"/>
  <c r="Q231" i="36"/>
  <c r="AH231" i="36"/>
  <c r="AF231" i="36"/>
  <c r="AE231" i="36"/>
  <c r="Z231" i="36"/>
  <c r="Y231" i="36"/>
  <c r="X231" i="36"/>
  <c r="V231" i="36"/>
  <c r="F233" i="37"/>
  <c r="J233" i="37"/>
  <c r="AD233" i="37"/>
  <c r="AJ230" i="36"/>
  <c r="AH230" i="36"/>
  <c r="AF230" i="36"/>
  <c r="AD230" i="36"/>
  <c r="Z230" i="36"/>
  <c r="X230" i="36"/>
  <c r="Q230" i="36"/>
  <c r="V230" i="36"/>
  <c r="F232" i="37"/>
  <c r="J232" i="37"/>
  <c r="AE232" i="37"/>
  <c r="Y230" i="36"/>
  <c r="AC230" i="36"/>
  <c r="AJ229" i="36"/>
  <c r="AI229" i="36"/>
  <c r="AF229" i="36"/>
  <c r="AE229" i="36"/>
  <c r="Z229" i="36"/>
  <c r="Y229" i="36"/>
  <c r="Q229" i="36"/>
  <c r="V229" i="36"/>
  <c r="F231" i="37"/>
  <c r="J231" i="37"/>
  <c r="AD231" i="37"/>
  <c r="X229" i="36"/>
  <c r="AJ228" i="36"/>
  <c r="AH228" i="36"/>
  <c r="AF228" i="36"/>
  <c r="AD228" i="36"/>
  <c r="Z228" i="36"/>
  <c r="X228" i="36"/>
  <c r="Q228" i="36"/>
  <c r="V228" i="36"/>
  <c r="F230" i="37"/>
  <c r="J230" i="37"/>
  <c r="AE230" i="37"/>
  <c r="AI228" i="36"/>
  <c r="AJ227" i="36"/>
  <c r="AH227" i="36"/>
  <c r="AF227" i="36"/>
  <c r="AD227" i="36"/>
  <c r="Z227" i="36"/>
  <c r="X227" i="36"/>
  <c r="Q227" i="36"/>
  <c r="V227" i="36"/>
  <c r="F229" i="37"/>
  <c r="J229" i="37"/>
  <c r="AE229" i="37"/>
  <c r="AI227" i="36"/>
  <c r="AJ226" i="36"/>
  <c r="AH226" i="36"/>
  <c r="AF226" i="36"/>
  <c r="AD226" i="36"/>
  <c r="Z226" i="36"/>
  <c r="X226" i="36"/>
  <c r="Q226" i="36"/>
  <c r="V226" i="36"/>
  <c r="F228" i="37"/>
  <c r="J228" i="37"/>
  <c r="AE228" i="37"/>
  <c r="Y226" i="36"/>
  <c r="AJ225" i="36"/>
  <c r="AH225" i="36"/>
  <c r="AF225" i="36"/>
  <c r="AD225" i="36"/>
  <c r="Z225" i="36"/>
  <c r="X225" i="36"/>
  <c r="F227" i="37"/>
  <c r="J227" i="37"/>
  <c r="AE227" i="37"/>
  <c r="AJ224" i="36"/>
  <c r="AI224" i="36"/>
  <c r="AF224" i="36"/>
  <c r="AE224" i="36"/>
  <c r="Z224" i="36"/>
  <c r="Y224" i="36"/>
  <c r="F226" i="37"/>
  <c r="J226" i="37"/>
  <c r="AD226" i="37"/>
  <c r="AJ223" i="36"/>
  <c r="AI223" i="36"/>
  <c r="AH223" i="36"/>
  <c r="AF223" i="36"/>
  <c r="AE223" i="36"/>
  <c r="Z223" i="36"/>
  <c r="Y223" i="36"/>
  <c r="X223" i="36"/>
  <c r="F225" i="37"/>
  <c r="J225" i="37"/>
  <c r="AD225" i="37"/>
  <c r="AI222" i="36"/>
  <c r="AH222" i="36"/>
  <c r="AE222" i="36"/>
  <c r="AD222" i="36"/>
  <c r="Y222" i="36"/>
  <c r="X222" i="36"/>
  <c r="F224" i="37"/>
  <c r="J224" i="37"/>
  <c r="AF224" i="37"/>
  <c r="AJ222" i="36"/>
  <c r="AJ221" i="36"/>
  <c r="AH221" i="36"/>
  <c r="AF221" i="36"/>
  <c r="AD221" i="36"/>
  <c r="Z221" i="36"/>
  <c r="X221" i="36"/>
  <c r="F223" i="37"/>
  <c r="J223" i="37"/>
  <c r="AE223" i="37"/>
  <c r="AJ220" i="36"/>
  <c r="AI220" i="36"/>
  <c r="AF220" i="36"/>
  <c r="AE220" i="36"/>
  <c r="Z220" i="36"/>
  <c r="Y220" i="36"/>
  <c r="F222" i="37"/>
  <c r="J222" i="37"/>
  <c r="AD222" i="37"/>
  <c r="AJ219" i="36"/>
  <c r="AI219" i="36"/>
  <c r="AF219" i="36"/>
  <c r="AE219" i="36"/>
  <c r="Z219" i="36"/>
  <c r="Y219" i="36"/>
  <c r="F221" i="37"/>
  <c r="J221" i="37"/>
  <c r="AD221" i="37"/>
  <c r="AH219" i="36"/>
  <c r="AI218" i="36"/>
  <c r="AH218" i="36"/>
  <c r="AE218" i="36"/>
  <c r="AD218" i="36"/>
  <c r="Y218" i="36"/>
  <c r="X218" i="36"/>
  <c r="F220" i="37"/>
  <c r="J220" i="37"/>
  <c r="AF220" i="37"/>
  <c r="Z218" i="36"/>
  <c r="AJ217" i="36"/>
  <c r="AI217" i="36"/>
  <c r="AH217" i="36"/>
  <c r="AF217" i="36"/>
  <c r="AE217" i="36"/>
  <c r="Z217" i="36"/>
  <c r="Y217" i="36"/>
  <c r="F219" i="37"/>
  <c r="J219" i="37"/>
  <c r="AD219" i="37"/>
  <c r="X217" i="36"/>
  <c r="AJ216" i="36"/>
  <c r="AI216" i="36"/>
  <c r="AF216" i="36"/>
  <c r="AE216" i="36"/>
  <c r="Z216" i="36"/>
  <c r="Y216" i="36"/>
  <c r="AH216" i="36"/>
  <c r="AJ215" i="36"/>
  <c r="AI215" i="36"/>
  <c r="AF215" i="36"/>
  <c r="AE215" i="36"/>
  <c r="Z215" i="36"/>
  <c r="Y215" i="36"/>
  <c r="F217" i="37"/>
  <c r="J217" i="37"/>
  <c r="AD217" i="37"/>
  <c r="X215" i="36"/>
  <c r="AC215" i="36"/>
  <c r="AI214" i="36"/>
  <c r="AH214" i="36"/>
  <c r="AE214" i="36"/>
  <c r="AD214" i="36"/>
  <c r="Y214" i="36"/>
  <c r="X214" i="36"/>
  <c r="F216" i="37"/>
  <c r="J216" i="37"/>
  <c r="AF216" i="37"/>
  <c r="AJ214" i="36"/>
  <c r="AJ213" i="36"/>
  <c r="AI213" i="36"/>
  <c r="AF213" i="36"/>
  <c r="AE213" i="36"/>
  <c r="Z213" i="36"/>
  <c r="Y213" i="36"/>
  <c r="F215" i="37"/>
  <c r="J215" i="37"/>
  <c r="AD215" i="37"/>
  <c r="AJ212" i="36"/>
  <c r="AH212" i="36"/>
  <c r="AF212" i="36"/>
  <c r="AD212" i="36"/>
  <c r="Z212" i="36"/>
  <c r="X212" i="36"/>
  <c r="F214" i="37"/>
  <c r="J214" i="37"/>
  <c r="AE214" i="37"/>
  <c r="Y212" i="36"/>
  <c r="AI211" i="36"/>
  <c r="AH211" i="36"/>
  <c r="AE211" i="36"/>
  <c r="AD211" i="36"/>
  <c r="Y211" i="36"/>
  <c r="X211" i="36"/>
  <c r="F213" i="37"/>
  <c r="J213" i="37"/>
  <c r="AF213" i="37"/>
  <c r="Z211" i="36"/>
  <c r="AJ210" i="36"/>
  <c r="AH210" i="36"/>
  <c r="AF210" i="36"/>
  <c r="AD210" i="36"/>
  <c r="Z210" i="36"/>
  <c r="X210" i="36"/>
  <c r="F212" i="37"/>
  <c r="J212" i="37"/>
  <c r="AE212" i="37"/>
  <c r="AJ209" i="36"/>
  <c r="AH209" i="36"/>
  <c r="AF209" i="36"/>
  <c r="AD209" i="36"/>
  <c r="Z209" i="36"/>
  <c r="X209" i="36"/>
  <c r="F211" i="37"/>
  <c r="J211" i="37"/>
  <c r="AE211" i="37"/>
  <c r="AI209" i="36"/>
  <c r="AJ208" i="36"/>
  <c r="AH208" i="36"/>
  <c r="AF208" i="36"/>
  <c r="AD208" i="36"/>
  <c r="Z208" i="36"/>
  <c r="X208" i="36"/>
  <c r="F210" i="37"/>
  <c r="J210" i="37"/>
  <c r="AE210" i="37"/>
  <c r="Y208" i="36"/>
  <c r="AJ207" i="36"/>
  <c r="AH207" i="36"/>
  <c r="AF207" i="36"/>
  <c r="AD207" i="36"/>
  <c r="Z207" i="36"/>
  <c r="Y207" i="36"/>
  <c r="X207" i="36"/>
  <c r="F209" i="37"/>
  <c r="J209" i="37"/>
  <c r="AE209" i="37"/>
  <c r="AI207" i="36"/>
  <c r="AJ206" i="36"/>
  <c r="AH206" i="36"/>
  <c r="AF206" i="36"/>
  <c r="AD206" i="36"/>
  <c r="Z206" i="36"/>
  <c r="X206" i="36"/>
  <c r="F208" i="37"/>
  <c r="J208" i="37"/>
  <c r="AE208" i="37"/>
  <c r="AJ205" i="36"/>
  <c r="AH205" i="36"/>
  <c r="AF205" i="36"/>
  <c r="AD205" i="36"/>
  <c r="Z205" i="36"/>
  <c r="X205" i="36"/>
  <c r="Q205" i="36"/>
  <c r="V205" i="36"/>
  <c r="F207" i="37"/>
  <c r="J207" i="37"/>
  <c r="AE207" i="37"/>
  <c r="AI205" i="36"/>
  <c r="AJ204" i="36"/>
  <c r="AI204" i="36"/>
  <c r="AF204" i="36"/>
  <c r="AE204" i="36"/>
  <c r="Z204" i="36"/>
  <c r="Y204" i="36"/>
  <c r="Q204" i="36"/>
  <c r="X204" i="36"/>
  <c r="AC204" i="36"/>
  <c r="V204" i="36"/>
  <c r="F206" i="37"/>
  <c r="J206" i="37"/>
  <c r="AD206" i="37"/>
  <c r="AH204" i="36"/>
  <c r="AJ203" i="36"/>
  <c r="AI203" i="36"/>
  <c r="AF203" i="36"/>
  <c r="AE203" i="36"/>
  <c r="Z203" i="36"/>
  <c r="Y203" i="36"/>
  <c r="Q203" i="36"/>
  <c r="X203" i="36"/>
  <c r="AC203" i="36"/>
  <c r="V203" i="36"/>
  <c r="F205" i="37"/>
  <c r="J205" i="37"/>
  <c r="AD205" i="37"/>
  <c r="AH203" i="36"/>
  <c r="AJ202" i="36"/>
  <c r="AI202" i="36"/>
  <c r="AF202" i="36"/>
  <c r="AE202" i="36"/>
  <c r="Z202" i="36"/>
  <c r="Y202" i="36"/>
  <c r="Q202" i="36"/>
  <c r="V202" i="36"/>
  <c r="F204" i="37"/>
  <c r="J204" i="37"/>
  <c r="AD204" i="37"/>
  <c r="X202" i="36"/>
  <c r="AJ201" i="36"/>
  <c r="AI201" i="36"/>
  <c r="AF201" i="36"/>
  <c r="AE201" i="36"/>
  <c r="Z201" i="36"/>
  <c r="Y201" i="36"/>
  <c r="Q201" i="36"/>
  <c r="V201" i="36"/>
  <c r="F203" i="37"/>
  <c r="J203" i="37"/>
  <c r="AD203" i="37"/>
  <c r="AJ200" i="36"/>
  <c r="Q200" i="36"/>
  <c r="AI200" i="36"/>
  <c r="AF200" i="36"/>
  <c r="Z200" i="36"/>
  <c r="Y200" i="36"/>
  <c r="V200" i="36"/>
  <c r="F202" i="37"/>
  <c r="J202" i="37"/>
  <c r="AE202" i="37"/>
  <c r="AH200" i="36"/>
  <c r="AJ199" i="36"/>
  <c r="AH199" i="36"/>
  <c r="AF199" i="36"/>
  <c r="AD199" i="36"/>
  <c r="Z199" i="36"/>
  <c r="Q199" i="36"/>
  <c r="Y199" i="36"/>
  <c r="X199" i="36"/>
  <c r="AI199" i="36"/>
  <c r="AJ197" i="36"/>
  <c r="AI197" i="36"/>
  <c r="AF197" i="36"/>
  <c r="AE197" i="36"/>
  <c r="Z197" i="36"/>
  <c r="Y197" i="36"/>
  <c r="Q197" i="36"/>
  <c r="V197" i="36"/>
  <c r="F199" i="37"/>
  <c r="J199" i="37"/>
  <c r="AD199" i="37"/>
  <c r="X197" i="36"/>
  <c r="AC197" i="36"/>
  <c r="AJ196" i="36"/>
  <c r="AH196" i="36"/>
  <c r="AF196" i="36"/>
  <c r="AD196" i="36"/>
  <c r="Z196" i="36"/>
  <c r="Q196" i="36"/>
  <c r="Y196" i="36"/>
  <c r="X196" i="36"/>
  <c r="AC196" i="36"/>
  <c r="V196" i="36"/>
  <c r="F198" i="37"/>
  <c r="J198" i="37"/>
  <c r="AE198" i="37"/>
  <c r="AI196" i="36"/>
  <c r="AJ195" i="36"/>
  <c r="AH195" i="36"/>
  <c r="AF195" i="36"/>
  <c r="AD195" i="36"/>
  <c r="Z195" i="36"/>
  <c r="X195" i="36"/>
  <c r="Q195" i="36"/>
  <c r="V195" i="36"/>
  <c r="F197" i="37"/>
  <c r="J197" i="37"/>
  <c r="AE197" i="37"/>
  <c r="Y195" i="36"/>
  <c r="AJ194" i="36"/>
  <c r="Q194" i="36"/>
  <c r="AI194" i="36"/>
  <c r="AH194" i="36"/>
  <c r="AF194" i="36"/>
  <c r="AD194" i="36"/>
  <c r="Z194" i="36"/>
  <c r="X194" i="36"/>
  <c r="V194" i="36"/>
  <c r="F196" i="37"/>
  <c r="J196" i="37"/>
  <c r="AE196" i="37"/>
  <c r="Y194" i="36"/>
  <c r="AJ193" i="36"/>
  <c r="AI193" i="36"/>
  <c r="AF193" i="36"/>
  <c r="AE193" i="36"/>
  <c r="Z193" i="36"/>
  <c r="Y193" i="36"/>
  <c r="Q193" i="36"/>
  <c r="V193" i="36"/>
  <c r="F195" i="37"/>
  <c r="J195" i="37"/>
  <c r="AD195" i="37"/>
  <c r="X193" i="36"/>
  <c r="AJ192" i="36"/>
  <c r="AI192" i="36"/>
  <c r="AF192" i="36"/>
  <c r="AE192" i="36"/>
  <c r="Z192" i="36"/>
  <c r="Y192" i="36"/>
  <c r="Q192" i="36"/>
  <c r="V192" i="36"/>
  <c r="F194" i="37"/>
  <c r="J194" i="37"/>
  <c r="AD194" i="37"/>
  <c r="AJ191" i="36"/>
  <c r="AI191" i="36"/>
  <c r="AF191" i="36"/>
  <c r="AE191" i="36"/>
  <c r="Z191" i="36"/>
  <c r="Y191" i="36"/>
  <c r="Q191" i="36"/>
  <c r="V191" i="36"/>
  <c r="F193" i="37"/>
  <c r="J193" i="37"/>
  <c r="AD193" i="37"/>
  <c r="AH191" i="36"/>
  <c r="AJ190" i="36"/>
  <c r="AH190" i="36"/>
  <c r="AF190" i="36"/>
  <c r="AD190" i="36"/>
  <c r="Z190" i="36"/>
  <c r="Q190" i="36"/>
  <c r="Y190" i="36"/>
  <c r="X190" i="36"/>
  <c r="V190" i="36"/>
  <c r="F192" i="37"/>
  <c r="J192" i="37"/>
  <c r="AE192" i="37"/>
  <c r="AI190" i="36"/>
  <c r="AJ189" i="36"/>
  <c r="AI189" i="36"/>
  <c r="AF189" i="36"/>
  <c r="AE189" i="36"/>
  <c r="Z189" i="36"/>
  <c r="Y189" i="36"/>
  <c r="Q189" i="36"/>
  <c r="V189" i="36"/>
  <c r="F191" i="37"/>
  <c r="J191" i="37"/>
  <c r="AD191" i="37"/>
  <c r="X189" i="36"/>
  <c r="AJ188" i="36"/>
  <c r="AH188" i="36"/>
  <c r="AF188" i="36"/>
  <c r="AD188" i="36"/>
  <c r="Z188" i="36"/>
  <c r="X188" i="36"/>
  <c r="Q188" i="36"/>
  <c r="V188" i="36"/>
  <c r="F190" i="37"/>
  <c r="J190" i="37"/>
  <c r="AE190" i="37"/>
  <c r="AI188" i="36"/>
  <c r="AJ187" i="36"/>
  <c r="AI187" i="36"/>
  <c r="AF187" i="36"/>
  <c r="AE187" i="36"/>
  <c r="Z187" i="36"/>
  <c r="Y187" i="36"/>
  <c r="Q187" i="36"/>
  <c r="X187" i="36"/>
  <c r="V187" i="36"/>
  <c r="F189" i="37"/>
  <c r="J189" i="37"/>
  <c r="AD189" i="37"/>
  <c r="AH187" i="36"/>
  <c r="AI186" i="36"/>
  <c r="AH186" i="36"/>
  <c r="AE186" i="36"/>
  <c r="AD186" i="36"/>
  <c r="Y186" i="36"/>
  <c r="X186" i="36"/>
  <c r="Q186" i="36"/>
  <c r="V186" i="36"/>
  <c r="Z186" i="36"/>
  <c r="AC186" i="36"/>
  <c r="AJ185" i="36"/>
  <c r="AH185" i="36"/>
  <c r="AF185" i="36"/>
  <c r="AD185" i="36"/>
  <c r="Z185" i="36"/>
  <c r="X185" i="36"/>
  <c r="Q185" i="36"/>
  <c r="V185" i="36"/>
  <c r="AJ184" i="36"/>
  <c r="AI184" i="36"/>
  <c r="AF184" i="36"/>
  <c r="AE184" i="36"/>
  <c r="Z184" i="36"/>
  <c r="Y184" i="36"/>
  <c r="Q184" i="36"/>
  <c r="V184" i="36"/>
  <c r="F186" i="37"/>
  <c r="J186" i="37"/>
  <c r="AD186" i="37"/>
  <c r="AJ183" i="36"/>
  <c r="AH183" i="36"/>
  <c r="AF183" i="36"/>
  <c r="AD183" i="36"/>
  <c r="Z183" i="36"/>
  <c r="X183" i="36"/>
  <c r="Q183" i="36"/>
  <c r="V183" i="36"/>
  <c r="F185" i="37"/>
  <c r="J185" i="37"/>
  <c r="AE185" i="37"/>
  <c r="Y183" i="36"/>
  <c r="AJ182" i="36"/>
  <c r="AI182" i="36"/>
  <c r="AF182" i="36"/>
  <c r="AE182" i="36"/>
  <c r="Z182" i="36"/>
  <c r="Y182" i="36"/>
  <c r="Q182" i="36"/>
  <c r="V182" i="36"/>
  <c r="F184" i="37"/>
  <c r="J184" i="37"/>
  <c r="AD184" i="37"/>
  <c r="X182" i="36"/>
  <c r="AJ181" i="36"/>
  <c r="AI181" i="36"/>
  <c r="AF181" i="36"/>
  <c r="AE181" i="36"/>
  <c r="Z181" i="36"/>
  <c r="Y181" i="36"/>
  <c r="Q181" i="36"/>
  <c r="X181" i="36"/>
  <c r="AJ180" i="36"/>
  <c r="AH180" i="36"/>
  <c r="AF180" i="36"/>
  <c r="AD180" i="36"/>
  <c r="Z180" i="36"/>
  <c r="X180" i="36"/>
  <c r="Q180" i="36"/>
  <c r="V180" i="36"/>
  <c r="F181" i="37"/>
  <c r="J181" i="37"/>
  <c r="AE181" i="37"/>
  <c r="AI180" i="36"/>
  <c r="AJ179" i="36"/>
  <c r="AI179" i="36"/>
  <c r="AF179" i="36"/>
  <c r="AE179" i="36"/>
  <c r="Z179" i="36"/>
  <c r="Y179" i="36"/>
  <c r="Q179" i="36"/>
  <c r="X179" i="36"/>
  <c r="V179" i="36"/>
  <c r="F180" i="37"/>
  <c r="J180" i="37"/>
  <c r="AD180" i="37"/>
  <c r="AH179" i="36"/>
  <c r="AJ178" i="36"/>
  <c r="AI178" i="36"/>
  <c r="AF178" i="36"/>
  <c r="AE178" i="36"/>
  <c r="Z178" i="36"/>
  <c r="Y178" i="36"/>
  <c r="Q178" i="36"/>
  <c r="X178" i="36"/>
  <c r="AC178" i="36"/>
  <c r="V178" i="36"/>
  <c r="F179" i="37"/>
  <c r="J179" i="37"/>
  <c r="AD179" i="37"/>
  <c r="AH178" i="36"/>
  <c r="AJ177" i="36"/>
  <c r="AI177" i="36"/>
  <c r="AF177" i="36"/>
  <c r="AE177" i="36"/>
  <c r="Z177" i="36"/>
  <c r="Y177" i="36"/>
  <c r="Q177" i="36"/>
  <c r="V177" i="36"/>
  <c r="F178" i="37"/>
  <c r="J178" i="37"/>
  <c r="AD178" i="37"/>
  <c r="X177" i="36"/>
  <c r="AJ176" i="36"/>
  <c r="AI176" i="36"/>
  <c r="AF176" i="36"/>
  <c r="AE176" i="36"/>
  <c r="Z176" i="36"/>
  <c r="Y176" i="36"/>
  <c r="Q176" i="36"/>
  <c r="V176" i="36"/>
  <c r="F177" i="37"/>
  <c r="J177" i="37"/>
  <c r="AD177" i="37"/>
  <c r="AJ175" i="36"/>
  <c r="AI175" i="36"/>
  <c r="AF175" i="36"/>
  <c r="AE175" i="36"/>
  <c r="Z175" i="36"/>
  <c r="Y175" i="36"/>
  <c r="Q175" i="36"/>
  <c r="V175" i="36"/>
  <c r="F176" i="37"/>
  <c r="J176" i="37"/>
  <c r="AD176" i="37"/>
  <c r="X175" i="36"/>
  <c r="AJ174" i="36"/>
  <c r="Q174" i="36"/>
  <c r="AI174" i="36"/>
  <c r="AH174" i="36"/>
  <c r="AF174" i="36"/>
  <c r="AD174" i="36"/>
  <c r="Z174" i="36"/>
  <c r="X174" i="36"/>
  <c r="V174" i="36"/>
  <c r="F175" i="37"/>
  <c r="J175" i="37"/>
  <c r="AE175" i="37"/>
  <c r="Y174" i="36"/>
  <c r="AJ173" i="36"/>
  <c r="AI173" i="36"/>
  <c r="AF173" i="36"/>
  <c r="AE173" i="36"/>
  <c r="Z173" i="36"/>
  <c r="Y173" i="36"/>
  <c r="Q173" i="36"/>
  <c r="V173" i="36"/>
  <c r="F174" i="37"/>
  <c r="J174" i="37"/>
  <c r="AD174" i="37"/>
  <c r="X173" i="36"/>
  <c r="AJ172" i="36"/>
  <c r="AI172" i="36"/>
  <c r="AF172" i="36"/>
  <c r="AE172" i="36"/>
  <c r="Z172" i="36"/>
  <c r="Y172" i="36"/>
  <c r="Q172" i="36"/>
  <c r="V172" i="36"/>
  <c r="F173" i="37"/>
  <c r="J173" i="37"/>
  <c r="AD173" i="37"/>
  <c r="AJ171" i="36"/>
  <c r="AI171" i="36"/>
  <c r="AF171" i="36"/>
  <c r="AE171" i="36"/>
  <c r="Z171" i="36"/>
  <c r="Y171" i="36"/>
  <c r="Q171" i="36"/>
  <c r="X171" i="36"/>
  <c r="V171" i="36"/>
  <c r="F172" i="37"/>
  <c r="J172" i="37"/>
  <c r="AD172" i="37"/>
  <c r="AH171" i="36"/>
  <c r="AJ170" i="36"/>
  <c r="AI170" i="36"/>
  <c r="AF170" i="36"/>
  <c r="AE170" i="36"/>
  <c r="Z170" i="36"/>
  <c r="Y170" i="36"/>
  <c r="Q170" i="36"/>
  <c r="V170" i="36"/>
  <c r="F171" i="37"/>
  <c r="J171" i="37"/>
  <c r="AD171" i="37"/>
  <c r="X170" i="36"/>
  <c r="AC170" i="36"/>
  <c r="AJ169" i="36"/>
  <c r="Q169" i="36"/>
  <c r="AH169" i="36"/>
  <c r="AF169" i="36"/>
  <c r="Z169" i="36"/>
  <c r="X169" i="36"/>
  <c r="V169" i="36"/>
  <c r="F170" i="37"/>
  <c r="J170" i="37"/>
  <c r="AD170" i="37"/>
  <c r="AJ168" i="36"/>
  <c r="AH168" i="36"/>
  <c r="AF168" i="36"/>
  <c r="AD168" i="36"/>
  <c r="Z168" i="36"/>
  <c r="X168" i="36"/>
  <c r="Q168" i="36"/>
  <c r="V168" i="36"/>
  <c r="F169" i="37"/>
  <c r="J169" i="37"/>
  <c r="AE169" i="37"/>
  <c r="AI168" i="36"/>
  <c r="AJ167" i="36"/>
  <c r="AH167" i="36"/>
  <c r="AF167" i="36"/>
  <c r="AD167" i="36"/>
  <c r="Z167" i="36"/>
  <c r="X167" i="36"/>
  <c r="Q167" i="36"/>
  <c r="V167" i="36"/>
  <c r="F168" i="37"/>
  <c r="J168" i="37"/>
  <c r="AE168" i="37"/>
  <c r="Y167" i="36"/>
  <c r="AJ166" i="36"/>
  <c r="AH166" i="36"/>
  <c r="AF166" i="36"/>
  <c r="AD166" i="36"/>
  <c r="Z166" i="36"/>
  <c r="X166" i="36"/>
  <c r="Q166" i="36"/>
  <c r="V166" i="36"/>
  <c r="F167" i="37"/>
  <c r="J167" i="37"/>
  <c r="AE167" i="37"/>
  <c r="Y166" i="36"/>
  <c r="AJ165" i="36"/>
  <c r="AH165" i="36"/>
  <c r="AF165" i="36"/>
  <c r="AD165" i="36"/>
  <c r="Z165" i="36"/>
  <c r="X165" i="36"/>
  <c r="Q165" i="36"/>
  <c r="V165" i="36"/>
  <c r="F166" i="37"/>
  <c r="J166" i="37"/>
  <c r="AE166" i="37"/>
  <c r="AJ164" i="36"/>
  <c r="AI164" i="36"/>
  <c r="AF164" i="36"/>
  <c r="AE164" i="36"/>
  <c r="Z164" i="36"/>
  <c r="Y164" i="36"/>
  <c r="Q164" i="36"/>
  <c r="V164" i="36"/>
  <c r="F165" i="37"/>
  <c r="J165" i="37"/>
  <c r="AD165" i="37"/>
  <c r="AJ163" i="36"/>
  <c r="AI163" i="36"/>
  <c r="AF163" i="36"/>
  <c r="AE163" i="36"/>
  <c r="Z163" i="36"/>
  <c r="Y163" i="36"/>
  <c r="Q163" i="36"/>
  <c r="V163" i="36"/>
  <c r="F164" i="37"/>
  <c r="J164" i="37"/>
  <c r="AD164" i="37"/>
  <c r="X163" i="36"/>
  <c r="AJ162" i="36"/>
  <c r="AH162" i="36"/>
  <c r="AF162" i="36"/>
  <c r="AD162" i="36"/>
  <c r="Z162" i="36"/>
  <c r="X162" i="36"/>
  <c r="Q162" i="36"/>
  <c r="V162" i="36"/>
  <c r="F163" i="37"/>
  <c r="J163" i="37"/>
  <c r="AE163" i="37"/>
  <c r="Y162" i="36"/>
  <c r="AJ161" i="36"/>
  <c r="AH161" i="36"/>
  <c r="AF161" i="36"/>
  <c r="AD161" i="36"/>
  <c r="Z161" i="36"/>
  <c r="X161" i="36"/>
  <c r="Q161" i="36"/>
  <c r="V161" i="36"/>
  <c r="F162" i="37"/>
  <c r="J162" i="37"/>
  <c r="AE162" i="37"/>
  <c r="AJ160" i="36"/>
  <c r="AI160" i="36"/>
  <c r="AF160" i="36"/>
  <c r="AE160" i="36"/>
  <c r="Z160" i="36"/>
  <c r="Y160" i="36"/>
  <c r="Q160" i="36"/>
  <c r="V160" i="36"/>
  <c r="F161" i="37"/>
  <c r="J161" i="37"/>
  <c r="AD161" i="37"/>
  <c r="AI159" i="36"/>
  <c r="AH159" i="36"/>
  <c r="AE159" i="36"/>
  <c r="AD159" i="36"/>
  <c r="Y159" i="36"/>
  <c r="X159" i="36"/>
  <c r="Q159" i="36"/>
  <c r="V159" i="36"/>
  <c r="F160" i="37"/>
  <c r="J160" i="37"/>
  <c r="AF160" i="37"/>
  <c r="Z159" i="36"/>
  <c r="AJ158" i="36"/>
  <c r="Q158" i="36"/>
  <c r="AI158" i="36"/>
  <c r="AH158" i="36"/>
  <c r="AF158" i="36"/>
  <c r="AD158" i="36"/>
  <c r="Z158" i="36"/>
  <c r="X158" i="36"/>
  <c r="V158" i="36"/>
  <c r="F159" i="37"/>
  <c r="J159" i="37"/>
  <c r="AE159" i="37"/>
  <c r="Y158" i="36"/>
  <c r="AJ157" i="36"/>
  <c r="AH157" i="36"/>
  <c r="AF157" i="36"/>
  <c r="AD157" i="36"/>
  <c r="Z157" i="36"/>
  <c r="X157" i="36"/>
  <c r="Q157" i="36"/>
  <c r="V157" i="36"/>
  <c r="F158" i="37"/>
  <c r="J158" i="37"/>
  <c r="AE158" i="37"/>
  <c r="AI156" i="36"/>
  <c r="AH156" i="36"/>
  <c r="AE156" i="36"/>
  <c r="AD156" i="36"/>
  <c r="Q156" i="36"/>
  <c r="Z156" i="36"/>
  <c r="Y156" i="36"/>
  <c r="X156" i="36"/>
  <c r="V156" i="36"/>
  <c r="F157" i="37"/>
  <c r="J157" i="37"/>
  <c r="AF157" i="37"/>
  <c r="AJ156" i="36"/>
  <c r="AJ155" i="36"/>
  <c r="AI155" i="36"/>
  <c r="Q155" i="36"/>
  <c r="AH155" i="36"/>
  <c r="AF155" i="36"/>
  <c r="AE155" i="36"/>
  <c r="Z155" i="36"/>
  <c r="Y155" i="36"/>
  <c r="X155" i="36"/>
  <c r="V155" i="36"/>
  <c r="F156" i="37"/>
  <c r="J156" i="37"/>
  <c r="AD156" i="37"/>
  <c r="AJ154" i="36"/>
  <c r="AI154" i="36"/>
  <c r="AF154" i="36"/>
  <c r="AE154" i="36"/>
  <c r="Z154" i="36"/>
  <c r="Y154" i="36"/>
  <c r="Q154" i="36"/>
  <c r="X154" i="36"/>
  <c r="AC154" i="36"/>
  <c r="V154" i="36"/>
  <c r="F155" i="37"/>
  <c r="J155" i="37"/>
  <c r="AD155" i="37"/>
  <c r="AH154" i="36"/>
  <c r="AI153" i="36"/>
  <c r="AH153" i="36"/>
  <c r="AE153" i="36"/>
  <c r="AD153" i="36"/>
  <c r="Y153" i="36"/>
  <c r="X153" i="36"/>
  <c r="Q153" i="36"/>
  <c r="V153" i="36"/>
  <c r="F154" i="37"/>
  <c r="J154" i="37"/>
  <c r="AF154" i="37"/>
  <c r="AJ153" i="36"/>
  <c r="AJ152" i="36"/>
  <c r="AI152" i="36"/>
  <c r="AF152" i="36"/>
  <c r="AE152" i="36"/>
  <c r="Z152" i="36"/>
  <c r="Y152" i="36"/>
  <c r="Q152" i="36"/>
  <c r="V152" i="36"/>
  <c r="F153" i="37"/>
  <c r="J153" i="37"/>
  <c r="AD153" i="37"/>
  <c r="AJ151" i="36"/>
  <c r="AH151" i="36"/>
  <c r="AF151" i="36"/>
  <c r="AD151" i="36"/>
  <c r="Z151" i="36"/>
  <c r="X151" i="36"/>
  <c r="Q151" i="36"/>
  <c r="V151" i="36"/>
  <c r="F152" i="37"/>
  <c r="J152" i="37"/>
  <c r="AE152" i="37"/>
  <c r="Y151" i="36"/>
  <c r="AJ150" i="36"/>
  <c r="AH150" i="36"/>
  <c r="AF150" i="36"/>
  <c r="AD150" i="36"/>
  <c r="Z150" i="36"/>
  <c r="X150" i="36"/>
  <c r="Q150" i="36"/>
  <c r="V150" i="36"/>
  <c r="F151" i="37"/>
  <c r="J151" i="37"/>
  <c r="AE151" i="37"/>
  <c r="Y150" i="36"/>
  <c r="AI149" i="36"/>
  <c r="AH149" i="36"/>
  <c r="AE149" i="36"/>
  <c r="AD149" i="36"/>
  <c r="Y149" i="36"/>
  <c r="X149" i="36"/>
  <c r="Q149" i="36"/>
  <c r="V149" i="36"/>
  <c r="F150" i="37"/>
  <c r="J150" i="37"/>
  <c r="AF150" i="37"/>
  <c r="AJ149" i="36"/>
  <c r="AJ148" i="36"/>
  <c r="AI148" i="36"/>
  <c r="AF148" i="36"/>
  <c r="AE148" i="36"/>
  <c r="Z148" i="36"/>
  <c r="Y148" i="36"/>
  <c r="Q148" i="36"/>
  <c r="V148" i="36"/>
  <c r="F149" i="37"/>
  <c r="J149" i="37"/>
  <c r="AD149" i="37"/>
  <c r="AJ147" i="36"/>
  <c r="AI147" i="36"/>
  <c r="AF147" i="36"/>
  <c r="AE147" i="36"/>
  <c r="Z147" i="36"/>
  <c r="Y147" i="36"/>
  <c r="Q147" i="36"/>
  <c r="V147" i="36"/>
  <c r="F148" i="37"/>
  <c r="J148" i="37"/>
  <c r="AD148" i="37"/>
  <c r="X147" i="36"/>
  <c r="AJ146" i="36"/>
  <c r="AH146" i="36"/>
  <c r="AF146" i="36"/>
  <c r="AD146" i="36"/>
  <c r="Z146" i="36"/>
  <c r="X146" i="36"/>
  <c r="Q146" i="36"/>
  <c r="V146" i="36"/>
  <c r="F147" i="37"/>
  <c r="J147" i="37"/>
  <c r="AE147" i="37"/>
  <c r="Y146" i="36"/>
  <c r="AJ145" i="36"/>
  <c r="AH145" i="36"/>
  <c r="AF145" i="36"/>
  <c r="AD145" i="36"/>
  <c r="Z145" i="36"/>
  <c r="X145" i="36"/>
  <c r="Q145" i="36"/>
  <c r="V145" i="36"/>
  <c r="F146" i="37"/>
  <c r="J146" i="37"/>
  <c r="AE146" i="37"/>
  <c r="AJ144" i="36"/>
  <c r="AI144" i="36"/>
  <c r="AF144" i="36"/>
  <c r="AE144" i="36"/>
  <c r="Z144" i="36"/>
  <c r="Y144" i="36"/>
  <c r="F145" i="37"/>
  <c r="J145" i="37"/>
  <c r="AD145" i="37"/>
  <c r="AJ143" i="36"/>
  <c r="AI143" i="36"/>
  <c r="AF143" i="36"/>
  <c r="AE143" i="36"/>
  <c r="Z143" i="36"/>
  <c r="Y143" i="36"/>
  <c r="F144" i="37"/>
  <c r="J144" i="37"/>
  <c r="AD144" i="37"/>
  <c r="X143" i="36"/>
  <c r="AC143" i="36"/>
  <c r="AJ142" i="36"/>
  <c r="AI142" i="36"/>
  <c r="AF142" i="36"/>
  <c r="AE142" i="36"/>
  <c r="Z142" i="36"/>
  <c r="Y142" i="36"/>
  <c r="F143" i="37"/>
  <c r="J143" i="37"/>
  <c r="AD143" i="37"/>
  <c r="X142" i="36"/>
  <c r="AC142" i="36"/>
  <c r="AJ141" i="36"/>
  <c r="AI141" i="36"/>
  <c r="AF141" i="36"/>
  <c r="AE141" i="36"/>
  <c r="Z141" i="36"/>
  <c r="Y141" i="36"/>
  <c r="F142" i="37"/>
  <c r="J142" i="37"/>
  <c r="AD142" i="37"/>
  <c r="X141" i="36"/>
  <c r="AC141" i="36"/>
  <c r="AJ140" i="36"/>
  <c r="AI140" i="36"/>
  <c r="AF140" i="36"/>
  <c r="AE140" i="36"/>
  <c r="Z140" i="36"/>
  <c r="Y140" i="36"/>
  <c r="F141" i="37"/>
  <c r="J141" i="37"/>
  <c r="AD141" i="37"/>
  <c r="AJ139" i="36"/>
  <c r="AI139" i="36"/>
  <c r="AH139" i="36"/>
  <c r="AF139" i="36"/>
  <c r="AE139" i="36"/>
  <c r="Z139" i="36"/>
  <c r="Y139" i="36"/>
  <c r="X139" i="36"/>
  <c r="F140" i="37"/>
  <c r="J140" i="37"/>
  <c r="AD140" i="37"/>
  <c r="AJ138" i="36"/>
  <c r="AI138" i="36"/>
  <c r="AF138" i="36"/>
  <c r="AE138" i="36"/>
  <c r="Z138" i="36"/>
  <c r="Y138" i="36"/>
  <c r="X138" i="36"/>
  <c r="AC138" i="36"/>
  <c r="F139" i="37"/>
  <c r="J139" i="37"/>
  <c r="AD139" i="37"/>
  <c r="AH138" i="36"/>
  <c r="AJ137" i="36"/>
  <c r="AI137" i="36"/>
  <c r="AF137" i="36"/>
  <c r="AE137" i="36"/>
  <c r="Z137" i="36"/>
  <c r="Y137" i="36"/>
  <c r="F138" i="37"/>
  <c r="J138" i="37"/>
  <c r="AD138" i="37"/>
  <c r="X137" i="36"/>
  <c r="AJ136" i="36"/>
  <c r="AI136" i="36"/>
  <c r="AF136" i="36"/>
  <c r="AE136" i="36"/>
  <c r="Z136" i="36"/>
  <c r="Y136" i="36"/>
  <c r="F137" i="37"/>
  <c r="J137" i="37"/>
  <c r="AD137" i="37"/>
  <c r="X136" i="36"/>
  <c r="AC136" i="36"/>
  <c r="AJ135" i="36"/>
  <c r="AI135" i="36"/>
  <c r="AF135" i="36"/>
  <c r="AE135" i="36"/>
  <c r="Z135" i="36"/>
  <c r="Y135" i="36"/>
  <c r="F136" i="37"/>
  <c r="J136" i="37"/>
  <c r="AD136" i="37"/>
  <c r="AJ134" i="36"/>
  <c r="AH134" i="36"/>
  <c r="AF134" i="36"/>
  <c r="AD134" i="36"/>
  <c r="Z134" i="36"/>
  <c r="X134" i="36"/>
  <c r="AI134" i="36"/>
  <c r="AJ133" i="36"/>
  <c r="AI133" i="36"/>
  <c r="AF133" i="36"/>
  <c r="AE133" i="36"/>
  <c r="Z133" i="36"/>
  <c r="Y133" i="36"/>
  <c r="X133" i="36"/>
  <c r="AC133" i="36"/>
  <c r="AJ132" i="36"/>
  <c r="AH132" i="36"/>
  <c r="AF132" i="36"/>
  <c r="AD132" i="36"/>
  <c r="Z132" i="36"/>
  <c r="X132" i="36"/>
  <c r="F133" i="37"/>
  <c r="J133" i="37"/>
  <c r="AE133" i="37"/>
  <c r="Y132" i="36"/>
  <c r="AJ131" i="36"/>
  <c r="AH131" i="36"/>
  <c r="AF131" i="36"/>
  <c r="AD131" i="36"/>
  <c r="Z131" i="36"/>
  <c r="X131" i="36"/>
  <c r="F132" i="37"/>
  <c r="J132" i="37"/>
  <c r="AE132" i="37"/>
  <c r="Y131" i="36"/>
  <c r="AC131" i="36"/>
  <c r="AI130" i="36"/>
  <c r="AH130" i="36"/>
  <c r="AE130" i="36"/>
  <c r="AD130" i="36"/>
  <c r="Y130" i="36"/>
  <c r="X130" i="36"/>
  <c r="AJ130" i="36"/>
  <c r="AJ129" i="36"/>
  <c r="AI129" i="36"/>
  <c r="AH129" i="36"/>
  <c r="AF129" i="36"/>
  <c r="AE129" i="36"/>
  <c r="Z129" i="36"/>
  <c r="Y129" i="36"/>
  <c r="X129" i="36"/>
  <c r="F130" i="37"/>
  <c r="J130" i="37"/>
  <c r="AD130" i="37"/>
  <c r="AJ128" i="36"/>
  <c r="AI128" i="36"/>
  <c r="AF128" i="36"/>
  <c r="AE128" i="36"/>
  <c r="Z128" i="36"/>
  <c r="Y128" i="36"/>
  <c r="X128" i="36"/>
  <c r="AC128" i="36"/>
  <c r="F129" i="37"/>
  <c r="J129" i="37"/>
  <c r="AD129" i="37"/>
  <c r="AH128" i="36"/>
  <c r="AJ127" i="36"/>
  <c r="AH127" i="36"/>
  <c r="AF127" i="36"/>
  <c r="AD127" i="36"/>
  <c r="Z127" i="36"/>
  <c r="X127" i="36"/>
  <c r="F128" i="37"/>
  <c r="J128" i="37"/>
  <c r="AE128" i="37"/>
  <c r="AJ126" i="36"/>
  <c r="AI126" i="36"/>
  <c r="AF126" i="36"/>
  <c r="AE126" i="36"/>
  <c r="Z126" i="36"/>
  <c r="Y126" i="36"/>
  <c r="F127" i="37"/>
  <c r="J127" i="37"/>
  <c r="AD127" i="37"/>
  <c r="AJ125" i="36"/>
  <c r="AI125" i="36"/>
  <c r="AH125" i="36"/>
  <c r="AF125" i="36"/>
  <c r="AE125" i="36"/>
  <c r="Z125" i="36"/>
  <c r="Y125" i="36"/>
  <c r="X125" i="36"/>
  <c r="F125" i="37"/>
  <c r="J125" i="37"/>
  <c r="AD125" i="37"/>
  <c r="AJ124" i="36"/>
  <c r="AI124" i="36"/>
  <c r="AF124" i="36"/>
  <c r="AE124" i="36"/>
  <c r="Z124" i="36"/>
  <c r="Y124" i="36"/>
  <c r="X124" i="36"/>
  <c r="AC124" i="36"/>
  <c r="F124" i="37"/>
  <c r="J124" i="37"/>
  <c r="AD124" i="37"/>
  <c r="AH124" i="36"/>
  <c r="AJ123" i="36"/>
  <c r="AI123" i="36"/>
  <c r="AF123" i="36"/>
  <c r="AE123" i="36"/>
  <c r="Z123" i="36"/>
  <c r="Y123" i="36"/>
  <c r="F123" i="37"/>
  <c r="J123" i="37"/>
  <c r="AD123" i="37"/>
  <c r="X123" i="36"/>
  <c r="AJ122" i="36"/>
  <c r="AI122" i="36"/>
  <c r="AF122" i="36"/>
  <c r="AE122" i="36"/>
  <c r="Z122" i="36"/>
  <c r="Y122" i="36"/>
  <c r="F122" i="37"/>
  <c r="J122" i="37"/>
  <c r="AD122" i="37"/>
  <c r="AJ121" i="36"/>
  <c r="AI121" i="36"/>
  <c r="AH121" i="36"/>
  <c r="AF121" i="36"/>
  <c r="AE121" i="36"/>
  <c r="Z121" i="36"/>
  <c r="Y121" i="36"/>
  <c r="X121" i="36"/>
  <c r="F121" i="37"/>
  <c r="J121" i="37"/>
  <c r="AD121" i="37"/>
  <c r="AJ120" i="36"/>
  <c r="AI120" i="36"/>
  <c r="AF120" i="36"/>
  <c r="AE120" i="36"/>
  <c r="Z120" i="36"/>
  <c r="Y120" i="36"/>
  <c r="F120" i="37"/>
  <c r="J120" i="37"/>
  <c r="AD120" i="37"/>
  <c r="AH120" i="36"/>
  <c r="AJ119" i="36"/>
  <c r="AH119" i="36"/>
  <c r="AF119" i="36"/>
  <c r="AD119" i="36"/>
  <c r="Z119" i="36"/>
  <c r="X119" i="36"/>
  <c r="F119" i="37"/>
  <c r="J119" i="37"/>
  <c r="AE119" i="37"/>
  <c r="AJ118" i="36"/>
  <c r="AH118" i="36"/>
  <c r="AF118" i="36"/>
  <c r="AD118" i="36"/>
  <c r="Z118" i="36"/>
  <c r="X118" i="36"/>
  <c r="F118" i="37"/>
  <c r="J118" i="37"/>
  <c r="AE118" i="37"/>
  <c r="AI118" i="36"/>
  <c r="AJ117" i="36"/>
  <c r="AI117" i="36"/>
  <c r="AF117" i="36"/>
  <c r="AE117" i="36"/>
  <c r="Z117" i="36"/>
  <c r="Y117" i="36"/>
  <c r="X117" i="36"/>
  <c r="F117" i="37"/>
  <c r="J117" i="37"/>
  <c r="AD117" i="37"/>
  <c r="AH117" i="36"/>
  <c r="AJ116" i="36"/>
  <c r="AI116" i="36"/>
  <c r="AF116" i="36"/>
  <c r="AE116" i="36"/>
  <c r="Z116" i="36"/>
  <c r="Y116" i="36"/>
  <c r="X116" i="36"/>
  <c r="AC116" i="36"/>
  <c r="F116" i="37"/>
  <c r="J116" i="37"/>
  <c r="AD116" i="37"/>
  <c r="AH116" i="36"/>
  <c r="AJ115" i="36"/>
  <c r="AI115" i="36"/>
  <c r="AF115" i="36"/>
  <c r="AE115" i="36"/>
  <c r="Z115" i="36"/>
  <c r="Y115" i="36"/>
  <c r="F115" i="37"/>
  <c r="J115" i="37"/>
  <c r="AD115" i="37"/>
  <c r="X115" i="36"/>
  <c r="AJ114" i="36"/>
  <c r="AI114" i="36"/>
  <c r="AF114" i="36"/>
  <c r="AE114" i="36"/>
  <c r="Z114" i="36"/>
  <c r="Y114" i="36"/>
  <c r="F114" i="37"/>
  <c r="J114" i="37"/>
  <c r="AD114" i="37"/>
  <c r="AJ113" i="36"/>
  <c r="AI113" i="36"/>
  <c r="AF113" i="36"/>
  <c r="AE113" i="36"/>
  <c r="Z113" i="36"/>
  <c r="Y113" i="36"/>
  <c r="X113" i="36"/>
  <c r="F113" i="37"/>
  <c r="J113" i="37"/>
  <c r="AD113" i="37"/>
  <c r="AH113" i="36"/>
  <c r="AJ112" i="36"/>
  <c r="AI112" i="36"/>
  <c r="AF112" i="36"/>
  <c r="AE112" i="36"/>
  <c r="Z112" i="36"/>
  <c r="Y112" i="36"/>
  <c r="F112" i="37"/>
  <c r="J112" i="37"/>
  <c r="AD112" i="37"/>
  <c r="X112" i="36"/>
  <c r="AC112" i="36"/>
  <c r="AJ111" i="36"/>
  <c r="AI111" i="36"/>
  <c r="AH111" i="36"/>
  <c r="AF111" i="36"/>
  <c r="AE111" i="36"/>
  <c r="Z111" i="36"/>
  <c r="Y111" i="36"/>
  <c r="F111" i="37"/>
  <c r="J111" i="37"/>
  <c r="AD111" i="37"/>
  <c r="X111" i="36"/>
  <c r="AJ110" i="36"/>
  <c r="AI110" i="36"/>
  <c r="AF110" i="36"/>
  <c r="AE110" i="36"/>
  <c r="Z110" i="36"/>
  <c r="Y110" i="36"/>
  <c r="F110" i="37"/>
  <c r="J110" i="37"/>
  <c r="AD110" i="37"/>
  <c r="AJ109" i="36"/>
  <c r="AI109" i="36"/>
  <c r="AF109" i="36"/>
  <c r="AE109" i="36"/>
  <c r="Z109" i="36"/>
  <c r="Y109" i="36"/>
  <c r="F109" i="37"/>
  <c r="J109" i="37"/>
  <c r="AD109" i="37"/>
  <c r="AH109" i="36"/>
  <c r="AJ108" i="36"/>
  <c r="AI108" i="36"/>
  <c r="AF108" i="36"/>
  <c r="AE108" i="36"/>
  <c r="Z108" i="36"/>
  <c r="Y108" i="36"/>
  <c r="F108" i="37"/>
  <c r="J108" i="37"/>
  <c r="AD108" i="37"/>
  <c r="X108" i="36"/>
  <c r="AC108" i="36"/>
  <c r="AJ107" i="36"/>
  <c r="AI107" i="36"/>
  <c r="AF107" i="36"/>
  <c r="AE107" i="36"/>
  <c r="Z107" i="36"/>
  <c r="Y107" i="36"/>
  <c r="F107" i="37"/>
  <c r="J107" i="37"/>
  <c r="AD107" i="37"/>
  <c r="X107" i="36"/>
  <c r="AC107" i="36"/>
  <c r="AJ106" i="36"/>
  <c r="AI106" i="36"/>
  <c r="AF106" i="36"/>
  <c r="AE106" i="36"/>
  <c r="Z106" i="36"/>
  <c r="Y106" i="36"/>
  <c r="F106" i="37"/>
  <c r="J106" i="37"/>
  <c r="AD106" i="37"/>
  <c r="AJ105" i="36"/>
  <c r="AI105" i="36"/>
  <c r="AH105" i="36"/>
  <c r="AF105" i="36"/>
  <c r="AE105" i="36"/>
  <c r="Z105" i="36"/>
  <c r="Y105" i="36"/>
  <c r="X105" i="36"/>
  <c r="F105" i="37"/>
  <c r="J105" i="37"/>
  <c r="AD105" i="37"/>
  <c r="AJ104" i="36"/>
  <c r="AI104" i="36"/>
  <c r="AF104" i="36"/>
  <c r="AE104" i="36"/>
  <c r="Z104" i="36"/>
  <c r="Y104" i="36"/>
  <c r="X104" i="36"/>
  <c r="AC104" i="36"/>
  <c r="F104" i="37"/>
  <c r="J104" i="37"/>
  <c r="AD104" i="37"/>
  <c r="AH104" i="36"/>
  <c r="AJ103" i="36"/>
  <c r="AI103" i="36"/>
  <c r="AH103" i="36"/>
  <c r="AE103" i="36"/>
  <c r="Z103" i="36"/>
  <c r="Y103" i="36"/>
  <c r="F103" i="37"/>
  <c r="J103" i="37"/>
  <c r="AF103" i="37"/>
  <c r="X103" i="36"/>
  <c r="AJ102" i="36"/>
  <c r="AI102" i="36"/>
  <c r="AF102" i="36"/>
  <c r="AE102" i="36"/>
  <c r="Z102" i="36"/>
  <c r="Y102" i="36"/>
  <c r="F102" i="37"/>
  <c r="J102" i="37"/>
  <c r="AD102" i="37"/>
  <c r="AJ101" i="36"/>
  <c r="AH101" i="36"/>
  <c r="AF101" i="36"/>
  <c r="AD101" i="36"/>
  <c r="Z101" i="36"/>
  <c r="Y101" i="36"/>
  <c r="X101" i="36"/>
  <c r="F101" i="37"/>
  <c r="J101" i="37"/>
  <c r="AE101" i="37"/>
  <c r="AI101" i="36"/>
  <c r="AJ100" i="36"/>
  <c r="AH100" i="36"/>
  <c r="AF100" i="36"/>
  <c r="AD100" i="36"/>
  <c r="Z100" i="36"/>
  <c r="X100" i="36"/>
  <c r="F100" i="37"/>
  <c r="J100" i="37"/>
  <c r="AE100" i="37"/>
  <c r="Y100" i="36"/>
  <c r="AJ99" i="36"/>
  <c r="AH99" i="36"/>
  <c r="AF99" i="36"/>
  <c r="AD99" i="36"/>
  <c r="Z99" i="36"/>
  <c r="X99" i="36"/>
  <c r="F99" i="37"/>
  <c r="J99" i="37"/>
  <c r="AE99" i="37"/>
  <c r="AJ98" i="36"/>
  <c r="AH98" i="36"/>
  <c r="AF98" i="36"/>
  <c r="AD98" i="36"/>
  <c r="Z98" i="36"/>
  <c r="Y98" i="36"/>
  <c r="X98" i="36"/>
  <c r="F98" i="37"/>
  <c r="J98" i="37"/>
  <c r="AE98" i="37"/>
  <c r="AI98" i="36"/>
  <c r="AJ97" i="36"/>
  <c r="AI97" i="36"/>
  <c r="AF97" i="36"/>
  <c r="AE97" i="36"/>
  <c r="Z97" i="36"/>
  <c r="Y97" i="36"/>
  <c r="F97" i="37"/>
  <c r="J97" i="37"/>
  <c r="AD97" i="37"/>
  <c r="X97" i="36"/>
  <c r="AJ96" i="36"/>
  <c r="AI96" i="36"/>
  <c r="AH96" i="36"/>
  <c r="AF96" i="36"/>
  <c r="AD96" i="36"/>
  <c r="Z96" i="36"/>
  <c r="X96" i="36"/>
  <c r="F96" i="37"/>
  <c r="J96" i="37"/>
  <c r="AE96" i="37"/>
  <c r="Y96" i="36"/>
  <c r="AJ95" i="36"/>
  <c r="AH95" i="36"/>
  <c r="AF95" i="36"/>
  <c r="AD95" i="36"/>
  <c r="Z95" i="36"/>
  <c r="X95" i="36"/>
  <c r="F95" i="37"/>
  <c r="J95" i="37"/>
  <c r="AE95" i="37"/>
  <c r="AI94" i="36"/>
  <c r="AH94" i="36"/>
  <c r="AE94" i="36"/>
  <c r="AD94" i="36"/>
  <c r="Y94" i="36"/>
  <c r="X94" i="36"/>
  <c r="F94" i="37"/>
  <c r="J94" i="37"/>
  <c r="AF94" i="37"/>
  <c r="AJ94" i="36"/>
  <c r="AI93" i="36"/>
  <c r="AH93" i="36"/>
  <c r="AE93" i="36"/>
  <c r="AD93" i="36"/>
  <c r="Y93" i="36"/>
  <c r="X93" i="36"/>
  <c r="F93" i="37"/>
  <c r="J93" i="37"/>
  <c r="AF93" i="37"/>
  <c r="Z93" i="36"/>
  <c r="AJ92" i="36"/>
  <c r="AI92" i="36"/>
  <c r="AF92" i="36"/>
  <c r="AE92" i="36"/>
  <c r="Z92" i="36"/>
  <c r="Y92" i="36"/>
  <c r="F92" i="37"/>
  <c r="J92" i="37"/>
  <c r="AD92" i="37"/>
  <c r="X92" i="36"/>
  <c r="AC92" i="36"/>
  <c r="AJ91" i="36"/>
  <c r="AI91" i="36"/>
  <c r="AF91" i="36"/>
  <c r="AE91" i="36"/>
  <c r="Z91" i="36"/>
  <c r="Y91" i="36"/>
  <c r="F91" i="37"/>
  <c r="J91" i="37"/>
  <c r="AD91" i="37"/>
  <c r="X91" i="36"/>
  <c r="AC91" i="36"/>
  <c r="AJ90" i="36"/>
  <c r="AI90" i="36"/>
  <c r="AF90" i="36"/>
  <c r="AE90" i="36"/>
  <c r="Z90" i="36"/>
  <c r="Y90" i="36"/>
  <c r="F90" i="37"/>
  <c r="J90" i="37"/>
  <c r="AD90" i="37"/>
  <c r="AJ89" i="36"/>
  <c r="AI89" i="36"/>
  <c r="AH89" i="36"/>
  <c r="AF89" i="36"/>
  <c r="AE89" i="36"/>
  <c r="Z89" i="36"/>
  <c r="Y89" i="36"/>
  <c r="X89" i="36"/>
  <c r="F89" i="37"/>
  <c r="J89" i="37"/>
  <c r="AD89" i="37"/>
  <c r="AJ88" i="36"/>
  <c r="AI88" i="36"/>
  <c r="AF88" i="36"/>
  <c r="AE88" i="36"/>
  <c r="Z88" i="36"/>
  <c r="Y88" i="36"/>
  <c r="X88" i="36"/>
  <c r="AC88" i="36"/>
  <c r="F88" i="37"/>
  <c r="J88" i="37"/>
  <c r="AD88" i="37"/>
  <c r="AH88" i="36"/>
  <c r="AJ87" i="36"/>
  <c r="AI87" i="36"/>
  <c r="AF87" i="36"/>
  <c r="AE87" i="36"/>
  <c r="Z87" i="36"/>
  <c r="Y87" i="36"/>
  <c r="F87" i="37"/>
  <c r="J87" i="37"/>
  <c r="AD87" i="37"/>
  <c r="X87" i="36"/>
  <c r="AJ86" i="36"/>
  <c r="AI86" i="36"/>
  <c r="AF86" i="36"/>
  <c r="AE86" i="36"/>
  <c r="Z86" i="36"/>
  <c r="Y86" i="36"/>
  <c r="F86" i="37"/>
  <c r="J86" i="37"/>
  <c r="AD86" i="37"/>
  <c r="AJ85" i="36"/>
  <c r="AH85" i="36"/>
  <c r="AF85" i="36"/>
  <c r="AD85" i="36"/>
  <c r="Z85" i="36"/>
  <c r="X85" i="36"/>
  <c r="F85" i="37"/>
  <c r="J85" i="37"/>
  <c r="AE85" i="37"/>
  <c r="AI85" i="36"/>
  <c r="AJ84" i="36"/>
  <c r="AI84" i="36"/>
  <c r="AH84" i="36"/>
  <c r="AF84" i="36"/>
  <c r="AD84" i="36"/>
  <c r="Z84" i="36"/>
  <c r="X84" i="36"/>
  <c r="F84" i="37"/>
  <c r="J84" i="37"/>
  <c r="AE84" i="37"/>
  <c r="Y84" i="36"/>
  <c r="AJ83" i="36"/>
  <c r="AH83" i="36"/>
  <c r="AF83" i="36"/>
  <c r="AD83" i="36"/>
  <c r="Z83" i="36"/>
  <c r="X83" i="36"/>
  <c r="F83" i="37"/>
  <c r="J83" i="37"/>
  <c r="AE83" i="37"/>
  <c r="AJ82" i="36"/>
  <c r="AI82" i="36"/>
  <c r="AF82" i="36"/>
  <c r="AE82" i="36"/>
  <c r="Z82" i="36"/>
  <c r="Y82" i="36"/>
  <c r="F82" i="37"/>
  <c r="J82" i="37"/>
  <c r="AD82" i="37"/>
  <c r="AJ81" i="36"/>
  <c r="AH81" i="36"/>
  <c r="AF81" i="36"/>
  <c r="AD81" i="36"/>
  <c r="Z81" i="36"/>
  <c r="X81" i="36"/>
  <c r="F81" i="37"/>
  <c r="J81" i="37"/>
  <c r="AE81" i="37"/>
  <c r="Y81" i="36"/>
  <c r="AJ80" i="36"/>
  <c r="AH80" i="36"/>
  <c r="AF80" i="36"/>
  <c r="AD80" i="36"/>
  <c r="Z80" i="36"/>
  <c r="X80" i="36"/>
  <c r="F80" i="37"/>
  <c r="J80" i="37"/>
  <c r="AE80" i="37"/>
  <c r="Y80" i="36"/>
  <c r="AJ79" i="36"/>
  <c r="AI79" i="36"/>
  <c r="AF79" i="36"/>
  <c r="AE79" i="36"/>
  <c r="Z79" i="36"/>
  <c r="Y79" i="36"/>
  <c r="F79" i="37"/>
  <c r="J79" i="37"/>
  <c r="AD79" i="37"/>
  <c r="X79" i="36"/>
  <c r="AC79" i="36"/>
  <c r="AJ78" i="36"/>
  <c r="AI78" i="36"/>
  <c r="AF78" i="36"/>
  <c r="AE78" i="36"/>
  <c r="Z78" i="36"/>
  <c r="Y78" i="36"/>
  <c r="F78" i="37"/>
  <c r="J78" i="37"/>
  <c r="AD78" i="37"/>
  <c r="AJ77" i="36"/>
  <c r="AI77" i="36"/>
  <c r="AF77" i="36"/>
  <c r="AE77" i="36"/>
  <c r="Z77" i="36"/>
  <c r="Y77" i="36"/>
  <c r="X77" i="36"/>
  <c r="AC77" i="36"/>
  <c r="F77" i="37"/>
  <c r="J77" i="37"/>
  <c r="AD77" i="37"/>
  <c r="AH77" i="36"/>
  <c r="AJ76" i="36"/>
  <c r="AH76" i="36"/>
  <c r="AF76" i="36"/>
  <c r="AD76" i="36"/>
  <c r="Z76" i="36"/>
  <c r="X76" i="36"/>
  <c r="F76" i="37"/>
  <c r="J76" i="37"/>
  <c r="AE76" i="37"/>
  <c r="Y76" i="36"/>
  <c r="AJ75" i="36"/>
  <c r="AI75" i="36"/>
  <c r="AF75" i="36"/>
  <c r="AE75" i="36"/>
  <c r="Z75" i="36"/>
  <c r="Y75" i="36"/>
  <c r="F75" i="37"/>
  <c r="J75" i="37"/>
  <c r="AD75" i="37"/>
  <c r="X75" i="36"/>
  <c r="AC75" i="36"/>
  <c r="AJ74" i="36"/>
  <c r="AI74" i="36"/>
  <c r="AF74" i="36"/>
  <c r="AE74" i="36"/>
  <c r="Z74" i="36"/>
  <c r="Y74" i="36"/>
  <c r="F74" i="37"/>
  <c r="J74" i="37"/>
  <c r="AD74" i="37"/>
  <c r="AH74" i="36"/>
  <c r="AJ73" i="36"/>
  <c r="AI73" i="36"/>
  <c r="AH73" i="36"/>
  <c r="AF73" i="36"/>
  <c r="AE73" i="36"/>
  <c r="Z73" i="36"/>
  <c r="Y73" i="36"/>
  <c r="X73" i="36"/>
  <c r="F73" i="37"/>
  <c r="J73" i="37"/>
  <c r="AD73" i="37"/>
  <c r="AJ72" i="36"/>
  <c r="AI72" i="36"/>
  <c r="AF72" i="36"/>
  <c r="AE72" i="36"/>
  <c r="Z72" i="36"/>
  <c r="Y72" i="36"/>
  <c r="X72" i="36"/>
  <c r="AC72" i="36"/>
  <c r="F72" i="37"/>
  <c r="J72" i="37"/>
  <c r="AD72" i="37"/>
  <c r="AH72" i="36"/>
  <c r="AJ71" i="36"/>
  <c r="AI71" i="36"/>
  <c r="AH71" i="36"/>
  <c r="AF71" i="36"/>
  <c r="AE71" i="36"/>
  <c r="Z71" i="36"/>
  <c r="Y71" i="36"/>
  <c r="F71" i="37"/>
  <c r="J71" i="37"/>
  <c r="AD71" i="37"/>
  <c r="X71" i="36"/>
  <c r="AJ70" i="36"/>
  <c r="AI70" i="36"/>
  <c r="AF70" i="36"/>
  <c r="AE70" i="36"/>
  <c r="Z70" i="36"/>
  <c r="Y70" i="36"/>
  <c r="F70" i="37"/>
  <c r="J70" i="37"/>
  <c r="AD70" i="37"/>
  <c r="AH70" i="36"/>
  <c r="AJ69" i="36"/>
  <c r="AI69" i="36"/>
  <c r="AF69" i="36"/>
  <c r="AE69" i="36"/>
  <c r="Z69" i="36"/>
  <c r="Y69" i="36"/>
  <c r="F69" i="37"/>
  <c r="J69" i="37"/>
  <c r="AD69" i="37"/>
  <c r="X69" i="36"/>
  <c r="AC69" i="36"/>
  <c r="AJ68" i="36"/>
  <c r="AI68" i="36"/>
  <c r="AF68" i="36"/>
  <c r="AE68" i="36"/>
  <c r="Z68" i="36"/>
  <c r="Y68" i="36"/>
  <c r="F68" i="37"/>
  <c r="J68" i="37"/>
  <c r="AD68" i="37"/>
  <c r="X68" i="36"/>
  <c r="AC68" i="36"/>
  <c r="AJ67" i="36"/>
  <c r="AI67" i="36"/>
  <c r="AH67" i="36"/>
  <c r="AF67" i="36"/>
  <c r="AE67" i="36"/>
  <c r="Z67" i="36"/>
  <c r="Y67" i="36"/>
  <c r="F67" i="37"/>
  <c r="J67" i="37"/>
  <c r="AD67" i="37"/>
  <c r="X67" i="36"/>
  <c r="AJ66" i="36"/>
  <c r="AI66" i="36"/>
  <c r="AF66" i="36"/>
  <c r="AE66" i="36"/>
  <c r="Z66" i="36"/>
  <c r="Y66" i="36"/>
  <c r="F66" i="37"/>
  <c r="J66" i="37"/>
  <c r="AD66" i="37"/>
  <c r="AH66" i="36"/>
  <c r="AJ65" i="36"/>
  <c r="AI65" i="36"/>
  <c r="AF65" i="36"/>
  <c r="AE65" i="36"/>
  <c r="Z65" i="36"/>
  <c r="Y65" i="36"/>
  <c r="F65" i="37"/>
  <c r="J65" i="37"/>
  <c r="AD65" i="37"/>
  <c r="X65" i="36"/>
  <c r="AC65" i="36"/>
  <c r="AJ64" i="36"/>
  <c r="AI64" i="36"/>
  <c r="AF64" i="36"/>
  <c r="AE64" i="36"/>
  <c r="Z64" i="36"/>
  <c r="Y64" i="36"/>
  <c r="F64" i="37"/>
  <c r="J64" i="37"/>
  <c r="AD64" i="37"/>
  <c r="AH64" i="36"/>
  <c r="AJ63" i="36"/>
  <c r="AI63" i="36"/>
  <c r="AF63" i="36"/>
  <c r="AE63" i="36"/>
  <c r="Z63" i="36"/>
  <c r="Y63" i="36"/>
  <c r="F63" i="37"/>
  <c r="J63" i="37"/>
  <c r="AD63" i="37"/>
  <c r="X63" i="36"/>
  <c r="AI62" i="36"/>
  <c r="AH62" i="36"/>
  <c r="AE62" i="36"/>
  <c r="AD62" i="36"/>
  <c r="Y62" i="36"/>
  <c r="X62" i="36"/>
  <c r="Z62" i="36"/>
  <c r="AC62" i="36"/>
  <c r="F62" i="37"/>
  <c r="J62" i="37"/>
  <c r="AF62" i="37"/>
  <c r="AJ61" i="36"/>
  <c r="AH61" i="36"/>
  <c r="AF61" i="36"/>
  <c r="AD61" i="36"/>
  <c r="Z61" i="36"/>
  <c r="X61" i="36"/>
  <c r="F61" i="37"/>
  <c r="J61" i="37"/>
  <c r="AE61" i="37"/>
  <c r="Y61" i="36"/>
  <c r="AJ60" i="36"/>
  <c r="AH60" i="36"/>
  <c r="AF60" i="36"/>
  <c r="AD60" i="36"/>
  <c r="Z60" i="36"/>
  <c r="X60" i="36"/>
  <c r="F60" i="37"/>
  <c r="J60" i="37"/>
  <c r="AE60" i="37"/>
  <c r="Y60" i="36"/>
  <c r="AJ59" i="36"/>
  <c r="AI59" i="36"/>
  <c r="AF59" i="36"/>
  <c r="AE59" i="36"/>
  <c r="Z59" i="36"/>
  <c r="Y59" i="36"/>
  <c r="F59" i="37"/>
  <c r="J59" i="37"/>
  <c r="AD59" i="37"/>
  <c r="X59" i="36"/>
  <c r="AC59" i="36"/>
  <c r="AJ58" i="36"/>
  <c r="AH58" i="36"/>
  <c r="AF58" i="36"/>
  <c r="AD58" i="36"/>
  <c r="Z58" i="36"/>
  <c r="X58" i="36"/>
  <c r="F58" i="37"/>
  <c r="J58" i="37"/>
  <c r="AE58" i="37"/>
  <c r="AI58" i="36"/>
  <c r="AJ57" i="36"/>
  <c r="AI57" i="36"/>
  <c r="AH57" i="36"/>
  <c r="AF57" i="36"/>
  <c r="AE57" i="36"/>
  <c r="Z57" i="36"/>
  <c r="Y57" i="36"/>
  <c r="X57" i="36"/>
  <c r="F57" i="37"/>
  <c r="J57" i="37"/>
  <c r="AD57" i="37"/>
  <c r="AJ56" i="36"/>
  <c r="AI56" i="36"/>
  <c r="AF56" i="36"/>
  <c r="AE56" i="36"/>
  <c r="Z56" i="36"/>
  <c r="Y56" i="36"/>
  <c r="X56" i="36"/>
  <c r="AC56" i="36"/>
  <c r="F56" i="37"/>
  <c r="J56" i="37"/>
  <c r="AD56" i="37"/>
  <c r="AH56" i="36"/>
  <c r="AJ55" i="36"/>
  <c r="AH55" i="36"/>
  <c r="AF55" i="36"/>
  <c r="AD55" i="36"/>
  <c r="Z55" i="36"/>
  <c r="X55" i="36"/>
  <c r="F55" i="37"/>
  <c r="J55" i="37"/>
  <c r="AE55" i="37"/>
  <c r="AI55" i="36"/>
  <c r="AJ54" i="36"/>
  <c r="AH54" i="36"/>
  <c r="AF54" i="36"/>
  <c r="AD54" i="36"/>
  <c r="Z54" i="36"/>
  <c r="X54" i="36"/>
  <c r="F54" i="37"/>
  <c r="J54" i="37"/>
  <c r="AE54" i="37"/>
  <c r="AI54" i="36"/>
  <c r="AJ53" i="36"/>
  <c r="AH53" i="36"/>
  <c r="AF53" i="36"/>
  <c r="AD53" i="36"/>
  <c r="Z53" i="36"/>
  <c r="X53" i="36"/>
  <c r="F53" i="37"/>
  <c r="J53" i="37"/>
  <c r="AE53" i="37"/>
  <c r="Y53" i="36"/>
  <c r="AJ52" i="36"/>
  <c r="AH52" i="36"/>
  <c r="AF52" i="36"/>
  <c r="AD52" i="36"/>
  <c r="Z52" i="36"/>
  <c r="X52" i="36"/>
  <c r="F52" i="37"/>
  <c r="J52" i="37"/>
  <c r="AE52" i="37"/>
  <c r="Y52" i="36"/>
  <c r="AJ51" i="36"/>
  <c r="AI51" i="36"/>
  <c r="AF51" i="36"/>
  <c r="AE51" i="36"/>
  <c r="Z51" i="36"/>
  <c r="Y51" i="36"/>
  <c r="F51" i="37"/>
  <c r="J51" i="37"/>
  <c r="AD51" i="37"/>
  <c r="X51" i="36"/>
  <c r="AJ50" i="36"/>
  <c r="AI50" i="36"/>
  <c r="AF50" i="36"/>
  <c r="AE50" i="36"/>
  <c r="Z50" i="36"/>
  <c r="Y50" i="36"/>
  <c r="F50" i="37"/>
  <c r="J50" i="37"/>
  <c r="AD50" i="37"/>
  <c r="AH50" i="36"/>
  <c r="AJ49" i="36"/>
  <c r="AI49" i="36"/>
  <c r="AF49" i="36"/>
  <c r="AE49" i="36"/>
  <c r="Z49" i="36"/>
  <c r="Y49" i="36"/>
  <c r="F49" i="37"/>
  <c r="J49" i="37"/>
  <c r="AD49" i="37"/>
  <c r="X49" i="36"/>
  <c r="AC49" i="36"/>
  <c r="AJ48" i="36"/>
  <c r="AI48" i="36"/>
  <c r="AH48" i="36"/>
  <c r="AF48" i="36"/>
  <c r="AD48" i="36"/>
  <c r="Z48" i="36"/>
  <c r="X48" i="36"/>
  <c r="F48" i="37"/>
  <c r="J48" i="37"/>
  <c r="AE48" i="37"/>
  <c r="Y48" i="36"/>
  <c r="AJ47" i="36"/>
  <c r="AI47" i="36"/>
  <c r="AF47" i="36"/>
  <c r="AE47" i="36"/>
  <c r="Z47" i="36"/>
  <c r="Y47" i="36"/>
  <c r="F47" i="37"/>
  <c r="J47" i="37"/>
  <c r="AD47" i="37"/>
  <c r="X47" i="36"/>
  <c r="AC47" i="36"/>
  <c r="AJ46" i="36"/>
  <c r="AI46" i="36"/>
  <c r="AF46" i="36"/>
  <c r="AE46" i="36"/>
  <c r="Z46" i="36"/>
  <c r="Y46" i="36"/>
  <c r="F46" i="37"/>
  <c r="J46" i="37"/>
  <c r="AD46" i="37"/>
  <c r="AH46" i="36"/>
  <c r="AJ45" i="36"/>
  <c r="AH45" i="36"/>
  <c r="AF45" i="36"/>
  <c r="AD45" i="36"/>
  <c r="Z45" i="36"/>
  <c r="Y45" i="36"/>
  <c r="X45" i="36"/>
  <c r="F45" i="37"/>
  <c r="J45" i="37"/>
  <c r="AE45" i="37"/>
  <c r="AI45" i="36"/>
  <c r="AJ44" i="36"/>
  <c r="AI44" i="36"/>
  <c r="AF44" i="36"/>
  <c r="AE44" i="36"/>
  <c r="Z44" i="36"/>
  <c r="Y44" i="36"/>
  <c r="AH44" i="36"/>
  <c r="AJ43" i="36"/>
  <c r="AI43" i="36"/>
  <c r="AF43" i="36"/>
  <c r="AE43" i="36"/>
  <c r="Z43" i="36"/>
  <c r="Y43" i="36"/>
  <c r="F43" i="37"/>
  <c r="J43" i="37"/>
  <c r="AD43" i="37"/>
  <c r="AH43" i="36"/>
  <c r="AI42" i="36"/>
  <c r="AH42" i="36"/>
  <c r="AE42" i="36"/>
  <c r="AD42" i="36"/>
  <c r="Y42" i="36"/>
  <c r="X42" i="36"/>
  <c r="F42" i="37"/>
  <c r="J42" i="37"/>
  <c r="AF42" i="37"/>
  <c r="Z42" i="36"/>
  <c r="AI41" i="36"/>
  <c r="AH41" i="36"/>
  <c r="AE41" i="36"/>
  <c r="AD41" i="36"/>
  <c r="Y41" i="36"/>
  <c r="X41" i="36"/>
  <c r="F41" i="37"/>
  <c r="J41" i="37"/>
  <c r="AF41" i="37"/>
  <c r="AJ41" i="36"/>
  <c r="AJ40" i="36"/>
  <c r="AI40" i="36"/>
  <c r="AF40" i="36"/>
  <c r="AE40" i="36"/>
  <c r="Z40" i="36"/>
  <c r="Y40" i="36"/>
  <c r="F40" i="37"/>
  <c r="J40" i="37"/>
  <c r="AD40" i="37"/>
  <c r="X40" i="36"/>
  <c r="AC40" i="36"/>
  <c r="AJ39" i="36"/>
  <c r="AI39" i="36"/>
  <c r="AF39" i="36"/>
  <c r="AE39" i="36"/>
  <c r="Z39" i="36"/>
  <c r="Y39" i="36"/>
  <c r="F39" i="37"/>
  <c r="J39" i="37"/>
  <c r="AD39" i="37"/>
  <c r="AH39" i="36"/>
  <c r="AJ38" i="36"/>
  <c r="AI38" i="36"/>
  <c r="AF38" i="36"/>
  <c r="AE38" i="36"/>
  <c r="Z38" i="36"/>
  <c r="Y38" i="36"/>
  <c r="F38" i="37"/>
  <c r="J38" i="37"/>
  <c r="AD38" i="37"/>
  <c r="AH38" i="36"/>
  <c r="AJ37" i="36"/>
  <c r="AI37" i="36"/>
  <c r="AF37" i="36"/>
  <c r="AE37" i="36"/>
  <c r="Z37" i="36"/>
  <c r="Y37" i="36"/>
  <c r="F37" i="37"/>
  <c r="J37" i="37"/>
  <c r="AD37" i="37"/>
  <c r="AH37" i="36"/>
  <c r="AJ36" i="36"/>
  <c r="AI36" i="36"/>
  <c r="AF36" i="36"/>
  <c r="AE36" i="36"/>
  <c r="Z36" i="36"/>
  <c r="Y36" i="36"/>
  <c r="F36" i="37"/>
  <c r="J36" i="37"/>
  <c r="AD36" i="37"/>
  <c r="X36" i="36"/>
  <c r="AJ35" i="36"/>
  <c r="AI35" i="36"/>
  <c r="AF35" i="36"/>
  <c r="AE35" i="36"/>
  <c r="Z35" i="36"/>
  <c r="Y35" i="36"/>
  <c r="F35" i="37"/>
  <c r="J35" i="37"/>
  <c r="AD35" i="37"/>
  <c r="AH35" i="36"/>
  <c r="AJ34" i="36"/>
  <c r="AI34" i="36"/>
  <c r="AH34" i="36"/>
  <c r="AF34" i="36"/>
  <c r="AE34" i="36"/>
  <c r="Z34" i="36"/>
  <c r="Y34" i="36"/>
  <c r="F34" i="37"/>
  <c r="J34" i="37"/>
  <c r="AD34" i="37"/>
  <c r="X34" i="36"/>
  <c r="AJ33" i="36"/>
  <c r="AI33" i="36"/>
  <c r="AF33" i="36"/>
  <c r="AE33" i="36"/>
  <c r="Z33" i="36"/>
  <c r="Y33" i="36"/>
  <c r="F33" i="37"/>
  <c r="J33" i="37"/>
  <c r="AD33" i="37"/>
  <c r="X33" i="36"/>
  <c r="AJ32" i="36"/>
  <c r="AI32" i="36"/>
  <c r="AF32" i="36"/>
  <c r="AE32" i="36"/>
  <c r="Z32" i="36"/>
  <c r="Y32" i="36"/>
  <c r="F32" i="37"/>
  <c r="J32" i="37"/>
  <c r="AD32" i="37"/>
  <c r="X32" i="36"/>
  <c r="AJ31" i="36"/>
  <c r="AI31" i="36"/>
  <c r="AF31" i="36"/>
  <c r="AE31" i="36"/>
  <c r="Z31" i="36"/>
  <c r="Y31" i="36"/>
  <c r="F31" i="37"/>
  <c r="J31" i="37"/>
  <c r="AD31" i="37"/>
  <c r="AH31" i="36"/>
  <c r="AJ30" i="36"/>
  <c r="AI30" i="36"/>
  <c r="AF30" i="36"/>
  <c r="AE30" i="36"/>
  <c r="Z30" i="36"/>
  <c r="Y30" i="36"/>
  <c r="F30" i="37"/>
  <c r="J30" i="37"/>
  <c r="AD30" i="37"/>
  <c r="AH30" i="36"/>
  <c r="AJ29" i="36"/>
  <c r="AH29" i="36"/>
  <c r="AF29" i="36"/>
  <c r="AD29" i="36"/>
  <c r="Z29" i="36"/>
  <c r="X29" i="36"/>
  <c r="F29" i="37"/>
  <c r="J29" i="37"/>
  <c r="AE29" i="37"/>
  <c r="Y29" i="36"/>
  <c r="AJ28" i="36"/>
  <c r="AI28" i="36"/>
  <c r="AF28" i="36"/>
  <c r="AE28" i="36"/>
  <c r="Z28" i="36"/>
  <c r="Y28" i="36"/>
  <c r="F28" i="37"/>
  <c r="J28" i="37"/>
  <c r="AD28" i="37"/>
  <c r="X28" i="36"/>
  <c r="AC28" i="36"/>
  <c r="AJ27" i="36"/>
  <c r="AI27" i="36"/>
  <c r="AF27" i="36"/>
  <c r="AE27" i="36"/>
  <c r="Z27" i="36"/>
  <c r="Y27" i="36"/>
  <c r="F27" i="37"/>
  <c r="J27" i="37"/>
  <c r="AD27" i="37"/>
  <c r="AH27" i="36"/>
  <c r="AJ26" i="36"/>
  <c r="AI26" i="36"/>
  <c r="AF26" i="36"/>
  <c r="AE26" i="36"/>
  <c r="Z26" i="36"/>
  <c r="Y26" i="36"/>
  <c r="F26" i="37"/>
  <c r="J26" i="37"/>
  <c r="AD26" i="37"/>
  <c r="AH26" i="36"/>
  <c r="AJ25" i="36"/>
  <c r="AH25" i="36"/>
  <c r="AF25" i="36"/>
  <c r="AD25" i="36"/>
  <c r="Z25" i="36"/>
  <c r="X25" i="36"/>
  <c r="F25" i="37"/>
  <c r="J25" i="37"/>
  <c r="AE25" i="37"/>
  <c r="Y25" i="36"/>
  <c r="AJ24" i="36"/>
  <c r="AI24" i="36"/>
  <c r="AH24" i="36"/>
  <c r="AF24" i="36"/>
  <c r="AE24" i="36"/>
  <c r="Z24" i="36"/>
  <c r="Y24" i="36"/>
  <c r="F24" i="37"/>
  <c r="J24" i="37"/>
  <c r="AD24" i="37"/>
  <c r="X24" i="36"/>
  <c r="AJ23" i="36"/>
  <c r="AI23" i="36"/>
  <c r="AF23" i="36"/>
  <c r="AE23" i="36"/>
  <c r="Z23" i="36"/>
  <c r="Y23" i="36"/>
  <c r="F23" i="37"/>
  <c r="J23" i="37"/>
  <c r="AD23" i="37"/>
  <c r="AH23" i="36"/>
  <c r="AJ22" i="36"/>
  <c r="AI22" i="36"/>
  <c r="AF22" i="36"/>
  <c r="AE22" i="36"/>
  <c r="Z22" i="36"/>
  <c r="Y22" i="36"/>
  <c r="X22" i="36"/>
  <c r="AC22" i="36"/>
  <c r="F22" i="37"/>
  <c r="J22" i="37"/>
  <c r="AD22" i="37"/>
  <c r="AH22" i="36"/>
  <c r="AJ21" i="36"/>
  <c r="AI21" i="36"/>
  <c r="AF21" i="36"/>
  <c r="AE21" i="36"/>
  <c r="Z21" i="36"/>
  <c r="Y21" i="36"/>
  <c r="F21" i="37"/>
  <c r="J21" i="37"/>
  <c r="AD21" i="37"/>
  <c r="X21" i="36"/>
  <c r="AC21" i="36"/>
  <c r="AJ20" i="36"/>
  <c r="AH20" i="36"/>
  <c r="AF20" i="36"/>
  <c r="AD20" i="36"/>
  <c r="Z20" i="36"/>
  <c r="X20" i="36"/>
  <c r="Q20" i="36"/>
  <c r="AJ19" i="36"/>
  <c r="AH19" i="36"/>
  <c r="AF19" i="36"/>
  <c r="AD19" i="36"/>
  <c r="Z19" i="36"/>
  <c r="X19" i="36"/>
  <c r="Q19" i="36"/>
  <c r="AJ18" i="36"/>
  <c r="AH18" i="36"/>
  <c r="AF18" i="36"/>
  <c r="AD18" i="36"/>
  <c r="Z18" i="36"/>
  <c r="X18" i="36"/>
  <c r="F18" i="37"/>
  <c r="J18" i="37"/>
  <c r="AE18" i="37"/>
  <c r="AI18" i="36"/>
  <c r="AJ17" i="36"/>
  <c r="AI17" i="36"/>
  <c r="AH17" i="36"/>
  <c r="AF17" i="36"/>
  <c r="AE17" i="36"/>
  <c r="Z17" i="36"/>
  <c r="Y17" i="36"/>
  <c r="F17" i="37"/>
  <c r="X17" i="36"/>
  <c r="AC17" i="36"/>
  <c r="E237" i="36"/>
  <c r="AJ16" i="36"/>
  <c r="AH16" i="36"/>
  <c r="AF16" i="36"/>
  <c r="AD16" i="36"/>
  <c r="Z16" i="36"/>
  <c r="X16" i="36"/>
  <c r="F16" i="37"/>
  <c r="J16" i="37"/>
  <c r="AE16" i="37"/>
  <c r="AI16" i="36"/>
  <c r="T233" i="34"/>
  <c r="L219" i="34"/>
  <c r="M219" i="34"/>
  <c r="L236" i="34"/>
  <c r="M236" i="34"/>
  <c r="M237" i="34"/>
  <c r="V199" i="36"/>
  <c r="F201" i="37"/>
  <c r="J201" i="37"/>
  <c r="AE201" i="37"/>
  <c r="AD202" i="37"/>
  <c r="AD103" i="37"/>
  <c r="AI19" i="36"/>
  <c r="V19" i="36"/>
  <c r="F19" i="37"/>
  <c r="J19" i="37"/>
  <c r="AE19" i="37"/>
  <c r="AI20" i="36"/>
  <c r="V20" i="36"/>
  <c r="F20" i="37"/>
  <c r="J20" i="37"/>
  <c r="AE20" i="37"/>
  <c r="F187" i="37"/>
  <c r="J187" i="37"/>
  <c r="AE187" i="37"/>
  <c r="F188" i="37"/>
  <c r="J188" i="37"/>
  <c r="AF188" i="37"/>
  <c r="AC166" i="36"/>
  <c r="AC189" i="36"/>
  <c r="AC182" i="36"/>
  <c r="AI162" i="36"/>
  <c r="X120" i="36"/>
  <c r="AC120" i="36"/>
  <c r="Y134" i="36"/>
  <c r="AC134" i="36"/>
  <c r="AH133" i="36"/>
  <c r="AH51" i="36"/>
  <c r="AC63" i="36"/>
  <c r="X30" i="36"/>
  <c r="AC30" i="36"/>
  <c r="AC42" i="36"/>
  <c r="X37" i="36"/>
  <c r="AC37" i="36"/>
  <c r="AI29" i="36"/>
  <c r="AH32" i="36"/>
  <c r="AC33" i="36"/>
  <c r="AC36" i="36"/>
  <c r="AJ218" i="36"/>
  <c r="AC194" i="36"/>
  <c r="AC53" i="36"/>
  <c r="AI61" i="36"/>
  <c r="AC81" i="36"/>
  <c r="AH108" i="36"/>
  <c r="AC212" i="36"/>
  <c r="Y18" i="36"/>
  <c r="AH21" i="36"/>
  <c r="AC29" i="36"/>
  <c r="AC34" i="36"/>
  <c r="AC45" i="36"/>
  <c r="AI52" i="36"/>
  <c r="AH68" i="36"/>
  <c r="AC73" i="36"/>
  <c r="AI80" i="36"/>
  <c r="AC89" i="36"/>
  <c r="AH92" i="36"/>
  <c r="AJ93" i="36"/>
  <c r="AC125" i="36"/>
  <c r="AH142" i="36"/>
  <c r="AI151" i="36"/>
  <c r="AC190" i="36"/>
  <c r="AC18" i="36"/>
  <c r="AI25" i="36"/>
  <c r="X26" i="36"/>
  <c r="AC26" i="36"/>
  <c r="AH33" i="36"/>
  <c r="AH36" i="36"/>
  <c r="X38" i="36"/>
  <c r="AC38" i="36"/>
  <c r="AH40" i="36"/>
  <c r="AJ42" i="36"/>
  <c r="AH47" i="36"/>
  <c r="AH49" i="36"/>
  <c r="AC51" i="36"/>
  <c r="AC52" i="36"/>
  <c r="AI53" i="36"/>
  <c r="AH59" i="36"/>
  <c r="AC61" i="36"/>
  <c r="X64" i="36"/>
  <c r="AC64" i="36"/>
  <c r="AH65" i="36"/>
  <c r="AC67" i="36"/>
  <c r="AH69" i="36"/>
  <c r="AH75" i="36"/>
  <c r="AC80" i="36"/>
  <c r="AI81" i="36"/>
  <c r="Y85" i="36"/>
  <c r="AC85" i="36"/>
  <c r="AC87" i="36"/>
  <c r="AH97" i="36"/>
  <c r="AC100" i="36"/>
  <c r="X109" i="36"/>
  <c r="AC109" i="36"/>
  <c r="AC111" i="36"/>
  <c r="AH112" i="36"/>
  <c r="AI132" i="36"/>
  <c r="AH143" i="36"/>
  <c r="AC146" i="36"/>
  <c r="AH147" i="36"/>
  <c r="AC150" i="36"/>
  <c r="AH163" i="36"/>
  <c r="AC167" i="36"/>
  <c r="AH170" i="36"/>
  <c r="AH175" i="36"/>
  <c r="AC177" i="36"/>
  <c r="AH182" i="36"/>
  <c r="AI183" i="36"/>
  <c r="X191" i="36"/>
  <c r="AC191" i="36"/>
  <c r="AC193" i="36"/>
  <c r="AI195" i="36"/>
  <c r="X200" i="36"/>
  <c r="AC200" i="36"/>
  <c r="AC202" i="36"/>
  <c r="Y205" i="36"/>
  <c r="AC205" i="36"/>
  <c r="AC208" i="36"/>
  <c r="AC211" i="36"/>
  <c r="AI212" i="36"/>
  <c r="AH215" i="36"/>
  <c r="X219" i="36"/>
  <c r="AC226" i="36"/>
  <c r="Y227" i="36"/>
  <c r="AC229" i="36"/>
  <c r="AI230" i="36"/>
  <c r="AH236" i="36"/>
  <c r="AI167" i="36"/>
  <c r="AC183" i="36"/>
  <c r="AI208" i="36"/>
  <c r="AJ211" i="36"/>
  <c r="AC48" i="36"/>
  <c r="AC57" i="36"/>
  <c r="AC76" i="36"/>
  <c r="AI100" i="36"/>
  <c r="AI131" i="36"/>
  <c r="AJ159" i="36"/>
  <c r="AC181" i="36"/>
  <c r="AJ186" i="36"/>
  <c r="AC199" i="36"/>
  <c r="AC207" i="36"/>
  <c r="AC24" i="36"/>
  <c r="AC25" i="36"/>
  <c r="AH28" i="36"/>
  <c r="AC32" i="36"/>
  <c r="X44" i="36"/>
  <c r="AC44" i="36"/>
  <c r="AI60" i="36"/>
  <c r="AH63" i="36"/>
  <c r="AC71" i="36"/>
  <c r="AC84" i="36"/>
  <c r="AC96" i="36"/>
  <c r="AC103" i="36"/>
  <c r="AC115" i="36"/>
  <c r="AC123" i="36"/>
  <c r="AC137" i="36"/>
  <c r="AI146" i="36"/>
  <c r="AI150" i="36"/>
  <c r="AC158" i="36"/>
  <c r="AC162" i="36"/>
  <c r="AI166" i="36"/>
  <c r="AC173" i="36"/>
  <c r="AC174" i="36"/>
  <c r="AH197" i="36"/>
  <c r="AC217" i="36"/>
  <c r="AC218" i="36"/>
  <c r="AI226" i="36"/>
  <c r="AC233" i="36"/>
  <c r="M238" i="36"/>
  <c r="J245" i="36"/>
  <c r="I238" i="36"/>
  <c r="AC60" i="36"/>
  <c r="AH78" i="36"/>
  <c r="X78" i="36"/>
  <c r="AC78" i="36"/>
  <c r="AH106" i="36"/>
  <c r="X106" i="36"/>
  <c r="AC106" i="36"/>
  <c r="AH114" i="36"/>
  <c r="X114" i="36"/>
  <c r="AC114" i="36"/>
  <c r="AH135" i="36"/>
  <c r="X135" i="36"/>
  <c r="AC135" i="36"/>
  <c r="AI225" i="36"/>
  <c r="Y225" i="36"/>
  <c r="AC225" i="36"/>
  <c r="AH82" i="36"/>
  <c r="X82" i="36"/>
  <c r="AC82" i="36"/>
  <c r="AH90" i="36"/>
  <c r="X90" i="36"/>
  <c r="AC90" i="36"/>
  <c r="AH126" i="36"/>
  <c r="X126" i="36"/>
  <c r="AC126" i="36"/>
  <c r="AH160" i="36"/>
  <c r="X160" i="36"/>
  <c r="AC160" i="36"/>
  <c r="AI165" i="36"/>
  <c r="Y165" i="36"/>
  <c r="AC165" i="36"/>
  <c r="AI169" i="36"/>
  <c r="Y169" i="36"/>
  <c r="AC169" i="36"/>
  <c r="AI210" i="36"/>
  <c r="Y210" i="36"/>
  <c r="AC210" i="36"/>
  <c r="AH213" i="36"/>
  <c r="X213" i="36"/>
  <c r="AC213" i="36"/>
  <c r="AI99" i="36"/>
  <c r="Y99" i="36"/>
  <c r="AC99" i="36"/>
  <c r="AH102" i="36"/>
  <c r="X102" i="36"/>
  <c r="AC102" i="36"/>
  <c r="AH110" i="36"/>
  <c r="X110" i="36"/>
  <c r="AC110" i="36"/>
  <c r="AI127" i="36"/>
  <c r="Y127" i="36"/>
  <c r="AC127" i="36"/>
  <c r="AH140" i="36"/>
  <c r="X140" i="36"/>
  <c r="AC140" i="36"/>
  <c r="AH201" i="36"/>
  <c r="X201" i="36"/>
  <c r="AC201" i="36"/>
  <c r="AI206" i="36"/>
  <c r="Y206" i="36"/>
  <c r="AC206" i="36"/>
  <c r="AH224" i="36"/>
  <c r="X224" i="36"/>
  <c r="AC224" i="36"/>
  <c r="Y19" i="36"/>
  <c r="AC19" i="36"/>
  <c r="Y54" i="36"/>
  <c r="AC54" i="36"/>
  <c r="Y58" i="36"/>
  <c r="AC58" i="36"/>
  <c r="AJ62" i="36"/>
  <c r="Z94" i="36"/>
  <c r="AC101" i="36"/>
  <c r="Z130" i="36"/>
  <c r="AC130" i="36"/>
  <c r="AC139" i="36"/>
  <c r="AH141" i="36"/>
  <c r="Z149" i="36"/>
  <c r="AC149" i="36"/>
  <c r="Y180" i="36"/>
  <c r="AC180" i="36"/>
  <c r="AH181" i="36"/>
  <c r="AH202" i="36"/>
  <c r="AH233" i="36"/>
  <c r="Y20" i="36"/>
  <c r="AC20" i="36"/>
  <c r="X35" i="36"/>
  <c r="AC35" i="36"/>
  <c r="X43" i="36"/>
  <c r="AC43" i="36"/>
  <c r="X50" i="36"/>
  <c r="AC50" i="36"/>
  <c r="Y55" i="36"/>
  <c r="AC55" i="36"/>
  <c r="X66" i="36"/>
  <c r="AC66" i="36"/>
  <c r="X70" i="36"/>
  <c r="AC70" i="36"/>
  <c r="X74" i="36"/>
  <c r="AC74" i="36"/>
  <c r="AC93" i="36"/>
  <c r="AC97" i="36"/>
  <c r="AH107" i="36"/>
  <c r="AH115" i="36"/>
  <c r="AC121" i="36"/>
  <c r="AC132" i="36"/>
  <c r="AH137" i="36"/>
  <c r="AC147" i="36"/>
  <c r="AC151" i="36"/>
  <c r="AC159" i="36"/>
  <c r="AC163" i="36"/>
  <c r="Y168" i="36"/>
  <c r="AC168" i="36"/>
  <c r="AC171" i="36"/>
  <c r="AH173" i="36"/>
  <c r="AC179" i="36"/>
  <c r="AC187" i="36"/>
  <c r="AH193" i="36"/>
  <c r="AC195" i="36"/>
  <c r="Y209" i="36"/>
  <c r="AC209" i="36"/>
  <c r="AC231" i="36"/>
  <c r="AH176" i="36"/>
  <c r="X176" i="36"/>
  <c r="AC176" i="36"/>
  <c r="AI119" i="36"/>
  <c r="Y119" i="36"/>
  <c r="AC119" i="36"/>
  <c r="AH144" i="36"/>
  <c r="X144" i="36"/>
  <c r="AC144" i="36"/>
  <c r="AH184" i="36"/>
  <c r="X184" i="36"/>
  <c r="AC184" i="36"/>
  <c r="AI221" i="36"/>
  <c r="Y221" i="36"/>
  <c r="AC221" i="36"/>
  <c r="AI83" i="36"/>
  <c r="Y83" i="36"/>
  <c r="AC83" i="36"/>
  <c r="AH86" i="36"/>
  <c r="X86" i="36"/>
  <c r="AC86" i="36"/>
  <c r="AI95" i="36"/>
  <c r="Y95" i="36"/>
  <c r="AC95" i="36"/>
  <c r="AH122" i="36"/>
  <c r="X122" i="36"/>
  <c r="AC122" i="36"/>
  <c r="AI145" i="36"/>
  <c r="Y145" i="36"/>
  <c r="AC145" i="36"/>
  <c r="AH148" i="36"/>
  <c r="X148" i="36"/>
  <c r="AC148" i="36"/>
  <c r="AH152" i="36"/>
  <c r="X152" i="36"/>
  <c r="AC152" i="36"/>
  <c r="AI157" i="36"/>
  <c r="Y157" i="36"/>
  <c r="AC157" i="36"/>
  <c r="AI161" i="36"/>
  <c r="Y161" i="36"/>
  <c r="AC161" i="36"/>
  <c r="AH164" i="36"/>
  <c r="X164" i="36"/>
  <c r="AC164" i="36"/>
  <c r="AH172" i="36"/>
  <c r="X172" i="36"/>
  <c r="AC172" i="36"/>
  <c r="AI185" i="36"/>
  <c r="Y185" i="36"/>
  <c r="AC185" i="36"/>
  <c r="AH192" i="36"/>
  <c r="X192" i="36"/>
  <c r="AC192" i="36"/>
  <c r="AH220" i="36"/>
  <c r="X220" i="36"/>
  <c r="AC220" i="36"/>
  <c r="AH232" i="36"/>
  <c r="X232" i="36"/>
  <c r="AC232" i="36"/>
  <c r="Z153" i="36"/>
  <c r="AC153" i="36"/>
  <c r="AH87" i="36"/>
  <c r="AC98" i="36"/>
  <c r="AC117" i="36"/>
  <c r="AH123" i="36"/>
  <c r="AC156" i="36"/>
  <c r="Y188" i="36"/>
  <c r="AC188" i="36"/>
  <c r="AH189" i="36"/>
  <c r="AC219" i="36"/>
  <c r="AC223" i="36"/>
  <c r="Y228" i="36"/>
  <c r="AC228" i="36"/>
  <c r="AH229" i="36"/>
  <c r="Q237" i="36"/>
  <c r="X23" i="36"/>
  <c r="AC23" i="36"/>
  <c r="X27" i="36"/>
  <c r="AC27" i="36"/>
  <c r="X31" i="36"/>
  <c r="AC31" i="36"/>
  <c r="X39" i="36"/>
  <c r="AC39" i="36"/>
  <c r="Z41" i="36"/>
  <c r="X46" i="36"/>
  <c r="AC46" i="36"/>
  <c r="Y16" i="36"/>
  <c r="AI76" i="36"/>
  <c r="AH79" i="36"/>
  <c r="AH91" i="36"/>
  <c r="AC94" i="36"/>
  <c r="AC105" i="36"/>
  <c r="AC113" i="36"/>
  <c r="Y118" i="36"/>
  <c r="AC118" i="36"/>
  <c r="AC129" i="36"/>
  <c r="AH136" i="36"/>
  <c r="AC155" i="36"/>
  <c r="AC175" i="36"/>
  <c r="AH177" i="36"/>
  <c r="V181" i="36"/>
  <c r="Z214" i="36"/>
  <c r="AC214" i="36"/>
  <c r="AC227" i="36"/>
  <c r="AJ235" i="36"/>
  <c r="X216" i="36"/>
  <c r="AC216" i="36"/>
  <c r="Z222" i="36"/>
  <c r="AC222" i="36"/>
  <c r="Z234" i="36"/>
  <c r="AC234" i="36"/>
  <c r="T189" i="34"/>
  <c r="T147" i="34"/>
  <c r="V237" i="36"/>
  <c r="F183" i="37"/>
  <c r="J183" i="37"/>
  <c r="AD183" i="37"/>
  <c r="Z237" i="36"/>
  <c r="AA250" i="36"/>
  <c r="AI237" i="36"/>
  <c r="AI241" i="36"/>
  <c r="AC41" i="36"/>
  <c r="AJ237" i="36"/>
  <c r="AJ241" i="36"/>
  <c r="AH237" i="36"/>
  <c r="AH241" i="36"/>
  <c r="Y237" i="36"/>
  <c r="AA247" i="36"/>
  <c r="AC16" i="36"/>
  <c r="X237" i="36"/>
  <c r="AI41" i="35"/>
  <c r="AH41" i="35"/>
  <c r="AE41" i="35"/>
  <c r="AD41" i="35"/>
  <c r="Y41" i="35"/>
  <c r="X41" i="35"/>
  <c r="F41" i="36"/>
  <c r="J41" i="36"/>
  <c r="AF41" i="36"/>
  <c r="AJ41" i="35"/>
  <c r="Q41" i="34"/>
  <c r="V41" i="34"/>
  <c r="F41" i="35"/>
  <c r="J41" i="35"/>
  <c r="AF41" i="35"/>
  <c r="AI41" i="34"/>
  <c r="AH41" i="34"/>
  <c r="AE41" i="34"/>
  <c r="AD41" i="34"/>
  <c r="Y41" i="34"/>
  <c r="X41" i="34"/>
  <c r="J41" i="34"/>
  <c r="AF41" i="34"/>
  <c r="T126" i="34"/>
  <c r="T167" i="34"/>
  <c r="T137" i="34"/>
  <c r="E137" i="35"/>
  <c r="E18" i="35"/>
  <c r="E17" i="35"/>
  <c r="AJ201" i="35"/>
  <c r="AI201" i="35"/>
  <c r="AH201" i="35"/>
  <c r="AF201" i="35"/>
  <c r="AE201" i="35"/>
  <c r="Z201" i="35"/>
  <c r="Y201" i="35"/>
  <c r="F202" i="36"/>
  <c r="J202" i="36"/>
  <c r="AD202" i="36"/>
  <c r="X201" i="35"/>
  <c r="AC201" i="35"/>
  <c r="AJ201" i="34"/>
  <c r="AI201" i="34"/>
  <c r="AF201" i="34"/>
  <c r="AE201" i="34"/>
  <c r="Z201" i="34"/>
  <c r="Y201" i="34"/>
  <c r="Q201" i="34"/>
  <c r="AH201" i="34"/>
  <c r="J201" i="34"/>
  <c r="AD201" i="34"/>
  <c r="Z242" i="36"/>
  <c r="Z251" i="36"/>
  <c r="AA244" i="36"/>
  <c r="AA251" i="36"/>
  <c r="Z41" i="35"/>
  <c r="AC41" i="35"/>
  <c r="Z41" i="34"/>
  <c r="AC41" i="34"/>
  <c r="AJ41" i="34"/>
  <c r="AL41" i="34"/>
  <c r="AL201" i="34"/>
  <c r="X201" i="34"/>
  <c r="AC201" i="34"/>
  <c r="V201" i="34"/>
  <c r="F201" i="35"/>
  <c r="J201" i="35"/>
  <c r="AD201" i="35"/>
  <c r="T82" i="34"/>
  <c r="AJ203" i="34"/>
  <c r="AI203" i="34"/>
  <c r="AF203" i="34"/>
  <c r="AE203" i="34"/>
  <c r="Z203" i="34"/>
  <c r="Y203" i="34"/>
  <c r="Q203" i="34"/>
  <c r="AH203" i="34"/>
  <c r="J203" i="34"/>
  <c r="AD203" i="34"/>
  <c r="AJ203" i="35"/>
  <c r="AI203" i="35"/>
  <c r="AF203" i="35"/>
  <c r="AE203" i="35"/>
  <c r="Z203" i="35"/>
  <c r="Y203" i="35"/>
  <c r="F204" i="36"/>
  <c r="J204" i="36"/>
  <c r="AD204" i="36"/>
  <c r="AH203" i="35"/>
  <c r="AJ212" i="35"/>
  <c r="AI212" i="35"/>
  <c r="AF212" i="35"/>
  <c r="AE212" i="35"/>
  <c r="Z212" i="35"/>
  <c r="Y212" i="35"/>
  <c r="F213" i="36"/>
  <c r="J213" i="36"/>
  <c r="AD213" i="36"/>
  <c r="AH212" i="35"/>
  <c r="AJ212" i="34"/>
  <c r="AF212" i="34"/>
  <c r="Z212" i="34"/>
  <c r="Q212" i="34"/>
  <c r="V212" i="34"/>
  <c r="F212" i="35"/>
  <c r="J212" i="35"/>
  <c r="AD212" i="35"/>
  <c r="J212" i="34"/>
  <c r="AE212" i="34"/>
  <c r="T151" i="34"/>
  <c r="J241" i="35"/>
  <c r="AB236" i="35"/>
  <c r="AA247" i="35"/>
  <c r="AA236" i="35"/>
  <c r="AA244" i="35"/>
  <c r="T236" i="35"/>
  <c r="P236" i="35"/>
  <c r="O236" i="35"/>
  <c r="N236" i="35"/>
  <c r="M236" i="35"/>
  <c r="L236" i="35"/>
  <c r="H236" i="35"/>
  <c r="G236" i="35"/>
  <c r="AJ235" i="35"/>
  <c r="AI235" i="35"/>
  <c r="AF235" i="35"/>
  <c r="AE235" i="35"/>
  <c r="Z235" i="35"/>
  <c r="Y235" i="35"/>
  <c r="Q235" i="35"/>
  <c r="V235" i="35"/>
  <c r="F236" i="36"/>
  <c r="J236" i="36"/>
  <c r="AD236" i="36"/>
  <c r="AI234" i="35"/>
  <c r="AH234" i="35"/>
  <c r="AE234" i="35"/>
  <c r="AD234" i="35"/>
  <c r="Y234" i="35"/>
  <c r="X234" i="35"/>
  <c r="F235" i="36"/>
  <c r="J235" i="36"/>
  <c r="AF235" i="36"/>
  <c r="Z234" i="35"/>
  <c r="AI233" i="35"/>
  <c r="AH233" i="35"/>
  <c r="AE233" i="35"/>
  <c r="AD233" i="35"/>
  <c r="Y233" i="35"/>
  <c r="X233" i="35"/>
  <c r="F234" i="36"/>
  <c r="J234" i="36"/>
  <c r="AF234" i="36"/>
  <c r="AJ233" i="35"/>
  <c r="AJ232" i="35"/>
  <c r="AI232" i="35"/>
  <c r="AF232" i="35"/>
  <c r="AE232" i="35"/>
  <c r="Z232" i="35"/>
  <c r="Y232" i="35"/>
  <c r="F233" i="36"/>
  <c r="J233" i="36"/>
  <c r="AD233" i="36"/>
  <c r="AJ231" i="35"/>
  <c r="AI231" i="35"/>
  <c r="AF231" i="35"/>
  <c r="AE231" i="35"/>
  <c r="Z231" i="35"/>
  <c r="Y231" i="35"/>
  <c r="F232" i="36"/>
  <c r="J232" i="36"/>
  <c r="AD232" i="36"/>
  <c r="AJ230" i="35"/>
  <c r="AI230" i="35"/>
  <c r="AF230" i="35"/>
  <c r="AE230" i="35"/>
  <c r="Z230" i="35"/>
  <c r="Y230" i="35"/>
  <c r="F231" i="36"/>
  <c r="J231" i="36"/>
  <c r="AD231" i="36"/>
  <c r="AH230" i="35"/>
  <c r="AJ229" i="35"/>
  <c r="AH229" i="35"/>
  <c r="AF229" i="35"/>
  <c r="AD229" i="35"/>
  <c r="Z229" i="35"/>
  <c r="X229" i="35"/>
  <c r="F230" i="36"/>
  <c r="J230" i="36"/>
  <c r="AE230" i="36"/>
  <c r="Y229" i="35"/>
  <c r="AJ228" i="35"/>
  <c r="AI228" i="35"/>
  <c r="AF228" i="35"/>
  <c r="AE228" i="35"/>
  <c r="Z228" i="35"/>
  <c r="Y228" i="35"/>
  <c r="F229" i="36"/>
  <c r="J229" i="36"/>
  <c r="AD229" i="36"/>
  <c r="AJ227" i="35"/>
  <c r="AH227" i="35"/>
  <c r="AF227" i="35"/>
  <c r="AD227" i="35"/>
  <c r="Z227" i="35"/>
  <c r="X227" i="35"/>
  <c r="F228" i="36"/>
  <c r="J228" i="36"/>
  <c r="AE228" i="36"/>
  <c r="AI227" i="35"/>
  <c r="AJ226" i="35"/>
  <c r="AH226" i="35"/>
  <c r="AF226" i="35"/>
  <c r="AD226" i="35"/>
  <c r="Z226" i="35"/>
  <c r="X226" i="35"/>
  <c r="F227" i="36"/>
  <c r="J227" i="36"/>
  <c r="AE227" i="36"/>
  <c r="Y226" i="35"/>
  <c r="AJ225" i="35"/>
  <c r="AH225" i="35"/>
  <c r="AF225" i="35"/>
  <c r="AD225" i="35"/>
  <c r="Z225" i="35"/>
  <c r="X225" i="35"/>
  <c r="F226" i="36"/>
  <c r="J226" i="36"/>
  <c r="AE226" i="36"/>
  <c r="AJ224" i="35"/>
  <c r="AH224" i="35"/>
  <c r="AF224" i="35"/>
  <c r="AD224" i="35"/>
  <c r="Z224" i="35"/>
  <c r="X224" i="35"/>
  <c r="F225" i="36"/>
  <c r="J225" i="36"/>
  <c r="AE225" i="36"/>
  <c r="AJ223" i="35"/>
  <c r="AI223" i="35"/>
  <c r="AF223" i="35"/>
  <c r="AE223" i="35"/>
  <c r="Z223" i="35"/>
  <c r="Y223" i="35"/>
  <c r="F224" i="36"/>
  <c r="J224" i="36"/>
  <c r="AD224" i="36"/>
  <c r="AJ222" i="35"/>
  <c r="AI222" i="35"/>
  <c r="AF222" i="35"/>
  <c r="AE222" i="35"/>
  <c r="Z222" i="35"/>
  <c r="Y222" i="35"/>
  <c r="F223" i="36"/>
  <c r="J223" i="36"/>
  <c r="AD223" i="36"/>
  <c r="AH222" i="35"/>
  <c r="AI221" i="35"/>
  <c r="AH221" i="35"/>
  <c r="AE221" i="35"/>
  <c r="AD221" i="35"/>
  <c r="Y221" i="35"/>
  <c r="X221" i="35"/>
  <c r="F222" i="36"/>
  <c r="J222" i="36"/>
  <c r="AF222" i="36"/>
  <c r="Z221" i="35"/>
  <c r="AJ220" i="35"/>
  <c r="AH220" i="35"/>
  <c r="AF220" i="35"/>
  <c r="AD220" i="35"/>
  <c r="Z220" i="35"/>
  <c r="X220" i="35"/>
  <c r="F221" i="36"/>
  <c r="J221" i="36"/>
  <c r="AE221" i="36"/>
  <c r="Y220" i="35"/>
  <c r="AJ219" i="35"/>
  <c r="AI219" i="35"/>
  <c r="AF219" i="35"/>
  <c r="AE219" i="35"/>
  <c r="Z219" i="35"/>
  <c r="Y219" i="35"/>
  <c r="F220" i="36"/>
  <c r="J220" i="36"/>
  <c r="AD220" i="36"/>
  <c r="X219" i="35"/>
  <c r="AJ218" i="35"/>
  <c r="AI218" i="35"/>
  <c r="AF218" i="35"/>
  <c r="AE218" i="35"/>
  <c r="Z218" i="35"/>
  <c r="Y218" i="35"/>
  <c r="F219" i="36"/>
  <c r="J219" i="36"/>
  <c r="AD219" i="36"/>
  <c r="X218" i="35"/>
  <c r="AI217" i="35"/>
  <c r="AH217" i="35"/>
  <c r="AE217" i="35"/>
  <c r="AD217" i="35"/>
  <c r="Y217" i="35"/>
  <c r="X217" i="35"/>
  <c r="F218" i="36"/>
  <c r="J218" i="36"/>
  <c r="AF218" i="36"/>
  <c r="AJ217" i="35"/>
  <c r="AJ216" i="35"/>
  <c r="AI216" i="35"/>
  <c r="AF216" i="35"/>
  <c r="AE216" i="35"/>
  <c r="Z216" i="35"/>
  <c r="Y216" i="35"/>
  <c r="F217" i="36"/>
  <c r="J217" i="36"/>
  <c r="AD217" i="36"/>
  <c r="AJ215" i="35"/>
  <c r="AI215" i="35"/>
  <c r="AF215" i="35"/>
  <c r="AE215" i="35"/>
  <c r="Z215" i="35"/>
  <c r="Y215" i="35"/>
  <c r="X215" i="35"/>
  <c r="AH215" i="35"/>
  <c r="AJ214" i="35"/>
  <c r="AI214" i="35"/>
  <c r="AF214" i="35"/>
  <c r="AE214" i="35"/>
  <c r="Z214" i="35"/>
  <c r="Y214" i="35"/>
  <c r="F215" i="36"/>
  <c r="J215" i="36"/>
  <c r="AD215" i="36"/>
  <c r="X214" i="35"/>
  <c r="AI213" i="35"/>
  <c r="AH213" i="35"/>
  <c r="AE213" i="35"/>
  <c r="AD213" i="35"/>
  <c r="Y213" i="35"/>
  <c r="X213" i="35"/>
  <c r="F214" i="36"/>
  <c r="J214" i="36"/>
  <c r="AF214" i="36"/>
  <c r="Z213" i="35"/>
  <c r="AJ211" i="35"/>
  <c r="AH211" i="35"/>
  <c r="AF211" i="35"/>
  <c r="AD211" i="35"/>
  <c r="Z211" i="35"/>
  <c r="X211" i="35"/>
  <c r="F212" i="36"/>
  <c r="J212" i="36"/>
  <c r="AE212" i="36"/>
  <c r="Y211" i="35"/>
  <c r="AI210" i="35"/>
  <c r="AH210" i="35"/>
  <c r="AE210" i="35"/>
  <c r="AD210" i="35"/>
  <c r="Y210" i="35"/>
  <c r="X210" i="35"/>
  <c r="F211" i="36"/>
  <c r="J211" i="36"/>
  <c r="AF211" i="36"/>
  <c r="AJ210" i="35"/>
  <c r="AJ209" i="35"/>
  <c r="AH209" i="35"/>
  <c r="AF209" i="35"/>
  <c r="AD209" i="35"/>
  <c r="Z209" i="35"/>
  <c r="X209" i="35"/>
  <c r="F210" i="36"/>
  <c r="J210" i="36"/>
  <c r="AE210" i="36"/>
  <c r="AJ208" i="35"/>
  <c r="AH208" i="35"/>
  <c r="AF208" i="35"/>
  <c r="AD208" i="35"/>
  <c r="Z208" i="35"/>
  <c r="X208" i="35"/>
  <c r="F209" i="36"/>
  <c r="J209" i="36"/>
  <c r="AE209" i="36"/>
  <c r="AJ207" i="35"/>
  <c r="AH207" i="35"/>
  <c r="AF207" i="35"/>
  <c r="AD207" i="35"/>
  <c r="Z207" i="35"/>
  <c r="X207" i="35"/>
  <c r="F208" i="36"/>
  <c r="J208" i="36"/>
  <c r="AE208" i="36"/>
  <c r="AI207" i="35"/>
  <c r="AJ206" i="35"/>
  <c r="AH206" i="35"/>
  <c r="AF206" i="35"/>
  <c r="AD206" i="35"/>
  <c r="Z206" i="35"/>
  <c r="X206" i="35"/>
  <c r="F207" i="36"/>
  <c r="J207" i="36"/>
  <c r="AE207" i="36"/>
  <c r="AI206" i="35"/>
  <c r="AJ205" i="35"/>
  <c r="AH205" i="35"/>
  <c r="AF205" i="35"/>
  <c r="AD205" i="35"/>
  <c r="Z205" i="35"/>
  <c r="X205" i="35"/>
  <c r="F206" i="36"/>
  <c r="J206" i="36"/>
  <c r="AE206" i="36"/>
  <c r="Y205" i="35"/>
  <c r="AJ204" i="35"/>
  <c r="AH204" i="35"/>
  <c r="AF204" i="35"/>
  <c r="AD204" i="35"/>
  <c r="Z204" i="35"/>
  <c r="X204" i="35"/>
  <c r="F205" i="36"/>
  <c r="J205" i="36"/>
  <c r="AE205" i="36"/>
  <c r="AJ202" i="35"/>
  <c r="AI202" i="35"/>
  <c r="AF202" i="35"/>
  <c r="AE202" i="35"/>
  <c r="Z202" i="35"/>
  <c r="Y202" i="35"/>
  <c r="F203" i="36"/>
  <c r="J203" i="36"/>
  <c r="AD203" i="36"/>
  <c r="AJ200" i="35"/>
  <c r="AI200" i="35"/>
  <c r="AF200" i="35"/>
  <c r="AE200" i="35"/>
  <c r="Z200" i="35"/>
  <c r="Y200" i="35"/>
  <c r="F201" i="36"/>
  <c r="J201" i="36"/>
  <c r="AD201" i="36"/>
  <c r="X200" i="35"/>
  <c r="AJ199" i="35"/>
  <c r="AI199" i="35"/>
  <c r="AF199" i="35"/>
  <c r="AE199" i="35"/>
  <c r="Z199" i="35"/>
  <c r="Y199" i="35"/>
  <c r="J200" i="36"/>
  <c r="AH199" i="35"/>
  <c r="AJ198" i="35"/>
  <c r="AH198" i="35"/>
  <c r="AF198" i="35"/>
  <c r="AD198" i="35"/>
  <c r="Z198" i="35"/>
  <c r="X198" i="35"/>
  <c r="F199" i="36"/>
  <c r="J199" i="36"/>
  <c r="AE199" i="36"/>
  <c r="AJ197" i="35"/>
  <c r="AI197" i="35"/>
  <c r="AF197" i="35"/>
  <c r="AE197" i="35"/>
  <c r="Z197" i="35"/>
  <c r="Y197" i="35"/>
  <c r="F197" i="36"/>
  <c r="J197" i="36"/>
  <c r="AD197" i="36"/>
  <c r="AJ196" i="35"/>
  <c r="AH196" i="35"/>
  <c r="AF196" i="35"/>
  <c r="AD196" i="35"/>
  <c r="Z196" i="35"/>
  <c r="X196" i="35"/>
  <c r="F196" i="36"/>
  <c r="J196" i="36"/>
  <c r="AE196" i="36"/>
  <c r="Y196" i="35"/>
  <c r="AJ195" i="35"/>
  <c r="AH195" i="35"/>
  <c r="AF195" i="35"/>
  <c r="AD195" i="35"/>
  <c r="Z195" i="35"/>
  <c r="X195" i="35"/>
  <c r="F195" i="36"/>
  <c r="J195" i="36"/>
  <c r="AE195" i="36"/>
  <c r="Y195" i="35"/>
  <c r="AJ194" i="35"/>
  <c r="AH194" i="35"/>
  <c r="AF194" i="35"/>
  <c r="AD194" i="35"/>
  <c r="Z194" i="35"/>
  <c r="X194" i="35"/>
  <c r="F194" i="36"/>
  <c r="J194" i="36"/>
  <c r="AE194" i="36"/>
  <c r="AJ193" i="35"/>
  <c r="AI193" i="35"/>
  <c r="AF193" i="35"/>
  <c r="AE193" i="35"/>
  <c r="Z193" i="35"/>
  <c r="Y193" i="35"/>
  <c r="F193" i="36"/>
  <c r="J193" i="36"/>
  <c r="AD193" i="36"/>
  <c r="AJ192" i="35"/>
  <c r="AI192" i="35"/>
  <c r="AF192" i="35"/>
  <c r="AE192" i="35"/>
  <c r="Z192" i="35"/>
  <c r="Y192" i="35"/>
  <c r="F192" i="36"/>
  <c r="J192" i="36"/>
  <c r="AD192" i="36"/>
  <c r="AJ191" i="35"/>
  <c r="AI191" i="35"/>
  <c r="AF191" i="35"/>
  <c r="AE191" i="35"/>
  <c r="Z191" i="35"/>
  <c r="Y191" i="35"/>
  <c r="F191" i="36"/>
  <c r="J191" i="36"/>
  <c r="AD191" i="36"/>
  <c r="X191" i="35"/>
  <c r="AJ190" i="35"/>
  <c r="AH190" i="35"/>
  <c r="AF190" i="35"/>
  <c r="AD190" i="35"/>
  <c r="Z190" i="35"/>
  <c r="X190" i="35"/>
  <c r="F190" i="36"/>
  <c r="J190" i="36"/>
  <c r="AE190" i="36"/>
  <c r="AJ189" i="35"/>
  <c r="AI189" i="35"/>
  <c r="AF189" i="35"/>
  <c r="AE189" i="35"/>
  <c r="Z189" i="35"/>
  <c r="Y189" i="35"/>
  <c r="F189" i="36"/>
  <c r="J189" i="36"/>
  <c r="AD189" i="36"/>
  <c r="X189" i="35"/>
  <c r="AJ188" i="35"/>
  <c r="AH188" i="35"/>
  <c r="AF188" i="35"/>
  <c r="AD188" i="35"/>
  <c r="Z188" i="35"/>
  <c r="X188" i="35"/>
  <c r="F188" i="36"/>
  <c r="J188" i="36"/>
  <c r="AE188" i="36"/>
  <c r="AI188" i="35"/>
  <c r="AJ187" i="35"/>
  <c r="AI187" i="35"/>
  <c r="AF187" i="35"/>
  <c r="AE187" i="35"/>
  <c r="Z187" i="35"/>
  <c r="Y187" i="35"/>
  <c r="F187" i="36"/>
  <c r="J187" i="36"/>
  <c r="AD187" i="36"/>
  <c r="AI186" i="35"/>
  <c r="AH186" i="35"/>
  <c r="AE186" i="35"/>
  <c r="AD186" i="35"/>
  <c r="Y186" i="35"/>
  <c r="X186" i="35"/>
  <c r="Z186" i="35"/>
  <c r="AJ185" i="35"/>
  <c r="AH185" i="35"/>
  <c r="AF185" i="35"/>
  <c r="AD185" i="35"/>
  <c r="Z185" i="35"/>
  <c r="X185" i="35"/>
  <c r="AI185" i="35"/>
  <c r="AJ184" i="35"/>
  <c r="AI184" i="35"/>
  <c r="AF184" i="35"/>
  <c r="AE184" i="35"/>
  <c r="Z184" i="35"/>
  <c r="Y184" i="35"/>
  <c r="F184" i="36"/>
  <c r="J184" i="36"/>
  <c r="AD184" i="36"/>
  <c r="X184" i="35"/>
  <c r="AC184" i="35"/>
  <c r="AJ183" i="35"/>
  <c r="AH183" i="35"/>
  <c r="AF183" i="35"/>
  <c r="AD183" i="35"/>
  <c r="Z183" i="35"/>
  <c r="X183" i="35"/>
  <c r="F183" i="36"/>
  <c r="J183" i="36"/>
  <c r="AE183" i="36"/>
  <c r="AJ182" i="35"/>
  <c r="AI182" i="35"/>
  <c r="AF182" i="35"/>
  <c r="AE182" i="35"/>
  <c r="Z182" i="35"/>
  <c r="Y182" i="35"/>
  <c r="F182" i="36"/>
  <c r="J182" i="36"/>
  <c r="AD182" i="36"/>
  <c r="AJ181" i="35"/>
  <c r="AI181" i="35"/>
  <c r="AF181" i="35"/>
  <c r="AE181" i="35"/>
  <c r="Z181" i="35"/>
  <c r="Y181" i="35"/>
  <c r="AJ180" i="35"/>
  <c r="AH180" i="35"/>
  <c r="AF180" i="35"/>
  <c r="AD180" i="35"/>
  <c r="Z180" i="35"/>
  <c r="X180" i="35"/>
  <c r="F180" i="36"/>
  <c r="J180" i="36"/>
  <c r="AE180" i="36"/>
  <c r="Y180" i="35"/>
  <c r="AJ179" i="35"/>
  <c r="AI179" i="35"/>
  <c r="AF179" i="35"/>
  <c r="AE179" i="35"/>
  <c r="Z179" i="35"/>
  <c r="Y179" i="35"/>
  <c r="F179" i="36"/>
  <c r="J179" i="36"/>
  <c r="AD179" i="36"/>
  <c r="X179" i="35"/>
  <c r="AC179" i="35"/>
  <c r="AJ178" i="35"/>
  <c r="AI178" i="35"/>
  <c r="AF178" i="35"/>
  <c r="AE178" i="35"/>
  <c r="Z178" i="35"/>
  <c r="Y178" i="35"/>
  <c r="F178" i="36"/>
  <c r="J178" i="36"/>
  <c r="AD178" i="36"/>
  <c r="AJ177" i="35"/>
  <c r="AI177" i="35"/>
  <c r="AF177" i="35"/>
  <c r="AE177" i="35"/>
  <c r="Z177" i="35"/>
  <c r="Y177" i="35"/>
  <c r="F177" i="36"/>
  <c r="J177" i="36"/>
  <c r="AD177" i="36"/>
  <c r="AJ176" i="35"/>
  <c r="AI176" i="35"/>
  <c r="AF176" i="35"/>
  <c r="AE176" i="35"/>
  <c r="Z176" i="35"/>
  <c r="Y176" i="35"/>
  <c r="F176" i="36"/>
  <c r="J176" i="36"/>
  <c r="AD176" i="36"/>
  <c r="X176" i="35"/>
  <c r="AJ175" i="35"/>
  <c r="AI175" i="35"/>
  <c r="AF175" i="35"/>
  <c r="AE175" i="35"/>
  <c r="Z175" i="35"/>
  <c r="Y175" i="35"/>
  <c r="F175" i="36"/>
  <c r="J175" i="36"/>
  <c r="AD175" i="36"/>
  <c r="AH175" i="35"/>
  <c r="AJ174" i="35"/>
  <c r="AH174" i="35"/>
  <c r="AF174" i="35"/>
  <c r="AD174" i="35"/>
  <c r="Z174" i="35"/>
  <c r="X174" i="35"/>
  <c r="F174" i="36"/>
  <c r="J174" i="36"/>
  <c r="AE174" i="36"/>
  <c r="AJ173" i="35"/>
  <c r="AI173" i="35"/>
  <c r="AF173" i="35"/>
  <c r="AE173" i="35"/>
  <c r="Z173" i="35"/>
  <c r="Y173" i="35"/>
  <c r="F173" i="36"/>
  <c r="J173" i="36"/>
  <c r="AD173" i="36"/>
  <c r="AH173" i="35"/>
  <c r="AJ172" i="35"/>
  <c r="AI172" i="35"/>
  <c r="AF172" i="35"/>
  <c r="AE172" i="35"/>
  <c r="Z172" i="35"/>
  <c r="Y172" i="35"/>
  <c r="X172" i="35"/>
  <c r="F172" i="36"/>
  <c r="J172" i="36"/>
  <c r="AD172" i="36"/>
  <c r="AH172" i="35"/>
  <c r="AJ171" i="35"/>
  <c r="AI171" i="35"/>
  <c r="AF171" i="35"/>
  <c r="AE171" i="35"/>
  <c r="Z171" i="35"/>
  <c r="Y171" i="35"/>
  <c r="F171" i="36"/>
  <c r="J171" i="36"/>
  <c r="AD171" i="36"/>
  <c r="X171" i="35"/>
  <c r="AJ170" i="35"/>
  <c r="AI170" i="35"/>
  <c r="AF170" i="35"/>
  <c r="AE170" i="35"/>
  <c r="Z170" i="35"/>
  <c r="Y170" i="35"/>
  <c r="Q170" i="35"/>
  <c r="V170" i="35"/>
  <c r="F170" i="36"/>
  <c r="J170" i="36"/>
  <c r="AD170" i="36"/>
  <c r="AJ169" i="35"/>
  <c r="Q169" i="35"/>
  <c r="AH169" i="35"/>
  <c r="AF169" i="35"/>
  <c r="Z169" i="35"/>
  <c r="X169" i="35"/>
  <c r="AJ168" i="35"/>
  <c r="AH168" i="35"/>
  <c r="AF168" i="35"/>
  <c r="AD168" i="35"/>
  <c r="Z168" i="35"/>
  <c r="X168" i="35"/>
  <c r="Q168" i="35"/>
  <c r="AJ167" i="35"/>
  <c r="AH167" i="35"/>
  <c r="AF167" i="35"/>
  <c r="AD167" i="35"/>
  <c r="Z167" i="35"/>
  <c r="X167" i="35"/>
  <c r="F167" i="36"/>
  <c r="J167" i="36"/>
  <c r="AE167" i="36"/>
  <c r="AJ166" i="35"/>
  <c r="AH166" i="35"/>
  <c r="AF166" i="35"/>
  <c r="AD166" i="35"/>
  <c r="Z166" i="35"/>
  <c r="X166" i="35"/>
  <c r="F166" i="36"/>
  <c r="J166" i="36"/>
  <c r="AE166" i="36"/>
  <c r="AI166" i="35"/>
  <c r="AJ165" i="35"/>
  <c r="AH165" i="35"/>
  <c r="AF165" i="35"/>
  <c r="AD165" i="35"/>
  <c r="Z165" i="35"/>
  <c r="X165" i="35"/>
  <c r="F165" i="36"/>
  <c r="J165" i="36"/>
  <c r="AE165" i="36"/>
  <c r="AI165" i="35"/>
  <c r="AJ164" i="35"/>
  <c r="AI164" i="35"/>
  <c r="AF164" i="35"/>
  <c r="AE164" i="35"/>
  <c r="Z164" i="35"/>
  <c r="Y164" i="35"/>
  <c r="F164" i="36"/>
  <c r="J164" i="36"/>
  <c r="AD164" i="36"/>
  <c r="X164" i="35"/>
  <c r="AJ163" i="35"/>
  <c r="AI163" i="35"/>
  <c r="AH163" i="35"/>
  <c r="AF163" i="35"/>
  <c r="AE163" i="35"/>
  <c r="Z163" i="35"/>
  <c r="Y163" i="35"/>
  <c r="F163" i="36"/>
  <c r="J163" i="36"/>
  <c r="AD163" i="36"/>
  <c r="X163" i="35"/>
  <c r="AJ162" i="35"/>
  <c r="AH162" i="35"/>
  <c r="AF162" i="35"/>
  <c r="AD162" i="35"/>
  <c r="Z162" i="35"/>
  <c r="X162" i="35"/>
  <c r="F162" i="36"/>
  <c r="J162" i="36"/>
  <c r="AE162" i="36"/>
  <c r="AJ161" i="35"/>
  <c r="AH161" i="35"/>
  <c r="AF161" i="35"/>
  <c r="AD161" i="35"/>
  <c r="Z161" i="35"/>
  <c r="X161" i="35"/>
  <c r="F161" i="36"/>
  <c r="J161" i="36"/>
  <c r="AE161" i="36"/>
  <c r="Y161" i="35"/>
  <c r="AJ160" i="35"/>
  <c r="AI160" i="35"/>
  <c r="AF160" i="35"/>
  <c r="AE160" i="35"/>
  <c r="Z160" i="35"/>
  <c r="Y160" i="35"/>
  <c r="F160" i="36"/>
  <c r="J160" i="36"/>
  <c r="AD160" i="36"/>
  <c r="X160" i="35"/>
  <c r="AI159" i="35"/>
  <c r="AH159" i="35"/>
  <c r="AE159" i="35"/>
  <c r="AD159" i="35"/>
  <c r="Y159" i="35"/>
  <c r="X159" i="35"/>
  <c r="F159" i="36"/>
  <c r="J159" i="36"/>
  <c r="AF159" i="36"/>
  <c r="AJ159" i="35"/>
  <c r="AJ158" i="35"/>
  <c r="AH158" i="35"/>
  <c r="AF158" i="35"/>
  <c r="AD158" i="35"/>
  <c r="Z158" i="35"/>
  <c r="X158" i="35"/>
  <c r="F158" i="36"/>
  <c r="J158" i="36"/>
  <c r="AE158" i="36"/>
  <c r="AI158" i="35"/>
  <c r="AJ157" i="35"/>
  <c r="AH157" i="35"/>
  <c r="AF157" i="35"/>
  <c r="AD157" i="35"/>
  <c r="Z157" i="35"/>
  <c r="X157" i="35"/>
  <c r="F157" i="36"/>
  <c r="J157" i="36"/>
  <c r="AE157" i="36"/>
  <c r="Y157" i="35"/>
  <c r="AI156" i="35"/>
  <c r="AH156" i="35"/>
  <c r="AE156" i="35"/>
  <c r="AD156" i="35"/>
  <c r="Y156" i="35"/>
  <c r="X156" i="35"/>
  <c r="F156" i="36"/>
  <c r="J156" i="36"/>
  <c r="AF156" i="36"/>
  <c r="AJ156" i="35"/>
  <c r="AJ155" i="35"/>
  <c r="AI155" i="35"/>
  <c r="AF155" i="35"/>
  <c r="AE155" i="35"/>
  <c r="Z155" i="35"/>
  <c r="Y155" i="35"/>
  <c r="F155" i="36"/>
  <c r="J155" i="36"/>
  <c r="AD155" i="36"/>
  <c r="X155" i="35"/>
  <c r="AJ154" i="35"/>
  <c r="AI154" i="35"/>
  <c r="AF154" i="35"/>
  <c r="AE154" i="35"/>
  <c r="Z154" i="35"/>
  <c r="Y154" i="35"/>
  <c r="F154" i="36"/>
  <c r="J154" i="36"/>
  <c r="AD154" i="36"/>
  <c r="AI153" i="35"/>
  <c r="AH153" i="35"/>
  <c r="AE153" i="35"/>
  <c r="AD153" i="35"/>
  <c r="Y153" i="35"/>
  <c r="X153" i="35"/>
  <c r="F153" i="36"/>
  <c r="J153" i="36"/>
  <c r="AF153" i="36"/>
  <c r="Z153" i="35"/>
  <c r="AJ152" i="35"/>
  <c r="AI152" i="35"/>
  <c r="AF152" i="35"/>
  <c r="AE152" i="35"/>
  <c r="Z152" i="35"/>
  <c r="Y152" i="35"/>
  <c r="F152" i="36"/>
  <c r="J152" i="36"/>
  <c r="AD152" i="36"/>
  <c r="X152" i="35"/>
  <c r="AJ151" i="35"/>
  <c r="AH151" i="35"/>
  <c r="AF151" i="35"/>
  <c r="AD151" i="35"/>
  <c r="Z151" i="35"/>
  <c r="X151" i="35"/>
  <c r="F151" i="36"/>
  <c r="J151" i="36"/>
  <c r="AE151" i="36"/>
  <c r="AJ150" i="35"/>
  <c r="AH150" i="35"/>
  <c r="AF150" i="35"/>
  <c r="AD150" i="35"/>
  <c r="Z150" i="35"/>
  <c r="X150" i="35"/>
  <c r="F150" i="36"/>
  <c r="J150" i="36"/>
  <c r="AE150" i="36"/>
  <c r="AI150" i="35"/>
  <c r="AI149" i="35"/>
  <c r="AH149" i="35"/>
  <c r="AE149" i="35"/>
  <c r="AD149" i="35"/>
  <c r="Y149" i="35"/>
  <c r="X149" i="35"/>
  <c r="F149" i="36"/>
  <c r="J149" i="36"/>
  <c r="AF149" i="36"/>
  <c r="Z149" i="35"/>
  <c r="AJ148" i="35"/>
  <c r="AI148" i="35"/>
  <c r="AF148" i="35"/>
  <c r="AE148" i="35"/>
  <c r="Z148" i="35"/>
  <c r="Y148" i="35"/>
  <c r="F148" i="36"/>
  <c r="J148" i="36"/>
  <c r="AD148" i="36"/>
  <c r="X148" i="35"/>
  <c r="AJ147" i="35"/>
  <c r="AI147" i="35"/>
  <c r="AF147" i="35"/>
  <c r="AE147" i="35"/>
  <c r="Z147" i="35"/>
  <c r="Y147" i="35"/>
  <c r="F147" i="36"/>
  <c r="J147" i="36"/>
  <c r="AD147" i="36"/>
  <c r="X147" i="35"/>
  <c r="AJ146" i="35"/>
  <c r="AH146" i="35"/>
  <c r="AF146" i="35"/>
  <c r="AD146" i="35"/>
  <c r="Z146" i="35"/>
  <c r="X146" i="35"/>
  <c r="F146" i="36"/>
  <c r="J146" i="36"/>
  <c r="AE146" i="36"/>
  <c r="AI146" i="35"/>
  <c r="AJ145" i="35"/>
  <c r="AH145" i="35"/>
  <c r="AF145" i="35"/>
  <c r="AD145" i="35"/>
  <c r="Z145" i="35"/>
  <c r="X145" i="35"/>
  <c r="F145" i="36"/>
  <c r="J145" i="36"/>
  <c r="AE145" i="36"/>
  <c r="Y145" i="35"/>
  <c r="AJ144" i="35"/>
  <c r="AI144" i="35"/>
  <c r="AF144" i="35"/>
  <c r="AE144" i="35"/>
  <c r="Z144" i="35"/>
  <c r="Y144" i="35"/>
  <c r="F144" i="36"/>
  <c r="J144" i="36"/>
  <c r="AD144" i="36"/>
  <c r="AH144" i="35"/>
  <c r="AJ143" i="35"/>
  <c r="AI143" i="35"/>
  <c r="AF143" i="35"/>
  <c r="AE143" i="35"/>
  <c r="Z143" i="35"/>
  <c r="Y143" i="35"/>
  <c r="F143" i="36"/>
  <c r="J143" i="36"/>
  <c r="AD143" i="36"/>
  <c r="X143" i="35"/>
  <c r="AC143" i="35"/>
  <c r="AJ142" i="35"/>
  <c r="AI142" i="35"/>
  <c r="AF142" i="35"/>
  <c r="AE142" i="35"/>
  <c r="Z142" i="35"/>
  <c r="Y142" i="35"/>
  <c r="F142" i="36"/>
  <c r="J142" i="36"/>
  <c r="AD142" i="36"/>
  <c r="AJ141" i="35"/>
  <c r="AI141" i="35"/>
  <c r="AF141" i="35"/>
  <c r="AE141" i="35"/>
  <c r="Z141" i="35"/>
  <c r="Y141" i="35"/>
  <c r="X141" i="35"/>
  <c r="F141" i="36"/>
  <c r="J141" i="36"/>
  <c r="AD141" i="36"/>
  <c r="AH141" i="35"/>
  <c r="AJ140" i="35"/>
  <c r="AI140" i="35"/>
  <c r="AF140" i="35"/>
  <c r="AE140" i="35"/>
  <c r="Z140" i="35"/>
  <c r="Y140" i="35"/>
  <c r="F140" i="36"/>
  <c r="J140" i="36"/>
  <c r="AD140" i="36"/>
  <c r="X140" i="35"/>
  <c r="AJ139" i="35"/>
  <c r="AI139" i="35"/>
  <c r="AF139" i="35"/>
  <c r="AE139" i="35"/>
  <c r="Z139" i="35"/>
  <c r="Y139" i="35"/>
  <c r="F139" i="36"/>
  <c r="J139" i="36"/>
  <c r="AD139" i="36"/>
  <c r="X139" i="35"/>
  <c r="AJ138" i="35"/>
  <c r="AI138" i="35"/>
  <c r="AF138" i="35"/>
  <c r="AE138" i="35"/>
  <c r="Z138" i="35"/>
  <c r="Y138" i="35"/>
  <c r="F138" i="36"/>
  <c r="J138" i="36"/>
  <c r="AD138" i="36"/>
  <c r="AJ137" i="35"/>
  <c r="AI137" i="35"/>
  <c r="AF137" i="35"/>
  <c r="AE137" i="35"/>
  <c r="Z137" i="35"/>
  <c r="Y137" i="35"/>
  <c r="F137" i="36"/>
  <c r="J137" i="36"/>
  <c r="AD137" i="36"/>
  <c r="X137" i="35"/>
  <c r="AJ136" i="35"/>
  <c r="AI136" i="35"/>
  <c r="AF136" i="35"/>
  <c r="AE136" i="35"/>
  <c r="Z136" i="35"/>
  <c r="Y136" i="35"/>
  <c r="X136" i="35"/>
  <c r="F136" i="36"/>
  <c r="J136" i="36"/>
  <c r="AD136" i="36"/>
  <c r="AH136" i="35"/>
  <c r="AJ135" i="35"/>
  <c r="AI135" i="35"/>
  <c r="AF135" i="35"/>
  <c r="AE135" i="35"/>
  <c r="Z135" i="35"/>
  <c r="Y135" i="35"/>
  <c r="F135" i="36"/>
  <c r="J135" i="36"/>
  <c r="AD135" i="36"/>
  <c r="AJ134" i="35"/>
  <c r="AH134" i="35"/>
  <c r="AF134" i="35"/>
  <c r="AD134" i="35"/>
  <c r="Z134" i="35"/>
  <c r="X134" i="35"/>
  <c r="AI134" i="35"/>
  <c r="AJ133" i="35"/>
  <c r="AI133" i="35"/>
  <c r="AF133" i="35"/>
  <c r="AE133" i="35"/>
  <c r="Z133" i="35"/>
  <c r="Y133" i="35"/>
  <c r="AH133" i="35"/>
  <c r="AJ132" i="35"/>
  <c r="AH132" i="35"/>
  <c r="AF132" i="35"/>
  <c r="AD132" i="35"/>
  <c r="Z132" i="35"/>
  <c r="X132" i="35"/>
  <c r="F132" i="36"/>
  <c r="J132" i="36"/>
  <c r="AE132" i="36"/>
  <c r="AJ131" i="35"/>
  <c r="AH131" i="35"/>
  <c r="AF131" i="35"/>
  <c r="AD131" i="35"/>
  <c r="Z131" i="35"/>
  <c r="X131" i="35"/>
  <c r="F131" i="36"/>
  <c r="J131" i="36"/>
  <c r="AE131" i="36"/>
  <c r="AI131" i="35"/>
  <c r="AI130" i="35"/>
  <c r="AH130" i="35"/>
  <c r="AE130" i="35"/>
  <c r="AD130" i="35"/>
  <c r="Y130" i="35"/>
  <c r="X130" i="35"/>
  <c r="AJ129" i="35"/>
  <c r="AI129" i="35"/>
  <c r="AF129" i="35"/>
  <c r="AE129" i="35"/>
  <c r="Z129" i="35"/>
  <c r="Y129" i="35"/>
  <c r="F129" i="36"/>
  <c r="J129" i="36"/>
  <c r="AD129" i="36"/>
  <c r="X129" i="35"/>
  <c r="AJ128" i="35"/>
  <c r="AI128" i="35"/>
  <c r="AF128" i="35"/>
  <c r="AE128" i="35"/>
  <c r="Z128" i="35"/>
  <c r="Y128" i="35"/>
  <c r="F128" i="36"/>
  <c r="J128" i="36"/>
  <c r="AD128" i="36"/>
  <c r="AJ127" i="35"/>
  <c r="AH127" i="35"/>
  <c r="AF127" i="35"/>
  <c r="AD127" i="35"/>
  <c r="Z127" i="35"/>
  <c r="X127" i="35"/>
  <c r="F127" i="36"/>
  <c r="J127" i="36"/>
  <c r="AE127" i="36"/>
  <c r="Y127" i="35"/>
  <c r="AJ126" i="35"/>
  <c r="AI126" i="35"/>
  <c r="AF126" i="35"/>
  <c r="AE126" i="35"/>
  <c r="Z126" i="35"/>
  <c r="Y126" i="35"/>
  <c r="F126" i="36"/>
  <c r="J126" i="36"/>
  <c r="AD126" i="36"/>
  <c r="X126" i="35"/>
  <c r="AJ125" i="35"/>
  <c r="AI125" i="35"/>
  <c r="AF125" i="35"/>
  <c r="AE125" i="35"/>
  <c r="Z125" i="35"/>
  <c r="Y125" i="35"/>
  <c r="F125" i="36"/>
  <c r="J125" i="36"/>
  <c r="AD125" i="36"/>
  <c r="AJ124" i="35"/>
  <c r="AI124" i="35"/>
  <c r="AF124" i="35"/>
  <c r="AE124" i="35"/>
  <c r="Z124" i="35"/>
  <c r="Y124" i="35"/>
  <c r="F124" i="36"/>
  <c r="J124" i="36"/>
  <c r="AD124" i="36"/>
  <c r="AH124" i="35"/>
  <c r="AJ123" i="35"/>
  <c r="AI123" i="35"/>
  <c r="AF123" i="35"/>
  <c r="AE123" i="35"/>
  <c r="Z123" i="35"/>
  <c r="Y123" i="35"/>
  <c r="F123" i="36"/>
  <c r="J123" i="36"/>
  <c r="AD123" i="36"/>
  <c r="AH123" i="35"/>
  <c r="AJ122" i="35"/>
  <c r="AI122" i="35"/>
  <c r="AF122" i="35"/>
  <c r="AE122" i="35"/>
  <c r="Z122" i="35"/>
  <c r="Y122" i="35"/>
  <c r="F122" i="36"/>
  <c r="J122" i="36"/>
  <c r="AD122" i="36"/>
  <c r="X122" i="35"/>
  <c r="AJ121" i="35"/>
  <c r="AI121" i="35"/>
  <c r="AF121" i="35"/>
  <c r="AE121" i="35"/>
  <c r="Z121" i="35"/>
  <c r="Y121" i="35"/>
  <c r="F121" i="36"/>
  <c r="J121" i="36"/>
  <c r="AD121" i="36"/>
  <c r="AJ120" i="35"/>
  <c r="AI120" i="35"/>
  <c r="AF120" i="35"/>
  <c r="AE120" i="35"/>
  <c r="Z120" i="35"/>
  <c r="Y120" i="35"/>
  <c r="F120" i="36"/>
  <c r="J120" i="36"/>
  <c r="AD120" i="36"/>
  <c r="AH120" i="35"/>
  <c r="AJ119" i="35"/>
  <c r="AH119" i="35"/>
  <c r="AF119" i="35"/>
  <c r="AD119" i="35"/>
  <c r="Z119" i="35"/>
  <c r="X119" i="35"/>
  <c r="F119" i="36"/>
  <c r="J119" i="36"/>
  <c r="AE119" i="36"/>
  <c r="AI119" i="35"/>
  <c r="AJ118" i="35"/>
  <c r="AH118" i="35"/>
  <c r="AF118" i="35"/>
  <c r="AD118" i="35"/>
  <c r="Z118" i="35"/>
  <c r="X118" i="35"/>
  <c r="F118" i="36"/>
  <c r="J118" i="36"/>
  <c r="AE118" i="36"/>
  <c r="AJ117" i="35"/>
  <c r="AI117" i="35"/>
  <c r="AF117" i="35"/>
  <c r="AE117" i="35"/>
  <c r="Z117" i="35"/>
  <c r="Y117" i="35"/>
  <c r="F117" i="36"/>
  <c r="J117" i="36"/>
  <c r="AD117" i="36"/>
  <c r="AJ116" i="35"/>
  <c r="AI116" i="35"/>
  <c r="AF116" i="35"/>
  <c r="AE116" i="35"/>
  <c r="Z116" i="35"/>
  <c r="Y116" i="35"/>
  <c r="F116" i="36"/>
  <c r="J116" i="36"/>
  <c r="AD116" i="36"/>
  <c r="AJ115" i="35"/>
  <c r="AI115" i="35"/>
  <c r="AF115" i="35"/>
  <c r="AE115" i="35"/>
  <c r="Z115" i="35"/>
  <c r="Y115" i="35"/>
  <c r="F115" i="36"/>
  <c r="J115" i="36"/>
  <c r="AD115" i="36"/>
  <c r="X115" i="35"/>
  <c r="AJ114" i="35"/>
  <c r="AI114" i="35"/>
  <c r="AF114" i="35"/>
  <c r="AE114" i="35"/>
  <c r="Z114" i="35"/>
  <c r="Y114" i="35"/>
  <c r="F114" i="36"/>
  <c r="J114" i="36"/>
  <c r="AD114" i="36"/>
  <c r="AH114" i="35"/>
  <c r="I236" i="35"/>
  <c r="AJ113" i="35"/>
  <c r="AI113" i="35"/>
  <c r="AF113" i="35"/>
  <c r="AE113" i="35"/>
  <c r="Z113" i="35"/>
  <c r="Y113" i="35"/>
  <c r="X113" i="35"/>
  <c r="F113" i="36"/>
  <c r="J113" i="36"/>
  <c r="AD113" i="36"/>
  <c r="AH113" i="35"/>
  <c r="AJ112" i="35"/>
  <c r="AI112" i="35"/>
  <c r="AF112" i="35"/>
  <c r="AE112" i="35"/>
  <c r="Z112" i="35"/>
  <c r="Y112" i="35"/>
  <c r="F112" i="36"/>
  <c r="J112" i="36"/>
  <c r="AD112" i="36"/>
  <c r="X112" i="35"/>
  <c r="AJ111" i="35"/>
  <c r="AI111" i="35"/>
  <c r="AF111" i="35"/>
  <c r="AE111" i="35"/>
  <c r="Z111" i="35"/>
  <c r="Y111" i="35"/>
  <c r="F111" i="36"/>
  <c r="J111" i="36"/>
  <c r="AD111" i="36"/>
  <c r="AJ109" i="35"/>
  <c r="AI109" i="35"/>
  <c r="AF109" i="35"/>
  <c r="AE109" i="35"/>
  <c r="Z109" i="35"/>
  <c r="Y109" i="35"/>
  <c r="F109" i="36"/>
  <c r="J109" i="36"/>
  <c r="AD109" i="36"/>
  <c r="AH109" i="35"/>
  <c r="AJ108" i="35"/>
  <c r="AI108" i="35"/>
  <c r="AF108" i="35"/>
  <c r="AE108" i="35"/>
  <c r="Z108" i="35"/>
  <c r="Y108" i="35"/>
  <c r="F108" i="36"/>
  <c r="J108" i="36"/>
  <c r="AD108" i="36"/>
  <c r="AH108" i="35"/>
  <c r="AJ110" i="35"/>
  <c r="AI110" i="35"/>
  <c r="AF110" i="35"/>
  <c r="AE110" i="35"/>
  <c r="Z110" i="35"/>
  <c r="Y110" i="35"/>
  <c r="F110" i="36"/>
  <c r="J110" i="36"/>
  <c r="AD110" i="36"/>
  <c r="X110" i="35"/>
  <c r="AJ107" i="35"/>
  <c r="AI107" i="35"/>
  <c r="AF107" i="35"/>
  <c r="AE107" i="35"/>
  <c r="Z107" i="35"/>
  <c r="Y107" i="35"/>
  <c r="F107" i="36"/>
  <c r="J107" i="36"/>
  <c r="AD107" i="36"/>
  <c r="AJ106" i="35"/>
  <c r="AI106" i="35"/>
  <c r="AF106" i="35"/>
  <c r="AE106" i="35"/>
  <c r="Z106" i="35"/>
  <c r="Y106" i="35"/>
  <c r="F106" i="36"/>
  <c r="J106" i="36"/>
  <c r="AD106" i="36"/>
  <c r="X106" i="35"/>
  <c r="AJ105" i="35"/>
  <c r="AI105" i="35"/>
  <c r="AF105" i="35"/>
  <c r="AE105" i="35"/>
  <c r="Z105" i="35"/>
  <c r="Y105" i="35"/>
  <c r="F105" i="36"/>
  <c r="J105" i="36"/>
  <c r="AD105" i="36"/>
  <c r="AH105" i="35"/>
  <c r="AJ104" i="35"/>
  <c r="AI104" i="35"/>
  <c r="AF104" i="35"/>
  <c r="AE104" i="35"/>
  <c r="Z104" i="35"/>
  <c r="Y104" i="35"/>
  <c r="F104" i="36"/>
  <c r="J104" i="36"/>
  <c r="AD104" i="36"/>
  <c r="AJ103" i="35"/>
  <c r="AI103" i="35"/>
  <c r="AF103" i="35"/>
  <c r="AE103" i="35"/>
  <c r="Z103" i="35"/>
  <c r="Y103" i="35"/>
  <c r="J103" i="36"/>
  <c r="AJ102" i="35"/>
  <c r="AI102" i="35"/>
  <c r="AF102" i="35"/>
  <c r="AE102" i="35"/>
  <c r="Z102" i="35"/>
  <c r="Y102" i="35"/>
  <c r="F102" i="36"/>
  <c r="J102" i="36"/>
  <c r="AD102" i="36"/>
  <c r="X102" i="35"/>
  <c r="AC102" i="35"/>
  <c r="AJ101" i="35"/>
  <c r="AH101" i="35"/>
  <c r="AF101" i="35"/>
  <c r="AD101" i="35"/>
  <c r="Z101" i="35"/>
  <c r="X101" i="35"/>
  <c r="F101" i="36"/>
  <c r="J101" i="36"/>
  <c r="AE101" i="36"/>
  <c r="Y101" i="35"/>
  <c r="AJ100" i="35"/>
  <c r="AH100" i="35"/>
  <c r="AF100" i="35"/>
  <c r="AD100" i="35"/>
  <c r="Z100" i="35"/>
  <c r="X100" i="35"/>
  <c r="F100" i="36"/>
  <c r="J100" i="36"/>
  <c r="AE100" i="36"/>
  <c r="Y100" i="35"/>
  <c r="AJ99" i="35"/>
  <c r="AH99" i="35"/>
  <c r="AF99" i="35"/>
  <c r="AD99" i="35"/>
  <c r="Z99" i="35"/>
  <c r="X99" i="35"/>
  <c r="F99" i="36"/>
  <c r="J99" i="36"/>
  <c r="AE99" i="36"/>
  <c r="AJ98" i="35"/>
  <c r="AH98" i="35"/>
  <c r="AF98" i="35"/>
  <c r="AD98" i="35"/>
  <c r="Z98" i="35"/>
  <c r="X98" i="35"/>
  <c r="F98" i="36"/>
  <c r="J98" i="36"/>
  <c r="AE98" i="36"/>
  <c r="AI98" i="35"/>
  <c r="AJ97" i="35"/>
  <c r="AI97" i="35"/>
  <c r="AF97" i="35"/>
  <c r="AE97" i="35"/>
  <c r="Z97" i="35"/>
  <c r="Y97" i="35"/>
  <c r="F97" i="36"/>
  <c r="J97" i="36"/>
  <c r="AD97" i="36"/>
  <c r="AH97" i="35"/>
  <c r="AJ96" i="35"/>
  <c r="AH96" i="35"/>
  <c r="AF96" i="35"/>
  <c r="AD96" i="35"/>
  <c r="Z96" i="35"/>
  <c r="X96" i="35"/>
  <c r="F96" i="36"/>
  <c r="J96" i="36"/>
  <c r="AE96" i="36"/>
  <c r="AJ95" i="35"/>
  <c r="AH95" i="35"/>
  <c r="AF95" i="35"/>
  <c r="AD95" i="35"/>
  <c r="Z95" i="35"/>
  <c r="X95" i="35"/>
  <c r="F95" i="36"/>
  <c r="J95" i="36"/>
  <c r="AE95" i="36"/>
  <c r="AI94" i="35"/>
  <c r="AH94" i="35"/>
  <c r="AE94" i="35"/>
  <c r="AD94" i="35"/>
  <c r="Y94" i="35"/>
  <c r="X94" i="35"/>
  <c r="F94" i="36"/>
  <c r="J94" i="36"/>
  <c r="AF94" i="36"/>
  <c r="AJ94" i="35"/>
  <c r="AI93" i="35"/>
  <c r="AH93" i="35"/>
  <c r="AE93" i="35"/>
  <c r="AD93" i="35"/>
  <c r="Y93" i="35"/>
  <c r="X93" i="35"/>
  <c r="F93" i="36"/>
  <c r="J93" i="36"/>
  <c r="AF93" i="36"/>
  <c r="Z93" i="35"/>
  <c r="AJ92" i="35"/>
  <c r="AI92" i="35"/>
  <c r="AF92" i="35"/>
  <c r="AE92" i="35"/>
  <c r="Z92" i="35"/>
  <c r="Y92" i="35"/>
  <c r="F92" i="36"/>
  <c r="J92" i="36"/>
  <c r="AD92" i="36"/>
  <c r="AH92" i="35"/>
  <c r="AJ91" i="35"/>
  <c r="AI91" i="35"/>
  <c r="AF91" i="35"/>
  <c r="AE91" i="35"/>
  <c r="Z91" i="35"/>
  <c r="Y91" i="35"/>
  <c r="F91" i="36"/>
  <c r="J91" i="36"/>
  <c r="AD91" i="36"/>
  <c r="AH91" i="35"/>
  <c r="AJ90" i="35"/>
  <c r="AI90" i="35"/>
  <c r="AF90" i="35"/>
  <c r="AE90" i="35"/>
  <c r="Z90" i="35"/>
  <c r="Y90" i="35"/>
  <c r="F90" i="36"/>
  <c r="J90" i="36"/>
  <c r="AD90" i="36"/>
  <c r="X90" i="35"/>
  <c r="AC90" i="35"/>
  <c r="AJ89" i="35"/>
  <c r="AI89" i="35"/>
  <c r="AF89" i="35"/>
  <c r="AE89" i="35"/>
  <c r="Z89" i="35"/>
  <c r="Y89" i="35"/>
  <c r="F89" i="36"/>
  <c r="J89" i="36"/>
  <c r="AD89" i="36"/>
  <c r="AJ88" i="35"/>
  <c r="AI88" i="35"/>
  <c r="AF88" i="35"/>
  <c r="AE88" i="35"/>
  <c r="Z88" i="35"/>
  <c r="Y88" i="35"/>
  <c r="X88" i="35"/>
  <c r="F88" i="36"/>
  <c r="J88" i="36"/>
  <c r="AD88" i="36"/>
  <c r="AH88" i="35"/>
  <c r="AJ87" i="35"/>
  <c r="AI87" i="35"/>
  <c r="AF87" i="35"/>
  <c r="AE87" i="35"/>
  <c r="Z87" i="35"/>
  <c r="Y87" i="35"/>
  <c r="X87" i="35"/>
  <c r="F87" i="36"/>
  <c r="J87" i="36"/>
  <c r="AD87" i="36"/>
  <c r="AH87" i="35"/>
  <c r="AJ86" i="35"/>
  <c r="AI86" i="35"/>
  <c r="AF86" i="35"/>
  <c r="AE86" i="35"/>
  <c r="Z86" i="35"/>
  <c r="Y86" i="35"/>
  <c r="F86" i="36"/>
  <c r="J86" i="36"/>
  <c r="AD86" i="36"/>
  <c r="AH86" i="35"/>
  <c r="AJ85" i="35"/>
  <c r="AH85" i="35"/>
  <c r="AF85" i="35"/>
  <c r="AD85" i="35"/>
  <c r="Z85" i="35"/>
  <c r="X85" i="35"/>
  <c r="F85" i="36"/>
  <c r="J85" i="36"/>
  <c r="AE85" i="36"/>
  <c r="AJ84" i="35"/>
  <c r="AH84" i="35"/>
  <c r="AF84" i="35"/>
  <c r="AD84" i="35"/>
  <c r="Z84" i="35"/>
  <c r="X84" i="35"/>
  <c r="F84" i="36"/>
  <c r="J84" i="36"/>
  <c r="AE84" i="36"/>
  <c r="AI84" i="35"/>
  <c r="AJ83" i="35"/>
  <c r="AH83" i="35"/>
  <c r="AF83" i="35"/>
  <c r="AD83" i="35"/>
  <c r="Z83" i="35"/>
  <c r="X83" i="35"/>
  <c r="F83" i="36"/>
  <c r="J83" i="36"/>
  <c r="AE83" i="36"/>
  <c r="Y83" i="35"/>
  <c r="AJ82" i="35"/>
  <c r="AI82" i="35"/>
  <c r="AF82" i="35"/>
  <c r="AE82" i="35"/>
  <c r="Z82" i="35"/>
  <c r="Y82" i="35"/>
  <c r="F82" i="36"/>
  <c r="J82" i="36"/>
  <c r="AD82" i="36"/>
  <c r="X82" i="35"/>
  <c r="AJ81" i="35"/>
  <c r="AH81" i="35"/>
  <c r="AF81" i="35"/>
  <c r="AD81" i="35"/>
  <c r="Z81" i="35"/>
  <c r="X81" i="35"/>
  <c r="F81" i="36"/>
  <c r="J81" i="36"/>
  <c r="AE81" i="36"/>
  <c r="AJ80" i="35"/>
  <c r="AH80" i="35"/>
  <c r="AF80" i="35"/>
  <c r="AD80" i="35"/>
  <c r="Z80" i="35"/>
  <c r="X80" i="35"/>
  <c r="F80" i="36"/>
  <c r="J80" i="36"/>
  <c r="AE80" i="36"/>
  <c r="AJ79" i="35"/>
  <c r="AI79" i="35"/>
  <c r="AF79" i="35"/>
  <c r="AE79" i="35"/>
  <c r="Z79" i="35"/>
  <c r="Y79" i="35"/>
  <c r="F79" i="36"/>
  <c r="J79" i="36"/>
  <c r="AD79" i="36"/>
  <c r="AJ78" i="35"/>
  <c r="AI78" i="35"/>
  <c r="AF78" i="35"/>
  <c r="AE78" i="35"/>
  <c r="Z78" i="35"/>
  <c r="Y78" i="35"/>
  <c r="F78" i="36"/>
  <c r="J78" i="36"/>
  <c r="AD78" i="36"/>
  <c r="X78" i="35"/>
  <c r="AJ77" i="35"/>
  <c r="AI77" i="35"/>
  <c r="AF77" i="35"/>
  <c r="AE77" i="35"/>
  <c r="Z77" i="35"/>
  <c r="Y77" i="35"/>
  <c r="F77" i="36"/>
  <c r="J77" i="36"/>
  <c r="AD77" i="36"/>
  <c r="AJ76" i="35"/>
  <c r="AH76" i="35"/>
  <c r="AF76" i="35"/>
  <c r="AD76" i="35"/>
  <c r="Z76" i="35"/>
  <c r="X76" i="35"/>
  <c r="F76" i="36"/>
  <c r="J76" i="36"/>
  <c r="AE76" i="36"/>
  <c r="AJ75" i="35"/>
  <c r="AI75" i="35"/>
  <c r="AF75" i="35"/>
  <c r="AE75" i="35"/>
  <c r="Z75" i="35"/>
  <c r="Y75" i="35"/>
  <c r="F75" i="36"/>
  <c r="J75" i="36"/>
  <c r="AD75" i="36"/>
  <c r="X75" i="35"/>
  <c r="AJ74" i="35"/>
  <c r="AI74" i="35"/>
  <c r="AF74" i="35"/>
  <c r="AE74" i="35"/>
  <c r="Z74" i="35"/>
  <c r="Y74" i="35"/>
  <c r="F74" i="36"/>
  <c r="J74" i="36"/>
  <c r="AD74" i="36"/>
  <c r="X74" i="35"/>
  <c r="AJ73" i="35"/>
  <c r="AI73" i="35"/>
  <c r="AF73" i="35"/>
  <c r="AE73" i="35"/>
  <c r="Z73" i="35"/>
  <c r="Y73" i="35"/>
  <c r="F73" i="36"/>
  <c r="J73" i="36"/>
  <c r="AD73" i="36"/>
  <c r="X73" i="35"/>
  <c r="AJ72" i="35"/>
  <c r="AI72" i="35"/>
  <c r="AF72" i="35"/>
  <c r="AE72" i="35"/>
  <c r="Z72" i="35"/>
  <c r="Y72" i="35"/>
  <c r="F72" i="36"/>
  <c r="J72" i="36"/>
  <c r="AD72" i="36"/>
  <c r="AJ71" i="35"/>
  <c r="AI71" i="35"/>
  <c r="AF71" i="35"/>
  <c r="AE71" i="35"/>
  <c r="Z71" i="35"/>
  <c r="Y71" i="35"/>
  <c r="F71" i="36"/>
  <c r="J71" i="36"/>
  <c r="AD71" i="36"/>
  <c r="AJ70" i="35"/>
  <c r="AI70" i="35"/>
  <c r="AF70" i="35"/>
  <c r="AE70" i="35"/>
  <c r="Z70" i="35"/>
  <c r="Y70" i="35"/>
  <c r="F70" i="36"/>
  <c r="J70" i="36"/>
  <c r="AD70" i="36"/>
  <c r="X70" i="35"/>
  <c r="AJ69" i="35"/>
  <c r="AI69" i="35"/>
  <c r="AF69" i="35"/>
  <c r="AE69" i="35"/>
  <c r="Z69" i="35"/>
  <c r="Y69" i="35"/>
  <c r="F69" i="36"/>
  <c r="J69" i="36"/>
  <c r="AD69" i="36"/>
  <c r="AH69" i="35"/>
  <c r="AJ68" i="35"/>
  <c r="AI68" i="35"/>
  <c r="AF68" i="35"/>
  <c r="AE68" i="35"/>
  <c r="Z68" i="35"/>
  <c r="Y68" i="35"/>
  <c r="F68" i="36"/>
  <c r="J68" i="36"/>
  <c r="AD68" i="36"/>
  <c r="X68" i="35"/>
  <c r="AJ67" i="35"/>
  <c r="AI67" i="35"/>
  <c r="AF67" i="35"/>
  <c r="AE67" i="35"/>
  <c r="Z67" i="35"/>
  <c r="Y67" i="35"/>
  <c r="F67" i="36"/>
  <c r="J67" i="36"/>
  <c r="AD67" i="36"/>
  <c r="AH67" i="35"/>
  <c r="AJ66" i="35"/>
  <c r="AI66" i="35"/>
  <c r="AF66" i="35"/>
  <c r="AE66" i="35"/>
  <c r="Z66" i="35"/>
  <c r="Y66" i="35"/>
  <c r="F66" i="36"/>
  <c r="J66" i="36"/>
  <c r="AD66" i="36"/>
  <c r="X66" i="35"/>
  <c r="AJ65" i="35"/>
  <c r="AI65" i="35"/>
  <c r="AF65" i="35"/>
  <c r="AE65" i="35"/>
  <c r="Z65" i="35"/>
  <c r="Y65" i="35"/>
  <c r="F65" i="36"/>
  <c r="J65" i="36"/>
  <c r="AD65" i="36"/>
  <c r="AH65" i="35"/>
  <c r="AJ64" i="35"/>
  <c r="AI64" i="35"/>
  <c r="AF64" i="35"/>
  <c r="AE64" i="35"/>
  <c r="Z64" i="35"/>
  <c r="Y64" i="35"/>
  <c r="F64" i="36"/>
  <c r="J64" i="36"/>
  <c r="AD64" i="36"/>
  <c r="AJ63" i="35"/>
  <c r="AI63" i="35"/>
  <c r="AF63" i="35"/>
  <c r="AE63" i="35"/>
  <c r="Z63" i="35"/>
  <c r="Y63" i="35"/>
  <c r="F63" i="36"/>
  <c r="J63" i="36"/>
  <c r="AD63" i="36"/>
  <c r="AH63" i="35"/>
  <c r="AI62" i="35"/>
  <c r="AH62" i="35"/>
  <c r="AE62" i="35"/>
  <c r="AD62" i="35"/>
  <c r="Y62" i="35"/>
  <c r="X62" i="35"/>
  <c r="F62" i="36"/>
  <c r="J62" i="36"/>
  <c r="AF62" i="36"/>
  <c r="Z62" i="35"/>
  <c r="AJ61" i="35"/>
  <c r="AH61" i="35"/>
  <c r="AF61" i="35"/>
  <c r="AD61" i="35"/>
  <c r="Z61" i="35"/>
  <c r="X61" i="35"/>
  <c r="F61" i="36"/>
  <c r="J61" i="36"/>
  <c r="AE61" i="36"/>
  <c r="Y61" i="35"/>
  <c r="AJ60" i="35"/>
  <c r="AH60" i="35"/>
  <c r="AF60" i="35"/>
  <c r="AD60" i="35"/>
  <c r="Z60" i="35"/>
  <c r="X60" i="35"/>
  <c r="F60" i="36"/>
  <c r="J60" i="36"/>
  <c r="AE60" i="36"/>
  <c r="AJ59" i="35"/>
  <c r="AI59" i="35"/>
  <c r="AF59" i="35"/>
  <c r="AE59" i="35"/>
  <c r="Z59" i="35"/>
  <c r="Y59" i="35"/>
  <c r="F59" i="36"/>
  <c r="J59" i="36"/>
  <c r="AD59" i="36"/>
  <c r="AH59" i="35"/>
  <c r="AJ58" i="35"/>
  <c r="AH58" i="35"/>
  <c r="AF58" i="35"/>
  <c r="AD58" i="35"/>
  <c r="Z58" i="35"/>
  <c r="X58" i="35"/>
  <c r="F58" i="36"/>
  <c r="J58" i="36"/>
  <c r="AE58" i="36"/>
  <c r="AJ57" i="35"/>
  <c r="AI57" i="35"/>
  <c r="AF57" i="35"/>
  <c r="AE57" i="35"/>
  <c r="Z57" i="35"/>
  <c r="Y57" i="35"/>
  <c r="F57" i="36"/>
  <c r="J57" i="36"/>
  <c r="AD57" i="36"/>
  <c r="X57" i="35"/>
  <c r="AJ56" i="35"/>
  <c r="AI56" i="35"/>
  <c r="AF56" i="35"/>
  <c r="AE56" i="35"/>
  <c r="Z56" i="35"/>
  <c r="Y56" i="35"/>
  <c r="Q56" i="35"/>
  <c r="AJ55" i="35"/>
  <c r="AH55" i="35"/>
  <c r="AF55" i="35"/>
  <c r="AD55" i="35"/>
  <c r="Z55" i="35"/>
  <c r="X55" i="35"/>
  <c r="Q55" i="35"/>
  <c r="AJ54" i="35"/>
  <c r="AH54" i="35"/>
  <c r="AF54" i="35"/>
  <c r="AD54" i="35"/>
  <c r="Z54" i="35"/>
  <c r="X54" i="35"/>
  <c r="Q54" i="35"/>
  <c r="V54" i="35"/>
  <c r="F54" i="36"/>
  <c r="J54" i="36"/>
  <c r="AE54" i="36"/>
  <c r="AJ53" i="35"/>
  <c r="AH53" i="35"/>
  <c r="AF53" i="35"/>
  <c r="AD53" i="35"/>
  <c r="Z53" i="35"/>
  <c r="X53" i="35"/>
  <c r="Q53" i="35"/>
  <c r="AJ52" i="35"/>
  <c r="AH52" i="35"/>
  <c r="AF52" i="35"/>
  <c r="AD52" i="35"/>
  <c r="Z52" i="35"/>
  <c r="X52" i="35"/>
  <c r="Q52" i="35"/>
  <c r="V52" i="35"/>
  <c r="F52" i="36"/>
  <c r="J52" i="36"/>
  <c r="AE52" i="36"/>
  <c r="AJ51" i="35"/>
  <c r="AI51" i="35"/>
  <c r="AF51" i="35"/>
  <c r="AE51" i="35"/>
  <c r="Z51" i="35"/>
  <c r="Y51" i="35"/>
  <c r="Q51" i="35"/>
  <c r="AJ50" i="35"/>
  <c r="AI50" i="35"/>
  <c r="AF50" i="35"/>
  <c r="AE50" i="35"/>
  <c r="Z50" i="35"/>
  <c r="Y50" i="35"/>
  <c r="F50" i="36"/>
  <c r="J50" i="36"/>
  <c r="AD50" i="36"/>
  <c r="AH50" i="35"/>
  <c r="AJ49" i="35"/>
  <c r="AI49" i="35"/>
  <c r="AF49" i="35"/>
  <c r="AE49" i="35"/>
  <c r="Z49" i="35"/>
  <c r="Y49" i="35"/>
  <c r="F49" i="36"/>
  <c r="J49" i="36"/>
  <c r="AD49" i="36"/>
  <c r="AJ48" i="35"/>
  <c r="AH48" i="35"/>
  <c r="AF48" i="35"/>
  <c r="AD48" i="35"/>
  <c r="Z48" i="35"/>
  <c r="X48" i="35"/>
  <c r="F48" i="36"/>
  <c r="J48" i="36"/>
  <c r="AE48" i="36"/>
  <c r="Y48" i="35"/>
  <c r="AJ47" i="35"/>
  <c r="AI47" i="35"/>
  <c r="AF47" i="35"/>
  <c r="AE47" i="35"/>
  <c r="Z47" i="35"/>
  <c r="Y47" i="35"/>
  <c r="F47" i="36"/>
  <c r="J47" i="36"/>
  <c r="AD47" i="36"/>
  <c r="AJ46" i="35"/>
  <c r="AI46" i="35"/>
  <c r="AF46" i="35"/>
  <c r="AE46" i="35"/>
  <c r="Z46" i="35"/>
  <c r="Y46" i="35"/>
  <c r="F46" i="36"/>
  <c r="J46" i="36"/>
  <c r="AD46" i="36"/>
  <c r="AH46" i="35"/>
  <c r="AJ45" i="35"/>
  <c r="AH45" i="35"/>
  <c r="AF45" i="35"/>
  <c r="AD45" i="35"/>
  <c r="Z45" i="35"/>
  <c r="X45" i="35"/>
  <c r="F45" i="36"/>
  <c r="J45" i="36"/>
  <c r="AE45" i="36"/>
  <c r="Y45" i="35"/>
  <c r="AJ44" i="35"/>
  <c r="AI44" i="35"/>
  <c r="AF44" i="35"/>
  <c r="AE44" i="35"/>
  <c r="Z44" i="35"/>
  <c r="Y44" i="35"/>
  <c r="X44" i="35"/>
  <c r="AJ43" i="35"/>
  <c r="AI43" i="35"/>
  <c r="AF43" i="35"/>
  <c r="AE43" i="35"/>
  <c r="Z43" i="35"/>
  <c r="Y43" i="35"/>
  <c r="F43" i="36"/>
  <c r="J43" i="36"/>
  <c r="AD43" i="36"/>
  <c r="X43" i="35"/>
  <c r="AI42" i="35"/>
  <c r="AH42" i="35"/>
  <c r="AE42" i="35"/>
  <c r="AD42" i="35"/>
  <c r="Y42" i="35"/>
  <c r="X42" i="35"/>
  <c r="F42" i="36"/>
  <c r="J42" i="36"/>
  <c r="AF42" i="36"/>
  <c r="AJ42" i="35"/>
  <c r="AJ40" i="35"/>
  <c r="AI40" i="35"/>
  <c r="AF40" i="35"/>
  <c r="AE40" i="35"/>
  <c r="Z40" i="35"/>
  <c r="Y40" i="35"/>
  <c r="F40" i="36"/>
  <c r="J40" i="36"/>
  <c r="AD40" i="36"/>
  <c r="AH40" i="35"/>
  <c r="AJ39" i="35"/>
  <c r="AI39" i="35"/>
  <c r="AF39" i="35"/>
  <c r="AE39" i="35"/>
  <c r="Z39" i="35"/>
  <c r="Y39" i="35"/>
  <c r="F39" i="36"/>
  <c r="J39" i="36"/>
  <c r="AD39" i="36"/>
  <c r="AJ38" i="35"/>
  <c r="AI38" i="35"/>
  <c r="AF38" i="35"/>
  <c r="AE38" i="35"/>
  <c r="Z38" i="35"/>
  <c r="Y38" i="35"/>
  <c r="F38" i="36"/>
  <c r="J38" i="36"/>
  <c r="AD38" i="36"/>
  <c r="X38" i="35"/>
  <c r="AJ37" i="35"/>
  <c r="AI37" i="35"/>
  <c r="AF37" i="35"/>
  <c r="AE37" i="35"/>
  <c r="Z37" i="35"/>
  <c r="Y37" i="35"/>
  <c r="X37" i="35"/>
  <c r="F37" i="36"/>
  <c r="J37" i="36"/>
  <c r="AD37" i="36"/>
  <c r="AH37" i="35"/>
  <c r="AJ36" i="35"/>
  <c r="AI36" i="35"/>
  <c r="AF36" i="35"/>
  <c r="AE36" i="35"/>
  <c r="Z36" i="35"/>
  <c r="Y36" i="35"/>
  <c r="F36" i="36"/>
  <c r="J36" i="36"/>
  <c r="AD36" i="36"/>
  <c r="AH36" i="35"/>
  <c r="AJ35" i="35"/>
  <c r="AI35" i="35"/>
  <c r="AF35" i="35"/>
  <c r="AE35" i="35"/>
  <c r="Z35" i="35"/>
  <c r="Y35" i="35"/>
  <c r="F35" i="36"/>
  <c r="J35" i="36"/>
  <c r="AD35" i="36"/>
  <c r="AH35" i="35"/>
  <c r="AJ34" i="35"/>
  <c r="AI34" i="35"/>
  <c r="AF34" i="35"/>
  <c r="AE34" i="35"/>
  <c r="Z34" i="35"/>
  <c r="Y34" i="35"/>
  <c r="F34" i="36"/>
  <c r="J34" i="36"/>
  <c r="AD34" i="36"/>
  <c r="AJ33" i="35"/>
  <c r="AI33" i="35"/>
  <c r="AF33" i="35"/>
  <c r="AE33" i="35"/>
  <c r="Z33" i="35"/>
  <c r="Y33" i="35"/>
  <c r="F33" i="36"/>
  <c r="J33" i="36"/>
  <c r="AD33" i="36"/>
  <c r="AH33" i="35"/>
  <c r="AJ32" i="35"/>
  <c r="AI32" i="35"/>
  <c r="AF32" i="35"/>
  <c r="AE32" i="35"/>
  <c r="Z32" i="35"/>
  <c r="Y32" i="35"/>
  <c r="F32" i="36"/>
  <c r="J32" i="36"/>
  <c r="AD32" i="36"/>
  <c r="AH32" i="35"/>
  <c r="AJ31" i="35"/>
  <c r="AI31" i="35"/>
  <c r="AF31" i="35"/>
  <c r="AE31" i="35"/>
  <c r="Z31" i="35"/>
  <c r="Y31" i="35"/>
  <c r="F31" i="36"/>
  <c r="J31" i="36"/>
  <c r="AD31" i="36"/>
  <c r="AH31" i="35"/>
  <c r="AJ30" i="35"/>
  <c r="AI30" i="35"/>
  <c r="AF30" i="35"/>
  <c r="AE30" i="35"/>
  <c r="Z30" i="35"/>
  <c r="Y30" i="35"/>
  <c r="F30" i="36"/>
  <c r="J30" i="36"/>
  <c r="AD30" i="36"/>
  <c r="X30" i="35"/>
  <c r="AJ29" i="35"/>
  <c r="AH29" i="35"/>
  <c r="AF29" i="35"/>
  <c r="AD29" i="35"/>
  <c r="Z29" i="35"/>
  <c r="X29" i="35"/>
  <c r="F29" i="36"/>
  <c r="J29" i="36"/>
  <c r="AE29" i="36"/>
  <c r="Y29" i="35"/>
  <c r="AJ28" i="35"/>
  <c r="AI28" i="35"/>
  <c r="AF28" i="35"/>
  <c r="AE28" i="35"/>
  <c r="Z28" i="35"/>
  <c r="Y28" i="35"/>
  <c r="F28" i="36"/>
  <c r="J28" i="36"/>
  <c r="AD28" i="36"/>
  <c r="AJ27" i="35"/>
  <c r="AI27" i="35"/>
  <c r="AF27" i="35"/>
  <c r="AE27" i="35"/>
  <c r="Z27" i="35"/>
  <c r="Y27" i="35"/>
  <c r="F27" i="36"/>
  <c r="J27" i="36"/>
  <c r="AD27" i="36"/>
  <c r="AH27" i="35"/>
  <c r="AJ26" i="35"/>
  <c r="AI26" i="35"/>
  <c r="AF26" i="35"/>
  <c r="AE26" i="35"/>
  <c r="Z26" i="35"/>
  <c r="Y26" i="35"/>
  <c r="F26" i="36"/>
  <c r="J26" i="36"/>
  <c r="AD26" i="36"/>
  <c r="AJ25" i="35"/>
  <c r="AH25" i="35"/>
  <c r="AF25" i="35"/>
  <c r="AD25" i="35"/>
  <c r="Z25" i="35"/>
  <c r="X25" i="35"/>
  <c r="F25" i="36"/>
  <c r="J25" i="36"/>
  <c r="AE25" i="36"/>
  <c r="Y25" i="35"/>
  <c r="AJ24" i="35"/>
  <c r="AI24" i="35"/>
  <c r="AF24" i="35"/>
  <c r="AE24" i="35"/>
  <c r="Z24" i="35"/>
  <c r="Y24" i="35"/>
  <c r="F24" i="36"/>
  <c r="J24" i="36"/>
  <c r="AD24" i="36"/>
  <c r="AH24" i="35"/>
  <c r="AJ23" i="35"/>
  <c r="AI23" i="35"/>
  <c r="AF23" i="35"/>
  <c r="AE23" i="35"/>
  <c r="Z23" i="35"/>
  <c r="Y23" i="35"/>
  <c r="F23" i="36"/>
  <c r="J23" i="36"/>
  <c r="AD23" i="36"/>
  <c r="AH23" i="35"/>
  <c r="AJ22" i="35"/>
  <c r="AI22" i="35"/>
  <c r="AH22" i="35"/>
  <c r="AF22" i="35"/>
  <c r="AE22" i="35"/>
  <c r="Z22" i="35"/>
  <c r="Y22" i="35"/>
  <c r="F22" i="36"/>
  <c r="J22" i="36"/>
  <c r="AD22" i="36"/>
  <c r="X22" i="35"/>
  <c r="AJ21" i="35"/>
  <c r="AI21" i="35"/>
  <c r="AH21" i="35"/>
  <c r="AF21" i="35"/>
  <c r="AE21" i="35"/>
  <c r="Z21" i="35"/>
  <c r="Y21" i="35"/>
  <c r="F21" i="36"/>
  <c r="J21" i="36"/>
  <c r="AD21" i="36"/>
  <c r="X21" i="35"/>
  <c r="AJ20" i="35"/>
  <c r="AH20" i="35"/>
  <c r="AF20" i="35"/>
  <c r="AD20" i="35"/>
  <c r="Z20" i="35"/>
  <c r="X20" i="35"/>
  <c r="F20" i="36"/>
  <c r="J20" i="36"/>
  <c r="AE20" i="36"/>
  <c r="Y20" i="35"/>
  <c r="AJ19" i="35"/>
  <c r="AH19" i="35"/>
  <c r="AF19" i="35"/>
  <c r="AD19" i="35"/>
  <c r="Z19" i="35"/>
  <c r="X19" i="35"/>
  <c r="Q19" i="35"/>
  <c r="V19" i="35"/>
  <c r="F19" i="36"/>
  <c r="J19" i="36"/>
  <c r="AE19" i="36"/>
  <c r="AI19" i="35"/>
  <c r="AJ18" i="35"/>
  <c r="AH18" i="35"/>
  <c r="AF18" i="35"/>
  <c r="AD18" i="35"/>
  <c r="Z18" i="35"/>
  <c r="X18" i="35"/>
  <c r="Q18" i="35"/>
  <c r="V18" i="35"/>
  <c r="F18" i="36"/>
  <c r="Y18" i="35"/>
  <c r="AJ17" i="35"/>
  <c r="AI17" i="35"/>
  <c r="AF17" i="35"/>
  <c r="AE17" i="35"/>
  <c r="Z17" i="35"/>
  <c r="Y17" i="35"/>
  <c r="Q17" i="35"/>
  <c r="V17" i="35"/>
  <c r="F17" i="36"/>
  <c r="J17" i="36"/>
  <c r="AD17" i="36"/>
  <c r="AJ16" i="35"/>
  <c r="AH16" i="35"/>
  <c r="AF16" i="35"/>
  <c r="AD16" i="35"/>
  <c r="Z16" i="35"/>
  <c r="X16" i="35"/>
  <c r="Q16" i="35"/>
  <c r="V16" i="35"/>
  <c r="F16" i="36"/>
  <c r="J16" i="36"/>
  <c r="AE16" i="36"/>
  <c r="AI16" i="35"/>
  <c r="AD200" i="36"/>
  <c r="AE200" i="36"/>
  <c r="AL200" i="36"/>
  <c r="AD103" i="36"/>
  <c r="AF103" i="36"/>
  <c r="AL103" i="36"/>
  <c r="Y52" i="35"/>
  <c r="AI53" i="35"/>
  <c r="V53" i="35"/>
  <c r="F53" i="36"/>
  <c r="J53" i="36"/>
  <c r="AE53" i="36"/>
  <c r="AI55" i="35"/>
  <c r="V55" i="35"/>
  <c r="F55" i="36"/>
  <c r="J55" i="36"/>
  <c r="AE55" i="36"/>
  <c r="AH56" i="35"/>
  <c r="V56" i="35"/>
  <c r="F56" i="36"/>
  <c r="J56" i="36"/>
  <c r="AD56" i="36"/>
  <c r="X51" i="35"/>
  <c r="V51" i="35"/>
  <c r="F51" i="36"/>
  <c r="J51" i="36"/>
  <c r="AD51" i="36"/>
  <c r="AH51" i="35"/>
  <c r="Y168" i="35"/>
  <c r="V168" i="35"/>
  <c r="F168" i="36"/>
  <c r="J168" i="36"/>
  <c r="AE168" i="36"/>
  <c r="Y169" i="35"/>
  <c r="V169" i="35"/>
  <c r="F169" i="36"/>
  <c r="J169" i="36"/>
  <c r="AD169" i="36"/>
  <c r="AE169" i="36"/>
  <c r="F185" i="36"/>
  <c r="J185" i="36"/>
  <c r="AE185" i="36"/>
  <c r="F186" i="36"/>
  <c r="J186" i="36"/>
  <c r="AF186" i="36"/>
  <c r="X212" i="34"/>
  <c r="X36" i="35"/>
  <c r="AH212" i="34"/>
  <c r="AL203" i="34"/>
  <c r="AC136" i="35"/>
  <c r="AI211" i="35"/>
  <c r="Y16" i="35"/>
  <c r="X32" i="35"/>
  <c r="AH68" i="35"/>
  <c r="Y134" i="35"/>
  <c r="AC134" i="35"/>
  <c r="AI161" i="35"/>
  <c r="X109" i="35"/>
  <c r="Y119" i="35"/>
  <c r="AC119" i="35"/>
  <c r="X124" i="35"/>
  <c r="AC164" i="35"/>
  <c r="AI195" i="35"/>
  <c r="AC16" i="35"/>
  <c r="AH30" i="35"/>
  <c r="X65" i="35"/>
  <c r="AC74" i="35"/>
  <c r="AC78" i="35"/>
  <c r="AC82" i="35"/>
  <c r="X97" i="35"/>
  <c r="X133" i="35"/>
  <c r="AC133" i="35"/>
  <c r="X173" i="35"/>
  <c r="AC173" i="35"/>
  <c r="AI25" i="35"/>
  <c r="AC65" i="35"/>
  <c r="AC124" i="35"/>
  <c r="AI180" i="35"/>
  <c r="Y185" i="35"/>
  <c r="X35" i="35"/>
  <c r="AC35" i="35"/>
  <c r="X40" i="35"/>
  <c r="AC40" i="35"/>
  <c r="AH57" i="35"/>
  <c r="AC66" i="35"/>
  <c r="X86" i="35"/>
  <c r="AC86" i="35"/>
  <c r="X92" i="35"/>
  <c r="AC92" i="35"/>
  <c r="X108" i="35"/>
  <c r="AC108" i="35"/>
  <c r="AC112" i="35"/>
  <c r="X114" i="35"/>
  <c r="AC114" i="35"/>
  <c r="X123" i="35"/>
  <c r="AC123" i="35"/>
  <c r="AC127" i="35"/>
  <c r="AC129" i="35"/>
  <c r="AH140" i="35"/>
  <c r="AH147" i="35"/>
  <c r="Y165" i="35"/>
  <c r="AC165" i="35"/>
  <c r="AC205" i="35"/>
  <c r="AC218" i="35"/>
  <c r="AC219" i="35"/>
  <c r="AC226" i="35"/>
  <c r="X230" i="35"/>
  <c r="Y19" i="35"/>
  <c r="AI45" i="35"/>
  <c r="AC87" i="35"/>
  <c r="AC97" i="35"/>
  <c r="AC109" i="35"/>
  <c r="AI168" i="35"/>
  <c r="AC172" i="35"/>
  <c r="Y206" i="35"/>
  <c r="X24" i="35"/>
  <c r="X33" i="35"/>
  <c r="AC33" i="35"/>
  <c r="AH38" i="35"/>
  <c r="AC43" i="35"/>
  <c r="Y53" i="35"/>
  <c r="AC53" i="35"/>
  <c r="X56" i="35"/>
  <c r="AC56" i="35"/>
  <c r="AH73" i="35"/>
  <c r="X91" i="35"/>
  <c r="AI100" i="35"/>
  <c r="X105" i="35"/>
  <c r="AC105" i="35"/>
  <c r="X120" i="35"/>
  <c r="AC120" i="35"/>
  <c r="AH139" i="35"/>
  <c r="X144" i="35"/>
  <c r="AC144" i="35"/>
  <c r="AC148" i="35"/>
  <c r="AC152" i="35"/>
  <c r="AC155" i="35"/>
  <c r="AC160" i="35"/>
  <c r="X175" i="35"/>
  <c r="AC175" i="35"/>
  <c r="AC191" i="35"/>
  <c r="AI196" i="35"/>
  <c r="X199" i="35"/>
  <c r="AC199" i="35"/>
  <c r="AI220" i="35"/>
  <c r="X222" i="35"/>
  <c r="AC222" i="35"/>
  <c r="X203" i="34"/>
  <c r="AC203" i="34"/>
  <c r="V203" i="34"/>
  <c r="F203" i="35"/>
  <c r="J203" i="35"/>
  <c r="AD203" i="35"/>
  <c r="X203" i="35"/>
  <c r="AC203" i="35"/>
  <c r="I237" i="35"/>
  <c r="M237" i="35"/>
  <c r="J244" i="35"/>
  <c r="X212" i="35"/>
  <c r="AC212" i="35"/>
  <c r="AD212" i="34"/>
  <c r="Y212" i="34"/>
  <c r="AI212" i="34"/>
  <c r="X104" i="35"/>
  <c r="AC104" i="35"/>
  <c r="AH104" i="35"/>
  <c r="AH181" i="35"/>
  <c r="X181" i="35"/>
  <c r="AC181" i="35"/>
  <c r="X47" i="35"/>
  <c r="AC47" i="35"/>
  <c r="AH47" i="35"/>
  <c r="Y54" i="35"/>
  <c r="AC54" i="35"/>
  <c r="AI54" i="35"/>
  <c r="Z130" i="35"/>
  <c r="AC130" i="35"/>
  <c r="AJ130" i="35"/>
  <c r="X17" i="35"/>
  <c r="AC17" i="35"/>
  <c r="AH17" i="35"/>
  <c r="X26" i="35"/>
  <c r="AC26" i="35"/>
  <c r="AH26" i="35"/>
  <c r="AH39" i="35"/>
  <c r="X39" i="35"/>
  <c r="AC39" i="35"/>
  <c r="X49" i="35"/>
  <c r="AC49" i="35"/>
  <c r="AH49" i="35"/>
  <c r="X79" i="35"/>
  <c r="AC79" i="35"/>
  <c r="AH79" i="35"/>
  <c r="X135" i="35"/>
  <c r="AC135" i="35"/>
  <c r="AH135" i="35"/>
  <c r="AH192" i="35"/>
  <c r="X192" i="35"/>
  <c r="AC192" i="35"/>
  <c r="Y209" i="35"/>
  <c r="AC209" i="35"/>
  <c r="AI209" i="35"/>
  <c r="X232" i="35"/>
  <c r="AC232" i="35"/>
  <c r="AH232" i="35"/>
  <c r="AC19" i="35"/>
  <c r="AC91" i="35"/>
  <c r="AH78" i="35"/>
  <c r="AH160" i="35"/>
  <c r="AH164" i="35"/>
  <c r="AH191" i="35"/>
  <c r="AI60" i="35"/>
  <c r="Y60" i="35"/>
  <c r="AC60" i="35"/>
  <c r="AI80" i="35"/>
  <c r="Y80" i="35"/>
  <c r="AC80" i="35"/>
  <c r="AH187" i="35"/>
  <c r="X187" i="35"/>
  <c r="AC187" i="35"/>
  <c r="Y58" i="35"/>
  <c r="AC58" i="35"/>
  <c r="AI58" i="35"/>
  <c r="X64" i="35"/>
  <c r="AC64" i="35"/>
  <c r="AH64" i="35"/>
  <c r="Y96" i="35"/>
  <c r="AC96" i="35"/>
  <c r="AI96" i="35"/>
  <c r="X28" i="35"/>
  <c r="AH28" i="35"/>
  <c r="X34" i="35"/>
  <c r="AC34" i="35"/>
  <c r="AH34" i="35"/>
  <c r="AI162" i="35"/>
  <c r="Y162" i="35"/>
  <c r="AC162" i="35"/>
  <c r="Y225" i="35"/>
  <c r="AC225" i="35"/>
  <c r="AI225" i="35"/>
  <c r="X228" i="35"/>
  <c r="AC228" i="35"/>
  <c r="AH228" i="35"/>
  <c r="AJ149" i="35"/>
  <c r="AJ213" i="35"/>
  <c r="AC36" i="35"/>
  <c r="AH75" i="35"/>
  <c r="AC113" i="35"/>
  <c r="AH218" i="35"/>
  <c r="AC45" i="35"/>
  <c r="AC57" i="35"/>
  <c r="AC140" i="35"/>
  <c r="AH184" i="35"/>
  <c r="AC28" i="35"/>
  <c r="AC37" i="35"/>
  <c r="AH66" i="35"/>
  <c r="AH74" i="35"/>
  <c r="AH82" i="35"/>
  <c r="AI83" i="35"/>
  <c r="AJ93" i="35"/>
  <c r="AI101" i="35"/>
  <c r="AH106" i="35"/>
  <c r="AH115" i="35"/>
  <c r="AH137" i="35"/>
  <c r="AH148" i="35"/>
  <c r="AH152" i="35"/>
  <c r="AJ153" i="35"/>
  <c r="AI157" i="35"/>
  <c r="AC168" i="35"/>
  <c r="AI169" i="35"/>
  <c r="AH200" i="35"/>
  <c r="AC220" i="35"/>
  <c r="AJ221" i="35"/>
  <c r="AJ234" i="35"/>
  <c r="AC21" i="35"/>
  <c r="AC22" i="35"/>
  <c r="AI29" i="35"/>
  <c r="AC30" i="35"/>
  <c r="AC38" i="35"/>
  <c r="Y55" i="35"/>
  <c r="AC55" i="35"/>
  <c r="AC68" i="35"/>
  <c r="AC70" i="35"/>
  <c r="AH70" i="35"/>
  <c r="Y84" i="35"/>
  <c r="AC84" i="35"/>
  <c r="AH102" i="35"/>
  <c r="AC126" i="35"/>
  <c r="AI127" i="35"/>
  <c r="AC139" i="35"/>
  <c r="AI145" i="35"/>
  <c r="AC161" i="35"/>
  <c r="AC163" i="35"/>
  <c r="AH176" i="35"/>
  <c r="AC180" i="35"/>
  <c r="AC211" i="35"/>
  <c r="AC214" i="35"/>
  <c r="AI226" i="35"/>
  <c r="AC229" i="35"/>
  <c r="AC24" i="35"/>
  <c r="AC32" i="35"/>
  <c r="AH43" i="35"/>
  <c r="AC44" i="35"/>
  <c r="AC51" i="35"/>
  <c r="X59" i="35"/>
  <c r="AC59" i="35"/>
  <c r="AC62" i="35"/>
  <c r="AJ62" i="35"/>
  <c r="X63" i="35"/>
  <c r="AC63" i="35"/>
  <c r="AC73" i="35"/>
  <c r="AC83" i="35"/>
  <c r="AH90" i="35"/>
  <c r="Y98" i="35"/>
  <c r="AC98" i="35"/>
  <c r="AC100" i="35"/>
  <c r="AC101" i="35"/>
  <c r="AC110" i="35"/>
  <c r="AH112" i="35"/>
  <c r="AC122" i="35"/>
  <c r="AH143" i="35"/>
  <c r="AC147" i="35"/>
  <c r="AC169" i="35"/>
  <c r="AC171" i="35"/>
  <c r="AC189" i="35"/>
  <c r="AC195" i="35"/>
  <c r="AI205" i="35"/>
  <c r="Y227" i="35"/>
  <c r="AC227" i="35"/>
  <c r="AI229" i="35"/>
  <c r="AC234" i="35"/>
  <c r="X77" i="35"/>
  <c r="AC77" i="35"/>
  <c r="AH77" i="35"/>
  <c r="AH116" i="35"/>
  <c r="X116" i="35"/>
  <c r="AC116" i="35"/>
  <c r="AH71" i="35"/>
  <c r="X71" i="35"/>
  <c r="AC71" i="35"/>
  <c r="AI76" i="35"/>
  <c r="Y76" i="35"/>
  <c r="AC76" i="35"/>
  <c r="AH107" i="35"/>
  <c r="X107" i="35"/>
  <c r="AC107" i="35"/>
  <c r="AI20" i="35"/>
  <c r="AC29" i="35"/>
  <c r="Z42" i="35"/>
  <c r="AI48" i="35"/>
  <c r="Q236" i="35"/>
  <c r="AI18" i="35"/>
  <c r="AC20" i="35"/>
  <c r="E236" i="35"/>
  <c r="X23" i="35"/>
  <c r="AC23" i="35"/>
  <c r="X27" i="35"/>
  <c r="AC27" i="35"/>
  <c r="X31" i="35"/>
  <c r="AC31" i="35"/>
  <c r="X46" i="35"/>
  <c r="AC46" i="35"/>
  <c r="AC48" i="35"/>
  <c r="X50" i="35"/>
  <c r="AC50" i="35"/>
  <c r="AC52" i="35"/>
  <c r="AI61" i="35"/>
  <c r="AH117" i="35"/>
  <c r="X117" i="35"/>
  <c r="AC117" i="35"/>
  <c r="AC25" i="35"/>
  <c r="AI52" i="35"/>
  <c r="AC18" i="35"/>
  <c r="AH44" i="35"/>
  <c r="AC61" i="35"/>
  <c r="X67" i="35"/>
  <c r="AC67" i="35"/>
  <c r="X69" i="35"/>
  <c r="AC69" i="35"/>
  <c r="Z94" i="35"/>
  <c r="AC94" i="35"/>
  <c r="AI118" i="35"/>
  <c r="Y118" i="35"/>
  <c r="AC118" i="35"/>
  <c r="AH121" i="35"/>
  <c r="X121" i="35"/>
  <c r="AC121" i="35"/>
  <c r="AH125" i="35"/>
  <c r="X125" i="35"/>
  <c r="AC125" i="35"/>
  <c r="AH142" i="35"/>
  <c r="X142" i="35"/>
  <c r="AC142" i="35"/>
  <c r="AH177" i="35"/>
  <c r="X177" i="35"/>
  <c r="AC177" i="35"/>
  <c r="AH178" i="35"/>
  <c r="X178" i="35"/>
  <c r="AC178" i="35"/>
  <c r="AI183" i="35"/>
  <c r="Y183" i="35"/>
  <c r="AC183" i="35"/>
  <c r="AH193" i="35"/>
  <c r="X193" i="35"/>
  <c r="AC193" i="35"/>
  <c r="AI198" i="35"/>
  <c r="Y198" i="35"/>
  <c r="AC198" i="35"/>
  <c r="AI204" i="35"/>
  <c r="Y204" i="35"/>
  <c r="AC204" i="35"/>
  <c r="AI208" i="35"/>
  <c r="Y208" i="35"/>
  <c r="AC208" i="35"/>
  <c r="AI85" i="35"/>
  <c r="Y85" i="35"/>
  <c r="AC85" i="35"/>
  <c r="AI95" i="35"/>
  <c r="Y95" i="35"/>
  <c r="AC95" i="35"/>
  <c r="AI99" i="35"/>
  <c r="Y99" i="35"/>
  <c r="AC99" i="35"/>
  <c r="AH111" i="35"/>
  <c r="X111" i="35"/>
  <c r="AC111" i="35"/>
  <c r="AI132" i="35"/>
  <c r="Y132" i="35"/>
  <c r="AC132" i="35"/>
  <c r="AI190" i="35"/>
  <c r="Y190" i="35"/>
  <c r="AC190" i="35"/>
  <c r="AH216" i="35"/>
  <c r="X216" i="35"/>
  <c r="AC216" i="35"/>
  <c r="AH223" i="35"/>
  <c r="X223" i="35"/>
  <c r="AC223" i="35"/>
  <c r="AH235" i="35"/>
  <c r="X235" i="35"/>
  <c r="AC235" i="35"/>
  <c r="AC153" i="35"/>
  <c r="AJ186" i="35"/>
  <c r="AC221" i="35"/>
  <c r="AC75" i="35"/>
  <c r="AC88" i="35"/>
  <c r="AC106" i="35"/>
  <c r="AH110" i="35"/>
  <c r="AC115" i="35"/>
  <c r="AH129" i="35"/>
  <c r="AC137" i="35"/>
  <c r="AC145" i="35"/>
  <c r="AC149" i="35"/>
  <c r="Y150" i="35"/>
  <c r="AC150" i="35"/>
  <c r="AH155" i="35"/>
  <c r="Y158" i="35"/>
  <c r="AC158" i="35"/>
  <c r="Y166" i="35"/>
  <c r="AC166" i="35"/>
  <c r="AH171" i="35"/>
  <c r="AC185" i="35"/>
  <c r="AC196" i="35"/>
  <c r="AC200" i="35"/>
  <c r="Y207" i="35"/>
  <c r="AC207" i="35"/>
  <c r="AH214" i="35"/>
  <c r="AC230" i="35"/>
  <c r="AH138" i="35"/>
  <c r="X138" i="35"/>
  <c r="AC138" i="35"/>
  <c r="AI174" i="35"/>
  <c r="Y174" i="35"/>
  <c r="AC174" i="35"/>
  <c r="AH182" i="35"/>
  <c r="X182" i="35"/>
  <c r="AC182" i="35"/>
  <c r="AI194" i="35"/>
  <c r="Y194" i="35"/>
  <c r="AC194" i="35"/>
  <c r="AH197" i="35"/>
  <c r="X197" i="35"/>
  <c r="AC197" i="35"/>
  <c r="AH202" i="35"/>
  <c r="X202" i="35"/>
  <c r="AC202" i="35"/>
  <c r="AH231" i="35"/>
  <c r="X231" i="35"/>
  <c r="AC231" i="35"/>
  <c r="AH72" i="35"/>
  <c r="X72" i="35"/>
  <c r="AC72" i="35"/>
  <c r="AI81" i="35"/>
  <c r="Y81" i="35"/>
  <c r="AC81" i="35"/>
  <c r="AH89" i="35"/>
  <c r="X89" i="35"/>
  <c r="AC89" i="35"/>
  <c r="AH103" i="35"/>
  <c r="X103" i="35"/>
  <c r="AC103" i="35"/>
  <c r="AH128" i="35"/>
  <c r="X128" i="35"/>
  <c r="AC128" i="35"/>
  <c r="AI151" i="35"/>
  <c r="Y151" i="35"/>
  <c r="AC151" i="35"/>
  <c r="AH154" i="35"/>
  <c r="X154" i="35"/>
  <c r="AC154" i="35"/>
  <c r="AI167" i="35"/>
  <c r="Y167" i="35"/>
  <c r="AC167" i="35"/>
  <c r="AH170" i="35"/>
  <c r="X170" i="35"/>
  <c r="AC170" i="35"/>
  <c r="AI224" i="35"/>
  <c r="Y224" i="35"/>
  <c r="AC224" i="35"/>
  <c r="AC213" i="35"/>
  <c r="AC93" i="35"/>
  <c r="AH122" i="35"/>
  <c r="AH126" i="35"/>
  <c r="Y131" i="35"/>
  <c r="AC131" i="35"/>
  <c r="AC141" i="35"/>
  <c r="Y146" i="35"/>
  <c r="AC146" i="35"/>
  <c r="AC157" i="35"/>
  <c r="Z159" i="35"/>
  <c r="AC159" i="35"/>
  <c r="AC176" i="35"/>
  <c r="AH179" i="35"/>
  <c r="AC186" i="35"/>
  <c r="Y188" i="35"/>
  <c r="AC188" i="35"/>
  <c r="AH189" i="35"/>
  <c r="AC206" i="35"/>
  <c r="AC215" i="35"/>
  <c r="Z217" i="35"/>
  <c r="AC217" i="35"/>
  <c r="AH219" i="35"/>
  <c r="Z156" i="35"/>
  <c r="AC156" i="35"/>
  <c r="Z210" i="35"/>
  <c r="AC210" i="35"/>
  <c r="Z233" i="35"/>
  <c r="AC233" i="35"/>
  <c r="V236" i="35"/>
  <c r="F181" i="36"/>
  <c r="J181" i="36"/>
  <c r="AD181" i="36"/>
  <c r="AC212" i="34"/>
  <c r="AL212" i="34"/>
  <c r="AH236" i="35"/>
  <c r="AH240" i="35"/>
  <c r="AI236" i="35"/>
  <c r="AI240" i="35"/>
  <c r="Z236" i="35"/>
  <c r="AA249" i="35"/>
  <c r="AJ236" i="35"/>
  <c r="AJ240" i="35"/>
  <c r="X236" i="35"/>
  <c r="AC42" i="35"/>
  <c r="Y236" i="35"/>
  <c r="AA246" i="35"/>
  <c r="I187" i="34"/>
  <c r="E210" i="34"/>
  <c r="Z241" i="35"/>
  <c r="Z250" i="35"/>
  <c r="AA243" i="35"/>
  <c r="AA250" i="35"/>
  <c r="T81" i="33"/>
  <c r="I134" i="34"/>
  <c r="E190" i="34"/>
  <c r="E187" i="34"/>
  <c r="E59" i="34"/>
  <c r="E22" i="34"/>
  <c r="E222" i="34"/>
  <c r="AJ128" i="34"/>
  <c r="AI128" i="34"/>
  <c r="AF128" i="34"/>
  <c r="AE128" i="34"/>
  <c r="Z128" i="34"/>
  <c r="Y128" i="34"/>
  <c r="Q128" i="34"/>
  <c r="V128" i="34"/>
  <c r="F128" i="35"/>
  <c r="J128" i="35"/>
  <c r="AD128" i="35"/>
  <c r="J128" i="34"/>
  <c r="AD128" i="34"/>
  <c r="E92" i="34"/>
  <c r="X128" i="34"/>
  <c r="AC128" i="34"/>
  <c r="AH128" i="34"/>
  <c r="AL128" i="34"/>
  <c r="T213" i="33"/>
  <c r="M213" i="33"/>
  <c r="Q213" i="33"/>
  <c r="V213" i="33"/>
  <c r="F219" i="34"/>
  <c r="J219" i="34"/>
  <c r="AD219" i="34"/>
  <c r="E178" i="34"/>
  <c r="T145" i="33"/>
  <c r="T132" i="33"/>
  <c r="T186" i="33"/>
  <c r="T227" i="33"/>
  <c r="T230" i="33"/>
  <c r="AJ174" i="34"/>
  <c r="AH174" i="34"/>
  <c r="AF174" i="34"/>
  <c r="AD174" i="34"/>
  <c r="Z174" i="34"/>
  <c r="X174" i="34"/>
  <c r="Q174" i="34"/>
  <c r="J174" i="34"/>
  <c r="AE174" i="34"/>
  <c r="I114" i="34"/>
  <c r="I236" i="34"/>
  <c r="J241" i="34"/>
  <c r="E88" i="34"/>
  <c r="E45" i="34"/>
  <c r="E117" i="34"/>
  <c r="E102" i="34"/>
  <c r="Q228" i="33"/>
  <c r="V228" i="33"/>
  <c r="Q227" i="33"/>
  <c r="V227" i="33"/>
  <c r="Q226" i="33"/>
  <c r="V226" i="33"/>
  <c r="Q225" i="33"/>
  <c r="V225" i="33"/>
  <c r="Q224" i="33"/>
  <c r="V224" i="33"/>
  <c r="Q223" i="33"/>
  <c r="V223" i="33"/>
  <c r="Q222" i="33"/>
  <c r="V222" i="33"/>
  <c r="Q221" i="33"/>
  <c r="V221" i="33"/>
  <c r="Q220" i="33"/>
  <c r="V220" i="33"/>
  <c r="Q219" i="33"/>
  <c r="V219" i="33"/>
  <c r="Q218" i="33"/>
  <c r="V218" i="33"/>
  <c r="Q217" i="33"/>
  <c r="V217" i="33"/>
  <c r="Q216" i="33"/>
  <c r="V216" i="33"/>
  <c r="Q215" i="33"/>
  <c r="V215" i="33"/>
  <c r="Q214" i="33"/>
  <c r="V214" i="33"/>
  <c r="Q212" i="33"/>
  <c r="V212" i="33"/>
  <c r="Q211" i="33"/>
  <c r="V211" i="33"/>
  <c r="F217" i="34"/>
  <c r="J217" i="34"/>
  <c r="AF217" i="34"/>
  <c r="Q210" i="33"/>
  <c r="V210" i="33"/>
  <c r="Q209" i="33"/>
  <c r="V209" i="33"/>
  <c r="Q208" i="33"/>
  <c r="V208" i="33"/>
  <c r="Q207" i="33"/>
  <c r="V207" i="33"/>
  <c r="Q206" i="33"/>
  <c r="V206" i="33"/>
  <c r="Q205" i="33"/>
  <c r="V205" i="33"/>
  <c r="Q204" i="33"/>
  <c r="V204" i="33"/>
  <c r="Q203" i="33"/>
  <c r="V203" i="33"/>
  <c r="Q202" i="33"/>
  <c r="V202" i="33"/>
  <c r="Q201" i="33"/>
  <c r="V201" i="33"/>
  <c r="Q200" i="33"/>
  <c r="V200" i="33"/>
  <c r="Q199" i="33"/>
  <c r="V199" i="33"/>
  <c r="Q198" i="33"/>
  <c r="V198" i="33"/>
  <c r="Q197" i="33"/>
  <c r="V197" i="33"/>
  <c r="Q196" i="33"/>
  <c r="V196" i="33"/>
  <c r="Q195" i="33"/>
  <c r="V195" i="33"/>
  <c r="Q194" i="33"/>
  <c r="V194" i="33"/>
  <c r="Q193" i="33"/>
  <c r="V193" i="33"/>
  <c r="Q192" i="33"/>
  <c r="V192" i="33"/>
  <c r="Q191" i="33"/>
  <c r="V191" i="33"/>
  <c r="Q190" i="33"/>
  <c r="V190" i="33"/>
  <c r="Q189" i="33"/>
  <c r="V189" i="33"/>
  <c r="Q188" i="33"/>
  <c r="V188" i="33"/>
  <c r="Q187" i="33"/>
  <c r="V187" i="33"/>
  <c r="Q186" i="33"/>
  <c r="V186" i="33"/>
  <c r="Q185" i="33"/>
  <c r="V185" i="33"/>
  <c r="Q184" i="33"/>
  <c r="V184" i="33"/>
  <c r="Q183" i="33"/>
  <c r="V183" i="33"/>
  <c r="Q182" i="33"/>
  <c r="V182" i="33"/>
  <c r="Q181" i="33"/>
  <c r="V181" i="33"/>
  <c r="Q180" i="33"/>
  <c r="V180" i="33"/>
  <c r="Q179" i="33"/>
  <c r="V179" i="33"/>
  <c r="Q178" i="33"/>
  <c r="V178" i="33"/>
  <c r="Q177" i="33"/>
  <c r="V177" i="33"/>
  <c r="Q176" i="33"/>
  <c r="V176" i="33"/>
  <c r="Q175" i="33"/>
  <c r="V175" i="33"/>
  <c r="Q174" i="33"/>
  <c r="V174" i="33"/>
  <c r="Q173" i="33"/>
  <c r="V173" i="33"/>
  <c r="Q172" i="33"/>
  <c r="V172" i="33"/>
  <c r="Q171" i="33"/>
  <c r="V171" i="33"/>
  <c r="Q170" i="33"/>
  <c r="V170" i="33"/>
  <c r="Q169" i="33"/>
  <c r="V169" i="33"/>
  <c r="Q168" i="33"/>
  <c r="V168" i="33"/>
  <c r="Q167" i="33"/>
  <c r="V167" i="33"/>
  <c r="Q166" i="33"/>
  <c r="V166" i="33"/>
  <c r="Q165" i="33"/>
  <c r="V165" i="33"/>
  <c r="Q164" i="33"/>
  <c r="V164" i="33"/>
  <c r="Q163" i="33"/>
  <c r="V163" i="33"/>
  <c r="Q162" i="33"/>
  <c r="V162" i="33"/>
  <c r="Q161" i="33"/>
  <c r="V161" i="33"/>
  <c r="Q160" i="33"/>
  <c r="V160" i="33"/>
  <c r="Q159" i="33"/>
  <c r="V159" i="33"/>
  <c r="Q158" i="33"/>
  <c r="V158" i="33"/>
  <c r="Q157" i="33"/>
  <c r="V157" i="33"/>
  <c r="Q156" i="33"/>
  <c r="V156" i="33"/>
  <c r="Q155" i="33"/>
  <c r="V155" i="33"/>
  <c r="Q154" i="33"/>
  <c r="V154" i="33"/>
  <c r="Q153" i="33"/>
  <c r="V153" i="33"/>
  <c r="Q152" i="33"/>
  <c r="V152" i="33"/>
  <c r="Q151" i="33"/>
  <c r="V151" i="33"/>
  <c r="Q150" i="33"/>
  <c r="V150" i="33"/>
  <c r="Q149" i="33"/>
  <c r="V149" i="33"/>
  <c r="Q148" i="33"/>
  <c r="V148" i="33"/>
  <c r="Q147" i="33"/>
  <c r="V147" i="33"/>
  <c r="Q146" i="33"/>
  <c r="V146" i="33"/>
  <c r="Q144" i="33"/>
  <c r="V144" i="33"/>
  <c r="Q143" i="33"/>
  <c r="V143" i="33"/>
  <c r="Q142" i="33"/>
  <c r="V142" i="33"/>
  <c r="Q141" i="33"/>
  <c r="V141" i="33"/>
  <c r="Q140" i="33"/>
  <c r="V140" i="33"/>
  <c r="Q139" i="33"/>
  <c r="V139" i="33"/>
  <c r="Q138" i="33"/>
  <c r="V138" i="33"/>
  <c r="Q137" i="33"/>
  <c r="V137" i="33"/>
  <c r="Q136" i="33"/>
  <c r="V136" i="33"/>
  <c r="Q135" i="33"/>
  <c r="V135" i="33"/>
  <c r="Q134" i="33"/>
  <c r="V134" i="33"/>
  <c r="Q133" i="33"/>
  <c r="V133" i="33"/>
  <c r="Q132" i="33"/>
  <c r="V132" i="33"/>
  <c r="F134" i="34"/>
  <c r="J134" i="34"/>
  <c r="AE134" i="34"/>
  <c r="Q131" i="33"/>
  <c r="V131" i="33"/>
  <c r="F133" i="34"/>
  <c r="J133" i="34"/>
  <c r="AD133" i="34"/>
  <c r="Q130" i="33"/>
  <c r="V130" i="33"/>
  <c r="Q129" i="33"/>
  <c r="V129" i="33"/>
  <c r="Q128" i="33"/>
  <c r="V128" i="33"/>
  <c r="Q127" i="33"/>
  <c r="V127" i="33"/>
  <c r="Q126" i="33"/>
  <c r="V126" i="33"/>
  <c r="Q125" i="33"/>
  <c r="V125" i="33"/>
  <c r="Q124" i="33"/>
  <c r="V124" i="33"/>
  <c r="Q123" i="33"/>
  <c r="V123" i="33"/>
  <c r="Q122" i="33"/>
  <c r="V122" i="33"/>
  <c r="Q121" i="33"/>
  <c r="V121" i="33"/>
  <c r="Q120" i="33"/>
  <c r="V120" i="33"/>
  <c r="Q119" i="33"/>
  <c r="V119" i="33"/>
  <c r="Q118" i="33"/>
  <c r="V118" i="33"/>
  <c r="Q117" i="33"/>
  <c r="V117" i="33"/>
  <c r="Q116" i="33"/>
  <c r="V116" i="33"/>
  <c r="Q115" i="33"/>
  <c r="V115" i="33"/>
  <c r="Q114" i="33"/>
  <c r="V114" i="33"/>
  <c r="Q113" i="33"/>
  <c r="V113" i="33"/>
  <c r="Q112" i="33"/>
  <c r="V112" i="33"/>
  <c r="Q111" i="33"/>
  <c r="V111" i="33"/>
  <c r="Q110" i="33"/>
  <c r="V110" i="33"/>
  <c r="Q109" i="33"/>
  <c r="V109" i="33"/>
  <c r="Q108" i="33"/>
  <c r="V108" i="33"/>
  <c r="Q107" i="33"/>
  <c r="V107" i="33"/>
  <c r="Q106" i="33"/>
  <c r="V106" i="33"/>
  <c r="Q105" i="33"/>
  <c r="V105" i="33"/>
  <c r="Q104" i="33"/>
  <c r="V104" i="33"/>
  <c r="Q103" i="33"/>
  <c r="V103" i="33"/>
  <c r="Q102" i="33"/>
  <c r="V102" i="33"/>
  <c r="Q101" i="33"/>
  <c r="V101" i="33"/>
  <c r="Q100" i="33"/>
  <c r="V100" i="33"/>
  <c r="Q99" i="33"/>
  <c r="V99" i="33"/>
  <c r="Q98" i="33"/>
  <c r="V98" i="33"/>
  <c r="Q97" i="33"/>
  <c r="V97" i="33"/>
  <c r="Q96" i="33"/>
  <c r="V96" i="33"/>
  <c r="Q95" i="33"/>
  <c r="V95" i="33"/>
  <c r="Q94" i="33"/>
  <c r="V94" i="33"/>
  <c r="Q93" i="33"/>
  <c r="V93" i="33"/>
  <c r="Q92" i="33"/>
  <c r="V92" i="33"/>
  <c r="Q91" i="33"/>
  <c r="V91" i="33"/>
  <c r="Q90" i="33"/>
  <c r="V90" i="33"/>
  <c r="Q89" i="33"/>
  <c r="V89" i="33"/>
  <c r="Q88" i="33"/>
  <c r="V88" i="33"/>
  <c r="Q87" i="33"/>
  <c r="V87" i="33"/>
  <c r="Q86" i="33"/>
  <c r="V86" i="33"/>
  <c r="Q85" i="33"/>
  <c r="V85" i="33"/>
  <c r="Q84" i="33"/>
  <c r="V84" i="33"/>
  <c r="Q83" i="33"/>
  <c r="V83" i="33"/>
  <c r="Q82" i="33"/>
  <c r="V82" i="33"/>
  <c r="Q81" i="33"/>
  <c r="V81" i="33"/>
  <c r="Q80" i="33"/>
  <c r="V80" i="33"/>
  <c r="Q79" i="33"/>
  <c r="V79" i="33"/>
  <c r="Q78" i="33"/>
  <c r="V78" i="33"/>
  <c r="Q77" i="33"/>
  <c r="V77" i="33"/>
  <c r="Q76" i="33"/>
  <c r="V76" i="33"/>
  <c r="Q75" i="33"/>
  <c r="V75" i="33"/>
  <c r="Q74" i="33"/>
  <c r="V74" i="33"/>
  <c r="Q73" i="33"/>
  <c r="V73" i="33"/>
  <c r="Q72" i="33"/>
  <c r="V72" i="33"/>
  <c r="Q71" i="33"/>
  <c r="V71" i="33"/>
  <c r="Q70" i="33"/>
  <c r="V70" i="33"/>
  <c r="Q69" i="33"/>
  <c r="V69" i="33"/>
  <c r="Q68" i="33"/>
  <c r="V68" i="33"/>
  <c r="Q67" i="33"/>
  <c r="V67" i="33"/>
  <c r="Q66" i="33"/>
  <c r="V66" i="33"/>
  <c r="Q65" i="33"/>
  <c r="V65" i="33"/>
  <c r="Q64" i="33"/>
  <c r="V64" i="33"/>
  <c r="Q63" i="33"/>
  <c r="V63" i="33"/>
  <c r="Q62" i="33"/>
  <c r="V62" i="33"/>
  <c r="Q61" i="33"/>
  <c r="V61" i="33"/>
  <c r="Q60" i="33"/>
  <c r="V60" i="33"/>
  <c r="Q59" i="33"/>
  <c r="V59" i="33"/>
  <c r="Q58" i="33"/>
  <c r="V58" i="33"/>
  <c r="Q57" i="33"/>
  <c r="V57" i="33"/>
  <c r="Q56" i="33"/>
  <c r="V56" i="33"/>
  <c r="Q55" i="33"/>
  <c r="V55" i="33"/>
  <c r="Q54" i="33"/>
  <c r="V54" i="33"/>
  <c r="Q53" i="33"/>
  <c r="V53" i="33"/>
  <c r="Q52" i="33"/>
  <c r="V52" i="33"/>
  <c r="Q51" i="33"/>
  <c r="V51" i="33"/>
  <c r="Q50" i="33"/>
  <c r="V50" i="33"/>
  <c r="Q49" i="33"/>
  <c r="V49" i="33"/>
  <c r="Q48" i="33"/>
  <c r="V48" i="33"/>
  <c r="Q47" i="33"/>
  <c r="V47" i="33"/>
  <c r="Q46" i="33"/>
  <c r="V46" i="33"/>
  <c r="Q45" i="33"/>
  <c r="V45" i="33"/>
  <c r="Q44" i="33"/>
  <c r="V44" i="33"/>
  <c r="Q43" i="33"/>
  <c r="V43" i="33"/>
  <c r="Q42" i="33"/>
  <c r="V42" i="33"/>
  <c r="F43" i="34"/>
  <c r="J43" i="34"/>
  <c r="AD43" i="34"/>
  <c r="Q41" i="33"/>
  <c r="V41" i="33"/>
  <c r="Q40" i="33"/>
  <c r="V40" i="33"/>
  <c r="Q39" i="33"/>
  <c r="V39" i="33"/>
  <c r="Q38" i="33"/>
  <c r="V38" i="33"/>
  <c r="Q37" i="33"/>
  <c r="V37" i="33"/>
  <c r="Q36" i="33"/>
  <c r="V36" i="33"/>
  <c r="Q35" i="33"/>
  <c r="V35" i="33"/>
  <c r="Q34" i="33"/>
  <c r="V34" i="33"/>
  <c r="Q33" i="33"/>
  <c r="V33" i="33"/>
  <c r="Q32" i="33"/>
  <c r="V32" i="33"/>
  <c r="Q31" i="33"/>
  <c r="V31" i="33"/>
  <c r="Q30" i="33"/>
  <c r="V30" i="33"/>
  <c r="Q29" i="33"/>
  <c r="V29" i="33"/>
  <c r="Q28" i="33"/>
  <c r="V28" i="33"/>
  <c r="Q27" i="33"/>
  <c r="V27" i="33"/>
  <c r="Q26" i="33"/>
  <c r="V26" i="33"/>
  <c r="Q25" i="33"/>
  <c r="V25" i="33"/>
  <c r="Q24" i="33"/>
  <c r="V24" i="33"/>
  <c r="Q23" i="33"/>
  <c r="V23" i="33"/>
  <c r="Q22" i="33"/>
  <c r="V22" i="33"/>
  <c r="Q21" i="33"/>
  <c r="V21" i="33"/>
  <c r="Q20" i="33"/>
  <c r="V20" i="33"/>
  <c r="Q19" i="33"/>
  <c r="V19" i="33"/>
  <c r="Q18" i="33"/>
  <c r="V18" i="33"/>
  <c r="Q17" i="33"/>
  <c r="V17" i="33"/>
  <c r="Q16" i="33"/>
  <c r="V16" i="33"/>
  <c r="F215" i="34"/>
  <c r="J215" i="34"/>
  <c r="AD215" i="34"/>
  <c r="F130" i="34"/>
  <c r="J130" i="34"/>
  <c r="AF130" i="34"/>
  <c r="F44" i="34"/>
  <c r="J44" i="34"/>
  <c r="AD44" i="34"/>
  <c r="AB236" i="34"/>
  <c r="AA247" i="34"/>
  <c r="AA236" i="34"/>
  <c r="AA244" i="34"/>
  <c r="T236" i="34"/>
  <c r="P236" i="34"/>
  <c r="O236" i="34"/>
  <c r="N236" i="34"/>
  <c r="H236" i="34"/>
  <c r="G236" i="34"/>
  <c r="AJ235" i="34"/>
  <c r="AI235" i="34"/>
  <c r="AF235" i="34"/>
  <c r="AE235" i="34"/>
  <c r="Z235" i="34"/>
  <c r="Y235" i="34"/>
  <c r="Q235" i="34"/>
  <c r="V235" i="34"/>
  <c r="F235" i="35"/>
  <c r="J235" i="35"/>
  <c r="AD235" i="35"/>
  <c r="X235" i="34"/>
  <c r="AC235" i="34"/>
  <c r="AI234" i="34"/>
  <c r="AH234" i="34"/>
  <c r="AE234" i="34"/>
  <c r="AD234" i="34"/>
  <c r="Y234" i="34"/>
  <c r="X234" i="34"/>
  <c r="Q234" i="34"/>
  <c r="V234" i="34"/>
  <c r="F234" i="35"/>
  <c r="J234" i="35"/>
  <c r="AF234" i="35"/>
  <c r="AI233" i="34"/>
  <c r="AH233" i="34"/>
  <c r="AE233" i="34"/>
  <c r="AD233" i="34"/>
  <c r="Y233" i="34"/>
  <c r="X233" i="34"/>
  <c r="Q233" i="34"/>
  <c r="AJ232" i="34"/>
  <c r="AI232" i="34"/>
  <c r="AF232" i="34"/>
  <c r="AE232" i="34"/>
  <c r="Z232" i="34"/>
  <c r="Y232" i="34"/>
  <c r="Q232" i="34"/>
  <c r="V232" i="34"/>
  <c r="F232" i="35"/>
  <c r="J232" i="35"/>
  <c r="AD232" i="35"/>
  <c r="AJ231" i="34"/>
  <c r="AI231" i="34"/>
  <c r="AF231" i="34"/>
  <c r="AE231" i="34"/>
  <c r="Z231" i="34"/>
  <c r="Y231" i="34"/>
  <c r="Q231" i="34"/>
  <c r="V231" i="34"/>
  <c r="F231" i="35"/>
  <c r="J231" i="35"/>
  <c r="AD231" i="35"/>
  <c r="AH231" i="34"/>
  <c r="AJ230" i="34"/>
  <c r="AI230" i="34"/>
  <c r="AF230" i="34"/>
  <c r="AE230" i="34"/>
  <c r="Z230" i="34"/>
  <c r="Y230" i="34"/>
  <c r="Q230" i="34"/>
  <c r="V230" i="34"/>
  <c r="F230" i="35"/>
  <c r="J230" i="35"/>
  <c r="AD230" i="35"/>
  <c r="AJ229" i="34"/>
  <c r="AH229" i="34"/>
  <c r="AF229" i="34"/>
  <c r="AD229" i="34"/>
  <c r="Z229" i="34"/>
  <c r="X229" i="34"/>
  <c r="Q229" i="34"/>
  <c r="V229" i="34"/>
  <c r="F229" i="35"/>
  <c r="J229" i="35"/>
  <c r="AE229" i="35"/>
  <c r="AJ228" i="34"/>
  <c r="AI228" i="34"/>
  <c r="AF228" i="34"/>
  <c r="AE228" i="34"/>
  <c r="Z228" i="34"/>
  <c r="Y228" i="34"/>
  <c r="Q228" i="34"/>
  <c r="V228" i="34"/>
  <c r="F228" i="35"/>
  <c r="J228" i="35"/>
  <c r="AD228" i="35"/>
  <c r="AJ227" i="34"/>
  <c r="AH227" i="34"/>
  <c r="AF227" i="34"/>
  <c r="AD227" i="34"/>
  <c r="Z227" i="34"/>
  <c r="X227" i="34"/>
  <c r="Q227" i="34"/>
  <c r="V227" i="34"/>
  <c r="F227" i="35"/>
  <c r="J227" i="35"/>
  <c r="AE227" i="35"/>
  <c r="AJ226" i="34"/>
  <c r="AH226" i="34"/>
  <c r="AF226" i="34"/>
  <c r="AD226" i="34"/>
  <c r="Z226" i="34"/>
  <c r="X226" i="34"/>
  <c r="Q226" i="34"/>
  <c r="V226" i="34"/>
  <c r="F226" i="35"/>
  <c r="J226" i="35"/>
  <c r="AE226" i="35"/>
  <c r="AJ225" i="34"/>
  <c r="Q225" i="34"/>
  <c r="AI225" i="34"/>
  <c r="AH225" i="34"/>
  <c r="AF225" i="34"/>
  <c r="AD225" i="34"/>
  <c r="Z225" i="34"/>
  <c r="X225" i="34"/>
  <c r="V225" i="34"/>
  <c r="F225" i="35"/>
  <c r="J225" i="35"/>
  <c r="AE225" i="35"/>
  <c r="AJ224" i="34"/>
  <c r="AH224" i="34"/>
  <c r="AF224" i="34"/>
  <c r="AD224" i="34"/>
  <c r="Z224" i="34"/>
  <c r="X224" i="34"/>
  <c r="Q224" i="34"/>
  <c r="V224" i="34"/>
  <c r="F224" i="35"/>
  <c r="J224" i="35"/>
  <c r="AE224" i="35"/>
  <c r="AJ223" i="34"/>
  <c r="AI223" i="34"/>
  <c r="AF223" i="34"/>
  <c r="AE223" i="34"/>
  <c r="Z223" i="34"/>
  <c r="Y223" i="34"/>
  <c r="Q223" i="34"/>
  <c r="V223" i="34"/>
  <c r="F223" i="35"/>
  <c r="J223" i="35"/>
  <c r="AD223" i="35"/>
  <c r="AJ222" i="34"/>
  <c r="AI222" i="34"/>
  <c r="AF222" i="34"/>
  <c r="AE222" i="34"/>
  <c r="Z222" i="34"/>
  <c r="Y222" i="34"/>
  <c r="Q222" i="34"/>
  <c r="V222" i="34"/>
  <c r="F222" i="35"/>
  <c r="J222" i="35"/>
  <c r="AD222" i="35"/>
  <c r="AH222" i="34"/>
  <c r="AI221" i="34"/>
  <c r="AH221" i="34"/>
  <c r="AE221" i="34"/>
  <c r="AD221" i="34"/>
  <c r="Y221" i="34"/>
  <c r="X221" i="34"/>
  <c r="Q221" i="34"/>
  <c r="V221" i="34"/>
  <c r="F221" i="35"/>
  <c r="J221" i="35"/>
  <c r="AF221" i="35"/>
  <c r="AJ220" i="34"/>
  <c r="AH220" i="34"/>
  <c r="AF220" i="34"/>
  <c r="AD220" i="34"/>
  <c r="Z220" i="34"/>
  <c r="X220" i="34"/>
  <c r="Q220" i="34"/>
  <c r="V220" i="34"/>
  <c r="F220" i="35"/>
  <c r="J220" i="35"/>
  <c r="AE220" i="35"/>
  <c r="AJ219" i="34"/>
  <c r="AI219" i="34"/>
  <c r="AF219" i="34"/>
  <c r="AE219" i="34"/>
  <c r="Z219" i="34"/>
  <c r="Y219" i="34"/>
  <c r="Q219" i="34"/>
  <c r="AJ218" i="34"/>
  <c r="AI218" i="34"/>
  <c r="AF218" i="34"/>
  <c r="AE218" i="34"/>
  <c r="Z218" i="34"/>
  <c r="Y218" i="34"/>
  <c r="Q218" i="34"/>
  <c r="V218" i="34"/>
  <c r="F218" i="35"/>
  <c r="J218" i="35"/>
  <c r="AD218" i="35"/>
  <c r="AI217" i="34"/>
  <c r="AH217" i="34"/>
  <c r="AE217" i="34"/>
  <c r="AD217" i="34"/>
  <c r="Y217" i="34"/>
  <c r="X217" i="34"/>
  <c r="Q217" i="34"/>
  <c r="AJ216" i="34"/>
  <c r="AI216" i="34"/>
  <c r="AF216" i="34"/>
  <c r="AE216" i="34"/>
  <c r="Z216" i="34"/>
  <c r="Y216" i="34"/>
  <c r="Q216" i="34"/>
  <c r="V216" i="34"/>
  <c r="F216" i="35"/>
  <c r="J216" i="35"/>
  <c r="AD216" i="35"/>
  <c r="AJ215" i="34"/>
  <c r="AI215" i="34"/>
  <c r="AF215" i="34"/>
  <c r="AE215" i="34"/>
  <c r="Z215" i="34"/>
  <c r="Y215" i="34"/>
  <c r="Q215" i="34"/>
  <c r="X215" i="34"/>
  <c r="AJ214" i="34"/>
  <c r="AI214" i="34"/>
  <c r="AF214" i="34"/>
  <c r="AE214" i="34"/>
  <c r="Z214" i="34"/>
  <c r="Y214" i="34"/>
  <c r="Q214" i="34"/>
  <c r="V214" i="34"/>
  <c r="F214" i="35"/>
  <c r="J214" i="35"/>
  <c r="AD214" i="35"/>
  <c r="AI213" i="34"/>
  <c r="AH213" i="34"/>
  <c r="AE213" i="34"/>
  <c r="AD213" i="34"/>
  <c r="Y213" i="34"/>
  <c r="X213" i="34"/>
  <c r="Q213" i="34"/>
  <c r="V213" i="34"/>
  <c r="F213" i="35"/>
  <c r="J213" i="35"/>
  <c r="AF213" i="35"/>
  <c r="AJ211" i="34"/>
  <c r="AH211" i="34"/>
  <c r="AF211" i="34"/>
  <c r="AD211" i="34"/>
  <c r="Z211" i="34"/>
  <c r="X211" i="34"/>
  <c r="Q211" i="34"/>
  <c r="V211" i="34"/>
  <c r="F211" i="35"/>
  <c r="J211" i="35"/>
  <c r="AE211" i="35"/>
  <c r="AI210" i="34"/>
  <c r="AH210" i="34"/>
  <c r="AE210" i="34"/>
  <c r="AD210" i="34"/>
  <c r="Y210" i="34"/>
  <c r="X210" i="34"/>
  <c r="Q210" i="34"/>
  <c r="AJ209" i="34"/>
  <c r="AH209" i="34"/>
  <c r="AF209" i="34"/>
  <c r="AD209" i="34"/>
  <c r="Z209" i="34"/>
  <c r="X209" i="34"/>
  <c r="Q209" i="34"/>
  <c r="V209" i="34"/>
  <c r="F209" i="35"/>
  <c r="J209" i="35"/>
  <c r="AE209" i="35"/>
  <c r="AJ208" i="34"/>
  <c r="AH208" i="34"/>
  <c r="AF208" i="34"/>
  <c r="AD208" i="34"/>
  <c r="Z208" i="34"/>
  <c r="X208" i="34"/>
  <c r="Q208" i="34"/>
  <c r="V208" i="34"/>
  <c r="F208" i="35"/>
  <c r="J208" i="35"/>
  <c r="AE208" i="35"/>
  <c r="AJ207" i="34"/>
  <c r="AH207" i="34"/>
  <c r="AF207" i="34"/>
  <c r="AD207" i="34"/>
  <c r="Z207" i="34"/>
  <c r="X207" i="34"/>
  <c r="Q207" i="34"/>
  <c r="V207" i="34"/>
  <c r="F207" i="35"/>
  <c r="J207" i="35"/>
  <c r="AE207" i="35"/>
  <c r="AJ206" i="34"/>
  <c r="AH206" i="34"/>
  <c r="AF206" i="34"/>
  <c r="AD206" i="34"/>
  <c r="Z206" i="34"/>
  <c r="X206" i="34"/>
  <c r="Q206" i="34"/>
  <c r="Y206" i="34"/>
  <c r="AC206" i="34"/>
  <c r="V206" i="34"/>
  <c r="F206" i="35"/>
  <c r="J206" i="35"/>
  <c r="AE206" i="35"/>
  <c r="AJ205" i="34"/>
  <c r="AH205" i="34"/>
  <c r="AF205" i="34"/>
  <c r="AD205" i="34"/>
  <c r="Z205" i="34"/>
  <c r="X205" i="34"/>
  <c r="Q205" i="34"/>
  <c r="V205" i="34"/>
  <c r="F205" i="35"/>
  <c r="J205" i="35"/>
  <c r="AE205" i="35"/>
  <c r="AJ204" i="34"/>
  <c r="AH204" i="34"/>
  <c r="AF204" i="34"/>
  <c r="AD204" i="34"/>
  <c r="Z204" i="34"/>
  <c r="X204" i="34"/>
  <c r="Q204" i="34"/>
  <c r="V204" i="34"/>
  <c r="F204" i="35"/>
  <c r="J204" i="35"/>
  <c r="AE204" i="35"/>
  <c r="AJ202" i="34"/>
  <c r="AI202" i="34"/>
  <c r="AF202" i="34"/>
  <c r="AE202" i="34"/>
  <c r="Z202" i="34"/>
  <c r="Y202" i="34"/>
  <c r="Q202" i="34"/>
  <c r="V202" i="34"/>
  <c r="F202" i="35"/>
  <c r="J202" i="35"/>
  <c r="AD202" i="35"/>
  <c r="AJ200" i="34"/>
  <c r="AI200" i="34"/>
  <c r="AF200" i="34"/>
  <c r="AE200" i="34"/>
  <c r="Z200" i="34"/>
  <c r="Y200" i="34"/>
  <c r="Q200" i="34"/>
  <c r="V200" i="34"/>
  <c r="F200" i="35"/>
  <c r="J200" i="35"/>
  <c r="AD200" i="35"/>
  <c r="AJ199" i="34"/>
  <c r="AI199" i="34"/>
  <c r="AF199" i="34"/>
  <c r="AE199" i="34"/>
  <c r="Z199" i="34"/>
  <c r="Y199" i="34"/>
  <c r="Q199" i="34"/>
  <c r="V199" i="34"/>
  <c r="F199" i="35"/>
  <c r="J199" i="35"/>
  <c r="AD199" i="35"/>
  <c r="AJ198" i="34"/>
  <c r="AH198" i="34"/>
  <c r="AF198" i="34"/>
  <c r="AD198" i="34"/>
  <c r="Z198" i="34"/>
  <c r="X198" i="34"/>
  <c r="Q198" i="34"/>
  <c r="V198" i="34"/>
  <c r="F198" i="35"/>
  <c r="J198" i="35"/>
  <c r="AE198" i="35"/>
  <c r="AJ197" i="34"/>
  <c r="AI197" i="34"/>
  <c r="AF197" i="34"/>
  <c r="AE197" i="34"/>
  <c r="Z197" i="34"/>
  <c r="Y197" i="34"/>
  <c r="Q197" i="34"/>
  <c r="V197" i="34"/>
  <c r="F197" i="35"/>
  <c r="J197" i="35"/>
  <c r="AD197" i="35"/>
  <c r="AJ196" i="34"/>
  <c r="AH196" i="34"/>
  <c r="AF196" i="34"/>
  <c r="AD196" i="34"/>
  <c r="Z196" i="34"/>
  <c r="X196" i="34"/>
  <c r="Q196" i="34"/>
  <c r="V196" i="34"/>
  <c r="F196" i="35"/>
  <c r="J196" i="35"/>
  <c r="AE196" i="35"/>
  <c r="AJ195" i="34"/>
  <c r="AH195" i="34"/>
  <c r="AF195" i="34"/>
  <c r="AD195" i="34"/>
  <c r="Z195" i="34"/>
  <c r="X195" i="34"/>
  <c r="Q195" i="34"/>
  <c r="V195" i="34"/>
  <c r="F195" i="35"/>
  <c r="J195" i="35"/>
  <c r="AE195" i="35"/>
  <c r="AJ194" i="34"/>
  <c r="AH194" i="34"/>
  <c r="AF194" i="34"/>
  <c r="AD194" i="34"/>
  <c r="Z194" i="34"/>
  <c r="X194" i="34"/>
  <c r="Q194" i="34"/>
  <c r="V194" i="34"/>
  <c r="F194" i="35"/>
  <c r="J194" i="35"/>
  <c r="AE194" i="35"/>
  <c r="AJ193" i="34"/>
  <c r="AI193" i="34"/>
  <c r="AF193" i="34"/>
  <c r="AE193" i="34"/>
  <c r="Z193" i="34"/>
  <c r="Y193" i="34"/>
  <c r="Q193" i="34"/>
  <c r="V193" i="34"/>
  <c r="F193" i="35"/>
  <c r="J193" i="35"/>
  <c r="AD193" i="35"/>
  <c r="AJ192" i="34"/>
  <c r="AI192" i="34"/>
  <c r="AF192" i="34"/>
  <c r="AE192" i="34"/>
  <c r="Z192" i="34"/>
  <c r="Y192" i="34"/>
  <c r="Q192" i="34"/>
  <c r="V192" i="34"/>
  <c r="J192" i="35"/>
  <c r="AD192" i="35"/>
  <c r="AL192" i="35"/>
  <c r="AJ191" i="34"/>
  <c r="AI191" i="34"/>
  <c r="AF191" i="34"/>
  <c r="AE191" i="34"/>
  <c r="Z191" i="34"/>
  <c r="Y191" i="34"/>
  <c r="Q191" i="34"/>
  <c r="AJ190" i="34"/>
  <c r="AH190" i="34"/>
  <c r="AF190" i="34"/>
  <c r="AD190" i="34"/>
  <c r="Z190" i="34"/>
  <c r="X190" i="34"/>
  <c r="Q190" i="34"/>
  <c r="V190" i="34"/>
  <c r="F190" i="35"/>
  <c r="J190" i="35"/>
  <c r="AE190" i="35"/>
  <c r="AJ189" i="34"/>
  <c r="AI189" i="34"/>
  <c r="AF189" i="34"/>
  <c r="AE189" i="34"/>
  <c r="Z189" i="34"/>
  <c r="Y189" i="34"/>
  <c r="Q189" i="34"/>
  <c r="AJ188" i="34"/>
  <c r="AH188" i="34"/>
  <c r="AF188" i="34"/>
  <c r="AD188" i="34"/>
  <c r="Z188" i="34"/>
  <c r="X188" i="34"/>
  <c r="Q188" i="34"/>
  <c r="V188" i="34"/>
  <c r="F188" i="35"/>
  <c r="J188" i="35"/>
  <c r="AE188" i="35"/>
  <c r="AJ187" i="34"/>
  <c r="AI187" i="34"/>
  <c r="AF187" i="34"/>
  <c r="AE187" i="34"/>
  <c r="Z187" i="34"/>
  <c r="Y187" i="34"/>
  <c r="Q187" i="34"/>
  <c r="V187" i="34"/>
  <c r="F187" i="35"/>
  <c r="J187" i="35"/>
  <c r="AD187" i="35"/>
  <c r="AI186" i="34"/>
  <c r="AH186" i="34"/>
  <c r="AE186" i="34"/>
  <c r="AD186" i="34"/>
  <c r="Y186" i="34"/>
  <c r="X186" i="34"/>
  <c r="Q186" i="34"/>
  <c r="V186" i="34"/>
  <c r="AJ185" i="34"/>
  <c r="AH185" i="34"/>
  <c r="AF185" i="34"/>
  <c r="AD185" i="34"/>
  <c r="Z185" i="34"/>
  <c r="X185" i="34"/>
  <c r="Q185" i="34"/>
  <c r="V185" i="34"/>
  <c r="AJ184" i="34"/>
  <c r="AI184" i="34"/>
  <c r="AF184" i="34"/>
  <c r="AE184" i="34"/>
  <c r="Z184" i="34"/>
  <c r="Y184" i="34"/>
  <c r="Q184" i="34"/>
  <c r="V184" i="34"/>
  <c r="F184" i="35"/>
  <c r="J184" i="35"/>
  <c r="AD184" i="35"/>
  <c r="AJ183" i="34"/>
  <c r="AH183" i="34"/>
  <c r="AF183" i="34"/>
  <c r="AD183" i="34"/>
  <c r="Z183" i="34"/>
  <c r="X183" i="34"/>
  <c r="Q183" i="34"/>
  <c r="V183" i="34"/>
  <c r="F183" i="35"/>
  <c r="J183" i="35"/>
  <c r="AE183" i="35"/>
  <c r="AJ182" i="34"/>
  <c r="AI182" i="34"/>
  <c r="AF182" i="34"/>
  <c r="AE182" i="34"/>
  <c r="Z182" i="34"/>
  <c r="Y182" i="34"/>
  <c r="Q182" i="34"/>
  <c r="V182" i="34"/>
  <c r="F182" i="35"/>
  <c r="J182" i="35"/>
  <c r="AD182" i="35"/>
  <c r="AJ181" i="34"/>
  <c r="AI181" i="34"/>
  <c r="AF181" i="34"/>
  <c r="AE181" i="34"/>
  <c r="Z181" i="34"/>
  <c r="Y181" i="34"/>
  <c r="Q181" i="34"/>
  <c r="V181" i="34"/>
  <c r="F181" i="35"/>
  <c r="J181" i="35"/>
  <c r="AD181" i="35"/>
  <c r="AJ180" i="34"/>
  <c r="AH180" i="34"/>
  <c r="AF180" i="34"/>
  <c r="AD180" i="34"/>
  <c r="Z180" i="34"/>
  <c r="X180" i="34"/>
  <c r="Q180" i="34"/>
  <c r="V180" i="34"/>
  <c r="F180" i="35"/>
  <c r="J180" i="35"/>
  <c r="AE180" i="35"/>
  <c r="AJ179" i="34"/>
  <c r="AI179" i="34"/>
  <c r="AF179" i="34"/>
  <c r="AE179" i="34"/>
  <c r="Z179" i="34"/>
  <c r="Y179" i="34"/>
  <c r="Q179" i="34"/>
  <c r="V179" i="34"/>
  <c r="F179" i="35"/>
  <c r="J179" i="35"/>
  <c r="AD179" i="35"/>
  <c r="AJ178" i="34"/>
  <c r="AI178" i="34"/>
  <c r="AF178" i="34"/>
  <c r="AE178" i="34"/>
  <c r="Z178" i="34"/>
  <c r="Y178" i="34"/>
  <c r="Q178" i="34"/>
  <c r="X178" i="34"/>
  <c r="AJ177" i="34"/>
  <c r="AI177" i="34"/>
  <c r="AF177" i="34"/>
  <c r="AE177" i="34"/>
  <c r="Z177" i="34"/>
  <c r="Y177" i="34"/>
  <c r="Q177" i="34"/>
  <c r="AJ176" i="34"/>
  <c r="AI176" i="34"/>
  <c r="AF176" i="34"/>
  <c r="AE176" i="34"/>
  <c r="Z176" i="34"/>
  <c r="Y176" i="34"/>
  <c r="Q176" i="34"/>
  <c r="V176" i="34"/>
  <c r="F176" i="35"/>
  <c r="J176" i="35"/>
  <c r="AD176" i="35"/>
  <c r="AJ175" i="34"/>
  <c r="AI175" i="34"/>
  <c r="AF175" i="34"/>
  <c r="AE175" i="34"/>
  <c r="Z175" i="34"/>
  <c r="Y175" i="34"/>
  <c r="Q175" i="34"/>
  <c r="V175" i="34"/>
  <c r="F175" i="35"/>
  <c r="J175" i="35"/>
  <c r="AD175" i="35"/>
  <c r="AJ173" i="34"/>
  <c r="AI173" i="34"/>
  <c r="AF173" i="34"/>
  <c r="AE173" i="34"/>
  <c r="Z173" i="34"/>
  <c r="Y173" i="34"/>
  <c r="Q173" i="34"/>
  <c r="V173" i="34"/>
  <c r="F173" i="35"/>
  <c r="J173" i="35"/>
  <c r="AD173" i="35"/>
  <c r="AJ172" i="34"/>
  <c r="AI172" i="34"/>
  <c r="AF172" i="34"/>
  <c r="AE172" i="34"/>
  <c r="Z172" i="34"/>
  <c r="Y172" i="34"/>
  <c r="Q172" i="34"/>
  <c r="V172" i="34"/>
  <c r="F172" i="35"/>
  <c r="J172" i="35"/>
  <c r="AD172" i="35"/>
  <c r="AJ171" i="34"/>
  <c r="AI171" i="34"/>
  <c r="AF171" i="34"/>
  <c r="AE171" i="34"/>
  <c r="Z171" i="34"/>
  <c r="Y171" i="34"/>
  <c r="Q171" i="34"/>
  <c r="V171" i="34"/>
  <c r="F171" i="35"/>
  <c r="J171" i="35"/>
  <c r="AD171" i="35"/>
  <c r="AJ170" i="34"/>
  <c r="AI170" i="34"/>
  <c r="AF170" i="34"/>
  <c r="AE170" i="34"/>
  <c r="Z170" i="34"/>
  <c r="Y170" i="34"/>
  <c r="Q170" i="34"/>
  <c r="V170" i="34"/>
  <c r="F170" i="35"/>
  <c r="J170" i="35"/>
  <c r="AD170" i="35"/>
  <c r="AJ169" i="34"/>
  <c r="AH169" i="34"/>
  <c r="AF169" i="34"/>
  <c r="AD169" i="34"/>
  <c r="Z169" i="34"/>
  <c r="X169" i="34"/>
  <c r="Q169" i="34"/>
  <c r="V169" i="34"/>
  <c r="J169" i="35"/>
  <c r="AJ168" i="34"/>
  <c r="AH168" i="34"/>
  <c r="AF168" i="34"/>
  <c r="AD168" i="34"/>
  <c r="Z168" i="34"/>
  <c r="X168" i="34"/>
  <c r="Q168" i="34"/>
  <c r="V168" i="34"/>
  <c r="F168" i="35"/>
  <c r="J168" i="35"/>
  <c r="AE168" i="35"/>
  <c r="AJ167" i="34"/>
  <c r="AH167" i="34"/>
  <c r="AF167" i="34"/>
  <c r="AD167" i="34"/>
  <c r="Z167" i="34"/>
  <c r="X167" i="34"/>
  <c r="Q167" i="34"/>
  <c r="AJ166" i="34"/>
  <c r="AH166" i="34"/>
  <c r="AF166" i="34"/>
  <c r="AD166" i="34"/>
  <c r="Z166" i="34"/>
  <c r="X166" i="34"/>
  <c r="Q166" i="34"/>
  <c r="V166" i="34"/>
  <c r="F166" i="35"/>
  <c r="J166" i="35"/>
  <c r="AE166" i="35"/>
  <c r="AJ165" i="34"/>
  <c r="AH165" i="34"/>
  <c r="AF165" i="34"/>
  <c r="AD165" i="34"/>
  <c r="Z165" i="34"/>
  <c r="X165" i="34"/>
  <c r="Q165" i="34"/>
  <c r="V165" i="34"/>
  <c r="F165" i="35"/>
  <c r="J165" i="35"/>
  <c r="AE165" i="35"/>
  <c r="AJ164" i="34"/>
  <c r="AI164" i="34"/>
  <c r="AF164" i="34"/>
  <c r="AE164" i="34"/>
  <c r="Z164" i="34"/>
  <c r="Y164" i="34"/>
  <c r="Q164" i="34"/>
  <c r="AJ163" i="34"/>
  <c r="AI163" i="34"/>
  <c r="AF163" i="34"/>
  <c r="AE163" i="34"/>
  <c r="Z163" i="34"/>
  <c r="Y163" i="34"/>
  <c r="Q163" i="34"/>
  <c r="V163" i="34"/>
  <c r="F163" i="35"/>
  <c r="J163" i="35"/>
  <c r="AD163" i="35"/>
  <c r="AJ162" i="34"/>
  <c r="AH162" i="34"/>
  <c r="AF162" i="34"/>
  <c r="AD162" i="34"/>
  <c r="Z162" i="34"/>
  <c r="X162" i="34"/>
  <c r="Q162" i="34"/>
  <c r="V162" i="34"/>
  <c r="F162" i="35"/>
  <c r="J162" i="35"/>
  <c r="AE162" i="35"/>
  <c r="AJ161" i="34"/>
  <c r="AH161" i="34"/>
  <c r="AF161" i="34"/>
  <c r="AD161" i="34"/>
  <c r="Z161" i="34"/>
  <c r="X161" i="34"/>
  <c r="Q161" i="34"/>
  <c r="V161" i="34"/>
  <c r="F161" i="35"/>
  <c r="J161" i="35"/>
  <c r="AE161" i="35"/>
  <c r="AJ160" i="34"/>
  <c r="AI160" i="34"/>
  <c r="AF160" i="34"/>
  <c r="AE160" i="34"/>
  <c r="Z160" i="34"/>
  <c r="Y160" i="34"/>
  <c r="Q160" i="34"/>
  <c r="V160" i="34"/>
  <c r="F160" i="35"/>
  <c r="J160" i="35"/>
  <c r="AD160" i="35"/>
  <c r="AI159" i="34"/>
  <c r="AH159" i="34"/>
  <c r="AE159" i="34"/>
  <c r="AD159" i="34"/>
  <c r="Y159" i="34"/>
  <c r="X159" i="34"/>
  <c r="Q159" i="34"/>
  <c r="V159" i="34"/>
  <c r="F159" i="35"/>
  <c r="J159" i="35"/>
  <c r="AF159" i="35"/>
  <c r="AJ158" i="34"/>
  <c r="AH158" i="34"/>
  <c r="AF158" i="34"/>
  <c r="AD158" i="34"/>
  <c r="Z158" i="34"/>
  <c r="X158" i="34"/>
  <c r="Q158" i="34"/>
  <c r="V158" i="34"/>
  <c r="F158" i="35"/>
  <c r="J158" i="35"/>
  <c r="AE158" i="35"/>
  <c r="AJ157" i="34"/>
  <c r="AH157" i="34"/>
  <c r="AF157" i="34"/>
  <c r="AD157" i="34"/>
  <c r="Z157" i="34"/>
  <c r="X157" i="34"/>
  <c r="Q157" i="34"/>
  <c r="V157" i="34"/>
  <c r="F157" i="35"/>
  <c r="J157" i="35"/>
  <c r="AE157" i="35"/>
  <c r="Y157" i="34"/>
  <c r="AI156" i="34"/>
  <c r="AH156" i="34"/>
  <c r="AE156" i="34"/>
  <c r="AD156" i="34"/>
  <c r="Y156" i="34"/>
  <c r="X156" i="34"/>
  <c r="Q156" i="34"/>
  <c r="V156" i="34"/>
  <c r="F156" i="35"/>
  <c r="J156" i="35"/>
  <c r="AF156" i="35"/>
  <c r="AJ155" i="34"/>
  <c r="AI155" i="34"/>
  <c r="AF155" i="34"/>
  <c r="AE155" i="34"/>
  <c r="Z155" i="34"/>
  <c r="Y155" i="34"/>
  <c r="Q155" i="34"/>
  <c r="X155" i="34"/>
  <c r="V155" i="34"/>
  <c r="F155" i="35"/>
  <c r="J155" i="35"/>
  <c r="AD155" i="35"/>
  <c r="AH155" i="34"/>
  <c r="AJ154" i="34"/>
  <c r="AI154" i="34"/>
  <c r="AF154" i="34"/>
  <c r="AE154" i="34"/>
  <c r="Z154" i="34"/>
  <c r="Y154" i="34"/>
  <c r="Q154" i="34"/>
  <c r="V154" i="34"/>
  <c r="F154" i="35"/>
  <c r="J154" i="35"/>
  <c r="AD154" i="35"/>
  <c r="AI153" i="34"/>
  <c r="AH153" i="34"/>
  <c r="AE153" i="34"/>
  <c r="AD153" i="34"/>
  <c r="Y153" i="34"/>
  <c r="X153" i="34"/>
  <c r="Q153" i="34"/>
  <c r="V153" i="34"/>
  <c r="F153" i="35"/>
  <c r="J153" i="35"/>
  <c r="AF153" i="35"/>
  <c r="AJ152" i="34"/>
  <c r="AI152" i="34"/>
  <c r="AF152" i="34"/>
  <c r="AE152" i="34"/>
  <c r="Z152" i="34"/>
  <c r="Y152" i="34"/>
  <c r="Q152" i="34"/>
  <c r="V152" i="34"/>
  <c r="F152" i="35"/>
  <c r="J152" i="35"/>
  <c r="AD152" i="35"/>
  <c r="AJ151" i="34"/>
  <c r="AH151" i="34"/>
  <c r="AF151" i="34"/>
  <c r="AD151" i="34"/>
  <c r="Z151" i="34"/>
  <c r="X151" i="34"/>
  <c r="Q151" i="34"/>
  <c r="V151" i="34"/>
  <c r="F151" i="35"/>
  <c r="J151" i="35"/>
  <c r="AE151" i="35"/>
  <c r="AJ150" i="34"/>
  <c r="AH150" i="34"/>
  <c r="AF150" i="34"/>
  <c r="AD150" i="34"/>
  <c r="Z150" i="34"/>
  <c r="X150" i="34"/>
  <c r="Q150" i="34"/>
  <c r="V150" i="34"/>
  <c r="F150" i="35"/>
  <c r="J150" i="35"/>
  <c r="AE150" i="35"/>
  <c r="AI149" i="34"/>
  <c r="AH149" i="34"/>
  <c r="AE149" i="34"/>
  <c r="AD149" i="34"/>
  <c r="Y149" i="34"/>
  <c r="X149" i="34"/>
  <c r="Q149" i="34"/>
  <c r="V149" i="34"/>
  <c r="F149" i="35"/>
  <c r="J149" i="35"/>
  <c r="AF149" i="35"/>
  <c r="AJ148" i="34"/>
  <c r="AI148" i="34"/>
  <c r="AF148" i="34"/>
  <c r="AE148" i="34"/>
  <c r="Z148" i="34"/>
  <c r="Y148" i="34"/>
  <c r="Q148" i="34"/>
  <c r="AJ147" i="34"/>
  <c r="AI147" i="34"/>
  <c r="AF147" i="34"/>
  <c r="AE147" i="34"/>
  <c r="Z147" i="34"/>
  <c r="Y147" i="34"/>
  <c r="Q147" i="34"/>
  <c r="X147" i="34"/>
  <c r="AJ146" i="34"/>
  <c r="AH146" i="34"/>
  <c r="AF146" i="34"/>
  <c r="AD146" i="34"/>
  <c r="Z146" i="34"/>
  <c r="X146" i="34"/>
  <c r="Q146" i="34"/>
  <c r="V146" i="34"/>
  <c r="F146" i="35"/>
  <c r="J146" i="35"/>
  <c r="AE146" i="35"/>
  <c r="AJ145" i="34"/>
  <c r="AH145" i="34"/>
  <c r="AF145" i="34"/>
  <c r="AD145" i="34"/>
  <c r="Z145" i="34"/>
  <c r="X145" i="34"/>
  <c r="Q145" i="34"/>
  <c r="V145" i="34"/>
  <c r="F145" i="35"/>
  <c r="J145" i="35"/>
  <c r="AE145" i="35"/>
  <c r="AJ144" i="34"/>
  <c r="AI144" i="34"/>
  <c r="AF144" i="34"/>
  <c r="AE144" i="34"/>
  <c r="Z144" i="34"/>
  <c r="Y144" i="34"/>
  <c r="Q144" i="34"/>
  <c r="V144" i="34"/>
  <c r="F144" i="35"/>
  <c r="J144" i="35"/>
  <c r="AD144" i="35"/>
  <c r="AJ143" i="34"/>
  <c r="AI143" i="34"/>
  <c r="AF143" i="34"/>
  <c r="AE143" i="34"/>
  <c r="Z143" i="34"/>
  <c r="Y143" i="34"/>
  <c r="Q143" i="34"/>
  <c r="V143" i="34"/>
  <c r="F143" i="35"/>
  <c r="J143" i="35"/>
  <c r="AD143" i="35"/>
  <c r="AJ142" i="34"/>
  <c r="AI142" i="34"/>
  <c r="AF142" i="34"/>
  <c r="AE142" i="34"/>
  <c r="Z142" i="34"/>
  <c r="Y142" i="34"/>
  <c r="Q142" i="34"/>
  <c r="V142" i="34"/>
  <c r="F142" i="35"/>
  <c r="J142" i="35"/>
  <c r="AD142" i="35"/>
  <c r="AJ141" i="34"/>
  <c r="AI141" i="34"/>
  <c r="AF141" i="34"/>
  <c r="AE141" i="34"/>
  <c r="Z141" i="34"/>
  <c r="Y141" i="34"/>
  <c r="Q141" i="34"/>
  <c r="V141" i="34"/>
  <c r="F141" i="35"/>
  <c r="J141" i="35"/>
  <c r="AD141" i="35"/>
  <c r="AJ140" i="34"/>
  <c r="AI140" i="34"/>
  <c r="AF140" i="34"/>
  <c r="AE140" i="34"/>
  <c r="Z140" i="34"/>
  <c r="Y140" i="34"/>
  <c r="Q140" i="34"/>
  <c r="V140" i="34"/>
  <c r="F140" i="35"/>
  <c r="J140" i="35"/>
  <c r="AD140" i="35"/>
  <c r="AJ139" i="34"/>
  <c r="AI139" i="34"/>
  <c r="AF139" i="34"/>
  <c r="AE139" i="34"/>
  <c r="Z139" i="34"/>
  <c r="Y139" i="34"/>
  <c r="Q139" i="34"/>
  <c r="V139" i="34"/>
  <c r="F139" i="35"/>
  <c r="J139" i="35"/>
  <c r="AD139" i="35"/>
  <c r="AJ138" i="34"/>
  <c r="AI138" i="34"/>
  <c r="AF138" i="34"/>
  <c r="AE138" i="34"/>
  <c r="Z138" i="34"/>
  <c r="Y138" i="34"/>
  <c r="Q138" i="34"/>
  <c r="V138" i="34"/>
  <c r="F138" i="35"/>
  <c r="J138" i="35"/>
  <c r="AD138" i="35"/>
  <c r="AJ137" i="34"/>
  <c r="AI137" i="34"/>
  <c r="AF137" i="34"/>
  <c r="AE137" i="34"/>
  <c r="Z137" i="34"/>
  <c r="Y137" i="34"/>
  <c r="Q137" i="34"/>
  <c r="V137" i="34"/>
  <c r="F137" i="35"/>
  <c r="J137" i="35"/>
  <c r="AD137" i="35"/>
  <c r="AJ136" i="34"/>
  <c r="AI136" i="34"/>
  <c r="AF136" i="34"/>
  <c r="AE136" i="34"/>
  <c r="Z136" i="34"/>
  <c r="Y136" i="34"/>
  <c r="Q136" i="34"/>
  <c r="V136" i="34"/>
  <c r="F136" i="35"/>
  <c r="J136" i="35"/>
  <c r="AD136" i="35"/>
  <c r="AJ135" i="34"/>
  <c r="AI135" i="34"/>
  <c r="AF135" i="34"/>
  <c r="AE135" i="34"/>
  <c r="Z135" i="34"/>
  <c r="Y135" i="34"/>
  <c r="Q135" i="34"/>
  <c r="V135" i="34"/>
  <c r="F135" i="35"/>
  <c r="J135" i="35"/>
  <c r="AD135" i="35"/>
  <c r="AJ134" i="34"/>
  <c r="AH134" i="34"/>
  <c r="AF134" i="34"/>
  <c r="AD134" i="34"/>
  <c r="Z134" i="34"/>
  <c r="X134" i="34"/>
  <c r="Q134" i="34"/>
  <c r="V134" i="34"/>
  <c r="F134" i="35"/>
  <c r="J134" i="35"/>
  <c r="AE134" i="35"/>
  <c r="AJ133" i="34"/>
  <c r="AI133" i="34"/>
  <c r="AF133" i="34"/>
  <c r="AE133" i="34"/>
  <c r="Z133" i="34"/>
  <c r="Y133" i="34"/>
  <c r="Q133" i="34"/>
  <c r="V133" i="34"/>
  <c r="F133" i="35"/>
  <c r="J133" i="35"/>
  <c r="AD133" i="35"/>
  <c r="AJ132" i="34"/>
  <c r="AH132" i="34"/>
  <c r="AF132" i="34"/>
  <c r="AD132" i="34"/>
  <c r="Z132" i="34"/>
  <c r="X132" i="34"/>
  <c r="Q132" i="34"/>
  <c r="V132" i="34"/>
  <c r="F132" i="35"/>
  <c r="J132" i="35"/>
  <c r="AE132" i="35"/>
  <c r="AJ131" i="34"/>
  <c r="AH131" i="34"/>
  <c r="AF131" i="34"/>
  <c r="AD131" i="34"/>
  <c r="Z131" i="34"/>
  <c r="X131" i="34"/>
  <c r="Q131" i="34"/>
  <c r="V131" i="34"/>
  <c r="F131" i="35"/>
  <c r="J131" i="35"/>
  <c r="AE131" i="35"/>
  <c r="AI130" i="34"/>
  <c r="AH130" i="34"/>
  <c r="AE130" i="34"/>
  <c r="AD130" i="34"/>
  <c r="Y130" i="34"/>
  <c r="X130" i="34"/>
  <c r="Q130" i="34"/>
  <c r="AJ129" i="34"/>
  <c r="AI129" i="34"/>
  <c r="AF129" i="34"/>
  <c r="AE129" i="34"/>
  <c r="Z129" i="34"/>
  <c r="Y129" i="34"/>
  <c r="Q129" i="34"/>
  <c r="V129" i="34"/>
  <c r="F129" i="35"/>
  <c r="J129" i="35"/>
  <c r="AD129" i="35"/>
  <c r="AJ127" i="34"/>
  <c r="AH127" i="34"/>
  <c r="AF127" i="34"/>
  <c r="AD127" i="34"/>
  <c r="Z127" i="34"/>
  <c r="X127" i="34"/>
  <c r="Q127" i="34"/>
  <c r="V127" i="34"/>
  <c r="F127" i="35"/>
  <c r="J127" i="35"/>
  <c r="AE127" i="35"/>
  <c r="AJ126" i="34"/>
  <c r="AI126" i="34"/>
  <c r="AF126" i="34"/>
  <c r="AE126" i="34"/>
  <c r="Z126" i="34"/>
  <c r="Y126" i="34"/>
  <c r="Q126" i="34"/>
  <c r="X126" i="34"/>
  <c r="AJ125" i="34"/>
  <c r="AI125" i="34"/>
  <c r="AF125" i="34"/>
  <c r="AE125" i="34"/>
  <c r="Z125" i="34"/>
  <c r="Y125" i="34"/>
  <c r="Q125" i="34"/>
  <c r="V125" i="34"/>
  <c r="F125" i="35"/>
  <c r="J125" i="35"/>
  <c r="AD125" i="35"/>
  <c r="AJ124" i="34"/>
  <c r="AI124" i="34"/>
  <c r="AF124" i="34"/>
  <c r="AE124" i="34"/>
  <c r="Z124" i="34"/>
  <c r="Y124" i="34"/>
  <c r="Q124" i="34"/>
  <c r="V124" i="34"/>
  <c r="F124" i="35"/>
  <c r="J124" i="35"/>
  <c r="AD124" i="35"/>
  <c r="AJ123" i="34"/>
  <c r="AI123" i="34"/>
  <c r="AF123" i="34"/>
  <c r="AE123" i="34"/>
  <c r="Z123" i="34"/>
  <c r="Y123" i="34"/>
  <c r="Q123" i="34"/>
  <c r="V123" i="34"/>
  <c r="F123" i="35"/>
  <c r="J123" i="35"/>
  <c r="AD123" i="35"/>
  <c r="AJ122" i="34"/>
  <c r="AI122" i="34"/>
  <c r="AF122" i="34"/>
  <c r="AE122" i="34"/>
  <c r="Z122" i="34"/>
  <c r="Y122" i="34"/>
  <c r="Q122" i="34"/>
  <c r="AJ121" i="34"/>
  <c r="AI121" i="34"/>
  <c r="AF121" i="34"/>
  <c r="AE121" i="34"/>
  <c r="Z121" i="34"/>
  <c r="Y121" i="34"/>
  <c r="Q121" i="34"/>
  <c r="V121" i="34"/>
  <c r="F121" i="35"/>
  <c r="J121" i="35"/>
  <c r="AD121" i="35"/>
  <c r="AJ120" i="34"/>
  <c r="AI120" i="34"/>
  <c r="AF120" i="34"/>
  <c r="AE120" i="34"/>
  <c r="Z120" i="34"/>
  <c r="Y120" i="34"/>
  <c r="Q120" i="34"/>
  <c r="V120" i="34"/>
  <c r="F120" i="35"/>
  <c r="J120" i="35"/>
  <c r="AD120" i="35"/>
  <c r="AJ119" i="34"/>
  <c r="Q119" i="34"/>
  <c r="AI119" i="34"/>
  <c r="AH119" i="34"/>
  <c r="AF119" i="34"/>
  <c r="AD119" i="34"/>
  <c r="Z119" i="34"/>
  <c r="X119" i="34"/>
  <c r="V119" i="34"/>
  <c r="F119" i="35"/>
  <c r="J119" i="35"/>
  <c r="AE119" i="35"/>
  <c r="AJ118" i="34"/>
  <c r="AH118" i="34"/>
  <c r="AF118" i="34"/>
  <c r="AD118" i="34"/>
  <c r="Z118" i="34"/>
  <c r="X118" i="34"/>
  <c r="Q118" i="34"/>
  <c r="V118" i="34"/>
  <c r="F118" i="35"/>
  <c r="J118" i="35"/>
  <c r="AE118" i="35"/>
  <c r="AJ117" i="34"/>
  <c r="AI117" i="34"/>
  <c r="AF117" i="34"/>
  <c r="AE117" i="34"/>
  <c r="Z117" i="34"/>
  <c r="Y117" i="34"/>
  <c r="Q117" i="34"/>
  <c r="V117" i="34"/>
  <c r="F117" i="35"/>
  <c r="J117" i="35"/>
  <c r="AD117" i="35"/>
  <c r="AJ116" i="34"/>
  <c r="AI116" i="34"/>
  <c r="AF116" i="34"/>
  <c r="AE116" i="34"/>
  <c r="Z116" i="34"/>
  <c r="Y116" i="34"/>
  <c r="Q116" i="34"/>
  <c r="V116" i="34"/>
  <c r="F116" i="35"/>
  <c r="J116" i="35"/>
  <c r="AD116" i="35"/>
  <c r="AH116" i="34"/>
  <c r="AJ115" i="34"/>
  <c r="AI115" i="34"/>
  <c r="AF115" i="34"/>
  <c r="AE115" i="34"/>
  <c r="Z115" i="34"/>
  <c r="Y115" i="34"/>
  <c r="Q115" i="34"/>
  <c r="AJ114" i="34"/>
  <c r="AI114" i="34"/>
  <c r="AF114" i="34"/>
  <c r="AE114" i="34"/>
  <c r="Z114" i="34"/>
  <c r="Y114" i="34"/>
  <c r="AJ113" i="34"/>
  <c r="AI113" i="34"/>
  <c r="AF113" i="34"/>
  <c r="AE113" i="34"/>
  <c r="Z113" i="34"/>
  <c r="Y113" i="34"/>
  <c r="Q113" i="34"/>
  <c r="AJ112" i="34"/>
  <c r="AI112" i="34"/>
  <c r="AF112" i="34"/>
  <c r="AE112" i="34"/>
  <c r="Z112" i="34"/>
  <c r="Y112" i="34"/>
  <c r="Q112" i="34"/>
  <c r="AJ111" i="34"/>
  <c r="AI111" i="34"/>
  <c r="AF111" i="34"/>
  <c r="AE111" i="34"/>
  <c r="Z111" i="34"/>
  <c r="Y111" i="34"/>
  <c r="Q111" i="34"/>
  <c r="AJ110" i="34"/>
  <c r="AI110" i="34"/>
  <c r="AF110" i="34"/>
  <c r="AE110" i="34"/>
  <c r="Z110" i="34"/>
  <c r="Y110" i="34"/>
  <c r="Q110" i="34"/>
  <c r="AJ109" i="34"/>
  <c r="AI109" i="34"/>
  <c r="AF109" i="34"/>
  <c r="AE109" i="34"/>
  <c r="Z109" i="34"/>
  <c r="Y109" i="34"/>
  <c r="Q109" i="34"/>
  <c r="AJ108" i="34"/>
  <c r="AI108" i="34"/>
  <c r="AF108" i="34"/>
  <c r="AE108" i="34"/>
  <c r="Z108" i="34"/>
  <c r="Y108" i="34"/>
  <c r="Q108" i="34"/>
  <c r="AJ107" i="34"/>
  <c r="AI107" i="34"/>
  <c r="AF107" i="34"/>
  <c r="AE107" i="34"/>
  <c r="Z107" i="34"/>
  <c r="Y107" i="34"/>
  <c r="Q107" i="34"/>
  <c r="V107" i="34"/>
  <c r="F107" i="35"/>
  <c r="J107" i="35"/>
  <c r="AD107" i="35"/>
  <c r="X107" i="34"/>
  <c r="AJ106" i="34"/>
  <c r="AI106" i="34"/>
  <c r="AF106" i="34"/>
  <c r="AE106" i="34"/>
  <c r="Z106" i="34"/>
  <c r="Y106" i="34"/>
  <c r="Q106" i="34"/>
  <c r="V106" i="34"/>
  <c r="F106" i="35"/>
  <c r="J106" i="35"/>
  <c r="AD106" i="35"/>
  <c r="AJ105" i="34"/>
  <c r="AI105" i="34"/>
  <c r="AF105" i="34"/>
  <c r="AE105" i="34"/>
  <c r="Z105" i="34"/>
  <c r="Y105" i="34"/>
  <c r="Q105" i="34"/>
  <c r="V105" i="34"/>
  <c r="F105" i="35"/>
  <c r="J105" i="35"/>
  <c r="AD105" i="35"/>
  <c r="AJ104" i="34"/>
  <c r="AI104" i="34"/>
  <c r="AF104" i="34"/>
  <c r="AE104" i="34"/>
  <c r="Z104" i="34"/>
  <c r="Y104" i="34"/>
  <c r="Q104" i="34"/>
  <c r="V104" i="34"/>
  <c r="F104" i="35"/>
  <c r="J104" i="35"/>
  <c r="AD104" i="35"/>
  <c r="AH104" i="34"/>
  <c r="AJ103" i="34"/>
  <c r="AI103" i="34"/>
  <c r="AF103" i="34"/>
  <c r="AE103" i="34"/>
  <c r="Z103" i="34"/>
  <c r="Y103" i="34"/>
  <c r="Q103" i="34"/>
  <c r="V103" i="34"/>
  <c r="F103" i="35"/>
  <c r="J103" i="35"/>
  <c r="AD103" i="35"/>
  <c r="AJ102" i="34"/>
  <c r="AI102" i="34"/>
  <c r="AF102" i="34"/>
  <c r="AE102" i="34"/>
  <c r="Z102" i="34"/>
  <c r="Y102" i="34"/>
  <c r="Q102" i="34"/>
  <c r="V102" i="34"/>
  <c r="F102" i="35"/>
  <c r="J102" i="35"/>
  <c r="AD102" i="35"/>
  <c r="AJ101" i="34"/>
  <c r="AH101" i="34"/>
  <c r="AF101" i="34"/>
  <c r="AD101" i="34"/>
  <c r="Z101" i="34"/>
  <c r="X101" i="34"/>
  <c r="Q101" i="34"/>
  <c r="V101" i="34"/>
  <c r="F101" i="35"/>
  <c r="J101" i="35"/>
  <c r="AE101" i="35"/>
  <c r="AJ100" i="34"/>
  <c r="AH100" i="34"/>
  <c r="AF100" i="34"/>
  <c r="AD100" i="34"/>
  <c r="Z100" i="34"/>
  <c r="X100" i="34"/>
  <c r="Q100" i="34"/>
  <c r="V100" i="34"/>
  <c r="F100" i="35"/>
  <c r="J100" i="35"/>
  <c r="AE100" i="35"/>
  <c r="AJ99" i="34"/>
  <c r="AH99" i="34"/>
  <c r="AF99" i="34"/>
  <c r="AD99" i="34"/>
  <c r="Z99" i="34"/>
  <c r="X99" i="34"/>
  <c r="Q99" i="34"/>
  <c r="V99" i="34"/>
  <c r="F99" i="35"/>
  <c r="J99" i="35"/>
  <c r="AE99" i="35"/>
  <c r="AI99" i="34"/>
  <c r="AJ98" i="34"/>
  <c r="AH98" i="34"/>
  <c r="AF98" i="34"/>
  <c r="AD98" i="34"/>
  <c r="Z98" i="34"/>
  <c r="X98" i="34"/>
  <c r="Q98" i="34"/>
  <c r="V98" i="34"/>
  <c r="F98" i="35"/>
  <c r="J98" i="35"/>
  <c r="AE98" i="35"/>
  <c r="AJ97" i="34"/>
  <c r="AI97" i="34"/>
  <c r="AF97" i="34"/>
  <c r="AE97" i="34"/>
  <c r="Z97" i="34"/>
  <c r="Y97" i="34"/>
  <c r="Q97" i="34"/>
  <c r="V97" i="34"/>
  <c r="F97" i="35"/>
  <c r="J97" i="35"/>
  <c r="AD97" i="35"/>
  <c r="AJ96" i="34"/>
  <c r="AH96" i="34"/>
  <c r="AF96" i="34"/>
  <c r="AD96" i="34"/>
  <c r="Z96" i="34"/>
  <c r="X96" i="34"/>
  <c r="Q96" i="34"/>
  <c r="V96" i="34"/>
  <c r="F96" i="35"/>
  <c r="J96" i="35"/>
  <c r="AE96" i="35"/>
  <c r="AJ95" i="34"/>
  <c r="AH95" i="34"/>
  <c r="AF95" i="34"/>
  <c r="AD95" i="34"/>
  <c r="Z95" i="34"/>
  <c r="X95" i="34"/>
  <c r="Q95" i="34"/>
  <c r="V95" i="34"/>
  <c r="F95" i="35"/>
  <c r="J95" i="35"/>
  <c r="AE95" i="35"/>
  <c r="AI94" i="34"/>
  <c r="AH94" i="34"/>
  <c r="AE94" i="34"/>
  <c r="AD94" i="34"/>
  <c r="Y94" i="34"/>
  <c r="X94" i="34"/>
  <c r="Q94" i="34"/>
  <c r="V94" i="34"/>
  <c r="F94" i="35"/>
  <c r="J94" i="35"/>
  <c r="AF94" i="35"/>
  <c r="AI93" i="34"/>
  <c r="AH93" i="34"/>
  <c r="AE93" i="34"/>
  <c r="AD93" i="34"/>
  <c r="Y93" i="34"/>
  <c r="X93" i="34"/>
  <c r="Q93" i="34"/>
  <c r="V93" i="34"/>
  <c r="F93" i="35"/>
  <c r="J93" i="35"/>
  <c r="AF93" i="35"/>
  <c r="AJ92" i="34"/>
  <c r="AI92" i="34"/>
  <c r="AF92" i="34"/>
  <c r="AE92" i="34"/>
  <c r="Z92" i="34"/>
  <c r="Y92" i="34"/>
  <c r="Q92" i="34"/>
  <c r="V92" i="34"/>
  <c r="F92" i="35"/>
  <c r="J92" i="35"/>
  <c r="AD92" i="35"/>
  <c r="AJ91" i="34"/>
  <c r="AI91" i="34"/>
  <c r="AF91" i="34"/>
  <c r="AE91" i="34"/>
  <c r="Z91" i="34"/>
  <c r="Y91" i="34"/>
  <c r="Q91" i="34"/>
  <c r="V91" i="34"/>
  <c r="F91" i="35"/>
  <c r="J91" i="35"/>
  <c r="AD91" i="35"/>
  <c r="AJ90" i="34"/>
  <c r="AI90" i="34"/>
  <c r="AF90" i="34"/>
  <c r="AE90" i="34"/>
  <c r="Z90" i="34"/>
  <c r="Y90" i="34"/>
  <c r="Q90" i="34"/>
  <c r="V90" i="34"/>
  <c r="F90" i="35"/>
  <c r="J90" i="35"/>
  <c r="AD90" i="35"/>
  <c r="AJ89" i="34"/>
  <c r="AI89" i="34"/>
  <c r="AF89" i="34"/>
  <c r="AE89" i="34"/>
  <c r="Z89" i="34"/>
  <c r="Y89" i="34"/>
  <c r="Q89" i="34"/>
  <c r="V89" i="34"/>
  <c r="F89" i="35"/>
  <c r="J89" i="35"/>
  <c r="AD89" i="35"/>
  <c r="AJ88" i="34"/>
  <c r="AI88" i="34"/>
  <c r="AF88" i="34"/>
  <c r="AE88" i="34"/>
  <c r="Z88" i="34"/>
  <c r="Y88" i="34"/>
  <c r="Q88" i="34"/>
  <c r="AJ87" i="34"/>
  <c r="AI87" i="34"/>
  <c r="AF87" i="34"/>
  <c r="AE87" i="34"/>
  <c r="Z87" i="34"/>
  <c r="Y87" i="34"/>
  <c r="Q87" i="34"/>
  <c r="V87" i="34"/>
  <c r="F87" i="35"/>
  <c r="J87" i="35"/>
  <c r="AD87" i="35"/>
  <c r="AJ86" i="34"/>
  <c r="AI86" i="34"/>
  <c r="AF86" i="34"/>
  <c r="AE86" i="34"/>
  <c r="Z86" i="34"/>
  <c r="Y86" i="34"/>
  <c r="Q86" i="34"/>
  <c r="V86" i="34"/>
  <c r="F86" i="35"/>
  <c r="J86" i="35"/>
  <c r="AD86" i="35"/>
  <c r="AJ85" i="34"/>
  <c r="AH85" i="34"/>
  <c r="AF85" i="34"/>
  <c r="AD85" i="34"/>
  <c r="Z85" i="34"/>
  <c r="X85" i="34"/>
  <c r="Q85" i="34"/>
  <c r="V85" i="34"/>
  <c r="F85" i="35"/>
  <c r="J85" i="35"/>
  <c r="AE85" i="35"/>
  <c r="AJ84" i="34"/>
  <c r="AH84" i="34"/>
  <c r="AF84" i="34"/>
  <c r="AD84" i="34"/>
  <c r="Z84" i="34"/>
  <c r="X84" i="34"/>
  <c r="Q84" i="34"/>
  <c r="V84" i="34"/>
  <c r="F84" i="35"/>
  <c r="J84" i="35"/>
  <c r="AE84" i="35"/>
  <c r="AJ83" i="34"/>
  <c r="AH83" i="34"/>
  <c r="AF83" i="34"/>
  <c r="AD83" i="34"/>
  <c r="Z83" i="34"/>
  <c r="X83" i="34"/>
  <c r="Q83" i="34"/>
  <c r="AJ82" i="34"/>
  <c r="AI82" i="34"/>
  <c r="AF82" i="34"/>
  <c r="AE82" i="34"/>
  <c r="Z82" i="34"/>
  <c r="Y82" i="34"/>
  <c r="Q82" i="34"/>
  <c r="V82" i="34"/>
  <c r="F82" i="35"/>
  <c r="J82" i="35"/>
  <c r="AD82" i="35"/>
  <c r="AJ81" i="34"/>
  <c r="AH81" i="34"/>
  <c r="AF81" i="34"/>
  <c r="AD81" i="34"/>
  <c r="Z81" i="34"/>
  <c r="X81" i="34"/>
  <c r="Q81" i="34"/>
  <c r="V81" i="34"/>
  <c r="F81" i="35"/>
  <c r="J81" i="35"/>
  <c r="AE81" i="35"/>
  <c r="AJ80" i="34"/>
  <c r="AH80" i="34"/>
  <c r="AF80" i="34"/>
  <c r="AD80" i="34"/>
  <c r="Z80" i="34"/>
  <c r="X80" i="34"/>
  <c r="Q80" i="34"/>
  <c r="V80" i="34"/>
  <c r="F80" i="35"/>
  <c r="J80" i="35"/>
  <c r="AE80" i="35"/>
  <c r="AJ79" i="34"/>
  <c r="AI79" i="34"/>
  <c r="AF79" i="34"/>
  <c r="AE79" i="34"/>
  <c r="Z79" i="34"/>
  <c r="Y79" i="34"/>
  <c r="Q79" i="34"/>
  <c r="V79" i="34"/>
  <c r="F79" i="35"/>
  <c r="J79" i="35"/>
  <c r="AD79" i="35"/>
  <c r="AJ78" i="34"/>
  <c r="AI78" i="34"/>
  <c r="AF78" i="34"/>
  <c r="AE78" i="34"/>
  <c r="Z78" i="34"/>
  <c r="Y78" i="34"/>
  <c r="Q78" i="34"/>
  <c r="V78" i="34"/>
  <c r="F78" i="35"/>
  <c r="J78" i="35"/>
  <c r="AD78" i="35"/>
  <c r="AJ77" i="34"/>
  <c r="AI77" i="34"/>
  <c r="AF77" i="34"/>
  <c r="AE77" i="34"/>
  <c r="Z77" i="34"/>
  <c r="Y77" i="34"/>
  <c r="Q77" i="34"/>
  <c r="V77" i="34"/>
  <c r="F77" i="35"/>
  <c r="J77" i="35"/>
  <c r="AD77" i="35"/>
  <c r="AJ76" i="34"/>
  <c r="AH76" i="34"/>
  <c r="AF76" i="34"/>
  <c r="AD76" i="34"/>
  <c r="Z76" i="34"/>
  <c r="X76" i="34"/>
  <c r="Q76" i="34"/>
  <c r="V76" i="34"/>
  <c r="F76" i="35"/>
  <c r="J76" i="35"/>
  <c r="AE76" i="35"/>
  <c r="AJ75" i="34"/>
  <c r="AI75" i="34"/>
  <c r="AF75" i="34"/>
  <c r="AE75" i="34"/>
  <c r="Z75" i="34"/>
  <c r="Y75" i="34"/>
  <c r="Q75" i="34"/>
  <c r="V75" i="34"/>
  <c r="F75" i="35"/>
  <c r="J75" i="35"/>
  <c r="AD75" i="35"/>
  <c r="AJ74" i="34"/>
  <c r="AI74" i="34"/>
  <c r="AF74" i="34"/>
  <c r="AE74" i="34"/>
  <c r="Z74" i="34"/>
  <c r="Y74" i="34"/>
  <c r="Q74" i="34"/>
  <c r="V74" i="34"/>
  <c r="F74" i="35"/>
  <c r="J74" i="35"/>
  <c r="AD74" i="35"/>
  <c r="AJ73" i="34"/>
  <c r="AI73" i="34"/>
  <c r="AF73" i="34"/>
  <c r="AE73" i="34"/>
  <c r="Z73" i="34"/>
  <c r="Y73" i="34"/>
  <c r="Q73" i="34"/>
  <c r="V73" i="34"/>
  <c r="F73" i="35"/>
  <c r="J73" i="35"/>
  <c r="AD73" i="35"/>
  <c r="AJ72" i="34"/>
  <c r="AI72" i="34"/>
  <c r="AF72" i="34"/>
  <c r="AE72" i="34"/>
  <c r="Z72" i="34"/>
  <c r="Y72" i="34"/>
  <c r="Q72" i="34"/>
  <c r="V72" i="34"/>
  <c r="F72" i="35"/>
  <c r="J72" i="35"/>
  <c r="AD72" i="35"/>
  <c r="AJ71" i="34"/>
  <c r="AI71" i="34"/>
  <c r="AF71" i="34"/>
  <c r="AE71" i="34"/>
  <c r="Z71" i="34"/>
  <c r="Y71" i="34"/>
  <c r="Q71" i="34"/>
  <c r="V71" i="34"/>
  <c r="F71" i="35"/>
  <c r="J71" i="35"/>
  <c r="AD71" i="35"/>
  <c r="AJ70" i="34"/>
  <c r="AI70" i="34"/>
  <c r="AF70" i="34"/>
  <c r="AE70" i="34"/>
  <c r="Z70" i="34"/>
  <c r="Y70" i="34"/>
  <c r="Q70" i="34"/>
  <c r="X70" i="34"/>
  <c r="AJ69" i="34"/>
  <c r="AI69" i="34"/>
  <c r="AF69" i="34"/>
  <c r="AE69" i="34"/>
  <c r="Z69" i="34"/>
  <c r="Y69" i="34"/>
  <c r="Q69" i="34"/>
  <c r="V69" i="34"/>
  <c r="F69" i="35"/>
  <c r="J69" i="35"/>
  <c r="AD69" i="35"/>
  <c r="AJ68" i="34"/>
  <c r="AI68" i="34"/>
  <c r="AF68" i="34"/>
  <c r="AE68" i="34"/>
  <c r="Z68" i="34"/>
  <c r="Y68" i="34"/>
  <c r="Q68" i="34"/>
  <c r="V68" i="34"/>
  <c r="F68" i="35"/>
  <c r="J68" i="35"/>
  <c r="AD68" i="35"/>
  <c r="AJ67" i="34"/>
  <c r="AI67" i="34"/>
  <c r="AF67" i="34"/>
  <c r="AE67" i="34"/>
  <c r="Z67" i="34"/>
  <c r="Y67" i="34"/>
  <c r="Q67" i="34"/>
  <c r="V67" i="34"/>
  <c r="F67" i="35"/>
  <c r="J67" i="35"/>
  <c r="AD67" i="35"/>
  <c r="AJ66" i="34"/>
  <c r="AI66" i="34"/>
  <c r="AF66" i="34"/>
  <c r="AE66" i="34"/>
  <c r="Z66" i="34"/>
  <c r="Y66" i="34"/>
  <c r="Q66" i="34"/>
  <c r="V66" i="34"/>
  <c r="F66" i="35"/>
  <c r="J66" i="35"/>
  <c r="AD66" i="35"/>
  <c r="AJ65" i="34"/>
  <c r="AI65" i="34"/>
  <c r="AF65" i="34"/>
  <c r="AE65" i="34"/>
  <c r="Z65" i="34"/>
  <c r="Y65" i="34"/>
  <c r="Q65" i="34"/>
  <c r="V65" i="34"/>
  <c r="F65" i="35"/>
  <c r="J65" i="35"/>
  <c r="AD65" i="35"/>
  <c r="AJ64" i="34"/>
  <c r="AI64" i="34"/>
  <c r="AF64" i="34"/>
  <c r="AE64" i="34"/>
  <c r="Z64" i="34"/>
  <c r="Y64" i="34"/>
  <c r="Q64" i="34"/>
  <c r="V64" i="34"/>
  <c r="F64" i="35"/>
  <c r="J64" i="35"/>
  <c r="AD64" i="35"/>
  <c r="AJ63" i="34"/>
  <c r="AI63" i="34"/>
  <c r="AF63" i="34"/>
  <c r="AE63" i="34"/>
  <c r="Z63" i="34"/>
  <c r="Y63" i="34"/>
  <c r="Q63" i="34"/>
  <c r="AI62" i="34"/>
  <c r="AH62" i="34"/>
  <c r="AE62" i="34"/>
  <c r="AD62" i="34"/>
  <c r="Y62" i="34"/>
  <c r="X62" i="34"/>
  <c r="Q62" i="34"/>
  <c r="V62" i="34"/>
  <c r="F62" i="35"/>
  <c r="J62" i="35"/>
  <c r="AF62" i="35"/>
  <c r="AJ61" i="34"/>
  <c r="AH61" i="34"/>
  <c r="AF61" i="34"/>
  <c r="AD61" i="34"/>
  <c r="Z61" i="34"/>
  <c r="X61" i="34"/>
  <c r="Q61" i="34"/>
  <c r="AI61" i="34"/>
  <c r="AJ60" i="34"/>
  <c r="AH60" i="34"/>
  <c r="AF60" i="34"/>
  <c r="AD60" i="34"/>
  <c r="Z60" i="34"/>
  <c r="X60" i="34"/>
  <c r="Q60" i="34"/>
  <c r="V60" i="34"/>
  <c r="F60" i="35"/>
  <c r="J60" i="35"/>
  <c r="AE60" i="35"/>
  <c r="AI59" i="34"/>
  <c r="AE59" i="34"/>
  <c r="Y59" i="34"/>
  <c r="Q59" i="34"/>
  <c r="V59" i="34"/>
  <c r="F59" i="35"/>
  <c r="J59" i="35"/>
  <c r="AD59" i="35"/>
  <c r="AJ59" i="34"/>
  <c r="AJ58" i="34"/>
  <c r="AH58" i="34"/>
  <c r="AF58" i="34"/>
  <c r="AD58" i="34"/>
  <c r="Z58" i="34"/>
  <c r="X58" i="34"/>
  <c r="Q58" i="34"/>
  <c r="V58" i="34"/>
  <c r="F58" i="35"/>
  <c r="J58" i="35"/>
  <c r="AE58" i="35"/>
  <c r="AJ57" i="34"/>
  <c r="AI57" i="34"/>
  <c r="AF57" i="34"/>
  <c r="AE57" i="34"/>
  <c r="Z57" i="34"/>
  <c r="Y57" i="34"/>
  <c r="Q57" i="34"/>
  <c r="V57" i="34"/>
  <c r="F57" i="35"/>
  <c r="J57" i="35"/>
  <c r="AD57" i="35"/>
  <c r="AJ56" i="34"/>
  <c r="AI56" i="34"/>
  <c r="AF56" i="34"/>
  <c r="AE56" i="34"/>
  <c r="Z56" i="34"/>
  <c r="Y56" i="34"/>
  <c r="Q56" i="34"/>
  <c r="V56" i="34"/>
  <c r="F56" i="35"/>
  <c r="J56" i="35"/>
  <c r="AD56" i="35"/>
  <c r="AJ55" i="34"/>
  <c r="AH55" i="34"/>
  <c r="AF55" i="34"/>
  <c r="AD55" i="34"/>
  <c r="Z55" i="34"/>
  <c r="X55" i="34"/>
  <c r="Q55" i="34"/>
  <c r="V55" i="34"/>
  <c r="F55" i="35"/>
  <c r="J55" i="35"/>
  <c r="AE55" i="35"/>
  <c r="AJ54" i="34"/>
  <c r="AH54" i="34"/>
  <c r="AF54" i="34"/>
  <c r="AD54" i="34"/>
  <c r="Z54" i="34"/>
  <c r="X54" i="34"/>
  <c r="Q54" i="34"/>
  <c r="V54" i="34"/>
  <c r="F54" i="35"/>
  <c r="J54" i="35"/>
  <c r="AE54" i="35"/>
  <c r="AJ53" i="34"/>
  <c r="AH53" i="34"/>
  <c r="AF53" i="34"/>
  <c r="AD53" i="34"/>
  <c r="Z53" i="34"/>
  <c r="X53" i="34"/>
  <c r="Q53" i="34"/>
  <c r="V53" i="34"/>
  <c r="F53" i="35"/>
  <c r="J53" i="35"/>
  <c r="AE53" i="35"/>
  <c r="AJ52" i="34"/>
  <c r="AH52" i="34"/>
  <c r="AF52" i="34"/>
  <c r="AD52" i="34"/>
  <c r="Z52" i="34"/>
  <c r="X52" i="34"/>
  <c r="Q52" i="34"/>
  <c r="V52" i="34"/>
  <c r="J52" i="35"/>
  <c r="AE52" i="35"/>
  <c r="AL52" i="35"/>
  <c r="AJ51" i="34"/>
  <c r="AI51" i="34"/>
  <c r="AF51" i="34"/>
  <c r="AE51" i="34"/>
  <c r="Z51" i="34"/>
  <c r="Y51" i="34"/>
  <c r="Q51" i="34"/>
  <c r="V51" i="34"/>
  <c r="F51" i="35"/>
  <c r="J51" i="35"/>
  <c r="AD51" i="35"/>
  <c r="AJ50" i="34"/>
  <c r="AI50" i="34"/>
  <c r="AF50" i="34"/>
  <c r="AE50" i="34"/>
  <c r="Z50" i="34"/>
  <c r="Y50" i="34"/>
  <c r="Q50" i="34"/>
  <c r="V50" i="34"/>
  <c r="F50" i="35"/>
  <c r="J50" i="35"/>
  <c r="AD50" i="35"/>
  <c r="AJ49" i="34"/>
  <c r="AI49" i="34"/>
  <c r="AF49" i="34"/>
  <c r="AE49" i="34"/>
  <c r="Z49" i="34"/>
  <c r="Y49" i="34"/>
  <c r="Q49" i="34"/>
  <c r="V49" i="34"/>
  <c r="F49" i="35"/>
  <c r="J49" i="35"/>
  <c r="AD49" i="35"/>
  <c r="AJ48" i="34"/>
  <c r="AH48" i="34"/>
  <c r="AF48" i="34"/>
  <c r="AD48" i="34"/>
  <c r="Z48" i="34"/>
  <c r="X48" i="34"/>
  <c r="Q48" i="34"/>
  <c r="V48" i="34"/>
  <c r="F48" i="35"/>
  <c r="J48" i="35"/>
  <c r="AE48" i="35"/>
  <c r="AJ47" i="34"/>
  <c r="AI47" i="34"/>
  <c r="AF47" i="34"/>
  <c r="AE47" i="34"/>
  <c r="Z47" i="34"/>
  <c r="Y47" i="34"/>
  <c r="Q47" i="34"/>
  <c r="AJ46" i="34"/>
  <c r="AI46" i="34"/>
  <c r="AF46" i="34"/>
  <c r="AE46" i="34"/>
  <c r="Z46" i="34"/>
  <c r="Y46" i="34"/>
  <c r="Q46" i="34"/>
  <c r="V46" i="34"/>
  <c r="F46" i="35"/>
  <c r="J46" i="35"/>
  <c r="AD46" i="35"/>
  <c r="AJ45" i="34"/>
  <c r="AH45" i="34"/>
  <c r="AF45" i="34"/>
  <c r="AD45" i="34"/>
  <c r="Z45" i="34"/>
  <c r="X45" i="34"/>
  <c r="Q45" i="34"/>
  <c r="V45" i="34"/>
  <c r="F45" i="35"/>
  <c r="J45" i="35"/>
  <c r="AE45" i="35"/>
  <c r="AJ44" i="34"/>
  <c r="AI44" i="34"/>
  <c r="AF44" i="34"/>
  <c r="AE44" i="34"/>
  <c r="Z44" i="34"/>
  <c r="Y44" i="34"/>
  <c r="Q44" i="34"/>
  <c r="AJ43" i="34"/>
  <c r="AI43" i="34"/>
  <c r="AF43" i="34"/>
  <c r="AE43" i="34"/>
  <c r="Z43" i="34"/>
  <c r="Y43" i="34"/>
  <c r="Q43" i="34"/>
  <c r="AI42" i="34"/>
  <c r="AH42" i="34"/>
  <c r="AE42" i="34"/>
  <c r="AD42" i="34"/>
  <c r="Y42" i="34"/>
  <c r="X42" i="34"/>
  <c r="Q42" i="34"/>
  <c r="AJ40" i="34"/>
  <c r="AI40" i="34"/>
  <c r="AF40" i="34"/>
  <c r="AE40" i="34"/>
  <c r="Z40" i="34"/>
  <c r="Y40" i="34"/>
  <c r="Q40" i="34"/>
  <c r="V40" i="34"/>
  <c r="F40" i="35"/>
  <c r="J40" i="35"/>
  <c r="AD40" i="35"/>
  <c r="AJ39" i="34"/>
  <c r="AI39" i="34"/>
  <c r="AF39" i="34"/>
  <c r="AE39" i="34"/>
  <c r="Z39" i="34"/>
  <c r="Y39" i="34"/>
  <c r="Q39" i="34"/>
  <c r="V39" i="34"/>
  <c r="F39" i="35"/>
  <c r="J39" i="35"/>
  <c r="AD39" i="35"/>
  <c r="AJ38" i="34"/>
  <c r="AI38" i="34"/>
  <c r="AF38" i="34"/>
  <c r="AE38" i="34"/>
  <c r="Z38" i="34"/>
  <c r="Y38" i="34"/>
  <c r="Q38" i="34"/>
  <c r="AJ37" i="34"/>
  <c r="AI37" i="34"/>
  <c r="AF37" i="34"/>
  <c r="AE37" i="34"/>
  <c r="Z37" i="34"/>
  <c r="Y37" i="34"/>
  <c r="Q37" i="34"/>
  <c r="AJ36" i="34"/>
  <c r="AI36" i="34"/>
  <c r="AF36" i="34"/>
  <c r="AE36" i="34"/>
  <c r="Z36" i="34"/>
  <c r="Y36" i="34"/>
  <c r="Q36" i="34"/>
  <c r="AH36" i="34"/>
  <c r="AJ35" i="34"/>
  <c r="AI35" i="34"/>
  <c r="AF35" i="34"/>
  <c r="AE35" i="34"/>
  <c r="Z35" i="34"/>
  <c r="Y35" i="34"/>
  <c r="Q35" i="34"/>
  <c r="V35" i="34"/>
  <c r="F35" i="35"/>
  <c r="J35" i="35"/>
  <c r="AD35" i="35"/>
  <c r="AJ34" i="34"/>
  <c r="AI34" i="34"/>
  <c r="AF34" i="34"/>
  <c r="AE34" i="34"/>
  <c r="Z34" i="34"/>
  <c r="Y34" i="34"/>
  <c r="Q34" i="34"/>
  <c r="AJ33" i="34"/>
  <c r="AI33" i="34"/>
  <c r="AF33" i="34"/>
  <c r="AE33" i="34"/>
  <c r="Z33" i="34"/>
  <c r="Y33" i="34"/>
  <c r="Q33" i="34"/>
  <c r="AJ32" i="34"/>
  <c r="AI32" i="34"/>
  <c r="AF32" i="34"/>
  <c r="AE32" i="34"/>
  <c r="Z32" i="34"/>
  <c r="Y32" i="34"/>
  <c r="Q32" i="34"/>
  <c r="AH32" i="34"/>
  <c r="AJ31" i="34"/>
  <c r="AI31" i="34"/>
  <c r="AF31" i="34"/>
  <c r="AE31" i="34"/>
  <c r="Z31" i="34"/>
  <c r="Y31" i="34"/>
  <c r="Q31" i="34"/>
  <c r="AJ30" i="34"/>
  <c r="AI30" i="34"/>
  <c r="AF30" i="34"/>
  <c r="AE30" i="34"/>
  <c r="Z30" i="34"/>
  <c r="Y30" i="34"/>
  <c r="Q30" i="34"/>
  <c r="AJ29" i="34"/>
  <c r="AH29" i="34"/>
  <c r="AF29" i="34"/>
  <c r="AD29" i="34"/>
  <c r="Z29" i="34"/>
  <c r="X29" i="34"/>
  <c r="Q29" i="34"/>
  <c r="V29" i="34"/>
  <c r="F29" i="35"/>
  <c r="J29" i="35"/>
  <c r="AE29" i="35"/>
  <c r="AJ28" i="34"/>
  <c r="AI28" i="34"/>
  <c r="AF28" i="34"/>
  <c r="AE28" i="34"/>
  <c r="Z28" i="34"/>
  <c r="Y28" i="34"/>
  <c r="Q28" i="34"/>
  <c r="V28" i="34"/>
  <c r="F28" i="35"/>
  <c r="J28" i="35"/>
  <c r="AD28" i="35"/>
  <c r="AJ27" i="34"/>
  <c r="AI27" i="34"/>
  <c r="AF27" i="34"/>
  <c r="AE27" i="34"/>
  <c r="Z27" i="34"/>
  <c r="Y27" i="34"/>
  <c r="Q27" i="34"/>
  <c r="AJ26" i="34"/>
  <c r="AI26" i="34"/>
  <c r="AF26" i="34"/>
  <c r="AE26" i="34"/>
  <c r="Z26" i="34"/>
  <c r="Y26" i="34"/>
  <c r="Q26" i="34"/>
  <c r="V26" i="34"/>
  <c r="F26" i="35"/>
  <c r="J26" i="35"/>
  <c r="AD26" i="35"/>
  <c r="AJ25" i="34"/>
  <c r="AH25" i="34"/>
  <c r="AF25" i="34"/>
  <c r="AD25" i="34"/>
  <c r="Z25" i="34"/>
  <c r="X25" i="34"/>
  <c r="Q25" i="34"/>
  <c r="AJ24" i="34"/>
  <c r="AI24" i="34"/>
  <c r="AF24" i="34"/>
  <c r="AE24" i="34"/>
  <c r="Z24" i="34"/>
  <c r="Y24" i="34"/>
  <c r="Q24" i="34"/>
  <c r="V24" i="34"/>
  <c r="F24" i="35"/>
  <c r="J24" i="35"/>
  <c r="AD24" i="35"/>
  <c r="AJ23" i="34"/>
  <c r="AI23" i="34"/>
  <c r="AF23" i="34"/>
  <c r="AE23" i="34"/>
  <c r="Z23" i="34"/>
  <c r="Y23" i="34"/>
  <c r="Q23" i="34"/>
  <c r="V23" i="34"/>
  <c r="F23" i="35"/>
  <c r="J23" i="35"/>
  <c r="AD23" i="35"/>
  <c r="AJ22" i="34"/>
  <c r="AI22" i="34"/>
  <c r="AF22" i="34"/>
  <c r="AE22" i="34"/>
  <c r="Z22" i="34"/>
  <c r="Y22" i="34"/>
  <c r="Q22" i="34"/>
  <c r="V22" i="34"/>
  <c r="F22" i="35"/>
  <c r="J22" i="35"/>
  <c r="AD22" i="35"/>
  <c r="AJ21" i="34"/>
  <c r="AI21" i="34"/>
  <c r="AF21" i="34"/>
  <c r="AE21" i="34"/>
  <c r="Z21" i="34"/>
  <c r="Y21" i="34"/>
  <c r="Q21" i="34"/>
  <c r="V21" i="34"/>
  <c r="F21" i="35"/>
  <c r="J21" i="35"/>
  <c r="AD21" i="35"/>
  <c r="AJ20" i="34"/>
  <c r="AH20" i="34"/>
  <c r="AF20" i="34"/>
  <c r="AD20" i="34"/>
  <c r="Z20" i="34"/>
  <c r="X20" i="34"/>
  <c r="Q20" i="34"/>
  <c r="V20" i="34"/>
  <c r="F20" i="35"/>
  <c r="J20" i="35"/>
  <c r="AE20" i="35"/>
  <c r="AJ19" i="34"/>
  <c r="AH19" i="34"/>
  <c r="AF19" i="34"/>
  <c r="AD19" i="34"/>
  <c r="Z19" i="34"/>
  <c r="X19" i="34"/>
  <c r="Q19" i="34"/>
  <c r="V19" i="34"/>
  <c r="F19" i="35"/>
  <c r="J19" i="35"/>
  <c r="AE19" i="35"/>
  <c r="AJ18" i="34"/>
  <c r="AH18" i="34"/>
  <c r="AF18" i="34"/>
  <c r="AD18" i="34"/>
  <c r="Z18" i="34"/>
  <c r="X18" i="34"/>
  <c r="Q18" i="34"/>
  <c r="V18" i="34"/>
  <c r="F18" i="35"/>
  <c r="J18" i="35"/>
  <c r="AE18" i="35"/>
  <c r="AJ17" i="34"/>
  <c r="AI17" i="34"/>
  <c r="AF17" i="34"/>
  <c r="AE17" i="34"/>
  <c r="Z17" i="34"/>
  <c r="Y17" i="34"/>
  <c r="Q17" i="34"/>
  <c r="V17" i="34"/>
  <c r="F17" i="35"/>
  <c r="J17" i="35"/>
  <c r="AD17" i="35"/>
  <c r="AJ16" i="34"/>
  <c r="AH16" i="34"/>
  <c r="AF16" i="34"/>
  <c r="AD16" i="34"/>
  <c r="Z16" i="34"/>
  <c r="X16" i="34"/>
  <c r="Q16" i="34"/>
  <c r="V16" i="34"/>
  <c r="F16" i="35"/>
  <c r="T213" i="32"/>
  <c r="T81" i="32"/>
  <c r="E81" i="33"/>
  <c r="I157" i="32"/>
  <c r="T132" i="32"/>
  <c r="AH17" i="34"/>
  <c r="Y99" i="34"/>
  <c r="AH103" i="34"/>
  <c r="AH184" i="34"/>
  <c r="AI194" i="34"/>
  <c r="Y196" i="34"/>
  <c r="AH235" i="34"/>
  <c r="AH107" i="34"/>
  <c r="X116" i="34"/>
  <c r="AH143" i="34"/>
  <c r="X177" i="34"/>
  <c r="AH181" i="34"/>
  <c r="AJ210" i="34"/>
  <c r="X222" i="34"/>
  <c r="AJ93" i="34"/>
  <c r="X104" i="34"/>
  <c r="AH117" i="34"/>
  <c r="AH125" i="34"/>
  <c r="AH189" i="34"/>
  <c r="X51" i="34"/>
  <c r="AH121" i="34"/>
  <c r="AH200" i="34"/>
  <c r="X30" i="34"/>
  <c r="AH65" i="34"/>
  <c r="X31" i="34"/>
  <c r="AC31" i="34"/>
  <c r="X35" i="34"/>
  <c r="Z59" i="34"/>
  <c r="X44" i="34"/>
  <c r="AI55" i="34"/>
  <c r="X90" i="34"/>
  <c r="X102" i="34"/>
  <c r="AC102" i="34"/>
  <c r="AI157" i="34"/>
  <c r="Y158" i="34"/>
  <c r="AI161" i="34"/>
  <c r="AI165" i="34"/>
  <c r="Y166" i="34"/>
  <c r="Y188" i="34"/>
  <c r="AI195" i="34"/>
  <c r="AI205" i="34"/>
  <c r="AI209" i="34"/>
  <c r="Y207" i="34"/>
  <c r="AC207" i="34"/>
  <c r="Y220" i="34"/>
  <c r="X223" i="34"/>
  <c r="AC223" i="34"/>
  <c r="Y224" i="34"/>
  <c r="AC224" i="34"/>
  <c r="X231" i="34"/>
  <c r="Z153" i="34"/>
  <c r="X182" i="34"/>
  <c r="X193" i="34"/>
  <c r="AC193" i="34"/>
  <c r="X197" i="34"/>
  <c r="AC197" i="34"/>
  <c r="X202" i="34"/>
  <c r="X232" i="34"/>
  <c r="Z234" i="34"/>
  <c r="AC234" i="34"/>
  <c r="E128" i="33"/>
  <c r="T145" i="32"/>
  <c r="E175" i="33"/>
  <c r="J91" i="32"/>
  <c r="AD91" i="32"/>
  <c r="AE91" i="32"/>
  <c r="AF91" i="32"/>
  <c r="Q91" i="32"/>
  <c r="AH91" i="32"/>
  <c r="AI91" i="32"/>
  <c r="AJ91" i="32"/>
  <c r="AL91" i="32"/>
  <c r="X91" i="32"/>
  <c r="Y91" i="32"/>
  <c r="Z91" i="32"/>
  <c r="V91" i="32"/>
  <c r="F91" i="33"/>
  <c r="J91" i="33"/>
  <c r="AD91" i="33"/>
  <c r="AE91" i="33"/>
  <c r="AF91" i="33"/>
  <c r="AH91" i="33"/>
  <c r="AI91" i="33"/>
  <c r="AJ91" i="33"/>
  <c r="X91" i="33"/>
  <c r="Y91" i="33"/>
  <c r="Z91" i="33"/>
  <c r="AC91" i="33"/>
  <c r="F92" i="34"/>
  <c r="J92" i="34"/>
  <c r="AD92" i="34"/>
  <c r="E171" i="33"/>
  <c r="E44" i="33"/>
  <c r="J183" i="33"/>
  <c r="AF183" i="33"/>
  <c r="Q220" i="32"/>
  <c r="V220" i="32"/>
  <c r="F220" i="33"/>
  <c r="J220" i="33"/>
  <c r="AE220" i="33"/>
  <c r="Q163" i="32"/>
  <c r="V163" i="32"/>
  <c r="F163" i="33"/>
  <c r="J163" i="33"/>
  <c r="AE163" i="33"/>
  <c r="Q146" i="32"/>
  <c r="V146" i="32"/>
  <c r="F146" i="33"/>
  <c r="J146" i="33"/>
  <c r="AD146" i="33"/>
  <c r="Q132" i="32"/>
  <c r="V132" i="32"/>
  <c r="F132" i="33"/>
  <c r="J132" i="33"/>
  <c r="AE132" i="33"/>
  <c r="Q131" i="32"/>
  <c r="V131" i="32"/>
  <c r="F131" i="33"/>
  <c r="J131" i="33"/>
  <c r="AD131" i="33"/>
  <c r="Q125" i="32"/>
  <c r="V125" i="32"/>
  <c r="F125" i="33"/>
  <c r="J125" i="33"/>
  <c r="AD125" i="33"/>
  <c r="Q57" i="32"/>
  <c r="V57" i="32"/>
  <c r="F57" i="33"/>
  <c r="J57" i="33"/>
  <c r="AE57" i="33"/>
  <c r="Q49" i="32"/>
  <c r="V49" i="32"/>
  <c r="F49" i="33"/>
  <c r="J49" i="33"/>
  <c r="AD49" i="33"/>
  <c r="Q27" i="32"/>
  <c r="V27" i="32"/>
  <c r="F27" i="33"/>
  <c r="J27" i="33"/>
  <c r="AD27" i="33"/>
  <c r="Q22" i="32"/>
  <c r="V22" i="32"/>
  <c r="F22" i="33"/>
  <c r="J22" i="33"/>
  <c r="AD22" i="33"/>
  <c r="Q209" i="32"/>
  <c r="V209" i="32"/>
  <c r="F209" i="33"/>
  <c r="J209" i="33"/>
  <c r="AD209" i="33"/>
  <c r="Q208" i="32"/>
  <c r="V208" i="32"/>
  <c r="F208" i="33"/>
  <c r="J208" i="33"/>
  <c r="AD208" i="33"/>
  <c r="Q202" i="32"/>
  <c r="V202" i="32"/>
  <c r="F202" i="33"/>
  <c r="J202" i="33"/>
  <c r="AE202" i="33"/>
  <c r="Q201" i="32"/>
  <c r="V201" i="32"/>
  <c r="F201" i="33"/>
  <c r="J201" i="33"/>
  <c r="AE201" i="33"/>
  <c r="Q188" i="32"/>
  <c r="V188" i="32"/>
  <c r="Q187" i="32"/>
  <c r="V187" i="32"/>
  <c r="F187" i="33"/>
  <c r="J187" i="33"/>
  <c r="AE187" i="33"/>
  <c r="Q185" i="32"/>
  <c r="V185" i="32"/>
  <c r="F185" i="33"/>
  <c r="J185" i="33"/>
  <c r="AE185" i="33"/>
  <c r="Q184" i="32"/>
  <c r="V184" i="32"/>
  <c r="F184" i="33"/>
  <c r="J184" i="33"/>
  <c r="AD184" i="33"/>
  <c r="Q182" i="32"/>
  <c r="V182" i="32"/>
  <c r="F182" i="33"/>
  <c r="J182" i="33"/>
  <c r="AE182" i="33"/>
  <c r="Q181" i="32"/>
  <c r="V181" i="32"/>
  <c r="F181" i="33"/>
  <c r="J181" i="33"/>
  <c r="AD181" i="33"/>
  <c r="Q178" i="32"/>
  <c r="V178" i="32"/>
  <c r="F178" i="33"/>
  <c r="J178" i="33"/>
  <c r="AD178" i="33"/>
  <c r="Q177" i="32"/>
  <c r="V177" i="32"/>
  <c r="F177" i="33"/>
  <c r="J177" i="33"/>
  <c r="AE177" i="33"/>
  <c r="Q174" i="32"/>
  <c r="V174" i="32"/>
  <c r="F174" i="33"/>
  <c r="J174" i="33"/>
  <c r="AD174" i="33"/>
  <c r="Q167" i="32"/>
  <c r="V167" i="32"/>
  <c r="F167" i="33"/>
  <c r="J167" i="33"/>
  <c r="AE167" i="33"/>
  <c r="Q166" i="32"/>
  <c r="V166" i="32"/>
  <c r="F166" i="33"/>
  <c r="J166" i="33"/>
  <c r="AE166" i="33"/>
  <c r="Q164" i="32"/>
  <c r="V164" i="32"/>
  <c r="F164" i="33"/>
  <c r="J164" i="33"/>
  <c r="AE164" i="33"/>
  <c r="Q159" i="32"/>
  <c r="V159" i="32"/>
  <c r="F159" i="33"/>
  <c r="J159" i="33"/>
  <c r="AE159" i="33"/>
  <c r="Q152" i="32"/>
  <c r="V152" i="32"/>
  <c r="F152" i="33"/>
  <c r="J152" i="33"/>
  <c r="AD152" i="33"/>
  <c r="Q148" i="32"/>
  <c r="V148" i="32"/>
  <c r="F148" i="33"/>
  <c r="J148" i="33"/>
  <c r="AE148" i="33"/>
  <c r="Q143" i="32"/>
  <c r="V143" i="32"/>
  <c r="F143" i="33"/>
  <c r="J143" i="33"/>
  <c r="AE143" i="33"/>
  <c r="Q135" i="32"/>
  <c r="V135" i="32"/>
  <c r="F135" i="33"/>
  <c r="J135" i="33"/>
  <c r="AD135" i="33"/>
  <c r="Q134" i="32"/>
  <c r="V134" i="32"/>
  <c r="F134" i="33"/>
  <c r="J134" i="33"/>
  <c r="AD134" i="33"/>
  <c r="Q129" i="32"/>
  <c r="V129" i="32"/>
  <c r="F129" i="33"/>
  <c r="J129" i="33"/>
  <c r="AE129" i="33"/>
  <c r="Q128" i="32"/>
  <c r="V128" i="32"/>
  <c r="F128" i="33"/>
  <c r="J128" i="33"/>
  <c r="AF128" i="33"/>
  <c r="Q124" i="32"/>
  <c r="V124" i="32"/>
  <c r="F124" i="33"/>
  <c r="J124" i="33"/>
  <c r="AD124" i="33"/>
  <c r="Q120" i="32"/>
  <c r="V120" i="32"/>
  <c r="F120" i="33"/>
  <c r="J120" i="33"/>
  <c r="AD120" i="33"/>
  <c r="Q117" i="32"/>
  <c r="V117" i="32"/>
  <c r="F117" i="33"/>
  <c r="J117" i="33"/>
  <c r="AE117" i="33"/>
  <c r="Q116" i="32"/>
  <c r="V116" i="32"/>
  <c r="F116" i="33"/>
  <c r="J116" i="33"/>
  <c r="AD116" i="33"/>
  <c r="Q113" i="32"/>
  <c r="V113" i="32"/>
  <c r="F113" i="33"/>
  <c r="J113" i="33"/>
  <c r="AD113" i="33"/>
  <c r="Q112" i="32"/>
  <c r="V112" i="32"/>
  <c r="F112" i="33"/>
  <c r="J112" i="33"/>
  <c r="AD112" i="33"/>
  <c r="Q109" i="32"/>
  <c r="V109" i="32"/>
  <c r="F109" i="33"/>
  <c r="J109" i="33"/>
  <c r="AD109" i="33"/>
  <c r="Q101" i="32"/>
  <c r="V101" i="32"/>
  <c r="F101" i="33"/>
  <c r="J101" i="33"/>
  <c r="AD101" i="33"/>
  <c r="Q100" i="32"/>
  <c r="V100" i="32"/>
  <c r="F100" i="33"/>
  <c r="J100" i="33"/>
  <c r="AE100" i="33"/>
  <c r="Q98" i="32"/>
  <c r="V98" i="32"/>
  <c r="F98" i="33"/>
  <c r="J98" i="33"/>
  <c r="AE98" i="33"/>
  <c r="Q97" i="32"/>
  <c r="V97" i="32"/>
  <c r="F97" i="33"/>
  <c r="J97" i="33"/>
  <c r="AE97" i="33"/>
  <c r="Q94" i="32"/>
  <c r="V94" i="32"/>
  <c r="F94" i="33"/>
  <c r="J94" i="33"/>
  <c r="AE94" i="33"/>
  <c r="Q93" i="32"/>
  <c r="V93" i="32"/>
  <c r="F93" i="33"/>
  <c r="J93" i="33"/>
  <c r="AF93" i="33"/>
  <c r="Q89" i="32"/>
  <c r="V89" i="32"/>
  <c r="F89" i="33"/>
  <c r="J89" i="33"/>
  <c r="AD89" i="33"/>
  <c r="Q83" i="32"/>
  <c r="V83" i="32"/>
  <c r="F83" i="33"/>
  <c r="J83" i="33"/>
  <c r="AE83" i="33"/>
  <c r="Q80" i="32"/>
  <c r="V80" i="32"/>
  <c r="F80" i="33"/>
  <c r="J80" i="33"/>
  <c r="AE80" i="33"/>
  <c r="Q79" i="32"/>
  <c r="V79" i="32"/>
  <c r="F79" i="33"/>
  <c r="J79" i="33"/>
  <c r="AE79" i="33"/>
  <c r="Q72" i="32"/>
  <c r="V72" i="32"/>
  <c r="F72" i="33"/>
  <c r="J72" i="33"/>
  <c r="AD72" i="33"/>
  <c r="Q71" i="32"/>
  <c r="V71" i="32"/>
  <c r="F71" i="33"/>
  <c r="J71" i="33"/>
  <c r="AD71" i="33"/>
  <c r="Q64" i="32"/>
  <c r="V64" i="32"/>
  <c r="F64" i="33"/>
  <c r="J64" i="33"/>
  <c r="AD64" i="33"/>
  <c r="Q63" i="32"/>
  <c r="V63" i="32"/>
  <c r="F63" i="33"/>
  <c r="J63" i="33"/>
  <c r="AD63" i="33"/>
  <c r="Q59" i="32"/>
  <c r="V59" i="32"/>
  <c r="F59" i="33"/>
  <c r="J59" i="33"/>
  <c r="AE59" i="33"/>
  <c r="Q58" i="32"/>
  <c r="V58" i="32"/>
  <c r="J58" i="33"/>
  <c r="AF58" i="33"/>
  <c r="Q55" i="32"/>
  <c r="V55" i="32"/>
  <c r="F55" i="33"/>
  <c r="J55" i="33"/>
  <c r="AD55" i="33"/>
  <c r="Q54" i="32"/>
  <c r="V54" i="32"/>
  <c r="F54" i="33"/>
  <c r="J54" i="33"/>
  <c r="AE54" i="33"/>
  <c r="Q51" i="32"/>
  <c r="V51" i="32"/>
  <c r="F51" i="33"/>
  <c r="J51" i="33"/>
  <c r="AE51" i="33"/>
  <c r="Q50" i="32"/>
  <c r="V50" i="32"/>
  <c r="F50" i="33"/>
  <c r="J50" i="33"/>
  <c r="AD50" i="33"/>
  <c r="Q48" i="32"/>
  <c r="V48" i="32"/>
  <c r="F48" i="33"/>
  <c r="J48" i="33"/>
  <c r="AD48" i="33"/>
  <c r="Q47" i="32"/>
  <c r="V47" i="32"/>
  <c r="F47" i="33"/>
  <c r="J47" i="33"/>
  <c r="AE47" i="33"/>
  <c r="Q44" i="32"/>
  <c r="V44" i="32"/>
  <c r="F44" i="33"/>
  <c r="J44" i="33"/>
  <c r="AE44" i="33"/>
  <c r="Q43" i="32"/>
  <c r="V43" i="32"/>
  <c r="F43" i="33"/>
  <c r="J43" i="33"/>
  <c r="AD43" i="33"/>
  <c r="Q26" i="32"/>
  <c r="V26" i="32"/>
  <c r="F26" i="33"/>
  <c r="J26" i="33"/>
  <c r="AD26" i="33"/>
  <c r="Q23" i="32"/>
  <c r="V23" i="32"/>
  <c r="F23" i="33"/>
  <c r="J23" i="33"/>
  <c r="AD23" i="33"/>
  <c r="Q21" i="32"/>
  <c r="V21" i="32"/>
  <c r="F21" i="33"/>
  <c r="J21" i="33"/>
  <c r="AD21" i="33"/>
  <c r="AA230" i="33"/>
  <c r="AA238" i="33"/>
  <c r="AB230" i="33"/>
  <c r="AA241" i="33"/>
  <c r="P230" i="33"/>
  <c r="O230" i="33"/>
  <c r="N230" i="33"/>
  <c r="M230" i="33"/>
  <c r="L230" i="33"/>
  <c r="M231" i="33"/>
  <c r="J238" i="33"/>
  <c r="H230" i="33"/>
  <c r="G230" i="33"/>
  <c r="AJ229" i="33"/>
  <c r="AI229" i="33"/>
  <c r="AF229" i="33"/>
  <c r="AE229" i="33"/>
  <c r="Z229" i="33"/>
  <c r="Y229" i="33"/>
  <c r="Q229" i="33"/>
  <c r="V229" i="33"/>
  <c r="F235" i="34"/>
  <c r="J235" i="34"/>
  <c r="AD235" i="34"/>
  <c r="AH229" i="33"/>
  <c r="J229" i="33"/>
  <c r="AD229" i="33"/>
  <c r="AL229" i="33"/>
  <c r="AI228" i="33"/>
  <c r="AH228" i="33"/>
  <c r="AE228" i="33"/>
  <c r="AD228" i="33"/>
  <c r="Y228" i="33"/>
  <c r="X228" i="33"/>
  <c r="F234" i="34"/>
  <c r="J234" i="34"/>
  <c r="AF234" i="34"/>
  <c r="Z228" i="33"/>
  <c r="AI227" i="33"/>
  <c r="AH227" i="33"/>
  <c r="AE227" i="33"/>
  <c r="AD227" i="33"/>
  <c r="Y227" i="33"/>
  <c r="X227" i="33"/>
  <c r="F233" i="34"/>
  <c r="J233" i="34"/>
  <c r="AF233" i="34"/>
  <c r="AJ227" i="33"/>
  <c r="AJ226" i="33"/>
  <c r="AI226" i="33"/>
  <c r="AF226" i="33"/>
  <c r="AE226" i="33"/>
  <c r="Z226" i="33"/>
  <c r="Y226" i="33"/>
  <c r="F232" i="34"/>
  <c r="J232" i="34"/>
  <c r="AD232" i="34"/>
  <c r="X226" i="33"/>
  <c r="AC226" i="33"/>
  <c r="AJ225" i="33"/>
  <c r="AI225" i="33"/>
  <c r="AF225" i="33"/>
  <c r="AE225" i="33"/>
  <c r="Z225" i="33"/>
  <c r="Y225" i="33"/>
  <c r="F231" i="34"/>
  <c r="J231" i="34"/>
  <c r="AD231" i="34"/>
  <c r="AJ224" i="33"/>
  <c r="AI224" i="33"/>
  <c r="AF224" i="33"/>
  <c r="AE224" i="33"/>
  <c r="Z224" i="33"/>
  <c r="Y224" i="33"/>
  <c r="F230" i="34"/>
  <c r="J230" i="34"/>
  <c r="AD230" i="34"/>
  <c r="X224" i="33"/>
  <c r="AJ223" i="33"/>
  <c r="AH223" i="33"/>
  <c r="AF223" i="33"/>
  <c r="AD223" i="33"/>
  <c r="Z223" i="33"/>
  <c r="X223" i="33"/>
  <c r="F229" i="34"/>
  <c r="J229" i="34"/>
  <c r="AE229" i="34"/>
  <c r="Y223" i="33"/>
  <c r="AJ222" i="33"/>
  <c r="AI222" i="33"/>
  <c r="AH222" i="33"/>
  <c r="AF222" i="33"/>
  <c r="AE222" i="33"/>
  <c r="Z222" i="33"/>
  <c r="Y222" i="33"/>
  <c r="F228" i="34"/>
  <c r="J228" i="34"/>
  <c r="AD228" i="34"/>
  <c r="X222" i="33"/>
  <c r="AJ221" i="33"/>
  <c r="AH221" i="33"/>
  <c r="AF221" i="33"/>
  <c r="AD221" i="33"/>
  <c r="Z221" i="33"/>
  <c r="X221" i="33"/>
  <c r="F227" i="34"/>
  <c r="J227" i="34"/>
  <c r="AE227" i="34"/>
  <c r="Y221" i="33"/>
  <c r="AJ220" i="33"/>
  <c r="AH220" i="33"/>
  <c r="AF220" i="33"/>
  <c r="AD220" i="33"/>
  <c r="Z220" i="33"/>
  <c r="X220" i="33"/>
  <c r="F226" i="34"/>
  <c r="J226" i="34"/>
  <c r="AE226" i="34"/>
  <c r="AI220" i="33"/>
  <c r="AJ219" i="33"/>
  <c r="AI219" i="33"/>
  <c r="AH219" i="33"/>
  <c r="AF219" i="33"/>
  <c r="AD219" i="33"/>
  <c r="Z219" i="33"/>
  <c r="X219" i="33"/>
  <c r="F225" i="34"/>
  <c r="J225" i="34"/>
  <c r="AE225" i="34"/>
  <c r="Y219" i="33"/>
  <c r="AJ218" i="33"/>
  <c r="AH218" i="33"/>
  <c r="AF218" i="33"/>
  <c r="AD218" i="33"/>
  <c r="Z218" i="33"/>
  <c r="X218" i="33"/>
  <c r="F224" i="34"/>
  <c r="J224" i="34"/>
  <c r="AE224" i="34"/>
  <c r="AI218" i="33"/>
  <c r="AJ217" i="33"/>
  <c r="AI217" i="33"/>
  <c r="AF217" i="33"/>
  <c r="AE217" i="33"/>
  <c r="Z217" i="33"/>
  <c r="Y217" i="33"/>
  <c r="F223" i="34"/>
  <c r="J223" i="34"/>
  <c r="AD223" i="34"/>
  <c r="AH217" i="33"/>
  <c r="AJ216" i="33"/>
  <c r="AI216" i="33"/>
  <c r="AF216" i="33"/>
  <c r="AE216" i="33"/>
  <c r="Z216" i="33"/>
  <c r="Y216" i="33"/>
  <c r="F222" i="34"/>
  <c r="J222" i="34"/>
  <c r="AD222" i="34"/>
  <c r="X216" i="33"/>
  <c r="AI215" i="33"/>
  <c r="AH215" i="33"/>
  <c r="AE215" i="33"/>
  <c r="AD215" i="33"/>
  <c r="Y215" i="33"/>
  <c r="X215" i="33"/>
  <c r="F221" i="34"/>
  <c r="J221" i="34"/>
  <c r="AF221" i="34"/>
  <c r="AJ215" i="33"/>
  <c r="AJ214" i="33"/>
  <c r="AH214" i="33"/>
  <c r="AF214" i="33"/>
  <c r="AD214" i="33"/>
  <c r="Z214" i="33"/>
  <c r="X214" i="33"/>
  <c r="F220" i="34"/>
  <c r="J220" i="34"/>
  <c r="AE220" i="34"/>
  <c r="AI214" i="33"/>
  <c r="AJ213" i="33"/>
  <c r="AI213" i="33"/>
  <c r="AF213" i="33"/>
  <c r="AE213" i="33"/>
  <c r="Z213" i="33"/>
  <c r="Y213" i="33"/>
  <c r="AH213" i="33"/>
  <c r="AJ212" i="33"/>
  <c r="AI212" i="33"/>
  <c r="AF212" i="33"/>
  <c r="AE212" i="33"/>
  <c r="Z212" i="33"/>
  <c r="Y212" i="33"/>
  <c r="F218" i="34"/>
  <c r="J218" i="34"/>
  <c r="AD218" i="34"/>
  <c r="X212" i="33"/>
  <c r="AC212" i="33"/>
  <c r="AI211" i="33"/>
  <c r="AH211" i="33"/>
  <c r="AE211" i="33"/>
  <c r="AD211" i="33"/>
  <c r="Y211" i="33"/>
  <c r="X211" i="33"/>
  <c r="AJ211" i="33"/>
  <c r="AJ210" i="33"/>
  <c r="AI210" i="33"/>
  <c r="AF210" i="33"/>
  <c r="AE210" i="33"/>
  <c r="Z210" i="33"/>
  <c r="Y210" i="33"/>
  <c r="F216" i="34"/>
  <c r="J216" i="34"/>
  <c r="AD216" i="34"/>
  <c r="X210" i="33"/>
  <c r="AC210" i="33"/>
  <c r="AJ209" i="33"/>
  <c r="AI209" i="33"/>
  <c r="AF209" i="33"/>
  <c r="AE209" i="33"/>
  <c r="Z209" i="33"/>
  <c r="Y209" i="33"/>
  <c r="X209" i="33"/>
  <c r="AH209" i="33"/>
  <c r="AJ208" i="33"/>
  <c r="AI208" i="33"/>
  <c r="AF208" i="33"/>
  <c r="AE208" i="33"/>
  <c r="Z208" i="33"/>
  <c r="Y208" i="33"/>
  <c r="F214" i="34"/>
  <c r="J214" i="34"/>
  <c r="AD214" i="34"/>
  <c r="AH208" i="33"/>
  <c r="AI207" i="33"/>
  <c r="AH207" i="33"/>
  <c r="AE207" i="33"/>
  <c r="AD207" i="33"/>
  <c r="Y207" i="33"/>
  <c r="X207" i="33"/>
  <c r="F213" i="34"/>
  <c r="J213" i="34"/>
  <c r="AF213" i="34"/>
  <c r="Z207" i="33"/>
  <c r="AJ206" i="33"/>
  <c r="AH206" i="33"/>
  <c r="AF206" i="33"/>
  <c r="AD206" i="33"/>
  <c r="Z206" i="33"/>
  <c r="X206" i="33"/>
  <c r="F211" i="34"/>
  <c r="J211" i="34"/>
  <c r="AE211" i="34"/>
  <c r="Y206" i="33"/>
  <c r="AI205" i="33"/>
  <c r="AH205" i="33"/>
  <c r="AE205" i="33"/>
  <c r="AD205" i="33"/>
  <c r="Y205" i="33"/>
  <c r="X205" i="33"/>
  <c r="F210" i="34"/>
  <c r="J210" i="34"/>
  <c r="AF210" i="34"/>
  <c r="AJ205" i="33"/>
  <c r="AJ204" i="33"/>
  <c r="AH204" i="33"/>
  <c r="AF204" i="33"/>
  <c r="AD204" i="33"/>
  <c r="Z204" i="33"/>
  <c r="X204" i="33"/>
  <c r="F209" i="34"/>
  <c r="J209" i="34"/>
  <c r="AE209" i="34"/>
  <c r="Y204" i="33"/>
  <c r="AJ203" i="33"/>
  <c r="AH203" i="33"/>
  <c r="AF203" i="33"/>
  <c r="AD203" i="33"/>
  <c r="Z203" i="33"/>
  <c r="X203" i="33"/>
  <c r="F208" i="34"/>
  <c r="J208" i="34"/>
  <c r="AE208" i="34"/>
  <c r="AI203" i="33"/>
  <c r="AJ202" i="33"/>
  <c r="AH202" i="33"/>
  <c r="AF202" i="33"/>
  <c r="AD202" i="33"/>
  <c r="Z202" i="33"/>
  <c r="X202" i="33"/>
  <c r="Y202" i="33"/>
  <c r="AC202" i="33"/>
  <c r="F207" i="34"/>
  <c r="J207" i="34"/>
  <c r="AE207" i="34"/>
  <c r="AJ201" i="33"/>
  <c r="AH201" i="33"/>
  <c r="AF201" i="33"/>
  <c r="AD201" i="33"/>
  <c r="Z201" i="33"/>
  <c r="X201" i="33"/>
  <c r="F206" i="34"/>
  <c r="J206" i="34"/>
  <c r="AE206" i="34"/>
  <c r="AI201" i="33"/>
  <c r="AJ200" i="33"/>
  <c r="AH200" i="33"/>
  <c r="AF200" i="33"/>
  <c r="AD200" i="33"/>
  <c r="Z200" i="33"/>
  <c r="X200" i="33"/>
  <c r="F205" i="34"/>
  <c r="J205" i="34"/>
  <c r="AE205" i="34"/>
  <c r="Y200" i="33"/>
  <c r="AJ199" i="33"/>
  <c r="AH199" i="33"/>
  <c r="AF199" i="33"/>
  <c r="AD199" i="33"/>
  <c r="Z199" i="33"/>
  <c r="X199" i="33"/>
  <c r="F204" i="34"/>
  <c r="J204" i="34"/>
  <c r="AE204" i="34"/>
  <c r="AI199" i="33"/>
  <c r="AJ198" i="33"/>
  <c r="AI198" i="33"/>
  <c r="AF198" i="33"/>
  <c r="AE198" i="33"/>
  <c r="Z198" i="33"/>
  <c r="Y198" i="33"/>
  <c r="F202" i="34"/>
  <c r="J202" i="34"/>
  <c r="AD202" i="34"/>
  <c r="AH198" i="33"/>
  <c r="AJ197" i="33"/>
  <c r="AI197" i="33"/>
  <c r="AF197" i="33"/>
  <c r="AE197" i="33"/>
  <c r="Z197" i="33"/>
  <c r="Y197" i="33"/>
  <c r="F200" i="34"/>
  <c r="J200" i="34"/>
  <c r="AD200" i="34"/>
  <c r="X197" i="33"/>
  <c r="AC197" i="33"/>
  <c r="AJ196" i="33"/>
  <c r="AI196" i="33"/>
  <c r="AF196" i="33"/>
  <c r="AE196" i="33"/>
  <c r="Z196" i="33"/>
  <c r="Y196" i="33"/>
  <c r="F199" i="34"/>
  <c r="J199" i="34"/>
  <c r="AD199" i="34"/>
  <c r="AH196" i="33"/>
  <c r="AJ195" i="33"/>
  <c r="AH195" i="33"/>
  <c r="AF195" i="33"/>
  <c r="AD195" i="33"/>
  <c r="Z195" i="33"/>
  <c r="X195" i="33"/>
  <c r="F198" i="34"/>
  <c r="J198" i="34"/>
  <c r="AE198" i="34"/>
  <c r="AI195" i="33"/>
  <c r="AJ194" i="33"/>
  <c r="AI194" i="33"/>
  <c r="AF194" i="33"/>
  <c r="AE194" i="33"/>
  <c r="Z194" i="33"/>
  <c r="Y194" i="33"/>
  <c r="F197" i="34"/>
  <c r="J197" i="34"/>
  <c r="AD197" i="34"/>
  <c r="AH194" i="33"/>
  <c r="AJ193" i="33"/>
  <c r="AH193" i="33"/>
  <c r="AF193" i="33"/>
  <c r="AD193" i="33"/>
  <c r="Z193" i="33"/>
  <c r="X193" i="33"/>
  <c r="F196" i="34"/>
  <c r="J196" i="34"/>
  <c r="AE196" i="34"/>
  <c r="AI193" i="33"/>
  <c r="AJ192" i="33"/>
  <c r="AH192" i="33"/>
  <c r="AF192" i="33"/>
  <c r="AD192" i="33"/>
  <c r="Z192" i="33"/>
  <c r="X192" i="33"/>
  <c r="F195" i="34"/>
  <c r="J195" i="34"/>
  <c r="AE195" i="34"/>
  <c r="Y192" i="33"/>
  <c r="AJ191" i="33"/>
  <c r="AH191" i="33"/>
  <c r="AF191" i="33"/>
  <c r="AD191" i="33"/>
  <c r="Z191" i="33"/>
  <c r="X191" i="33"/>
  <c r="F194" i="34"/>
  <c r="J194" i="34"/>
  <c r="AE194" i="34"/>
  <c r="AI191" i="33"/>
  <c r="AJ190" i="33"/>
  <c r="AI190" i="33"/>
  <c r="AF190" i="33"/>
  <c r="AE190" i="33"/>
  <c r="Z190" i="33"/>
  <c r="Y190" i="33"/>
  <c r="F193" i="34"/>
  <c r="J193" i="34"/>
  <c r="AD193" i="34"/>
  <c r="AH190" i="33"/>
  <c r="AJ189" i="33"/>
  <c r="AI189" i="33"/>
  <c r="AH189" i="33"/>
  <c r="AF189" i="33"/>
  <c r="AE189" i="33"/>
  <c r="Z189" i="33"/>
  <c r="Y189" i="33"/>
  <c r="F192" i="34"/>
  <c r="J192" i="34"/>
  <c r="AD192" i="34"/>
  <c r="X189" i="33"/>
  <c r="AJ188" i="33"/>
  <c r="AI188" i="33"/>
  <c r="AF188" i="33"/>
  <c r="AE188" i="33"/>
  <c r="Z188" i="33"/>
  <c r="Y188" i="33"/>
  <c r="F191" i="34"/>
  <c r="J191" i="34"/>
  <c r="AD191" i="34"/>
  <c r="X188" i="33"/>
  <c r="AC188" i="33"/>
  <c r="AJ187" i="33"/>
  <c r="AH187" i="33"/>
  <c r="AF187" i="33"/>
  <c r="AD187" i="33"/>
  <c r="Z187" i="33"/>
  <c r="X187" i="33"/>
  <c r="F190" i="34"/>
  <c r="J190" i="34"/>
  <c r="AE190" i="34"/>
  <c r="AI187" i="33"/>
  <c r="AJ186" i="33"/>
  <c r="AI186" i="33"/>
  <c r="AF186" i="33"/>
  <c r="AE186" i="33"/>
  <c r="Z186" i="33"/>
  <c r="Y186" i="33"/>
  <c r="F189" i="34"/>
  <c r="J189" i="34"/>
  <c r="AD189" i="34"/>
  <c r="AH186" i="33"/>
  <c r="AJ185" i="33"/>
  <c r="AH185" i="33"/>
  <c r="AF185" i="33"/>
  <c r="AD185" i="33"/>
  <c r="Z185" i="33"/>
  <c r="X185" i="33"/>
  <c r="F188" i="34"/>
  <c r="J188" i="34"/>
  <c r="AE188" i="34"/>
  <c r="AI185" i="33"/>
  <c r="AJ184" i="33"/>
  <c r="AI184" i="33"/>
  <c r="AF184" i="33"/>
  <c r="AE184" i="33"/>
  <c r="Z184" i="33"/>
  <c r="Y184" i="33"/>
  <c r="F187" i="34"/>
  <c r="J187" i="34"/>
  <c r="AD187" i="34"/>
  <c r="AH184" i="33"/>
  <c r="AI183" i="33"/>
  <c r="AH183" i="33"/>
  <c r="AE183" i="33"/>
  <c r="AD183" i="33"/>
  <c r="Y183" i="33"/>
  <c r="X183" i="33"/>
  <c r="Z183" i="33"/>
  <c r="AJ182" i="33"/>
  <c r="AH182" i="33"/>
  <c r="AF182" i="33"/>
  <c r="AD182" i="33"/>
  <c r="Z182" i="33"/>
  <c r="X182" i="33"/>
  <c r="Y182" i="33"/>
  <c r="AC182" i="33"/>
  <c r="AJ181" i="33"/>
  <c r="AI181" i="33"/>
  <c r="AF181" i="33"/>
  <c r="AE181" i="33"/>
  <c r="Z181" i="33"/>
  <c r="Y181" i="33"/>
  <c r="F184" i="34"/>
  <c r="J184" i="34"/>
  <c r="AD184" i="34"/>
  <c r="AH181" i="33"/>
  <c r="AJ180" i="33"/>
  <c r="AH180" i="33"/>
  <c r="AF180" i="33"/>
  <c r="AD180" i="33"/>
  <c r="Z180" i="33"/>
  <c r="Y180" i="33"/>
  <c r="X180" i="33"/>
  <c r="AC180" i="33"/>
  <c r="F183" i="34"/>
  <c r="J183" i="34"/>
  <c r="AE183" i="34"/>
  <c r="AI180" i="33"/>
  <c r="AJ179" i="33"/>
  <c r="AI179" i="33"/>
  <c r="AF179" i="33"/>
  <c r="AE179" i="33"/>
  <c r="Z179" i="33"/>
  <c r="Y179" i="33"/>
  <c r="F182" i="34"/>
  <c r="J182" i="34"/>
  <c r="AD182" i="34"/>
  <c r="X179" i="33"/>
  <c r="AC179" i="33"/>
  <c r="AJ178" i="33"/>
  <c r="AI178" i="33"/>
  <c r="AF178" i="33"/>
  <c r="AE178" i="33"/>
  <c r="Z178" i="33"/>
  <c r="Y178" i="33"/>
  <c r="F181" i="34"/>
  <c r="J181" i="34"/>
  <c r="AD181" i="34"/>
  <c r="X178" i="33"/>
  <c r="AC178" i="33"/>
  <c r="AJ177" i="33"/>
  <c r="AH177" i="33"/>
  <c r="AF177" i="33"/>
  <c r="AD177" i="33"/>
  <c r="Z177" i="33"/>
  <c r="X177" i="33"/>
  <c r="F180" i="34"/>
  <c r="J180" i="34"/>
  <c r="AE180" i="34"/>
  <c r="Y177" i="33"/>
  <c r="AJ176" i="33"/>
  <c r="AI176" i="33"/>
  <c r="AF176" i="33"/>
  <c r="AE176" i="33"/>
  <c r="Z176" i="33"/>
  <c r="Y176" i="33"/>
  <c r="F179" i="34"/>
  <c r="J179" i="34"/>
  <c r="AD179" i="34"/>
  <c r="X176" i="33"/>
  <c r="AC176" i="33"/>
  <c r="AJ175" i="33"/>
  <c r="AI175" i="33"/>
  <c r="AF175" i="33"/>
  <c r="AE175" i="33"/>
  <c r="Z175" i="33"/>
  <c r="Y175" i="33"/>
  <c r="F178" i="34"/>
  <c r="J178" i="34"/>
  <c r="AD178" i="34"/>
  <c r="AH175" i="33"/>
  <c r="AJ174" i="33"/>
  <c r="AI174" i="33"/>
  <c r="AF174" i="33"/>
  <c r="AE174" i="33"/>
  <c r="Z174" i="33"/>
  <c r="Y174" i="33"/>
  <c r="F177" i="34"/>
  <c r="J177" i="34"/>
  <c r="AD177" i="34"/>
  <c r="AH174" i="33"/>
  <c r="AJ173" i="33"/>
  <c r="AI173" i="33"/>
  <c r="AF173" i="33"/>
  <c r="AE173" i="33"/>
  <c r="Z173" i="33"/>
  <c r="Y173" i="33"/>
  <c r="F176" i="34"/>
  <c r="J176" i="34"/>
  <c r="AD176" i="34"/>
  <c r="X173" i="33"/>
  <c r="AC173" i="33"/>
  <c r="AJ172" i="33"/>
  <c r="AI172" i="33"/>
  <c r="AF172" i="33"/>
  <c r="AE172" i="33"/>
  <c r="Z172" i="33"/>
  <c r="Y172" i="33"/>
  <c r="F175" i="34"/>
  <c r="J175" i="34"/>
  <c r="AD175" i="34"/>
  <c r="AH172" i="33"/>
  <c r="AJ171" i="33"/>
  <c r="AI171" i="33"/>
  <c r="AF171" i="33"/>
  <c r="AE171" i="33"/>
  <c r="Z171" i="33"/>
  <c r="Y171" i="33"/>
  <c r="F173" i="34"/>
  <c r="J173" i="34"/>
  <c r="AD173" i="34"/>
  <c r="X171" i="33"/>
  <c r="AC171" i="33"/>
  <c r="AJ170" i="33"/>
  <c r="AI170" i="33"/>
  <c r="AF170" i="33"/>
  <c r="AE170" i="33"/>
  <c r="Z170" i="33"/>
  <c r="Y170" i="33"/>
  <c r="F172" i="34"/>
  <c r="J172" i="34"/>
  <c r="AD172" i="34"/>
  <c r="AH170" i="33"/>
  <c r="AJ169" i="33"/>
  <c r="AI169" i="33"/>
  <c r="AF169" i="33"/>
  <c r="AE169" i="33"/>
  <c r="Z169" i="33"/>
  <c r="Y169" i="33"/>
  <c r="F171" i="34"/>
  <c r="J171" i="34"/>
  <c r="AD171" i="34"/>
  <c r="X169" i="33"/>
  <c r="AJ168" i="33"/>
  <c r="AI168" i="33"/>
  <c r="AF168" i="33"/>
  <c r="AE168" i="33"/>
  <c r="Z168" i="33"/>
  <c r="Y168" i="33"/>
  <c r="F170" i="34"/>
  <c r="J170" i="34"/>
  <c r="AD170" i="34"/>
  <c r="AH168" i="33"/>
  <c r="AJ167" i="33"/>
  <c r="AH167" i="33"/>
  <c r="AF167" i="33"/>
  <c r="AD167" i="33"/>
  <c r="Z167" i="33"/>
  <c r="X167" i="33"/>
  <c r="F169" i="34"/>
  <c r="J169" i="34"/>
  <c r="AE169" i="34"/>
  <c r="AI167" i="33"/>
  <c r="AJ166" i="33"/>
  <c r="AH166" i="33"/>
  <c r="AF166" i="33"/>
  <c r="AD166" i="33"/>
  <c r="Z166" i="33"/>
  <c r="X166" i="33"/>
  <c r="F168" i="34"/>
  <c r="J168" i="34"/>
  <c r="AE168" i="34"/>
  <c r="Y166" i="33"/>
  <c r="AJ165" i="33"/>
  <c r="AH165" i="33"/>
  <c r="AF165" i="33"/>
  <c r="AD165" i="33"/>
  <c r="Z165" i="33"/>
  <c r="X165" i="33"/>
  <c r="F167" i="34"/>
  <c r="J167" i="34"/>
  <c r="AE167" i="34"/>
  <c r="Y165" i="33"/>
  <c r="AC165" i="33"/>
  <c r="AJ164" i="33"/>
  <c r="AH164" i="33"/>
  <c r="AF164" i="33"/>
  <c r="AD164" i="33"/>
  <c r="Z164" i="33"/>
  <c r="X164" i="33"/>
  <c r="F166" i="34"/>
  <c r="J166" i="34"/>
  <c r="AE166" i="34"/>
  <c r="AI164" i="33"/>
  <c r="AJ163" i="33"/>
  <c r="AH163" i="33"/>
  <c r="AF163" i="33"/>
  <c r="AD163" i="33"/>
  <c r="Z163" i="33"/>
  <c r="X163" i="33"/>
  <c r="Y163" i="33"/>
  <c r="AC163" i="33"/>
  <c r="F165" i="34"/>
  <c r="J165" i="34"/>
  <c r="AE165" i="34"/>
  <c r="AI163" i="33"/>
  <c r="AJ162" i="33"/>
  <c r="AI162" i="33"/>
  <c r="AF162" i="33"/>
  <c r="AE162" i="33"/>
  <c r="Z162" i="33"/>
  <c r="Y162" i="33"/>
  <c r="F164" i="34"/>
  <c r="J164" i="34"/>
  <c r="AD164" i="34"/>
  <c r="X162" i="33"/>
  <c r="AC162" i="33"/>
  <c r="AJ161" i="33"/>
  <c r="AI161" i="33"/>
  <c r="AF161" i="33"/>
  <c r="AE161" i="33"/>
  <c r="Z161" i="33"/>
  <c r="Y161" i="33"/>
  <c r="X161" i="33"/>
  <c r="F163" i="34"/>
  <c r="J163" i="34"/>
  <c r="AD163" i="34"/>
  <c r="AH161" i="33"/>
  <c r="AJ160" i="33"/>
  <c r="AH160" i="33"/>
  <c r="AF160" i="33"/>
  <c r="AD160" i="33"/>
  <c r="Z160" i="33"/>
  <c r="X160" i="33"/>
  <c r="F162" i="34"/>
  <c r="J162" i="34"/>
  <c r="AE162" i="34"/>
  <c r="Y160" i="33"/>
  <c r="AJ159" i="33"/>
  <c r="AH159" i="33"/>
  <c r="AF159" i="33"/>
  <c r="AD159" i="33"/>
  <c r="Z159" i="33"/>
  <c r="X159" i="33"/>
  <c r="F161" i="34"/>
  <c r="J161" i="34"/>
  <c r="AE161" i="34"/>
  <c r="Y159" i="33"/>
  <c r="AJ158" i="33"/>
  <c r="AI158" i="33"/>
  <c r="AF158" i="33"/>
  <c r="AE158" i="33"/>
  <c r="Z158" i="33"/>
  <c r="Y158" i="33"/>
  <c r="J160" i="34"/>
  <c r="AD160" i="34"/>
  <c r="X158" i="33"/>
  <c r="AC158" i="33"/>
  <c r="AI157" i="33"/>
  <c r="AH157" i="33"/>
  <c r="AE157" i="33"/>
  <c r="AD157" i="33"/>
  <c r="Y157" i="33"/>
  <c r="X157" i="33"/>
  <c r="F159" i="34"/>
  <c r="J159" i="34"/>
  <c r="AF159" i="34"/>
  <c r="AJ157" i="33"/>
  <c r="I230" i="33"/>
  <c r="I231" i="33"/>
  <c r="AJ156" i="33"/>
  <c r="AH156" i="33"/>
  <c r="AF156" i="33"/>
  <c r="AD156" i="33"/>
  <c r="Z156" i="33"/>
  <c r="X156" i="33"/>
  <c r="F158" i="34"/>
  <c r="J158" i="34"/>
  <c r="AE158" i="34"/>
  <c r="AI156" i="33"/>
  <c r="AJ155" i="33"/>
  <c r="AH155" i="33"/>
  <c r="AF155" i="33"/>
  <c r="AD155" i="33"/>
  <c r="Z155" i="33"/>
  <c r="X155" i="33"/>
  <c r="F157" i="34"/>
  <c r="J157" i="34"/>
  <c r="AE157" i="34"/>
  <c r="Y155" i="33"/>
  <c r="AI154" i="33"/>
  <c r="AH154" i="33"/>
  <c r="AE154" i="33"/>
  <c r="AD154" i="33"/>
  <c r="Y154" i="33"/>
  <c r="X154" i="33"/>
  <c r="F156" i="34"/>
  <c r="J156" i="34"/>
  <c r="AF156" i="34"/>
  <c r="Z154" i="33"/>
  <c r="AJ153" i="33"/>
  <c r="AI153" i="33"/>
  <c r="AF153" i="33"/>
  <c r="AE153" i="33"/>
  <c r="Z153" i="33"/>
  <c r="Y153" i="33"/>
  <c r="F155" i="34"/>
  <c r="J155" i="34"/>
  <c r="AD155" i="34"/>
  <c r="AH153" i="33"/>
  <c r="AJ152" i="33"/>
  <c r="AI152" i="33"/>
  <c r="AH152" i="33"/>
  <c r="AF152" i="33"/>
  <c r="AE152" i="33"/>
  <c r="Z152" i="33"/>
  <c r="Y152" i="33"/>
  <c r="F154" i="34"/>
  <c r="J154" i="34"/>
  <c r="AD154" i="34"/>
  <c r="X152" i="33"/>
  <c r="AI151" i="33"/>
  <c r="AH151" i="33"/>
  <c r="AE151" i="33"/>
  <c r="AD151" i="33"/>
  <c r="Y151" i="33"/>
  <c r="X151" i="33"/>
  <c r="F153" i="34"/>
  <c r="J153" i="34"/>
  <c r="AF153" i="34"/>
  <c r="AJ151" i="33"/>
  <c r="AJ150" i="33"/>
  <c r="AI150" i="33"/>
  <c r="AH150" i="33"/>
  <c r="AF150" i="33"/>
  <c r="AE150" i="33"/>
  <c r="Z150" i="33"/>
  <c r="Y150" i="33"/>
  <c r="F152" i="34"/>
  <c r="J152" i="34"/>
  <c r="AD152" i="34"/>
  <c r="X150" i="33"/>
  <c r="AJ149" i="33"/>
  <c r="AH149" i="33"/>
  <c r="AF149" i="33"/>
  <c r="AD149" i="33"/>
  <c r="Z149" i="33"/>
  <c r="X149" i="33"/>
  <c r="F151" i="34"/>
  <c r="J151" i="34"/>
  <c r="AE151" i="34"/>
  <c r="Y149" i="33"/>
  <c r="AJ148" i="33"/>
  <c r="AH148" i="33"/>
  <c r="AF148" i="33"/>
  <c r="AD148" i="33"/>
  <c r="Z148" i="33"/>
  <c r="X148" i="33"/>
  <c r="F150" i="34"/>
  <c r="J150" i="34"/>
  <c r="AE150" i="34"/>
  <c r="AI148" i="33"/>
  <c r="AI147" i="33"/>
  <c r="AH147" i="33"/>
  <c r="AE147" i="33"/>
  <c r="AD147" i="33"/>
  <c r="Y147" i="33"/>
  <c r="X147" i="33"/>
  <c r="F149" i="34"/>
  <c r="J149" i="34"/>
  <c r="AF149" i="34"/>
  <c r="AJ147" i="33"/>
  <c r="AJ146" i="33"/>
  <c r="AI146" i="33"/>
  <c r="AF146" i="33"/>
  <c r="AE146" i="33"/>
  <c r="Z146" i="33"/>
  <c r="Y146" i="33"/>
  <c r="AH146" i="33"/>
  <c r="AJ145" i="33"/>
  <c r="AI145" i="33"/>
  <c r="AF145" i="33"/>
  <c r="AE145" i="33"/>
  <c r="Z145" i="33"/>
  <c r="Y145" i="33"/>
  <c r="Q145" i="33"/>
  <c r="AH145" i="33"/>
  <c r="AJ144" i="33"/>
  <c r="AH144" i="33"/>
  <c r="AF144" i="33"/>
  <c r="AD144" i="33"/>
  <c r="Z144" i="33"/>
  <c r="X144" i="33"/>
  <c r="Y144" i="33"/>
  <c r="AC144" i="33"/>
  <c r="F146" i="34"/>
  <c r="J146" i="34"/>
  <c r="AE146" i="34"/>
  <c r="AI144" i="33"/>
  <c r="AJ143" i="33"/>
  <c r="AH143" i="33"/>
  <c r="AF143" i="33"/>
  <c r="AD143" i="33"/>
  <c r="Z143" i="33"/>
  <c r="X143" i="33"/>
  <c r="F145" i="34"/>
  <c r="J145" i="34"/>
  <c r="AE145" i="34"/>
  <c r="Y143" i="33"/>
  <c r="AJ142" i="33"/>
  <c r="AI142" i="33"/>
  <c r="AH142" i="33"/>
  <c r="AF142" i="33"/>
  <c r="AE142" i="33"/>
  <c r="Z142" i="33"/>
  <c r="Y142" i="33"/>
  <c r="F144" i="34"/>
  <c r="J144" i="34"/>
  <c r="AD144" i="34"/>
  <c r="X142" i="33"/>
  <c r="AJ141" i="33"/>
  <c r="AI141" i="33"/>
  <c r="AF141" i="33"/>
  <c r="AE141" i="33"/>
  <c r="Z141" i="33"/>
  <c r="Y141" i="33"/>
  <c r="F143" i="34"/>
  <c r="J143" i="34"/>
  <c r="AD143" i="34"/>
  <c r="AH141" i="33"/>
  <c r="AJ140" i="33"/>
  <c r="AI140" i="33"/>
  <c r="AF140" i="33"/>
  <c r="AE140" i="33"/>
  <c r="Z140" i="33"/>
  <c r="Y140" i="33"/>
  <c r="F142" i="34"/>
  <c r="J142" i="34"/>
  <c r="AD142" i="34"/>
  <c r="X140" i="33"/>
  <c r="AJ139" i="33"/>
  <c r="AI139" i="33"/>
  <c r="AF139" i="33"/>
  <c r="AE139" i="33"/>
  <c r="Z139" i="33"/>
  <c r="Y139" i="33"/>
  <c r="F141" i="34"/>
  <c r="J141" i="34"/>
  <c r="AD141" i="34"/>
  <c r="AH139" i="33"/>
  <c r="AJ138" i="33"/>
  <c r="AI138" i="33"/>
  <c r="AF138" i="33"/>
  <c r="AE138" i="33"/>
  <c r="Z138" i="33"/>
  <c r="Y138" i="33"/>
  <c r="F140" i="34"/>
  <c r="J140" i="34"/>
  <c r="AD140" i="34"/>
  <c r="X138" i="33"/>
  <c r="AC138" i="33"/>
  <c r="AJ137" i="33"/>
  <c r="AI137" i="33"/>
  <c r="AF137" i="33"/>
  <c r="AE137" i="33"/>
  <c r="Z137" i="33"/>
  <c r="Y137" i="33"/>
  <c r="F139" i="34"/>
  <c r="J139" i="34"/>
  <c r="AD139" i="34"/>
  <c r="AH137" i="33"/>
  <c r="AJ136" i="33"/>
  <c r="AI136" i="33"/>
  <c r="AF136" i="33"/>
  <c r="AE136" i="33"/>
  <c r="Z136" i="33"/>
  <c r="Y136" i="33"/>
  <c r="X136" i="33"/>
  <c r="F138" i="34"/>
  <c r="J138" i="34"/>
  <c r="AD138" i="34"/>
  <c r="AH136" i="33"/>
  <c r="AJ135" i="33"/>
  <c r="AI135" i="33"/>
  <c r="AF135" i="33"/>
  <c r="AE135" i="33"/>
  <c r="Z135" i="33"/>
  <c r="Y135" i="33"/>
  <c r="X135" i="33"/>
  <c r="AC135" i="33"/>
  <c r="F137" i="34"/>
  <c r="J137" i="34"/>
  <c r="AD137" i="34"/>
  <c r="AH135" i="33"/>
  <c r="AJ134" i="33"/>
  <c r="AI134" i="33"/>
  <c r="AH134" i="33"/>
  <c r="AF134" i="33"/>
  <c r="AE134" i="33"/>
  <c r="Z134" i="33"/>
  <c r="Y134" i="33"/>
  <c r="F136" i="34"/>
  <c r="J136" i="34"/>
  <c r="AD136" i="34"/>
  <c r="X134" i="33"/>
  <c r="AJ133" i="33"/>
  <c r="AI133" i="33"/>
  <c r="AF133" i="33"/>
  <c r="AE133" i="33"/>
  <c r="Z133" i="33"/>
  <c r="Y133" i="33"/>
  <c r="F135" i="34"/>
  <c r="J135" i="34"/>
  <c r="AD135" i="34"/>
  <c r="AH133" i="33"/>
  <c r="AJ132" i="33"/>
  <c r="AH132" i="33"/>
  <c r="AF132" i="33"/>
  <c r="AD132" i="33"/>
  <c r="Z132" i="33"/>
  <c r="X132" i="33"/>
  <c r="Y132" i="33"/>
  <c r="AC132" i="33"/>
  <c r="AI132" i="33"/>
  <c r="AJ131" i="33"/>
  <c r="AI131" i="33"/>
  <c r="AF131" i="33"/>
  <c r="AE131" i="33"/>
  <c r="Z131" i="33"/>
  <c r="Y131" i="33"/>
  <c r="X131" i="33"/>
  <c r="AC131" i="33"/>
  <c r="AJ130" i="33"/>
  <c r="AH130" i="33"/>
  <c r="AF130" i="33"/>
  <c r="AD130" i="33"/>
  <c r="Z130" i="33"/>
  <c r="X130" i="33"/>
  <c r="F132" i="34"/>
  <c r="J132" i="34"/>
  <c r="AE132" i="34"/>
  <c r="AI130" i="33"/>
  <c r="AJ129" i="33"/>
  <c r="AH129" i="33"/>
  <c r="AF129" i="33"/>
  <c r="AD129" i="33"/>
  <c r="Z129" i="33"/>
  <c r="X129" i="33"/>
  <c r="F131" i="34"/>
  <c r="J131" i="34"/>
  <c r="AE131" i="34"/>
  <c r="Y129" i="33"/>
  <c r="AI128" i="33"/>
  <c r="AH128" i="33"/>
  <c r="AE128" i="33"/>
  <c r="AD128" i="33"/>
  <c r="Y128" i="33"/>
  <c r="X128" i="33"/>
  <c r="Z128" i="33"/>
  <c r="AJ127" i="33"/>
  <c r="AI127" i="33"/>
  <c r="AH127" i="33"/>
  <c r="AF127" i="33"/>
  <c r="AE127" i="33"/>
  <c r="Z127" i="33"/>
  <c r="Y127" i="33"/>
  <c r="X127" i="33"/>
  <c r="AC127" i="33"/>
  <c r="F129" i="34"/>
  <c r="J129" i="34"/>
  <c r="AD129" i="34"/>
  <c r="AJ126" i="33"/>
  <c r="AH126" i="33"/>
  <c r="AF126" i="33"/>
  <c r="AD126" i="33"/>
  <c r="Z126" i="33"/>
  <c r="X126" i="33"/>
  <c r="F127" i="34"/>
  <c r="J127" i="34"/>
  <c r="AE127" i="34"/>
  <c r="Y126" i="33"/>
  <c r="AJ125" i="33"/>
  <c r="AI125" i="33"/>
  <c r="AH125" i="33"/>
  <c r="AF125" i="33"/>
  <c r="AE125" i="33"/>
  <c r="Z125" i="33"/>
  <c r="Y125" i="33"/>
  <c r="X125" i="33"/>
  <c r="AC125" i="33"/>
  <c r="F126" i="34"/>
  <c r="J126" i="34"/>
  <c r="AD126" i="34"/>
  <c r="AJ124" i="33"/>
  <c r="AI124" i="33"/>
  <c r="AF124" i="33"/>
  <c r="AE124" i="33"/>
  <c r="Z124" i="33"/>
  <c r="Y124" i="33"/>
  <c r="F125" i="34"/>
  <c r="J125" i="34"/>
  <c r="AD125" i="34"/>
  <c r="AH124" i="33"/>
  <c r="AJ123" i="33"/>
  <c r="AI123" i="33"/>
  <c r="AF123" i="33"/>
  <c r="AE123" i="33"/>
  <c r="Z123" i="33"/>
  <c r="Y123" i="33"/>
  <c r="F124" i="34"/>
  <c r="J124" i="34"/>
  <c r="AD124" i="34"/>
  <c r="X123" i="33"/>
  <c r="AJ122" i="33"/>
  <c r="AI122" i="33"/>
  <c r="AF122" i="33"/>
  <c r="AE122" i="33"/>
  <c r="Z122" i="33"/>
  <c r="Y122" i="33"/>
  <c r="F123" i="34"/>
  <c r="J123" i="34"/>
  <c r="AD123" i="34"/>
  <c r="X122" i="33"/>
  <c r="AC122" i="33"/>
  <c r="AJ121" i="33"/>
  <c r="AI121" i="33"/>
  <c r="AF121" i="33"/>
  <c r="AE121" i="33"/>
  <c r="Z121" i="33"/>
  <c r="Y121" i="33"/>
  <c r="F122" i="34"/>
  <c r="J122" i="34"/>
  <c r="AD122" i="34"/>
  <c r="X121" i="33"/>
  <c r="AC121" i="33"/>
  <c r="AJ120" i="33"/>
  <c r="AI120" i="33"/>
  <c r="AF120" i="33"/>
  <c r="AE120" i="33"/>
  <c r="Z120" i="33"/>
  <c r="Y120" i="33"/>
  <c r="F121" i="34"/>
  <c r="J121" i="34"/>
  <c r="AD121" i="34"/>
  <c r="AH120" i="33"/>
  <c r="AJ119" i="33"/>
  <c r="AI119" i="33"/>
  <c r="AF119" i="33"/>
  <c r="AE119" i="33"/>
  <c r="Z119" i="33"/>
  <c r="Y119" i="33"/>
  <c r="F120" i="34"/>
  <c r="J120" i="34"/>
  <c r="AD120" i="34"/>
  <c r="X119" i="33"/>
  <c r="AJ118" i="33"/>
  <c r="AH118" i="33"/>
  <c r="AF118" i="33"/>
  <c r="AD118" i="33"/>
  <c r="Z118" i="33"/>
  <c r="X118" i="33"/>
  <c r="F119" i="34"/>
  <c r="J119" i="34"/>
  <c r="AE119" i="34"/>
  <c r="Y118" i="33"/>
  <c r="AJ117" i="33"/>
  <c r="AH117" i="33"/>
  <c r="AF117" i="33"/>
  <c r="AD117" i="33"/>
  <c r="Z117" i="33"/>
  <c r="X117" i="33"/>
  <c r="F118" i="34"/>
  <c r="J118" i="34"/>
  <c r="AE118" i="34"/>
  <c r="AI117" i="33"/>
  <c r="AJ116" i="33"/>
  <c r="AI116" i="33"/>
  <c r="AF116" i="33"/>
  <c r="AE116" i="33"/>
  <c r="Z116" i="33"/>
  <c r="Y116" i="33"/>
  <c r="F117" i="34"/>
  <c r="J117" i="34"/>
  <c r="AD117" i="34"/>
  <c r="AH116" i="33"/>
  <c r="AJ115" i="33"/>
  <c r="AI115" i="33"/>
  <c r="AF115" i="33"/>
  <c r="AE115" i="33"/>
  <c r="Z115" i="33"/>
  <c r="Y115" i="33"/>
  <c r="F116" i="34"/>
  <c r="J116" i="34"/>
  <c r="AD116" i="34"/>
  <c r="X115" i="33"/>
  <c r="AC115" i="33"/>
  <c r="AJ114" i="33"/>
  <c r="AI114" i="33"/>
  <c r="AF114" i="33"/>
  <c r="AE114" i="33"/>
  <c r="Z114" i="33"/>
  <c r="Y114" i="33"/>
  <c r="X114" i="33"/>
  <c r="F115" i="34"/>
  <c r="J115" i="34"/>
  <c r="AD115" i="34"/>
  <c r="AH114" i="33"/>
  <c r="AJ113" i="33"/>
  <c r="AI113" i="33"/>
  <c r="AF113" i="33"/>
  <c r="AE113" i="33"/>
  <c r="Z113" i="33"/>
  <c r="Y113" i="33"/>
  <c r="F114" i="34"/>
  <c r="J114" i="34"/>
  <c r="AD114" i="34"/>
  <c r="X113" i="33"/>
  <c r="AC113" i="33"/>
  <c r="AJ112" i="33"/>
  <c r="AI112" i="33"/>
  <c r="AF112" i="33"/>
  <c r="AE112" i="33"/>
  <c r="Z112" i="33"/>
  <c r="Y112" i="33"/>
  <c r="F113" i="34"/>
  <c r="J113" i="34"/>
  <c r="AD113" i="34"/>
  <c r="AH112" i="33"/>
  <c r="AJ111" i="33"/>
  <c r="AI111" i="33"/>
  <c r="AF111" i="33"/>
  <c r="AE111" i="33"/>
  <c r="Z111" i="33"/>
  <c r="Y111" i="33"/>
  <c r="F112" i="34"/>
  <c r="J112" i="34"/>
  <c r="AD112" i="34"/>
  <c r="X111" i="33"/>
  <c r="AC111" i="33"/>
  <c r="AJ110" i="33"/>
  <c r="AI110" i="33"/>
  <c r="AF110" i="33"/>
  <c r="AE110" i="33"/>
  <c r="Z110" i="33"/>
  <c r="Y110" i="33"/>
  <c r="X110" i="33"/>
  <c r="F111" i="34"/>
  <c r="J111" i="34"/>
  <c r="AD111" i="34"/>
  <c r="AH110" i="33"/>
  <c r="AJ109" i="33"/>
  <c r="AI109" i="33"/>
  <c r="AF109" i="33"/>
  <c r="AE109" i="33"/>
  <c r="Z109" i="33"/>
  <c r="Y109" i="33"/>
  <c r="F110" i="34"/>
  <c r="J110" i="34"/>
  <c r="AD110" i="34"/>
  <c r="X109" i="33"/>
  <c r="AC109" i="33"/>
  <c r="AJ108" i="33"/>
  <c r="AI108" i="33"/>
  <c r="AF108" i="33"/>
  <c r="AE108" i="33"/>
  <c r="Z108" i="33"/>
  <c r="Y108" i="33"/>
  <c r="F109" i="34"/>
  <c r="J109" i="34"/>
  <c r="AD109" i="34"/>
  <c r="AH108" i="33"/>
  <c r="AJ107" i="33"/>
  <c r="AI107" i="33"/>
  <c r="AH107" i="33"/>
  <c r="AF107" i="33"/>
  <c r="AE107" i="33"/>
  <c r="Z107" i="33"/>
  <c r="Y107" i="33"/>
  <c r="X107" i="33"/>
  <c r="AC107" i="33"/>
  <c r="F108" i="34"/>
  <c r="J108" i="34"/>
  <c r="AD108" i="34"/>
  <c r="AJ106" i="33"/>
  <c r="AI106" i="33"/>
  <c r="AF106" i="33"/>
  <c r="AE106" i="33"/>
  <c r="Z106" i="33"/>
  <c r="Y106" i="33"/>
  <c r="F107" i="34"/>
  <c r="J107" i="34"/>
  <c r="AD107" i="34"/>
  <c r="AH106" i="33"/>
  <c r="AJ105" i="33"/>
  <c r="AI105" i="33"/>
  <c r="AH105" i="33"/>
  <c r="AF105" i="33"/>
  <c r="AE105" i="33"/>
  <c r="Z105" i="33"/>
  <c r="Y105" i="33"/>
  <c r="F106" i="34"/>
  <c r="J106" i="34"/>
  <c r="AD106" i="34"/>
  <c r="X105" i="33"/>
  <c r="AJ104" i="33"/>
  <c r="AI104" i="33"/>
  <c r="AF104" i="33"/>
  <c r="AE104" i="33"/>
  <c r="Z104" i="33"/>
  <c r="Y104" i="33"/>
  <c r="F105" i="34"/>
  <c r="J105" i="34"/>
  <c r="AD105" i="34"/>
  <c r="AH104" i="33"/>
  <c r="AJ103" i="33"/>
  <c r="AI103" i="33"/>
  <c r="AF103" i="33"/>
  <c r="AE103" i="33"/>
  <c r="Z103" i="33"/>
  <c r="Y103" i="33"/>
  <c r="F104" i="34"/>
  <c r="J104" i="34"/>
  <c r="AD104" i="34"/>
  <c r="X103" i="33"/>
  <c r="AJ102" i="33"/>
  <c r="AI102" i="33"/>
  <c r="AF102" i="33"/>
  <c r="AE102" i="33"/>
  <c r="Z102" i="33"/>
  <c r="Y102" i="33"/>
  <c r="F103" i="34"/>
  <c r="J103" i="34"/>
  <c r="AD103" i="34"/>
  <c r="AH102" i="33"/>
  <c r="AJ101" i="33"/>
  <c r="AI101" i="33"/>
  <c r="AF101" i="33"/>
  <c r="AE101" i="33"/>
  <c r="Z101" i="33"/>
  <c r="Y101" i="33"/>
  <c r="F102" i="34"/>
  <c r="J102" i="34"/>
  <c r="AD102" i="34"/>
  <c r="X101" i="33"/>
  <c r="AC101" i="33"/>
  <c r="AJ100" i="33"/>
  <c r="AI100" i="33"/>
  <c r="AH100" i="33"/>
  <c r="AF100" i="33"/>
  <c r="AD100" i="33"/>
  <c r="Z100" i="33"/>
  <c r="X100" i="33"/>
  <c r="F101" i="34"/>
  <c r="J101" i="34"/>
  <c r="AE101" i="34"/>
  <c r="Y100" i="33"/>
  <c r="AJ99" i="33"/>
  <c r="AI99" i="33"/>
  <c r="AH99" i="33"/>
  <c r="AF99" i="33"/>
  <c r="AD99" i="33"/>
  <c r="Z99" i="33"/>
  <c r="Y99" i="33"/>
  <c r="X99" i="33"/>
  <c r="AC99" i="33"/>
  <c r="F100" i="34"/>
  <c r="J100" i="34"/>
  <c r="AE100" i="34"/>
  <c r="AJ98" i="33"/>
  <c r="AH98" i="33"/>
  <c r="AF98" i="33"/>
  <c r="AD98" i="33"/>
  <c r="Z98" i="33"/>
  <c r="X98" i="33"/>
  <c r="F99" i="34"/>
  <c r="J99" i="34"/>
  <c r="AE99" i="34"/>
  <c r="Y98" i="33"/>
  <c r="AJ97" i="33"/>
  <c r="AH97" i="33"/>
  <c r="AF97" i="33"/>
  <c r="AD97" i="33"/>
  <c r="Z97" i="33"/>
  <c r="X97" i="33"/>
  <c r="F98" i="34"/>
  <c r="J98" i="34"/>
  <c r="AE98" i="34"/>
  <c r="AI97" i="33"/>
  <c r="AJ96" i="33"/>
  <c r="AI96" i="33"/>
  <c r="AF96" i="33"/>
  <c r="AE96" i="33"/>
  <c r="Z96" i="33"/>
  <c r="Y96" i="33"/>
  <c r="X96" i="33"/>
  <c r="F97" i="34"/>
  <c r="J97" i="34"/>
  <c r="AD97" i="34"/>
  <c r="AH96" i="33"/>
  <c r="AJ95" i="33"/>
  <c r="AH95" i="33"/>
  <c r="AF95" i="33"/>
  <c r="AD95" i="33"/>
  <c r="Z95" i="33"/>
  <c r="X95" i="33"/>
  <c r="F96" i="34"/>
  <c r="J96" i="34"/>
  <c r="AE96" i="34"/>
  <c r="Y95" i="33"/>
  <c r="AC95" i="33"/>
  <c r="AJ94" i="33"/>
  <c r="AH94" i="33"/>
  <c r="AF94" i="33"/>
  <c r="AD94" i="33"/>
  <c r="Z94" i="33"/>
  <c r="X94" i="33"/>
  <c r="F95" i="34"/>
  <c r="J95" i="34"/>
  <c r="AE95" i="34"/>
  <c r="Y94" i="33"/>
  <c r="AI93" i="33"/>
  <c r="AH93" i="33"/>
  <c r="AE93" i="33"/>
  <c r="AD93" i="33"/>
  <c r="Y93" i="33"/>
  <c r="X93" i="33"/>
  <c r="F94" i="34"/>
  <c r="J94" i="34"/>
  <c r="AF94" i="34"/>
  <c r="Z93" i="33"/>
  <c r="AI92" i="33"/>
  <c r="AH92" i="33"/>
  <c r="AE92" i="33"/>
  <c r="AD92" i="33"/>
  <c r="Y92" i="33"/>
  <c r="X92" i="33"/>
  <c r="Z92" i="33"/>
  <c r="AC92" i="33"/>
  <c r="F93" i="34"/>
  <c r="J93" i="34"/>
  <c r="AF93" i="34"/>
  <c r="AJ92" i="33"/>
  <c r="AJ90" i="33"/>
  <c r="AI90" i="33"/>
  <c r="AH90" i="33"/>
  <c r="AF90" i="33"/>
  <c r="AE90" i="33"/>
  <c r="Z90" i="33"/>
  <c r="Y90" i="33"/>
  <c r="X90" i="33"/>
  <c r="AC90" i="33"/>
  <c r="F91" i="34"/>
  <c r="J91" i="34"/>
  <c r="AD91" i="34"/>
  <c r="AJ89" i="33"/>
  <c r="AI89" i="33"/>
  <c r="AF89" i="33"/>
  <c r="AE89" i="33"/>
  <c r="Z89" i="33"/>
  <c r="Y89" i="33"/>
  <c r="F90" i="34"/>
  <c r="J90" i="34"/>
  <c r="AD90" i="34"/>
  <c r="AH89" i="33"/>
  <c r="AJ88" i="33"/>
  <c r="AI88" i="33"/>
  <c r="AH88" i="33"/>
  <c r="AF88" i="33"/>
  <c r="AE88" i="33"/>
  <c r="Z88" i="33"/>
  <c r="Y88" i="33"/>
  <c r="F89" i="34"/>
  <c r="J89" i="34"/>
  <c r="AD89" i="34"/>
  <c r="X88" i="33"/>
  <c r="AJ87" i="33"/>
  <c r="AI87" i="33"/>
  <c r="AF87" i="33"/>
  <c r="AE87" i="33"/>
  <c r="Z87" i="33"/>
  <c r="Y87" i="33"/>
  <c r="F88" i="34"/>
  <c r="J88" i="34"/>
  <c r="AD88" i="34"/>
  <c r="AH87" i="33"/>
  <c r="AJ86" i="33"/>
  <c r="AI86" i="33"/>
  <c r="AF86" i="33"/>
  <c r="AE86" i="33"/>
  <c r="Z86" i="33"/>
  <c r="Y86" i="33"/>
  <c r="F87" i="34"/>
  <c r="J87" i="34"/>
  <c r="AD87" i="34"/>
  <c r="X86" i="33"/>
  <c r="AJ85" i="33"/>
  <c r="AI85" i="33"/>
  <c r="AF85" i="33"/>
  <c r="AE85" i="33"/>
  <c r="Z85" i="33"/>
  <c r="Y85" i="33"/>
  <c r="F86" i="34"/>
  <c r="J86" i="34"/>
  <c r="AD86" i="34"/>
  <c r="AH85" i="33"/>
  <c r="AJ84" i="33"/>
  <c r="AH84" i="33"/>
  <c r="AF84" i="33"/>
  <c r="AD84" i="33"/>
  <c r="Z84" i="33"/>
  <c r="X84" i="33"/>
  <c r="F85" i="34"/>
  <c r="J85" i="34"/>
  <c r="AE85" i="34"/>
  <c r="AI84" i="33"/>
  <c r="AJ83" i="33"/>
  <c r="AH83" i="33"/>
  <c r="AF83" i="33"/>
  <c r="AD83" i="33"/>
  <c r="Z83" i="33"/>
  <c r="X83" i="33"/>
  <c r="F84" i="34"/>
  <c r="J84" i="34"/>
  <c r="AE84" i="34"/>
  <c r="Y83" i="33"/>
  <c r="AJ82" i="33"/>
  <c r="AH82" i="33"/>
  <c r="AF82" i="33"/>
  <c r="AD82" i="33"/>
  <c r="Z82" i="33"/>
  <c r="X82" i="33"/>
  <c r="F83" i="34"/>
  <c r="J83" i="34"/>
  <c r="AE83" i="34"/>
  <c r="AI82" i="33"/>
  <c r="AJ81" i="33"/>
  <c r="AI81" i="33"/>
  <c r="AF81" i="33"/>
  <c r="AE81" i="33"/>
  <c r="Z81" i="33"/>
  <c r="Y81" i="33"/>
  <c r="X81" i="33"/>
  <c r="F82" i="34"/>
  <c r="J82" i="34"/>
  <c r="AD82" i="34"/>
  <c r="AH81" i="33"/>
  <c r="AJ80" i="33"/>
  <c r="AH80" i="33"/>
  <c r="AF80" i="33"/>
  <c r="AD80" i="33"/>
  <c r="Z80" i="33"/>
  <c r="X80" i="33"/>
  <c r="F81" i="34"/>
  <c r="J81" i="34"/>
  <c r="AE81" i="34"/>
  <c r="AI80" i="33"/>
  <c r="AJ79" i="33"/>
  <c r="AH79" i="33"/>
  <c r="AF79" i="33"/>
  <c r="AD79" i="33"/>
  <c r="Z79" i="33"/>
  <c r="X79" i="33"/>
  <c r="F80" i="34"/>
  <c r="J80" i="34"/>
  <c r="AE80" i="34"/>
  <c r="Y79" i="33"/>
  <c r="AJ78" i="33"/>
  <c r="AI78" i="33"/>
  <c r="AF78" i="33"/>
  <c r="AE78" i="33"/>
  <c r="Z78" i="33"/>
  <c r="Y78" i="33"/>
  <c r="X78" i="33"/>
  <c r="F79" i="34"/>
  <c r="J79" i="34"/>
  <c r="AD79" i="34"/>
  <c r="AH78" i="33"/>
  <c r="AJ77" i="33"/>
  <c r="AI77" i="33"/>
  <c r="AF77" i="33"/>
  <c r="AE77" i="33"/>
  <c r="Z77" i="33"/>
  <c r="Y77" i="33"/>
  <c r="F78" i="34"/>
  <c r="J78" i="34"/>
  <c r="AD78" i="34"/>
  <c r="AH77" i="33"/>
  <c r="AJ76" i="33"/>
  <c r="AI76" i="33"/>
  <c r="AH76" i="33"/>
  <c r="AF76" i="33"/>
  <c r="AE76" i="33"/>
  <c r="Z76" i="33"/>
  <c r="Y76" i="33"/>
  <c r="F77" i="34"/>
  <c r="J77" i="34"/>
  <c r="AD77" i="34"/>
  <c r="X76" i="33"/>
  <c r="AJ75" i="33"/>
  <c r="AH75" i="33"/>
  <c r="AF75" i="33"/>
  <c r="AD75" i="33"/>
  <c r="Z75" i="33"/>
  <c r="X75" i="33"/>
  <c r="F76" i="34"/>
  <c r="J76" i="34"/>
  <c r="AE76" i="34"/>
  <c r="Y75" i="33"/>
  <c r="AJ74" i="33"/>
  <c r="AI74" i="33"/>
  <c r="AH74" i="33"/>
  <c r="AF74" i="33"/>
  <c r="AE74" i="33"/>
  <c r="Z74" i="33"/>
  <c r="Y74" i="33"/>
  <c r="X74" i="33"/>
  <c r="AC74" i="33"/>
  <c r="F75" i="34"/>
  <c r="J75" i="34"/>
  <c r="AD75" i="34"/>
  <c r="AJ73" i="33"/>
  <c r="AI73" i="33"/>
  <c r="AF73" i="33"/>
  <c r="AE73" i="33"/>
  <c r="Z73" i="33"/>
  <c r="Y73" i="33"/>
  <c r="F74" i="34"/>
  <c r="J74" i="34"/>
  <c r="AD74" i="34"/>
  <c r="AH73" i="33"/>
  <c r="AJ72" i="33"/>
  <c r="AI72" i="33"/>
  <c r="AH72" i="33"/>
  <c r="AF72" i="33"/>
  <c r="AE72" i="33"/>
  <c r="Z72" i="33"/>
  <c r="Y72" i="33"/>
  <c r="F73" i="34"/>
  <c r="J73" i="34"/>
  <c r="AD73" i="34"/>
  <c r="X72" i="33"/>
  <c r="AJ71" i="33"/>
  <c r="AI71" i="33"/>
  <c r="AF71" i="33"/>
  <c r="AE71" i="33"/>
  <c r="Z71" i="33"/>
  <c r="Y71" i="33"/>
  <c r="F72" i="34"/>
  <c r="J72" i="34"/>
  <c r="AD72" i="34"/>
  <c r="AH71" i="33"/>
  <c r="AJ70" i="33"/>
  <c r="AI70" i="33"/>
  <c r="AF70" i="33"/>
  <c r="AE70" i="33"/>
  <c r="Z70" i="33"/>
  <c r="Y70" i="33"/>
  <c r="F71" i="34"/>
  <c r="J71" i="34"/>
  <c r="AD71" i="34"/>
  <c r="X70" i="33"/>
  <c r="AJ69" i="33"/>
  <c r="AI69" i="33"/>
  <c r="AF69" i="33"/>
  <c r="AE69" i="33"/>
  <c r="Z69" i="33"/>
  <c r="Y69" i="33"/>
  <c r="F70" i="34"/>
  <c r="J70" i="34"/>
  <c r="AD70" i="34"/>
  <c r="AH69" i="33"/>
  <c r="AJ68" i="33"/>
  <c r="AI68" i="33"/>
  <c r="AF68" i="33"/>
  <c r="AE68" i="33"/>
  <c r="Z68" i="33"/>
  <c r="Y68" i="33"/>
  <c r="F69" i="34"/>
  <c r="J69" i="34"/>
  <c r="AD69" i="34"/>
  <c r="X68" i="33"/>
  <c r="AC68" i="33"/>
  <c r="AJ67" i="33"/>
  <c r="AI67" i="33"/>
  <c r="AF67" i="33"/>
  <c r="AE67" i="33"/>
  <c r="Z67" i="33"/>
  <c r="Y67" i="33"/>
  <c r="F68" i="34"/>
  <c r="J68" i="34"/>
  <c r="AD68" i="34"/>
  <c r="AH67" i="33"/>
  <c r="AJ66" i="33"/>
  <c r="AI66" i="33"/>
  <c r="AF66" i="33"/>
  <c r="AE66" i="33"/>
  <c r="Z66" i="33"/>
  <c r="Y66" i="33"/>
  <c r="X66" i="33"/>
  <c r="AC66" i="33"/>
  <c r="F67" i="34"/>
  <c r="J67" i="34"/>
  <c r="AD67" i="34"/>
  <c r="AH66" i="33"/>
  <c r="AJ65" i="33"/>
  <c r="AI65" i="33"/>
  <c r="AF65" i="33"/>
  <c r="AE65" i="33"/>
  <c r="Z65" i="33"/>
  <c r="Y65" i="33"/>
  <c r="X65" i="33"/>
  <c r="AC65" i="33"/>
  <c r="F66" i="34"/>
  <c r="J66" i="34"/>
  <c r="AD66" i="34"/>
  <c r="AH65" i="33"/>
  <c r="AJ64" i="33"/>
  <c r="AI64" i="33"/>
  <c r="AF64" i="33"/>
  <c r="AE64" i="33"/>
  <c r="Z64" i="33"/>
  <c r="Y64" i="33"/>
  <c r="F65" i="34"/>
  <c r="J65" i="34"/>
  <c r="AD65" i="34"/>
  <c r="X64" i="33"/>
  <c r="AC64" i="33"/>
  <c r="AJ63" i="33"/>
  <c r="AI63" i="33"/>
  <c r="AF63" i="33"/>
  <c r="AE63" i="33"/>
  <c r="Z63" i="33"/>
  <c r="Y63" i="33"/>
  <c r="X63" i="33"/>
  <c r="F64" i="34"/>
  <c r="J64" i="34"/>
  <c r="AD64" i="34"/>
  <c r="AH63" i="33"/>
  <c r="AJ62" i="33"/>
  <c r="AI62" i="33"/>
  <c r="AF62" i="33"/>
  <c r="AE62" i="33"/>
  <c r="Z62" i="33"/>
  <c r="Y62" i="33"/>
  <c r="F63" i="34"/>
  <c r="J63" i="34"/>
  <c r="AD63" i="34"/>
  <c r="X62" i="33"/>
  <c r="AC62" i="33"/>
  <c r="AH62" i="33"/>
  <c r="AI61" i="33"/>
  <c r="AH61" i="33"/>
  <c r="AE61" i="33"/>
  <c r="AD61" i="33"/>
  <c r="Y61" i="33"/>
  <c r="X61" i="33"/>
  <c r="F62" i="34"/>
  <c r="J62" i="34"/>
  <c r="AF62" i="34"/>
  <c r="AJ61" i="33"/>
  <c r="AJ60" i="33"/>
  <c r="AH60" i="33"/>
  <c r="AF60" i="33"/>
  <c r="AD60" i="33"/>
  <c r="Z60" i="33"/>
  <c r="X60" i="33"/>
  <c r="F61" i="34"/>
  <c r="J61" i="34"/>
  <c r="AE61" i="34"/>
  <c r="Y60" i="33"/>
  <c r="AC60" i="33"/>
  <c r="AJ59" i="33"/>
  <c r="AH59" i="33"/>
  <c r="AF59" i="33"/>
  <c r="AD59" i="33"/>
  <c r="Z59" i="33"/>
  <c r="X59" i="33"/>
  <c r="F60" i="34"/>
  <c r="J60" i="34"/>
  <c r="AE60" i="34"/>
  <c r="Y59" i="33"/>
  <c r="AC59" i="33"/>
  <c r="AI58" i="33"/>
  <c r="AH58" i="33"/>
  <c r="AE58" i="33"/>
  <c r="AD58" i="33"/>
  <c r="Y58" i="33"/>
  <c r="X58" i="33"/>
  <c r="X16" i="33"/>
  <c r="X17" i="33"/>
  <c r="X18" i="33"/>
  <c r="X19" i="33"/>
  <c r="X20" i="33"/>
  <c r="X21" i="33"/>
  <c r="X22" i="33"/>
  <c r="X23" i="33"/>
  <c r="X24" i="33"/>
  <c r="X25" i="33"/>
  <c r="X26" i="33"/>
  <c r="X27" i="33"/>
  <c r="X28" i="33"/>
  <c r="X29" i="33"/>
  <c r="X30" i="33"/>
  <c r="X31" i="33"/>
  <c r="X32" i="33"/>
  <c r="X33" i="33"/>
  <c r="X34" i="33"/>
  <c r="X35" i="33"/>
  <c r="X36" i="33"/>
  <c r="X37" i="33"/>
  <c r="X38" i="33"/>
  <c r="X39" i="33"/>
  <c r="X40" i="33"/>
  <c r="X41" i="33"/>
  <c r="X42" i="33"/>
  <c r="X43" i="33"/>
  <c r="X44" i="33"/>
  <c r="X45" i="33"/>
  <c r="X46" i="33"/>
  <c r="X47" i="33"/>
  <c r="X48" i="33"/>
  <c r="X49" i="33"/>
  <c r="X50" i="33"/>
  <c r="X51" i="33"/>
  <c r="X52" i="33"/>
  <c r="X53" i="33"/>
  <c r="X54" i="33"/>
  <c r="X55" i="33"/>
  <c r="X56" i="33"/>
  <c r="X57" i="33"/>
  <c r="X67" i="33"/>
  <c r="X69" i="33"/>
  <c r="X71" i="33"/>
  <c r="X73" i="33"/>
  <c r="X77" i="33"/>
  <c r="X85" i="33"/>
  <c r="X87" i="33"/>
  <c r="X89" i="33"/>
  <c r="X102" i="33"/>
  <c r="X104" i="33"/>
  <c r="X106" i="33"/>
  <c r="X108" i="33"/>
  <c r="X112" i="33"/>
  <c r="X116" i="33"/>
  <c r="X120" i="33"/>
  <c r="X124" i="33"/>
  <c r="X133" i="33"/>
  <c r="X137" i="33"/>
  <c r="X139" i="33"/>
  <c r="X141" i="33"/>
  <c r="X145" i="33"/>
  <c r="X146" i="33"/>
  <c r="X153" i="33"/>
  <c r="X168" i="33"/>
  <c r="X170" i="33"/>
  <c r="X172" i="33"/>
  <c r="X174" i="33"/>
  <c r="X175" i="33"/>
  <c r="X181" i="33"/>
  <c r="X184" i="33"/>
  <c r="X186" i="33"/>
  <c r="X190" i="33"/>
  <c r="X194" i="33"/>
  <c r="X196" i="33"/>
  <c r="X198" i="33"/>
  <c r="X208" i="33"/>
  <c r="X213" i="33"/>
  <c r="X217" i="33"/>
  <c r="X225" i="33"/>
  <c r="X229" i="33"/>
  <c r="X230" i="33"/>
  <c r="F59" i="34"/>
  <c r="J59" i="34"/>
  <c r="AD59" i="34"/>
  <c r="AF59" i="34"/>
  <c r="Z58" i="33"/>
  <c r="AJ57" i="33"/>
  <c r="AH57" i="33"/>
  <c r="AF57" i="33"/>
  <c r="AD57" i="33"/>
  <c r="Z57" i="33"/>
  <c r="Y57" i="33"/>
  <c r="AC57" i="33"/>
  <c r="F58" i="34"/>
  <c r="J58" i="34"/>
  <c r="AE58" i="34"/>
  <c r="AJ56" i="33"/>
  <c r="AI56" i="33"/>
  <c r="AF56" i="33"/>
  <c r="AE56" i="33"/>
  <c r="Z56" i="33"/>
  <c r="Y56" i="33"/>
  <c r="F57" i="34"/>
  <c r="J57" i="34"/>
  <c r="AD57" i="34"/>
  <c r="AH56" i="33"/>
  <c r="AJ55" i="33"/>
  <c r="AI55" i="33"/>
  <c r="AF55" i="33"/>
  <c r="AE55" i="33"/>
  <c r="Z55" i="33"/>
  <c r="Y55" i="33"/>
  <c r="AC55" i="33"/>
  <c r="F56" i="34"/>
  <c r="J56" i="34"/>
  <c r="AD56" i="34"/>
  <c r="AH55" i="33"/>
  <c r="AJ54" i="33"/>
  <c r="AI54" i="33"/>
  <c r="AH54" i="33"/>
  <c r="AF54" i="33"/>
  <c r="AD54" i="33"/>
  <c r="AL54" i="33"/>
  <c r="Z54" i="33"/>
  <c r="Y54" i="33"/>
  <c r="AC54" i="33"/>
  <c r="F55" i="34"/>
  <c r="J55" i="34"/>
  <c r="AE55" i="34"/>
  <c r="AJ53" i="33"/>
  <c r="AH53" i="33"/>
  <c r="AF53" i="33"/>
  <c r="AD53" i="33"/>
  <c r="Z53" i="33"/>
  <c r="F54" i="34"/>
  <c r="J54" i="34"/>
  <c r="AE54" i="34"/>
  <c r="AI53" i="33"/>
  <c r="AJ52" i="33"/>
  <c r="AH52" i="33"/>
  <c r="AF52" i="33"/>
  <c r="AD52" i="33"/>
  <c r="Z52" i="33"/>
  <c r="F53" i="34"/>
  <c r="J53" i="34"/>
  <c r="AE53" i="34"/>
  <c r="AI52" i="33"/>
  <c r="AJ51" i="33"/>
  <c r="AH51" i="33"/>
  <c r="AF51" i="33"/>
  <c r="AD51" i="33"/>
  <c r="Z51" i="33"/>
  <c r="F52" i="34"/>
  <c r="J52" i="34"/>
  <c r="AE52" i="34"/>
  <c r="Y51" i="33"/>
  <c r="AJ50" i="33"/>
  <c r="AI50" i="33"/>
  <c r="AF50" i="33"/>
  <c r="AE50" i="33"/>
  <c r="Z50" i="33"/>
  <c r="Y50" i="33"/>
  <c r="F51" i="34"/>
  <c r="J51" i="34"/>
  <c r="AD51" i="34"/>
  <c r="AC50" i="33"/>
  <c r="AJ49" i="33"/>
  <c r="AI49" i="33"/>
  <c r="AF49" i="33"/>
  <c r="AE49" i="33"/>
  <c r="Z49" i="33"/>
  <c r="Y49" i="33"/>
  <c r="F50" i="34"/>
  <c r="J50" i="34"/>
  <c r="AD50" i="34"/>
  <c r="AH49" i="33"/>
  <c r="AJ48" i="33"/>
  <c r="AI48" i="33"/>
  <c r="AF48" i="33"/>
  <c r="AE48" i="33"/>
  <c r="Z48" i="33"/>
  <c r="Y48" i="33"/>
  <c r="F49" i="34"/>
  <c r="J49" i="34"/>
  <c r="AD49" i="34"/>
  <c r="AC48" i="33"/>
  <c r="AJ47" i="33"/>
  <c r="AH47" i="33"/>
  <c r="AF47" i="33"/>
  <c r="AD47" i="33"/>
  <c r="Z47" i="33"/>
  <c r="F48" i="34"/>
  <c r="J48" i="34"/>
  <c r="AE48" i="34"/>
  <c r="Y47" i="33"/>
  <c r="AJ46" i="33"/>
  <c r="AI46" i="33"/>
  <c r="AF46" i="33"/>
  <c r="AE46" i="33"/>
  <c r="Z46" i="33"/>
  <c r="Y46" i="33"/>
  <c r="F47" i="34"/>
  <c r="J47" i="34"/>
  <c r="AD47" i="34"/>
  <c r="AC46" i="33"/>
  <c r="AJ45" i="33"/>
  <c r="AI45" i="33"/>
  <c r="AF45" i="33"/>
  <c r="AE45" i="33"/>
  <c r="Z45" i="33"/>
  <c r="Y45" i="33"/>
  <c r="F46" i="34"/>
  <c r="J46" i="34"/>
  <c r="AD46" i="34"/>
  <c r="AH45" i="33"/>
  <c r="AJ44" i="33"/>
  <c r="AH44" i="33"/>
  <c r="AF44" i="33"/>
  <c r="AD44" i="33"/>
  <c r="Z44" i="33"/>
  <c r="F45" i="34"/>
  <c r="J45" i="34"/>
  <c r="AE45" i="34"/>
  <c r="AI44" i="33"/>
  <c r="AJ43" i="33"/>
  <c r="AI43" i="33"/>
  <c r="AF43" i="33"/>
  <c r="AE43" i="33"/>
  <c r="Z43" i="33"/>
  <c r="Y43" i="33"/>
  <c r="AC43" i="33"/>
  <c r="AH43" i="33"/>
  <c r="AJ42" i="33"/>
  <c r="AI42" i="33"/>
  <c r="AF42" i="33"/>
  <c r="AE42" i="33"/>
  <c r="Z42" i="33"/>
  <c r="Y42" i="33"/>
  <c r="AH42" i="33"/>
  <c r="AI41" i="33"/>
  <c r="AH41" i="33"/>
  <c r="AE41" i="33"/>
  <c r="AD41" i="33"/>
  <c r="Y41" i="33"/>
  <c r="Z41" i="33"/>
  <c r="AC41" i="33"/>
  <c r="F42" i="34"/>
  <c r="J42" i="34"/>
  <c r="AF42" i="34"/>
  <c r="AJ40" i="33"/>
  <c r="AI40" i="33"/>
  <c r="AF40" i="33"/>
  <c r="AE40" i="33"/>
  <c r="Z40" i="33"/>
  <c r="Y40" i="33"/>
  <c r="F40" i="34"/>
  <c r="J40" i="34"/>
  <c r="AD40" i="34"/>
  <c r="AH40" i="33"/>
  <c r="AJ39" i="33"/>
  <c r="AI39" i="33"/>
  <c r="AF39" i="33"/>
  <c r="AE39" i="33"/>
  <c r="Z39" i="33"/>
  <c r="Y39" i="33"/>
  <c r="F39" i="34"/>
  <c r="J39" i="34"/>
  <c r="AD39" i="34"/>
  <c r="AC39" i="33"/>
  <c r="AJ38" i="33"/>
  <c r="AI38" i="33"/>
  <c r="AF38" i="33"/>
  <c r="AE38" i="33"/>
  <c r="Z38" i="33"/>
  <c r="Y38" i="33"/>
  <c r="F38" i="34"/>
  <c r="J38" i="34"/>
  <c r="AD38" i="34"/>
  <c r="AH38" i="33"/>
  <c r="AJ37" i="33"/>
  <c r="AI37" i="33"/>
  <c r="AF37" i="33"/>
  <c r="AE37" i="33"/>
  <c r="Z37" i="33"/>
  <c r="Y37" i="33"/>
  <c r="F37" i="34"/>
  <c r="J37" i="34"/>
  <c r="AD37" i="34"/>
  <c r="AH37" i="33"/>
  <c r="AJ36" i="33"/>
  <c r="AI36" i="33"/>
  <c r="AF36" i="33"/>
  <c r="AE36" i="33"/>
  <c r="Z36" i="33"/>
  <c r="Y36" i="33"/>
  <c r="F36" i="34"/>
  <c r="J36" i="34"/>
  <c r="AD36" i="34"/>
  <c r="AH36" i="33"/>
  <c r="AJ35" i="33"/>
  <c r="AI35" i="33"/>
  <c r="AF35" i="33"/>
  <c r="AE35" i="33"/>
  <c r="Z35" i="33"/>
  <c r="Y35" i="33"/>
  <c r="F35" i="34"/>
  <c r="J35" i="34"/>
  <c r="AD35" i="34"/>
  <c r="AC35" i="33"/>
  <c r="AJ34" i="33"/>
  <c r="AI34" i="33"/>
  <c r="AF34" i="33"/>
  <c r="AE34" i="33"/>
  <c r="Z34" i="33"/>
  <c r="Y34" i="33"/>
  <c r="F34" i="34"/>
  <c r="J34" i="34"/>
  <c r="AD34" i="34"/>
  <c r="AH34" i="33"/>
  <c r="AJ33" i="33"/>
  <c r="AI33" i="33"/>
  <c r="AF33" i="33"/>
  <c r="AE33" i="33"/>
  <c r="Z33" i="33"/>
  <c r="Y33" i="33"/>
  <c r="F33" i="34"/>
  <c r="J33" i="34"/>
  <c r="AD33" i="34"/>
  <c r="AJ32" i="33"/>
  <c r="AI32" i="33"/>
  <c r="AF32" i="33"/>
  <c r="AE32" i="33"/>
  <c r="Z32" i="33"/>
  <c r="Y32" i="33"/>
  <c r="F32" i="34"/>
  <c r="J32" i="34"/>
  <c r="AD32" i="34"/>
  <c r="AJ31" i="33"/>
  <c r="AI31" i="33"/>
  <c r="AF31" i="33"/>
  <c r="AE31" i="33"/>
  <c r="Z31" i="33"/>
  <c r="Y31" i="33"/>
  <c r="F31" i="34"/>
  <c r="J31" i="34"/>
  <c r="AD31" i="34"/>
  <c r="AJ30" i="33"/>
  <c r="AI30" i="33"/>
  <c r="AF30" i="33"/>
  <c r="AE30" i="33"/>
  <c r="Z30" i="33"/>
  <c r="Y30" i="33"/>
  <c r="F30" i="34"/>
  <c r="J30" i="34"/>
  <c r="AD30" i="34"/>
  <c r="AH30" i="33"/>
  <c r="AJ29" i="33"/>
  <c r="AH29" i="33"/>
  <c r="AF29" i="33"/>
  <c r="AD29" i="33"/>
  <c r="Z29" i="33"/>
  <c r="Y29" i="33"/>
  <c r="AC29" i="33"/>
  <c r="F29" i="34"/>
  <c r="J29" i="34"/>
  <c r="AE29" i="34"/>
  <c r="AI29" i="33"/>
  <c r="AJ28" i="33"/>
  <c r="AI28" i="33"/>
  <c r="AF28" i="33"/>
  <c r="AE28" i="33"/>
  <c r="Z28" i="33"/>
  <c r="Y28" i="33"/>
  <c r="AC28" i="33"/>
  <c r="F28" i="34"/>
  <c r="J28" i="34"/>
  <c r="AD28" i="34"/>
  <c r="AH28" i="33"/>
  <c r="AJ27" i="33"/>
  <c r="AI27" i="33"/>
  <c r="AF27" i="33"/>
  <c r="AE27" i="33"/>
  <c r="Z27" i="33"/>
  <c r="Y27" i="33"/>
  <c r="F27" i="34"/>
  <c r="J27" i="34"/>
  <c r="AD27" i="34"/>
  <c r="AC27" i="33"/>
  <c r="AH27" i="33"/>
  <c r="AJ26" i="33"/>
  <c r="AI26" i="33"/>
  <c r="AF26" i="33"/>
  <c r="AE26" i="33"/>
  <c r="Z26" i="33"/>
  <c r="Y26" i="33"/>
  <c r="F26" i="34"/>
  <c r="J26" i="34"/>
  <c r="AD26" i="34"/>
  <c r="AH26" i="33"/>
  <c r="AJ25" i="33"/>
  <c r="AH25" i="33"/>
  <c r="AF25" i="33"/>
  <c r="AD25" i="33"/>
  <c r="Z25" i="33"/>
  <c r="F25" i="34"/>
  <c r="J25" i="34"/>
  <c r="AE25" i="34"/>
  <c r="Y25" i="33"/>
  <c r="AJ24" i="33"/>
  <c r="AI24" i="33"/>
  <c r="AF24" i="33"/>
  <c r="AE24" i="33"/>
  <c r="Z24" i="33"/>
  <c r="Y24" i="33"/>
  <c r="F24" i="34"/>
  <c r="J24" i="34"/>
  <c r="AD24" i="34"/>
  <c r="AH24" i="33"/>
  <c r="AJ23" i="33"/>
  <c r="AI23" i="33"/>
  <c r="AF23" i="33"/>
  <c r="AE23" i="33"/>
  <c r="Z23" i="33"/>
  <c r="Y23" i="33"/>
  <c r="F23" i="34"/>
  <c r="J23" i="34"/>
  <c r="AD23" i="34"/>
  <c r="AC23" i="33"/>
  <c r="AJ22" i="33"/>
  <c r="AI22" i="33"/>
  <c r="AF22" i="33"/>
  <c r="AE22" i="33"/>
  <c r="Z22" i="33"/>
  <c r="Y22" i="33"/>
  <c r="F22" i="34"/>
  <c r="J22" i="34"/>
  <c r="AD22" i="34"/>
  <c r="AC22" i="33"/>
  <c r="AJ21" i="33"/>
  <c r="AI21" i="33"/>
  <c r="AF21" i="33"/>
  <c r="AE21" i="33"/>
  <c r="Z21" i="33"/>
  <c r="Y21" i="33"/>
  <c r="F21" i="34"/>
  <c r="J21" i="34"/>
  <c r="AD21" i="34"/>
  <c r="AC21" i="33"/>
  <c r="AJ20" i="33"/>
  <c r="AH20" i="33"/>
  <c r="AF20" i="33"/>
  <c r="AD20" i="33"/>
  <c r="Z20" i="33"/>
  <c r="F20" i="34"/>
  <c r="J20" i="34"/>
  <c r="AE20" i="34"/>
  <c r="Y20" i="33"/>
  <c r="AJ19" i="33"/>
  <c r="AH19" i="33"/>
  <c r="AF19" i="33"/>
  <c r="AD19" i="33"/>
  <c r="Z19" i="33"/>
  <c r="F19" i="34"/>
  <c r="J19" i="34"/>
  <c r="AE19" i="34"/>
  <c r="AI19" i="33"/>
  <c r="AJ18" i="33"/>
  <c r="AH18" i="33"/>
  <c r="AF18" i="33"/>
  <c r="AD18" i="33"/>
  <c r="Z18" i="33"/>
  <c r="F18" i="34"/>
  <c r="J18" i="34"/>
  <c r="AE18" i="34"/>
  <c r="AI18" i="33"/>
  <c r="AJ17" i="33"/>
  <c r="AI17" i="33"/>
  <c r="AF17" i="33"/>
  <c r="AE17" i="33"/>
  <c r="Z17" i="33"/>
  <c r="Y17" i="33"/>
  <c r="F17" i="34"/>
  <c r="J17" i="34"/>
  <c r="AD17" i="34"/>
  <c r="AJ16" i="33"/>
  <c r="AI16" i="33"/>
  <c r="AH16" i="33"/>
  <c r="AF16" i="33"/>
  <c r="AD16" i="33"/>
  <c r="Z16" i="33"/>
  <c r="F16" i="34"/>
  <c r="Y16" i="33"/>
  <c r="AC16" i="33"/>
  <c r="T212" i="31"/>
  <c r="Y191" i="33"/>
  <c r="AC191" i="33"/>
  <c r="Y130" i="33"/>
  <c r="AC130" i="33"/>
  <c r="Y156" i="33"/>
  <c r="AC156" i="33"/>
  <c r="AH35" i="33"/>
  <c r="AJ58" i="33"/>
  <c r="AH111" i="33"/>
  <c r="AH115" i="33"/>
  <c r="Y19" i="33"/>
  <c r="AC19" i="33"/>
  <c r="AI20" i="33"/>
  <c r="AH23" i="33"/>
  <c r="AH39" i="33"/>
  <c r="Y44" i="33"/>
  <c r="AC44" i="33"/>
  <c r="AI47" i="33"/>
  <c r="AH50" i="33"/>
  <c r="AI59" i="33"/>
  <c r="AC63" i="33"/>
  <c r="AC70" i="33"/>
  <c r="AH70" i="33"/>
  <c r="AC79" i="33"/>
  <c r="Y82" i="33"/>
  <c r="AC82" i="33"/>
  <c r="AC86" i="33"/>
  <c r="AH86" i="33"/>
  <c r="AC96" i="33"/>
  <c r="Y97" i="33"/>
  <c r="AC97" i="33"/>
  <c r="AC103" i="33"/>
  <c r="AH103" i="33"/>
  <c r="AC110" i="33"/>
  <c r="AC114" i="33"/>
  <c r="AI118" i="33"/>
  <c r="AC123" i="33"/>
  <c r="AH123" i="33"/>
  <c r="AC140" i="33"/>
  <c r="AH140" i="33"/>
  <c r="Y148" i="33"/>
  <c r="AC148" i="33"/>
  <c r="AI182" i="33"/>
  <c r="Y195" i="33"/>
  <c r="AC195" i="33"/>
  <c r="Y201" i="33"/>
  <c r="AC201" i="33"/>
  <c r="Y203" i="33"/>
  <c r="AC203" i="33"/>
  <c r="Y214" i="33"/>
  <c r="AC214" i="33"/>
  <c r="AC216" i="33"/>
  <c r="AH216" i="33"/>
  <c r="Y220" i="33"/>
  <c r="AC220" i="33"/>
  <c r="AC20" i="33"/>
  <c r="AJ41" i="33"/>
  <c r="AC47" i="33"/>
  <c r="AI51" i="33"/>
  <c r="AH64" i="33"/>
  <c r="AC75" i="33"/>
  <c r="AC76" i="33"/>
  <c r="Y80" i="33"/>
  <c r="AC80" i="33"/>
  <c r="AJ93" i="33"/>
  <c r="AC94" i="33"/>
  <c r="AI95" i="33"/>
  <c r="AH101" i="33"/>
  <c r="AC108" i="33"/>
  <c r="AC112" i="33"/>
  <c r="AC119" i="33"/>
  <c r="AH119" i="33"/>
  <c r="AH121" i="33"/>
  <c r="AC128" i="33"/>
  <c r="AC129" i="33"/>
  <c r="AI143" i="33"/>
  <c r="AJ154" i="33"/>
  <c r="AC155" i="33"/>
  <c r="AH158" i="33"/>
  <c r="AC169" i="33"/>
  <c r="AH169" i="33"/>
  <c r="AH171" i="33"/>
  <c r="AH173" i="33"/>
  <c r="AC183" i="33"/>
  <c r="AJ183" i="33"/>
  <c r="AC186" i="33"/>
  <c r="Y187" i="33"/>
  <c r="AC187" i="33"/>
  <c r="Y193" i="33"/>
  <c r="AC193" i="33"/>
  <c r="AH197" i="33"/>
  <c r="AI206" i="33"/>
  <c r="AJ207" i="33"/>
  <c r="AH210" i="33"/>
  <c r="AH212" i="33"/>
  <c r="AI221" i="33"/>
  <c r="AC222" i="33"/>
  <c r="AC223" i="33"/>
  <c r="AJ228" i="33"/>
  <c r="AH21" i="33"/>
  <c r="AC24" i="33"/>
  <c r="AC40" i="33"/>
  <c r="AH48" i="33"/>
  <c r="AC51" i="33"/>
  <c r="Y52" i="33"/>
  <c r="AC52" i="33"/>
  <c r="AH68" i="33"/>
  <c r="AC72" i="33"/>
  <c r="AC78" i="33"/>
  <c r="Y84" i="33"/>
  <c r="AC84" i="33"/>
  <c r="AC88" i="33"/>
  <c r="AC93" i="33"/>
  <c r="AC105" i="33"/>
  <c r="AH109" i="33"/>
  <c r="AH113" i="33"/>
  <c r="Y117" i="33"/>
  <c r="AC117" i="33"/>
  <c r="AC134" i="33"/>
  <c r="AC136" i="33"/>
  <c r="AH138" i="33"/>
  <c r="AC142" i="33"/>
  <c r="AI149" i="33"/>
  <c r="AC150" i="33"/>
  <c r="AC152" i="33"/>
  <c r="AC153" i="33"/>
  <c r="AC154" i="33"/>
  <c r="AC161" i="33"/>
  <c r="Y167" i="33"/>
  <c r="AC167" i="33"/>
  <c r="AH176" i="33"/>
  <c r="AH178" i="33"/>
  <c r="Y185" i="33"/>
  <c r="AC185" i="33"/>
  <c r="AC189" i="33"/>
  <c r="AC190" i="33"/>
  <c r="AC204" i="33"/>
  <c r="AC207" i="33"/>
  <c r="AC217" i="33"/>
  <c r="Y218" i="33"/>
  <c r="AC218" i="33"/>
  <c r="AH226" i="33"/>
  <c r="AL183" i="33"/>
  <c r="AH225" i="33"/>
  <c r="AC225" i="33"/>
  <c r="E230" i="33"/>
  <c r="AC124" i="33"/>
  <c r="AC126" i="33"/>
  <c r="AC137" i="33"/>
  <c r="AC139" i="33"/>
  <c r="Z147" i="33"/>
  <c r="AC147" i="33"/>
  <c r="Z151" i="33"/>
  <c r="AC151" i="33"/>
  <c r="AC159" i="33"/>
  <c r="AC160" i="33"/>
  <c r="AC175" i="33"/>
  <c r="AC177" i="33"/>
  <c r="AC181" i="33"/>
  <c r="AC192" i="33"/>
  <c r="AC194" i="33"/>
  <c r="AC208" i="33"/>
  <c r="AC209" i="33"/>
  <c r="AC228" i="33"/>
  <c r="Y18" i="33"/>
  <c r="AC18" i="33"/>
  <c r="Y53" i="33"/>
  <c r="AC53" i="33"/>
  <c r="AC56" i="33"/>
  <c r="AC71" i="33"/>
  <c r="AC73" i="33"/>
  <c r="AC77" i="33"/>
  <c r="AI83" i="33"/>
  <c r="AC87" i="33"/>
  <c r="AC89" i="33"/>
  <c r="AI98" i="33"/>
  <c r="AC100" i="33"/>
  <c r="AC104" i="33"/>
  <c r="AC106" i="33"/>
  <c r="AC118" i="33"/>
  <c r="AC120" i="33"/>
  <c r="AI129" i="33"/>
  <c r="AC133" i="33"/>
  <c r="AC149" i="33"/>
  <c r="AI155" i="33"/>
  <c r="AI166" i="33"/>
  <c r="AC170" i="33"/>
  <c r="AC172" i="33"/>
  <c r="AC174" i="33"/>
  <c r="AI202" i="33"/>
  <c r="AI204" i="33"/>
  <c r="Z215" i="33"/>
  <c r="AC219" i="33"/>
  <c r="AC221" i="33"/>
  <c r="AI223" i="33"/>
  <c r="AC26" i="33"/>
  <c r="AC42" i="33"/>
  <c r="AC45" i="33"/>
  <c r="AC49" i="33"/>
  <c r="AI57" i="33"/>
  <c r="Z61" i="33"/>
  <c r="AC67" i="33"/>
  <c r="AC69" i="33"/>
  <c r="AC83" i="33"/>
  <c r="AC85" i="33"/>
  <c r="AC98" i="33"/>
  <c r="AC102" i="33"/>
  <c r="AC116" i="33"/>
  <c r="AJ128" i="33"/>
  <c r="AC145" i="33"/>
  <c r="Z157" i="33"/>
  <c r="AC157" i="33"/>
  <c r="AC166" i="33"/>
  <c r="AC168" i="33"/>
  <c r="AI75" i="33"/>
  <c r="AI79" i="33"/>
  <c r="AI94" i="33"/>
  <c r="AI126" i="33"/>
  <c r="AC141" i="33"/>
  <c r="AC143" i="33"/>
  <c r="AI159" i="33"/>
  <c r="AI160" i="33"/>
  <c r="AI177" i="33"/>
  <c r="AI192" i="33"/>
  <c r="AC196" i="33"/>
  <c r="AC198" i="33"/>
  <c r="AC206" i="33"/>
  <c r="AC215" i="33"/>
  <c r="Z227" i="33"/>
  <c r="AC227" i="33"/>
  <c r="AC229" i="33"/>
  <c r="AJ120" i="32"/>
  <c r="AI120" i="32"/>
  <c r="AF120" i="32"/>
  <c r="AE120" i="32"/>
  <c r="Z120" i="32"/>
  <c r="Y120" i="32"/>
  <c r="X120" i="32"/>
  <c r="AC120" i="32"/>
  <c r="AH120" i="32"/>
  <c r="Q119" i="31"/>
  <c r="V119" i="31"/>
  <c r="F120" i="32"/>
  <c r="J120" i="32"/>
  <c r="AD120" i="32"/>
  <c r="AJ119" i="31"/>
  <c r="AI119" i="31"/>
  <c r="AF119" i="31"/>
  <c r="AE119" i="31"/>
  <c r="AD119" i="31"/>
  <c r="AH119" i="31"/>
  <c r="AL119" i="31"/>
  <c r="Z119" i="31"/>
  <c r="Y119" i="31"/>
  <c r="T185" i="31"/>
  <c r="Q185" i="31"/>
  <c r="V185" i="31"/>
  <c r="F186" i="32"/>
  <c r="J186" i="32"/>
  <c r="AD186" i="32"/>
  <c r="AJ24" i="31"/>
  <c r="AI24" i="31"/>
  <c r="AF24" i="31"/>
  <c r="AE24" i="31"/>
  <c r="Z24" i="31"/>
  <c r="Y24" i="31"/>
  <c r="Q24" i="31"/>
  <c r="AH24" i="31"/>
  <c r="J24" i="31"/>
  <c r="AD24" i="31"/>
  <c r="AL24" i="31"/>
  <c r="AJ24" i="32"/>
  <c r="AI24" i="32"/>
  <c r="AF24" i="32"/>
  <c r="AE24" i="32"/>
  <c r="Z24" i="32"/>
  <c r="Y24" i="32"/>
  <c r="Q24" i="32"/>
  <c r="AJ98" i="31"/>
  <c r="AH98" i="31"/>
  <c r="AF98" i="31"/>
  <c r="AD98" i="31"/>
  <c r="Z98" i="31"/>
  <c r="X98" i="31"/>
  <c r="Q98" i="31"/>
  <c r="V98" i="31"/>
  <c r="F99" i="32"/>
  <c r="J99" i="32"/>
  <c r="AE99" i="32"/>
  <c r="F98" i="31"/>
  <c r="J98" i="31"/>
  <c r="AE98" i="31"/>
  <c r="AJ99" i="32"/>
  <c r="AH99" i="32"/>
  <c r="AF99" i="32"/>
  <c r="AD99" i="32"/>
  <c r="Z99" i="32"/>
  <c r="X99" i="32"/>
  <c r="Q99" i="32"/>
  <c r="Y99" i="32"/>
  <c r="AC99" i="32"/>
  <c r="T144" i="31"/>
  <c r="E160" i="32"/>
  <c r="E157" i="32"/>
  <c r="E175" i="32"/>
  <c r="E230" i="32"/>
  <c r="T81" i="31"/>
  <c r="T131" i="31"/>
  <c r="Q131" i="31"/>
  <c r="V131" i="31"/>
  <c r="F132" i="32"/>
  <c r="J132" i="32"/>
  <c r="AE132" i="32"/>
  <c r="T187" i="31"/>
  <c r="T226" i="31"/>
  <c r="AJ124" i="32"/>
  <c r="AI124" i="32"/>
  <c r="AF124" i="32"/>
  <c r="AE124" i="32"/>
  <c r="Z124" i="32"/>
  <c r="Y124" i="32"/>
  <c r="AJ123" i="31"/>
  <c r="AI123" i="31"/>
  <c r="AF123" i="31"/>
  <c r="AE123" i="31"/>
  <c r="Z123" i="31"/>
  <c r="Y123" i="31"/>
  <c r="Q123" i="31"/>
  <c r="J123" i="31"/>
  <c r="AD123" i="31"/>
  <c r="AJ193" i="31"/>
  <c r="AI193" i="31"/>
  <c r="AF193" i="31"/>
  <c r="AE193" i="31"/>
  <c r="Z193" i="31"/>
  <c r="Y193" i="31"/>
  <c r="Q193" i="31"/>
  <c r="J193" i="31"/>
  <c r="AD193" i="31"/>
  <c r="AJ194" i="32"/>
  <c r="AI194" i="32"/>
  <c r="AF194" i="32"/>
  <c r="AE194" i="32"/>
  <c r="Z194" i="32"/>
  <c r="Y194" i="32"/>
  <c r="Q194" i="32"/>
  <c r="X194" i="32"/>
  <c r="AC194" i="32"/>
  <c r="Q204" i="31"/>
  <c r="V204" i="31"/>
  <c r="Q202" i="31"/>
  <c r="V202" i="31"/>
  <c r="Q200" i="31"/>
  <c r="V200" i="31"/>
  <c r="F201" i="32"/>
  <c r="J201" i="32"/>
  <c r="AE201" i="32"/>
  <c r="Q195" i="31"/>
  <c r="V195" i="31"/>
  <c r="Q190" i="31"/>
  <c r="V190" i="31"/>
  <c r="F191" i="32"/>
  <c r="J191" i="32"/>
  <c r="AE191" i="32"/>
  <c r="Q182" i="31"/>
  <c r="V182" i="31"/>
  <c r="Q178" i="31"/>
  <c r="V178" i="31"/>
  <c r="Q174" i="31"/>
  <c r="V174" i="31"/>
  <c r="F175" i="32"/>
  <c r="J175" i="32"/>
  <c r="AD175" i="32"/>
  <c r="Q170" i="31"/>
  <c r="V170" i="31"/>
  <c r="F171" i="32"/>
  <c r="J171" i="32"/>
  <c r="AD171" i="32"/>
  <c r="Q166" i="31"/>
  <c r="V166" i="31"/>
  <c r="F167" i="32"/>
  <c r="J167" i="32"/>
  <c r="AE167" i="32"/>
  <c r="Q154" i="31"/>
  <c r="V154" i="31"/>
  <c r="F155" i="32"/>
  <c r="J155" i="32"/>
  <c r="AE155" i="32"/>
  <c r="Q141" i="31"/>
  <c r="V141" i="31"/>
  <c r="F142" i="32"/>
  <c r="J142" i="32"/>
  <c r="AD142" i="32"/>
  <c r="Q137" i="31"/>
  <c r="V137" i="31"/>
  <c r="F138" i="32"/>
  <c r="J138" i="32"/>
  <c r="AD138" i="32"/>
  <c r="Q128" i="31"/>
  <c r="V128" i="31"/>
  <c r="Q124" i="31"/>
  <c r="V124" i="31"/>
  <c r="F125" i="32"/>
  <c r="J125" i="32"/>
  <c r="AD125" i="32"/>
  <c r="Q118" i="31"/>
  <c r="V118" i="31"/>
  <c r="F119" i="32"/>
  <c r="J119" i="32"/>
  <c r="AD119" i="32"/>
  <c r="Q114" i="31"/>
  <c r="V114" i="31"/>
  <c r="F115" i="32"/>
  <c r="J115" i="32"/>
  <c r="AD115" i="32"/>
  <c r="Q110" i="31"/>
  <c r="V110" i="31"/>
  <c r="F111" i="32"/>
  <c r="J111" i="32"/>
  <c r="AD111" i="32"/>
  <c r="Q106" i="31"/>
  <c r="V106" i="31"/>
  <c r="F107" i="32"/>
  <c r="J107" i="32"/>
  <c r="AD107" i="32"/>
  <c r="Q102" i="31"/>
  <c r="V102" i="31"/>
  <c r="F103" i="32"/>
  <c r="J103" i="32"/>
  <c r="AD103" i="32"/>
  <c r="Q97" i="31"/>
  <c r="V97" i="31"/>
  <c r="F98" i="32"/>
  <c r="J98" i="32"/>
  <c r="AE98" i="32"/>
  <c r="Q94" i="31"/>
  <c r="V94" i="31"/>
  <c r="Q90" i="31"/>
  <c r="V90" i="31"/>
  <c r="Q86" i="31"/>
  <c r="V86" i="31"/>
  <c r="F86" i="32"/>
  <c r="J86" i="32"/>
  <c r="AD86" i="32"/>
  <c r="Q77" i="31"/>
  <c r="V77" i="31"/>
  <c r="Q69" i="31"/>
  <c r="V69" i="31"/>
  <c r="F69" i="32"/>
  <c r="J69" i="32"/>
  <c r="AD69" i="32"/>
  <c r="Q65" i="31"/>
  <c r="V65" i="31"/>
  <c r="Q61" i="31"/>
  <c r="V61" i="31"/>
  <c r="Q57" i="31"/>
  <c r="V57" i="31"/>
  <c r="Q53" i="31"/>
  <c r="V53" i="31"/>
  <c r="F53" i="32"/>
  <c r="J53" i="32"/>
  <c r="AE53" i="32"/>
  <c r="Q37" i="31"/>
  <c r="V37" i="31"/>
  <c r="F37" i="32"/>
  <c r="J37" i="32"/>
  <c r="AD37" i="32"/>
  <c r="Q33" i="31"/>
  <c r="V33" i="31"/>
  <c r="Q29" i="31"/>
  <c r="V29" i="31"/>
  <c r="F29" i="32"/>
  <c r="J29" i="32"/>
  <c r="AE29" i="32"/>
  <c r="Q25" i="31"/>
  <c r="V25" i="31"/>
  <c r="F25" i="32"/>
  <c r="J25" i="32"/>
  <c r="AE25" i="32"/>
  <c r="Q20" i="31"/>
  <c r="V20" i="31"/>
  <c r="F20" i="32"/>
  <c r="J20" i="32"/>
  <c r="AE20" i="32"/>
  <c r="Q225" i="31"/>
  <c r="V225" i="31"/>
  <c r="F226" i="32"/>
  <c r="J226" i="32"/>
  <c r="AD226" i="32"/>
  <c r="Q222" i="31"/>
  <c r="V222" i="31"/>
  <c r="Q221" i="31"/>
  <c r="V221" i="31"/>
  <c r="F222" i="32"/>
  <c r="J222" i="32"/>
  <c r="AD222" i="32"/>
  <c r="Q217" i="31"/>
  <c r="V217" i="31"/>
  <c r="F218" i="32"/>
  <c r="J218" i="32"/>
  <c r="AE218" i="32"/>
  <c r="Q211" i="31"/>
  <c r="V211" i="31"/>
  <c r="Q127" i="31"/>
  <c r="V127" i="31"/>
  <c r="F128" i="32"/>
  <c r="J128" i="32"/>
  <c r="AF128" i="32"/>
  <c r="AB230" i="32"/>
  <c r="AA241" i="32"/>
  <c r="AA230" i="32"/>
  <c r="AA238" i="32"/>
  <c r="P230" i="32"/>
  <c r="O230" i="32"/>
  <c r="N230" i="32"/>
  <c r="M230" i="32"/>
  <c r="L230" i="32"/>
  <c r="H230" i="32"/>
  <c r="G230" i="32"/>
  <c r="AJ229" i="32"/>
  <c r="AI229" i="32"/>
  <c r="AF229" i="32"/>
  <c r="AE229" i="32"/>
  <c r="Z229" i="32"/>
  <c r="Y229" i="32"/>
  <c r="Q229" i="32"/>
  <c r="V229" i="32"/>
  <c r="AH229" i="32"/>
  <c r="AI228" i="32"/>
  <c r="AH228" i="32"/>
  <c r="AE228" i="32"/>
  <c r="AD228" i="32"/>
  <c r="Y228" i="32"/>
  <c r="X228" i="32"/>
  <c r="Q228" i="32"/>
  <c r="Z228" i="32"/>
  <c r="AC228" i="32"/>
  <c r="V228" i="32"/>
  <c r="F228" i="33"/>
  <c r="J228" i="33"/>
  <c r="AF228" i="33"/>
  <c r="AI227" i="32"/>
  <c r="AH227" i="32"/>
  <c r="AE227" i="32"/>
  <c r="AD227" i="32"/>
  <c r="Y227" i="32"/>
  <c r="X227" i="32"/>
  <c r="Q227" i="32"/>
  <c r="AJ226" i="32"/>
  <c r="AI226" i="32"/>
  <c r="Q226" i="32"/>
  <c r="AH226" i="32"/>
  <c r="AF226" i="32"/>
  <c r="AE226" i="32"/>
  <c r="Z226" i="32"/>
  <c r="Y226" i="32"/>
  <c r="V226" i="32"/>
  <c r="F226" i="33"/>
  <c r="J226" i="33"/>
  <c r="AD226" i="33"/>
  <c r="X226" i="32"/>
  <c r="AJ225" i="32"/>
  <c r="AI225" i="32"/>
  <c r="AF225" i="32"/>
  <c r="AE225" i="32"/>
  <c r="Z225" i="32"/>
  <c r="Y225" i="32"/>
  <c r="Q225" i="32"/>
  <c r="AJ224" i="32"/>
  <c r="AI224" i="32"/>
  <c r="AF224" i="32"/>
  <c r="AE224" i="32"/>
  <c r="Z224" i="32"/>
  <c r="Y224" i="32"/>
  <c r="Q224" i="32"/>
  <c r="V224" i="32"/>
  <c r="F224" i="33"/>
  <c r="J224" i="33"/>
  <c r="AD224" i="33"/>
  <c r="X224" i="32"/>
  <c r="AJ223" i="32"/>
  <c r="AH223" i="32"/>
  <c r="AF223" i="32"/>
  <c r="AD223" i="32"/>
  <c r="Z223" i="32"/>
  <c r="X223" i="32"/>
  <c r="Q223" i="32"/>
  <c r="Y223" i="32"/>
  <c r="AC223" i="32"/>
  <c r="V223" i="32"/>
  <c r="F223" i="33"/>
  <c r="J223" i="33"/>
  <c r="AE223" i="33"/>
  <c r="AI223" i="32"/>
  <c r="AJ222" i="32"/>
  <c r="AI222" i="32"/>
  <c r="AF222" i="32"/>
  <c r="AE222" i="32"/>
  <c r="Z222" i="32"/>
  <c r="Y222" i="32"/>
  <c r="Q222" i="32"/>
  <c r="X222" i="32"/>
  <c r="V222" i="32"/>
  <c r="F222" i="33"/>
  <c r="J222" i="33"/>
  <c r="AD222" i="33"/>
  <c r="AH222" i="32"/>
  <c r="AJ221" i="32"/>
  <c r="AH221" i="32"/>
  <c r="AF221" i="32"/>
  <c r="AD221" i="32"/>
  <c r="Z221" i="32"/>
  <c r="X221" i="32"/>
  <c r="Q221" i="32"/>
  <c r="Y221" i="32"/>
  <c r="AC221" i="32"/>
  <c r="V221" i="32"/>
  <c r="F221" i="33"/>
  <c r="J221" i="33"/>
  <c r="AE221" i="33"/>
  <c r="AJ220" i="32"/>
  <c r="AH220" i="32"/>
  <c r="AF220" i="32"/>
  <c r="AD220" i="32"/>
  <c r="Z220" i="32"/>
  <c r="X220" i="32"/>
  <c r="Y220" i="32"/>
  <c r="AC220" i="32"/>
  <c r="AI220" i="32"/>
  <c r="AJ219" i="32"/>
  <c r="AH219" i="32"/>
  <c r="AF219" i="32"/>
  <c r="AD219" i="32"/>
  <c r="Z219" i="32"/>
  <c r="X219" i="32"/>
  <c r="Q219" i="32"/>
  <c r="AJ218" i="32"/>
  <c r="Q218" i="32"/>
  <c r="AI218" i="32"/>
  <c r="AH218" i="32"/>
  <c r="AF218" i="32"/>
  <c r="AD218" i="32"/>
  <c r="Z218" i="32"/>
  <c r="X218" i="32"/>
  <c r="V218" i="32"/>
  <c r="F218" i="33"/>
  <c r="J218" i="33"/>
  <c r="AE218" i="33"/>
  <c r="Y218" i="32"/>
  <c r="AJ217" i="32"/>
  <c r="AI217" i="32"/>
  <c r="AF217" i="32"/>
  <c r="AE217" i="32"/>
  <c r="Z217" i="32"/>
  <c r="Y217" i="32"/>
  <c r="Q217" i="32"/>
  <c r="V217" i="32"/>
  <c r="F217" i="33"/>
  <c r="J217" i="33"/>
  <c r="AD217" i="33"/>
  <c r="X217" i="32"/>
  <c r="AC217" i="32"/>
  <c r="AJ216" i="32"/>
  <c r="AI216" i="32"/>
  <c r="AF216" i="32"/>
  <c r="AE216" i="32"/>
  <c r="Z216" i="32"/>
  <c r="Y216" i="32"/>
  <c r="Q216" i="32"/>
  <c r="V216" i="32"/>
  <c r="F216" i="33"/>
  <c r="J216" i="33"/>
  <c r="AD216" i="33"/>
  <c r="X216" i="32"/>
  <c r="AC216" i="32"/>
  <c r="AI215" i="32"/>
  <c r="AH215" i="32"/>
  <c r="AE215" i="32"/>
  <c r="AD215" i="32"/>
  <c r="Y215" i="32"/>
  <c r="X215" i="32"/>
  <c r="Q215" i="32"/>
  <c r="Z215" i="32"/>
  <c r="AC215" i="32"/>
  <c r="AJ214" i="32"/>
  <c r="AH214" i="32"/>
  <c r="AF214" i="32"/>
  <c r="AD214" i="32"/>
  <c r="Z214" i="32"/>
  <c r="X214" i="32"/>
  <c r="Q214" i="32"/>
  <c r="Y214" i="32"/>
  <c r="AC214" i="32"/>
  <c r="V214" i="32"/>
  <c r="F214" i="33"/>
  <c r="J214" i="33"/>
  <c r="AE214" i="33"/>
  <c r="AJ213" i="32"/>
  <c r="AI213" i="32"/>
  <c r="AF213" i="32"/>
  <c r="AE213" i="32"/>
  <c r="Z213" i="32"/>
  <c r="Y213" i="32"/>
  <c r="Q213" i="32"/>
  <c r="V213" i="32"/>
  <c r="F213" i="33"/>
  <c r="J213" i="33"/>
  <c r="AD213" i="33"/>
  <c r="X213" i="32"/>
  <c r="AJ212" i="32"/>
  <c r="AI212" i="32"/>
  <c r="AF212" i="32"/>
  <c r="AE212" i="32"/>
  <c r="Z212" i="32"/>
  <c r="Y212" i="32"/>
  <c r="Q212" i="32"/>
  <c r="V212" i="32"/>
  <c r="F212" i="33"/>
  <c r="J212" i="33"/>
  <c r="AD212" i="33"/>
  <c r="X212" i="32"/>
  <c r="AI211" i="32"/>
  <c r="AH211" i="32"/>
  <c r="AE211" i="32"/>
  <c r="AD211" i="32"/>
  <c r="Y211" i="32"/>
  <c r="X211" i="32"/>
  <c r="Q211" i="32"/>
  <c r="V211" i="32"/>
  <c r="F211" i="33"/>
  <c r="J211" i="33"/>
  <c r="AF211" i="33"/>
  <c r="Z211" i="32"/>
  <c r="AJ210" i="32"/>
  <c r="AI210" i="32"/>
  <c r="AF210" i="32"/>
  <c r="AE210" i="32"/>
  <c r="Z210" i="32"/>
  <c r="Y210" i="32"/>
  <c r="Q210" i="32"/>
  <c r="X210" i="32"/>
  <c r="AC210" i="32"/>
  <c r="V210" i="32"/>
  <c r="F210" i="33"/>
  <c r="J210" i="33"/>
  <c r="AD210" i="33"/>
  <c r="AJ209" i="32"/>
  <c r="AI209" i="32"/>
  <c r="AF209" i="32"/>
  <c r="AE209" i="32"/>
  <c r="Z209" i="32"/>
  <c r="X209" i="32"/>
  <c r="Y209" i="32"/>
  <c r="AC209" i="32"/>
  <c r="AH209" i="32"/>
  <c r="AJ208" i="32"/>
  <c r="AI208" i="32"/>
  <c r="AF208" i="32"/>
  <c r="AE208" i="32"/>
  <c r="Z208" i="32"/>
  <c r="Y208" i="32"/>
  <c r="X208" i="32"/>
  <c r="AC208" i="32"/>
  <c r="AI207" i="32"/>
  <c r="AH207" i="32"/>
  <c r="AE207" i="32"/>
  <c r="AD207" i="32"/>
  <c r="Y207" i="32"/>
  <c r="X207" i="32"/>
  <c r="Q207" i="32"/>
  <c r="V207" i="32"/>
  <c r="F207" i="33"/>
  <c r="J207" i="33"/>
  <c r="AF207" i="33"/>
  <c r="Z207" i="32"/>
  <c r="AC207" i="32"/>
  <c r="AJ206" i="32"/>
  <c r="AH206" i="32"/>
  <c r="AF206" i="32"/>
  <c r="AD206" i="32"/>
  <c r="Z206" i="32"/>
  <c r="X206" i="32"/>
  <c r="Q206" i="32"/>
  <c r="V206" i="32"/>
  <c r="F206" i="33"/>
  <c r="J206" i="33"/>
  <c r="AE206" i="33"/>
  <c r="Y206" i="32"/>
  <c r="AI205" i="32"/>
  <c r="AH205" i="32"/>
  <c r="AE205" i="32"/>
  <c r="AD205" i="32"/>
  <c r="Y205" i="32"/>
  <c r="X205" i="32"/>
  <c r="Q205" i="32"/>
  <c r="Z205" i="32"/>
  <c r="AC205" i="32"/>
  <c r="AJ205" i="32"/>
  <c r="AJ204" i="32"/>
  <c r="AH204" i="32"/>
  <c r="AF204" i="32"/>
  <c r="AD204" i="32"/>
  <c r="Z204" i="32"/>
  <c r="X204" i="32"/>
  <c r="Q204" i="32"/>
  <c r="AI204" i="32"/>
  <c r="AJ203" i="32"/>
  <c r="AH203" i="32"/>
  <c r="AF203" i="32"/>
  <c r="AD203" i="32"/>
  <c r="Z203" i="32"/>
  <c r="X203" i="32"/>
  <c r="Q203" i="32"/>
  <c r="Y203" i="32"/>
  <c r="AC203" i="32"/>
  <c r="AJ202" i="32"/>
  <c r="AH202" i="32"/>
  <c r="AF202" i="32"/>
  <c r="AD202" i="32"/>
  <c r="Z202" i="32"/>
  <c r="X202" i="32"/>
  <c r="AI202" i="32"/>
  <c r="Y202" i="32"/>
  <c r="AJ201" i="32"/>
  <c r="AH201" i="32"/>
  <c r="AF201" i="32"/>
  <c r="AD201" i="32"/>
  <c r="Z201" i="32"/>
  <c r="X201" i="32"/>
  <c r="Y201" i="32"/>
  <c r="AC201" i="32"/>
  <c r="AI201" i="32"/>
  <c r="AJ200" i="32"/>
  <c r="AH200" i="32"/>
  <c r="AF200" i="32"/>
  <c r="AD200" i="32"/>
  <c r="Z200" i="32"/>
  <c r="X200" i="32"/>
  <c r="Q200" i="32"/>
  <c r="V200" i="32"/>
  <c r="F200" i="33"/>
  <c r="J200" i="33"/>
  <c r="AE200" i="33"/>
  <c r="AI200" i="32"/>
  <c r="AJ199" i="32"/>
  <c r="AH199" i="32"/>
  <c r="AF199" i="32"/>
  <c r="AD199" i="32"/>
  <c r="Z199" i="32"/>
  <c r="X199" i="32"/>
  <c r="Q199" i="32"/>
  <c r="Y199" i="32"/>
  <c r="AC199" i="32"/>
  <c r="AJ198" i="32"/>
  <c r="AI198" i="32"/>
  <c r="AF198" i="32"/>
  <c r="AE198" i="32"/>
  <c r="Z198" i="32"/>
  <c r="Y198" i="32"/>
  <c r="Q198" i="32"/>
  <c r="AH198" i="32"/>
  <c r="X198" i="32"/>
  <c r="AC198" i="32"/>
  <c r="AJ197" i="32"/>
  <c r="AI197" i="32"/>
  <c r="AF197" i="32"/>
  <c r="AE197" i="32"/>
  <c r="Z197" i="32"/>
  <c r="Y197" i="32"/>
  <c r="Q197" i="32"/>
  <c r="AH197" i="32"/>
  <c r="X197" i="32"/>
  <c r="AJ196" i="32"/>
  <c r="AI196" i="32"/>
  <c r="AF196" i="32"/>
  <c r="AE196" i="32"/>
  <c r="Z196" i="32"/>
  <c r="Y196" i="32"/>
  <c r="Q196" i="32"/>
  <c r="X196" i="32"/>
  <c r="AC196" i="32"/>
  <c r="AJ195" i="32"/>
  <c r="AH195" i="32"/>
  <c r="AF195" i="32"/>
  <c r="AD195" i="32"/>
  <c r="Z195" i="32"/>
  <c r="X195" i="32"/>
  <c r="Q195" i="32"/>
  <c r="AJ193" i="32"/>
  <c r="AH193" i="32"/>
  <c r="AF193" i="32"/>
  <c r="AD193" i="32"/>
  <c r="Z193" i="32"/>
  <c r="X193" i="32"/>
  <c r="Q193" i="32"/>
  <c r="AJ192" i="32"/>
  <c r="AH192" i="32"/>
  <c r="AF192" i="32"/>
  <c r="AD192" i="32"/>
  <c r="Z192" i="32"/>
  <c r="X192" i="32"/>
  <c r="Q192" i="32"/>
  <c r="AJ191" i="32"/>
  <c r="AH191" i="32"/>
  <c r="AF191" i="32"/>
  <c r="AD191" i="32"/>
  <c r="Z191" i="32"/>
  <c r="X191" i="32"/>
  <c r="Q191" i="32"/>
  <c r="Y191" i="32"/>
  <c r="AJ190" i="32"/>
  <c r="AI190" i="32"/>
  <c r="AF190" i="32"/>
  <c r="AE190" i="32"/>
  <c r="Z190" i="32"/>
  <c r="Y190" i="32"/>
  <c r="Q190" i="32"/>
  <c r="X190" i="32"/>
  <c r="AJ189" i="32"/>
  <c r="AI189" i="32"/>
  <c r="AF189" i="32"/>
  <c r="AE189" i="32"/>
  <c r="Z189" i="32"/>
  <c r="Y189" i="32"/>
  <c r="Q189" i="32"/>
  <c r="X189" i="32"/>
  <c r="AC189" i="32"/>
  <c r="V189" i="32"/>
  <c r="F189" i="33"/>
  <c r="J189" i="33"/>
  <c r="AD189" i="33"/>
  <c r="AJ188" i="32"/>
  <c r="AI188" i="32"/>
  <c r="AF188" i="32"/>
  <c r="AE188" i="32"/>
  <c r="Z188" i="32"/>
  <c r="Y188" i="32"/>
  <c r="X188" i="32"/>
  <c r="AC188" i="32"/>
  <c r="AJ187" i="32"/>
  <c r="AH187" i="32"/>
  <c r="AF187" i="32"/>
  <c r="AD187" i="32"/>
  <c r="Z187" i="32"/>
  <c r="X187" i="32"/>
  <c r="Y187" i="32"/>
  <c r="AJ186" i="32"/>
  <c r="AI186" i="32"/>
  <c r="AF186" i="32"/>
  <c r="AE186" i="32"/>
  <c r="Z186" i="32"/>
  <c r="Y186" i="32"/>
  <c r="Q186" i="32"/>
  <c r="X186" i="32"/>
  <c r="AC186" i="32"/>
  <c r="V186" i="32"/>
  <c r="F186" i="33"/>
  <c r="J186" i="33"/>
  <c r="AD186" i="33"/>
  <c r="AJ185" i="32"/>
  <c r="AH185" i="32"/>
  <c r="AF185" i="32"/>
  <c r="AD185" i="32"/>
  <c r="Z185" i="32"/>
  <c r="X185" i="32"/>
  <c r="Y185" i="32"/>
  <c r="AC185" i="32"/>
  <c r="AJ184" i="32"/>
  <c r="AI184" i="32"/>
  <c r="AF184" i="32"/>
  <c r="AE184" i="32"/>
  <c r="Z184" i="32"/>
  <c r="Y184" i="32"/>
  <c r="X184" i="32"/>
  <c r="AC184" i="32"/>
  <c r="AI183" i="32"/>
  <c r="AH183" i="32"/>
  <c r="AE183" i="32"/>
  <c r="AD183" i="32"/>
  <c r="Y183" i="32"/>
  <c r="X183" i="32"/>
  <c r="Q183" i="32"/>
  <c r="Z183" i="32"/>
  <c r="AC183" i="32"/>
  <c r="V183" i="32"/>
  <c r="AJ182" i="32"/>
  <c r="AH182" i="32"/>
  <c r="AF182" i="32"/>
  <c r="AD182" i="32"/>
  <c r="Z182" i="32"/>
  <c r="X182" i="32"/>
  <c r="Y182" i="32"/>
  <c r="AC182" i="32"/>
  <c r="AJ181" i="32"/>
  <c r="AI181" i="32"/>
  <c r="AF181" i="32"/>
  <c r="AE181" i="32"/>
  <c r="Z181" i="32"/>
  <c r="Y181" i="32"/>
  <c r="X181" i="32"/>
  <c r="AC181" i="32"/>
  <c r="AJ180" i="32"/>
  <c r="AH180" i="32"/>
  <c r="AF180" i="32"/>
  <c r="AD180" i="32"/>
  <c r="Z180" i="32"/>
  <c r="X180" i="32"/>
  <c r="Q180" i="32"/>
  <c r="Y180" i="32"/>
  <c r="AC180" i="32"/>
  <c r="V180" i="32"/>
  <c r="F180" i="33"/>
  <c r="J180" i="33"/>
  <c r="AE180" i="33"/>
  <c r="AJ179" i="32"/>
  <c r="AI179" i="32"/>
  <c r="AF179" i="32"/>
  <c r="AE179" i="32"/>
  <c r="Z179" i="32"/>
  <c r="Y179" i="32"/>
  <c r="Q179" i="32"/>
  <c r="V179" i="32"/>
  <c r="F179" i="33"/>
  <c r="J179" i="33"/>
  <c r="AD179" i="33"/>
  <c r="X179" i="32"/>
  <c r="AJ178" i="32"/>
  <c r="AI178" i="32"/>
  <c r="AF178" i="32"/>
  <c r="AE178" i="32"/>
  <c r="Z178" i="32"/>
  <c r="Y178" i="32"/>
  <c r="X178" i="32"/>
  <c r="AC178" i="32"/>
  <c r="AJ177" i="32"/>
  <c r="AH177" i="32"/>
  <c r="AF177" i="32"/>
  <c r="AD177" i="32"/>
  <c r="Z177" i="32"/>
  <c r="X177" i="32"/>
  <c r="AI177" i="32"/>
  <c r="AJ176" i="32"/>
  <c r="AI176" i="32"/>
  <c r="AF176" i="32"/>
  <c r="AE176" i="32"/>
  <c r="Z176" i="32"/>
  <c r="Y176" i="32"/>
  <c r="Q176" i="32"/>
  <c r="AJ175" i="32"/>
  <c r="AI175" i="32"/>
  <c r="AF175" i="32"/>
  <c r="AE175" i="32"/>
  <c r="Z175" i="32"/>
  <c r="Y175" i="32"/>
  <c r="Q175" i="32"/>
  <c r="AJ174" i="32"/>
  <c r="AI174" i="32"/>
  <c r="AF174" i="32"/>
  <c r="AE174" i="32"/>
  <c r="Z174" i="32"/>
  <c r="Y174" i="32"/>
  <c r="AH174" i="32"/>
  <c r="AJ173" i="32"/>
  <c r="AI173" i="32"/>
  <c r="AF173" i="32"/>
  <c r="AE173" i="32"/>
  <c r="Z173" i="32"/>
  <c r="Y173" i="32"/>
  <c r="Q173" i="32"/>
  <c r="AH173" i="32"/>
  <c r="AJ172" i="32"/>
  <c r="AI172" i="32"/>
  <c r="AF172" i="32"/>
  <c r="AE172" i="32"/>
  <c r="Z172" i="32"/>
  <c r="Y172" i="32"/>
  <c r="Q172" i="32"/>
  <c r="V172" i="32"/>
  <c r="F172" i="33"/>
  <c r="J172" i="33"/>
  <c r="AD172" i="33"/>
  <c r="AJ171" i="32"/>
  <c r="AI171" i="32"/>
  <c r="AF171" i="32"/>
  <c r="AE171" i="32"/>
  <c r="Z171" i="32"/>
  <c r="Y171" i="32"/>
  <c r="Q171" i="32"/>
  <c r="V171" i="32"/>
  <c r="F171" i="33"/>
  <c r="J171" i="33"/>
  <c r="AD171" i="33"/>
  <c r="AJ170" i="32"/>
  <c r="AI170" i="32"/>
  <c r="Q170" i="32"/>
  <c r="AH170" i="32"/>
  <c r="AF170" i="32"/>
  <c r="AE170" i="32"/>
  <c r="Z170" i="32"/>
  <c r="Y170" i="32"/>
  <c r="X170" i="32"/>
  <c r="AJ169" i="32"/>
  <c r="AI169" i="32"/>
  <c r="AF169" i="32"/>
  <c r="AE169" i="32"/>
  <c r="Z169" i="32"/>
  <c r="Y169" i="32"/>
  <c r="Q169" i="32"/>
  <c r="AJ168" i="32"/>
  <c r="AI168" i="32"/>
  <c r="Q168" i="32"/>
  <c r="AH168" i="32"/>
  <c r="AF168" i="32"/>
  <c r="AE168" i="32"/>
  <c r="Z168" i="32"/>
  <c r="Y168" i="32"/>
  <c r="X168" i="32"/>
  <c r="AC168" i="32"/>
  <c r="V168" i="32"/>
  <c r="F168" i="33"/>
  <c r="J168" i="33"/>
  <c r="AD168" i="33"/>
  <c r="AJ167" i="32"/>
  <c r="AH167" i="32"/>
  <c r="AF167" i="32"/>
  <c r="AD167" i="32"/>
  <c r="Z167" i="32"/>
  <c r="X167" i="32"/>
  <c r="Y167" i="32"/>
  <c r="AC167" i="32"/>
  <c r="AJ166" i="32"/>
  <c r="AH166" i="32"/>
  <c r="AF166" i="32"/>
  <c r="AD166" i="32"/>
  <c r="Z166" i="32"/>
  <c r="X166" i="32"/>
  <c r="Y166" i="32"/>
  <c r="AC166" i="32"/>
  <c r="AJ165" i="32"/>
  <c r="AH165" i="32"/>
  <c r="AF165" i="32"/>
  <c r="AD165" i="32"/>
  <c r="Z165" i="32"/>
  <c r="X165" i="32"/>
  <c r="Q165" i="32"/>
  <c r="Y165" i="32"/>
  <c r="AC165" i="32"/>
  <c r="V165" i="32"/>
  <c r="F165" i="33"/>
  <c r="J165" i="33"/>
  <c r="AE165" i="33"/>
  <c r="AI165" i="32"/>
  <c r="AJ164" i="32"/>
  <c r="AH164" i="32"/>
  <c r="AF164" i="32"/>
  <c r="AD164" i="32"/>
  <c r="Z164" i="32"/>
  <c r="X164" i="32"/>
  <c r="Y164" i="32"/>
  <c r="AC164" i="32"/>
  <c r="AI164" i="32"/>
  <c r="AJ163" i="32"/>
  <c r="AH163" i="32"/>
  <c r="AF163" i="32"/>
  <c r="AD163" i="32"/>
  <c r="Z163" i="32"/>
  <c r="X163" i="32"/>
  <c r="Y163" i="32"/>
  <c r="AC163" i="32"/>
  <c r="AI163" i="32"/>
  <c r="AJ162" i="32"/>
  <c r="AI162" i="32"/>
  <c r="AF162" i="32"/>
  <c r="AE162" i="32"/>
  <c r="Z162" i="32"/>
  <c r="Y162" i="32"/>
  <c r="Q162" i="32"/>
  <c r="X162" i="32"/>
  <c r="AC162" i="32"/>
  <c r="V162" i="32"/>
  <c r="F162" i="33"/>
  <c r="J162" i="33"/>
  <c r="AD162" i="33"/>
  <c r="AJ161" i="32"/>
  <c r="AI161" i="32"/>
  <c r="AF161" i="32"/>
  <c r="AE161" i="32"/>
  <c r="Z161" i="32"/>
  <c r="Y161" i="32"/>
  <c r="Q161" i="32"/>
  <c r="V161" i="32"/>
  <c r="F161" i="33"/>
  <c r="J161" i="33"/>
  <c r="AD161" i="33"/>
  <c r="X161" i="32"/>
  <c r="AJ160" i="32"/>
  <c r="AH160" i="32"/>
  <c r="AF160" i="32"/>
  <c r="AD160" i="32"/>
  <c r="Z160" i="32"/>
  <c r="X160" i="32"/>
  <c r="Q160" i="32"/>
  <c r="V160" i="32"/>
  <c r="F160" i="33"/>
  <c r="J160" i="33"/>
  <c r="AE160" i="33"/>
  <c r="Y160" i="32"/>
  <c r="AJ159" i="32"/>
  <c r="AH159" i="32"/>
  <c r="AF159" i="32"/>
  <c r="AD159" i="32"/>
  <c r="Z159" i="32"/>
  <c r="X159" i="32"/>
  <c r="Y159" i="32"/>
  <c r="AC159" i="32"/>
  <c r="AI159" i="32"/>
  <c r="AJ158" i="32"/>
  <c r="AI158" i="32"/>
  <c r="AF158" i="32"/>
  <c r="AE158" i="32"/>
  <c r="Z158" i="32"/>
  <c r="Y158" i="32"/>
  <c r="Q158" i="32"/>
  <c r="AI157" i="32"/>
  <c r="AH157" i="32"/>
  <c r="AE157" i="32"/>
  <c r="AD157" i="32"/>
  <c r="Y157" i="32"/>
  <c r="X157" i="32"/>
  <c r="Q157" i="32"/>
  <c r="AJ156" i="32"/>
  <c r="AH156" i="32"/>
  <c r="AF156" i="32"/>
  <c r="AD156" i="32"/>
  <c r="Z156" i="32"/>
  <c r="X156" i="32"/>
  <c r="Q156" i="32"/>
  <c r="V156" i="32"/>
  <c r="F156" i="33"/>
  <c r="J156" i="33"/>
  <c r="AE156" i="33"/>
  <c r="AJ155" i="32"/>
  <c r="AH155" i="32"/>
  <c r="AF155" i="32"/>
  <c r="AD155" i="32"/>
  <c r="Z155" i="32"/>
  <c r="X155" i="32"/>
  <c r="Q155" i="32"/>
  <c r="V155" i="32"/>
  <c r="F155" i="33"/>
  <c r="J155" i="33"/>
  <c r="AE155" i="33"/>
  <c r="AI154" i="32"/>
  <c r="AH154" i="32"/>
  <c r="AE154" i="32"/>
  <c r="AD154" i="32"/>
  <c r="Y154" i="32"/>
  <c r="X154" i="32"/>
  <c r="Q154" i="32"/>
  <c r="AJ153" i="32"/>
  <c r="AI153" i="32"/>
  <c r="AF153" i="32"/>
  <c r="AE153" i="32"/>
  <c r="Z153" i="32"/>
  <c r="Y153" i="32"/>
  <c r="Q153" i="32"/>
  <c r="V153" i="32"/>
  <c r="F153" i="33"/>
  <c r="J153" i="33"/>
  <c r="AD153" i="33"/>
  <c r="AJ152" i="32"/>
  <c r="AI152" i="32"/>
  <c r="AF152" i="32"/>
  <c r="AE152" i="32"/>
  <c r="Z152" i="32"/>
  <c r="Y152" i="32"/>
  <c r="AH152" i="32"/>
  <c r="AI151" i="32"/>
  <c r="AH151" i="32"/>
  <c r="AE151" i="32"/>
  <c r="AD151" i="32"/>
  <c r="Y151" i="32"/>
  <c r="X151" i="32"/>
  <c r="Q151" i="32"/>
  <c r="Z151" i="32"/>
  <c r="AC151" i="32"/>
  <c r="AJ151" i="32"/>
  <c r="AJ150" i="32"/>
  <c r="AI150" i="32"/>
  <c r="Q150" i="32"/>
  <c r="AH150" i="32"/>
  <c r="AF150" i="32"/>
  <c r="AE150" i="32"/>
  <c r="Z150" i="32"/>
  <c r="Y150" i="32"/>
  <c r="AJ149" i="32"/>
  <c r="AH149" i="32"/>
  <c r="AF149" i="32"/>
  <c r="AD149" i="32"/>
  <c r="Z149" i="32"/>
  <c r="X149" i="32"/>
  <c r="Q149" i="32"/>
  <c r="V149" i="32"/>
  <c r="F149" i="33"/>
  <c r="J149" i="33"/>
  <c r="AE149" i="33"/>
  <c r="AI149" i="32"/>
  <c r="AJ148" i="32"/>
  <c r="AH148" i="32"/>
  <c r="AF148" i="32"/>
  <c r="AD148" i="32"/>
  <c r="Z148" i="32"/>
  <c r="X148" i="32"/>
  <c r="Y148" i="32"/>
  <c r="AI147" i="32"/>
  <c r="AH147" i="32"/>
  <c r="AE147" i="32"/>
  <c r="AD147" i="32"/>
  <c r="Y147" i="32"/>
  <c r="X147" i="32"/>
  <c r="Q147" i="32"/>
  <c r="V147" i="32"/>
  <c r="F147" i="33"/>
  <c r="J147" i="33"/>
  <c r="AF147" i="33"/>
  <c r="Z147" i="32"/>
  <c r="AC147" i="32"/>
  <c r="AJ146" i="32"/>
  <c r="AI146" i="32"/>
  <c r="AF146" i="32"/>
  <c r="AE146" i="32"/>
  <c r="Z146" i="32"/>
  <c r="Y146" i="32"/>
  <c r="X146" i="32"/>
  <c r="AJ145" i="32"/>
  <c r="AI145" i="32"/>
  <c r="AF145" i="32"/>
  <c r="AE145" i="32"/>
  <c r="Z145" i="32"/>
  <c r="Y145" i="32"/>
  <c r="Q145" i="32"/>
  <c r="X145" i="32"/>
  <c r="AC145" i="32"/>
  <c r="AJ144" i="32"/>
  <c r="AH144" i="32"/>
  <c r="AF144" i="32"/>
  <c r="AD144" i="32"/>
  <c r="Z144" i="32"/>
  <c r="X144" i="32"/>
  <c r="Q144" i="32"/>
  <c r="V144" i="32"/>
  <c r="F144" i="33"/>
  <c r="J144" i="33"/>
  <c r="AE144" i="33"/>
  <c r="Y144" i="32"/>
  <c r="AC144" i="32"/>
  <c r="AJ143" i="32"/>
  <c r="AH143" i="32"/>
  <c r="AF143" i="32"/>
  <c r="AD143" i="32"/>
  <c r="Z143" i="32"/>
  <c r="X143" i="32"/>
  <c r="AJ142" i="32"/>
  <c r="AI142" i="32"/>
  <c r="AF142" i="32"/>
  <c r="AE142" i="32"/>
  <c r="Z142" i="32"/>
  <c r="Y142" i="32"/>
  <c r="Q142" i="32"/>
  <c r="X142" i="32"/>
  <c r="AC142" i="32"/>
  <c r="AJ141" i="32"/>
  <c r="AI141" i="32"/>
  <c r="AF141" i="32"/>
  <c r="AE141" i="32"/>
  <c r="Z141" i="32"/>
  <c r="Y141" i="32"/>
  <c r="Q141" i="32"/>
  <c r="AJ140" i="32"/>
  <c r="AI140" i="32"/>
  <c r="AF140" i="32"/>
  <c r="AE140" i="32"/>
  <c r="Z140" i="32"/>
  <c r="Y140" i="32"/>
  <c r="Q140" i="32"/>
  <c r="AJ139" i="32"/>
  <c r="AI139" i="32"/>
  <c r="AF139" i="32"/>
  <c r="AE139" i="32"/>
  <c r="Z139" i="32"/>
  <c r="Y139" i="32"/>
  <c r="Q139" i="32"/>
  <c r="AJ138" i="32"/>
  <c r="AI138" i="32"/>
  <c r="AF138" i="32"/>
  <c r="AE138" i="32"/>
  <c r="Z138" i="32"/>
  <c r="Y138" i="32"/>
  <c r="Q138" i="32"/>
  <c r="AJ137" i="32"/>
  <c r="AI137" i="32"/>
  <c r="AF137" i="32"/>
  <c r="AE137" i="32"/>
  <c r="Z137" i="32"/>
  <c r="Y137" i="32"/>
  <c r="Q137" i="32"/>
  <c r="AJ136" i="32"/>
  <c r="AI136" i="32"/>
  <c r="AF136" i="32"/>
  <c r="AE136" i="32"/>
  <c r="Z136" i="32"/>
  <c r="Y136" i="32"/>
  <c r="Q136" i="32"/>
  <c r="X136" i="32"/>
  <c r="V136" i="32"/>
  <c r="F136" i="33"/>
  <c r="J136" i="33"/>
  <c r="AD136" i="33"/>
  <c r="AJ135" i="32"/>
  <c r="AI135" i="32"/>
  <c r="AF135" i="32"/>
  <c r="AE135" i="32"/>
  <c r="Z135" i="32"/>
  <c r="Y135" i="32"/>
  <c r="X135" i="32"/>
  <c r="AJ134" i="32"/>
  <c r="AI134" i="32"/>
  <c r="AF134" i="32"/>
  <c r="AE134" i="32"/>
  <c r="Z134" i="32"/>
  <c r="Y134" i="32"/>
  <c r="X134" i="32"/>
  <c r="AJ133" i="32"/>
  <c r="AI133" i="32"/>
  <c r="AF133" i="32"/>
  <c r="AE133" i="32"/>
  <c r="Z133" i="32"/>
  <c r="Y133" i="32"/>
  <c r="Q133" i="32"/>
  <c r="X133" i="32"/>
  <c r="AC133" i="32"/>
  <c r="V133" i="32"/>
  <c r="F133" i="33"/>
  <c r="J133" i="33"/>
  <c r="AD133" i="33"/>
  <c r="AH133" i="32"/>
  <c r="AJ132" i="32"/>
  <c r="AH132" i="32"/>
  <c r="AF132" i="32"/>
  <c r="AD132" i="32"/>
  <c r="Z132" i="32"/>
  <c r="X132" i="32"/>
  <c r="Y132" i="32"/>
  <c r="AJ131" i="32"/>
  <c r="AI131" i="32"/>
  <c r="AF131" i="32"/>
  <c r="AE131" i="32"/>
  <c r="Z131" i="32"/>
  <c r="Y131" i="32"/>
  <c r="AH131" i="32"/>
  <c r="AJ130" i="32"/>
  <c r="AH130" i="32"/>
  <c r="AF130" i="32"/>
  <c r="AD130" i="32"/>
  <c r="Z130" i="32"/>
  <c r="X130" i="32"/>
  <c r="Q130" i="32"/>
  <c r="V130" i="32"/>
  <c r="F130" i="33"/>
  <c r="J130" i="33"/>
  <c r="AE130" i="33"/>
  <c r="Y130" i="32"/>
  <c r="AJ129" i="32"/>
  <c r="AH129" i="32"/>
  <c r="AF129" i="32"/>
  <c r="AD129" i="32"/>
  <c r="Z129" i="32"/>
  <c r="X129" i="32"/>
  <c r="Y129" i="32"/>
  <c r="AC129" i="32"/>
  <c r="AI129" i="32"/>
  <c r="AI128" i="32"/>
  <c r="AH128" i="32"/>
  <c r="AE128" i="32"/>
  <c r="AD128" i="32"/>
  <c r="Y128" i="32"/>
  <c r="X128" i="32"/>
  <c r="AJ128" i="32"/>
  <c r="AJ127" i="32"/>
  <c r="AI127" i="32"/>
  <c r="AF127" i="32"/>
  <c r="AE127" i="32"/>
  <c r="Z127" i="32"/>
  <c r="Y127" i="32"/>
  <c r="Q127" i="32"/>
  <c r="AJ126" i="32"/>
  <c r="AH126" i="32"/>
  <c r="AF126" i="32"/>
  <c r="AD126" i="32"/>
  <c r="Z126" i="32"/>
  <c r="X126" i="32"/>
  <c r="Q126" i="32"/>
  <c r="AJ125" i="32"/>
  <c r="AI125" i="32"/>
  <c r="AF125" i="32"/>
  <c r="AE125" i="32"/>
  <c r="Z125" i="32"/>
  <c r="Y125" i="32"/>
  <c r="X125" i="32"/>
  <c r="AC125" i="32"/>
  <c r="AJ123" i="32"/>
  <c r="AI123" i="32"/>
  <c r="AF123" i="32"/>
  <c r="AE123" i="32"/>
  <c r="Z123" i="32"/>
  <c r="Y123" i="32"/>
  <c r="Q123" i="32"/>
  <c r="X123" i="32"/>
  <c r="AC123" i="32"/>
  <c r="AJ122" i="32"/>
  <c r="AI122" i="32"/>
  <c r="AF122" i="32"/>
  <c r="AE122" i="32"/>
  <c r="Z122" i="32"/>
  <c r="Y122" i="32"/>
  <c r="Q122" i="32"/>
  <c r="AJ121" i="32"/>
  <c r="AI121" i="32"/>
  <c r="AF121" i="32"/>
  <c r="AE121" i="32"/>
  <c r="Z121" i="32"/>
  <c r="Y121" i="32"/>
  <c r="Q121" i="32"/>
  <c r="X121" i="32"/>
  <c r="AJ119" i="32"/>
  <c r="AI119" i="32"/>
  <c r="AF119" i="32"/>
  <c r="AE119" i="32"/>
  <c r="Z119" i="32"/>
  <c r="Y119" i="32"/>
  <c r="Q119" i="32"/>
  <c r="AJ118" i="32"/>
  <c r="AH118" i="32"/>
  <c r="AF118" i="32"/>
  <c r="AD118" i="32"/>
  <c r="Z118" i="32"/>
  <c r="X118" i="32"/>
  <c r="Q118" i="32"/>
  <c r="AJ117" i="32"/>
  <c r="AI117" i="32"/>
  <c r="AH117" i="32"/>
  <c r="AF117" i="32"/>
  <c r="AD117" i="32"/>
  <c r="Z117" i="32"/>
  <c r="X117" i="32"/>
  <c r="AJ116" i="32"/>
  <c r="AI116" i="32"/>
  <c r="AF116" i="32"/>
  <c r="AE116" i="32"/>
  <c r="Z116" i="32"/>
  <c r="Y116" i="32"/>
  <c r="X116" i="32"/>
  <c r="AJ115" i="32"/>
  <c r="AI115" i="32"/>
  <c r="AF115" i="32"/>
  <c r="AE115" i="32"/>
  <c r="Z115" i="32"/>
  <c r="Y115" i="32"/>
  <c r="Q115" i="32"/>
  <c r="X115" i="32"/>
  <c r="AC115" i="32"/>
  <c r="AJ114" i="32"/>
  <c r="AI114" i="32"/>
  <c r="AF114" i="32"/>
  <c r="AE114" i="32"/>
  <c r="Z114" i="32"/>
  <c r="Y114" i="32"/>
  <c r="Q114" i="32"/>
  <c r="V114" i="32"/>
  <c r="F114" i="33"/>
  <c r="J114" i="33"/>
  <c r="AD114" i="33"/>
  <c r="AJ113" i="32"/>
  <c r="AI113" i="32"/>
  <c r="AF113" i="32"/>
  <c r="AE113" i="32"/>
  <c r="Z113" i="32"/>
  <c r="Y113" i="32"/>
  <c r="AH113" i="32"/>
  <c r="AJ112" i="32"/>
  <c r="AI112" i="32"/>
  <c r="AF112" i="32"/>
  <c r="AE112" i="32"/>
  <c r="Z112" i="32"/>
  <c r="Y112" i="32"/>
  <c r="X112" i="32"/>
  <c r="AC112" i="32"/>
  <c r="AH112" i="32"/>
  <c r="AJ111" i="32"/>
  <c r="AI111" i="32"/>
  <c r="AF111" i="32"/>
  <c r="AE111" i="32"/>
  <c r="Z111" i="32"/>
  <c r="Y111" i="32"/>
  <c r="Q111" i="32"/>
  <c r="V111" i="32"/>
  <c r="F111" i="33"/>
  <c r="J111" i="33"/>
  <c r="AD111" i="33"/>
  <c r="X111" i="32"/>
  <c r="AJ110" i="32"/>
  <c r="AI110" i="32"/>
  <c r="AF110" i="32"/>
  <c r="AE110" i="32"/>
  <c r="Z110" i="32"/>
  <c r="Y110" i="32"/>
  <c r="Q110" i="32"/>
  <c r="V110" i="32"/>
  <c r="F110" i="33"/>
  <c r="J110" i="33"/>
  <c r="AD110" i="33"/>
  <c r="X110" i="32"/>
  <c r="AJ109" i="32"/>
  <c r="AI109" i="32"/>
  <c r="AF109" i="32"/>
  <c r="AE109" i="32"/>
  <c r="Z109" i="32"/>
  <c r="Y109" i="32"/>
  <c r="X109" i="32"/>
  <c r="AC109" i="32"/>
  <c r="AJ108" i="32"/>
  <c r="AI108" i="32"/>
  <c r="AF108" i="32"/>
  <c r="AE108" i="32"/>
  <c r="Z108" i="32"/>
  <c r="Y108" i="32"/>
  <c r="Q108" i="32"/>
  <c r="AH108" i="32"/>
  <c r="AJ107" i="32"/>
  <c r="AI107" i="32"/>
  <c r="AF107" i="32"/>
  <c r="AE107" i="32"/>
  <c r="Z107" i="32"/>
  <c r="Y107" i="32"/>
  <c r="Q107" i="32"/>
  <c r="V107" i="32"/>
  <c r="F107" i="33"/>
  <c r="J107" i="33"/>
  <c r="AD107" i="33"/>
  <c r="AJ106" i="32"/>
  <c r="AI106" i="32"/>
  <c r="AF106" i="32"/>
  <c r="AE106" i="32"/>
  <c r="Z106" i="32"/>
  <c r="Y106" i="32"/>
  <c r="Q106" i="32"/>
  <c r="AJ105" i="32"/>
  <c r="AI105" i="32"/>
  <c r="AF105" i="32"/>
  <c r="AE105" i="32"/>
  <c r="Z105" i="32"/>
  <c r="Y105" i="32"/>
  <c r="Q105" i="32"/>
  <c r="AH105" i="32"/>
  <c r="AJ104" i="32"/>
  <c r="AI104" i="32"/>
  <c r="AF104" i="32"/>
  <c r="AE104" i="32"/>
  <c r="Z104" i="32"/>
  <c r="Y104" i="32"/>
  <c r="Q104" i="32"/>
  <c r="V104" i="32"/>
  <c r="F104" i="33"/>
  <c r="J104" i="33"/>
  <c r="AD104" i="33"/>
  <c r="AJ103" i="32"/>
  <c r="AI103" i="32"/>
  <c r="Q103" i="32"/>
  <c r="AH103" i="32"/>
  <c r="AF103" i="32"/>
  <c r="AE103" i="32"/>
  <c r="Z103" i="32"/>
  <c r="Y103" i="32"/>
  <c r="X103" i="32"/>
  <c r="AC103" i="32"/>
  <c r="V103" i="32"/>
  <c r="F103" i="33"/>
  <c r="J103" i="33"/>
  <c r="AD103" i="33"/>
  <c r="AJ102" i="32"/>
  <c r="AI102" i="32"/>
  <c r="AF102" i="32"/>
  <c r="AE102" i="32"/>
  <c r="Z102" i="32"/>
  <c r="Y102" i="32"/>
  <c r="Q102" i="32"/>
  <c r="V102" i="32"/>
  <c r="F102" i="33"/>
  <c r="J102" i="33"/>
  <c r="AD102" i="33"/>
  <c r="AH102" i="32"/>
  <c r="AJ101" i="32"/>
  <c r="AI101" i="32"/>
  <c r="AF101" i="32"/>
  <c r="AE101" i="32"/>
  <c r="Z101" i="32"/>
  <c r="Y101" i="32"/>
  <c r="X101" i="32"/>
  <c r="AC101" i="32"/>
  <c r="AJ100" i="32"/>
  <c r="AI100" i="32"/>
  <c r="AH100" i="32"/>
  <c r="AF100" i="32"/>
  <c r="AD100" i="32"/>
  <c r="Z100" i="32"/>
  <c r="X100" i="32"/>
  <c r="Y100" i="32"/>
  <c r="AC100" i="32"/>
  <c r="AJ98" i="32"/>
  <c r="AH98" i="32"/>
  <c r="AF98" i="32"/>
  <c r="AD98" i="32"/>
  <c r="AI98" i="32"/>
  <c r="AL98" i="32"/>
  <c r="Z98" i="32"/>
  <c r="X98" i="32"/>
  <c r="AJ97" i="32"/>
  <c r="AH97" i="32"/>
  <c r="AF97" i="32"/>
  <c r="AD97" i="32"/>
  <c r="Z97" i="32"/>
  <c r="X97" i="32"/>
  <c r="Y97" i="32"/>
  <c r="AC97" i="32"/>
  <c r="AI97" i="32"/>
  <c r="AJ96" i="32"/>
  <c r="AI96" i="32"/>
  <c r="AF96" i="32"/>
  <c r="AE96" i="32"/>
  <c r="Z96" i="32"/>
  <c r="Q96" i="32"/>
  <c r="X96" i="32"/>
  <c r="Y96" i="32"/>
  <c r="AC96" i="32"/>
  <c r="V96" i="32"/>
  <c r="F96" i="33"/>
  <c r="J96" i="33"/>
  <c r="AD96" i="33"/>
  <c r="AH96" i="32"/>
  <c r="AJ95" i="32"/>
  <c r="AH95" i="32"/>
  <c r="AF95" i="32"/>
  <c r="AD95" i="32"/>
  <c r="Z95" i="32"/>
  <c r="X95" i="32"/>
  <c r="Q95" i="32"/>
  <c r="V95" i="32"/>
  <c r="F95" i="33"/>
  <c r="J95" i="33"/>
  <c r="AE95" i="33"/>
  <c r="Y95" i="32"/>
  <c r="AC95" i="32"/>
  <c r="AJ94" i="32"/>
  <c r="AH94" i="32"/>
  <c r="AF94" i="32"/>
  <c r="AD94" i="32"/>
  <c r="Z94" i="32"/>
  <c r="X94" i="32"/>
  <c r="AI94" i="32"/>
  <c r="AI93" i="32"/>
  <c r="AH93" i="32"/>
  <c r="AE93" i="32"/>
  <c r="AD93" i="32"/>
  <c r="Y93" i="32"/>
  <c r="X93" i="32"/>
  <c r="Z93" i="32"/>
  <c r="AI92" i="32"/>
  <c r="AH92" i="32"/>
  <c r="AE92" i="32"/>
  <c r="AD92" i="32"/>
  <c r="Y92" i="32"/>
  <c r="X92" i="32"/>
  <c r="Q92" i="32"/>
  <c r="Z92" i="32"/>
  <c r="AC92" i="32"/>
  <c r="V92" i="32"/>
  <c r="F92" i="33"/>
  <c r="J92" i="33"/>
  <c r="AF92" i="33"/>
  <c r="AJ90" i="32"/>
  <c r="AI90" i="32"/>
  <c r="AF90" i="32"/>
  <c r="AE90" i="32"/>
  <c r="Z90" i="32"/>
  <c r="Y90" i="32"/>
  <c r="Q90" i="32"/>
  <c r="V90" i="32"/>
  <c r="F90" i="33"/>
  <c r="J90" i="33"/>
  <c r="AD90" i="33"/>
  <c r="AH90" i="32"/>
  <c r="AJ89" i="32"/>
  <c r="AI89" i="32"/>
  <c r="AF89" i="32"/>
  <c r="AE89" i="32"/>
  <c r="Z89" i="32"/>
  <c r="Y89" i="32"/>
  <c r="X89" i="32"/>
  <c r="AC89" i="32"/>
  <c r="AJ88" i="32"/>
  <c r="AI88" i="32"/>
  <c r="AF88" i="32"/>
  <c r="AE88" i="32"/>
  <c r="Z88" i="32"/>
  <c r="Y88" i="32"/>
  <c r="Q88" i="32"/>
  <c r="AH88" i="32"/>
  <c r="AJ87" i="32"/>
  <c r="AI87" i="32"/>
  <c r="AF87" i="32"/>
  <c r="AE87" i="32"/>
  <c r="Z87" i="32"/>
  <c r="Y87" i="32"/>
  <c r="Q87" i="32"/>
  <c r="V87" i="32"/>
  <c r="F87" i="33"/>
  <c r="J87" i="33"/>
  <c r="AD87" i="33"/>
  <c r="AJ86" i="32"/>
  <c r="AI86" i="32"/>
  <c r="AF86" i="32"/>
  <c r="AE86" i="32"/>
  <c r="Z86" i="32"/>
  <c r="Y86" i="32"/>
  <c r="Q86" i="32"/>
  <c r="V86" i="32"/>
  <c r="F86" i="33"/>
  <c r="J86" i="33"/>
  <c r="AD86" i="33"/>
  <c r="AJ85" i="32"/>
  <c r="AI85" i="32"/>
  <c r="Q85" i="32"/>
  <c r="AH85" i="32"/>
  <c r="AF85" i="32"/>
  <c r="AE85" i="32"/>
  <c r="Z85" i="32"/>
  <c r="Y85" i="32"/>
  <c r="AJ84" i="32"/>
  <c r="AH84" i="32"/>
  <c r="AF84" i="32"/>
  <c r="AD84" i="32"/>
  <c r="Z84" i="32"/>
  <c r="X84" i="32"/>
  <c r="Q84" i="32"/>
  <c r="AI84" i="32"/>
  <c r="AJ83" i="32"/>
  <c r="AH83" i="32"/>
  <c r="AF83" i="32"/>
  <c r="AD83" i="32"/>
  <c r="Z83" i="32"/>
  <c r="Y83" i="32"/>
  <c r="X83" i="32"/>
  <c r="AC83" i="32"/>
  <c r="AI83" i="32"/>
  <c r="AJ82" i="32"/>
  <c r="AH82" i="32"/>
  <c r="AF82" i="32"/>
  <c r="AD82" i="32"/>
  <c r="Z82" i="32"/>
  <c r="X82" i="32"/>
  <c r="Q82" i="32"/>
  <c r="V82" i="32"/>
  <c r="F82" i="33"/>
  <c r="J82" i="33"/>
  <c r="AE82" i="33"/>
  <c r="Y82" i="32"/>
  <c r="AJ81" i="32"/>
  <c r="AI81" i="32"/>
  <c r="AF81" i="32"/>
  <c r="AE81" i="32"/>
  <c r="Z81" i="32"/>
  <c r="Y81" i="32"/>
  <c r="Q81" i="32"/>
  <c r="V81" i="32"/>
  <c r="F81" i="33"/>
  <c r="J81" i="33"/>
  <c r="AD81" i="33"/>
  <c r="X81" i="32"/>
  <c r="AJ80" i="32"/>
  <c r="AH80" i="32"/>
  <c r="AF80" i="32"/>
  <c r="AD80" i="32"/>
  <c r="Z80" i="32"/>
  <c r="X80" i="32"/>
  <c r="AJ79" i="32"/>
  <c r="AH79" i="32"/>
  <c r="AF79" i="32"/>
  <c r="AD79" i="32"/>
  <c r="Z79" i="32"/>
  <c r="X79" i="32"/>
  <c r="Y79" i="32"/>
  <c r="AJ78" i="32"/>
  <c r="AI78" i="32"/>
  <c r="AF78" i="32"/>
  <c r="AE78" i="32"/>
  <c r="Z78" i="32"/>
  <c r="Y78" i="32"/>
  <c r="Q78" i="32"/>
  <c r="V78" i="32"/>
  <c r="F78" i="33"/>
  <c r="J78" i="33"/>
  <c r="AD78" i="33"/>
  <c r="AH78" i="32"/>
  <c r="AJ77" i="32"/>
  <c r="AI77" i="32"/>
  <c r="AF77" i="32"/>
  <c r="AE77" i="32"/>
  <c r="Z77" i="32"/>
  <c r="Y77" i="32"/>
  <c r="Q77" i="32"/>
  <c r="V77" i="32"/>
  <c r="F77" i="33"/>
  <c r="J77" i="33"/>
  <c r="AD77" i="33"/>
  <c r="AJ76" i="32"/>
  <c r="AI76" i="32"/>
  <c r="AF76" i="32"/>
  <c r="AE76" i="32"/>
  <c r="Z76" i="32"/>
  <c r="Y76" i="32"/>
  <c r="Q76" i="32"/>
  <c r="AJ75" i="32"/>
  <c r="AH75" i="32"/>
  <c r="AF75" i="32"/>
  <c r="AD75" i="32"/>
  <c r="Z75" i="32"/>
  <c r="X75" i="32"/>
  <c r="Q75" i="32"/>
  <c r="Y75" i="32"/>
  <c r="AC75" i="32"/>
  <c r="AJ74" i="32"/>
  <c r="AI74" i="32"/>
  <c r="AF74" i="32"/>
  <c r="AE74" i="32"/>
  <c r="Z74" i="32"/>
  <c r="Y74" i="32"/>
  <c r="Q74" i="32"/>
  <c r="AJ73" i="32"/>
  <c r="AI73" i="32"/>
  <c r="AF73" i="32"/>
  <c r="AE73" i="32"/>
  <c r="Z73" i="32"/>
  <c r="Y73" i="32"/>
  <c r="Q73" i="32"/>
  <c r="V73" i="32"/>
  <c r="F73" i="33"/>
  <c r="J73" i="33"/>
  <c r="AD73" i="33"/>
  <c r="AJ72" i="32"/>
  <c r="AI72" i="32"/>
  <c r="AF72" i="32"/>
  <c r="AE72" i="32"/>
  <c r="Z72" i="32"/>
  <c r="Y72" i="32"/>
  <c r="AH72" i="32"/>
  <c r="AJ71" i="32"/>
  <c r="AI71" i="32"/>
  <c r="AF71" i="32"/>
  <c r="AE71" i="32"/>
  <c r="Z71" i="32"/>
  <c r="Y71" i="32"/>
  <c r="X71" i="32"/>
  <c r="AH71" i="32"/>
  <c r="AJ70" i="32"/>
  <c r="AI70" i="32"/>
  <c r="AF70" i="32"/>
  <c r="AE70" i="32"/>
  <c r="Z70" i="32"/>
  <c r="Y70" i="32"/>
  <c r="Q70" i="32"/>
  <c r="V70" i="32"/>
  <c r="F70" i="33"/>
  <c r="J70" i="33"/>
  <c r="AD70" i="33"/>
  <c r="X70" i="32"/>
  <c r="AJ69" i="32"/>
  <c r="AI69" i="32"/>
  <c r="AF69" i="32"/>
  <c r="AE69" i="32"/>
  <c r="Z69" i="32"/>
  <c r="Y69" i="32"/>
  <c r="Q69" i="32"/>
  <c r="V69" i="32"/>
  <c r="F69" i="33"/>
  <c r="J69" i="33"/>
  <c r="AD69" i="33"/>
  <c r="AH69" i="32"/>
  <c r="AJ68" i="32"/>
  <c r="AI68" i="32"/>
  <c r="AF68" i="32"/>
  <c r="AE68" i="32"/>
  <c r="Z68" i="32"/>
  <c r="Y68" i="32"/>
  <c r="Q68" i="32"/>
  <c r="X68" i="32"/>
  <c r="AH68" i="32"/>
  <c r="AJ67" i="32"/>
  <c r="AI67" i="32"/>
  <c r="AF67" i="32"/>
  <c r="AE67" i="32"/>
  <c r="Z67" i="32"/>
  <c r="Y67" i="32"/>
  <c r="Q67" i="32"/>
  <c r="V67" i="32"/>
  <c r="F67" i="33"/>
  <c r="J67" i="33"/>
  <c r="AD67" i="33"/>
  <c r="AH67" i="32"/>
  <c r="AJ66" i="32"/>
  <c r="AI66" i="32"/>
  <c r="AF66" i="32"/>
  <c r="AE66" i="32"/>
  <c r="Z66" i="32"/>
  <c r="Y66" i="32"/>
  <c r="Q66" i="32"/>
  <c r="X66" i="32"/>
  <c r="AC66" i="32"/>
  <c r="AJ65" i="32"/>
  <c r="AI65" i="32"/>
  <c r="AF65" i="32"/>
  <c r="AE65" i="32"/>
  <c r="Z65" i="32"/>
  <c r="Y65" i="32"/>
  <c r="Q65" i="32"/>
  <c r="AJ64" i="32"/>
  <c r="AI64" i="32"/>
  <c r="AF64" i="32"/>
  <c r="AE64" i="32"/>
  <c r="Z64" i="32"/>
  <c r="Y64" i="32"/>
  <c r="X64" i="32"/>
  <c r="AH64" i="32"/>
  <c r="AJ63" i="32"/>
  <c r="AI63" i="32"/>
  <c r="AF63" i="32"/>
  <c r="AE63" i="32"/>
  <c r="Z63" i="32"/>
  <c r="Y63" i="32"/>
  <c r="X63" i="32"/>
  <c r="AJ62" i="32"/>
  <c r="AI62" i="32"/>
  <c r="AF62" i="32"/>
  <c r="AE62" i="32"/>
  <c r="Z62" i="32"/>
  <c r="Y62" i="32"/>
  <c r="Q62" i="32"/>
  <c r="X62" i="32"/>
  <c r="V62" i="32"/>
  <c r="F62" i="33"/>
  <c r="J62" i="33"/>
  <c r="AD62" i="33"/>
  <c r="AH62" i="32"/>
  <c r="AI61" i="32"/>
  <c r="AH61" i="32"/>
  <c r="AE61" i="32"/>
  <c r="AD61" i="32"/>
  <c r="Y61" i="32"/>
  <c r="X61" i="32"/>
  <c r="Q61" i="32"/>
  <c r="V61" i="32"/>
  <c r="F61" i="33"/>
  <c r="J61" i="33"/>
  <c r="AF61" i="33"/>
  <c r="Z61" i="32"/>
  <c r="AJ60" i="32"/>
  <c r="AH60" i="32"/>
  <c r="AF60" i="32"/>
  <c r="AD60" i="32"/>
  <c r="Z60" i="32"/>
  <c r="X60" i="32"/>
  <c r="Q60" i="32"/>
  <c r="V60" i="32"/>
  <c r="F60" i="33"/>
  <c r="J60" i="33"/>
  <c r="AE60" i="33"/>
  <c r="Y60" i="32"/>
  <c r="AJ59" i="32"/>
  <c r="AH59" i="32"/>
  <c r="AF59" i="32"/>
  <c r="AD59" i="32"/>
  <c r="Z59" i="32"/>
  <c r="X59" i="32"/>
  <c r="AI59" i="32"/>
  <c r="AI58" i="32"/>
  <c r="AH58" i="32"/>
  <c r="AE58" i="32"/>
  <c r="AD58" i="32"/>
  <c r="Y58" i="32"/>
  <c r="X58" i="32"/>
  <c r="Z58" i="32"/>
  <c r="AC58" i="32"/>
  <c r="AJ58" i="32"/>
  <c r="AJ57" i="32"/>
  <c r="AH57" i="32"/>
  <c r="AF57" i="32"/>
  <c r="AD57" i="32"/>
  <c r="Z57" i="32"/>
  <c r="X57" i="32"/>
  <c r="AI57" i="32"/>
  <c r="AJ56" i="32"/>
  <c r="AI56" i="32"/>
  <c r="AF56" i="32"/>
  <c r="AE56" i="32"/>
  <c r="Z56" i="32"/>
  <c r="Y56" i="32"/>
  <c r="Q56" i="32"/>
  <c r="V56" i="32"/>
  <c r="F56" i="33"/>
  <c r="J56" i="33"/>
  <c r="AD56" i="33"/>
  <c r="X56" i="32"/>
  <c r="AJ55" i="32"/>
  <c r="AI55" i="32"/>
  <c r="AF55" i="32"/>
  <c r="AE55" i="32"/>
  <c r="Z55" i="32"/>
  <c r="Y55" i="32"/>
  <c r="X55" i="32"/>
  <c r="AC55" i="32"/>
  <c r="AJ54" i="32"/>
  <c r="AH54" i="32"/>
  <c r="AF54" i="32"/>
  <c r="AD54" i="32"/>
  <c r="Z54" i="32"/>
  <c r="X54" i="32"/>
  <c r="AJ53" i="32"/>
  <c r="AH53" i="32"/>
  <c r="AF53" i="32"/>
  <c r="AD53" i="32"/>
  <c r="Z53" i="32"/>
  <c r="X53" i="32"/>
  <c r="Q53" i="32"/>
  <c r="AJ52" i="32"/>
  <c r="AH52" i="32"/>
  <c r="AF52" i="32"/>
  <c r="AD52" i="32"/>
  <c r="Z52" i="32"/>
  <c r="X52" i="32"/>
  <c r="Q52" i="32"/>
  <c r="AJ51" i="32"/>
  <c r="AI51" i="32"/>
  <c r="AH51" i="32"/>
  <c r="AF51" i="32"/>
  <c r="AD51" i="32"/>
  <c r="Z51" i="32"/>
  <c r="X51" i="32"/>
  <c r="Y51" i="32"/>
  <c r="AJ50" i="32"/>
  <c r="AI50" i="32"/>
  <c r="AF50" i="32"/>
  <c r="AE50" i="32"/>
  <c r="Z50" i="32"/>
  <c r="Y50" i="32"/>
  <c r="AH50" i="32"/>
  <c r="AJ49" i="32"/>
  <c r="AI49" i="32"/>
  <c r="AF49" i="32"/>
  <c r="AE49" i="32"/>
  <c r="Z49" i="32"/>
  <c r="Y49" i="32"/>
  <c r="X49" i="32"/>
  <c r="AC49" i="32"/>
  <c r="AJ48" i="32"/>
  <c r="AI48" i="32"/>
  <c r="AF48" i="32"/>
  <c r="AE48" i="32"/>
  <c r="Z48" i="32"/>
  <c r="Y48" i="32"/>
  <c r="AH48" i="32"/>
  <c r="AJ47" i="32"/>
  <c r="AH47" i="32"/>
  <c r="AF47" i="32"/>
  <c r="AD47" i="32"/>
  <c r="Z47" i="32"/>
  <c r="X47" i="32"/>
  <c r="Y47" i="32"/>
  <c r="AC47" i="32"/>
  <c r="AI47" i="32"/>
  <c r="AJ46" i="32"/>
  <c r="AI46" i="32"/>
  <c r="AF46" i="32"/>
  <c r="AE46" i="32"/>
  <c r="Z46" i="32"/>
  <c r="Y46" i="32"/>
  <c r="Q46" i="32"/>
  <c r="V46" i="32"/>
  <c r="F46" i="33"/>
  <c r="J46" i="33"/>
  <c r="AD46" i="33"/>
  <c r="AH46" i="32"/>
  <c r="AJ45" i="32"/>
  <c r="AI45" i="32"/>
  <c r="AF45" i="32"/>
  <c r="AE45" i="32"/>
  <c r="Z45" i="32"/>
  <c r="Y45" i="32"/>
  <c r="Q45" i="32"/>
  <c r="V45" i="32"/>
  <c r="F45" i="33"/>
  <c r="J45" i="33"/>
  <c r="AD45" i="33"/>
  <c r="X45" i="32"/>
  <c r="AC45" i="32"/>
  <c r="AJ44" i="32"/>
  <c r="AH44" i="32"/>
  <c r="AF44" i="32"/>
  <c r="AD44" i="32"/>
  <c r="Z44" i="32"/>
  <c r="X44" i="32"/>
  <c r="Y44" i="32"/>
  <c r="AC44" i="32"/>
  <c r="AJ43" i="32"/>
  <c r="AI43" i="32"/>
  <c r="AF43" i="32"/>
  <c r="AE43" i="32"/>
  <c r="Z43" i="32"/>
  <c r="Y43" i="32"/>
  <c r="X43" i="32"/>
  <c r="AC43" i="32"/>
  <c r="AJ42" i="32"/>
  <c r="AI42" i="32"/>
  <c r="AF42" i="32"/>
  <c r="AE42" i="32"/>
  <c r="Z42" i="32"/>
  <c r="Y42" i="32"/>
  <c r="Q42" i="32"/>
  <c r="V42" i="32"/>
  <c r="F42" i="33"/>
  <c r="J42" i="33"/>
  <c r="AD42" i="33"/>
  <c r="AH42" i="32"/>
  <c r="I230" i="32"/>
  <c r="AI41" i="32"/>
  <c r="AH41" i="32"/>
  <c r="AE41" i="32"/>
  <c r="AD41" i="32"/>
  <c r="Y41" i="32"/>
  <c r="X41" i="32"/>
  <c r="Q41" i="32"/>
  <c r="AJ40" i="32"/>
  <c r="AI40" i="32"/>
  <c r="AF40" i="32"/>
  <c r="AE40" i="32"/>
  <c r="Z40" i="32"/>
  <c r="Y40" i="32"/>
  <c r="Q40" i="32"/>
  <c r="X40" i="32"/>
  <c r="AC40" i="32"/>
  <c r="AJ39" i="32"/>
  <c r="AI39" i="32"/>
  <c r="Q39" i="32"/>
  <c r="AH39" i="32"/>
  <c r="AF39" i="32"/>
  <c r="AE39" i="32"/>
  <c r="Z39" i="32"/>
  <c r="Y39" i="32"/>
  <c r="AJ38" i="32"/>
  <c r="AI38" i="32"/>
  <c r="AF38" i="32"/>
  <c r="AE38" i="32"/>
  <c r="Z38" i="32"/>
  <c r="Y38" i="32"/>
  <c r="Q38" i="32"/>
  <c r="AH38" i="32"/>
  <c r="AJ37" i="32"/>
  <c r="AI37" i="32"/>
  <c r="AF37" i="32"/>
  <c r="AE37" i="32"/>
  <c r="Z37" i="32"/>
  <c r="Y37" i="32"/>
  <c r="Q37" i="32"/>
  <c r="AJ36" i="32"/>
  <c r="AI36" i="32"/>
  <c r="AF36" i="32"/>
  <c r="AE36" i="32"/>
  <c r="Z36" i="32"/>
  <c r="Y36" i="32"/>
  <c r="Q36" i="32"/>
  <c r="AJ35" i="32"/>
  <c r="AI35" i="32"/>
  <c r="AF35" i="32"/>
  <c r="AE35" i="32"/>
  <c r="Z35" i="32"/>
  <c r="Y35" i="32"/>
  <c r="Q35" i="32"/>
  <c r="AJ34" i="32"/>
  <c r="AI34" i="32"/>
  <c r="AF34" i="32"/>
  <c r="AE34" i="32"/>
  <c r="Z34" i="32"/>
  <c r="Y34" i="32"/>
  <c r="Q34" i="32"/>
  <c r="V34" i="32"/>
  <c r="F34" i="33"/>
  <c r="J34" i="33"/>
  <c r="AD34" i="33"/>
  <c r="AJ33" i="32"/>
  <c r="AI33" i="32"/>
  <c r="AF33" i="32"/>
  <c r="AE33" i="32"/>
  <c r="Z33" i="32"/>
  <c r="Y33" i="32"/>
  <c r="Q33" i="32"/>
  <c r="AJ32" i="32"/>
  <c r="AI32" i="32"/>
  <c r="AF32" i="32"/>
  <c r="AE32" i="32"/>
  <c r="Z32" i="32"/>
  <c r="Y32" i="32"/>
  <c r="Q32" i="32"/>
  <c r="AJ31" i="32"/>
  <c r="AI31" i="32"/>
  <c r="AF31" i="32"/>
  <c r="AE31" i="32"/>
  <c r="Z31" i="32"/>
  <c r="Y31" i="32"/>
  <c r="Q31" i="32"/>
  <c r="AJ30" i="32"/>
  <c r="AI30" i="32"/>
  <c r="AF30" i="32"/>
  <c r="AE30" i="32"/>
  <c r="Z30" i="32"/>
  <c r="Y30" i="32"/>
  <c r="Q30" i="32"/>
  <c r="AJ29" i="32"/>
  <c r="AH29" i="32"/>
  <c r="AF29" i="32"/>
  <c r="AD29" i="32"/>
  <c r="Z29" i="32"/>
  <c r="X29" i="32"/>
  <c r="Q29" i="32"/>
  <c r="V29" i="32"/>
  <c r="F29" i="33"/>
  <c r="J29" i="33"/>
  <c r="AE29" i="33"/>
  <c r="AJ28" i="32"/>
  <c r="AI28" i="32"/>
  <c r="AF28" i="32"/>
  <c r="AE28" i="32"/>
  <c r="Z28" i="32"/>
  <c r="Y28" i="32"/>
  <c r="Q28" i="32"/>
  <c r="AJ27" i="32"/>
  <c r="AI27" i="32"/>
  <c r="AF27" i="32"/>
  <c r="AE27" i="32"/>
  <c r="Z27" i="32"/>
  <c r="Y27" i="32"/>
  <c r="X27" i="32"/>
  <c r="AC27" i="32"/>
  <c r="AJ26" i="32"/>
  <c r="AI26" i="32"/>
  <c r="AF26" i="32"/>
  <c r="AE26" i="32"/>
  <c r="Z26" i="32"/>
  <c r="Y26" i="32"/>
  <c r="X26" i="32"/>
  <c r="AJ25" i="32"/>
  <c r="AH25" i="32"/>
  <c r="AF25" i="32"/>
  <c r="AD25" i="32"/>
  <c r="Z25" i="32"/>
  <c r="X25" i="32"/>
  <c r="Q25" i="32"/>
  <c r="V25" i="32"/>
  <c r="F25" i="33"/>
  <c r="J25" i="33"/>
  <c r="AE25" i="33"/>
  <c r="AI25" i="32"/>
  <c r="AJ23" i="32"/>
  <c r="AI23" i="32"/>
  <c r="AF23" i="32"/>
  <c r="AE23" i="32"/>
  <c r="Z23" i="32"/>
  <c r="Y23" i="32"/>
  <c r="AH23" i="32"/>
  <c r="AJ22" i="32"/>
  <c r="AI22" i="32"/>
  <c r="AF22" i="32"/>
  <c r="AE22" i="32"/>
  <c r="Z22" i="32"/>
  <c r="Y22" i="32"/>
  <c r="X22" i="32"/>
  <c r="AC22" i="32"/>
  <c r="AH22" i="32"/>
  <c r="AJ21" i="32"/>
  <c r="AI21" i="32"/>
  <c r="AF21" i="32"/>
  <c r="AE21" i="32"/>
  <c r="Z21" i="32"/>
  <c r="Y21" i="32"/>
  <c r="X21" i="32"/>
  <c r="AC21" i="32"/>
  <c r="AJ20" i="32"/>
  <c r="AH20" i="32"/>
  <c r="AF20" i="32"/>
  <c r="AD20" i="32"/>
  <c r="Z20" i="32"/>
  <c r="X20" i="32"/>
  <c r="Q20" i="32"/>
  <c r="V20" i="32"/>
  <c r="F20" i="33"/>
  <c r="J20" i="33"/>
  <c r="AE20" i="33"/>
  <c r="Y20" i="32"/>
  <c r="AJ19" i="32"/>
  <c r="AH19" i="32"/>
  <c r="AF19" i="32"/>
  <c r="AD19" i="32"/>
  <c r="Z19" i="32"/>
  <c r="X19" i="32"/>
  <c r="Q19" i="32"/>
  <c r="V19" i="32"/>
  <c r="F19" i="33"/>
  <c r="J19" i="33"/>
  <c r="AE19" i="33"/>
  <c r="Y19" i="32"/>
  <c r="AJ18" i="32"/>
  <c r="AH18" i="32"/>
  <c r="AF18" i="32"/>
  <c r="AD18" i="32"/>
  <c r="Z18" i="32"/>
  <c r="X18" i="32"/>
  <c r="Q18" i="32"/>
  <c r="Y18" i="32"/>
  <c r="AC18" i="32"/>
  <c r="V18" i="32"/>
  <c r="F18" i="33"/>
  <c r="J18" i="33"/>
  <c r="AE18" i="33"/>
  <c r="AI18" i="32"/>
  <c r="AJ17" i="32"/>
  <c r="AI17" i="32"/>
  <c r="AF17" i="32"/>
  <c r="AE17" i="32"/>
  <c r="Z17" i="32"/>
  <c r="Y17" i="32"/>
  <c r="Q17" i="32"/>
  <c r="AH17" i="32"/>
  <c r="AJ16" i="32"/>
  <c r="AH16" i="32"/>
  <c r="AF16" i="32"/>
  <c r="AD16" i="32"/>
  <c r="Z16" i="32"/>
  <c r="X16" i="32"/>
  <c r="Q16" i="32"/>
  <c r="V16" i="32"/>
  <c r="F16" i="33"/>
  <c r="J16" i="33"/>
  <c r="AE16" i="33"/>
  <c r="AI16" i="32"/>
  <c r="Y16" i="32"/>
  <c r="I42" i="31"/>
  <c r="AC61" i="33"/>
  <c r="X119" i="31"/>
  <c r="AC119" i="31"/>
  <c r="X24" i="31"/>
  <c r="AC24" i="31"/>
  <c r="V24" i="31"/>
  <c r="F24" i="32"/>
  <c r="J24" i="32"/>
  <c r="AD24" i="32"/>
  <c r="AI98" i="31"/>
  <c r="AC146" i="32"/>
  <c r="Y59" i="32"/>
  <c r="AC59" i="32"/>
  <c r="Y94" i="32"/>
  <c r="AC94" i="32"/>
  <c r="X23" i="32"/>
  <c r="AC23" i="32"/>
  <c r="AI44" i="32"/>
  <c r="AH49" i="32"/>
  <c r="X67" i="32"/>
  <c r="AC67" i="32"/>
  <c r="X141" i="32"/>
  <c r="AC141" i="32"/>
  <c r="AI214" i="32"/>
  <c r="AH217" i="32"/>
  <c r="AJ228" i="32"/>
  <c r="M231" i="32"/>
  <c r="J238" i="32"/>
  <c r="AI75" i="32"/>
  <c r="Y149" i="32"/>
  <c r="AC149" i="32"/>
  <c r="Y156" i="32"/>
  <c r="AC156" i="32"/>
  <c r="AC16" i="32"/>
  <c r="AI20" i="32"/>
  <c r="X42" i="32"/>
  <c r="AC42" i="32"/>
  <c r="AH56" i="32"/>
  <c r="X72" i="32"/>
  <c r="AC81" i="32"/>
  <c r="X90" i="32"/>
  <c r="AC90" i="32"/>
  <c r="X113" i="32"/>
  <c r="Z128" i="32"/>
  <c r="AI130" i="32"/>
  <c r="AH145" i="32"/>
  <c r="AH162" i="32"/>
  <c r="AI180" i="32"/>
  <c r="AH189" i="32"/>
  <c r="Y200" i="32"/>
  <c r="AC200" i="32"/>
  <c r="AH21" i="32"/>
  <c r="Y57" i="32"/>
  <c r="AC57" i="32"/>
  <c r="AJ61" i="32"/>
  <c r="AI79" i="32"/>
  <c r="AI19" i="32"/>
  <c r="AH26" i="32"/>
  <c r="X48" i="32"/>
  <c r="AC48" i="32"/>
  <c r="AI82" i="32"/>
  <c r="X87" i="32"/>
  <c r="AC87" i="32"/>
  <c r="AJ92" i="32"/>
  <c r="AC116" i="32"/>
  <c r="AC134" i="32"/>
  <c r="AH135" i="32"/>
  <c r="AI144" i="32"/>
  <c r="Y177" i="32"/>
  <c r="AC177" i="32"/>
  <c r="AH179" i="32"/>
  <c r="AC206" i="32"/>
  <c r="AC213" i="32"/>
  <c r="AC222" i="32"/>
  <c r="AI187" i="32"/>
  <c r="AI191" i="32"/>
  <c r="AJ211" i="32"/>
  <c r="AH101" i="32"/>
  <c r="AH104" i="32"/>
  <c r="AH110" i="32"/>
  <c r="AH116" i="32"/>
  <c r="X131" i="32"/>
  <c r="AC131" i="32"/>
  <c r="AH137" i="32"/>
  <c r="AI148" i="32"/>
  <c r="AI167" i="32"/>
  <c r="AC179" i="32"/>
  <c r="AH186" i="32"/>
  <c r="AH190" i="32"/>
  <c r="AC202" i="32"/>
  <c r="AH208" i="32"/>
  <c r="AH210" i="32"/>
  <c r="AC212" i="32"/>
  <c r="AH213" i="32"/>
  <c r="AC224" i="32"/>
  <c r="AH225" i="32"/>
  <c r="AH28" i="32"/>
  <c r="AI60" i="32"/>
  <c r="AC62" i="32"/>
  <c r="AI95" i="32"/>
  <c r="AC19" i="32"/>
  <c r="AC20" i="32"/>
  <c r="AH45" i="32"/>
  <c r="AH55" i="32"/>
  <c r="AC61" i="32"/>
  <c r="AH63" i="32"/>
  <c r="AH70" i="32"/>
  <c r="X78" i="32"/>
  <c r="AC78" i="32"/>
  <c r="AH81" i="32"/>
  <c r="AH89" i="32"/>
  <c r="AC121" i="32"/>
  <c r="AH122" i="32"/>
  <c r="AI132" i="32"/>
  <c r="AJ147" i="32"/>
  <c r="AC160" i="32"/>
  <c r="AJ183" i="32"/>
  <c r="AC187" i="32"/>
  <c r="AC197" i="32"/>
  <c r="AH73" i="32"/>
  <c r="X73" i="32"/>
  <c r="AH77" i="32"/>
  <c r="X77" i="32"/>
  <c r="AC77" i="32"/>
  <c r="AH43" i="32"/>
  <c r="Y25" i="32"/>
  <c r="AC25" i="32"/>
  <c r="AI53" i="32"/>
  <c r="AI80" i="32"/>
  <c r="Y80" i="32"/>
  <c r="AC80" i="32"/>
  <c r="X17" i="32"/>
  <c r="X46" i="32"/>
  <c r="X50" i="32"/>
  <c r="AC50" i="32"/>
  <c r="AC148" i="32"/>
  <c r="AC218" i="32"/>
  <c r="AC60" i="32"/>
  <c r="X69" i="32"/>
  <c r="AC69" i="32"/>
  <c r="AC130" i="32"/>
  <c r="AC132" i="32"/>
  <c r="AC211" i="32"/>
  <c r="Y84" i="32"/>
  <c r="AJ93" i="32"/>
  <c r="AH115" i="32"/>
  <c r="AH134" i="32"/>
  <c r="AH142" i="32"/>
  <c r="AH146" i="32"/>
  <c r="AI160" i="32"/>
  <c r="AI166" i="32"/>
  <c r="AH169" i="32"/>
  <c r="AH178" i="32"/>
  <c r="AH181" i="32"/>
  <c r="AI182" i="32"/>
  <c r="AH184" i="32"/>
  <c r="AI185" i="32"/>
  <c r="AH188" i="32"/>
  <c r="AI206" i="32"/>
  <c r="AJ207" i="32"/>
  <c r="AH212" i="32"/>
  <c r="AH216" i="32"/>
  <c r="AI221" i="32"/>
  <c r="AH224" i="32"/>
  <c r="Y98" i="32"/>
  <c r="AC98" i="32"/>
  <c r="X102" i="32"/>
  <c r="X114" i="32"/>
  <c r="Y155" i="32"/>
  <c r="AC155" i="32"/>
  <c r="T160" i="30"/>
  <c r="E164" i="31"/>
  <c r="E23" i="31"/>
  <c r="E21" i="31"/>
  <c r="E22" i="31"/>
  <c r="T127" i="30"/>
  <c r="AJ122" i="31"/>
  <c r="AI122" i="31"/>
  <c r="AF122" i="31"/>
  <c r="AE122" i="31"/>
  <c r="Z122" i="31"/>
  <c r="Y122" i="31"/>
  <c r="Q122" i="31"/>
  <c r="X122" i="31"/>
  <c r="AC122" i="31"/>
  <c r="AH122" i="31"/>
  <c r="J122" i="31"/>
  <c r="AD122" i="31"/>
  <c r="T76" i="30"/>
  <c r="AJ55" i="31"/>
  <c r="AI55" i="31"/>
  <c r="AF55" i="31"/>
  <c r="AE55" i="31"/>
  <c r="Z55" i="31"/>
  <c r="Y55" i="31"/>
  <c r="Q55" i="31"/>
  <c r="V55" i="31"/>
  <c r="F55" i="32"/>
  <c r="J55" i="32"/>
  <c r="AD55" i="32"/>
  <c r="AH55" i="31"/>
  <c r="J55" i="31"/>
  <c r="AD55" i="31"/>
  <c r="AL55" i="31"/>
  <c r="X55" i="31"/>
  <c r="T140" i="30"/>
  <c r="T207" i="30"/>
  <c r="J64" i="31"/>
  <c r="AD64" i="31"/>
  <c r="AE64" i="31"/>
  <c r="AF64" i="31"/>
  <c r="Q64" i="31"/>
  <c r="AI64" i="31"/>
  <c r="AJ64" i="31"/>
  <c r="Y64" i="31"/>
  <c r="Z64" i="31"/>
  <c r="E29" i="31"/>
  <c r="T17" i="30"/>
  <c r="T221" i="30"/>
  <c r="J78" i="31"/>
  <c r="AD78" i="31"/>
  <c r="AE78" i="31"/>
  <c r="AF78" i="31"/>
  <c r="Q78" i="31"/>
  <c r="V78" i="31"/>
  <c r="AI78" i="31"/>
  <c r="AJ78" i="31"/>
  <c r="Y78" i="31"/>
  <c r="Z78" i="31"/>
  <c r="F78" i="32"/>
  <c r="J78" i="32"/>
  <c r="AD78" i="32"/>
  <c r="E161" i="31"/>
  <c r="T181" i="30"/>
  <c r="E174" i="31"/>
  <c r="E56" i="31"/>
  <c r="J56" i="31"/>
  <c r="AD56" i="31"/>
  <c r="AJ56" i="31"/>
  <c r="AI56" i="31"/>
  <c r="AF56" i="31"/>
  <c r="AE56" i="31"/>
  <c r="Z56" i="31"/>
  <c r="Y56" i="31"/>
  <c r="Q56" i="31"/>
  <c r="V56" i="31"/>
  <c r="F56" i="32"/>
  <c r="J56" i="32"/>
  <c r="AD56" i="32"/>
  <c r="AH56" i="31"/>
  <c r="T183" i="30"/>
  <c r="E120" i="31"/>
  <c r="X56" i="31"/>
  <c r="AC56" i="31"/>
  <c r="E149" i="31"/>
  <c r="Q42" i="30"/>
  <c r="V42" i="30"/>
  <c r="Q128" i="30"/>
  <c r="V128" i="30"/>
  <c r="Q127" i="30"/>
  <c r="V127" i="30"/>
  <c r="F131" i="31"/>
  <c r="J131" i="31"/>
  <c r="AE131" i="31"/>
  <c r="Q126" i="30"/>
  <c r="V126" i="30"/>
  <c r="Q125" i="30"/>
  <c r="V125" i="30"/>
  <c r="Q124" i="30"/>
  <c r="V124" i="30"/>
  <c r="Q123" i="30"/>
  <c r="V123" i="30"/>
  <c r="F127" i="31"/>
  <c r="J127" i="31"/>
  <c r="AF127" i="31"/>
  <c r="Q122" i="30"/>
  <c r="V122" i="30"/>
  <c r="Q121" i="30"/>
  <c r="V121" i="30"/>
  <c r="Q203" i="30"/>
  <c r="V203" i="30"/>
  <c r="F208" i="31"/>
  <c r="J208" i="31"/>
  <c r="AD208" i="31"/>
  <c r="F130" i="31"/>
  <c r="J130" i="31"/>
  <c r="AD130" i="31"/>
  <c r="F43" i="31"/>
  <c r="J43" i="31"/>
  <c r="AD43" i="31"/>
  <c r="AB229" i="31"/>
  <c r="AA240" i="31"/>
  <c r="AF232" i="31"/>
  <c r="AD231" i="31"/>
  <c r="AF231" i="31"/>
  <c r="AA229" i="31"/>
  <c r="AA237" i="31"/>
  <c r="P229" i="31"/>
  <c r="O229" i="31"/>
  <c r="N229" i="31"/>
  <c r="M229" i="31"/>
  <c r="L229" i="31"/>
  <c r="H229" i="31"/>
  <c r="G229" i="31"/>
  <c r="AJ228" i="31"/>
  <c r="AI228" i="31"/>
  <c r="AF228" i="31"/>
  <c r="AE228" i="31"/>
  <c r="Z228" i="31"/>
  <c r="Y228" i="31"/>
  <c r="Q228" i="31"/>
  <c r="V228" i="31"/>
  <c r="X228" i="31"/>
  <c r="AC228" i="31"/>
  <c r="AI227" i="31"/>
  <c r="AH227" i="31"/>
  <c r="AE227" i="31"/>
  <c r="AD227" i="31"/>
  <c r="Y227" i="31"/>
  <c r="X227" i="31"/>
  <c r="Q227" i="31"/>
  <c r="AI226" i="31"/>
  <c r="AH226" i="31"/>
  <c r="AE226" i="31"/>
  <c r="AD226" i="31"/>
  <c r="Y226" i="31"/>
  <c r="X226" i="31"/>
  <c r="Q226" i="31"/>
  <c r="Z226" i="31"/>
  <c r="AJ225" i="31"/>
  <c r="AI225" i="31"/>
  <c r="AF225" i="31"/>
  <c r="AE225" i="31"/>
  <c r="Z225" i="31"/>
  <c r="Y225" i="31"/>
  <c r="X225" i="31"/>
  <c r="AC225" i="31"/>
  <c r="AJ224" i="31"/>
  <c r="AI224" i="31"/>
  <c r="AF224" i="31"/>
  <c r="AE224" i="31"/>
  <c r="Z224" i="31"/>
  <c r="Y224" i="31"/>
  <c r="Q224" i="31"/>
  <c r="AJ223" i="31"/>
  <c r="AI223" i="31"/>
  <c r="AF223" i="31"/>
  <c r="AE223" i="31"/>
  <c r="Z223" i="31"/>
  <c r="Y223" i="31"/>
  <c r="Q223" i="31"/>
  <c r="X223" i="31"/>
  <c r="AJ222" i="31"/>
  <c r="AH222" i="31"/>
  <c r="AF222" i="31"/>
  <c r="AD222" i="31"/>
  <c r="Z222" i="31"/>
  <c r="X222" i="31"/>
  <c r="Y222" i="31"/>
  <c r="AC222" i="31"/>
  <c r="F223" i="32"/>
  <c r="J223" i="32"/>
  <c r="AE223" i="32"/>
  <c r="AI222" i="31"/>
  <c r="AJ221" i="31"/>
  <c r="AI221" i="31"/>
  <c r="AF221" i="31"/>
  <c r="AE221" i="31"/>
  <c r="Z221" i="31"/>
  <c r="Y221" i="31"/>
  <c r="X221" i="31"/>
  <c r="AC221" i="31"/>
  <c r="AJ220" i="31"/>
  <c r="AH220" i="31"/>
  <c r="AF220" i="31"/>
  <c r="AD220" i="31"/>
  <c r="Z220" i="31"/>
  <c r="X220" i="31"/>
  <c r="Q220" i="31"/>
  <c r="AJ219" i="31"/>
  <c r="AH219" i="31"/>
  <c r="AF219" i="31"/>
  <c r="AD219" i="31"/>
  <c r="Z219" i="31"/>
  <c r="X219" i="31"/>
  <c r="Q219" i="31"/>
  <c r="V219" i="31"/>
  <c r="F220" i="32"/>
  <c r="J220" i="32"/>
  <c r="AE220" i="32"/>
  <c r="Y219" i="31"/>
  <c r="AJ218" i="31"/>
  <c r="AH218" i="31"/>
  <c r="AF218" i="31"/>
  <c r="AD218" i="31"/>
  <c r="Z218" i="31"/>
  <c r="X218" i="31"/>
  <c r="Q218" i="31"/>
  <c r="V218" i="31"/>
  <c r="F219" i="32"/>
  <c r="J219" i="32"/>
  <c r="AE219" i="32"/>
  <c r="AJ217" i="31"/>
  <c r="AH217" i="31"/>
  <c r="AF217" i="31"/>
  <c r="AD217" i="31"/>
  <c r="Z217" i="31"/>
  <c r="X217" i="31"/>
  <c r="Y217" i="31"/>
  <c r="AC217" i="31"/>
  <c r="AJ216" i="31"/>
  <c r="AI216" i="31"/>
  <c r="AF216" i="31"/>
  <c r="AE216" i="31"/>
  <c r="Z216" i="31"/>
  <c r="Y216" i="31"/>
  <c r="Q216" i="31"/>
  <c r="V216" i="31"/>
  <c r="F217" i="32"/>
  <c r="J217" i="32"/>
  <c r="AD217" i="32"/>
  <c r="X216" i="31"/>
  <c r="AC216" i="31"/>
  <c r="AJ215" i="31"/>
  <c r="AI215" i="31"/>
  <c r="AF215" i="31"/>
  <c r="AE215" i="31"/>
  <c r="Z215" i="31"/>
  <c r="Y215" i="31"/>
  <c r="J216" i="32"/>
  <c r="AD216" i="32"/>
  <c r="AL216" i="32"/>
  <c r="Q215" i="31"/>
  <c r="V215" i="31"/>
  <c r="AI214" i="31"/>
  <c r="AH214" i="31"/>
  <c r="AE214" i="31"/>
  <c r="AD214" i="31"/>
  <c r="Y214" i="31"/>
  <c r="X214" i="31"/>
  <c r="Q214" i="31"/>
  <c r="Z214" i="31"/>
  <c r="AC214" i="31"/>
  <c r="V214" i="31"/>
  <c r="F215" i="32"/>
  <c r="J215" i="32"/>
  <c r="AF215" i="32"/>
  <c r="AJ214" i="31"/>
  <c r="AJ213" i="31"/>
  <c r="AH213" i="31"/>
  <c r="AF213" i="31"/>
  <c r="AD213" i="31"/>
  <c r="Z213" i="31"/>
  <c r="X213" i="31"/>
  <c r="Q213" i="31"/>
  <c r="V213" i="31"/>
  <c r="F214" i="32"/>
  <c r="J214" i="32"/>
  <c r="AE214" i="32"/>
  <c r="AJ212" i="31"/>
  <c r="AI212" i="31"/>
  <c r="AF212" i="31"/>
  <c r="AE212" i="31"/>
  <c r="Z212" i="31"/>
  <c r="Y212" i="31"/>
  <c r="Q212" i="31"/>
  <c r="X212" i="31"/>
  <c r="AJ211" i="31"/>
  <c r="AI211" i="31"/>
  <c r="AF211" i="31"/>
  <c r="AE211" i="31"/>
  <c r="Z211" i="31"/>
  <c r="Y211" i="31"/>
  <c r="F212" i="32"/>
  <c r="J212" i="32"/>
  <c r="AD212" i="32"/>
  <c r="X211" i="31"/>
  <c r="AC211" i="31"/>
  <c r="AI210" i="31"/>
  <c r="AH210" i="31"/>
  <c r="AE210" i="31"/>
  <c r="AD210" i="31"/>
  <c r="Y210" i="31"/>
  <c r="X210" i="31"/>
  <c r="Q210" i="31"/>
  <c r="V210" i="31"/>
  <c r="F211" i="32"/>
  <c r="J211" i="32"/>
  <c r="AF211" i="32"/>
  <c r="AJ209" i="31"/>
  <c r="AI209" i="31"/>
  <c r="AF209" i="31"/>
  <c r="AE209" i="31"/>
  <c r="Z209" i="31"/>
  <c r="Y209" i="31"/>
  <c r="Q209" i="31"/>
  <c r="AJ208" i="31"/>
  <c r="AI208" i="31"/>
  <c r="AF208" i="31"/>
  <c r="AE208" i="31"/>
  <c r="Z208" i="31"/>
  <c r="Y208" i="31"/>
  <c r="Q208" i="31"/>
  <c r="AJ207" i="31"/>
  <c r="AI207" i="31"/>
  <c r="AF207" i="31"/>
  <c r="AE207" i="31"/>
  <c r="Z207" i="31"/>
  <c r="Y207" i="31"/>
  <c r="Q207" i="31"/>
  <c r="V207" i="31"/>
  <c r="F208" i="32"/>
  <c r="J208" i="32"/>
  <c r="AD208" i="32"/>
  <c r="X207" i="31"/>
  <c r="AC207" i="31"/>
  <c r="AI206" i="31"/>
  <c r="AH206" i="31"/>
  <c r="AE206" i="31"/>
  <c r="AD206" i="31"/>
  <c r="Y206" i="31"/>
  <c r="X206" i="31"/>
  <c r="Q206" i="31"/>
  <c r="V206" i="31"/>
  <c r="F207" i="32"/>
  <c r="J207" i="32"/>
  <c r="AF207" i="32"/>
  <c r="AJ206" i="31"/>
  <c r="AJ205" i="31"/>
  <c r="AH205" i="31"/>
  <c r="AF205" i="31"/>
  <c r="AD205" i="31"/>
  <c r="Z205" i="31"/>
  <c r="X205" i="31"/>
  <c r="Q205" i="31"/>
  <c r="AI204" i="31"/>
  <c r="AH204" i="31"/>
  <c r="AE204" i="31"/>
  <c r="AD204" i="31"/>
  <c r="Y204" i="31"/>
  <c r="X204" i="31"/>
  <c r="F205" i="32"/>
  <c r="J205" i="32"/>
  <c r="AF205" i="32"/>
  <c r="AJ204" i="31"/>
  <c r="AJ203" i="31"/>
  <c r="AH203" i="31"/>
  <c r="AF203" i="31"/>
  <c r="AD203" i="31"/>
  <c r="Z203" i="31"/>
  <c r="Q203" i="31"/>
  <c r="Y203" i="31"/>
  <c r="X203" i="31"/>
  <c r="AC203" i="31"/>
  <c r="AJ202" i="31"/>
  <c r="AH202" i="31"/>
  <c r="AF202" i="31"/>
  <c r="AD202" i="31"/>
  <c r="Z202" i="31"/>
  <c r="X202" i="31"/>
  <c r="F203" i="32"/>
  <c r="J203" i="32"/>
  <c r="AE203" i="32"/>
  <c r="AJ201" i="31"/>
  <c r="AH201" i="31"/>
  <c r="AF201" i="31"/>
  <c r="AD201" i="31"/>
  <c r="Z201" i="31"/>
  <c r="X201" i="31"/>
  <c r="Q201" i="31"/>
  <c r="V201" i="31"/>
  <c r="F202" i="32"/>
  <c r="J202" i="32"/>
  <c r="AE202" i="32"/>
  <c r="AJ200" i="31"/>
  <c r="AH200" i="31"/>
  <c r="AF200" i="31"/>
  <c r="AD200" i="31"/>
  <c r="Z200" i="31"/>
  <c r="X200" i="31"/>
  <c r="AI200" i="31"/>
  <c r="AJ199" i="31"/>
  <c r="AH199" i="31"/>
  <c r="AF199" i="31"/>
  <c r="AD199" i="31"/>
  <c r="Z199" i="31"/>
  <c r="X199" i="31"/>
  <c r="Q199" i="31"/>
  <c r="I229" i="31"/>
  <c r="AJ198" i="31"/>
  <c r="AH198" i="31"/>
  <c r="AF198" i="31"/>
  <c r="AD198" i="31"/>
  <c r="Z198" i="31"/>
  <c r="X198" i="31"/>
  <c r="Q198" i="31"/>
  <c r="V198" i="31"/>
  <c r="F199" i="32"/>
  <c r="J199" i="32"/>
  <c r="AE199" i="32"/>
  <c r="AI198" i="31"/>
  <c r="AJ197" i="31"/>
  <c r="AI197" i="31"/>
  <c r="AF197" i="31"/>
  <c r="AE197" i="31"/>
  <c r="Z197" i="31"/>
  <c r="Y197" i="31"/>
  <c r="Q197" i="31"/>
  <c r="AJ196" i="31"/>
  <c r="AI196" i="31"/>
  <c r="AF196" i="31"/>
  <c r="AE196" i="31"/>
  <c r="Z196" i="31"/>
  <c r="Y196" i="31"/>
  <c r="Q196" i="31"/>
  <c r="X196" i="31"/>
  <c r="AJ195" i="31"/>
  <c r="AI195" i="31"/>
  <c r="AF195" i="31"/>
  <c r="AE195" i="31"/>
  <c r="Z195" i="31"/>
  <c r="Y195" i="31"/>
  <c r="F196" i="32"/>
  <c r="J196" i="32"/>
  <c r="AD196" i="32"/>
  <c r="AH196" i="32"/>
  <c r="AL196" i="32"/>
  <c r="X195" i="31"/>
  <c r="AC195" i="31"/>
  <c r="AJ194" i="31"/>
  <c r="AH194" i="31"/>
  <c r="AF194" i="31"/>
  <c r="AD194" i="31"/>
  <c r="Z194" i="31"/>
  <c r="X194" i="31"/>
  <c r="Q194" i="31"/>
  <c r="V194" i="31"/>
  <c r="F195" i="32"/>
  <c r="J195" i="32"/>
  <c r="AE195" i="32"/>
  <c r="Y194" i="31"/>
  <c r="AC194" i="31"/>
  <c r="AJ192" i="31"/>
  <c r="AH192" i="31"/>
  <c r="AF192" i="31"/>
  <c r="AD192" i="31"/>
  <c r="Z192" i="31"/>
  <c r="X192" i="31"/>
  <c r="Q192" i="31"/>
  <c r="Y192" i="31"/>
  <c r="AC192" i="31"/>
  <c r="AI192" i="31"/>
  <c r="AJ191" i="31"/>
  <c r="AH191" i="31"/>
  <c r="AF191" i="31"/>
  <c r="AD191" i="31"/>
  <c r="Z191" i="31"/>
  <c r="X191" i="31"/>
  <c r="Q191" i="31"/>
  <c r="AJ190" i="31"/>
  <c r="AH190" i="31"/>
  <c r="AF190" i="31"/>
  <c r="AD190" i="31"/>
  <c r="Z190" i="31"/>
  <c r="X190" i="31"/>
  <c r="AI190" i="31"/>
  <c r="AJ189" i="31"/>
  <c r="AI189" i="31"/>
  <c r="AF189" i="31"/>
  <c r="AE189" i="31"/>
  <c r="Z189" i="31"/>
  <c r="Q189" i="31"/>
  <c r="X189" i="31"/>
  <c r="Y189" i="31"/>
  <c r="AC189" i="31"/>
  <c r="V189" i="31"/>
  <c r="F190" i="32"/>
  <c r="J190" i="32"/>
  <c r="AD190" i="32"/>
  <c r="AH189" i="31"/>
  <c r="AJ188" i="31"/>
  <c r="AI188" i="31"/>
  <c r="AF188" i="31"/>
  <c r="AE188" i="31"/>
  <c r="Z188" i="31"/>
  <c r="Y188" i="31"/>
  <c r="Q188" i="31"/>
  <c r="AJ187" i="31"/>
  <c r="AI187" i="31"/>
  <c r="AF187" i="31"/>
  <c r="AE187" i="31"/>
  <c r="Z187" i="31"/>
  <c r="Y187" i="31"/>
  <c r="Q187" i="31"/>
  <c r="AH187" i="31"/>
  <c r="AJ186" i="31"/>
  <c r="AH186" i="31"/>
  <c r="AF186" i="31"/>
  <c r="AD186" i="31"/>
  <c r="Z186" i="31"/>
  <c r="X186" i="31"/>
  <c r="Q186" i="31"/>
  <c r="AJ185" i="31"/>
  <c r="AI185" i="31"/>
  <c r="AF185" i="31"/>
  <c r="AE185" i="31"/>
  <c r="Z185" i="31"/>
  <c r="Y185" i="31"/>
  <c r="X185" i="31"/>
  <c r="AC185" i="31"/>
  <c r="AH185" i="31"/>
  <c r="AJ184" i="31"/>
  <c r="AH184" i="31"/>
  <c r="AF184" i="31"/>
  <c r="AD184" i="31"/>
  <c r="Z184" i="31"/>
  <c r="X184" i="31"/>
  <c r="Q184" i="31"/>
  <c r="AJ183" i="31"/>
  <c r="AI183" i="31"/>
  <c r="AF183" i="31"/>
  <c r="AE183" i="31"/>
  <c r="Z183" i="31"/>
  <c r="Y183" i="31"/>
  <c r="Q183" i="31"/>
  <c r="V183" i="31"/>
  <c r="F184" i="32"/>
  <c r="J184" i="32"/>
  <c r="AD184" i="32"/>
  <c r="AH183" i="31"/>
  <c r="AI182" i="31"/>
  <c r="AH182" i="31"/>
  <c r="AE182" i="31"/>
  <c r="AD182" i="31"/>
  <c r="Y182" i="31"/>
  <c r="X182" i="31"/>
  <c r="Z182" i="31"/>
  <c r="AC182" i="31"/>
  <c r="AJ181" i="31"/>
  <c r="AH181" i="31"/>
  <c r="AF181" i="31"/>
  <c r="AD181" i="31"/>
  <c r="Z181" i="31"/>
  <c r="X181" i="31"/>
  <c r="Q181" i="31"/>
  <c r="V181" i="31"/>
  <c r="F182" i="32"/>
  <c r="J182" i="32"/>
  <c r="AE182" i="32"/>
  <c r="Y181" i="31"/>
  <c r="AJ180" i="31"/>
  <c r="AI180" i="31"/>
  <c r="AF180" i="31"/>
  <c r="AE180" i="31"/>
  <c r="Z180" i="31"/>
  <c r="Y180" i="31"/>
  <c r="Q180" i="31"/>
  <c r="AJ179" i="31"/>
  <c r="AH179" i="31"/>
  <c r="AF179" i="31"/>
  <c r="AD179" i="31"/>
  <c r="Z179" i="31"/>
  <c r="X179" i="31"/>
  <c r="Q179" i="31"/>
  <c r="V179" i="31"/>
  <c r="F180" i="32"/>
  <c r="J180" i="32"/>
  <c r="AE180" i="32"/>
  <c r="AJ178" i="31"/>
  <c r="AI178" i="31"/>
  <c r="AF178" i="31"/>
  <c r="AE178" i="31"/>
  <c r="Z178" i="31"/>
  <c r="Y178" i="31"/>
  <c r="X178" i="31"/>
  <c r="F179" i="32"/>
  <c r="J179" i="32"/>
  <c r="AD179" i="32"/>
  <c r="AH178" i="31"/>
  <c r="AJ177" i="31"/>
  <c r="AI177" i="31"/>
  <c r="AF177" i="31"/>
  <c r="AE177" i="31"/>
  <c r="Z177" i="31"/>
  <c r="Y177" i="31"/>
  <c r="Q177" i="31"/>
  <c r="AH177" i="31"/>
  <c r="AJ176" i="31"/>
  <c r="AH176" i="31"/>
  <c r="AF176" i="31"/>
  <c r="AD176" i="31"/>
  <c r="Z176" i="31"/>
  <c r="X176" i="31"/>
  <c r="Q176" i="31"/>
  <c r="V176" i="31"/>
  <c r="F177" i="32"/>
  <c r="J177" i="32"/>
  <c r="AE177" i="32"/>
  <c r="Y176" i="31"/>
  <c r="AC176" i="31"/>
  <c r="AJ175" i="31"/>
  <c r="AI175" i="31"/>
  <c r="AF175" i="31"/>
  <c r="AE175" i="31"/>
  <c r="Z175" i="31"/>
  <c r="Y175" i="31"/>
  <c r="Q175" i="31"/>
  <c r="V175" i="31"/>
  <c r="F176" i="32"/>
  <c r="J176" i="32"/>
  <c r="AD176" i="32"/>
  <c r="AH176" i="32"/>
  <c r="AL176" i="32"/>
  <c r="X175" i="31"/>
  <c r="AC175" i="31"/>
  <c r="AJ174" i="31"/>
  <c r="AI174" i="31"/>
  <c r="AF174" i="31"/>
  <c r="AE174" i="31"/>
  <c r="Z174" i="31"/>
  <c r="Y174" i="31"/>
  <c r="X174" i="31"/>
  <c r="AJ173" i="31"/>
  <c r="AI173" i="31"/>
  <c r="AF173" i="31"/>
  <c r="AE173" i="31"/>
  <c r="Z173" i="31"/>
  <c r="Y173" i="31"/>
  <c r="Q173" i="31"/>
  <c r="AH173" i="31"/>
  <c r="AJ172" i="31"/>
  <c r="AI172" i="31"/>
  <c r="AF172" i="31"/>
  <c r="AE172" i="31"/>
  <c r="Z172" i="31"/>
  <c r="Y172" i="31"/>
  <c r="Q172" i="31"/>
  <c r="V172" i="31"/>
  <c r="F173" i="32"/>
  <c r="J173" i="32"/>
  <c r="AD173" i="32"/>
  <c r="X172" i="31"/>
  <c r="AJ171" i="31"/>
  <c r="AI171" i="31"/>
  <c r="AF171" i="31"/>
  <c r="AE171" i="31"/>
  <c r="Z171" i="31"/>
  <c r="Y171" i="31"/>
  <c r="Q171" i="31"/>
  <c r="V171" i="31"/>
  <c r="F172" i="32"/>
  <c r="J172" i="32"/>
  <c r="AD172" i="32"/>
  <c r="AJ170" i="31"/>
  <c r="AI170" i="31"/>
  <c r="AF170" i="31"/>
  <c r="AE170" i="31"/>
  <c r="Z170" i="31"/>
  <c r="Y170" i="31"/>
  <c r="AH170" i="31"/>
  <c r="AJ169" i="31"/>
  <c r="AI169" i="31"/>
  <c r="AF169" i="31"/>
  <c r="AE169" i="31"/>
  <c r="Z169" i="31"/>
  <c r="Y169" i="31"/>
  <c r="Q169" i="31"/>
  <c r="AJ168" i="31"/>
  <c r="AI168" i="31"/>
  <c r="Q168" i="31"/>
  <c r="AH168" i="31"/>
  <c r="AF168" i="31"/>
  <c r="AE168" i="31"/>
  <c r="Z168" i="31"/>
  <c r="Y168" i="31"/>
  <c r="V168" i="31"/>
  <c r="F169" i="32"/>
  <c r="J169" i="32"/>
  <c r="AD169" i="32"/>
  <c r="X168" i="31"/>
  <c r="AC168" i="31"/>
  <c r="AJ167" i="31"/>
  <c r="AI167" i="31"/>
  <c r="AF167" i="31"/>
  <c r="AE167" i="31"/>
  <c r="Z167" i="31"/>
  <c r="Y167" i="31"/>
  <c r="Q167" i="31"/>
  <c r="AJ166" i="31"/>
  <c r="AH166" i="31"/>
  <c r="AF166" i="31"/>
  <c r="AD166" i="31"/>
  <c r="Z166" i="31"/>
  <c r="X166" i="31"/>
  <c r="AI166" i="31"/>
  <c r="AJ165" i="31"/>
  <c r="AH165" i="31"/>
  <c r="AF165" i="31"/>
  <c r="AD165" i="31"/>
  <c r="Z165" i="31"/>
  <c r="X165" i="31"/>
  <c r="Q165" i="31"/>
  <c r="Y165" i="31"/>
  <c r="AC165" i="31"/>
  <c r="AI165" i="31"/>
  <c r="AJ164" i="31"/>
  <c r="AH164" i="31"/>
  <c r="AF164" i="31"/>
  <c r="AD164" i="31"/>
  <c r="Z164" i="31"/>
  <c r="X164" i="31"/>
  <c r="Q164" i="31"/>
  <c r="V164" i="31"/>
  <c r="F165" i="32"/>
  <c r="J165" i="32"/>
  <c r="AE165" i="32"/>
  <c r="AI164" i="31"/>
  <c r="AJ163" i="31"/>
  <c r="AH163" i="31"/>
  <c r="AF163" i="31"/>
  <c r="AD163" i="31"/>
  <c r="Z163" i="31"/>
  <c r="X163" i="31"/>
  <c r="Q163" i="31"/>
  <c r="V163" i="31"/>
  <c r="F164" i="32"/>
  <c r="J164" i="32"/>
  <c r="AE164" i="32"/>
  <c r="Y163" i="31"/>
  <c r="AC163" i="31"/>
  <c r="AJ162" i="31"/>
  <c r="AH162" i="31"/>
  <c r="AF162" i="31"/>
  <c r="AD162" i="31"/>
  <c r="Z162" i="31"/>
  <c r="X162" i="31"/>
  <c r="Q162" i="31"/>
  <c r="AI162" i="31"/>
  <c r="AJ161" i="31"/>
  <c r="AI161" i="31"/>
  <c r="AF161" i="31"/>
  <c r="AE161" i="31"/>
  <c r="Z161" i="31"/>
  <c r="Y161" i="31"/>
  <c r="Q161" i="31"/>
  <c r="AJ160" i="31"/>
  <c r="AI160" i="31"/>
  <c r="AF160" i="31"/>
  <c r="AE160" i="31"/>
  <c r="Z160" i="31"/>
  <c r="Y160" i="31"/>
  <c r="Q160" i="31"/>
  <c r="AJ159" i="31"/>
  <c r="AH159" i="31"/>
  <c r="AF159" i="31"/>
  <c r="AD159" i="31"/>
  <c r="Z159" i="31"/>
  <c r="X159" i="31"/>
  <c r="Q159" i="31"/>
  <c r="V159" i="31"/>
  <c r="F160" i="32"/>
  <c r="J160" i="32"/>
  <c r="AE160" i="32"/>
  <c r="AJ158" i="31"/>
  <c r="AH158" i="31"/>
  <c r="AF158" i="31"/>
  <c r="AD158" i="31"/>
  <c r="Z158" i="31"/>
  <c r="X158" i="31"/>
  <c r="Q158" i="31"/>
  <c r="AJ157" i="31"/>
  <c r="AI157" i="31"/>
  <c r="AF157" i="31"/>
  <c r="AE157" i="31"/>
  <c r="Z157" i="31"/>
  <c r="Y157" i="31"/>
  <c r="Q157" i="31"/>
  <c r="V157" i="31"/>
  <c r="F158" i="32"/>
  <c r="J158" i="32"/>
  <c r="AD158" i="32"/>
  <c r="AI156" i="31"/>
  <c r="AH156" i="31"/>
  <c r="AE156" i="31"/>
  <c r="AD156" i="31"/>
  <c r="Y156" i="31"/>
  <c r="X156" i="31"/>
  <c r="Q156" i="31"/>
  <c r="Z156" i="31"/>
  <c r="AC156" i="31"/>
  <c r="AJ155" i="31"/>
  <c r="AH155" i="31"/>
  <c r="AF155" i="31"/>
  <c r="AD155" i="31"/>
  <c r="Z155" i="31"/>
  <c r="X155" i="31"/>
  <c r="Q155" i="31"/>
  <c r="V155" i="31"/>
  <c r="F156" i="32"/>
  <c r="J156" i="32"/>
  <c r="AE156" i="32"/>
  <c r="Y155" i="31"/>
  <c r="AC155" i="31"/>
  <c r="AJ154" i="31"/>
  <c r="AH154" i="31"/>
  <c r="AF154" i="31"/>
  <c r="AD154" i="31"/>
  <c r="Z154" i="31"/>
  <c r="X154" i="31"/>
  <c r="Y154" i="31"/>
  <c r="AC154" i="31"/>
  <c r="AI153" i="31"/>
  <c r="AH153" i="31"/>
  <c r="AE153" i="31"/>
  <c r="AD153" i="31"/>
  <c r="Y153" i="31"/>
  <c r="X153" i="31"/>
  <c r="Q153" i="31"/>
  <c r="V153" i="31"/>
  <c r="F154" i="32"/>
  <c r="J154" i="32"/>
  <c r="AF154" i="32"/>
  <c r="Z153" i="31"/>
  <c r="AJ152" i="31"/>
  <c r="AI152" i="31"/>
  <c r="Q152" i="31"/>
  <c r="AH152" i="31"/>
  <c r="AF152" i="31"/>
  <c r="AE152" i="31"/>
  <c r="Z152" i="31"/>
  <c r="Y152" i="31"/>
  <c r="V152" i="31"/>
  <c r="F153" i="32"/>
  <c r="J153" i="32"/>
  <c r="AD153" i="32"/>
  <c r="X152" i="31"/>
  <c r="AC152" i="31"/>
  <c r="AJ151" i="31"/>
  <c r="AI151" i="31"/>
  <c r="AF151" i="31"/>
  <c r="AE151" i="31"/>
  <c r="Z151" i="31"/>
  <c r="Y151" i="31"/>
  <c r="Q151" i="31"/>
  <c r="V151" i="31"/>
  <c r="F152" i="32"/>
  <c r="J152" i="32"/>
  <c r="AD152" i="32"/>
  <c r="X151" i="31"/>
  <c r="AI150" i="31"/>
  <c r="AH150" i="31"/>
  <c r="AE150" i="31"/>
  <c r="AD150" i="31"/>
  <c r="Y150" i="31"/>
  <c r="X150" i="31"/>
  <c r="Q150" i="31"/>
  <c r="V150" i="31"/>
  <c r="F151" i="32"/>
  <c r="J151" i="32"/>
  <c r="AF151" i="32"/>
  <c r="AJ149" i="31"/>
  <c r="AI149" i="31"/>
  <c r="AF149" i="31"/>
  <c r="AE149" i="31"/>
  <c r="Z149" i="31"/>
  <c r="Y149" i="31"/>
  <c r="Q149" i="31"/>
  <c r="V149" i="31"/>
  <c r="F150" i="32"/>
  <c r="J150" i="32"/>
  <c r="AD150" i="32"/>
  <c r="AJ148" i="31"/>
  <c r="AH148" i="31"/>
  <c r="AF148" i="31"/>
  <c r="AD148" i="31"/>
  <c r="Z148" i="31"/>
  <c r="X148" i="31"/>
  <c r="Q148" i="31"/>
  <c r="Y148" i="31"/>
  <c r="AC148" i="31"/>
  <c r="AJ147" i="31"/>
  <c r="AH147" i="31"/>
  <c r="AF147" i="31"/>
  <c r="AD147" i="31"/>
  <c r="Z147" i="31"/>
  <c r="X147" i="31"/>
  <c r="Q147" i="31"/>
  <c r="V147" i="31"/>
  <c r="F148" i="32"/>
  <c r="J148" i="32"/>
  <c r="AE148" i="32"/>
  <c r="AI147" i="31"/>
  <c r="AI146" i="31"/>
  <c r="AH146" i="31"/>
  <c r="AE146" i="31"/>
  <c r="AD146" i="31"/>
  <c r="Y146" i="31"/>
  <c r="X146" i="31"/>
  <c r="Q146" i="31"/>
  <c r="AJ145" i="31"/>
  <c r="AI145" i="31"/>
  <c r="AF145" i="31"/>
  <c r="AE145" i="31"/>
  <c r="Z145" i="31"/>
  <c r="Y145" i="31"/>
  <c r="Q145" i="31"/>
  <c r="V145" i="31"/>
  <c r="F146" i="32"/>
  <c r="J146" i="32"/>
  <c r="AD146" i="32"/>
  <c r="AJ144" i="31"/>
  <c r="AI144" i="31"/>
  <c r="AF144" i="31"/>
  <c r="AE144" i="31"/>
  <c r="Z144" i="31"/>
  <c r="Y144" i="31"/>
  <c r="Q144" i="31"/>
  <c r="V144" i="31"/>
  <c r="F145" i="32"/>
  <c r="J145" i="32"/>
  <c r="AD145" i="32"/>
  <c r="AH144" i="31"/>
  <c r="AJ143" i="31"/>
  <c r="AH143" i="31"/>
  <c r="AF143" i="31"/>
  <c r="AD143" i="31"/>
  <c r="Z143" i="31"/>
  <c r="X143" i="31"/>
  <c r="Q143" i="31"/>
  <c r="AI143" i="31"/>
  <c r="AJ142" i="31"/>
  <c r="AH142" i="31"/>
  <c r="AF142" i="31"/>
  <c r="AD142" i="31"/>
  <c r="Z142" i="31"/>
  <c r="X142" i="31"/>
  <c r="Q142" i="31"/>
  <c r="V142" i="31"/>
  <c r="F143" i="32"/>
  <c r="J143" i="32"/>
  <c r="AE143" i="32"/>
  <c r="AJ141" i="31"/>
  <c r="AI141" i="31"/>
  <c r="AF141" i="31"/>
  <c r="AE141" i="31"/>
  <c r="Z141" i="31"/>
  <c r="Y141" i="31"/>
  <c r="X141" i="31"/>
  <c r="AJ140" i="31"/>
  <c r="AI140" i="31"/>
  <c r="AF140" i="31"/>
  <c r="AE140" i="31"/>
  <c r="Z140" i="31"/>
  <c r="Y140" i="31"/>
  <c r="Q140" i="31"/>
  <c r="AJ139" i="31"/>
  <c r="AI139" i="31"/>
  <c r="AF139" i="31"/>
  <c r="AE139" i="31"/>
  <c r="Z139" i="31"/>
  <c r="Y139" i="31"/>
  <c r="Q139" i="31"/>
  <c r="V139" i="31"/>
  <c r="F140" i="32"/>
  <c r="J140" i="32"/>
  <c r="AD140" i="32"/>
  <c r="AH139" i="31"/>
  <c r="AJ138" i="31"/>
  <c r="AI138" i="31"/>
  <c r="AF138" i="31"/>
  <c r="AE138" i="31"/>
  <c r="Z138" i="31"/>
  <c r="Y138" i="31"/>
  <c r="Q138" i="31"/>
  <c r="AJ137" i="31"/>
  <c r="AI137" i="31"/>
  <c r="AF137" i="31"/>
  <c r="AE137" i="31"/>
  <c r="Z137" i="31"/>
  <c r="Y137" i="31"/>
  <c r="X137" i="31"/>
  <c r="AJ136" i="31"/>
  <c r="AI136" i="31"/>
  <c r="AF136" i="31"/>
  <c r="AE136" i="31"/>
  <c r="Z136" i="31"/>
  <c r="Y136" i="31"/>
  <c r="Q136" i="31"/>
  <c r="AJ135" i="31"/>
  <c r="AI135" i="31"/>
  <c r="AF135" i="31"/>
  <c r="AE135" i="31"/>
  <c r="Z135" i="31"/>
  <c r="Y135" i="31"/>
  <c r="Q135" i="31"/>
  <c r="V135" i="31"/>
  <c r="F136" i="32"/>
  <c r="J136" i="32"/>
  <c r="AD136" i="32"/>
  <c r="X135" i="31"/>
  <c r="AC135" i="31"/>
  <c r="AJ134" i="31"/>
  <c r="AI134" i="31"/>
  <c r="AF134" i="31"/>
  <c r="AE134" i="31"/>
  <c r="Z134" i="31"/>
  <c r="Y134" i="31"/>
  <c r="Q134" i="31"/>
  <c r="V134" i="31"/>
  <c r="F135" i="32"/>
  <c r="J135" i="32"/>
  <c r="AD135" i="32"/>
  <c r="AH134" i="31"/>
  <c r="AJ133" i="31"/>
  <c r="AI133" i="31"/>
  <c r="AF133" i="31"/>
  <c r="AE133" i="31"/>
  <c r="Z133" i="31"/>
  <c r="Y133" i="31"/>
  <c r="Q133" i="31"/>
  <c r="V133" i="31"/>
  <c r="F134" i="32"/>
  <c r="J134" i="32"/>
  <c r="AD134" i="32"/>
  <c r="AJ132" i="31"/>
  <c r="AI132" i="31"/>
  <c r="AF132" i="31"/>
  <c r="AE132" i="31"/>
  <c r="Z132" i="31"/>
  <c r="Y132" i="31"/>
  <c r="Q132" i="31"/>
  <c r="V132" i="31"/>
  <c r="F133" i="32"/>
  <c r="J133" i="32"/>
  <c r="AD133" i="32"/>
  <c r="X132" i="31"/>
  <c r="AC132" i="31"/>
  <c r="AJ131" i="31"/>
  <c r="AH131" i="31"/>
  <c r="AF131" i="31"/>
  <c r="AD131" i="31"/>
  <c r="Z131" i="31"/>
  <c r="X131" i="31"/>
  <c r="Y131" i="31"/>
  <c r="AC131" i="31"/>
  <c r="AI131" i="31"/>
  <c r="AJ130" i="31"/>
  <c r="AI130" i="31"/>
  <c r="AF130" i="31"/>
  <c r="AE130" i="31"/>
  <c r="Z130" i="31"/>
  <c r="Y130" i="31"/>
  <c r="Q130" i="31"/>
  <c r="V130" i="31"/>
  <c r="F131" i="32"/>
  <c r="J131" i="32"/>
  <c r="AD131" i="32"/>
  <c r="AH130" i="31"/>
  <c r="AJ129" i="31"/>
  <c r="AH129" i="31"/>
  <c r="AF129" i="31"/>
  <c r="AD129" i="31"/>
  <c r="Z129" i="31"/>
  <c r="X129" i="31"/>
  <c r="Q129" i="31"/>
  <c r="AJ128" i="31"/>
  <c r="AH128" i="31"/>
  <c r="AF128" i="31"/>
  <c r="AD128" i="31"/>
  <c r="Z128" i="31"/>
  <c r="X128" i="31"/>
  <c r="F129" i="32"/>
  <c r="J129" i="32"/>
  <c r="AE129" i="32"/>
  <c r="AI128" i="31"/>
  <c r="AI127" i="31"/>
  <c r="AH127" i="31"/>
  <c r="AE127" i="31"/>
  <c r="AD127" i="31"/>
  <c r="Y127" i="31"/>
  <c r="X127" i="31"/>
  <c r="Z127" i="31"/>
  <c r="AC127" i="31"/>
  <c r="AJ126" i="31"/>
  <c r="AI126" i="31"/>
  <c r="AF126" i="31"/>
  <c r="AE126" i="31"/>
  <c r="Z126" i="31"/>
  <c r="Y126" i="31"/>
  <c r="Q126" i="31"/>
  <c r="V126" i="31"/>
  <c r="F127" i="32"/>
  <c r="J127" i="32"/>
  <c r="AD127" i="32"/>
  <c r="X126" i="31"/>
  <c r="AJ125" i="31"/>
  <c r="AH125" i="31"/>
  <c r="AF125" i="31"/>
  <c r="AD125" i="31"/>
  <c r="Z125" i="31"/>
  <c r="X125" i="31"/>
  <c r="Q125" i="31"/>
  <c r="V125" i="31"/>
  <c r="F126" i="32"/>
  <c r="J126" i="32"/>
  <c r="AE126" i="32"/>
  <c r="AJ124" i="31"/>
  <c r="AI124" i="31"/>
  <c r="AF124" i="31"/>
  <c r="AE124" i="31"/>
  <c r="Z124" i="31"/>
  <c r="Y124" i="31"/>
  <c r="AH124" i="31"/>
  <c r="AJ121" i="31"/>
  <c r="AI121" i="31"/>
  <c r="AF121" i="31"/>
  <c r="AE121" i="31"/>
  <c r="Z121" i="31"/>
  <c r="Y121" i="31"/>
  <c r="Q121" i="31"/>
  <c r="AJ120" i="31"/>
  <c r="AI120" i="31"/>
  <c r="AF120" i="31"/>
  <c r="AE120" i="31"/>
  <c r="Z120" i="31"/>
  <c r="Y120" i="31"/>
  <c r="Q120" i="31"/>
  <c r="V120" i="31"/>
  <c r="F121" i="32"/>
  <c r="J121" i="32"/>
  <c r="AD121" i="32"/>
  <c r="AH121" i="32"/>
  <c r="AL121" i="32"/>
  <c r="AH120" i="31"/>
  <c r="AJ118" i="31"/>
  <c r="AI118" i="31"/>
  <c r="AF118" i="31"/>
  <c r="AE118" i="31"/>
  <c r="Z118" i="31"/>
  <c r="Y118" i="31"/>
  <c r="AH118" i="31"/>
  <c r="AJ117" i="31"/>
  <c r="AH117" i="31"/>
  <c r="AF117" i="31"/>
  <c r="AD117" i="31"/>
  <c r="Z117" i="31"/>
  <c r="X117" i="31"/>
  <c r="Q117" i="31"/>
  <c r="V117" i="31"/>
  <c r="F118" i="32"/>
  <c r="J118" i="32"/>
  <c r="AE118" i="32"/>
  <c r="AI118" i="32"/>
  <c r="AL118" i="32"/>
  <c r="AI117" i="31"/>
  <c r="AJ116" i="31"/>
  <c r="AH116" i="31"/>
  <c r="AF116" i="31"/>
  <c r="AD116" i="31"/>
  <c r="Z116" i="31"/>
  <c r="X116" i="31"/>
  <c r="Q116" i="31"/>
  <c r="AJ115" i="31"/>
  <c r="AI115" i="31"/>
  <c r="AF115" i="31"/>
  <c r="AE115" i="31"/>
  <c r="Z115" i="31"/>
  <c r="Y115" i="31"/>
  <c r="Q115" i="31"/>
  <c r="V115" i="31"/>
  <c r="F116" i="32"/>
  <c r="J116" i="32"/>
  <c r="AD116" i="32"/>
  <c r="AH115" i="31"/>
  <c r="AJ114" i="31"/>
  <c r="AI114" i="31"/>
  <c r="AF114" i="31"/>
  <c r="AE114" i="31"/>
  <c r="Z114" i="31"/>
  <c r="Y114" i="31"/>
  <c r="AH114" i="31"/>
  <c r="AJ113" i="31"/>
  <c r="AI113" i="31"/>
  <c r="AF113" i="31"/>
  <c r="AE113" i="31"/>
  <c r="Z113" i="31"/>
  <c r="Y113" i="31"/>
  <c r="Q113" i="31"/>
  <c r="V113" i="31"/>
  <c r="F114" i="32"/>
  <c r="J114" i="32"/>
  <c r="AD114" i="32"/>
  <c r="AH113" i="31"/>
  <c r="AJ112" i="31"/>
  <c r="AI112" i="31"/>
  <c r="AF112" i="31"/>
  <c r="AE112" i="31"/>
  <c r="Z112" i="31"/>
  <c r="Y112" i="31"/>
  <c r="Q112" i="31"/>
  <c r="AJ111" i="31"/>
  <c r="AI111" i="31"/>
  <c r="Q111" i="31"/>
  <c r="AH111" i="31"/>
  <c r="AF111" i="31"/>
  <c r="AE111" i="31"/>
  <c r="Z111" i="31"/>
  <c r="Y111" i="31"/>
  <c r="V111" i="31"/>
  <c r="F112" i="32"/>
  <c r="J112" i="32"/>
  <c r="AD112" i="32"/>
  <c r="AJ110" i="31"/>
  <c r="AI110" i="31"/>
  <c r="AF110" i="31"/>
  <c r="AE110" i="31"/>
  <c r="Z110" i="31"/>
  <c r="Y110" i="31"/>
  <c r="X110" i="31"/>
  <c r="AH110" i="31"/>
  <c r="AJ109" i="31"/>
  <c r="AI109" i="31"/>
  <c r="AF109" i="31"/>
  <c r="AE109" i="31"/>
  <c r="Z109" i="31"/>
  <c r="Y109" i="31"/>
  <c r="Q109" i="31"/>
  <c r="AJ108" i="31"/>
  <c r="AI108" i="31"/>
  <c r="AF108" i="31"/>
  <c r="AE108" i="31"/>
  <c r="Z108" i="31"/>
  <c r="Y108" i="31"/>
  <c r="Q108" i="31"/>
  <c r="V108" i="31"/>
  <c r="F109" i="32"/>
  <c r="J109" i="32"/>
  <c r="AD109" i="32"/>
  <c r="AJ107" i="31"/>
  <c r="AI107" i="31"/>
  <c r="AF107" i="31"/>
  <c r="AE107" i="31"/>
  <c r="Z107" i="31"/>
  <c r="Y107" i="31"/>
  <c r="Q107" i="31"/>
  <c r="V107" i="31"/>
  <c r="F108" i="32"/>
  <c r="J108" i="32"/>
  <c r="AD108" i="32"/>
  <c r="X107" i="31"/>
  <c r="AJ106" i="31"/>
  <c r="AI106" i="31"/>
  <c r="AF106" i="31"/>
  <c r="AE106" i="31"/>
  <c r="Z106" i="31"/>
  <c r="Y106" i="31"/>
  <c r="X106" i="31"/>
  <c r="AJ105" i="31"/>
  <c r="AI105" i="31"/>
  <c r="AF105" i="31"/>
  <c r="AE105" i="31"/>
  <c r="Z105" i="31"/>
  <c r="Y105" i="31"/>
  <c r="Q105" i="31"/>
  <c r="V105" i="31"/>
  <c r="F106" i="32"/>
  <c r="J106" i="32"/>
  <c r="AD106" i="32"/>
  <c r="X105" i="31"/>
  <c r="AJ104" i="31"/>
  <c r="AI104" i="31"/>
  <c r="AF104" i="31"/>
  <c r="AE104" i="31"/>
  <c r="Z104" i="31"/>
  <c r="Y104" i="31"/>
  <c r="Q104" i="31"/>
  <c r="AJ103" i="31"/>
  <c r="AI103" i="31"/>
  <c r="AF103" i="31"/>
  <c r="AE103" i="31"/>
  <c r="Z103" i="31"/>
  <c r="Y103" i="31"/>
  <c r="Q103" i="31"/>
  <c r="AJ102" i="31"/>
  <c r="AI102" i="31"/>
  <c r="AF102" i="31"/>
  <c r="AE102" i="31"/>
  <c r="Z102" i="31"/>
  <c r="Y102" i="31"/>
  <c r="AJ101" i="31"/>
  <c r="AI101" i="31"/>
  <c r="AF101" i="31"/>
  <c r="AE101" i="31"/>
  <c r="Z101" i="31"/>
  <c r="Y101" i="31"/>
  <c r="Q101" i="31"/>
  <c r="AJ100" i="31"/>
  <c r="AI100" i="31"/>
  <c r="AF100" i="31"/>
  <c r="AE100" i="31"/>
  <c r="Z100" i="31"/>
  <c r="Y100" i="31"/>
  <c r="Q100" i="31"/>
  <c r="V100" i="31"/>
  <c r="F101" i="32"/>
  <c r="J101" i="32"/>
  <c r="AD101" i="32"/>
  <c r="X100" i="31"/>
  <c r="AJ99" i="31"/>
  <c r="AH99" i="31"/>
  <c r="AF99" i="31"/>
  <c r="AD99" i="31"/>
  <c r="Z99" i="31"/>
  <c r="X99" i="31"/>
  <c r="Q99" i="31"/>
  <c r="V99" i="31"/>
  <c r="F100" i="32"/>
  <c r="J100" i="32"/>
  <c r="AE100" i="32"/>
  <c r="Y99" i="31"/>
  <c r="AJ97" i="31"/>
  <c r="AH97" i="31"/>
  <c r="AF97" i="31"/>
  <c r="AD97" i="31"/>
  <c r="Z97" i="31"/>
  <c r="X97" i="31"/>
  <c r="Y97" i="31"/>
  <c r="AJ96" i="31"/>
  <c r="AH96" i="31"/>
  <c r="AF96" i="31"/>
  <c r="AD96" i="31"/>
  <c r="Z96" i="31"/>
  <c r="X96" i="31"/>
  <c r="Q96" i="31"/>
  <c r="V96" i="31"/>
  <c r="F97" i="32"/>
  <c r="J97" i="32"/>
  <c r="AE97" i="32"/>
  <c r="Y96" i="31"/>
  <c r="AC96" i="31"/>
  <c r="AJ95" i="31"/>
  <c r="AI95" i="31"/>
  <c r="AF95" i="31"/>
  <c r="AE95" i="31"/>
  <c r="Z95" i="31"/>
  <c r="Y95" i="31"/>
  <c r="Q95" i="31"/>
  <c r="AJ94" i="31"/>
  <c r="AH94" i="31"/>
  <c r="AF94" i="31"/>
  <c r="AD94" i="31"/>
  <c r="Z94" i="31"/>
  <c r="X94" i="31"/>
  <c r="F95" i="32"/>
  <c r="J95" i="32"/>
  <c r="AE95" i="32"/>
  <c r="Y94" i="31"/>
  <c r="AJ93" i="31"/>
  <c r="AH93" i="31"/>
  <c r="AF93" i="31"/>
  <c r="AD93" i="31"/>
  <c r="Z93" i="31"/>
  <c r="X93" i="31"/>
  <c r="Q93" i="31"/>
  <c r="Y93" i="31"/>
  <c r="AC93" i="31"/>
  <c r="AI92" i="31"/>
  <c r="AH92" i="31"/>
  <c r="AE92" i="31"/>
  <c r="AD92" i="31"/>
  <c r="Y92" i="31"/>
  <c r="X92" i="31"/>
  <c r="Q92" i="31"/>
  <c r="V92" i="31"/>
  <c r="F93" i="32"/>
  <c r="J93" i="32"/>
  <c r="AF93" i="32"/>
  <c r="Z92" i="31"/>
  <c r="AI91" i="31"/>
  <c r="AH91" i="31"/>
  <c r="AE91" i="31"/>
  <c r="AD91" i="31"/>
  <c r="Y91" i="31"/>
  <c r="X91" i="31"/>
  <c r="Q91" i="31"/>
  <c r="AJ90" i="31"/>
  <c r="AI90" i="31"/>
  <c r="AF90" i="31"/>
  <c r="AE90" i="31"/>
  <c r="Z90" i="31"/>
  <c r="Y90" i="31"/>
  <c r="F90" i="32"/>
  <c r="J90" i="32"/>
  <c r="AD90" i="32"/>
  <c r="AH90" i="31"/>
  <c r="AJ89" i="31"/>
  <c r="AI89" i="31"/>
  <c r="AF89" i="31"/>
  <c r="AE89" i="31"/>
  <c r="Z89" i="31"/>
  <c r="Y89" i="31"/>
  <c r="Q89" i="31"/>
  <c r="X89" i="31"/>
  <c r="AC89" i="31"/>
  <c r="AJ88" i="31"/>
  <c r="AI88" i="31"/>
  <c r="AF88" i="31"/>
  <c r="AE88" i="31"/>
  <c r="Z88" i="31"/>
  <c r="Y88" i="31"/>
  <c r="Q88" i="31"/>
  <c r="V88" i="31"/>
  <c r="F88" i="32"/>
  <c r="J88" i="32"/>
  <c r="AD88" i="32"/>
  <c r="AH88" i="31"/>
  <c r="AJ87" i="31"/>
  <c r="AI87" i="31"/>
  <c r="AF87" i="31"/>
  <c r="AE87" i="31"/>
  <c r="Z87" i="31"/>
  <c r="Y87" i="31"/>
  <c r="Q87" i="31"/>
  <c r="AJ86" i="31"/>
  <c r="AI86" i="31"/>
  <c r="AF86" i="31"/>
  <c r="AE86" i="31"/>
  <c r="Z86" i="31"/>
  <c r="Y86" i="31"/>
  <c r="AJ85" i="31"/>
  <c r="AI85" i="31"/>
  <c r="AF85" i="31"/>
  <c r="AE85" i="31"/>
  <c r="Z85" i="31"/>
  <c r="Y85" i="31"/>
  <c r="Q85" i="31"/>
  <c r="V85" i="31"/>
  <c r="F85" i="32"/>
  <c r="J85" i="32"/>
  <c r="AD85" i="32"/>
  <c r="AH85" i="31"/>
  <c r="AJ84" i="31"/>
  <c r="AH84" i="31"/>
  <c r="AF84" i="31"/>
  <c r="AD84" i="31"/>
  <c r="Z84" i="31"/>
  <c r="X84" i="31"/>
  <c r="Q84" i="31"/>
  <c r="AI84" i="31"/>
  <c r="AJ83" i="31"/>
  <c r="AH83" i="31"/>
  <c r="AF83" i="31"/>
  <c r="AD83" i="31"/>
  <c r="Z83" i="31"/>
  <c r="X83" i="31"/>
  <c r="Q83" i="31"/>
  <c r="V83" i="31"/>
  <c r="F83" i="32"/>
  <c r="J83" i="32"/>
  <c r="AE83" i="32"/>
  <c r="AI83" i="31"/>
  <c r="AJ82" i="31"/>
  <c r="AH82" i="31"/>
  <c r="AF82" i="31"/>
  <c r="AD82" i="31"/>
  <c r="Z82" i="31"/>
  <c r="X82" i="31"/>
  <c r="Q82" i="31"/>
  <c r="Y82" i="31"/>
  <c r="AJ81" i="31"/>
  <c r="AI81" i="31"/>
  <c r="AF81" i="31"/>
  <c r="AE81" i="31"/>
  <c r="Z81" i="31"/>
  <c r="Y81" i="31"/>
  <c r="Q81" i="31"/>
  <c r="V81" i="31"/>
  <c r="F81" i="32"/>
  <c r="J81" i="32"/>
  <c r="AD81" i="32"/>
  <c r="AL81" i="32"/>
  <c r="X81" i="31"/>
  <c r="AC81" i="31"/>
  <c r="AJ80" i="31"/>
  <c r="AH80" i="31"/>
  <c r="AF80" i="31"/>
  <c r="AD80" i="31"/>
  <c r="Z80" i="31"/>
  <c r="X80" i="31"/>
  <c r="Q80" i="31"/>
  <c r="Y80" i="31"/>
  <c r="AC80" i="31"/>
  <c r="V80" i="31"/>
  <c r="F80" i="32"/>
  <c r="J80" i="32"/>
  <c r="AE80" i="32"/>
  <c r="AI80" i="31"/>
  <c r="AJ79" i="31"/>
  <c r="AH79" i="31"/>
  <c r="AF79" i="31"/>
  <c r="AD79" i="31"/>
  <c r="Z79" i="31"/>
  <c r="X79" i="31"/>
  <c r="Q79" i="31"/>
  <c r="AJ77" i="31"/>
  <c r="AI77" i="31"/>
  <c r="AF77" i="31"/>
  <c r="AE77" i="31"/>
  <c r="Z77" i="31"/>
  <c r="Y77" i="31"/>
  <c r="F77" i="32"/>
  <c r="J77" i="32"/>
  <c r="AD77" i="32"/>
  <c r="AL77" i="32"/>
  <c r="AJ76" i="31"/>
  <c r="AI76" i="31"/>
  <c r="AF76" i="31"/>
  <c r="AE76" i="31"/>
  <c r="Z76" i="31"/>
  <c r="Y76" i="31"/>
  <c r="Q76" i="31"/>
  <c r="V76" i="31"/>
  <c r="F76" i="32"/>
  <c r="J76" i="32"/>
  <c r="AD76" i="32"/>
  <c r="AH76" i="31"/>
  <c r="AJ75" i="31"/>
  <c r="AH75" i="31"/>
  <c r="AF75" i="31"/>
  <c r="AD75" i="31"/>
  <c r="Z75" i="31"/>
  <c r="X75" i="31"/>
  <c r="Q75" i="31"/>
  <c r="AI75" i="31"/>
  <c r="AJ74" i="31"/>
  <c r="AI74" i="31"/>
  <c r="AF74" i="31"/>
  <c r="AE74" i="31"/>
  <c r="Z74" i="31"/>
  <c r="Y74" i="31"/>
  <c r="Q74" i="31"/>
  <c r="V74" i="31"/>
  <c r="F74" i="32"/>
  <c r="J74" i="32"/>
  <c r="AD74" i="32"/>
  <c r="AH74" i="31"/>
  <c r="AJ73" i="31"/>
  <c r="AI73" i="31"/>
  <c r="AF73" i="31"/>
  <c r="AE73" i="31"/>
  <c r="Z73" i="31"/>
  <c r="Y73" i="31"/>
  <c r="Q73" i="31"/>
  <c r="AJ72" i="31"/>
  <c r="AI72" i="31"/>
  <c r="AF72" i="31"/>
  <c r="AE72" i="31"/>
  <c r="Z72" i="31"/>
  <c r="Y72" i="31"/>
  <c r="Q72" i="31"/>
  <c r="V72" i="31"/>
  <c r="F72" i="32"/>
  <c r="J72" i="32"/>
  <c r="AD72" i="32"/>
  <c r="X72" i="31"/>
  <c r="AC72" i="31"/>
  <c r="AJ71" i="31"/>
  <c r="AI71" i="31"/>
  <c r="AF71" i="31"/>
  <c r="AE71" i="31"/>
  <c r="Z71" i="31"/>
  <c r="Y71" i="31"/>
  <c r="Q71" i="31"/>
  <c r="V71" i="31"/>
  <c r="F71" i="32"/>
  <c r="J71" i="32"/>
  <c r="AD71" i="32"/>
  <c r="X71" i="31"/>
  <c r="AC71" i="31"/>
  <c r="AJ70" i="31"/>
  <c r="AI70" i="31"/>
  <c r="AF70" i="31"/>
  <c r="AE70" i="31"/>
  <c r="Z70" i="31"/>
  <c r="Y70" i="31"/>
  <c r="Q70" i="31"/>
  <c r="V70" i="31"/>
  <c r="F70" i="32"/>
  <c r="J70" i="32"/>
  <c r="AD70" i="32"/>
  <c r="AH70" i="31"/>
  <c r="AJ69" i="31"/>
  <c r="AI69" i="31"/>
  <c r="AF69" i="31"/>
  <c r="AE69" i="31"/>
  <c r="Z69" i="31"/>
  <c r="Y69" i="31"/>
  <c r="AH69" i="31"/>
  <c r="AJ68" i="31"/>
  <c r="AI68" i="31"/>
  <c r="AF68" i="31"/>
  <c r="AE68" i="31"/>
  <c r="Z68" i="31"/>
  <c r="Y68" i="31"/>
  <c r="Q68" i="31"/>
  <c r="X68" i="31"/>
  <c r="AC68" i="31"/>
  <c r="AJ67" i="31"/>
  <c r="AI67" i="31"/>
  <c r="AF67" i="31"/>
  <c r="AE67" i="31"/>
  <c r="Z67" i="31"/>
  <c r="Y67" i="31"/>
  <c r="Q67" i="31"/>
  <c r="V67" i="31"/>
  <c r="F67" i="32"/>
  <c r="J67" i="32"/>
  <c r="AD67" i="32"/>
  <c r="AH67" i="31"/>
  <c r="AJ66" i="31"/>
  <c r="AI66" i="31"/>
  <c r="AF66" i="31"/>
  <c r="AE66" i="31"/>
  <c r="Z66" i="31"/>
  <c r="Y66" i="31"/>
  <c r="Q66" i="31"/>
  <c r="AJ65" i="31"/>
  <c r="AI65" i="31"/>
  <c r="AF65" i="31"/>
  <c r="AE65" i="31"/>
  <c r="Z65" i="31"/>
  <c r="Y65" i="31"/>
  <c r="F65" i="32"/>
  <c r="J65" i="32"/>
  <c r="AD65" i="32"/>
  <c r="X65" i="31"/>
  <c r="AC65" i="31"/>
  <c r="AJ63" i="31"/>
  <c r="AI63" i="31"/>
  <c r="AF63" i="31"/>
  <c r="AE63" i="31"/>
  <c r="Z63" i="31"/>
  <c r="Y63" i="31"/>
  <c r="Q63" i="31"/>
  <c r="V63" i="31"/>
  <c r="F63" i="32"/>
  <c r="J63" i="32"/>
  <c r="AD63" i="32"/>
  <c r="AH63" i="31"/>
  <c r="AJ62" i="31"/>
  <c r="AI62" i="31"/>
  <c r="AF62" i="31"/>
  <c r="AE62" i="31"/>
  <c r="Z62" i="31"/>
  <c r="Y62" i="31"/>
  <c r="Q62" i="31"/>
  <c r="AI61" i="31"/>
  <c r="AH61" i="31"/>
  <c r="AE61" i="31"/>
  <c r="AD61" i="31"/>
  <c r="Y61" i="31"/>
  <c r="X61" i="31"/>
  <c r="F61" i="32"/>
  <c r="J61" i="32"/>
  <c r="AF61" i="32"/>
  <c r="Z61" i="31"/>
  <c r="AJ60" i="31"/>
  <c r="AH60" i="31"/>
  <c r="AF60" i="31"/>
  <c r="AD60" i="31"/>
  <c r="Z60" i="31"/>
  <c r="X60" i="31"/>
  <c r="Q60" i="31"/>
  <c r="Y60" i="31"/>
  <c r="AJ59" i="31"/>
  <c r="AH59" i="31"/>
  <c r="AF59" i="31"/>
  <c r="AD59" i="31"/>
  <c r="Z59" i="31"/>
  <c r="X59" i="31"/>
  <c r="Q59" i="31"/>
  <c r="Y59" i="31"/>
  <c r="AC59" i="31"/>
  <c r="V59" i="31"/>
  <c r="F59" i="32"/>
  <c r="J59" i="32"/>
  <c r="AE59" i="32"/>
  <c r="AI58" i="31"/>
  <c r="AH58" i="31"/>
  <c r="AE58" i="31"/>
  <c r="AD58" i="31"/>
  <c r="Y58" i="31"/>
  <c r="X58" i="31"/>
  <c r="Q58" i="31"/>
  <c r="AJ57" i="31"/>
  <c r="AH57" i="31"/>
  <c r="AF57" i="31"/>
  <c r="AD57" i="31"/>
  <c r="Z57" i="31"/>
  <c r="X57" i="31"/>
  <c r="F57" i="32"/>
  <c r="J57" i="32"/>
  <c r="AE57" i="32"/>
  <c r="Y57" i="31"/>
  <c r="AJ54" i="31"/>
  <c r="AH54" i="31"/>
  <c r="AF54" i="31"/>
  <c r="AD54" i="31"/>
  <c r="Z54" i="31"/>
  <c r="X54" i="31"/>
  <c r="Q54" i="31"/>
  <c r="V54" i="31"/>
  <c r="F54" i="32"/>
  <c r="J54" i="32"/>
  <c r="AE54" i="32"/>
  <c r="AJ53" i="31"/>
  <c r="AH53" i="31"/>
  <c r="AF53" i="31"/>
  <c r="AD53" i="31"/>
  <c r="Z53" i="31"/>
  <c r="X53" i="31"/>
  <c r="AI53" i="31"/>
  <c r="AJ52" i="31"/>
  <c r="AH52" i="31"/>
  <c r="AF52" i="31"/>
  <c r="AD52" i="31"/>
  <c r="Z52" i="31"/>
  <c r="X52" i="31"/>
  <c r="Q52" i="31"/>
  <c r="AJ51" i="31"/>
  <c r="AH51" i="31"/>
  <c r="AF51" i="31"/>
  <c r="AD51" i="31"/>
  <c r="Z51" i="31"/>
  <c r="X51" i="31"/>
  <c r="Q51" i="31"/>
  <c r="V51" i="31"/>
  <c r="F51" i="32"/>
  <c r="J51" i="32"/>
  <c r="AE51" i="32"/>
  <c r="AI51" i="31"/>
  <c r="AJ50" i="31"/>
  <c r="AI50" i="31"/>
  <c r="AF50" i="31"/>
  <c r="AE50" i="31"/>
  <c r="Z50" i="31"/>
  <c r="Y50" i="31"/>
  <c r="Q50" i="31"/>
  <c r="V50" i="31"/>
  <c r="F50" i="32"/>
  <c r="J50" i="32"/>
  <c r="AD50" i="32"/>
  <c r="AL50" i="32"/>
  <c r="AJ49" i="31"/>
  <c r="AI49" i="31"/>
  <c r="AF49" i="31"/>
  <c r="AE49" i="31"/>
  <c r="Z49" i="31"/>
  <c r="Y49" i="31"/>
  <c r="Q49" i="31"/>
  <c r="X49" i="31"/>
  <c r="AC49" i="31"/>
  <c r="AJ48" i="31"/>
  <c r="AI48" i="31"/>
  <c r="AF48" i="31"/>
  <c r="AE48" i="31"/>
  <c r="Z48" i="31"/>
  <c r="Y48" i="31"/>
  <c r="Q48" i="31"/>
  <c r="X48" i="31"/>
  <c r="AC48" i="31"/>
  <c r="AJ47" i="31"/>
  <c r="AH47" i="31"/>
  <c r="AF47" i="31"/>
  <c r="AD47" i="31"/>
  <c r="Z47" i="31"/>
  <c r="X47" i="31"/>
  <c r="Q47" i="31"/>
  <c r="AJ46" i="31"/>
  <c r="AI46" i="31"/>
  <c r="AF46" i="31"/>
  <c r="AE46" i="31"/>
  <c r="Z46" i="31"/>
  <c r="Y46" i="31"/>
  <c r="Q46" i="31"/>
  <c r="V46" i="31"/>
  <c r="F46" i="32"/>
  <c r="J46" i="32"/>
  <c r="AD46" i="32"/>
  <c r="AH46" i="31"/>
  <c r="AJ45" i="31"/>
  <c r="AI45" i="31"/>
  <c r="AF45" i="31"/>
  <c r="AE45" i="31"/>
  <c r="Z45" i="31"/>
  <c r="Y45" i="31"/>
  <c r="Q45" i="31"/>
  <c r="AJ44" i="31"/>
  <c r="AH44" i="31"/>
  <c r="AF44" i="31"/>
  <c r="AD44" i="31"/>
  <c r="Z44" i="31"/>
  <c r="X44" i="31"/>
  <c r="Q44" i="31"/>
  <c r="V44" i="31"/>
  <c r="F44" i="32"/>
  <c r="J44" i="32"/>
  <c r="AE44" i="32"/>
  <c r="AI44" i="31"/>
  <c r="Y44" i="31"/>
  <c r="AJ43" i="31"/>
  <c r="AI43" i="31"/>
  <c r="AF43" i="31"/>
  <c r="AE43" i="31"/>
  <c r="Z43" i="31"/>
  <c r="Y43" i="31"/>
  <c r="Q43" i="31"/>
  <c r="X43" i="31"/>
  <c r="AJ42" i="31"/>
  <c r="AI42" i="31"/>
  <c r="AF42" i="31"/>
  <c r="AE42" i="31"/>
  <c r="Z42" i="31"/>
  <c r="Y42" i="31"/>
  <c r="Q42" i="31"/>
  <c r="V42" i="31"/>
  <c r="F42" i="32"/>
  <c r="J42" i="32"/>
  <c r="AD42" i="32"/>
  <c r="AH42" i="31"/>
  <c r="AI41" i="31"/>
  <c r="AH41" i="31"/>
  <c r="AE41" i="31"/>
  <c r="AD41" i="31"/>
  <c r="Y41" i="31"/>
  <c r="X41" i="31"/>
  <c r="Q41" i="31"/>
  <c r="AJ41" i="31"/>
  <c r="AJ40" i="31"/>
  <c r="AI40" i="31"/>
  <c r="AF40" i="31"/>
  <c r="AE40" i="31"/>
  <c r="Z40" i="31"/>
  <c r="Y40" i="31"/>
  <c r="Q40" i="31"/>
  <c r="X40" i="31"/>
  <c r="AC40" i="31"/>
  <c r="V40" i="31"/>
  <c r="F40" i="32"/>
  <c r="J40" i="32"/>
  <c r="AD40" i="32"/>
  <c r="AH40" i="31"/>
  <c r="AJ39" i="31"/>
  <c r="AI39" i="31"/>
  <c r="AF39" i="31"/>
  <c r="AE39" i="31"/>
  <c r="Z39" i="31"/>
  <c r="Y39" i="31"/>
  <c r="Q39" i="31"/>
  <c r="AJ38" i="31"/>
  <c r="AI38" i="31"/>
  <c r="AF38" i="31"/>
  <c r="AE38" i="31"/>
  <c r="Z38" i="31"/>
  <c r="Y38" i="31"/>
  <c r="Q38" i="31"/>
  <c r="V38" i="31"/>
  <c r="F38" i="32"/>
  <c r="J38" i="32"/>
  <c r="AD38" i="32"/>
  <c r="AH38" i="31"/>
  <c r="AJ37" i="31"/>
  <c r="AI37" i="31"/>
  <c r="AF37" i="31"/>
  <c r="AE37" i="31"/>
  <c r="Z37" i="31"/>
  <c r="Y37" i="31"/>
  <c r="AH37" i="31"/>
  <c r="AJ36" i="31"/>
  <c r="AI36" i="31"/>
  <c r="AF36" i="31"/>
  <c r="AE36" i="31"/>
  <c r="Z36" i="31"/>
  <c r="Y36" i="31"/>
  <c r="Q36" i="31"/>
  <c r="V36" i="31"/>
  <c r="F36" i="32"/>
  <c r="J36" i="32"/>
  <c r="AD36" i="32"/>
  <c r="X36" i="31"/>
  <c r="AC36" i="31"/>
  <c r="AJ35" i="31"/>
  <c r="AI35" i="31"/>
  <c r="AF35" i="31"/>
  <c r="AE35" i="31"/>
  <c r="Z35" i="31"/>
  <c r="Y35" i="31"/>
  <c r="Q35" i="31"/>
  <c r="V35" i="31"/>
  <c r="F35" i="32"/>
  <c r="J35" i="32"/>
  <c r="AD35" i="32"/>
  <c r="X35" i="31"/>
  <c r="AC35" i="31"/>
  <c r="AJ34" i="31"/>
  <c r="AI34" i="31"/>
  <c r="AF34" i="31"/>
  <c r="AE34" i="31"/>
  <c r="Z34" i="31"/>
  <c r="Y34" i="31"/>
  <c r="Q34" i="31"/>
  <c r="V34" i="31"/>
  <c r="F34" i="32"/>
  <c r="J34" i="32"/>
  <c r="AD34" i="32"/>
  <c r="X34" i="31"/>
  <c r="AC34" i="31"/>
  <c r="AJ33" i="31"/>
  <c r="AI33" i="31"/>
  <c r="AF33" i="31"/>
  <c r="AE33" i="31"/>
  <c r="Z33" i="31"/>
  <c r="Y33" i="31"/>
  <c r="F33" i="32"/>
  <c r="J33" i="32"/>
  <c r="AD33" i="32"/>
  <c r="AH33" i="31"/>
  <c r="AJ32" i="31"/>
  <c r="AI32" i="31"/>
  <c r="AF32" i="31"/>
  <c r="AE32" i="31"/>
  <c r="Z32" i="31"/>
  <c r="Y32" i="31"/>
  <c r="Q32" i="31"/>
  <c r="AH32" i="31"/>
  <c r="AJ31" i="31"/>
  <c r="AI31" i="31"/>
  <c r="AF31" i="31"/>
  <c r="AE31" i="31"/>
  <c r="Z31" i="31"/>
  <c r="Y31" i="31"/>
  <c r="Q31" i="31"/>
  <c r="V31" i="31"/>
  <c r="F31" i="32"/>
  <c r="J31" i="32"/>
  <c r="AD31" i="32"/>
  <c r="AH31" i="31"/>
  <c r="AJ30" i="31"/>
  <c r="AI30" i="31"/>
  <c r="AF30" i="31"/>
  <c r="AE30" i="31"/>
  <c r="Z30" i="31"/>
  <c r="Y30" i="31"/>
  <c r="Q30" i="31"/>
  <c r="X30" i="31"/>
  <c r="AC30" i="31"/>
  <c r="AJ29" i="31"/>
  <c r="AH29" i="31"/>
  <c r="AF29" i="31"/>
  <c r="AD29" i="31"/>
  <c r="Z29" i="31"/>
  <c r="X29" i="31"/>
  <c r="AI29" i="31"/>
  <c r="AJ28" i="31"/>
  <c r="AI28" i="31"/>
  <c r="AF28" i="31"/>
  <c r="AE28" i="31"/>
  <c r="Z28" i="31"/>
  <c r="Q28" i="31"/>
  <c r="X28" i="31"/>
  <c r="Y28" i="31"/>
  <c r="AC28" i="31"/>
  <c r="V28" i="31"/>
  <c r="F28" i="32"/>
  <c r="J28" i="32"/>
  <c r="AD28" i="32"/>
  <c r="AL28" i="32"/>
  <c r="AH28" i="31"/>
  <c r="AJ27" i="31"/>
  <c r="AI27" i="31"/>
  <c r="AF27" i="31"/>
  <c r="AE27" i="31"/>
  <c r="Z27" i="31"/>
  <c r="Y27" i="31"/>
  <c r="Q27" i="31"/>
  <c r="AJ26" i="31"/>
  <c r="AI26" i="31"/>
  <c r="AF26" i="31"/>
  <c r="AE26" i="31"/>
  <c r="Z26" i="31"/>
  <c r="Y26" i="31"/>
  <c r="Q26" i="31"/>
  <c r="V26" i="31"/>
  <c r="F26" i="32"/>
  <c r="J26" i="32"/>
  <c r="AD26" i="32"/>
  <c r="AH26" i="31"/>
  <c r="AJ25" i="31"/>
  <c r="AH25" i="31"/>
  <c r="AF25" i="31"/>
  <c r="AD25" i="31"/>
  <c r="Z25" i="31"/>
  <c r="X25" i="31"/>
  <c r="AI25" i="31"/>
  <c r="AJ23" i="31"/>
  <c r="AI23" i="31"/>
  <c r="AF23" i="31"/>
  <c r="AE23" i="31"/>
  <c r="Z23" i="31"/>
  <c r="Y23" i="31"/>
  <c r="Q23" i="31"/>
  <c r="V23" i="31"/>
  <c r="F23" i="32"/>
  <c r="J23" i="32"/>
  <c r="AD23" i="32"/>
  <c r="AH23" i="31"/>
  <c r="AJ22" i="31"/>
  <c r="AI22" i="31"/>
  <c r="AF22" i="31"/>
  <c r="AE22" i="31"/>
  <c r="Z22" i="31"/>
  <c r="Y22" i="31"/>
  <c r="Q22" i="31"/>
  <c r="AJ21" i="31"/>
  <c r="AI21" i="31"/>
  <c r="AF21" i="31"/>
  <c r="AE21" i="31"/>
  <c r="Z21" i="31"/>
  <c r="Y21" i="31"/>
  <c r="Q21" i="31"/>
  <c r="V21" i="31"/>
  <c r="F21" i="32"/>
  <c r="J21" i="32"/>
  <c r="AD21" i="32"/>
  <c r="AH21" i="31"/>
  <c r="AJ20" i="31"/>
  <c r="AH20" i="31"/>
  <c r="AF20" i="31"/>
  <c r="AD20" i="31"/>
  <c r="Z20" i="31"/>
  <c r="X20" i="31"/>
  <c r="AI20" i="31"/>
  <c r="AJ19" i="31"/>
  <c r="AH19" i="31"/>
  <c r="AF19" i="31"/>
  <c r="AD19" i="31"/>
  <c r="Z19" i="31"/>
  <c r="X19" i="31"/>
  <c r="Q19" i="31"/>
  <c r="V19" i="31"/>
  <c r="F19" i="32"/>
  <c r="J19" i="32"/>
  <c r="AE19" i="32"/>
  <c r="Y19" i="31"/>
  <c r="AC19" i="31"/>
  <c r="AJ18" i="31"/>
  <c r="AH18" i="31"/>
  <c r="AF18" i="31"/>
  <c r="AD18" i="31"/>
  <c r="Z18" i="31"/>
  <c r="X18" i="31"/>
  <c r="Q18" i="31"/>
  <c r="V18" i="31"/>
  <c r="F18" i="32"/>
  <c r="J18" i="32"/>
  <c r="AE18" i="32"/>
  <c r="AJ17" i="31"/>
  <c r="AI17" i="31"/>
  <c r="AF17" i="31"/>
  <c r="AE17" i="31"/>
  <c r="Z17" i="31"/>
  <c r="Y17" i="31"/>
  <c r="Q17" i="31"/>
  <c r="AJ16" i="31"/>
  <c r="AH16" i="31"/>
  <c r="AF16" i="31"/>
  <c r="AD16" i="31"/>
  <c r="Z16" i="31"/>
  <c r="X16" i="31"/>
  <c r="J16" i="32"/>
  <c r="AE16" i="32"/>
  <c r="Q16" i="31"/>
  <c r="V16" i="31"/>
  <c r="T206" i="29"/>
  <c r="X37" i="31"/>
  <c r="X38" i="31"/>
  <c r="AH65" i="31"/>
  <c r="X85" i="31"/>
  <c r="X90" i="31"/>
  <c r="AC196" i="31"/>
  <c r="Y51" i="31"/>
  <c r="AJ61" i="31"/>
  <c r="AI97" i="31"/>
  <c r="AI155" i="31"/>
  <c r="X177" i="31"/>
  <c r="AC177" i="31"/>
  <c r="AJ182" i="31"/>
  <c r="AI99" i="31"/>
  <c r="AJ156" i="31"/>
  <c r="AJ226" i="31"/>
  <c r="AI93" i="31"/>
  <c r="AI163" i="31"/>
  <c r="Y16" i="31"/>
  <c r="AH109" i="31"/>
  <c r="X77" i="31"/>
  <c r="AC77" i="31"/>
  <c r="AH77" i="31"/>
  <c r="AH141" i="31"/>
  <c r="X21" i="31"/>
  <c r="X23" i="31"/>
  <c r="AI54" i="31"/>
  <c r="AH149" i="31"/>
  <c r="X149" i="31"/>
  <c r="Y83" i="31"/>
  <c r="AH86" i="31"/>
  <c r="X86" i="31"/>
  <c r="Z58" i="31"/>
  <c r="AC58" i="31"/>
  <c r="X46" i="31"/>
  <c r="AC46" i="31"/>
  <c r="AC137" i="31"/>
  <c r="X161" i="31"/>
  <c r="Y166" i="31"/>
  <c r="AH195" i="31"/>
  <c r="AH100" i="31"/>
  <c r="AH108" i="31"/>
  <c r="X108" i="31"/>
  <c r="AI202" i="31"/>
  <c r="Y202" i="31"/>
  <c r="AC202" i="31"/>
  <c r="X76" i="31"/>
  <c r="AC76" i="31"/>
  <c r="AH105" i="31"/>
  <c r="AC153" i="31"/>
  <c r="AH212" i="31"/>
  <c r="AI142" i="31"/>
  <c r="AH145" i="31"/>
  <c r="X145" i="31"/>
  <c r="AC145" i="31"/>
  <c r="AH157" i="31"/>
  <c r="X157" i="31"/>
  <c r="AC157" i="31"/>
  <c r="AI217" i="31"/>
  <c r="AH196" i="31"/>
  <c r="AH228" i="31"/>
  <c r="I194" i="30"/>
  <c r="Q22" i="29"/>
  <c r="V22" i="29"/>
  <c r="Q21" i="29"/>
  <c r="V21" i="29"/>
  <c r="Q20" i="29"/>
  <c r="V20" i="29"/>
  <c r="Q19" i="29"/>
  <c r="V19" i="29"/>
  <c r="Q18" i="29"/>
  <c r="V18" i="29"/>
  <c r="T17" i="29"/>
  <c r="Q17" i="29"/>
  <c r="V17" i="29"/>
  <c r="Q16" i="29"/>
  <c r="V16" i="29"/>
  <c r="Q82" i="29"/>
  <c r="V82" i="29"/>
  <c r="F83" i="30"/>
  <c r="J83" i="30"/>
  <c r="AD83" i="30"/>
  <c r="Q83" i="29"/>
  <c r="V83" i="29"/>
  <c r="F84" i="30"/>
  <c r="J84" i="30"/>
  <c r="AD84" i="30"/>
  <c r="Q84" i="29"/>
  <c r="V84" i="29"/>
  <c r="F85" i="30"/>
  <c r="J85" i="30"/>
  <c r="AD85" i="30"/>
  <c r="Q85" i="29"/>
  <c r="V85" i="29"/>
  <c r="F86" i="30"/>
  <c r="J86" i="30"/>
  <c r="AF86" i="30"/>
  <c r="Q86" i="29"/>
  <c r="V86" i="29"/>
  <c r="F87" i="30"/>
  <c r="J87" i="30"/>
  <c r="AF87" i="30"/>
  <c r="Q87" i="29"/>
  <c r="V87" i="29"/>
  <c r="F88" i="30"/>
  <c r="J88" i="30"/>
  <c r="AE88" i="30"/>
  <c r="Q88" i="29"/>
  <c r="V88" i="29"/>
  <c r="F89" i="30"/>
  <c r="J89" i="30"/>
  <c r="AE89" i="30"/>
  <c r="Q89" i="29"/>
  <c r="V89" i="29"/>
  <c r="F90" i="30"/>
  <c r="J90" i="30"/>
  <c r="AD90" i="30"/>
  <c r="Q90" i="29"/>
  <c r="V90" i="29"/>
  <c r="F91" i="30"/>
  <c r="J91" i="30"/>
  <c r="AE91" i="30"/>
  <c r="Q91" i="29"/>
  <c r="V91" i="29"/>
  <c r="F92" i="30"/>
  <c r="J92" i="30"/>
  <c r="AE92" i="30"/>
  <c r="Q92" i="29"/>
  <c r="V92" i="29"/>
  <c r="F93" i="30"/>
  <c r="J93" i="30"/>
  <c r="AE93" i="30"/>
  <c r="Q93" i="29"/>
  <c r="V93" i="29"/>
  <c r="F94" i="30"/>
  <c r="J94" i="30"/>
  <c r="AD94" i="30"/>
  <c r="Q94" i="29"/>
  <c r="V94" i="29"/>
  <c r="F95" i="30"/>
  <c r="J95" i="30"/>
  <c r="AD95" i="30"/>
  <c r="Q95" i="29"/>
  <c r="V95" i="29"/>
  <c r="F96" i="30"/>
  <c r="J96" i="30"/>
  <c r="AD96" i="30"/>
  <c r="Q96" i="29"/>
  <c r="V96" i="29"/>
  <c r="F97" i="30"/>
  <c r="J97" i="30"/>
  <c r="AD97" i="30"/>
  <c r="Q97" i="29"/>
  <c r="V97" i="29"/>
  <c r="F98" i="30"/>
  <c r="J98" i="30"/>
  <c r="AD98" i="30"/>
  <c r="Q98" i="29"/>
  <c r="V98" i="29"/>
  <c r="F99" i="30"/>
  <c r="J99" i="30"/>
  <c r="AD99" i="30"/>
  <c r="Q99" i="29"/>
  <c r="V99" i="29"/>
  <c r="F100" i="30"/>
  <c r="J100" i="30"/>
  <c r="AD100" i="30"/>
  <c r="Q100" i="29"/>
  <c r="V100" i="29"/>
  <c r="F101" i="30"/>
  <c r="J101" i="30"/>
  <c r="AD101" i="30"/>
  <c r="Q101" i="29"/>
  <c r="V101" i="29"/>
  <c r="F102" i="30"/>
  <c r="J102" i="30"/>
  <c r="AD102" i="30"/>
  <c r="Q102" i="29"/>
  <c r="V102" i="29"/>
  <c r="F103" i="30"/>
  <c r="J103" i="30"/>
  <c r="AD103" i="30"/>
  <c r="Q103" i="29"/>
  <c r="V103" i="29"/>
  <c r="F104" i="30"/>
  <c r="J104" i="30"/>
  <c r="AD104" i="30"/>
  <c r="Q104" i="29"/>
  <c r="V104" i="29"/>
  <c r="F105" i="30"/>
  <c r="J105" i="30"/>
  <c r="AD105" i="30"/>
  <c r="Q105" i="29"/>
  <c r="V105" i="29"/>
  <c r="F106" i="30"/>
  <c r="J106" i="30"/>
  <c r="AD106" i="30"/>
  <c r="Q106" i="29"/>
  <c r="V106" i="29"/>
  <c r="F107" i="30"/>
  <c r="J107" i="30"/>
  <c r="AD107" i="30"/>
  <c r="Q107" i="29"/>
  <c r="V107" i="29"/>
  <c r="F108" i="30"/>
  <c r="J108" i="30"/>
  <c r="AD108" i="30"/>
  <c r="Q108" i="29"/>
  <c r="V108" i="29"/>
  <c r="F109" i="30"/>
  <c r="J109" i="30"/>
  <c r="AD109" i="30"/>
  <c r="Q109" i="29"/>
  <c r="V109" i="29"/>
  <c r="F110" i="30"/>
  <c r="J110" i="30"/>
  <c r="AD110" i="30"/>
  <c r="Q110" i="29"/>
  <c r="V110" i="29"/>
  <c r="F111" i="30"/>
  <c r="J111" i="30"/>
  <c r="AD111" i="30"/>
  <c r="Q111" i="29"/>
  <c r="V111" i="29"/>
  <c r="F112" i="30"/>
  <c r="J112" i="30"/>
  <c r="AD112" i="30"/>
  <c r="Q112" i="29"/>
  <c r="V112" i="29"/>
  <c r="F113" i="30"/>
  <c r="J113" i="30"/>
  <c r="AD113" i="30"/>
  <c r="Q113" i="29"/>
  <c r="V113" i="29"/>
  <c r="F114" i="30"/>
  <c r="J114" i="30"/>
  <c r="AD114" i="30"/>
  <c r="Q114" i="29"/>
  <c r="V114" i="29"/>
  <c r="F115" i="30"/>
  <c r="J115" i="30"/>
  <c r="AE115" i="30"/>
  <c r="Q115" i="29"/>
  <c r="V115" i="29"/>
  <c r="F116" i="30"/>
  <c r="J116" i="30"/>
  <c r="AE116" i="30"/>
  <c r="Q116" i="29"/>
  <c r="V116" i="29"/>
  <c r="F117" i="30"/>
  <c r="E117" i="30"/>
  <c r="J117" i="30"/>
  <c r="AD117" i="30"/>
  <c r="Q117" i="29"/>
  <c r="V117" i="29"/>
  <c r="F118" i="30"/>
  <c r="J118" i="30"/>
  <c r="AD118" i="30"/>
  <c r="Q118" i="29"/>
  <c r="V118" i="29"/>
  <c r="F119" i="30"/>
  <c r="J119" i="30"/>
  <c r="AD119" i="30"/>
  <c r="Q119" i="29"/>
  <c r="V119" i="29"/>
  <c r="F120" i="30"/>
  <c r="J120" i="30"/>
  <c r="AD120" i="30"/>
  <c r="Q120" i="29"/>
  <c r="V120" i="29"/>
  <c r="F121" i="30"/>
  <c r="J121" i="30"/>
  <c r="AE121" i="30"/>
  <c r="Q121" i="29"/>
  <c r="V121" i="29"/>
  <c r="F122" i="30"/>
  <c r="J122" i="30"/>
  <c r="AD122" i="30"/>
  <c r="Q122" i="29"/>
  <c r="V122" i="29"/>
  <c r="F123" i="30"/>
  <c r="J123" i="30"/>
  <c r="AF123" i="30"/>
  <c r="Q123" i="29"/>
  <c r="V123" i="29"/>
  <c r="F124" i="30"/>
  <c r="J124" i="30"/>
  <c r="AE124" i="30"/>
  <c r="Q124" i="29"/>
  <c r="V124" i="29"/>
  <c r="F125" i="30"/>
  <c r="J125" i="30"/>
  <c r="AE125" i="30"/>
  <c r="Q125" i="29"/>
  <c r="V125" i="29"/>
  <c r="F126" i="30"/>
  <c r="J126" i="30"/>
  <c r="AD126" i="30"/>
  <c r="T126" i="29"/>
  <c r="Q126" i="29"/>
  <c r="V126" i="29"/>
  <c r="F127" i="30"/>
  <c r="J127" i="30"/>
  <c r="AE127" i="30"/>
  <c r="Q127" i="29"/>
  <c r="V127" i="29"/>
  <c r="F128" i="30"/>
  <c r="J128" i="30"/>
  <c r="AD128" i="30"/>
  <c r="Q128" i="29"/>
  <c r="V128" i="29"/>
  <c r="F129" i="30"/>
  <c r="J129" i="30"/>
  <c r="AD129" i="30"/>
  <c r="Q129" i="29"/>
  <c r="V129" i="29"/>
  <c r="F130" i="30"/>
  <c r="E130" i="30"/>
  <c r="J130" i="30"/>
  <c r="AD130" i="30"/>
  <c r="Q130" i="29"/>
  <c r="V130" i="29"/>
  <c r="F131" i="30"/>
  <c r="J131" i="30"/>
  <c r="AD131" i="30"/>
  <c r="Q131" i="29"/>
  <c r="V131" i="29"/>
  <c r="F132" i="30"/>
  <c r="J132" i="30"/>
  <c r="AD132" i="30"/>
  <c r="Q132" i="29"/>
  <c r="V132" i="29"/>
  <c r="F133" i="30"/>
  <c r="J133" i="30"/>
  <c r="AD133" i="30"/>
  <c r="Q133" i="29"/>
  <c r="V133" i="29"/>
  <c r="F134" i="30"/>
  <c r="J134" i="30"/>
  <c r="AD134" i="30"/>
  <c r="Q134" i="29"/>
  <c r="V134" i="29"/>
  <c r="F135" i="30"/>
  <c r="J135" i="30"/>
  <c r="AD135" i="30"/>
  <c r="Q135" i="29"/>
  <c r="V135" i="29"/>
  <c r="F136" i="30"/>
  <c r="J136" i="30"/>
  <c r="AD136" i="30"/>
  <c r="Q136" i="29"/>
  <c r="V136" i="29"/>
  <c r="F137" i="30"/>
  <c r="J137" i="30"/>
  <c r="AD137" i="30"/>
  <c r="Q137" i="29"/>
  <c r="V137" i="29"/>
  <c r="F138" i="30"/>
  <c r="J138" i="30"/>
  <c r="AE138" i="30"/>
  <c r="Q138" i="29"/>
  <c r="V138" i="29"/>
  <c r="F139" i="30"/>
  <c r="J139" i="30"/>
  <c r="AE139" i="30"/>
  <c r="T139" i="29"/>
  <c r="Q139" i="29"/>
  <c r="V139" i="29"/>
  <c r="F140" i="30"/>
  <c r="J140" i="30"/>
  <c r="AD140" i="30"/>
  <c r="Q140" i="29"/>
  <c r="V140" i="29"/>
  <c r="F141" i="30"/>
  <c r="J141" i="30"/>
  <c r="AD141" i="30"/>
  <c r="Q141" i="29"/>
  <c r="V141" i="29"/>
  <c r="F142" i="30"/>
  <c r="J142" i="30"/>
  <c r="AF142" i="30"/>
  <c r="Q142" i="29"/>
  <c r="V142" i="29"/>
  <c r="F143" i="30"/>
  <c r="J143" i="30"/>
  <c r="AE143" i="30"/>
  <c r="Q143" i="29"/>
  <c r="V143" i="29"/>
  <c r="F144" i="30"/>
  <c r="J144" i="30"/>
  <c r="AE144" i="30"/>
  <c r="Q144" i="29"/>
  <c r="V144" i="29"/>
  <c r="F145" i="30"/>
  <c r="J145" i="30"/>
  <c r="AD145" i="30"/>
  <c r="Q145" i="29"/>
  <c r="V145" i="29"/>
  <c r="F146" i="30"/>
  <c r="J146" i="30"/>
  <c r="AF146" i="30"/>
  <c r="Q146" i="29"/>
  <c r="V146" i="29"/>
  <c r="F147" i="30"/>
  <c r="J147" i="30"/>
  <c r="AD147" i="30"/>
  <c r="Q147" i="29"/>
  <c r="V147" i="29"/>
  <c r="F148" i="30"/>
  <c r="J148" i="30"/>
  <c r="AD148" i="30"/>
  <c r="Q148" i="29"/>
  <c r="V148" i="29"/>
  <c r="F149" i="30"/>
  <c r="J149" i="30"/>
  <c r="AF149" i="30"/>
  <c r="Q149" i="29"/>
  <c r="V149" i="29"/>
  <c r="F150" i="30"/>
  <c r="J150" i="30"/>
  <c r="AE150" i="30"/>
  <c r="Q150" i="29"/>
  <c r="V150" i="29"/>
  <c r="F151" i="30"/>
  <c r="J151" i="30"/>
  <c r="AE151" i="30"/>
  <c r="Q151" i="29"/>
  <c r="V151" i="29"/>
  <c r="F152" i="30"/>
  <c r="J152" i="30"/>
  <c r="AF152" i="30"/>
  <c r="Q152" i="29"/>
  <c r="V152" i="29"/>
  <c r="F153" i="30"/>
  <c r="J153" i="30"/>
  <c r="AD153" i="30"/>
  <c r="Q153" i="29"/>
  <c r="V153" i="29"/>
  <c r="F154" i="30"/>
  <c r="J154" i="30"/>
  <c r="AE154" i="30"/>
  <c r="Q154" i="29"/>
  <c r="V154" i="29"/>
  <c r="F155" i="30"/>
  <c r="J155" i="30"/>
  <c r="AE155" i="30"/>
  <c r="Q155" i="29"/>
  <c r="V155" i="29"/>
  <c r="F156" i="30"/>
  <c r="J156" i="30"/>
  <c r="AD156" i="30"/>
  <c r="Q156" i="29"/>
  <c r="V156" i="29"/>
  <c r="F157" i="30"/>
  <c r="J157" i="30"/>
  <c r="AD157" i="30"/>
  <c r="Q157" i="29"/>
  <c r="V157" i="29"/>
  <c r="F158" i="30"/>
  <c r="J158" i="30"/>
  <c r="AE158" i="30"/>
  <c r="Q158" i="29"/>
  <c r="V158" i="29"/>
  <c r="F159" i="30"/>
  <c r="J159" i="30"/>
  <c r="AE159" i="30"/>
  <c r="Q159" i="29"/>
  <c r="V159" i="29"/>
  <c r="F160" i="30"/>
  <c r="J160" i="30"/>
  <c r="AE160" i="30"/>
  <c r="Q160" i="29"/>
  <c r="V160" i="29"/>
  <c r="F161" i="30"/>
  <c r="J161" i="30"/>
  <c r="AE161" i="30"/>
  <c r="Q161" i="29"/>
  <c r="V161" i="29"/>
  <c r="F162" i="30"/>
  <c r="J162" i="30"/>
  <c r="AE162" i="30"/>
  <c r="Q162" i="29"/>
  <c r="V162" i="29"/>
  <c r="F163" i="30"/>
  <c r="J163" i="30"/>
  <c r="AD163" i="30"/>
  <c r="Q163" i="29"/>
  <c r="V163" i="29"/>
  <c r="F164" i="30"/>
  <c r="J164" i="30"/>
  <c r="AD164" i="30"/>
  <c r="Q164" i="29"/>
  <c r="V164" i="29"/>
  <c r="F165" i="30"/>
  <c r="J165" i="30"/>
  <c r="AD165" i="30"/>
  <c r="Q165" i="29"/>
  <c r="V165" i="29"/>
  <c r="F166" i="30"/>
  <c r="J166" i="30"/>
  <c r="AD166" i="30"/>
  <c r="Q166" i="29"/>
  <c r="V166" i="29"/>
  <c r="F167" i="30"/>
  <c r="J167" i="30"/>
  <c r="AD167" i="30"/>
  <c r="Q167" i="29"/>
  <c r="V167" i="29"/>
  <c r="F168" i="30"/>
  <c r="J168" i="30"/>
  <c r="AD168" i="30"/>
  <c r="Q168" i="29"/>
  <c r="V168" i="29"/>
  <c r="F169" i="30"/>
  <c r="J169" i="30"/>
  <c r="AD169" i="30"/>
  <c r="Q169" i="29"/>
  <c r="V169" i="29"/>
  <c r="F170" i="30"/>
  <c r="E170" i="30"/>
  <c r="J170" i="30"/>
  <c r="AD170" i="30"/>
  <c r="Q170" i="29"/>
  <c r="V170" i="29"/>
  <c r="F171" i="30"/>
  <c r="J171" i="30"/>
  <c r="AD171" i="30"/>
  <c r="Q171" i="29"/>
  <c r="V171" i="29"/>
  <c r="F172" i="30"/>
  <c r="J172" i="30"/>
  <c r="AE172" i="30"/>
  <c r="Q172" i="29"/>
  <c r="V172" i="29"/>
  <c r="F173" i="30"/>
  <c r="J173" i="30"/>
  <c r="AD173" i="30"/>
  <c r="Q173" i="29"/>
  <c r="V173" i="29"/>
  <c r="F174" i="30"/>
  <c r="E174" i="30"/>
  <c r="J174" i="30"/>
  <c r="AD174" i="30"/>
  <c r="Q174" i="29"/>
  <c r="V174" i="29"/>
  <c r="F175" i="30"/>
  <c r="J175" i="30"/>
  <c r="AE175" i="30"/>
  <c r="Q175" i="29"/>
  <c r="V175" i="29"/>
  <c r="F176" i="30"/>
  <c r="J176" i="30"/>
  <c r="AD176" i="30"/>
  <c r="Q176" i="29"/>
  <c r="V176" i="29"/>
  <c r="F177" i="30"/>
  <c r="J177" i="30"/>
  <c r="AE177" i="30"/>
  <c r="Q178" i="29"/>
  <c r="V178" i="29"/>
  <c r="F179" i="30"/>
  <c r="J179" i="30"/>
  <c r="AD179" i="30"/>
  <c r="Q179" i="29"/>
  <c r="V179" i="29"/>
  <c r="F180" i="30"/>
  <c r="J180" i="30"/>
  <c r="AE180" i="30"/>
  <c r="T180" i="29"/>
  <c r="Q180" i="29"/>
  <c r="V180" i="29"/>
  <c r="F181" i="30"/>
  <c r="J181" i="30"/>
  <c r="AD181" i="30"/>
  <c r="Q181" i="29"/>
  <c r="V181" i="29"/>
  <c r="F182" i="30"/>
  <c r="J182" i="30"/>
  <c r="AE182" i="30"/>
  <c r="T182" i="29"/>
  <c r="Q182" i="29"/>
  <c r="V182" i="29"/>
  <c r="F183" i="30"/>
  <c r="J183" i="30"/>
  <c r="AD183" i="30"/>
  <c r="Q183" i="29"/>
  <c r="V183" i="29"/>
  <c r="F184" i="30"/>
  <c r="J184" i="30"/>
  <c r="AD184" i="30"/>
  <c r="Q184" i="29"/>
  <c r="V184" i="29"/>
  <c r="F185" i="30"/>
  <c r="J185" i="30"/>
  <c r="AD185" i="30"/>
  <c r="Q185" i="29"/>
  <c r="V185" i="29"/>
  <c r="F186" i="30"/>
  <c r="J186" i="30"/>
  <c r="AE186" i="30"/>
  <c r="Q186" i="29"/>
  <c r="V186" i="29"/>
  <c r="F187" i="30"/>
  <c r="J187" i="30"/>
  <c r="AE187" i="30"/>
  <c r="Q187" i="29"/>
  <c r="V187" i="29"/>
  <c r="F188" i="30"/>
  <c r="J188" i="30"/>
  <c r="AE188" i="30"/>
  <c r="Q188" i="29"/>
  <c r="V188" i="29"/>
  <c r="F189" i="30"/>
  <c r="J189" i="30"/>
  <c r="AE189" i="30"/>
  <c r="Q189" i="29"/>
  <c r="V189" i="29"/>
  <c r="F190" i="30"/>
  <c r="J190" i="30"/>
  <c r="AD190" i="30"/>
  <c r="Q190" i="29"/>
  <c r="V190" i="29"/>
  <c r="F191" i="30"/>
  <c r="J191" i="30"/>
  <c r="AD191" i="30"/>
  <c r="Q191" i="29"/>
  <c r="V191" i="29"/>
  <c r="F192" i="30"/>
  <c r="J192" i="30"/>
  <c r="AD192" i="30"/>
  <c r="Q192" i="29"/>
  <c r="V192" i="29"/>
  <c r="F193" i="30"/>
  <c r="I193" i="30"/>
  <c r="J193" i="30"/>
  <c r="AE193" i="30"/>
  <c r="Q193" i="29"/>
  <c r="V193" i="29"/>
  <c r="F194" i="30"/>
  <c r="J194" i="30"/>
  <c r="AE194" i="30"/>
  <c r="Q194" i="29"/>
  <c r="V194" i="29"/>
  <c r="F195" i="30"/>
  <c r="J195" i="30"/>
  <c r="AE195" i="30"/>
  <c r="Q195" i="29"/>
  <c r="V195" i="29"/>
  <c r="F196" i="30"/>
  <c r="J196" i="30"/>
  <c r="AE196" i="30"/>
  <c r="Q196" i="29"/>
  <c r="V196" i="29"/>
  <c r="F197" i="30"/>
  <c r="J197" i="30"/>
  <c r="AE197" i="30"/>
  <c r="Q197" i="29"/>
  <c r="V197" i="29"/>
  <c r="F198" i="30"/>
  <c r="J198" i="30"/>
  <c r="AE198" i="30"/>
  <c r="Q198" i="29"/>
  <c r="V198" i="29"/>
  <c r="F199" i="30"/>
  <c r="J199" i="30"/>
  <c r="AF199" i="30"/>
  <c r="Q199" i="29"/>
  <c r="V199" i="29"/>
  <c r="F200" i="30"/>
  <c r="J200" i="30"/>
  <c r="AE200" i="30"/>
  <c r="Q200" i="29"/>
  <c r="V200" i="29"/>
  <c r="F201" i="30"/>
  <c r="J201" i="30"/>
  <c r="AF201" i="30"/>
  <c r="Q201" i="29"/>
  <c r="V201" i="29"/>
  <c r="F202" i="30"/>
  <c r="J202" i="30"/>
  <c r="AD202" i="30"/>
  <c r="Q202" i="29"/>
  <c r="V202" i="29"/>
  <c r="F203" i="30"/>
  <c r="J203" i="30"/>
  <c r="AD203" i="30"/>
  <c r="Q203" i="29"/>
  <c r="V203" i="29"/>
  <c r="F204" i="30"/>
  <c r="J204" i="30"/>
  <c r="AD204" i="30"/>
  <c r="Q204" i="29"/>
  <c r="V204" i="29"/>
  <c r="F205" i="30"/>
  <c r="J205" i="30"/>
  <c r="AF205" i="30"/>
  <c r="Q205" i="29"/>
  <c r="V205" i="29"/>
  <c r="F206" i="30"/>
  <c r="J206" i="30"/>
  <c r="AD206" i="30"/>
  <c r="Q207" i="29"/>
  <c r="V207" i="29"/>
  <c r="F208" i="30"/>
  <c r="J208" i="30"/>
  <c r="AE208" i="30"/>
  <c r="Q208" i="29"/>
  <c r="V208" i="29"/>
  <c r="F209" i="30"/>
  <c r="J209" i="30"/>
  <c r="AF209" i="30"/>
  <c r="Q209" i="29"/>
  <c r="V209" i="29"/>
  <c r="F210" i="30"/>
  <c r="J210" i="30"/>
  <c r="AD210" i="30"/>
  <c r="Q210" i="29"/>
  <c r="V210" i="29"/>
  <c r="F211" i="30"/>
  <c r="J211" i="30"/>
  <c r="AD211" i="30"/>
  <c r="Q211" i="29"/>
  <c r="V211" i="29"/>
  <c r="F212" i="30"/>
  <c r="J212" i="30"/>
  <c r="AE212" i="30"/>
  <c r="Q212" i="29"/>
  <c r="V212" i="29"/>
  <c r="F213" i="30"/>
  <c r="J213" i="30"/>
  <c r="AE213" i="30"/>
  <c r="Q213" i="29"/>
  <c r="V213" i="29"/>
  <c r="F214" i="30"/>
  <c r="J214" i="30"/>
  <c r="AE214" i="30"/>
  <c r="Q214" i="29"/>
  <c r="V214" i="29"/>
  <c r="F215" i="30"/>
  <c r="J215" i="30"/>
  <c r="AE215" i="30"/>
  <c r="Q215" i="29"/>
  <c r="V215" i="29"/>
  <c r="F216" i="30"/>
  <c r="J216" i="30"/>
  <c r="AD216" i="30"/>
  <c r="Q216" i="29"/>
  <c r="V216" i="29"/>
  <c r="F217" i="30"/>
  <c r="J217" i="30"/>
  <c r="AE217" i="30"/>
  <c r="Q217" i="29"/>
  <c r="V217" i="29"/>
  <c r="F218" i="30"/>
  <c r="J218" i="30"/>
  <c r="AD218" i="30"/>
  <c r="Q218" i="29"/>
  <c r="V218" i="29"/>
  <c r="F219" i="30"/>
  <c r="J219" i="30"/>
  <c r="AD219" i="30"/>
  <c r="T220" i="29"/>
  <c r="Q220" i="29"/>
  <c r="V220" i="29"/>
  <c r="F221" i="30"/>
  <c r="J221" i="30"/>
  <c r="AF221" i="30"/>
  <c r="Q221" i="29"/>
  <c r="V221" i="29"/>
  <c r="F222" i="30"/>
  <c r="J222" i="30"/>
  <c r="AF222" i="30"/>
  <c r="E77" i="30"/>
  <c r="T75" i="29"/>
  <c r="J61" i="30"/>
  <c r="AD61" i="30"/>
  <c r="AE61" i="30"/>
  <c r="AF61" i="30"/>
  <c r="Q61" i="30"/>
  <c r="AH61" i="30"/>
  <c r="AI61" i="30"/>
  <c r="AJ61" i="30"/>
  <c r="X61" i="30"/>
  <c r="Y61" i="30"/>
  <c r="Z61" i="30"/>
  <c r="AC61" i="30"/>
  <c r="V61" i="30"/>
  <c r="F65" i="31"/>
  <c r="J65" i="31"/>
  <c r="AD65" i="31"/>
  <c r="AL65" i="31"/>
  <c r="E82" i="30"/>
  <c r="E43" i="30"/>
  <c r="Q222" i="29"/>
  <c r="V222" i="29"/>
  <c r="Q219" i="29"/>
  <c r="V219" i="29"/>
  <c r="Q206" i="29"/>
  <c r="V206" i="29"/>
  <c r="F207" i="30"/>
  <c r="J207" i="30"/>
  <c r="AD207" i="30"/>
  <c r="Q177" i="29"/>
  <c r="V177" i="29"/>
  <c r="Q81" i="29"/>
  <c r="V81" i="29"/>
  <c r="F82" i="30"/>
  <c r="J82" i="30"/>
  <c r="AD82" i="30"/>
  <c r="Q80" i="29"/>
  <c r="V80" i="29"/>
  <c r="F81" i="30"/>
  <c r="J81" i="30"/>
  <c r="AD81" i="30"/>
  <c r="Q79" i="29"/>
  <c r="V79" i="29"/>
  <c r="F80" i="30"/>
  <c r="J80" i="30"/>
  <c r="AD80" i="30"/>
  <c r="Q78" i="29"/>
  <c r="V78" i="29"/>
  <c r="F79" i="30"/>
  <c r="J79" i="30"/>
  <c r="AE79" i="30"/>
  <c r="Q77" i="29"/>
  <c r="V77" i="29"/>
  <c r="F78" i="30"/>
  <c r="J78" i="30"/>
  <c r="AE78" i="30"/>
  <c r="Q76" i="29"/>
  <c r="V76" i="29"/>
  <c r="F77" i="30"/>
  <c r="J77" i="30"/>
  <c r="AE77" i="30"/>
  <c r="Q75" i="29"/>
  <c r="V75" i="29"/>
  <c r="F76" i="30"/>
  <c r="J76" i="30"/>
  <c r="AD76" i="30"/>
  <c r="Q74" i="29"/>
  <c r="V74" i="29"/>
  <c r="F75" i="30"/>
  <c r="J75" i="30"/>
  <c r="AE75" i="30"/>
  <c r="Q73" i="29"/>
  <c r="V73" i="29"/>
  <c r="F74" i="30"/>
  <c r="J74" i="30"/>
  <c r="AE74" i="30"/>
  <c r="Q72" i="29"/>
  <c r="V72" i="29"/>
  <c r="F73" i="30"/>
  <c r="J73" i="30"/>
  <c r="AD73" i="30"/>
  <c r="Q71" i="29"/>
  <c r="V71" i="29"/>
  <c r="F72" i="30"/>
  <c r="J72" i="30"/>
  <c r="AD72" i="30"/>
  <c r="Q70" i="29"/>
  <c r="V70" i="29"/>
  <c r="F71" i="30"/>
  <c r="J71" i="30"/>
  <c r="AE71" i="30"/>
  <c r="Q69" i="29"/>
  <c r="V69" i="29"/>
  <c r="F70" i="30"/>
  <c r="J70" i="30"/>
  <c r="AD70" i="30"/>
  <c r="Q68" i="29"/>
  <c r="V68" i="29"/>
  <c r="F69" i="30"/>
  <c r="J69" i="30"/>
  <c r="AD69" i="30"/>
  <c r="Q67" i="29"/>
  <c r="V67" i="29"/>
  <c r="F68" i="30"/>
  <c r="J68" i="30"/>
  <c r="AD68" i="30"/>
  <c r="Q66" i="29"/>
  <c r="V66" i="29"/>
  <c r="F67" i="30"/>
  <c r="J67" i="30"/>
  <c r="AD67" i="30"/>
  <c r="Q65" i="29"/>
  <c r="V65" i="29"/>
  <c r="F66" i="30"/>
  <c r="J66" i="30"/>
  <c r="AD66" i="30"/>
  <c r="Q64" i="29"/>
  <c r="V64" i="29"/>
  <c r="F65" i="30"/>
  <c r="J65" i="30"/>
  <c r="AD65" i="30"/>
  <c r="Q63" i="29"/>
  <c r="V63" i="29"/>
  <c r="F64" i="30"/>
  <c r="J64" i="30"/>
  <c r="AD64" i="30"/>
  <c r="Q62" i="29"/>
  <c r="V62" i="29"/>
  <c r="F63" i="30"/>
  <c r="J63" i="30"/>
  <c r="AD63" i="30"/>
  <c r="Q61" i="29"/>
  <c r="V61" i="29"/>
  <c r="F62" i="30"/>
  <c r="J62" i="30"/>
  <c r="AD62" i="30"/>
  <c r="Q60" i="29"/>
  <c r="V60" i="29"/>
  <c r="F60" i="30"/>
  <c r="J60" i="30"/>
  <c r="AD60" i="30"/>
  <c r="Q59" i="29"/>
  <c r="V59" i="29"/>
  <c r="F59" i="30"/>
  <c r="J59" i="30"/>
  <c r="AD59" i="30"/>
  <c r="Q58" i="29"/>
  <c r="V58" i="29"/>
  <c r="F58" i="30"/>
  <c r="J58" i="30"/>
  <c r="AF58" i="30"/>
  <c r="Q57" i="29"/>
  <c r="V57" i="29"/>
  <c r="F57" i="30"/>
  <c r="J57" i="30"/>
  <c r="AE57" i="30"/>
  <c r="Q56" i="29"/>
  <c r="V56" i="29"/>
  <c r="F56" i="30"/>
  <c r="J56" i="30"/>
  <c r="AE56" i="30"/>
  <c r="Q55" i="29"/>
  <c r="V55" i="29"/>
  <c r="F55" i="30"/>
  <c r="J55" i="30"/>
  <c r="AF55" i="30"/>
  <c r="Q54" i="29"/>
  <c r="V54" i="29"/>
  <c r="F54" i="30"/>
  <c r="J54" i="30"/>
  <c r="AE54" i="30"/>
  <c r="Q53" i="29"/>
  <c r="V53" i="29"/>
  <c r="F53" i="30"/>
  <c r="J53" i="30"/>
  <c r="AE53" i="30"/>
  <c r="Q52" i="29"/>
  <c r="V52" i="29"/>
  <c r="F52" i="30"/>
  <c r="J52" i="30"/>
  <c r="AE52" i="30"/>
  <c r="Q51" i="29"/>
  <c r="V51" i="29"/>
  <c r="F51" i="30"/>
  <c r="J51" i="30"/>
  <c r="AE51" i="30"/>
  <c r="Q50" i="29"/>
  <c r="V50" i="29"/>
  <c r="F50" i="30"/>
  <c r="J50" i="30"/>
  <c r="AE50" i="30"/>
  <c r="Q49" i="29"/>
  <c r="V49" i="29"/>
  <c r="F49" i="30"/>
  <c r="J49" i="30"/>
  <c r="AD49" i="30"/>
  <c r="Q48" i="29"/>
  <c r="V48" i="29"/>
  <c r="F48" i="30"/>
  <c r="J48" i="30"/>
  <c r="AD48" i="30"/>
  <c r="Q47" i="29"/>
  <c r="V47" i="29"/>
  <c r="F47" i="30"/>
  <c r="J47" i="30"/>
  <c r="AD47" i="30"/>
  <c r="Q46" i="29"/>
  <c r="V46" i="29"/>
  <c r="F46" i="30"/>
  <c r="J46" i="30"/>
  <c r="AE46" i="30"/>
  <c r="Q45" i="29"/>
  <c r="V45" i="29"/>
  <c r="F45" i="30"/>
  <c r="J45" i="30"/>
  <c r="AD45" i="30"/>
  <c r="Q44" i="29"/>
  <c r="V44" i="29"/>
  <c r="F44" i="30"/>
  <c r="J44" i="30"/>
  <c r="AD44" i="30"/>
  <c r="Q43" i="29"/>
  <c r="V43" i="29"/>
  <c r="F43" i="30"/>
  <c r="J43" i="30"/>
  <c r="AE43" i="30"/>
  <c r="Q42" i="29"/>
  <c r="V42" i="29"/>
  <c r="F42" i="30"/>
  <c r="J42" i="30"/>
  <c r="AD42" i="30"/>
  <c r="Q41" i="29"/>
  <c r="V41" i="29"/>
  <c r="F41" i="30"/>
  <c r="J41" i="30"/>
  <c r="AD41" i="30"/>
  <c r="Q40" i="29"/>
  <c r="V40" i="29"/>
  <c r="F40" i="30"/>
  <c r="J40" i="30"/>
  <c r="AF40" i="30"/>
  <c r="Q39" i="29"/>
  <c r="V39" i="29"/>
  <c r="F39" i="30"/>
  <c r="J39" i="30"/>
  <c r="AD39" i="30"/>
  <c r="Q38" i="29"/>
  <c r="V38" i="29"/>
  <c r="F38" i="30"/>
  <c r="J38" i="30"/>
  <c r="AD38" i="30"/>
  <c r="Q37" i="29"/>
  <c r="V37" i="29"/>
  <c r="F37" i="30"/>
  <c r="J37" i="30"/>
  <c r="AD37" i="30"/>
  <c r="Q36" i="29"/>
  <c r="V36" i="29"/>
  <c r="F36" i="30"/>
  <c r="J36" i="30"/>
  <c r="AD36" i="30"/>
  <c r="Q35" i="29"/>
  <c r="V35" i="29"/>
  <c r="F35" i="30"/>
  <c r="J35" i="30"/>
  <c r="AD35" i="30"/>
  <c r="Q34" i="29"/>
  <c r="V34" i="29"/>
  <c r="F34" i="30"/>
  <c r="J34" i="30"/>
  <c r="AD34" i="30"/>
  <c r="Q33" i="29"/>
  <c r="V33" i="29"/>
  <c r="F33" i="30"/>
  <c r="J33" i="30"/>
  <c r="AD33" i="30"/>
  <c r="Q32" i="29"/>
  <c r="V32" i="29"/>
  <c r="F32" i="30"/>
  <c r="J32" i="30"/>
  <c r="AD32" i="30"/>
  <c r="Q31" i="29"/>
  <c r="V31" i="29"/>
  <c r="F31" i="30"/>
  <c r="J31" i="30"/>
  <c r="AD31" i="30"/>
  <c r="Q30" i="29"/>
  <c r="V30" i="29"/>
  <c r="F30" i="30"/>
  <c r="J30" i="30"/>
  <c r="AD30" i="30"/>
  <c r="Q29" i="29"/>
  <c r="V29" i="29"/>
  <c r="F29" i="30"/>
  <c r="J29" i="30"/>
  <c r="AD29" i="30"/>
  <c r="Q28" i="29"/>
  <c r="V28" i="29"/>
  <c r="F28" i="30"/>
  <c r="J28" i="30"/>
  <c r="AE28" i="30"/>
  <c r="Q27" i="29"/>
  <c r="V27" i="29"/>
  <c r="F27" i="30"/>
  <c r="J27" i="30"/>
  <c r="AD27" i="30"/>
  <c r="Q26" i="29"/>
  <c r="V26" i="29"/>
  <c r="F26" i="30"/>
  <c r="J26" i="30"/>
  <c r="AD26" i="30"/>
  <c r="Q25" i="29"/>
  <c r="V25" i="29"/>
  <c r="F25" i="30"/>
  <c r="J25" i="30"/>
  <c r="AD25" i="30"/>
  <c r="Q24" i="29"/>
  <c r="V24" i="29"/>
  <c r="F24" i="30"/>
  <c r="J24" i="30"/>
  <c r="AE24" i="30"/>
  <c r="Q23" i="29"/>
  <c r="V23" i="29"/>
  <c r="F23" i="30"/>
  <c r="J23" i="30"/>
  <c r="AD23" i="30"/>
  <c r="F22" i="30"/>
  <c r="J22" i="30"/>
  <c r="AD22" i="30"/>
  <c r="F21" i="30"/>
  <c r="J21" i="30"/>
  <c r="AD21" i="30"/>
  <c r="F20" i="30"/>
  <c r="J20" i="30"/>
  <c r="AE20" i="30"/>
  <c r="F19" i="30"/>
  <c r="J19" i="30"/>
  <c r="AE19" i="30"/>
  <c r="F18" i="30"/>
  <c r="J18" i="30"/>
  <c r="AE18" i="30"/>
  <c r="F223" i="30"/>
  <c r="J223" i="30"/>
  <c r="AD223" i="30"/>
  <c r="J220" i="30"/>
  <c r="AD220" i="30"/>
  <c r="F17" i="30"/>
  <c r="J17" i="30"/>
  <c r="AD17" i="30"/>
  <c r="F16" i="30"/>
  <c r="J16" i="30"/>
  <c r="AE16" i="30"/>
  <c r="X16" i="30"/>
  <c r="Q17" i="30"/>
  <c r="X17" i="30"/>
  <c r="Y17" i="30"/>
  <c r="Z17" i="30"/>
  <c r="AC17" i="30"/>
  <c r="X18" i="30"/>
  <c r="X19" i="30"/>
  <c r="Q19" i="30"/>
  <c r="Y19" i="30"/>
  <c r="Z19" i="30"/>
  <c r="AC19" i="30"/>
  <c r="X20" i="30"/>
  <c r="Q21" i="30"/>
  <c r="X21" i="30"/>
  <c r="Y21" i="30"/>
  <c r="Z21" i="30"/>
  <c r="AC21" i="30"/>
  <c r="Q22" i="30"/>
  <c r="X22" i="30"/>
  <c r="Y22" i="30"/>
  <c r="Z22" i="30"/>
  <c r="AC22" i="30"/>
  <c r="Q23" i="30"/>
  <c r="X23" i="30"/>
  <c r="Y23" i="30"/>
  <c r="Z23" i="30"/>
  <c r="AC23" i="30"/>
  <c r="X24" i="30"/>
  <c r="Q25" i="30"/>
  <c r="X25" i="30"/>
  <c r="Y25" i="30"/>
  <c r="Z25" i="30"/>
  <c r="AC25" i="30"/>
  <c r="Q26" i="30"/>
  <c r="X26" i="30"/>
  <c r="Q27" i="30"/>
  <c r="AH27" i="30"/>
  <c r="X28" i="30"/>
  <c r="Q29" i="30"/>
  <c r="X29" i="30"/>
  <c r="Q30" i="30"/>
  <c r="X30" i="30"/>
  <c r="Q31" i="30"/>
  <c r="AH31" i="30"/>
  <c r="Q32" i="30"/>
  <c r="AH32" i="30"/>
  <c r="Q33" i="30"/>
  <c r="X33" i="30"/>
  <c r="Y33" i="30"/>
  <c r="Z33" i="30"/>
  <c r="AC33" i="30"/>
  <c r="Q34" i="30"/>
  <c r="X34" i="30"/>
  <c r="Q35" i="30"/>
  <c r="AH35" i="30"/>
  <c r="X35" i="30"/>
  <c r="Q36" i="30"/>
  <c r="AH36" i="30"/>
  <c r="Q37" i="30"/>
  <c r="X37" i="30"/>
  <c r="Y37" i="30"/>
  <c r="Z37" i="30"/>
  <c r="AC37" i="30"/>
  <c r="Q38" i="30"/>
  <c r="X38" i="30"/>
  <c r="Y38" i="30"/>
  <c r="Z38" i="30"/>
  <c r="AC38" i="30"/>
  <c r="Q39" i="30"/>
  <c r="X39" i="30"/>
  <c r="Y39" i="30"/>
  <c r="Z39" i="30"/>
  <c r="AC39" i="30"/>
  <c r="X40" i="30"/>
  <c r="Q41" i="30"/>
  <c r="AH41" i="30"/>
  <c r="AH42" i="30"/>
  <c r="X43" i="30"/>
  <c r="Q44" i="30"/>
  <c r="X44" i="30"/>
  <c r="Y44" i="30"/>
  <c r="Z44" i="30"/>
  <c r="AC44" i="30"/>
  <c r="Q45" i="30"/>
  <c r="X45" i="30"/>
  <c r="X46" i="30"/>
  <c r="Q47" i="30"/>
  <c r="X47" i="30"/>
  <c r="Y47" i="30"/>
  <c r="Z47" i="30"/>
  <c r="AC47" i="30"/>
  <c r="Q48" i="30"/>
  <c r="AH48" i="30"/>
  <c r="Q49" i="30"/>
  <c r="AH49" i="30"/>
  <c r="X50" i="30"/>
  <c r="Q50" i="30"/>
  <c r="Y50" i="30"/>
  <c r="Z50" i="30"/>
  <c r="AC50" i="30"/>
  <c r="X51" i="30"/>
  <c r="X52" i="30"/>
  <c r="X53" i="30"/>
  <c r="X54" i="30"/>
  <c r="Q54" i="30"/>
  <c r="Y54" i="30"/>
  <c r="Z54" i="30"/>
  <c r="AC54" i="30"/>
  <c r="X55" i="30"/>
  <c r="X56" i="30"/>
  <c r="X57" i="30"/>
  <c r="X58" i="30"/>
  <c r="Q59" i="30"/>
  <c r="AH59" i="30"/>
  <c r="Q60" i="30"/>
  <c r="X60" i="30"/>
  <c r="Y60" i="30"/>
  <c r="Z60" i="30"/>
  <c r="AC60" i="30"/>
  <c r="Q62" i="30"/>
  <c r="X62" i="30"/>
  <c r="Y62" i="30"/>
  <c r="Z62" i="30"/>
  <c r="AC62" i="30"/>
  <c r="Q63" i="30"/>
  <c r="X63" i="30"/>
  <c r="Y63" i="30"/>
  <c r="Z63" i="30"/>
  <c r="AC63" i="30"/>
  <c r="Q64" i="30"/>
  <c r="AH64" i="30"/>
  <c r="Q65" i="30"/>
  <c r="AH65" i="30"/>
  <c r="Q66" i="30"/>
  <c r="X66" i="30"/>
  <c r="Y66" i="30"/>
  <c r="Z66" i="30"/>
  <c r="AC66" i="30"/>
  <c r="Q67" i="30"/>
  <c r="X67" i="30"/>
  <c r="Q68" i="30"/>
  <c r="AH68" i="30"/>
  <c r="Q69" i="30"/>
  <c r="X69" i="30"/>
  <c r="Q70" i="30"/>
  <c r="X70" i="30"/>
  <c r="Y70" i="30"/>
  <c r="Z70" i="30"/>
  <c r="AC70" i="30"/>
  <c r="X71" i="30"/>
  <c r="Q72" i="30"/>
  <c r="X72" i="30"/>
  <c r="Y72" i="30"/>
  <c r="Z72" i="30"/>
  <c r="AC72" i="30"/>
  <c r="Q73" i="30"/>
  <c r="AH73" i="30"/>
  <c r="X74" i="30"/>
  <c r="X75" i="30"/>
  <c r="Q76" i="30"/>
  <c r="X76" i="30"/>
  <c r="X77" i="30"/>
  <c r="X78" i="30"/>
  <c r="Q78" i="30"/>
  <c r="Y78" i="30"/>
  <c r="Z78" i="30"/>
  <c r="AC78" i="30"/>
  <c r="X79" i="30"/>
  <c r="Q80" i="30"/>
  <c r="X80" i="30"/>
  <c r="Q81" i="30"/>
  <c r="AH81" i="30"/>
  <c r="Q82" i="30"/>
  <c r="X82" i="30"/>
  <c r="Y82" i="30"/>
  <c r="Z82" i="30"/>
  <c r="AC82" i="30"/>
  <c r="Q83" i="30"/>
  <c r="AH83" i="30"/>
  <c r="Q84" i="30"/>
  <c r="X84" i="30"/>
  <c r="Q85" i="30"/>
  <c r="AH85" i="30"/>
  <c r="X86" i="30"/>
  <c r="X87" i="30"/>
  <c r="X88" i="30"/>
  <c r="Q88" i="30"/>
  <c r="Y88" i="30"/>
  <c r="Z88" i="30"/>
  <c r="AC88" i="30"/>
  <c r="X89" i="30"/>
  <c r="Q90" i="30"/>
  <c r="X90" i="30"/>
  <c r="X91" i="30"/>
  <c r="Q91" i="30"/>
  <c r="Y91" i="30"/>
  <c r="Z91" i="30"/>
  <c r="AC91" i="30"/>
  <c r="X92" i="30"/>
  <c r="X93" i="30"/>
  <c r="Q94" i="30"/>
  <c r="X94" i="30"/>
  <c r="Y94" i="30"/>
  <c r="Z94" i="30"/>
  <c r="AC94" i="30"/>
  <c r="Q95" i="30"/>
  <c r="X95" i="30"/>
  <c r="Y95" i="30"/>
  <c r="Z95" i="30"/>
  <c r="AC95" i="30"/>
  <c r="Q96" i="30"/>
  <c r="X96" i="30"/>
  <c r="Y96" i="30"/>
  <c r="Z96" i="30"/>
  <c r="AC96" i="30"/>
  <c r="Q97" i="30"/>
  <c r="AH97" i="30"/>
  <c r="Q98" i="30"/>
  <c r="X98" i="30"/>
  <c r="Y98" i="30"/>
  <c r="Z98" i="30"/>
  <c r="AC98" i="30"/>
  <c r="Q99" i="30"/>
  <c r="X99" i="30"/>
  <c r="Y99" i="30"/>
  <c r="Z99" i="30"/>
  <c r="AC99" i="30"/>
  <c r="Q100" i="30"/>
  <c r="X100" i="30"/>
  <c r="Y100" i="30"/>
  <c r="Z100" i="30"/>
  <c r="AC100" i="30"/>
  <c r="Q101" i="30"/>
  <c r="AH101" i="30"/>
  <c r="Q102" i="30"/>
  <c r="X102" i="30"/>
  <c r="Y102" i="30"/>
  <c r="Z102" i="30"/>
  <c r="AC102" i="30"/>
  <c r="Q103" i="30"/>
  <c r="X103" i="30"/>
  <c r="Y103" i="30"/>
  <c r="Z103" i="30"/>
  <c r="AC103" i="30"/>
  <c r="Q104" i="30"/>
  <c r="X104" i="30"/>
  <c r="Y104" i="30"/>
  <c r="Z104" i="30"/>
  <c r="AC104" i="30"/>
  <c r="Q105" i="30"/>
  <c r="AH105" i="30"/>
  <c r="Q106" i="30"/>
  <c r="X106" i="30"/>
  <c r="Y106" i="30"/>
  <c r="Z106" i="30"/>
  <c r="AC106" i="30"/>
  <c r="Q107" i="30"/>
  <c r="X107" i="30"/>
  <c r="Y107" i="30"/>
  <c r="Z107" i="30"/>
  <c r="AC107" i="30"/>
  <c r="Q108" i="30"/>
  <c r="X108" i="30"/>
  <c r="Y108" i="30"/>
  <c r="Z108" i="30"/>
  <c r="AC108" i="30"/>
  <c r="Q109" i="30"/>
  <c r="AH109" i="30"/>
  <c r="Q110" i="30"/>
  <c r="X110" i="30"/>
  <c r="Y110" i="30"/>
  <c r="Z110" i="30"/>
  <c r="AC110" i="30"/>
  <c r="Q111" i="30"/>
  <c r="X111" i="30"/>
  <c r="Y111" i="30"/>
  <c r="Z111" i="30"/>
  <c r="AC111" i="30"/>
  <c r="Q112" i="30"/>
  <c r="X112" i="30"/>
  <c r="Y112" i="30"/>
  <c r="Z112" i="30"/>
  <c r="AC112" i="30"/>
  <c r="Q113" i="30"/>
  <c r="AH113" i="30"/>
  <c r="Q114" i="30"/>
  <c r="X114" i="30"/>
  <c r="X115" i="30"/>
  <c r="Q115" i="30"/>
  <c r="Y115" i="30"/>
  <c r="Z115" i="30"/>
  <c r="AC115" i="30"/>
  <c r="X116" i="30"/>
  <c r="Q117" i="30"/>
  <c r="X117" i="30"/>
  <c r="Q118" i="30"/>
  <c r="AH118" i="30"/>
  <c r="Q119" i="30"/>
  <c r="X119" i="30"/>
  <c r="Q120" i="30"/>
  <c r="AH120" i="30"/>
  <c r="X121" i="30"/>
  <c r="X122" i="30"/>
  <c r="Y122" i="30"/>
  <c r="Z122" i="30"/>
  <c r="AC122" i="30"/>
  <c r="X123" i="30"/>
  <c r="X124" i="30"/>
  <c r="X125" i="30"/>
  <c r="X126" i="30"/>
  <c r="Y126" i="30"/>
  <c r="Z126" i="30"/>
  <c r="AC126" i="30"/>
  <c r="X127" i="30"/>
  <c r="X128" i="30"/>
  <c r="Q129" i="30"/>
  <c r="X129" i="30"/>
  <c r="Y129" i="30"/>
  <c r="Z129" i="30"/>
  <c r="AC129" i="30"/>
  <c r="Q130" i="30"/>
  <c r="X130" i="30"/>
  <c r="Q131" i="30"/>
  <c r="AH131" i="30"/>
  <c r="Q132" i="30"/>
  <c r="X132" i="30"/>
  <c r="Q133" i="30"/>
  <c r="X133" i="30"/>
  <c r="Y133" i="30"/>
  <c r="Z133" i="30"/>
  <c r="AC133" i="30"/>
  <c r="Q134" i="30"/>
  <c r="X134" i="30"/>
  <c r="Q135" i="30"/>
  <c r="AH135" i="30"/>
  <c r="Q136" i="30"/>
  <c r="X136" i="30"/>
  <c r="Q137" i="30"/>
  <c r="AH137" i="30"/>
  <c r="X138" i="30"/>
  <c r="X139" i="30"/>
  <c r="Q140" i="30"/>
  <c r="X140" i="30"/>
  <c r="Q141" i="30"/>
  <c r="X141" i="30"/>
  <c r="Y141" i="30"/>
  <c r="Z141" i="30"/>
  <c r="AC141" i="30"/>
  <c r="X142" i="30"/>
  <c r="X143" i="30"/>
  <c r="X144" i="30"/>
  <c r="Q145" i="30"/>
  <c r="X145" i="30"/>
  <c r="X146" i="30"/>
  <c r="Q147" i="30"/>
  <c r="X147" i="30"/>
  <c r="Q148" i="30"/>
  <c r="X148" i="30"/>
  <c r="X149" i="30"/>
  <c r="X150" i="30"/>
  <c r="X151" i="30"/>
  <c r="X152" i="30"/>
  <c r="Q153" i="30"/>
  <c r="AH153" i="30"/>
  <c r="X154" i="30"/>
  <c r="X155" i="30"/>
  <c r="Q156" i="30"/>
  <c r="X156" i="30"/>
  <c r="Q157" i="30"/>
  <c r="X157" i="30"/>
  <c r="X158" i="30"/>
  <c r="X159" i="30"/>
  <c r="X160" i="30"/>
  <c r="X161" i="30"/>
  <c r="X162" i="30"/>
  <c r="Q163" i="30"/>
  <c r="X163" i="30"/>
  <c r="Q164" i="30"/>
  <c r="X164" i="30"/>
  <c r="Q165" i="30"/>
  <c r="X165" i="30"/>
  <c r="Q166" i="30"/>
  <c r="AH166" i="30"/>
  <c r="Q167" i="30"/>
  <c r="X167" i="30"/>
  <c r="Q168" i="30"/>
  <c r="AH168" i="30"/>
  <c r="Q169" i="30"/>
  <c r="X169" i="30"/>
  <c r="Q170" i="30"/>
  <c r="X170" i="30"/>
  <c r="Q171" i="30"/>
  <c r="X171" i="30"/>
  <c r="X172" i="30"/>
  <c r="Q173" i="30"/>
  <c r="X173" i="30"/>
  <c r="X175" i="30"/>
  <c r="Q176" i="30"/>
  <c r="X176" i="30"/>
  <c r="X177" i="30"/>
  <c r="X178" i="30"/>
  <c r="Q179" i="30"/>
  <c r="X179" i="30"/>
  <c r="X180" i="30"/>
  <c r="Q181" i="30"/>
  <c r="X181" i="30"/>
  <c r="X182" i="30"/>
  <c r="Q183" i="30"/>
  <c r="X183" i="30"/>
  <c r="Q184" i="30"/>
  <c r="X184" i="30"/>
  <c r="Q185" i="30"/>
  <c r="X185" i="30"/>
  <c r="X186" i="30"/>
  <c r="X187" i="30"/>
  <c r="X188" i="30"/>
  <c r="X189" i="30"/>
  <c r="Q190" i="30"/>
  <c r="X190" i="30"/>
  <c r="Q191" i="30"/>
  <c r="X191" i="30"/>
  <c r="Q192" i="30"/>
  <c r="X192" i="30"/>
  <c r="X193" i="30"/>
  <c r="X194" i="30"/>
  <c r="X195" i="30"/>
  <c r="X196" i="30"/>
  <c r="X197" i="30"/>
  <c r="X198" i="30"/>
  <c r="X199" i="30"/>
  <c r="X200" i="30"/>
  <c r="X201" i="30"/>
  <c r="Q202" i="30"/>
  <c r="X202" i="30"/>
  <c r="X203" i="30"/>
  <c r="Q204" i="30"/>
  <c r="AH204" i="30"/>
  <c r="X205" i="30"/>
  <c r="Q206" i="30"/>
  <c r="X206" i="30"/>
  <c r="Q207" i="30"/>
  <c r="X207" i="30"/>
  <c r="X208" i="30"/>
  <c r="X209" i="30"/>
  <c r="Q210" i="30"/>
  <c r="AH210" i="30"/>
  <c r="Q211" i="30"/>
  <c r="AH211" i="30"/>
  <c r="X212" i="30"/>
  <c r="X213" i="30"/>
  <c r="X214" i="30"/>
  <c r="X215" i="30"/>
  <c r="Q216" i="30"/>
  <c r="AH216" i="30"/>
  <c r="X217" i="30"/>
  <c r="Q218" i="30"/>
  <c r="X218" i="30"/>
  <c r="Q219" i="30"/>
  <c r="AH219" i="30"/>
  <c r="Q220" i="30"/>
  <c r="X220" i="30"/>
  <c r="X221" i="30"/>
  <c r="X222" i="30"/>
  <c r="Q223" i="30"/>
  <c r="X223" i="30"/>
  <c r="AA224" i="30"/>
  <c r="AA232" i="30"/>
  <c r="Q16" i="30"/>
  <c r="Y16" i="30"/>
  <c r="Q18" i="30"/>
  <c r="Y18" i="30"/>
  <c r="Q20" i="30"/>
  <c r="AI20" i="30"/>
  <c r="Q24" i="30"/>
  <c r="Y26" i="30"/>
  <c r="Y27" i="30"/>
  <c r="Q28" i="30"/>
  <c r="Y28" i="30"/>
  <c r="Z28" i="30"/>
  <c r="AC28" i="30"/>
  <c r="Y29" i="30"/>
  <c r="Y30" i="30"/>
  <c r="Y31" i="30"/>
  <c r="Y32" i="30"/>
  <c r="Y34" i="30"/>
  <c r="Y35" i="30"/>
  <c r="Y36" i="30"/>
  <c r="Y40" i="30"/>
  <c r="Y41" i="30"/>
  <c r="Y42" i="30"/>
  <c r="Q43" i="30"/>
  <c r="Y43" i="30"/>
  <c r="Y45" i="30"/>
  <c r="Q46" i="30"/>
  <c r="AI46" i="30"/>
  <c r="Y48" i="30"/>
  <c r="Y49" i="30"/>
  <c r="Q51" i="30"/>
  <c r="Y51" i="30"/>
  <c r="Z51" i="30"/>
  <c r="AC51" i="30"/>
  <c r="Q52" i="30"/>
  <c r="Y52" i="30"/>
  <c r="Q53" i="30"/>
  <c r="AI53" i="30"/>
  <c r="Y55" i="30"/>
  <c r="Q56" i="30"/>
  <c r="Y56" i="30"/>
  <c r="Q57" i="30"/>
  <c r="Y57" i="30"/>
  <c r="Y58" i="30"/>
  <c r="Y59" i="30"/>
  <c r="Y64" i="30"/>
  <c r="Y65" i="30"/>
  <c r="Y67" i="30"/>
  <c r="Y68" i="30"/>
  <c r="Y69" i="30"/>
  <c r="Q71" i="30"/>
  <c r="Y71" i="30"/>
  <c r="Z71" i="30"/>
  <c r="AC71" i="30"/>
  <c r="Y73" i="30"/>
  <c r="Q74" i="30"/>
  <c r="AI74" i="30"/>
  <c r="Q75" i="30"/>
  <c r="Y75" i="30"/>
  <c r="Y76" i="30"/>
  <c r="Q77" i="30"/>
  <c r="Y77" i="30"/>
  <c r="Q79" i="30"/>
  <c r="Y79" i="30"/>
  <c r="Y80" i="30"/>
  <c r="Y81" i="30"/>
  <c r="Y83" i="30"/>
  <c r="Y84" i="30"/>
  <c r="Y85" i="30"/>
  <c r="Y86" i="30"/>
  <c r="Y87" i="30"/>
  <c r="Q87" i="30"/>
  <c r="Z87" i="30"/>
  <c r="AC87" i="30"/>
  <c r="Q89" i="30"/>
  <c r="AI89" i="30"/>
  <c r="Y90" i="30"/>
  <c r="Q92" i="30"/>
  <c r="Y92" i="30"/>
  <c r="Z92" i="30"/>
  <c r="AC92" i="30"/>
  <c r="Q93" i="30"/>
  <c r="Y93" i="30"/>
  <c r="Y97" i="30"/>
  <c r="Y101" i="30"/>
  <c r="Y105" i="30"/>
  <c r="Y109" i="30"/>
  <c r="Y113" i="30"/>
  <c r="Y114" i="30"/>
  <c r="Q116" i="30"/>
  <c r="Y116" i="30"/>
  <c r="Y117" i="30"/>
  <c r="Y118" i="30"/>
  <c r="Y119" i="30"/>
  <c r="Y120" i="30"/>
  <c r="Y121" i="30"/>
  <c r="Y123" i="30"/>
  <c r="Y124" i="30"/>
  <c r="AI125" i="30"/>
  <c r="Y127" i="30"/>
  <c r="Y128" i="30"/>
  <c r="Z128" i="30"/>
  <c r="AC128" i="30"/>
  <c r="Y130" i="30"/>
  <c r="Y131" i="30"/>
  <c r="Y132" i="30"/>
  <c r="Z132" i="30"/>
  <c r="AC132" i="30"/>
  <c r="Y134" i="30"/>
  <c r="Y135" i="30"/>
  <c r="Y136" i="30"/>
  <c r="Z136" i="30"/>
  <c r="AC136" i="30"/>
  <c r="Y137" i="30"/>
  <c r="Q138" i="30"/>
  <c r="Y138" i="30"/>
  <c r="Q139" i="30"/>
  <c r="AI139" i="30"/>
  <c r="Y140" i="30"/>
  <c r="Y142" i="30"/>
  <c r="Q143" i="30"/>
  <c r="Y143" i="30"/>
  <c r="Q144" i="30"/>
  <c r="Y144" i="30"/>
  <c r="Y145" i="30"/>
  <c r="Y146" i="30"/>
  <c r="Y147" i="30"/>
  <c r="Y148" i="30"/>
  <c r="Y149" i="30"/>
  <c r="Q150" i="30"/>
  <c r="Y150" i="30"/>
  <c r="Q151" i="30"/>
  <c r="Y151" i="30"/>
  <c r="Y152" i="30"/>
  <c r="Y153" i="30"/>
  <c r="Q154" i="30"/>
  <c r="Y154" i="30"/>
  <c r="Q155" i="30"/>
  <c r="Y155" i="30"/>
  <c r="Y156" i="30"/>
  <c r="Y157" i="30"/>
  <c r="Q158" i="30"/>
  <c r="AI158" i="30"/>
  <c r="Q159" i="30"/>
  <c r="Y159" i="30"/>
  <c r="Q160" i="30"/>
  <c r="AI160" i="30"/>
  <c r="Q161" i="30"/>
  <c r="Y161" i="30"/>
  <c r="Q162" i="30"/>
  <c r="AI162" i="30"/>
  <c r="Y163" i="30"/>
  <c r="Y164" i="30"/>
  <c r="Y165" i="30"/>
  <c r="Y166" i="30"/>
  <c r="Y167" i="30"/>
  <c r="Y168" i="30"/>
  <c r="Y169" i="30"/>
  <c r="Y170" i="30"/>
  <c r="Y171" i="30"/>
  <c r="Q172" i="30"/>
  <c r="AI172" i="30"/>
  <c r="Y173" i="30"/>
  <c r="Q174" i="30"/>
  <c r="X174" i="30"/>
  <c r="Y174" i="30"/>
  <c r="Q175" i="30"/>
  <c r="AI175" i="30"/>
  <c r="Y176" i="30"/>
  <c r="Q177" i="30"/>
  <c r="Y177" i="30"/>
  <c r="Y178" i="30"/>
  <c r="Y179" i="30"/>
  <c r="Q180" i="30"/>
  <c r="Y180" i="30"/>
  <c r="Y181" i="30"/>
  <c r="Q182" i="30"/>
  <c r="Y182" i="30"/>
  <c r="Y183" i="30"/>
  <c r="Y184" i="30"/>
  <c r="Y185" i="30"/>
  <c r="Q186" i="30"/>
  <c r="Y186" i="30"/>
  <c r="Z186" i="30"/>
  <c r="AC186" i="30"/>
  <c r="Q187" i="30"/>
  <c r="AI187" i="30"/>
  <c r="Q188" i="30"/>
  <c r="Y188" i="30"/>
  <c r="Q189" i="30"/>
  <c r="Y189" i="30"/>
  <c r="Y190" i="30"/>
  <c r="Y191" i="30"/>
  <c r="Y192" i="30"/>
  <c r="Q193" i="30"/>
  <c r="Y193" i="30"/>
  <c r="Q194" i="30"/>
  <c r="AI194" i="30"/>
  <c r="Q195" i="30"/>
  <c r="Y195" i="30"/>
  <c r="Q196" i="30"/>
  <c r="Y196" i="30"/>
  <c r="Q197" i="30"/>
  <c r="Y197" i="30"/>
  <c r="Q198" i="30"/>
  <c r="AI198" i="30"/>
  <c r="Y199" i="30"/>
  <c r="Q200" i="30"/>
  <c r="Y200" i="30"/>
  <c r="Y201" i="30"/>
  <c r="Y202" i="30"/>
  <c r="Y203" i="30"/>
  <c r="Y204" i="30"/>
  <c r="Y205" i="30"/>
  <c r="Y206" i="30"/>
  <c r="Y207" i="30"/>
  <c r="Q208" i="30"/>
  <c r="Y208" i="30"/>
  <c r="Y209" i="30"/>
  <c r="Y210" i="30"/>
  <c r="Y211" i="30"/>
  <c r="Q212" i="30"/>
  <c r="Y212" i="30"/>
  <c r="Q213" i="30"/>
  <c r="Y213" i="30"/>
  <c r="Q214" i="30"/>
  <c r="Y214" i="30"/>
  <c r="Q215" i="30"/>
  <c r="Y215" i="30"/>
  <c r="Y216" i="30"/>
  <c r="Q217" i="30"/>
  <c r="Y217" i="30"/>
  <c r="Z217" i="30"/>
  <c r="AC217" i="30"/>
  <c r="Y218" i="30"/>
  <c r="Y219" i="30"/>
  <c r="Y220" i="30"/>
  <c r="Y221" i="30"/>
  <c r="Y222" i="30"/>
  <c r="Y223" i="30"/>
  <c r="AB224" i="30"/>
  <c r="AA235" i="30"/>
  <c r="Z16" i="30"/>
  <c r="Z18" i="30"/>
  <c r="Z20" i="30"/>
  <c r="Z24" i="30"/>
  <c r="Z26" i="30"/>
  <c r="Z27" i="30"/>
  <c r="Z29" i="30"/>
  <c r="Z30" i="30"/>
  <c r="Z31" i="30"/>
  <c r="Z32" i="30"/>
  <c r="Z34" i="30"/>
  <c r="Z35" i="30"/>
  <c r="Z36" i="30"/>
  <c r="Q40" i="30"/>
  <c r="Z40" i="30"/>
  <c r="AC40" i="30"/>
  <c r="Z41" i="30"/>
  <c r="Z42" i="30"/>
  <c r="Z43" i="30"/>
  <c r="Z45" i="30"/>
  <c r="Z46" i="30"/>
  <c r="Z48" i="30"/>
  <c r="Z49" i="30"/>
  <c r="Z52" i="30"/>
  <c r="Z53" i="30"/>
  <c r="Q55" i="30"/>
  <c r="AJ55" i="30"/>
  <c r="Z56" i="30"/>
  <c r="Z57" i="30"/>
  <c r="Q58" i="30"/>
  <c r="Z58" i="30"/>
  <c r="Z59" i="30"/>
  <c r="Z64" i="30"/>
  <c r="Z65" i="30"/>
  <c r="Z67" i="30"/>
  <c r="Z68" i="30"/>
  <c r="Z69" i="30"/>
  <c r="AC69" i="30"/>
  <c r="Z73" i="30"/>
  <c r="Z74" i="30"/>
  <c r="Z75" i="30"/>
  <c r="Z76" i="30"/>
  <c r="Z77" i="30"/>
  <c r="Z79" i="30"/>
  <c r="Z80" i="30"/>
  <c r="Z81" i="30"/>
  <c r="Z55" i="30"/>
  <c r="Z83" i="30"/>
  <c r="Z84" i="30"/>
  <c r="Z85" i="30"/>
  <c r="Q86" i="30"/>
  <c r="Z86" i="30"/>
  <c r="Z89" i="30"/>
  <c r="Z90" i="30"/>
  <c r="Z93" i="30"/>
  <c r="Z97" i="30"/>
  <c r="Z101" i="30"/>
  <c r="Z105" i="30"/>
  <c r="Z109" i="30"/>
  <c r="Z113" i="30"/>
  <c r="Z114" i="30"/>
  <c r="Z116" i="30"/>
  <c r="Z117" i="30"/>
  <c r="Z118" i="30"/>
  <c r="Z119" i="30"/>
  <c r="Z120" i="30"/>
  <c r="Z121" i="30"/>
  <c r="Z123" i="30"/>
  <c r="Z124" i="30"/>
  <c r="Z125" i="30"/>
  <c r="Z127" i="30"/>
  <c r="Z130" i="30"/>
  <c r="Z131" i="30"/>
  <c r="Z134" i="30"/>
  <c r="Z135" i="30"/>
  <c r="Z137" i="30"/>
  <c r="Z138" i="30"/>
  <c r="Z139" i="30"/>
  <c r="Z140" i="30"/>
  <c r="Q142" i="30"/>
  <c r="Z142" i="30"/>
  <c r="Z143" i="30"/>
  <c r="Z144" i="30"/>
  <c r="Z145" i="30"/>
  <c r="Q146" i="30"/>
  <c r="Z146" i="30"/>
  <c r="Z147" i="30"/>
  <c r="Z148" i="30"/>
  <c r="Q149" i="30"/>
  <c r="Z149" i="30"/>
  <c r="Z150" i="30"/>
  <c r="Z151" i="30"/>
  <c r="Q152" i="30"/>
  <c r="Z152" i="30"/>
  <c r="Z153" i="30"/>
  <c r="Z154" i="30"/>
  <c r="Z155" i="30"/>
  <c r="Z156" i="30"/>
  <c r="Z157" i="30"/>
  <c r="Z158" i="30"/>
  <c r="Z159" i="30"/>
  <c r="Z160" i="30"/>
  <c r="Z161" i="30"/>
  <c r="Z162" i="30"/>
  <c r="Z163" i="30"/>
  <c r="Z164" i="30"/>
  <c r="Z165" i="30"/>
  <c r="Z166" i="30"/>
  <c r="Z167" i="30"/>
  <c r="Z168" i="30"/>
  <c r="Z169" i="30"/>
  <c r="Z170" i="30"/>
  <c r="Z171" i="30"/>
  <c r="Z172" i="30"/>
  <c r="Z173" i="30"/>
  <c r="Z174" i="30"/>
  <c r="Z175" i="30"/>
  <c r="Z176" i="30"/>
  <c r="Z177" i="30"/>
  <c r="Q178" i="30"/>
  <c r="Z178" i="30"/>
  <c r="Z179" i="30"/>
  <c r="Z180" i="30"/>
  <c r="Z181" i="30"/>
  <c r="Z182" i="30"/>
  <c r="Z183" i="30"/>
  <c r="Z184" i="30"/>
  <c r="Z185" i="30"/>
  <c r="Z187" i="30"/>
  <c r="Z188" i="30"/>
  <c r="Z189" i="30"/>
  <c r="Z190" i="30"/>
  <c r="Z191" i="30"/>
  <c r="Z192" i="30"/>
  <c r="Z193" i="30"/>
  <c r="Z194" i="30"/>
  <c r="Z195" i="30"/>
  <c r="Z196" i="30"/>
  <c r="Z197" i="30"/>
  <c r="Z198" i="30"/>
  <c r="Q199" i="30"/>
  <c r="Z199" i="30"/>
  <c r="Z200" i="30"/>
  <c r="Q201" i="30"/>
  <c r="Z201" i="30"/>
  <c r="Z202" i="30"/>
  <c r="Z203" i="30"/>
  <c r="Z204" i="30"/>
  <c r="Q205" i="30"/>
  <c r="Z205" i="30"/>
  <c r="Z206" i="30"/>
  <c r="Z207" i="30"/>
  <c r="Z208" i="30"/>
  <c r="Q209" i="30"/>
  <c r="Z209" i="30"/>
  <c r="Z210" i="30"/>
  <c r="Z211" i="30"/>
  <c r="Z212" i="30"/>
  <c r="Z213" i="30"/>
  <c r="Z214" i="30"/>
  <c r="Z215" i="30"/>
  <c r="Z216" i="30"/>
  <c r="Z218" i="30"/>
  <c r="Z219" i="30"/>
  <c r="Z220" i="30"/>
  <c r="Q221" i="30"/>
  <c r="Z221" i="30"/>
  <c r="Q222" i="30"/>
  <c r="Z222" i="30"/>
  <c r="Z223" i="30"/>
  <c r="Z224" i="30"/>
  <c r="AA237" i="30"/>
  <c r="AC149" i="30"/>
  <c r="AJ199" i="30"/>
  <c r="AJ222" i="30"/>
  <c r="AD16" i="30"/>
  <c r="AD18" i="30"/>
  <c r="AD19" i="30"/>
  <c r="AD20" i="30"/>
  <c r="AD24" i="30"/>
  <c r="AD28" i="30"/>
  <c r="AD40" i="30"/>
  <c r="AD43" i="30"/>
  <c r="AD46" i="30"/>
  <c r="AD50" i="30"/>
  <c r="AD51" i="30"/>
  <c r="AD52" i="30"/>
  <c r="AD53" i="30"/>
  <c r="AD54" i="30"/>
  <c r="AD55" i="30"/>
  <c r="AD56" i="30"/>
  <c r="AD57" i="30"/>
  <c r="AD58" i="30"/>
  <c r="AD71" i="30"/>
  <c r="AD74" i="30"/>
  <c r="AD75" i="30"/>
  <c r="AD77" i="30"/>
  <c r="AD78" i="30"/>
  <c r="AD79" i="30"/>
  <c r="AD86" i="30"/>
  <c r="AD87" i="30"/>
  <c r="AD88" i="30"/>
  <c r="AD89" i="30"/>
  <c r="AD91" i="30"/>
  <c r="AD92" i="30"/>
  <c r="AD93" i="30"/>
  <c r="AD115" i="30"/>
  <c r="AD116" i="30"/>
  <c r="AD121" i="30"/>
  <c r="AD123" i="30"/>
  <c r="AD124" i="30"/>
  <c r="AD125" i="30"/>
  <c r="AD127" i="30"/>
  <c r="AD138" i="30"/>
  <c r="AD139" i="30"/>
  <c r="AD142" i="30"/>
  <c r="AD143" i="30"/>
  <c r="AD144" i="30"/>
  <c r="AD146" i="30"/>
  <c r="AD149" i="30"/>
  <c r="AD150" i="30"/>
  <c r="AD151" i="30"/>
  <c r="AD152" i="30"/>
  <c r="AD154" i="30"/>
  <c r="AD155" i="30"/>
  <c r="AD158" i="30"/>
  <c r="AD159" i="30"/>
  <c r="AD160" i="30"/>
  <c r="AD161" i="30"/>
  <c r="AD162" i="30"/>
  <c r="AD172" i="30"/>
  <c r="AD175" i="30"/>
  <c r="AD177" i="30"/>
  <c r="AD178" i="30"/>
  <c r="AD180" i="30"/>
  <c r="AD182" i="30"/>
  <c r="AD186" i="30"/>
  <c r="AD187" i="30"/>
  <c r="AD188" i="30"/>
  <c r="AD189" i="30"/>
  <c r="AD193" i="30"/>
  <c r="AD194" i="30"/>
  <c r="AD195" i="30"/>
  <c r="AD196" i="30"/>
  <c r="AD197" i="30"/>
  <c r="AD198" i="30"/>
  <c r="AD199" i="30"/>
  <c r="AD200" i="30"/>
  <c r="AD201" i="30"/>
  <c r="AD205" i="30"/>
  <c r="AD208" i="30"/>
  <c r="AD209" i="30"/>
  <c r="AD212" i="30"/>
  <c r="AD213" i="30"/>
  <c r="AD214" i="30"/>
  <c r="AD215" i="30"/>
  <c r="AD217" i="30"/>
  <c r="AD221" i="30"/>
  <c r="AD222" i="30"/>
  <c r="AD226" i="30"/>
  <c r="AF226" i="30"/>
  <c r="AE17" i="30"/>
  <c r="AE21" i="30"/>
  <c r="AE22" i="30"/>
  <c r="AE23" i="30"/>
  <c r="AE25" i="30"/>
  <c r="AE26" i="30"/>
  <c r="AE27" i="30"/>
  <c r="AE29" i="30"/>
  <c r="AE30" i="30"/>
  <c r="AE31" i="30"/>
  <c r="AE32" i="30"/>
  <c r="AE33" i="30"/>
  <c r="AE34" i="30"/>
  <c r="AE35" i="30"/>
  <c r="AE36" i="30"/>
  <c r="AE37" i="30"/>
  <c r="AE38" i="30"/>
  <c r="AE39" i="30"/>
  <c r="AE40" i="30"/>
  <c r="AE41" i="30"/>
  <c r="AE42" i="30"/>
  <c r="AE44" i="30"/>
  <c r="AE45" i="30"/>
  <c r="AE47" i="30"/>
  <c r="AE48" i="30"/>
  <c r="AE49" i="30"/>
  <c r="AE55" i="30"/>
  <c r="AE58" i="30"/>
  <c r="AE59" i="30"/>
  <c r="AE60" i="30"/>
  <c r="AE62" i="30"/>
  <c r="AE63" i="30"/>
  <c r="AE64" i="30"/>
  <c r="AE65" i="30"/>
  <c r="AE66" i="30"/>
  <c r="AE67" i="30"/>
  <c r="AE68" i="30"/>
  <c r="AE69" i="30"/>
  <c r="AE70" i="30"/>
  <c r="AE72" i="30"/>
  <c r="AE73" i="30"/>
  <c r="AE76" i="30"/>
  <c r="AE80" i="30"/>
  <c r="AE81" i="30"/>
  <c r="AE82" i="30"/>
  <c r="AE83" i="30"/>
  <c r="AE84" i="30"/>
  <c r="AE85" i="30"/>
  <c r="AE86" i="30"/>
  <c r="AE87" i="30"/>
  <c r="AE90" i="30"/>
  <c r="AE94" i="30"/>
  <c r="AE95" i="30"/>
  <c r="AE96" i="30"/>
  <c r="AE97" i="30"/>
  <c r="AE98" i="30"/>
  <c r="AE99" i="30"/>
  <c r="AE100" i="30"/>
  <c r="AE101" i="30"/>
  <c r="AE102" i="30"/>
  <c r="AE103" i="30"/>
  <c r="AE104" i="30"/>
  <c r="AE105" i="30"/>
  <c r="AE106" i="30"/>
  <c r="AE107" i="30"/>
  <c r="AE108" i="30"/>
  <c r="AE109" i="30"/>
  <c r="AE110" i="30"/>
  <c r="AE111" i="30"/>
  <c r="AE112" i="30"/>
  <c r="AE113" i="30"/>
  <c r="AE114" i="30"/>
  <c r="AE117" i="30"/>
  <c r="AE118" i="30"/>
  <c r="AE119" i="30"/>
  <c r="AE120" i="30"/>
  <c r="AE122" i="30"/>
  <c r="AE123" i="30"/>
  <c r="AE126" i="30"/>
  <c r="AE128" i="30"/>
  <c r="AE129" i="30"/>
  <c r="AE130" i="30"/>
  <c r="AE131" i="30"/>
  <c r="AE132" i="30"/>
  <c r="AE133" i="30"/>
  <c r="AE134" i="30"/>
  <c r="AE135" i="30"/>
  <c r="AE136" i="30"/>
  <c r="AE137" i="30"/>
  <c r="AE140" i="30"/>
  <c r="AE141" i="30"/>
  <c r="AE142" i="30"/>
  <c r="AE145" i="30"/>
  <c r="AE146" i="30"/>
  <c r="AE147" i="30"/>
  <c r="AE148" i="30"/>
  <c r="AE149" i="30"/>
  <c r="AE152" i="30"/>
  <c r="AE153" i="30"/>
  <c r="AE156" i="30"/>
  <c r="AE157" i="30"/>
  <c r="AE163" i="30"/>
  <c r="AE164" i="30"/>
  <c r="AE165" i="30"/>
  <c r="AE166" i="30"/>
  <c r="AE167" i="30"/>
  <c r="AE168" i="30"/>
  <c r="AE169" i="30"/>
  <c r="AE170" i="30"/>
  <c r="AE171" i="30"/>
  <c r="AE173" i="30"/>
  <c r="AE174" i="30"/>
  <c r="AE176" i="30"/>
  <c r="AE178" i="30"/>
  <c r="AE179" i="30"/>
  <c r="AE181" i="30"/>
  <c r="AE183" i="30"/>
  <c r="AE184" i="30"/>
  <c r="AE185" i="30"/>
  <c r="AE190" i="30"/>
  <c r="AE191" i="30"/>
  <c r="AE192" i="30"/>
  <c r="AE199" i="30"/>
  <c r="AE201" i="30"/>
  <c r="AE202" i="30"/>
  <c r="AE203" i="30"/>
  <c r="AE204" i="30"/>
  <c r="AE205" i="30"/>
  <c r="AE206" i="30"/>
  <c r="AE207" i="30"/>
  <c r="AE209" i="30"/>
  <c r="AE210" i="30"/>
  <c r="AE211" i="30"/>
  <c r="AE216" i="30"/>
  <c r="AE218" i="30"/>
  <c r="AE219" i="30"/>
  <c r="AE220" i="30"/>
  <c r="AE221" i="30"/>
  <c r="AE222" i="30"/>
  <c r="AE223" i="30"/>
  <c r="AF16" i="30"/>
  <c r="AF17" i="30"/>
  <c r="AF18" i="30"/>
  <c r="AF19" i="30"/>
  <c r="AF20" i="30"/>
  <c r="AF21" i="30"/>
  <c r="AF22" i="30"/>
  <c r="AF23" i="30"/>
  <c r="AF24" i="30"/>
  <c r="AF25" i="30"/>
  <c r="AF26" i="30"/>
  <c r="AF27" i="30"/>
  <c r="AF28" i="30"/>
  <c r="AF29" i="30"/>
  <c r="AF30" i="30"/>
  <c r="AF31" i="30"/>
  <c r="AF32" i="30"/>
  <c r="AF33" i="30"/>
  <c r="AF34" i="30"/>
  <c r="AF35" i="30"/>
  <c r="AF36" i="30"/>
  <c r="AF37" i="30"/>
  <c r="AF38" i="30"/>
  <c r="AF39" i="30"/>
  <c r="AF41" i="30"/>
  <c r="AF42" i="30"/>
  <c r="AF43" i="30"/>
  <c r="AF44" i="30"/>
  <c r="AF45" i="30"/>
  <c r="AF46" i="30"/>
  <c r="AF47" i="30"/>
  <c r="AF48" i="30"/>
  <c r="AF49" i="30"/>
  <c r="AF50" i="30"/>
  <c r="AF51" i="30"/>
  <c r="AF52" i="30"/>
  <c r="AF53" i="30"/>
  <c r="AF54" i="30"/>
  <c r="AF56" i="30"/>
  <c r="AF57" i="30"/>
  <c r="AF59" i="30"/>
  <c r="AF60" i="30"/>
  <c r="AF62" i="30"/>
  <c r="AF63" i="30"/>
  <c r="AF64" i="30"/>
  <c r="AF65" i="30"/>
  <c r="AF66" i="30"/>
  <c r="AF67" i="30"/>
  <c r="AF68" i="30"/>
  <c r="AF69" i="30"/>
  <c r="AF70" i="30"/>
  <c r="AF71" i="30"/>
  <c r="AF72" i="30"/>
  <c r="AF73" i="30"/>
  <c r="AF74" i="30"/>
  <c r="AF75" i="30"/>
  <c r="AF76" i="30"/>
  <c r="AF77" i="30"/>
  <c r="AF78" i="30"/>
  <c r="AF79" i="30"/>
  <c r="AF80" i="30"/>
  <c r="AF81" i="30"/>
  <c r="AF82" i="30"/>
  <c r="AF83" i="30"/>
  <c r="AF84" i="30"/>
  <c r="AF85" i="30"/>
  <c r="AF88" i="30"/>
  <c r="AF89" i="30"/>
  <c r="AF90" i="30"/>
  <c r="AF91" i="30"/>
  <c r="AF92" i="30"/>
  <c r="AF93" i="30"/>
  <c r="AF94" i="30"/>
  <c r="AF95" i="30"/>
  <c r="AF96" i="30"/>
  <c r="AF97" i="30"/>
  <c r="AF98" i="30"/>
  <c r="AF99" i="30"/>
  <c r="AF100" i="30"/>
  <c r="AF101" i="30"/>
  <c r="AF102" i="30"/>
  <c r="AF103" i="30"/>
  <c r="AF104" i="30"/>
  <c r="AF105" i="30"/>
  <c r="AF106" i="30"/>
  <c r="AF107" i="30"/>
  <c r="AF108" i="30"/>
  <c r="AF109" i="30"/>
  <c r="AF110" i="30"/>
  <c r="AF111" i="30"/>
  <c r="AF112" i="30"/>
  <c r="AF113" i="30"/>
  <c r="AF114" i="30"/>
  <c r="AF115" i="30"/>
  <c r="AF116" i="30"/>
  <c r="AF117" i="30"/>
  <c r="AF118" i="30"/>
  <c r="AF119" i="30"/>
  <c r="AF120" i="30"/>
  <c r="AF121" i="30"/>
  <c r="AF122" i="30"/>
  <c r="AF124" i="30"/>
  <c r="AF125" i="30"/>
  <c r="AF126" i="30"/>
  <c r="AF127" i="30"/>
  <c r="AF128" i="30"/>
  <c r="AF129" i="30"/>
  <c r="AF130" i="30"/>
  <c r="AF131" i="30"/>
  <c r="AF132" i="30"/>
  <c r="AF133" i="30"/>
  <c r="AF134" i="30"/>
  <c r="AF135" i="30"/>
  <c r="AF136" i="30"/>
  <c r="AF137" i="30"/>
  <c r="AF138" i="30"/>
  <c r="AH138" i="30"/>
  <c r="AI138" i="30"/>
  <c r="AJ138" i="30"/>
  <c r="AL138" i="30"/>
  <c r="AF139" i="30"/>
  <c r="AF140" i="30"/>
  <c r="AF141" i="30"/>
  <c r="AF143" i="30"/>
  <c r="AF144" i="30"/>
  <c r="AF145" i="30"/>
  <c r="AF147" i="30"/>
  <c r="AF148" i="30"/>
  <c r="AF150" i="30"/>
  <c r="AF151" i="30"/>
  <c r="AF153" i="30"/>
  <c r="AF154" i="30"/>
  <c r="AF155" i="30"/>
  <c r="AF156" i="30"/>
  <c r="AF157" i="30"/>
  <c r="AF158" i="30"/>
  <c r="AF159" i="30"/>
  <c r="AF160" i="30"/>
  <c r="AF161" i="30"/>
  <c r="AF162" i="30"/>
  <c r="AH162" i="30"/>
  <c r="AJ162" i="30"/>
  <c r="AL162" i="30"/>
  <c r="AF163" i="30"/>
  <c r="AF164" i="30"/>
  <c r="AF165" i="30"/>
  <c r="AF166" i="30"/>
  <c r="AF167" i="30"/>
  <c r="AF168" i="30"/>
  <c r="AF169" i="30"/>
  <c r="AF170" i="30"/>
  <c r="AF171" i="30"/>
  <c r="AF172" i="30"/>
  <c r="AF173" i="30"/>
  <c r="AF174" i="30"/>
  <c r="AF175" i="30"/>
  <c r="AF176" i="30"/>
  <c r="AF177" i="30"/>
  <c r="J178" i="30"/>
  <c r="AF178" i="30"/>
  <c r="AF179" i="30"/>
  <c r="AF180" i="30"/>
  <c r="AF181" i="30"/>
  <c r="AF182" i="30"/>
  <c r="AF183" i="30"/>
  <c r="AF184" i="30"/>
  <c r="AF185" i="30"/>
  <c r="AF186" i="30"/>
  <c r="AF187" i="30"/>
  <c r="AF188" i="30"/>
  <c r="AF189" i="30"/>
  <c r="AF190" i="30"/>
  <c r="AF191" i="30"/>
  <c r="AF192" i="30"/>
  <c r="AF193" i="30"/>
  <c r="AF194" i="30"/>
  <c r="AF195" i="30"/>
  <c r="AF196" i="30"/>
  <c r="AF197" i="30"/>
  <c r="AF198" i="30"/>
  <c r="AF200" i="30"/>
  <c r="AF202" i="30"/>
  <c r="AF203" i="30"/>
  <c r="AF204" i="30"/>
  <c r="AF206" i="30"/>
  <c r="AF207" i="30"/>
  <c r="AF208" i="30"/>
  <c r="AF210" i="30"/>
  <c r="AF211" i="30"/>
  <c r="AF212" i="30"/>
  <c r="AF213" i="30"/>
  <c r="AF214" i="30"/>
  <c r="AF215" i="30"/>
  <c r="AF216" i="30"/>
  <c r="AF217" i="30"/>
  <c r="AF218" i="30"/>
  <c r="AF219" i="30"/>
  <c r="AF220" i="30"/>
  <c r="AF223" i="30"/>
  <c r="AF227" i="30"/>
  <c r="AH16" i="30"/>
  <c r="AH17" i="30"/>
  <c r="AH18" i="30"/>
  <c r="AH19" i="30"/>
  <c r="AH20" i="30"/>
  <c r="AH21" i="30"/>
  <c r="AH23" i="30"/>
  <c r="AH24" i="30"/>
  <c r="AH25" i="30"/>
  <c r="AH28" i="30"/>
  <c r="AH30" i="30"/>
  <c r="AH34" i="30"/>
  <c r="AH37" i="30"/>
  <c r="AH38" i="30"/>
  <c r="AH39" i="30"/>
  <c r="AH40" i="30"/>
  <c r="AH43" i="30"/>
  <c r="AH44" i="30"/>
  <c r="AH45" i="30"/>
  <c r="AH46" i="30"/>
  <c r="AH47" i="30"/>
  <c r="AH50" i="30"/>
  <c r="AH51" i="30"/>
  <c r="AH52" i="30"/>
  <c r="AH53" i="30"/>
  <c r="AH54" i="30"/>
  <c r="AH55" i="30"/>
  <c r="AH56" i="30"/>
  <c r="AH57" i="30"/>
  <c r="AH58" i="30"/>
  <c r="AH60" i="30"/>
  <c r="AH62" i="30"/>
  <c r="AH63" i="30"/>
  <c r="AH66" i="30"/>
  <c r="AH67" i="30"/>
  <c r="AH69" i="30"/>
  <c r="AH70" i="30"/>
  <c r="AH71" i="30"/>
  <c r="AH72" i="30"/>
  <c r="AH74" i="30"/>
  <c r="AH75" i="30"/>
  <c r="AH77" i="30"/>
  <c r="AH78" i="30"/>
  <c r="AH79" i="30"/>
  <c r="AH80" i="30"/>
  <c r="AH82" i="30"/>
  <c r="AH22" i="30"/>
  <c r="AH26" i="30"/>
  <c r="AH29" i="30"/>
  <c r="AH33" i="30"/>
  <c r="AH76" i="30"/>
  <c r="AH84" i="30"/>
  <c r="AH86" i="30"/>
  <c r="AH87" i="30"/>
  <c r="AH88" i="30"/>
  <c r="AH89" i="30"/>
  <c r="AH90" i="30"/>
  <c r="AH91" i="30"/>
  <c r="AH92" i="30"/>
  <c r="AH93" i="30"/>
  <c r="AH94" i="30"/>
  <c r="AH95" i="30"/>
  <c r="AH96" i="30"/>
  <c r="AH98" i="30"/>
  <c r="AH99" i="30"/>
  <c r="AH100" i="30"/>
  <c r="AH102" i="30"/>
  <c r="AH103" i="30"/>
  <c r="AH104" i="30"/>
  <c r="AH106" i="30"/>
  <c r="AH107" i="30"/>
  <c r="AH108" i="30"/>
  <c r="AH110" i="30"/>
  <c r="AH111" i="30"/>
  <c r="AH112" i="30"/>
  <c r="AH114" i="30"/>
  <c r="AH115" i="30"/>
  <c r="AH116" i="30"/>
  <c r="AH117" i="30"/>
  <c r="AH119" i="30"/>
  <c r="AH121" i="30"/>
  <c r="AH122" i="30"/>
  <c r="AH123" i="30"/>
  <c r="AH124" i="30"/>
  <c r="AH125" i="30"/>
  <c r="AH126" i="30"/>
  <c r="AH127" i="30"/>
  <c r="AH128" i="30"/>
  <c r="AH129" i="30"/>
  <c r="AH130" i="30"/>
  <c r="AH132" i="30"/>
  <c r="AH133" i="30"/>
  <c r="AH134" i="30"/>
  <c r="AH136" i="30"/>
  <c r="AH139" i="30"/>
  <c r="AH140" i="30"/>
  <c r="AH141" i="30"/>
  <c r="AH142" i="30"/>
  <c r="AH143" i="30"/>
  <c r="AH144" i="30"/>
  <c r="AH145" i="30"/>
  <c r="AH146" i="30"/>
  <c r="AH147" i="30"/>
  <c r="AH148" i="30"/>
  <c r="AH149" i="30"/>
  <c r="AH150" i="30"/>
  <c r="AH151" i="30"/>
  <c r="AH152" i="30"/>
  <c r="AH154" i="30"/>
  <c r="AH155" i="30"/>
  <c r="AH156" i="30"/>
  <c r="AH157" i="30"/>
  <c r="AH158" i="30"/>
  <c r="AH159" i="30"/>
  <c r="AH160" i="30"/>
  <c r="AH161" i="30"/>
  <c r="AH163" i="30"/>
  <c r="AH164" i="30"/>
  <c r="AH165" i="30"/>
  <c r="AH167" i="30"/>
  <c r="AH169" i="30"/>
  <c r="AH170" i="30"/>
  <c r="AH171" i="30"/>
  <c r="AH172" i="30"/>
  <c r="AH173" i="30"/>
  <c r="AH174" i="30"/>
  <c r="AH175" i="30"/>
  <c r="AH176" i="30"/>
  <c r="AH177" i="30"/>
  <c r="AH178" i="30"/>
  <c r="AH179" i="30"/>
  <c r="AH180" i="30"/>
  <c r="AH181" i="30"/>
  <c r="AH182" i="30"/>
  <c r="AH183" i="30"/>
  <c r="AH184" i="30"/>
  <c r="AH185" i="30"/>
  <c r="AH186" i="30"/>
  <c r="AH187" i="30"/>
  <c r="AH188" i="30"/>
  <c r="AH189" i="30"/>
  <c r="AH190" i="30"/>
  <c r="AH191" i="30"/>
  <c r="AH192" i="30"/>
  <c r="AH193" i="30"/>
  <c r="AH194" i="30"/>
  <c r="AH195" i="30"/>
  <c r="AH196" i="30"/>
  <c r="AH197" i="30"/>
  <c r="AH198" i="30"/>
  <c r="AH199" i="30"/>
  <c r="AH200" i="30"/>
  <c r="AH201" i="30"/>
  <c r="AH202" i="30"/>
  <c r="AH203" i="30"/>
  <c r="AH205" i="30"/>
  <c r="AH206" i="30"/>
  <c r="AH207" i="30"/>
  <c r="AH208" i="30"/>
  <c r="AH209" i="30"/>
  <c r="AH212" i="30"/>
  <c r="AH213" i="30"/>
  <c r="AH214" i="30"/>
  <c r="AH215" i="30"/>
  <c r="AH217" i="30"/>
  <c r="AH218" i="30"/>
  <c r="AH220" i="30"/>
  <c r="AH221" i="30"/>
  <c r="AH222" i="30"/>
  <c r="AH223" i="30"/>
  <c r="AH224" i="30"/>
  <c r="AH228" i="30"/>
  <c r="AI17" i="30"/>
  <c r="AI18" i="30"/>
  <c r="AI19" i="30"/>
  <c r="AI21" i="30"/>
  <c r="AI22" i="30"/>
  <c r="AI23" i="30"/>
  <c r="AI25" i="30"/>
  <c r="AI26" i="30"/>
  <c r="AI27" i="30"/>
  <c r="AI28" i="30"/>
  <c r="AI29" i="30"/>
  <c r="AI30" i="30"/>
  <c r="AI31" i="30"/>
  <c r="AI32" i="30"/>
  <c r="AI33" i="30"/>
  <c r="AI34" i="30"/>
  <c r="AI35" i="30"/>
  <c r="AI36" i="30"/>
  <c r="AI37" i="30"/>
  <c r="AI38" i="30"/>
  <c r="AI39" i="30"/>
  <c r="AI40" i="30"/>
  <c r="AI41" i="30"/>
  <c r="AI42" i="30"/>
  <c r="AI43" i="30"/>
  <c r="AI44" i="30"/>
  <c r="AI45" i="30"/>
  <c r="AI47" i="30"/>
  <c r="AI48" i="30"/>
  <c r="AI49" i="30"/>
  <c r="AI50" i="30"/>
  <c r="AI51" i="30"/>
  <c r="AI52" i="30"/>
  <c r="AI54" i="30"/>
  <c r="AI55" i="30"/>
  <c r="AI57" i="30"/>
  <c r="AI58" i="30"/>
  <c r="AI59" i="30"/>
  <c r="AI60" i="30"/>
  <c r="AI62" i="30"/>
  <c r="AI63" i="30"/>
  <c r="AI64" i="30"/>
  <c r="AI65" i="30"/>
  <c r="AI66" i="30"/>
  <c r="AI67" i="30"/>
  <c r="AI68" i="30"/>
  <c r="AI69" i="30"/>
  <c r="AI70" i="30"/>
  <c r="AI72" i="30"/>
  <c r="AI73" i="30"/>
  <c r="AI75" i="30"/>
  <c r="AI76" i="30"/>
  <c r="AI78" i="30"/>
  <c r="AI80" i="30"/>
  <c r="AI81" i="30"/>
  <c r="AI82" i="30"/>
  <c r="AI16" i="30"/>
  <c r="AI24" i="30"/>
  <c r="AI56" i="30"/>
  <c r="AI71" i="30"/>
  <c r="AI77" i="30"/>
  <c r="AI79" i="30"/>
  <c r="AI83" i="30"/>
  <c r="AI84" i="30"/>
  <c r="AI85" i="30"/>
  <c r="AI86" i="30"/>
  <c r="AI87" i="30"/>
  <c r="AI88" i="30"/>
  <c r="AI90" i="30"/>
  <c r="AI91" i="30"/>
  <c r="AI92" i="30"/>
  <c r="AI93" i="30"/>
  <c r="AI94" i="30"/>
  <c r="AI95" i="30"/>
  <c r="AI96" i="30"/>
  <c r="AI97" i="30"/>
  <c r="AI98" i="30"/>
  <c r="AI99" i="30"/>
  <c r="AI100" i="30"/>
  <c r="AI101" i="30"/>
  <c r="AI102" i="30"/>
  <c r="AI103" i="30"/>
  <c r="AI104" i="30"/>
  <c r="AI105" i="30"/>
  <c r="AI106" i="30"/>
  <c r="AI107" i="30"/>
  <c r="AI108" i="30"/>
  <c r="AI109" i="30"/>
  <c r="AI110" i="30"/>
  <c r="AI111" i="30"/>
  <c r="AI112" i="30"/>
  <c r="AI113" i="30"/>
  <c r="AI114" i="30"/>
  <c r="AI115" i="30"/>
  <c r="AI116" i="30"/>
  <c r="AI117" i="30"/>
  <c r="AI118" i="30"/>
  <c r="AI119" i="30"/>
  <c r="AI120" i="30"/>
  <c r="AI121" i="30"/>
  <c r="AI122" i="30"/>
  <c r="AI123" i="30"/>
  <c r="AI124" i="30"/>
  <c r="AI126" i="30"/>
  <c r="AI127" i="30"/>
  <c r="AI128" i="30"/>
  <c r="AI129" i="30"/>
  <c r="AI130" i="30"/>
  <c r="AI131" i="30"/>
  <c r="AI132" i="30"/>
  <c r="AI133" i="30"/>
  <c r="AI134" i="30"/>
  <c r="AI135" i="30"/>
  <c r="AI136" i="30"/>
  <c r="AI137" i="30"/>
  <c r="AI140" i="30"/>
  <c r="AI141" i="30"/>
  <c r="AI142" i="30"/>
  <c r="AI143" i="30"/>
  <c r="AI144" i="30"/>
  <c r="AI145" i="30"/>
  <c r="AI146" i="30"/>
  <c r="AI147" i="30"/>
  <c r="AI148" i="30"/>
  <c r="AI149" i="30"/>
  <c r="AI150" i="30"/>
  <c r="AI151" i="30"/>
  <c r="AI152" i="30"/>
  <c r="AI153" i="30"/>
  <c r="AI154" i="30"/>
  <c r="AI155" i="30"/>
  <c r="AI156" i="30"/>
  <c r="AI157" i="30"/>
  <c r="AI159" i="30"/>
  <c r="AI161" i="30"/>
  <c r="AI163" i="30"/>
  <c r="AI164" i="30"/>
  <c r="AI165" i="30"/>
  <c r="AI166" i="30"/>
  <c r="AI167" i="30"/>
  <c r="AI168" i="30"/>
  <c r="AI169" i="30"/>
  <c r="AI170" i="30"/>
  <c r="AI171" i="30"/>
  <c r="AI173" i="30"/>
  <c r="AI174" i="30"/>
  <c r="AI176" i="30"/>
  <c r="AI177" i="30"/>
  <c r="AI178" i="30"/>
  <c r="AI179" i="30"/>
  <c r="AI180" i="30"/>
  <c r="AI181" i="30"/>
  <c r="AI182" i="30"/>
  <c r="AI183" i="30"/>
  <c r="AI184" i="30"/>
  <c r="AI185" i="30"/>
  <c r="AI186" i="30"/>
  <c r="AI188" i="30"/>
  <c r="AI189" i="30"/>
  <c r="AI190" i="30"/>
  <c r="AI191" i="30"/>
  <c r="AI192" i="30"/>
  <c r="AI193" i="30"/>
  <c r="AI195" i="30"/>
  <c r="AI196" i="30"/>
  <c r="AI197" i="30"/>
  <c r="AI199" i="30"/>
  <c r="AI200" i="30"/>
  <c r="AI201" i="30"/>
  <c r="AI202" i="30"/>
  <c r="AI203" i="30"/>
  <c r="AI204" i="30"/>
  <c r="AI205" i="30"/>
  <c r="AI206" i="30"/>
  <c r="AI207" i="30"/>
  <c r="AI208" i="30"/>
  <c r="AI209" i="30"/>
  <c r="AI210" i="30"/>
  <c r="AI211" i="30"/>
  <c r="AI212" i="30"/>
  <c r="AI213" i="30"/>
  <c r="AI214" i="30"/>
  <c r="AI215" i="30"/>
  <c r="AI216" i="30"/>
  <c r="AI217" i="30"/>
  <c r="AI218" i="30"/>
  <c r="AI219" i="30"/>
  <c r="AI220" i="30"/>
  <c r="AI221" i="30"/>
  <c r="AI222" i="30"/>
  <c r="AI223" i="30"/>
  <c r="AI224" i="30"/>
  <c r="AI228" i="30"/>
  <c r="AJ16" i="30"/>
  <c r="AJ17" i="30"/>
  <c r="AJ18" i="30"/>
  <c r="AJ19" i="30"/>
  <c r="AJ20" i="30"/>
  <c r="AJ21" i="30"/>
  <c r="AJ22" i="30"/>
  <c r="AJ23" i="30"/>
  <c r="AJ24" i="30"/>
  <c r="AJ25" i="30"/>
  <c r="AJ26" i="30"/>
  <c r="AJ27" i="30"/>
  <c r="AJ28" i="30"/>
  <c r="AJ29" i="30"/>
  <c r="AJ30" i="30"/>
  <c r="AJ31" i="30"/>
  <c r="AJ32" i="30"/>
  <c r="AJ33" i="30"/>
  <c r="AJ34" i="30"/>
  <c r="AJ35" i="30"/>
  <c r="AJ36" i="30"/>
  <c r="AJ37" i="30"/>
  <c r="AJ38" i="30"/>
  <c r="AJ39" i="30"/>
  <c r="AJ41" i="30"/>
  <c r="AJ42" i="30"/>
  <c r="AJ43" i="30"/>
  <c r="AJ44" i="30"/>
  <c r="AJ45" i="30"/>
  <c r="AJ46" i="30"/>
  <c r="AJ47" i="30"/>
  <c r="AJ48" i="30"/>
  <c r="AJ49" i="30"/>
  <c r="AJ50" i="30"/>
  <c r="AJ51" i="30"/>
  <c r="AJ52" i="30"/>
  <c r="AJ53" i="30"/>
  <c r="AJ54" i="30"/>
  <c r="AJ56" i="30"/>
  <c r="AJ57" i="30"/>
  <c r="AJ59" i="30"/>
  <c r="AJ60" i="30"/>
  <c r="AJ62" i="30"/>
  <c r="AJ63" i="30"/>
  <c r="AJ64" i="30"/>
  <c r="AJ65" i="30"/>
  <c r="AJ66" i="30"/>
  <c r="AJ67" i="30"/>
  <c r="AJ68" i="30"/>
  <c r="AJ69" i="30"/>
  <c r="AJ70" i="30"/>
  <c r="AJ71" i="30"/>
  <c r="AJ72" i="30"/>
  <c r="AJ73" i="30"/>
  <c r="AJ74" i="30"/>
  <c r="AJ75" i="30"/>
  <c r="AJ76" i="30"/>
  <c r="AJ77" i="30"/>
  <c r="AJ78" i="30"/>
  <c r="AJ79" i="30"/>
  <c r="AJ80" i="30"/>
  <c r="AJ81" i="30"/>
  <c r="AJ82" i="30"/>
  <c r="AJ83" i="30"/>
  <c r="AJ84" i="30"/>
  <c r="AJ85" i="30"/>
  <c r="AJ86" i="30"/>
  <c r="AJ87" i="30"/>
  <c r="AJ88" i="30"/>
  <c r="AJ89" i="30"/>
  <c r="AJ90" i="30"/>
  <c r="AJ91" i="30"/>
  <c r="AJ92" i="30"/>
  <c r="AJ93" i="30"/>
  <c r="AJ94" i="30"/>
  <c r="AJ95" i="30"/>
  <c r="AJ96" i="30"/>
  <c r="AJ97" i="30"/>
  <c r="AJ98" i="30"/>
  <c r="AJ99" i="30"/>
  <c r="AJ100" i="30"/>
  <c r="AJ101" i="30"/>
  <c r="AJ102" i="30"/>
  <c r="AJ103" i="30"/>
  <c r="AJ104" i="30"/>
  <c r="AJ105" i="30"/>
  <c r="AJ106" i="30"/>
  <c r="AJ107" i="30"/>
  <c r="AJ108" i="30"/>
  <c r="AJ109" i="30"/>
  <c r="AJ110" i="30"/>
  <c r="AJ111" i="30"/>
  <c r="AJ112" i="30"/>
  <c r="AJ113" i="30"/>
  <c r="AJ114" i="30"/>
  <c r="AJ115" i="30"/>
  <c r="AJ116" i="30"/>
  <c r="AJ117" i="30"/>
  <c r="AJ118" i="30"/>
  <c r="AJ119" i="30"/>
  <c r="AJ120" i="30"/>
  <c r="AJ121" i="30"/>
  <c r="AJ122" i="30"/>
  <c r="AJ124" i="30"/>
  <c r="AJ125" i="30"/>
  <c r="AJ126" i="30"/>
  <c r="AJ127" i="30"/>
  <c r="AJ128" i="30"/>
  <c r="AJ129" i="30"/>
  <c r="AJ130" i="30"/>
  <c r="AJ131" i="30"/>
  <c r="AJ132" i="30"/>
  <c r="AJ133" i="30"/>
  <c r="AJ134" i="30"/>
  <c r="AJ135" i="30"/>
  <c r="AJ136" i="30"/>
  <c r="AJ137" i="30"/>
  <c r="AJ139" i="30"/>
  <c r="AJ140" i="30"/>
  <c r="AJ141" i="30"/>
  <c r="AJ142" i="30"/>
  <c r="AJ143" i="30"/>
  <c r="AJ144" i="30"/>
  <c r="AJ145" i="30"/>
  <c r="AJ147" i="30"/>
  <c r="AJ148" i="30"/>
  <c r="AJ149" i="30"/>
  <c r="AJ150" i="30"/>
  <c r="AJ151" i="30"/>
  <c r="AJ153" i="30"/>
  <c r="AJ154" i="30"/>
  <c r="AJ155" i="30"/>
  <c r="AJ156" i="30"/>
  <c r="AJ157" i="30"/>
  <c r="AJ158" i="30"/>
  <c r="AJ159" i="30"/>
  <c r="AJ160" i="30"/>
  <c r="AJ161" i="30"/>
  <c r="AJ163" i="30"/>
  <c r="AJ164" i="30"/>
  <c r="AJ165" i="30"/>
  <c r="AJ166" i="30"/>
  <c r="AJ167" i="30"/>
  <c r="AJ168" i="30"/>
  <c r="AJ169" i="30"/>
  <c r="AJ170" i="30"/>
  <c r="AJ171" i="30"/>
  <c r="AJ172" i="30"/>
  <c r="AJ173" i="30"/>
  <c r="AJ174" i="30"/>
  <c r="AJ175" i="30"/>
  <c r="AJ176" i="30"/>
  <c r="AJ177" i="30"/>
  <c r="AJ178" i="30"/>
  <c r="AJ179" i="30"/>
  <c r="AJ180" i="30"/>
  <c r="AJ181" i="30"/>
  <c r="AJ182" i="30"/>
  <c r="AJ183" i="30"/>
  <c r="AJ184" i="30"/>
  <c r="AJ185" i="30"/>
  <c r="AJ186" i="30"/>
  <c r="AJ187" i="30"/>
  <c r="AJ188" i="30"/>
  <c r="AJ189" i="30"/>
  <c r="AJ190" i="30"/>
  <c r="AJ191" i="30"/>
  <c r="AJ192" i="30"/>
  <c r="AJ193" i="30"/>
  <c r="AJ194" i="30"/>
  <c r="AJ195" i="30"/>
  <c r="AJ196" i="30"/>
  <c r="AJ197" i="30"/>
  <c r="AJ198" i="30"/>
  <c r="AJ200" i="30"/>
  <c r="AJ202" i="30"/>
  <c r="AJ203" i="30"/>
  <c r="AJ204" i="30"/>
  <c r="AJ206" i="30"/>
  <c r="AJ207" i="30"/>
  <c r="AJ208" i="30"/>
  <c r="AJ209" i="30"/>
  <c r="AJ210" i="30"/>
  <c r="AJ211" i="30"/>
  <c r="AJ212" i="30"/>
  <c r="AJ213" i="30"/>
  <c r="AJ214" i="30"/>
  <c r="AJ215" i="30"/>
  <c r="AJ216" i="30"/>
  <c r="AJ217" i="30"/>
  <c r="AJ218" i="30"/>
  <c r="AJ219" i="30"/>
  <c r="AJ220" i="30"/>
  <c r="AJ221" i="30"/>
  <c r="AJ223" i="30"/>
  <c r="M224" i="30"/>
  <c r="L224" i="30"/>
  <c r="M225" i="30"/>
  <c r="J232" i="30"/>
  <c r="I224" i="30"/>
  <c r="H224" i="30"/>
  <c r="G224" i="30"/>
  <c r="V16" i="30"/>
  <c r="F16" i="31"/>
  <c r="V17" i="30"/>
  <c r="F17" i="31"/>
  <c r="J17" i="31"/>
  <c r="AD17" i="31"/>
  <c r="V18" i="30"/>
  <c r="F18" i="31"/>
  <c r="J18" i="31"/>
  <c r="AE18" i="31"/>
  <c r="V19" i="30"/>
  <c r="F19" i="31"/>
  <c r="J19" i="31"/>
  <c r="V20" i="30"/>
  <c r="F20" i="31"/>
  <c r="J20" i="31"/>
  <c r="AE20" i="31"/>
  <c r="V21" i="30"/>
  <c r="F21" i="31"/>
  <c r="J21" i="31"/>
  <c r="AD21" i="31"/>
  <c r="V22" i="30"/>
  <c r="F22" i="31"/>
  <c r="J22" i="31"/>
  <c r="AD22" i="31"/>
  <c r="AH22" i="31"/>
  <c r="AL22" i="31"/>
  <c r="V23" i="30"/>
  <c r="F23" i="31"/>
  <c r="J23" i="31"/>
  <c r="AD23" i="31"/>
  <c r="V24" i="30"/>
  <c r="F25" i="31"/>
  <c r="J25" i="31"/>
  <c r="AE25" i="31"/>
  <c r="V25" i="30"/>
  <c r="F26" i="31"/>
  <c r="J26" i="31"/>
  <c r="AD26" i="31"/>
  <c r="V26" i="30"/>
  <c r="F27" i="31"/>
  <c r="J27" i="31"/>
  <c r="AD27" i="31"/>
  <c r="V27" i="30"/>
  <c r="F28" i="31"/>
  <c r="J28" i="31"/>
  <c r="AD28" i="31"/>
  <c r="V28" i="30"/>
  <c r="F29" i="31"/>
  <c r="J29" i="31"/>
  <c r="AE29" i="31"/>
  <c r="V29" i="30"/>
  <c r="F30" i="31"/>
  <c r="J30" i="31"/>
  <c r="AD30" i="31"/>
  <c r="V30" i="30"/>
  <c r="F31" i="31"/>
  <c r="J31" i="31"/>
  <c r="AD31" i="31"/>
  <c r="AL31" i="31"/>
  <c r="V31" i="30"/>
  <c r="F32" i="31"/>
  <c r="J32" i="31"/>
  <c r="AD32" i="31"/>
  <c r="V32" i="30"/>
  <c r="F33" i="31"/>
  <c r="J33" i="31"/>
  <c r="AD33" i="31"/>
  <c r="V33" i="30"/>
  <c r="F34" i="31"/>
  <c r="J34" i="31"/>
  <c r="AD34" i="31"/>
  <c r="V34" i="30"/>
  <c r="F35" i="31"/>
  <c r="J35" i="31"/>
  <c r="AD35" i="31"/>
  <c r="AH35" i="31"/>
  <c r="AL35" i="31"/>
  <c r="V35" i="30"/>
  <c r="F36" i="31"/>
  <c r="J36" i="31"/>
  <c r="AD36" i="31"/>
  <c r="V36" i="30"/>
  <c r="F37" i="31"/>
  <c r="J37" i="31"/>
  <c r="AD37" i="31"/>
  <c r="V37" i="30"/>
  <c r="F38" i="31"/>
  <c r="J38" i="31"/>
  <c r="AD38" i="31"/>
  <c r="V38" i="30"/>
  <c r="F39" i="31"/>
  <c r="J39" i="31"/>
  <c r="AD39" i="31"/>
  <c r="AH39" i="31"/>
  <c r="AL39" i="31"/>
  <c r="V39" i="30"/>
  <c r="F40" i="31"/>
  <c r="J40" i="31"/>
  <c r="AD40" i="31"/>
  <c r="V40" i="30"/>
  <c r="F41" i="31"/>
  <c r="J41" i="31"/>
  <c r="AF41" i="31"/>
  <c r="V41" i="30"/>
  <c r="F42" i="31"/>
  <c r="J42" i="31"/>
  <c r="AD42" i="31"/>
  <c r="V43" i="30"/>
  <c r="F44" i="31"/>
  <c r="J44" i="31"/>
  <c r="AE44" i="31"/>
  <c r="AL44" i="31"/>
  <c r="V44" i="30"/>
  <c r="F45" i="31"/>
  <c r="J45" i="31"/>
  <c r="AD45" i="31"/>
  <c r="V45" i="30"/>
  <c r="F46" i="31"/>
  <c r="J46" i="31"/>
  <c r="AD46" i="31"/>
  <c r="V46" i="30"/>
  <c r="F47" i="31"/>
  <c r="J47" i="31"/>
  <c r="AE47" i="31"/>
  <c r="V47" i="30"/>
  <c r="F48" i="31"/>
  <c r="J48" i="31"/>
  <c r="AD48" i="31"/>
  <c r="V48" i="30"/>
  <c r="F49" i="31"/>
  <c r="J49" i="31"/>
  <c r="AD49" i="31"/>
  <c r="V49" i="30"/>
  <c r="F50" i="31"/>
  <c r="J50" i="31"/>
  <c r="AD50" i="31"/>
  <c r="AH50" i="31"/>
  <c r="AL50" i="31"/>
  <c r="V50" i="30"/>
  <c r="F51" i="31"/>
  <c r="J51" i="31"/>
  <c r="AE51" i="31"/>
  <c r="V51" i="30"/>
  <c r="F52" i="31"/>
  <c r="J52" i="31"/>
  <c r="AE52" i="31"/>
  <c r="AI52" i="31"/>
  <c r="AL52" i="31"/>
  <c r="V52" i="30"/>
  <c r="F53" i="31"/>
  <c r="J53" i="31"/>
  <c r="AE53" i="31"/>
  <c r="V53" i="30"/>
  <c r="F54" i="31"/>
  <c r="J54" i="31"/>
  <c r="AE54" i="31"/>
  <c r="V54" i="30"/>
  <c r="F57" i="31"/>
  <c r="J57" i="31"/>
  <c r="AE57" i="31"/>
  <c r="V55" i="30"/>
  <c r="F58" i="31"/>
  <c r="J58" i="31"/>
  <c r="AF58" i="31"/>
  <c r="V56" i="30"/>
  <c r="F59" i="31"/>
  <c r="J59" i="31"/>
  <c r="AE59" i="31"/>
  <c r="V57" i="30"/>
  <c r="F60" i="31"/>
  <c r="J60" i="31"/>
  <c r="AE60" i="31"/>
  <c r="V58" i="30"/>
  <c r="F61" i="31"/>
  <c r="J61" i="31"/>
  <c r="AF61" i="31"/>
  <c r="V59" i="30"/>
  <c r="F62" i="31"/>
  <c r="J62" i="31"/>
  <c r="AD62" i="31"/>
  <c r="V60" i="30"/>
  <c r="F63" i="31"/>
  <c r="J63" i="31"/>
  <c r="AD63" i="31"/>
  <c r="V62" i="30"/>
  <c r="F66" i="31"/>
  <c r="J66" i="31"/>
  <c r="AD66" i="31"/>
  <c r="AH66" i="31"/>
  <c r="AL66" i="31"/>
  <c r="V63" i="30"/>
  <c r="F67" i="31"/>
  <c r="J67" i="31"/>
  <c r="AD67" i="31"/>
  <c r="V64" i="30"/>
  <c r="F68" i="31"/>
  <c r="J68" i="31"/>
  <c r="AD68" i="31"/>
  <c r="V65" i="30"/>
  <c r="F69" i="31"/>
  <c r="J69" i="31"/>
  <c r="AD69" i="31"/>
  <c r="V66" i="30"/>
  <c r="F70" i="31"/>
  <c r="J70" i="31"/>
  <c r="AD70" i="31"/>
  <c r="AL70" i="31"/>
  <c r="V67" i="30"/>
  <c r="F71" i="31"/>
  <c r="J71" i="31"/>
  <c r="AD71" i="31"/>
  <c r="V68" i="30"/>
  <c r="F72" i="31"/>
  <c r="J72" i="31"/>
  <c r="AD72" i="31"/>
  <c r="V69" i="30"/>
  <c r="F73" i="31"/>
  <c r="J73" i="31"/>
  <c r="AD73" i="31"/>
  <c r="V70" i="30"/>
  <c r="F74" i="31"/>
  <c r="J74" i="31"/>
  <c r="AD74" i="31"/>
  <c r="AL74" i="31"/>
  <c r="V71" i="30"/>
  <c r="F75" i="31"/>
  <c r="J75" i="31"/>
  <c r="AE75" i="31"/>
  <c r="V72" i="30"/>
  <c r="F76" i="31"/>
  <c r="J76" i="31"/>
  <c r="AD76" i="31"/>
  <c r="V73" i="30"/>
  <c r="F77" i="31"/>
  <c r="J77" i="31"/>
  <c r="AD77" i="31"/>
  <c r="V74" i="30"/>
  <c r="F79" i="31"/>
  <c r="J79" i="31"/>
  <c r="AE79" i="31"/>
  <c r="V75" i="30"/>
  <c r="F80" i="31"/>
  <c r="J80" i="31"/>
  <c r="AE80" i="31"/>
  <c r="V76" i="30"/>
  <c r="F81" i="31"/>
  <c r="J81" i="31"/>
  <c r="AD81" i="31"/>
  <c r="V77" i="30"/>
  <c r="F82" i="31"/>
  <c r="J82" i="31"/>
  <c r="AE82" i="31"/>
  <c r="V78" i="30"/>
  <c r="F83" i="31"/>
  <c r="J83" i="31"/>
  <c r="AE83" i="31"/>
  <c r="AL83" i="31"/>
  <c r="V79" i="30"/>
  <c r="F84" i="31"/>
  <c r="J84" i="31"/>
  <c r="AE84" i="31"/>
  <c r="V80" i="30"/>
  <c r="F85" i="31"/>
  <c r="J85" i="31"/>
  <c r="AD85" i="31"/>
  <c r="V81" i="30"/>
  <c r="F86" i="31"/>
  <c r="J86" i="31"/>
  <c r="AD86" i="31"/>
  <c r="V82" i="30"/>
  <c r="F87" i="31"/>
  <c r="J87" i="31"/>
  <c r="AD87" i="31"/>
  <c r="V83" i="30"/>
  <c r="F88" i="31"/>
  <c r="J88" i="31"/>
  <c r="AD88" i="31"/>
  <c r="V84" i="30"/>
  <c r="F89" i="31"/>
  <c r="J89" i="31"/>
  <c r="AD89" i="31"/>
  <c r="AH89" i="31"/>
  <c r="AL89" i="31"/>
  <c r="V85" i="30"/>
  <c r="F90" i="31"/>
  <c r="J90" i="31"/>
  <c r="AD90" i="31"/>
  <c r="V86" i="30"/>
  <c r="F91" i="31"/>
  <c r="J91" i="31"/>
  <c r="AF91" i="31"/>
  <c r="V87" i="30"/>
  <c r="F92" i="31"/>
  <c r="J92" i="31"/>
  <c r="AF92" i="31"/>
  <c r="V88" i="30"/>
  <c r="F93" i="31"/>
  <c r="J93" i="31"/>
  <c r="AE93" i="31"/>
  <c r="V89" i="30"/>
  <c r="F94" i="31"/>
  <c r="J94" i="31"/>
  <c r="AE94" i="31"/>
  <c r="V90" i="30"/>
  <c r="F95" i="31"/>
  <c r="J95" i="31"/>
  <c r="AD95" i="31"/>
  <c r="V91" i="30"/>
  <c r="F96" i="31"/>
  <c r="J96" i="31"/>
  <c r="AE96" i="31"/>
  <c r="V92" i="30"/>
  <c r="F97" i="31"/>
  <c r="J97" i="31"/>
  <c r="AE97" i="31"/>
  <c r="V93" i="30"/>
  <c r="F99" i="31"/>
  <c r="J99" i="31"/>
  <c r="AE99" i="31"/>
  <c r="V94" i="30"/>
  <c r="F100" i="31"/>
  <c r="J100" i="31"/>
  <c r="AD100" i="31"/>
  <c r="V95" i="30"/>
  <c r="F101" i="31"/>
  <c r="J101" i="31"/>
  <c r="AD101" i="31"/>
  <c r="V96" i="30"/>
  <c r="F102" i="31"/>
  <c r="J102" i="31"/>
  <c r="AD102" i="31"/>
  <c r="AH102" i="31"/>
  <c r="AL102" i="31"/>
  <c r="V97" i="30"/>
  <c r="F103" i="31"/>
  <c r="J103" i="31"/>
  <c r="AD103" i="31"/>
  <c r="V98" i="30"/>
  <c r="F104" i="31"/>
  <c r="J104" i="31"/>
  <c r="AD104" i="31"/>
  <c r="V99" i="30"/>
  <c r="J105" i="31"/>
  <c r="AD105" i="31"/>
  <c r="V100" i="30"/>
  <c r="J106" i="31"/>
  <c r="AD106" i="31"/>
  <c r="V101" i="30"/>
  <c r="J107" i="31"/>
  <c r="AD107" i="31"/>
  <c r="V102" i="30"/>
  <c r="J108" i="31"/>
  <c r="AD108" i="31"/>
  <c r="V103" i="30"/>
  <c r="J109" i="31"/>
  <c r="AD109" i="31"/>
  <c r="AL109" i="31"/>
  <c r="V104" i="30"/>
  <c r="J110" i="31"/>
  <c r="AD110" i="31"/>
  <c r="V105" i="30"/>
  <c r="J111" i="31"/>
  <c r="AD111" i="31"/>
  <c r="V106" i="30"/>
  <c r="J112" i="31"/>
  <c r="AD112" i="31"/>
  <c r="AH112" i="31"/>
  <c r="AL112" i="31"/>
  <c r="V107" i="30"/>
  <c r="J113" i="31"/>
  <c r="AD113" i="31"/>
  <c r="V108" i="30"/>
  <c r="V109" i="30"/>
  <c r="V110" i="30"/>
  <c r="V111" i="30"/>
  <c r="V112" i="30"/>
  <c r="V113" i="30"/>
  <c r="F114" i="31"/>
  <c r="J114" i="31"/>
  <c r="AD114" i="31"/>
  <c r="V114" i="30"/>
  <c r="F115" i="31"/>
  <c r="J115" i="31"/>
  <c r="AD115" i="31"/>
  <c r="V115" i="30"/>
  <c r="F116" i="31"/>
  <c r="J116" i="31"/>
  <c r="AE116" i="31"/>
  <c r="V116" i="30"/>
  <c r="F117" i="31"/>
  <c r="J117" i="31"/>
  <c r="AE117" i="31"/>
  <c r="V117" i="30"/>
  <c r="F118" i="31"/>
  <c r="J118" i="31"/>
  <c r="AD118" i="31"/>
  <c r="AL118" i="31"/>
  <c r="V118" i="30"/>
  <c r="F120" i="31"/>
  <c r="J120" i="31"/>
  <c r="AD120" i="31"/>
  <c r="V119" i="30"/>
  <c r="F121" i="31"/>
  <c r="J121" i="31"/>
  <c r="AD121" i="31"/>
  <c r="V120" i="30"/>
  <c r="F124" i="31"/>
  <c r="J124" i="31"/>
  <c r="AD124" i="31"/>
  <c r="F125" i="31"/>
  <c r="J125" i="31"/>
  <c r="AE125" i="31"/>
  <c r="F126" i="31"/>
  <c r="J126" i="31"/>
  <c r="AD126" i="31"/>
  <c r="F128" i="31"/>
  <c r="J128" i="31"/>
  <c r="AE128" i="31"/>
  <c r="F129" i="31"/>
  <c r="J129" i="31"/>
  <c r="AE129" i="31"/>
  <c r="F132" i="31"/>
  <c r="J132" i="31"/>
  <c r="AD132" i="31"/>
  <c r="V129" i="30"/>
  <c r="F133" i="31"/>
  <c r="J133" i="31"/>
  <c r="AD133" i="31"/>
  <c r="V130" i="30"/>
  <c r="F134" i="31"/>
  <c r="J134" i="31"/>
  <c r="AD134" i="31"/>
  <c r="AL134" i="31"/>
  <c r="V131" i="30"/>
  <c r="F135" i="31"/>
  <c r="J135" i="31"/>
  <c r="AD135" i="31"/>
  <c r="V132" i="30"/>
  <c r="F136" i="31"/>
  <c r="J136" i="31"/>
  <c r="AD136" i="31"/>
  <c r="V133" i="30"/>
  <c r="F137" i="31"/>
  <c r="J137" i="31"/>
  <c r="AD137" i="31"/>
  <c r="V134" i="30"/>
  <c r="F138" i="31"/>
  <c r="J138" i="31"/>
  <c r="AD138" i="31"/>
  <c r="V135" i="30"/>
  <c r="F139" i="31"/>
  <c r="J139" i="31"/>
  <c r="AD139" i="31"/>
  <c r="V136" i="30"/>
  <c r="F140" i="31"/>
  <c r="J140" i="31"/>
  <c r="AD140" i="31"/>
  <c r="V137" i="30"/>
  <c r="F141" i="31"/>
  <c r="J141" i="31"/>
  <c r="AD141" i="31"/>
  <c r="V138" i="30"/>
  <c r="F142" i="31"/>
  <c r="J142" i="31"/>
  <c r="AE142" i="31"/>
  <c r="V139" i="30"/>
  <c r="F143" i="31"/>
  <c r="J143" i="31"/>
  <c r="AE143" i="31"/>
  <c r="V140" i="30"/>
  <c r="F144" i="31"/>
  <c r="J144" i="31"/>
  <c r="AD144" i="31"/>
  <c r="V141" i="30"/>
  <c r="F145" i="31"/>
  <c r="J145" i="31"/>
  <c r="AD145" i="31"/>
  <c r="V142" i="30"/>
  <c r="F146" i="31"/>
  <c r="J146" i="31"/>
  <c r="AF146" i="31"/>
  <c r="V143" i="30"/>
  <c r="F147" i="31"/>
  <c r="J147" i="31"/>
  <c r="AE147" i="31"/>
  <c r="V144" i="30"/>
  <c r="F148" i="31"/>
  <c r="J148" i="31"/>
  <c r="AE148" i="31"/>
  <c r="AI148" i="31"/>
  <c r="AL148" i="31"/>
  <c r="V145" i="30"/>
  <c r="F149" i="31"/>
  <c r="J149" i="31"/>
  <c r="AD149" i="31"/>
  <c r="V146" i="30"/>
  <c r="F150" i="31"/>
  <c r="J150" i="31"/>
  <c r="AF150" i="31"/>
  <c r="V147" i="30"/>
  <c r="F151" i="31"/>
  <c r="J151" i="31"/>
  <c r="AD151" i="31"/>
  <c r="AH151" i="31"/>
  <c r="AL151" i="31"/>
  <c r="V148" i="30"/>
  <c r="F152" i="31"/>
  <c r="J152" i="31"/>
  <c r="AD152" i="31"/>
  <c r="V149" i="30"/>
  <c r="F153" i="31"/>
  <c r="J153" i="31"/>
  <c r="AF153" i="31"/>
  <c r="V150" i="30"/>
  <c r="F154" i="31"/>
  <c r="J154" i="31"/>
  <c r="AE154" i="31"/>
  <c r="V151" i="30"/>
  <c r="F155" i="31"/>
  <c r="J155" i="31"/>
  <c r="AE155" i="31"/>
  <c r="V152" i="30"/>
  <c r="F156" i="31"/>
  <c r="J156" i="31"/>
  <c r="AF156" i="31"/>
  <c r="V153" i="30"/>
  <c r="F157" i="31"/>
  <c r="J157" i="31"/>
  <c r="AD157" i="31"/>
  <c r="V154" i="30"/>
  <c r="F158" i="31"/>
  <c r="J158" i="31"/>
  <c r="AE158" i="31"/>
  <c r="V155" i="30"/>
  <c r="F159" i="31"/>
  <c r="J159" i="31"/>
  <c r="AE159" i="31"/>
  <c r="AI159" i="31"/>
  <c r="AL159" i="31"/>
  <c r="V156" i="30"/>
  <c r="F160" i="31"/>
  <c r="J160" i="31"/>
  <c r="AD160" i="31"/>
  <c r="V157" i="30"/>
  <c r="F161" i="31"/>
  <c r="J161" i="31"/>
  <c r="AD161" i="31"/>
  <c r="V158" i="30"/>
  <c r="F162" i="31"/>
  <c r="J162" i="31"/>
  <c r="AE162" i="31"/>
  <c r="V159" i="30"/>
  <c r="F163" i="31"/>
  <c r="J163" i="31"/>
  <c r="AE163" i="31"/>
  <c r="V160" i="30"/>
  <c r="F164" i="31"/>
  <c r="J164" i="31"/>
  <c r="AE164" i="31"/>
  <c r="V161" i="30"/>
  <c r="F165" i="31"/>
  <c r="J165" i="31"/>
  <c r="AE165" i="31"/>
  <c r="AL165" i="31"/>
  <c r="V162" i="30"/>
  <c r="F166" i="31"/>
  <c r="J166" i="31"/>
  <c r="AE166" i="31"/>
  <c r="V163" i="30"/>
  <c r="F167" i="31"/>
  <c r="J167" i="31"/>
  <c r="AD167" i="31"/>
  <c r="V164" i="30"/>
  <c r="F168" i="31"/>
  <c r="J168" i="31"/>
  <c r="AD168" i="31"/>
  <c r="V165" i="30"/>
  <c r="F169" i="31"/>
  <c r="J169" i="31"/>
  <c r="AD169" i="31"/>
  <c r="V166" i="30"/>
  <c r="F170" i="31"/>
  <c r="J170" i="31"/>
  <c r="AD170" i="31"/>
  <c r="V167" i="30"/>
  <c r="F171" i="31"/>
  <c r="J171" i="31"/>
  <c r="AD171" i="31"/>
  <c r="V168" i="30"/>
  <c r="F172" i="31"/>
  <c r="J172" i="31"/>
  <c r="AD172" i="31"/>
  <c r="V169" i="30"/>
  <c r="F173" i="31"/>
  <c r="J173" i="31"/>
  <c r="AD173" i="31"/>
  <c r="V170" i="30"/>
  <c r="F174" i="31"/>
  <c r="J174" i="31"/>
  <c r="AD174" i="31"/>
  <c r="V171" i="30"/>
  <c r="F175" i="31"/>
  <c r="J175" i="31"/>
  <c r="AD175" i="31"/>
  <c r="V172" i="30"/>
  <c r="F176" i="31"/>
  <c r="J176" i="31"/>
  <c r="AE176" i="31"/>
  <c r="V173" i="30"/>
  <c r="F177" i="31"/>
  <c r="J177" i="31"/>
  <c r="AD177" i="31"/>
  <c r="V174" i="30"/>
  <c r="F178" i="31"/>
  <c r="J178" i="31"/>
  <c r="AD178" i="31"/>
  <c r="V175" i="30"/>
  <c r="F179" i="31"/>
  <c r="J179" i="31"/>
  <c r="AE179" i="31"/>
  <c r="V176" i="30"/>
  <c r="J180" i="31"/>
  <c r="AD180" i="31"/>
  <c r="V177" i="30"/>
  <c r="V178" i="30"/>
  <c r="V179" i="30"/>
  <c r="F183" i="31"/>
  <c r="J183" i="31"/>
  <c r="AD183" i="31"/>
  <c r="V180" i="30"/>
  <c r="F184" i="31"/>
  <c r="J184" i="31"/>
  <c r="AE184" i="31"/>
  <c r="V181" i="30"/>
  <c r="F185" i="31"/>
  <c r="J185" i="31"/>
  <c r="AD185" i="31"/>
  <c r="AL185" i="31"/>
  <c r="V182" i="30"/>
  <c r="F186" i="31"/>
  <c r="J186" i="31"/>
  <c r="AE186" i="31"/>
  <c r="V183" i="30"/>
  <c r="F187" i="31"/>
  <c r="J187" i="31"/>
  <c r="AD187" i="31"/>
  <c r="V184" i="30"/>
  <c r="F188" i="31"/>
  <c r="J188" i="31"/>
  <c r="AD188" i="31"/>
  <c r="V185" i="30"/>
  <c r="F189" i="31"/>
  <c r="J189" i="31"/>
  <c r="AD189" i="31"/>
  <c r="AL189" i="31"/>
  <c r="V186" i="30"/>
  <c r="F190" i="31"/>
  <c r="J190" i="31"/>
  <c r="AE190" i="31"/>
  <c r="V187" i="30"/>
  <c r="F191" i="31"/>
  <c r="J191" i="31"/>
  <c r="AE191" i="31"/>
  <c r="V188" i="30"/>
  <c r="F192" i="31"/>
  <c r="J192" i="31"/>
  <c r="AE192" i="31"/>
  <c r="V189" i="30"/>
  <c r="F194" i="31"/>
  <c r="J194" i="31"/>
  <c r="AE194" i="31"/>
  <c r="V190" i="30"/>
  <c r="F195" i="31"/>
  <c r="J195" i="31"/>
  <c r="AD195" i="31"/>
  <c r="V191" i="30"/>
  <c r="F196" i="31"/>
  <c r="J196" i="31"/>
  <c r="AD196" i="31"/>
  <c r="V192" i="30"/>
  <c r="F197" i="31"/>
  <c r="J197" i="31"/>
  <c r="AD197" i="31"/>
  <c r="V193" i="30"/>
  <c r="F198" i="31"/>
  <c r="J198" i="31"/>
  <c r="AE198" i="31"/>
  <c r="V194" i="30"/>
  <c r="F199" i="31"/>
  <c r="J199" i="31"/>
  <c r="AE199" i="31"/>
  <c r="V195" i="30"/>
  <c r="F200" i="31"/>
  <c r="J200" i="31"/>
  <c r="AE200" i="31"/>
  <c r="V196" i="30"/>
  <c r="F201" i="31"/>
  <c r="J201" i="31"/>
  <c r="AE201" i="31"/>
  <c r="V197" i="30"/>
  <c r="F202" i="31"/>
  <c r="J202" i="31"/>
  <c r="AE202" i="31"/>
  <c r="V198" i="30"/>
  <c r="F203" i="31"/>
  <c r="J203" i="31"/>
  <c r="AE203" i="31"/>
  <c r="V199" i="30"/>
  <c r="F204" i="31"/>
  <c r="J204" i="31"/>
  <c r="AF204" i="31"/>
  <c r="V200" i="30"/>
  <c r="F205" i="31"/>
  <c r="J205" i="31"/>
  <c r="AE205" i="31"/>
  <c r="V201" i="30"/>
  <c r="F206" i="31"/>
  <c r="J206" i="31"/>
  <c r="AF206" i="31"/>
  <c r="V202" i="30"/>
  <c r="F207" i="31"/>
  <c r="J207" i="31"/>
  <c r="AD207" i="31"/>
  <c r="V204" i="30"/>
  <c r="F209" i="31"/>
  <c r="J209" i="31"/>
  <c r="AD209" i="31"/>
  <c r="V205" i="30"/>
  <c r="F210" i="31"/>
  <c r="J210" i="31"/>
  <c r="AF210" i="31"/>
  <c r="V206" i="30"/>
  <c r="F211" i="31"/>
  <c r="J211" i="31"/>
  <c r="AD211" i="31"/>
  <c r="AH211" i="31"/>
  <c r="AL211" i="31"/>
  <c r="V207" i="30"/>
  <c r="F212" i="31"/>
  <c r="J212" i="31"/>
  <c r="AD212" i="31"/>
  <c r="V208" i="30"/>
  <c r="F213" i="31"/>
  <c r="J213" i="31"/>
  <c r="AE213" i="31"/>
  <c r="V209" i="30"/>
  <c r="F214" i="31"/>
  <c r="J214" i="31"/>
  <c r="AF214" i="31"/>
  <c r="V210" i="30"/>
  <c r="F215" i="31"/>
  <c r="J215" i="31"/>
  <c r="AD215" i="31"/>
  <c r="V211" i="30"/>
  <c r="F216" i="31"/>
  <c r="J216" i="31"/>
  <c r="AD216" i="31"/>
  <c r="V212" i="30"/>
  <c r="F217" i="31"/>
  <c r="J217" i="31"/>
  <c r="AE217" i="31"/>
  <c r="V213" i="30"/>
  <c r="F218" i="31"/>
  <c r="J218" i="31"/>
  <c r="AE218" i="31"/>
  <c r="V214" i="30"/>
  <c r="F219" i="31"/>
  <c r="J219" i="31"/>
  <c r="AE219" i="31"/>
  <c r="V215" i="30"/>
  <c r="F220" i="31"/>
  <c r="J220" i="31"/>
  <c r="AE220" i="31"/>
  <c r="V216" i="30"/>
  <c r="F221" i="31"/>
  <c r="J221" i="31"/>
  <c r="AD221" i="31"/>
  <c r="V217" i="30"/>
  <c r="F222" i="31"/>
  <c r="J222" i="31"/>
  <c r="AE222" i="31"/>
  <c r="V218" i="30"/>
  <c r="F223" i="31"/>
  <c r="J223" i="31"/>
  <c r="AD223" i="31"/>
  <c r="V219" i="30"/>
  <c r="F224" i="31"/>
  <c r="J224" i="31"/>
  <c r="AD224" i="31"/>
  <c r="V220" i="30"/>
  <c r="F225" i="31"/>
  <c r="J225" i="31"/>
  <c r="AD225" i="31"/>
  <c r="AH225" i="31"/>
  <c r="AL225" i="31"/>
  <c r="V221" i="30"/>
  <c r="F226" i="31"/>
  <c r="J226" i="31"/>
  <c r="AF226" i="31"/>
  <c r="V222" i="30"/>
  <c r="F227" i="31"/>
  <c r="J227" i="31"/>
  <c r="AF227" i="31"/>
  <c r="V223" i="30"/>
  <c r="F228" i="31"/>
  <c r="J228" i="31"/>
  <c r="AD228" i="31"/>
  <c r="T224" i="30"/>
  <c r="P224" i="30"/>
  <c r="O224" i="30"/>
  <c r="N224" i="30"/>
  <c r="AC138" i="30"/>
  <c r="AC134" i="30"/>
  <c r="AC130" i="30"/>
  <c r="AC124" i="30"/>
  <c r="AC121" i="30"/>
  <c r="AC119" i="30"/>
  <c r="AC93" i="30"/>
  <c r="AC90" i="30"/>
  <c r="AC84" i="30"/>
  <c r="AC80" i="30"/>
  <c r="AC75" i="30"/>
  <c r="AC67" i="30"/>
  <c r="AC52" i="30"/>
  <c r="T206" i="28"/>
  <c r="E168" i="29"/>
  <c r="E41" i="29"/>
  <c r="T220" i="28"/>
  <c r="T75" i="28"/>
  <c r="T126" i="28"/>
  <c r="Q118" i="28"/>
  <c r="V118" i="28"/>
  <c r="F118" i="29"/>
  <c r="J118" i="29"/>
  <c r="AD118" i="29"/>
  <c r="AE118" i="29"/>
  <c r="AF118" i="29"/>
  <c r="AH118" i="29"/>
  <c r="AI118" i="29"/>
  <c r="AJ118" i="29"/>
  <c r="X118" i="29"/>
  <c r="Y118" i="29"/>
  <c r="Z118" i="29"/>
  <c r="AC118" i="29"/>
  <c r="J118" i="28"/>
  <c r="AD118" i="28"/>
  <c r="AE118" i="28"/>
  <c r="AF118" i="28"/>
  <c r="AH118" i="28"/>
  <c r="AI118" i="28"/>
  <c r="AJ118" i="28"/>
  <c r="AL118" i="28"/>
  <c r="X118" i="28"/>
  <c r="Y118" i="28"/>
  <c r="Z118" i="28"/>
  <c r="AC118" i="28"/>
  <c r="I193" i="29"/>
  <c r="I192" i="29"/>
  <c r="T159" i="28"/>
  <c r="T193" i="28"/>
  <c r="T180" i="28"/>
  <c r="E167" i="29"/>
  <c r="J228" i="29"/>
  <c r="M64" i="28"/>
  <c r="M223" i="28"/>
  <c r="L223" i="28"/>
  <c r="M224" i="28"/>
  <c r="E202" i="29"/>
  <c r="T17" i="28"/>
  <c r="T182" i="28"/>
  <c r="E169" i="29"/>
  <c r="T139" i="28"/>
  <c r="Q185" i="28"/>
  <c r="V185" i="28"/>
  <c r="F185" i="29"/>
  <c r="J185" i="29"/>
  <c r="AE185" i="29"/>
  <c r="Q184" i="28"/>
  <c r="V184" i="28"/>
  <c r="F184" i="29"/>
  <c r="J184" i="29"/>
  <c r="AD184" i="29"/>
  <c r="Q183" i="28"/>
  <c r="V183" i="28"/>
  <c r="F183" i="29"/>
  <c r="J183" i="29"/>
  <c r="AD183" i="29"/>
  <c r="Q182" i="28"/>
  <c r="V182" i="28"/>
  <c r="F182" i="29"/>
  <c r="J182" i="29"/>
  <c r="AD182" i="29"/>
  <c r="Q181" i="28"/>
  <c r="V181" i="28"/>
  <c r="F181" i="29"/>
  <c r="J181" i="29"/>
  <c r="AE181" i="29"/>
  <c r="Q180" i="28"/>
  <c r="V180" i="28"/>
  <c r="F180" i="29"/>
  <c r="J180" i="29"/>
  <c r="AD180" i="29"/>
  <c r="Q178" i="28"/>
  <c r="V178" i="28"/>
  <c r="F178" i="29"/>
  <c r="J178" i="29"/>
  <c r="AD178" i="29"/>
  <c r="Q176" i="28"/>
  <c r="V176" i="28"/>
  <c r="F176" i="29"/>
  <c r="J176" i="29"/>
  <c r="AE176" i="29"/>
  <c r="Q175" i="28"/>
  <c r="V175" i="28"/>
  <c r="F175" i="29"/>
  <c r="J175" i="29"/>
  <c r="AD175" i="29"/>
  <c r="Q174" i="28"/>
  <c r="V174" i="28"/>
  <c r="F174" i="29"/>
  <c r="J174" i="29"/>
  <c r="AE174" i="29"/>
  <c r="Q179" i="28"/>
  <c r="V179" i="28"/>
  <c r="F179" i="29"/>
  <c r="J179" i="29"/>
  <c r="AE179" i="29"/>
  <c r="Q222" i="28"/>
  <c r="V222" i="28"/>
  <c r="F222" i="29"/>
  <c r="J222" i="29"/>
  <c r="AD222" i="29"/>
  <c r="Q221" i="28"/>
  <c r="V221" i="28"/>
  <c r="F221" i="29"/>
  <c r="J221" i="29"/>
  <c r="AF221" i="29"/>
  <c r="Q220" i="28"/>
  <c r="V220" i="28"/>
  <c r="F220" i="29"/>
  <c r="J220" i="29"/>
  <c r="AF220" i="29"/>
  <c r="Q219" i="28"/>
  <c r="V219" i="28"/>
  <c r="F219" i="29"/>
  <c r="J219" i="29"/>
  <c r="AD219" i="29"/>
  <c r="Q218" i="28"/>
  <c r="V218" i="28"/>
  <c r="F218" i="29"/>
  <c r="J218" i="29"/>
  <c r="AD218" i="29"/>
  <c r="Q217" i="28"/>
  <c r="V217" i="28"/>
  <c r="F217" i="29"/>
  <c r="J217" i="29"/>
  <c r="AD217" i="29"/>
  <c r="Q216" i="28"/>
  <c r="V216" i="28"/>
  <c r="F216" i="29"/>
  <c r="J216" i="29"/>
  <c r="AE216" i="29"/>
  <c r="Q215" i="28"/>
  <c r="V215" i="28"/>
  <c r="F215" i="29"/>
  <c r="J215" i="29"/>
  <c r="AD215" i="29"/>
  <c r="Q214" i="28"/>
  <c r="V214" i="28"/>
  <c r="F214" i="29"/>
  <c r="J214" i="29"/>
  <c r="AE214" i="29"/>
  <c r="Q213" i="28"/>
  <c r="V213" i="28"/>
  <c r="F213" i="29"/>
  <c r="J213" i="29"/>
  <c r="AE213" i="29"/>
  <c r="Q212" i="28"/>
  <c r="V212" i="28"/>
  <c r="F212" i="29"/>
  <c r="J212" i="29"/>
  <c r="AE212" i="29"/>
  <c r="Q211" i="28"/>
  <c r="V211" i="28"/>
  <c r="F211" i="29"/>
  <c r="J211" i="29"/>
  <c r="AE211" i="29"/>
  <c r="Q210" i="28"/>
  <c r="V210" i="28"/>
  <c r="F210" i="29"/>
  <c r="J210" i="29"/>
  <c r="AD210" i="29"/>
  <c r="Q209" i="28"/>
  <c r="V209" i="28"/>
  <c r="F209" i="29"/>
  <c r="J209" i="29"/>
  <c r="AD209" i="29"/>
  <c r="Q208" i="28"/>
  <c r="V208" i="28"/>
  <c r="F208" i="29"/>
  <c r="J208" i="29"/>
  <c r="AF208" i="29"/>
  <c r="Q207" i="28"/>
  <c r="V207" i="28"/>
  <c r="F207" i="29"/>
  <c r="J207" i="29"/>
  <c r="AE207" i="29"/>
  <c r="Q206" i="28"/>
  <c r="V206" i="28"/>
  <c r="F206" i="29"/>
  <c r="J206" i="29"/>
  <c r="AD206" i="29"/>
  <c r="Q205" i="28"/>
  <c r="V205" i="28"/>
  <c r="F205" i="29"/>
  <c r="J205" i="29"/>
  <c r="AD205" i="29"/>
  <c r="Q204" i="28"/>
  <c r="V204" i="28"/>
  <c r="F204" i="29"/>
  <c r="J204" i="29"/>
  <c r="AF204" i="29"/>
  <c r="Q203" i="28"/>
  <c r="V203" i="28"/>
  <c r="F203" i="29"/>
  <c r="J203" i="29"/>
  <c r="AD203" i="29"/>
  <c r="Q202" i="28"/>
  <c r="V202" i="28"/>
  <c r="F202" i="29"/>
  <c r="J202" i="29"/>
  <c r="AD202" i="29"/>
  <c r="Q201" i="28"/>
  <c r="V201" i="28"/>
  <c r="F201" i="29"/>
  <c r="J201" i="29"/>
  <c r="AD201" i="29"/>
  <c r="Q200" i="28"/>
  <c r="V200" i="28"/>
  <c r="F200" i="29"/>
  <c r="J200" i="29"/>
  <c r="AF200" i="29"/>
  <c r="Q199" i="28"/>
  <c r="V199" i="28"/>
  <c r="F199" i="29"/>
  <c r="J199" i="29"/>
  <c r="AE199" i="29"/>
  <c r="Q198" i="28"/>
  <c r="V198" i="28"/>
  <c r="F198" i="29"/>
  <c r="J198" i="29"/>
  <c r="AF198" i="29"/>
  <c r="Q197" i="28"/>
  <c r="V197" i="28"/>
  <c r="F197" i="29"/>
  <c r="J197" i="29"/>
  <c r="AE197" i="29"/>
  <c r="Q196" i="28"/>
  <c r="V196" i="28"/>
  <c r="F196" i="29"/>
  <c r="J196" i="29"/>
  <c r="AE196" i="29"/>
  <c r="Q195" i="28"/>
  <c r="V195" i="28"/>
  <c r="F195" i="29"/>
  <c r="J195" i="29"/>
  <c r="AE195" i="29"/>
  <c r="Q194" i="28"/>
  <c r="V194" i="28"/>
  <c r="F194" i="29"/>
  <c r="J194" i="29"/>
  <c r="AE194" i="29"/>
  <c r="Q193" i="28"/>
  <c r="V193" i="28"/>
  <c r="F193" i="29"/>
  <c r="J193" i="29"/>
  <c r="AE193" i="29"/>
  <c r="Q192" i="28"/>
  <c r="V192" i="28"/>
  <c r="F192" i="29"/>
  <c r="J192" i="29"/>
  <c r="AE192" i="29"/>
  <c r="Q191" i="28"/>
  <c r="V191" i="28"/>
  <c r="F191" i="29"/>
  <c r="J191" i="29"/>
  <c r="AD191" i="29"/>
  <c r="Q190" i="28"/>
  <c r="V190" i="28"/>
  <c r="F190" i="29"/>
  <c r="J190" i="29"/>
  <c r="AD190" i="29"/>
  <c r="Q189" i="28"/>
  <c r="V189" i="28"/>
  <c r="F189" i="29"/>
  <c r="J189" i="29"/>
  <c r="AD189" i="29"/>
  <c r="Q188" i="28"/>
  <c r="V188" i="28"/>
  <c r="F188" i="29"/>
  <c r="J188" i="29"/>
  <c r="AE188" i="29"/>
  <c r="Q187" i="28"/>
  <c r="V187" i="28"/>
  <c r="F187" i="29"/>
  <c r="J187" i="29"/>
  <c r="AE187" i="29"/>
  <c r="Q186" i="28"/>
  <c r="V186" i="28"/>
  <c r="F186" i="29"/>
  <c r="J186" i="29"/>
  <c r="AE186" i="29"/>
  <c r="J177" i="29"/>
  <c r="J173" i="29"/>
  <c r="Q172" i="28"/>
  <c r="V172" i="28"/>
  <c r="F172" i="29"/>
  <c r="J172" i="29"/>
  <c r="AD172" i="29"/>
  <c r="Q171" i="28"/>
  <c r="V171" i="28"/>
  <c r="F171" i="29"/>
  <c r="J171" i="29"/>
  <c r="AE171" i="29"/>
  <c r="Q170" i="28"/>
  <c r="V170" i="28"/>
  <c r="F170" i="29"/>
  <c r="J170" i="29"/>
  <c r="AD170" i="29"/>
  <c r="Q169" i="28"/>
  <c r="V169" i="28"/>
  <c r="F169" i="29"/>
  <c r="J169" i="29"/>
  <c r="AD169" i="29"/>
  <c r="J168" i="29"/>
  <c r="Q167" i="28"/>
  <c r="V167" i="28"/>
  <c r="F167" i="29"/>
  <c r="J167" i="29"/>
  <c r="AD167" i="29"/>
  <c r="Q166" i="28"/>
  <c r="V166" i="28"/>
  <c r="F166" i="29"/>
  <c r="J166" i="29"/>
  <c r="AD166" i="29"/>
  <c r="Q165" i="28"/>
  <c r="V165" i="28"/>
  <c r="F165" i="29"/>
  <c r="J165" i="29"/>
  <c r="AD165" i="29"/>
  <c r="Q164" i="28"/>
  <c r="V164" i="28"/>
  <c r="F164" i="29"/>
  <c r="J164" i="29"/>
  <c r="AD164" i="29"/>
  <c r="Q163" i="28"/>
  <c r="V163" i="28"/>
  <c r="F163" i="29"/>
  <c r="J163" i="29"/>
  <c r="AD163" i="29"/>
  <c r="Q162" i="28"/>
  <c r="V162" i="28"/>
  <c r="F162" i="29"/>
  <c r="J162" i="29"/>
  <c r="AD162" i="29"/>
  <c r="Q161" i="28"/>
  <c r="V161" i="28"/>
  <c r="F161" i="29"/>
  <c r="J161" i="29"/>
  <c r="AE161" i="29"/>
  <c r="Q160" i="28"/>
  <c r="V160" i="28"/>
  <c r="F160" i="29"/>
  <c r="J160" i="29"/>
  <c r="AE160" i="29"/>
  <c r="Q159" i="28"/>
  <c r="V159" i="28"/>
  <c r="F159" i="29"/>
  <c r="J159" i="29"/>
  <c r="AE159" i="29"/>
  <c r="Q158" i="28"/>
  <c r="V158" i="28"/>
  <c r="F158" i="29"/>
  <c r="J158" i="29"/>
  <c r="AE158" i="29"/>
  <c r="Q157" i="28"/>
  <c r="V157" i="28"/>
  <c r="F157" i="29"/>
  <c r="J157" i="29"/>
  <c r="AE157" i="29"/>
  <c r="Q156" i="28"/>
  <c r="V156" i="28"/>
  <c r="F156" i="29"/>
  <c r="J156" i="29"/>
  <c r="AD156" i="29"/>
  <c r="Q155" i="28"/>
  <c r="V155" i="28"/>
  <c r="F155" i="29"/>
  <c r="J155" i="29"/>
  <c r="AD155" i="29"/>
  <c r="Q154" i="28"/>
  <c r="V154" i="28"/>
  <c r="F154" i="29"/>
  <c r="J154" i="29"/>
  <c r="AE154" i="29"/>
  <c r="Q153" i="28"/>
  <c r="V153" i="28"/>
  <c r="F153" i="29"/>
  <c r="J153" i="29"/>
  <c r="AE153" i="29"/>
  <c r="Q152" i="28"/>
  <c r="V152" i="28"/>
  <c r="F152" i="29"/>
  <c r="J152" i="29"/>
  <c r="AD152" i="29"/>
  <c r="Q151" i="28"/>
  <c r="V151" i="28"/>
  <c r="F151" i="29"/>
  <c r="J151" i="29"/>
  <c r="AF151" i="29"/>
  <c r="Q150" i="28"/>
  <c r="V150" i="28"/>
  <c r="F150" i="29"/>
  <c r="J150" i="29"/>
  <c r="AE150" i="29"/>
  <c r="Q149" i="28"/>
  <c r="V149" i="28"/>
  <c r="F149" i="29"/>
  <c r="J149" i="29"/>
  <c r="AE149" i="29"/>
  <c r="Q148" i="28"/>
  <c r="V148" i="28"/>
  <c r="F148" i="29"/>
  <c r="J148" i="29"/>
  <c r="AF148" i="29"/>
  <c r="Q147" i="28"/>
  <c r="V147" i="28"/>
  <c r="F147" i="29"/>
  <c r="J147" i="29"/>
  <c r="AD147" i="29"/>
  <c r="Q146" i="28"/>
  <c r="V146" i="28"/>
  <c r="F146" i="29"/>
  <c r="J146" i="29"/>
  <c r="AD146" i="29"/>
  <c r="Q145" i="28"/>
  <c r="V145" i="28"/>
  <c r="F145" i="29"/>
  <c r="J145" i="29"/>
  <c r="AF145" i="29"/>
  <c r="Q144" i="28"/>
  <c r="V144" i="28"/>
  <c r="F144" i="29"/>
  <c r="J144" i="29"/>
  <c r="AD144" i="29"/>
  <c r="Q143" i="28"/>
  <c r="V143" i="28"/>
  <c r="F143" i="29"/>
  <c r="J143" i="29"/>
  <c r="AE143" i="29"/>
  <c r="Q142" i="28"/>
  <c r="V142" i="28"/>
  <c r="F142" i="29"/>
  <c r="J142" i="29"/>
  <c r="AE142" i="29"/>
  <c r="Q141" i="28"/>
  <c r="V141" i="28"/>
  <c r="F141" i="29"/>
  <c r="J141" i="29"/>
  <c r="AF141" i="29"/>
  <c r="Q140" i="28"/>
  <c r="V140" i="28"/>
  <c r="F140" i="29"/>
  <c r="J140" i="29"/>
  <c r="AD140" i="29"/>
  <c r="Q139" i="28"/>
  <c r="V139" i="28"/>
  <c r="F139" i="29"/>
  <c r="J139" i="29"/>
  <c r="AD139" i="29"/>
  <c r="Q138" i="28"/>
  <c r="V138" i="28"/>
  <c r="F138" i="29"/>
  <c r="J138" i="29"/>
  <c r="AE138" i="29"/>
  <c r="Q137" i="28"/>
  <c r="V137" i="28"/>
  <c r="F137" i="29"/>
  <c r="J137" i="29"/>
  <c r="AE137" i="29"/>
  <c r="Q136" i="28"/>
  <c r="V136" i="28"/>
  <c r="F136" i="29"/>
  <c r="J136" i="29"/>
  <c r="AD136" i="29"/>
  <c r="Q135" i="28"/>
  <c r="V135" i="28"/>
  <c r="F135" i="29"/>
  <c r="J135" i="29"/>
  <c r="AD135" i="29"/>
  <c r="Q134" i="28"/>
  <c r="V134" i="28"/>
  <c r="F134" i="29"/>
  <c r="J134" i="29"/>
  <c r="AD134" i="29"/>
  <c r="Q133" i="28"/>
  <c r="V133" i="28"/>
  <c r="F133" i="29"/>
  <c r="J133" i="29"/>
  <c r="AD133" i="29"/>
  <c r="Q132" i="28"/>
  <c r="V132" i="28"/>
  <c r="F132" i="29"/>
  <c r="J132" i="29"/>
  <c r="AD132" i="29"/>
  <c r="Q131" i="28"/>
  <c r="V131" i="28"/>
  <c r="F131" i="29"/>
  <c r="J131" i="29"/>
  <c r="AD131" i="29"/>
  <c r="Q130" i="28"/>
  <c r="V130" i="28"/>
  <c r="F130" i="29"/>
  <c r="J130" i="29"/>
  <c r="AD130" i="29"/>
  <c r="Q129" i="28"/>
  <c r="V129" i="28"/>
  <c r="F129" i="29"/>
  <c r="J129" i="29"/>
  <c r="AD129" i="29"/>
  <c r="Q128" i="28"/>
  <c r="V128" i="28"/>
  <c r="F128" i="29"/>
  <c r="J128" i="29"/>
  <c r="AD128" i="29"/>
  <c r="Q127" i="28"/>
  <c r="V127" i="28"/>
  <c r="F127" i="29"/>
  <c r="J127" i="29"/>
  <c r="AD127" i="29"/>
  <c r="Q126" i="28"/>
  <c r="V126" i="28"/>
  <c r="F126" i="29"/>
  <c r="J126" i="29"/>
  <c r="AE126" i="29"/>
  <c r="Q125" i="28"/>
  <c r="V125" i="28"/>
  <c r="F125" i="29"/>
  <c r="J125" i="29"/>
  <c r="AD125" i="29"/>
  <c r="Q124" i="28"/>
  <c r="V124" i="28"/>
  <c r="F124" i="29"/>
  <c r="J124" i="29"/>
  <c r="AE124" i="29"/>
  <c r="Q123" i="28"/>
  <c r="V123" i="28"/>
  <c r="F123" i="29"/>
  <c r="J123" i="29"/>
  <c r="AE123" i="29"/>
  <c r="Q122" i="28"/>
  <c r="V122" i="28"/>
  <c r="F122" i="29"/>
  <c r="J122" i="29"/>
  <c r="AF122" i="29"/>
  <c r="Q121" i="28"/>
  <c r="V121" i="28"/>
  <c r="F121" i="29"/>
  <c r="J121" i="29"/>
  <c r="AD121" i="29"/>
  <c r="Q120" i="28"/>
  <c r="V120" i="28"/>
  <c r="F120" i="29"/>
  <c r="J120" i="29"/>
  <c r="AE120" i="29"/>
  <c r="Q119" i="28"/>
  <c r="V119" i="28"/>
  <c r="F119" i="29"/>
  <c r="J119" i="29"/>
  <c r="AD119" i="29"/>
  <c r="Q117" i="28"/>
  <c r="V117" i="28"/>
  <c r="F117" i="29"/>
  <c r="J117" i="29"/>
  <c r="AD117" i="29"/>
  <c r="Q116" i="28"/>
  <c r="V116" i="28"/>
  <c r="F116" i="29"/>
  <c r="J116" i="29"/>
  <c r="AD116" i="29"/>
  <c r="Q115" i="28"/>
  <c r="V115" i="28"/>
  <c r="F115" i="29"/>
  <c r="J115" i="29"/>
  <c r="AE115" i="29"/>
  <c r="Q114" i="28"/>
  <c r="V114" i="28"/>
  <c r="F114" i="29"/>
  <c r="J114" i="29"/>
  <c r="AE114" i="29"/>
  <c r="Q113" i="28"/>
  <c r="V113" i="28"/>
  <c r="F113" i="29"/>
  <c r="J113" i="29"/>
  <c r="AD113" i="29"/>
  <c r="Q112" i="28"/>
  <c r="V112" i="28"/>
  <c r="F112" i="29"/>
  <c r="J112" i="29"/>
  <c r="AD112" i="29"/>
  <c r="Q111" i="28"/>
  <c r="V111" i="28"/>
  <c r="F111" i="29"/>
  <c r="J111" i="29"/>
  <c r="AD111" i="29"/>
  <c r="Q110" i="28"/>
  <c r="V110" i="28"/>
  <c r="F110" i="29"/>
  <c r="J110" i="29"/>
  <c r="AD110" i="29"/>
  <c r="Q109" i="28"/>
  <c r="V109" i="28"/>
  <c r="F109" i="29"/>
  <c r="J109" i="29"/>
  <c r="AD109" i="29"/>
  <c r="Q108" i="28"/>
  <c r="V108" i="28"/>
  <c r="F108" i="29"/>
  <c r="J108" i="29"/>
  <c r="AD108" i="29"/>
  <c r="Q107" i="28"/>
  <c r="V107" i="28"/>
  <c r="F107" i="29"/>
  <c r="J107" i="29"/>
  <c r="AD107" i="29"/>
  <c r="Q106" i="28"/>
  <c r="V106" i="28"/>
  <c r="F106" i="29"/>
  <c r="J106" i="29"/>
  <c r="AD106" i="29"/>
  <c r="Q105" i="28"/>
  <c r="V105" i="28"/>
  <c r="F105" i="29"/>
  <c r="J105" i="29"/>
  <c r="AD105" i="29"/>
  <c r="Q104" i="28"/>
  <c r="V104" i="28"/>
  <c r="F104" i="29"/>
  <c r="J104" i="29"/>
  <c r="AD104" i="29"/>
  <c r="Q103" i="28"/>
  <c r="V103" i="28"/>
  <c r="F103" i="29"/>
  <c r="J103" i="29"/>
  <c r="AD103" i="29"/>
  <c r="Q102" i="28"/>
  <c r="V102" i="28"/>
  <c r="F102" i="29"/>
  <c r="J102" i="29"/>
  <c r="AD102" i="29"/>
  <c r="Q101" i="28"/>
  <c r="V101" i="28"/>
  <c r="F101" i="29"/>
  <c r="J101" i="29"/>
  <c r="AD101" i="29"/>
  <c r="Q100" i="28"/>
  <c r="V100" i="28"/>
  <c r="F100" i="29"/>
  <c r="J100" i="29"/>
  <c r="AD100" i="29"/>
  <c r="Q99" i="28"/>
  <c r="V99" i="28"/>
  <c r="F99" i="29"/>
  <c r="J99" i="29"/>
  <c r="AD99" i="29"/>
  <c r="Q98" i="28"/>
  <c r="V98" i="28"/>
  <c r="F98" i="29"/>
  <c r="J98" i="29"/>
  <c r="AD98" i="29"/>
  <c r="Q97" i="28"/>
  <c r="V97" i="28"/>
  <c r="F97" i="29"/>
  <c r="J97" i="29"/>
  <c r="AD97" i="29"/>
  <c r="Q96" i="28"/>
  <c r="V96" i="28"/>
  <c r="F96" i="29"/>
  <c r="J96" i="29"/>
  <c r="AD96" i="29"/>
  <c r="Q95" i="28"/>
  <c r="V95" i="28"/>
  <c r="F95" i="29"/>
  <c r="J95" i="29"/>
  <c r="AD95" i="29"/>
  <c r="Q94" i="28"/>
  <c r="V94" i="28"/>
  <c r="F94" i="29"/>
  <c r="J94" i="29"/>
  <c r="AD94" i="29"/>
  <c r="Q93" i="28"/>
  <c r="V93" i="28"/>
  <c r="F93" i="29"/>
  <c r="J93" i="29"/>
  <c r="AD93" i="29"/>
  <c r="Q92" i="28"/>
  <c r="V92" i="28"/>
  <c r="F92" i="29"/>
  <c r="J92" i="29"/>
  <c r="AE92" i="29"/>
  <c r="Q91" i="28"/>
  <c r="V91" i="28"/>
  <c r="F91" i="29"/>
  <c r="J91" i="29"/>
  <c r="AE91" i="29"/>
  <c r="Q90" i="28"/>
  <c r="V90" i="28"/>
  <c r="F90" i="29"/>
  <c r="J90" i="29"/>
  <c r="AE90" i="29"/>
  <c r="Q89" i="28"/>
  <c r="V89" i="28"/>
  <c r="F89" i="29"/>
  <c r="J89" i="29"/>
  <c r="AD89" i="29"/>
  <c r="Q88" i="28"/>
  <c r="V88" i="28"/>
  <c r="F88" i="29"/>
  <c r="J88" i="29"/>
  <c r="AE88" i="29"/>
  <c r="Q87" i="28"/>
  <c r="V87" i="28"/>
  <c r="F87" i="29"/>
  <c r="J87" i="29"/>
  <c r="AE87" i="29"/>
  <c r="Q86" i="28"/>
  <c r="V86" i="28"/>
  <c r="F86" i="29"/>
  <c r="J86" i="29"/>
  <c r="AF86" i="29"/>
  <c r="Q85" i="28"/>
  <c r="V85" i="28"/>
  <c r="F85" i="29"/>
  <c r="J85" i="29"/>
  <c r="AF85" i="29"/>
  <c r="Q84" i="28"/>
  <c r="V84" i="28"/>
  <c r="F84" i="29"/>
  <c r="J84" i="29"/>
  <c r="AD84" i="29"/>
  <c r="Q83" i="28"/>
  <c r="V83" i="28"/>
  <c r="F83" i="29"/>
  <c r="J83" i="29"/>
  <c r="AD83" i="29"/>
  <c r="Q82" i="28"/>
  <c r="V82" i="28"/>
  <c r="F82" i="29"/>
  <c r="J82" i="29"/>
  <c r="AD82" i="29"/>
  <c r="Q81" i="28"/>
  <c r="V81" i="28"/>
  <c r="F81" i="29"/>
  <c r="J81" i="29"/>
  <c r="AD81" i="29"/>
  <c r="Q80" i="28"/>
  <c r="V80" i="28"/>
  <c r="F80" i="29"/>
  <c r="J80" i="29"/>
  <c r="AD80" i="29"/>
  <c r="Q79" i="28"/>
  <c r="V79" i="28"/>
  <c r="F79" i="29"/>
  <c r="J79" i="29"/>
  <c r="AD79" i="29"/>
  <c r="Q78" i="28"/>
  <c r="V78" i="28"/>
  <c r="F78" i="29"/>
  <c r="J78" i="29"/>
  <c r="AE78" i="29"/>
  <c r="Q77" i="28"/>
  <c r="V77" i="28"/>
  <c r="F77" i="29"/>
  <c r="J77" i="29"/>
  <c r="AE77" i="29"/>
  <c r="Q76" i="28"/>
  <c r="V76" i="28"/>
  <c r="F76" i="29"/>
  <c r="J76" i="29"/>
  <c r="AE76" i="29"/>
  <c r="Q75" i="28"/>
  <c r="V75" i="28"/>
  <c r="F75" i="29"/>
  <c r="J75" i="29"/>
  <c r="AD75" i="29"/>
  <c r="Q74" i="28"/>
  <c r="V74" i="28"/>
  <c r="F74" i="29"/>
  <c r="J74" i="29"/>
  <c r="AE74" i="29"/>
  <c r="Q73" i="28"/>
  <c r="V73" i="28"/>
  <c r="F73" i="29"/>
  <c r="J73" i="29"/>
  <c r="AE73" i="29"/>
  <c r="Q72" i="28"/>
  <c r="V72" i="28"/>
  <c r="F72" i="29"/>
  <c r="J72" i="29"/>
  <c r="AD72" i="29"/>
  <c r="Q71" i="28"/>
  <c r="V71" i="28"/>
  <c r="F71" i="29"/>
  <c r="J71" i="29"/>
  <c r="AD71" i="29"/>
  <c r="Q70" i="28"/>
  <c r="V70" i="28"/>
  <c r="F70" i="29"/>
  <c r="J70" i="29"/>
  <c r="AE70" i="29"/>
  <c r="Q69" i="28"/>
  <c r="V69" i="28"/>
  <c r="F69" i="29"/>
  <c r="J69" i="29"/>
  <c r="AD69" i="29"/>
  <c r="Q68" i="28"/>
  <c r="V68" i="28"/>
  <c r="F68" i="29"/>
  <c r="J68" i="29"/>
  <c r="AD68" i="29"/>
  <c r="Q67" i="28"/>
  <c r="V67" i="28"/>
  <c r="F67" i="29"/>
  <c r="J67" i="29"/>
  <c r="AD67" i="29"/>
  <c r="Q66" i="28"/>
  <c r="V66" i="28"/>
  <c r="F66" i="29"/>
  <c r="J66" i="29"/>
  <c r="AD66" i="29"/>
  <c r="Q65" i="28"/>
  <c r="V65" i="28"/>
  <c r="F65" i="29"/>
  <c r="J65" i="29"/>
  <c r="AD65" i="29"/>
  <c r="Q64" i="28"/>
  <c r="V64" i="28"/>
  <c r="F64" i="29"/>
  <c r="J64" i="29"/>
  <c r="AD64" i="29"/>
  <c r="Q63" i="28"/>
  <c r="V63" i="28"/>
  <c r="F63" i="29"/>
  <c r="J63" i="29"/>
  <c r="AD63" i="29"/>
  <c r="Q62" i="28"/>
  <c r="V62" i="28"/>
  <c r="F62" i="29"/>
  <c r="J62" i="29"/>
  <c r="AD62" i="29"/>
  <c r="Q61" i="28"/>
  <c r="V61" i="28"/>
  <c r="F61" i="29"/>
  <c r="J61" i="29"/>
  <c r="AD61" i="29"/>
  <c r="Q60" i="28"/>
  <c r="V60" i="28"/>
  <c r="F60" i="29"/>
  <c r="J60" i="29"/>
  <c r="AD60" i="29"/>
  <c r="Q59" i="28"/>
  <c r="V59" i="28"/>
  <c r="F59" i="29"/>
  <c r="J59" i="29"/>
  <c r="AD59" i="29"/>
  <c r="Q58" i="28"/>
  <c r="V58" i="28"/>
  <c r="F58" i="29"/>
  <c r="J58" i="29"/>
  <c r="AF58" i="29"/>
  <c r="Q57" i="28"/>
  <c r="V57" i="28"/>
  <c r="F57" i="29"/>
  <c r="J57" i="29"/>
  <c r="AE57" i="29"/>
  <c r="Q56" i="28"/>
  <c r="V56" i="28"/>
  <c r="F56" i="29"/>
  <c r="J56" i="29"/>
  <c r="AE56" i="29"/>
  <c r="Q55" i="28"/>
  <c r="V55" i="28"/>
  <c r="F55" i="29"/>
  <c r="J55" i="29"/>
  <c r="AF55" i="29"/>
  <c r="Q54" i="28"/>
  <c r="V54" i="28"/>
  <c r="F54" i="29"/>
  <c r="J54" i="29"/>
  <c r="AE54" i="29"/>
  <c r="Q53" i="28"/>
  <c r="V53" i="28"/>
  <c r="F53" i="29"/>
  <c r="J53" i="29"/>
  <c r="AE53" i="29"/>
  <c r="Q52" i="28"/>
  <c r="V52" i="28"/>
  <c r="F52" i="29"/>
  <c r="J52" i="29"/>
  <c r="AE52" i="29"/>
  <c r="Q51" i="28"/>
  <c r="V51" i="28"/>
  <c r="F51" i="29"/>
  <c r="J51" i="29"/>
  <c r="AE51" i="29"/>
  <c r="Q50" i="28"/>
  <c r="V50" i="28"/>
  <c r="F50" i="29"/>
  <c r="J50" i="29"/>
  <c r="AE50" i="29"/>
  <c r="Q49" i="28"/>
  <c r="V49" i="28"/>
  <c r="F49" i="29"/>
  <c r="J49" i="29"/>
  <c r="AD49" i="29"/>
  <c r="Q48" i="28"/>
  <c r="V48" i="28"/>
  <c r="F48" i="29"/>
  <c r="J48" i="29"/>
  <c r="AD48" i="29"/>
  <c r="Q47" i="28"/>
  <c r="V47" i="28"/>
  <c r="F47" i="29"/>
  <c r="J47" i="29"/>
  <c r="AD47" i="29"/>
  <c r="Q46" i="28"/>
  <c r="V46" i="28"/>
  <c r="F46" i="29"/>
  <c r="J46" i="29"/>
  <c r="AE46" i="29"/>
  <c r="Q45" i="28"/>
  <c r="V45" i="28"/>
  <c r="F45" i="29"/>
  <c r="J45" i="29"/>
  <c r="AD45" i="29"/>
  <c r="Q44" i="28"/>
  <c r="V44" i="28"/>
  <c r="F44" i="29"/>
  <c r="J44" i="29"/>
  <c r="AD44" i="29"/>
  <c r="Q43" i="28"/>
  <c r="V43" i="28"/>
  <c r="F43" i="29"/>
  <c r="J43" i="29"/>
  <c r="AE43" i="29"/>
  <c r="Q42" i="28"/>
  <c r="V42" i="28"/>
  <c r="F42" i="29"/>
  <c r="J42" i="29"/>
  <c r="AD42" i="29"/>
  <c r="Q41" i="28"/>
  <c r="V41" i="28"/>
  <c r="F41" i="29"/>
  <c r="J41" i="29"/>
  <c r="AD41" i="29"/>
  <c r="Q40" i="28"/>
  <c r="V40" i="28"/>
  <c r="F40" i="29"/>
  <c r="J40" i="29"/>
  <c r="AF40" i="29"/>
  <c r="Q39" i="28"/>
  <c r="V39" i="28"/>
  <c r="F39" i="29"/>
  <c r="J39" i="29"/>
  <c r="AD39" i="29"/>
  <c r="Q38" i="28"/>
  <c r="V38" i="28"/>
  <c r="F38" i="29"/>
  <c r="J38" i="29"/>
  <c r="AD38" i="29"/>
  <c r="Q37" i="28"/>
  <c r="V37" i="28"/>
  <c r="F37" i="29"/>
  <c r="J37" i="29"/>
  <c r="AD37" i="29"/>
  <c r="Q36" i="28"/>
  <c r="V36" i="28"/>
  <c r="F36" i="29"/>
  <c r="J36" i="29"/>
  <c r="AD36" i="29"/>
  <c r="Q35" i="28"/>
  <c r="V35" i="28"/>
  <c r="F35" i="29"/>
  <c r="J35" i="29"/>
  <c r="AD35" i="29"/>
  <c r="Q34" i="28"/>
  <c r="V34" i="28"/>
  <c r="F34" i="29"/>
  <c r="J34" i="29"/>
  <c r="AD34" i="29"/>
  <c r="Q33" i="28"/>
  <c r="V33" i="28"/>
  <c r="F33" i="29"/>
  <c r="J33" i="29"/>
  <c r="AD33" i="29"/>
  <c r="Q32" i="28"/>
  <c r="V32" i="28"/>
  <c r="F32" i="29"/>
  <c r="J32" i="29"/>
  <c r="AD32" i="29"/>
  <c r="Q31" i="28"/>
  <c r="V31" i="28"/>
  <c r="F31" i="29"/>
  <c r="J31" i="29"/>
  <c r="AD31" i="29"/>
  <c r="Q30" i="28"/>
  <c r="V30" i="28"/>
  <c r="F30" i="29"/>
  <c r="J30" i="29"/>
  <c r="AD30" i="29"/>
  <c r="Q29" i="28"/>
  <c r="V29" i="28"/>
  <c r="F29" i="29"/>
  <c r="J29" i="29"/>
  <c r="AD29" i="29"/>
  <c r="Q28" i="28"/>
  <c r="V28" i="28"/>
  <c r="F28" i="29"/>
  <c r="J28" i="29"/>
  <c r="AE28" i="29"/>
  <c r="Q27" i="28"/>
  <c r="V27" i="28"/>
  <c r="F27" i="29"/>
  <c r="J27" i="29"/>
  <c r="AD27" i="29"/>
  <c r="Q26" i="28"/>
  <c r="V26" i="28"/>
  <c r="F26" i="29"/>
  <c r="J26" i="29"/>
  <c r="AD26" i="29"/>
  <c r="Q25" i="28"/>
  <c r="V25" i="28"/>
  <c r="F25" i="29"/>
  <c r="J25" i="29"/>
  <c r="AD25" i="29"/>
  <c r="Q24" i="28"/>
  <c r="V24" i="28"/>
  <c r="F24" i="29"/>
  <c r="J24" i="29"/>
  <c r="AE24" i="29"/>
  <c r="Q23" i="28"/>
  <c r="V23" i="28"/>
  <c r="F23" i="29"/>
  <c r="J23" i="29"/>
  <c r="AD23" i="29"/>
  <c r="Q22" i="28"/>
  <c r="V22" i="28"/>
  <c r="F22" i="29"/>
  <c r="J22" i="29"/>
  <c r="AD22" i="29"/>
  <c r="Q21" i="28"/>
  <c r="V21" i="28"/>
  <c r="F21" i="29"/>
  <c r="J21" i="29"/>
  <c r="AD21" i="29"/>
  <c r="Q20" i="28"/>
  <c r="V20" i="28"/>
  <c r="F20" i="29"/>
  <c r="J20" i="29"/>
  <c r="AE20" i="29"/>
  <c r="Q19" i="28"/>
  <c r="V19" i="28"/>
  <c r="F19" i="29"/>
  <c r="J19" i="29"/>
  <c r="AE19" i="29"/>
  <c r="Q18" i="28"/>
  <c r="V18" i="28"/>
  <c r="F18" i="29"/>
  <c r="J18" i="29"/>
  <c r="AE18" i="29"/>
  <c r="Q17" i="28"/>
  <c r="V17" i="28"/>
  <c r="F17" i="29"/>
  <c r="J17" i="29"/>
  <c r="AD17" i="29"/>
  <c r="Q177" i="28"/>
  <c r="V177" i="28"/>
  <c r="Q173" i="28"/>
  <c r="V173" i="28"/>
  <c r="Q168" i="28"/>
  <c r="V168" i="28"/>
  <c r="Q16" i="28"/>
  <c r="V16" i="28"/>
  <c r="F16" i="29"/>
  <c r="J16" i="29"/>
  <c r="AE16" i="29"/>
  <c r="X16" i="29"/>
  <c r="X17" i="29"/>
  <c r="X18" i="29"/>
  <c r="X19" i="29"/>
  <c r="X20" i="29"/>
  <c r="X21" i="29"/>
  <c r="X22" i="29"/>
  <c r="X23" i="29"/>
  <c r="X24" i="29"/>
  <c r="X25" i="29"/>
  <c r="X26" i="29"/>
  <c r="X27" i="29"/>
  <c r="X28" i="29"/>
  <c r="X29" i="29"/>
  <c r="X30" i="29"/>
  <c r="X31" i="29"/>
  <c r="X32" i="29"/>
  <c r="X33" i="29"/>
  <c r="X34" i="29"/>
  <c r="X35" i="29"/>
  <c r="X36" i="29"/>
  <c r="X37" i="29"/>
  <c r="X38" i="29"/>
  <c r="X39" i="29"/>
  <c r="X40" i="29"/>
  <c r="X41" i="29"/>
  <c r="X42" i="29"/>
  <c r="X43" i="29"/>
  <c r="X44" i="29"/>
  <c r="X45" i="29"/>
  <c r="X46" i="29"/>
  <c r="X47" i="29"/>
  <c r="X48" i="29"/>
  <c r="X49" i="29"/>
  <c r="X50" i="29"/>
  <c r="X51" i="29"/>
  <c r="X52" i="29"/>
  <c r="X53" i="29"/>
  <c r="X54" i="29"/>
  <c r="X55" i="29"/>
  <c r="X56" i="29"/>
  <c r="X57" i="29"/>
  <c r="X58" i="29"/>
  <c r="X59" i="29"/>
  <c r="X60" i="29"/>
  <c r="X61" i="29"/>
  <c r="X62" i="29"/>
  <c r="X63" i="29"/>
  <c r="X64" i="29"/>
  <c r="X65" i="29"/>
  <c r="X66" i="29"/>
  <c r="X67" i="29"/>
  <c r="X68" i="29"/>
  <c r="X69" i="29"/>
  <c r="X70" i="29"/>
  <c r="X71" i="29"/>
  <c r="X72" i="29"/>
  <c r="X73" i="29"/>
  <c r="X74" i="29"/>
  <c r="X75" i="29"/>
  <c r="X76" i="29"/>
  <c r="X77" i="29"/>
  <c r="X78" i="29"/>
  <c r="X79" i="29"/>
  <c r="X80" i="29"/>
  <c r="X81" i="29"/>
  <c r="X82" i="29"/>
  <c r="X83" i="29"/>
  <c r="X84" i="29"/>
  <c r="X85" i="29"/>
  <c r="X86" i="29"/>
  <c r="X87" i="29"/>
  <c r="X88" i="29"/>
  <c r="X89" i="29"/>
  <c r="X90" i="29"/>
  <c r="X91" i="29"/>
  <c r="X92" i="29"/>
  <c r="X93" i="29"/>
  <c r="X94" i="29"/>
  <c r="X95" i="29"/>
  <c r="X96" i="29"/>
  <c r="X97" i="29"/>
  <c r="X98" i="29"/>
  <c r="X99" i="29"/>
  <c r="X100" i="29"/>
  <c r="X101" i="29"/>
  <c r="X102" i="29"/>
  <c r="X103" i="29"/>
  <c r="X104" i="29"/>
  <c r="X105" i="29"/>
  <c r="X106" i="29"/>
  <c r="X107" i="29"/>
  <c r="X108" i="29"/>
  <c r="X109" i="29"/>
  <c r="X110" i="29"/>
  <c r="X111" i="29"/>
  <c r="X112" i="29"/>
  <c r="X113" i="29"/>
  <c r="X114" i="29"/>
  <c r="X115" i="29"/>
  <c r="X116" i="29"/>
  <c r="X117" i="29"/>
  <c r="X119" i="29"/>
  <c r="X120" i="29"/>
  <c r="X121" i="29"/>
  <c r="X122" i="29"/>
  <c r="X123" i="29"/>
  <c r="X124" i="29"/>
  <c r="X125" i="29"/>
  <c r="X126" i="29"/>
  <c r="X127" i="29"/>
  <c r="X128" i="29"/>
  <c r="X129" i="29"/>
  <c r="X130" i="29"/>
  <c r="X131" i="29"/>
  <c r="X132" i="29"/>
  <c r="X133" i="29"/>
  <c r="X134" i="29"/>
  <c r="X135" i="29"/>
  <c r="X136" i="29"/>
  <c r="X137" i="29"/>
  <c r="X138" i="29"/>
  <c r="X139" i="29"/>
  <c r="X140" i="29"/>
  <c r="X141" i="29"/>
  <c r="X142" i="29"/>
  <c r="X143" i="29"/>
  <c r="X144" i="29"/>
  <c r="X145" i="29"/>
  <c r="X146" i="29"/>
  <c r="X147" i="29"/>
  <c r="X148" i="29"/>
  <c r="X149" i="29"/>
  <c r="X150" i="29"/>
  <c r="X151" i="29"/>
  <c r="X152" i="29"/>
  <c r="X153" i="29"/>
  <c r="X154" i="29"/>
  <c r="X155" i="29"/>
  <c r="X156" i="29"/>
  <c r="X157" i="29"/>
  <c r="X158" i="29"/>
  <c r="X159" i="29"/>
  <c r="X160" i="29"/>
  <c r="X161" i="29"/>
  <c r="X162" i="29"/>
  <c r="X163" i="29"/>
  <c r="X164" i="29"/>
  <c r="X165" i="29"/>
  <c r="X166" i="29"/>
  <c r="X167" i="29"/>
  <c r="X168" i="29"/>
  <c r="X169" i="29"/>
  <c r="X170" i="29"/>
  <c r="X171" i="29"/>
  <c r="X172" i="29"/>
  <c r="X173" i="29"/>
  <c r="X174" i="29"/>
  <c r="X175" i="29"/>
  <c r="X176" i="29"/>
  <c r="X177" i="29"/>
  <c r="X178" i="29"/>
  <c r="X179" i="29"/>
  <c r="X180" i="29"/>
  <c r="X181" i="29"/>
  <c r="X182" i="29"/>
  <c r="X183" i="29"/>
  <c r="X184" i="29"/>
  <c r="X185" i="29"/>
  <c r="X186" i="29"/>
  <c r="X187" i="29"/>
  <c r="X188" i="29"/>
  <c r="X189" i="29"/>
  <c r="X190" i="29"/>
  <c r="X191" i="29"/>
  <c r="X192" i="29"/>
  <c r="X193" i="29"/>
  <c r="X194" i="29"/>
  <c r="X195" i="29"/>
  <c r="X196" i="29"/>
  <c r="X197" i="29"/>
  <c r="X198" i="29"/>
  <c r="X199" i="29"/>
  <c r="X200" i="29"/>
  <c r="X201" i="29"/>
  <c r="X202" i="29"/>
  <c r="X203" i="29"/>
  <c r="X204" i="29"/>
  <c r="X205" i="29"/>
  <c r="X206" i="29"/>
  <c r="X207" i="29"/>
  <c r="X208" i="29"/>
  <c r="X209" i="29"/>
  <c r="X210" i="29"/>
  <c r="X211" i="29"/>
  <c r="X212" i="29"/>
  <c r="X213" i="29"/>
  <c r="X214" i="29"/>
  <c r="X215" i="29"/>
  <c r="X216" i="29"/>
  <c r="X217" i="29"/>
  <c r="X218" i="29"/>
  <c r="X219" i="29"/>
  <c r="X220" i="29"/>
  <c r="X221" i="29"/>
  <c r="X222" i="29"/>
  <c r="X223" i="29"/>
  <c r="AA230" i="29"/>
  <c r="AA223" i="29"/>
  <c r="AA231" i="29"/>
  <c r="Y16" i="29"/>
  <c r="Y17" i="29"/>
  <c r="Y18" i="29"/>
  <c r="Y19" i="29"/>
  <c r="Y20" i="29"/>
  <c r="Y21" i="29"/>
  <c r="Y22" i="29"/>
  <c r="Y23" i="29"/>
  <c r="Y24" i="29"/>
  <c r="Y25" i="29"/>
  <c r="Y26" i="29"/>
  <c r="Y27" i="29"/>
  <c r="Y28" i="29"/>
  <c r="Y29" i="29"/>
  <c r="Y30" i="29"/>
  <c r="Y31" i="29"/>
  <c r="Y32" i="29"/>
  <c r="Y33" i="29"/>
  <c r="Y34" i="29"/>
  <c r="Y35" i="29"/>
  <c r="Y36" i="29"/>
  <c r="Y37" i="29"/>
  <c r="Y38" i="29"/>
  <c r="Y39" i="29"/>
  <c r="Y40" i="29"/>
  <c r="Y41" i="29"/>
  <c r="Y42" i="29"/>
  <c r="Y43" i="29"/>
  <c r="Y44" i="29"/>
  <c r="Y45" i="29"/>
  <c r="Y46" i="29"/>
  <c r="Y47" i="29"/>
  <c r="Y48" i="29"/>
  <c r="Y49" i="29"/>
  <c r="Y50" i="29"/>
  <c r="Y51" i="29"/>
  <c r="Y52" i="29"/>
  <c r="Y53" i="29"/>
  <c r="Y54" i="29"/>
  <c r="Y55" i="29"/>
  <c r="Y56" i="29"/>
  <c r="Y57" i="29"/>
  <c r="Y58" i="29"/>
  <c r="Y59" i="29"/>
  <c r="Y60" i="29"/>
  <c r="Y61" i="29"/>
  <c r="Y62" i="29"/>
  <c r="Y63" i="29"/>
  <c r="Y64" i="29"/>
  <c r="Y65" i="29"/>
  <c r="Y66" i="29"/>
  <c r="Y67" i="29"/>
  <c r="Y68" i="29"/>
  <c r="Y69" i="29"/>
  <c r="Y70" i="29"/>
  <c r="Y71" i="29"/>
  <c r="Y72" i="29"/>
  <c r="Y73" i="29"/>
  <c r="Y74" i="29"/>
  <c r="Y75" i="29"/>
  <c r="Y76" i="29"/>
  <c r="Y77" i="29"/>
  <c r="Y78" i="29"/>
  <c r="Y79" i="29"/>
  <c r="Y80" i="29"/>
  <c r="Y81" i="29"/>
  <c r="Y82" i="29"/>
  <c r="Y83" i="29"/>
  <c r="Y84" i="29"/>
  <c r="Y85" i="29"/>
  <c r="Y86" i="29"/>
  <c r="Y87" i="29"/>
  <c r="Y88" i="29"/>
  <c r="Y89" i="29"/>
  <c r="Y90" i="29"/>
  <c r="Y91" i="29"/>
  <c r="Y92" i="29"/>
  <c r="Y93" i="29"/>
  <c r="Y94" i="29"/>
  <c r="Y95" i="29"/>
  <c r="Y96" i="29"/>
  <c r="Y97" i="29"/>
  <c r="Y98" i="29"/>
  <c r="Y99" i="29"/>
  <c r="Y100" i="29"/>
  <c r="Y101" i="29"/>
  <c r="Y102" i="29"/>
  <c r="Y103" i="29"/>
  <c r="Y104" i="29"/>
  <c r="Y105" i="29"/>
  <c r="Y106" i="29"/>
  <c r="Y107" i="29"/>
  <c r="Y108" i="29"/>
  <c r="Y109" i="29"/>
  <c r="Y110" i="29"/>
  <c r="Y111" i="29"/>
  <c r="Y112" i="29"/>
  <c r="Y113" i="29"/>
  <c r="Y114" i="29"/>
  <c r="Y115" i="29"/>
  <c r="Y116" i="29"/>
  <c r="Y117" i="29"/>
  <c r="Y119" i="29"/>
  <c r="Y120" i="29"/>
  <c r="Y121" i="29"/>
  <c r="Y122" i="29"/>
  <c r="Y123" i="29"/>
  <c r="Y124" i="29"/>
  <c r="Y125" i="29"/>
  <c r="Y126" i="29"/>
  <c r="Y127" i="29"/>
  <c r="Y128" i="29"/>
  <c r="Y129" i="29"/>
  <c r="Y130" i="29"/>
  <c r="Y131" i="29"/>
  <c r="Y132" i="29"/>
  <c r="Y133" i="29"/>
  <c r="Y134" i="29"/>
  <c r="Y135" i="29"/>
  <c r="Y136" i="29"/>
  <c r="Y137" i="29"/>
  <c r="Y138" i="29"/>
  <c r="Y139" i="29"/>
  <c r="Y140" i="29"/>
  <c r="Y141" i="29"/>
  <c r="Y142" i="29"/>
  <c r="Y143" i="29"/>
  <c r="Y144" i="29"/>
  <c r="Y145" i="29"/>
  <c r="Y146" i="29"/>
  <c r="Y147" i="29"/>
  <c r="Y148" i="29"/>
  <c r="Y149" i="29"/>
  <c r="Y150" i="29"/>
  <c r="Y151" i="29"/>
  <c r="Y152" i="29"/>
  <c r="Y153" i="29"/>
  <c r="Y154" i="29"/>
  <c r="Y155" i="29"/>
  <c r="Y156" i="29"/>
  <c r="Y157" i="29"/>
  <c r="Y158" i="29"/>
  <c r="Y159" i="29"/>
  <c r="Y160" i="29"/>
  <c r="Y161" i="29"/>
  <c r="Y162" i="29"/>
  <c r="Y163" i="29"/>
  <c r="Y164" i="29"/>
  <c r="Y165" i="29"/>
  <c r="Y166" i="29"/>
  <c r="Y167" i="29"/>
  <c r="Y168" i="29"/>
  <c r="Y169" i="29"/>
  <c r="Y170" i="29"/>
  <c r="Y171" i="29"/>
  <c r="Y172" i="29"/>
  <c r="Y173" i="29"/>
  <c r="Y174" i="29"/>
  <c r="Y175" i="29"/>
  <c r="Y176" i="29"/>
  <c r="Y177" i="29"/>
  <c r="Y178" i="29"/>
  <c r="Y179" i="29"/>
  <c r="Y180" i="29"/>
  <c r="Y181" i="29"/>
  <c r="Y182" i="29"/>
  <c r="Y183" i="29"/>
  <c r="Y184" i="29"/>
  <c r="Y185" i="29"/>
  <c r="Y186" i="29"/>
  <c r="Y187" i="29"/>
  <c r="Y188" i="29"/>
  <c r="Y189" i="29"/>
  <c r="Y190" i="29"/>
  <c r="Y191" i="29"/>
  <c r="Y192" i="29"/>
  <c r="Y193" i="29"/>
  <c r="Y194" i="29"/>
  <c r="Y195" i="29"/>
  <c r="Y196" i="29"/>
  <c r="Y197" i="29"/>
  <c r="Y198" i="29"/>
  <c r="Y199" i="29"/>
  <c r="Y200" i="29"/>
  <c r="Y201" i="29"/>
  <c r="Y202" i="29"/>
  <c r="Y203" i="29"/>
  <c r="Y204" i="29"/>
  <c r="Y205" i="29"/>
  <c r="Y206" i="29"/>
  <c r="Y207" i="29"/>
  <c r="Y208" i="29"/>
  <c r="Y209" i="29"/>
  <c r="Y210" i="29"/>
  <c r="Y211" i="29"/>
  <c r="Y212" i="29"/>
  <c r="Y213" i="29"/>
  <c r="Y214" i="29"/>
  <c r="Y215" i="29"/>
  <c r="Y216" i="29"/>
  <c r="Y217" i="29"/>
  <c r="Y218" i="29"/>
  <c r="Y219" i="29"/>
  <c r="Y220" i="29"/>
  <c r="Y221" i="29"/>
  <c r="Y222" i="29"/>
  <c r="Y223" i="29"/>
  <c r="AA233" i="29"/>
  <c r="AB223" i="29"/>
  <c r="AA234" i="29"/>
  <c r="Z16" i="29"/>
  <c r="Z17" i="29"/>
  <c r="Z18" i="29"/>
  <c r="Z19" i="29"/>
  <c r="Z20" i="29"/>
  <c r="Z21" i="29"/>
  <c r="Z22" i="29"/>
  <c r="Z23" i="29"/>
  <c r="Z24" i="29"/>
  <c r="Z25" i="29"/>
  <c r="Z26" i="29"/>
  <c r="Z27" i="29"/>
  <c r="Z28" i="29"/>
  <c r="Z29" i="29"/>
  <c r="Z30" i="29"/>
  <c r="Z31" i="29"/>
  <c r="Z32" i="29"/>
  <c r="Z33" i="29"/>
  <c r="Z34" i="29"/>
  <c r="Z35" i="29"/>
  <c r="Z36" i="29"/>
  <c r="Z37" i="29"/>
  <c r="Z38" i="29"/>
  <c r="Z39" i="29"/>
  <c r="Z40" i="29"/>
  <c r="Z41" i="29"/>
  <c r="Z42" i="29"/>
  <c r="Z43" i="29"/>
  <c r="Z44" i="29"/>
  <c r="Z45" i="29"/>
  <c r="Z46" i="29"/>
  <c r="Z47" i="29"/>
  <c r="Z48" i="29"/>
  <c r="Z49" i="29"/>
  <c r="Z50" i="29"/>
  <c r="Z51" i="29"/>
  <c r="Z52" i="29"/>
  <c r="Z53" i="29"/>
  <c r="Z54" i="29"/>
  <c r="Z55" i="29"/>
  <c r="Z56" i="29"/>
  <c r="Z57" i="29"/>
  <c r="Z58" i="29"/>
  <c r="Z59" i="29"/>
  <c r="Z60" i="29"/>
  <c r="Z61" i="29"/>
  <c r="Z62" i="29"/>
  <c r="Z63" i="29"/>
  <c r="Z64" i="29"/>
  <c r="Z65" i="29"/>
  <c r="Z66" i="29"/>
  <c r="Z67" i="29"/>
  <c r="Z68" i="29"/>
  <c r="Z69" i="29"/>
  <c r="Z70" i="29"/>
  <c r="Z71" i="29"/>
  <c r="Z72" i="29"/>
  <c r="Z73" i="29"/>
  <c r="Z74" i="29"/>
  <c r="Z75" i="29"/>
  <c r="Z76" i="29"/>
  <c r="Z77" i="29"/>
  <c r="Z78" i="29"/>
  <c r="Z79" i="29"/>
  <c r="Z80" i="29"/>
  <c r="Z81" i="29"/>
  <c r="Z82" i="29"/>
  <c r="Z83" i="29"/>
  <c r="Z84" i="29"/>
  <c r="Z85" i="29"/>
  <c r="Z86" i="29"/>
  <c r="Z87" i="29"/>
  <c r="Z88" i="29"/>
  <c r="Z89" i="29"/>
  <c r="Z90" i="29"/>
  <c r="Z91" i="29"/>
  <c r="Z92" i="29"/>
  <c r="Z93" i="29"/>
  <c r="Z94" i="29"/>
  <c r="Z95" i="29"/>
  <c r="Z96" i="29"/>
  <c r="Z97" i="29"/>
  <c r="Z98" i="29"/>
  <c r="Z99" i="29"/>
  <c r="Z100" i="29"/>
  <c r="Z101" i="29"/>
  <c r="Z102" i="29"/>
  <c r="Z103" i="29"/>
  <c r="Z104" i="29"/>
  <c r="Z105" i="29"/>
  <c r="Z106" i="29"/>
  <c r="Z107" i="29"/>
  <c r="Z108" i="29"/>
  <c r="Z109" i="29"/>
  <c r="Z110" i="29"/>
  <c r="Z111" i="29"/>
  <c r="Z112" i="29"/>
  <c r="Z113" i="29"/>
  <c r="Z114" i="29"/>
  <c r="Z115" i="29"/>
  <c r="Z116" i="29"/>
  <c r="Z117" i="29"/>
  <c r="Z119" i="29"/>
  <c r="Z120" i="29"/>
  <c r="Z121" i="29"/>
  <c r="Z122" i="29"/>
  <c r="Z123" i="29"/>
  <c r="Z124" i="29"/>
  <c r="Z125" i="29"/>
  <c r="Z126" i="29"/>
  <c r="Z127" i="29"/>
  <c r="Z128" i="29"/>
  <c r="Z129" i="29"/>
  <c r="Z130" i="29"/>
  <c r="Z131" i="29"/>
  <c r="Z132" i="29"/>
  <c r="Z133" i="29"/>
  <c r="Z134" i="29"/>
  <c r="Z135" i="29"/>
  <c r="Z136" i="29"/>
  <c r="Z137" i="29"/>
  <c r="Z138" i="29"/>
  <c r="Z139" i="29"/>
  <c r="Z140" i="29"/>
  <c r="Z141" i="29"/>
  <c r="Z142" i="29"/>
  <c r="Z143" i="29"/>
  <c r="Z144" i="29"/>
  <c r="Z145" i="29"/>
  <c r="Z146" i="29"/>
  <c r="Z147" i="29"/>
  <c r="Z148" i="29"/>
  <c r="Z149" i="29"/>
  <c r="Z150" i="29"/>
  <c r="Z151" i="29"/>
  <c r="Z152" i="29"/>
  <c r="Z153" i="29"/>
  <c r="Z154" i="29"/>
  <c r="Z155" i="29"/>
  <c r="Z156" i="29"/>
  <c r="Z157" i="29"/>
  <c r="Z158" i="29"/>
  <c r="Z159" i="29"/>
  <c r="Z160" i="29"/>
  <c r="Z161" i="29"/>
  <c r="Z162" i="29"/>
  <c r="Z163" i="29"/>
  <c r="Z164" i="29"/>
  <c r="Z165" i="29"/>
  <c r="Z166" i="29"/>
  <c r="Z167" i="29"/>
  <c r="Z168" i="29"/>
  <c r="Z169" i="29"/>
  <c r="Z170" i="29"/>
  <c r="Z171" i="29"/>
  <c r="Z172" i="29"/>
  <c r="Z173" i="29"/>
  <c r="Z174" i="29"/>
  <c r="Z175" i="29"/>
  <c r="Z176" i="29"/>
  <c r="Z177" i="29"/>
  <c r="Z178" i="29"/>
  <c r="Z179" i="29"/>
  <c r="Z180" i="29"/>
  <c r="Z181" i="29"/>
  <c r="Z182" i="29"/>
  <c r="Z183" i="29"/>
  <c r="Z184" i="29"/>
  <c r="Z185" i="29"/>
  <c r="Z186" i="29"/>
  <c r="Z187" i="29"/>
  <c r="Z188" i="29"/>
  <c r="Z189" i="29"/>
  <c r="Z190" i="29"/>
  <c r="Z191" i="29"/>
  <c r="Z192" i="29"/>
  <c r="Z193" i="29"/>
  <c r="Z194" i="29"/>
  <c r="Z195" i="29"/>
  <c r="Z196" i="29"/>
  <c r="Z197" i="29"/>
  <c r="Z198" i="29"/>
  <c r="Z199" i="29"/>
  <c r="Z200" i="29"/>
  <c r="Z201" i="29"/>
  <c r="Z202" i="29"/>
  <c r="Z203" i="29"/>
  <c r="Z204" i="29"/>
  <c r="Z205" i="29"/>
  <c r="Z206" i="29"/>
  <c r="Z207" i="29"/>
  <c r="Z208" i="29"/>
  <c r="Z209" i="29"/>
  <c r="Z210" i="29"/>
  <c r="Z211" i="29"/>
  <c r="Z212" i="29"/>
  <c r="Z213" i="29"/>
  <c r="Z214" i="29"/>
  <c r="Z215" i="29"/>
  <c r="Z216" i="29"/>
  <c r="Z217" i="29"/>
  <c r="Z218" i="29"/>
  <c r="Z219" i="29"/>
  <c r="Z220" i="29"/>
  <c r="Z221" i="29"/>
  <c r="Z222" i="29"/>
  <c r="Z223" i="29"/>
  <c r="AA236" i="29"/>
  <c r="AA237" i="29"/>
  <c r="Z228" i="29"/>
  <c r="Z237" i="29"/>
  <c r="AD16" i="29"/>
  <c r="AD18" i="29"/>
  <c r="AD19" i="29"/>
  <c r="AD20" i="29"/>
  <c r="AD24" i="29"/>
  <c r="AD28" i="29"/>
  <c r="AD40" i="29"/>
  <c r="AD43" i="29"/>
  <c r="AD46" i="29"/>
  <c r="AD50" i="29"/>
  <c r="AD51" i="29"/>
  <c r="AD52" i="29"/>
  <c r="AD53" i="29"/>
  <c r="AD54" i="29"/>
  <c r="AD55" i="29"/>
  <c r="AD56" i="29"/>
  <c r="AD57" i="29"/>
  <c r="AD58" i="29"/>
  <c r="AD70" i="29"/>
  <c r="AD73" i="29"/>
  <c r="AD74" i="29"/>
  <c r="AD76" i="29"/>
  <c r="AD77" i="29"/>
  <c r="AD78" i="29"/>
  <c r="AD85" i="29"/>
  <c r="AD86" i="29"/>
  <c r="AD87" i="29"/>
  <c r="AD88" i="29"/>
  <c r="AD90" i="29"/>
  <c r="AD91" i="29"/>
  <c r="AD92" i="29"/>
  <c r="AD114" i="29"/>
  <c r="AD115" i="29"/>
  <c r="AD120" i="29"/>
  <c r="AD122" i="29"/>
  <c r="AD123" i="29"/>
  <c r="AD124" i="29"/>
  <c r="AD126" i="29"/>
  <c r="AD137" i="29"/>
  <c r="AD138" i="29"/>
  <c r="AD141" i="29"/>
  <c r="AD142" i="29"/>
  <c r="AD143" i="29"/>
  <c r="AD145" i="29"/>
  <c r="AD148" i="29"/>
  <c r="AD149" i="29"/>
  <c r="AD150" i="29"/>
  <c r="AD151" i="29"/>
  <c r="AD153" i="29"/>
  <c r="AD154" i="29"/>
  <c r="AD157" i="29"/>
  <c r="AD158" i="29"/>
  <c r="AD159" i="29"/>
  <c r="AD160" i="29"/>
  <c r="AD161" i="29"/>
  <c r="AD168" i="29"/>
  <c r="AD171" i="29"/>
  <c r="AD173" i="29"/>
  <c r="AD174" i="29"/>
  <c r="AD176" i="29"/>
  <c r="AD177" i="29"/>
  <c r="AD179" i="29"/>
  <c r="AD181" i="29"/>
  <c r="AD185" i="29"/>
  <c r="AD186" i="29"/>
  <c r="AD187" i="29"/>
  <c r="AD188" i="29"/>
  <c r="AD192" i="29"/>
  <c r="AD193" i="29"/>
  <c r="AD194" i="29"/>
  <c r="AD195" i="29"/>
  <c r="AD196" i="29"/>
  <c r="AD197" i="29"/>
  <c r="AD198" i="29"/>
  <c r="AD199" i="29"/>
  <c r="AD200" i="29"/>
  <c r="AD204" i="29"/>
  <c r="AD207" i="29"/>
  <c r="AD208" i="29"/>
  <c r="AD211" i="29"/>
  <c r="AD212" i="29"/>
  <c r="AD213" i="29"/>
  <c r="AD214" i="29"/>
  <c r="AD216" i="29"/>
  <c r="AD220" i="29"/>
  <c r="AD221" i="29"/>
  <c r="AD225" i="29"/>
  <c r="AE17" i="29"/>
  <c r="AE21" i="29"/>
  <c r="AE22" i="29"/>
  <c r="AE23" i="29"/>
  <c r="AE25" i="29"/>
  <c r="AE26" i="29"/>
  <c r="AE27" i="29"/>
  <c r="AE29" i="29"/>
  <c r="AE30" i="29"/>
  <c r="AE31" i="29"/>
  <c r="AE32" i="29"/>
  <c r="AE33" i="29"/>
  <c r="AE34" i="29"/>
  <c r="AE35" i="29"/>
  <c r="AE36" i="29"/>
  <c r="AE37" i="29"/>
  <c r="AE38" i="29"/>
  <c r="AE39" i="29"/>
  <c r="AE40" i="29"/>
  <c r="AE41" i="29"/>
  <c r="AE42" i="29"/>
  <c r="AE44" i="29"/>
  <c r="AE45" i="29"/>
  <c r="AE47" i="29"/>
  <c r="AE48" i="29"/>
  <c r="AE49" i="29"/>
  <c r="AE55" i="29"/>
  <c r="AE58" i="29"/>
  <c r="AE59" i="29"/>
  <c r="AE60" i="29"/>
  <c r="AE61" i="29"/>
  <c r="AE62" i="29"/>
  <c r="AE63" i="29"/>
  <c r="AE64" i="29"/>
  <c r="AE65" i="29"/>
  <c r="AE66" i="29"/>
  <c r="AE67" i="29"/>
  <c r="AE68" i="29"/>
  <c r="AE69" i="29"/>
  <c r="AE71" i="29"/>
  <c r="AE72" i="29"/>
  <c r="AE75" i="29"/>
  <c r="AE79" i="29"/>
  <c r="AE80" i="29"/>
  <c r="AE81" i="29"/>
  <c r="AE82" i="29"/>
  <c r="AE83" i="29"/>
  <c r="AE84" i="29"/>
  <c r="AE85" i="29"/>
  <c r="AE86" i="29"/>
  <c r="AE89" i="29"/>
  <c r="AE93" i="29"/>
  <c r="AE94" i="29"/>
  <c r="AE95" i="29"/>
  <c r="AE96" i="29"/>
  <c r="AE97" i="29"/>
  <c r="AE98" i="29"/>
  <c r="AE99" i="29"/>
  <c r="AE100" i="29"/>
  <c r="AE101" i="29"/>
  <c r="AE102" i="29"/>
  <c r="AE103" i="29"/>
  <c r="AE104" i="29"/>
  <c r="AE105" i="29"/>
  <c r="AE106" i="29"/>
  <c r="AE107" i="29"/>
  <c r="AE108" i="29"/>
  <c r="AE109" i="29"/>
  <c r="AE110" i="29"/>
  <c r="AE111" i="29"/>
  <c r="AE112" i="29"/>
  <c r="AE113" i="29"/>
  <c r="AE116" i="29"/>
  <c r="AE117" i="29"/>
  <c r="AE119" i="29"/>
  <c r="AE121" i="29"/>
  <c r="AE122" i="29"/>
  <c r="AE125" i="29"/>
  <c r="AE127" i="29"/>
  <c r="AE128" i="29"/>
  <c r="AE129" i="29"/>
  <c r="AE130" i="29"/>
  <c r="AE131" i="29"/>
  <c r="AE132" i="29"/>
  <c r="AE133" i="29"/>
  <c r="AE134" i="29"/>
  <c r="AE135" i="29"/>
  <c r="AE136" i="29"/>
  <c r="AE139" i="29"/>
  <c r="AE140" i="29"/>
  <c r="AE141" i="29"/>
  <c r="AE144" i="29"/>
  <c r="AE145" i="29"/>
  <c r="AE146" i="29"/>
  <c r="AE147" i="29"/>
  <c r="AE148" i="29"/>
  <c r="AE151" i="29"/>
  <c r="AE152" i="29"/>
  <c r="AE155" i="29"/>
  <c r="AE156" i="29"/>
  <c r="AE162" i="29"/>
  <c r="AE163" i="29"/>
  <c r="AE164" i="29"/>
  <c r="AE165" i="29"/>
  <c r="AE166" i="29"/>
  <c r="AE167" i="29"/>
  <c r="AE168" i="29"/>
  <c r="AE169" i="29"/>
  <c r="AE170" i="29"/>
  <c r="AE172" i="29"/>
  <c r="AE173" i="29"/>
  <c r="AE175" i="29"/>
  <c r="AE177" i="29"/>
  <c r="AE178" i="29"/>
  <c r="AE180" i="29"/>
  <c r="AE182" i="29"/>
  <c r="AE183" i="29"/>
  <c r="AE184" i="29"/>
  <c r="AE189" i="29"/>
  <c r="AE190" i="29"/>
  <c r="AE191" i="29"/>
  <c r="AE198" i="29"/>
  <c r="AE200" i="29"/>
  <c r="AE201" i="29"/>
  <c r="AE202" i="29"/>
  <c r="AE203" i="29"/>
  <c r="AE204" i="29"/>
  <c r="AE205" i="29"/>
  <c r="AE206" i="29"/>
  <c r="AE208" i="29"/>
  <c r="AE209" i="29"/>
  <c r="AE210" i="29"/>
  <c r="AE215" i="29"/>
  <c r="AE217" i="29"/>
  <c r="AE218" i="29"/>
  <c r="AE219" i="29"/>
  <c r="AE220" i="29"/>
  <c r="AE221" i="29"/>
  <c r="AE222" i="29"/>
  <c r="AF16" i="29"/>
  <c r="AF17" i="29"/>
  <c r="AF18" i="29"/>
  <c r="AF19" i="29"/>
  <c r="AF20" i="29"/>
  <c r="AF21" i="29"/>
  <c r="AF22" i="29"/>
  <c r="AF23" i="29"/>
  <c r="AF24" i="29"/>
  <c r="AF25" i="29"/>
  <c r="AF26" i="29"/>
  <c r="AF27" i="29"/>
  <c r="AF28" i="29"/>
  <c r="AF29" i="29"/>
  <c r="AF30" i="29"/>
  <c r="AF31" i="29"/>
  <c r="AF32" i="29"/>
  <c r="AF33" i="29"/>
  <c r="AF34" i="29"/>
  <c r="AF35" i="29"/>
  <c r="AF36" i="29"/>
  <c r="AF37" i="29"/>
  <c r="AF38" i="29"/>
  <c r="AF39" i="29"/>
  <c r="AF41" i="29"/>
  <c r="AF42" i="29"/>
  <c r="AF43" i="29"/>
  <c r="AF44" i="29"/>
  <c r="AF45" i="29"/>
  <c r="AF46" i="29"/>
  <c r="AF47" i="29"/>
  <c r="AF48" i="29"/>
  <c r="AF49" i="29"/>
  <c r="AF50" i="29"/>
  <c r="AF51" i="29"/>
  <c r="AF52" i="29"/>
  <c r="AF53" i="29"/>
  <c r="AF54" i="29"/>
  <c r="AF56" i="29"/>
  <c r="AF57" i="29"/>
  <c r="AF59" i="29"/>
  <c r="AF60" i="29"/>
  <c r="AF61" i="29"/>
  <c r="AF62" i="29"/>
  <c r="AF63" i="29"/>
  <c r="AF64" i="29"/>
  <c r="AF65" i="29"/>
  <c r="AF66" i="29"/>
  <c r="AF67" i="29"/>
  <c r="AF68" i="29"/>
  <c r="AF69" i="29"/>
  <c r="AF70" i="29"/>
  <c r="AF71" i="29"/>
  <c r="AF72" i="29"/>
  <c r="AF73" i="29"/>
  <c r="AF74" i="29"/>
  <c r="AF75" i="29"/>
  <c r="AF76" i="29"/>
  <c r="AF77" i="29"/>
  <c r="AF78" i="29"/>
  <c r="AF79" i="29"/>
  <c r="AF80" i="29"/>
  <c r="AF81" i="29"/>
  <c r="AF82" i="29"/>
  <c r="AF83" i="29"/>
  <c r="AF84" i="29"/>
  <c r="AF87" i="29"/>
  <c r="AF88" i="29"/>
  <c r="AF89" i="29"/>
  <c r="AF90" i="29"/>
  <c r="AF91" i="29"/>
  <c r="AF92" i="29"/>
  <c r="AF93" i="29"/>
  <c r="AF94" i="29"/>
  <c r="AF95" i="29"/>
  <c r="AF96" i="29"/>
  <c r="AF97" i="29"/>
  <c r="AF98" i="29"/>
  <c r="AF99" i="29"/>
  <c r="AF100" i="29"/>
  <c r="AF101" i="29"/>
  <c r="AF102" i="29"/>
  <c r="AF103" i="29"/>
  <c r="AF104" i="29"/>
  <c r="AF105" i="29"/>
  <c r="AF106" i="29"/>
  <c r="AF107" i="29"/>
  <c r="AF108" i="29"/>
  <c r="AF109" i="29"/>
  <c r="AF110" i="29"/>
  <c r="AF111" i="29"/>
  <c r="AF112" i="29"/>
  <c r="AF113" i="29"/>
  <c r="AF114" i="29"/>
  <c r="AF115" i="29"/>
  <c r="AF116" i="29"/>
  <c r="AF117" i="29"/>
  <c r="AF119" i="29"/>
  <c r="AF120" i="29"/>
  <c r="AF121" i="29"/>
  <c r="AF123" i="29"/>
  <c r="AF124" i="29"/>
  <c r="AF125" i="29"/>
  <c r="AF126" i="29"/>
  <c r="AF127" i="29"/>
  <c r="AF128" i="29"/>
  <c r="AF129" i="29"/>
  <c r="AF130" i="29"/>
  <c r="AF131" i="29"/>
  <c r="AF132" i="29"/>
  <c r="AF133" i="29"/>
  <c r="AF134" i="29"/>
  <c r="AF135" i="29"/>
  <c r="AF136" i="29"/>
  <c r="AF137" i="29"/>
  <c r="AF138" i="29"/>
  <c r="AF139" i="29"/>
  <c r="AF140" i="29"/>
  <c r="AF142" i="29"/>
  <c r="AF143" i="29"/>
  <c r="AF144" i="29"/>
  <c r="AF146" i="29"/>
  <c r="AF147" i="29"/>
  <c r="AF149" i="29"/>
  <c r="AF150" i="29"/>
  <c r="AF152" i="29"/>
  <c r="AF153" i="29"/>
  <c r="AF154" i="29"/>
  <c r="AF155" i="29"/>
  <c r="AF156" i="29"/>
  <c r="AF157" i="29"/>
  <c r="AF158" i="29"/>
  <c r="AF159" i="29"/>
  <c r="AF160" i="29"/>
  <c r="AF161" i="29"/>
  <c r="AF162" i="29"/>
  <c r="AF163" i="29"/>
  <c r="AF164" i="29"/>
  <c r="AF165" i="29"/>
  <c r="AF166" i="29"/>
  <c r="AF167" i="29"/>
  <c r="AF168" i="29"/>
  <c r="AF169" i="29"/>
  <c r="AF170" i="29"/>
  <c r="AF171" i="29"/>
  <c r="AF172" i="29"/>
  <c r="AF173" i="29"/>
  <c r="AF174" i="29"/>
  <c r="AF175" i="29"/>
  <c r="AF176" i="29"/>
  <c r="AF177" i="29"/>
  <c r="AF178" i="29"/>
  <c r="AF179" i="29"/>
  <c r="AF180" i="29"/>
  <c r="AF181" i="29"/>
  <c r="AF182" i="29"/>
  <c r="AF183" i="29"/>
  <c r="AF184" i="29"/>
  <c r="AF185" i="29"/>
  <c r="AF186" i="29"/>
  <c r="AF187" i="29"/>
  <c r="AF188" i="29"/>
  <c r="AF189" i="29"/>
  <c r="AF190" i="29"/>
  <c r="AF191" i="29"/>
  <c r="AF192" i="29"/>
  <c r="AF193" i="29"/>
  <c r="AF194" i="29"/>
  <c r="AF195" i="29"/>
  <c r="AF196" i="29"/>
  <c r="AF197" i="29"/>
  <c r="AF199" i="29"/>
  <c r="AF201" i="29"/>
  <c r="AF202" i="29"/>
  <c r="AF203" i="29"/>
  <c r="AF205" i="29"/>
  <c r="AF206" i="29"/>
  <c r="AF207" i="29"/>
  <c r="AF209" i="29"/>
  <c r="AF210" i="29"/>
  <c r="AF211" i="29"/>
  <c r="AF212" i="29"/>
  <c r="AF213" i="29"/>
  <c r="AF214" i="29"/>
  <c r="AF215" i="29"/>
  <c r="AF216" i="29"/>
  <c r="AF217" i="29"/>
  <c r="AF218" i="29"/>
  <c r="AF219" i="29"/>
  <c r="AF222" i="29"/>
  <c r="AF225" i="29"/>
  <c r="AF226" i="29"/>
  <c r="AH16" i="29"/>
  <c r="AH17" i="29"/>
  <c r="AH18" i="29"/>
  <c r="AH19" i="29"/>
  <c r="AH20" i="29"/>
  <c r="AH21" i="29"/>
  <c r="AH22" i="29"/>
  <c r="AH23" i="29"/>
  <c r="AH24" i="29"/>
  <c r="AH25" i="29"/>
  <c r="AH26" i="29"/>
  <c r="AH27" i="29"/>
  <c r="AH28" i="29"/>
  <c r="AH29" i="29"/>
  <c r="AH30" i="29"/>
  <c r="AH31" i="29"/>
  <c r="AH32" i="29"/>
  <c r="AH33" i="29"/>
  <c r="AH34" i="29"/>
  <c r="AH35" i="29"/>
  <c r="AH36" i="29"/>
  <c r="AH37" i="29"/>
  <c r="AH38" i="29"/>
  <c r="AH39" i="29"/>
  <c r="AH40" i="29"/>
  <c r="AH41" i="29"/>
  <c r="AH42" i="29"/>
  <c r="AH43" i="29"/>
  <c r="AH44" i="29"/>
  <c r="AH45" i="29"/>
  <c r="AH46" i="29"/>
  <c r="AH47" i="29"/>
  <c r="AH48" i="29"/>
  <c r="AH49" i="29"/>
  <c r="AH50" i="29"/>
  <c r="AH51" i="29"/>
  <c r="AH52" i="29"/>
  <c r="AH53" i="29"/>
  <c r="AH54" i="29"/>
  <c r="AH55" i="29"/>
  <c r="AH56" i="29"/>
  <c r="AH57" i="29"/>
  <c r="AH58" i="29"/>
  <c r="AH59" i="29"/>
  <c r="AH60" i="29"/>
  <c r="AH61" i="29"/>
  <c r="AH62" i="29"/>
  <c r="AH63" i="29"/>
  <c r="AH64" i="29"/>
  <c r="AH65" i="29"/>
  <c r="AH66" i="29"/>
  <c r="AH67" i="29"/>
  <c r="AH68" i="29"/>
  <c r="AH69" i="29"/>
  <c r="AH70" i="29"/>
  <c r="AH71" i="29"/>
  <c r="AH72" i="29"/>
  <c r="AH73" i="29"/>
  <c r="AH74" i="29"/>
  <c r="AH75" i="29"/>
  <c r="AH76" i="29"/>
  <c r="AH77" i="29"/>
  <c r="AH78" i="29"/>
  <c r="AH79" i="29"/>
  <c r="AH80" i="29"/>
  <c r="AH81" i="29"/>
  <c r="AH82" i="29"/>
  <c r="AH83" i="29"/>
  <c r="AH84" i="29"/>
  <c r="AH85" i="29"/>
  <c r="AH86" i="29"/>
  <c r="AH87" i="29"/>
  <c r="AH88" i="29"/>
  <c r="AH89" i="29"/>
  <c r="AH90" i="29"/>
  <c r="AH91" i="29"/>
  <c r="AH92" i="29"/>
  <c r="AH93" i="29"/>
  <c r="AH94" i="29"/>
  <c r="AH95" i="29"/>
  <c r="AH96" i="29"/>
  <c r="AH97" i="29"/>
  <c r="AH98" i="29"/>
  <c r="AH99" i="29"/>
  <c r="AH100" i="29"/>
  <c r="AH101" i="29"/>
  <c r="AH102" i="29"/>
  <c r="AH103" i="29"/>
  <c r="AH104" i="29"/>
  <c r="AH105" i="29"/>
  <c r="AH106" i="29"/>
  <c r="AH107" i="29"/>
  <c r="AH108" i="29"/>
  <c r="AH109" i="29"/>
  <c r="AH110" i="29"/>
  <c r="AH111" i="29"/>
  <c r="AH112" i="29"/>
  <c r="AH113" i="29"/>
  <c r="AH114" i="29"/>
  <c r="AH115" i="29"/>
  <c r="AH116" i="29"/>
  <c r="AH117" i="29"/>
  <c r="AH119" i="29"/>
  <c r="AH120" i="29"/>
  <c r="AH121" i="29"/>
  <c r="AH122" i="29"/>
  <c r="AH123" i="29"/>
  <c r="AH124" i="29"/>
  <c r="AH125" i="29"/>
  <c r="AH126" i="29"/>
  <c r="AH127" i="29"/>
  <c r="AH128" i="29"/>
  <c r="AH129" i="29"/>
  <c r="AH130" i="29"/>
  <c r="AH131" i="29"/>
  <c r="AH132" i="29"/>
  <c r="AH133" i="29"/>
  <c r="AH134" i="29"/>
  <c r="AH135" i="29"/>
  <c r="AH136" i="29"/>
  <c r="AH137" i="29"/>
  <c r="AH138" i="29"/>
  <c r="AH139" i="29"/>
  <c r="AH140" i="29"/>
  <c r="AH141" i="29"/>
  <c r="AH142" i="29"/>
  <c r="AH143" i="29"/>
  <c r="AH144" i="29"/>
  <c r="AH145" i="29"/>
  <c r="AH146" i="29"/>
  <c r="AH147" i="29"/>
  <c r="AH148" i="29"/>
  <c r="AH149" i="29"/>
  <c r="AH150" i="29"/>
  <c r="AH151" i="29"/>
  <c r="AH152" i="29"/>
  <c r="AH153" i="29"/>
  <c r="AH154" i="29"/>
  <c r="AH155" i="29"/>
  <c r="AH156" i="29"/>
  <c r="AH157" i="29"/>
  <c r="AH158" i="29"/>
  <c r="AH159" i="29"/>
  <c r="AH160" i="29"/>
  <c r="AH161" i="29"/>
  <c r="AH162" i="29"/>
  <c r="AH163" i="29"/>
  <c r="AH164" i="29"/>
  <c r="AH165" i="29"/>
  <c r="AH166" i="29"/>
  <c r="AH167" i="29"/>
  <c r="AH168" i="29"/>
  <c r="AH169" i="29"/>
  <c r="AH170" i="29"/>
  <c r="AH171" i="29"/>
  <c r="AH172" i="29"/>
  <c r="AH173" i="29"/>
  <c r="AH174" i="29"/>
  <c r="AH175" i="29"/>
  <c r="AH176" i="29"/>
  <c r="AH177" i="29"/>
  <c r="AH178" i="29"/>
  <c r="AH179" i="29"/>
  <c r="AH180" i="29"/>
  <c r="AH181" i="29"/>
  <c r="AH182" i="29"/>
  <c r="AH183" i="29"/>
  <c r="AH184" i="29"/>
  <c r="AH185" i="29"/>
  <c r="AH186" i="29"/>
  <c r="AH187" i="29"/>
  <c r="AH188" i="29"/>
  <c r="AH189" i="29"/>
  <c r="AH190" i="29"/>
  <c r="AH191" i="29"/>
  <c r="AH192" i="29"/>
  <c r="AH193" i="29"/>
  <c r="AH194" i="29"/>
  <c r="AH195" i="29"/>
  <c r="AH196" i="29"/>
  <c r="AH197" i="29"/>
  <c r="AH198" i="29"/>
  <c r="AH199" i="29"/>
  <c r="AH200" i="29"/>
  <c r="AH201" i="29"/>
  <c r="AH202" i="29"/>
  <c r="AH203" i="29"/>
  <c r="AH204" i="29"/>
  <c r="AH205" i="29"/>
  <c r="AH206" i="29"/>
  <c r="AH207" i="29"/>
  <c r="AH208" i="29"/>
  <c r="AH209" i="29"/>
  <c r="AH210" i="29"/>
  <c r="AH211" i="29"/>
  <c r="AH212" i="29"/>
  <c r="AH213" i="29"/>
  <c r="AH214" i="29"/>
  <c r="AH215" i="29"/>
  <c r="AH216" i="29"/>
  <c r="AH217" i="29"/>
  <c r="AH218" i="29"/>
  <c r="AH219" i="29"/>
  <c r="AH220" i="29"/>
  <c r="AH221" i="29"/>
  <c r="AH222" i="29"/>
  <c r="AH223" i="29"/>
  <c r="AH227" i="29"/>
  <c r="AI16" i="29"/>
  <c r="AI17" i="29"/>
  <c r="AI18" i="29"/>
  <c r="AI19" i="29"/>
  <c r="AI20" i="29"/>
  <c r="AI21" i="29"/>
  <c r="AI22" i="29"/>
  <c r="AI23" i="29"/>
  <c r="AI24" i="29"/>
  <c r="AI25" i="29"/>
  <c r="AI26" i="29"/>
  <c r="AI27" i="29"/>
  <c r="AI28" i="29"/>
  <c r="AI29" i="29"/>
  <c r="AI30" i="29"/>
  <c r="AI31" i="29"/>
  <c r="AI32" i="29"/>
  <c r="AI33" i="29"/>
  <c r="AI34" i="29"/>
  <c r="AI35" i="29"/>
  <c r="AI36" i="29"/>
  <c r="AI37" i="29"/>
  <c r="AI38" i="29"/>
  <c r="AI39" i="29"/>
  <c r="AI40" i="29"/>
  <c r="AI41" i="29"/>
  <c r="AI42" i="29"/>
  <c r="AI43" i="29"/>
  <c r="AI44" i="29"/>
  <c r="AI45" i="29"/>
  <c r="AI46" i="29"/>
  <c r="AI47" i="29"/>
  <c r="AI48" i="29"/>
  <c r="AI49" i="29"/>
  <c r="AI50" i="29"/>
  <c r="AI51" i="29"/>
  <c r="AI52" i="29"/>
  <c r="AI53" i="29"/>
  <c r="AI54" i="29"/>
  <c r="AI55" i="29"/>
  <c r="AI56" i="29"/>
  <c r="AI57" i="29"/>
  <c r="AI58" i="29"/>
  <c r="AI59" i="29"/>
  <c r="AI60" i="29"/>
  <c r="AI61" i="29"/>
  <c r="AI62" i="29"/>
  <c r="AI63" i="29"/>
  <c r="AI64" i="29"/>
  <c r="AI65" i="29"/>
  <c r="AI66" i="29"/>
  <c r="AI67" i="29"/>
  <c r="AI68" i="29"/>
  <c r="AI69" i="29"/>
  <c r="AI70" i="29"/>
  <c r="AI71" i="29"/>
  <c r="AI72" i="29"/>
  <c r="AI73" i="29"/>
  <c r="AI74" i="29"/>
  <c r="AI75" i="29"/>
  <c r="AI76" i="29"/>
  <c r="AI77" i="29"/>
  <c r="AI78" i="29"/>
  <c r="AI79" i="29"/>
  <c r="AI80" i="29"/>
  <c r="AI81" i="29"/>
  <c r="AI82" i="29"/>
  <c r="AI83" i="29"/>
  <c r="AI84" i="29"/>
  <c r="AI85" i="29"/>
  <c r="AI86" i="29"/>
  <c r="AI87" i="29"/>
  <c r="AI88" i="29"/>
  <c r="AI89" i="29"/>
  <c r="AI90" i="29"/>
  <c r="AI91" i="29"/>
  <c r="AI92" i="29"/>
  <c r="AI93" i="29"/>
  <c r="AI94" i="29"/>
  <c r="AI95" i="29"/>
  <c r="AI96" i="29"/>
  <c r="AI97" i="29"/>
  <c r="AI98" i="29"/>
  <c r="AI99" i="29"/>
  <c r="AI100" i="29"/>
  <c r="AI101" i="29"/>
  <c r="AI102" i="29"/>
  <c r="AI103" i="29"/>
  <c r="AI104" i="29"/>
  <c r="AI105" i="29"/>
  <c r="AI106" i="29"/>
  <c r="AI107" i="29"/>
  <c r="AI108" i="29"/>
  <c r="AI109" i="29"/>
  <c r="AI110" i="29"/>
  <c r="AI111" i="29"/>
  <c r="AI112" i="29"/>
  <c r="AI113" i="29"/>
  <c r="AI114" i="29"/>
  <c r="AI115" i="29"/>
  <c r="AI116" i="29"/>
  <c r="AI117" i="29"/>
  <c r="AI119" i="29"/>
  <c r="AI120" i="29"/>
  <c r="AI121" i="29"/>
  <c r="AI122" i="29"/>
  <c r="AI123" i="29"/>
  <c r="AI124" i="29"/>
  <c r="AI125" i="29"/>
  <c r="AI126" i="29"/>
  <c r="AI127" i="29"/>
  <c r="AI128" i="29"/>
  <c r="AI129" i="29"/>
  <c r="AI130" i="29"/>
  <c r="AI131" i="29"/>
  <c r="AI132" i="29"/>
  <c r="AI133" i="29"/>
  <c r="AI134" i="29"/>
  <c r="AI135" i="29"/>
  <c r="AI136" i="29"/>
  <c r="AI137" i="29"/>
  <c r="AI138" i="29"/>
  <c r="AI139" i="29"/>
  <c r="AI140" i="29"/>
  <c r="AI141" i="29"/>
  <c r="AI142" i="29"/>
  <c r="AI143" i="29"/>
  <c r="AI144" i="29"/>
  <c r="AI145" i="29"/>
  <c r="AI146" i="29"/>
  <c r="AI147" i="29"/>
  <c r="AI148" i="29"/>
  <c r="AI149" i="29"/>
  <c r="AI150" i="29"/>
  <c r="AI151" i="29"/>
  <c r="AI152" i="29"/>
  <c r="AI153" i="29"/>
  <c r="AI154" i="29"/>
  <c r="AI155" i="29"/>
  <c r="AI156" i="29"/>
  <c r="AI157" i="29"/>
  <c r="AI158" i="29"/>
  <c r="AI159" i="29"/>
  <c r="AI160" i="29"/>
  <c r="AI161" i="29"/>
  <c r="AI162" i="29"/>
  <c r="AI163" i="29"/>
  <c r="AI164" i="29"/>
  <c r="AI165" i="29"/>
  <c r="AI166" i="29"/>
  <c r="AI167" i="29"/>
  <c r="AI168" i="29"/>
  <c r="AI169" i="29"/>
  <c r="AI170" i="29"/>
  <c r="AI171" i="29"/>
  <c r="AI172" i="29"/>
  <c r="AI173" i="29"/>
  <c r="AI174" i="29"/>
  <c r="AI175" i="29"/>
  <c r="AI176" i="29"/>
  <c r="AI177" i="29"/>
  <c r="AI178" i="29"/>
  <c r="AI179" i="29"/>
  <c r="AI180" i="29"/>
  <c r="AI181" i="29"/>
  <c r="AI182" i="29"/>
  <c r="AI183" i="29"/>
  <c r="AI184" i="29"/>
  <c r="AI185" i="29"/>
  <c r="AI186" i="29"/>
  <c r="AI187" i="29"/>
  <c r="AI188" i="29"/>
  <c r="AI189" i="29"/>
  <c r="AI190" i="29"/>
  <c r="AI191" i="29"/>
  <c r="AI192" i="29"/>
  <c r="AI193" i="29"/>
  <c r="AI194" i="29"/>
  <c r="AI195" i="29"/>
  <c r="AI196" i="29"/>
  <c r="AI197" i="29"/>
  <c r="AI198" i="29"/>
  <c r="AI199" i="29"/>
  <c r="AI200" i="29"/>
  <c r="AI201" i="29"/>
  <c r="AI202" i="29"/>
  <c r="AI203" i="29"/>
  <c r="AI204" i="29"/>
  <c r="AI205" i="29"/>
  <c r="AI206" i="29"/>
  <c r="AI207" i="29"/>
  <c r="AI208" i="29"/>
  <c r="AI209" i="29"/>
  <c r="AI210" i="29"/>
  <c r="AI211" i="29"/>
  <c r="AI212" i="29"/>
  <c r="AI213" i="29"/>
  <c r="AI214" i="29"/>
  <c r="AI215" i="29"/>
  <c r="AI216" i="29"/>
  <c r="AI217" i="29"/>
  <c r="AI218" i="29"/>
  <c r="AI219" i="29"/>
  <c r="AI220" i="29"/>
  <c r="AI221" i="29"/>
  <c r="AI222" i="29"/>
  <c r="AI223" i="29"/>
  <c r="AI227" i="29"/>
  <c r="AJ16" i="29"/>
  <c r="AJ17" i="29"/>
  <c r="AJ18" i="29"/>
  <c r="AJ19" i="29"/>
  <c r="AJ20" i="29"/>
  <c r="AJ21" i="29"/>
  <c r="AJ22" i="29"/>
  <c r="AJ23" i="29"/>
  <c r="AJ24" i="29"/>
  <c r="AJ25" i="29"/>
  <c r="AJ26" i="29"/>
  <c r="AJ27" i="29"/>
  <c r="AJ28" i="29"/>
  <c r="AJ29" i="29"/>
  <c r="AJ30" i="29"/>
  <c r="AJ31" i="29"/>
  <c r="AJ32" i="29"/>
  <c r="AJ33" i="29"/>
  <c r="AJ34" i="29"/>
  <c r="AJ35" i="29"/>
  <c r="AJ36" i="29"/>
  <c r="AJ37" i="29"/>
  <c r="AJ38" i="29"/>
  <c r="AJ39" i="29"/>
  <c r="AJ40" i="29"/>
  <c r="AJ41" i="29"/>
  <c r="AJ42" i="29"/>
  <c r="AJ43" i="29"/>
  <c r="AJ44" i="29"/>
  <c r="AJ45" i="29"/>
  <c r="AJ46" i="29"/>
  <c r="AJ47" i="29"/>
  <c r="AJ48" i="29"/>
  <c r="AJ49" i="29"/>
  <c r="AJ50" i="29"/>
  <c r="AJ51" i="29"/>
  <c r="AJ52" i="29"/>
  <c r="AJ53" i="29"/>
  <c r="AJ54" i="29"/>
  <c r="AJ55" i="29"/>
  <c r="AJ56" i="29"/>
  <c r="AJ57" i="29"/>
  <c r="AJ58" i="29"/>
  <c r="AJ59" i="29"/>
  <c r="AJ60" i="29"/>
  <c r="AJ61" i="29"/>
  <c r="AJ62" i="29"/>
  <c r="AJ63" i="29"/>
  <c r="AJ64" i="29"/>
  <c r="AJ65" i="29"/>
  <c r="AJ66" i="29"/>
  <c r="AJ67" i="29"/>
  <c r="AJ68" i="29"/>
  <c r="AJ69" i="29"/>
  <c r="AJ70" i="29"/>
  <c r="AJ71" i="29"/>
  <c r="AJ72" i="29"/>
  <c r="AJ73" i="29"/>
  <c r="AJ74" i="29"/>
  <c r="AJ75" i="29"/>
  <c r="AJ76" i="29"/>
  <c r="AJ77" i="29"/>
  <c r="AJ78" i="29"/>
  <c r="AJ79" i="29"/>
  <c r="AJ80" i="29"/>
  <c r="AJ81" i="29"/>
  <c r="AJ82" i="29"/>
  <c r="AJ83" i="29"/>
  <c r="AJ84" i="29"/>
  <c r="AJ85" i="29"/>
  <c r="AJ86" i="29"/>
  <c r="AJ87" i="29"/>
  <c r="AJ88" i="29"/>
  <c r="AJ89" i="29"/>
  <c r="AJ90" i="29"/>
  <c r="AJ91" i="29"/>
  <c r="AJ92" i="29"/>
  <c r="AJ93" i="29"/>
  <c r="AJ94" i="29"/>
  <c r="AJ95" i="29"/>
  <c r="AJ96" i="29"/>
  <c r="AJ97" i="29"/>
  <c r="AJ98" i="29"/>
  <c r="AJ99" i="29"/>
  <c r="AJ100" i="29"/>
  <c r="AJ101" i="29"/>
  <c r="AJ102" i="29"/>
  <c r="AJ103" i="29"/>
  <c r="AJ104" i="29"/>
  <c r="AJ105" i="29"/>
  <c r="AJ106" i="29"/>
  <c r="AJ107" i="29"/>
  <c r="AJ108" i="29"/>
  <c r="AJ109" i="29"/>
  <c r="AJ110" i="29"/>
  <c r="AJ111" i="29"/>
  <c r="AJ112" i="29"/>
  <c r="AJ113" i="29"/>
  <c r="AJ114" i="29"/>
  <c r="AJ115" i="29"/>
  <c r="AJ116" i="29"/>
  <c r="AJ117" i="29"/>
  <c r="AJ119" i="29"/>
  <c r="AJ120" i="29"/>
  <c r="AJ121" i="29"/>
  <c r="AJ122" i="29"/>
  <c r="AJ123" i="29"/>
  <c r="AJ124" i="29"/>
  <c r="AJ125" i="29"/>
  <c r="AJ126" i="29"/>
  <c r="AJ127" i="29"/>
  <c r="AJ128" i="29"/>
  <c r="AJ129" i="29"/>
  <c r="AJ130" i="29"/>
  <c r="AJ131" i="29"/>
  <c r="AJ132" i="29"/>
  <c r="AJ133" i="29"/>
  <c r="AJ134" i="29"/>
  <c r="AJ135" i="29"/>
  <c r="AJ136" i="29"/>
  <c r="AJ137" i="29"/>
  <c r="AJ138" i="29"/>
  <c r="AJ139" i="29"/>
  <c r="AJ140" i="29"/>
  <c r="AJ141" i="29"/>
  <c r="AJ142" i="29"/>
  <c r="AJ143" i="29"/>
  <c r="AJ144" i="29"/>
  <c r="AJ145" i="29"/>
  <c r="AJ146" i="29"/>
  <c r="AJ147" i="29"/>
  <c r="AJ148" i="29"/>
  <c r="AJ149" i="29"/>
  <c r="AJ150" i="29"/>
  <c r="AJ151" i="29"/>
  <c r="AJ152" i="29"/>
  <c r="AJ153" i="29"/>
  <c r="AJ154" i="29"/>
  <c r="AJ155" i="29"/>
  <c r="AJ156" i="29"/>
  <c r="AJ157" i="29"/>
  <c r="AJ158" i="29"/>
  <c r="AJ159" i="29"/>
  <c r="AJ160" i="29"/>
  <c r="AJ161" i="29"/>
  <c r="AJ162" i="29"/>
  <c r="AJ163" i="29"/>
  <c r="AJ164" i="29"/>
  <c r="AJ165" i="29"/>
  <c r="AJ166" i="29"/>
  <c r="AJ167" i="29"/>
  <c r="AJ168" i="29"/>
  <c r="AJ169" i="29"/>
  <c r="AJ170" i="29"/>
  <c r="AJ171" i="29"/>
  <c r="AJ172" i="29"/>
  <c r="AJ173" i="29"/>
  <c r="AJ174" i="29"/>
  <c r="AJ175" i="29"/>
  <c r="AJ176" i="29"/>
  <c r="AJ177" i="29"/>
  <c r="AJ178" i="29"/>
  <c r="AJ179" i="29"/>
  <c r="AJ180" i="29"/>
  <c r="AJ181" i="29"/>
  <c r="AJ182" i="29"/>
  <c r="AJ183" i="29"/>
  <c r="AJ184" i="29"/>
  <c r="AJ185" i="29"/>
  <c r="AJ186" i="29"/>
  <c r="AJ187" i="29"/>
  <c r="AJ188" i="29"/>
  <c r="AJ189" i="29"/>
  <c r="AJ190" i="29"/>
  <c r="AJ191" i="29"/>
  <c r="AJ192" i="29"/>
  <c r="AJ193" i="29"/>
  <c r="AJ194" i="29"/>
  <c r="AJ195" i="29"/>
  <c r="AJ196" i="29"/>
  <c r="AJ197" i="29"/>
  <c r="AJ198" i="29"/>
  <c r="AJ199" i="29"/>
  <c r="AJ200" i="29"/>
  <c r="AJ201" i="29"/>
  <c r="AJ202" i="29"/>
  <c r="AJ203" i="29"/>
  <c r="AJ204" i="29"/>
  <c r="AJ205" i="29"/>
  <c r="AJ206" i="29"/>
  <c r="AJ207" i="29"/>
  <c r="AJ208" i="29"/>
  <c r="AJ209" i="29"/>
  <c r="AJ210" i="29"/>
  <c r="AJ211" i="29"/>
  <c r="AJ212" i="29"/>
  <c r="AJ213" i="29"/>
  <c r="AJ214" i="29"/>
  <c r="AJ215" i="29"/>
  <c r="AJ216" i="29"/>
  <c r="AJ217" i="29"/>
  <c r="AJ218" i="29"/>
  <c r="AJ219" i="29"/>
  <c r="AJ220" i="29"/>
  <c r="AJ221" i="29"/>
  <c r="AJ222" i="29"/>
  <c r="AJ223" i="29"/>
  <c r="AJ227" i="29"/>
  <c r="M223" i="29"/>
  <c r="L223" i="29"/>
  <c r="M224" i="29"/>
  <c r="J231" i="29"/>
  <c r="AL168" i="29"/>
  <c r="AL173" i="29"/>
  <c r="AL177" i="29"/>
  <c r="I223" i="29"/>
  <c r="H223" i="29"/>
  <c r="G223" i="29"/>
  <c r="I224" i="29"/>
  <c r="E223" i="29"/>
  <c r="T223" i="29"/>
  <c r="Q223" i="29"/>
  <c r="P223" i="29"/>
  <c r="O223" i="29"/>
  <c r="N223" i="29"/>
  <c r="AC222" i="29"/>
  <c r="AC221" i="29"/>
  <c r="AC220" i="29"/>
  <c r="AC219" i="29"/>
  <c r="AC218" i="29"/>
  <c r="AC217" i="29"/>
  <c r="AC216" i="29"/>
  <c r="AC215" i="29"/>
  <c r="AC214" i="29"/>
  <c r="AC213" i="29"/>
  <c r="AC212" i="29"/>
  <c r="AC211" i="29"/>
  <c r="AC210" i="29"/>
  <c r="AC209" i="29"/>
  <c r="AC208" i="29"/>
  <c r="AC207" i="29"/>
  <c r="AC206" i="29"/>
  <c r="AC205" i="29"/>
  <c r="AC204" i="29"/>
  <c r="AC203" i="29"/>
  <c r="AC202" i="29"/>
  <c r="AC201" i="29"/>
  <c r="AC200" i="29"/>
  <c r="AC199" i="29"/>
  <c r="AC198" i="29"/>
  <c r="AC197" i="29"/>
  <c r="AC196" i="29"/>
  <c r="AC195" i="29"/>
  <c r="AC194" i="29"/>
  <c r="AC193" i="29"/>
  <c r="AC192" i="29"/>
  <c r="AC191" i="29"/>
  <c r="AC190" i="29"/>
  <c r="AC189" i="29"/>
  <c r="AC188" i="29"/>
  <c r="AC187" i="29"/>
  <c r="AC186" i="29"/>
  <c r="AC185" i="29"/>
  <c r="AC184" i="29"/>
  <c r="AC183" i="29"/>
  <c r="AC182" i="29"/>
  <c r="AC181" i="29"/>
  <c r="AC180" i="29"/>
  <c r="AC179" i="29"/>
  <c r="AC178" i="29"/>
  <c r="AC177" i="29"/>
  <c r="AC176" i="29"/>
  <c r="AC175" i="29"/>
  <c r="AC174" i="29"/>
  <c r="AC173" i="29"/>
  <c r="AC172" i="29"/>
  <c r="AC171" i="29"/>
  <c r="AC170" i="29"/>
  <c r="AC169" i="29"/>
  <c r="AC168" i="29"/>
  <c r="AC167" i="29"/>
  <c r="AC166" i="29"/>
  <c r="AC165" i="29"/>
  <c r="AC164" i="29"/>
  <c r="AC163" i="29"/>
  <c r="AC162" i="29"/>
  <c r="AC161" i="29"/>
  <c r="AC160" i="29"/>
  <c r="AC159" i="29"/>
  <c r="AC158" i="29"/>
  <c r="AC157" i="29"/>
  <c r="AC156" i="29"/>
  <c r="AC155" i="29"/>
  <c r="AC154" i="29"/>
  <c r="AC153" i="29"/>
  <c r="AC152" i="29"/>
  <c r="AC151" i="29"/>
  <c r="AC150" i="29"/>
  <c r="AC149" i="29"/>
  <c r="AC148" i="29"/>
  <c r="AC147" i="29"/>
  <c r="AC146" i="29"/>
  <c r="AC145" i="29"/>
  <c r="AC144" i="29"/>
  <c r="AC143" i="29"/>
  <c r="AC142" i="29"/>
  <c r="AC141" i="29"/>
  <c r="AC140" i="29"/>
  <c r="AC139" i="29"/>
  <c r="AC138" i="29"/>
  <c r="AC137" i="29"/>
  <c r="AC136" i="29"/>
  <c r="AC135" i="29"/>
  <c r="AC134" i="29"/>
  <c r="AC133" i="29"/>
  <c r="AC132" i="29"/>
  <c r="AC131" i="29"/>
  <c r="AC130" i="29"/>
  <c r="AC129" i="29"/>
  <c r="AC128" i="29"/>
  <c r="AC127" i="29"/>
  <c r="AC126" i="29"/>
  <c r="AC125" i="29"/>
  <c r="AC124" i="29"/>
  <c r="AC123" i="29"/>
  <c r="AC122" i="29"/>
  <c r="AC121" i="29"/>
  <c r="AC120" i="29"/>
  <c r="AC119" i="29"/>
  <c r="AC117" i="29"/>
  <c r="AC116" i="29"/>
  <c r="AC115" i="29"/>
  <c r="AC114" i="29"/>
  <c r="AC113" i="29"/>
  <c r="AC112" i="29"/>
  <c r="AC111" i="29"/>
  <c r="AC110" i="29"/>
  <c r="AC109" i="29"/>
  <c r="AC108" i="29"/>
  <c r="AC107" i="29"/>
  <c r="AC106" i="29"/>
  <c r="AC105" i="29"/>
  <c r="AC104" i="29"/>
  <c r="AC103" i="29"/>
  <c r="AC102" i="29"/>
  <c r="AC101" i="29"/>
  <c r="AC100" i="29"/>
  <c r="AC99" i="29"/>
  <c r="AC98" i="29"/>
  <c r="AC97" i="29"/>
  <c r="AC96" i="29"/>
  <c r="AC95" i="29"/>
  <c r="AC94" i="29"/>
  <c r="AC93" i="29"/>
  <c r="AC92" i="29"/>
  <c r="AC91" i="29"/>
  <c r="AC90" i="29"/>
  <c r="AC89" i="29"/>
  <c r="AC88" i="29"/>
  <c r="AC87" i="29"/>
  <c r="AC86" i="29"/>
  <c r="AC85" i="29"/>
  <c r="AC84" i="29"/>
  <c r="AC83" i="29"/>
  <c r="AC82" i="29"/>
  <c r="AC81" i="29"/>
  <c r="AC80" i="29"/>
  <c r="AC79" i="29"/>
  <c r="AC78" i="29"/>
  <c r="AC77" i="29"/>
  <c r="AC76" i="29"/>
  <c r="AC75" i="29"/>
  <c r="AC74" i="29"/>
  <c r="AC73" i="29"/>
  <c r="AC72" i="29"/>
  <c r="AC71" i="29"/>
  <c r="AC70" i="29"/>
  <c r="AC69" i="29"/>
  <c r="AC68" i="29"/>
  <c r="AC67" i="29"/>
  <c r="AC66" i="29"/>
  <c r="AC65" i="29"/>
  <c r="AC64" i="29"/>
  <c r="AC63" i="29"/>
  <c r="AC62" i="29"/>
  <c r="AC61" i="29"/>
  <c r="AC60" i="29"/>
  <c r="AC59" i="29"/>
  <c r="AC58" i="29"/>
  <c r="AC57" i="29"/>
  <c r="AC56" i="29"/>
  <c r="AC55" i="29"/>
  <c r="AC54" i="29"/>
  <c r="AC53" i="29"/>
  <c r="AC52" i="29"/>
  <c r="AC51" i="29"/>
  <c r="AC50" i="29"/>
  <c r="AC49" i="29"/>
  <c r="AC48" i="29"/>
  <c r="AC47" i="29"/>
  <c r="AC46" i="29"/>
  <c r="AC45" i="29"/>
  <c r="AC44" i="29"/>
  <c r="AC43" i="29"/>
  <c r="AC42" i="29"/>
  <c r="AC41" i="29"/>
  <c r="AC40" i="29"/>
  <c r="AC39" i="29"/>
  <c r="AC38" i="29"/>
  <c r="AC37" i="29"/>
  <c r="AC36" i="29"/>
  <c r="AC35" i="29"/>
  <c r="AC34" i="29"/>
  <c r="AC33" i="29"/>
  <c r="AC32" i="29"/>
  <c r="AC31" i="29"/>
  <c r="AC30" i="29"/>
  <c r="AC29" i="29"/>
  <c r="AC28" i="29"/>
  <c r="AC27" i="29"/>
  <c r="AC26" i="29"/>
  <c r="AC25" i="29"/>
  <c r="AC24" i="29"/>
  <c r="AC23" i="29"/>
  <c r="AC22" i="29"/>
  <c r="AC21" i="29"/>
  <c r="AC20" i="29"/>
  <c r="AC19" i="29"/>
  <c r="AC18" i="29"/>
  <c r="AC17" i="29"/>
  <c r="AC16" i="29"/>
  <c r="I192" i="28"/>
  <c r="T75" i="27"/>
  <c r="E60" i="28"/>
  <c r="T181" i="27"/>
  <c r="T138" i="27"/>
  <c r="E170" i="28"/>
  <c r="T179" i="27"/>
  <c r="T125" i="27"/>
  <c r="T219" i="27"/>
  <c r="T17" i="27"/>
  <c r="T203" i="27"/>
  <c r="T158" i="27"/>
  <c r="T192" i="27"/>
  <c r="T191" i="27"/>
  <c r="Q42" i="27"/>
  <c r="V42" i="27"/>
  <c r="Q121" i="27"/>
  <c r="V121" i="27"/>
  <c r="Q124" i="27"/>
  <c r="V124" i="27"/>
  <c r="Q125" i="27"/>
  <c r="V125" i="27"/>
  <c r="Q201" i="27"/>
  <c r="V201" i="27"/>
  <c r="Q221" i="27"/>
  <c r="V221" i="27"/>
  <c r="F222" i="28"/>
  <c r="J222" i="28"/>
  <c r="AD222" i="28"/>
  <c r="Q220" i="27"/>
  <c r="V220" i="27"/>
  <c r="F221" i="28"/>
  <c r="J221" i="28"/>
  <c r="AF221" i="28"/>
  <c r="Q219" i="27"/>
  <c r="V219" i="27"/>
  <c r="F220" i="28"/>
  <c r="J220" i="28"/>
  <c r="AF220" i="28"/>
  <c r="Q218" i="27"/>
  <c r="V218" i="27"/>
  <c r="F219" i="28"/>
  <c r="J219" i="28"/>
  <c r="AD219" i="28"/>
  <c r="Q217" i="27"/>
  <c r="V217" i="27"/>
  <c r="F218" i="28"/>
  <c r="J218" i="28"/>
  <c r="AD218" i="28"/>
  <c r="Q216" i="27"/>
  <c r="V216" i="27"/>
  <c r="F217" i="28"/>
  <c r="J217" i="28"/>
  <c r="AD217" i="28"/>
  <c r="Q215" i="27"/>
  <c r="V215" i="27"/>
  <c r="F216" i="28"/>
  <c r="J216" i="28"/>
  <c r="AE216" i="28"/>
  <c r="Q214" i="27"/>
  <c r="V214" i="27"/>
  <c r="F215" i="28"/>
  <c r="J215" i="28"/>
  <c r="AD215" i="28"/>
  <c r="Q213" i="27"/>
  <c r="V213" i="27"/>
  <c r="F214" i="28"/>
  <c r="J214" i="28"/>
  <c r="AE214" i="28"/>
  <c r="Q212" i="27"/>
  <c r="V212" i="27"/>
  <c r="F213" i="28"/>
  <c r="J213" i="28"/>
  <c r="AE213" i="28"/>
  <c r="Q211" i="27"/>
  <c r="V211" i="27"/>
  <c r="F212" i="28"/>
  <c r="J212" i="28"/>
  <c r="AE212" i="28"/>
  <c r="Q210" i="27"/>
  <c r="V210" i="27"/>
  <c r="F211" i="28"/>
  <c r="J211" i="28"/>
  <c r="AE211" i="28"/>
  <c r="Q209" i="27"/>
  <c r="V209" i="27"/>
  <c r="F210" i="28"/>
  <c r="J210" i="28"/>
  <c r="AD210" i="28"/>
  <c r="Q208" i="27"/>
  <c r="V208" i="27"/>
  <c r="F209" i="28"/>
  <c r="J209" i="28"/>
  <c r="AD209" i="28"/>
  <c r="Q207" i="27"/>
  <c r="V207" i="27"/>
  <c r="F208" i="28"/>
  <c r="J208" i="28"/>
  <c r="AF208" i="28"/>
  <c r="Q206" i="27"/>
  <c r="V206" i="27"/>
  <c r="F207" i="28"/>
  <c r="J207" i="28"/>
  <c r="AE207" i="28"/>
  <c r="Q205" i="27"/>
  <c r="V205" i="27"/>
  <c r="F206" i="28"/>
  <c r="J206" i="28"/>
  <c r="AD206" i="28"/>
  <c r="Q204" i="27"/>
  <c r="V204" i="27"/>
  <c r="F205" i="28"/>
  <c r="J205" i="28"/>
  <c r="AD205" i="28"/>
  <c r="Q203" i="27"/>
  <c r="V203" i="27"/>
  <c r="F204" i="28"/>
  <c r="J204" i="28"/>
  <c r="AF204" i="28"/>
  <c r="Q202" i="27"/>
  <c r="V202" i="27"/>
  <c r="F203" i="28"/>
  <c r="J203" i="28"/>
  <c r="AD203" i="28"/>
  <c r="F202" i="28"/>
  <c r="J202" i="28"/>
  <c r="AD202" i="28"/>
  <c r="Q200" i="27"/>
  <c r="V200" i="27"/>
  <c r="F201" i="28"/>
  <c r="J201" i="28"/>
  <c r="AD201" i="28"/>
  <c r="Q199" i="27"/>
  <c r="V199" i="27"/>
  <c r="F200" i="28"/>
  <c r="J200" i="28"/>
  <c r="AF200" i="28"/>
  <c r="Q198" i="27"/>
  <c r="V198" i="27"/>
  <c r="F199" i="28"/>
  <c r="J199" i="28"/>
  <c r="AE199" i="28"/>
  <c r="Q197" i="27"/>
  <c r="V197" i="27"/>
  <c r="F198" i="28"/>
  <c r="J198" i="28"/>
  <c r="AF198" i="28"/>
  <c r="Q196" i="27"/>
  <c r="V196" i="27"/>
  <c r="F197" i="28"/>
  <c r="J197" i="28"/>
  <c r="AE197" i="28"/>
  <c r="Q195" i="27"/>
  <c r="V195" i="27"/>
  <c r="F196" i="28"/>
  <c r="J196" i="28"/>
  <c r="AE196" i="28"/>
  <c r="Q194" i="27"/>
  <c r="V194" i="27"/>
  <c r="F195" i="28"/>
  <c r="J195" i="28"/>
  <c r="AE195" i="28"/>
  <c r="Q193" i="27"/>
  <c r="V193" i="27"/>
  <c r="F194" i="28"/>
  <c r="J194" i="28"/>
  <c r="AE194" i="28"/>
  <c r="Q192" i="27"/>
  <c r="V192" i="27"/>
  <c r="F193" i="28"/>
  <c r="J193" i="28"/>
  <c r="AE193" i="28"/>
  <c r="Q191" i="27"/>
  <c r="V191" i="27"/>
  <c r="F192" i="28"/>
  <c r="J192" i="28"/>
  <c r="AE192" i="28"/>
  <c r="Q190" i="27"/>
  <c r="V190" i="27"/>
  <c r="F191" i="28"/>
  <c r="J191" i="28"/>
  <c r="AD191" i="28"/>
  <c r="Q189" i="27"/>
  <c r="V189" i="27"/>
  <c r="F190" i="28"/>
  <c r="J190" i="28"/>
  <c r="AD190" i="28"/>
  <c r="Q188" i="27"/>
  <c r="V188" i="27"/>
  <c r="F189" i="28"/>
  <c r="J189" i="28"/>
  <c r="AD189" i="28"/>
  <c r="Q187" i="27"/>
  <c r="V187" i="27"/>
  <c r="F188" i="28"/>
  <c r="J188" i="28"/>
  <c r="AE188" i="28"/>
  <c r="Q186" i="27"/>
  <c r="V186" i="27"/>
  <c r="F187" i="28"/>
  <c r="J187" i="28"/>
  <c r="AE187" i="28"/>
  <c r="Q185" i="27"/>
  <c r="V185" i="27"/>
  <c r="F186" i="28"/>
  <c r="J186" i="28"/>
  <c r="AE186" i="28"/>
  <c r="Q184" i="27"/>
  <c r="V184" i="27"/>
  <c r="F185" i="28"/>
  <c r="J185" i="28"/>
  <c r="AE185" i="28"/>
  <c r="Q183" i="27"/>
  <c r="V183" i="27"/>
  <c r="F184" i="28"/>
  <c r="J184" i="28"/>
  <c r="AD184" i="28"/>
  <c r="Q182" i="27"/>
  <c r="V182" i="27"/>
  <c r="F183" i="28"/>
  <c r="J183" i="28"/>
  <c r="AD183" i="28"/>
  <c r="Q181" i="27"/>
  <c r="V181" i="27"/>
  <c r="F182" i="28"/>
  <c r="J182" i="28"/>
  <c r="AD182" i="28"/>
  <c r="Q180" i="27"/>
  <c r="V180" i="27"/>
  <c r="F181" i="28"/>
  <c r="J181" i="28"/>
  <c r="AE181" i="28"/>
  <c r="Q179" i="27"/>
  <c r="V179" i="27"/>
  <c r="F180" i="28"/>
  <c r="J180" i="28"/>
  <c r="AD180" i="28"/>
  <c r="Q178" i="27"/>
  <c r="V178" i="27"/>
  <c r="F179" i="28"/>
  <c r="J179" i="28"/>
  <c r="AE179" i="28"/>
  <c r="Q177" i="27"/>
  <c r="V177" i="27"/>
  <c r="F178" i="28"/>
  <c r="J178" i="28"/>
  <c r="AD178" i="28"/>
  <c r="Q175" i="27"/>
  <c r="V175" i="27"/>
  <c r="F176" i="28"/>
  <c r="J176" i="28"/>
  <c r="AE176" i="28"/>
  <c r="Q174" i="27"/>
  <c r="V174" i="27"/>
  <c r="F175" i="28"/>
  <c r="J175" i="28"/>
  <c r="AD175" i="28"/>
  <c r="Q173" i="27"/>
  <c r="V173" i="27"/>
  <c r="F174" i="28"/>
  <c r="J174" i="28"/>
  <c r="AE174" i="28"/>
  <c r="Q172" i="27"/>
  <c r="V172" i="27"/>
  <c r="F173" i="28"/>
  <c r="J173" i="28"/>
  <c r="AE173" i="28"/>
  <c r="Q171" i="27"/>
  <c r="V171" i="27"/>
  <c r="F172" i="28"/>
  <c r="J172" i="28"/>
  <c r="AD172" i="28"/>
  <c r="Q170" i="27"/>
  <c r="V170" i="27"/>
  <c r="F171" i="28"/>
  <c r="J171" i="28"/>
  <c r="AE171" i="28"/>
  <c r="Q169" i="27"/>
  <c r="V169" i="27"/>
  <c r="F170" i="28"/>
  <c r="J170" i="28"/>
  <c r="AD170" i="28"/>
  <c r="Q168" i="27"/>
  <c r="V168" i="27"/>
  <c r="F169" i="28"/>
  <c r="J169" i="28"/>
  <c r="AD169" i="28"/>
  <c r="Q167" i="27"/>
  <c r="V167" i="27"/>
  <c r="F168" i="28"/>
  <c r="J168" i="28"/>
  <c r="AD168" i="28"/>
  <c r="Q166" i="27"/>
  <c r="V166" i="27"/>
  <c r="F167" i="28"/>
  <c r="J167" i="28"/>
  <c r="AD167" i="28"/>
  <c r="Q165" i="27"/>
  <c r="V165" i="27"/>
  <c r="F166" i="28"/>
  <c r="J166" i="28"/>
  <c r="AD166" i="28"/>
  <c r="Q164" i="27"/>
  <c r="V164" i="27"/>
  <c r="F165" i="28"/>
  <c r="J165" i="28"/>
  <c r="AD165" i="28"/>
  <c r="Q163" i="27"/>
  <c r="V163" i="27"/>
  <c r="F164" i="28"/>
  <c r="J164" i="28"/>
  <c r="AD164" i="28"/>
  <c r="Q162" i="27"/>
  <c r="V162" i="27"/>
  <c r="F163" i="28"/>
  <c r="J163" i="28"/>
  <c r="AD163" i="28"/>
  <c r="Q161" i="27"/>
  <c r="V161" i="27"/>
  <c r="F162" i="28"/>
  <c r="J162" i="28"/>
  <c r="AD162" i="28"/>
  <c r="Q160" i="27"/>
  <c r="V160" i="27"/>
  <c r="F161" i="28"/>
  <c r="J161" i="28"/>
  <c r="AE161" i="28"/>
  <c r="Q159" i="27"/>
  <c r="V159" i="27"/>
  <c r="F160" i="28"/>
  <c r="J160" i="28"/>
  <c r="AE160" i="28"/>
  <c r="Q158" i="27"/>
  <c r="V158" i="27"/>
  <c r="F159" i="28"/>
  <c r="J159" i="28"/>
  <c r="AE159" i="28"/>
  <c r="Q157" i="27"/>
  <c r="V157" i="27"/>
  <c r="F158" i="28"/>
  <c r="J158" i="28"/>
  <c r="AE158" i="28"/>
  <c r="Q156" i="27"/>
  <c r="V156" i="27"/>
  <c r="F157" i="28"/>
  <c r="J157" i="28"/>
  <c r="AE157" i="28"/>
  <c r="Q155" i="27"/>
  <c r="V155" i="27"/>
  <c r="F156" i="28"/>
  <c r="J156" i="28"/>
  <c r="AD156" i="28"/>
  <c r="Q154" i="27"/>
  <c r="V154" i="27"/>
  <c r="F155" i="28"/>
  <c r="J155" i="28"/>
  <c r="AD155" i="28"/>
  <c r="Q153" i="27"/>
  <c r="V153" i="27"/>
  <c r="F154" i="28"/>
  <c r="J154" i="28"/>
  <c r="AE154" i="28"/>
  <c r="Q152" i="27"/>
  <c r="V152" i="27"/>
  <c r="F153" i="28"/>
  <c r="J153" i="28"/>
  <c r="AE153" i="28"/>
  <c r="Q151" i="27"/>
  <c r="V151" i="27"/>
  <c r="F152" i="28"/>
  <c r="J152" i="28"/>
  <c r="AD152" i="28"/>
  <c r="Q150" i="27"/>
  <c r="V150" i="27"/>
  <c r="F151" i="28"/>
  <c r="J151" i="28"/>
  <c r="AF151" i="28"/>
  <c r="Q149" i="27"/>
  <c r="V149" i="27"/>
  <c r="F150" i="28"/>
  <c r="J150" i="28"/>
  <c r="AE150" i="28"/>
  <c r="Q148" i="27"/>
  <c r="V148" i="27"/>
  <c r="F149" i="28"/>
  <c r="J149" i="28"/>
  <c r="AE149" i="28"/>
  <c r="Q147" i="27"/>
  <c r="V147" i="27"/>
  <c r="F148" i="28"/>
  <c r="J148" i="28"/>
  <c r="AF148" i="28"/>
  <c r="Q146" i="27"/>
  <c r="V146" i="27"/>
  <c r="F147" i="28"/>
  <c r="J147" i="28"/>
  <c r="AD147" i="28"/>
  <c r="Q145" i="27"/>
  <c r="V145" i="27"/>
  <c r="F146" i="28"/>
  <c r="J146" i="28"/>
  <c r="AD146" i="28"/>
  <c r="Q144" i="27"/>
  <c r="V144" i="27"/>
  <c r="F145" i="28"/>
  <c r="J145" i="28"/>
  <c r="AF145" i="28"/>
  <c r="Q143" i="27"/>
  <c r="V143" i="27"/>
  <c r="F144" i="28"/>
  <c r="J144" i="28"/>
  <c r="AD144" i="28"/>
  <c r="Q142" i="27"/>
  <c r="V142" i="27"/>
  <c r="F143" i="28"/>
  <c r="J143" i="28"/>
  <c r="AE143" i="28"/>
  <c r="Q141" i="27"/>
  <c r="V141" i="27"/>
  <c r="F142" i="28"/>
  <c r="J142" i="28"/>
  <c r="AE142" i="28"/>
  <c r="Q140" i="27"/>
  <c r="V140" i="27"/>
  <c r="F141" i="28"/>
  <c r="J141" i="28"/>
  <c r="AF141" i="28"/>
  <c r="Q139" i="27"/>
  <c r="V139" i="27"/>
  <c r="F140" i="28"/>
  <c r="J140" i="28"/>
  <c r="AD140" i="28"/>
  <c r="Q138" i="27"/>
  <c r="V138" i="27"/>
  <c r="F139" i="28"/>
  <c r="J139" i="28"/>
  <c r="AD139" i="28"/>
  <c r="Q137" i="27"/>
  <c r="V137" i="27"/>
  <c r="F138" i="28"/>
  <c r="J138" i="28"/>
  <c r="AE138" i="28"/>
  <c r="Q136" i="27"/>
  <c r="V136" i="27"/>
  <c r="F137" i="28"/>
  <c r="J137" i="28"/>
  <c r="AE137" i="28"/>
  <c r="Q135" i="27"/>
  <c r="V135" i="27"/>
  <c r="F136" i="28"/>
  <c r="J136" i="28"/>
  <c r="AD136" i="28"/>
  <c r="Q134" i="27"/>
  <c r="V134" i="27"/>
  <c r="F135" i="28"/>
  <c r="J135" i="28"/>
  <c r="AD135" i="28"/>
  <c r="Q133" i="27"/>
  <c r="V133" i="27"/>
  <c r="F134" i="28"/>
  <c r="J134" i="28"/>
  <c r="AD134" i="28"/>
  <c r="Q132" i="27"/>
  <c r="V132" i="27"/>
  <c r="F133" i="28"/>
  <c r="J133" i="28"/>
  <c r="AD133" i="28"/>
  <c r="Q131" i="27"/>
  <c r="V131" i="27"/>
  <c r="F132" i="28"/>
  <c r="J132" i="28"/>
  <c r="AD132" i="28"/>
  <c r="Q130" i="27"/>
  <c r="V130" i="27"/>
  <c r="F131" i="28"/>
  <c r="J131" i="28"/>
  <c r="AD131" i="28"/>
  <c r="Q129" i="27"/>
  <c r="V129" i="27"/>
  <c r="F130" i="28"/>
  <c r="J130" i="28"/>
  <c r="AD130" i="28"/>
  <c r="Q128" i="27"/>
  <c r="V128" i="27"/>
  <c r="F129" i="28"/>
  <c r="J129" i="28"/>
  <c r="AD129" i="28"/>
  <c r="Q127" i="27"/>
  <c r="V127" i="27"/>
  <c r="F128" i="28"/>
  <c r="J128" i="28"/>
  <c r="AD128" i="28"/>
  <c r="Q126" i="27"/>
  <c r="V126" i="27"/>
  <c r="F127" i="28"/>
  <c r="J127" i="28"/>
  <c r="AD127" i="28"/>
  <c r="F126" i="28"/>
  <c r="J126" i="28"/>
  <c r="AE126" i="28"/>
  <c r="F125" i="28"/>
  <c r="J125" i="28"/>
  <c r="AD125" i="28"/>
  <c r="Q123" i="27"/>
  <c r="V123" i="27"/>
  <c r="F124" i="28"/>
  <c r="J124" i="28"/>
  <c r="AE124" i="28"/>
  <c r="Q122" i="27"/>
  <c r="V122" i="27"/>
  <c r="F123" i="28"/>
  <c r="J123" i="28"/>
  <c r="AE123" i="28"/>
  <c r="F122" i="28"/>
  <c r="J122" i="28"/>
  <c r="AF122" i="28"/>
  <c r="Q120" i="27"/>
  <c r="V120" i="27"/>
  <c r="F121" i="28"/>
  <c r="J121" i="28"/>
  <c r="AD121" i="28"/>
  <c r="Q119" i="27"/>
  <c r="V119" i="27"/>
  <c r="F120" i="28"/>
  <c r="J120" i="28"/>
  <c r="AE120" i="28"/>
  <c r="Q118" i="27"/>
  <c r="V118" i="27"/>
  <c r="F119" i="28"/>
  <c r="J119" i="28"/>
  <c r="AD119" i="28"/>
  <c r="Q117" i="27"/>
  <c r="V117" i="27"/>
  <c r="F117" i="28"/>
  <c r="J117" i="28"/>
  <c r="AD117" i="28"/>
  <c r="Q116" i="27"/>
  <c r="V116" i="27"/>
  <c r="F116" i="28"/>
  <c r="J116" i="28"/>
  <c r="AD116" i="28"/>
  <c r="Q115" i="27"/>
  <c r="V115" i="27"/>
  <c r="F115" i="28"/>
  <c r="J115" i="28"/>
  <c r="AE115" i="28"/>
  <c r="Q114" i="27"/>
  <c r="V114" i="27"/>
  <c r="F114" i="28"/>
  <c r="J114" i="28"/>
  <c r="AE114" i="28"/>
  <c r="Q113" i="27"/>
  <c r="V113" i="27"/>
  <c r="F113" i="28"/>
  <c r="J113" i="28"/>
  <c r="AD113" i="28"/>
  <c r="Q112" i="27"/>
  <c r="V112" i="27"/>
  <c r="F112" i="28"/>
  <c r="J112" i="28"/>
  <c r="AD112" i="28"/>
  <c r="Q111" i="27"/>
  <c r="V111" i="27"/>
  <c r="F111" i="28"/>
  <c r="J111" i="28"/>
  <c r="AD111" i="28"/>
  <c r="Q110" i="27"/>
  <c r="V110" i="27"/>
  <c r="F110" i="28"/>
  <c r="J110" i="28"/>
  <c r="AD110" i="28"/>
  <c r="Q109" i="27"/>
  <c r="V109" i="27"/>
  <c r="F109" i="28"/>
  <c r="J109" i="28"/>
  <c r="AD109" i="28"/>
  <c r="Q108" i="27"/>
  <c r="V108" i="27"/>
  <c r="F108" i="28"/>
  <c r="J108" i="28"/>
  <c r="AD108" i="28"/>
  <c r="Q107" i="27"/>
  <c r="V107" i="27"/>
  <c r="F107" i="28"/>
  <c r="J107" i="28"/>
  <c r="AD107" i="28"/>
  <c r="Q106" i="27"/>
  <c r="V106" i="27"/>
  <c r="F106" i="28"/>
  <c r="J106" i="28"/>
  <c r="AD106" i="28"/>
  <c r="Q105" i="27"/>
  <c r="V105" i="27"/>
  <c r="F105" i="28"/>
  <c r="J105" i="28"/>
  <c r="AD105" i="28"/>
  <c r="Q104" i="27"/>
  <c r="V104" i="27"/>
  <c r="F104" i="28"/>
  <c r="J104" i="28"/>
  <c r="AD104" i="28"/>
  <c r="Q103" i="27"/>
  <c r="V103" i="27"/>
  <c r="F103" i="28"/>
  <c r="J103" i="28"/>
  <c r="AD103" i="28"/>
  <c r="Q102" i="27"/>
  <c r="V102" i="27"/>
  <c r="F102" i="28"/>
  <c r="J102" i="28"/>
  <c r="AD102" i="28"/>
  <c r="Q101" i="27"/>
  <c r="V101" i="27"/>
  <c r="F101" i="28"/>
  <c r="J101" i="28"/>
  <c r="AD101" i="28"/>
  <c r="Q100" i="27"/>
  <c r="V100" i="27"/>
  <c r="F100" i="28"/>
  <c r="J100" i="28"/>
  <c r="AD100" i="28"/>
  <c r="Q99" i="27"/>
  <c r="V99" i="27"/>
  <c r="F99" i="28"/>
  <c r="J99" i="28"/>
  <c r="AD99" i="28"/>
  <c r="Q98" i="27"/>
  <c r="V98" i="27"/>
  <c r="Q97" i="27"/>
  <c r="V97" i="27"/>
  <c r="F97" i="28"/>
  <c r="J97" i="28"/>
  <c r="AD97" i="28"/>
  <c r="Q96" i="27"/>
  <c r="V96" i="27"/>
  <c r="F96" i="28"/>
  <c r="J96" i="28"/>
  <c r="AD96" i="28"/>
  <c r="Q95" i="27"/>
  <c r="V95" i="27"/>
  <c r="F95" i="28"/>
  <c r="J95" i="28"/>
  <c r="AD95" i="28"/>
  <c r="Q94" i="27"/>
  <c r="V94" i="27"/>
  <c r="F94" i="28"/>
  <c r="J94" i="28"/>
  <c r="AD94" i="28"/>
  <c r="Q93" i="27"/>
  <c r="V93" i="27"/>
  <c r="F93" i="28"/>
  <c r="J93" i="28"/>
  <c r="AD93" i="28"/>
  <c r="Q92" i="27"/>
  <c r="V92" i="27"/>
  <c r="F92" i="28"/>
  <c r="J92" i="28"/>
  <c r="AE92" i="28"/>
  <c r="Q91" i="27"/>
  <c r="V91" i="27"/>
  <c r="F91" i="28"/>
  <c r="J91" i="28"/>
  <c r="AE91" i="28"/>
  <c r="Q90" i="27"/>
  <c r="V90" i="27"/>
  <c r="F90" i="28"/>
  <c r="J90" i="28"/>
  <c r="AE90" i="28"/>
  <c r="Q89" i="27"/>
  <c r="V89" i="27"/>
  <c r="F89" i="28"/>
  <c r="J89" i="28"/>
  <c r="AD89" i="28"/>
  <c r="Q88" i="27"/>
  <c r="V88" i="27"/>
  <c r="F88" i="28"/>
  <c r="J88" i="28"/>
  <c r="AE88" i="28"/>
  <c r="Q87" i="27"/>
  <c r="V87" i="27"/>
  <c r="F87" i="28"/>
  <c r="J87" i="28"/>
  <c r="AE87" i="28"/>
  <c r="Q86" i="27"/>
  <c r="V86" i="27"/>
  <c r="F86" i="28"/>
  <c r="J86" i="28"/>
  <c r="AF86" i="28"/>
  <c r="Q85" i="27"/>
  <c r="V85" i="27"/>
  <c r="F85" i="28"/>
  <c r="J85" i="28"/>
  <c r="AF85" i="28"/>
  <c r="Q84" i="27"/>
  <c r="V84" i="27"/>
  <c r="F84" i="28"/>
  <c r="J84" i="28"/>
  <c r="AD84" i="28"/>
  <c r="Q83" i="27"/>
  <c r="V83" i="27"/>
  <c r="F83" i="28"/>
  <c r="J83" i="28"/>
  <c r="AD83" i="28"/>
  <c r="Q82" i="27"/>
  <c r="V82" i="27"/>
  <c r="F82" i="28"/>
  <c r="J82" i="28"/>
  <c r="AD82" i="28"/>
  <c r="Q81" i="27"/>
  <c r="V81" i="27"/>
  <c r="F81" i="28"/>
  <c r="J81" i="28"/>
  <c r="AD81" i="28"/>
  <c r="Q80" i="27"/>
  <c r="V80" i="27"/>
  <c r="F80" i="28"/>
  <c r="J80" i="28"/>
  <c r="AD80" i="28"/>
  <c r="Q79" i="27"/>
  <c r="V79" i="27"/>
  <c r="F79" i="28"/>
  <c r="J79" i="28"/>
  <c r="AD79" i="28"/>
  <c r="Q78" i="27"/>
  <c r="V78" i="27"/>
  <c r="F78" i="28"/>
  <c r="J78" i="28"/>
  <c r="AE78" i="28"/>
  <c r="Q77" i="27"/>
  <c r="V77" i="27"/>
  <c r="F77" i="28"/>
  <c r="J77" i="28"/>
  <c r="AE77" i="28"/>
  <c r="Q76" i="27"/>
  <c r="V76" i="27"/>
  <c r="F76" i="28"/>
  <c r="J76" i="28"/>
  <c r="AE76" i="28"/>
  <c r="Q75" i="27"/>
  <c r="V75" i="27"/>
  <c r="F75" i="28"/>
  <c r="J75" i="28"/>
  <c r="AD75" i="28"/>
  <c r="Q74" i="27"/>
  <c r="V74" i="27"/>
  <c r="F74" i="28"/>
  <c r="J74" i="28"/>
  <c r="AE74" i="28"/>
  <c r="Q73" i="27"/>
  <c r="V73" i="27"/>
  <c r="F73" i="28"/>
  <c r="J73" i="28"/>
  <c r="AE73" i="28"/>
  <c r="Q72" i="27"/>
  <c r="V72" i="27"/>
  <c r="F72" i="28"/>
  <c r="J72" i="28"/>
  <c r="AD72" i="28"/>
  <c r="Q71" i="27"/>
  <c r="V71" i="27"/>
  <c r="F71" i="28"/>
  <c r="J71" i="28"/>
  <c r="AD71" i="28"/>
  <c r="Q70" i="27"/>
  <c r="V70" i="27"/>
  <c r="F70" i="28"/>
  <c r="J70" i="28"/>
  <c r="AE70" i="28"/>
  <c r="Q69" i="27"/>
  <c r="V69" i="27"/>
  <c r="F69" i="28"/>
  <c r="J69" i="28"/>
  <c r="AD69" i="28"/>
  <c r="Q68" i="27"/>
  <c r="V68" i="27"/>
  <c r="F68" i="28"/>
  <c r="J68" i="28"/>
  <c r="AD68" i="28"/>
  <c r="Q67" i="27"/>
  <c r="V67" i="27"/>
  <c r="F67" i="28"/>
  <c r="J67" i="28"/>
  <c r="AD67" i="28"/>
  <c r="Q66" i="27"/>
  <c r="V66" i="27"/>
  <c r="F66" i="28"/>
  <c r="J66" i="28"/>
  <c r="AD66" i="28"/>
  <c r="Q65" i="27"/>
  <c r="V65" i="27"/>
  <c r="F65" i="28"/>
  <c r="J65" i="28"/>
  <c r="AD65" i="28"/>
  <c r="Q64" i="27"/>
  <c r="V64" i="27"/>
  <c r="F64" i="28"/>
  <c r="J64" i="28"/>
  <c r="AD64" i="28"/>
  <c r="Q63" i="27"/>
  <c r="V63" i="27"/>
  <c r="Q62" i="27"/>
  <c r="V62" i="27"/>
  <c r="F62" i="28"/>
  <c r="J62" i="28"/>
  <c r="AD62" i="28"/>
  <c r="Q61" i="27"/>
  <c r="V61" i="27"/>
  <c r="F61" i="28"/>
  <c r="J61" i="28"/>
  <c r="AD61" i="28"/>
  <c r="Q60" i="27"/>
  <c r="V60" i="27"/>
  <c r="F60" i="28"/>
  <c r="J60" i="28"/>
  <c r="AD60" i="28"/>
  <c r="Q59" i="27"/>
  <c r="V59" i="27"/>
  <c r="F59" i="28"/>
  <c r="J59" i="28"/>
  <c r="AD59" i="28"/>
  <c r="Q58" i="27"/>
  <c r="V58" i="27"/>
  <c r="F58" i="28"/>
  <c r="J58" i="28"/>
  <c r="AF58" i="28"/>
  <c r="Q57" i="27"/>
  <c r="V57" i="27"/>
  <c r="F57" i="28"/>
  <c r="J57" i="28"/>
  <c r="AE57" i="28"/>
  <c r="Q56" i="27"/>
  <c r="V56" i="27"/>
  <c r="F56" i="28"/>
  <c r="J56" i="28"/>
  <c r="AE56" i="28"/>
  <c r="Q55" i="27"/>
  <c r="V55" i="27"/>
  <c r="F55" i="28"/>
  <c r="J55" i="28"/>
  <c r="AF55" i="28"/>
  <c r="Q54" i="27"/>
  <c r="V54" i="27"/>
  <c r="F54" i="28"/>
  <c r="J54" i="28"/>
  <c r="AE54" i="28"/>
  <c r="Q53" i="27"/>
  <c r="V53" i="27"/>
  <c r="F53" i="28"/>
  <c r="J53" i="28"/>
  <c r="AE53" i="28"/>
  <c r="Q52" i="27"/>
  <c r="V52" i="27"/>
  <c r="F52" i="28"/>
  <c r="J52" i="28"/>
  <c r="AE52" i="28"/>
  <c r="Q51" i="27"/>
  <c r="V51" i="27"/>
  <c r="F51" i="28"/>
  <c r="J51" i="28"/>
  <c r="AE51" i="28"/>
  <c r="Q50" i="27"/>
  <c r="V50" i="27"/>
  <c r="F50" i="28"/>
  <c r="J50" i="28"/>
  <c r="AE50" i="28"/>
  <c r="Q49" i="27"/>
  <c r="V49" i="27"/>
  <c r="F49" i="28"/>
  <c r="J49" i="28"/>
  <c r="AD49" i="28"/>
  <c r="Q48" i="27"/>
  <c r="V48" i="27"/>
  <c r="F48" i="28"/>
  <c r="J48" i="28"/>
  <c r="AD48" i="28"/>
  <c r="Q47" i="27"/>
  <c r="V47" i="27"/>
  <c r="F47" i="28"/>
  <c r="J47" i="28"/>
  <c r="AD47" i="28"/>
  <c r="Q46" i="27"/>
  <c r="V46" i="27"/>
  <c r="F46" i="28"/>
  <c r="J46" i="28"/>
  <c r="AE46" i="28"/>
  <c r="Q45" i="27"/>
  <c r="V45" i="27"/>
  <c r="F45" i="28"/>
  <c r="J45" i="28"/>
  <c r="AD45" i="28"/>
  <c r="Q44" i="27"/>
  <c r="V44" i="27"/>
  <c r="F44" i="28"/>
  <c r="J44" i="28"/>
  <c r="AD44" i="28"/>
  <c r="Q43" i="27"/>
  <c r="V43" i="27"/>
  <c r="F43" i="28"/>
  <c r="J43" i="28"/>
  <c r="AE43" i="28"/>
  <c r="F42" i="28"/>
  <c r="J42" i="28"/>
  <c r="AD42" i="28"/>
  <c r="Q41" i="27"/>
  <c r="V41" i="27"/>
  <c r="F41" i="28"/>
  <c r="J41" i="28"/>
  <c r="AD41" i="28"/>
  <c r="Q40" i="27"/>
  <c r="V40" i="27"/>
  <c r="F40" i="28"/>
  <c r="J40" i="28"/>
  <c r="AF40" i="28"/>
  <c r="Q39" i="27"/>
  <c r="V39" i="27"/>
  <c r="F39" i="28"/>
  <c r="J39" i="28"/>
  <c r="AD39" i="28"/>
  <c r="Q38" i="27"/>
  <c r="V38" i="27"/>
  <c r="F38" i="28"/>
  <c r="J38" i="28"/>
  <c r="AD38" i="28"/>
  <c r="Q37" i="27"/>
  <c r="V37" i="27"/>
  <c r="F37" i="28"/>
  <c r="J37" i="28"/>
  <c r="AD37" i="28"/>
  <c r="Q36" i="27"/>
  <c r="V36" i="27"/>
  <c r="F36" i="28"/>
  <c r="J36" i="28"/>
  <c r="AD36" i="28"/>
  <c r="Q35" i="27"/>
  <c r="V35" i="27"/>
  <c r="F35" i="28"/>
  <c r="J35" i="28"/>
  <c r="AD35" i="28"/>
  <c r="Q34" i="27"/>
  <c r="V34" i="27"/>
  <c r="F34" i="28"/>
  <c r="J34" i="28"/>
  <c r="AD34" i="28"/>
  <c r="Q33" i="27"/>
  <c r="V33" i="27"/>
  <c r="F33" i="28"/>
  <c r="J33" i="28"/>
  <c r="AD33" i="28"/>
  <c r="Q32" i="27"/>
  <c r="V32" i="27"/>
  <c r="F32" i="28"/>
  <c r="J32" i="28"/>
  <c r="AD32" i="28"/>
  <c r="Q31" i="27"/>
  <c r="V31" i="27"/>
  <c r="F31" i="28"/>
  <c r="J31" i="28"/>
  <c r="AD31" i="28"/>
  <c r="Q30" i="27"/>
  <c r="V30" i="27"/>
  <c r="F30" i="28"/>
  <c r="J30" i="28"/>
  <c r="AD30" i="28"/>
  <c r="Q29" i="27"/>
  <c r="V29" i="27"/>
  <c r="F29" i="28"/>
  <c r="J29" i="28"/>
  <c r="AD29" i="28"/>
  <c r="Q28" i="27"/>
  <c r="V28" i="27"/>
  <c r="F28" i="28"/>
  <c r="J28" i="28"/>
  <c r="AE28" i="28"/>
  <c r="Q27" i="27"/>
  <c r="V27" i="27"/>
  <c r="F27" i="28"/>
  <c r="J27" i="28"/>
  <c r="AD27" i="28"/>
  <c r="Q26" i="27"/>
  <c r="V26" i="27"/>
  <c r="F26" i="28"/>
  <c r="J26" i="28"/>
  <c r="AD26" i="28"/>
  <c r="Q25" i="27"/>
  <c r="V25" i="27"/>
  <c r="F25" i="28"/>
  <c r="J25" i="28"/>
  <c r="AD25" i="28"/>
  <c r="Q24" i="27"/>
  <c r="V24" i="27"/>
  <c r="F24" i="28"/>
  <c r="J24" i="28"/>
  <c r="AE24" i="28"/>
  <c r="Q23" i="27"/>
  <c r="V23" i="27"/>
  <c r="F23" i="28"/>
  <c r="J23" i="28"/>
  <c r="AD23" i="28"/>
  <c r="Q22" i="27"/>
  <c r="V22" i="27"/>
  <c r="F22" i="28"/>
  <c r="J22" i="28"/>
  <c r="AD22" i="28"/>
  <c r="Q21" i="27"/>
  <c r="V21" i="27"/>
  <c r="F21" i="28"/>
  <c r="J21" i="28"/>
  <c r="AD21" i="28"/>
  <c r="Q20" i="27"/>
  <c r="V20" i="27"/>
  <c r="F20" i="28"/>
  <c r="J20" i="28"/>
  <c r="AE20" i="28"/>
  <c r="Q19" i="27"/>
  <c r="V19" i="27"/>
  <c r="F19" i="28"/>
  <c r="J19" i="28"/>
  <c r="AE19" i="28"/>
  <c r="Q18" i="27"/>
  <c r="V18" i="27"/>
  <c r="F18" i="28"/>
  <c r="J18" i="28"/>
  <c r="AE18" i="28"/>
  <c r="Q17" i="27"/>
  <c r="V17" i="27"/>
  <c r="F17" i="28"/>
  <c r="J17" i="28"/>
  <c r="AD17" i="28"/>
  <c r="Q16" i="27"/>
  <c r="V16" i="27"/>
  <c r="F16" i="28"/>
  <c r="X16" i="28"/>
  <c r="X17" i="28"/>
  <c r="X18" i="28"/>
  <c r="X19" i="28"/>
  <c r="X20" i="28"/>
  <c r="X21" i="28"/>
  <c r="X22" i="28"/>
  <c r="X23" i="28"/>
  <c r="X24" i="28"/>
  <c r="X25" i="28"/>
  <c r="X26" i="28"/>
  <c r="X27" i="28"/>
  <c r="X28" i="28"/>
  <c r="X29" i="28"/>
  <c r="X30" i="28"/>
  <c r="X31" i="28"/>
  <c r="X32" i="28"/>
  <c r="X33" i="28"/>
  <c r="X34" i="28"/>
  <c r="X35" i="28"/>
  <c r="X36" i="28"/>
  <c r="X37" i="28"/>
  <c r="X38" i="28"/>
  <c r="X39" i="28"/>
  <c r="X40" i="28"/>
  <c r="X41" i="28"/>
  <c r="X42" i="28"/>
  <c r="X43" i="28"/>
  <c r="X44" i="28"/>
  <c r="X45" i="28"/>
  <c r="X46" i="28"/>
  <c r="X47" i="28"/>
  <c r="X48" i="28"/>
  <c r="X49" i="28"/>
  <c r="X50" i="28"/>
  <c r="X51" i="28"/>
  <c r="X52" i="28"/>
  <c r="X53" i="28"/>
  <c r="X54" i="28"/>
  <c r="X55" i="28"/>
  <c r="X56" i="28"/>
  <c r="X57" i="28"/>
  <c r="X58" i="28"/>
  <c r="X59" i="28"/>
  <c r="X60" i="28"/>
  <c r="X61" i="28"/>
  <c r="X62" i="28"/>
  <c r="X63" i="28"/>
  <c r="X64" i="28"/>
  <c r="X65" i="28"/>
  <c r="X66" i="28"/>
  <c r="X67" i="28"/>
  <c r="X68" i="28"/>
  <c r="X69" i="28"/>
  <c r="X70" i="28"/>
  <c r="X71" i="28"/>
  <c r="X72" i="28"/>
  <c r="X73" i="28"/>
  <c r="X74" i="28"/>
  <c r="X75" i="28"/>
  <c r="X76" i="28"/>
  <c r="X77" i="28"/>
  <c r="X78" i="28"/>
  <c r="X79" i="28"/>
  <c r="X80" i="28"/>
  <c r="X81" i="28"/>
  <c r="X82" i="28"/>
  <c r="X83" i="28"/>
  <c r="X84" i="28"/>
  <c r="X85" i="28"/>
  <c r="X86" i="28"/>
  <c r="X87" i="28"/>
  <c r="X88" i="28"/>
  <c r="X89" i="28"/>
  <c r="X90" i="28"/>
  <c r="X91" i="28"/>
  <c r="X92" i="28"/>
  <c r="X93" i="28"/>
  <c r="X94" i="28"/>
  <c r="X95" i="28"/>
  <c r="X96" i="28"/>
  <c r="X97" i="28"/>
  <c r="X98" i="28"/>
  <c r="X99" i="28"/>
  <c r="X100" i="28"/>
  <c r="X101" i="28"/>
  <c r="X102" i="28"/>
  <c r="X103" i="28"/>
  <c r="X104" i="28"/>
  <c r="X105" i="28"/>
  <c r="X106" i="28"/>
  <c r="X107" i="28"/>
  <c r="X108" i="28"/>
  <c r="X109" i="28"/>
  <c r="X110" i="28"/>
  <c r="X111" i="28"/>
  <c r="X112" i="28"/>
  <c r="X113" i="28"/>
  <c r="X114" i="28"/>
  <c r="X115" i="28"/>
  <c r="X116" i="28"/>
  <c r="X117" i="28"/>
  <c r="X119" i="28"/>
  <c r="X120" i="28"/>
  <c r="X121" i="28"/>
  <c r="X122" i="28"/>
  <c r="X123" i="28"/>
  <c r="X124" i="28"/>
  <c r="X125" i="28"/>
  <c r="X126" i="28"/>
  <c r="X127" i="28"/>
  <c r="X128" i="28"/>
  <c r="X129" i="28"/>
  <c r="X130" i="28"/>
  <c r="X131" i="28"/>
  <c r="X132" i="28"/>
  <c r="X133" i="28"/>
  <c r="X134" i="28"/>
  <c r="X135" i="28"/>
  <c r="X136" i="28"/>
  <c r="X137" i="28"/>
  <c r="X138" i="28"/>
  <c r="X139" i="28"/>
  <c r="X140" i="28"/>
  <c r="X141" i="28"/>
  <c r="X142" i="28"/>
  <c r="X143" i="28"/>
  <c r="X144" i="28"/>
  <c r="X145" i="28"/>
  <c r="X146" i="28"/>
  <c r="X147" i="28"/>
  <c r="X148" i="28"/>
  <c r="X149" i="28"/>
  <c r="X150" i="28"/>
  <c r="X151" i="28"/>
  <c r="X152" i="28"/>
  <c r="X153" i="28"/>
  <c r="X154" i="28"/>
  <c r="X155" i="28"/>
  <c r="X156" i="28"/>
  <c r="X157" i="28"/>
  <c r="X158" i="28"/>
  <c r="X159" i="28"/>
  <c r="X160" i="28"/>
  <c r="X161" i="28"/>
  <c r="X162" i="28"/>
  <c r="X163" i="28"/>
  <c r="X164" i="28"/>
  <c r="X165" i="28"/>
  <c r="X166" i="28"/>
  <c r="X167" i="28"/>
  <c r="X168" i="28"/>
  <c r="X169" i="28"/>
  <c r="X170" i="28"/>
  <c r="X171" i="28"/>
  <c r="X172" i="28"/>
  <c r="X173" i="28"/>
  <c r="X174" i="28"/>
  <c r="X175" i="28"/>
  <c r="X176" i="28"/>
  <c r="X177" i="28"/>
  <c r="X178" i="28"/>
  <c r="X179" i="28"/>
  <c r="X180" i="28"/>
  <c r="X181" i="28"/>
  <c r="X182" i="28"/>
  <c r="X183" i="28"/>
  <c r="X184" i="28"/>
  <c r="X185" i="28"/>
  <c r="X186" i="28"/>
  <c r="X187" i="28"/>
  <c r="X188" i="28"/>
  <c r="X189" i="28"/>
  <c r="X190" i="28"/>
  <c r="X191" i="28"/>
  <c r="X192" i="28"/>
  <c r="X193" i="28"/>
  <c r="X194" i="28"/>
  <c r="X195" i="28"/>
  <c r="X196" i="28"/>
  <c r="X197" i="28"/>
  <c r="X198" i="28"/>
  <c r="X199" i="28"/>
  <c r="X200" i="28"/>
  <c r="X201" i="28"/>
  <c r="X202" i="28"/>
  <c r="X203" i="28"/>
  <c r="X204" i="28"/>
  <c r="X205" i="28"/>
  <c r="X206" i="28"/>
  <c r="X207" i="28"/>
  <c r="X208" i="28"/>
  <c r="X209" i="28"/>
  <c r="X210" i="28"/>
  <c r="X211" i="28"/>
  <c r="X212" i="28"/>
  <c r="X213" i="28"/>
  <c r="X214" i="28"/>
  <c r="X215" i="28"/>
  <c r="X216" i="28"/>
  <c r="X217" i="28"/>
  <c r="X218" i="28"/>
  <c r="X219" i="28"/>
  <c r="X220" i="28"/>
  <c r="X221" i="28"/>
  <c r="X222" i="28"/>
  <c r="AA223" i="28"/>
  <c r="AA231" i="28"/>
  <c r="Y16" i="28"/>
  <c r="Y17" i="28"/>
  <c r="Y18" i="28"/>
  <c r="Y19" i="28"/>
  <c r="Y20" i="28"/>
  <c r="Y21" i="28"/>
  <c r="Y22" i="28"/>
  <c r="Y23" i="28"/>
  <c r="Y24" i="28"/>
  <c r="Z24" i="28"/>
  <c r="AC24" i="28"/>
  <c r="Y25" i="28"/>
  <c r="Y26" i="28"/>
  <c r="Y27" i="28"/>
  <c r="Y28" i="28"/>
  <c r="Y29" i="28"/>
  <c r="Y30" i="28"/>
  <c r="Y31" i="28"/>
  <c r="Y32" i="28"/>
  <c r="Y33" i="28"/>
  <c r="Y34" i="28"/>
  <c r="Y35" i="28"/>
  <c r="Y36" i="28"/>
  <c r="Y37" i="28"/>
  <c r="Y38" i="28"/>
  <c r="Y39" i="28"/>
  <c r="Y40" i="28"/>
  <c r="Y41" i="28"/>
  <c r="Y42" i="28"/>
  <c r="Y43" i="28"/>
  <c r="Y44" i="28"/>
  <c r="Y45" i="28"/>
  <c r="Y46" i="28"/>
  <c r="Y47" i="28"/>
  <c r="Y48" i="28"/>
  <c r="Y49" i="28"/>
  <c r="Y50" i="28"/>
  <c r="Y51" i="28"/>
  <c r="Y52" i="28"/>
  <c r="Y53" i="28"/>
  <c r="Y54" i="28"/>
  <c r="Y55" i="28"/>
  <c r="Y56" i="28"/>
  <c r="Y57" i="28"/>
  <c r="Y58" i="28"/>
  <c r="Y59" i="28"/>
  <c r="Y60" i="28"/>
  <c r="Y61" i="28"/>
  <c r="Y62" i="28"/>
  <c r="Y63" i="28"/>
  <c r="Y64" i="28"/>
  <c r="Y65" i="28"/>
  <c r="Y66" i="28"/>
  <c r="Y67" i="28"/>
  <c r="Y68" i="28"/>
  <c r="Y69" i="28"/>
  <c r="Y70" i="28"/>
  <c r="Y71" i="28"/>
  <c r="Y72" i="28"/>
  <c r="Y73" i="28"/>
  <c r="Y74" i="28"/>
  <c r="Y75" i="28"/>
  <c r="Y76" i="28"/>
  <c r="Y77" i="28"/>
  <c r="Y78" i="28"/>
  <c r="Y79" i="28"/>
  <c r="Y80" i="28"/>
  <c r="Y81" i="28"/>
  <c r="Y82" i="28"/>
  <c r="Y83" i="28"/>
  <c r="Y84" i="28"/>
  <c r="Y85" i="28"/>
  <c r="Y86" i="28"/>
  <c r="Y87" i="28"/>
  <c r="Y88" i="28"/>
  <c r="Y89" i="28"/>
  <c r="Y90" i="28"/>
  <c r="Y91" i="28"/>
  <c r="Y92" i="28"/>
  <c r="Y93" i="28"/>
  <c r="Y94" i="28"/>
  <c r="Y95" i="28"/>
  <c r="Y96" i="28"/>
  <c r="Y97" i="28"/>
  <c r="Y98" i="28"/>
  <c r="Y99" i="28"/>
  <c r="Y100" i="28"/>
  <c r="Y101" i="28"/>
  <c r="Y102" i="28"/>
  <c r="Y103" i="28"/>
  <c r="Y104" i="28"/>
  <c r="Y105" i="28"/>
  <c r="Y106" i="28"/>
  <c r="Y107" i="28"/>
  <c r="Y108" i="28"/>
  <c r="Y109" i="28"/>
  <c r="Y110" i="28"/>
  <c r="Y111" i="28"/>
  <c r="Y112" i="28"/>
  <c r="Y113" i="28"/>
  <c r="Y114" i="28"/>
  <c r="Y115" i="28"/>
  <c r="Y116" i="28"/>
  <c r="Y117" i="28"/>
  <c r="Y119" i="28"/>
  <c r="Y120" i="28"/>
  <c r="Y121" i="28"/>
  <c r="Y122" i="28"/>
  <c r="Y123" i="28"/>
  <c r="Y124" i="28"/>
  <c r="Y125" i="28"/>
  <c r="Y126" i="28"/>
  <c r="Y127" i="28"/>
  <c r="Y128" i="28"/>
  <c r="Y129" i="28"/>
  <c r="Y130" i="28"/>
  <c r="Y131" i="28"/>
  <c r="Y132" i="28"/>
  <c r="Y133" i="28"/>
  <c r="Y134" i="28"/>
  <c r="Y135" i="28"/>
  <c r="Y136" i="28"/>
  <c r="Y137" i="28"/>
  <c r="Y138" i="28"/>
  <c r="Y139" i="28"/>
  <c r="Y140" i="28"/>
  <c r="Y141" i="28"/>
  <c r="Y142" i="28"/>
  <c r="Y143" i="28"/>
  <c r="Y144" i="28"/>
  <c r="Y145" i="28"/>
  <c r="Y146" i="28"/>
  <c r="Y147" i="28"/>
  <c r="Y148" i="28"/>
  <c r="Y149" i="28"/>
  <c r="Y150" i="28"/>
  <c r="Y151" i="28"/>
  <c r="Y152" i="28"/>
  <c r="Y153" i="28"/>
  <c r="Y154" i="28"/>
  <c r="Y155" i="28"/>
  <c r="Y156" i="28"/>
  <c r="Y157" i="28"/>
  <c r="Y158" i="28"/>
  <c r="Y159" i="28"/>
  <c r="Y160" i="28"/>
  <c r="Y161" i="28"/>
  <c r="Y162" i="28"/>
  <c r="Y163" i="28"/>
  <c r="Y164" i="28"/>
  <c r="Y165" i="28"/>
  <c r="Y166" i="28"/>
  <c r="Y167" i="28"/>
  <c r="Y168" i="28"/>
  <c r="Y169" i="28"/>
  <c r="Y170" i="28"/>
  <c r="Y171" i="28"/>
  <c r="Y172" i="28"/>
  <c r="Y173" i="28"/>
  <c r="Y174" i="28"/>
  <c r="Y175" i="28"/>
  <c r="Y176" i="28"/>
  <c r="Y177" i="28"/>
  <c r="Y178" i="28"/>
  <c r="Y179" i="28"/>
  <c r="Y180" i="28"/>
  <c r="Y181" i="28"/>
  <c r="Y182" i="28"/>
  <c r="Y183" i="28"/>
  <c r="Y184" i="28"/>
  <c r="Y185" i="28"/>
  <c r="Y186" i="28"/>
  <c r="Y187" i="28"/>
  <c r="Y188" i="28"/>
  <c r="Y189" i="28"/>
  <c r="Y190" i="28"/>
  <c r="Y191" i="28"/>
  <c r="Y192" i="28"/>
  <c r="Y193" i="28"/>
  <c r="Y194" i="28"/>
  <c r="Y195" i="28"/>
  <c r="Y196" i="28"/>
  <c r="Y197" i="28"/>
  <c r="Y198" i="28"/>
  <c r="Y199" i="28"/>
  <c r="Y200" i="28"/>
  <c r="Y201" i="28"/>
  <c r="Y202" i="28"/>
  <c r="Y203" i="28"/>
  <c r="Y204" i="28"/>
  <c r="Y205" i="28"/>
  <c r="Y206" i="28"/>
  <c r="Y207" i="28"/>
  <c r="Y208" i="28"/>
  <c r="Y209" i="28"/>
  <c r="Y210" i="28"/>
  <c r="Y211" i="28"/>
  <c r="Y212" i="28"/>
  <c r="Y213" i="28"/>
  <c r="Y214" i="28"/>
  <c r="Y215" i="28"/>
  <c r="Y216" i="28"/>
  <c r="Y217" i="28"/>
  <c r="Y218" i="28"/>
  <c r="Y219" i="28"/>
  <c r="Y220" i="28"/>
  <c r="Y221" i="28"/>
  <c r="Y222" i="28"/>
  <c r="AB223" i="28"/>
  <c r="AA234" i="28"/>
  <c r="Z16" i="28"/>
  <c r="Z17" i="28"/>
  <c r="Z18" i="28"/>
  <c r="Z19" i="28"/>
  <c r="Z20" i="28"/>
  <c r="Z21" i="28"/>
  <c r="Z22" i="28"/>
  <c r="Z23" i="28"/>
  <c r="Z25" i="28"/>
  <c r="Z26" i="28"/>
  <c r="Z27" i="28"/>
  <c r="Z28" i="28"/>
  <c r="Z29" i="28"/>
  <c r="Z30" i="28"/>
  <c r="Z31" i="28"/>
  <c r="Z32" i="28"/>
  <c r="Z33" i="28"/>
  <c r="Z34" i="28"/>
  <c r="Z35" i="28"/>
  <c r="Z36" i="28"/>
  <c r="Z37" i="28"/>
  <c r="Z38" i="28"/>
  <c r="Z39" i="28"/>
  <c r="Z40" i="28"/>
  <c r="Z41" i="28"/>
  <c r="Z42" i="28"/>
  <c r="Z43" i="28"/>
  <c r="Z44" i="28"/>
  <c r="Z45" i="28"/>
  <c r="Z46" i="28"/>
  <c r="Z47" i="28"/>
  <c r="Z48" i="28"/>
  <c r="Z49" i="28"/>
  <c r="Z50" i="28"/>
  <c r="Z51" i="28"/>
  <c r="Z52" i="28"/>
  <c r="Z53" i="28"/>
  <c r="Z54" i="28"/>
  <c r="Z55" i="28"/>
  <c r="Z56" i="28"/>
  <c r="Z57" i="28"/>
  <c r="Z58" i="28"/>
  <c r="Z59" i="28"/>
  <c r="Z60" i="28"/>
  <c r="Z61" i="28"/>
  <c r="Z62" i="28"/>
  <c r="Z63" i="28"/>
  <c r="Z64" i="28"/>
  <c r="Z65" i="28"/>
  <c r="Z66" i="28"/>
  <c r="Z67" i="28"/>
  <c r="Z68" i="28"/>
  <c r="Z69" i="28"/>
  <c r="Z70" i="28"/>
  <c r="Z71" i="28"/>
  <c r="Z72" i="28"/>
  <c r="Z73" i="28"/>
  <c r="Z74" i="28"/>
  <c r="Z75" i="28"/>
  <c r="Z76" i="28"/>
  <c r="Z77" i="28"/>
  <c r="Z78" i="28"/>
  <c r="Z79" i="28"/>
  <c r="Z80" i="28"/>
  <c r="Z81" i="28"/>
  <c r="Z82" i="28"/>
  <c r="Z83" i="28"/>
  <c r="Z84" i="28"/>
  <c r="Z85" i="28"/>
  <c r="Z86" i="28"/>
  <c r="Z87" i="28"/>
  <c r="Z88" i="28"/>
  <c r="Z89" i="28"/>
  <c r="Z90" i="28"/>
  <c r="Z91" i="28"/>
  <c r="Z92" i="28"/>
  <c r="Z93" i="28"/>
  <c r="Z94" i="28"/>
  <c r="Z95" i="28"/>
  <c r="Z96" i="28"/>
  <c r="Z97" i="28"/>
  <c r="Z98" i="28"/>
  <c r="Z99" i="28"/>
  <c r="Z100" i="28"/>
  <c r="Z101" i="28"/>
  <c r="Z102" i="28"/>
  <c r="Z103" i="28"/>
  <c r="Z104" i="28"/>
  <c r="Z105" i="28"/>
  <c r="Z106" i="28"/>
  <c r="Z107" i="28"/>
  <c r="Z108" i="28"/>
  <c r="Z109" i="28"/>
  <c r="Z110" i="28"/>
  <c r="Z111" i="28"/>
  <c r="Z112" i="28"/>
  <c r="Z113" i="28"/>
  <c r="Z114" i="28"/>
  <c r="Z115" i="28"/>
  <c r="Z116" i="28"/>
  <c r="Z117" i="28"/>
  <c r="Z119" i="28"/>
  <c r="Z120" i="28"/>
  <c r="Z121" i="28"/>
  <c r="Z122" i="28"/>
  <c r="Z123" i="28"/>
  <c r="Z124" i="28"/>
  <c r="Z125" i="28"/>
  <c r="Z126" i="28"/>
  <c r="Z127" i="28"/>
  <c r="Z128" i="28"/>
  <c r="Z129" i="28"/>
  <c r="Z130" i="28"/>
  <c r="Z131" i="28"/>
  <c r="Z132" i="28"/>
  <c r="Z133" i="28"/>
  <c r="Z134" i="28"/>
  <c r="Z135" i="28"/>
  <c r="Z136" i="28"/>
  <c r="Z137" i="28"/>
  <c r="Z138" i="28"/>
  <c r="Z139" i="28"/>
  <c r="Z140" i="28"/>
  <c r="Z141" i="28"/>
  <c r="Z142" i="28"/>
  <c r="Z143" i="28"/>
  <c r="Z144" i="28"/>
  <c r="Z145" i="28"/>
  <c r="Z146" i="28"/>
  <c r="Z147" i="28"/>
  <c r="Z148" i="28"/>
  <c r="Z149" i="28"/>
  <c r="Z150" i="28"/>
  <c r="Z151" i="28"/>
  <c r="Z152" i="28"/>
  <c r="Z153" i="28"/>
  <c r="Z154" i="28"/>
  <c r="Z155" i="28"/>
  <c r="Z156" i="28"/>
  <c r="Z157" i="28"/>
  <c r="Z158" i="28"/>
  <c r="Z159" i="28"/>
  <c r="Z160" i="28"/>
  <c r="Z161" i="28"/>
  <c r="Z162" i="28"/>
  <c r="Z163" i="28"/>
  <c r="Z164" i="28"/>
  <c r="Z165" i="28"/>
  <c r="Z166" i="28"/>
  <c r="Z167" i="28"/>
  <c r="Z168" i="28"/>
  <c r="Z169" i="28"/>
  <c r="Z170" i="28"/>
  <c r="Z171" i="28"/>
  <c r="Z172" i="28"/>
  <c r="Z173" i="28"/>
  <c r="Z174" i="28"/>
  <c r="Z175" i="28"/>
  <c r="Z176" i="28"/>
  <c r="Z177" i="28"/>
  <c r="Z178" i="28"/>
  <c r="Z179" i="28"/>
  <c r="Z180" i="28"/>
  <c r="Z181" i="28"/>
  <c r="Z182" i="28"/>
  <c r="Z183" i="28"/>
  <c r="Z184" i="28"/>
  <c r="Z185" i="28"/>
  <c r="Z186" i="28"/>
  <c r="Z187" i="28"/>
  <c r="Z188" i="28"/>
  <c r="Z189" i="28"/>
  <c r="Z190" i="28"/>
  <c r="Z191" i="28"/>
  <c r="Z192" i="28"/>
  <c r="Z193" i="28"/>
  <c r="Z194" i="28"/>
  <c r="Z195" i="28"/>
  <c r="Z196" i="28"/>
  <c r="Z197" i="28"/>
  <c r="Z198" i="28"/>
  <c r="Z199" i="28"/>
  <c r="Z200" i="28"/>
  <c r="Z201" i="28"/>
  <c r="Z202" i="28"/>
  <c r="Z203" i="28"/>
  <c r="Z204" i="28"/>
  <c r="Z205" i="28"/>
  <c r="Z206" i="28"/>
  <c r="Z207" i="28"/>
  <c r="Z208" i="28"/>
  <c r="Z209" i="28"/>
  <c r="Z210" i="28"/>
  <c r="Z211" i="28"/>
  <c r="Z212" i="28"/>
  <c r="Z213" i="28"/>
  <c r="Z214" i="28"/>
  <c r="Z215" i="28"/>
  <c r="Z216" i="28"/>
  <c r="Z217" i="28"/>
  <c r="Z218" i="28"/>
  <c r="Z219" i="28"/>
  <c r="Z220" i="28"/>
  <c r="Z221" i="28"/>
  <c r="Z222" i="28"/>
  <c r="AD16" i="28"/>
  <c r="AD18" i="28"/>
  <c r="AD19" i="28"/>
  <c r="AD20" i="28"/>
  <c r="AD24" i="28"/>
  <c r="AD28" i="28"/>
  <c r="AD40" i="28"/>
  <c r="AD43" i="28"/>
  <c r="AD46" i="28"/>
  <c r="AD50" i="28"/>
  <c r="AD51" i="28"/>
  <c r="AD52" i="28"/>
  <c r="AD53" i="28"/>
  <c r="AD54" i="28"/>
  <c r="AD55" i="28"/>
  <c r="AD56" i="28"/>
  <c r="AD57" i="28"/>
  <c r="AD58" i="28"/>
  <c r="J63" i="28"/>
  <c r="AD63" i="28"/>
  <c r="AD70" i="28"/>
  <c r="AD73" i="28"/>
  <c r="AD74" i="28"/>
  <c r="AD76" i="28"/>
  <c r="AD77" i="28"/>
  <c r="AD78" i="28"/>
  <c r="AD85" i="28"/>
  <c r="AD86" i="28"/>
  <c r="AD87" i="28"/>
  <c r="AD88" i="28"/>
  <c r="AD90" i="28"/>
  <c r="AD91" i="28"/>
  <c r="AD92" i="28"/>
  <c r="J98" i="28"/>
  <c r="AD98" i="28"/>
  <c r="AD114" i="28"/>
  <c r="AD115" i="28"/>
  <c r="AD120" i="28"/>
  <c r="AD122" i="28"/>
  <c r="AD123" i="28"/>
  <c r="AD124" i="28"/>
  <c r="AD126" i="28"/>
  <c r="AD137" i="28"/>
  <c r="AD138" i="28"/>
  <c r="AD141" i="28"/>
  <c r="AD142" i="28"/>
  <c r="AD143" i="28"/>
  <c r="AD145" i="28"/>
  <c r="AD148" i="28"/>
  <c r="AD149" i="28"/>
  <c r="AD150" i="28"/>
  <c r="AD151" i="28"/>
  <c r="AD153" i="28"/>
  <c r="AD154" i="28"/>
  <c r="AD157" i="28"/>
  <c r="AD158" i="28"/>
  <c r="AD159" i="28"/>
  <c r="AD160" i="28"/>
  <c r="AD161" i="28"/>
  <c r="AD171" i="28"/>
  <c r="AD173" i="28"/>
  <c r="AD174" i="28"/>
  <c r="AD176" i="28"/>
  <c r="AD177" i="28"/>
  <c r="AD179" i="28"/>
  <c r="AD181" i="28"/>
  <c r="AD185" i="28"/>
  <c r="AD186" i="28"/>
  <c r="AD187" i="28"/>
  <c r="AD188" i="28"/>
  <c r="AD192" i="28"/>
  <c r="AD193" i="28"/>
  <c r="AD194" i="28"/>
  <c r="AD195" i="28"/>
  <c r="AD196" i="28"/>
  <c r="AD197" i="28"/>
  <c r="AD198" i="28"/>
  <c r="AD199" i="28"/>
  <c r="AF199" i="28"/>
  <c r="AH199" i="28"/>
  <c r="AI199" i="28"/>
  <c r="AJ199" i="28"/>
  <c r="AL199" i="28"/>
  <c r="AD200" i="28"/>
  <c r="AD204" i="28"/>
  <c r="AD207" i="28"/>
  <c r="AD208" i="28"/>
  <c r="AD211" i="28"/>
  <c r="AD212" i="28"/>
  <c r="AD213" i="28"/>
  <c r="AD214" i="28"/>
  <c r="AD216" i="28"/>
  <c r="AD220" i="28"/>
  <c r="AD221" i="28"/>
  <c r="AD225" i="28"/>
  <c r="AE17" i="28"/>
  <c r="AE21" i="28"/>
  <c r="AE22" i="28"/>
  <c r="AE23" i="28"/>
  <c r="AE25" i="28"/>
  <c r="AE26" i="28"/>
  <c r="AE27" i="28"/>
  <c r="AE29" i="28"/>
  <c r="AE30" i="28"/>
  <c r="AE31" i="28"/>
  <c r="AE32" i="28"/>
  <c r="AE33" i="28"/>
  <c r="AE34" i="28"/>
  <c r="AE35" i="28"/>
  <c r="AE36" i="28"/>
  <c r="AE37" i="28"/>
  <c r="AE38" i="28"/>
  <c r="AE39" i="28"/>
  <c r="AE40" i="28"/>
  <c r="AE41" i="28"/>
  <c r="AE42" i="28"/>
  <c r="AE44" i="28"/>
  <c r="AE45" i="28"/>
  <c r="AE47" i="28"/>
  <c r="AE48" i="28"/>
  <c r="AE49" i="28"/>
  <c r="AE55" i="28"/>
  <c r="AE58" i="28"/>
  <c r="AE59" i="28"/>
  <c r="AE60" i="28"/>
  <c r="AE61" i="28"/>
  <c r="AE62" i="28"/>
  <c r="AE63" i="28"/>
  <c r="AE64" i="28"/>
  <c r="AE65" i="28"/>
  <c r="AE66" i="28"/>
  <c r="AE67" i="28"/>
  <c r="AE68" i="28"/>
  <c r="AE69" i="28"/>
  <c r="AE71" i="28"/>
  <c r="AE72" i="28"/>
  <c r="AE75" i="28"/>
  <c r="AE79" i="28"/>
  <c r="AE80" i="28"/>
  <c r="AE81" i="28"/>
  <c r="AE82" i="28"/>
  <c r="AE83" i="28"/>
  <c r="AE84" i="28"/>
  <c r="AE85" i="28"/>
  <c r="AE86" i="28"/>
  <c r="AE89" i="28"/>
  <c r="AE93" i="28"/>
  <c r="AE94" i="28"/>
  <c r="AE95" i="28"/>
  <c r="AE96" i="28"/>
  <c r="AE97" i="28"/>
  <c r="AE98" i="28"/>
  <c r="AE99" i="28"/>
  <c r="AE100" i="28"/>
  <c r="AE101" i="28"/>
  <c r="AE102" i="28"/>
  <c r="AE103" i="28"/>
  <c r="AE104" i="28"/>
  <c r="AE105" i="28"/>
  <c r="AE106" i="28"/>
  <c r="AE107" i="28"/>
  <c r="AE108" i="28"/>
  <c r="AE109" i="28"/>
  <c r="AE110" i="28"/>
  <c r="AE111" i="28"/>
  <c r="AE112" i="28"/>
  <c r="AE113" i="28"/>
  <c r="AE116" i="28"/>
  <c r="AE117" i="28"/>
  <c r="AE119" i="28"/>
  <c r="AE121" i="28"/>
  <c r="AE122" i="28"/>
  <c r="AE125" i="28"/>
  <c r="AE127" i="28"/>
  <c r="AE128" i="28"/>
  <c r="AE129" i="28"/>
  <c r="AE130" i="28"/>
  <c r="AE131" i="28"/>
  <c r="AE132" i="28"/>
  <c r="AE133" i="28"/>
  <c r="AE134" i="28"/>
  <c r="AE135" i="28"/>
  <c r="AE136" i="28"/>
  <c r="AE139" i="28"/>
  <c r="AE140" i="28"/>
  <c r="AE141" i="28"/>
  <c r="AE144" i="28"/>
  <c r="AE145" i="28"/>
  <c r="AE146" i="28"/>
  <c r="AE147" i="28"/>
  <c r="AE148" i="28"/>
  <c r="AE151" i="28"/>
  <c r="AE152" i="28"/>
  <c r="AE155" i="28"/>
  <c r="AE156" i="28"/>
  <c r="AE162" i="28"/>
  <c r="AE163" i="28"/>
  <c r="AE164" i="28"/>
  <c r="AE165" i="28"/>
  <c r="AE166" i="28"/>
  <c r="AE167" i="28"/>
  <c r="AE168" i="28"/>
  <c r="AE169" i="28"/>
  <c r="AE170" i="28"/>
  <c r="AE172" i="28"/>
  <c r="AE175" i="28"/>
  <c r="AE177" i="28"/>
  <c r="AE178" i="28"/>
  <c r="AE180" i="28"/>
  <c r="AE182" i="28"/>
  <c r="AE183" i="28"/>
  <c r="AE184" i="28"/>
  <c r="AE189" i="28"/>
  <c r="AE190" i="28"/>
  <c r="AE191" i="28"/>
  <c r="AE198" i="28"/>
  <c r="AE200" i="28"/>
  <c r="AE201" i="28"/>
  <c r="AE202" i="28"/>
  <c r="AE203" i="28"/>
  <c r="AE204" i="28"/>
  <c r="AE205" i="28"/>
  <c r="AE206" i="28"/>
  <c r="AE208" i="28"/>
  <c r="AE209" i="28"/>
  <c r="AE210" i="28"/>
  <c r="AE215" i="28"/>
  <c r="AE217" i="28"/>
  <c r="AE218" i="28"/>
  <c r="AE219" i="28"/>
  <c r="AE220" i="28"/>
  <c r="AE221" i="28"/>
  <c r="AE222" i="28"/>
  <c r="AF16" i="28"/>
  <c r="AF17" i="28"/>
  <c r="AF18" i="28"/>
  <c r="AF19" i="28"/>
  <c r="AF20" i="28"/>
  <c r="AF21" i="28"/>
  <c r="AF22" i="28"/>
  <c r="AF23" i="28"/>
  <c r="AF24" i="28"/>
  <c r="AF25" i="28"/>
  <c r="AF26" i="28"/>
  <c r="AF27" i="28"/>
  <c r="AF28" i="28"/>
  <c r="AF29" i="28"/>
  <c r="AF30" i="28"/>
  <c r="AF31" i="28"/>
  <c r="AF32" i="28"/>
  <c r="AF33" i="28"/>
  <c r="AF34" i="28"/>
  <c r="AF35" i="28"/>
  <c r="AF36" i="28"/>
  <c r="AF37" i="28"/>
  <c r="AF38" i="28"/>
  <c r="AF39" i="28"/>
  <c r="AF41" i="28"/>
  <c r="AF42" i="28"/>
  <c r="AF43" i="28"/>
  <c r="AF44" i="28"/>
  <c r="AF45" i="28"/>
  <c r="AF46" i="28"/>
  <c r="AF47" i="28"/>
  <c r="AF48" i="28"/>
  <c r="AF49" i="28"/>
  <c r="AF50" i="28"/>
  <c r="AF51" i="28"/>
  <c r="AF52" i="28"/>
  <c r="AF53" i="28"/>
  <c r="AF54" i="28"/>
  <c r="AF56" i="28"/>
  <c r="AF57" i="28"/>
  <c r="AF59" i="28"/>
  <c r="AF60" i="28"/>
  <c r="AF61" i="28"/>
  <c r="AF62" i="28"/>
  <c r="AF63" i="28"/>
  <c r="AF64" i="28"/>
  <c r="AF65" i="28"/>
  <c r="AF66" i="28"/>
  <c r="AF67" i="28"/>
  <c r="AF68" i="28"/>
  <c r="AF69" i="28"/>
  <c r="AF70" i="28"/>
  <c r="AF71" i="28"/>
  <c r="AF72" i="28"/>
  <c r="AF73" i="28"/>
  <c r="AF74" i="28"/>
  <c r="AF75" i="28"/>
  <c r="AF76" i="28"/>
  <c r="AF77" i="28"/>
  <c r="AF78" i="28"/>
  <c r="AF79" i="28"/>
  <c r="AF80" i="28"/>
  <c r="AF81" i="28"/>
  <c r="AF82" i="28"/>
  <c r="AF83" i="28"/>
  <c r="AF84" i="28"/>
  <c r="AF87" i="28"/>
  <c r="AF88" i="28"/>
  <c r="AF89" i="28"/>
  <c r="AF90" i="28"/>
  <c r="AF91" i="28"/>
  <c r="AF92" i="28"/>
  <c r="AF93" i="28"/>
  <c r="AF94" i="28"/>
  <c r="AF95" i="28"/>
  <c r="AF96" i="28"/>
  <c r="AF97" i="28"/>
  <c r="AF98" i="28"/>
  <c r="AF99" i="28"/>
  <c r="AF100" i="28"/>
  <c r="AF101" i="28"/>
  <c r="AF102" i="28"/>
  <c r="AF103" i="28"/>
  <c r="AF104" i="28"/>
  <c r="AF105" i="28"/>
  <c r="AF106" i="28"/>
  <c r="AF107" i="28"/>
  <c r="AF108" i="28"/>
  <c r="AF109" i="28"/>
  <c r="AF110" i="28"/>
  <c r="AF111" i="28"/>
  <c r="AF112" i="28"/>
  <c r="AF113" i="28"/>
  <c r="AF114" i="28"/>
  <c r="AF115" i="28"/>
  <c r="AF116" i="28"/>
  <c r="AF117" i="28"/>
  <c r="AF119" i="28"/>
  <c r="AF120" i="28"/>
  <c r="AF121" i="28"/>
  <c r="AF123" i="28"/>
  <c r="AF124" i="28"/>
  <c r="AF125" i="28"/>
  <c r="AF126" i="28"/>
  <c r="AF127" i="28"/>
  <c r="AF128" i="28"/>
  <c r="AF129" i="28"/>
  <c r="AF130" i="28"/>
  <c r="AF131" i="28"/>
  <c r="AF132" i="28"/>
  <c r="AF133" i="28"/>
  <c r="AF134" i="28"/>
  <c r="AF135" i="28"/>
  <c r="AF136" i="28"/>
  <c r="AF137" i="28"/>
  <c r="AF138" i="28"/>
  <c r="AF139" i="28"/>
  <c r="AF140" i="28"/>
  <c r="AF142" i="28"/>
  <c r="AF143" i="28"/>
  <c r="AF144" i="28"/>
  <c r="AF146" i="28"/>
  <c r="AF147" i="28"/>
  <c r="AF149" i="28"/>
  <c r="AF150" i="28"/>
  <c r="AF152" i="28"/>
  <c r="AF153" i="28"/>
  <c r="AF154" i="28"/>
  <c r="AF155" i="28"/>
  <c r="AF156" i="28"/>
  <c r="AF157" i="28"/>
  <c r="AF158" i="28"/>
  <c r="AF159" i="28"/>
  <c r="AF160" i="28"/>
  <c r="AF161" i="28"/>
  <c r="AF162" i="28"/>
  <c r="AF163" i="28"/>
  <c r="AF164" i="28"/>
  <c r="AF165" i="28"/>
  <c r="AF166" i="28"/>
  <c r="AF167" i="28"/>
  <c r="AF168" i="28"/>
  <c r="AF169" i="28"/>
  <c r="AF170" i="28"/>
  <c r="AF171" i="28"/>
  <c r="AF172" i="28"/>
  <c r="AF173" i="28"/>
  <c r="AF174" i="28"/>
  <c r="AF175" i="28"/>
  <c r="AF176" i="28"/>
  <c r="J177" i="28"/>
  <c r="AF177" i="28"/>
  <c r="AF178" i="28"/>
  <c r="AF179" i="28"/>
  <c r="AF180" i="28"/>
  <c r="AF181" i="28"/>
  <c r="AF182" i="28"/>
  <c r="AF183" i="28"/>
  <c r="AF184" i="28"/>
  <c r="AF185" i="28"/>
  <c r="AF186" i="28"/>
  <c r="AF187" i="28"/>
  <c r="AF188" i="28"/>
  <c r="AF189" i="28"/>
  <c r="AF190" i="28"/>
  <c r="AF191" i="28"/>
  <c r="AF192" i="28"/>
  <c r="AF193" i="28"/>
  <c r="AF194" i="28"/>
  <c r="AF195" i="28"/>
  <c r="AF196" i="28"/>
  <c r="AF197" i="28"/>
  <c r="AF201" i="28"/>
  <c r="AF202" i="28"/>
  <c r="AF203" i="28"/>
  <c r="AF205" i="28"/>
  <c r="AF206" i="28"/>
  <c r="AF207" i="28"/>
  <c r="AF209" i="28"/>
  <c r="AF210" i="28"/>
  <c r="AF211" i="28"/>
  <c r="AF212" i="28"/>
  <c r="AF213" i="28"/>
  <c r="AF214" i="28"/>
  <c r="AF215" i="28"/>
  <c r="AF216" i="28"/>
  <c r="AF217" i="28"/>
  <c r="AF218" i="28"/>
  <c r="AF219" i="28"/>
  <c r="AF222" i="28"/>
  <c r="AF225" i="28"/>
  <c r="AF226" i="28"/>
  <c r="AH16" i="28"/>
  <c r="AH17" i="28"/>
  <c r="AH18" i="28"/>
  <c r="AH19" i="28"/>
  <c r="AH20" i="28"/>
  <c r="AH21" i="28"/>
  <c r="AH22" i="28"/>
  <c r="AH23" i="28"/>
  <c r="AH24" i="28"/>
  <c r="AH25" i="28"/>
  <c r="AH26" i="28"/>
  <c r="AH27" i="28"/>
  <c r="AH28" i="28"/>
  <c r="AH29" i="28"/>
  <c r="AH30" i="28"/>
  <c r="AH31" i="28"/>
  <c r="AH32" i="28"/>
  <c r="AH33" i="28"/>
  <c r="AH34" i="28"/>
  <c r="AH35" i="28"/>
  <c r="AH36" i="28"/>
  <c r="AH37" i="28"/>
  <c r="AH38" i="28"/>
  <c r="AH39" i="28"/>
  <c r="AH40" i="28"/>
  <c r="AH41" i="28"/>
  <c r="AH42" i="28"/>
  <c r="AH43" i="28"/>
  <c r="AH44" i="28"/>
  <c r="AH45" i="28"/>
  <c r="AH46" i="28"/>
  <c r="AH47" i="28"/>
  <c r="AH48" i="28"/>
  <c r="AH49" i="28"/>
  <c r="AH50" i="28"/>
  <c r="AH51" i="28"/>
  <c r="AH52" i="28"/>
  <c r="AH53" i="28"/>
  <c r="AH54" i="28"/>
  <c r="AH55" i="28"/>
  <c r="AH56" i="28"/>
  <c r="AH57" i="28"/>
  <c r="AH58" i="28"/>
  <c r="AH59" i="28"/>
  <c r="AH60" i="28"/>
  <c r="AH61" i="28"/>
  <c r="AH62" i="28"/>
  <c r="AH63" i="28"/>
  <c r="AH64" i="28"/>
  <c r="AH65" i="28"/>
  <c r="AH66" i="28"/>
  <c r="AH67" i="28"/>
  <c r="AH68" i="28"/>
  <c r="AH69" i="28"/>
  <c r="AH70" i="28"/>
  <c r="AH71" i="28"/>
  <c r="AH72" i="28"/>
  <c r="AH73" i="28"/>
  <c r="AH74" i="28"/>
  <c r="AH75" i="28"/>
  <c r="AH76" i="28"/>
  <c r="AH77" i="28"/>
  <c r="AH78" i="28"/>
  <c r="AH79" i="28"/>
  <c r="AH80" i="28"/>
  <c r="AH81" i="28"/>
  <c r="AH82" i="28"/>
  <c r="AH83" i="28"/>
  <c r="AH84" i="28"/>
  <c r="AH85" i="28"/>
  <c r="AH86" i="28"/>
  <c r="AH87" i="28"/>
  <c r="AH88" i="28"/>
  <c r="AH89" i="28"/>
  <c r="AH90" i="28"/>
  <c r="AH91" i="28"/>
  <c r="AH92" i="28"/>
  <c r="AH93" i="28"/>
  <c r="AH94" i="28"/>
  <c r="AH95" i="28"/>
  <c r="AH96" i="28"/>
  <c r="AH97" i="28"/>
  <c r="AH98" i="28"/>
  <c r="AH99" i="28"/>
  <c r="AH100" i="28"/>
  <c r="AH101" i="28"/>
  <c r="AH102" i="28"/>
  <c r="AH103" i="28"/>
  <c r="AH104" i="28"/>
  <c r="AH105" i="28"/>
  <c r="AH106" i="28"/>
  <c r="AH107" i="28"/>
  <c r="AH108" i="28"/>
  <c r="AH109" i="28"/>
  <c r="AH110" i="28"/>
  <c r="AH111" i="28"/>
  <c r="AH112" i="28"/>
  <c r="AH113" i="28"/>
  <c r="AH114" i="28"/>
  <c r="AH115" i="28"/>
  <c r="AH116" i="28"/>
  <c r="AH117" i="28"/>
  <c r="AH119" i="28"/>
  <c r="AH120" i="28"/>
  <c r="AH121" i="28"/>
  <c r="AH122" i="28"/>
  <c r="AH123" i="28"/>
  <c r="AH124" i="28"/>
  <c r="AH125" i="28"/>
  <c r="AH126" i="28"/>
  <c r="AH127" i="28"/>
  <c r="AH128" i="28"/>
  <c r="AH129" i="28"/>
  <c r="AH130" i="28"/>
  <c r="AH131" i="28"/>
  <c r="AH132" i="28"/>
  <c r="AH133" i="28"/>
  <c r="AH134" i="28"/>
  <c r="AH135" i="28"/>
  <c r="AH136" i="28"/>
  <c r="AH137" i="28"/>
  <c r="AH138" i="28"/>
  <c r="AH139" i="28"/>
  <c r="AH140" i="28"/>
  <c r="AH141" i="28"/>
  <c r="AH142" i="28"/>
  <c r="AH143" i="28"/>
  <c r="AH144" i="28"/>
  <c r="AH145" i="28"/>
  <c r="AH146" i="28"/>
  <c r="AH147" i="28"/>
  <c r="AH148" i="28"/>
  <c r="AH149" i="28"/>
  <c r="AH150" i="28"/>
  <c r="AH151" i="28"/>
  <c r="AH152" i="28"/>
  <c r="AH153" i="28"/>
  <c r="AH154" i="28"/>
  <c r="AH155" i="28"/>
  <c r="AH156" i="28"/>
  <c r="AH157" i="28"/>
  <c r="AH158" i="28"/>
  <c r="AH159" i="28"/>
  <c r="AH160" i="28"/>
  <c r="AH161" i="28"/>
  <c r="AH162" i="28"/>
  <c r="AH163" i="28"/>
  <c r="AH164" i="28"/>
  <c r="AH165" i="28"/>
  <c r="AH166" i="28"/>
  <c r="AH167" i="28"/>
  <c r="AH168" i="28"/>
  <c r="AH169" i="28"/>
  <c r="AH170" i="28"/>
  <c r="AH171" i="28"/>
  <c r="AH172" i="28"/>
  <c r="AH173" i="28"/>
  <c r="AH174" i="28"/>
  <c r="AH175" i="28"/>
  <c r="AH176" i="28"/>
  <c r="AH177" i="28"/>
  <c r="AH178" i="28"/>
  <c r="AH179" i="28"/>
  <c r="AH180" i="28"/>
  <c r="AH181" i="28"/>
  <c r="AH182" i="28"/>
  <c r="AH183" i="28"/>
  <c r="AH184" i="28"/>
  <c r="AH185" i="28"/>
  <c r="AH186" i="28"/>
  <c r="AH187" i="28"/>
  <c r="AH188" i="28"/>
  <c r="AH189" i="28"/>
  <c r="AH190" i="28"/>
  <c r="AH191" i="28"/>
  <c r="AH192" i="28"/>
  <c r="AH193" i="28"/>
  <c r="AH194" i="28"/>
  <c r="AH195" i="28"/>
  <c r="AH196" i="28"/>
  <c r="AH197" i="28"/>
  <c r="AH198" i="28"/>
  <c r="AH200" i="28"/>
  <c r="AH201" i="28"/>
  <c r="AH202" i="28"/>
  <c r="AH203" i="28"/>
  <c r="AH204" i="28"/>
  <c r="AH205" i="28"/>
  <c r="AH206" i="28"/>
  <c r="AH207" i="28"/>
  <c r="AH208" i="28"/>
  <c r="AH209" i="28"/>
  <c r="AH210" i="28"/>
  <c r="AH211" i="28"/>
  <c r="AH212" i="28"/>
  <c r="AH213" i="28"/>
  <c r="AH214" i="28"/>
  <c r="AH215" i="28"/>
  <c r="AH216" i="28"/>
  <c r="AH217" i="28"/>
  <c r="AH218" i="28"/>
  <c r="AH219" i="28"/>
  <c r="AH220" i="28"/>
  <c r="AH221" i="28"/>
  <c r="AH222" i="28"/>
  <c r="AI16" i="28"/>
  <c r="AI17" i="28"/>
  <c r="AI18" i="28"/>
  <c r="AI19" i="28"/>
  <c r="AI20" i="28"/>
  <c r="AI21" i="28"/>
  <c r="AI22" i="28"/>
  <c r="AI23" i="28"/>
  <c r="AI24" i="28"/>
  <c r="AI25" i="28"/>
  <c r="AI26" i="28"/>
  <c r="AI27" i="28"/>
  <c r="AI28" i="28"/>
  <c r="AI29" i="28"/>
  <c r="AI30" i="28"/>
  <c r="AI31" i="28"/>
  <c r="AI32" i="28"/>
  <c r="AI33" i="28"/>
  <c r="AI34" i="28"/>
  <c r="AI35" i="28"/>
  <c r="AI36" i="28"/>
  <c r="AI37" i="28"/>
  <c r="AI38" i="28"/>
  <c r="AI39" i="28"/>
  <c r="AI40" i="28"/>
  <c r="AI41" i="28"/>
  <c r="AI42" i="28"/>
  <c r="AI43" i="28"/>
  <c r="AI44" i="28"/>
  <c r="AI45" i="28"/>
  <c r="AI46" i="28"/>
  <c r="AI47" i="28"/>
  <c r="AI48" i="28"/>
  <c r="AI49" i="28"/>
  <c r="AI50" i="28"/>
  <c r="AI51" i="28"/>
  <c r="AI52" i="28"/>
  <c r="AI53" i="28"/>
  <c r="AI54" i="28"/>
  <c r="AI55" i="28"/>
  <c r="AI56" i="28"/>
  <c r="AI57" i="28"/>
  <c r="AI58" i="28"/>
  <c r="AI59" i="28"/>
  <c r="AI60" i="28"/>
  <c r="AI61" i="28"/>
  <c r="AI62" i="28"/>
  <c r="AI63" i="28"/>
  <c r="AI64" i="28"/>
  <c r="AI65" i="28"/>
  <c r="AI66" i="28"/>
  <c r="AI67" i="28"/>
  <c r="AI68" i="28"/>
  <c r="AI69" i="28"/>
  <c r="AI70" i="28"/>
  <c r="AI71" i="28"/>
  <c r="AI72" i="28"/>
  <c r="AI73" i="28"/>
  <c r="AI74" i="28"/>
  <c r="AI75" i="28"/>
  <c r="AI76" i="28"/>
  <c r="AI77" i="28"/>
  <c r="AI78" i="28"/>
  <c r="AI79" i="28"/>
  <c r="AI80" i="28"/>
  <c r="AI81" i="28"/>
  <c r="AI82" i="28"/>
  <c r="AI83" i="28"/>
  <c r="AI84" i="28"/>
  <c r="AI85" i="28"/>
  <c r="AI86" i="28"/>
  <c r="AI87" i="28"/>
  <c r="AI88" i="28"/>
  <c r="AI89" i="28"/>
  <c r="AI90" i="28"/>
  <c r="AI91" i="28"/>
  <c r="AI92" i="28"/>
  <c r="AI93" i="28"/>
  <c r="AI94" i="28"/>
  <c r="AI95" i="28"/>
  <c r="AI96" i="28"/>
  <c r="AI97" i="28"/>
  <c r="AI98" i="28"/>
  <c r="AI99" i="28"/>
  <c r="AI100" i="28"/>
  <c r="AI101" i="28"/>
  <c r="AI102" i="28"/>
  <c r="AI103" i="28"/>
  <c r="AI104" i="28"/>
  <c r="AI105" i="28"/>
  <c r="AI106" i="28"/>
  <c r="AI107" i="28"/>
  <c r="AI108" i="28"/>
  <c r="AI109" i="28"/>
  <c r="AI110" i="28"/>
  <c r="AI111" i="28"/>
  <c r="AI112" i="28"/>
  <c r="AI113" i="28"/>
  <c r="AI114" i="28"/>
  <c r="AI115" i="28"/>
  <c r="AI116" i="28"/>
  <c r="AI117" i="28"/>
  <c r="AI119" i="28"/>
  <c r="AI120" i="28"/>
  <c r="AI121" i="28"/>
  <c r="AI122" i="28"/>
  <c r="AI123" i="28"/>
  <c r="AI124" i="28"/>
  <c r="AI125" i="28"/>
  <c r="AI126" i="28"/>
  <c r="AI127" i="28"/>
  <c r="AI128" i="28"/>
  <c r="AI129" i="28"/>
  <c r="AI130" i="28"/>
  <c r="AI131" i="28"/>
  <c r="AI132" i="28"/>
  <c r="AI133" i="28"/>
  <c r="AI134" i="28"/>
  <c r="AI135" i="28"/>
  <c r="AI136" i="28"/>
  <c r="AI137" i="28"/>
  <c r="AI138" i="28"/>
  <c r="AI139" i="28"/>
  <c r="AI140" i="28"/>
  <c r="AI141" i="28"/>
  <c r="AI142" i="28"/>
  <c r="AI143" i="28"/>
  <c r="AI144" i="28"/>
  <c r="AI145" i="28"/>
  <c r="AI146" i="28"/>
  <c r="AI147" i="28"/>
  <c r="AI148" i="28"/>
  <c r="AI149" i="28"/>
  <c r="AI150" i="28"/>
  <c r="AI151" i="28"/>
  <c r="AI152" i="28"/>
  <c r="AI153" i="28"/>
  <c r="AI154" i="28"/>
  <c r="AI155" i="28"/>
  <c r="AI156" i="28"/>
  <c r="AI157" i="28"/>
  <c r="AI158" i="28"/>
  <c r="AI159" i="28"/>
  <c r="AI160" i="28"/>
  <c r="AI161" i="28"/>
  <c r="AI162" i="28"/>
  <c r="AI163" i="28"/>
  <c r="AI164" i="28"/>
  <c r="AI165" i="28"/>
  <c r="AI166" i="28"/>
  <c r="AI167" i="28"/>
  <c r="AI168" i="28"/>
  <c r="AI169" i="28"/>
  <c r="AI170" i="28"/>
  <c r="AI171" i="28"/>
  <c r="AI172" i="28"/>
  <c r="AI173" i="28"/>
  <c r="AI174" i="28"/>
  <c r="AI175" i="28"/>
  <c r="AI176" i="28"/>
  <c r="AI177" i="28"/>
  <c r="AI178" i="28"/>
  <c r="AI179" i="28"/>
  <c r="AI180" i="28"/>
  <c r="AI181" i="28"/>
  <c r="AI182" i="28"/>
  <c r="AI183" i="28"/>
  <c r="AI184" i="28"/>
  <c r="AI185" i="28"/>
  <c r="AI186" i="28"/>
  <c r="AI187" i="28"/>
  <c r="AI188" i="28"/>
  <c r="AI189" i="28"/>
  <c r="AI190" i="28"/>
  <c r="AI191" i="28"/>
  <c r="AI192" i="28"/>
  <c r="AI193" i="28"/>
  <c r="AI194" i="28"/>
  <c r="AI195" i="28"/>
  <c r="AI196" i="28"/>
  <c r="AI197" i="28"/>
  <c r="AI198" i="28"/>
  <c r="AI200" i="28"/>
  <c r="AI201" i="28"/>
  <c r="AI202" i="28"/>
  <c r="AI203" i="28"/>
  <c r="AI204" i="28"/>
  <c r="AI205" i="28"/>
  <c r="AI206" i="28"/>
  <c r="AI207" i="28"/>
  <c r="AI208" i="28"/>
  <c r="AI209" i="28"/>
  <c r="AI210" i="28"/>
  <c r="AI211" i="28"/>
  <c r="AI212" i="28"/>
  <c r="AI213" i="28"/>
  <c r="AI214" i="28"/>
  <c r="AI215" i="28"/>
  <c r="AI216" i="28"/>
  <c r="AI217" i="28"/>
  <c r="AI218" i="28"/>
  <c r="AI219" i="28"/>
  <c r="AI220" i="28"/>
  <c r="AI221" i="28"/>
  <c r="AI222" i="28"/>
  <c r="AJ16" i="28"/>
  <c r="AJ17" i="28"/>
  <c r="AJ18" i="28"/>
  <c r="AJ19" i="28"/>
  <c r="AJ20" i="28"/>
  <c r="AJ21" i="28"/>
  <c r="AJ22" i="28"/>
  <c r="AJ23" i="28"/>
  <c r="AJ24" i="28"/>
  <c r="AJ25" i="28"/>
  <c r="AJ26" i="28"/>
  <c r="AJ27" i="28"/>
  <c r="AJ28" i="28"/>
  <c r="AJ29" i="28"/>
  <c r="AJ30" i="28"/>
  <c r="AJ31" i="28"/>
  <c r="AJ32" i="28"/>
  <c r="AJ33" i="28"/>
  <c r="AJ34" i="28"/>
  <c r="AJ35" i="28"/>
  <c r="AJ36" i="28"/>
  <c r="AJ37" i="28"/>
  <c r="AJ38" i="28"/>
  <c r="AJ39" i="28"/>
  <c r="AJ40" i="28"/>
  <c r="AJ41" i="28"/>
  <c r="AJ42" i="28"/>
  <c r="AJ43" i="28"/>
  <c r="AJ44" i="28"/>
  <c r="AJ45" i="28"/>
  <c r="AJ46" i="28"/>
  <c r="AJ47" i="28"/>
  <c r="AJ48" i="28"/>
  <c r="AJ49" i="28"/>
  <c r="AJ50" i="28"/>
  <c r="AJ51" i="28"/>
  <c r="AJ52" i="28"/>
  <c r="AJ53" i="28"/>
  <c r="AJ54" i="28"/>
  <c r="AJ55" i="28"/>
  <c r="AJ56" i="28"/>
  <c r="AJ57" i="28"/>
  <c r="AJ58" i="28"/>
  <c r="AJ59" i="28"/>
  <c r="AJ60" i="28"/>
  <c r="AJ61" i="28"/>
  <c r="AJ62" i="28"/>
  <c r="AJ63" i="28"/>
  <c r="AJ64" i="28"/>
  <c r="AJ65" i="28"/>
  <c r="AJ66" i="28"/>
  <c r="AJ67" i="28"/>
  <c r="AJ68" i="28"/>
  <c r="AJ69" i="28"/>
  <c r="AJ70" i="28"/>
  <c r="AJ71" i="28"/>
  <c r="AJ72" i="28"/>
  <c r="AJ73" i="28"/>
  <c r="AJ74" i="28"/>
  <c r="AJ75" i="28"/>
  <c r="AJ76" i="28"/>
  <c r="AJ77" i="28"/>
  <c r="AJ78" i="28"/>
  <c r="AJ79" i="28"/>
  <c r="AJ80" i="28"/>
  <c r="AJ81" i="28"/>
  <c r="AJ82" i="28"/>
  <c r="AJ83" i="28"/>
  <c r="AJ84" i="28"/>
  <c r="AJ85" i="28"/>
  <c r="AJ86" i="28"/>
  <c r="AJ87" i="28"/>
  <c r="AJ88" i="28"/>
  <c r="AJ89" i="28"/>
  <c r="AJ90" i="28"/>
  <c r="AJ91" i="28"/>
  <c r="AJ92" i="28"/>
  <c r="AJ93" i="28"/>
  <c r="AJ94" i="28"/>
  <c r="AJ95" i="28"/>
  <c r="AJ96" i="28"/>
  <c r="AJ97" i="28"/>
  <c r="AJ98" i="28"/>
  <c r="AJ99" i="28"/>
  <c r="AJ100" i="28"/>
  <c r="AJ101" i="28"/>
  <c r="AJ102" i="28"/>
  <c r="AJ103" i="28"/>
  <c r="AJ104" i="28"/>
  <c r="AJ105" i="28"/>
  <c r="AJ106" i="28"/>
  <c r="AJ107" i="28"/>
  <c r="AJ108" i="28"/>
  <c r="AJ109" i="28"/>
  <c r="AJ110" i="28"/>
  <c r="AJ111" i="28"/>
  <c r="AJ112" i="28"/>
  <c r="AJ113" i="28"/>
  <c r="AJ114" i="28"/>
  <c r="AJ115" i="28"/>
  <c r="AJ116" i="28"/>
  <c r="AJ117" i="28"/>
  <c r="AJ119" i="28"/>
  <c r="AJ120" i="28"/>
  <c r="AJ121" i="28"/>
  <c r="AJ122" i="28"/>
  <c r="AJ123" i="28"/>
  <c r="AJ124" i="28"/>
  <c r="AJ125" i="28"/>
  <c r="AJ126" i="28"/>
  <c r="AJ127" i="28"/>
  <c r="AJ128" i="28"/>
  <c r="AJ129" i="28"/>
  <c r="AJ130" i="28"/>
  <c r="AJ131" i="28"/>
  <c r="AJ132" i="28"/>
  <c r="AJ133" i="28"/>
  <c r="AJ134" i="28"/>
  <c r="AJ135" i="28"/>
  <c r="AJ136" i="28"/>
  <c r="AJ137" i="28"/>
  <c r="AJ138" i="28"/>
  <c r="AJ139" i="28"/>
  <c r="AJ140" i="28"/>
  <c r="AJ141" i="28"/>
  <c r="AJ142" i="28"/>
  <c r="AJ143" i="28"/>
  <c r="AJ144" i="28"/>
  <c r="AJ145" i="28"/>
  <c r="AJ146" i="28"/>
  <c r="AJ147" i="28"/>
  <c r="AJ148" i="28"/>
  <c r="AJ149" i="28"/>
  <c r="AJ150" i="28"/>
  <c r="AJ151" i="28"/>
  <c r="AJ152" i="28"/>
  <c r="AJ153" i="28"/>
  <c r="AJ154" i="28"/>
  <c r="AJ155" i="28"/>
  <c r="AJ156" i="28"/>
  <c r="AJ157" i="28"/>
  <c r="AJ158" i="28"/>
  <c r="AJ159" i="28"/>
  <c r="AJ160" i="28"/>
  <c r="AJ161" i="28"/>
  <c r="AJ162" i="28"/>
  <c r="AJ163" i="28"/>
  <c r="AJ164" i="28"/>
  <c r="AJ165" i="28"/>
  <c r="AJ166" i="28"/>
  <c r="AJ167" i="28"/>
  <c r="AJ168" i="28"/>
  <c r="AJ169" i="28"/>
  <c r="AJ170" i="28"/>
  <c r="AJ171" i="28"/>
  <c r="AJ172" i="28"/>
  <c r="AJ173" i="28"/>
  <c r="AJ174" i="28"/>
  <c r="AJ175" i="28"/>
  <c r="AJ176" i="28"/>
  <c r="AJ177" i="28"/>
  <c r="AJ178" i="28"/>
  <c r="AJ179" i="28"/>
  <c r="AJ180" i="28"/>
  <c r="AJ181" i="28"/>
  <c r="AJ182" i="28"/>
  <c r="AJ183" i="28"/>
  <c r="AJ184" i="28"/>
  <c r="AJ185" i="28"/>
  <c r="AJ186" i="28"/>
  <c r="AJ187" i="28"/>
  <c r="AJ188" i="28"/>
  <c r="AJ189" i="28"/>
  <c r="AJ190" i="28"/>
  <c r="AJ191" i="28"/>
  <c r="AJ192" i="28"/>
  <c r="AJ193" i="28"/>
  <c r="AJ194" i="28"/>
  <c r="AJ195" i="28"/>
  <c r="AJ196" i="28"/>
  <c r="AJ197" i="28"/>
  <c r="AJ198" i="28"/>
  <c r="AJ200" i="28"/>
  <c r="AJ201" i="28"/>
  <c r="AJ202" i="28"/>
  <c r="AJ203" i="28"/>
  <c r="AJ204" i="28"/>
  <c r="AJ205" i="28"/>
  <c r="AJ206" i="28"/>
  <c r="AJ207" i="28"/>
  <c r="AJ208" i="28"/>
  <c r="AJ209" i="28"/>
  <c r="AJ210" i="28"/>
  <c r="AJ211" i="28"/>
  <c r="AJ212" i="28"/>
  <c r="AJ213" i="28"/>
  <c r="AJ214" i="28"/>
  <c r="AJ215" i="28"/>
  <c r="AJ216" i="28"/>
  <c r="AJ217" i="28"/>
  <c r="AJ218" i="28"/>
  <c r="AJ219" i="28"/>
  <c r="AJ220" i="28"/>
  <c r="AJ221" i="28"/>
  <c r="AJ222" i="28"/>
  <c r="J231" i="28"/>
  <c r="AL63" i="28"/>
  <c r="AL98" i="28"/>
  <c r="AL177" i="28"/>
  <c r="I223" i="28"/>
  <c r="H223" i="28"/>
  <c r="G223" i="28"/>
  <c r="I224" i="28"/>
  <c r="E223" i="28"/>
  <c r="T223" i="28"/>
  <c r="Q223" i="28"/>
  <c r="P223" i="28"/>
  <c r="O223" i="28"/>
  <c r="N223" i="28"/>
  <c r="AC222" i="28"/>
  <c r="AC221" i="28"/>
  <c r="AC220" i="28"/>
  <c r="AC219" i="28"/>
  <c r="AC218" i="28"/>
  <c r="AC217" i="28"/>
  <c r="AC216" i="28"/>
  <c r="AC215" i="28"/>
  <c r="AC214" i="28"/>
  <c r="AC213" i="28"/>
  <c r="AC212" i="28"/>
  <c r="AC211" i="28"/>
  <c r="AC210" i="28"/>
  <c r="AC209" i="28"/>
  <c r="AC208" i="28"/>
  <c r="AC207" i="28"/>
  <c r="AC206" i="28"/>
  <c r="AC205" i="28"/>
  <c r="AC204" i="28"/>
  <c r="AC203" i="28"/>
  <c r="AC202" i="28"/>
  <c r="AC201" i="28"/>
  <c r="AC200" i="28"/>
  <c r="AC199" i="28"/>
  <c r="AC198" i="28"/>
  <c r="AC197" i="28"/>
  <c r="AC196" i="28"/>
  <c r="AC195" i="28"/>
  <c r="AC194" i="28"/>
  <c r="AC193" i="28"/>
  <c r="AC192" i="28"/>
  <c r="AC191" i="28"/>
  <c r="AC190" i="28"/>
  <c r="AC189" i="28"/>
  <c r="AC188" i="28"/>
  <c r="AC187" i="28"/>
  <c r="AC186" i="28"/>
  <c r="AC185" i="28"/>
  <c r="AC184" i="28"/>
  <c r="AC183" i="28"/>
  <c r="AC182" i="28"/>
  <c r="AC181" i="28"/>
  <c r="AC180" i="28"/>
  <c r="AC179" i="28"/>
  <c r="AC178" i="28"/>
  <c r="AC177" i="28"/>
  <c r="AC176" i="28"/>
  <c r="AC175" i="28"/>
  <c r="AC174" i="28"/>
  <c r="AC173" i="28"/>
  <c r="AC172" i="28"/>
  <c r="AC171" i="28"/>
  <c r="AC170" i="28"/>
  <c r="AC169" i="28"/>
  <c r="AC168" i="28"/>
  <c r="AC167" i="28"/>
  <c r="AC166" i="28"/>
  <c r="AC165" i="28"/>
  <c r="AC164" i="28"/>
  <c r="AC163" i="28"/>
  <c r="AC162" i="28"/>
  <c r="AC161" i="28"/>
  <c r="AC160" i="28"/>
  <c r="AC159" i="28"/>
  <c r="AC158" i="28"/>
  <c r="AC157" i="28"/>
  <c r="AC156" i="28"/>
  <c r="AC155" i="28"/>
  <c r="AC154" i="28"/>
  <c r="AC153" i="28"/>
  <c r="AC152" i="28"/>
  <c r="AC151" i="28"/>
  <c r="AC150" i="28"/>
  <c r="AC149" i="28"/>
  <c r="AC148" i="28"/>
  <c r="AC147" i="28"/>
  <c r="AC146" i="28"/>
  <c r="AC145" i="28"/>
  <c r="AC144" i="28"/>
  <c r="AC143" i="28"/>
  <c r="AC142" i="28"/>
  <c r="AC141" i="28"/>
  <c r="AC140" i="28"/>
  <c r="AC139" i="28"/>
  <c r="AC138" i="28"/>
  <c r="AC137" i="28"/>
  <c r="AC136" i="28"/>
  <c r="AC135" i="28"/>
  <c r="AC134" i="28"/>
  <c r="AC133" i="28"/>
  <c r="AC132" i="28"/>
  <c r="AC131" i="28"/>
  <c r="AC130" i="28"/>
  <c r="AC129" i="28"/>
  <c r="AC128" i="28"/>
  <c r="AC127" i="28"/>
  <c r="AC126" i="28"/>
  <c r="AC125" i="28"/>
  <c r="AC124" i="28"/>
  <c r="AC123" i="28"/>
  <c r="AC122" i="28"/>
  <c r="AC121" i="28"/>
  <c r="AC120" i="28"/>
  <c r="AC119" i="28"/>
  <c r="AC117" i="28"/>
  <c r="AC116" i="28"/>
  <c r="AC115" i="28"/>
  <c r="AC114" i="28"/>
  <c r="AC113" i="28"/>
  <c r="AC112" i="28"/>
  <c r="AC111" i="28"/>
  <c r="AC110" i="28"/>
  <c r="AC109" i="28"/>
  <c r="AC108" i="28"/>
  <c r="AC107" i="28"/>
  <c r="AC106" i="28"/>
  <c r="AC105" i="28"/>
  <c r="AC104" i="28"/>
  <c r="AC103" i="28"/>
  <c r="AC102" i="28"/>
  <c r="AC101" i="28"/>
  <c r="AC100" i="28"/>
  <c r="AC99" i="28"/>
  <c r="AC98" i="28"/>
  <c r="AC97" i="28"/>
  <c r="AC96" i="28"/>
  <c r="AC95" i="28"/>
  <c r="AC94" i="28"/>
  <c r="AC93" i="28"/>
  <c r="AC92" i="28"/>
  <c r="AC91" i="28"/>
  <c r="AC90" i="28"/>
  <c r="AC89" i="28"/>
  <c r="AC88" i="28"/>
  <c r="AC87" i="28"/>
  <c r="AC86" i="28"/>
  <c r="AC85" i="28"/>
  <c r="AC84" i="28"/>
  <c r="AC83" i="28"/>
  <c r="AC82" i="28"/>
  <c r="AC81" i="28"/>
  <c r="AC80" i="28"/>
  <c r="AC79" i="28"/>
  <c r="AC78" i="28"/>
  <c r="AC77" i="28"/>
  <c r="AC76" i="28"/>
  <c r="AC75" i="28"/>
  <c r="AC74" i="28"/>
  <c r="AC73" i="28"/>
  <c r="AC72" i="28"/>
  <c r="AC71" i="28"/>
  <c r="AC70" i="28"/>
  <c r="AC69" i="28"/>
  <c r="AC68" i="28"/>
  <c r="AC67" i="28"/>
  <c r="AC66" i="28"/>
  <c r="AC65" i="28"/>
  <c r="AC64" i="28"/>
  <c r="AC63" i="28"/>
  <c r="AC62" i="28"/>
  <c r="AC61" i="28"/>
  <c r="AC60" i="28"/>
  <c r="AC59" i="28"/>
  <c r="AC58" i="28"/>
  <c r="AC57" i="28"/>
  <c r="AC56" i="28"/>
  <c r="AC55" i="28"/>
  <c r="AC54" i="28"/>
  <c r="AC53" i="28"/>
  <c r="AC52" i="28"/>
  <c r="AC51" i="28"/>
  <c r="AC50" i="28"/>
  <c r="AC49" i="28"/>
  <c r="AC48" i="28"/>
  <c r="AC47" i="28"/>
  <c r="AC46" i="28"/>
  <c r="AC44" i="28"/>
  <c r="AC43" i="28"/>
  <c r="AC42" i="28"/>
  <c r="AC41" i="28"/>
  <c r="AC40" i="28"/>
  <c r="AC39" i="28"/>
  <c r="AC38" i="28"/>
  <c r="AC37" i="28"/>
  <c r="AC36" i="28"/>
  <c r="AC35" i="28"/>
  <c r="AC34" i="28"/>
  <c r="AC33" i="28"/>
  <c r="AC32" i="28"/>
  <c r="AC31" i="28"/>
  <c r="AC30" i="28"/>
  <c r="AC29" i="28"/>
  <c r="AC28" i="28"/>
  <c r="AC27" i="28"/>
  <c r="AC26" i="28"/>
  <c r="AC25" i="28"/>
  <c r="AC23" i="28"/>
  <c r="AC22" i="28"/>
  <c r="AC21" i="28"/>
  <c r="AC20" i="28"/>
  <c r="AC19" i="28"/>
  <c r="AC18" i="28"/>
  <c r="AC17" i="28"/>
  <c r="AC16" i="28"/>
  <c r="Q221" i="26"/>
  <c r="V221" i="26"/>
  <c r="Q220" i="26"/>
  <c r="V220" i="26"/>
  <c r="T219" i="26"/>
  <c r="Q219" i="26"/>
  <c r="V219" i="26"/>
  <c r="Q218" i="26"/>
  <c r="V218" i="26"/>
  <c r="Q217" i="26"/>
  <c r="V217" i="26"/>
  <c r="Q216" i="26"/>
  <c r="V216" i="26"/>
  <c r="Q215" i="26"/>
  <c r="V215" i="26"/>
  <c r="Q214" i="26"/>
  <c r="V214" i="26"/>
  <c r="Q213" i="26"/>
  <c r="V213" i="26"/>
  <c r="Q212" i="26"/>
  <c r="V212" i="26"/>
  <c r="Q211" i="26"/>
  <c r="V211" i="26"/>
  <c r="Q210" i="26"/>
  <c r="V210" i="26"/>
  <c r="Q209" i="26"/>
  <c r="V209" i="26"/>
  <c r="Q208" i="26"/>
  <c r="V208" i="26"/>
  <c r="Q207" i="26"/>
  <c r="V207" i="26"/>
  <c r="Q206" i="26"/>
  <c r="V206" i="26"/>
  <c r="Q205" i="26"/>
  <c r="V205" i="26"/>
  <c r="Q204" i="26"/>
  <c r="V204" i="26"/>
  <c r="T203" i="26"/>
  <c r="Q203" i="26"/>
  <c r="V203" i="26"/>
  <c r="Q202" i="26"/>
  <c r="V202" i="26"/>
  <c r="Q201" i="26"/>
  <c r="V201" i="26"/>
  <c r="Q200" i="26"/>
  <c r="V200" i="26"/>
  <c r="Q199" i="26"/>
  <c r="V199" i="26"/>
  <c r="Q198" i="26"/>
  <c r="V198" i="26"/>
  <c r="Q197" i="26"/>
  <c r="V197" i="26"/>
  <c r="Q196" i="26"/>
  <c r="V196" i="26"/>
  <c r="Q195" i="26"/>
  <c r="V195" i="26"/>
  <c r="Q194" i="26"/>
  <c r="V194" i="26"/>
  <c r="Q193" i="26"/>
  <c r="V193" i="26"/>
  <c r="Q192" i="26"/>
  <c r="V192" i="26"/>
  <c r="Q191" i="26"/>
  <c r="V191" i="26"/>
  <c r="Q190" i="26"/>
  <c r="V190" i="26"/>
  <c r="Q189" i="26"/>
  <c r="V189" i="26"/>
  <c r="Q188" i="26"/>
  <c r="V188" i="26"/>
  <c r="Q187" i="26"/>
  <c r="V187" i="26"/>
  <c r="Q186" i="26"/>
  <c r="V186" i="26"/>
  <c r="Q185" i="26"/>
  <c r="V185" i="26"/>
  <c r="Q184" i="26"/>
  <c r="V184" i="26"/>
  <c r="Q183" i="26"/>
  <c r="V183" i="26"/>
  <c r="Q182" i="26"/>
  <c r="V182" i="26"/>
  <c r="T181" i="26"/>
  <c r="Q181" i="26"/>
  <c r="V181" i="26"/>
  <c r="Q180" i="26"/>
  <c r="V180" i="26"/>
  <c r="T179" i="26"/>
  <c r="Q179" i="26"/>
  <c r="V179" i="26"/>
  <c r="Q178" i="26"/>
  <c r="V178" i="26"/>
  <c r="T177" i="26"/>
  <c r="Q177" i="26"/>
  <c r="V177" i="26"/>
  <c r="Q176" i="26"/>
  <c r="V176" i="26"/>
  <c r="Q175" i="26"/>
  <c r="V175" i="26"/>
  <c r="Q174" i="26"/>
  <c r="V174" i="26"/>
  <c r="Q173" i="26"/>
  <c r="V173" i="26"/>
  <c r="Q172" i="26"/>
  <c r="V172" i="26"/>
  <c r="Q171" i="26"/>
  <c r="V171" i="26"/>
  <c r="Q170" i="26"/>
  <c r="V170" i="26"/>
  <c r="Q169" i="26"/>
  <c r="V169" i="26"/>
  <c r="Q168" i="26"/>
  <c r="V168" i="26"/>
  <c r="Q167" i="26"/>
  <c r="V167" i="26"/>
  <c r="Q166" i="26"/>
  <c r="V166" i="26"/>
  <c r="Q164" i="26"/>
  <c r="V164" i="26"/>
  <c r="Q163" i="26"/>
  <c r="V163" i="26"/>
  <c r="Q162" i="26"/>
  <c r="V162" i="26"/>
  <c r="Q161" i="26"/>
  <c r="V161" i="26"/>
  <c r="Q160" i="26"/>
  <c r="V160" i="26"/>
  <c r="Q159" i="26"/>
  <c r="V159" i="26"/>
  <c r="T158" i="26"/>
  <c r="Q158" i="26"/>
  <c r="V158" i="26"/>
  <c r="Q157" i="26"/>
  <c r="V157" i="26"/>
  <c r="Q156" i="26"/>
  <c r="V156" i="26"/>
  <c r="Q155" i="26"/>
  <c r="V155" i="26"/>
  <c r="Q154" i="26"/>
  <c r="V154" i="26"/>
  <c r="Q153" i="26"/>
  <c r="V153" i="26"/>
  <c r="Q152" i="26"/>
  <c r="V152" i="26"/>
  <c r="Q151" i="26"/>
  <c r="V151" i="26"/>
  <c r="Q150" i="26"/>
  <c r="V150" i="26"/>
  <c r="Q149" i="26"/>
  <c r="V149" i="26"/>
  <c r="Q148" i="26"/>
  <c r="V148" i="26"/>
  <c r="Q147" i="26"/>
  <c r="V147" i="26"/>
  <c r="Q146" i="26"/>
  <c r="V146" i="26"/>
  <c r="Q145" i="26"/>
  <c r="V145" i="26"/>
  <c r="Q144" i="26"/>
  <c r="V144" i="26"/>
  <c r="Q143" i="26"/>
  <c r="V143" i="26"/>
  <c r="T142" i="26"/>
  <c r="Q142" i="26"/>
  <c r="V142" i="26"/>
  <c r="Q141" i="26"/>
  <c r="V141" i="26"/>
  <c r="Q140" i="26"/>
  <c r="V140" i="26"/>
  <c r="Q139" i="26"/>
  <c r="V139" i="26"/>
  <c r="T138" i="26"/>
  <c r="Q138" i="26"/>
  <c r="V138" i="26"/>
  <c r="Q137" i="26"/>
  <c r="V137" i="26"/>
  <c r="Q136" i="26"/>
  <c r="V136" i="26"/>
  <c r="Q135" i="26"/>
  <c r="V135" i="26"/>
  <c r="Q134" i="26"/>
  <c r="V134" i="26"/>
  <c r="Q133" i="26"/>
  <c r="V133" i="26"/>
  <c r="Q132" i="26"/>
  <c r="V132" i="26"/>
  <c r="Q131" i="26"/>
  <c r="V131" i="26"/>
  <c r="Q130" i="26"/>
  <c r="V130" i="26"/>
  <c r="Q129" i="26"/>
  <c r="V129" i="26"/>
  <c r="Q128" i="26"/>
  <c r="V128" i="26"/>
  <c r="Q127" i="26"/>
  <c r="V127" i="26"/>
  <c r="Q126" i="26"/>
  <c r="V126" i="26"/>
  <c r="T125" i="26"/>
  <c r="Q125" i="26"/>
  <c r="V125" i="26"/>
  <c r="Q124" i="26"/>
  <c r="V124" i="26"/>
  <c r="Q123" i="26"/>
  <c r="V123" i="26"/>
  <c r="Q122" i="26"/>
  <c r="V122" i="26"/>
  <c r="Q121" i="26"/>
  <c r="V121" i="26"/>
  <c r="Q120" i="26"/>
  <c r="V120" i="26"/>
  <c r="Q119" i="26"/>
  <c r="V119" i="26"/>
  <c r="Q118" i="26"/>
  <c r="V118" i="26"/>
  <c r="Q117" i="26"/>
  <c r="V117" i="26"/>
  <c r="Q116" i="26"/>
  <c r="V116" i="26"/>
  <c r="Q115" i="26"/>
  <c r="V115" i="26"/>
  <c r="Q114" i="26"/>
  <c r="V114" i="26"/>
  <c r="Q113" i="26"/>
  <c r="V113" i="26"/>
  <c r="Q112" i="26"/>
  <c r="V112" i="26"/>
  <c r="Q111" i="26"/>
  <c r="V111" i="26"/>
  <c r="Q110" i="26"/>
  <c r="V110" i="26"/>
  <c r="Q109" i="26"/>
  <c r="V109" i="26"/>
  <c r="Q108" i="26"/>
  <c r="V108" i="26"/>
  <c r="Q107" i="26"/>
  <c r="V107" i="26"/>
  <c r="Q106" i="26"/>
  <c r="V106" i="26"/>
  <c r="Q105" i="26"/>
  <c r="V105" i="26"/>
  <c r="Q104" i="26"/>
  <c r="V104" i="26"/>
  <c r="Q103" i="26"/>
  <c r="V103" i="26"/>
  <c r="Q102" i="26"/>
  <c r="V102" i="26"/>
  <c r="Q101" i="26"/>
  <c r="V101" i="26"/>
  <c r="Q100" i="26"/>
  <c r="V100" i="26"/>
  <c r="Q99" i="26"/>
  <c r="V99" i="26"/>
  <c r="Q98" i="26"/>
  <c r="V98" i="26"/>
  <c r="Q97" i="26"/>
  <c r="V97" i="26"/>
  <c r="Q96" i="26"/>
  <c r="V96" i="26"/>
  <c r="Q95" i="26"/>
  <c r="V95" i="26"/>
  <c r="Q94" i="26"/>
  <c r="V94" i="26"/>
  <c r="Q93" i="26"/>
  <c r="V93" i="26"/>
  <c r="Q92" i="26"/>
  <c r="V92" i="26"/>
  <c r="Q91" i="26"/>
  <c r="V91" i="26"/>
  <c r="Q90" i="26"/>
  <c r="V90" i="26"/>
  <c r="Q89" i="26"/>
  <c r="V89" i="26"/>
  <c r="Q88" i="26"/>
  <c r="V88" i="26"/>
  <c r="Q87" i="26"/>
  <c r="V87" i="26"/>
  <c r="Q86" i="26"/>
  <c r="V86" i="26"/>
  <c r="Q85" i="26"/>
  <c r="V85" i="26"/>
  <c r="Q84" i="26"/>
  <c r="V84" i="26"/>
  <c r="Q83" i="26"/>
  <c r="V83" i="26"/>
  <c r="Q82" i="26"/>
  <c r="V82" i="26"/>
  <c r="Q81" i="26"/>
  <c r="V81" i="26"/>
  <c r="Q80" i="26"/>
  <c r="V80" i="26"/>
  <c r="Q79" i="26"/>
  <c r="V79" i="26"/>
  <c r="Q78" i="26"/>
  <c r="V78" i="26"/>
  <c r="Q77" i="26"/>
  <c r="V77" i="26"/>
  <c r="Q76" i="26"/>
  <c r="V76" i="26"/>
  <c r="T75" i="26"/>
  <c r="Q75" i="26"/>
  <c r="V75" i="26"/>
  <c r="Q74" i="26"/>
  <c r="V74" i="26"/>
  <c r="Q73" i="26"/>
  <c r="V73" i="26"/>
  <c r="Q72" i="26"/>
  <c r="V72" i="26"/>
  <c r="Q71" i="26"/>
  <c r="V71" i="26"/>
  <c r="Q70" i="26"/>
  <c r="V70" i="26"/>
  <c r="Q69" i="26"/>
  <c r="V69" i="26"/>
  <c r="Q68" i="26"/>
  <c r="V68" i="26"/>
  <c r="Q67" i="26"/>
  <c r="V67" i="26"/>
  <c r="Q66" i="26"/>
  <c r="V66" i="26"/>
  <c r="Q65" i="26"/>
  <c r="V65" i="26"/>
  <c r="Q64" i="26"/>
  <c r="V64" i="26"/>
  <c r="Q63" i="26"/>
  <c r="V63" i="26"/>
  <c r="Q62" i="26"/>
  <c r="V62" i="26"/>
  <c r="Q61" i="26"/>
  <c r="V61" i="26"/>
  <c r="Q60" i="26"/>
  <c r="V60" i="26"/>
  <c r="Q59" i="26"/>
  <c r="V59" i="26"/>
  <c r="Q58" i="26"/>
  <c r="V58" i="26"/>
  <c r="Q57" i="26"/>
  <c r="V57" i="26"/>
  <c r="Q56" i="26"/>
  <c r="V56" i="26"/>
  <c r="Q55" i="26"/>
  <c r="V55" i="26"/>
  <c r="Q54" i="26"/>
  <c r="V54" i="26"/>
  <c r="Q53" i="26"/>
  <c r="V53" i="26"/>
  <c r="Q52" i="26"/>
  <c r="V52" i="26"/>
  <c r="Q51" i="26"/>
  <c r="V51" i="26"/>
  <c r="Q50" i="26"/>
  <c r="V50" i="26"/>
  <c r="Q49" i="26"/>
  <c r="V49" i="26"/>
  <c r="Q48" i="26"/>
  <c r="V48" i="26"/>
  <c r="Q47" i="26"/>
  <c r="V47" i="26"/>
  <c r="Q46" i="26"/>
  <c r="V46" i="26"/>
  <c r="Q45" i="26"/>
  <c r="V45" i="26"/>
  <c r="Q44" i="26"/>
  <c r="V44" i="26"/>
  <c r="Q43" i="26"/>
  <c r="V43" i="26"/>
  <c r="Q42" i="26"/>
  <c r="V42" i="26"/>
  <c r="Q41" i="26"/>
  <c r="V41" i="26"/>
  <c r="Q40" i="26"/>
  <c r="V40" i="26"/>
  <c r="Q39" i="26"/>
  <c r="V39" i="26"/>
  <c r="Q38" i="26"/>
  <c r="V38" i="26"/>
  <c r="Q37" i="26"/>
  <c r="V37" i="26"/>
  <c r="Q36" i="26"/>
  <c r="V36" i="26"/>
  <c r="Q35" i="26"/>
  <c r="V35" i="26"/>
  <c r="Q34" i="26"/>
  <c r="V34" i="26"/>
  <c r="Q33" i="26"/>
  <c r="V33" i="26"/>
  <c r="Q32" i="26"/>
  <c r="V32" i="26"/>
  <c r="Q31" i="26"/>
  <c r="V31" i="26"/>
  <c r="Q30" i="26"/>
  <c r="V30" i="26"/>
  <c r="Q29" i="26"/>
  <c r="V29" i="26"/>
  <c r="Q28" i="26"/>
  <c r="V28" i="26"/>
  <c r="Q27" i="26"/>
  <c r="V27" i="26"/>
  <c r="Q26" i="26"/>
  <c r="V26" i="26"/>
  <c r="Q25" i="26"/>
  <c r="V25" i="26"/>
  <c r="Q24" i="26"/>
  <c r="V24" i="26"/>
  <c r="Q23" i="26"/>
  <c r="V23" i="26"/>
  <c r="Q22" i="26"/>
  <c r="V22" i="26"/>
  <c r="Q21" i="26"/>
  <c r="V21" i="26"/>
  <c r="Q20" i="26"/>
  <c r="V20" i="26"/>
  <c r="Q19" i="26"/>
  <c r="V19" i="26"/>
  <c r="Q18" i="26"/>
  <c r="V18" i="26"/>
  <c r="Q16" i="26"/>
  <c r="V16" i="26"/>
  <c r="T17" i="26"/>
  <c r="Q17" i="26"/>
  <c r="V17" i="26"/>
  <c r="S222" i="26"/>
  <c r="R222" i="26"/>
  <c r="F220" i="27"/>
  <c r="J220" i="27"/>
  <c r="AF220" i="27"/>
  <c r="F219" i="27"/>
  <c r="J219" i="27"/>
  <c r="AF219" i="27"/>
  <c r="F217" i="27"/>
  <c r="J217" i="27"/>
  <c r="AD217" i="27"/>
  <c r="F216" i="27"/>
  <c r="J216" i="27"/>
  <c r="AD216" i="27"/>
  <c r="F215" i="27"/>
  <c r="J215" i="27"/>
  <c r="AE215" i="27"/>
  <c r="F214" i="27"/>
  <c r="J214" i="27"/>
  <c r="AD214" i="27"/>
  <c r="F213" i="27"/>
  <c r="J213" i="27"/>
  <c r="AE213" i="27"/>
  <c r="F212" i="27"/>
  <c r="J212" i="27"/>
  <c r="AE212" i="27"/>
  <c r="F211" i="27"/>
  <c r="J211" i="27"/>
  <c r="AE211" i="27"/>
  <c r="F210" i="27"/>
  <c r="J210" i="27"/>
  <c r="AE210" i="27"/>
  <c r="F209" i="27"/>
  <c r="J209" i="27"/>
  <c r="AD209" i="27"/>
  <c r="F208" i="27"/>
  <c r="J208" i="27"/>
  <c r="AD208" i="27"/>
  <c r="F207" i="27"/>
  <c r="J207" i="27"/>
  <c r="AF207" i="27"/>
  <c r="F206" i="27"/>
  <c r="J206" i="27"/>
  <c r="AE206" i="27"/>
  <c r="F205" i="27"/>
  <c r="J205" i="27"/>
  <c r="AD205" i="27"/>
  <c r="F204" i="27"/>
  <c r="J204" i="27"/>
  <c r="AD204" i="27"/>
  <c r="F203" i="27"/>
  <c r="J203" i="27"/>
  <c r="AF203" i="27"/>
  <c r="F202" i="27"/>
  <c r="J202" i="27"/>
  <c r="AD202" i="27"/>
  <c r="F201" i="27"/>
  <c r="J201" i="27"/>
  <c r="AD201" i="27"/>
  <c r="F200" i="27"/>
  <c r="J200" i="27"/>
  <c r="AD200" i="27"/>
  <c r="F199" i="27"/>
  <c r="J199" i="27"/>
  <c r="AF199" i="27"/>
  <c r="F198" i="27"/>
  <c r="J198" i="27"/>
  <c r="AE198" i="27"/>
  <c r="F197" i="27"/>
  <c r="J197" i="27"/>
  <c r="AF197" i="27"/>
  <c r="F196" i="27"/>
  <c r="J196" i="27"/>
  <c r="AE196" i="27"/>
  <c r="F195" i="27"/>
  <c r="J195" i="27"/>
  <c r="AE195" i="27"/>
  <c r="F194" i="27"/>
  <c r="J194" i="27"/>
  <c r="AE194" i="27"/>
  <c r="F193" i="27"/>
  <c r="J193" i="27"/>
  <c r="AE193" i="27"/>
  <c r="F192" i="27"/>
  <c r="J192" i="27"/>
  <c r="AE192" i="27"/>
  <c r="F191" i="27"/>
  <c r="J191" i="27"/>
  <c r="AE191" i="27"/>
  <c r="F190" i="27"/>
  <c r="J190" i="27"/>
  <c r="AD190" i="27"/>
  <c r="F189" i="27"/>
  <c r="J189" i="27"/>
  <c r="AD189" i="27"/>
  <c r="F188" i="27"/>
  <c r="J188" i="27"/>
  <c r="AD188" i="27"/>
  <c r="F187" i="27"/>
  <c r="J187" i="27"/>
  <c r="AE187" i="27"/>
  <c r="F186" i="27"/>
  <c r="J186" i="27"/>
  <c r="AE186" i="27"/>
  <c r="F185" i="27"/>
  <c r="J185" i="27"/>
  <c r="AE185" i="27"/>
  <c r="F184" i="27"/>
  <c r="J184" i="27"/>
  <c r="AE184" i="27"/>
  <c r="F183" i="27"/>
  <c r="J183" i="27"/>
  <c r="AD183" i="27"/>
  <c r="F182" i="27"/>
  <c r="J182" i="27"/>
  <c r="AD182" i="27"/>
  <c r="F181" i="27"/>
  <c r="J181" i="27"/>
  <c r="AD181" i="27"/>
  <c r="F180" i="27"/>
  <c r="J180" i="27"/>
  <c r="AE180" i="27"/>
  <c r="F179" i="27"/>
  <c r="J179" i="27"/>
  <c r="AD179" i="27"/>
  <c r="F178" i="27"/>
  <c r="J178" i="27"/>
  <c r="AE178" i="27"/>
  <c r="AD178" i="27"/>
  <c r="AF178" i="27"/>
  <c r="F177" i="27"/>
  <c r="J177" i="27"/>
  <c r="AD177" i="27"/>
  <c r="F176" i="27"/>
  <c r="J176" i="27"/>
  <c r="AF176" i="27"/>
  <c r="F175" i="27"/>
  <c r="J175" i="27"/>
  <c r="AE175" i="27"/>
  <c r="F174" i="27"/>
  <c r="J174" i="27"/>
  <c r="AD174" i="27"/>
  <c r="F173" i="27"/>
  <c r="J173" i="27"/>
  <c r="AE173" i="27"/>
  <c r="F172" i="27"/>
  <c r="J172" i="27"/>
  <c r="AE172" i="27"/>
  <c r="F171" i="27"/>
  <c r="J171" i="27"/>
  <c r="AD171" i="27"/>
  <c r="F170" i="27"/>
  <c r="J170" i="27"/>
  <c r="AE170" i="27"/>
  <c r="AD170" i="27"/>
  <c r="AF170" i="27"/>
  <c r="F169" i="27"/>
  <c r="J169" i="27"/>
  <c r="AD169" i="27"/>
  <c r="F168" i="27"/>
  <c r="J168" i="27"/>
  <c r="AD168" i="27"/>
  <c r="F167" i="27"/>
  <c r="J167" i="27"/>
  <c r="AD167" i="27"/>
  <c r="F166" i="27"/>
  <c r="J166" i="27"/>
  <c r="AD166" i="27"/>
  <c r="F164" i="27"/>
  <c r="J164" i="27"/>
  <c r="AD164" i="27"/>
  <c r="F163" i="27"/>
  <c r="J163" i="27"/>
  <c r="AD163" i="27"/>
  <c r="F162" i="27"/>
  <c r="J162" i="27"/>
  <c r="AD162" i="27"/>
  <c r="F161" i="27"/>
  <c r="J161" i="27"/>
  <c r="AD161" i="27"/>
  <c r="F160" i="27"/>
  <c r="J160" i="27"/>
  <c r="AE160" i="27"/>
  <c r="F159" i="27"/>
  <c r="J159" i="27"/>
  <c r="AE159" i="27"/>
  <c r="F158" i="27"/>
  <c r="J158" i="27"/>
  <c r="AE158" i="27"/>
  <c r="F157" i="27"/>
  <c r="J157" i="27"/>
  <c r="AE157" i="27"/>
  <c r="F156" i="27"/>
  <c r="J156" i="27"/>
  <c r="AE156" i="27"/>
  <c r="F155" i="27"/>
  <c r="J155" i="27"/>
  <c r="AD155" i="27"/>
  <c r="F154" i="27"/>
  <c r="J154" i="27"/>
  <c r="AD154" i="27"/>
  <c r="F153" i="27"/>
  <c r="J153" i="27"/>
  <c r="AE153" i="27"/>
  <c r="F152" i="27"/>
  <c r="J152" i="27"/>
  <c r="AE152" i="27"/>
  <c r="F151" i="27"/>
  <c r="J151" i="27"/>
  <c r="AD151" i="27"/>
  <c r="F150" i="27"/>
  <c r="J150" i="27"/>
  <c r="AF150" i="27"/>
  <c r="F149" i="27"/>
  <c r="J149" i="27"/>
  <c r="AE149" i="27"/>
  <c r="F148" i="27"/>
  <c r="J148" i="27"/>
  <c r="AE148" i="27"/>
  <c r="F147" i="27"/>
  <c r="J147" i="27"/>
  <c r="AF147" i="27"/>
  <c r="F146" i="27"/>
  <c r="J146" i="27"/>
  <c r="AD146" i="27"/>
  <c r="F145" i="27"/>
  <c r="J145" i="27"/>
  <c r="AD145" i="27"/>
  <c r="F144" i="27"/>
  <c r="J144" i="27"/>
  <c r="AF144" i="27"/>
  <c r="F143" i="27"/>
  <c r="J143" i="27"/>
  <c r="AD143" i="27"/>
  <c r="F142" i="27"/>
  <c r="E142" i="27"/>
  <c r="J142" i="27"/>
  <c r="AE142" i="27"/>
  <c r="F141" i="27"/>
  <c r="J141" i="27"/>
  <c r="AE141" i="27"/>
  <c r="F140" i="27"/>
  <c r="J140" i="27"/>
  <c r="AF140" i="27"/>
  <c r="F139" i="27"/>
  <c r="J139" i="27"/>
  <c r="AD139" i="27"/>
  <c r="F138" i="27"/>
  <c r="J138" i="27"/>
  <c r="AD138" i="27"/>
  <c r="F137" i="27"/>
  <c r="J137" i="27"/>
  <c r="AE137" i="27"/>
  <c r="F136" i="27"/>
  <c r="J136" i="27"/>
  <c r="AE136" i="27"/>
  <c r="F135" i="27"/>
  <c r="J135" i="27"/>
  <c r="AD135" i="27"/>
  <c r="F134" i="27"/>
  <c r="J134" i="27"/>
  <c r="AD134" i="27"/>
  <c r="F133" i="27"/>
  <c r="J133" i="27"/>
  <c r="AD133" i="27"/>
  <c r="F132" i="27"/>
  <c r="J132" i="27"/>
  <c r="AD132" i="27"/>
  <c r="F131" i="27"/>
  <c r="J131" i="27"/>
  <c r="AD131" i="27"/>
  <c r="F130" i="27"/>
  <c r="J130" i="27"/>
  <c r="AD130" i="27"/>
  <c r="F129" i="27"/>
  <c r="J129" i="27"/>
  <c r="AD129" i="27"/>
  <c r="F128" i="27"/>
  <c r="J128" i="27"/>
  <c r="AD128" i="27"/>
  <c r="F127" i="27"/>
  <c r="J127" i="27"/>
  <c r="AD127" i="27"/>
  <c r="AE127" i="27"/>
  <c r="AF127" i="27"/>
  <c r="F126" i="27"/>
  <c r="J126" i="27"/>
  <c r="AD126" i="27"/>
  <c r="F125" i="27"/>
  <c r="J125" i="27"/>
  <c r="AE125" i="27"/>
  <c r="F124" i="27"/>
  <c r="J124" i="27"/>
  <c r="AD124" i="27"/>
  <c r="F123" i="27"/>
  <c r="J123" i="27"/>
  <c r="AE123" i="27"/>
  <c r="F122" i="27"/>
  <c r="J122" i="27"/>
  <c r="AE122" i="27"/>
  <c r="F121" i="27"/>
  <c r="J121" i="27"/>
  <c r="AF121" i="27"/>
  <c r="F120" i="27"/>
  <c r="J120" i="27"/>
  <c r="AD120" i="27"/>
  <c r="F119" i="27"/>
  <c r="J119" i="27"/>
  <c r="AE119" i="27"/>
  <c r="F118" i="27"/>
  <c r="J118" i="27"/>
  <c r="AD118" i="27"/>
  <c r="F117" i="27"/>
  <c r="J117" i="27"/>
  <c r="AD117" i="27"/>
  <c r="F116" i="27"/>
  <c r="J116" i="27"/>
  <c r="AD116" i="27"/>
  <c r="F115" i="27"/>
  <c r="J115" i="27"/>
  <c r="AE115" i="27"/>
  <c r="F114" i="27"/>
  <c r="J114" i="27"/>
  <c r="AE114" i="27"/>
  <c r="F113" i="27"/>
  <c r="J113" i="27"/>
  <c r="AD113" i="27"/>
  <c r="F112" i="27"/>
  <c r="J112" i="27"/>
  <c r="AD112" i="27"/>
  <c r="F111" i="27"/>
  <c r="I111" i="27"/>
  <c r="J111" i="27"/>
  <c r="AD111" i="27"/>
  <c r="F110" i="27"/>
  <c r="J110" i="27"/>
  <c r="AD110" i="27"/>
  <c r="F109" i="27"/>
  <c r="J109" i="27"/>
  <c r="AD109" i="27"/>
  <c r="F108" i="27"/>
  <c r="J108" i="27"/>
  <c r="AD108" i="27"/>
  <c r="F107" i="27"/>
  <c r="J107" i="27"/>
  <c r="AD107" i="27"/>
  <c r="F106" i="27"/>
  <c r="J106" i="27"/>
  <c r="AD106" i="27"/>
  <c r="F105" i="27"/>
  <c r="J105" i="27"/>
  <c r="AD105" i="27"/>
  <c r="F104" i="27"/>
  <c r="J104" i="27"/>
  <c r="AD104" i="27"/>
  <c r="F103" i="27"/>
  <c r="J103" i="27"/>
  <c r="AD103" i="27"/>
  <c r="F102" i="27"/>
  <c r="J102" i="27"/>
  <c r="AD102" i="27"/>
  <c r="F101" i="27"/>
  <c r="J101" i="27"/>
  <c r="AD101" i="27"/>
  <c r="F100" i="27"/>
  <c r="J100" i="27"/>
  <c r="AD100" i="27"/>
  <c r="F99" i="27"/>
  <c r="J99" i="27"/>
  <c r="AD99" i="27"/>
  <c r="F98" i="27"/>
  <c r="J98" i="27"/>
  <c r="AD98" i="27"/>
  <c r="F97" i="27"/>
  <c r="J97" i="27"/>
  <c r="AD97" i="27"/>
  <c r="F96" i="27"/>
  <c r="J96" i="27"/>
  <c r="AD96" i="27"/>
  <c r="F95" i="27"/>
  <c r="J95" i="27"/>
  <c r="AD95" i="27"/>
  <c r="AE95" i="27"/>
  <c r="AF95" i="27"/>
  <c r="F94" i="27"/>
  <c r="J94" i="27"/>
  <c r="AD94" i="27"/>
  <c r="F93" i="27"/>
  <c r="J93" i="27"/>
  <c r="AD93" i="27"/>
  <c r="F92" i="27"/>
  <c r="J92" i="27"/>
  <c r="AE92" i="27"/>
  <c r="F91" i="27"/>
  <c r="J91" i="27"/>
  <c r="AE91" i="27"/>
  <c r="F90" i="27"/>
  <c r="J90" i="27"/>
  <c r="AE90" i="27"/>
  <c r="F89" i="27"/>
  <c r="J89" i="27"/>
  <c r="AD89" i="27"/>
  <c r="F88" i="27"/>
  <c r="J88" i="27"/>
  <c r="AE88" i="27"/>
  <c r="F87" i="27"/>
  <c r="J87" i="27"/>
  <c r="AE87" i="27"/>
  <c r="F86" i="27"/>
  <c r="J86" i="27"/>
  <c r="AF86" i="27"/>
  <c r="F85" i="27"/>
  <c r="J85" i="27"/>
  <c r="AF85" i="27"/>
  <c r="F84" i="27"/>
  <c r="J84" i="27"/>
  <c r="AD84" i="27"/>
  <c r="F83" i="27"/>
  <c r="J83" i="27"/>
  <c r="AD83" i="27"/>
  <c r="F82" i="27"/>
  <c r="J82" i="27"/>
  <c r="AD82" i="27"/>
  <c r="F81" i="27"/>
  <c r="J81" i="27"/>
  <c r="AD81" i="27"/>
  <c r="F80" i="27"/>
  <c r="J80" i="27"/>
  <c r="AD80" i="27"/>
  <c r="F79" i="27"/>
  <c r="J79" i="27"/>
  <c r="AD79" i="27"/>
  <c r="F78" i="27"/>
  <c r="J78" i="27"/>
  <c r="AE78" i="27"/>
  <c r="F77" i="27"/>
  <c r="J77" i="27"/>
  <c r="AE77" i="27"/>
  <c r="F76" i="27"/>
  <c r="J76" i="27"/>
  <c r="AE76" i="27"/>
  <c r="F75" i="27"/>
  <c r="J75" i="27"/>
  <c r="AD75" i="27"/>
  <c r="F74" i="27"/>
  <c r="J74" i="27"/>
  <c r="AE74" i="27"/>
  <c r="F73" i="27"/>
  <c r="J73" i="27"/>
  <c r="AE73" i="27"/>
  <c r="F72" i="27"/>
  <c r="J72" i="27"/>
  <c r="AD72" i="27"/>
  <c r="F71" i="27"/>
  <c r="J71" i="27"/>
  <c r="AD71" i="27"/>
  <c r="F70" i="27"/>
  <c r="J70" i="27"/>
  <c r="AE70" i="27"/>
  <c r="F69" i="27"/>
  <c r="J69" i="27"/>
  <c r="AD69" i="27"/>
  <c r="F68" i="27"/>
  <c r="J68" i="27"/>
  <c r="AD68" i="27"/>
  <c r="F67" i="27"/>
  <c r="J67" i="27"/>
  <c r="AD67" i="27"/>
  <c r="F66" i="27"/>
  <c r="J66" i="27"/>
  <c r="AD66" i="27"/>
  <c r="F65" i="27"/>
  <c r="J65" i="27"/>
  <c r="AD65" i="27"/>
  <c r="F64" i="27"/>
  <c r="J64" i="27"/>
  <c r="AD64" i="27"/>
  <c r="F63" i="27"/>
  <c r="J63" i="27"/>
  <c r="AD63" i="27"/>
  <c r="F62" i="27"/>
  <c r="J62" i="27"/>
  <c r="AD62" i="27"/>
  <c r="F61" i="27"/>
  <c r="J61" i="27"/>
  <c r="AD61" i="27"/>
  <c r="F60" i="27"/>
  <c r="J60" i="27"/>
  <c r="AD60" i="27"/>
  <c r="F59" i="27"/>
  <c r="J59" i="27"/>
  <c r="AD59" i="27"/>
  <c r="F58" i="27"/>
  <c r="J58" i="27"/>
  <c r="AF58" i="27"/>
  <c r="F57" i="27"/>
  <c r="J57" i="27"/>
  <c r="AE57" i="27"/>
  <c r="F55" i="27"/>
  <c r="J55" i="27"/>
  <c r="AF55" i="27"/>
  <c r="F54" i="27"/>
  <c r="J54" i="27"/>
  <c r="AE54" i="27"/>
  <c r="F53" i="27"/>
  <c r="J53" i="27"/>
  <c r="AE53" i="27"/>
  <c r="F52" i="27"/>
  <c r="J52" i="27"/>
  <c r="AE52" i="27"/>
  <c r="F51" i="27"/>
  <c r="J51" i="27"/>
  <c r="AE51" i="27"/>
  <c r="F50" i="27"/>
  <c r="J50" i="27"/>
  <c r="AE50" i="27"/>
  <c r="F49" i="27"/>
  <c r="J49" i="27"/>
  <c r="AD49" i="27"/>
  <c r="F48" i="27"/>
  <c r="J48" i="27"/>
  <c r="AD48" i="27"/>
  <c r="F47" i="27"/>
  <c r="J47" i="27"/>
  <c r="AD47" i="27"/>
  <c r="F46" i="27"/>
  <c r="J46" i="27"/>
  <c r="AE46" i="27"/>
  <c r="F45" i="27"/>
  <c r="J45" i="27"/>
  <c r="AD45" i="27"/>
  <c r="F44" i="27"/>
  <c r="J44" i="27"/>
  <c r="AD44" i="27"/>
  <c r="F43" i="27"/>
  <c r="E43" i="27"/>
  <c r="J43" i="27"/>
  <c r="AE43" i="27"/>
  <c r="F42" i="27"/>
  <c r="J42" i="27"/>
  <c r="AD42" i="27"/>
  <c r="AE42" i="27"/>
  <c r="AF42" i="27"/>
  <c r="F41" i="27"/>
  <c r="J41" i="27"/>
  <c r="AD41" i="27"/>
  <c r="F40" i="27"/>
  <c r="J40" i="27"/>
  <c r="AF40" i="27"/>
  <c r="F39" i="27"/>
  <c r="J39" i="27"/>
  <c r="AD39" i="27"/>
  <c r="F38" i="27"/>
  <c r="J38" i="27"/>
  <c r="AD38" i="27"/>
  <c r="F37" i="27"/>
  <c r="J37" i="27"/>
  <c r="AD37" i="27"/>
  <c r="F36" i="27"/>
  <c r="J36" i="27"/>
  <c r="AD36" i="27"/>
  <c r="F35" i="27"/>
  <c r="J35" i="27"/>
  <c r="AD35" i="27"/>
  <c r="F34" i="27"/>
  <c r="J34" i="27"/>
  <c r="AD34" i="27"/>
  <c r="F33" i="27"/>
  <c r="J33" i="27"/>
  <c r="AD33" i="27"/>
  <c r="F32" i="27"/>
  <c r="J32" i="27"/>
  <c r="AD32" i="27"/>
  <c r="F31" i="27"/>
  <c r="J31" i="27"/>
  <c r="AD31" i="27"/>
  <c r="F30" i="27"/>
  <c r="J30" i="27"/>
  <c r="AD30" i="27"/>
  <c r="F29" i="27"/>
  <c r="J29" i="27"/>
  <c r="AD29" i="27"/>
  <c r="F28" i="27"/>
  <c r="J28" i="27"/>
  <c r="AE28" i="27"/>
  <c r="F27" i="27"/>
  <c r="J27" i="27"/>
  <c r="AD27" i="27"/>
  <c r="F26" i="27"/>
  <c r="J26" i="27"/>
  <c r="AD26" i="27"/>
  <c r="F25" i="27"/>
  <c r="J25" i="27"/>
  <c r="AD25" i="27"/>
  <c r="F24" i="27"/>
  <c r="E24" i="27"/>
  <c r="J24" i="27"/>
  <c r="AE24" i="27"/>
  <c r="F23" i="27"/>
  <c r="J23" i="27"/>
  <c r="AD23" i="27"/>
  <c r="F22" i="27"/>
  <c r="J22" i="27"/>
  <c r="AD22" i="27"/>
  <c r="F21" i="27"/>
  <c r="J21" i="27"/>
  <c r="AD21" i="27"/>
  <c r="F20" i="27"/>
  <c r="J20" i="27"/>
  <c r="AE20" i="27"/>
  <c r="F19" i="27"/>
  <c r="J19" i="27"/>
  <c r="AE19" i="27"/>
  <c r="F18" i="27"/>
  <c r="J18" i="27"/>
  <c r="AE18" i="27"/>
  <c r="F17" i="27"/>
  <c r="J17" i="27"/>
  <c r="AD17" i="27"/>
  <c r="F16" i="27"/>
  <c r="J16" i="27"/>
  <c r="AE16" i="27"/>
  <c r="F221" i="27"/>
  <c r="J221" i="27"/>
  <c r="AD221" i="27"/>
  <c r="F56" i="27"/>
  <c r="J56" i="27"/>
  <c r="AE56" i="27"/>
  <c r="AE166" i="27"/>
  <c r="AH17" i="27"/>
  <c r="AH18" i="27"/>
  <c r="AH22" i="27"/>
  <c r="AH23" i="27"/>
  <c r="AH45" i="27"/>
  <c r="AD224" i="27"/>
  <c r="AF225" i="27"/>
  <c r="AF224" i="27"/>
  <c r="AB222" i="27"/>
  <c r="AA233" i="27"/>
  <c r="AA222" i="27"/>
  <c r="AA230" i="27"/>
  <c r="T222" i="27"/>
  <c r="P222" i="27"/>
  <c r="O222" i="27"/>
  <c r="N222" i="27"/>
  <c r="M222" i="27"/>
  <c r="L222" i="27"/>
  <c r="H222" i="27"/>
  <c r="G222" i="27"/>
  <c r="AJ221" i="27"/>
  <c r="AI221" i="27"/>
  <c r="AF221" i="27"/>
  <c r="AE221" i="27"/>
  <c r="Z221" i="27"/>
  <c r="Y221" i="27"/>
  <c r="AH221" i="27"/>
  <c r="AI220" i="27"/>
  <c r="AH220" i="27"/>
  <c r="AE220" i="27"/>
  <c r="AD220" i="27"/>
  <c r="Y220" i="27"/>
  <c r="X220" i="27"/>
  <c r="Z220" i="27"/>
  <c r="AC220" i="27"/>
  <c r="AI219" i="27"/>
  <c r="AH219" i="27"/>
  <c r="AE219" i="27"/>
  <c r="AD219" i="27"/>
  <c r="Y219" i="27"/>
  <c r="X219" i="27"/>
  <c r="AJ219" i="27"/>
  <c r="AJ218" i="27"/>
  <c r="AI218" i="27"/>
  <c r="AF218" i="27"/>
  <c r="AE218" i="27"/>
  <c r="Z218" i="27"/>
  <c r="Y218" i="27"/>
  <c r="X218" i="27"/>
  <c r="AJ217" i="27"/>
  <c r="AI217" i="27"/>
  <c r="AF217" i="27"/>
  <c r="AE217" i="27"/>
  <c r="Z217" i="27"/>
  <c r="Y217" i="27"/>
  <c r="AH217" i="27"/>
  <c r="AJ216" i="27"/>
  <c r="AI216" i="27"/>
  <c r="AF216" i="27"/>
  <c r="AE216" i="27"/>
  <c r="Z216" i="27"/>
  <c r="Y216" i="27"/>
  <c r="X216" i="27"/>
  <c r="AJ215" i="27"/>
  <c r="AH215" i="27"/>
  <c r="AF215" i="27"/>
  <c r="AD215" i="27"/>
  <c r="Z215" i="27"/>
  <c r="X215" i="27"/>
  <c r="Y215" i="27"/>
  <c r="AJ214" i="27"/>
  <c r="AI214" i="27"/>
  <c r="AF214" i="27"/>
  <c r="AE214" i="27"/>
  <c r="Z214" i="27"/>
  <c r="Y214" i="27"/>
  <c r="X214" i="27"/>
  <c r="AC214" i="27"/>
  <c r="AJ213" i="27"/>
  <c r="AH213" i="27"/>
  <c r="AF213" i="27"/>
  <c r="AD213" i="27"/>
  <c r="Z213" i="27"/>
  <c r="X213" i="27"/>
  <c r="Y213" i="27"/>
  <c r="AJ212" i="27"/>
  <c r="AH212" i="27"/>
  <c r="AF212" i="27"/>
  <c r="AD212" i="27"/>
  <c r="Z212" i="27"/>
  <c r="Y212" i="27"/>
  <c r="X212" i="27"/>
  <c r="AC212" i="27"/>
  <c r="AI212" i="27"/>
  <c r="AJ211" i="27"/>
  <c r="AH211" i="27"/>
  <c r="AF211" i="27"/>
  <c r="AD211" i="27"/>
  <c r="Z211" i="27"/>
  <c r="X211" i="27"/>
  <c r="Y211" i="27"/>
  <c r="AJ210" i="27"/>
  <c r="AH210" i="27"/>
  <c r="AF210" i="27"/>
  <c r="AD210" i="27"/>
  <c r="Z210" i="27"/>
  <c r="X210" i="27"/>
  <c r="AI210" i="27"/>
  <c r="AJ209" i="27"/>
  <c r="AI209" i="27"/>
  <c r="AF209" i="27"/>
  <c r="AE209" i="27"/>
  <c r="Z209" i="27"/>
  <c r="Y209" i="27"/>
  <c r="AH209" i="27"/>
  <c r="AJ208" i="27"/>
  <c r="AI208" i="27"/>
  <c r="AF208" i="27"/>
  <c r="AE208" i="27"/>
  <c r="Z208" i="27"/>
  <c r="Y208" i="27"/>
  <c r="X208" i="27"/>
  <c r="AI207" i="27"/>
  <c r="AH207" i="27"/>
  <c r="AE207" i="27"/>
  <c r="AD207" i="27"/>
  <c r="Y207" i="27"/>
  <c r="X207" i="27"/>
  <c r="AJ207" i="27"/>
  <c r="AJ206" i="27"/>
  <c r="AH206" i="27"/>
  <c r="AF206" i="27"/>
  <c r="AD206" i="27"/>
  <c r="Z206" i="27"/>
  <c r="X206" i="27"/>
  <c r="AI206" i="27"/>
  <c r="AJ205" i="27"/>
  <c r="AI205" i="27"/>
  <c r="AF205" i="27"/>
  <c r="AE205" i="27"/>
  <c r="Z205" i="27"/>
  <c r="Y205" i="27"/>
  <c r="AH205" i="27"/>
  <c r="AJ204" i="27"/>
  <c r="AI204" i="27"/>
  <c r="AF204" i="27"/>
  <c r="AE204" i="27"/>
  <c r="Z204" i="27"/>
  <c r="Y204" i="27"/>
  <c r="X204" i="27"/>
  <c r="AI203" i="27"/>
  <c r="AH203" i="27"/>
  <c r="AE203" i="27"/>
  <c r="AD203" i="27"/>
  <c r="Y203" i="27"/>
  <c r="X203" i="27"/>
  <c r="AJ203" i="27"/>
  <c r="AJ202" i="27"/>
  <c r="AI202" i="27"/>
  <c r="AF202" i="27"/>
  <c r="AE202" i="27"/>
  <c r="Z202" i="27"/>
  <c r="Y202" i="27"/>
  <c r="X202" i="27"/>
  <c r="AC202" i="27"/>
  <c r="AJ201" i="27"/>
  <c r="AI201" i="27"/>
  <c r="AF201" i="27"/>
  <c r="AE201" i="27"/>
  <c r="Z201" i="27"/>
  <c r="Y201" i="27"/>
  <c r="AH201" i="27"/>
  <c r="AJ200" i="27"/>
  <c r="AI200" i="27"/>
  <c r="AF200" i="27"/>
  <c r="AE200" i="27"/>
  <c r="Z200" i="27"/>
  <c r="Y200" i="27"/>
  <c r="AH200" i="27"/>
  <c r="AI199" i="27"/>
  <c r="AH199" i="27"/>
  <c r="AE199" i="27"/>
  <c r="AD199" i="27"/>
  <c r="Y199" i="27"/>
  <c r="X199" i="27"/>
  <c r="Z199" i="27"/>
  <c r="AJ198" i="27"/>
  <c r="AH198" i="27"/>
  <c r="AF198" i="27"/>
  <c r="AD198" i="27"/>
  <c r="Z198" i="27"/>
  <c r="X198" i="27"/>
  <c r="Y198" i="27"/>
  <c r="AI197" i="27"/>
  <c r="AH197" i="27"/>
  <c r="AE197" i="27"/>
  <c r="AD197" i="27"/>
  <c r="Y197" i="27"/>
  <c r="X197" i="27"/>
  <c r="Z197" i="27"/>
  <c r="AC197" i="27"/>
  <c r="AJ196" i="27"/>
  <c r="AH196" i="27"/>
  <c r="AF196" i="27"/>
  <c r="AD196" i="27"/>
  <c r="Z196" i="27"/>
  <c r="X196" i="27"/>
  <c r="Y196" i="27"/>
  <c r="AJ195" i="27"/>
  <c r="AH195" i="27"/>
  <c r="AF195" i="27"/>
  <c r="AD195" i="27"/>
  <c r="Z195" i="27"/>
  <c r="Y195" i="27"/>
  <c r="X195" i="27"/>
  <c r="AC195" i="27"/>
  <c r="AI195" i="27"/>
  <c r="AJ194" i="27"/>
  <c r="AH194" i="27"/>
  <c r="AF194" i="27"/>
  <c r="AD194" i="27"/>
  <c r="Z194" i="27"/>
  <c r="X194" i="27"/>
  <c r="Y194" i="27"/>
  <c r="AJ193" i="27"/>
  <c r="AH193" i="27"/>
  <c r="AF193" i="27"/>
  <c r="AD193" i="27"/>
  <c r="Z193" i="27"/>
  <c r="X193" i="27"/>
  <c r="AI193" i="27"/>
  <c r="AJ192" i="27"/>
  <c r="AH192" i="27"/>
  <c r="AF192" i="27"/>
  <c r="AD192" i="27"/>
  <c r="Z192" i="27"/>
  <c r="X192" i="27"/>
  <c r="Y192" i="27"/>
  <c r="AJ191" i="27"/>
  <c r="AH191" i="27"/>
  <c r="AF191" i="27"/>
  <c r="AD191" i="27"/>
  <c r="Z191" i="27"/>
  <c r="X191" i="27"/>
  <c r="AI191" i="27"/>
  <c r="AJ190" i="27"/>
  <c r="AI190" i="27"/>
  <c r="AF190" i="27"/>
  <c r="AE190" i="27"/>
  <c r="Z190" i="27"/>
  <c r="Y190" i="27"/>
  <c r="AH190" i="27"/>
  <c r="AJ189" i="27"/>
  <c r="AI189" i="27"/>
  <c r="AF189" i="27"/>
  <c r="AE189" i="27"/>
  <c r="Z189" i="27"/>
  <c r="Y189" i="27"/>
  <c r="X189" i="27"/>
  <c r="AC189" i="27"/>
  <c r="AJ188" i="27"/>
  <c r="AI188" i="27"/>
  <c r="AF188" i="27"/>
  <c r="AE188" i="27"/>
  <c r="Z188" i="27"/>
  <c r="Y188" i="27"/>
  <c r="AH188" i="27"/>
  <c r="AJ187" i="27"/>
  <c r="AH187" i="27"/>
  <c r="AF187" i="27"/>
  <c r="AD187" i="27"/>
  <c r="Z187" i="27"/>
  <c r="Y187" i="27"/>
  <c r="X187" i="27"/>
  <c r="AC187" i="27"/>
  <c r="AI187" i="27"/>
  <c r="AJ186" i="27"/>
  <c r="AI186" i="27"/>
  <c r="AH186" i="27"/>
  <c r="AF186" i="27"/>
  <c r="AD186" i="27"/>
  <c r="Z186" i="27"/>
  <c r="X186" i="27"/>
  <c r="Y186" i="27"/>
  <c r="AJ185" i="27"/>
  <c r="AH185" i="27"/>
  <c r="AF185" i="27"/>
  <c r="AD185" i="27"/>
  <c r="Z185" i="27"/>
  <c r="Y185" i="27"/>
  <c r="X185" i="27"/>
  <c r="AC185" i="27"/>
  <c r="AI185" i="27"/>
  <c r="AJ184" i="27"/>
  <c r="AI184" i="27"/>
  <c r="AH184" i="27"/>
  <c r="AF184" i="27"/>
  <c r="AD184" i="27"/>
  <c r="Z184" i="27"/>
  <c r="X184" i="27"/>
  <c r="Y184" i="27"/>
  <c r="AJ183" i="27"/>
  <c r="AI183" i="27"/>
  <c r="AF183" i="27"/>
  <c r="AE183" i="27"/>
  <c r="Z183" i="27"/>
  <c r="Y183" i="27"/>
  <c r="X183" i="27"/>
  <c r="AJ182" i="27"/>
  <c r="AI182" i="27"/>
  <c r="AF182" i="27"/>
  <c r="AE182" i="27"/>
  <c r="Z182" i="27"/>
  <c r="Y182" i="27"/>
  <c r="AH182" i="27"/>
  <c r="AJ181" i="27"/>
  <c r="AI181" i="27"/>
  <c r="AF181" i="27"/>
  <c r="AE181" i="27"/>
  <c r="Z181" i="27"/>
  <c r="Z16" i="27"/>
  <c r="Z17" i="27"/>
  <c r="Z18" i="27"/>
  <c r="Z19" i="27"/>
  <c r="Z20" i="27"/>
  <c r="Z21" i="27"/>
  <c r="Z22" i="27"/>
  <c r="Z23" i="27"/>
  <c r="Z24" i="27"/>
  <c r="Z25" i="27"/>
  <c r="Z26" i="27"/>
  <c r="Z27" i="27"/>
  <c r="Z28" i="27"/>
  <c r="Z29" i="27"/>
  <c r="Z30" i="27"/>
  <c r="Z31" i="27"/>
  <c r="Z32" i="27"/>
  <c r="Z33" i="27"/>
  <c r="Z34" i="27"/>
  <c r="Z35" i="27"/>
  <c r="Z36" i="27"/>
  <c r="Z37" i="27"/>
  <c r="Z38" i="27"/>
  <c r="Z39" i="27"/>
  <c r="Z40" i="27"/>
  <c r="Z41" i="27"/>
  <c r="Z42" i="27"/>
  <c r="Z43" i="27"/>
  <c r="Z44" i="27"/>
  <c r="Z45" i="27"/>
  <c r="Z46" i="27"/>
  <c r="Z47" i="27"/>
  <c r="Z48" i="27"/>
  <c r="Z49" i="27"/>
  <c r="Z50" i="27"/>
  <c r="Z51" i="27"/>
  <c r="Z52" i="27"/>
  <c r="Z53" i="27"/>
  <c r="Z54" i="27"/>
  <c r="Z55" i="27"/>
  <c r="Z56" i="27"/>
  <c r="Z57" i="27"/>
  <c r="Z58" i="27"/>
  <c r="Z59" i="27"/>
  <c r="Z60" i="27"/>
  <c r="Z61" i="27"/>
  <c r="Z62" i="27"/>
  <c r="Z63" i="27"/>
  <c r="Z64" i="27"/>
  <c r="Z65" i="27"/>
  <c r="Z66" i="27"/>
  <c r="Z67" i="27"/>
  <c r="Z68" i="27"/>
  <c r="Z69" i="27"/>
  <c r="Z70" i="27"/>
  <c r="Z71" i="27"/>
  <c r="Z72" i="27"/>
  <c r="Z73" i="27"/>
  <c r="Z74" i="27"/>
  <c r="Z75" i="27"/>
  <c r="Z76" i="27"/>
  <c r="Z77" i="27"/>
  <c r="Z78" i="27"/>
  <c r="Z79" i="27"/>
  <c r="Z80" i="27"/>
  <c r="Z81" i="27"/>
  <c r="Z82" i="27"/>
  <c r="Z83" i="27"/>
  <c r="Z84" i="27"/>
  <c r="Z85" i="27"/>
  <c r="Z86" i="27"/>
  <c r="Z87" i="27"/>
  <c r="Z88" i="27"/>
  <c r="Z89" i="27"/>
  <c r="Z90" i="27"/>
  <c r="Z91" i="27"/>
  <c r="Z92" i="27"/>
  <c r="Z93" i="27"/>
  <c r="Z94" i="27"/>
  <c r="Z95" i="27"/>
  <c r="Z96" i="27"/>
  <c r="Z97" i="27"/>
  <c r="Z98" i="27"/>
  <c r="Z99" i="27"/>
  <c r="Z100" i="27"/>
  <c r="Z101" i="27"/>
  <c r="Z102" i="27"/>
  <c r="Z103" i="27"/>
  <c r="Z104" i="27"/>
  <c r="Z105" i="27"/>
  <c r="Z106" i="27"/>
  <c r="Z107" i="27"/>
  <c r="Z108" i="27"/>
  <c r="Z109" i="27"/>
  <c r="Z110" i="27"/>
  <c r="Z111" i="27"/>
  <c r="Z112" i="27"/>
  <c r="Z113" i="27"/>
  <c r="Z114" i="27"/>
  <c r="Z115" i="27"/>
  <c r="Z116" i="27"/>
  <c r="Z117" i="27"/>
  <c r="Z118" i="27"/>
  <c r="Z119" i="27"/>
  <c r="Z120" i="27"/>
  <c r="Z121" i="27"/>
  <c r="Z122" i="27"/>
  <c r="Z123" i="27"/>
  <c r="Z124" i="27"/>
  <c r="Z125" i="27"/>
  <c r="Z126" i="27"/>
  <c r="Z127" i="27"/>
  <c r="Z128" i="27"/>
  <c r="Z129" i="27"/>
  <c r="Z130" i="27"/>
  <c r="Z131" i="27"/>
  <c r="Z132" i="27"/>
  <c r="Z133" i="27"/>
  <c r="Z134" i="27"/>
  <c r="Z135" i="27"/>
  <c r="Z136" i="27"/>
  <c r="Z137" i="27"/>
  <c r="Z138" i="27"/>
  <c r="Z139" i="27"/>
  <c r="Z140" i="27"/>
  <c r="Z141" i="27"/>
  <c r="Z142" i="27"/>
  <c r="Z143" i="27"/>
  <c r="Z144" i="27"/>
  <c r="Z145" i="27"/>
  <c r="Z146" i="27"/>
  <c r="Z147" i="27"/>
  <c r="Z148" i="27"/>
  <c r="Z149" i="27"/>
  <c r="Z150" i="27"/>
  <c r="Z151" i="27"/>
  <c r="Z152" i="27"/>
  <c r="Z153" i="27"/>
  <c r="Z154" i="27"/>
  <c r="Z155" i="27"/>
  <c r="Z156" i="27"/>
  <c r="Z157" i="27"/>
  <c r="Z158" i="27"/>
  <c r="Z159" i="27"/>
  <c r="Z160" i="27"/>
  <c r="Z161" i="27"/>
  <c r="Z162" i="27"/>
  <c r="Z163" i="27"/>
  <c r="Z164" i="27"/>
  <c r="Z165" i="27"/>
  <c r="Z166" i="27"/>
  <c r="Z167" i="27"/>
  <c r="Z168" i="27"/>
  <c r="Z169" i="27"/>
  <c r="Z170" i="27"/>
  <c r="Z171" i="27"/>
  <c r="Z172" i="27"/>
  <c r="Z173" i="27"/>
  <c r="Z174" i="27"/>
  <c r="Z175" i="27"/>
  <c r="Q176" i="27"/>
  <c r="Z176" i="27"/>
  <c r="Z177" i="27"/>
  <c r="Z178" i="27"/>
  <c r="Z179" i="27"/>
  <c r="Z180" i="27"/>
  <c r="Z203" i="27"/>
  <c r="Z207" i="27"/>
  <c r="Z219" i="27"/>
  <c r="Z222" i="27"/>
  <c r="AA235" i="27"/>
  <c r="Y181" i="27"/>
  <c r="X181" i="27"/>
  <c r="AJ180" i="27"/>
  <c r="AH180" i="27"/>
  <c r="AF180" i="27"/>
  <c r="AD180" i="27"/>
  <c r="X180" i="27"/>
  <c r="Y180" i="27"/>
  <c r="AJ179" i="27"/>
  <c r="AI179" i="27"/>
  <c r="AF179" i="27"/>
  <c r="AE179" i="27"/>
  <c r="Y179" i="27"/>
  <c r="X179" i="27"/>
  <c r="AJ178" i="27"/>
  <c r="AI178" i="27"/>
  <c r="AH178" i="27"/>
  <c r="X178" i="27"/>
  <c r="Y178" i="27"/>
  <c r="AJ177" i="27"/>
  <c r="AI177" i="27"/>
  <c r="AF177" i="27"/>
  <c r="AE177" i="27"/>
  <c r="Y177" i="27"/>
  <c r="X177" i="27"/>
  <c r="AI176" i="27"/>
  <c r="AH176" i="27"/>
  <c r="AE176" i="27"/>
  <c r="AD176" i="27"/>
  <c r="Y176" i="27"/>
  <c r="X176" i="27"/>
  <c r="V176" i="27"/>
  <c r="AJ176" i="27"/>
  <c r="AJ175" i="27"/>
  <c r="AH175" i="27"/>
  <c r="AF175" i="27"/>
  <c r="AD175" i="27"/>
  <c r="X175" i="27"/>
  <c r="AI175" i="27"/>
  <c r="AJ174" i="27"/>
  <c r="AI174" i="27"/>
  <c r="AF174" i="27"/>
  <c r="AE174" i="27"/>
  <c r="Y174" i="27"/>
  <c r="AH174" i="27"/>
  <c r="AJ173" i="27"/>
  <c r="AH173" i="27"/>
  <c r="AF173" i="27"/>
  <c r="AD173" i="27"/>
  <c r="Y173" i="27"/>
  <c r="X173" i="27"/>
  <c r="AC173" i="27"/>
  <c r="AI173" i="27"/>
  <c r="AJ172" i="27"/>
  <c r="AH172" i="27"/>
  <c r="AF172" i="27"/>
  <c r="AD172" i="27"/>
  <c r="X172" i="27"/>
  <c r="Y172" i="27"/>
  <c r="AJ171" i="27"/>
  <c r="AI171" i="27"/>
  <c r="AF171" i="27"/>
  <c r="AE171" i="27"/>
  <c r="Y171" i="27"/>
  <c r="X171" i="27"/>
  <c r="AC171" i="27"/>
  <c r="AJ170" i="27"/>
  <c r="AH170" i="27"/>
  <c r="X170" i="27"/>
  <c r="Y170" i="27"/>
  <c r="AJ169" i="27"/>
  <c r="AI169" i="27"/>
  <c r="AF169" i="27"/>
  <c r="AE169" i="27"/>
  <c r="Y169" i="27"/>
  <c r="X169" i="27"/>
  <c r="AJ168" i="27"/>
  <c r="AI168" i="27"/>
  <c r="AF168" i="27"/>
  <c r="AE168" i="27"/>
  <c r="Y168" i="27"/>
  <c r="X168" i="27"/>
  <c r="AJ167" i="27"/>
  <c r="AI167" i="27"/>
  <c r="AF167" i="27"/>
  <c r="AE167" i="27"/>
  <c r="Y167" i="27"/>
  <c r="AH167" i="27"/>
  <c r="AJ166" i="27"/>
  <c r="AF166" i="27"/>
  <c r="X166" i="27"/>
  <c r="AJ165" i="27"/>
  <c r="AI165" i="27"/>
  <c r="AF165" i="27"/>
  <c r="AE165" i="27"/>
  <c r="Y165" i="27"/>
  <c r="AH165" i="27"/>
  <c r="AJ164" i="27"/>
  <c r="AI164" i="27"/>
  <c r="AF164" i="27"/>
  <c r="AE164" i="27"/>
  <c r="Y164" i="27"/>
  <c r="X164" i="27"/>
  <c r="AC164" i="27"/>
  <c r="AJ163" i="27"/>
  <c r="AI163" i="27"/>
  <c r="AF163" i="27"/>
  <c r="AE163" i="27"/>
  <c r="Y163" i="27"/>
  <c r="AH163" i="27"/>
  <c r="AJ162" i="27"/>
  <c r="AH162" i="27"/>
  <c r="AF162" i="27"/>
  <c r="Y162" i="27"/>
  <c r="X162" i="27"/>
  <c r="AC162" i="27"/>
  <c r="AI162" i="27"/>
  <c r="AJ161" i="27"/>
  <c r="AI161" i="27"/>
  <c r="AF161" i="27"/>
  <c r="AE161" i="27"/>
  <c r="Y161" i="27"/>
  <c r="AH161" i="27"/>
  <c r="AJ160" i="27"/>
  <c r="AH160" i="27"/>
  <c r="AF160" i="27"/>
  <c r="AD160" i="27"/>
  <c r="X160" i="27"/>
  <c r="AI160" i="27"/>
  <c r="AJ159" i="27"/>
  <c r="AH159" i="27"/>
  <c r="AF159" i="27"/>
  <c r="AD159" i="27"/>
  <c r="X159" i="27"/>
  <c r="Y159" i="27"/>
  <c r="AJ158" i="27"/>
  <c r="AH158" i="27"/>
  <c r="AF158" i="27"/>
  <c r="AD158" i="27"/>
  <c r="X158" i="27"/>
  <c r="AI158" i="27"/>
  <c r="AJ157" i="27"/>
  <c r="AH157" i="27"/>
  <c r="AF157" i="27"/>
  <c r="AD157" i="27"/>
  <c r="X157" i="27"/>
  <c r="Y157" i="27"/>
  <c r="AJ156" i="27"/>
  <c r="AH156" i="27"/>
  <c r="AF156" i="27"/>
  <c r="AD156" i="27"/>
  <c r="X156" i="27"/>
  <c r="AI156" i="27"/>
  <c r="AJ155" i="27"/>
  <c r="AI155" i="27"/>
  <c r="AF155" i="27"/>
  <c r="AE155" i="27"/>
  <c r="Y155" i="27"/>
  <c r="AH155" i="27"/>
  <c r="AJ154" i="27"/>
  <c r="AI154" i="27"/>
  <c r="AF154" i="27"/>
  <c r="AE154" i="27"/>
  <c r="Y154" i="27"/>
  <c r="X154" i="27"/>
  <c r="AJ153" i="27"/>
  <c r="AI153" i="27"/>
  <c r="AH153" i="27"/>
  <c r="AF153" i="27"/>
  <c r="AD153" i="27"/>
  <c r="X153" i="27"/>
  <c r="Y153" i="27"/>
  <c r="AJ152" i="27"/>
  <c r="AH152" i="27"/>
  <c r="AF152" i="27"/>
  <c r="AD152" i="27"/>
  <c r="Y152" i="27"/>
  <c r="X152" i="27"/>
  <c r="AC152" i="27"/>
  <c r="AI152" i="27"/>
  <c r="AJ151" i="27"/>
  <c r="AI151" i="27"/>
  <c r="AF151" i="27"/>
  <c r="AE151" i="27"/>
  <c r="Y151" i="27"/>
  <c r="AH151" i="27"/>
  <c r="AI150" i="27"/>
  <c r="AH150" i="27"/>
  <c r="AE150" i="27"/>
  <c r="AD150" i="27"/>
  <c r="Y150" i="27"/>
  <c r="X150" i="27"/>
  <c r="AJ149" i="27"/>
  <c r="AH149" i="27"/>
  <c r="AF149" i="27"/>
  <c r="AD149" i="27"/>
  <c r="X149" i="27"/>
  <c r="Y149" i="27"/>
  <c r="AJ148" i="27"/>
  <c r="AH148" i="27"/>
  <c r="AF148" i="27"/>
  <c r="AD148" i="27"/>
  <c r="X148" i="27"/>
  <c r="AI148" i="27"/>
  <c r="AI147" i="27"/>
  <c r="AH147" i="27"/>
  <c r="AE147" i="27"/>
  <c r="AD147" i="27"/>
  <c r="Y147" i="27"/>
  <c r="X147" i="27"/>
  <c r="AJ147" i="27"/>
  <c r="AJ146" i="27"/>
  <c r="AI146" i="27"/>
  <c r="AF146" i="27"/>
  <c r="AE146" i="27"/>
  <c r="Y146" i="27"/>
  <c r="X146" i="27"/>
  <c r="AJ145" i="27"/>
  <c r="AI145" i="27"/>
  <c r="AF145" i="27"/>
  <c r="AE145" i="27"/>
  <c r="Y145" i="27"/>
  <c r="AH145" i="27"/>
  <c r="AI144" i="27"/>
  <c r="AH144" i="27"/>
  <c r="AE144" i="27"/>
  <c r="AD144" i="27"/>
  <c r="Y144" i="27"/>
  <c r="X144" i="27"/>
  <c r="AJ143" i="27"/>
  <c r="AI143" i="27"/>
  <c r="AF143" i="27"/>
  <c r="AE143" i="27"/>
  <c r="Y143" i="27"/>
  <c r="AH143" i="27"/>
  <c r="AJ142" i="27"/>
  <c r="AH142" i="27"/>
  <c r="AF142" i="27"/>
  <c r="AD142" i="27"/>
  <c r="X142" i="27"/>
  <c r="Y142" i="27"/>
  <c r="AJ141" i="27"/>
  <c r="AH141" i="27"/>
  <c r="AF141" i="27"/>
  <c r="AD141" i="27"/>
  <c r="X141" i="27"/>
  <c r="AI141" i="27"/>
  <c r="AI140" i="27"/>
  <c r="AH140" i="27"/>
  <c r="AE140" i="27"/>
  <c r="AD140" i="27"/>
  <c r="Y140" i="27"/>
  <c r="X140" i="27"/>
  <c r="AJ140" i="27"/>
  <c r="AJ139" i="27"/>
  <c r="AI139" i="27"/>
  <c r="AF139" i="27"/>
  <c r="AE139" i="27"/>
  <c r="Y139" i="27"/>
  <c r="X139" i="27"/>
  <c r="AJ138" i="27"/>
  <c r="AI138" i="27"/>
  <c r="AF138" i="27"/>
  <c r="AE138" i="27"/>
  <c r="Y138" i="27"/>
  <c r="AH138" i="27"/>
  <c r="AJ137" i="27"/>
  <c r="AH137" i="27"/>
  <c r="AF137" i="27"/>
  <c r="AD137" i="27"/>
  <c r="X137" i="27"/>
  <c r="AI137" i="27"/>
  <c r="AJ136" i="27"/>
  <c r="AH136" i="27"/>
  <c r="AF136" i="27"/>
  <c r="AD136" i="27"/>
  <c r="X136" i="27"/>
  <c r="Y136" i="27"/>
  <c r="AJ135" i="27"/>
  <c r="AI135" i="27"/>
  <c r="AF135" i="27"/>
  <c r="AE135" i="27"/>
  <c r="Y135" i="27"/>
  <c r="X135" i="27"/>
  <c r="AJ134" i="27"/>
  <c r="AI134" i="27"/>
  <c r="AF134" i="27"/>
  <c r="AE134" i="27"/>
  <c r="Y134" i="27"/>
  <c r="AH134" i="27"/>
  <c r="AJ133" i="27"/>
  <c r="AI133" i="27"/>
  <c r="AF133" i="27"/>
  <c r="AE133" i="27"/>
  <c r="Y133" i="27"/>
  <c r="X133" i="27"/>
  <c r="AC133" i="27"/>
  <c r="AJ132" i="27"/>
  <c r="AI132" i="27"/>
  <c r="AF132" i="27"/>
  <c r="AE132" i="27"/>
  <c r="Y132" i="27"/>
  <c r="AH132" i="27"/>
  <c r="AJ131" i="27"/>
  <c r="AI131" i="27"/>
  <c r="AF131" i="27"/>
  <c r="AE131" i="27"/>
  <c r="Y131" i="27"/>
  <c r="X131" i="27"/>
  <c r="AJ130" i="27"/>
  <c r="AI130" i="27"/>
  <c r="AF130" i="27"/>
  <c r="AE130" i="27"/>
  <c r="Y130" i="27"/>
  <c r="AH130" i="27"/>
  <c r="AJ129" i="27"/>
  <c r="AI129" i="27"/>
  <c r="AF129" i="27"/>
  <c r="AE129" i="27"/>
  <c r="Y129" i="27"/>
  <c r="X129" i="27"/>
  <c r="AC129" i="27"/>
  <c r="AJ128" i="27"/>
  <c r="AI128" i="27"/>
  <c r="AF128" i="27"/>
  <c r="AE128" i="27"/>
  <c r="Y128" i="27"/>
  <c r="AH128" i="27"/>
  <c r="AJ127" i="27"/>
  <c r="AI127" i="27"/>
  <c r="Y127" i="27"/>
  <c r="X127" i="27"/>
  <c r="AJ126" i="27"/>
  <c r="AI126" i="27"/>
  <c r="AF126" i="27"/>
  <c r="AE126" i="27"/>
  <c r="Y126" i="27"/>
  <c r="AH126" i="27"/>
  <c r="AJ125" i="27"/>
  <c r="AH125" i="27"/>
  <c r="AF125" i="27"/>
  <c r="AD125" i="27"/>
  <c r="X125" i="27"/>
  <c r="AI125" i="27"/>
  <c r="AJ124" i="27"/>
  <c r="AI124" i="27"/>
  <c r="AF124" i="27"/>
  <c r="AE124" i="27"/>
  <c r="Y124" i="27"/>
  <c r="X124" i="27"/>
  <c r="AC124" i="27"/>
  <c r="AJ123" i="27"/>
  <c r="AH123" i="27"/>
  <c r="AF123" i="27"/>
  <c r="AD123" i="27"/>
  <c r="X123" i="27"/>
  <c r="AI123" i="27"/>
  <c r="AJ122" i="27"/>
  <c r="AH122" i="27"/>
  <c r="AF122" i="27"/>
  <c r="AD122" i="27"/>
  <c r="X122" i="27"/>
  <c r="Y122" i="27"/>
  <c r="AI121" i="27"/>
  <c r="AH121" i="27"/>
  <c r="AE121" i="27"/>
  <c r="AD121" i="27"/>
  <c r="Y121" i="27"/>
  <c r="X121" i="27"/>
  <c r="AJ120" i="27"/>
  <c r="AI120" i="27"/>
  <c r="AF120" i="27"/>
  <c r="AE120" i="27"/>
  <c r="Y120" i="27"/>
  <c r="X120" i="27"/>
  <c r="AJ119" i="27"/>
  <c r="AH119" i="27"/>
  <c r="AF119" i="27"/>
  <c r="AD119" i="27"/>
  <c r="X119" i="27"/>
  <c r="Y119" i="27"/>
  <c r="AJ118" i="27"/>
  <c r="AI118" i="27"/>
  <c r="AF118" i="27"/>
  <c r="AE118" i="27"/>
  <c r="Y118" i="27"/>
  <c r="X118" i="27"/>
  <c r="AC118" i="27"/>
  <c r="AJ117" i="27"/>
  <c r="AI117" i="27"/>
  <c r="AF117" i="27"/>
  <c r="AE117" i="27"/>
  <c r="Y117" i="27"/>
  <c r="AH117" i="27"/>
  <c r="AJ116" i="27"/>
  <c r="AI116" i="27"/>
  <c r="AF116" i="27"/>
  <c r="AE116" i="27"/>
  <c r="Y116" i="27"/>
  <c r="AH116" i="27"/>
  <c r="AJ115" i="27"/>
  <c r="AH115" i="27"/>
  <c r="AF115" i="27"/>
  <c r="AD115" i="27"/>
  <c r="X115" i="27"/>
  <c r="Y115" i="27"/>
  <c r="AJ114" i="27"/>
  <c r="AH114" i="27"/>
  <c r="AF114" i="27"/>
  <c r="Y114" i="27"/>
  <c r="X114" i="27"/>
  <c r="AI114" i="27"/>
  <c r="AJ113" i="27"/>
  <c r="AI113" i="27"/>
  <c r="AF113" i="27"/>
  <c r="AE113" i="27"/>
  <c r="Y113" i="27"/>
  <c r="AH113" i="27"/>
  <c r="AJ112" i="27"/>
  <c r="AI112" i="27"/>
  <c r="AF112" i="27"/>
  <c r="AE112" i="27"/>
  <c r="Y112" i="27"/>
  <c r="X112" i="27"/>
  <c r="AC112" i="27"/>
  <c r="AJ111" i="27"/>
  <c r="AI111" i="27"/>
  <c r="AF111" i="27"/>
  <c r="AE111" i="27"/>
  <c r="Y111" i="27"/>
  <c r="AH111" i="27"/>
  <c r="I222" i="27"/>
  <c r="I223" i="27"/>
  <c r="AJ110" i="27"/>
  <c r="AI110" i="27"/>
  <c r="AF110" i="27"/>
  <c r="AE110" i="27"/>
  <c r="Y110" i="27"/>
  <c r="AH110" i="27"/>
  <c r="AJ109" i="27"/>
  <c r="AI109" i="27"/>
  <c r="AF109" i="27"/>
  <c r="AE109" i="27"/>
  <c r="Y109" i="27"/>
  <c r="X109" i="27"/>
  <c r="AJ108" i="27"/>
  <c r="AI108" i="27"/>
  <c r="AF108" i="27"/>
  <c r="AE108" i="27"/>
  <c r="Y108" i="27"/>
  <c r="AH108" i="27"/>
  <c r="AJ107" i="27"/>
  <c r="AI107" i="27"/>
  <c r="AF107" i="27"/>
  <c r="AE107" i="27"/>
  <c r="Y107" i="27"/>
  <c r="X107" i="27"/>
  <c r="AC107" i="27"/>
  <c r="AJ106" i="27"/>
  <c r="AI106" i="27"/>
  <c r="AF106" i="27"/>
  <c r="AE106" i="27"/>
  <c r="Y106" i="27"/>
  <c r="AH106" i="27"/>
  <c r="AJ105" i="27"/>
  <c r="AI105" i="27"/>
  <c r="AF105" i="27"/>
  <c r="AE105" i="27"/>
  <c r="Y105" i="27"/>
  <c r="X105" i="27"/>
  <c r="AJ104" i="27"/>
  <c r="AI104" i="27"/>
  <c r="AF104" i="27"/>
  <c r="AE104" i="27"/>
  <c r="Y104" i="27"/>
  <c r="AH104" i="27"/>
  <c r="AJ103" i="27"/>
  <c r="AI103" i="27"/>
  <c r="AF103" i="27"/>
  <c r="AE103" i="27"/>
  <c r="Y103" i="27"/>
  <c r="X103" i="27"/>
  <c r="AC103" i="27"/>
  <c r="AJ102" i="27"/>
  <c r="AI102" i="27"/>
  <c r="AF102" i="27"/>
  <c r="AE102" i="27"/>
  <c r="Y102" i="27"/>
  <c r="AH102" i="27"/>
  <c r="AJ101" i="27"/>
  <c r="AI101" i="27"/>
  <c r="AF101" i="27"/>
  <c r="AE101" i="27"/>
  <c r="Y101" i="27"/>
  <c r="X101" i="27"/>
  <c r="AJ100" i="27"/>
  <c r="AI100" i="27"/>
  <c r="AF100" i="27"/>
  <c r="AE100" i="27"/>
  <c r="Y100" i="27"/>
  <c r="AH100" i="27"/>
  <c r="AJ99" i="27"/>
  <c r="AI99" i="27"/>
  <c r="AF99" i="27"/>
  <c r="AE99" i="27"/>
  <c r="Y99" i="27"/>
  <c r="X99" i="27"/>
  <c r="AC99" i="27"/>
  <c r="AJ98" i="27"/>
  <c r="AI98" i="27"/>
  <c r="AF98" i="27"/>
  <c r="AE98" i="27"/>
  <c r="Y98" i="27"/>
  <c r="AH98" i="27"/>
  <c r="AJ97" i="27"/>
  <c r="AI97" i="27"/>
  <c r="AF97" i="27"/>
  <c r="AE97" i="27"/>
  <c r="Y97" i="27"/>
  <c r="X97" i="27"/>
  <c r="AJ96" i="27"/>
  <c r="AI96" i="27"/>
  <c r="AF96" i="27"/>
  <c r="AE96" i="27"/>
  <c r="Y96" i="27"/>
  <c r="AH96" i="27"/>
  <c r="AJ95" i="27"/>
  <c r="AI95" i="27"/>
  <c r="Y95" i="27"/>
  <c r="X95" i="27"/>
  <c r="AC95" i="27"/>
  <c r="AJ94" i="27"/>
  <c r="AI94" i="27"/>
  <c r="AF94" i="27"/>
  <c r="AE94" i="27"/>
  <c r="Y94" i="27"/>
  <c r="AH94" i="27"/>
  <c r="AJ93" i="27"/>
  <c r="AI93" i="27"/>
  <c r="AF93" i="27"/>
  <c r="AE93" i="27"/>
  <c r="Y93" i="27"/>
  <c r="X93" i="27"/>
  <c r="AJ92" i="27"/>
  <c r="AH92" i="27"/>
  <c r="AF92" i="27"/>
  <c r="AD92" i="27"/>
  <c r="X92" i="27"/>
  <c r="Y92" i="27"/>
  <c r="AJ91" i="27"/>
  <c r="AH91" i="27"/>
  <c r="AF91" i="27"/>
  <c r="AD91" i="27"/>
  <c r="X91" i="27"/>
  <c r="AI91" i="27"/>
  <c r="AJ90" i="27"/>
  <c r="AH90" i="27"/>
  <c r="AF90" i="27"/>
  <c r="AD90" i="27"/>
  <c r="X90" i="27"/>
  <c r="Y90" i="27"/>
  <c r="AJ89" i="27"/>
  <c r="AI89" i="27"/>
  <c r="AF89" i="27"/>
  <c r="AE89" i="27"/>
  <c r="Y89" i="27"/>
  <c r="X89" i="27"/>
  <c r="AJ88" i="27"/>
  <c r="AH88" i="27"/>
  <c r="AF88" i="27"/>
  <c r="AD88" i="27"/>
  <c r="X88" i="27"/>
  <c r="Y88" i="27"/>
  <c r="AJ87" i="27"/>
  <c r="AH87" i="27"/>
  <c r="AF87" i="27"/>
  <c r="AD87" i="27"/>
  <c r="X87" i="27"/>
  <c r="AI87" i="27"/>
  <c r="AI86" i="27"/>
  <c r="AH86" i="27"/>
  <c r="AE86" i="27"/>
  <c r="AD86" i="27"/>
  <c r="Y86" i="27"/>
  <c r="X86" i="27"/>
  <c r="AJ86" i="27"/>
  <c r="AI85" i="27"/>
  <c r="AH85" i="27"/>
  <c r="AE85" i="27"/>
  <c r="AD85" i="27"/>
  <c r="Y85" i="27"/>
  <c r="X85" i="27"/>
  <c r="AJ84" i="27"/>
  <c r="AI84" i="27"/>
  <c r="AF84" i="27"/>
  <c r="AE84" i="27"/>
  <c r="Y84" i="27"/>
  <c r="AH84" i="27"/>
  <c r="AJ83" i="27"/>
  <c r="AI83" i="27"/>
  <c r="AF83" i="27"/>
  <c r="AE83" i="27"/>
  <c r="Y83" i="27"/>
  <c r="AH83" i="27"/>
  <c r="AJ82" i="27"/>
  <c r="AI82" i="27"/>
  <c r="AF82" i="27"/>
  <c r="AE82" i="27"/>
  <c r="Y82" i="27"/>
  <c r="AH82" i="27"/>
  <c r="AJ81" i="27"/>
  <c r="AI81" i="27"/>
  <c r="AF81" i="27"/>
  <c r="AE81" i="27"/>
  <c r="Y81" i="27"/>
  <c r="AH81" i="27"/>
  <c r="AJ80" i="27"/>
  <c r="AI80" i="27"/>
  <c r="AF80" i="27"/>
  <c r="AE80" i="27"/>
  <c r="Y80" i="27"/>
  <c r="X80" i="27"/>
  <c r="AJ79" i="27"/>
  <c r="AI79" i="27"/>
  <c r="AF79" i="27"/>
  <c r="AE79" i="27"/>
  <c r="Y79" i="27"/>
  <c r="X79" i="27"/>
  <c r="AJ78" i="27"/>
  <c r="AH78" i="27"/>
  <c r="AF78" i="27"/>
  <c r="AD78" i="27"/>
  <c r="Y78" i="27"/>
  <c r="X78" i="27"/>
  <c r="AC78" i="27"/>
  <c r="AI78" i="27"/>
  <c r="AJ77" i="27"/>
  <c r="AH77" i="27"/>
  <c r="AF77" i="27"/>
  <c r="AD77" i="27"/>
  <c r="X77" i="27"/>
  <c r="Y77" i="27"/>
  <c r="AJ76" i="27"/>
  <c r="AH76" i="27"/>
  <c r="AF76" i="27"/>
  <c r="AD76" i="27"/>
  <c r="X76" i="27"/>
  <c r="AI76" i="27"/>
  <c r="AJ75" i="27"/>
  <c r="AI75" i="27"/>
  <c r="AF75" i="27"/>
  <c r="AE75" i="27"/>
  <c r="Y75" i="27"/>
  <c r="X75" i="27"/>
  <c r="AC75" i="27"/>
  <c r="AJ74" i="27"/>
  <c r="AH74" i="27"/>
  <c r="AF74" i="27"/>
  <c r="AD74" i="27"/>
  <c r="X74" i="27"/>
  <c r="Y74" i="27"/>
  <c r="AJ73" i="27"/>
  <c r="AH73" i="27"/>
  <c r="AF73" i="27"/>
  <c r="AD73" i="27"/>
  <c r="Y73" i="27"/>
  <c r="X73" i="27"/>
  <c r="AC73" i="27"/>
  <c r="AI73" i="27"/>
  <c r="AJ72" i="27"/>
  <c r="AI72" i="27"/>
  <c r="AF72" i="27"/>
  <c r="AE72" i="27"/>
  <c r="Y72" i="27"/>
  <c r="AH72" i="27"/>
  <c r="AJ71" i="27"/>
  <c r="AI71" i="27"/>
  <c r="AF71" i="27"/>
  <c r="AE71" i="27"/>
  <c r="Y71" i="27"/>
  <c r="X71" i="27"/>
  <c r="AC71" i="27"/>
  <c r="AJ70" i="27"/>
  <c r="AH70" i="27"/>
  <c r="AF70" i="27"/>
  <c r="AD70" i="27"/>
  <c r="X70" i="27"/>
  <c r="Y70" i="27"/>
  <c r="AJ69" i="27"/>
  <c r="AI69" i="27"/>
  <c r="AF69" i="27"/>
  <c r="AE69" i="27"/>
  <c r="Y69" i="27"/>
  <c r="X69" i="27"/>
  <c r="AJ68" i="27"/>
  <c r="AI68" i="27"/>
  <c r="AF68" i="27"/>
  <c r="AE68" i="27"/>
  <c r="Y68" i="27"/>
  <c r="AH68" i="27"/>
  <c r="AJ67" i="27"/>
  <c r="AI67" i="27"/>
  <c r="AF67" i="27"/>
  <c r="AE67" i="27"/>
  <c r="Y67" i="27"/>
  <c r="X67" i="27"/>
  <c r="AC67" i="27"/>
  <c r="AJ66" i="27"/>
  <c r="AI66" i="27"/>
  <c r="AF66" i="27"/>
  <c r="AE66" i="27"/>
  <c r="Y66" i="27"/>
  <c r="AH66" i="27"/>
  <c r="AJ65" i="27"/>
  <c r="AI65" i="27"/>
  <c r="AF65" i="27"/>
  <c r="AE65" i="27"/>
  <c r="Y65" i="27"/>
  <c r="X65" i="27"/>
  <c r="AJ64" i="27"/>
  <c r="AI64" i="27"/>
  <c r="AF64" i="27"/>
  <c r="AE64" i="27"/>
  <c r="Y64" i="27"/>
  <c r="AH64" i="27"/>
  <c r="AJ63" i="27"/>
  <c r="AI63" i="27"/>
  <c r="AF63" i="27"/>
  <c r="AE63" i="27"/>
  <c r="Y63" i="27"/>
  <c r="X63" i="27"/>
  <c r="AC63" i="27"/>
  <c r="AJ62" i="27"/>
  <c r="AI62" i="27"/>
  <c r="AF62" i="27"/>
  <c r="AE62" i="27"/>
  <c r="Y62" i="27"/>
  <c r="AH62" i="27"/>
  <c r="AJ61" i="27"/>
  <c r="AI61" i="27"/>
  <c r="AF61" i="27"/>
  <c r="AE61" i="27"/>
  <c r="Y61" i="27"/>
  <c r="X61" i="27"/>
  <c r="AJ60" i="27"/>
  <c r="AI60" i="27"/>
  <c r="AF60" i="27"/>
  <c r="AE60" i="27"/>
  <c r="Y60" i="27"/>
  <c r="AH60" i="27"/>
  <c r="AJ59" i="27"/>
  <c r="AI59" i="27"/>
  <c r="AF59" i="27"/>
  <c r="AE59" i="27"/>
  <c r="Y59" i="27"/>
  <c r="X59" i="27"/>
  <c r="AI58" i="27"/>
  <c r="AH58" i="27"/>
  <c r="AE58" i="27"/>
  <c r="AD58" i="27"/>
  <c r="Y58" i="27"/>
  <c r="X58" i="27"/>
  <c r="AJ58" i="27"/>
  <c r="AJ57" i="27"/>
  <c r="AH57" i="27"/>
  <c r="AF57" i="27"/>
  <c r="AD57" i="27"/>
  <c r="X57" i="27"/>
  <c r="AI57" i="27"/>
  <c r="AJ56" i="27"/>
  <c r="AH56" i="27"/>
  <c r="AF56" i="27"/>
  <c r="AD56" i="27"/>
  <c r="X56" i="27"/>
  <c r="Y56" i="27"/>
  <c r="AI55" i="27"/>
  <c r="AH55" i="27"/>
  <c r="AE55" i="27"/>
  <c r="AD55" i="27"/>
  <c r="Y55" i="27"/>
  <c r="X55" i="27"/>
  <c r="AC55" i="27"/>
  <c r="AJ54" i="27"/>
  <c r="AH54" i="27"/>
  <c r="AF54" i="27"/>
  <c r="AD54" i="27"/>
  <c r="X54" i="27"/>
  <c r="Y54" i="27"/>
  <c r="AJ53" i="27"/>
  <c r="AH53" i="27"/>
  <c r="AF53" i="27"/>
  <c r="AD53" i="27"/>
  <c r="Y53" i="27"/>
  <c r="X53" i="27"/>
  <c r="AC53" i="27"/>
  <c r="AI53" i="27"/>
  <c r="AJ52" i="27"/>
  <c r="AH52" i="27"/>
  <c r="AF52" i="27"/>
  <c r="AD52" i="27"/>
  <c r="X52" i="27"/>
  <c r="Y52" i="27"/>
  <c r="AJ51" i="27"/>
  <c r="AH51" i="27"/>
  <c r="AF51" i="27"/>
  <c r="AD51" i="27"/>
  <c r="X51" i="27"/>
  <c r="AI51" i="27"/>
  <c r="AJ50" i="27"/>
  <c r="AH50" i="27"/>
  <c r="AF50" i="27"/>
  <c r="AD50" i="27"/>
  <c r="X50" i="27"/>
  <c r="Y50" i="27"/>
  <c r="AJ49" i="27"/>
  <c r="AI49" i="27"/>
  <c r="AF49" i="27"/>
  <c r="AE49" i="27"/>
  <c r="Y49" i="27"/>
  <c r="X49" i="27"/>
  <c r="AJ48" i="27"/>
  <c r="AI48" i="27"/>
  <c r="AF48" i="27"/>
  <c r="AE48" i="27"/>
  <c r="Y48" i="27"/>
  <c r="AH48" i="27"/>
  <c r="AJ47" i="27"/>
  <c r="AI47" i="27"/>
  <c r="AF47" i="27"/>
  <c r="AE47" i="27"/>
  <c r="Y47" i="27"/>
  <c r="X47" i="27"/>
  <c r="AC47" i="27"/>
  <c r="AJ46" i="27"/>
  <c r="AH46" i="27"/>
  <c r="AF46" i="27"/>
  <c r="AD46" i="27"/>
  <c r="X46" i="27"/>
  <c r="Y46" i="27"/>
  <c r="AJ45" i="27"/>
  <c r="AI45" i="27"/>
  <c r="AF45" i="27"/>
  <c r="AE45" i="27"/>
  <c r="Y45" i="27"/>
  <c r="X45" i="27"/>
  <c r="AJ44" i="27"/>
  <c r="AI44" i="27"/>
  <c r="AF44" i="27"/>
  <c r="AE44" i="27"/>
  <c r="Y44" i="27"/>
  <c r="AH44" i="27"/>
  <c r="AJ43" i="27"/>
  <c r="AH43" i="27"/>
  <c r="AF43" i="27"/>
  <c r="AD43" i="27"/>
  <c r="X43" i="27"/>
  <c r="AI43" i="27"/>
  <c r="AJ42" i="27"/>
  <c r="AI42" i="27"/>
  <c r="Y42" i="27"/>
  <c r="X42" i="27"/>
  <c r="AC42" i="27"/>
  <c r="AH42" i="27"/>
  <c r="AJ41" i="27"/>
  <c r="AI41" i="27"/>
  <c r="AF41" i="27"/>
  <c r="AE41" i="27"/>
  <c r="Y41" i="27"/>
  <c r="AH41" i="27"/>
  <c r="AI40" i="27"/>
  <c r="AH40" i="27"/>
  <c r="AE40" i="27"/>
  <c r="AD40" i="27"/>
  <c r="Y40" i="27"/>
  <c r="X40" i="27"/>
  <c r="AJ39" i="27"/>
  <c r="AI39" i="27"/>
  <c r="AF39" i="27"/>
  <c r="AE39" i="27"/>
  <c r="Y39" i="27"/>
  <c r="AH39" i="27"/>
  <c r="AJ38" i="27"/>
  <c r="AI38" i="27"/>
  <c r="AF38" i="27"/>
  <c r="AE38" i="27"/>
  <c r="Y38" i="27"/>
  <c r="X38" i="27"/>
  <c r="AJ37" i="27"/>
  <c r="AI37" i="27"/>
  <c r="AF37" i="27"/>
  <c r="AE37" i="27"/>
  <c r="Y37" i="27"/>
  <c r="AH37" i="27"/>
  <c r="AJ36" i="27"/>
  <c r="AI36" i="27"/>
  <c r="AF36" i="27"/>
  <c r="AE36" i="27"/>
  <c r="Y36" i="27"/>
  <c r="X36" i="27"/>
  <c r="AC36" i="27"/>
  <c r="AJ35" i="27"/>
  <c r="AI35" i="27"/>
  <c r="AF35" i="27"/>
  <c r="AE35" i="27"/>
  <c r="Y35" i="27"/>
  <c r="AH35" i="27"/>
  <c r="AJ34" i="27"/>
  <c r="AI34" i="27"/>
  <c r="AF34" i="27"/>
  <c r="AE34" i="27"/>
  <c r="Y34" i="27"/>
  <c r="X34" i="27"/>
  <c r="AJ33" i="27"/>
  <c r="AI33" i="27"/>
  <c r="AF33" i="27"/>
  <c r="AE33" i="27"/>
  <c r="Y33" i="27"/>
  <c r="AH33" i="27"/>
  <c r="AJ32" i="27"/>
  <c r="AI32" i="27"/>
  <c r="AF32" i="27"/>
  <c r="AE32" i="27"/>
  <c r="Y32" i="27"/>
  <c r="X32" i="27"/>
  <c r="AC32" i="27"/>
  <c r="AJ31" i="27"/>
  <c r="AI31" i="27"/>
  <c r="AF31" i="27"/>
  <c r="AE31" i="27"/>
  <c r="Y31" i="27"/>
  <c r="AH31" i="27"/>
  <c r="AJ30" i="27"/>
  <c r="AI30" i="27"/>
  <c r="AF30" i="27"/>
  <c r="AE30" i="27"/>
  <c r="Y30" i="27"/>
  <c r="X30" i="27"/>
  <c r="AJ29" i="27"/>
  <c r="AI29" i="27"/>
  <c r="AF29" i="27"/>
  <c r="AE29" i="27"/>
  <c r="Y29" i="27"/>
  <c r="AH29" i="27"/>
  <c r="AJ28" i="27"/>
  <c r="AH28" i="27"/>
  <c r="AF28" i="27"/>
  <c r="AD28" i="27"/>
  <c r="X28" i="27"/>
  <c r="AI28" i="27"/>
  <c r="AJ27" i="27"/>
  <c r="AI27" i="27"/>
  <c r="AF27" i="27"/>
  <c r="AE27" i="27"/>
  <c r="Y27" i="27"/>
  <c r="AH27" i="27"/>
  <c r="AJ26" i="27"/>
  <c r="AI26" i="27"/>
  <c r="AF26" i="27"/>
  <c r="AE26" i="27"/>
  <c r="Y26" i="27"/>
  <c r="X26" i="27"/>
  <c r="AJ25" i="27"/>
  <c r="AI25" i="27"/>
  <c r="AF25" i="27"/>
  <c r="AE25" i="27"/>
  <c r="Y25" i="27"/>
  <c r="AH25" i="27"/>
  <c r="AJ24" i="27"/>
  <c r="AH24" i="27"/>
  <c r="AF24" i="27"/>
  <c r="AD24" i="27"/>
  <c r="X24" i="27"/>
  <c r="AI24" i="27"/>
  <c r="E222" i="27"/>
  <c r="AJ23" i="27"/>
  <c r="AI23" i="27"/>
  <c r="AF23" i="27"/>
  <c r="AE23" i="27"/>
  <c r="Y23" i="27"/>
  <c r="X23" i="27"/>
  <c r="AC23" i="27"/>
  <c r="AJ22" i="27"/>
  <c r="AI22" i="27"/>
  <c r="AF22" i="27"/>
  <c r="AE22" i="27"/>
  <c r="Y22" i="27"/>
  <c r="AJ21" i="27"/>
  <c r="AI21" i="27"/>
  <c r="AF21" i="27"/>
  <c r="AE21" i="27"/>
  <c r="Y21" i="27"/>
  <c r="X21" i="27"/>
  <c r="AJ20" i="27"/>
  <c r="AI20" i="27"/>
  <c r="AH20" i="27"/>
  <c r="AF20" i="27"/>
  <c r="AD20" i="27"/>
  <c r="X20" i="27"/>
  <c r="Y20" i="27"/>
  <c r="AJ19" i="27"/>
  <c r="AH19" i="27"/>
  <c r="AF19" i="27"/>
  <c r="AD19" i="27"/>
  <c r="Y19" i="27"/>
  <c r="X19" i="27"/>
  <c r="AC19" i="27"/>
  <c r="AI19" i="27"/>
  <c r="AJ18" i="27"/>
  <c r="AI18" i="27"/>
  <c r="AF18" i="27"/>
  <c r="AD18" i="27"/>
  <c r="X18" i="27"/>
  <c r="Y18" i="27"/>
  <c r="AJ17" i="27"/>
  <c r="AI17" i="27"/>
  <c r="AF17" i="27"/>
  <c r="AE17" i="27"/>
  <c r="Y17" i="27"/>
  <c r="X17" i="27"/>
  <c r="AJ16" i="27"/>
  <c r="AH16" i="27"/>
  <c r="AF16" i="27"/>
  <c r="AD16" i="27"/>
  <c r="Y16" i="27"/>
  <c r="X16" i="27"/>
  <c r="AC216" i="27"/>
  <c r="X201" i="27"/>
  <c r="AC201" i="27"/>
  <c r="Y191" i="27"/>
  <c r="AC191" i="27"/>
  <c r="AC169" i="27"/>
  <c r="AC168" i="27"/>
  <c r="Y166" i="27"/>
  <c r="AC166" i="27"/>
  <c r="AI166" i="27"/>
  <c r="AC114" i="27"/>
  <c r="M223" i="27"/>
  <c r="J230" i="27"/>
  <c r="AC17" i="27"/>
  <c r="AC21" i="27"/>
  <c r="AH21" i="27"/>
  <c r="Y24" i="27"/>
  <c r="AC24" i="27"/>
  <c r="AC26" i="27"/>
  <c r="AH26" i="27"/>
  <c r="Y28" i="27"/>
  <c r="AC28" i="27"/>
  <c r="AC30" i="27"/>
  <c r="AH30" i="27"/>
  <c r="AC34" i="27"/>
  <c r="AH34" i="27"/>
  <c r="AC38" i="27"/>
  <c r="AH38" i="27"/>
  <c r="AC40" i="27"/>
  <c r="Y43" i="27"/>
  <c r="AC43" i="27"/>
  <c r="AC45" i="27"/>
  <c r="AC49" i="27"/>
  <c r="AH49" i="27"/>
  <c r="Y51" i="27"/>
  <c r="AC51" i="27"/>
  <c r="AI56" i="27"/>
  <c r="Y57" i="27"/>
  <c r="AC57" i="27"/>
  <c r="AC59" i="27"/>
  <c r="AH59" i="27"/>
  <c r="X60" i="27"/>
  <c r="AC60" i="27"/>
  <c r="AC61" i="27"/>
  <c r="AH61" i="27"/>
  <c r="AC65" i="27"/>
  <c r="AH65" i="27"/>
  <c r="AC69" i="27"/>
  <c r="AH69" i="27"/>
  <c r="Y76" i="27"/>
  <c r="AC76" i="27"/>
  <c r="AC79" i="27"/>
  <c r="AH79" i="27"/>
  <c r="AC80" i="27"/>
  <c r="AH80" i="27"/>
  <c r="AJ85" i="27"/>
  <c r="Y87" i="27"/>
  <c r="AC87" i="27"/>
  <c r="AC89" i="27"/>
  <c r="AH89" i="27"/>
  <c r="Y91" i="27"/>
  <c r="AC91" i="27"/>
  <c r="AC93" i="27"/>
  <c r="AH93" i="27"/>
  <c r="AC97" i="27"/>
  <c r="AH97" i="27"/>
  <c r="AC101" i="27"/>
  <c r="AH101" i="27"/>
  <c r="AC105" i="27"/>
  <c r="AH105" i="27"/>
  <c r="AC109" i="27"/>
  <c r="AH109" i="27"/>
  <c r="AC120" i="27"/>
  <c r="AH120" i="27"/>
  <c r="Y123" i="27"/>
  <c r="AC123" i="27"/>
  <c r="AC127" i="27"/>
  <c r="AH127" i="27"/>
  <c r="AC131" i="27"/>
  <c r="AH131" i="27"/>
  <c r="AC135" i="27"/>
  <c r="AH135" i="27"/>
  <c r="Y137" i="27"/>
  <c r="AC137" i="27"/>
  <c r="AC139" i="27"/>
  <c r="AH139" i="27"/>
  <c r="Y141" i="27"/>
  <c r="AC141" i="27"/>
  <c r="AC144" i="27"/>
  <c r="AC146" i="27"/>
  <c r="AH146" i="27"/>
  <c r="Y148" i="27"/>
  <c r="AC148" i="27"/>
  <c r="AI149" i="27"/>
  <c r="AC150" i="27"/>
  <c r="AC154" i="27"/>
  <c r="AH154" i="27"/>
  <c r="Y156" i="27"/>
  <c r="AC156" i="27"/>
  <c r="AI157" i="27"/>
  <c r="Y158" i="27"/>
  <c r="AC158" i="27"/>
  <c r="AI159" i="27"/>
  <c r="Y160" i="27"/>
  <c r="AC160" i="27"/>
  <c r="AH166" i="27"/>
  <c r="AI170" i="27"/>
  <c r="V222" i="27"/>
  <c r="Y175" i="27"/>
  <c r="AC175" i="27"/>
  <c r="AC177" i="27"/>
  <c r="AH177" i="27"/>
  <c r="AC179" i="27"/>
  <c r="AH179" i="27"/>
  <c r="AC183" i="27"/>
  <c r="AH183" i="27"/>
  <c r="Y193" i="27"/>
  <c r="AC193" i="27"/>
  <c r="AI198" i="27"/>
  <c r="AC199" i="27"/>
  <c r="AC204" i="27"/>
  <c r="AH204" i="27"/>
  <c r="Y206" i="27"/>
  <c r="AC206" i="27"/>
  <c r="AC208" i="27"/>
  <c r="AH208" i="27"/>
  <c r="Y210" i="27"/>
  <c r="AC210" i="27"/>
  <c r="AI215" i="27"/>
  <c r="AC218" i="27"/>
  <c r="AH218" i="27"/>
  <c r="AH32" i="27"/>
  <c r="AH36" i="27"/>
  <c r="AJ40" i="27"/>
  <c r="AH47" i="27"/>
  <c r="AJ55" i="27"/>
  <c r="AH63" i="27"/>
  <c r="AH67" i="27"/>
  <c r="AH71" i="27"/>
  <c r="AH75" i="27"/>
  <c r="AH95" i="27"/>
  <c r="AH99" i="27"/>
  <c r="AH103" i="27"/>
  <c r="AH107" i="27"/>
  <c r="AH112" i="27"/>
  <c r="AH118" i="27"/>
  <c r="AH129" i="27"/>
  <c r="AH133" i="27"/>
  <c r="AJ144" i="27"/>
  <c r="AJ150" i="27"/>
  <c r="AH164" i="27"/>
  <c r="AH168" i="27"/>
  <c r="AH169" i="27"/>
  <c r="AH171" i="27"/>
  <c r="AH181" i="27"/>
  <c r="AH124" i="27"/>
  <c r="AH189" i="27"/>
  <c r="AH202" i="27"/>
  <c r="AH214" i="27"/>
  <c r="AH216" i="27"/>
  <c r="AH222" i="27"/>
  <c r="AH226" i="27"/>
  <c r="AJ197" i="27"/>
  <c r="AJ199" i="27"/>
  <c r="AJ220" i="27"/>
  <c r="AC18" i="27"/>
  <c r="AC20" i="27"/>
  <c r="X29" i="27"/>
  <c r="AC29" i="27"/>
  <c r="X31" i="27"/>
  <c r="AC31" i="27"/>
  <c r="X33" i="27"/>
  <c r="AC33" i="27"/>
  <c r="X35" i="27"/>
  <c r="AC35" i="27"/>
  <c r="X37" i="27"/>
  <c r="AC37" i="27"/>
  <c r="X39" i="27"/>
  <c r="AC39" i="27"/>
  <c r="X41" i="27"/>
  <c r="AC41" i="27"/>
  <c r="AI46" i="27"/>
  <c r="X48" i="27"/>
  <c r="AC48" i="27"/>
  <c r="AC50" i="27"/>
  <c r="AC52" i="27"/>
  <c r="AC54" i="27"/>
  <c r="AC77" i="27"/>
  <c r="AC88" i="27"/>
  <c r="AC90" i="27"/>
  <c r="AC92" i="27"/>
  <c r="AC115" i="27"/>
  <c r="AC119" i="27"/>
  <c r="AC121" i="27"/>
  <c r="AC122" i="27"/>
  <c r="AC136" i="27"/>
  <c r="AC142" i="27"/>
  <c r="AC16" i="27"/>
  <c r="X22" i="27"/>
  <c r="AC22" i="27"/>
  <c r="X25" i="27"/>
  <c r="AC25" i="27"/>
  <c r="X27" i="27"/>
  <c r="AC27" i="27"/>
  <c r="X44" i="27"/>
  <c r="AC44" i="27"/>
  <c r="AC46" i="27"/>
  <c r="AI50" i="27"/>
  <c r="AI52" i="27"/>
  <c r="AI54" i="27"/>
  <c r="AC56" i="27"/>
  <c r="AC58" i="27"/>
  <c r="AC70" i="27"/>
  <c r="AC74" i="27"/>
  <c r="AC85" i="27"/>
  <c r="X62" i="27"/>
  <c r="AC62" i="27"/>
  <c r="X66" i="27"/>
  <c r="AC66" i="27"/>
  <c r="X68" i="27"/>
  <c r="AC68" i="27"/>
  <c r="AI70" i="27"/>
  <c r="X72" i="27"/>
  <c r="AC72" i="27"/>
  <c r="AI74" i="27"/>
  <c r="AI77" i="27"/>
  <c r="X81" i="27"/>
  <c r="AC81" i="27"/>
  <c r="X82" i="27"/>
  <c r="AC82" i="27"/>
  <c r="X83" i="27"/>
  <c r="AC83" i="27"/>
  <c r="X84" i="27"/>
  <c r="AC84" i="27"/>
  <c r="AC86" i="27"/>
  <c r="AI88" i="27"/>
  <c r="AI90" i="27"/>
  <c r="AI92" i="27"/>
  <c r="X94" i="27"/>
  <c r="AC94" i="27"/>
  <c r="X96" i="27"/>
  <c r="AC96" i="27"/>
  <c r="X98" i="27"/>
  <c r="AC98" i="27"/>
  <c r="X100" i="27"/>
  <c r="AC100" i="27"/>
  <c r="X102" i="27"/>
  <c r="AC102" i="27"/>
  <c r="X104" i="27"/>
  <c r="AC104" i="27"/>
  <c r="X106" i="27"/>
  <c r="AC106" i="27"/>
  <c r="X108" i="27"/>
  <c r="AC108" i="27"/>
  <c r="X110" i="27"/>
  <c r="AC110" i="27"/>
  <c r="X111" i="27"/>
  <c r="AC111" i="27"/>
  <c r="X113" i="27"/>
  <c r="AC113" i="27"/>
  <c r="AI115" i="27"/>
  <c r="X116" i="27"/>
  <c r="AC116" i="27"/>
  <c r="X117" i="27"/>
  <c r="AC117" i="27"/>
  <c r="AI119" i="27"/>
  <c r="AJ121" i="27"/>
  <c r="AJ222" i="27"/>
  <c r="AJ226" i="27"/>
  <c r="AI122" i="27"/>
  <c r="Y125" i="27"/>
  <c r="AC125" i="27"/>
  <c r="X126" i="27"/>
  <c r="AC126" i="27"/>
  <c r="X128" i="27"/>
  <c r="AC128" i="27"/>
  <c r="X130" i="27"/>
  <c r="AC130" i="27"/>
  <c r="X132" i="27"/>
  <c r="AC132" i="27"/>
  <c r="X134" i="27"/>
  <c r="AC134" i="27"/>
  <c r="AI136" i="27"/>
  <c r="X138" i="27"/>
  <c r="AC138" i="27"/>
  <c r="AC140" i="27"/>
  <c r="AI142" i="27"/>
  <c r="X145" i="27"/>
  <c r="AC145" i="27"/>
  <c r="AC147" i="27"/>
  <c r="X151" i="27"/>
  <c r="AC151" i="27"/>
  <c r="X155" i="27"/>
  <c r="AC155" i="27"/>
  <c r="X163" i="27"/>
  <c r="AC163" i="27"/>
  <c r="X165" i="27"/>
  <c r="AC165" i="27"/>
  <c r="X167" i="27"/>
  <c r="AC167" i="27"/>
  <c r="AC172" i="27"/>
  <c r="X174" i="27"/>
  <c r="AC174" i="27"/>
  <c r="AC180" i="27"/>
  <c r="AC192" i="27"/>
  <c r="AC194" i="27"/>
  <c r="AC196" i="27"/>
  <c r="X200" i="27"/>
  <c r="AC200" i="27"/>
  <c r="AC203" i="27"/>
  <c r="X205" i="27"/>
  <c r="AC205" i="27"/>
  <c r="AC211" i="27"/>
  <c r="AC213" i="27"/>
  <c r="X217" i="27"/>
  <c r="AC217" i="27"/>
  <c r="AC219" i="27"/>
  <c r="X64" i="27"/>
  <c r="AC64" i="27"/>
  <c r="AI16" i="27"/>
  <c r="X143" i="27"/>
  <c r="AC143" i="27"/>
  <c r="AC149" i="27"/>
  <c r="AC153" i="27"/>
  <c r="AC157" i="27"/>
  <c r="AC159" i="27"/>
  <c r="X161" i="27"/>
  <c r="AC161" i="27"/>
  <c r="AC170" i="27"/>
  <c r="AI172" i="27"/>
  <c r="AC176" i="27"/>
  <c r="AC178" i="27"/>
  <c r="AI180" i="27"/>
  <c r="X182" i="27"/>
  <c r="AC182" i="27"/>
  <c r="AC184" i="27"/>
  <c r="AC186" i="27"/>
  <c r="X188" i="27"/>
  <c r="AC188" i="27"/>
  <c r="X190" i="27"/>
  <c r="AC190" i="27"/>
  <c r="AI192" i="27"/>
  <c r="AI194" i="27"/>
  <c r="AI196" i="27"/>
  <c r="AC198" i="27"/>
  <c r="AC207" i="27"/>
  <c r="X209" i="27"/>
  <c r="AC209" i="27"/>
  <c r="AI211" i="27"/>
  <c r="AI213" i="27"/>
  <c r="AC215" i="27"/>
  <c r="X221" i="27"/>
  <c r="AC221" i="27"/>
  <c r="R136" i="25"/>
  <c r="E169" i="26"/>
  <c r="E76" i="26"/>
  <c r="Y222" i="27"/>
  <c r="AA232" i="27"/>
  <c r="AI222" i="27"/>
  <c r="AI226" i="27"/>
  <c r="E24" i="26"/>
  <c r="R178" i="25"/>
  <c r="I111" i="26"/>
  <c r="R17" i="25"/>
  <c r="R75" i="25"/>
  <c r="R216" i="25"/>
  <c r="R200" i="25"/>
  <c r="E113" i="26"/>
  <c r="R64" i="25"/>
  <c r="R123" i="25"/>
  <c r="R155" i="25"/>
  <c r="E116" i="26"/>
  <c r="R176" i="25"/>
  <c r="J117" i="26"/>
  <c r="AD117" i="26"/>
  <c r="AE117" i="26"/>
  <c r="AF117" i="26"/>
  <c r="AH117" i="26"/>
  <c r="AI117" i="26"/>
  <c r="AJ117" i="26"/>
  <c r="AL117" i="26"/>
  <c r="X117" i="26"/>
  <c r="Y117" i="26"/>
  <c r="Z117" i="26"/>
  <c r="AC117" i="26"/>
  <c r="R140" i="25"/>
  <c r="E80" i="26"/>
  <c r="J144" i="26"/>
  <c r="AD144" i="26"/>
  <c r="AE144" i="26"/>
  <c r="AF144" i="26"/>
  <c r="AH144" i="26"/>
  <c r="AI144" i="26"/>
  <c r="AJ144" i="26"/>
  <c r="AL144" i="26"/>
  <c r="X144" i="26"/>
  <c r="Y144" i="26"/>
  <c r="Z144" i="26"/>
  <c r="AC144" i="26"/>
  <c r="J113" i="26"/>
  <c r="AD113" i="26"/>
  <c r="AE113" i="26"/>
  <c r="AF113" i="26"/>
  <c r="AH113" i="26"/>
  <c r="AI113" i="26"/>
  <c r="AJ113" i="26"/>
  <c r="AL113" i="26"/>
  <c r="Y113" i="26"/>
  <c r="Z113" i="26"/>
  <c r="E83" i="26"/>
  <c r="E84" i="26"/>
  <c r="E82" i="26"/>
  <c r="E79" i="26"/>
  <c r="Q193" i="25"/>
  <c r="T193" i="25"/>
  <c r="Q192" i="25"/>
  <c r="T192" i="25"/>
  <c r="Q191" i="25"/>
  <c r="T191" i="25"/>
  <c r="Q190" i="25"/>
  <c r="T190" i="25"/>
  <c r="Q189" i="25"/>
  <c r="T189" i="25"/>
  <c r="Q188" i="25"/>
  <c r="T188" i="25"/>
  <c r="Q187" i="25"/>
  <c r="T187" i="25"/>
  <c r="Q186" i="25"/>
  <c r="T186" i="25"/>
  <c r="Q185" i="25"/>
  <c r="T185" i="25"/>
  <c r="Q184" i="25"/>
  <c r="T184" i="25"/>
  <c r="Q183" i="25"/>
  <c r="T183" i="25"/>
  <c r="Q182" i="25"/>
  <c r="T182" i="25"/>
  <c r="Q181" i="25"/>
  <c r="T181" i="25"/>
  <c r="Q180" i="25"/>
  <c r="T180" i="25"/>
  <c r="Q179" i="25"/>
  <c r="T179" i="25"/>
  <c r="Q178" i="25"/>
  <c r="T178" i="25"/>
  <c r="Q177" i="25"/>
  <c r="T177" i="25"/>
  <c r="Q176" i="25"/>
  <c r="T176" i="25"/>
  <c r="Q175" i="25"/>
  <c r="T175" i="25"/>
  <c r="Q174" i="25"/>
  <c r="T174" i="25"/>
  <c r="Q173" i="25"/>
  <c r="T173" i="25"/>
  <c r="Q172" i="25"/>
  <c r="T172" i="25"/>
  <c r="Q171" i="25"/>
  <c r="T171" i="25"/>
  <c r="Q170" i="25"/>
  <c r="T170" i="25"/>
  <c r="Q169" i="25"/>
  <c r="T169" i="25"/>
  <c r="Q168" i="25"/>
  <c r="T168" i="25"/>
  <c r="Q167" i="25"/>
  <c r="T167" i="25"/>
  <c r="Q166" i="25"/>
  <c r="T166" i="25"/>
  <c r="Q165" i="25"/>
  <c r="T165" i="25"/>
  <c r="Q164" i="25"/>
  <c r="T164" i="25"/>
  <c r="Q163" i="25"/>
  <c r="T163" i="25"/>
  <c r="Q162" i="25"/>
  <c r="T162" i="25"/>
  <c r="Q161" i="25"/>
  <c r="T161" i="25"/>
  <c r="Q160" i="25"/>
  <c r="T160" i="25"/>
  <c r="Q159" i="25"/>
  <c r="T159" i="25"/>
  <c r="Q158" i="25"/>
  <c r="T158" i="25"/>
  <c r="Q157" i="25"/>
  <c r="T157" i="25"/>
  <c r="Q156" i="25"/>
  <c r="T156" i="25"/>
  <c r="Q155" i="25"/>
  <c r="T155" i="25"/>
  <c r="Q154" i="25"/>
  <c r="T154" i="25"/>
  <c r="Q153" i="25"/>
  <c r="T153" i="25"/>
  <c r="Q152" i="25"/>
  <c r="T152" i="25"/>
  <c r="Q151" i="25"/>
  <c r="T151" i="25"/>
  <c r="Q150" i="25"/>
  <c r="T150" i="25"/>
  <c r="Q149" i="25"/>
  <c r="T149" i="25"/>
  <c r="Q148" i="25"/>
  <c r="T148" i="25"/>
  <c r="Q147" i="25"/>
  <c r="T147" i="25"/>
  <c r="Q146" i="25"/>
  <c r="T146" i="25"/>
  <c r="Q145" i="25"/>
  <c r="T145" i="25"/>
  <c r="Q144" i="25"/>
  <c r="T144" i="25"/>
  <c r="Q143" i="25"/>
  <c r="T143" i="25"/>
  <c r="Q142" i="25"/>
  <c r="T142" i="25"/>
  <c r="Q141" i="25"/>
  <c r="T141" i="25"/>
  <c r="Q140" i="25"/>
  <c r="T140" i="25"/>
  <c r="Q139" i="25"/>
  <c r="T139" i="25"/>
  <c r="Q138" i="25"/>
  <c r="T138" i="25"/>
  <c r="Q137" i="25"/>
  <c r="T137" i="25"/>
  <c r="Q136" i="25"/>
  <c r="T136" i="25"/>
  <c r="Q135" i="25"/>
  <c r="T135" i="25"/>
  <c r="Q134" i="25"/>
  <c r="T134" i="25"/>
  <c r="Q133" i="25"/>
  <c r="T133" i="25"/>
  <c r="Q132" i="25"/>
  <c r="T132" i="25"/>
  <c r="Q131" i="25"/>
  <c r="T131" i="25"/>
  <c r="Q130" i="25"/>
  <c r="T130" i="25"/>
  <c r="Q129" i="25"/>
  <c r="T129" i="25"/>
  <c r="Q128" i="25"/>
  <c r="T128" i="25"/>
  <c r="Q127" i="25"/>
  <c r="T127" i="25"/>
  <c r="Q126" i="25"/>
  <c r="T126" i="25"/>
  <c r="Q125" i="25"/>
  <c r="T125" i="25"/>
  <c r="Q124" i="25"/>
  <c r="T124" i="25"/>
  <c r="Q123" i="25"/>
  <c r="T123" i="25"/>
  <c r="Q122" i="25"/>
  <c r="T122" i="25"/>
  <c r="Q121" i="25"/>
  <c r="T121" i="25"/>
  <c r="Q120" i="25"/>
  <c r="T120" i="25"/>
  <c r="Q119" i="25"/>
  <c r="T119" i="25"/>
  <c r="Q118" i="25"/>
  <c r="T118" i="25"/>
  <c r="Q117" i="25"/>
  <c r="T117" i="25"/>
  <c r="Q116" i="25"/>
  <c r="T116" i="25"/>
  <c r="Q115" i="25"/>
  <c r="T115" i="25"/>
  <c r="Q114" i="25"/>
  <c r="T114" i="25"/>
  <c r="Q113" i="25"/>
  <c r="T113" i="25"/>
  <c r="Q112" i="25"/>
  <c r="T112" i="25"/>
  <c r="Q111" i="25"/>
  <c r="T111" i="25"/>
  <c r="Q110" i="25"/>
  <c r="T110" i="25"/>
  <c r="Q109" i="25"/>
  <c r="T109" i="25"/>
  <c r="Q108" i="25"/>
  <c r="T108" i="25"/>
  <c r="Q107" i="25"/>
  <c r="T107" i="25"/>
  <c r="Q106" i="25"/>
  <c r="T106" i="25"/>
  <c r="Q105" i="25"/>
  <c r="T105" i="25"/>
  <c r="Q104" i="25"/>
  <c r="T104" i="25"/>
  <c r="Q103" i="25"/>
  <c r="T103" i="25"/>
  <c r="Q102" i="25"/>
  <c r="T102" i="25"/>
  <c r="Q101" i="25"/>
  <c r="T101" i="25"/>
  <c r="Q100" i="25"/>
  <c r="T100" i="25"/>
  <c r="Q99" i="25"/>
  <c r="T99" i="25"/>
  <c r="Q98" i="25"/>
  <c r="T98" i="25"/>
  <c r="Q97" i="25"/>
  <c r="T97" i="25"/>
  <c r="Q96" i="25"/>
  <c r="T96" i="25"/>
  <c r="Q95" i="25"/>
  <c r="T95" i="25"/>
  <c r="Q94" i="25"/>
  <c r="T94" i="25"/>
  <c r="Q93" i="25"/>
  <c r="T93" i="25"/>
  <c r="Q92" i="25"/>
  <c r="T92" i="25"/>
  <c r="Q91" i="25"/>
  <c r="T91" i="25"/>
  <c r="Q90" i="25"/>
  <c r="T90" i="25"/>
  <c r="Q89" i="25"/>
  <c r="T89" i="25"/>
  <c r="Q88" i="25"/>
  <c r="T88" i="25"/>
  <c r="Q87" i="25"/>
  <c r="T87" i="25"/>
  <c r="Q86" i="25"/>
  <c r="T86" i="25"/>
  <c r="Q85" i="25"/>
  <c r="T85" i="25"/>
  <c r="Q84" i="25"/>
  <c r="T84" i="25"/>
  <c r="Q83" i="25"/>
  <c r="T83" i="25"/>
  <c r="Q82" i="25"/>
  <c r="T82" i="25"/>
  <c r="Q81" i="25"/>
  <c r="T81" i="25"/>
  <c r="Q80" i="25"/>
  <c r="T80" i="25"/>
  <c r="Q79" i="25"/>
  <c r="T79" i="25"/>
  <c r="Q78" i="25"/>
  <c r="T78" i="25"/>
  <c r="Q77" i="25"/>
  <c r="T77" i="25"/>
  <c r="Q76" i="25"/>
  <c r="T76" i="25"/>
  <c r="Q75" i="25"/>
  <c r="T75" i="25"/>
  <c r="Q74" i="25"/>
  <c r="T74" i="25"/>
  <c r="Q73" i="25"/>
  <c r="T73" i="25"/>
  <c r="Q72" i="25"/>
  <c r="T72" i="25"/>
  <c r="Q71" i="25"/>
  <c r="T71" i="25"/>
  <c r="Q70" i="25"/>
  <c r="T70" i="25"/>
  <c r="Q69" i="25"/>
  <c r="T69" i="25"/>
  <c r="Q68" i="25"/>
  <c r="T68" i="25"/>
  <c r="Q67" i="25"/>
  <c r="T67" i="25"/>
  <c r="Q66" i="25"/>
  <c r="T66" i="25"/>
  <c r="Q65" i="25"/>
  <c r="T65" i="25"/>
  <c r="Q64" i="25"/>
  <c r="T64" i="25"/>
  <c r="Q63" i="25"/>
  <c r="T63" i="25"/>
  <c r="Q62" i="25"/>
  <c r="T62" i="25"/>
  <c r="Q61" i="25"/>
  <c r="T61" i="25"/>
  <c r="Q60" i="25"/>
  <c r="T60" i="25"/>
  <c r="Q59" i="25"/>
  <c r="T59" i="25"/>
  <c r="Q58" i="25"/>
  <c r="T58" i="25"/>
  <c r="Q57" i="25"/>
  <c r="T57" i="25"/>
  <c r="Q56" i="25"/>
  <c r="T56" i="25"/>
  <c r="Q55" i="25"/>
  <c r="T55" i="25"/>
  <c r="Q54" i="25"/>
  <c r="T54" i="25"/>
  <c r="Q53" i="25"/>
  <c r="T53" i="25"/>
  <c r="Q52" i="25"/>
  <c r="T52" i="25"/>
  <c r="Q51" i="25"/>
  <c r="T51" i="25"/>
  <c r="Q50" i="25"/>
  <c r="T50" i="25"/>
  <c r="Q49" i="25"/>
  <c r="T49" i="25"/>
  <c r="Q48" i="25"/>
  <c r="T48" i="25"/>
  <c r="Q47" i="25"/>
  <c r="T47" i="25"/>
  <c r="Q46" i="25"/>
  <c r="T46" i="25"/>
  <c r="Q45" i="25"/>
  <c r="T45" i="25"/>
  <c r="Q44" i="25"/>
  <c r="T44" i="25"/>
  <c r="Q43" i="25"/>
  <c r="T43" i="25"/>
  <c r="Q42" i="25"/>
  <c r="T42" i="25"/>
  <c r="Q41" i="25"/>
  <c r="T41" i="25"/>
  <c r="Q40" i="25"/>
  <c r="T40" i="25"/>
  <c r="Q39" i="25"/>
  <c r="T39" i="25"/>
  <c r="Q38" i="25"/>
  <c r="T38" i="25"/>
  <c r="Q37" i="25"/>
  <c r="T37" i="25"/>
  <c r="Q36" i="25"/>
  <c r="T36" i="25"/>
  <c r="Q35" i="25"/>
  <c r="T35" i="25"/>
  <c r="Q34" i="25"/>
  <c r="T34" i="25"/>
  <c r="Q33" i="25"/>
  <c r="T33" i="25"/>
  <c r="Q32" i="25"/>
  <c r="T32" i="25"/>
  <c r="Q31" i="25"/>
  <c r="T31" i="25"/>
  <c r="Q30" i="25"/>
  <c r="T30" i="25"/>
  <c r="Q29" i="25"/>
  <c r="T29" i="25"/>
  <c r="Q28" i="25"/>
  <c r="T28" i="25"/>
  <c r="Q27" i="25"/>
  <c r="T27" i="25"/>
  <c r="Q26" i="25"/>
  <c r="T26" i="25"/>
  <c r="Q25" i="25"/>
  <c r="T25" i="25"/>
  <c r="Q24" i="25"/>
  <c r="T24" i="25"/>
  <c r="Q23" i="25"/>
  <c r="T23" i="25"/>
  <c r="Q22" i="25"/>
  <c r="T22" i="25"/>
  <c r="Q21" i="25"/>
  <c r="T21" i="25"/>
  <c r="Q20" i="25"/>
  <c r="T20" i="25"/>
  <c r="Q19" i="25"/>
  <c r="T19" i="25"/>
  <c r="Q18" i="25"/>
  <c r="T18" i="25"/>
  <c r="Q17" i="25"/>
  <c r="T17" i="25"/>
  <c r="Q16" i="25"/>
  <c r="T16" i="25"/>
  <c r="Q212" i="25"/>
  <c r="T212" i="25"/>
  <c r="Q211" i="25"/>
  <c r="T211" i="25"/>
  <c r="Q210" i="25"/>
  <c r="T210" i="25"/>
  <c r="Q209" i="25"/>
  <c r="T209" i="25"/>
  <c r="Q208" i="25"/>
  <c r="T208" i="25"/>
  <c r="Q207" i="25"/>
  <c r="T207" i="25"/>
  <c r="Q206" i="25"/>
  <c r="T206" i="25"/>
  <c r="Q205" i="25"/>
  <c r="T205" i="25"/>
  <c r="Q204" i="25"/>
  <c r="T204" i="25"/>
  <c r="Q203" i="25"/>
  <c r="T203" i="25"/>
  <c r="Q202" i="25"/>
  <c r="T202" i="25"/>
  <c r="Q201" i="25"/>
  <c r="T201" i="25"/>
  <c r="Q200" i="25"/>
  <c r="T200" i="25"/>
  <c r="Q199" i="25"/>
  <c r="T199" i="25"/>
  <c r="Q198" i="25"/>
  <c r="T198" i="25"/>
  <c r="F201" i="26"/>
  <c r="J201" i="26"/>
  <c r="AD201" i="26"/>
  <c r="Q197" i="25"/>
  <c r="T197" i="25"/>
  <c r="Q218" i="25"/>
  <c r="T218" i="25"/>
  <c r="F221" i="26"/>
  <c r="J221" i="26"/>
  <c r="AD221" i="26"/>
  <c r="Q217" i="25"/>
  <c r="T217" i="25"/>
  <c r="F220" i="26"/>
  <c r="J220" i="26"/>
  <c r="AF220" i="26"/>
  <c r="Q216" i="25"/>
  <c r="T216" i="25"/>
  <c r="F219" i="26"/>
  <c r="J219" i="26"/>
  <c r="AF219" i="26"/>
  <c r="Q215" i="25"/>
  <c r="T215" i="25"/>
  <c r="F218" i="26"/>
  <c r="J218" i="26"/>
  <c r="AD218" i="26"/>
  <c r="Q214" i="25"/>
  <c r="T214" i="25"/>
  <c r="F217" i="26"/>
  <c r="J217" i="26"/>
  <c r="AD217" i="26"/>
  <c r="Q213" i="25"/>
  <c r="T213" i="25"/>
  <c r="F216" i="26"/>
  <c r="J216" i="26"/>
  <c r="AD216" i="26"/>
  <c r="F215" i="26"/>
  <c r="J215" i="26"/>
  <c r="AE215" i="26"/>
  <c r="F214" i="26"/>
  <c r="J214" i="26"/>
  <c r="AD214" i="26"/>
  <c r="F213" i="26"/>
  <c r="J213" i="26"/>
  <c r="AE213" i="26"/>
  <c r="F212" i="26"/>
  <c r="J212" i="26"/>
  <c r="AE212" i="26"/>
  <c r="F211" i="26"/>
  <c r="J211" i="26"/>
  <c r="AE211" i="26"/>
  <c r="F210" i="26"/>
  <c r="J210" i="26"/>
  <c r="AE210" i="26"/>
  <c r="F209" i="26"/>
  <c r="J209" i="26"/>
  <c r="AD209" i="26"/>
  <c r="F208" i="26"/>
  <c r="J208" i="26"/>
  <c r="AD208" i="26"/>
  <c r="F207" i="26"/>
  <c r="J207" i="26"/>
  <c r="AF207" i="26"/>
  <c r="F206" i="26"/>
  <c r="J206" i="26"/>
  <c r="AE206" i="26"/>
  <c r="F205" i="26"/>
  <c r="J205" i="26"/>
  <c r="AD205" i="26"/>
  <c r="F204" i="26"/>
  <c r="J204" i="26"/>
  <c r="AD204" i="26"/>
  <c r="F203" i="26"/>
  <c r="J203" i="26"/>
  <c r="AF203" i="26"/>
  <c r="F202" i="26"/>
  <c r="J202" i="26"/>
  <c r="AD202" i="26"/>
  <c r="F200" i="26"/>
  <c r="J200" i="26"/>
  <c r="AD200" i="26"/>
  <c r="Q196" i="25"/>
  <c r="T196" i="25"/>
  <c r="F199" i="26"/>
  <c r="J199" i="26"/>
  <c r="AF199" i="26"/>
  <c r="Q195" i="25"/>
  <c r="T195" i="25"/>
  <c r="F198" i="26"/>
  <c r="J198" i="26"/>
  <c r="AE198" i="26"/>
  <c r="Q194" i="25"/>
  <c r="T194" i="25"/>
  <c r="F197" i="26"/>
  <c r="J197" i="26"/>
  <c r="AF197" i="26"/>
  <c r="F196" i="26"/>
  <c r="J196" i="26"/>
  <c r="AE196" i="26"/>
  <c r="F195" i="26"/>
  <c r="J195" i="26"/>
  <c r="AE195" i="26"/>
  <c r="F194" i="26"/>
  <c r="J194" i="26"/>
  <c r="AE194" i="26"/>
  <c r="F193" i="26"/>
  <c r="J193" i="26"/>
  <c r="AE193" i="26"/>
  <c r="F192" i="26"/>
  <c r="J192" i="26"/>
  <c r="AE192" i="26"/>
  <c r="F191" i="26"/>
  <c r="J191" i="26"/>
  <c r="AE191" i="26"/>
  <c r="F190" i="26"/>
  <c r="J190" i="26"/>
  <c r="AD190" i="26"/>
  <c r="F189" i="26"/>
  <c r="J189" i="26"/>
  <c r="AD189" i="26"/>
  <c r="F188" i="26"/>
  <c r="J188" i="26"/>
  <c r="AD188" i="26"/>
  <c r="F187" i="26"/>
  <c r="J187" i="26"/>
  <c r="AE187" i="26"/>
  <c r="F186" i="26"/>
  <c r="J186" i="26"/>
  <c r="AE186" i="26"/>
  <c r="F185" i="26"/>
  <c r="J185" i="26"/>
  <c r="AE185" i="26"/>
  <c r="F184" i="26"/>
  <c r="J184" i="26"/>
  <c r="AE184" i="26"/>
  <c r="F183" i="26"/>
  <c r="J183" i="26"/>
  <c r="AD183" i="26"/>
  <c r="F182" i="26"/>
  <c r="J182" i="26"/>
  <c r="AD182" i="26"/>
  <c r="F181" i="26"/>
  <c r="J181" i="26"/>
  <c r="AD181" i="26"/>
  <c r="F180" i="26"/>
  <c r="J180" i="26"/>
  <c r="AE180" i="26"/>
  <c r="F179" i="26"/>
  <c r="J179" i="26"/>
  <c r="AD179" i="26"/>
  <c r="F178" i="26"/>
  <c r="J178" i="26"/>
  <c r="AE178" i="26"/>
  <c r="F177" i="26"/>
  <c r="J177" i="26"/>
  <c r="AD177" i="26"/>
  <c r="F176" i="26"/>
  <c r="J176" i="26"/>
  <c r="AF176" i="26"/>
  <c r="F175" i="26"/>
  <c r="J175" i="26"/>
  <c r="AE175" i="26"/>
  <c r="F174" i="26"/>
  <c r="J174" i="26"/>
  <c r="AD174" i="26"/>
  <c r="F173" i="26"/>
  <c r="J173" i="26"/>
  <c r="AE173" i="26"/>
  <c r="F172" i="26"/>
  <c r="J172" i="26"/>
  <c r="AE172" i="26"/>
  <c r="F171" i="26"/>
  <c r="J171" i="26"/>
  <c r="AD171" i="26"/>
  <c r="F170" i="26"/>
  <c r="J170" i="26"/>
  <c r="AE170" i="26"/>
  <c r="F169" i="26"/>
  <c r="J169" i="26"/>
  <c r="AD169" i="26"/>
  <c r="F168" i="26"/>
  <c r="J168" i="26"/>
  <c r="AD168" i="26"/>
  <c r="F167" i="26"/>
  <c r="J167" i="26"/>
  <c r="AD167" i="26"/>
  <c r="F166" i="26"/>
  <c r="J166" i="26"/>
  <c r="AD166" i="26"/>
  <c r="F165" i="26"/>
  <c r="J165" i="26"/>
  <c r="AD165" i="26"/>
  <c r="F164" i="26"/>
  <c r="J164" i="26"/>
  <c r="AD164" i="26"/>
  <c r="F163" i="26"/>
  <c r="J163" i="26"/>
  <c r="AD163" i="26"/>
  <c r="F162" i="26"/>
  <c r="J162" i="26"/>
  <c r="AE162" i="26"/>
  <c r="F161" i="26"/>
  <c r="J161" i="26"/>
  <c r="AD161" i="26"/>
  <c r="F160" i="26"/>
  <c r="J160" i="26"/>
  <c r="AE160" i="26"/>
  <c r="F159" i="26"/>
  <c r="J159" i="26"/>
  <c r="AE159" i="26"/>
  <c r="AD159" i="26"/>
  <c r="AF159" i="26"/>
  <c r="F158" i="26"/>
  <c r="J158" i="26"/>
  <c r="AE158" i="26"/>
  <c r="F157" i="26"/>
  <c r="J157" i="26"/>
  <c r="AE157" i="26"/>
  <c r="F156" i="26"/>
  <c r="J156" i="26"/>
  <c r="AE156" i="26"/>
  <c r="F155" i="26"/>
  <c r="J155" i="26"/>
  <c r="AD155" i="26"/>
  <c r="F154" i="26"/>
  <c r="J154" i="26"/>
  <c r="AD154" i="26"/>
  <c r="F153" i="26"/>
  <c r="J153" i="26"/>
  <c r="AE153" i="26"/>
  <c r="AD153" i="26"/>
  <c r="AF153" i="26"/>
  <c r="F152" i="26"/>
  <c r="J152" i="26"/>
  <c r="AE152" i="26"/>
  <c r="F151" i="26"/>
  <c r="J151" i="26"/>
  <c r="AD151" i="26"/>
  <c r="F150" i="26"/>
  <c r="J150" i="26"/>
  <c r="AF150" i="26"/>
  <c r="F149" i="26"/>
  <c r="J149" i="26"/>
  <c r="AE149" i="26"/>
  <c r="F148" i="26"/>
  <c r="J148" i="26"/>
  <c r="AE148" i="26"/>
  <c r="F147" i="26"/>
  <c r="J147" i="26"/>
  <c r="AF147" i="26"/>
  <c r="F146" i="26"/>
  <c r="J146" i="26"/>
  <c r="AD146" i="26"/>
  <c r="F145" i="26"/>
  <c r="J145" i="26"/>
  <c r="AD145" i="26"/>
  <c r="AE145" i="26"/>
  <c r="AF145" i="26"/>
  <c r="F143" i="26"/>
  <c r="J143" i="26"/>
  <c r="AD143" i="26"/>
  <c r="F142" i="26"/>
  <c r="J142" i="26"/>
  <c r="AE142" i="26"/>
  <c r="F141" i="26"/>
  <c r="J141" i="26"/>
  <c r="AE141" i="26"/>
  <c r="F140" i="26"/>
  <c r="J140" i="26"/>
  <c r="AF140" i="26"/>
  <c r="F139" i="26"/>
  <c r="J139" i="26"/>
  <c r="AD139" i="26"/>
  <c r="F138" i="26"/>
  <c r="J138" i="26"/>
  <c r="AD138" i="26"/>
  <c r="F137" i="26"/>
  <c r="J137" i="26"/>
  <c r="AE137" i="26"/>
  <c r="F136" i="26"/>
  <c r="J136" i="26"/>
  <c r="AE136" i="26"/>
  <c r="AD136" i="26"/>
  <c r="AF136" i="26"/>
  <c r="F135" i="26"/>
  <c r="J135" i="26"/>
  <c r="AD135" i="26"/>
  <c r="F134" i="26"/>
  <c r="J134" i="26"/>
  <c r="AD134" i="26"/>
  <c r="F133" i="26"/>
  <c r="J133" i="26"/>
  <c r="AD133" i="26"/>
  <c r="F132" i="26"/>
  <c r="J132" i="26"/>
  <c r="AD132" i="26"/>
  <c r="F131" i="26"/>
  <c r="J131" i="26"/>
  <c r="AD131" i="26"/>
  <c r="F130" i="26"/>
  <c r="J130" i="26"/>
  <c r="AD130" i="26"/>
  <c r="F129" i="26"/>
  <c r="J129" i="26"/>
  <c r="AD129" i="26"/>
  <c r="F128" i="26"/>
  <c r="J128" i="26"/>
  <c r="AD128" i="26"/>
  <c r="F127" i="26"/>
  <c r="J127" i="26"/>
  <c r="AD127" i="26"/>
  <c r="F126" i="26"/>
  <c r="J126" i="26"/>
  <c r="AD126" i="26"/>
  <c r="F125" i="26"/>
  <c r="J125" i="26"/>
  <c r="AE125" i="26"/>
  <c r="F124" i="26"/>
  <c r="J124" i="26"/>
  <c r="AD124" i="26"/>
  <c r="F123" i="26"/>
  <c r="J123" i="26"/>
  <c r="AE123" i="26"/>
  <c r="F122" i="26"/>
  <c r="J122" i="26"/>
  <c r="AE122" i="26"/>
  <c r="F121" i="26"/>
  <c r="J121" i="26"/>
  <c r="AF121" i="26"/>
  <c r="F120" i="26"/>
  <c r="J120" i="26"/>
  <c r="AD120" i="26"/>
  <c r="F119" i="26"/>
  <c r="J119" i="26"/>
  <c r="AE119" i="26"/>
  <c r="F118" i="26"/>
  <c r="J118" i="26"/>
  <c r="AD118" i="26"/>
  <c r="F116" i="26"/>
  <c r="J116" i="26"/>
  <c r="AD116" i="26"/>
  <c r="F115" i="26"/>
  <c r="J115" i="26"/>
  <c r="AE115" i="26"/>
  <c r="F114" i="26"/>
  <c r="J114" i="26"/>
  <c r="AE114" i="26"/>
  <c r="F112" i="26"/>
  <c r="J112" i="26"/>
  <c r="AD112" i="26"/>
  <c r="F111" i="26"/>
  <c r="J111" i="26"/>
  <c r="AD111" i="26"/>
  <c r="F110" i="26"/>
  <c r="J110" i="26"/>
  <c r="AD110" i="26"/>
  <c r="F109" i="26"/>
  <c r="J109" i="26"/>
  <c r="AD109" i="26"/>
  <c r="F108" i="26"/>
  <c r="J108" i="26"/>
  <c r="AD108" i="26"/>
  <c r="AE108" i="26"/>
  <c r="AF108" i="26"/>
  <c r="F107" i="26"/>
  <c r="J107" i="26"/>
  <c r="AD107" i="26"/>
  <c r="F106" i="26"/>
  <c r="J106" i="26"/>
  <c r="AD106" i="26"/>
  <c r="F105" i="26"/>
  <c r="J105" i="26"/>
  <c r="AD105" i="26"/>
  <c r="F104" i="26"/>
  <c r="J104" i="26"/>
  <c r="AD104" i="26"/>
  <c r="F103" i="26"/>
  <c r="J103" i="26"/>
  <c r="AD103" i="26"/>
  <c r="F102" i="26"/>
  <c r="J102" i="26"/>
  <c r="AD102" i="26"/>
  <c r="F101" i="26"/>
  <c r="J101" i="26"/>
  <c r="AD101" i="26"/>
  <c r="F100" i="26"/>
  <c r="J100" i="26"/>
  <c r="AD100" i="26"/>
  <c r="AE100" i="26"/>
  <c r="AF100" i="26"/>
  <c r="F99" i="26"/>
  <c r="J99" i="26"/>
  <c r="AD99" i="26"/>
  <c r="F98" i="26"/>
  <c r="J98" i="26"/>
  <c r="AD98" i="26"/>
  <c r="F97" i="26"/>
  <c r="J97" i="26"/>
  <c r="AD97" i="26"/>
  <c r="F96" i="26"/>
  <c r="J96" i="26"/>
  <c r="AD96" i="26"/>
  <c r="F95" i="26"/>
  <c r="J95" i="26"/>
  <c r="AD95" i="26"/>
  <c r="F94" i="26"/>
  <c r="J94" i="26"/>
  <c r="AD94" i="26"/>
  <c r="F93" i="26"/>
  <c r="J93" i="26"/>
  <c r="AD93" i="26"/>
  <c r="F92" i="26"/>
  <c r="J92" i="26"/>
  <c r="AE92" i="26"/>
  <c r="F91" i="26"/>
  <c r="J91" i="26"/>
  <c r="AE91" i="26"/>
  <c r="F90" i="26"/>
  <c r="J90" i="26"/>
  <c r="AE90" i="26"/>
  <c r="F89" i="26"/>
  <c r="J89" i="26"/>
  <c r="AD89" i="26"/>
  <c r="F88" i="26"/>
  <c r="J88" i="26"/>
  <c r="AE88" i="26"/>
  <c r="F87" i="26"/>
  <c r="J87" i="26"/>
  <c r="AE87" i="26"/>
  <c r="F86" i="26"/>
  <c r="J86" i="26"/>
  <c r="AF86" i="26"/>
  <c r="F85" i="26"/>
  <c r="J85" i="26"/>
  <c r="AF85" i="26"/>
  <c r="F84" i="26"/>
  <c r="J84" i="26"/>
  <c r="AD84" i="26"/>
  <c r="F83" i="26"/>
  <c r="J83" i="26"/>
  <c r="AD83" i="26"/>
  <c r="F82" i="26"/>
  <c r="J82" i="26"/>
  <c r="AD82" i="26"/>
  <c r="F81" i="26"/>
  <c r="J81" i="26"/>
  <c r="AD81" i="26"/>
  <c r="F80" i="26"/>
  <c r="J80" i="26"/>
  <c r="AD80" i="26"/>
  <c r="F79" i="26"/>
  <c r="J79" i="26"/>
  <c r="AD79" i="26"/>
  <c r="F78" i="26"/>
  <c r="J78" i="26"/>
  <c r="AE78" i="26"/>
  <c r="F77" i="26"/>
  <c r="J77" i="26"/>
  <c r="AE77" i="26"/>
  <c r="F76" i="26"/>
  <c r="J76" i="26"/>
  <c r="AE76" i="26"/>
  <c r="F75" i="26"/>
  <c r="J75" i="26"/>
  <c r="AD75" i="26"/>
  <c r="F74" i="26"/>
  <c r="J74" i="26"/>
  <c r="AE74" i="26"/>
  <c r="F73" i="26"/>
  <c r="J73" i="26"/>
  <c r="AE73" i="26"/>
  <c r="AD73" i="26"/>
  <c r="AF73" i="26"/>
  <c r="F72" i="26"/>
  <c r="J72" i="26"/>
  <c r="AD72" i="26"/>
  <c r="F71" i="26"/>
  <c r="J71" i="26"/>
  <c r="AD71" i="26"/>
  <c r="F70" i="26"/>
  <c r="J70" i="26"/>
  <c r="AE70" i="26"/>
  <c r="F69" i="26"/>
  <c r="J69" i="26"/>
  <c r="AD69" i="26"/>
  <c r="F68" i="26"/>
  <c r="J68" i="26"/>
  <c r="AD68" i="26"/>
  <c r="F67" i="26"/>
  <c r="J67" i="26"/>
  <c r="AD67" i="26"/>
  <c r="F66" i="26"/>
  <c r="J66" i="26"/>
  <c r="AD66" i="26"/>
  <c r="AE66" i="26"/>
  <c r="AF66" i="26"/>
  <c r="F65" i="26"/>
  <c r="J65" i="26"/>
  <c r="AD65" i="26"/>
  <c r="F64" i="26"/>
  <c r="J64" i="26"/>
  <c r="AD64" i="26"/>
  <c r="F63" i="26"/>
  <c r="J63" i="26"/>
  <c r="AD63" i="26"/>
  <c r="F62" i="26"/>
  <c r="J62" i="26"/>
  <c r="AD62" i="26"/>
  <c r="F61" i="26"/>
  <c r="J61" i="26"/>
  <c r="AD61" i="26"/>
  <c r="F60" i="26"/>
  <c r="J60" i="26"/>
  <c r="AD60" i="26"/>
  <c r="F59" i="26"/>
  <c r="J59" i="26"/>
  <c r="AD59" i="26"/>
  <c r="F58" i="26"/>
  <c r="J58" i="26"/>
  <c r="AF58" i="26"/>
  <c r="F57" i="26"/>
  <c r="J57" i="26"/>
  <c r="AE57" i="26"/>
  <c r="F56" i="26"/>
  <c r="J56" i="26"/>
  <c r="AE56" i="26"/>
  <c r="F55" i="26"/>
  <c r="J55" i="26"/>
  <c r="AF55" i="26"/>
  <c r="AD55" i="26"/>
  <c r="AE55" i="26"/>
  <c r="F54" i="26"/>
  <c r="J54" i="26"/>
  <c r="AE54" i="26"/>
  <c r="F53" i="26"/>
  <c r="J53" i="26"/>
  <c r="AE53" i="26"/>
  <c r="F52" i="26"/>
  <c r="J52" i="26"/>
  <c r="AE52" i="26"/>
  <c r="F51" i="26"/>
  <c r="J51" i="26"/>
  <c r="AE51" i="26"/>
  <c r="F50" i="26"/>
  <c r="J50" i="26"/>
  <c r="AE50" i="26"/>
  <c r="F49" i="26"/>
  <c r="J49" i="26"/>
  <c r="AD49" i="26"/>
  <c r="F48" i="26"/>
  <c r="J48" i="26"/>
  <c r="AD48" i="26"/>
  <c r="F47" i="26"/>
  <c r="J47" i="26"/>
  <c r="AD47" i="26"/>
  <c r="F46" i="26"/>
  <c r="J46" i="26"/>
  <c r="AE46" i="26"/>
  <c r="F45" i="26"/>
  <c r="J45" i="26"/>
  <c r="AD45" i="26"/>
  <c r="F44" i="26"/>
  <c r="J44" i="26"/>
  <c r="AD44" i="26"/>
  <c r="F43" i="26"/>
  <c r="J43" i="26"/>
  <c r="AE43" i="26"/>
  <c r="F42" i="26"/>
  <c r="J42" i="26"/>
  <c r="AD42" i="26"/>
  <c r="F41" i="26"/>
  <c r="J41" i="26"/>
  <c r="AD41" i="26"/>
  <c r="F40" i="26"/>
  <c r="J40" i="26"/>
  <c r="AF40" i="26"/>
  <c r="F39" i="26"/>
  <c r="J39" i="26"/>
  <c r="AD39" i="26"/>
  <c r="F38" i="26"/>
  <c r="J38" i="26"/>
  <c r="AD38" i="26"/>
  <c r="F37" i="26"/>
  <c r="J37" i="26"/>
  <c r="AD37" i="26"/>
  <c r="F36" i="26"/>
  <c r="J36" i="26"/>
  <c r="AD36" i="26"/>
  <c r="F35" i="26"/>
  <c r="J35" i="26"/>
  <c r="AD35" i="26"/>
  <c r="F34" i="26"/>
  <c r="J34" i="26"/>
  <c r="AD34" i="26"/>
  <c r="F33" i="26"/>
  <c r="J33" i="26"/>
  <c r="AD33" i="26"/>
  <c r="F32" i="26"/>
  <c r="J32" i="26"/>
  <c r="AD32" i="26"/>
  <c r="F31" i="26"/>
  <c r="J31" i="26"/>
  <c r="AD31" i="26"/>
  <c r="F30" i="26"/>
  <c r="J30" i="26"/>
  <c r="AD30" i="26"/>
  <c r="F29" i="26"/>
  <c r="J29" i="26"/>
  <c r="AD29" i="26"/>
  <c r="F28" i="26"/>
  <c r="J28" i="26"/>
  <c r="AE28" i="26"/>
  <c r="F27" i="26"/>
  <c r="J27" i="26"/>
  <c r="AD27" i="26"/>
  <c r="F26" i="26"/>
  <c r="J26" i="26"/>
  <c r="AD26" i="26"/>
  <c r="F25" i="26"/>
  <c r="J25" i="26"/>
  <c r="AD25" i="26"/>
  <c r="F24" i="26"/>
  <c r="J24" i="26"/>
  <c r="AE24" i="26"/>
  <c r="F23" i="26"/>
  <c r="J23" i="26"/>
  <c r="AD23" i="26"/>
  <c r="F22" i="26"/>
  <c r="J22" i="26"/>
  <c r="AD22" i="26"/>
  <c r="AE22" i="26"/>
  <c r="AF22" i="26"/>
  <c r="F21" i="26"/>
  <c r="J21" i="26"/>
  <c r="AD21" i="26"/>
  <c r="F20" i="26"/>
  <c r="J20" i="26"/>
  <c r="AE20" i="26"/>
  <c r="F19" i="26"/>
  <c r="J19" i="26"/>
  <c r="AE19" i="26"/>
  <c r="F18" i="26"/>
  <c r="J18" i="26"/>
  <c r="AE18" i="26"/>
  <c r="F17" i="26"/>
  <c r="J17" i="26"/>
  <c r="AD17" i="26"/>
  <c r="F16" i="26"/>
  <c r="J16" i="26"/>
  <c r="AE16" i="26"/>
  <c r="X16" i="26"/>
  <c r="X17" i="26"/>
  <c r="X18" i="26"/>
  <c r="X19" i="26"/>
  <c r="X20" i="26"/>
  <c r="X21" i="26"/>
  <c r="X22" i="26"/>
  <c r="X23" i="26"/>
  <c r="Y23" i="26"/>
  <c r="Z23" i="26"/>
  <c r="AC23" i="26"/>
  <c r="X24" i="26"/>
  <c r="X25" i="26"/>
  <c r="X26" i="26"/>
  <c r="X27" i="26"/>
  <c r="X28" i="26"/>
  <c r="X29" i="26"/>
  <c r="Y29" i="26"/>
  <c r="Z29" i="26"/>
  <c r="AC29" i="26"/>
  <c r="X30" i="26"/>
  <c r="X31" i="26"/>
  <c r="X32" i="26"/>
  <c r="X33" i="26"/>
  <c r="X34" i="26"/>
  <c r="X35" i="26"/>
  <c r="X36" i="26"/>
  <c r="X37" i="26"/>
  <c r="Y37" i="26"/>
  <c r="Z37" i="26"/>
  <c r="AC37" i="26"/>
  <c r="X38" i="26"/>
  <c r="X39" i="26"/>
  <c r="X40" i="26"/>
  <c r="X41" i="26"/>
  <c r="Y41" i="26"/>
  <c r="Z41" i="26"/>
  <c r="AC41" i="26"/>
  <c r="X42" i="26"/>
  <c r="X43" i="26"/>
  <c r="X44" i="26"/>
  <c r="X45" i="26"/>
  <c r="X46" i="26"/>
  <c r="X47" i="26"/>
  <c r="X48" i="26"/>
  <c r="X49" i="26"/>
  <c r="Y49" i="26"/>
  <c r="Z49" i="26"/>
  <c r="AC49" i="26"/>
  <c r="X50" i="26"/>
  <c r="X51" i="26"/>
  <c r="X52" i="26"/>
  <c r="X53" i="26"/>
  <c r="X54" i="26"/>
  <c r="X55" i="26"/>
  <c r="X56" i="26"/>
  <c r="X57" i="26"/>
  <c r="X58" i="26"/>
  <c r="X59" i="26"/>
  <c r="X60" i="26"/>
  <c r="X61" i="26"/>
  <c r="X62" i="26"/>
  <c r="X63" i="26"/>
  <c r="X64" i="26"/>
  <c r="X65" i="26"/>
  <c r="X66" i="26"/>
  <c r="X67" i="26"/>
  <c r="X68" i="26"/>
  <c r="X69" i="26"/>
  <c r="X70" i="26"/>
  <c r="X71" i="26"/>
  <c r="Y71" i="26"/>
  <c r="Z71" i="26"/>
  <c r="AC71" i="26"/>
  <c r="X72" i="26"/>
  <c r="X73" i="26"/>
  <c r="X74" i="26"/>
  <c r="X75" i="26"/>
  <c r="X76" i="26"/>
  <c r="X77" i="26"/>
  <c r="X78" i="26"/>
  <c r="X79" i="26"/>
  <c r="X80" i="26"/>
  <c r="X81" i="26"/>
  <c r="X82" i="26"/>
  <c r="X83" i="26"/>
  <c r="X84" i="26"/>
  <c r="X85" i="26"/>
  <c r="X86" i="26"/>
  <c r="X87" i="26"/>
  <c r="X88" i="26"/>
  <c r="X89" i="26"/>
  <c r="X90" i="26"/>
  <c r="X91" i="26"/>
  <c r="X92" i="26"/>
  <c r="X93" i="26"/>
  <c r="X94" i="26"/>
  <c r="X95" i="26"/>
  <c r="X96" i="26"/>
  <c r="X97" i="26"/>
  <c r="X98" i="26"/>
  <c r="X99" i="26"/>
  <c r="X100" i="26"/>
  <c r="X101" i="26"/>
  <c r="X102" i="26"/>
  <c r="X103" i="26"/>
  <c r="X104" i="26"/>
  <c r="X105" i="26"/>
  <c r="X106" i="26"/>
  <c r="X107" i="26"/>
  <c r="X108" i="26"/>
  <c r="X109" i="26"/>
  <c r="X110" i="26"/>
  <c r="X111" i="26"/>
  <c r="X112" i="26"/>
  <c r="X114" i="26"/>
  <c r="X115" i="26"/>
  <c r="X116" i="26"/>
  <c r="X118" i="26"/>
  <c r="X119" i="26"/>
  <c r="X120" i="26"/>
  <c r="X121" i="26"/>
  <c r="X122" i="26"/>
  <c r="X123" i="26"/>
  <c r="X124" i="26"/>
  <c r="X125" i="26"/>
  <c r="X126" i="26"/>
  <c r="X127" i="26"/>
  <c r="X128" i="26"/>
  <c r="X129" i="26"/>
  <c r="X130" i="26"/>
  <c r="X131" i="26"/>
  <c r="X132" i="26"/>
  <c r="X133" i="26"/>
  <c r="X134" i="26"/>
  <c r="X135" i="26"/>
  <c r="X136" i="26"/>
  <c r="X137" i="26"/>
  <c r="X138" i="26"/>
  <c r="X139" i="26"/>
  <c r="X140" i="26"/>
  <c r="X141" i="26"/>
  <c r="X142" i="26"/>
  <c r="X143" i="26"/>
  <c r="X145" i="26"/>
  <c r="X146" i="26"/>
  <c r="X147" i="26"/>
  <c r="X148" i="26"/>
  <c r="X149" i="26"/>
  <c r="X150" i="26"/>
  <c r="X151" i="26"/>
  <c r="X152" i="26"/>
  <c r="X153" i="26"/>
  <c r="X154" i="26"/>
  <c r="X155" i="26"/>
  <c r="X156" i="26"/>
  <c r="X157" i="26"/>
  <c r="X158" i="26"/>
  <c r="X159" i="26"/>
  <c r="X160" i="26"/>
  <c r="X161" i="26"/>
  <c r="X162" i="26"/>
  <c r="X163" i="26"/>
  <c r="X164" i="26"/>
  <c r="Q165" i="26"/>
  <c r="V165" i="26"/>
  <c r="F165" i="27"/>
  <c r="J165" i="27"/>
  <c r="AD165" i="27"/>
  <c r="X166" i="26"/>
  <c r="Y166" i="26"/>
  <c r="Z166" i="26"/>
  <c r="AC166" i="26"/>
  <c r="X167" i="26"/>
  <c r="X168" i="26"/>
  <c r="Y168" i="26"/>
  <c r="Z168" i="26"/>
  <c r="AC168" i="26"/>
  <c r="X169" i="26"/>
  <c r="X170" i="26"/>
  <c r="X171" i="26"/>
  <c r="X172" i="26"/>
  <c r="X173" i="26"/>
  <c r="X174" i="26"/>
  <c r="X175" i="26"/>
  <c r="X176" i="26"/>
  <c r="X177" i="26"/>
  <c r="X178" i="26"/>
  <c r="X179" i="26"/>
  <c r="X180" i="26"/>
  <c r="X181" i="26"/>
  <c r="X182" i="26"/>
  <c r="X183" i="26"/>
  <c r="X184" i="26"/>
  <c r="X185" i="26"/>
  <c r="X186" i="26"/>
  <c r="X187" i="26"/>
  <c r="X188" i="26"/>
  <c r="X189" i="26"/>
  <c r="X190" i="26"/>
  <c r="X191" i="26"/>
  <c r="X192" i="26"/>
  <c r="X193" i="26"/>
  <c r="X194" i="26"/>
  <c r="X195" i="26"/>
  <c r="X196" i="26"/>
  <c r="X197" i="26"/>
  <c r="X198" i="26"/>
  <c r="X199" i="26"/>
  <c r="X200" i="26"/>
  <c r="X201" i="26"/>
  <c r="Y201" i="26"/>
  <c r="Z201" i="26"/>
  <c r="AC201" i="26"/>
  <c r="X202" i="26"/>
  <c r="X203" i="26"/>
  <c r="X204" i="26"/>
  <c r="X205" i="26"/>
  <c r="Y205" i="26"/>
  <c r="Z205" i="26"/>
  <c r="AC205" i="26"/>
  <c r="X206" i="26"/>
  <c r="X207" i="26"/>
  <c r="X208" i="26"/>
  <c r="X209" i="26"/>
  <c r="X210" i="26"/>
  <c r="X211" i="26"/>
  <c r="X212" i="26"/>
  <c r="X213" i="26"/>
  <c r="X214" i="26"/>
  <c r="X215" i="26"/>
  <c r="X216" i="26"/>
  <c r="X217" i="26"/>
  <c r="X218" i="26"/>
  <c r="X219" i="26"/>
  <c r="X220" i="26"/>
  <c r="X221" i="26"/>
  <c r="AA222" i="26"/>
  <c r="AA230" i="26"/>
  <c r="Y16" i="26"/>
  <c r="Y17" i="26"/>
  <c r="Y18" i="26"/>
  <c r="Z18" i="26"/>
  <c r="AC18" i="26"/>
  <c r="Y19" i="26"/>
  <c r="Y20" i="26"/>
  <c r="Y21" i="26"/>
  <c r="Y22" i="26"/>
  <c r="Y24" i="26"/>
  <c r="Y25" i="26"/>
  <c r="Y26" i="26"/>
  <c r="Y27" i="26"/>
  <c r="Y28" i="26"/>
  <c r="Y30" i="26"/>
  <c r="Y31" i="26"/>
  <c r="Y32" i="26"/>
  <c r="Y33" i="26"/>
  <c r="Y34" i="26"/>
  <c r="Y35" i="26"/>
  <c r="Y36" i="26"/>
  <c r="Y38" i="26"/>
  <c r="Y39" i="26"/>
  <c r="Y40" i="26"/>
  <c r="Y42" i="26"/>
  <c r="Y43" i="26"/>
  <c r="Y44" i="26"/>
  <c r="Y45" i="26"/>
  <c r="Y46" i="26"/>
  <c r="Y47" i="26"/>
  <c r="Y48" i="26"/>
  <c r="Y50" i="26"/>
  <c r="Y51" i="26"/>
  <c r="Y52" i="26"/>
  <c r="Y53" i="26"/>
  <c r="Y54" i="26"/>
  <c r="Y55" i="26"/>
  <c r="Y56" i="26"/>
  <c r="Y57" i="26"/>
  <c r="Y58" i="26"/>
  <c r="Y59" i="26"/>
  <c r="Y60" i="26"/>
  <c r="Y61" i="26"/>
  <c r="Y62" i="26"/>
  <c r="Y63" i="26"/>
  <c r="Y64" i="26"/>
  <c r="Y65" i="26"/>
  <c r="Y66" i="26"/>
  <c r="Y67" i="26"/>
  <c r="Y68" i="26"/>
  <c r="Y69" i="26"/>
  <c r="Y70" i="26"/>
  <c r="Y72" i="26"/>
  <c r="Y73" i="26"/>
  <c r="Y74" i="26"/>
  <c r="Y75" i="26"/>
  <c r="Y76" i="26"/>
  <c r="Y77" i="26"/>
  <c r="Y78" i="26"/>
  <c r="Y79" i="26"/>
  <c r="Y80" i="26"/>
  <c r="Y81" i="26"/>
  <c r="Y82" i="26"/>
  <c r="Y83" i="26"/>
  <c r="Y84" i="26"/>
  <c r="Y85" i="26"/>
  <c r="Y86" i="26"/>
  <c r="Y87" i="26"/>
  <c r="Y88" i="26"/>
  <c r="Y89" i="26"/>
  <c r="Y90" i="26"/>
  <c r="Y91" i="26"/>
  <c r="Y92" i="26"/>
  <c r="Y93" i="26"/>
  <c r="Y94" i="26"/>
  <c r="Y95" i="26"/>
  <c r="Y96" i="26"/>
  <c r="Y97" i="26"/>
  <c r="Y98" i="26"/>
  <c r="Y99" i="26"/>
  <c r="Y100" i="26"/>
  <c r="Y101" i="26"/>
  <c r="Y102" i="26"/>
  <c r="Y103" i="26"/>
  <c r="Y104" i="26"/>
  <c r="Y105" i="26"/>
  <c r="Y106" i="26"/>
  <c r="Y107" i="26"/>
  <c r="Y108" i="26"/>
  <c r="Y109" i="26"/>
  <c r="Y110" i="26"/>
  <c r="Y111" i="26"/>
  <c r="Y112" i="26"/>
  <c r="Y114" i="26"/>
  <c r="Y115" i="26"/>
  <c r="Y116" i="26"/>
  <c r="Y118" i="26"/>
  <c r="Y119" i="26"/>
  <c r="Y120" i="26"/>
  <c r="Y121" i="26"/>
  <c r="Y122" i="26"/>
  <c r="Y123" i="26"/>
  <c r="Y124" i="26"/>
  <c r="Y125" i="26"/>
  <c r="Y126" i="26"/>
  <c r="Y127" i="26"/>
  <c r="Y128" i="26"/>
  <c r="Y129" i="26"/>
  <c r="Y130" i="26"/>
  <c r="Y131" i="26"/>
  <c r="Y132" i="26"/>
  <c r="Y133" i="26"/>
  <c r="Y134" i="26"/>
  <c r="Y135" i="26"/>
  <c r="Y136" i="26"/>
  <c r="Y137" i="26"/>
  <c r="Y138" i="26"/>
  <c r="Y139" i="26"/>
  <c r="Y140" i="26"/>
  <c r="Y141" i="26"/>
  <c r="Y142" i="26"/>
  <c r="Y143" i="26"/>
  <c r="Y145" i="26"/>
  <c r="Y146" i="26"/>
  <c r="Y147" i="26"/>
  <c r="Y148" i="26"/>
  <c r="Y149" i="26"/>
  <c r="Y150" i="26"/>
  <c r="Y151" i="26"/>
  <c r="Y152" i="26"/>
  <c r="Y153" i="26"/>
  <c r="Z153" i="26"/>
  <c r="AC153" i="26"/>
  <c r="Y154" i="26"/>
  <c r="Y155" i="26"/>
  <c r="Y156" i="26"/>
  <c r="Y157" i="26"/>
  <c r="Y158" i="26"/>
  <c r="Y159" i="26"/>
  <c r="Y160" i="26"/>
  <c r="Z160" i="26"/>
  <c r="AC160" i="26"/>
  <c r="Y161" i="26"/>
  <c r="Y162" i="26"/>
  <c r="Y163" i="26"/>
  <c r="Y164" i="26"/>
  <c r="Y165" i="26"/>
  <c r="Y167" i="26"/>
  <c r="Y169" i="26"/>
  <c r="Y170" i="26"/>
  <c r="Y171" i="26"/>
  <c r="Y172" i="26"/>
  <c r="Y173" i="26"/>
  <c r="Y174" i="26"/>
  <c r="Y175" i="26"/>
  <c r="Y176" i="26"/>
  <c r="Y177" i="26"/>
  <c r="Y178" i="26"/>
  <c r="Z178" i="26"/>
  <c r="AC178" i="26"/>
  <c r="Y179" i="26"/>
  <c r="Y180" i="26"/>
  <c r="Y181" i="26"/>
  <c r="Y182" i="26"/>
  <c r="Y183" i="26"/>
  <c r="Y184" i="26"/>
  <c r="Y185" i="26"/>
  <c r="Z185" i="26"/>
  <c r="AC185" i="26"/>
  <c r="Y186" i="26"/>
  <c r="Y187" i="26"/>
  <c r="Y188" i="26"/>
  <c r="Y189" i="26"/>
  <c r="Y190" i="26"/>
  <c r="Y191" i="26"/>
  <c r="Y192" i="26"/>
  <c r="Y193" i="26"/>
  <c r="Y194" i="26"/>
  <c r="Y195" i="26"/>
  <c r="Y196" i="26"/>
  <c r="Y197" i="26"/>
  <c r="Y198" i="26"/>
  <c r="Y199" i="26"/>
  <c r="Y200" i="26"/>
  <c r="Y202" i="26"/>
  <c r="Y203" i="26"/>
  <c r="Y204" i="26"/>
  <c r="Y206" i="26"/>
  <c r="Y207" i="26"/>
  <c r="Y208" i="26"/>
  <c r="Y209" i="26"/>
  <c r="Y210" i="26"/>
  <c r="Y211" i="26"/>
  <c r="Y212" i="26"/>
  <c r="Y213" i="26"/>
  <c r="Y214" i="26"/>
  <c r="Y215" i="26"/>
  <c r="Y216" i="26"/>
  <c r="Y217" i="26"/>
  <c r="Y218" i="26"/>
  <c r="Y219" i="26"/>
  <c r="Y220" i="26"/>
  <c r="Y221" i="26"/>
  <c r="AB222" i="26"/>
  <c r="AA233" i="26"/>
  <c r="Z16" i="26"/>
  <c r="Z17" i="26"/>
  <c r="Z19" i="26"/>
  <c r="Z20" i="26"/>
  <c r="Z21" i="26"/>
  <c r="Z22" i="26"/>
  <c r="Z24" i="26"/>
  <c r="Z25" i="26"/>
  <c r="Z26" i="26"/>
  <c r="Z27" i="26"/>
  <c r="Z28" i="26"/>
  <c r="Z30" i="26"/>
  <c r="Z31" i="26"/>
  <c r="Z32" i="26"/>
  <c r="Z33" i="26"/>
  <c r="Z34" i="26"/>
  <c r="Z35" i="26"/>
  <c r="Z36" i="26"/>
  <c r="Z38" i="26"/>
  <c r="Z39" i="26"/>
  <c r="Z40" i="26"/>
  <c r="Z42" i="26"/>
  <c r="Z43" i="26"/>
  <c r="Z44" i="26"/>
  <c r="Z45" i="26"/>
  <c r="Z46" i="26"/>
  <c r="Z47" i="26"/>
  <c r="Z48" i="26"/>
  <c r="Z50" i="26"/>
  <c r="Z51" i="26"/>
  <c r="Z52" i="26"/>
  <c r="Z53" i="26"/>
  <c r="Z54" i="26"/>
  <c r="Z55" i="26"/>
  <c r="Z56" i="26"/>
  <c r="Z57" i="26"/>
  <c r="Z58" i="26"/>
  <c r="Z59" i="26"/>
  <c r="Z60" i="26"/>
  <c r="Z61" i="26"/>
  <c r="Z62" i="26"/>
  <c r="Z63" i="26"/>
  <c r="Z64" i="26"/>
  <c r="Z65" i="26"/>
  <c r="Z66" i="26"/>
  <c r="Z67" i="26"/>
  <c r="Z68" i="26"/>
  <c r="Z69" i="26"/>
  <c r="Z70" i="26"/>
  <c r="Z72" i="26"/>
  <c r="Z73" i="26"/>
  <c r="Z74" i="26"/>
  <c r="Z75" i="26"/>
  <c r="Z76" i="26"/>
  <c r="Z77" i="26"/>
  <c r="Z78" i="26"/>
  <c r="Z79" i="26"/>
  <c r="Z80" i="26"/>
  <c r="Z81" i="26"/>
  <c r="Z82" i="26"/>
  <c r="Z83" i="26"/>
  <c r="Z84" i="26"/>
  <c r="Z85" i="26"/>
  <c r="AC85" i="26"/>
  <c r="Z86" i="26"/>
  <c r="Z87" i="26"/>
  <c r="Z88" i="26"/>
  <c r="Z89" i="26"/>
  <c r="Z90" i="26"/>
  <c r="Z91" i="26"/>
  <c r="Z92" i="26"/>
  <c r="Z93" i="26"/>
  <c r="Z94" i="26"/>
  <c r="Z95" i="26"/>
  <c r="Z96" i="26"/>
  <c r="Z97" i="26"/>
  <c r="Z98" i="26"/>
  <c r="Z99" i="26"/>
  <c r="Z100" i="26"/>
  <c r="Z101" i="26"/>
  <c r="Z102" i="26"/>
  <c r="Z103" i="26"/>
  <c r="Z104" i="26"/>
  <c r="Z105" i="26"/>
  <c r="Z106" i="26"/>
  <c r="Z107" i="26"/>
  <c r="Z108" i="26"/>
  <c r="Z109" i="26"/>
  <c r="Z110" i="26"/>
  <c r="Z111" i="26"/>
  <c r="Z112" i="26"/>
  <c r="Z114" i="26"/>
  <c r="Z115" i="26"/>
  <c r="Z116" i="26"/>
  <c r="Z118" i="26"/>
  <c r="Z119" i="26"/>
  <c r="Z120" i="26"/>
  <c r="Z121" i="26"/>
  <c r="Z122" i="26"/>
  <c r="Z123" i="26"/>
  <c r="Z124" i="26"/>
  <c r="Z125" i="26"/>
  <c r="Z126" i="26"/>
  <c r="Z127" i="26"/>
  <c r="Z128" i="26"/>
  <c r="Z129" i="26"/>
  <c r="Z130" i="26"/>
  <c r="Z131" i="26"/>
  <c r="Z132" i="26"/>
  <c r="Z133" i="26"/>
  <c r="Z134" i="26"/>
  <c r="Z135" i="26"/>
  <c r="Z136" i="26"/>
  <c r="Z137" i="26"/>
  <c r="Z138" i="26"/>
  <c r="Z139" i="26"/>
  <c r="Z140" i="26"/>
  <c r="Z141" i="26"/>
  <c r="Z142" i="26"/>
  <c r="Z143" i="26"/>
  <c r="Z145" i="26"/>
  <c r="Z146" i="26"/>
  <c r="Z147" i="26"/>
  <c r="Z148" i="26"/>
  <c r="Z149" i="26"/>
  <c r="Z150" i="26"/>
  <c r="AC150" i="26"/>
  <c r="Z151" i="26"/>
  <c r="Z152" i="26"/>
  <c r="Z154" i="26"/>
  <c r="Z155" i="26"/>
  <c r="Z156" i="26"/>
  <c r="Z157" i="26"/>
  <c r="Z158" i="26"/>
  <c r="Z159" i="26"/>
  <c r="Z161" i="26"/>
  <c r="Z162" i="26"/>
  <c r="Z163" i="26"/>
  <c r="Z164" i="26"/>
  <c r="Z165" i="26"/>
  <c r="Z167" i="26"/>
  <c r="Z169" i="26"/>
  <c r="Z170" i="26"/>
  <c r="Z171" i="26"/>
  <c r="Z172" i="26"/>
  <c r="Z173" i="26"/>
  <c r="Z174" i="26"/>
  <c r="Z175" i="26"/>
  <c r="Z176" i="26"/>
  <c r="Z177" i="26"/>
  <c r="Z179" i="26"/>
  <c r="Z180" i="26"/>
  <c r="Z181" i="26"/>
  <c r="Z182" i="26"/>
  <c r="Z183" i="26"/>
  <c r="Z184" i="26"/>
  <c r="Z186" i="26"/>
  <c r="Z187" i="26"/>
  <c r="Z188" i="26"/>
  <c r="Z189" i="26"/>
  <c r="Z190" i="26"/>
  <c r="Z191" i="26"/>
  <c r="Z192" i="26"/>
  <c r="Z193" i="26"/>
  <c r="Z194" i="26"/>
  <c r="Z195" i="26"/>
  <c r="Z196" i="26"/>
  <c r="Z197" i="26"/>
  <c r="AC197" i="26"/>
  <c r="Z198" i="26"/>
  <c r="Z199" i="26"/>
  <c r="Z200" i="26"/>
  <c r="Z202" i="26"/>
  <c r="Z203" i="26"/>
  <c r="Z204" i="26"/>
  <c r="Z206" i="26"/>
  <c r="Z207" i="26"/>
  <c r="Z208" i="26"/>
  <c r="Z209" i="26"/>
  <c r="Z210" i="26"/>
  <c r="Z211" i="26"/>
  <c r="Z212" i="26"/>
  <c r="Z213" i="26"/>
  <c r="Z214" i="26"/>
  <c r="Z215" i="26"/>
  <c r="Z216" i="26"/>
  <c r="Z217" i="26"/>
  <c r="Z218" i="26"/>
  <c r="Z219" i="26"/>
  <c r="Z220" i="26"/>
  <c r="Z221" i="26"/>
  <c r="AD16" i="26"/>
  <c r="AD18" i="26"/>
  <c r="AD19" i="26"/>
  <c r="AD20" i="26"/>
  <c r="AD24" i="26"/>
  <c r="AD28" i="26"/>
  <c r="AD40" i="26"/>
  <c r="AD43" i="26"/>
  <c r="AD46" i="26"/>
  <c r="AD50" i="26"/>
  <c r="AD51" i="26"/>
  <c r="AD52" i="26"/>
  <c r="AD53" i="26"/>
  <c r="AD54" i="26"/>
  <c r="AD56" i="26"/>
  <c r="AD57" i="26"/>
  <c r="AD58" i="26"/>
  <c r="AD70" i="26"/>
  <c r="AD74" i="26"/>
  <c r="AD76" i="26"/>
  <c r="AD77" i="26"/>
  <c r="AD78" i="26"/>
  <c r="AD85" i="26"/>
  <c r="AD86" i="26"/>
  <c r="AD87" i="26"/>
  <c r="AD88" i="26"/>
  <c r="AD90" i="26"/>
  <c r="AD91" i="26"/>
  <c r="AD92" i="26"/>
  <c r="AD114" i="26"/>
  <c r="AD115" i="26"/>
  <c r="AD119" i="26"/>
  <c r="AD121" i="26"/>
  <c r="AD122" i="26"/>
  <c r="AD123" i="26"/>
  <c r="AD125" i="26"/>
  <c r="AD137" i="26"/>
  <c r="AD140" i="26"/>
  <c r="AD141" i="26"/>
  <c r="AF141" i="26"/>
  <c r="AD142" i="26"/>
  <c r="AD147" i="26"/>
  <c r="AD148" i="26"/>
  <c r="AD149" i="26"/>
  <c r="AD150" i="26"/>
  <c r="AD152" i="26"/>
  <c r="AD156" i="26"/>
  <c r="AD157" i="26"/>
  <c r="AD158" i="26"/>
  <c r="AD160" i="26"/>
  <c r="AD162" i="26"/>
  <c r="AD170" i="26"/>
  <c r="AD172" i="26"/>
  <c r="AD173" i="26"/>
  <c r="AD175" i="26"/>
  <c r="AD176" i="26"/>
  <c r="AD178" i="26"/>
  <c r="AD180" i="26"/>
  <c r="AF180" i="26"/>
  <c r="AD184" i="26"/>
  <c r="AD185" i="26"/>
  <c r="AD186" i="26"/>
  <c r="AD187" i="26"/>
  <c r="AD191" i="26"/>
  <c r="AD192" i="26"/>
  <c r="AD193" i="26"/>
  <c r="AD194" i="26"/>
  <c r="AF194" i="26"/>
  <c r="AD195" i="26"/>
  <c r="AD196" i="26"/>
  <c r="AD197" i="26"/>
  <c r="AD198" i="26"/>
  <c r="AD199" i="26"/>
  <c r="AD203" i="26"/>
  <c r="AD206" i="26"/>
  <c r="AD207" i="26"/>
  <c r="AD210" i="26"/>
  <c r="AD211" i="26"/>
  <c r="AD212" i="26"/>
  <c r="AD213" i="26"/>
  <c r="AD215" i="26"/>
  <c r="AD219" i="26"/>
  <c r="AD220" i="26"/>
  <c r="AE17" i="26"/>
  <c r="AE21" i="26"/>
  <c r="AE23" i="26"/>
  <c r="AE25" i="26"/>
  <c r="AE26" i="26"/>
  <c r="AE27" i="26"/>
  <c r="AE29" i="26"/>
  <c r="AE30" i="26"/>
  <c r="AE31" i="26"/>
  <c r="AE32" i="26"/>
  <c r="AE33" i="26"/>
  <c r="AE34" i="26"/>
  <c r="AE35" i="26"/>
  <c r="AE36" i="26"/>
  <c r="AE37" i="26"/>
  <c r="AE38" i="26"/>
  <c r="AE39" i="26"/>
  <c r="AE40" i="26"/>
  <c r="AE41" i="26"/>
  <c r="AE42" i="26"/>
  <c r="AE44" i="26"/>
  <c r="AE45" i="26"/>
  <c r="AE47" i="26"/>
  <c r="AE48" i="26"/>
  <c r="AE49" i="26"/>
  <c r="AE58" i="26"/>
  <c r="AE59" i="26"/>
  <c r="AE60" i="26"/>
  <c r="AE61" i="26"/>
  <c r="AE62" i="26"/>
  <c r="AE63" i="26"/>
  <c r="AE64" i="26"/>
  <c r="AE65" i="26"/>
  <c r="AE67" i="26"/>
  <c r="AE68" i="26"/>
  <c r="AE69" i="26"/>
  <c r="AE71" i="26"/>
  <c r="AE72" i="26"/>
  <c r="AF72" i="26"/>
  <c r="AE75" i="26"/>
  <c r="AE79" i="26"/>
  <c r="AE80" i="26"/>
  <c r="AE81" i="26"/>
  <c r="AE82" i="26"/>
  <c r="AE83" i="26"/>
  <c r="AE84" i="26"/>
  <c r="AE85" i="26"/>
  <c r="AE86" i="26"/>
  <c r="AE89" i="26"/>
  <c r="AE93" i="26"/>
  <c r="AE94" i="26"/>
  <c r="AE95" i="26"/>
  <c r="AE96" i="26"/>
  <c r="AE97" i="26"/>
  <c r="AE98" i="26"/>
  <c r="AE99" i="26"/>
  <c r="AE101" i="26"/>
  <c r="AE102" i="26"/>
  <c r="AE103" i="26"/>
  <c r="AE104" i="26"/>
  <c r="AE105" i="26"/>
  <c r="AE106" i="26"/>
  <c r="AE107" i="26"/>
  <c r="AE109" i="26"/>
  <c r="AE110" i="26"/>
  <c r="AF110" i="26"/>
  <c r="AE111" i="26"/>
  <c r="AE112" i="26"/>
  <c r="AE116" i="26"/>
  <c r="AE118" i="26"/>
  <c r="AE120" i="26"/>
  <c r="AE121" i="26"/>
  <c r="AE124" i="26"/>
  <c r="AE126" i="26"/>
  <c r="AE127" i="26"/>
  <c r="AE128" i="26"/>
  <c r="AE129" i="26"/>
  <c r="AE130" i="26"/>
  <c r="AE131" i="26"/>
  <c r="AE132" i="26"/>
  <c r="AE133" i="26"/>
  <c r="AE134" i="26"/>
  <c r="AE135" i="26"/>
  <c r="AE138" i="26"/>
  <c r="AE139" i="26"/>
  <c r="AE140" i="26"/>
  <c r="AE143" i="26"/>
  <c r="AE146" i="26"/>
  <c r="AE147" i="26"/>
  <c r="AE150" i="26"/>
  <c r="AE151" i="26"/>
  <c r="AE154" i="26"/>
  <c r="AE155" i="26"/>
  <c r="AE161" i="26"/>
  <c r="AE163" i="26"/>
  <c r="AE164" i="26"/>
  <c r="AE165" i="26"/>
  <c r="AF165" i="26"/>
  <c r="AE166" i="26"/>
  <c r="AE167" i="26"/>
  <c r="AE168" i="26"/>
  <c r="AE169" i="26"/>
  <c r="AE171" i="26"/>
  <c r="AE174" i="26"/>
  <c r="AE176" i="26"/>
  <c r="AE177" i="26"/>
  <c r="AE179" i="26"/>
  <c r="AE181" i="26"/>
  <c r="AE182" i="26"/>
  <c r="AE183" i="26"/>
  <c r="AE188" i="26"/>
  <c r="AE189" i="26"/>
  <c r="AE190" i="26"/>
  <c r="AE197" i="26"/>
  <c r="AE199" i="26"/>
  <c r="AE200" i="26"/>
  <c r="AE201" i="26"/>
  <c r="AE202" i="26"/>
  <c r="AE203" i="26"/>
  <c r="AE204" i="26"/>
  <c r="AE205" i="26"/>
  <c r="AE207" i="26"/>
  <c r="AE208" i="26"/>
  <c r="AE209" i="26"/>
  <c r="AE214" i="26"/>
  <c r="AE216" i="26"/>
  <c r="AE217" i="26"/>
  <c r="AE218" i="26"/>
  <c r="AE219" i="26"/>
  <c r="AE220" i="26"/>
  <c r="AE221" i="26"/>
  <c r="AF16" i="26"/>
  <c r="AF17" i="26"/>
  <c r="AF18" i="26"/>
  <c r="AF19" i="26"/>
  <c r="AF20" i="26"/>
  <c r="AF21" i="26"/>
  <c r="AF23" i="26"/>
  <c r="AF24" i="26"/>
  <c r="AF25" i="26"/>
  <c r="AF26" i="26"/>
  <c r="AF27" i="26"/>
  <c r="AF28" i="26"/>
  <c r="AF29" i="26"/>
  <c r="AF30" i="26"/>
  <c r="AF31" i="26"/>
  <c r="AF32" i="26"/>
  <c r="AF33" i="26"/>
  <c r="AF34" i="26"/>
  <c r="AF35" i="26"/>
  <c r="AF36" i="26"/>
  <c r="AF37" i="26"/>
  <c r="AF38" i="26"/>
  <c r="AF39" i="26"/>
  <c r="AF41" i="26"/>
  <c r="AF42" i="26"/>
  <c r="AF43" i="26"/>
  <c r="AF44" i="26"/>
  <c r="AF45" i="26"/>
  <c r="AF46" i="26"/>
  <c r="AF47" i="26"/>
  <c r="AF48" i="26"/>
  <c r="AF49" i="26"/>
  <c r="AF50" i="26"/>
  <c r="AF51" i="26"/>
  <c r="AF52" i="26"/>
  <c r="AF53" i="26"/>
  <c r="AF54" i="26"/>
  <c r="AF56" i="26"/>
  <c r="AF57" i="26"/>
  <c r="AF59" i="26"/>
  <c r="AF60" i="26"/>
  <c r="AF61" i="26"/>
  <c r="AF62" i="26"/>
  <c r="AF63" i="26"/>
  <c r="AF64" i="26"/>
  <c r="AF65" i="26"/>
  <c r="AF67" i="26"/>
  <c r="AF68" i="26"/>
  <c r="AF69" i="26"/>
  <c r="AF70" i="26"/>
  <c r="AF71" i="26"/>
  <c r="AF74" i="26"/>
  <c r="AF75" i="26"/>
  <c r="AF76" i="26"/>
  <c r="AF77" i="26"/>
  <c r="AF78" i="26"/>
  <c r="AF79" i="26"/>
  <c r="AF80" i="26"/>
  <c r="AF81" i="26"/>
  <c r="AF82" i="26"/>
  <c r="AF83" i="26"/>
  <c r="AF84" i="26"/>
  <c r="AF87" i="26"/>
  <c r="AF88" i="26"/>
  <c r="AF89" i="26"/>
  <c r="AF90" i="26"/>
  <c r="AF91" i="26"/>
  <c r="AF92" i="26"/>
  <c r="AF93" i="26"/>
  <c r="AF94" i="26"/>
  <c r="AF95" i="26"/>
  <c r="AF96" i="26"/>
  <c r="AF97" i="26"/>
  <c r="AF98" i="26"/>
  <c r="AF99" i="26"/>
  <c r="AF101" i="26"/>
  <c r="AF102" i="26"/>
  <c r="AF103" i="26"/>
  <c r="AF104" i="26"/>
  <c r="AF105" i="26"/>
  <c r="AF106" i="26"/>
  <c r="AF107" i="26"/>
  <c r="AF109" i="26"/>
  <c r="AF111" i="26"/>
  <c r="AF112" i="26"/>
  <c r="AF114" i="26"/>
  <c r="AF115" i="26"/>
  <c r="AF116" i="26"/>
  <c r="AF118" i="26"/>
  <c r="AF119" i="26"/>
  <c r="AF120" i="26"/>
  <c r="AF122" i="26"/>
  <c r="AF123" i="26"/>
  <c r="AF124" i="26"/>
  <c r="AF125" i="26"/>
  <c r="AF126" i="26"/>
  <c r="AF127" i="26"/>
  <c r="AF128" i="26"/>
  <c r="AF129" i="26"/>
  <c r="AF130" i="26"/>
  <c r="AF131" i="26"/>
  <c r="AF132" i="26"/>
  <c r="AF133" i="26"/>
  <c r="AF134" i="26"/>
  <c r="AF135" i="26"/>
  <c r="AF137" i="26"/>
  <c r="AF138" i="26"/>
  <c r="AF139" i="26"/>
  <c r="AF142" i="26"/>
  <c r="AF143" i="26"/>
  <c r="AF146" i="26"/>
  <c r="AF148" i="26"/>
  <c r="AF149" i="26"/>
  <c r="AF151" i="26"/>
  <c r="AF152" i="26"/>
  <c r="AF154" i="26"/>
  <c r="AF155" i="26"/>
  <c r="AF156" i="26"/>
  <c r="AF157" i="26"/>
  <c r="AF158" i="26"/>
  <c r="AF160" i="26"/>
  <c r="AF161" i="26"/>
  <c r="AF162" i="26"/>
  <c r="AF163" i="26"/>
  <c r="AF164" i="26"/>
  <c r="AF166" i="26"/>
  <c r="AF167" i="26"/>
  <c r="AF168" i="26"/>
  <c r="AF169" i="26"/>
  <c r="AF170" i="26"/>
  <c r="AF171" i="26"/>
  <c r="AF172" i="26"/>
  <c r="AF173" i="26"/>
  <c r="AF174" i="26"/>
  <c r="AF175" i="26"/>
  <c r="AF177" i="26"/>
  <c r="AF178" i="26"/>
  <c r="AF179" i="26"/>
  <c r="AF181" i="26"/>
  <c r="AF182" i="26"/>
  <c r="AF183" i="26"/>
  <c r="AF184" i="26"/>
  <c r="AF185" i="26"/>
  <c r="AF186" i="26"/>
  <c r="AF187" i="26"/>
  <c r="AF188" i="26"/>
  <c r="AF189" i="26"/>
  <c r="AF190" i="26"/>
  <c r="AF191" i="26"/>
  <c r="AF192" i="26"/>
  <c r="AF193" i="26"/>
  <c r="AF195" i="26"/>
  <c r="AF196" i="26"/>
  <c r="AF198" i="26"/>
  <c r="AF200" i="26"/>
  <c r="AF201" i="26"/>
  <c r="AF202" i="26"/>
  <c r="AF204" i="26"/>
  <c r="AF205" i="26"/>
  <c r="AF206" i="26"/>
  <c r="AF208" i="26"/>
  <c r="AF209" i="26"/>
  <c r="AF210" i="26"/>
  <c r="AF211" i="26"/>
  <c r="AF212" i="26"/>
  <c r="AF213" i="26"/>
  <c r="AF214" i="26"/>
  <c r="AF215" i="26"/>
  <c r="AF216" i="26"/>
  <c r="AF217" i="26"/>
  <c r="AF218" i="26"/>
  <c r="AF221" i="26"/>
  <c r="AF224" i="26"/>
  <c r="AF225" i="26"/>
  <c r="AH16" i="26"/>
  <c r="AH17" i="26"/>
  <c r="AH18" i="26"/>
  <c r="AH19" i="26"/>
  <c r="AH20" i="26"/>
  <c r="AH21" i="26"/>
  <c r="AH22" i="26"/>
  <c r="AH23" i="26"/>
  <c r="AH24" i="26"/>
  <c r="AH25" i="26"/>
  <c r="AH26" i="26"/>
  <c r="AH27" i="26"/>
  <c r="AH28" i="26"/>
  <c r="AH29" i="26"/>
  <c r="AH30" i="26"/>
  <c r="AH31" i="26"/>
  <c r="AH32" i="26"/>
  <c r="AH33" i="26"/>
  <c r="AH34" i="26"/>
  <c r="AH35" i="26"/>
  <c r="AH36" i="26"/>
  <c r="AH37" i="26"/>
  <c r="AH38" i="26"/>
  <c r="AH39" i="26"/>
  <c r="AH40" i="26"/>
  <c r="AH41" i="26"/>
  <c r="AH42" i="26"/>
  <c r="AH43" i="26"/>
  <c r="AH44" i="26"/>
  <c r="AH45" i="26"/>
  <c r="AH46" i="26"/>
  <c r="AH47" i="26"/>
  <c r="AH48" i="26"/>
  <c r="AH50" i="26"/>
  <c r="AH51" i="26"/>
  <c r="AH52" i="26"/>
  <c r="AH53" i="26"/>
  <c r="AH54" i="26"/>
  <c r="AH55" i="26"/>
  <c r="AH56" i="26"/>
  <c r="AH57" i="26"/>
  <c r="AH58" i="26"/>
  <c r="AH59" i="26"/>
  <c r="AH60" i="26"/>
  <c r="AH61" i="26"/>
  <c r="AH62" i="26"/>
  <c r="AH63" i="26"/>
  <c r="AH64" i="26"/>
  <c r="AH65" i="26"/>
  <c r="AH66" i="26"/>
  <c r="AH67" i="26"/>
  <c r="AH68" i="26"/>
  <c r="AH69" i="26"/>
  <c r="AH70" i="26"/>
  <c r="AH71" i="26"/>
  <c r="AH72" i="26"/>
  <c r="AH73" i="26"/>
  <c r="AH74" i="26"/>
  <c r="AH75" i="26"/>
  <c r="AH76" i="26"/>
  <c r="AH77" i="26"/>
  <c r="AH78" i="26"/>
  <c r="AH79" i="26"/>
  <c r="AH80" i="26"/>
  <c r="AH81" i="26"/>
  <c r="AH82" i="26"/>
  <c r="AH83" i="26"/>
  <c r="AH84" i="26"/>
  <c r="AH85" i="26"/>
  <c r="AH86" i="26"/>
  <c r="AH87" i="26"/>
  <c r="AH88" i="26"/>
  <c r="AH89" i="26"/>
  <c r="AH90" i="26"/>
  <c r="AH91" i="26"/>
  <c r="AH92" i="26"/>
  <c r="AH93" i="26"/>
  <c r="AH94" i="26"/>
  <c r="AH95" i="26"/>
  <c r="AH96" i="26"/>
  <c r="AH97" i="26"/>
  <c r="AH98" i="26"/>
  <c r="AH99" i="26"/>
  <c r="AH100" i="26"/>
  <c r="AH101" i="26"/>
  <c r="AH102" i="26"/>
  <c r="AH103" i="26"/>
  <c r="AH104" i="26"/>
  <c r="AH105" i="26"/>
  <c r="AH106" i="26"/>
  <c r="AH107" i="26"/>
  <c r="AH108" i="26"/>
  <c r="AH109" i="26"/>
  <c r="AH110" i="26"/>
  <c r="AH111" i="26"/>
  <c r="AH112" i="26"/>
  <c r="AH114" i="26"/>
  <c r="AH115" i="26"/>
  <c r="AH116" i="26"/>
  <c r="AH118" i="26"/>
  <c r="AH119" i="26"/>
  <c r="AH120" i="26"/>
  <c r="AH121" i="26"/>
  <c r="AH122" i="26"/>
  <c r="AH123" i="26"/>
  <c r="AH124" i="26"/>
  <c r="AH125" i="26"/>
  <c r="AH126" i="26"/>
  <c r="AH127" i="26"/>
  <c r="AH128" i="26"/>
  <c r="AH129" i="26"/>
  <c r="AH130" i="26"/>
  <c r="AH131" i="26"/>
  <c r="AH132" i="26"/>
  <c r="AH133" i="26"/>
  <c r="AH134" i="26"/>
  <c r="AH135" i="26"/>
  <c r="AH136" i="26"/>
  <c r="AH137" i="26"/>
  <c r="AH138" i="26"/>
  <c r="AH139" i="26"/>
  <c r="AH140" i="26"/>
  <c r="AH141" i="26"/>
  <c r="AH142" i="26"/>
  <c r="AH143" i="26"/>
  <c r="AH145" i="26"/>
  <c r="AH146" i="26"/>
  <c r="AH147" i="26"/>
  <c r="AH148" i="26"/>
  <c r="AH149" i="26"/>
  <c r="AH150" i="26"/>
  <c r="AH151" i="26"/>
  <c r="AH152" i="26"/>
  <c r="AH153" i="26"/>
  <c r="AH154" i="26"/>
  <c r="AH155" i="26"/>
  <c r="AH156" i="26"/>
  <c r="AH157" i="26"/>
  <c r="AH158" i="26"/>
  <c r="AH159" i="26"/>
  <c r="AH160" i="26"/>
  <c r="AH161" i="26"/>
  <c r="AH162" i="26"/>
  <c r="AH163" i="26"/>
  <c r="AH164" i="26"/>
  <c r="AH165" i="26"/>
  <c r="AH166" i="26"/>
  <c r="AH167" i="26"/>
  <c r="AH169" i="26"/>
  <c r="AH170" i="26"/>
  <c r="AH171" i="26"/>
  <c r="AH172" i="26"/>
  <c r="AH173" i="26"/>
  <c r="AH174" i="26"/>
  <c r="AH175" i="26"/>
  <c r="AH176" i="26"/>
  <c r="AH177" i="26"/>
  <c r="AH178" i="26"/>
  <c r="AH179" i="26"/>
  <c r="AH180" i="26"/>
  <c r="AH181" i="26"/>
  <c r="AH182" i="26"/>
  <c r="AH183" i="26"/>
  <c r="AH184" i="26"/>
  <c r="AH185" i="26"/>
  <c r="AH186" i="26"/>
  <c r="AH187" i="26"/>
  <c r="AH188" i="26"/>
  <c r="AH189" i="26"/>
  <c r="AH190" i="26"/>
  <c r="AH191" i="26"/>
  <c r="AH192" i="26"/>
  <c r="AH193" i="26"/>
  <c r="AH194" i="26"/>
  <c r="AH195" i="26"/>
  <c r="AH196" i="26"/>
  <c r="AH197" i="26"/>
  <c r="AH198" i="26"/>
  <c r="AH199" i="26"/>
  <c r="AH200" i="26"/>
  <c r="AH201" i="26"/>
  <c r="AH202" i="26"/>
  <c r="AH203" i="26"/>
  <c r="AH204" i="26"/>
  <c r="AH205" i="26"/>
  <c r="AH206" i="26"/>
  <c r="AH207" i="26"/>
  <c r="AH208" i="26"/>
  <c r="AH209" i="26"/>
  <c r="AH210" i="26"/>
  <c r="AH211" i="26"/>
  <c r="AH212" i="26"/>
  <c r="AH213" i="26"/>
  <c r="AH214" i="26"/>
  <c r="AH215" i="26"/>
  <c r="AH216" i="26"/>
  <c r="AH217" i="26"/>
  <c r="AH218" i="26"/>
  <c r="AH219" i="26"/>
  <c r="AH220" i="26"/>
  <c r="AH221" i="26"/>
  <c r="AI16" i="26"/>
  <c r="AI17" i="26"/>
  <c r="AI18" i="26"/>
  <c r="AI19" i="26"/>
  <c r="AI20" i="26"/>
  <c r="AI21" i="26"/>
  <c r="AI22" i="26"/>
  <c r="AI23" i="26"/>
  <c r="AI24" i="26"/>
  <c r="AI25" i="26"/>
  <c r="AI26" i="26"/>
  <c r="AI27" i="26"/>
  <c r="AI28" i="26"/>
  <c r="AI29" i="26"/>
  <c r="AI30" i="26"/>
  <c r="AI31" i="26"/>
  <c r="AI32" i="26"/>
  <c r="AI33" i="26"/>
  <c r="AI34" i="26"/>
  <c r="AI35" i="26"/>
  <c r="AI36" i="26"/>
  <c r="AI37" i="26"/>
  <c r="AI38" i="26"/>
  <c r="AI39" i="26"/>
  <c r="AI40" i="26"/>
  <c r="AI41" i="26"/>
  <c r="AI42" i="26"/>
  <c r="AI43" i="26"/>
  <c r="AI44" i="26"/>
  <c r="AI45" i="26"/>
  <c r="AI46" i="26"/>
  <c r="AI47" i="26"/>
  <c r="AI48" i="26"/>
  <c r="AI49" i="26"/>
  <c r="AI50" i="26"/>
  <c r="AI51" i="26"/>
  <c r="AI52" i="26"/>
  <c r="AI53" i="26"/>
  <c r="AI54" i="26"/>
  <c r="AI55" i="26"/>
  <c r="AI56" i="26"/>
  <c r="AI57" i="26"/>
  <c r="AI58" i="26"/>
  <c r="AI59" i="26"/>
  <c r="AI60" i="26"/>
  <c r="AI61" i="26"/>
  <c r="AI62" i="26"/>
  <c r="AI63" i="26"/>
  <c r="AI64" i="26"/>
  <c r="AI65" i="26"/>
  <c r="AI66" i="26"/>
  <c r="AI67" i="26"/>
  <c r="AI68" i="26"/>
  <c r="AI69" i="26"/>
  <c r="AI70" i="26"/>
  <c r="AI71" i="26"/>
  <c r="AI72" i="26"/>
  <c r="AI73" i="26"/>
  <c r="AI74" i="26"/>
  <c r="AI75" i="26"/>
  <c r="AI76" i="26"/>
  <c r="AI77" i="26"/>
  <c r="AI78" i="26"/>
  <c r="AI79" i="26"/>
  <c r="AI80" i="26"/>
  <c r="AI81" i="26"/>
  <c r="AI82" i="26"/>
  <c r="AI83" i="26"/>
  <c r="AI84" i="26"/>
  <c r="AI85" i="26"/>
  <c r="AI86" i="26"/>
  <c r="AI87" i="26"/>
  <c r="AI88" i="26"/>
  <c r="AI89" i="26"/>
  <c r="AI90" i="26"/>
  <c r="AI91" i="26"/>
  <c r="AI92" i="26"/>
  <c r="AI93" i="26"/>
  <c r="AI94" i="26"/>
  <c r="AI95" i="26"/>
  <c r="AI96" i="26"/>
  <c r="AI97" i="26"/>
  <c r="AI98" i="26"/>
  <c r="AI99" i="26"/>
  <c r="AI100" i="26"/>
  <c r="AI101" i="26"/>
  <c r="AI102" i="26"/>
  <c r="AI103" i="26"/>
  <c r="AI104" i="26"/>
  <c r="AI105" i="26"/>
  <c r="AI106" i="26"/>
  <c r="AI107" i="26"/>
  <c r="AI108" i="26"/>
  <c r="AI109" i="26"/>
  <c r="AI110" i="26"/>
  <c r="AI111" i="26"/>
  <c r="AI112" i="26"/>
  <c r="AI114" i="26"/>
  <c r="AI115" i="26"/>
  <c r="AI116" i="26"/>
  <c r="AI118" i="26"/>
  <c r="AI119" i="26"/>
  <c r="AI120" i="26"/>
  <c r="AI121" i="26"/>
  <c r="AI122" i="26"/>
  <c r="AI123" i="26"/>
  <c r="AI124" i="26"/>
  <c r="AI125" i="26"/>
  <c r="AI126" i="26"/>
  <c r="AI127" i="26"/>
  <c r="AI128" i="26"/>
  <c r="AI129" i="26"/>
  <c r="AI130" i="26"/>
  <c r="AI131" i="26"/>
  <c r="AI132" i="26"/>
  <c r="AI133" i="26"/>
  <c r="AI134" i="26"/>
  <c r="AI135" i="26"/>
  <c r="AI136" i="26"/>
  <c r="AI137" i="26"/>
  <c r="AI138" i="26"/>
  <c r="AI139" i="26"/>
  <c r="AI140" i="26"/>
  <c r="AI141" i="26"/>
  <c r="AI142" i="26"/>
  <c r="AI143" i="26"/>
  <c r="AI145" i="26"/>
  <c r="AI146" i="26"/>
  <c r="AI147" i="26"/>
  <c r="AI148" i="26"/>
  <c r="AI149" i="26"/>
  <c r="AI150" i="26"/>
  <c r="AI151" i="26"/>
  <c r="AI152" i="26"/>
  <c r="AI153" i="26"/>
  <c r="AI154" i="26"/>
  <c r="AI155" i="26"/>
  <c r="AI156" i="26"/>
  <c r="AI157" i="26"/>
  <c r="AI158" i="26"/>
  <c r="AI159" i="26"/>
  <c r="AI160" i="26"/>
  <c r="AI161" i="26"/>
  <c r="AI162" i="26"/>
  <c r="AI163" i="26"/>
  <c r="AI164" i="26"/>
  <c r="AI165" i="26"/>
  <c r="AI166" i="26"/>
  <c r="AI167" i="26"/>
  <c r="AI168" i="26"/>
  <c r="AI169" i="26"/>
  <c r="AI170" i="26"/>
  <c r="AI171" i="26"/>
  <c r="AI172" i="26"/>
  <c r="AI173" i="26"/>
  <c r="AI174" i="26"/>
  <c r="AI175" i="26"/>
  <c r="AI176" i="26"/>
  <c r="AI177" i="26"/>
  <c r="AI178" i="26"/>
  <c r="AI179" i="26"/>
  <c r="AI180" i="26"/>
  <c r="AI181" i="26"/>
  <c r="AI182" i="26"/>
  <c r="AI183" i="26"/>
  <c r="AI184" i="26"/>
  <c r="AI185" i="26"/>
  <c r="AI186" i="26"/>
  <c r="AI187" i="26"/>
  <c r="AI188" i="26"/>
  <c r="AI189" i="26"/>
  <c r="AI190" i="26"/>
  <c r="AI191" i="26"/>
  <c r="AI192" i="26"/>
  <c r="AI193" i="26"/>
  <c r="AI194" i="26"/>
  <c r="AI195" i="26"/>
  <c r="AI196" i="26"/>
  <c r="AI197" i="26"/>
  <c r="AI198" i="26"/>
  <c r="AI199" i="26"/>
  <c r="AI200" i="26"/>
  <c r="AI201" i="26"/>
  <c r="AI202" i="26"/>
  <c r="AI203" i="26"/>
  <c r="AI204" i="26"/>
  <c r="AI205" i="26"/>
  <c r="AI206" i="26"/>
  <c r="AI207" i="26"/>
  <c r="AI208" i="26"/>
  <c r="AI209" i="26"/>
  <c r="AI210" i="26"/>
  <c r="AI211" i="26"/>
  <c r="AI212" i="26"/>
  <c r="AI213" i="26"/>
  <c r="AI214" i="26"/>
  <c r="AI215" i="26"/>
  <c r="AI216" i="26"/>
  <c r="AI217" i="26"/>
  <c r="AI218" i="26"/>
  <c r="AI219" i="26"/>
  <c r="AI220" i="26"/>
  <c r="AI221" i="26"/>
  <c r="AJ16" i="26"/>
  <c r="AJ17" i="26"/>
  <c r="AJ18" i="26"/>
  <c r="AJ19" i="26"/>
  <c r="AJ20" i="26"/>
  <c r="AJ21" i="26"/>
  <c r="AJ22" i="26"/>
  <c r="AJ23" i="26"/>
  <c r="AJ24" i="26"/>
  <c r="AJ25" i="26"/>
  <c r="AJ26" i="26"/>
  <c r="AJ27" i="26"/>
  <c r="AJ28" i="26"/>
  <c r="AJ29" i="26"/>
  <c r="AJ30" i="26"/>
  <c r="AJ31" i="26"/>
  <c r="AJ32" i="26"/>
  <c r="AJ33" i="26"/>
  <c r="AJ34" i="26"/>
  <c r="AJ35" i="26"/>
  <c r="AJ36" i="26"/>
  <c r="AJ37" i="26"/>
  <c r="AJ38" i="26"/>
  <c r="AJ39" i="26"/>
  <c r="AJ40" i="26"/>
  <c r="AJ41" i="26"/>
  <c r="AJ42" i="26"/>
  <c r="AJ43" i="26"/>
  <c r="AJ44" i="26"/>
  <c r="AJ45" i="26"/>
  <c r="AJ46" i="26"/>
  <c r="AJ47" i="26"/>
  <c r="AJ48" i="26"/>
  <c r="AJ49" i="26"/>
  <c r="AJ50" i="26"/>
  <c r="AJ51" i="26"/>
  <c r="AJ52" i="26"/>
  <c r="AJ53" i="26"/>
  <c r="AJ54" i="26"/>
  <c r="AJ55" i="26"/>
  <c r="AJ56" i="26"/>
  <c r="AJ57" i="26"/>
  <c r="AJ58" i="26"/>
  <c r="AJ59" i="26"/>
  <c r="AJ60" i="26"/>
  <c r="AJ61" i="26"/>
  <c r="AJ62" i="26"/>
  <c r="AJ63" i="26"/>
  <c r="AJ64" i="26"/>
  <c r="AJ65" i="26"/>
  <c r="AJ66" i="26"/>
  <c r="AJ67" i="26"/>
  <c r="AJ68" i="26"/>
  <c r="AJ69" i="26"/>
  <c r="AJ70" i="26"/>
  <c r="AJ71" i="26"/>
  <c r="AJ72" i="26"/>
  <c r="AJ73" i="26"/>
  <c r="AJ74" i="26"/>
  <c r="AJ75" i="26"/>
  <c r="AJ76" i="26"/>
  <c r="AJ77" i="26"/>
  <c r="AJ78" i="26"/>
  <c r="AJ79" i="26"/>
  <c r="AJ80" i="26"/>
  <c r="AJ81" i="26"/>
  <c r="AJ82" i="26"/>
  <c r="AJ83" i="26"/>
  <c r="AJ84" i="26"/>
  <c r="AJ85" i="26"/>
  <c r="AJ86" i="26"/>
  <c r="AJ87" i="26"/>
  <c r="AJ88" i="26"/>
  <c r="AJ89" i="26"/>
  <c r="AJ90" i="26"/>
  <c r="AJ91" i="26"/>
  <c r="AJ92" i="26"/>
  <c r="AJ93" i="26"/>
  <c r="AJ94" i="26"/>
  <c r="AJ95" i="26"/>
  <c r="AJ96" i="26"/>
  <c r="AJ97" i="26"/>
  <c r="AJ98" i="26"/>
  <c r="AJ99" i="26"/>
  <c r="AJ100" i="26"/>
  <c r="AJ101" i="26"/>
  <c r="AJ102" i="26"/>
  <c r="AJ103" i="26"/>
  <c r="AJ104" i="26"/>
  <c r="AJ105" i="26"/>
  <c r="AJ106" i="26"/>
  <c r="AJ107" i="26"/>
  <c r="AJ108" i="26"/>
  <c r="AJ109" i="26"/>
  <c r="AJ110" i="26"/>
  <c r="AJ111" i="26"/>
  <c r="AJ112" i="26"/>
  <c r="AJ114" i="26"/>
  <c r="AJ115" i="26"/>
  <c r="AJ116" i="26"/>
  <c r="AJ118" i="26"/>
  <c r="AJ119" i="26"/>
  <c r="AJ120" i="26"/>
  <c r="AJ121" i="26"/>
  <c r="AJ122" i="26"/>
  <c r="AJ123" i="26"/>
  <c r="AJ124" i="26"/>
  <c r="AJ125" i="26"/>
  <c r="AJ126" i="26"/>
  <c r="AJ127" i="26"/>
  <c r="AJ128" i="26"/>
  <c r="AJ129" i="26"/>
  <c r="AJ130" i="26"/>
  <c r="AJ131" i="26"/>
  <c r="AJ132" i="26"/>
  <c r="AJ133" i="26"/>
  <c r="AJ134" i="26"/>
  <c r="AJ135" i="26"/>
  <c r="AJ136" i="26"/>
  <c r="AJ137" i="26"/>
  <c r="AJ138" i="26"/>
  <c r="AJ139" i="26"/>
  <c r="AJ140" i="26"/>
  <c r="AJ141" i="26"/>
  <c r="AJ142" i="26"/>
  <c r="AJ143" i="26"/>
  <c r="AJ145" i="26"/>
  <c r="AJ146" i="26"/>
  <c r="AJ147" i="26"/>
  <c r="AJ148" i="26"/>
  <c r="AJ149" i="26"/>
  <c r="AJ150" i="26"/>
  <c r="AJ151" i="26"/>
  <c r="AJ152" i="26"/>
  <c r="AJ153" i="26"/>
  <c r="AJ154" i="26"/>
  <c r="AJ155" i="26"/>
  <c r="AJ156" i="26"/>
  <c r="AJ157" i="26"/>
  <c r="AJ158" i="26"/>
  <c r="AJ159" i="26"/>
  <c r="AJ160" i="26"/>
  <c r="AJ161" i="26"/>
  <c r="AJ162" i="26"/>
  <c r="AJ163" i="26"/>
  <c r="AJ164" i="26"/>
  <c r="AJ165" i="26"/>
  <c r="AJ166" i="26"/>
  <c r="AJ167" i="26"/>
  <c r="AJ168" i="26"/>
  <c r="AJ169" i="26"/>
  <c r="AJ170" i="26"/>
  <c r="AJ171" i="26"/>
  <c r="AJ172" i="26"/>
  <c r="AJ173" i="26"/>
  <c r="AJ174" i="26"/>
  <c r="AJ175" i="26"/>
  <c r="AJ176" i="26"/>
  <c r="AJ177" i="26"/>
  <c r="AJ178" i="26"/>
  <c r="AJ179" i="26"/>
  <c r="AJ180" i="26"/>
  <c r="AJ181" i="26"/>
  <c r="AJ182" i="26"/>
  <c r="AJ183" i="26"/>
  <c r="AJ184" i="26"/>
  <c r="AJ185" i="26"/>
  <c r="AJ186" i="26"/>
  <c r="AJ187" i="26"/>
  <c r="AJ188" i="26"/>
  <c r="AJ189" i="26"/>
  <c r="AJ190" i="26"/>
  <c r="AJ191" i="26"/>
  <c r="AJ192" i="26"/>
  <c r="AJ193" i="26"/>
  <c r="AJ194" i="26"/>
  <c r="AJ195" i="26"/>
  <c r="AJ196" i="26"/>
  <c r="AJ197" i="26"/>
  <c r="AJ198" i="26"/>
  <c r="AJ199" i="26"/>
  <c r="AJ200" i="26"/>
  <c r="AJ201" i="26"/>
  <c r="AJ202" i="26"/>
  <c r="AJ203" i="26"/>
  <c r="AJ204" i="26"/>
  <c r="AJ205" i="26"/>
  <c r="AJ206" i="26"/>
  <c r="AJ207" i="26"/>
  <c r="AJ208" i="26"/>
  <c r="AJ209" i="26"/>
  <c r="AJ210" i="26"/>
  <c r="AJ211" i="26"/>
  <c r="AJ212" i="26"/>
  <c r="AJ213" i="26"/>
  <c r="AJ214" i="26"/>
  <c r="AJ215" i="26"/>
  <c r="AJ216" i="26"/>
  <c r="AJ217" i="26"/>
  <c r="AJ218" i="26"/>
  <c r="AJ219" i="26"/>
  <c r="AJ220" i="26"/>
  <c r="AJ221" i="26"/>
  <c r="M222" i="26"/>
  <c r="L222" i="26"/>
  <c r="M223" i="26"/>
  <c r="J230" i="26"/>
  <c r="I222" i="26"/>
  <c r="H222" i="26"/>
  <c r="G222" i="26"/>
  <c r="E222" i="26"/>
  <c r="J218" i="27"/>
  <c r="AD218" i="27"/>
  <c r="AL218" i="27"/>
  <c r="T222" i="26"/>
  <c r="P222" i="26"/>
  <c r="O222" i="26"/>
  <c r="N222" i="26"/>
  <c r="AC221" i="26"/>
  <c r="AC220" i="26"/>
  <c r="AC219" i="26"/>
  <c r="AC218" i="26"/>
  <c r="AC217" i="26"/>
  <c r="AC216" i="26"/>
  <c r="AC215" i="26"/>
  <c r="AC214" i="26"/>
  <c r="AC213" i="26"/>
  <c r="AC212" i="26"/>
  <c r="AC211" i="26"/>
  <c r="AC210" i="26"/>
  <c r="AC209" i="26"/>
  <c r="AC208" i="26"/>
  <c r="AC207" i="26"/>
  <c r="AC206" i="26"/>
  <c r="AC204" i="26"/>
  <c r="AC203" i="26"/>
  <c r="AC202" i="26"/>
  <c r="AC200" i="26"/>
  <c r="AC199" i="26"/>
  <c r="AC198" i="26"/>
  <c r="AC196" i="26"/>
  <c r="AC195" i="26"/>
  <c r="AC194" i="26"/>
  <c r="AC193" i="26"/>
  <c r="AC192" i="26"/>
  <c r="AC191" i="26"/>
  <c r="AC190" i="26"/>
  <c r="AC189" i="26"/>
  <c r="AC188" i="26"/>
  <c r="AC187" i="26"/>
  <c r="AC186" i="26"/>
  <c r="AC184" i="26"/>
  <c r="AC183" i="26"/>
  <c r="AC182" i="26"/>
  <c r="AC181" i="26"/>
  <c r="AC180" i="26"/>
  <c r="AC179" i="26"/>
  <c r="AC177" i="26"/>
  <c r="AC176" i="26"/>
  <c r="AC175" i="26"/>
  <c r="AC174" i="26"/>
  <c r="AC173" i="26"/>
  <c r="AC172" i="26"/>
  <c r="AC171" i="26"/>
  <c r="AC170" i="26"/>
  <c r="AC169" i="26"/>
  <c r="AC167" i="26"/>
  <c r="AC164" i="26"/>
  <c r="AC163" i="26"/>
  <c r="AC162" i="26"/>
  <c r="AC161" i="26"/>
  <c r="AC159" i="26"/>
  <c r="AC158" i="26"/>
  <c r="AC157" i="26"/>
  <c r="AC156" i="26"/>
  <c r="AC155" i="26"/>
  <c r="AC154" i="26"/>
  <c r="AC151" i="26"/>
  <c r="AC149" i="26"/>
  <c r="AC148" i="26"/>
  <c r="AC147" i="26"/>
  <c r="AC146" i="26"/>
  <c r="AC145" i="26"/>
  <c r="AC143" i="26"/>
  <c r="AC142" i="26"/>
  <c r="AC141" i="26"/>
  <c r="AC140" i="26"/>
  <c r="AC139" i="26"/>
  <c r="AC138" i="26"/>
  <c r="AC137" i="26"/>
  <c r="AC136" i="26"/>
  <c r="AC135" i="26"/>
  <c r="AC134" i="26"/>
  <c r="AC133" i="26"/>
  <c r="AC132" i="26"/>
  <c r="AC131" i="26"/>
  <c r="AC130" i="26"/>
  <c r="AC129" i="26"/>
  <c r="AC128" i="26"/>
  <c r="AC127" i="26"/>
  <c r="AC126" i="26"/>
  <c r="AC125" i="26"/>
  <c r="AC124" i="26"/>
  <c r="AC123" i="26"/>
  <c r="AC122" i="26"/>
  <c r="AC121" i="26"/>
  <c r="AC120" i="26"/>
  <c r="AC119" i="26"/>
  <c r="AC118" i="26"/>
  <c r="AC116" i="26"/>
  <c r="AC115" i="26"/>
  <c r="AC114" i="26"/>
  <c r="AC112" i="26"/>
  <c r="AC111" i="26"/>
  <c r="AC110" i="26"/>
  <c r="AC109" i="26"/>
  <c r="AC108" i="26"/>
  <c r="AC107" i="26"/>
  <c r="AC106" i="26"/>
  <c r="AC105" i="26"/>
  <c r="AC104" i="26"/>
  <c r="AC103" i="26"/>
  <c r="AC102" i="26"/>
  <c r="AC101" i="26"/>
  <c r="AC100" i="26"/>
  <c r="AC99" i="26"/>
  <c r="AC98" i="26"/>
  <c r="AC97" i="26"/>
  <c r="AC96" i="26"/>
  <c r="AC95" i="26"/>
  <c r="AC94" i="26"/>
  <c r="AC93" i="26"/>
  <c r="AC92" i="26"/>
  <c r="AC91" i="26"/>
  <c r="AC90" i="26"/>
  <c r="AC89" i="26"/>
  <c r="AC88" i="26"/>
  <c r="AC87" i="26"/>
  <c r="AC86" i="26"/>
  <c r="AC84" i="26"/>
  <c r="AC83" i="26"/>
  <c r="AC82" i="26"/>
  <c r="AC81" i="26"/>
  <c r="AC80" i="26"/>
  <c r="AC79" i="26"/>
  <c r="AC78" i="26"/>
  <c r="AC77" i="26"/>
  <c r="AC76" i="26"/>
  <c r="AC75" i="26"/>
  <c r="AC74" i="26"/>
  <c r="AC73" i="26"/>
  <c r="AC72" i="26"/>
  <c r="AC70" i="26"/>
  <c r="AC69" i="26"/>
  <c r="AC68" i="26"/>
  <c r="AC67" i="26"/>
  <c r="AC66" i="26"/>
  <c r="AC65" i="26"/>
  <c r="AC63" i="26"/>
  <c r="AC62" i="26"/>
  <c r="AC61" i="26"/>
  <c r="AC60" i="26"/>
  <c r="AC59" i="26"/>
  <c r="AC58" i="26"/>
  <c r="AC57" i="26"/>
  <c r="AC55" i="26"/>
  <c r="AC54" i="26"/>
  <c r="AC53" i="26"/>
  <c r="AC52" i="26"/>
  <c r="AC51" i="26"/>
  <c r="AC50" i="26"/>
  <c r="AC48" i="26"/>
  <c r="AC47" i="26"/>
  <c r="AC46" i="26"/>
  <c r="AC45" i="26"/>
  <c r="AC44" i="26"/>
  <c r="AC43" i="26"/>
  <c r="AC42" i="26"/>
  <c r="AC40" i="26"/>
  <c r="AC39" i="26"/>
  <c r="AC38" i="26"/>
  <c r="AC36" i="26"/>
  <c r="AC35" i="26"/>
  <c r="AC34" i="26"/>
  <c r="AC33" i="26"/>
  <c r="AC32" i="26"/>
  <c r="AC31" i="26"/>
  <c r="AC30" i="26"/>
  <c r="AC28" i="26"/>
  <c r="AC27" i="26"/>
  <c r="AC26" i="26"/>
  <c r="AC25" i="26"/>
  <c r="AC24" i="26"/>
  <c r="AC22" i="26"/>
  <c r="AC21" i="26"/>
  <c r="AC20" i="26"/>
  <c r="AC19" i="26"/>
  <c r="AC16" i="26"/>
  <c r="Q212" i="24"/>
  <c r="T212" i="24"/>
  <c r="F212" i="25"/>
  <c r="J212" i="25"/>
  <c r="AC212" i="25"/>
  <c r="I148" i="25"/>
  <c r="Q148" i="24"/>
  <c r="T148" i="24"/>
  <c r="F148" i="25"/>
  <c r="J148" i="25"/>
  <c r="AB148" i="25"/>
  <c r="R136" i="24"/>
  <c r="E166" i="25"/>
  <c r="I132" i="25"/>
  <c r="R200" i="24"/>
  <c r="R216" i="24"/>
  <c r="E175" i="25"/>
  <c r="R17" i="24"/>
  <c r="R176" i="24"/>
  <c r="R178" i="24"/>
  <c r="AH217" i="25"/>
  <c r="AG217" i="25"/>
  <c r="AF217" i="25"/>
  <c r="AH216" i="25"/>
  <c r="AG216" i="25"/>
  <c r="AF216" i="25"/>
  <c r="AH215" i="25"/>
  <c r="AG215" i="25"/>
  <c r="AF215" i="25"/>
  <c r="AH214" i="25"/>
  <c r="AG214" i="25"/>
  <c r="AF214" i="25"/>
  <c r="AH213" i="25"/>
  <c r="AG213" i="25"/>
  <c r="AF213" i="25"/>
  <c r="AH212" i="25"/>
  <c r="AG212" i="25"/>
  <c r="AF212" i="25"/>
  <c r="AH211" i="25"/>
  <c r="AG211" i="25"/>
  <c r="AF211" i="25"/>
  <c r="AH210" i="25"/>
  <c r="AG210" i="25"/>
  <c r="AF210" i="25"/>
  <c r="AH209" i="25"/>
  <c r="AG209" i="25"/>
  <c r="AF209" i="25"/>
  <c r="AH208" i="25"/>
  <c r="AG208" i="25"/>
  <c r="AF208" i="25"/>
  <c r="AH207" i="25"/>
  <c r="AG207" i="25"/>
  <c r="AF207" i="25"/>
  <c r="AH206" i="25"/>
  <c r="AG206" i="25"/>
  <c r="AF206" i="25"/>
  <c r="AH205" i="25"/>
  <c r="AG205" i="25"/>
  <c r="AF205" i="25"/>
  <c r="AH204" i="25"/>
  <c r="AG204" i="25"/>
  <c r="AF204" i="25"/>
  <c r="AH203" i="25"/>
  <c r="AG203" i="25"/>
  <c r="AF203" i="25"/>
  <c r="AH202" i="25"/>
  <c r="AG202" i="25"/>
  <c r="AF202" i="25"/>
  <c r="AH201" i="25"/>
  <c r="AG201" i="25"/>
  <c r="AF201" i="25"/>
  <c r="AH200" i="25"/>
  <c r="AG200" i="25"/>
  <c r="AF200" i="25"/>
  <c r="AH199" i="25"/>
  <c r="AG199" i="25"/>
  <c r="AF199" i="25"/>
  <c r="AH198" i="25"/>
  <c r="AG198" i="25"/>
  <c r="AF198" i="25"/>
  <c r="AH197" i="25"/>
  <c r="AG197" i="25"/>
  <c r="AF197" i="25"/>
  <c r="AH196" i="25"/>
  <c r="AG196" i="25"/>
  <c r="AF196" i="25"/>
  <c r="AH195" i="25"/>
  <c r="AG195" i="25"/>
  <c r="AF195" i="25"/>
  <c r="AH194" i="25"/>
  <c r="AG194" i="25"/>
  <c r="AF194" i="25"/>
  <c r="AH193" i="25"/>
  <c r="AG193" i="25"/>
  <c r="AF193" i="25"/>
  <c r="AH192" i="25"/>
  <c r="AG192" i="25"/>
  <c r="AF192" i="25"/>
  <c r="AH191" i="25"/>
  <c r="AG191" i="25"/>
  <c r="AF191" i="25"/>
  <c r="AH190" i="25"/>
  <c r="AG190" i="25"/>
  <c r="AF190" i="25"/>
  <c r="AH189" i="25"/>
  <c r="AG189" i="25"/>
  <c r="AF189" i="25"/>
  <c r="AH188" i="25"/>
  <c r="AG188" i="25"/>
  <c r="AF188" i="25"/>
  <c r="AH187" i="25"/>
  <c r="AG187" i="25"/>
  <c r="AF187" i="25"/>
  <c r="AH186" i="25"/>
  <c r="AG186" i="25"/>
  <c r="AF186" i="25"/>
  <c r="AH185" i="25"/>
  <c r="AG185" i="25"/>
  <c r="AF185" i="25"/>
  <c r="AH184" i="25"/>
  <c r="AG184" i="25"/>
  <c r="AF184" i="25"/>
  <c r="AH183" i="25"/>
  <c r="AG183" i="25"/>
  <c r="AF183" i="25"/>
  <c r="AH182" i="25"/>
  <c r="AG182" i="25"/>
  <c r="AF182" i="25"/>
  <c r="AH181" i="25"/>
  <c r="AG181" i="25"/>
  <c r="AF181" i="25"/>
  <c r="AH180" i="25"/>
  <c r="AG180" i="25"/>
  <c r="AF180" i="25"/>
  <c r="AH179" i="25"/>
  <c r="AG179" i="25"/>
  <c r="AF179" i="25"/>
  <c r="AH178" i="25"/>
  <c r="AG178" i="25"/>
  <c r="AF178" i="25"/>
  <c r="AH177" i="25"/>
  <c r="AG177" i="25"/>
  <c r="AF177" i="25"/>
  <c r="AH176" i="25"/>
  <c r="AG176" i="25"/>
  <c r="AF176" i="25"/>
  <c r="AH175" i="25"/>
  <c r="AG175" i="25"/>
  <c r="AF175" i="25"/>
  <c r="AH174" i="25"/>
  <c r="AG174" i="25"/>
  <c r="AF174" i="25"/>
  <c r="AH173" i="25"/>
  <c r="AG173" i="25"/>
  <c r="AF173" i="25"/>
  <c r="AH172" i="25"/>
  <c r="AG172" i="25"/>
  <c r="AF172" i="25"/>
  <c r="AH171" i="25"/>
  <c r="AG171" i="25"/>
  <c r="AF171" i="25"/>
  <c r="AH170" i="25"/>
  <c r="AG170" i="25"/>
  <c r="AF170" i="25"/>
  <c r="AH169" i="25"/>
  <c r="AG169" i="25"/>
  <c r="AF169" i="25"/>
  <c r="AH168" i="25"/>
  <c r="AG168" i="25"/>
  <c r="AF168" i="25"/>
  <c r="AH167" i="25"/>
  <c r="AG167" i="25"/>
  <c r="AF167" i="25"/>
  <c r="AH166" i="25"/>
  <c r="AG166" i="25"/>
  <c r="AF166" i="25"/>
  <c r="AH165" i="25"/>
  <c r="AG165" i="25"/>
  <c r="AF165" i="25"/>
  <c r="AH164" i="25"/>
  <c r="AG164" i="25"/>
  <c r="AF164" i="25"/>
  <c r="AH163" i="25"/>
  <c r="AG163" i="25"/>
  <c r="AF163" i="25"/>
  <c r="AH162" i="25"/>
  <c r="AG162" i="25"/>
  <c r="AF162" i="25"/>
  <c r="AH161" i="25"/>
  <c r="AG161" i="25"/>
  <c r="AF161" i="25"/>
  <c r="AH160" i="25"/>
  <c r="AG160" i="25"/>
  <c r="AF160" i="25"/>
  <c r="AH159" i="25"/>
  <c r="AG159" i="25"/>
  <c r="AF159" i="25"/>
  <c r="AH158" i="25"/>
  <c r="AG158" i="25"/>
  <c r="AF158" i="25"/>
  <c r="AH157" i="25"/>
  <c r="AG157" i="25"/>
  <c r="AF157" i="25"/>
  <c r="AH156" i="25"/>
  <c r="AG156" i="25"/>
  <c r="AF156" i="25"/>
  <c r="AH155" i="25"/>
  <c r="AG155" i="25"/>
  <c r="AF155" i="25"/>
  <c r="AH154" i="25"/>
  <c r="AG154" i="25"/>
  <c r="AF154" i="25"/>
  <c r="AH153" i="25"/>
  <c r="AG153" i="25"/>
  <c r="AF153" i="25"/>
  <c r="AH152" i="25"/>
  <c r="AG152" i="25"/>
  <c r="AF152" i="25"/>
  <c r="AH151" i="25"/>
  <c r="AG151" i="25"/>
  <c r="AF151" i="25"/>
  <c r="AH150" i="25"/>
  <c r="AG150" i="25"/>
  <c r="AF150" i="25"/>
  <c r="AH149" i="25"/>
  <c r="AG149" i="25"/>
  <c r="AF149" i="25"/>
  <c r="AH148" i="25"/>
  <c r="AG148" i="25"/>
  <c r="AF148" i="25"/>
  <c r="AH147" i="25"/>
  <c r="AG147" i="25"/>
  <c r="AF147" i="25"/>
  <c r="AH146" i="25"/>
  <c r="AG146" i="25"/>
  <c r="AF146" i="25"/>
  <c r="AH145" i="25"/>
  <c r="AG145" i="25"/>
  <c r="AF145" i="25"/>
  <c r="AH144" i="25"/>
  <c r="AG144" i="25"/>
  <c r="AF144" i="25"/>
  <c r="AH143" i="25"/>
  <c r="AG143" i="25"/>
  <c r="AF143" i="25"/>
  <c r="AH142" i="25"/>
  <c r="AG142" i="25"/>
  <c r="AF142" i="25"/>
  <c r="AH141" i="25"/>
  <c r="AG141" i="25"/>
  <c r="AF141" i="25"/>
  <c r="AH140" i="25"/>
  <c r="AG140" i="25"/>
  <c r="AF140" i="25"/>
  <c r="AH139" i="25"/>
  <c r="AG139" i="25"/>
  <c r="AF139" i="25"/>
  <c r="AH138" i="25"/>
  <c r="AG138" i="25"/>
  <c r="AF138" i="25"/>
  <c r="AH137" i="25"/>
  <c r="AG137" i="25"/>
  <c r="AF137" i="25"/>
  <c r="AH136" i="25"/>
  <c r="AG136" i="25"/>
  <c r="AF136" i="25"/>
  <c r="AH135" i="25"/>
  <c r="AG135" i="25"/>
  <c r="AF135" i="25"/>
  <c r="AH134" i="25"/>
  <c r="AG134" i="25"/>
  <c r="AF134" i="25"/>
  <c r="AH133" i="25"/>
  <c r="AG133" i="25"/>
  <c r="AF133" i="25"/>
  <c r="AH132" i="25"/>
  <c r="AG132" i="25"/>
  <c r="AF132" i="25"/>
  <c r="AH131" i="25"/>
  <c r="AG131" i="25"/>
  <c r="AF131" i="25"/>
  <c r="AH130" i="25"/>
  <c r="AG130" i="25"/>
  <c r="AF130" i="25"/>
  <c r="AH129" i="25"/>
  <c r="AG129" i="25"/>
  <c r="AF129" i="25"/>
  <c r="AH128" i="25"/>
  <c r="AG128" i="25"/>
  <c r="AF128" i="25"/>
  <c r="AH127" i="25"/>
  <c r="AG127" i="25"/>
  <c r="AF127" i="25"/>
  <c r="AH126" i="25"/>
  <c r="AG126" i="25"/>
  <c r="AF126" i="25"/>
  <c r="AH125" i="25"/>
  <c r="AG125" i="25"/>
  <c r="AF125" i="25"/>
  <c r="AH124" i="25"/>
  <c r="AG124" i="25"/>
  <c r="AF124" i="25"/>
  <c r="AH123" i="25"/>
  <c r="AG123" i="25"/>
  <c r="AF123" i="25"/>
  <c r="AH122" i="25"/>
  <c r="AG122" i="25"/>
  <c r="AF122" i="25"/>
  <c r="AH121" i="25"/>
  <c r="AG121" i="25"/>
  <c r="AF121" i="25"/>
  <c r="AH120" i="25"/>
  <c r="AG120" i="25"/>
  <c r="AF120" i="25"/>
  <c r="AH119" i="25"/>
  <c r="AG119" i="25"/>
  <c r="AF119" i="25"/>
  <c r="AH118" i="25"/>
  <c r="AG118" i="25"/>
  <c r="AF118" i="25"/>
  <c r="AH117" i="25"/>
  <c r="AG117" i="25"/>
  <c r="AF117" i="25"/>
  <c r="AH116" i="25"/>
  <c r="AG116" i="25"/>
  <c r="AF116" i="25"/>
  <c r="AH115" i="25"/>
  <c r="AG115" i="25"/>
  <c r="AF115" i="25"/>
  <c r="AH114" i="25"/>
  <c r="AG114" i="25"/>
  <c r="AF114" i="25"/>
  <c r="AH113" i="25"/>
  <c r="AG113" i="25"/>
  <c r="AF113" i="25"/>
  <c r="AH112" i="25"/>
  <c r="AG112" i="25"/>
  <c r="AF112" i="25"/>
  <c r="AH111" i="25"/>
  <c r="AG111" i="25"/>
  <c r="AF111" i="25"/>
  <c r="AH110" i="25"/>
  <c r="AG110" i="25"/>
  <c r="AF110" i="25"/>
  <c r="AH109" i="25"/>
  <c r="AG109" i="25"/>
  <c r="AF109" i="25"/>
  <c r="AH108" i="25"/>
  <c r="AG108" i="25"/>
  <c r="AF108" i="25"/>
  <c r="AH107" i="25"/>
  <c r="AG107" i="25"/>
  <c r="AF107" i="25"/>
  <c r="AH106" i="25"/>
  <c r="AG106" i="25"/>
  <c r="AF106" i="25"/>
  <c r="AH105" i="25"/>
  <c r="AG105" i="25"/>
  <c r="AF105" i="25"/>
  <c r="AH104" i="25"/>
  <c r="AG104" i="25"/>
  <c r="AF104" i="25"/>
  <c r="AH103" i="25"/>
  <c r="AG103" i="25"/>
  <c r="AF103" i="25"/>
  <c r="AH102" i="25"/>
  <c r="AG102" i="25"/>
  <c r="AF102" i="25"/>
  <c r="AH101" i="25"/>
  <c r="AG101" i="25"/>
  <c r="AF101" i="25"/>
  <c r="AH100" i="25"/>
  <c r="AG100" i="25"/>
  <c r="AF100" i="25"/>
  <c r="AH99" i="25"/>
  <c r="AG99" i="25"/>
  <c r="AF99" i="25"/>
  <c r="AH98" i="25"/>
  <c r="AG98" i="25"/>
  <c r="AF98" i="25"/>
  <c r="AH97" i="25"/>
  <c r="AG97" i="25"/>
  <c r="AF97" i="25"/>
  <c r="AH96" i="25"/>
  <c r="AG96" i="25"/>
  <c r="AF96" i="25"/>
  <c r="AH95" i="25"/>
  <c r="AG95" i="25"/>
  <c r="AF95" i="25"/>
  <c r="AH94" i="25"/>
  <c r="AG94" i="25"/>
  <c r="AF94" i="25"/>
  <c r="AH93" i="25"/>
  <c r="AG93" i="25"/>
  <c r="AF93" i="25"/>
  <c r="AH92" i="25"/>
  <c r="AG92" i="25"/>
  <c r="AF92" i="25"/>
  <c r="AH91" i="25"/>
  <c r="AG91" i="25"/>
  <c r="AF91" i="25"/>
  <c r="AH90" i="25"/>
  <c r="AG90" i="25"/>
  <c r="AF90" i="25"/>
  <c r="AH89" i="25"/>
  <c r="AG89" i="25"/>
  <c r="AF89" i="25"/>
  <c r="AH88" i="25"/>
  <c r="AG88" i="25"/>
  <c r="AF88" i="25"/>
  <c r="AH87" i="25"/>
  <c r="AG87" i="25"/>
  <c r="AF87" i="25"/>
  <c r="AH86" i="25"/>
  <c r="AG86" i="25"/>
  <c r="AF86" i="25"/>
  <c r="AH85" i="25"/>
  <c r="AG85" i="25"/>
  <c r="AF85" i="25"/>
  <c r="AH84" i="25"/>
  <c r="AG84" i="25"/>
  <c r="AF84" i="25"/>
  <c r="AH83" i="25"/>
  <c r="AG83" i="25"/>
  <c r="AF83" i="25"/>
  <c r="AH82" i="25"/>
  <c r="AG82" i="25"/>
  <c r="AF82" i="25"/>
  <c r="AH81" i="25"/>
  <c r="AG81" i="25"/>
  <c r="AF81" i="25"/>
  <c r="AH80" i="25"/>
  <c r="AG80" i="25"/>
  <c r="AF80" i="25"/>
  <c r="AH79" i="25"/>
  <c r="AG79" i="25"/>
  <c r="AF79" i="25"/>
  <c r="AH78" i="25"/>
  <c r="AG78" i="25"/>
  <c r="AF78" i="25"/>
  <c r="AH77" i="25"/>
  <c r="AG77" i="25"/>
  <c r="AF77" i="25"/>
  <c r="AH76" i="25"/>
  <c r="AG76" i="25"/>
  <c r="AF76" i="25"/>
  <c r="AH75" i="25"/>
  <c r="AG75" i="25"/>
  <c r="AF75" i="25"/>
  <c r="AH74" i="25"/>
  <c r="AG74" i="25"/>
  <c r="AF74" i="25"/>
  <c r="AH73" i="25"/>
  <c r="AG73" i="25"/>
  <c r="AF73" i="25"/>
  <c r="AH72" i="25"/>
  <c r="AG72" i="25"/>
  <c r="AF72" i="25"/>
  <c r="AH71" i="25"/>
  <c r="AG71" i="25"/>
  <c r="AF71" i="25"/>
  <c r="AH70" i="25"/>
  <c r="AG70" i="25"/>
  <c r="AF70" i="25"/>
  <c r="AH69" i="25"/>
  <c r="AG69" i="25"/>
  <c r="AF69" i="25"/>
  <c r="AH68" i="25"/>
  <c r="AG68" i="25"/>
  <c r="AF68" i="25"/>
  <c r="AH67" i="25"/>
  <c r="AG67" i="25"/>
  <c r="AF67" i="25"/>
  <c r="AH66" i="25"/>
  <c r="AG66" i="25"/>
  <c r="AF66" i="25"/>
  <c r="AH65" i="25"/>
  <c r="AG65" i="25"/>
  <c r="AF65" i="25"/>
  <c r="AH64" i="25"/>
  <c r="AG64" i="25"/>
  <c r="AF64" i="25"/>
  <c r="AH63" i="25"/>
  <c r="AG63" i="25"/>
  <c r="AF63" i="25"/>
  <c r="AH62" i="25"/>
  <c r="AG62" i="25"/>
  <c r="AF62" i="25"/>
  <c r="AH61" i="25"/>
  <c r="AG61" i="25"/>
  <c r="AF61" i="25"/>
  <c r="AH60" i="25"/>
  <c r="AG60" i="25"/>
  <c r="AF60" i="25"/>
  <c r="AH59" i="25"/>
  <c r="AG59" i="25"/>
  <c r="AF59" i="25"/>
  <c r="AH58" i="25"/>
  <c r="AG58" i="25"/>
  <c r="AF58" i="25"/>
  <c r="AH57" i="25"/>
  <c r="AG57" i="25"/>
  <c r="AF57" i="25"/>
  <c r="AH56" i="25"/>
  <c r="AG56" i="25"/>
  <c r="AF56" i="25"/>
  <c r="AH55" i="25"/>
  <c r="AG55" i="25"/>
  <c r="AF55" i="25"/>
  <c r="AH54" i="25"/>
  <c r="AG54" i="25"/>
  <c r="AF54" i="25"/>
  <c r="AH53" i="25"/>
  <c r="AG53" i="25"/>
  <c r="AF53" i="25"/>
  <c r="AH52" i="25"/>
  <c r="AG52" i="25"/>
  <c r="AF52" i="25"/>
  <c r="AH51" i="25"/>
  <c r="AG51" i="25"/>
  <c r="AF51" i="25"/>
  <c r="AH50" i="25"/>
  <c r="AG50" i="25"/>
  <c r="AF50" i="25"/>
  <c r="AH49" i="25"/>
  <c r="AG49" i="25"/>
  <c r="AF49" i="25"/>
  <c r="AH48" i="25"/>
  <c r="AG48" i="25"/>
  <c r="AF48" i="25"/>
  <c r="AH47" i="25"/>
  <c r="AG47" i="25"/>
  <c r="AF47" i="25"/>
  <c r="AH46" i="25"/>
  <c r="AG46" i="25"/>
  <c r="AF46" i="25"/>
  <c r="AH45" i="25"/>
  <c r="AG45" i="25"/>
  <c r="AF45" i="25"/>
  <c r="AH44" i="25"/>
  <c r="AG44" i="25"/>
  <c r="AF44" i="25"/>
  <c r="AH43" i="25"/>
  <c r="AG43" i="25"/>
  <c r="AF43" i="25"/>
  <c r="AH42" i="25"/>
  <c r="AG42" i="25"/>
  <c r="AF42" i="25"/>
  <c r="AH41" i="25"/>
  <c r="AG41" i="25"/>
  <c r="AF41" i="25"/>
  <c r="AH40" i="25"/>
  <c r="AG40" i="25"/>
  <c r="AF40" i="25"/>
  <c r="AH39" i="25"/>
  <c r="AG39" i="25"/>
  <c r="AF39" i="25"/>
  <c r="AH38" i="25"/>
  <c r="AG38" i="25"/>
  <c r="AF38" i="25"/>
  <c r="AH37" i="25"/>
  <c r="AG37" i="25"/>
  <c r="AF37" i="25"/>
  <c r="AH36" i="25"/>
  <c r="AG36" i="25"/>
  <c r="AF36" i="25"/>
  <c r="AH35" i="25"/>
  <c r="AG35" i="25"/>
  <c r="AF35" i="25"/>
  <c r="AH34" i="25"/>
  <c r="AG34" i="25"/>
  <c r="AF34" i="25"/>
  <c r="AH33" i="25"/>
  <c r="AG33" i="25"/>
  <c r="AF33" i="25"/>
  <c r="AH32" i="25"/>
  <c r="AG32" i="25"/>
  <c r="AF32" i="25"/>
  <c r="AH31" i="25"/>
  <c r="AG31" i="25"/>
  <c r="AF31" i="25"/>
  <c r="AH30" i="25"/>
  <c r="AG30" i="25"/>
  <c r="AF30" i="25"/>
  <c r="AH29" i="25"/>
  <c r="AG29" i="25"/>
  <c r="AF29" i="25"/>
  <c r="AH28" i="25"/>
  <c r="AG28" i="25"/>
  <c r="AF28" i="25"/>
  <c r="AH27" i="25"/>
  <c r="AG27" i="25"/>
  <c r="AF27" i="25"/>
  <c r="AH26" i="25"/>
  <c r="AG26" i="25"/>
  <c r="AF26" i="25"/>
  <c r="AH25" i="25"/>
  <c r="AG25" i="25"/>
  <c r="AF25" i="25"/>
  <c r="AH24" i="25"/>
  <c r="AG24" i="25"/>
  <c r="AF24" i="25"/>
  <c r="AH23" i="25"/>
  <c r="AG23" i="25"/>
  <c r="AF23" i="25"/>
  <c r="AH22" i="25"/>
  <c r="AG22" i="25"/>
  <c r="AF22" i="25"/>
  <c r="AH21" i="25"/>
  <c r="AG21" i="25"/>
  <c r="AF21" i="25"/>
  <c r="AH20" i="25"/>
  <c r="AG20" i="25"/>
  <c r="AF20" i="25"/>
  <c r="AH19" i="25"/>
  <c r="AG19" i="25"/>
  <c r="AF19" i="25"/>
  <c r="AH18" i="25"/>
  <c r="AG18" i="25"/>
  <c r="AF18" i="25"/>
  <c r="AH17" i="25"/>
  <c r="AG17" i="25"/>
  <c r="AF17" i="25"/>
  <c r="AC217" i="25"/>
  <c r="AC216" i="25"/>
  <c r="AD215" i="25"/>
  <c r="AC215" i="25"/>
  <c r="AD214" i="25"/>
  <c r="Q214" i="24"/>
  <c r="T214" i="24"/>
  <c r="F214" i="25"/>
  <c r="J214" i="25"/>
  <c r="AB214" i="25"/>
  <c r="AC214" i="25"/>
  <c r="AD213" i="25"/>
  <c r="AC213" i="25"/>
  <c r="AD212" i="25"/>
  <c r="AD211" i="25"/>
  <c r="AC211" i="25"/>
  <c r="AD210" i="25"/>
  <c r="AD209" i="25"/>
  <c r="AD208" i="25"/>
  <c r="AD207" i="25"/>
  <c r="AD206" i="25"/>
  <c r="AC206" i="25"/>
  <c r="AD205" i="25"/>
  <c r="AC205" i="25"/>
  <c r="AC204" i="25"/>
  <c r="AD203" i="25"/>
  <c r="AD202" i="25"/>
  <c r="AC202" i="25"/>
  <c r="AD201" i="25"/>
  <c r="AC201" i="25"/>
  <c r="AC200" i="25"/>
  <c r="AD199" i="25"/>
  <c r="AC199" i="25"/>
  <c r="AD198" i="25"/>
  <c r="AC198" i="25"/>
  <c r="AD197" i="25"/>
  <c r="AC197" i="25"/>
  <c r="AC196" i="25"/>
  <c r="AD195" i="25"/>
  <c r="AC194" i="25"/>
  <c r="AD193" i="25"/>
  <c r="AD192" i="25"/>
  <c r="AD191" i="25"/>
  <c r="AD190" i="25"/>
  <c r="AD189" i="25"/>
  <c r="AD188" i="25"/>
  <c r="AD187" i="25"/>
  <c r="AC187" i="25"/>
  <c r="AD186" i="25"/>
  <c r="AC186" i="25"/>
  <c r="AD185" i="25"/>
  <c r="AC185" i="25"/>
  <c r="AD184" i="25"/>
  <c r="AD183" i="25"/>
  <c r="AB183" i="25"/>
  <c r="Q183" i="24"/>
  <c r="T183" i="24"/>
  <c r="F183" i="25"/>
  <c r="J183" i="25"/>
  <c r="AC183" i="25"/>
  <c r="AD182" i="25"/>
  <c r="AD181" i="25"/>
  <c r="AD180" i="25"/>
  <c r="AC180" i="25"/>
  <c r="AD179" i="25"/>
  <c r="AC179" i="25"/>
  <c r="AD178" i="25"/>
  <c r="AC178" i="25"/>
  <c r="AD177" i="25"/>
  <c r="AD176" i="25"/>
  <c r="AC176" i="25"/>
  <c r="AD175" i="25"/>
  <c r="AD174" i="25"/>
  <c r="AC174" i="25"/>
  <c r="AC173" i="25"/>
  <c r="AD172" i="25"/>
  <c r="AD171" i="25"/>
  <c r="AC171" i="25"/>
  <c r="AD170" i="25"/>
  <c r="AD169" i="25"/>
  <c r="AB169" i="25"/>
  <c r="Q169" i="24"/>
  <c r="T169" i="24"/>
  <c r="F169" i="25"/>
  <c r="J169" i="25"/>
  <c r="AC169" i="25"/>
  <c r="AD168" i="25"/>
  <c r="AC168" i="25"/>
  <c r="AD167" i="25"/>
  <c r="AD166" i="25"/>
  <c r="AC166" i="25"/>
  <c r="AD165" i="25"/>
  <c r="AC165" i="25"/>
  <c r="AD164" i="25"/>
  <c r="AC164" i="25"/>
  <c r="AD163" i="25"/>
  <c r="AC163" i="25"/>
  <c r="AD162" i="25"/>
  <c r="AC162" i="25"/>
  <c r="AD161" i="25"/>
  <c r="AC161" i="25"/>
  <c r="AD160" i="25"/>
  <c r="AC160" i="25"/>
  <c r="AD159" i="25"/>
  <c r="AD158" i="25"/>
  <c r="AC158" i="25"/>
  <c r="AD157" i="25"/>
  <c r="AD156" i="25"/>
  <c r="AD155" i="25"/>
  <c r="AD154" i="25"/>
  <c r="AD153" i="25"/>
  <c r="AD152" i="25"/>
  <c r="AC152" i="25"/>
  <c r="AD151" i="25"/>
  <c r="AC151" i="25"/>
  <c r="AD150" i="25"/>
  <c r="AD149" i="25"/>
  <c r="AD148" i="25"/>
  <c r="AC148" i="25"/>
  <c r="AC147" i="25"/>
  <c r="AD146" i="25"/>
  <c r="AD145" i="25"/>
  <c r="AC144" i="25"/>
  <c r="AD143" i="25"/>
  <c r="AC143" i="25"/>
  <c r="AD142" i="25"/>
  <c r="AC142" i="25"/>
  <c r="AD141" i="25"/>
  <c r="AC141" i="25"/>
  <c r="AD140" i="25"/>
  <c r="AD139" i="25"/>
  <c r="AC138" i="25"/>
  <c r="AD137" i="25"/>
  <c r="AC137" i="25"/>
  <c r="AD136" i="25"/>
  <c r="AC136" i="25"/>
  <c r="AD135" i="25"/>
  <c r="AD134" i="25"/>
  <c r="AD133" i="25"/>
  <c r="AC133" i="25"/>
  <c r="AD132" i="25"/>
  <c r="AC132" i="25"/>
  <c r="AD131" i="25"/>
  <c r="AC131" i="25"/>
  <c r="AD130" i="25"/>
  <c r="AC130" i="25"/>
  <c r="Q130" i="24"/>
  <c r="T130" i="24"/>
  <c r="F130" i="25"/>
  <c r="J130" i="25"/>
  <c r="AB130" i="25"/>
  <c r="AD129" i="25"/>
  <c r="AC129" i="25"/>
  <c r="AD128" i="25"/>
  <c r="AC128" i="25"/>
  <c r="AD127" i="25"/>
  <c r="AC127" i="25"/>
  <c r="AD126" i="25"/>
  <c r="AC126" i="25"/>
  <c r="AD125" i="25"/>
  <c r="AC125" i="25"/>
  <c r="AD124" i="25"/>
  <c r="AC124" i="25"/>
  <c r="AD123" i="25"/>
  <c r="AD122" i="25"/>
  <c r="AC122" i="25"/>
  <c r="AD121" i="25"/>
  <c r="AD120" i="25"/>
  <c r="AC119" i="25"/>
  <c r="AD118" i="25"/>
  <c r="AC118" i="25"/>
  <c r="AD117" i="25"/>
  <c r="AD116" i="25"/>
  <c r="AC116" i="25"/>
  <c r="AD115" i="25"/>
  <c r="AC115" i="25"/>
  <c r="AD114" i="25"/>
  <c r="AD113" i="25"/>
  <c r="AD112" i="25"/>
  <c r="AC112" i="25"/>
  <c r="AD111" i="25"/>
  <c r="AC111" i="25"/>
  <c r="AD110" i="25"/>
  <c r="AC110" i="25"/>
  <c r="AD109" i="25"/>
  <c r="AC109" i="25"/>
  <c r="AD108" i="25"/>
  <c r="AC108" i="25"/>
  <c r="AD107" i="25"/>
  <c r="AC107" i="25"/>
  <c r="AD106" i="25"/>
  <c r="AC106" i="25"/>
  <c r="AD105" i="25"/>
  <c r="AC105" i="25"/>
  <c r="AD104" i="25"/>
  <c r="AC104" i="25"/>
  <c r="AD103" i="25"/>
  <c r="AC103" i="25"/>
  <c r="AD102" i="25"/>
  <c r="AC102" i="25"/>
  <c r="AD101" i="25"/>
  <c r="AC101" i="25"/>
  <c r="AD100" i="25"/>
  <c r="AC100" i="25"/>
  <c r="AD99" i="25"/>
  <c r="AC99" i="25"/>
  <c r="AD98" i="25"/>
  <c r="Q98" i="24"/>
  <c r="T98" i="24"/>
  <c r="F98" i="25"/>
  <c r="J98" i="25"/>
  <c r="AB98" i="25"/>
  <c r="AC98" i="25"/>
  <c r="AD97" i="25"/>
  <c r="AC97" i="25"/>
  <c r="AD96" i="25"/>
  <c r="AC96" i="25"/>
  <c r="AD95" i="25"/>
  <c r="AC95" i="25"/>
  <c r="AD94" i="25"/>
  <c r="AC94" i="25"/>
  <c r="AD93" i="25"/>
  <c r="AC93" i="25"/>
  <c r="AD92" i="25"/>
  <c r="AD91" i="25"/>
  <c r="AD90" i="25"/>
  <c r="AD89" i="25"/>
  <c r="AC89" i="25"/>
  <c r="AD88" i="25"/>
  <c r="AD87" i="25"/>
  <c r="AC86" i="25"/>
  <c r="AC85" i="25"/>
  <c r="AD84" i="25"/>
  <c r="AC84" i="25"/>
  <c r="AD83" i="25"/>
  <c r="AC83" i="25"/>
  <c r="AD82" i="25"/>
  <c r="AC82" i="25"/>
  <c r="AD81" i="25"/>
  <c r="AC81" i="25"/>
  <c r="AD80" i="25"/>
  <c r="AC80" i="25"/>
  <c r="AD79" i="25"/>
  <c r="AC79" i="25"/>
  <c r="AD78" i="25"/>
  <c r="AD77" i="25"/>
  <c r="AD76" i="25"/>
  <c r="AD75" i="25"/>
  <c r="AC75" i="25"/>
  <c r="AD74" i="25"/>
  <c r="AD73" i="25"/>
  <c r="AD72" i="25"/>
  <c r="AC72" i="25"/>
  <c r="AD71" i="25"/>
  <c r="AC71" i="25"/>
  <c r="AD70" i="25"/>
  <c r="AD69" i="25"/>
  <c r="AC69" i="25"/>
  <c r="AD68" i="25"/>
  <c r="AC68" i="25"/>
  <c r="AD67" i="25"/>
  <c r="AC67" i="25"/>
  <c r="AD66" i="25"/>
  <c r="AC66" i="25"/>
  <c r="AD65" i="25"/>
  <c r="AC65" i="25"/>
  <c r="AD64" i="25"/>
  <c r="AC64" i="25"/>
  <c r="AD63" i="25"/>
  <c r="AC63" i="25"/>
  <c r="AD62" i="25"/>
  <c r="AC62" i="25"/>
  <c r="AD61" i="25"/>
  <c r="AC61" i="25"/>
  <c r="AD60" i="25"/>
  <c r="AC60" i="25"/>
  <c r="AD59" i="25"/>
  <c r="AC59" i="25"/>
  <c r="AC58" i="25"/>
  <c r="AD57" i="25"/>
  <c r="AD56" i="25"/>
  <c r="AC55" i="25"/>
  <c r="AD54" i="25"/>
  <c r="AD53" i="25"/>
  <c r="AD52" i="25"/>
  <c r="AD51" i="25"/>
  <c r="AD50" i="25"/>
  <c r="AD49" i="25"/>
  <c r="AC49" i="25"/>
  <c r="AD48" i="25"/>
  <c r="AC48" i="25"/>
  <c r="AD47" i="25"/>
  <c r="AC47" i="25"/>
  <c r="AD46" i="25"/>
  <c r="AD45" i="25"/>
  <c r="AC45" i="25"/>
  <c r="Q45" i="24"/>
  <c r="T45" i="24"/>
  <c r="F45" i="25"/>
  <c r="J45" i="25"/>
  <c r="AB45" i="25"/>
  <c r="AD44" i="25"/>
  <c r="AC44" i="25"/>
  <c r="AD43" i="25"/>
  <c r="AD42" i="25"/>
  <c r="AC42" i="25"/>
  <c r="AD41" i="25"/>
  <c r="AC41" i="25"/>
  <c r="AC40" i="25"/>
  <c r="AD39" i="25"/>
  <c r="AC39" i="25"/>
  <c r="AD38" i="25"/>
  <c r="AC38" i="25"/>
  <c r="AD37" i="25"/>
  <c r="AC37" i="25"/>
  <c r="AD36" i="25"/>
  <c r="AC36" i="25"/>
  <c r="AD35" i="25"/>
  <c r="AC35" i="25"/>
  <c r="AD34" i="25"/>
  <c r="AC34" i="25"/>
  <c r="AD33" i="25"/>
  <c r="AC33" i="25"/>
  <c r="AD32" i="25"/>
  <c r="AC32" i="25"/>
  <c r="AD31" i="25"/>
  <c r="AC31" i="25"/>
  <c r="AD30" i="25"/>
  <c r="AC30" i="25"/>
  <c r="Q30" i="24"/>
  <c r="T30" i="24"/>
  <c r="F30" i="25"/>
  <c r="J30" i="25"/>
  <c r="AB30" i="25"/>
  <c r="AD29" i="25"/>
  <c r="AC29" i="25"/>
  <c r="AD28" i="25"/>
  <c r="AD27" i="25"/>
  <c r="AC27" i="25"/>
  <c r="AD26" i="25"/>
  <c r="AC26" i="25"/>
  <c r="AD25" i="25"/>
  <c r="AC25" i="25"/>
  <c r="AD24" i="25"/>
  <c r="AD23" i="25"/>
  <c r="AC23" i="25"/>
  <c r="AD22" i="25"/>
  <c r="AC22" i="25"/>
  <c r="AD21" i="25"/>
  <c r="AC21" i="25"/>
  <c r="AD20" i="25"/>
  <c r="AD19" i="25"/>
  <c r="AD18" i="25"/>
  <c r="AD17" i="25"/>
  <c r="AC17" i="25"/>
  <c r="AD16" i="25"/>
  <c r="AB217" i="25"/>
  <c r="AB216" i="25"/>
  <c r="AB212" i="25"/>
  <c r="AB210" i="25"/>
  <c r="AB209" i="25"/>
  <c r="AB208" i="25"/>
  <c r="AB207" i="25"/>
  <c r="AB204" i="25"/>
  <c r="AB203" i="25"/>
  <c r="AB200" i="25"/>
  <c r="AB196" i="25"/>
  <c r="AB195" i="25"/>
  <c r="AB194" i="25"/>
  <c r="AB193" i="25"/>
  <c r="AB192" i="25"/>
  <c r="AB191" i="25"/>
  <c r="AB190" i="25"/>
  <c r="AB189" i="25"/>
  <c r="AB188" i="25"/>
  <c r="AB184" i="25"/>
  <c r="AB182" i="25"/>
  <c r="AB181" i="25"/>
  <c r="AB177" i="25"/>
  <c r="AB175" i="25"/>
  <c r="AB173" i="25"/>
  <c r="AB172" i="25"/>
  <c r="AB170" i="25"/>
  <c r="AB167" i="25"/>
  <c r="AB159" i="25"/>
  <c r="AB157" i="25"/>
  <c r="AB156" i="25"/>
  <c r="AB155" i="25"/>
  <c r="AB154" i="25"/>
  <c r="AB153" i="25"/>
  <c r="AB150" i="25"/>
  <c r="AB149" i="25"/>
  <c r="AB147" i="25"/>
  <c r="AB146" i="25"/>
  <c r="AB145" i="25"/>
  <c r="AB144" i="25"/>
  <c r="AB140" i="25"/>
  <c r="AB139" i="25"/>
  <c r="AB138" i="25"/>
  <c r="AB135" i="25"/>
  <c r="AB134" i="25"/>
  <c r="AB123" i="25"/>
  <c r="AB121" i="25"/>
  <c r="AB120" i="25"/>
  <c r="AB119" i="25"/>
  <c r="AB117" i="25"/>
  <c r="AB114" i="25"/>
  <c r="AB113" i="25"/>
  <c r="AB92" i="25"/>
  <c r="AB91" i="25"/>
  <c r="AB90" i="25"/>
  <c r="AB88" i="25"/>
  <c r="AB87" i="25"/>
  <c r="AB86" i="25"/>
  <c r="AB85" i="25"/>
  <c r="AB78" i="25"/>
  <c r="AB77" i="25"/>
  <c r="AB76" i="25"/>
  <c r="AB74" i="25"/>
  <c r="AB73" i="25"/>
  <c r="AB70" i="25"/>
  <c r="AB58" i="25"/>
  <c r="AB57" i="25"/>
  <c r="AB56" i="25"/>
  <c r="AB55" i="25"/>
  <c r="AB54" i="25"/>
  <c r="AB53" i="25"/>
  <c r="AB52" i="25"/>
  <c r="AB51" i="25"/>
  <c r="AB50" i="25"/>
  <c r="AB46" i="25"/>
  <c r="AB43" i="25"/>
  <c r="AB40" i="25"/>
  <c r="AB28" i="25"/>
  <c r="AB24" i="25"/>
  <c r="AB20" i="25"/>
  <c r="AB19" i="25"/>
  <c r="AB18" i="25"/>
  <c r="AB16" i="25"/>
  <c r="Q210" i="24"/>
  <c r="T210" i="24"/>
  <c r="Q209" i="24"/>
  <c r="T209" i="24"/>
  <c r="Q208" i="24"/>
  <c r="T208" i="24"/>
  <c r="Q207" i="24"/>
  <c r="T207" i="24"/>
  <c r="Q206" i="24"/>
  <c r="T206" i="24"/>
  <c r="Q205" i="24"/>
  <c r="T205" i="24"/>
  <c r="Q204" i="24"/>
  <c r="T204" i="24"/>
  <c r="Q203" i="24"/>
  <c r="T203" i="24"/>
  <c r="Q202" i="24"/>
  <c r="T202" i="24"/>
  <c r="Q201" i="24"/>
  <c r="T201" i="24"/>
  <c r="Q200" i="24"/>
  <c r="T200" i="24"/>
  <c r="Q199" i="24"/>
  <c r="T199" i="24"/>
  <c r="Q198" i="24"/>
  <c r="T198" i="24"/>
  <c r="Q197" i="24"/>
  <c r="T197" i="24"/>
  <c r="Q196" i="24"/>
  <c r="T196" i="24"/>
  <c r="Q195" i="24"/>
  <c r="T195" i="24"/>
  <c r="Q194" i="24"/>
  <c r="T194" i="24"/>
  <c r="Q193" i="24"/>
  <c r="T193" i="24"/>
  <c r="Q192" i="24"/>
  <c r="T192" i="24"/>
  <c r="Q191" i="24"/>
  <c r="T191" i="24"/>
  <c r="Q190" i="24"/>
  <c r="T190" i="24"/>
  <c r="Q189" i="24"/>
  <c r="T189" i="24"/>
  <c r="Q188" i="24"/>
  <c r="T188" i="24"/>
  <c r="Q187" i="24"/>
  <c r="T187" i="24"/>
  <c r="Q186" i="24"/>
  <c r="T186" i="24"/>
  <c r="Q185" i="24"/>
  <c r="T185" i="24"/>
  <c r="Q184" i="24"/>
  <c r="T184" i="24"/>
  <c r="Q182" i="24"/>
  <c r="T182" i="24"/>
  <c r="Q181" i="24"/>
  <c r="T181" i="24"/>
  <c r="Q180" i="24"/>
  <c r="T180" i="24"/>
  <c r="Q179" i="24"/>
  <c r="T179" i="24"/>
  <c r="Q178" i="24"/>
  <c r="T178" i="24"/>
  <c r="Q177" i="24"/>
  <c r="T177" i="24"/>
  <c r="Q176" i="24"/>
  <c r="T176" i="24"/>
  <c r="Q175" i="24"/>
  <c r="T175" i="24"/>
  <c r="Q174" i="24"/>
  <c r="T174" i="24"/>
  <c r="Q173" i="24"/>
  <c r="T173" i="24"/>
  <c r="Q172" i="24"/>
  <c r="T172" i="24"/>
  <c r="Q171" i="24"/>
  <c r="T171" i="24"/>
  <c r="Q170" i="24"/>
  <c r="T170" i="24"/>
  <c r="Q168" i="24"/>
  <c r="T168" i="24"/>
  <c r="Q167" i="24"/>
  <c r="T167" i="24"/>
  <c r="Q166" i="24"/>
  <c r="T166" i="24"/>
  <c r="Q165" i="24"/>
  <c r="T165" i="24"/>
  <c r="Q164" i="24"/>
  <c r="T164" i="24"/>
  <c r="Q163" i="24"/>
  <c r="T163" i="24"/>
  <c r="Q162" i="24"/>
  <c r="T162" i="24"/>
  <c r="Q161" i="24"/>
  <c r="T161" i="24"/>
  <c r="Q160" i="24"/>
  <c r="T160" i="24"/>
  <c r="Q159" i="24"/>
  <c r="T159" i="24"/>
  <c r="Q158" i="24"/>
  <c r="T158" i="24"/>
  <c r="Q157" i="24"/>
  <c r="T157" i="24"/>
  <c r="Q156" i="24"/>
  <c r="T156" i="24"/>
  <c r="Q155" i="24"/>
  <c r="T155" i="24"/>
  <c r="Q154" i="24"/>
  <c r="T154" i="24"/>
  <c r="Q153" i="24"/>
  <c r="T153" i="24"/>
  <c r="Q152" i="24"/>
  <c r="T152" i="24"/>
  <c r="Q151" i="24"/>
  <c r="T151" i="24"/>
  <c r="Q150" i="24"/>
  <c r="T150" i="24"/>
  <c r="Q149" i="24"/>
  <c r="T149" i="24"/>
  <c r="Q147" i="24"/>
  <c r="T147" i="24"/>
  <c r="Q146" i="24"/>
  <c r="T146" i="24"/>
  <c r="Q145" i="24"/>
  <c r="T145" i="24"/>
  <c r="Q144" i="24"/>
  <c r="T144" i="24"/>
  <c r="Q143" i="24"/>
  <c r="T143" i="24"/>
  <c r="Q142" i="24"/>
  <c r="T142" i="24"/>
  <c r="Q141" i="24"/>
  <c r="T141" i="24"/>
  <c r="Q140" i="24"/>
  <c r="T140" i="24"/>
  <c r="Q139" i="24"/>
  <c r="T139" i="24"/>
  <c r="Q138" i="24"/>
  <c r="T138" i="24"/>
  <c r="Q137" i="24"/>
  <c r="T137" i="24"/>
  <c r="Q136" i="24"/>
  <c r="T136" i="24"/>
  <c r="Q135" i="24"/>
  <c r="T135" i="24"/>
  <c r="Q134" i="24"/>
  <c r="T134" i="24"/>
  <c r="Q133" i="24"/>
  <c r="T133" i="24"/>
  <c r="Q132" i="24"/>
  <c r="T132" i="24"/>
  <c r="Q131" i="24"/>
  <c r="T131" i="24"/>
  <c r="Q129" i="24"/>
  <c r="T129" i="24"/>
  <c r="Q128" i="24"/>
  <c r="T128" i="24"/>
  <c r="Q127" i="24"/>
  <c r="T127" i="24"/>
  <c r="Q126" i="24"/>
  <c r="T126" i="24"/>
  <c r="Q125" i="24"/>
  <c r="T125" i="24"/>
  <c r="Q124" i="24"/>
  <c r="T124" i="24"/>
  <c r="Q123" i="24"/>
  <c r="T123" i="24"/>
  <c r="Q122" i="24"/>
  <c r="T122" i="24"/>
  <c r="Q121" i="24"/>
  <c r="T121" i="24"/>
  <c r="Q120" i="24"/>
  <c r="T120" i="24"/>
  <c r="Q119" i="24"/>
  <c r="T119" i="24"/>
  <c r="Q118" i="24"/>
  <c r="T118" i="24"/>
  <c r="Q117" i="24"/>
  <c r="T117" i="24"/>
  <c r="Q116" i="24"/>
  <c r="T116" i="24"/>
  <c r="Q115" i="24"/>
  <c r="T115" i="24"/>
  <c r="Q114" i="24"/>
  <c r="T114" i="24"/>
  <c r="Q113" i="24"/>
  <c r="T113" i="24"/>
  <c r="Q112" i="24"/>
  <c r="T112" i="24"/>
  <c r="Q111" i="24"/>
  <c r="T111" i="24"/>
  <c r="Q110" i="24"/>
  <c r="T110" i="24"/>
  <c r="Q109" i="24"/>
  <c r="T109" i="24"/>
  <c r="Q108" i="24"/>
  <c r="T108" i="24"/>
  <c r="Q107" i="24"/>
  <c r="T107" i="24"/>
  <c r="Q106" i="24"/>
  <c r="T106" i="24"/>
  <c r="Q105" i="24"/>
  <c r="T105" i="24"/>
  <c r="Q104" i="24"/>
  <c r="T104" i="24"/>
  <c r="Q103" i="24"/>
  <c r="T103" i="24"/>
  <c r="Q102" i="24"/>
  <c r="T102" i="24"/>
  <c r="Q101" i="24"/>
  <c r="T101" i="24"/>
  <c r="Q100" i="24"/>
  <c r="T100" i="24"/>
  <c r="Q99" i="24"/>
  <c r="T99" i="24"/>
  <c r="Q97" i="24"/>
  <c r="T97" i="24"/>
  <c r="Q96" i="24"/>
  <c r="T96" i="24"/>
  <c r="Q95" i="24"/>
  <c r="T95" i="24"/>
  <c r="Q94" i="24"/>
  <c r="T94" i="24"/>
  <c r="Q93" i="24"/>
  <c r="T93" i="24"/>
  <c r="Q92" i="24"/>
  <c r="T92" i="24"/>
  <c r="Q91" i="24"/>
  <c r="T91" i="24"/>
  <c r="Q90" i="24"/>
  <c r="T90" i="24"/>
  <c r="Q89" i="24"/>
  <c r="T89" i="24"/>
  <c r="Q88" i="24"/>
  <c r="T88" i="24"/>
  <c r="Q87" i="24"/>
  <c r="T87" i="24"/>
  <c r="Q86" i="24"/>
  <c r="T86" i="24"/>
  <c r="Q85" i="24"/>
  <c r="T85" i="24"/>
  <c r="Q84" i="24"/>
  <c r="T84" i="24"/>
  <c r="Q83" i="24"/>
  <c r="T83" i="24"/>
  <c r="Q82" i="24"/>
  <c r="T82" i="24"/>
  <c r="Q81" i="24"/>
  <c r="T81" i="24"/>
  <c r="Q80" i="24"/>
  <c r="T80" i="24"/>
  <c r="Q79" i="24"/>
  <c r="T79" i="24"/>
  <c r="Q78" i="24"/>
  <c r="T78" i="24"/>
  <c r="Q77" i="24"/>
  <c r="T77" i="24"/>
  <c r="Q76" i="24"/>
  <c r="T76" i="24"/>
  <c r="Q75" i="24"/>
  <c r="T75" i="24"/>
  <c r="Q74" i="24"/>
  <c r="T74" i="24"/>
  <c r="Q73" i="24"/>
  <c r="T73" i="24"/>
  <c r="Q72" i="24"/>
  <c r="T72" i="24"/>
  <c r="Q71" i="24"/>
  <c r="T71" i="24"/>
  <c r="Q70" i="24"/>
  <c r="T70" i="24"/>
  <c r="Q69" i="24"/>
  <c r="T69" i="24"/>
  <c r="Q68" i="24"/>
  <c r="T68" i="24"/>
  <c r="Q67" i="24"/>
  <c r="T67" i="24"/>
  <c r="Q66" i="24"/>
  <c r="T66" i="24"/>
  <c r="Q65" i="24"/>
  <c r="T65" i="24"/>
  <c r="Q64" i="24"/>
  <c r="T64" i="24"/>
  <c r="Q63" i="24"/>
  <c r="T63" i="24"/>
  <c r="Q62" i="24"/>
  <c r="T62" i="24"/>
  <c r="Q61" i="24"/>
  <c r="T61" i="24"/>
  <c r="Q60" i="24"/>
  <c r="T60" i="24"/>
  <c r="Q59" i="24"/>
  <c r="T59" i="24"/>
  <c r="Q58" i="24"/>
  <c r="T58" i="24"/>
  <c r="Q57" i="24"/>
  <c r="T57" i="24"/>
  <c r="Q56" i="24"/>
  <c r="T56" i="24"/>
  <c r="Q55" i="24"/>
  <c r="T55" i="24"/>
  <c r="Q54" i="24"/>
  <c r="T54" i="24"/>
  <c r="Q53" i="24"/>
  <c r="T53" i="24"/>
  <c r="Q52" i="24"/>
  <c r="T52" i="24"/>
  <c r="Q51" i="24"/>
  <c r="T51" i="24"/>
  <c r="Q50" i="24"/>
  <c r="T50" i="24"/>
  <c r="Q49" i="24"/>
  <c r="T49" i="24"/>
  <c r="Q48" i="24"/>
  <c r="T48" i="24"/>
  <c r="Q47" i="24"/>
  <c r="T47" i="24"/>
  <c r="Q46" i="24"/>
  <c r="T46" i="24"/>
  <c r="Q44" i="24"/>
  <c r="T44" i="24"/>
  <c r="Q43" i="24"/>
  <c r="T43" i="24"/>
  <c r="Q42" i="24"/>
  <c r="T42" i="24"/>
  <c r="Q41" i="24"/>
  <c r="T41" i="24"/>
  <c r="Q40" i="24"/>
  <c r="T40" i="24"/>
  <c r="Q39" i="24"/>
  <c r="T39" i="24"/>
  <c r="Q38" i="24"/>
  <c r="T38" i="24"/>
  <c r="Q37" i="24"/>
  <c r="T37" i="24"/>
  <c r="Q36" i="24"/>
  <c r="T36" i="24"/>
  <c r="Q35" i="24"/>
  <c r="T35" i="24"/>
  <c r="Q34" i="24"/>
  <c r="T34" i="24"/>
  <c r="Q33" i="24"/>
  <c r="T33" i="24"/>
  <c r="Q32" i="24"/>
  <c r="T32" i="24"/>
  <c r="Q31" i="24"/>
  <c r="T31" i="24"/>
  <c r="Q29" i="24"/>
  <c r="T29" i="24"/>
  <c r="Q28" i="24"/>
  <c r="T28" i="24"/>
  <c r="Q27" i="24"/>
  <c r="T27" i="24"/>
  <c r="Q26" i="24"/>
  <c r="T26" i="24"/>
  <c r="Q25" i="24"/>
  <c r="T25" i="24"/>
  <c r="Q24" i="24"/>
  <c r="T24" i="24"/>
  <c r="Q23" i="24"/>
  <c r="T23" i="24"/>
  <c r="Q22" i="24"/>
  <c r="T22" i="24"/>
  <c r="Q21" i="24"/>
  <c r="T21" i="24"/>
  <c r="Q20" i="24"/>
  <c r="T20" i="24"/>
  <c r="F198" i="25"/>
  <c r="J198" i="25"/>
  <c r="AB198" i="25"/>
  <c r="F123" i="25"/>
  <c r="J123" i="25"/>
  <c r="AC123" i="25"/>
  <c r="F122" i="25"/>
  <c r="J122" i="25"/>
  <c r="AB122" i="25"/>
  <c r="F119" i="25"/>
  <c r="J119" i="25"/>
  <c r="AD119" i="25"/>
  <c r="F42" i="25"/>
  <c r="J42" i="25"/>
  <c r="AB42" i="25"/>
  <c r="AD222" i="25"/>
  <c r="AD221" i="25"/>
  <c r="Z219" i="25"/>
  <c r="Y230" i="25"/>
  <c r="Y219" i="25"/>
  <c r="Y227" i="25"/>
  <c r="R219" i="25"/>
  <c r="P219" i="25"/>
  <c r="O219" i="25"/>
  <c r="N219" i="25"/>
  <c r="M219" i="25"/>
  <c r="L219" i="25"/>
  <c r="M220" i="25"/>
  <c r="J227" i="25"/>
  <c r="H219" i="25"/>
  <c r="G219" i="25"/>
  <c r="AH218" i="25"/>
  <c r="AG218" i="25"/>
  <c r="AD218" i="25"/>
  <c r="AC218" i="25"/>
  <c r="X218" i="25"/>
  <c r="W218" i="25"/>
  <c r="AF218" i="25"/>
  <c r="W217" i="25"/>
  <c r="V217" i="25"/>
  <c r="X217" i="25"/>
  <c r="AA217" i="25"/>
  <c r="W216" i="25"/>
  <c r="V216" i="25"/>
  <c r="X215" i="25"/>
  <c r="W215" i="25"/>
  <c r="V215" i="25"/>
  <c r="X214" i="25"/>
  <c r="W214" i="25"/>
  <c r="X213" i="25"/>
  <c r="W213" i="25"/>
  <c r="V213" i="25"/>
  <c r="AA213" i="25"/>
  <c r="X212" i="25"/>
  <c r="V212" i="25"/>
  <c r="X211" i="25"/>
  <c r="W211" i="25"/>
  <c r="V211" i="25"/>
  <c r="AA211" i="25"/>
  <c r="X210" i="25"/>
  <c r="V210" i="25"/>
  <c r="X209" i="25"/>
  <c r="V209" i="25"/>
  <c r="X208" i="25"/>
  <c r="V208" i="25"/>
  <c r="X207" i="25"/>
  <c r="V207" i="25"/>
  <c r="X206" i="25"/>
  <c r="W206" i="25"/>
  <c r="V206" i="25"/>
  <c r="AA206" i="25"/>
  <c r="X205" i="25"/>
  <c r="W205" i="25"/>
  <c r="V205" i="25"/>
  <c r="AA205" i="25"/>
  <c r="W204" i="25"/>
  <c r="V204" i="25"/>
  <c r="X204" i="25"/>
  <c r="X203" i="25"/>
  <c r="V203" i="25"/>
  <c r="X202" i="25"/>
  <c r="W202" i="25"/>
  <c r="V202" i="25"/>
  <c r="AA202" i="25"/>
  <c r="X201" i="25"/>
  <c r="W201" i="25"/>
  <c r="V201" i="25"/>
  <c r="AA201" i="25"/>
  <c r="W200" i="25"/>
  <c r="V200" i="25"/>
  <c r="X200" i="25"/>
  <c r="AA200" i="25"/>
  <c r="X199" i="25"/>
  <c r="W199" i="25"/>
  <c r="V199" i="25"/>
  <c r="X198" i="25"/>
  <c r="W198" i="25"/>
  <c r="V198" i="25"/>
  <c r="AA198" i="25"/>
  <c r="X197" i="25"/>
  <c r="W197" i="25"/>
  <c r="V197" i="25"/>
  <c r="W196" i="25"/>
  <c r="V196" i="25"/>
  <c r="X196" i="25"/>
  <c r="AA196" i="25"/>
  <c r="X195" i="25"/>
  <c r="V195" i="25"/>
  <c r="W195" i="25"/>
  <c r="W194" i="25"/>
  <c r="V194" i="25"/>
  <c r="X194" i="25"/>
  <c r="AA194" i="25"/>
  <c r="X193" i="25"/>
  <c r="V193" i="25"/>
  <c r="W193" i="25"/>
  <c r="X192" i="25"/>
  <c r="W192" i="25"/>
  <c r="V192" i="25"/>
  <c r="AA192" i="25"/>
  <c r="X191" i="25"/>
  <c r="V191" i="25"/>
  <c r="W191" i="25"/>
  <c r="X190" i="25"/>
  <c r="W190" i="25"/>
  <c r="V190" i="25"/>
  <c r="AA190" i="25"/>
  <c r="X189" i="25"/>
  <c r="V189" i="25"/>
  <c r="W189" i="25"/>
  <c r="X188" i="25"/>
  <c r="W188" i="25"/>
  <c r="V188" i="25"/>
  <c r="AA188" i="25"/>
  <c r="X187" i="25"/>
  <c r="W187" i="25"/>
  <c r="X186" i="25"/>
  <c r="W186" i="25"/>
  <c r="V186" i="25"/>
  <c r="X185" i="25"/>
  <c r="W185" i="25"/>
  <c r="X184" i="25"/>
  <c r="W184" i="25"/>
  <c r="V184" i="25"/>
  <c r="AA184" i="25"/>
  <c r="X183" i="25"/>
  <c r="V183" i="25"/>
  <c r="W183" i="25"/>
  <c r="X182" i="25"/>
  <c r="W182" i="25"/>
  <c r="V182" i="25"/>
  <c r="AA182" i="25"/>
  <c r="X181" i="25"/>
  <c r="V181" i="25"/>
  <c r="W181" i="25"/>
  <c r="X180" i="25"/>
  <c r="W180" i="25"/>
  <c r="V180" i="25"/>
  <c r="X179" i="25"/>
  <c r="W179" i="25"/>
  <c r="X178" i="25"/>
  <c r="W178" i="25"/>
  <c r="V178" i="25"/>
  <c r="X177" i="25"/>
  <c r="V177" i="25"/>
  <c r="W177" i="25"/>
  <c r="X176" i="25"/>
  <c r="W176" i="25"/>
  <c r="X175" i="25"/>
  <c r="V175" i="25"/>
  <c r="X174" i="25"/>
  <c r="W174" i="25"/>
  <c r="W173" i="25"/>
  <c r="V173" i="25"/>
  <c r="X172" i="25"/>
  <c r="W172" i="25"/>
  <c r="V172" i="25"/>
  <c r="AA172" i="25"/>
  <c r="X171" i="25"/>
  <c r="W171" i="25"/>
  <c r="X170" i="25"/>
  <c r="W170" i="25"/>
  <c r="V170" i="25"/>
  <c r="AA170" i="25"/>
  <c r="X169" i="25"/>
  <c r="W169" i="25"/>
  <c r="V169" i="25"/>
  <c r="AA169" i="25"/>
  <c r="X168" i="25"/>
  <c r="W168" i="25"/>
  <c r="V168" i="25"/>
  <c r="X167" i="25"/>
  <c r="W167" i="25"/>
  <c r="V167" i="25"/>
  <c r="AA167" i="25"/>
  <c r="X166" i="25"/>
  <c r="W166" i="25"/>
  <c r="V166" i="25"/>
  <c r="X165" i="25"/>
  <c r="W165" i="25"/>
  <c r="V165" i="25"/>
  <c r="AA165" i="25"/>
  <c r="X164" i="25"/>
  <c r="W164" i="25"/>
  <c r="V164" i="25"/>
  <c r="AA164" i="25"/>
  <c r="X163" i="25"/>
  <c r="W163" i="25"/>
  <c r="V163" i="25"/>
  <c r="AA163" i="25"/>
  <c r="X162" i="25"/>
  <c r="W162" i="25"/>
  <c r="V162" i="25"/>
  <c r="AA162" i="25"/>
  <c r="X161" i="25"/>
  <c r="W161" i="25"/>
  <c r="V161" i="25"/>
  <c r="AA161" i="25"/>
  <c r="X160" i="25"/>
  <c r="W160" i="25"/>
  <c r="V160" i="25"/>
  <c r="AA160" i="25"/>
  <c r="X159" i="25"/>
  <c r="V159" i="25"/>
  <c r="X158" i="25"/>
  <c r="W158" i="25"/>
  <c r="V158" i="25"/>
  <c r="AA158" i="25"/>
  <c r="X157" i="25"/>
  <c r="V157" i="25"/>
  <c r="X156" i="25"/>
  <c r="V156" i="25"/>
  <c r="X155" i="25"/>
  <c r="V155" i="25"/>
  <c r="X154" i="25"/>
  <c r="V154" i="25"/>
  <c r="X153" i="25"/>
  <c r="W153" i="25"/>
  <c r="V153" i="25"/>
  <c r="AA153" i="25"/>
  <c r="X152" i="25"/>
  <c r="W152" i="25"/>
  <c r="V152" i="25"/>
  <c r="X151" i="25"/>
  <c r="W151" i="25"/>
  <c r="V151" i="25"/>
  <c r="X150" i="25"/>
  <c r="V150" i="25"/>
  <c r="X149" i="25"/>
  <c r="W149" i="25"/>
  <c r="V149" i="25"/>
  <c r="AA149" i="25"/>
  <c r="X148" i="25"/>
  <c r="W148" i="25"/>
  <c r="V148" i="25"/>
  <c r="W147" i="25"/>
  <c r="V147" i="25"/>
  <c r="X147" i="25"/>
  <c r="AA147" i="25"/>
  <c r="X146" i="25"/>
  <c r="V146" i="25"/>
  <c r="X145" i="25"/>
  <c r="W145" i="25"/>
  <c r="V145" i="25"/>
  <c r="AA145" i="25"/>
  <c r="W144" i="25"/>
  <c r="V144" i="25"/>
  <c r="X144" i="25"/>
  <c r="X143" i="25"/>
  <c r="W143" i="25"/>
  <c r="V143" i="25"/>
  <c r="X142" i="25"/>
  <c r="W142" i="25"/>
  <c r="V142" i="25"/>
  <c r="X141" i="25"/>
  <c r="W141" i="25"/>
  <c r="V141" i="25"/>
  <c r="X140" i="25"/>
  <c r="V140" i="25"/>
  <c r="X139" i="25"/>
  <c r="V139" i="25"/>
  <c r="W138" i="25"/>
  <c r="V138" i="25"/>
  <c r="X138" i="25"/>
  <c r="X137" i="25"/>
  <c r="W137" i="25"/>
  <c r="X136" i="25"/>
  <c r="W136" i="25"/>
  <c r="V136" i="25"/>
  <c r="X135" i="25"/>
  <c r="V135" i="25"/>
  <c r="X134" i="25"/>
  <c r="V134" i="25"/>
  <c r="W134" i="25"/>
  <c r="X133" i="25"/>
  <c r="W133" i="25"/>
  <c r="V133" i="25"/>
  <c r="AA133" i="25"/>
  <c r="X132" i="25"/>
  <c r="W132" i="25"/>
  <c r="X131" i="25"/>
  <c r="W131" i="25"/>
  <c r="X130" i="25"/>
  <c r="W130" i="25"/>
  <c r="V130" i="25"/>
  <c r="AA130" i="25"/>
  <c r="X129" i="25"/>
  <c r="W129" i="25"/>
  <c r="V129" i="25"/>
  <c r="AA129" i="25"/>
  <c r="X128" i="25"/>
  <c r="W128" i="25"/>
  <c r="V128" i="25"/>
  <c r="AA128" i="25"/>
  <c r="X127" i="25"/>
  <c r="W127" i="25"/>
  <c r="V127" i="25"/>
  <c r="AA127" i="25"/>
  <c r="X126" i="25"/>
  <c r="W126" i="25"/>
  <c r="V126" i="25"/>
  <c r="AA126" i="25"/>
  <c r="X125" i="25"/>
  <c r="W125" i="25"/>
  <c r="V125" i="25"/>
  <c r="AA125" i="25"/>
  <c r="X124" i="25"/>
  <c r="W124" i="25"/>
  <c r="V124" i="25"/>
  <c r="AA124" i="25"/>
  <c r="X123" i="25"/>
  <c r="V123" i="25"/>
  <c r="W123" i="25"/>
  <c r="AA123" i="25"/>
  <c r="X122" i="25"/>
  <c r="W122" i="25"/>
  <c r="X121" i="25"/>
  <c r="W121" i="25"/>
  <c r="V121" i="25"/>
  <c r="AA121" i="25"/>
  <c r="X120" i="25"/>
  <c r="V120" i="25"/>
  <c r="X119" i="25"/>
  <c r="W119" i="25"/>
  <c r="V119" i="25"/>
  <c r="AA119" i="25"/>
  <c r="X118" i="25"/>
  <c r="W118" i="25"/>
  <c r="V118" i="25"/>
  <c r="X117" i="25"/>
  <c r="W117" i="25"/>
  <c r="V117" i="25"/>
  <c r="AA117" i="25"/>
  <c r="X116" i="25"/>
  <c r="W116" i="25"/>
  <c r="V116" i="25"/>
  <c r="X115" i="25"/>
  <c r="W115" i="25"/>
  <c r="V115" i="25"/>
  <c r="X114" i="25"/>
  <c r="V114" i="25"/>
  <c r="X113" i="25"/>
  <c r="W113" i="25"/>
  <c r="V113" i="25"/>
  <c r="AA113" i="25"/>
  <c r="X112" i="25"/>
  <c r="W112" i="25"/>
  <c r="V112" i="25"/>
  <c r="X111" i="25"/>
  <c r="W111" i="25"/>
  <c r="V111" i="25"/>
  <c r="I219" i="25"/>
  <c r="I220" i="25"/>
  <c r="X110" i="25"/>
  <c r="W110" i="25"/>
  <c r="V110" i="25"/>
  <c r="AA110" i="25"/>
  <c r="X109" i="25"/>
  <c r="W109" i="25"/>
  <c r="V109" i="25"/>
  <c r="AA109" i="25"/>
  <c r="X108" i="25"/>
  <c r="W108" i="25"/>
  <c r="V108" i="25"/>
  <c r="AA108" i="25"/>
  <c r="X107" i="25"/>
  <c r="W107" i="25"/>
  <c r="V107" i="25"/>
  <c r="AA107" i="25"/>
  <c r="X106" i="25"/>
  <c r="W106" i="25"/>
  <c r="V106" i="25"/>
  <c r="AA106" i="25"/>
  <c r="X105" i="25"/>
  <c r="W105" i="25"/>
  <c r="V105" i="25"/>
  <c r="AA105" i="25"/>
  <c r="X104" i="25"/>
  <c r="W104" i="25"/>
  <c r="V104" i="25"/>
  <c r="AA104" i="25"/>
  <c r="X103" i="25"/>
  <c r="W103" i="25"/>
  <c r="V103" i="25"/>
  <c r="AA103" i="25"/>
  <c r="X102" i="25"/>
  <c r="W102" i="25"/>
  <c r="V102" i="25"/>
  <c r="AA102" i="25"/>
  <c r="X101" i="25"/>
  <c r="W101" i="25"/>
  <c r="V101" i="25"/>
  <c r="AA101" i="25"/>
  <c r="X100" i="25"/>
  <c r="W100" i="25"/>
  <c r="V100" i="25"/>
  <c r="AA100" i="25"/>
  <c r="X99" i="25"/>
  <c r="W99" i="25"/>
  <c r="V99" i="25"/>
  <c r="AA99" i="25"/>
  <c r="X98" i="25"/>
  <c r="W98" i="25"/>
  <c r="V98" i="25"/>
  <c r="AA98" i="25"/>
  <c r="X97" i="25"/>
  <c r="W97" i="25"/>
  <c r="V97" i="25"/>
  <c r="AA97" i="25"/>
  <c r="X96" i="25"/>
  <c r="W96" i="25"/>
  <c r="V96" i="25"/>
  <c r="AA96" i="25"/>
  <c r="X95" i="25"/>
  <c r="W95" i="25"/>
  <c r="V95" i="25"/>
  <c r="AA95" i="25"/>
  <c r="X94" i="25"/>
  <c r="W94" i="25"/>
  <c r="V94" i="25"/>
  <c r="AA94" i="25"/>
  <c r="X93" i="25"/>
  <c r="W93" i="25"/>
  <c r="V93" i="25"/>
  <c r="AA93" i="25"/>
  <c r="X92" i="25"/>
  <c r="V92" i="25"/>
  <c r="X91" i="25"/>
  <c r="V91" i="25"/>
  <c r="X90" i="25"/>
  <c r="V90" i="25"/>
  <c r="X89" i="25"/>
  <c r="W89" i="25"/>
  <c r="V89" i="25"/>
  <c r="AA89" i="25"/>
  <c r="X88" i="25"/>
  <c r="V88" i="25"/>
  <c r="X87" i="25"/>
  <c r="V87" i="25"/>
  <c r="W86" i="25"/>
  <c r="V86" i="25"/>
  <c r="X86" i="25"/>
  <c r="W85" i="25"/>
  <c r="V85" i="25"/>
  <c r="X85" i="25"/>
  <c r="X84" i="25"/>
  <c r="W84" i="25"/>
  <c r="V84" i="25"/>
  <c r="AA84" i="25"/>
  <c r="X83" i="25"/>
  <c r="W83" i="25"/>
  <c r="V83" i="25"/>
  <c r="AA83" i="25"/>
  <c r="X82" i="25"/>
  <c r="W82" i="25"/>
  <c r="V82" i="25"/>
  <c r="AA82" i="25"/>
  <c r="X81" i="25"/>
  <c r="W81" i="25"/>
  <c r="V81" i="25"/>
  <c r="AA81" i="25"/>
  <c r="X80" i="25"/>
  <c r="W80" i="25"/>
  <c r="V80" i="25"/>
  <c r="AA80" i="25"/>
  <c r="X79" i="25"/>
  <c r="W79" i="25"/>
  <c r="V79" i="25"/>
  <c r="AA79" i="25"/>
  <c r="X78" i="25"/>
  <c r="V78" i="25"/>
  <c r="X77" i="25"/>
  <c r="V77" i="25"/>
  <c r="X76" i="25"/>
  <c r="V76" i="25"/>
  <c r="X75" i="25"/>
  <c r="W75" i="25"/>
  <c r="V75" i="25"/>
  <c r="AA75" i="25"/>
  <c r="X74" i="25"/>
  <c r="V74" i="25"/>
  <c r="X73" i="25"/>
  <c r="V73" i="25"/>
  <c r="X72" i="25"/>
  <c r="W72" i="25"/>
  <c r="V72" i="25"/>
  <c r="AA72" i="25"/>
  <c r="X71" i="25"/>
  <c r="W71" i="25"/>
  <c r="V71" i="25"/>
  <c r="AA71" i="25"/>
  <c r="X70" i="25"/>
  <c r="V70" i="25"/>
  <c r="X69" i="25"/>
  <c r="W69" i="25"/>
  <c r="V69" i="25"/>
  <c r="AA69" i="25"/>
  <c r="X68" i="25"/>
  <c r="W68" i="25"/>
  <c r="V68" i="25"/>
  <c r="AA68" i="25"/>
  <c r="X67" i="25"/>
  <c r="W67" i="25"/>
  <c r="V67" i="25"/>
  <c r="AA67" i="25"/>
  <c r="X66" i="25"/>
  <c r="W66" i="25"/>
  <c r="V66" i="25"/>
  <c r="AA66" i="25"/>
  <c r="X65" i="25"/>
  <c r="W65" i="25"/>
  <c r="V65" i="25"/>
  <c r="AA65" i="25"/>
  <c r="X64" i="25"/>
  <c r="W64" i="25"/>
  <c r="V64" i="25"/>
  <c r="AA64" i="25"/>
  <c r="X63" i="25"/>
  <c r="W63" i="25"/>
  <c r="V63" i="25"/>
  <c r="AA63" i="25"/>
  <c r="X62" i="25"/>
  <c r="W62" i="25"/>
  <c r="V62" i="25"/>
  <c r="AA62" i="25"/>
  <c r="X61" i="25"/>
  <c r="W61" i="25"/>
  <c r="V61" i="25"/>
  <c r="AA61" i="25"/>
  <c r="X60" i="25"/>
  <c r="W60" i="25"/>
  <c r="V60" i="25"/>
  <c r="AA60" i="25"/>
  <c r="X59" i="25"/>
  <c r="W59" i="25"/>
  <c r="V59" i="25"/>
  <c r="AA59" i="25"/>
  <c r="W58" i="25"/>
  <c r="V58" i="25"/>
  <c r="X58" i="25"/>
  <c r="X57" i="25"/>
  <c r="V57" i="25"/>
  <c r="X56" i="25"/>
  <c r="V56" i="25"/>
  <c r="W55" i="25"/>
  <c r="V55" i="25"/>
  <c r="X55" i="25"/>
  <c r="X54" i="25"/>
  <c r="V54" i="25"/>
  <c r="X53" i="25"/>
  <c r="W53" i="25"/>
  <c r="V53" i="25"/>
  <c r="AA53" i="25"/>
  <c r="X52" i="25"/>
  <c r="V52" i="25"/>
  <c r="X51" i="25"/>
  <c r="W51" i="25"/>
  <c r="V51" i="25"/>
  <c r="AA51" i="25"/>
  <c r="X50" i="25"/>
  <c r="V50" i="25"/>
  <c r="X49" i="25"/>
  <c r="W49" i="25"/>
  <c r="V49" i="25"/>
  <c r="X48" i="25"/>
  <c r="W48" i="25"/>
  <c r="V48" i="25"/>
  <c r="X47" i="25"/>
  <c r="W47" i="25"/>
  <c r="V47" i="25"/>
  <c r="X46" i="25"/>
  <c r="V46" i="25"/>
  <c r="X45" i="25"/>
  <c r="W45" i="25"/>
  <c r="V45" i="25"/>
  <c r="X44" i="25"/>
  <c r="W44" i="25"/>
  <c r="V44" i="25"/>
  <c r="X43" i="25"/>
  <c r="W43" i="25"/>
  <c r="V43" i="25"/>
  <c r="AA43" i="25"/>
  <c r="X42" i="25"/>
  <c r="W42" i="25"/>
  <c r="V42" i="25"/>
  <c r="AA42" i="25"/>
  <c r="X41" i="25"/>
  <c r="W41" i="25"/>
  <c r="V41" i="25"/>
  <c r="W40" i="25"/>
  <c r="V40" i="25"/>
  <c r="X40" i="25"/>
  <c r="X39" i="25"/>
  <c r="W39" i="25"/>
  <c r="V39" i="25"/>
  <c r="X38" i="25"/>
  <c r="W38" i="25"/>
  <c r="V38" i="25"/>
  <c r="X37" i="25"/>
  <c r="W37" i="25"/>
  <c r="V37" i="25"/>
  <c r="X36" i="25"/>
  <c r="W36" i="25"/>
  <c r="V36" i="25"/>
  <c r="X35" i="25"/>
  <c r="W35" i="25"/>
  <c r="V35" i="25"/>
  <c r="X34" i="25"/>
  <c r="W34" i="25"/>
  <c r="V34" i="25"/>
  <c r="X33" i="25"/>
  <c r="W33" i="25"/>
  <c r="V33" i="25"/>
  <c r="X32" i="25"/>
  <c r="W32" i="25"/>
  <c r="V32" i="25"/>
  <c r="X31" i="25"/>
  <c r="W31" i="25"/>
  <c r="V31" i="25"/>
  <c r="X30" i="25"/>
  <c r="W30" i="25"/>
  <c r="V30" i="25"/>
  <c r="X29" i="25"/>
  <c r="W29" i="25"/>
  <c r="V29" i="25"/>
  <c r="X28" i="25"/>
  <c r="V28" i="25"/>
  <c r="X27" i="25"/>
  <c r="W27" i="25"/>
  <c r="V27" i="25"/>
  <c r="X26" i="25"/>
  <c r="W26" i="25"/>
  <c r="X25" i="25"/>
  <c r="W25" i="25"/>
  <c r="V25" i="25"/>
  <c r="X24" i="25"/>
  <c r="W24" i="25"/>
  <c r="V24" i="25"/>
  <c r="AA24" i="25"/>
  <c r="X23" i="25"/>
  <c r="W23" i="25"/>
  <c r="V23" i="25"/>
  <c r="X22" i="25"/>
  <c r="W22" i="25"/>
  <c r="X21" i="25"/>
  <c r="W21" i="25"/>
  <c r="V21" i="25"/>
  <c r="AA21" i="25"/>
  <c r="X20" i="25"/>
  <c r="V20" i="25"/>
  <c r="E219" i="25"/>
  <c r="X19" i="25"/>
  <c r="V19" i="25"/>
  <c r="X18" i="25"/>
  <c r="W18" i="25"/>
  <c r="V18" i="25"/>
  <c r="AA18" i="25"/>
  <c r="X17" i="25"/>
  <c r="W17" i="25"/>
  <c r="V17" i="25"/>
  <c r="AH16" i="25"/>
  <c r="AF16" i="25"/>
  <c r="X16" i="25"/>
  <c r="V16" i="25"/>
  <c r="Q219" i="25"/>
  <c r="AB222" i="24"/>
  <c r="E81" i="24"/>
  <c r="T219" i="25"/>
  <c r="AA17" i="25"/>
  <c r="AA23" i="25"/>
  <c r="AA25" i="25"/>
  <c r="AA27" i="25"/>
  <c r="AA29" i="25"/>
  <c r="AA30" i="25"/>
  <c r="AA31" i="25"/>
  <c r="AA32" i="25"/>
  <c r="AA33" i="25"/>
  <c r="AA34" i="25"/>
  <c r="AA35" i="25"/>
  <c r="AA36" i="25"/>
  <c r="AA37" i="25"/>
  <c r="AA38" i="25"/>
  <c r="AA39" i="25"/>
  <c r="AA41" i="25"/>
  <c r="AA44" i="25"/>
  <c r="AA45" i="25"/>
  <c r="AA47" i="25"/>
  <c r="AA48" i="25"/>
  <c r="AA49" i="25"/>
  <c r="W54" i="25"/>
  <c r="AA54" i="25"/>
  <c r="W56" i="25"/>
  <c r="AA56" i="25"/>
  <c r="W70" i="25"/>
  <c r="AA70" i="25"/>
  <c r="W77" i="25"/>
  <c r="AA77" i="25"/>
  <c r="W88" i="25"/>
  <c r="AA88" i="25"/>
  <c r="W90" i="25"/>
  <c r="AA90" i="25"/>
  <c r="W92" i="25"/>
  <c r="AA92" i="25"/>
  <c r="AA111" i="25"/>
  <c r="AA112" i="25"/>
  <c r="AA115" i="25"/>
  <c r="AA116" i="25"/>
  <c r="AA118" i="25"/>
  <c r="W135" i="25"/>
  <c r="AA135" i="25"/>
  <c r="AA136" i="25"/>
  <c r="AA138" i="25"/>
  <c r="AA141" i="25"/>
  <c r="AA142" i="25"/>
  <c r="AA143" i="25"/>
  <c r="AA148" i="25"/>
  <c r="AA151" i="25"/>
  <c r="AA152" i="25"/>
  <c r="W156" i="25"/>
  <c r="AA156" i="25"/>
  <c r="AA166" i="25"/>
  <c r="AA168" i="25"/>
  <c r="W175" i="25"/>
  <c r="AA175" i="25"/>
  <c r="AA178" i="25"/>
  <c r="AA180" i="25"/>
  <c r="AA186" i="25"/>
  <c r="AA197" i="25"/>
  <c r="AA199" i="25"/>
  <c r="W203" i="25"/>
  <c r="AA203" i="25"/>
  <c r="W207" i="25"/>
  <c r="AA207" i="25"/>
  <c r="W208" i="25"/>
  <c r="AA208" i="25"/>
  <c r="W209" i="25"/>
  <c r="AA209" i="25"/>
  <c r="AA215" i="25"/>
  <c r="W16" i="25"/>
  <c r="W19" i="25"/>
  <c r="AA19" i="25"/>
  <c r="W20" i="25"/>
  <c r="AA20" i="25"/>
  <c r="AA40" i="25"/>
  <c r="W46" i="25"/>
  <c r="AA46" i="25"/>
  <c r="W50" i="25"/>
  <c r="AA50" i="25"/>
  <c r="AA58" i="25"/>
  <c r="AA86" i="25"/>
  <c r="W114" i="25"/>
  <c r="AA114" i="25"/>
  <c r="AG16" i="25"/>
  <c r="AA55" i="25"/>
  <c r="W74" i="25"/>
  <c r="AA74" i="25"/>
  <c r="AA85" i="25"/>
  <c r="V22" i="25"/>
  <c r="AA22" i="25"/>
  <c r="V26" i="25"/>
  <c r="AA26" i="25"/>
  <c r="W28" i="25"/>
  <c r="AA28" i="25"/>
  <c r="W52" i="25"/>
  <c r="AA52" i="25"/>
  <c r="W57" i="25"/>
  <c r="AA57" i="25"/>
  <c r="W73" i="25"/>
  <c r="AA73" i="25"/>
  <c r="W76" i="25"/>
  <c r="AA76" i="25"/>
  <c r="W78" i="25"/>
  <c r="AA78" i="25"/>
  <c r="W87" i="25"/>
  <c r="AA87" i="25"/>
  <c r="W91" i="25"/>
  <c r="AA91" i="25"/>
  <c r="W120" i="25"/>
  <c r="AA120" i="25"/>
  <c r="V122" i="25"/>
  <c r="AA122" i="25"/>
  <c r="V131" i="25"/>
  <c r="AA131" i="25"/>
  <c r="V137" i="25"/>
  <c r="AA137" i="25"/>
  <c r="AA144" i="25"/>
  <c r="W150" i="25"/>
  <c r="AA150" i="25"/>
  <c r="W154" i="25"/>
  <c r="AA154" i="25"/>
  <c r="AA177" i="25"/>
  <c r="AA181" i="25"/>
  <c r="AA183" i="25"/>
  <c r="AA189" i="25"/>
  <c r="AA191" i="25"/>
  <c r="AA193" i="25"/>
  <c r="AA195" i="25"/>
  <c r="X216" i="25"/>
  <c r="AA216" i="25"/>
  <c r="V132" i="25"/>
  <c r="AA132" i="25"/>
  <c r="AA134" i="25"/>
  <c r="X173" i="25"/>
  <c r="AA173" i="25"/>
  <c r="AA204" i="25"/>
  <c r="W139" i="25"/>
  <c r="AA139" i="25"/>
  <c r="W140" i="25"/>
  <c r="AA140" i="25"/>
  <c r="W146" i="25"/>
  <c r="AA146" i="25"/>
  <c r="W155" i="25"/>
  <c r="AA155" i="25"/>
  <c r="W157" i="25"/>
  <c r="AA157" i="25"/>
  <c r="W159" i="25"/>
  <c r="AA159" i="25"/>
  <c r="V171" i="25"/>
  <c r="AA171" i="25"/>
  <c r="V174" i="25"/>
  <c r="AA174" i="25"/>
  <c r="V176" i="25"/>
  <c r="AA176" i="25"/>
  <c r="V179" i="25"/>
  <c r="AA179" i="25"/>
  <c r="V185" i="25"/>
  <c r="AA185" i="25"/>
  <c r="V187" i="25"/>
  <c r="AA187" i="25"/>
  <c r="W210" i="25"/>
  <c r="AA210" i="25"/>
  <c r="W212" i="25"/>
  <c r="AA212" i="25"/>
  <c r="V214" i="25"/>
  <c r="AA214" i="25"/>
  <c r="V218" i="25"/>
  <c r="AA218" i="25"/>
  <c r="E123" i="24"/>
  <c r="W219" i="25"/>
  <c r="Y229" i="25"/>
  <c r="AA16" i="25"/>
  <c r="E27" i="24"/>
  <c r="I174" i="24"/>
  <c r="R174" i="23"/>
  <c r="I123" i="24"/>
  <c r="R123" i="23"/>
  <c r="E54" i="24"/>
  <c r="I155" i="24"/>
  <c r="R216" i="23"/>
  <c r="R75" i="23"/>
  <c r="R136" i="23"/>
  <c r="E136" i="24"/>
  <c r="Q59" i="23"/>
  <c r="T59" i="23"/>
  <c r="Q58" i="23"/>
  <c r="T58" i="23"/>
  <c r="Q57" i="23"/>
  <c r="T57" i="23"/>
  <c r="Q56" i="23"/>
  <c r="T56" i="23"/>
  <c r="Q55" i="23"/>
  <c r="T55" i="23"/>
  <c r="I111" i="24"/>
  <c r="I132" i="24"/>
  <c r="R200" i="23"/>
  <c r="R178" i="23"/>
  <c r="R176" i="23"/>
  <c r="R18" i="23"/>
  <c r="E24" i="24"/>
  <c r="E213" i="24"/>
  <c r="R155" i="23"/>
  <c r="E20" i="24"/>
  <c r="E196" i="24"/>
  <c r="E166" i="24"/>
  <c r="E41" i="24"/>
  <c r="AH41" i="24"/>
  <c r="AG41" i="24"/>
  <c r="AD41" i="24"/>
  <c r="AC41" i="24"/>
  <c r="X41" i="24"/>
  <c r="W41" i="24"/>
  <c r="F41" i="25"/>
  <c r="J41" i="25"/>
  <c r="AB41" i="25"/>
  <c r="V41" i="24"/>
  <c r="F41" i="24"/>
  <c r="J41" i="24"/>
  <c r="AB41" i="24"/>
  <c r="AF41" i="24"/>
  <c r="AA41" i="24"/>
  <c r="AD222" i="23"/>
  <c r="E140" i="24"/>
  <c r="E159" i="24"/>
  <c r="E158" i="24"/>
  <c r="E120" i="24"/>
  <c r="E74" i="24"/>
  <c r="Q216" i="23"/>
  <c r="T216" i="23"/>
  <c r="Q215" i="23"/>
  <c r="T215" i="23"/>
  <c r="Q214" i="23"/>
  <c r="T214" i="23"/>
  <c r="Q213" i="23"/>
  <c r="T213" i="23"/>
  <c r="Q212" i="23"/>
  <c r="T212" i="23"/>
  <c r="Q211" i="23"/>
  <c r="T211" i="23"/>
  <c r="Q210" i="23"/>
  <c r="T210" i="23"/>
  <c r="Q209" i="23"/>
  <c r="T209" i="23"/>
  <c r="Q208" i="23"/>
  <c r="T208" i="23"/>
  <c r="Q207" i="23"/>
  <c r="T207" i="23"/>
  <c r="Q206" i="23"/>
  <c r="T206" i="23"/>
  <c r="Q205" i="23"/>
  <c r="T205" i="23"/>
  <c r="Q204" i="23"/>
  <c r="T204" i="23"/>
  <c r="Q203" i="23"/>
  <c r="T203" i="23"/>
  <c r="Q202" i="23"/>
  <c r="T202" i="23"/>
  <c r="Q201" i="23"/>
  <c r="T201" i="23"/>
  <c r="Q200" i="23"/>
  <c r="T200" i="23"/>
  <c r="Q199" i="23"/>
  <c r="T199" i="23"/>
  <c r="Q198" i="23"/>
  <c r="T198" i="23"/>
  <c r="Q197" i="23"/>
  <c r="T197" i="23"/>
  <c r="Q196" i="23"/>
  <c r="T196" i="23"/>
  <c r="Q195" i="23"/>
  <c r="T195" i="23"/>
  <c r="Q194" i="23"/>
  <c r="T194" i="23"/>
  <c r="Q193" i="23"/>
  <c r="T193" i="23"/>
  <c r="Q192" i="23"/>
  <c r="T192" i="23"/>
  <c r="Q191" i="23"/>
  <c r="T191" i="23"/>
  <c r="Q190" i="23"/>
  <c r="T190" i="23"/>
  <c r="Q189" i="23"/>
  <c r="T189" i="23"/>
  <c r="Q188" i="23"/>
  <c r="T188" i="23"/>
  <c r="Q187" i="23"/>
  <c r="T187" i="23"/>
  <c r="Q186" i="23"/>
  <c r="T186" i="23"/>
  <c r="Q185" i="23"/>
  <c r="T185" i="23"/>
  <c r="Q184" i="23"/>
  <c r="T184" i="23"/>
  <c r="Q183" i="23"/>
  <c r="T183" i="23"/>
  <c r="Q182" i="23"/>
  <c r="T182" i="23"/>
  <c r="Q181" i="23"/>
  <c r="T181" i="23"/>
  <c r="Q180" i="23"/>
  <c r="T180" i="23"/>
  <c r="Q179" i="23"/>
  <c r="T179" i="23"/>
  <c r="Q178" i="23"/>
  <c r="T178" i="23"/>
  <c r="Q177" i="23"/>
  <c r="T177" i="23"/>
  <c r="Q176" i="23"/>
  <c r="T176" i="23"/>
  <c r="Q175" i="23"/>
  <c r="T175" i="23"/>
  <c r="Q174" i="23"/>
  <c r="T174" i="23"/>
  <c r="Q173" i="23"/>
  <c r="T173" i="23"/>
  <c r="Q172" i="23"/>
  <c r="T172" i="23"/>
  <c r="Q171" i="23"/>
  <c r="T171" i="23"/>
  <c r="Q170" i="23"/>
  <c r="T170" i="23"/>
  <c r="Q169" i="23"/>
  <c r="T169" i="23"/>
  <c r="Q168" i="23"/>
  <c r="T168" i="23"/>
  <c r="Q167" i="23"/>
  <c r="T167" i="23"/>
  <c r="Q166" i="23"/>
  <c r="T166" i="23"/>
  <c r="Q165" i="23"/>
  <c r="T165" i="23"/>
  <c r="Q164" i="23"/>
  <c r="T164" i="23"/>
  <c r="Q163" i="23"/>
  <c r="T163" i="23"/>
  <c r="Q162" i="23"/>
  <c r="T162" i="23"/>
  <c r="Q161" i="23"/>
  <c r="T161" i="23"/>
  <c r="Q160" i="23"/>
  <c r="T160" i="23"/>
  <c r="Q159" i="23"/>
  <c r="T159" i="23"/>
  <c r="Q158" i="23"/>
  <c r="T158" i="23"/>
  <c r="Q157" i="23"/>
  <c r="T157" i="23"/>
  <c r="Q156" i="23"/>
  <c r="T156" i="23"/>
  <c r="Q155" i="23"/>
  <c r="T155" i="23"/>
  <c r="Q154" i="23"/>
  <c r="T154" i="23"/>
  <c r="Q153" i="23"/>
  <c r="T153" i="23"/>
  <c r="Q152" i="23"/>
  <c r="T152" i="23"/>
  <c r="Q151" i="23"/>
  <c r="T151" i="23"/>
  <c r="Q150" i="23"/>
  <c r="T150" i="23"/>
  <c r="Q149" i="23"/>
  <c r="T149" i="23"/>
  <c r="Q148" i="23"/>
  <c r="T148" i="23"/>
  <c r="Q147" i="23"/>
  <c r="T147" i="23"/>
  <c r="Q146" i="23"/>
  <c r="T146" i="23"/>
  <c r="Q145" i="23"/>
  <c r="T145" i="23"/>
  <c r="Q144" i="23"/>
  <c r="T144" i="23"/>
  <c r="Q143" i="23"/>
  <c r="T143" i="23"/>
  <c r="Q142" i="23"/>
  <c r="T142" i="23"/>
  <c r="Q141" i="23"/>
  <c r="T141" i="23"/>
  <c r="Q140" i="23"/>
  <c r="T140" i="23"/>
  <c r="Q139" i="23"/>
  <c r="T139" i="23"/>
  <c r="Q138" i="23"/>
  <c r="T138" i="23"/>
  <c r="Q137" i="23"/>
  <c r="T137" i="23"/>
  <c r="Q136" i="23"/>
  <c r="T136" i="23"/>
  <c r="Q135" i="23"/>
  <c r="T135" i="23"/>
  <c r="Q134" i="23"/>
  <c r="T134" i="23"/>
  <c r="Q133" i="23"/>
  <c r="T133" i="23"/>
  <c r="Q132" i="23"/>
  <c r="T132" i="23"/>
  <c r="Q131" i="23"/>
  <c r="T131" i="23"/>
  <c r="Q130" i="23"/>
  <c r="T130" i="23"/>
  <c r="Q129" i="23"/>
  <c r="T129" i="23"/>
  <c r="Q128" i="23"/>
  <c r="T128" i="23"/>
  <c r="Q127" i="23"/>
  <c r="T127" i="23"/>
  <c r="Q126" i="23"/>
  <c r="T126" i="23"/>
  <c r="Q125" i="23"/>
  <c r="T125" i="23"/>
  <c r="Q124" i="23"/>
  <c r="T124" i="23"/>
  <c r="Q123" i="23"/>
  <c r="T123" i="23"/>
  <c r="Q122" i="23"/>
  <c r="T122" i="23"/>
  <c r="Q121" i="23"/>
  <c r="T121" i="23"/>
  <c r="Q120" i="23"/>
  <c r="T120" i="23"/>
  <c r="Q119" i="23"/>
  <c r="T119" i="23"/>
  <c r="Q118" i="23"/>
  <c r="T118" i="23"/>
  <c r="Q117" i="23"/>
  <c r="T117" i="23"/>
  <c r="Q116" i="23"/>
  <c r="T116" i="23"/>
  <c r="Q115" i="23"/>
  <c r="T115" i="23"/>
  <c r="Q114" i="23"/>
  <c r="T114" i="23"/>
  <c r="Q113" i="23"/>
  <c r="T113" i="23"/>
  <c r="Q112" i="23"/>
  <c r="T112" i="23"/>
  <c r="Q111" i="23"/>
  <c r="T111" i="23"/>
  <c r="Q110" i="23"/>
  <c r="T110" i="23"/>
  <c r="Q109" i="23"/>
  <c r="T109" i="23"/>
  <c r="Q108" i="23"/>
  <c r="T108" i="23"/>
  <c r="Q107" i="23"/>
  <c r="T107" i="23"/>
  <c r="Q106" i="23"/>
  <c r="T106" i="23"/>
  <c r="Q105" i="23"/>
  <c r="T105" i="23"/>
  <c r="Q104" i="23"/>
  <c r="T104" i="23"/>
  <c r="Q103" i="23"/>
  <c r="T103" i="23"/>
  <c r="Q102" i="23"/>
  <c r="T102" i="23"/>
  <c r="Q101" i="23"/>
  <c r="T101" i="23"/>
  <c r="Q100" i="23"/>
  <c r="T100" i="23"/>
  <c r="Q99" i="23"/>
  <c r="T99" i="23"/>
  <c r="Q98" i="23"/>
  <c r="T98" i="23"/>
  <c r="Q97" i="23"/>
  <c r="T97" i="23"/>
  <c r="Q96" i="23"/>
  <c r="T96" i="23"/>
  <c r="Q95" i="23"/>
  <c r="T95" i="23"/>
  <c r="Q94" i="23"/>
  <c r="T94" i="23"/>
  <c r="Q93" i="23"/>
  <c r="T93" i="23"/>
  <c r="Q92" i="23"/>
  <c r="T92" i="23"/>
  <c r="Q91" i="23"/>
  <c r="T91" i="23"/>
  <c r="Q90" i="23"/>
  <c r="T90" i="23"/>
  <c r="Q89" i="23"/>
  <c r="T89" i="23"/>
  <c r="Q88" i="23"/>
  <c r="T88" i="23"/>
  <c r="Q87" i="23"/>
  <c r="T87" i="23"/>
  <c r="Q86" i="23"/>
  <c r="T86" i="23"/>
  <c r="Q85" i="23"/>
  <c r="T85" i="23"/>
  <c r="Q84" i="23"/>
  <c r="T84" i="23"/>
  <c r="Q83" i="23"/>
  <c r="T83" i="23"/>
  <c r="Q82" i="23"/>
  <c r="T82" i="23"/>
  <c r="Q81" i="23"/>
  <c r="T81" i="23"/>
  <c r="Q80" i="23"/>
  <c r="T80" i="23"/>
  <c r="Q79" i="23"/>
  <c r="T79" i="23"/>
  <c r="Q78" i="23"/>
  <c r="T78" i="23"/>
  <c r="Q77" i="23"/>
  <c r="T77" i="23"/>
  <c r="Q76" i="23"/>
  <c r="T76" i="23"/>
  <c r="Q75" i="23"/>
  <c r="T75" i="23"/>
  <c r="Q74" i="23"/>
  <c r="T74" i="23"/>
  <c r="Q73" i="23"/>
  <c r="T73" i="23"/>
  <c r="Q72" i="23"/>
  <c r="T72" i="23"/>
  <c r="Q71" i="23"/>
  <c r="T71" i="23"/>
  <c r="Q70" i="23"/>
  <c r="T70" i="23"/>
  <c r="Q69" i="23"/>
  <c r="T69" i="23"/>
  <c r="Q68" i="23"/>
  <c r="T68" i="23"/>
  <c r="Q67" i="23"/>
  <c r="T67" i="23"/>
  <c r="Q66" i="23"/>
  <c r="T66" i="23"/>
  <c r="Q65" i="23"/>
  <c r="T65" i="23"/>
  <c r="Q64" i="23"/>
  <c r="T64" i="23"/>
  <c r="Q63" i="23"/>
  <c r="T63" i="23"/>
  <c r="Q62" i="23"/>
  <c r="T62" i="23"/>
  <c r="Q61" i="23"/>
  <c r="T61" i="23"/>
  <c r="Q60" i="23"/>
  <c r="T60" i="23"/>
  <c r="Q54" i="23"/>
  <c r="T54" i="23"/>
  <c r="Q53" i="23"/>
  <c r="T53" i="23"/>
  <c r="Q52" i="23"/>
  <c r="T52" i="23"/>
  <c r="Q51" i="23"/>
  <c r="T51" i="23"/>
  <c r="Q50" i="23"/>
  <c r="T50" i="23"/>
  <c r="Q49" i="23"/>
  <c r="T49" i="23"/>
  <c r="Q48" i="23"/>
  <c r="T48" i="23"/>
  <c r="Q47" i="23"/>
  <c r="T47" i="23"/>
  <c r="Q46" i="23"/>
  <c r="T46" i="23"/>
  <c r="Q45" i="23"/>
  <c r="T45" i="23"/>
  <c r="Q44" i="23"/>
  <c r="T44" i="23"/>
  <c r="Q43" i="23"/>
  <c r="T43" i="23"/>
  <c r="Q42" i="23"/>
  <c r="T42" i="23"/>
  <c r="Q40" i="23"/>
  <c r="T40" i="23"/>
  <c r="Q39" i="23"/>
  <c r="T39" i="23"/>
  <c r="Q38" i="23"/>
  <c r="T38" i="23"/>
  <c r="Q37" i="23"/>
  <c r="T37" i="23"/>
  <c r="Q36" i="23"/>
  <c r="T36" i="23"/>
  <c r="Q35" i="23"/>
  <c r="T35" i="23"/>
  <c r="Q34" i="23"/>
  <c r="T34" i="23"/>
  <c r="Q33" i="23"/>
  <c r="T33" i="23"/>
  <c r="Q32" i="23"/>
  <c r="T32" i="23"/>
  <c r="Q31" i="23"/>
  <c r="T31" i="23"/>
  <c r="Q30" i="23"/>
  <c r="T30" i="23"/>
  <c r="Q29" i="23"/>
  <c r="T29" i="23"/>
  <c r="Q28" i="23"/>
  <c r="T28" i="23"/>
  <c r="Q27" i="23"/>
  <c r="T27" i="23"/>
  <c r="Q26" i="23"/>
  <c r="T26" i="23"/>
  <c r="Q25" i="23"/>
  <c r="T25" i="23"/>
  <c r="Q24" i="23"/>
  <c r="T24" i="23"/>
  <c r="Q23" i="23"/>
  <c r="T23" i="23"/>
  <c r="Q22" i="23"/>
  <c r="T22" i="23"/>
  <c r="Q21" i="23"/>
  <c r="T21" i="23"/>
  <c r="Q20" i="23"/>
  <c r="T20" i="23"/>
  <c r="Q19" i="23"/>
  <c r="T19" i="23"/>
  <c r="Q18" i="23"/>
  <c r="T18" i="23"/>
  <c r="Q17" i="23"/>
  <c r="T17" i="23"/>
  <c r="Q16" i="23"/>
  <c r="T16" i="23"/>
  <c r="F198" i="24"/>
  <c r="J198" i="24"/>
  <c r="AB198" i="24"/>
  <c r="F123" i="24"/>
  <c r="J123" i="24"/>
  <c r="AC123" i="24"/>
  <c r="F122" i="24"/>
  <c r="J122" i="24"/>
  <c r="AB122" i="24"/>
  <c r="F119" i="24"/>
  <c r="J119" i="24"/>
  <c r="AD119" i="24"/>
  <c r="F42" i="24"/>
  <c r="J42" i="24"/>
  <c r="AB42" i="24"/>
  <c r="AD222" i="24"/>
  <c r="AD221" i="24"/>
  <c r="Z219" i="24"/>
  <c r="Y230" i="24"/>
  <c r="Y219" i="24"/>
  <c r="Y227" i="24"/>
  <c r="R219" i="24"/>
  <c r="P219" i="24"/>
  <c r="O219" i="24"/>
  <c r="N219" i="24"/>
  <c r="M219" i="24"/>
  <c r="L219" i="24"/>
  <c r="H219" i="24"/>
  <c r="G219" i="24"/>
  <c r="AH218" i="24"/>
  <c r="AG218" i="24"/>
  <c r="Q218" i="24"/>
  <c r="AF218" i="24"/>
  <c r="AD218" i="24"/>
  <c r="AC218" i="24"/>
  <c r="X218" i="24"/>
  <c r="W218" i="24"/>
  <c r="T218" i="24"/>
  <c r="F218" i="25"/>
  <c r="J218" i="25"/>
  <c r="AB218" i="25"/>
  <c r="V218" i="24"/>
  <c r="AA218" i="24"/>
  <c r="AG217" i="24"/>
  <c r="AF217" i="24"/>
  <c r="AC217" i="24"/>
  <c r="Q217" i="24"/>
  <c r="AH217" i="24"/>
  <c r="AJ217" i="24"/>
  <c r="W217" i="24"/>
  <c r="V217" i="24"/>
  <c r="T217" i="24"/>
  <c r="F217" i="25"/>
  <c r="J217" i="25"/>
  <c r="AD217" i="25"/>
  <c r="AG216" i="24"/>
  <c r="AF216" i="24"/>
  <c r="AC216" i="24"/>
  <c r="AB216" i="24"/>
  <c r="W216" i="24"/>
  <c r="V216" i="24"/>
  <c r="Q216" i="24"/>
  <c r="T216" i="24"/>
  <c r="F216" i="25"/>
  <c r="J216" i="25"/>
  <c r="AD216" i="25"/>
  <c r="X216" i="24"/>
  <c r="AH215" i="24"/>
  <c r="AG215" i="24"/>
  <c r="AD215" i="24"/>
  <c r="AC215" i="24"/>
  <c r="X215" i="24"/>
  <c r="W215" i="24"/>
  <c r="Q215" i="24"/>
  <c r="T215" i="24"/>
  <c r="F215" i="25"/>
  <c r="J215" i="25"/>
  <c r="AB215" i="25"/>
  <c r="AF215" i="24"/>
  <c r="AH214" i="24"/>
  <c r="AG214" i="24"/>
  <c r="AD214" i="24"/>
  <c r="AC214" i="24"/>
  <c r="X214" i="24"/>
  <c r="W214" i="24"/>
  <c r="V214" i="24"/>
  <c r="AH213" i="24"/>
  <c r="AG213" i="24"/>
  <c r="AD213" i="24"/>
  <c r="AC213" i="24"/>
  <c r="X213" i="24"/>
  <c r="W213" i="24"/>
  <c r="Q213" i="24"/>
  <c r="T213" i="24"/>
  <c r="F213" i="25"/>
  <c r="J213" i="25"/>
  <c r="AB213" i="25"/>
  <c r="AF213" i="24"/>
  <c r="AH212" i="24"/>
  <c r="AF212" i="24"/>
  <c r="AD212" i="24"/>
  <c r="AB212" i="24"/>
  <c r="X212" i="24"/>
  <c r="W212" i="24"/>
  <c r="V212" i="24"/>
  <c r="AA212" i="24"/>
  <c r="AG212" i="24"/>
  <c r="AH211" i="24"/>
  <c r="AG211" i="24"/>
  <c r="AD211" i="24"/>
  <c r="AC211" i="24"/>
  <c r="X211" i="24"/>
  <c r="W211" i="24"/>
  <c r="Q211" i="24"/>
  <c r="T211" i="24"/>
  <c r="F211" i="25"/>
  <c r="J211" i="25"/>
  <c r="AB211" i="25"/>
  <c r="AF211" i="24"/>
  <c r="AH210" i="24"/>
  <c r="AF210" i="24"/>
  <c r="AD210" i="24"/>
  <c r="AB210" i="24"/>
  <c r="X210" i="24"/>
  <c r="W210" i="24"/>
  <c r="V210" i="24"/>
  <c r="AA210" i="24"/>
  <c r="F210" i="25"/>
  <c r="J210" i="25"/>
  <c r="AC210" i="25"/>
  <c r="AG210" i="24"/>
  <c r="AH209" i="24"/>
  <c r="AF209" i="24"/>
  <c r="AD209" i="24"/>
  <c r="AB209" i="24"/>
  <c r="X209" i="24"/>
  <c r="V209" i="24"/>
  <c r="F209" i="25"/>
  <c r="J209" i="25"/>
  <c r="AC209" i="25"/>
  <c r="W209" i="24"/>
  <c r="AH208" i="24"/>
  <c r="AF208" i="24"/>
  <c r="AD208" i="24"/>
  <c r="AB208" i="24"/>
  <c r="X208" i="24"/>
  <c r="W208" i="24"/>
  <c r="V208" i="24"/>
  <c r="AA208" i="24"/>
  <c r="F208" i="25"/>
  <c r="J208" i="25"/>
  <c r="AC208" i="25"/>
  <c r="AG208" i="24"/>
  <c r="AH207" i="24"/>
  <c r="AF207" i="24"/>
  <c r="AD207" i="24"/>
  <c r="AB207" i="24"/>
  <c r="X207" i="24"/>
  <c r="V207" i="24"/>
  <c r="F207" i="25"/>
  <c r="J207" i="25"/>
  <c r="AC207" i="25"/>
  <c r="W207" i="24"/>
  <c r="AH206" i="24"/>
  <c r="AG206" i="24"/>
  <c r="AD206" i="24"/>
  <c r="AC206" i="24"/>
  <c r="X206" i="24"/>
  <c r="W206" i="24"/>
  <c r="F206" i="25"/>
  <c r="J206" i="25"/>
  <c r="AB206" i="25"/>
  <c r="V206" i="24"/>
  <c r="AH205" i="24"/>
  <c r="AG205" i="24"/>
  <c r="AD205" i="24"/>
  <c r="AC205" i="24"/>
  <c r="X205" i="24"/>
  <c r="W205" i="24"/>
  <c r="F205" i="25"/>
  <c r="J205" i="25"/>
  <c r="AB205" i="25"/>
  <c r="AF205" i="24"/>
  <c r="AG204" i="24"/>
  <c r="AF204" i="24"/>
  <c r="AC204" i="24"/>
  <c r="AB204" i="24"/>
  <c r="W204" i="24"/>
  <c r="V204" i="24"/>
  <c r="F204" i="25"/>
  <c r="J204" i="25"/>
  <c r="AD204" i="25"/>
  <c r="X204" i="24"/>
  <c r="AH203" i="24"/>
  <c r="AF203" i="24"/>
  <c r="AD203" i="24"/>
  <c r="AB203" i="24"/>
  <c r="X203" i="24"/>
  <c r="V203" i="24"/>
  <c r="F203" i="25"/>
  <c r="J203" i="25"/>
  <c r="AC203" i="25"/>
  <c r="W203" i="24"/>
  <c r="AH202" i="24"/>
  <c r="AG202" i="24"/>
  <c r="AD202" i="24"/>
  <c r="AC202" i="24"/>
  <c r="X202" i="24"/>
  <c r="W202" i="24"/>
  <c r="F202" i="25"/>
  <c r="J202" i="25"/>
  <c r="AB202" i="25"/>
  <c r="V202" i="24"/>
  <c r="AH201" i="24"/>
  <c r="AG201" i="24"/>
  <c r="AD201" i="24"/>
  <c r="AC201" i="24"/>
  <c r="X201" i="24"/>
  <c r="W201" i="24"/>
  <c r="F201" i="25"/>
  <c r="J201" i="25"/>
  <c r="AB201" i="25"/>
  <c r="AF201" i="24"/>
  <c r="AG200" i="24"/>
  <c r="AF200" i="24"/>
  <c r="AC200" i="24"/>
  <c r="AB200" i="24"/>
  <c r="W200" i="24"/>
  <c r="V200" i="24"/>
  <c r="F200" i="25"/>
  <c r="J200" i="25"/>
  <c r="AD200" i="25"/>
  <c r="X200" i="24"/>
  <c r="AH199" i="24"/>
  <c r="AG199" i="24"/>
  <c r="AD199" i="24"/>
  <c r="AC199" i="24"/>
  <c r="X199" i="24"/>
  <c r="W199" i="24"/>
  <c r="F199" i="25"/>
  <c r="J199" i="25"/>
  <c r="AB199" i="25"/>
  <c r="AF199" i="24"/>
  <c r="AH198" i="24"/>
  <c r="AG198" i="24"/>
  <c r="AD198" i="24"/>
  <c r="AC198" i="24"/>
  <c r="X198" i="24"/>
  <c r="W198" i="24"/>
  <c r="V198" i="24"/>
  <c r="AA198" i="24"/>
  <c r="AH197" i="24"/>
  <c r="AG197" i="24"/>
  <c r="AD197" i="24"/>
  <c r="AC197" i="24"/>
  <c r="X197" i="24"/>
  <c r="W197" i="24"/>
  <c r="F197" i="25"/>
  <c r="J197" i="25"/>
  <c r="AB197" i="25"/>
  <c r="V197" i="24"/>
  <c r="AG196" i="24"/>
  <c r="AF196" i="24"/>
  <c r="AC196" i="24"/>
  <c r="AB196" i="24"/>
  <c r="W196" i="24"/>
  <c r="V196" i="24"/>
  <c r="F196" i="25"/>
  <c r="J196" i="25"/>
  <c r="AD196" i="25"/>
  <c r="AH196" i="24"/>
  <c r="AH195" i="24"/>
  <c r="AF195" i="24"/>
  <c r="AD195" i="24"/>
  <c r="AB195" i="24"/>
  <c r="X195" i="24"/>
  <c r="W195" i="24"/>
  <c r="V195" i="24"/>
  <c r="AA195" i="24"/>
  <c r="F195" i="25"/>
  <c r="J195" i="25"/>
  <c r="AC195" i="25"/>
  <c r="AG195" i="24"/>
  <c r="AG194" i="24"/>
  <c r="AF194" i="24"/>
  <c r="AC194" i="24"/>
  <c r="AB194" i="24"/>
  <c r="W194" i="24"/>
  <c r="V194" i="24"/>
  <c r="F194" i="25"/>
  <c r="J194" i="25"/>
  <c r="AD194" i="25"/>
  <c r="AH194" i="24"/>
  <c r="AH193" i="24"/>
  <c r="AF193" i="24"/>
  <c r="AD193" i="24"/>
  <c r="AB193" i="24"/>
  <c r="X193" i="24"/>
  <c r="W193" i="24"/>
  <c r="V193" i="24"/>
  <c r="AA193" i="24"/>
  <c r="F193" i="25"/>
  <c r="J193" i="25"/>
  <c r="AC193" i="25"/>
  <c r="AG193" i="24"/>
  <c r="AH192" i="24"/>
  <c r="AF192" i="24"/>
  <c r="AD192" i="24"/>
  <c r="AB192" i="24"/>
  <c r="X192" i="24"/>
  <c r="V192" i="24"/>
  <c r="F192" i="25"/>
  <c r="J192" i="25"/>
  <c r="AC192" i="25"/>
  <c r="W192" i="24"/>
  <c r="AH191" i="24"/>
  <c r="AF191" i="24"/>
  <c r="AD191" i="24"/>
  <c r="AB191" i="24"/>
  <c r="X191" i="24"/>
  <c r="W191" i="24"/>
  <c r="V191" i="24"/>
  <c r="AA191" i="24"/>
  <c r="F191" i="25"/>
  <c r="J191" i="25"/>
  <c r="AC191" i="25"/>
  <c r="AG191" i="24"/>
  <c r="AH190" i="24"/>
  <c r="AF190" i="24"/>
  <c r="AD190" i="24"/>
  <c r="AB190" i="24"/>
  <c r="X190" i="24"/>
  <c r="V190" i="24"/>
  <c r="F190" i="25"/>
  <c r="J190" i="25"/>
  <c r="AC190" i="25"/>
  <c r="W190" i="24"/>
  <c r="AH189" i="24"/>
  <c r="AF189" i="24"/>
  <c r="AD189" i="24"/>
  <c r="AB189" i="24"/>
  <c r="X189" i="24"/>
  <c r="W189" i="24"/>
  <c r="V189" i="24"/>
  <c r="AA189" i="24"/>
  <c r="F189" i="25"/>
  <c r="J189" i="25"/>
  <c r="AC189" i="25"/>
  <c r="AG189" i="24"/>
  <c r="AH188" i="24"/>
  <c r="AF188" i="24"/>
  <c r="AD188" i="24"/>
  <c r="AB188" i="24"/>
  <c r="X188" i="24"/>
  <c r="V188" i="24"/>
  <c r="F188" i="25"/>
  <c r="J188" i="25"/>
  <c r="AC188" i="25"/>
  <c r="W188" i="24"/>
  <c r="AH187" i="24"/>
  <c r="AG187" i="24"/>
  <c r="AD187" i="24"/>
  <c r="AC187" i="24"/>
  <c r="F187" i="24"/>
  <c r="J187" i="24"/>
  <c r="AB187" i="24"/>
  <c r="X187" i="24"/>
  <c r="W187" i="24"/>
  <c r="F187" i="25"/>
  <c r="J187" i="25"/>
  <c r="AB187" i="25"/>
  <c r="V187" i="24"/>
  <c r="AH186" i="24"/>
  <c r="AG186" i="24"/>
  <c r="AD186" i="24"/>
  <c r="AC186" i="24"/>
  <c r="X186" i="24"/>
  <c r="W186" i="24"/>
  <c r="F186" i="25"/>
  <c r="J186" i="25"/>
  <c r="AB186" i="25"/>
  <c r="AF186" i="24"/>
  <c r="AH185" i="24"/>
  <c r="AG185" i="24"/>
  <c r="AD185" i="24"/>
  <c r="AC185" i="24"/>
  <c r="X185" i="24"/>
  <c r="W185" i="24"/>
  <c r="F185" i="25"/>
  <c r="J185" i="25"/>
  <c r="AB185" i="25"/>
  <c r="V185" i="24"/>
  <c r="AH184" i="24"/>
  <c r="AF184" i="24"/>
  <c r="AD184" i="24"/>
  <c r="AB184" i="24"/>
  <c r="X184" i="24"/>
  <c r="V184" i="24"/>
  <c r="F184" i="25"/>
  <c r="J184" i="25"/>
  <c r="AC184" i="25"/>
  <c r="W184" i="24"/>
  <c r="AH183" i="24"/>
  <c r="AF183" i="24"/>
  <c r="AD183" i="24"/>
  <c r="AB183" i="24"/>
  <c r="X183" i="24"/>
  <c r="W183" i="24"/>
  <c r="V183" i="24"/>
  <c r="AA183" i="24"/>
  <c r="AG183" i="24"/>
  <c r="AH182" i="24"/>
  <c r="AF182" i="24"/>
  <c r="AD182" i="24"/>
  <c r="AB182" i="24"/>
  <c r="X182" i="24"/>
  <c r="V182" i="24"/>
  <c r="F182" i="25"/>
  <c r="J182" i="25"/>
  <c r="AC182" i="25"/>
  <c r="W182" i="24"/>
  <c r="AH181" i="24"/>
  <c r="AF181" i="24"/>
  <c r="AD181" i="24"/>
  <c r="AB181" i="24"/>
  <c r="X181" i="24"/>
  <c r="W181" i="24"/>
  <c r="V181" i="24"/>
  <c r="AA181" i="24"/>
  <c r="F181" i="25"/>
  <c r="J181" i="25"/>
  <c r="AC181" i="25"/>
  <c r="AG181" i="24"/>
  <c r="AH180" i="24"/>
  <c r="AG180" i="24"/>
  <c r="AD180" i="24"/>
  <c r="AC180" i="24"/>
  <c r="X180" i="24"/>
  <c r="W180" i="24"/>
  <c r="F180" i="25"/>
  <c r="J180" i="25"/>
  <c r="AB180" i="25"/>
  <c r="AF180" i="24"/>
  <c r="AH179" i="24"/>
  <c r="AG179" i="24"/>
  <c r="AD179" i="24"/>
  <c r="AC179" i="24"/>
  <c r="X179" i="24"/>
  <c r="W179" i="24"/>
  <c r="F179" i="25"/>
  <c r="J179" i="25"/>
  <c r="AB179" i="25"/>
  <c r="V179" i="24"/>
  <c r="AH178" i="24"/>
  <c r="AG178" i="24"/>
  <c r="AD178" i="24"/>
  <c r="AC178" i="24"/>
  <c r="X178" i="24"/>
  <c r="W178" i="24"/>
  <c r="F178" i="25"/>
  <c r="J178" i="25"/>
  <c r="AB178" i="25"/>
  <c r="AF178" i="24"/>
  <c r="AH177" i="24"/>
  <c r="AG177" i="24"/>
  <c r="AD177" i="24"/>
  <c r="X177" i="24"/>
  <c r="W177" i="24"/>
  <c r="F177" i="25"/>
  <c r="J177" i="25"/>
  <c r="AC177" i="25"/>
  <c r="V177" i="24"/>
  <c r="AH176" i="24"/>
  <c r="AG176" i="24"/>
  <c r="AD176" i="24"/>
  <c r="AC176" i="24"/>
  <c r="X176" i="24"/>
  <c r="W176" i="24"/>
  <c r="F176" i="25"/>
  <c r="J176" i="25"/>
  <c r="AB176" i="25"/>
  <c r="AF176" i="24"/>
  <c r="AH175" i="24"/>
  <c r="AF175" i="24"/>
  <c r="AD175" i="24"/>
  <c r="AB175" i="24"/>
  <c r="X175" i="24"/>
  <c r="W175" i="24"/>
  <c r="V175" i="24"/>
  <c r="AA175" i="24"/>
  <c r="F175" i="25"/>
  <c r="J175" i="25"/>
  <c r="AC175" i="25"/>
  <c r="AG175" i="24"/>
  <c r="AH174" i="24"/>
  <c r="AG174" i="24"/>
  <c r="AD174" i="24"/>
  <c r="AC174" i="24"/>
  <c r="X174" i="24"/>
  <c r="W174" i="24"/>
  <c r="F174" i="25"/>
  <c r="J174" i="25"/>
  <c r="AB174" i="25"/>
  <c r="AF174" i="24"/>
  <c r="AG173" i="24"/>
  <c r="AF173" i="24"/>
  <c r="AC173" i="24"/>
  <c r="AB173" i="24"/>
  <c r="W173" i="24"/>
  <c r="V173" i="24"/>
  <c r="X173" i="24"/>
  <c r="AA173" i="24"/>
  <c r="AH172" i="24"/>
  <c r="AF172" i="24"/>
  <c r="AD172" i="24"/>
  <c r="AB172" i="24"/>
  <c r="X172" i="24"/>
  <c r="V172" i="24"/>
  <c r="W172" i="24"/>
  <c r="AH171" i="24"/>
  <c r="AG171" i="24"/>
  <c r="AD171" i="24"/>
  <c r="AC171" i="24"/>
  <c r="F171" i="24"/>
  <c r="J171" i="24"/>
  <c r="AB171" i="24"/>
  <c r="X171" i="24"/>
  <c r="W171" i="24"/>
  <c r="F171" i="25"/>
  <c r="J171" i="25"/>
  <c r="AB171" i="25"/>
  <c r="V171" i="24"/>
  <c r="AA171" i="24"/>
  <c r="AH170" i="24"/>
  <c r="AF170" i="24"/>
  <c r="AD170" i="24"/>
  <c r="AB170" i="24"/>
  <c r="X170" i="24"/>
  <c r="V170" i="24"/>
  <c r="F170" i="25"/>
  <c r="J170" i="25"/>
  <c r="AC170" i="25"/>
  <c r="W170" i="24"/>
  <c r="AH169" i="24"/>
  <c r="AF169" i="24"/>
  <c r="AD169" i="24"/>
  <c r="AB169" i="24"/>
  <c r="X169" i="24"/>
  <c r="V169" i="24"/>
  <c r="AG169" i="24"/>
  <c r="AH168" i="24"/>
  <c r="AG168" i="24"/>
  <c r="AD168" i="24"/>
  <c r="AC168" i="24"/>
  <c r="X168" i="24"/>
  <c r="W168" i="24"/>
  <c r="V168" i="24"/>
  <c r="AH167" i="24"/>
  <c r="AF167" i="24"/>
  <c r="AD167" i="24"/>
  <c r="AB167" i="24"/>
  <c r="F167" i="24"/>
  <c r="J167" i="24"/>
  <c r="AC167" i="24"/>
  <c r="X167" i="24"/>
  <c r="W167" i="24"/>
  <c r="V167" i="24"/>
  <c r="AA167" i="24"/>
  <c r="F167" i="25"/>
  <c r="J167" i="25"/>
  <c r="AC167" i="25"/>
  <c r="AG167" i="24"/>
  <c r="AH166" i="24"/>
  <c r="AG166" i="24"/>
  <c r="AD166" i="24"/>
  <c r="AC166" i="24"/>
  <c r="X166" i="24"/>
  <c r="W166" i="24"/>
  <c r="F166" i="25"/>
  <c r="J166" i="25"/>
  <c r="AB166" i="25"/>
  <c r="AF166" i="24"/>
  <c r="AH165" i="24"/>
  <c r="AG165" i="24"/>
  <c r="AD165" i="24"/>
  <c r="AC165" i="24"/>
  <c r="F165" i="24"/>
  <c r="J165" i="24"/>
  <c r="AB165" i="24"/>
  <c r="X165" i="24"/>
  <c r="W165" i="24"/>
  <c r="F165" i="25"/>
  <c r="J165" i="25"/>
  <c r="AB165" i="25"/>
  <c r="V165" i="24"/>
  <c r="AH164" i="24"/>
  <c r="AG164" i="24"/>
  <c r="AD164" i="24"/>
  <c r="AC164" i="24"/>
  <c r="X164" i="24"/>
  <c r="W164" i="24"/>
  <c r="F164" i="25"/>
  <c r="J164" i="25"/>
  <c r="AB164" i="25"/>
  <c r="AF164" i="24"/>
  <c r="AH163" i="24"/>
  <c r="AG163" i="24"/>
  <c r="AD163" i="24"/>
  <c r="AC163" i="24"/>
  <c r="X163" i="24"/>
  <c r="W163" i="24"/>
  <c r="F163" i="25"/>
  <c r="J163" i="25"/>
  <c r="AB163" i="25"/>
  <c r="V163" i="24"/>
  <c r="AH162" i="24"/>
  <c r="AG162" i="24"/>
  <c r="AD162" i="24"/>
  <c r="AC162" i="24"/>
  <c r="X162" i="24"/>
  <c r="W162" i="24"/>
  <c r="F162" i="25"/>
  <c r="J162" i="25"/>
  <c r="AB162" i="25"/>
  <c r="AF162" i="24"/>
  <c r="AH161" i="24"/>
  <c r="AG161" i="24"/>
  <c r="AD161" i="24"/>
  <c r="AC161" i="24"/>
  <c r="X161" i="24"/>
  <c r="W161" i="24"/>
  <c r="F161" i="25"/>
  <c r="J161" i="25"/>
  <c r="AB161" i="25"/>
  <c r="V161" i="24"/>
  <c r="AH160" i="24"/>
  <c r="AG160" i="24"/>
  <c r="AD160" i="24"/>
  <c r="AC160" i="24"/>
  <c r="X160" i="24"/>
  <c r="W160" i="24"/>
  <c r="F160" i="25"/>
  <c r="J160" i="25"/>
  <c r="AB160" i="25"/>
  <c r="AF160" i="24"/>
  <c r="AH159" i="24"/>
  <c r="AF159" i="24"/>
  <c r="AD159" i="24"/>
  <c r="AB159" i="24"/>
  <c r="X159" i="24"/>
  <c r="W159" i="24"/>
  <c r="V159" i="24"/>
  <c r="AA159" i="24"/>
  <c r="F159" i="25"/>
  <c r="J159" i="25"/>
  <c r="AC159" i="25"/>
  <c r="AG159" i="24"/>
  <c r="AH158" i="24"/>
  <c r="AG158" i="24"/>
  <c r="AD158" i="24"/>
  <c r="AC158" i="24"/>
  <c r="X158" i="24"/>
  <c r="W158" i="24"/>
  <c r="F158" i="25"/>
  <c r="J158" i="25"/>
  <c r="AB158" i="25"/>
  <c r="AF158" i="24"/>
  <c r="AH157" i="24"/>
  <c r="AF157" i="24"/>
  <c r="AD157" i="24"/>
  <c r="AB157" i="24"/>
  <c r="X157" i="24"/>
  <c r="W157" i="24"/>
  <c r="V157" i="24"/>
  <c r="AA157" i="24"/>
  <c r="F157" i="25"/>
  <c r="J157" i="25"/>
  <c r="AC157" i="25"/>
  <c r="AG157" i="24"/>
  <c r="AH156" i="24"/>
  <c r="AF156" i="24"/>
  <c r="AD156" i="24"/>
  <c r="AB156" i="24"/>
  <c r="X156" i="24"/>
  <c r="V156" i="24"/>
  <c r="F156" i="25"/>
  <c r="J156" i="25"/>
  <c r="AC156" i="25"/>
  <c r="W156" i="24"/>
  <c r="AH155" i="24"/>
  <c r="AF155" i="24"/>
  <c r="AD155" i="24"/>
  <c r="AB155" i="24"/>
  <c r="X155" i="24"/>
  <c r="V155" i="24"/>
  <c r="F155" i="25"/>
  <c r="J155" i="25"/>
  <c r="AC155" i="25"/>
  <c r="AG155" i="24"/>
  <c r="AH154" i="24"/>
  <c r="AF154" i="24"/>
  <c r="AD154" i="24"/>
  <c r="AB154" i="24"/>
  <c r="X154" i="24"/>
  <c r="V154" i="24"/>
  <c r="F154" i="25"/>
  <c r="J154" i="25"/>
  <c r="AC154" i="25"/>
  <c r="W154" i="24"/>
  <c r="AH153" i="24"/>
  <c r="AF153" i="24"/>
  <c r="AD153" i="24"/>
  <c r="AB153" i="24"/>
  <c r="X153" i="24"/>
  <c r="W153" i="24"/>
  <c r="V153" i="24"/>
  <c r="AA153" i="24"/>
  <c r="F153" i="25"/>
  <c r="J153" i="25"/>
  <c r="AC153" i="25"/>
  <c r="AG153" i="24"/>
  <c r="AH152" i="24"/>
  <c r="AG152" i="24"/>
  <c r="AD152" i="24"/>
  <c r="AC152" i="24"/>
  <c r="X152" i="24"/>
  <c r="W152" i="24"/>
  <c r="F152" i="25"/>
  <c r="J152" i="25"/>
  <c r="AB152" i="25"/>
  <c r="AF152" i="24"/>
  <c r="AH151" i="24"/>
  <c r="AG151" i="24"/>
  <c r="AD151" i="24"/>
  <c r="AC151" i="24"/>
  <c r="X151" i="24"/>
  <c r="W151" i="24"/>
  <c r="F151" i="25"/>
  <c r="J151" i="25"/>
  <c r="AB151" i="25"/>
  <c r="V151" i="24"/>
  <c r="AH150" i="24"/>
  <c r="AF150" i="24"/>
  <c r="AD150" i="24"/>
  <c r="AB150" i="24"/>
  <c r="X150" i="24"/>
  <c r="V150" i="24"/>
  <c r="F150" i="25"/>
  <c r="J150" i="25"/>
  <c r="AC150" i="25"/>
  <c r="W150" i="24"/>
  <c r="AH149" i="24"/>
  <c r="AF149" i="24"/>
  <c r="AD149" i="24"/>
  <c r="AB149" i="24"/>
  <c r="X149" i="24"/>
  <c r="V149" i="24"/>
  <c r="F149" i="25"/>
  <c r="J149" i="25"/>
  <c r="AC149" i="25"/>
  <c r="AG149" i="24"/>
  <c r="AH148" i="24"/>
  <c r="AG148" i="24"/>
  <c r="AD148" i="24"/>
  <c r="AC148" i="24"/>
  <c r="X148" i="24"/>
  <c r="W148" i="24"/>
  <c r="AF148" i="24"/>
  <c r="AG147" i="24"/>
  <c r="AF147" i="24"/>
  <c r="AC147" i="24"/>
  <c r="AB147" i="24"/>
  <c r="F147" i="24"/>
  <c r="J147" i="24"/>
  <c r="AD147" i="24"/>
  <c r="W147" i="24"/>
  <c r="V147" i="24"/>
  <c r="F147" i="25"/>
  <c r="J147" i="25"/>
  <c r="AD147" i="25"/>
  <c r="X147" i="24"/>
  <c r="AH146" i="24"/>
  <c r="AG146" i="24"/>
  <c r="AF146" i="24"/>
  <c r="AD146" i="24"/>
  <c r="AB146" i="24"/>
  <c r="X146" i="24"/>
  <c r="V146" i="24"/>
  <c r="F146" i="25"/>
  <c r="J146" i="25"/>
  <c r="AC146" i="25"/>
  <c r="W146" i="24"/>
  <c r="AH145" i="24"/>
  <c r="AF145" i="24"/>
  <c r="AD145" i="24"/>
  <c r="AB145" i="24"/>
  <c r="X145" i="24"/>
  <c r="W145" i="24"/>
  <c r="V145" i="24"/>
  <c r="AA145" i="24"/>
  <c r="F145" i="25"/>
  <c r="J145" i="25"/>
  <c r="AC145" i="25"/>
  <c r="AG145" i="24"/>
  <c r="AG144" i="24"/>
  <c r="AF144" i="24"/>
  <c r="AC144" i="24"/>
  <c r="AB144" i="24"/>
  <c r="W144" i="24"/>
  <c r="V144" i="24"/>
  <c r="F144" i="25"/>
  <c r="J144" i="25"/>
  <c r="AD144" i="25"/>
  <c r="AH144" i="24"/>
  <c r="AH143" i="24"/>
  <c r="AG143" i="24"/>
  <c r="AD143" i="24"/>
  <c r="AC143" i="24"/>
  <c r="X143" i="24"/>
  <c r="W143" i="24"/>
  <c r="F143" i="25"/>
  <c r="J143" i="25"/>
  <c r="AB143" i="25"/>
  <c r="V143" i="24"/>
  <c r="AH142" i="24"/>
  <c r="AG142" i="24"/>
  <c r="AD142" i="24"/>
  <c r="AC142" i="24"/>
  <c r="X142" i="24"/>
  <c r="W142" i="24"/>
  <c r="F142" i="25"/>
  <c r="J142" i="25"/>
  <c r="AB142" i="25"/>
  <c r="AF142" i="24"/>
  <c r="AH141" i="24"/>
  <c r="AG141" i="24"/>
  <c r="AD141" i="24"/>
  <c r="AC141" i="24"/>
  <c r="X141" i="24"/>
  <c r="W141" i="24"/>
  <c r="F141" i="25"/>
  <c r="J141" i="25"/>
  <c r="AB141" i="25"/>
  <c r="V141" i="24"/>
  <c r="AH140" i="24"/>
  <c r="AF140" i="24"/>
  <c r="AD140" i="24"/>
  <c r="AB140" i="24"/>
  <c r="X140" i="24"/>
  <c r="V140" i="24"/>
  <c r="F140" i="25"/>
  <c r="J140" i="25"/>
  <c r="AC140" i="25"/>
  <c r="AG140" i="24"/>
  <c r="AH139" i="24"/>
  <c r="AF139" i="24"/>
  <c r="AD139" i="24"/>
  <c r="AB139" i="24"/>
  <c r="X139" i="24"/>
  <c r="W139" i="24"/>
  <c r="V139" i="24"/>
  <c r="AA139" i="24"/>
  <c r="F139" i="25"/>
  <c r="J139" i="25"/>
  <c r="AC139" i="25"/>
  <c r="AG139" i="24"/>
  <c r="AG138" i="24"/>
  <c r="AF138" i="24"/>
  <c r="AC138" i="24"/>
  <c r="AB138" i="24"/>
  <c r="W138" i="24"/>
  <c r="V138" i="24"/>
  <c r="F138" i="25"/>
  <c r="J138" i="25"/>
  <c r="AD138" i="25"/>
  <c r="X138" i="24"/>
  <c r="AH137" i="24"/>
  <c r="AG137" i="24"/>
  <c r="AD137" i="24"/>
  <c r="AC137" i="24"/>
  <c r="X137" i="24"/>
  <c r="W137" i="24"/>
  <c r="F137" i="25"/>
  <c r="J137" i="25"/>
  <c r="AB137" i="25"/>
  <c r="V137" i="24"/>
  <c r="AH136" i="24"/>
  <c r="AG136" i="24"/>
  <c r="AD136" i="24"/>
  <c r="AC136" i="24"/>
  <c r="X136" i="24"/>
  <c r="W136" i="24"/>
  <c r="F136" i="25"/>
  <c r="J136" i="25"/>
  <c r="AB136" i="25"/>
  <c r="V136" i="24"/>
  <c r="AH135" i="24"/>
  <c r="AF135" i="24"/>
  <c r="AD135" i="24"/>
  <c r="AB135" i="24"/>
  <c r="X135" i="24"/>
  <c r="V135" i="24"/>
  <c r="F135" i="25"/>
  <c r="J135" i="25"/>
  <c r="AC135" i="25"/>
  <c r="W135" i="24"/>
  <c r="AH134" i="24"/>
  <c r="AF134" i="24"/>
  <c r="AD134" i="24"/>
  <c r="AB134" i="24"/>
  <c r="X134" i="24"/>
  <c r="W134" i="24"/>
  <c r="V134" i="24"/>
  <c r="AA134" i="24"/>
  <c r="F134" i="25"/>
  <c r="J134" i="25"/>
  <c r="AC134" i="25"/>
  <c r="AG134" i="24"/>
  <c r="AH133" i="24"/>
  <c r="AG133" i="24"/>
  <c r="AD133" i="24"/>
  <c r="AC133" i="24"/>
  <c r="X133" i="24"/>
  <c r="W133" i="24"/>
  <c r="F133" i="25"/>
  <c r="J133" i="25"/>
  <c r="AB133" i="25"/>
  <c r="AF133" i="24"/>
  <c r="AH132" i="24"/>
  <c r="AG132" i="24"/>
  <c r="AD132" i="24"/>
  <c r="AC132" i="24"/>
  <c r="X132" i="24"/>
  <c r="W132" i="24"/>
  <c r="F132" i="25"/>
  <c r="J132" i="25"/>
  <c r="AB132" i="25"/>
  <c r="V132" i="24"/>
  <c r="AH131" i="24"/>
  <c r="AG131" i="24"/>
  <c r="AD131" i="24"/>
  <c r="AC131" i="24"/>
  <c r="X131" i="24"/>
  <c r="W131" i="24"/>
  <c r="F131" i="25"/>
  <c r="J131" i="25"/>
  <c r="AB131" i="25"/>
  <c r="V131" i="24"/>
  <c r="AH130" i="24"/>
  <c r="AG130" i="24"/>
  <c r="AD130" i="24"/>
  <c r="AC130" i="24"/>
  <c r="X130" i="24"/>
  <c r="W130" i="24"/>
  <c r="V130" i="24"/>
  <c r="AA130" i="24"/>
  <c r="AH129" i="24"/>
  <c r="AG129" i="24"/>
  <c r="AD129" i="24"/>
  <c r="AC129" i="24"/>
  <c r="X129" i="24"/>
  <c r="W129" i="24"/>
  <c r="F129" i="25"/>
  <c r="J129" i="25"/>
  <c r="AB129" i="25"/>
  <c r="V129" i="24"/>
  <c r="AH128" i="24"/>
  <c r="AG128" i="24"/>
  <c r="AD128" i="24"/>
  <c r="AC128" i="24"/>
  <c r="X128" i="24"/>
  <c r="W128" i="24"/>
  <c r="F128" i="25"/>
  <c r="J128" i="25"/>
  <c r="AB128" i="25"/>
  <c r="V128" i="24"/>
  <c r="AH127" i="24"/>
  <c r="AG127" i="24"/>
  <c r="AD127" i="24"/>
  <c r="AC127" i="24"/>
  <c r="X127" i="24"/>
  <c r="W127" i="24"/>
  <c r="F127" i="25"/>
  <c r="J127" i="25"/>
  <c r="AB127" i="25"/>
  <c r="V127" i="24"/>
  <c r="AH126" i="24"/>
  <c r="AG126" i="24"/>
  <c r="AD126" i="24"/>
  <c r="AC126" i="24"/>
  <c r="X126" i="24"/>
  <c r="W126" i="24"/>
  <c r="F126" i="25"/>
  <c r="J126" i="25"/>
  <c r="AB126" i="25"/>
  <c r="V126" i="24"/>
  <c r="AH125" i="24"/>
  <c r="AG125" i="24"/>
  <c r="AD125" i="24"/>
  <c r="AC125" i="24"/>
  <c r="X125" i="24"/>
  <c r="W125" i="24"/>
  <c r="F125" i="25"/>
  <c r="J125" i="25"/>
  <c r="AB125" i="25"/>
  <c r="V125" i="24"/>
  <c r="AH124" i="24"/>
  <c r="AG124" i="24"/>
  <c r="AD124" i="24"/>
  <c r="AC124" i="24"/>
  <c r="X124" i="24"/>
  <c r="W124" i="24"/>
  <c r="F124" i="25"/>
  <c r="J124" i="25"/>
  <c r="AB124" i="25"/>
  <c r="V124" i="24"/>
  <c r="AH123" i="24"/>
  <c r="AF123" i="24"/>
  <c r="AD123" i="24"/>
  <c r="AB123" i="24"/>
  <c r="X123" i="24"/>
  <c r="V123" i="24"/>
  <c r="AG123" i="24"/>
  <c r="AH122" i="24"/>
  <c r="AG122" i="24"/>
  <c r="AD122" i="24"/>
  <c r="AC122" i="24"/>
  <c r="X122" i="24"/>
  <c r="W122" i="24"/>
  <c r="V122" i="24"/>
  <c r="AH121" i="24"/>
  <c r="AF121" i="24"/>
  <c r="AD121" i="24"/>
  <c r="AB121" i="24"/>
  <c r="X121" i="24"/>
  <c r="V121" i="24"/>
  <c r="F121" i="25"/>
  <c r="J121" i="25"/>
  <c r="AC121" i="25"/>
  <c r="AG121" i="24"/>
  <c r="AH120" i="24"/>
  <c r="AF120" i="24"/>
  <c r="AD120" i="24"/>
  <c r="AB120" i="24"/>
  <c r="X120" i="24"/>
  <c r="V120" i="24"/>
  <c r="F120" i="25"/>
  <c r="J120" i="25"/>
  <c r="AC120" i="25"/>
  <c r="W120" i="24"/>
  <c r="AG119" i="24"/>
  <c r="AF119" i="24"/>
  <c r="AC119" i="24"/>
  <c r="AB119" i="24"/>
  <c r="W119" i="24"/>
  <c r="V119" i="24"/>
  <c r="X119" i="24"/>
  <c r="AH118" i="24"/>
  <c r="AG118" i="24"/>
  <c r="AD118" i="24"/>
  <c r="AC118" i="24"/>
  <c r="X118" i="24"/>
  <c r="W118" i="24"/>
  <c r="F118" i="25"/>
  <c r="J118" i="25"/>
  <c r="AB118" i="25"/>
  <c r="V118" i="24"/>
  <c r="AA118" i="24"/>
  <c r="AH117" i="24"/>
  <c r="AF117" i="24"/>
  <c r="AD117" i="24"/>
  <c r="AB117" i="24"/>
  <c r="X117" i="24"/>
  <c r="V117" i="24"/>
  <c r="F117" i="25"/>
  <c r="J117" i="25"/>
  <c r="AC117" i="25"/>
  <c r="W117" i="24"/>
  <c r="AH116" i="24"/>
  <c r="AG116" i="24"/>
  <c r="AD116" i="24"/>
  <c r="AC116" i="24"/>
  <c r="X116" i="24"/>
  <c r="W116" i="24"/>
  <c r="F116" i="25"/>
  <c r="J116" i="25"/>
  <c r="AB116" i="25"/>
  <c r="V116" i="24"/>
  <c r="AA116" i="24"/>
  <c r="AH115" i="24"/>
  <c r="AG115" i="24"/>
  <c r="AD115" i="24"/>
  <c r="AC115" i="24"/>
  <c r="X115" i="24"/>
  <c r="W115" i="24"/>
  <c r="F115" i="25"/>
  <c r="J115" i="25"/>
  <c r="AB115" i="25"/>
  <c r="AF115" i="24"/>
  <c r="AH114" i="24"/>
  <c r="AF114" i="24"/>
  <c r="AD114" i="24"/>
  <c r="AB114" i="24"/>
  <c r="X114" i="24"/>
  <c r="V114" i="24"/>
  <c r="F114" i="25"/>
  <c r="J114" i="25"/>
  <c r="AC114" i="25"/>
  <c r="AG114" i="24"/>
  <c r="AH113" i="24"/>
  <c r="AF113" i="24"/>
  <c r="AD113" i="24"/>
  <c r="AB113" i="24"/>
  <c r="X113" i="24"/>
  <c r="V113" i="24"/>
  <c r="F113" i="25"/>
  <c r="J113" i="25"/>
  <c r="AC113" i="25"/>
  <c r="W113" i="24"/>
  <c r="AH112" i="24"/>
  <c r="AG112" i="24"/>
  <c r="AD112" i="24"/>
  <c r="AC112" i="24"/>
  <c r="X112" i="24"/>
  <c r="W112" i="24"/>
  <c r="F112" i="25"/>
  <c r="J112" i="25"/>
  <c r="AB112" i="25"/>
  <c r="V112" i="24"/>
  <c r="AA112" i="24"/>
  <c r="AH111" i="24"/>
  <c r="AG111" i="24"/>
  <c r="AD111" i="24"/>
  <c r="AC111" i="24"/>
  <c r="X111" i="24"/>
  <c r="W111" i="24"/>
  <c r="F111" i="25"/>
  <c r="J111" i="25"/>
  <c r="AB111" i="25"/>
  <c r="AF111" i="24"/>
  <c r="I219" i="24"/>
  <c r="I220" i="24"/>
  <c r="AH110" i="24"/>
  <c r="AG110" i="24"/>
  <c r="AD110" i="24"/>
  <c r="AC110" i="24"/>
  <c r="X110" i="24"/>
  <c r="W110" i="24"/>
  <c r="F110" i="25"/>
  <c r="J110" i="25"/>
  <c r="AB110" i="25"/>
  <c r="AF110" i="24"/>
  <c r="AH109" i="24"/>
  <c r="AG109" i="24"/>
  <c r="AD109" i="24"/>
  <c r="AC109" i="24"/>
  <c r="X109" i="24"/>
  <c r="W109" i="24"/>
  <c r="F109" i="25"/>
  <c r="J109" i="25"/>
  <c r="AB109" i="25"/>
  <c r="V109" i="24"/>
  <c r="AA109" i="24"/>
  <c r="AH108" i="24"/>
  <c r="AG108" i="24"/>
  <c r="AD108" i="24"/>
  <c r="AC108" i="24"/>
  <c r="X108" i="24"/>
  <c r="W108" i="24"/>
  <c r="F108" i="25"/>
  <c r="J108" i="25"/>
  <c r="AB108" i="25"/>
  <c r="AF108" i="24"/>
  <c r="AH107" i="24"/>
  <c r="AG107" i="24"/>
  <c r="AD107" i="24"/>
  <c r="AC107" i="24"/>
  <c r="X107" i="24"/>
  <c r="W107" i="24"/>
  <c r="F107" i="25"/>
  <c r="J107" i="25"/>
  <c r="AB107" i="25"/>
  <c r="V107" i="24"/>
  <c r="AA107" i="24"/>
  <c r="AH106" i="24"/>
  <c r="AG106" i="24"/>
  <c r="AD106" i="24"/>
  <c r="AC106" i="24"/>
  <c r="X106" i="24"/>
  <c r="W106" i="24"/>
  <c r="F106" i="25"/>
  <c r="J106" i="25"/>
  <c r="AB106" i="25"/>
  <c r="AF106" i="24"/>
  <c r="AH105" i="24"/>
  <c r="AG105" i="24"/>
  <c r="AD105" i="24"/>
  <c r="AC105" i="24"/>
  <c r="X105" i="24"/>
  <c r="W105" i="24"/>
  <c r="F105" i="25"/>
  <c r="J105" i="25"/>
  <c r="AB105" i="25"/>
  <c r="V105" i="24"/>
  <c r="AA105" i="24"/>
  <c r="AH104" i="24"/>
  <c r="AG104" i="24"/>
  <c r="AD104" i="24"/>
  <c r="AC104" i="24"/>
  <c r="X104" i="24"/>
  <c r="W104" i="24"/>
  <c r="F104" i="25"/>
  <c r="J104" i="25"/>
  <c r="AB104" i="25"/>
  <c r="AF104" i="24"/>
  <c r="AH103" i="24"/>
  <c r="AG103" i="24"/>
  <c r="AD103" i="24"/>
  <c r="AC103" i="24"/>
  <c r="X103" i="24"/>
  <c r="W103" i="24"/>
  <c r="F103" i="25"/>
  <c r="J103" i="25"/>
  <c r="AB103" i="25"/>
  <c r="V103" i="24"/>
  <c r="AA103" i="24"/>
  <c r="AH102" i="24"/>
  <c r="AG102" i="24"/>
  <c r="AD102" i="24"/>
  <c r="AC102" i="24"/>
  <c r="X102" i="24"/>
  <c r="W102" i="24"/>
  <c r="F102" i="25"/>
  <c r="J102" i="25"/>
  <c r="AB102" i="25"/>
  <c r="AF102" i="24"/>
  <c r="AH101" i="24"/>
  <c r="AG101" i="24"/>
  <c r="AD101" i="24"/>
  <c r="AC101" i="24"/>
  <c r="X101" i="24"/>
  <c r="W101" i="24"/>
  <c r="F101" i="25"/>
  <c r="J101" i="25"/>
  <c r="AB101" i="25"/>
  <c r="V101" i="24"/>
  <c r="AA101" i="24"/>
  <c r="AH100" i="24"/>
  <c r="AG100" i="24"/>
  <c r="AD100" i="24"/>
  <c r="AC100" i="24"/>
  <c r="X100" i="24"/>
  <c r="W100" i="24"/>
  <c r="F100" i="25"/>
  <c r="J100" i="25"/>
  <c r="AB100" i="25"/>
  <c r="AF100" i="24"/>
  <c r="AH99" i="24"/>
  <c r="AG99" i="24"/>
  <c r="AD99" i="24"/>
  <c r="AC99" i="24"/>
  <c r="X99" i="24"/>
  <c r="W99" i="24"/>
  <c r="F99" i="25"/>
  <c r="J99" i="25"/>
  <c r="AB99" i="25"/>
  <c r="V99" i="24"/>
  <c r="AA99" i="24"/>
  <c r="AH98" i="24"/>
  <c r="AG98" i="24"/>
  <c r="AD98" i="24"/>
  <c r="AC98" i="24"/>
  <c r="X98" i="24"/>
  <c r="W98" i="24"/>
  <c r="AF98" i="24"/>
  <c r="AH97" i="24"/>
  <c r="AG97" i="24"/>
  <c r="AD97" i="24"/>
  <c r="AC97" i="24"/>
  <c r="X97" i="24"/>
  <c r="W97" i="24"/>
  <c r="F97" i="25"/>
  <c r="J97" i="25"/>
  <c r="AB97" i="25"/>
  <c r="V97" i="24"/>
  <c r="AA97" i="24"/>
  <c r="AH96" i="24"/>
  <c r="AG96" i="24"/>
  <c r="AD96" i="24"/>
  <c r="AC96" i="24"/>
  <c r="X96" i="24"/>
  <c r="W96" i="24"/>
  <c r="F96" i="25"/>
  <c r="J96" i="25"/>
  <c r="AB96" i="25"/>
  <c r="AF96" i="24"/>
  <c r="AH95" i="24"/>
  <c r="AG95" i="24"/>
  <c r="AD95" i="24"/>
  <c r="AC95" i="24"/>
  <c r="F95" i="24"/>
  <c r="J95" i="24"/>
  <c r="AB95" i="24"/>
  <c r="X95" i="24"/>
  <c r="W95" i="24"/>
  <c r="F95" i="25"/>
  <c r="J95" i="25"/>
  <c r="AB95" i="25"/>
  <c r="V95" i="24"/>
  <c r="AA95" i="24"/>
  <c r="AH94" i="24"/>
  <c r="AG94" i="24"/>
  <c r="AD94" i="24"/>
  <c r="AC94" i="24"/>
  <c r="X94" i="24"/>
  <c r="W94" i="24"/>
  <c r="F94" i="25"/>
  <c r="J94" i="25"/>
  <c r="AB94" i="25"/>
  <c r="AF94" i="24"/>
  <c r="AH93" i="24"/>
  <c r="AG93" i="24"/>
  <c r="AD93" i="24"/>
  <c r="AC93" i="24"/>
  <c r="X93" i="24"/>
  <c r="W93" i="24"/>
  <c r="F93" i="25"/>
  <c r="J93" i="25"/>
  <c r="AB93" i="25"/>
  <c r="V93" i="24"/>
  <c r="AA93" i="24"/>
  <c r="AH92" i="24"/>
  <c r="AF92" i="24"/>
  <c r="AD92" i="24"/>
  <c r="AB92" i="24"/>
  <c r="X92" i="24"/>
  <c r="V92" i="24"/>
  <c r="F92" i="25"/>
  <c r="J92" i="25"/>
  <c r="AC92" i="25"/>
  <c r="W92" i="24"/>
  <c r="AH91" i="24"/>
  <c r="AF91" i="24"/>
  <c r="AD91" i="24"/>
  <c r="AB91" i="24"/>
  <c r="X91" i="24"/>
  <c r="V91" i="24"/>
  <c r="F91" i="25"/>
  <c r="J91" i="25"/>
  <c r="AC91" i="25"/>
  <c r="AG91" i="24"/>
  <c r="AH90" i="24"/>
  <c r="AF90" i="24"/>
  <c r="AD90" i="24"/>
  <c r="AB90" i="24"/>
  <c r="X90" i="24"/>
  <c r="V90" i="24"/>
  <c r="F90" i="25"/>
  <c r="J90" i="25"/>
  <c r="AC90" i="25"/>
  <c r="W90" i="24"/>
  <c r="AH89" i="24"/>
  <c r="AG89" i="24"/>
  <c r="AD89" i="24"/>
  <c r="AC89" i="24"/>
  <c r="X89" i="24"/>
  <c r="W89" i="24"/>
  <c r="F89" i="25"/>
  <c r="J89" i="25"/>
  <c r="AB89" i="25"/>
  <c r="V89" i="24"/>
  <c r="AA89" i="24"/>
  <c r="AH88" i="24"/>
  <c r="AF88" i="24"/>
  <c r="AD88" i="24"/>
  <c r="AB88" i="24"/>
  <c r="X88" i="24"/>
  <c r="V88" i="24"/>
  <c r="F88" i="25"/>
  <c r="J88" i="25"/>
  <c r="AC88" i="25"/>
  <c r="W88" i="24"/>
  <c r="AH87" i="24"/>
  <c r="AF87" i="24"/>
  <c r="AD87" i="24"/>
  <c r="AB87" i="24"/>
  <c r="X87" i="24"/>
  <c r="V87" i="24"/>
  <c r="F87" i="25"/>
  <c r="J87" i="25"/>
  <c r="AC87" i="25"/>
  <c r="AG87" i="24"/>
  <c r="AG86" i="24"/>
  <c r="AF86" i="24"/>
  <c r="AC86" i="24"/>
  <c r="AB86" i="24"/>
  <c r="W86" i="24"/>
  <c r="V86" i="24"/>
  <c r="F86" i="25"/>
  <c r="J86" i="25"/>
  <c r="AD86" i="25"/>
  <c r="AH86" i="24"/>
  <c r="AG85" i="24"/>
  <c r="AF85" i="24"/>
  <c r="AC85" i="24"/>
  <c r="AB85" i="24"/>
  <c r="W85" i="24"/>
  <c r="V85" i="24"/>
  <c r="F85" i="25"/>
  <c r="J85" i="25"/>
  <c r="AD85" i="25"/>
  <c r="X85" i="24"/>
  <c r="AH84" i="24"/>
  <c r="AG84" i="24"/>
  <c r="AD84" i="24"/>
  <c r="AC84" i="24"/>
  <c r="X84" i="24"/>
  <c r="W84" i="24"/>
  <c r="F84" i="25"/>
  <c r="J84" i="25"/>
  <c r="AB84" i="25"/>
  <c r="AF84" i="24"/>
  <c r="AH83" i="24"/>
  <c r="AG83" i="24"/>
  <c r="AD83" i="24"/>
  <c r="AC83" i="24"/>
  <c r="X83" i="24"/>
  <c r="W83" i="24"/>
  <c r="F83" i="25"/>
  <c r="J83" i="25"/>
  <c r="AB83" i="25"/>
  <c r="V83" i="24"/>
  <c r="AA83" i="24"/>
  <c r="AH82" i="24"/>
  <c r="AG82" i="24"/>
  <c r="AD82" i="24"/>
  <c r="AC82" i="24"/>
  <c r="X82" i="24"/>
  <c r="W82" i="24"/>
  <c r="F82" i="25"/>
  <c r="J82" i="25"/>
  <c r="AB82" i="25"/>
  <c r="AF82" i="24"/>
  <c r="AH81" i="24"/>
  <c r="AG81" i="24"/>
  <c r="AD81" i="24"/>
  <c r="AC81" i="24"/>
  <c r="X81" i="24"/>
  <c r="W81" i="24"/>
  <c r="F81" i="25"/>
  <c r="J81" i="25"/>
  <c r="AB81" i="25"/>
  <c r="V81" i="24"/>
  <c r="AA81" i="24"/>
  <c r="AH80" i="24"/>
  <c r="AG80" i="24"/>
  <c r="AD80" i="24"/>
  <c r="AC80" i="24"/>
  <c r="X80" i="24"/>
  <c r="W80" i="24"/>
  <c r="F80" i="25"/>
  <c r="J80" i="25"/>
  <c r="AB80" i="25"/>
  <c r="AF80" i="24"/>
  <c r="AH79" i="24"/>
  <c r="AG79" i="24"/>
  <c r="AD79" i="24"/>
  <c r="AC79" i="24"/>
  <c r="X79" i="24"/>
  <c r="W79" i="24"/>
  <c r="F79" i="25"/>
  <c r="J79" i="25"/>
  <c r="AB79" i="25"/>
  <c r="V79" i="24"/>
  <c r="AA79" i="24"/>
  <c r="AH78" i="24"/>
  <c r="AF78" i="24"/>
  <c r="AD78" i="24"/>
  <c r="AB78" i="24"/>
  <c r="X78" i="24"/>
  <c r="V78" i="24"/>
  <c r="F78" i="25"/>
  <c r="J78" i="25"/>
  <c r="AC78" i="25"/>
  <c r="W78" i="24"/>
  <c r="AH77" i="24"/>
  <c r="AF77" i="24"/>
  <c r="AD77" i="24"/>
  <c r="AB77" i="24"/>
  <c r="X77" i="24"/>
  <c r="V77" i="24"/>
  <c r="F77" i="25"/>
  <c r="J77" i="25"/>
  <c r="AC77" i="25"/>
  <c r="AG77" i="24"/>
  <c r="AH76" i="24"/>
  <c r="AF76" i="24"/>
  <c r="AD76" i="24"/>
  <c r="AB76" i="24"/>
  <c r="X76" i="24"/>
  <c r="V76" i="24"/>
  <c r="F76" i="25"/>
  <c r="J76" i="25"/>
  <c r="AC76" i="25"/>
  <c r="AG76" i="24"/>
  <c r="AH75" i="24"/>
  <c r="AG75" i="24"/>
  <c r="AD75" i="24"/>
  <c r="AC75" i="24"/>
  <c r="X75" i="24"/>
  <c r="W75" i="24"/>
  <c r="F75" i="25"/>
  <c r="J75" i="25"/>
  <c r="AB75" i="25"/>
  <c r="AF75" i="24"/>
  <c r="AH74" i="24"/>
  <c r="AF74" i="24"/>
  <c r="AD74" i="24"/>
  <c r="AB74" i="24"/>
  <c r="X74" i="24"/>
  <c r="W74" i="24"/>
  <c r="V74" i="24"/>
  <c r="AA74" i="24"/>
  <c r="F74" i="25"/>
  <c r="J74" i="25"/>
  <c r="AC74" i="25"/>
  <c r="AG74" i="24"/>
  <c r="AH73" i="24"/>
  <c r="AF73" i="24"/>
  <c r="AD73" i="24"/>
  <c r="AB73" i="24"/>
  <c r="X73" i="24"/>
  <c r="V73" i="24"/>
  <c r="F73" i="25"/>
  <c r="J73" i="25"/>
  <c r="AC73" i="25"/>
  <c r="W73" i="24"/>
  <c r="AH72" i="24"/>
  <c r="AG72" i="24"/>
  <c r="AD72" i="24"/>
  <c r="AC72" i="24"/>
  <c r="X72" i="24"/>
  <c r="W72" i="24"/>
  <c r="F72" i="25"/>
  <c r="J72" i="25"/>
  <c r="AB72" i="25"/>
  <c r="V72" i="24"/>
  <c r="AH71" i="24"/>
  <c r="AG71" i="24"/>
  <c r="AD71" i="24"/>
  <c r="AC71" i="24"/>
  <c r="X71" i="24"/>
  <c r="W71" i="24"/>
  <c r="F71" i="25"/>
  <c r="J71" i="25"/>
  <c r="AB71" i="25"/>
  <c r="AF71" i="24"/>
  <c r="AH70" i="24"/>
  <c r="AF70" i="24"/>
  <c r="AD70" i="24"/>
  <c r="AB70" i="24"/>
  <c r="X70" i="24"/>
  <c r="W70" i="24"/>
  <c r="V70" i="24"/>
  <c r="AA70" i="24"/>
  <c r="F70" i="25"/>
  <c r="J70" i="25"/>
  <c r="AC70" i="25"/>
  <c r="AG70" i="24"/>
  <c r="AH69" i="24"/>
  <c r="AG69" i="24"/>
  <c r="AD69" i="24"/>
  <c r="AC69" i="24"/>
  <c r="X69" i="24"/>
  <c r="W69" i="24"/>
  <c r="F69" i="25"/>
  <c r="J69" i="25"/>
  <c r="AB69" i="25"/>
  <c r="AF69" i="24"/>
  <c r="AH68" i="24"/>
  <c r="AG68" i="24"/>
  <c r="AD68" i="24"/>
  <c r="AC68" i="24"/>
  <c r="X68" i="24"/>
  <c r="W68" i="24"/>
  <c r="F68" i="25"/>
  <c r="J68" i="25"/>
  <c r="AB68" i="25"/>
  <c r="V68" i="24"/>
  <c r="AH67" i="24"/>
  <c r="AG67" i="24"/>
  <c r="AD67" i="24"/>
  <c r="AC67" i="24"/>
  <c r="X67" i="24"/>
  <c r="W67" i="24"/>
  <c r="F67" i="25"/>
  <c r="J67" i="25"/>
  <c r="AB67" i="25"/>
  <c r="AF67" i="24"/>
  <c r="AH66" i="24"/>
  <c r="AG66" i="24"/>
  <c r="AD66" i="24"/>
  <c r="AC66" i="24"/>
  <c r="X66" i="24"/>
  <c r="W66" i="24"/>
  <c r="F66" i="25"/>
  <c r="J66" i="25"/>
  <c r="AB66" i="25"/>
  <c r="V66" i="24"/>
  <c r="AH65" i="24"/>
  <c r="AG65" i="24"/>
  <c r="AD65" i="24"/>
  <c r="AC65" i="24"/>
  <c r="X65" i="24"/>
  <c r="W65" i="24"/>
  <c r="F65" i="25"/>
  <c r="J65" i="25"/>
  <c r="AB65" i="25"/>
  <c r="AF65" i="24"/>
  <c r="AH64" i="24"/>
  <c r="AG64" i="24"/>
  <c r="AD64" i="24"/>
  <c r="AC64" i="24"/>
  <c r="X64" i="24"/>
  <c r="W64" i="24"/>
  <c r="F64" i="25"/>
  <c r="J64" i="25"/>
  <c r="AB64" i="25"/>
  <c r="V64" i="24"/>
  <c r="AH63" i="24"/>
  <c r="AG63" i="24"/>
  <c r="AD63" i="24"/>
  <c r="AC63" i="24"/>
  <c r="X63" i="24"/>
  <c r="W63" i="24"/>
  <c r="F63" i="25"/>
  <c r="J63" i="25"/>
  <c r="AB63" i="25"/>
  <c r="AF63" i="24"/>
  <c r="AH62" i="24"/>
  <c r="AG62" i="24"/>
  <c r="AD62" i="24"/>
  <c r="AC62" i="24"/>
  <c r="X62" i="24"/>
  <c r="W62" i="24"/>
  <c r="F62" i="25"/>
  <c r="J62" i="25"/>
  <c r="AB62" i="25"/>
  <c r="V62" i="24"/>
  <c r="AH61" i="24"/>
  <c r="AG61" i="24"/>
  <c r="AD61" i="24"/>
  <c r="AC61" i="24"/>
  <c r="X61" i="24"/>
  <c r="W61" i="24"/>
  <c r="F61" i="25"/>
  <c r="J61" i="25"/>
  <c r="AB61" i="25"/>
  <c r="AF61" i="24"/>
  <c r="AH60" i="24"/>
  <c r="AG60" i="24"/>
  <c r="AD60" i="24"/>
  <c r="AC60" i="24"/>
  <c r="X60" i="24"/>
  <c r="W60" i="24"/>
  <c r="F60" i="25"/>
  <c r="J60" i="25"/>
  <c r="AB60" i="25"/>
  <c r="V60" i="24"/>
  <c r="AH59" i="24"/>
  <c r="AG59" i="24"/>
  <c r="AD59" i="24"/>
  <c r="AC59" i="24"/>
  <c r="X59" i="24"/>
  <c r="W59" i="24"/>
  <c r="F59" i="25"/>
  <c r="J59" i="25"/>
  <c r="AB59" i="25"/>
  <c r="AF59" i="24"/>
  <c r="AG58" i="24"/>
  <c r="AF58" i="24"/>
  <c r="AC58" i="24"/>
  <c r="AB58" i="24"/>
  <c r="W58" i="24"/>
  <c r="V58" i="24"/>
  <c r="F58" i="25"/>
  <c r="J58" i="25"/>
  <c r="AD58" i="25"/>
  <c r="X58" i="24"/>
  <c r="AH57" i="24"/>
  <c r="AF57" i="24"/>
  <c r="AD57" i="24"/>
  <c r="AB57" i="24"/>
  <c r="X57" i="24"/>
  <c r="V57" i="24"/>
  <c r="F57" i="25"/>
  <c r="J57" i="25"/>
  <c r="AC57" i="25"/>
  <c r="W57" i="24"/>
  <c r="AH56" i="24"/>
  <c r="AF56" i="24"/>
  <c r="AD56" i="24"/>
  <c r="AB56" i="24"/>
  <c r="X56" i="24"/>
  <c r="V56" i="24"/>
  <c r="F56" i="25"/>
  <c r="J56" i="25"/>
  <c r="AC56" i="25"/>
  <c r="AG56" i="24"/>
  <c r="AG55" i="24"/>
  <c r="AF55" i="24"/>
  <c r="AC55" i="24"/>
  <c r="AB55" i="24"/>
  <c r="F55" i="24"/>
  <c r="J55" i="24"/>
  <c r="AD55" i="24"/>
  <c r="W55" i="24"/>
  <c r="V55" i="24"/>
  <c r="F55" i="25"/>
  <c r="J55" i="25"/>
  <c r="AD55" i="25"/>
  <c r="AH55" i="24"/>
  <c r="AH54" i="24"/>
  <c r="AF54" i="24"/>
  <c r="AD54" i="24"/>
  <c r="AB54" i="24"/>
  <c r="X54" i="24"/>
  <c r="V54" i="24"/>
  <c r="F54" i="25"/>
  <c r="J54" i="25"/>
  <c r="AC54" i="25"/>
  <c r="AG54" i="24"/>
  <c r="AH53" i="24"/>
  <c r="AF53" i="24"/>
  <c r="AD53" i="24"/>
  <c r="AB53" i="24"/>
  <c r="X53" i="24"/>
  <c r="V53" i="24"/>
  <c r="F53" i="25"/>
  <c r="J53" i="25"/>
  <c r="AC53" i="25"/>
  <c r="W53" i="24"/>
  <c r="AH52" i="24"/>
  <c r="AF52" i="24"/>
  <c r="AD52" i="24"/>
  <c r="AB52" i="24"/>
  <c r="X52" i="24"/>
  <c r="W52" i="24"/>
  <c r="V52" i="24"/>
  <c r="AA52" i="24"/>
  <c r="F52" i="25"/>
  <c r="J52" i="25"/>
  <c r="AC52" i="25"/>
  <c r="AG52" i="24"/>
  <c r="AH51" i="24"/>
  <c r="AF51" i="24"/>
  <c r="AD51" i="24"/>
  <c r="AB51" i="24"/>
  <c r="X51" i="24"/>
  <c r="V51" i="24"/>
  <c r="F51" i="25"/>
  <c r="J51" i="25"/>
  <c r="AC51" i="25"/>
  <c r="W51" i="24"/>
  <c r="AH50" i="24"/>
  <c r="AF50" i="24"/>
  <c r="AD50" i="24"/>
  <c r="AB50" i="24"/>
  <c r="X50" i="24"/>
  <c r="W50" i="24"/>
  <c r="V50" i="24"/>
  <c r="AA50" i="24"/>
  <c r="F50" i="25"/>
  <c r="J50" i="25"/>
  <c r="AC50" i="25"/>
  <c r="AG50" i="24"/>
  <c r="AH49" i="24"/>
  <c r="AG49" i="24"/>
  <c r="AD49" i="24"/>
  <c r="AC49" i="24"/>
  <c r="X49" i="24"/>
  <c r="W49" i="24"/>
  <c r="F49" i="25"/>
  <c r="J49" i="25"/>
  <c r="AB49" i="25"/>
  <c r="AF49" i="24"/>
  <c r="AH48" i="24"/>
  <c r="AG48" i="24"/>
  <c r="AD48" i="24"/>
  <c r="AC48" i="24"/>
  <c r="X48" i="24"/>
  <c r="W48" i="24"/>
  <c r="F48" i="25"/>
  <c r="J48" i="25"/>
  <c r="AB48" i="25"/>
  <c r="V48" i="24"/>
  <c r="AH47" i="24"/>
  <c r="AG47" i="24"/>
  <c r="AD47" i="24"/>
  <c r="AC47" i="24"/>
  <c r="X47" i="24"/>
  <c r="W47" i="24"/>
  <c r="F47" i="25"/>
  <c r="J47" i="25"/>
  <c r="AB47" i="25"/>
  <c r="AF47" i="24"/>
  <c r="AH46" i="24"/>
  <c r="AF46" i="24"/>
  <c r="AD46" i="24"/>
  <c r="AB46" i="24"/>
  <c r="X46" i="24"/>
  <c r="W46" i="24"/>
  <c r="V46" i="24"/>
  <c r="AA46" i="24"/>
  <c r="F46" i="25"/>
  <c r="J46" i="25"/>
  <c r="AC46" i="25"/>
  <c r="AG46" i="24"/>
  <c r="AH45" i="24"/>
  <c r="AG45" i="24"/>
  <c r="AD45" i="24"/>
  <c r="AC45" i="24"/>
  <c r="X45" i="24"/>
  <c r="W45" i="24"/>
  <c r="AF45" i="24"/>
  <c r="AH44" i="24"/>
  <c r="AG44" i="24"/>
  <c r="AD44" i="24"/>
  <c r="AC44" i="24"/>
  <c r="X44" i="24"/>
  <c r="W44" i="24"/>
  <c r="F44" i="25"/>
  <c r="J44" i="25"/>
  <c r="AB44" i="25"/>
  <c r="V44" i="24"/>
  <c r="AH43" i="24"/>
  <c r="AF43" i="24"/>
  <c r="AD43" i="24"/>
  <c r="AB43" i="24"/>
  <c r="X43" i="24"/>
  <c r="V43" i="24"/>
  <c r="F43" i="25"/>
  <c r="J43" i="25"/>
  <c r="AC43" i="25"/>
  <c r="W43" i="24"/>
  <c r="AH42" i="24"/>
  <c r="AG42" i="24"/>
  <c r="AD42" i="24"/>
  <c r="AC42" i="24"/>
  <c r="X42" i="24"/>
  <c r="W42" i="24"/>
  <c r="V42" i="24"/>
  <c r="AG40" i="24"/>
  <c r="AF40" i="24"/>
  <c r="AC40" i="24"/>
  <c r="AB40" i="24"/>
  <c r="W40" i="24"/>
  <c r="V40" i="24"/>
  <c r="F40" i="25"/>
  <c r="J40" i="25"/>
  <c r="AD40" i="25"/>
  <c r="X40" i="24"/>
  <c r="AH39" i="24"/>
  <c r="AG39" i="24"/>
  <c r="AD39" i="24"/>
  <c r="AC39" i="24"/>
  <c r="X39" i="24"/>
  <c r="W39" i="24"/>
  <c r="F39" i="25"/>
  <c r="J39" i="25"/>
  <c r="AB39" i="25"/>
  <c r="AF39" i="24"/>
  <c r="AH38" i="24"/>
  <c r="AG38" i="24"/>
  <c r="AD38" i="24"/>
  <c r="AC38" i="24"/>
  <c r="X38" i="24"/>
  <c r="W38" i="24"/>
  <c r="F38" i="25"/>
  <c r="J38" i="25"/>
  <c r="AB38" i="25"/>
  <c r="V38" i="24"/>
  <c r="AH37" i="24"/>
  <c r="AG37" i="24"/>
  <c r="AD37" i="24"/>
  <c r="AC37" i="24"/>
  <c r="X37" i="24"/>
  <c r="W37" i="24"/>
  <c r="F37" i="25"/>
  <c r="J37" i="25"/>
  <c r="AB37" i="25"/>
  <c r="AF37" i="24"/>
  <c r="AH36" i="24"/>
  <c r="AG36" i="24"/>
  <c r="AD36" i="24"/>
  <c r="AC36" i="24"/>
  <c r="X36" i="24"/>
  <c r="W36" i="24"/>
  <c r="F36" i="25"/>
  <c r="J36" i="25"/>
  <c r="AB36" i="25"/>
  <c r="V36" i="24"/>
  <c r="AH35" i="24"/>
  <c r="AG35" i="24"/>
  <c r="AD35" i="24"/>
  <c r="AC35" i="24"/>
  <c r="X35" i="24"/>
  <c r="W35" i="24"/>
  <c r="F35" i="25"/>
  <c r="J35" i="25"/>
  <c r="AB35" i="25"/>
  <c r="AF35" i="24"/>
  <c r="AH34" i="24"/>
  <c r="AG34" i="24"/>
  <c r="AD34" i="24"/>
  <c r="AC34" i="24"/>
  <c r="X34" i="24"/>
  <c r="W34" i="24"/>
  <c r="F34" i="25"/>
  <c r="J34" i="25"/>
  <c r="AB34" i="25"/>
  <c r="V34" i="24"/>
  <c r="AH33" i="24"/>
  <c r="AG33" i="24"/>
  <c r="AD33" i="24"/>
  <c r="AC33" i="24"/>
  <c r="X33" i="24"/>
  <c r="W33" i="24"/>
  <c r="F33" i="25"/>
  <c r="J33" i="25"/>
  <c r="AB33" i="25"/>
  <c r="AF33" i="24"/>
  <c r="AH32" i="24"/>
  <c r="AG32" i="24"/>
  <c r="AD32" i="24"/>
  <c r="AC32" i="24"/>
  <c r="X32" i="24"/>
  <c r="W32" i="24"/>
  <c r="F32" i="25"/>
  <c r="J32" i="25"/>
  <c r="AB32" i="25"/>
  <c r="V32" i="24"/>
  <c r="AH31" i="24"/>
  <c r="AG31" i="24"/>
  <c r="AD31" i="24"/>
  <c r="AC31" i="24"/>
  <c r="X31" i="24"/>
  <c r="W31" i="24"/>
  <c r="F31" i="25"/>
  <c r="J31" i="25"/>
  <c r="AB31" i="25"/>
  <c r="AF31" i="24"/>
  <c r="AH30" i="24"/>
  <c r="AG30" i="24"/>
  <c r="AD30" i="24"/>
  <c r="AC30" i="24"/>
  <c r="F30" i="24"/>
  <c r="J30" i="24"/>
  <c r="AB30" i="24"/>
  <c r="X30" i="24"/>
  <c r="W30" i="24"/>
  <c r="V30" i="24"/>
  <c r="AH29" i="24"/>
  <c r="AG29" i="24"/>
  <c r="AD29" i="24"/>
  <c r="AC29" i="24"/>
  <c r="X29" i="24"/>
  <c r="W29" i="24"/>
  <c r="F29" i="25"/>
  <c r="J29" i="25"/>
  <c r="AB29" i="25"/>
  <c r="AF29" i="24"/>
  <c r="AH28" i="24"/>
  <c r="AF28" i="24"/>
  <c r="AD28" i="24"/>
  <c r="AB28" i="24"/>
  <c r="X28" i="24"/>
  <c r="W28" i="24"/>
  <c r="V28" i="24"/>
  <c r="AA28" i="24"/>
  <c r="F28" i="25"/>
  <c r="J28" i="25"/>
  <c r="AC28" i="25"/>
  <c r="AG28" i="24"/>
  <c r="AH27" i="24"/>
  <c r="AG27" i="24"/>
  <c r="AD27" i="24"/>
  <c r="AC27" i="24"/>
  <c r="X27" i="24"/>
  <c r="W27" i="24"/>
  <c r="F27" i="25"/>
  <c r="J27" i="25"/>
  <c r="AB27" i="25"/>
  <c r="AF27" i="24"/>
  <c r="AH26" i="24"/>
  <c r="AG26" i="24"/>
  <c r="AD26" i="24"/>
  <c r="AC26" i="24"/>
  <c r="X26" i="24"/>
  <c r="W26" i="24"/>
  <c r="F26" i="25"/>
  <c r="J26" i="25"/>
  <c r="AB26" i="25"/>
  <c r="V26" i="24"/>
  <c r="AH25" i="24"/>
  <c r="AG25" i="24"/>
  <c r="AD25" i="24"/>
  <c r="AC25" i="24"/>
  <c r="X25" i="24"/>
  <c r="W25" i="24"/>
  <c r="F25" i="25"/>
  <c r="J25" i="25"/>
  <c r="AB25" i="25"/>
  <c r="AF25" i="24"/>
  <c r="AH24" i="24"/>
  <c r="AF24" i="24"/>
  <c r="AD24" i="24"/>
  <c r="AB24" i="24"/>
  <c r="X24" i="24"/>
  <c r="V24" i="24"/>
  <c r="F24" i="25"/>
  <c r="J24" i="25"/>
  <c r="AC24" i="25"/>
  <c r="AG24" i="24"/>
  <c r="AH23" i="24"/>
  <c r="AG23" i="24"/>
  <c r="AD23" i="24"/>
  <c r="AC23" i="24"/>
  <c r="X23" i="24"/>
  <c r="W23" i="24"/>
  <c r="F23" i="25"/>
  <c r="J23" i="25"/>
  <c r="AB23" i="25"/>
  <c r="AF23" i="24"/>
  <c r="AH22" i="24"/>
  <c r="AG22" i="24"/>
  <c r="AD22" i="24"/>
  <c r="AC22" i="24"/>
  <c r="X22" i="24"/>
  <c r="W22" i="24"/>
  <c r="F22" i="25"/>
  <c r="J22" i="25"/>
  <c r="AB22" i="25"/>
  <c r="V22" i="24"/>
  <c r="AH21" i="24"/>
  <c r="AG21" i="24"/>
  <c r="AD21" i="24"/>
  <c r="AC21" i="24"/>
  <c r="X21" i="24"/>
  <c r="W21" i="24"/>
  <c r="F21" i="25"/>
  <c r="J21" i="25"/>
  <c r="AB21" i="25"/>
  <c r="AF21" i="24"/>
  <c r="AH20" i="24"/>
  <c r="AF20" i="24"/>
  <c r="AD20" i="24"/>
  <c r="AB20" i="24"/>
  <c r="X20" i="24"/>
  <c r="W20" i="24"/>
  <c r="V20" i="24"/>
  <c r="AA20" i="24"/>
  <c r="F20" i="25"/>
  <c r="J20" i="25"/>
  <c r="AC20" i="25"/>
  <c r="AG20" i="24"/>
  <c r="E219" i="24"/>
  <c r="AH19" i="24"/>
  <c r="AF19" i="24"/>
  <c r="AD19" i="24"/>
  <c r="AB19" i="24"/>
  <c r="X19" i="24"/>
  <c r="V19" i="24"/>
  <c r="Q19" i="24"/>
  <c r="T19" i="24"/>
  <c r="F19" i="25"/>
  <c r="J19" i="25"/>
  <c r="AC19" i="25"/>
  <c r="AG19" i="24"/>
  <c r="AH18" i="24"/>
  <c r="AF18" i="24"/>
  <c r="AD18" i="24"/>
  <c r="AB18" i="24"/>
  <c r="X18" i="24"/>
  <c r="V18" i="24"/>
  <c r="Q18" i="24"/>
  <c r="W18" i="24"/>
  <c r="AH17" i="24"/>
  <c r="AG17" i="24"/>
  <c r="AD17" i="24"/>
  <c r="AC17" i="24"/>
  <c r="F17" i="24"/>
  <c r="J17" i="24"/>
  <c r="AB17" i="24"/>
  <c r="X17" i="24"/>
  <c r="W17" i="24"/>
  <c r="Q17" i="24"/>
  <c r="V17" i="24"/>
  <c r="AA17" i="24"/>
  <c r="AH16" i="24"/>
  <c r="AF16" i="24"/>
  <c r="AD16" i="24"/>
  <c r="AB16" i="24"/>
  <c r="X16" i="24"/>
  <c r="Q16" i="24"/>
  <c r="W16" i="24"/>
  <c r="V16" i="24"/>
  <c r="T16" i="24"/>
  <c r="F16" i="25"/>
  <c r="J16" i="25"/>
  <c r="AC16" i="25"/>
  <c r="AF17" i="23"/>
  <c r="AG18" i="23"/>
  <c r="E20" i="23"/>
  <c r="T18" i="24"/>
  <c r="F18" i="25"/>
  <c r="J18" i="25"/>
  <c r="AC18" i="25"/>
  <c r="T17" i="24"/>
  <c r="F17" i="25"/>
  <c r="J17" i="25"/>
  <c r="AB17" i="25"/>
  <c r="F173" i="25"/>
  <c r="J173" i="25"/>
  <c r="AD173" i="25"/>
  <c r="F172" i="25"/>
  <c r="J172" i="25"/>
  <c r="AC172" i="25"/>
  <c r="W155" i="24"/>
  <c r="AA155" i="24"/>
  <c r="AA138" i="24"/>
  <c r="AA122" i="24"/>
  <c r="W76" i="24"/>
  <c r="AA76" i="24"/>
  <c r="W56" i="24"/>
  <c r="AA56" i="24"/>
  <c r="W54" i="24"/>
  <c r="AA54" i="24"/>
  <c r="W24" i="24"/>
  <c r="AA24" i="24"/>
  <c r="AF79" i="24"/>
  <c r="AF81" i="24"/>
  <c r="AF83" i="24"/>
  <c r="AH85" i="24"/>
  <c r="AF89" i="24"/>
  <c r="AF93" i="24"/>
  <c r="AF95" i="24"/>
  <c r="AF97" i="24"/>
  <c r="AF99" i="24"/>
  <c r="AF101" i="24"/>
  <c r="AF103" i="24"/>
  <c r="AF105" i="24"/>
  <c r="AF107" i="24"/>
  <c r="AF109" i="24"/>
  <c r="AF112" i="24"/>
  <c r="AF116" i="24"/>
  <c r="AF118" i="24"/>
  <c r="AF130" i="24"/>
  <c r="AH147" i="24"/>
  <c r="AF171" i="24"/>
  <c r="AF17" i="24"/>
  <c r="W19" i="24"/>
  <c r="AA19" i="24"/>
  <c r="AA22" i="24"/>
  <c r="AF22" i="24"/>
  <c r="AA26" i="24"/>
  <c r="AF26" i="24"/>
  <c r="AA30" i="24"/>
  <c r="AF30" i="24"/>
  <c r="AA32" i="24"/>
  <c r="AF32" i="24"/>
  <c r="AA34" i="24"/>
  <c r="AF34" i="24"/>
  <c r="AA36" i="24"/>
  <c r="AF36" i="24"/>
  <c r="AA38" i="24"/>
  <c r="AF38" i="24"/>
  <c r="AH40" i="24"/>
  <c r="AA42" i="24"/>
  <c r="AA44" i="24"/>
  <c r="AF44" i="24"/>
  <c r="AA48" i="24"/>
  <c r="AF48" i="24"/>
  <c r="AH58" i="24"/>
  <c r="AA60" i="24"/>
  <c r="AF60" i="24"/>
  <c r="AA62" i="24"/>
  <c r="AF62" i="24"/>
  <c r="AA64" i="24"/>
  <c r="AF64" i="24"/>
  <c r="AA66" i="24"/>
  <c r="AF66" i="24"/>
  <c r="AA68" i="24"/>
  <c r="AF68" i="24"/>
  <c r="AA72" i="24"/>
  <c r="AF72" i="24"/>
  <c r="W77" i="24"/>
  <c r="AA77" i="24"/>
  <c r="AA85" i="24"/>
  <c r="W87" i="24"/>
  <c r="AA87" i="24"/>
  <c r="W91" i="24"/>
  <c r="AA91" i="24"/>
  <c r="W114" i="24"/>
  <c r="AA114" i="24"/>
  <c r="W121" i="24"/>
  <c r="AA121" i="24"/>
  <c r="AA124" i="24"/>
  <c r="AF124" i="24"/>
  <c r="AA125" i="24"/>
  <c r="AA126" i="24"/>
  <c r="AF126" i="24"/>
  <c r="AA127" i="24"/>
  <c r="AA128" i="24"/>
  <c r="AF128" i="24"/>
  <c r="AA129" i="24"/>
  <c r="AA131" i="24"/>
  <c r="AF131" i="24"/>
  <c r="AA132" i="24"/>
  <c r="AF132" i="24"/>
  <c r="AA136" i="24"/>
  <c r="AF136" i="24"/>
  <c r="AA137" i="24"/>
  <c r="AF137" i="24"/>
  <c r="AH138" i="24"/>
  <c r="AA141" i="24"/>
  <c r="AF141" i="24"/>
  <c r="AA143" i="24"/>
  <c r="AF143" i="24"/>
  <c r="AA147" i="24"/>
  <c r="W149" i="24"/>
  <c r="AA149" i="24"/>
  <c r="AG150" i="24"/>
  <c r="AA151" i="24"/>
  <c r="AF151" i="24"/>
  <c r="AA161" i="24"/>
  <c r="AF161" i="24"/>
  <c r="AA163" i="24"/>
  <c r="AF163" i="24"/>
  <c r="AA165" i="24"/>
  <c r="AF165" i="24"/>
  <c r="AA168" i="24"/>
  <c r="W169" i="24"/>
  <c r="AA169" i="24"/>
  <c r="AG172" i="24"/>
  <c r="AH173" i="24"/>
  <c r="AA177" i="24"/>
  <c r="AF177" i="24"/>
  <c r="AA179" i="24"/>
  <c r="AF179" i="24"/>
  <c r="AA185" i="24"/>
  <c r="AF185" i="24"/>
  <c r="AA187" i="24"/>
  <c r="AF187" i="24"/>
  <c r="AA197" i="24"/>
  <c r="AF197" i="24"/>
  <c r="AA200" i="24"/>
  <c r="AH200" i="24"/>
  <c r="AA202" i="24"/>
  <c r="AF202" i="24"/>
  <c r="AA204" i="24"/>
  <c r="AH204" i="24"/>
  <c r="AA206" i="24"/>
  <c r="AF206" i="24"/>
  <c r="AA214" i="24"/>
  <c r="AF214" i="24"/>
  <c r="AA216" i="24"/>
  <c r="AH216" i="24"/>
  <c r="AA43" i="24"/>
  <c r="AA51" i="24"/>
  <c r="AA53" i="24"/>
  <c r="AA57" i="24"/>
  <c r="AA73" i="24"/>
  <c r="AA18" i="24"/>
  <c r="AA40" i="24"/>
  <c r="AA58" i="24"/>
  <c r="AA16" i="24"/>
  <c r="AG18" i="24"/>
  <c r="V21" i="24"/>
  <c r="AA21" i="24"/>
  <c r="V23" i="24"/>
  <c r="AA23" i="24"/>
  <c r="V25" i="24"/>
  <c r="AA25" i="24"/>
  <c r="V27" i="24"/>
  <c r="AA27" i="24"/>
  <c r="V29" i="24"/>
  <c r="AA29" i="24"/>
  <c r="V31" i="24"/>
  <c r="AA31" i="24"/>
  <c r="V33" i="24"/>
  <c r="AA33" i="24"/>
  <c r="V35" i="24"/>
  <c r="AA35" i="24"/>
  <c r="V37" i="24"/>
  <c r="AA37" i="24"/>
  <c r="V39" i="24"/>
  <c r="AA39" i="24"/>
  <c r="AF42" i="24"/>
  <c r="AG43" i="24"/>
  <c r="V45" i="24"/>
  <c r="AA45" i="24"/>
  <c r="V47" i="24"/>
  <c r="AA47" i="24"/>
  <c r="V49" i="24"/>
  <c r="AA49" i="24"/>
  <c r="AG51" i="24"/>
  <c r="AG53" i="24"/>
  <c r="X55" i="24"/>
  <c r="AA55" i="24"/>
  <c r="AG57" i="24"/>
  <c r="V59" i="24"/>
  <c r="AA59" i="24"/>
  <c r="V61" i="24"/>
  <c r="AA61" i="24"/>
  <c r="V63" i="24"/>
  <c r="AA63" i="24"/>
  <c r="V65" i="24"/>
  <c r="AA65" i="24"/>
  <c r="V67" i="24"/>
  <c r="AA67" i="24"/>
  <c r="V69" i="24"/>
  <c r="AA69" i="24"/>
  <c r="V71" i="24"/>
  <c r="AA71" i="24"/>
  <c r="AG73" i="24"/>
  <c r="Q219" i="24"/>
  <c r="AG16" i="24"/>
  <c r="V75" i="24"/>
  <c r="AA75" i="24"/>
  <c r="AA78" i="24"/>
  <c r="AA88" i="24"/>
  <c r="AA90" i="24"/>
  <c r="AA92" i="24"/>
  <c r="AA113" i="24"/>
  <c r="AA117" i="24"/>
  <c r="AA119" i="24"/>
  <c r="AA120" i="24"/>
  <c r="AA135" i="24"/>
  <c r="AG78" i="24"/>
  <c r="V80" i="24"/>
  <c r="AA80" i="24"/>
  <c r="V82" i="24"/>
  <c r="AA82" i="24"/>
  <c r="V84" i="24"/>
  <c r="AA84" i="24"/>
  <c r="X86" i="24"/>
  <c r="AA86" i="24"/>
  <c r="AG88" i="24"/>
  <c r="AG90" i="24"/>
  <c r="AG92" i="24"/>
  <c r="V94" i="24"/>
  <c r="AA94" i="24"/>
  <c r="V96" i="24"/>
  <c r="AA96" i="24"/>
  <c r="V98" i="24"/>
  <c r="AA98" i="24"/>
  <c r="V100" i="24"/>
  <c r="AA100" i="24"/>
  <c r="V102" i="24"/>
  <c r="AA102" i="24"/>
  <c r="V104" i="24"/>
  <c r="AA104" i="24"/>
  <c r="V106" i="24"/>
  <c r="AA106" i="24"/>
  <c r="V108" i="24"/>
  <c r="AA108" i="24"/>
  <c r="V110" i="24"/>
  <c r="AA110" i="24"/>
  <c r="V111" i="24"/>
  <c r="AA111" i="24"/>
  <c r="AG113" i="24"/>
  <c r="V115" i="24"/>
  <c r="AA115" i="24"/>
  <c r="AG117" i="24"/>
  <c r="AH119" i="24"/>
  <c r="AH219" i="24"/>
  <c r="AH223" i="24"/>
  <c r="AG120" i="24"/>
  <c r="AF122" i="24"/>
  <c r="W123" i="24"/>
  <c r="AA123" i="24"/>
  <c r="AF125" i="24"/>
  <c r="AF127" i="24"/>
  <c r="AF129" i="24"/>
  <c r="V133" i="24"/>
  <c r="AA133" i="24"/>
  <c r="AG135" i="24"/>
  <c r="W140" i="24"/>
  <c r="AA140" i="24"/>
  <c r="V142" i="24"/>
  <c r="AA142" i="24"/>
  <c r="X144" i="24"/>
  <c r="AA144" i="24"/>
  <c r="V148" i="24"/>
  <c r="AA148" i="24"/>
  <c r="V152" i="24"/>
  <c r="AA152" i="24"/>
  <c r="AG154" i="24"/>
  <c r="AG156" i="24"/>
  <c r="V160" i="24"/>
  <c r="AA160" i="24"/>
  <c r="V162" i="24"/>
  <c r="AA162" i="24"/>
  <c r="V164" i="24"/>
  <c r="AA164" i="24"/>
  <c r="V166" i="24"/>
  <c r="AA166" i="24"/>
  <c r="AG170" i="24"/>
  <c r="AA172" i="24"/>
  <c r="V176" i="24"/>
  <c r="AA176" i="24"/>
  <c r="V178" i="24"/>
  <c r="AA178" i="24"/>
  <c r="V180" i="24"/>
  <c r="AA180" i="24"/>
  <c r="AG182" i="24"/>
  <c r="AG184" i="24"/>
  <c r="V186" i="24"/>
  <c r="AA186" i="24"/>
  <c r="AA188" i="24"/>
  <c r="AA190" i="24"/>
  <c r="AA192" i="24"/>
  <c r="X194" i="24"/>
  <c r="AA194" i="24"/>
  <c r="AG203" i="24"/>
  <c r="V205" i="24"/>
  <c r="AA205" i="24"/>
  <c r="AA207" i="24"/>
  <c r="AA209" i="24"/>
  <c r="V211" i="24"/>
  <c r="AA211" i="24"/>
  <c r="AF168" i="24"/>
  <c r="AA146" i="24"/>
  <c r="AA150" i="24"/>
  <c r="AA154" i="24"/>
  <c r="AA156" i="24"/>
  <c r="V158" i="24"/>
  <c r="AA158" i="24"/>
  <c r="AA170" i="24"/>
  <c r="V174" i="24"/>
  <c r="AA174" i="24"/>
  <c r="AA182" i="24"/>
  <c r="AA184" i="24"/>
  <c r="AG188" i="24"/>
  <c r="AG190" i="24"/>
  <c r="AG192" i="24"/>
  <c r="X196" i="24"/>
  <c r="AA196" i="24"/>
  <c r="AF198" i="24"/>
  <c r="V199" i="24"/>
  <c r="AA199" i="24"/>
  <c r="V201" i="24"/>
  <c r="AA201" i="24"/>
  <c r="AA203" i="24"/>
  <c r="AG207" i="24"/>
  <c r="AG209" i="24"/>
  <c r="V213" i="24"/>
  <c r="AA213" i="24"/>
  <c r="V215" i="24"/>
  <c r="AA215" i="24"/>
  <c r="X217" i="24"/>
  <c r="AA217" i="24"/>
  <c r="M220" i="24"/>
  <c r="J227" i="24"/>
  <c r="I132" i="23"/>
  <c r="I111" i="23"/>
  <c r="T219" i="24"/>
  <c r="F168" i="25"/>
  <c r="J168" i="25"/>
  <c r="AB168" i="25"/>
  <c r="X219" i="24"/>
  <c r="Y232" i="24"/>
  <c r="AF219" i="24"/>
  <c r="AF223" i="24"/>
  <c r="AG219" i="24"/>
  <c r="AG223" i="24"/>
  <c r="V219" i="24"/>
  <c r="W219" i="24"/>
  <c r="Y229" i="24"/>
  <c r="R82" i="22"/>
  <c r="Y226" i="24"/>
  <c r="Y233" i="24"/>
  <c r="X224" i="24"/>
  <c r="X233" i="24"/>
  <c r="R17" i="22"/>
  <c r="R183" i="22"/>
  <c r="R223" i="22"/>
  <c r="R207" i="22"/>
  <c r="Q131" i="22"/>
  <c r="T131" i="22"/>
  <c r="Q130" i="22"/>
  <c r="T130" i="22"/>
  <c r="Q129" i="22"/>
  <c r="T129" i="22"/>
  <c r="F122" i="23"/>
  <c r="J122" i="23"/>
  <c r="AB122" i="23"/>
  <c r="AC122" i="23"/>
  <c r="Q128" i="22"/>
  <c r="T128" i="22"/>
  <c r="Q127" i="22"/>
  <c r="T127" i="22"/>
  <c r="Q126" i="22"/>
  <c r="T126" i="22"/>
  <c r="Q125" i="22"/>
  <c r="T125" i="22"/>
  <c r="Q124" i="22"/>
  <c r="T124" i="22"/>
  <c r="Q206" i="22"/>
  <c r="T206" i="22"/>
  <c r="Q205" i="22"/>
  <c r="T205" i="22"/>
  <c r="Q204" i="22"/>
  <c r="T204" i="22"/>
  <c r="Q203" i="22"/>
  <c r="T203" i="22"/>
  <c r="Q202" i="22"/>
  <c r="T202" i="22"/>
  <c r="F198" i="23"/>
  <c r="J198" i="23"/>
  <c r="AB198" i="23"/>
  <c r="F123" i="23"/>
  <c r="J123" i="23"/>
  <c r="AC123" i="23"/>
  <c r="AB123" i="23"/>
  <c r="F119" i="23"/>
  <c r="J119" i="23"/>
  <c r="AD119" i="23"/>
  <c r="F42" i="23"/>
  <c r="J42" i="23"/>
  <c r="AB42" i="23"/>
  <c r="AD221" i="23"/>
  <c r="Z219" i="23"/>
  <c r="Y230" i="23"/>
  <c r="Y219" i="23"/>
  <c r="Y227" i="23"/>
  <c r="R219" i="23"/>
  <c r="P219" i="23"/>
  <c r="O219" i="23"/>
  <c r="N219" i="23"/>
  <c r="M219" i="23"/>
  <c r="L219" i="23"/>
  <c r="H219" i="23"/>
  <c r="G219" i="23"/>
  <c r="AH218" i="23"/>
  <c r="AG218" i="23"/>
  <c r="AD218" i="23"/>
  <c r="AC218" i="23"/>
  <c r="X218" i="23"/>
  <c r="W218" i="23"/>
  <c r="Q218" i="23"/>
  <c r="T218" i="23"/>
  <c r="F218" i="24"/>
  <c r="J218" i="24"/>
  <c r="AB218" i="24"/>
  <c r="V218" i="23"/>
  <c r="AG217" i="23"/>
  <c r="AF217" i="23"/>
  <c r="AC217" i="23"/>
  <c r="AB217" i="23"/>
  <c r="W217" i="23"/>
  <c r="V217" i="23"/>
  <c r="Q217" i="23"/>
  <c r="T217" i="23"/>
  <c r="F217" i="24"/>
  <c r="J217" i="24"/>
  <c r="X217" i="23"/>
  <c r="AG216" i="23"/>
  <c r="AF216" i="23"/>
  <c r="AC216" i="23"/>
  <c r="AB216" i="23"/>
  <c r="W216" i="23"/>
  <c r="V216" i="23"/>
  <c r="F216" i="24"/>
  <c r="J216" i="24"/>
  <c r="AD216" i="24"/>
  <c r="X216" i="23"/>
  <c r="AH215" i="23"/>
  <c r="AG215" i="23"/>
  <c r="AD215" i="23"/>
  <c r="AC215" i="23"/>
  <c r="X215" i="23"/>
  <c r="W215" i="23"/>
  <c r="F215" i="24"/>
  <c r="J215" i="24"/>
  <c r="AB215" i="24"/>
  <c r="V215" i="23"/>
  <c r="AH214" i="23"/>
  <c r="AG214" i="23"/>
  <c r="AD214" i="23"/>
  <c r="AC214" i="23"/>
  <c r="X214" i="23"/>
  <c r="W214" i="23"/>
  <c r="F214" i="24"/>
  <c r="J214" i="24"/>
  <c r="AB214" i="24"/>
  <c r="V214" i="23"/>
  <c r="AH213" i="23"/>
  <c r="AG213" i="23"/>
  <c r="AD213" i="23"/>
  <c r="AC213" i="23"/>
  <c r="X213" i="23"/>
  <c r="W213" i="23"/>
  <c r="F213" i="24"/>
  <c r="J213" i="24"/>
  <c r="AB213" i="24"/>
  <c r="V213" i="23"/>
  <c r="AH212" i="23"/>
  <c r="AF212" i="23"/>
  <c r="AD212" i="23"/>
  <c r="AB212" i="23"/>
  <c r="X212" i="23"/>
  <c r="V212" i="23"/>
  <c r="F212" i="24"/>
  <c r="J212" i="24"/>
  <c r="AC212" i="24"/>
  <c r="AG212" i="23"/>
  <c r="AH211" i="23"/>
  <c r="AG211" i="23"/>
  <c r="AD211" i="23"/>
  <c r="AC211" i="23"/>
  <c r="X211" i="23"/>
  <c r="W211" i="23"/>
  <c r="F211" i="24"/>
  <c r="J211" i="24"/>
  <c r="AB211" i="24"/>
  <c r="V211" i="23"/>
  <c r="AH210" i="23"/>
  <c r="AF210" i="23"/>
  <c r="AD210" i="23"/>
  <c r="AB210" i="23"/>
  <c r="X210" i="23"/>
  <c r="V210" i="23"/>
  <c r="F210" i="24"/>
  <c r="J210" i="24"/>
  <c r="AC210" i="24"/>
  <c r="AG210" i="23"/>
  <c r="AH209" i="23"/>
  <c r="AF209" i="23"/>
  <c r="AD209" i="23"/>
  <c r="AB209" i="23"/>
  <c r="X209" i="23"/>
  <c r="V209" i="23"/>
  <c r="F209" i="24"/>
  <c r="J209" i="24"/>
  <c r="AC209" i="24"/>
  <c r="AG209" i="23"/>
  <c r="AH208" i="23"/>
  <c r="AF208" i="23"/>
  <c r="AD208" i="23"/>
  <c r="AB208" i="23"/>
  <c r="X208" i="23"/>
  <c r="V208" i="23"/>
  <c r="F208" i="24"/>
  <c r="J208" i="24"/>
  <c r="AC208" i="24"/>
  <c r="AG208" i="23"/>
  <c r="AH207" i="23"/>
  <c r="AF207" i="23"/>
  <c r="AD207" i="23"/>
  <c r="AB207" i="23"/>
  <c r="X207" i="23"/>
  <c r="V207" i="23"/>
  <c r="F207" i="24"/>
  <c r="J207" i="24"/>
  <c r="AC207" i="24"/>
  <c r="AG207" i="23"/>
  <c r="AH206" i="23"/>
  <c r="AG206" i="23"/>
  <c r="AD206" i="23"/>
  <c r="AC206" i="23"/>
  <c r="X206" i="23"/>
  <c r="W206" i="23"/>
  <c r="F206" i="24"/>
  <c r="J206" i="24"/>
  <c r="AB206" i="24"/>
  <c r="V206" i="23"/>
  <c r="AH205" i="23"/>
  <c r="AG205" i="23"/>
  <c r="AD205" i="23"/>
  <c r="Q212" i="22"/>
  <c r="T212" i="22"/>
  <c r="F205" i="23"/>
  <c r="J205" i="23"/>
  <c r="AB205" i="23"/>
  <c r="AC205" i="23"/>
  <c r="X205" i="23"/>
  <c r="W205" i="23"/>
  <c r="F205" i="24"/>
  <c r="J205" i="24"/>
  <c r="AB205" i="24"/>
  <c r="V205" i="23"/>
  <c r="AG204" i="23"/>
  <c r="AF204" i="23"/>
  <c r="AC204" i="23"/>
  <c r="AB204" i="23"/>
  <c r="W204" i="23"/>
  <c r="V204" i="23"/>
  <c r="F204" i="24"/>
  <c r="J204" i="24"/>
  <c r="AD204" i="24"/>
  <c r="X204" i="23"/>
  <c r="AH203" i="23"/>
  <c r="AF203" i="23"/>
  <c r="AD203" i="23"/>
  <c r="AB203" i="23"/>
  <c r="X203" i="23"/>
  <c r="V203" i="23"/>
  <c r="F203" i="24"/>
  <c r="J203" i="24"/>
  <c r="AC203" i="24"/>
  <c r="AG203" i="23"/>
  <c r="AG202" i="23"/>
  <c r="AC202" i="23"/>
  <c r="W202" i="23"/>
  <c r="F202" i="24"/>
  <c r="J202" i="24"/>
  <c r="AB202" i="24"/>
  <c r="X202" i="23"/>
  <c r="AH201" i="23"/>
  <c r="AG201" i="23"/>
  <c r="AD201" i="23"/>
  <c r="AC201" i="23"/>
  <c r="X201" i="23"/>
  <c r="W201" i="23"/>
  <c r="F201" i="24"/>
  <c r="J201" i="24"/>
  <c r="AB201" i="24"/>
  <c r="V201" i="23"/>
  <c r="AG200" i="23"/>
  <c r="AF200" i="23"/>
  <c r="AC200" i="23"/>
  <c r="AB200" i="23"/>
  <c r="W200" i="23"/>
  <c r="V200" i="23"/>
  <c r="F200" i="24"/>
  <c r="J200" i="24"/>
  <c r="AD200" i="24"/>
  <c r="X200" i="23"/>
  <c r="AH199" i="23"/>
  <c r="AG199" i="23"/>
  <c r="AD199" i="23"/>
  <c r="AC199" i="23"/>
  <c r="X199" i="23"/>
  <c r="W199" i="23"/>
  <c r="F199" i="24"/>
  <c r="J199" i="24"/>
  <c r="AB199" i="24"/>
  <c r="V199" i="23"/>
  <c r="AH198" i="23"/>
  <c r="AG198" i="23"/>
  <c r="AD198" i="23"/>
  <c r="AC198" i="23"/>
  <c r="X198" i="23"/>
  <c r="W198" i="23"/>
  <c r="V198" i="23"/>
  <c r="AA198" i="23"/>
  <c r="AH197" i="23"/>
  <c r="AG197" i="23"/>
  <c r="AD197" i="23"/>
  <c r="AC197" i="23"/>
  <c r="X197" i="23"/>
  <c r="W197" i="23"/>
  <c r="F197" i="24"/>
  <c r="J197" i="24"/>
  <c r="AB197" i="24"/>
  <c r="V197" i="23"/>
  <c r="AA197" i="23"/>
  <c r="AG196" i="23"/>
  <c r="AF196" i="23"/>
  <c r="AC196" i="23"/>
  <c r="AB196" i="23"/>
  <c r="W196" i="23"/>
  <c r="V196" i="23"/>
  <c r="F196" i="24"/>
  <c r="J196" i="24"/>
  <c r="AD196" i="24"/>
  <c r="AH196" i="23"/>
  <c r="AH195" i="23"/>
  <c r="AF195" i="23"/>
  <c r="AD195" i="23"/>
  <c r="AB195" i="23"/>
  <c r="X195" i="23"/>
  <c r="V195" i="23"/>
  <c r="F195" i="24"/>
  <c r="J195" i="24"/>
  <c r="AC195" i="24"/>
  <c r="W195" i="23"/>
  <c r="AG194" i="23"/>
  <c r="AF194" i="23"/>
  <c r="AC194" i="23"/>
  <c r="AB194" i="23"/>
  <c r="Q201" i="22"/>
  <c r="T201" i="22"/>
  <c r="F194" i="23"/>
  <c r="J194" i="23"/>
  <c r="AD194" i="23"/>
  <c r="W194" i="23"/>
  <c r="V194" i="23"/>
  <c r="F194" i="24"/>
  <c r="J194" i="24"/>
  <c r="AD194" i="24"/>
  <c r="X194" i="23"/>
  <c r="AH193" i="23"/>
  <c r="AF193" i="23"/>
  <c r="AD193" i="23"/>
  <c r="AB193" i="23"/>
  <c r="X193" i="23"/>
  <c r="V193" i="23"/>
  <c r="F193" i="24"/>
  <c r="J193" i="24"/>
  <c r="AC193" i="24"/>
  <c r="W193" i="23"/>
  <c r="AH192" i="23"/>
  <c r="AF192" i="23"/>
  <c r="AD192" i="23"/>
  <c r="AB192" i="23"/>
  <c r="X192" i="23"/>
  <c r="V192" i="23"/>
  <c r="F192" i="24"/>
  <c r="J192" i="24"/>
  <c r="AC192" i="24"/>
  <c r="AG192" i="23"/>
  <c r="AH191" i="23"/>
  <c r="AF191" i="23"/>
  <c r="AD191" i="23"/>
  <c r="AB191" i="23"/>
  <c r="X191" i="23"/>
  <c r="V191" i="23"/>
  <c r="F191" i="24"/>
  <c r="J191" i="24"/>
  <c r="AC191" i="24"/>
  <c r="W191" i="23"/>
  <c r="AH190" i="23"/>
  <c r="AF190" i="23"/>
  <c r="AD190" i="23"/>
  <c r="AB190" i="23"/>
  <c r="X190" i="23"/>
  <c r="V190" i="23"/>
  <c r="F190" i="24"/>
  <c r="J190" i="24"/>
  <c r="AC190" i="24"/>
  <c r="AG190" i="23"/>
  <c r="AH189" i="23"/>
  <c r="AF189" i="23"/>
  <c r="AD189" i="23"/>
  <c r="AB189" i="23"/>
  <c r="X189" i="23"/>
  <c r="V189" i="23"/>
  <c r="F189" i="24"/>
  <c r="J189" i="24"/>
  <c r="AC189" i="24"/>
  <c r="W189" i="23"/>
  <c r="AH188" i="23"/>
  <c r="AF188" i="23"/>
  <c r="AD188" i="23"/>
  <c r="AB188" i="23"/>
  <c r="X188" i="23"/>
  <c r="V188" i="23"/>
  <c r="F188" i="24"/>
  <c r="J188" i="24"/>
  <c r="AC188" i="24"/>
  <c r="AG188" i="23"/>
  <c r="AH187" i="23"/>
  <c r="AG187" i="23"/>
  <c r="AD187" i="23"/>
  <c r="AC187" i="23"/>
  <c r="X187" i="23"/>
  <c r="W187" i="23"/>
  <c r="AF187" i="23"/>
  <c r="AH186" i="23"/>
  <c r="AG186" i="23"/>
  <c r="AD186" i="23"/>
  <c r="AC186" i="23"/>
  <c r="X186" i="23"/>
  <c r="W186" i="23"/>
  <c r="F186" i="24"/>
  <c r="J186" i="24"/>
  <c r="AB186" i="24"/>
  <c r="V186" i="23"/>
  <c r="AA186" i="23"/>
  <c r="AH185" i="23"/>
  <c r="AG185" i="23"/>
  <c r="AD185" i="23"/>
  <c r="AC185" i="23"/>
  <c r="X185" i="23"/>
  <c r="W185" i="23"/>
  <c r="F185" i="24"/>
  <c r="J185" i="24"/>
  <c r="AB185" i="24"/>
  <c r="AF185" i="23"/>
  <c r="AH184" i="23"/>
  <c r="AF184" i="23"/>
  <c r="AD184" i="23"/>
  <c r="AB184" i="23"/>
  <c r="Q191" i="22"/>
  <c r="T191" i="22"/>
  <c r="F184" i="23"/>
  <c r="J184" i="23"/>
  <c r="AC184" i="23"/>
  <c r="X184" i="23"/>
  <c r="V184" i="23"/>
  <c r="F184" i="24"/>
  <c r="J184" i="24"/>
  <c r="AC184" i="24"/>
  <c r="AG184" i="23"/>
  <c r="AH183" i="23"/>
  <c r="AF183" i="23"/>
  <c r="AD183" i="23"/>
  <c r="AB183" i="23"/>
  <c r="X183" i="23"/>
  <c r="V183" i="23"/>
  <c r="F183" i="24"/>
  <c r="J183" i="24"/>
  <c r="AC183" i="24"/>
  <c r="W183" i="23"/>
  <c r="AH182" i="23"/>
  <c r="AF182" i="23"/>
  <c r="AD182" i="23"/>
  <c r="AB182" i="23"/>
  <c r="X182" i="23"/>
  <c r="V182" i="23"/>
  <c r="F182" i="24"/>
  <c r="J182" i="24"/>
  <c r="AC182" i="24"/>
  <c r="AG182" i="23"/>
  <c r="AH181" i="23"/>
  <c r="AF181" i="23"/>
  <c r="AD181" i="23"/>
  <c r="AB181" i="23"/>
  <c r="X181" i="23"/>
  <c r="W181" i="23"/>
  <c r="V181" i="23"/>
  <c r="AA181" i="23"/>
  <c r="F181" i="24"/>
  <c r="J181" i="24"/>
  <c r="AC181" i="24"/>
  <c r="AG181" i="23"/>
  <c r="AH180" i="23"/>
  <c r="AG180" i="23"/>
  <c r="AD180" i="23"/>
  <c r="AC180" i="23"/>
  <c r="X180" i="23"/>
  <c r="W180" i="23"/>
  <c r="F180" i="24"/>
  <c r="J180" i="24"/>
  <c r="AB180" i="24"/>
  <c r="V180" i="23"/>
  <c r="AH179" i="23"/>
  <c r="AG179" i="23"/>
  <c r="AD179" i="23"/>
  <c r="AC179" i="23"/>
  <c r="X179" i="23"/>
  <c r="W179" i="23"/>
  <c r="F179" i="24"/>
  <c r="J179" i="24"/>
  <c r="AB179" i="24"/>
  <c r="V179" i="23"/>
  <c r="AH178" i="23"/>
  <c r="AG178" i="23"/>
  <c r="AD178" i="23"/>
  <c r="AC178" i="23"/>
  <c r="X178" i="23"/>
  <c r="W178" i="23"/>
  <c r="F178" i="24"/>
  <c r="J178" i="24"/>
  <c r="AB178" i="24"/>
  <c r="V178" i="23"/>
  <c r="AH177" i="23"/>
  <c r="AG177" i="23"/>
  <c r="AD177" i="23"/>
  <c r="AC177" i="23"/>
  <c r="X177" i="23"/>
  <c r="W177" i="23"/>
  <c r="J177" i="24"/>
  <c r="V177" i="23"/>
  <c r="AH176" i="23"/>
  <c r="AG176" i="23"/>
  <c r="AD176" i="23"/>
  <c r="AC176" i="23"/>
  <c r="X176" i="23"/>
  <c r="W176" i="23"/>
  <c r="F176" i="24"/>
  <c r="J176" i="24"/>
  <c r="AB176" i="24"/>
  <c r="V176" i="23"/>
  <c r="AH175" i="23"/>
  <c r="AF175" i="23"/>
  <c r="AD175" i="23"/>
  <c r="AB175" i="23"/>
  <c r="Q182" i="22"/>
  <c r="T182" i="22"/>
  <c r="F175" i="23"/>
  <c r="J175" i="23"/>
  <c r="AC175" i="23"/>
  <c r="X175" i="23"/>
  <c r="V175" i="23"/>
  <c r="F175" i="24"/>
  <c r="J175" i="24"/>
  <c r="AC175" i="24"/>
  <c r="AG175" i="23"/>
  <c r="AH174" i="23"/>
  <c r="AG174" i="23"/>
  <c r="AD174" i="23"/>
  <c r="AC174" i="23"/>
  <c r="X174" i="23"/>
  <c r="W174" i="23"/>
  <c r="F174" i="24"/>
  <c r="J174" i="24"/>
  <c r="AB174" i="24"/>
  <c r="V174" i="23"/>
  <c r="AG173" i="23"/>
  <c r="AF173" i="23"/>
  <c r="AC173" i="23"/>
  <c r="AB173" i="23"/>
  <c r="W173" i="23"/>
  <c r="V173" i="23"/>
  <c r="AH173" i="23"/>
  <c r="AH172" i="23"/>
  <c r="AF172" i="23"/>
  <c r="AD172" i="23"/>
  <c r="AB172" i="23"/>
  <c r="X172" i="23"/>
  <c r="V172" i="23"/>
  <c r="AG172" i="23"/>
  <c r="AH171" i="23"/>
  <c r="AG171" i="23"/>
  <c r="AD171" i="23"/>
  <c r="AC171" i="23"/>
  <c r="X171" i="23"/>
  <c r="W171" i="23"/>
  <c r="AF171" i="23"/>
  <c r="AH170" i="23"/>
  <c r="AF170" i="23"/>
  <c r="AD170" i="23"/>
  <c r="AB170" i="23"/>
  <c r="X170" i="23"/>
  <c r="V170" i="23"/>
  <c r="F170" i="24"/>
  <c r="J170" i="24"/>
  <c r="AC170" i="24"/>
  <c r="AG170" i="23"/>
  <c r="AH169" i="23"/>
  <c r="AF169" i="23"/>
  <c r="AD169" i="23"/>
  <c r="AB169" i="23"/>
  <c r="X169" i="23"/>
  <c r="W169" i="23"/>
  <c r="V169" i="23"/>
  <c r="AA169" i="23"/>
  <c r="F169" i="24"/>
  <c r="J169" i="24"/>
  <c r="AC169" i="24"/>
  <c r="AG169" i="23"/>
  <c r="AH168" i="23"/>
  <c r="AG168" i="23"/>
  <c r="AD168" i="23"/>
  <c r="AC168" i="23"/>
  <c r="X168" i="23"/>
  <c r="W168" i="23"/>
  <c r="F168" i="24"/>
  <c r="J168" i="24"/>
  <c r="AB168" i="24"/>
  <c r="V168" i="23"/>
  <c r="AH167" i="23"/>
  <c r="AF167" i="23"/>
  <c r="AD167" i="23"/>
  <c r="AB167" i="23"/>
  <c r="X167" i="23"/>
  <c r="V167" i="23"/>
  <c r="W167" i="23"/>
  <c r="AH166" i="23"/>
  <c r="AG166" i="23"/>
  <c r="AD166" i="23"/>
  <c r="AC166" i="23"/>
  <c r="X166" i="23"/>
  <c r="W166" i="23"/>
  <c r="F166" i="24"/>
  <c r="J166" i="24"/>
  <c r="AB166" i="24"/>
  <c r="V166" i="23"/>
  <c r="AH165" i="23"/>
  <c r="AG165" i="23"/>
  <c r="AD165" i="23"/>
  <c r="AC165" i="23"/>
  <c r="X165" i="23"/>
  <c r="W165" i="23"/>
  <c r="V165" i="23"/>
  <c r="AH164" i="23"/>
  <c r="AG164" i="23"/>
  <c r="AD164" i="23"/>
  <c r="AC164" i="23"/>
  <c r="Q171" i="22"/>
  <c r="T171" i="22"/>
  <c r="F164" i="23"/>
  <c r="J164" i="23"/>
  <c r="AB164" i="23"/>
  <c r="X164" i="23"/>
  <c r="W164" i="23"/>
  <c r="F164" i="24"/>
  <c r="J164" i="24"/>
  <c r="AB164" i="24"/>
  <c r="V164" i="23"/>
  <c r="AH163" i="23"/>
  <c r="AG163" i="23"/>
  <c r="AD163" i="23"/>
  <c r="AC163" i="23"/>
  <c r="X163" i="23"/>
  <c r="W163" i="23"/>
  <c r="F163" i="24"/>
  <c r="J163" i="24"/>
  <c r="AB163" i="24"/>
  <c r="V163" i="23"/>
  <c r="AH162" i="23"/>
  <c r="AG162" i="23"/>
  <c r="AD162" i="23"/>
  <c r="AC162" i="23"/>
  <c r="X162" i="23"/>
  <c r="W162" i="23"/>
  <c r="F162" i="24"/>
  <c r="J162" i="24"/>
  <c r="AB162" i="24"/>
  <c r="V162" i="23"/>
  <c r="AH161" i="23"/>
  <c r="AG161" i="23"/>
  <c r="AD161" i="23"/>
  <c r="AC161" i="23"/>
  <c r="X161" i="23"/>
  <c r="W161" i="23"/>
  <c r="F161" i="24"/>
  <c r="J161" i="24"/>
  <c r="AB161" i="24"/>
  <c r="V161" i="23"/>
  <c r="AH160" i="23"/>
  <c r="AG160" i="23"/>
  <c r="AD160" i="23"/>
  <c r="AC160" i="23"/>
  <c r="X160" i="23"/>
  <c r="W160" i="23"/>
  <c r="F160" i="24"/>
  <c r="J160" i="24"/>
  <c r="AB160" i="24"/>
  <c r="V160" i="23"/>
  <c r="AH159" i="23"/>
  <c r="AF159" i="23"/>
  <c r="AD159" i="23"/>
  <c r="AB159" i="23"/>
  <c r="X159" i="23"/>
  <c r="V159" i="23"/>
  <c r="F159" i="24"/>
  <c r="J159" i="24"/>
  <c r="AC159" i="24"/>
  <c r="AG159" i="23"/>
  <c r="AH158" i="23"/>
  <c r="AG158" i="23"/>
  <c r="AD158" i="23"/>
  <c r="AC158" i="23"/>
  <c r="X158" i="23"/>
  <c r="W158" i="23"/>
  <c r="F158" i="24"/>
  <c r="J158" i="24"/>
  <c r="AB158" i="24"/>
  <c r="V158" i="23"/>
  <c r="AH157" i="23"/>
  <c r="AF157" i="23"/>
  <c r="AD157" i="23"/>
  <c r="AB157" i="23"/>
  <c r="X157" i="23"/>
  <c r="V157" i="23"/>
  <c r="F157" i="24"/>
  <c r="J157" i="24"/>
  <c r="AC157" i="24"/>
  <c r="AG157" i="23"/>
  <c r="AH156" i="23"/>
  <c r="AF156" i="23"/>
  <c r="AD156" i="23"/>
  <c r="AB156" i="23"/>
  <c r="X156" i="23"/>
  <c r="V156" i="23"/>
  <c r="F156" i="24"/>
  <c r="J156" i="24"/>
  <c r="AC156" i="24"/>
  <c r="AG156" i="23"/>
  <c r="AH155" i="23"/>
  <c r="AF155" i="23"/>
  <c r="AD155" i="23"/>
  <c r="AB155" i="23"/>
  <c r="X155" i="23"/>
  <c r="V155" i="23"/>
  <c r="F155" i="24"/>
  <c r="J155" i="24"/>
  <c r="AC155" i="24"/>
  <c r="AG155" i="23"/>
  <c r="AH154" i="23"/>
  <c r="AF154" i="23"/>
  <c r="AD154" i="23"/>
  <c r="AB154" i="23"/>
  <c r="X154" i="23"/>
  <c r="V154" i="23"/>
  <c r="F154" i="24"/>
  <c r="J154" i="24"/>
  <c r="AC154" i="24"/>
  <c r="AG154" i="23"/>
  <c r="AH153" i="23"/>
  <c r="AF153" i="23"/>
  <c r="AD153" i="23"/>
  <c r="AB153" i="23"/>
  <c r="X153" i="23"/>
  <c r="W153" i="23"/>
  <c r="V153" i="23"/>
  <c r="AA153" i="23"/>
  <c r="F153" i="24"/>
  <c r="J153" i="24"/>
  <c r="AC153" i="24"/>
  <c r="AG153" i="23"/>
  <c r="AH152" i="23"/>
  <c r="AG152" i="23"/>
  <c r="AD152" i="23"/>
  <c r="AC152" i="23"/>
  <c r="X152" i="23"/>
  <c r="W152" i="23"/>
  <c r="F152" i="24"/>
  <c r="J152" i="24"/>
  <c r="AB152" i="24"/>
  <c r="V152" i="23"/>
  <c r="AH151" i="23"/>
  <c r="AG151" i="23"/>
  <c r="AD151" i="23"/>
  <c r="AC151" i="23"/>
  <c r="X151" i="23"/>
  <c r="W151" i="23"/>
  <c r="F151" i="24"/>
  <c r="J151" i="24"/>
  <c r="AB151" i="24"/>
  <c r="V151" i="23"/>
  <c r="AH150" i="23"/>
  <c r="AF150" i="23"/>
  <c r="AD150" i="23"/>
  <c r="AB150" i="23"/>
  <c r="X150" i="23"/>
  <c r="V150" i="23"/>
  <c r="F150" i="24"/>
  <c r="J150" i="24"/>
  <c r="AC150" i="24"/>
  <c r="AG150" i="23"/>
  <c r="AH149" i="23"/>
  <c r="AF149" i="23"/>
  <c r="AD149" i="23"/>
  <c r="AB149" i="23"/>
  <c r="X149" i="23"/>
  <c r="V149" i="23"/>
  <c r="F149" i="24"/>
  <c r="J149" i="24"/>
  <c r="AC149" i="24"/>
  <c r="AG149" i="23"/>
  <c r="AH148" i="23"/>
  <c r="AG148" i="23"/>
  <c r="AD148" i="23"/>
  <c r="AC148" i="23"/>
  <c r="X148" i="23"/>
  <c r="W148" i="23"/>
  <c r="F148" i="24"/>
  <c r="J148" i="24"/>
  <c r="AB148" i="24"/>
  <c r="V148" i="23"/>
  <c r="AG147" i="23"/>
  <c r="AF147" i="23"/>
  <c r="AC147" i="23"/>
  <c r="AB147" i="23"/>
  <c r="W147" i="23"/>
  <c r="V147" i="23"/>
  <c r="X147" i="23"/>
  <c r="AH146" i="23"/>
  <c r="AF146" i="23"/>
  <c r="AD146" i="23"/>
  <c r="AB146" i="23"/>
  <c r="X146" i="23"/>
  <c r="V146" i="23"/>
  <c r="F146" i="24"/>
  <c r="J146" i="24"/>
  <c r="AC146" i="24"/>
  <c r="AG146" i="23"/>
  <c r="AH145" i="23"/>
  <c r="AF145" i="23"/>
  <c r="AD145" i="23"/>
  <c r="AB145" i="23"/>
  <c r="X145" i="23"/>
  <c r="V145" i="23"/>
  <c r="F145" i="24"/>
  <c r="J145" i="24"/>
  <c r="AC145" i="24"/>
  <c r="AG145" i="23"/>
  <c r="AG144" i="23"/>
  <c r="AF144" i="23"/>
  <c r="AC144" i="23"/>
  <c r="AB144" i="23"/>
  <c r="W144" i="23"/>
  <c r="V144" i="23"/>
  <c r="F144" i="24"/>
  <c r="J144" i="24"/>
  <c r="AD144" i="24"/>
  <c r="X144" i="23"/>
  <c r="AH143" i="23"/>
  <c r="AG143" i="23"/>
  <c r="AD143" i="23"/>
  <c r="AC143" i="23"/>
  <c r="X143" i="23"/>
  <c r="W143" i="23"/>
  <c r="F143" i="24"/>
  <c r="J143" i="24"/>
  <c r="AB143" i="24"/>
  <c r="V143" i="23"/>
  <c r="AH142" i="23"/>
  <c r="AG142" i="23"/>
  <c r="AD142" i="23"/>
  <c r="AC142" i="23"/>
  <c r="X142" i="23"/>
  <c r="W142" i="23"/>
  <c r="F142" i="24"/>
  <c r="J142" i="24"/>
  <c r="AB142" i="24"/>
  <c r="V142" i="23"/>
  <c r="AH141" i="23"/>
  <c r="AG141" i="23"/>
  <c r="AD141" i="23"/>
  <c r="AC141" i="23"/>
  <c r="X141" i="23"/>
  <c r="W141" i="23"/>
  <c r="F141" i="24"/>
  <c r="J141" i="24"/>
  <c r="AB141" i="24"/>
  <c r="V141" i="23"/>
  <c r="AH140" i="23"/>
  <c r="AF140" i="23"/>
  <c r="AD140" i="23"/>
  <c r="AB140" i="23"/>
  <c r="X140" i="23"/>
  <c r="V140" i="23"/>
  <c r="F140" i="24"/>
  <c r="J140" i="24"/>
  <c r="AC140" i="24"/>
  <c r="AG140" i="23"/>
  <c r="AH139" i="23"/>
  <c r="AF139" i="23"/>
  <c r="AD139" i="23"/>
  <c r="AB139" i="23"/>
  <c r="X139" i="23"/>
  <c r="V139" i="23"/>
  <c r="F139" i="24"/>
  <c r="J139" i="24"/>
  <c r="AC139" i="24"/>
  <c r="AG139" i="23"/>
  <c r="AG138" i="23"/>
  <c r="AF138" i="23"/>
  <c r="AC138" i="23"/>
  <c r="AB138" i="23"/>
  <c r="W138" i="23"/>
  <c r="V138" i="23"/>
  <c r="F138" i="24"/>
  <c r="J138" i="24"/>
  <c r="AD138" i="24"/>
  <c r="X138" i="23"/>
  <c r="AH137" i="23"/>
  <c r="AG137" i="23"/>
  <c r="AD137" i="23"/>
  <c r="AC137" i="23"/>
  <c r="X137" i="23"/>
  <c r="W137" i="23"/>
  <c r="F137" i="24"/>
  <c r="J137" i="24"/>
  <c r="AB137" i="24"/>
  <c r="V137" i="23"/>
  <c r="AH136" i="23"/>
  <c r="AG136" i="23"/>
  <c r="AD136" i="23"/>
  <c r="AC136" i="23"/>
  <c r="X136" i="23"/>
  <c r="W136" i="23"/>
  <c r="F136" i="24"/>
  <c r="J136" i="24"/>
  <c r="AB136" i="24"/>
  <c r="V136" i="23"/>
  <c r="AH135" i="23"/>
  <c r="AF135" i="23"/>
  <c r="AD135" i="23"/>
  <c r="AB135" i="23"/>
  <c r="X135" i="23"/>
  <c r="V135" i="23"/>
  <c r="F135" i="24"/>
  <c r="J135" i="24"/>
  <c r="AC135" i="24"/>
  <c r="AG135" i="23"/>
  <c r="AH134" i="23"/>
  <c r="AF134" i="23"/>
  <c r="AD134" i="23"/>
  <c r="AB134" i="23"/>
  <c r="X134" i="23"/>
  <c r="V134" i="23"/>
  <c r="F134" i="24"/>
  <c r="J134" i="24"/>
  <c r="AC134" i="24"/>
  <c r="AG134" i="23"/>
  <c r="AH133" i="23"/>
  <c r="AG133" i="23"/>
  <c r="AD133" i="23"/>
  <c r="AC133" i="23"/>
  <c r="X133" i="23"/>
  <c r="W133" i="23"/>
  <c r="F133" i="24"/>
  <c r="J133" i="24"/>
  <c r="AB133" i="24"/>
  <c r="V133" i="23"/>
  <c r="AH132" i="23"/>
  <c r="AG132" i="23"/>
  <c r="AD132" i="23"/>
  <c r="AC132" i="23"/>
  <c r="X132" i="23"/>
  <c r="W132" i="23"/>
  <c r="F132" i="24"/>
  <c r="J132" i="24"/>
  <c r="AB132" i="24"/>
  <c r="V132" i="23"/>
  <c r="AH131" i="23"/>
  <c r="AG131" i="23"/>
  <c r="AD131" i="23"/>
  <c r="AC131" i="23"/>
  <c r="X131" i="23"/>
  <c r="W131" i="23"/>
  <c r="F131" i="24"/>
  <c r="J131" i="24"/>
  <c r="AB131" i="24"/>
  <c r="V131" i="23"/>
  <c r="AH130" i="23"/>
  <c r="AG130" i="23"/>
  <c r="AD130" i="23"/>
  <c r="AC130" i="23"/>
  <c r="X130" i="23"/>
  <c r="W130" i="23"/>
  <c r="F130" i="24"/>
  <c r="J130" i="24"/>
  <c r="AB130" i="24"/>
  <c r="V130" i="23"/>
  <c r="AH129" i="23"/>
  <c r="AG129" i="23"/>
  <c r="AD129" i="23"/>
  <c r="AC129" i="23"/>
  <c r="X129" i="23"/>
  <c r="W129" i="23"/>
  <c r="F129" i="24"/>
  <c r="J129" i="24"/>
  <c r="AB129" i="24"/>
  <c r="AF129" i="23"/>
  <c r="AH128" i="23"/>
  <c r="AG128" i="23"/>
  <c r="AD128" i="23"/>
  <c r="AC128" i="23"/>
  <c r="X128" i="23"/>
  <c r="W128" i="23"/>
  <c r="F128" i="24"/>
  <c r="J128" i="24"/>
  <c r="AB128" i="24"/>
  <c r="V128" i="23"/>
  <c r="AH127" i="23"/>
  <c r="AG127" i="23"/>
  <c r="AD127" i="23"/>
  <c r="AC127" i="23"/>
  <c r="X127" i="23"/>
  <c r="W127" i="23"/>
  <c r="F127" i="24"/>
  <c r="J127" i="24"/>
  <c r="AB127" i="24"/>
  <c r="V127" i="23"/>
  <c r="AH126" i="23"/>
  <c r="AG126" i="23"/>
  <c r="AD126" i="23"/>
  <c r="AC126" i="23"/>
  <c r="X126" i="23"/>
  <c r="W126" i="23"/>
  <c r="F126" i="24"/>
  <c r="J126" i="24"/>
  <c r="AB126" i="24"/>
  <c r="V126" i="23"/>
  <c r="AH125" i="23"/>
  <c r="AG125" i="23"/>
  <c r="AD125" i="23"/>
  <c r="AC125" i="23"/>
  <c r="X125" i="23"/>
  <c r="W125" i="23"/>
  <c r="F125" i="24"/>
  <c r="J125" i="24"/>
  <c r="AB125" i="24"/>
  <c r="V125" i="23"/>
  <c r="AH124" i="23"/>
  <c r="AG124" i="23"/>
  <c r="AD124" i="23"/>
  <c r="AC124" i="23"/>
  <c r="X124" i="23"/>
  <c r="W124" i="23"/>
  <c r="F124" i="24"/>
  <c r="J124" i="24"/>
  <c r="AB124" i="24"/>
  <c r="V124" i="23"/>
  <c r="AH123" i="23"/>
  <c r="AG123" i="23"/>
  <c r="AD123" i="23"/>
  <c r="X123" i="23"/>
  <c r="W123" i="23"/>
  <c r="V123" i="23"/>
  <c r="AH122" i="23"/>
  <c r="AF122" i="23"/>
  <c r="AD122" i="23"/>
  <c r="X122" i="23"/>
  <c r="V122" i="23"/>
  <c r="AG122" i="23"/>
  <c r="AH121" i="23"/>
  <c r="AF121" i="23"/>
  <c r="AD121" i="23"/>
  <c r="AB121" i="23"/>
  <c r="X121" i="23"/>
  <c r="V121" i="23"/>
  <c r="F121" i="24"/>
  <c r="J121" i="24"/>
  <c r="AC121" i="24"/>
  <c r="W121" i="23"/>
  <c r="AH120" i="23"/>
  <c r="AF120" i="23"/>
  <c r="AD120" i="23"/>
  <c r="AB120" i="23"/>
  <c r="X120" i="23"/>
  <c r="V120" i="23"/>
  <c r="F120" i="24"/>
  <c r="J120" i="24"/>
  <c r="AC120" i="24"/>
  <c r="AG120" i="23"/>
  <c r="AG119" i="23"/>
  <c r="AF119" i="23"/>
  <c r="AC119" i="23"/>
  <c r="AB119" i="23"/>
  <c r="W119" i="23"/>
  <c r="V119" i="23"/>
  <c r="AH119" i="23"/>
  <c r="AH118" i="23"/>
  <c r="AG118" i="23"/>
  <c r="AD118" i="23"/>
  <c r="AC118" i="23"/>
  <c r="X118" i="23"/>
  <c r="W118" i="23"/>
  <c r="F118" i="24"/>
  <c r="J118" i="24"/>
  <c r="AB118" i="24"/>
  <c r="V118" i="23"/>
  <c r="AH117" i="23"/>
  <c r="AF117" i="23"/>
  <c r="AD117" i="23"/>
  <c r="AB117" i="23"/>
  <c r="X117" i="23"/>
  <c r="W117" i="23"/>
  <c r="V117" i="23"/>
  <c r="AA117" i="23"/>
  <c r="F117" i="24"/>
  <c r="J117" i="24"/>
  <c r="AC117" i="24"/>
  <c r="AG117" i="23"/>
  <c r="AH116" i="23"/>
  <c r="AG116" i="23"/>
  <c r="AD116" i="23"/>
  <c r="AC116" i="23"/>
  <c r="X116" i="23"/>
  <c r="W116" i="23"/>
  <c r="F116" i="24"/>
  <c r="J116" i="24"/>
  <c r="AB116" i="24"/>
  <c r="V116" i="23"/>
  <c r="AH115" i="23"/>
  <c r="AG115" i="23"/>
  <c r="AD115" i="23"/>
  <c r="AC115" i="23"/>
  <c r="X115" i="23"/>
  <c r="W115" i="23"/>
  <c r="F115" i="24"/>
  <c r="J115" i="24"/>
  <c r="AB115" i="24"/>
  <c r="V115" i="23"/>
  <c r="AH114" i="23"/>
  <c r="AF114" i="23"/>
  <c r="AD114" i="23"/>
  <c r="AB114" i="23"/>
  <c r="Q121" i="22"/>
  <c r="T121" i="22"/>
  <c r="F114" i="23"/>
  <c r="J114" i="23"/>
  <c r="AC114" i="23"/>
  <c r="X114" i="23"/>
  <c r="V114" i="23"/>
  <c r="F114" i="24"/>
  <c r="J114" i="24"/>
  <c r="AC114" i="24"/>
  <c r="AG114" i="23"/>
  <c r="AH113" i="23"/>
  <c r="AF113" i="23"/>
  <c r="AD113" i="23"/>
  <c r="AB113" i="23"/>
  <c r="X113" i="23"/>
  <c r="V113" i="23"/>
  <c r="F113" i="24"/>
  <c r="J113" i="24"/>
  <c r="AC113" i="24"/>
  <c r="AG113" i="23"/>
  <c r="AH112" i="23"/>
  <c r="AG112" i="23"/>
  <c r="AD112" i="23"/>
  <c r="AC112" i="23"/>
  <c r="X112" i="23"/>
  <c r="W112" i="23"/>
  <c r="F112" i="24"/>
  <c r="J112" i="24"/>
  <c r="AB112" i="24"/>
  <c r="V112" i="23"/>
  <c r="AH111" i="23"/>
  <c r="AG111" i="23"/>
  <c r="AD111" i="23"/>
  <c r="AC111" i="23"/>
  <c r="X111" i="23"/>
  <c r="W111" i="23"/>
  <c r="F111" i="24"/>
  <c r="J111" i="24"/>
  <c r="AB111" i="24"/>
  <c r="V111" i="23"/>
  <c r="AH110" i="23"/>
  <c r="AG110" i="23"/>
  <c r="AD110" i="23"/>
  <c r="AC110" i="23"/>
  <c r="X110" i="23"/>
  <c r="W110" i="23"/>
  <c r="F110" i="24"/>
  <c r="J110" i="24"/>
  <c r="AB110" i="24"/>
  <c r="V110" i="23"/>
  <c r="AH109" i="23"/>
  <c r="AG109" i="23"/>
  <c r="AD109" i="23"/>
  <c r="AC109" i="23"/>
  <c r="X109" i="23"/>
  <c r="W109" i="23"/>
  <c r="F109" i="24"/>
  <c r="J109" i="24"/>
  <c r="AB109" i="24"/>
  <c r="V109" i="23"/>
  <c r="AH108" i="23"/>
  <c r="AG108" i="23"/>
  <c r="AD108" i="23"/>
  <c r="AC108" i="23"/>
  <c r="X108" i="23"/>
  <c r="W108" i="23"/>
  <c r="F108" i="24"/>
  <c r="J108" i="24"/>
  <c r="AB108" i="24"/>
  <c r="V108" i="23"/>
  <c r="AH107" i="23"/>
  <c r="AG107" i="23"/>
  <c r="AD107" i="23"/>
  <c r="AC107" i="23"/>
  <c r="X107" i="23"/>
  <c r="W107" i="23"/>
  <c r="F107" i="24"/>
  <c r="J107" i="24"/>
  <c r="AB107" i="24"/>
  <c r="V107" i="23"/>
  <c r="AH106" i="23"/>
  <c r="AG106" i="23"/>
  <c r="AD106" i="23"/>
  <c r="AC106" i="23"/>
  <c r="X106" i="23"/>
  <c r="W106" i="23"/>
  <c r="F106" i="24"/>
  <c r="J106" i="24"/>
  <c r="AB106" i="24"/>
  <c r="V106" i="23"/>
  <c r="AH105" i="23"/>
  <c r="AG105" i="23"/>
  <c r="AD105" i="23"/>
  <c r="Q112" i="22"/>
  <c r="T112" i="22"/>
  <c r="F105" i="23"/>
  <c r="J105" i="23"/>
  <c r="AB105" i="23"/>
  <c r="AC105" i="23"/>
  <c r="X105" i="23"/>
  <c r="W105" i="23"/>
  <c r="F105" i="24"/>
  <c r="J105" i="24"/>
  <c r="AB105" i="24"/>
  <c r="V105" i="23"/>
  <c r="AH104" i="23"/>
  <c r="AG104" i="23"/>
  <c r="AD104" i="23"/>
  <c r="AC104" i="23"/>
  <c r="X104" i="23"/>
  <c r="W104" i="23"/>
  <c r="F104" i="24"/>
  <c r="J104" i="24"/>
  <c r="AB104" i="24"/>
  <c r="V104" i="23"/>
  <c r="AH103" i="23"/>
  <c r="AG103" i="23"/>
  <c r="AD103" i="23"/>
  <c r="AC103" i="23"/>
  <c r="X103" i="23"/>
  <c r="W103" i="23"/>
  <c r="F103" i="24"/>
  <c r="J103" i="24"/>
  <c r="AB103" i="24"/>
  <c r="V103" i="23"/>
  <c r="AH102" i="23"/>
  <c r="AG102" i="23"/>
  <c r="AD102" i="23"/>
  <c r="AC102" i="23"/>
  <c r="X102" i="23"/>
  <c r="W102" i="23"/>
  <c r="F102" i="24"/>
  <c r="J102" i="24"/>
  <c r="AB102" i="24"/>
  <c r="V102" i="23"/>
  <c r="AH101" i="23"/>
  <c r="AG101" i="23"/>
  <c r="AD101" i="23"/>
  <c r="AC101" i="23"/>
  <c r="X101" i="23"/>
  <c r="W101" i="23"/>
  <c r="F101" i="24"/>
  <c r="J101" i="24"/>
  <c r="AB101" i="24"/>
  <c r="V101" i="23"/>
  <c r="AH100" i="23"/>
  <c r="AG100" i="23"/>
  <c r="AD100" i="23"/>
  <c r="AC100" i="23"/>
  <c r="X100" i="23"/>
  <c r="W100" i="23"/>
  <c r="F100" i="24"/>
  <c r="J100" i="24"/>
  <c r="AB100" i="24"/>
  <c r="V100" i="23"/>
  <c r="I219" i="23"/>
  <c r="I220" i="23"/>
  <c r="AH99" i="23"/>
  <c r="AG99" i="23"/>
  <c r="AD99" i="23"/>
  <c r="AC99" i="23"/>
  <c r="X99" i="23"/>
  <c r="W99" i="23"/>
  <c r="F99" i="24"/>
  <c r="J99" i="24"/>
  <c r="AB99" i="24"/>
  <c r="V99" i="23"/>
  <c r="AH98" i="23"/>
  <c r="AG98" i="23"/>
  <c r="AD98" i="23"/>
  <c r="AC98" i="23"/>
  <c r="X98" i="23"/>
  <c r="W98" i="23"/>
  <c r="F98" i="24"/>
  <c r="J98" i="24"/>
  <c r="AB98" i="24"/>
  <c r="V98" i="23"/>
  <c r="AH97" i="23"/>
  <c r="AG97" i="23"/>
  <c r="AD97" i="23"/>
  <c r="AC97" i="23"/>
  <c r="X97" i="23"/>
  <c r="W97" i="23"/>
  <c r="F97" i="24"/>
  <c r="J97" i="24"/>
  <c r="AB97" i="24"/>
  <c r="V97" i="23"/>
  <c r="AH96" i="23"/>
  <c r="AG96" i="23"/>
  <c r="AD96" i="23"/>
  <c r="AC96" i="23"/>
  <c r="X96" i="23"/>
  <c r="W96" i="23"/>
  <c r="F96" i="24"/>
  <c r="J96" i="24"/>
  <c r="AB96" i="24"/>
  <c r="V96" i="23"/>
  <c r="AA96" i="23"/>
  <c r="AH95" i="23"/>
  <c r="AG95" i="23"/>
  <c r="AD95" i="23"/>
  <c r="AC95" i="23"/>
  <c r="X95" i="23"/>
  <c r="W95" i="23"/>
  <c r="V95" i="23"/>
  <c r="AA95" i="23"/>
  <c r="AH94" i="23"/>
  <c r="AG94" i="23"/>
  <c r="AD94" i="23"/>
  <c r="AC94" i="23"/>
  <c r="X94" i="23"/>
  <c r="W94" i="23"/>
  <c r="F94" i="24"/>
  <c r="J94" i="24"/>
  <c r="AB94" i="24"/>
  <c r="V94" i="23"/>
  <c r="AA94" i="23"/>
  <c r="AH93" i="23"/>
  <c r="AG93" i="23"/>
  <c r="AD93" i="23"/>
  <c r="AC93" i="23"/>
  <c r="X93" i="23"/>
  <c r="W93" i="23"/>
  <c r="F93" i="24"/>
  <c r="J93" i="24"/>
  <c r="AB93" i="24"/>
  <c r="V93" i="23"/>
  <c r="AA93" i="23"/>
  <c r="AH92" i="23"/>
  <c r="AF92" i="23"/>
  <c r="AD92" i="23"/>
  <c r="AB92" i="23"/>
  <c r="X92" i="23"/>
  <c r="V92" i="23"/>
  <c r="F92" i="24"/>
  <c r="J92" i="24"/>
  <c r="AC92" i="24"/>
  <c r="AG92" i="23"/>
  <c r="AH91" i="23"/>
  <c r="AF91" i="23"/>
  <c r="AD91" i="23"/>
  <c r="AB91" i="23"/>
  <c r="X91" i="23"/>
  <c r="V91" i="23"/>
  <c r="F91" i="24"/>
  <c r="J91" i="24"/>
  <c r="AC91" i="24"/>
  <c r="AG91" i="23"/>
  <c r="AH90" i="23"/>
  <c r="AF90" i="23"/>
  <c r="AD90" i="23"/>
  <c r="AB90" i="23"/>
  <c r="X90" i="23"/>
  <c r="V90" i="23"/>
  <c r="F90" i="24"/>
  <c r="J90" i="24"/>
  <c r="AC90" i="24"/>
  <c r="AG90" i="23"/>
  <c r="AH89" i="23"/>
  <c r="AG89" i="23"/>
  <c r="AD89" i="23"/>
  <c r="AC89" i="23"/>
  <c r="X89" i="23"/>
  <c r="W89" i="23"/>
  <c r="F89" i="24"/>
  <c r="J89" i="24"/>
  <c r="AB89" i="24"/>
  <c r="V89" i="23"/>
  <c r="AA89" i="23"/>
  <c r="AH88" i="23"/>
  <c r="AF88" i="23"/>
  <c r="AD88" i="23"/>
  <c r="AB88" i="23"/>
  <c r="X88" i="23"/>
  <c r="V88" i="23"/>
  <c r="F88" i="24"/>
  <c r="J88" i="24"/>
  <c r="AC88" i="24"/>
  <c r="AG88" i="23"/>
  <c r="AH87" i="23"/>
  <c r="AF87" i="23"/>
  <c r="AD87" i="23"/>
  <c r="AB87" i="23"/>
  <c r="X87" i="23"/>
  <c r="V87" i="23"/>
  <c r="F87" i="24"/>
  <c r="J87" i="24"/>
  <c r="AC87" i="24"/>
  <c r="AG87" i="23"/>
  <c r="AG86" i="23"/>
  <c r="AF86" i="23"/>
  <c r="AC86" i="23"/>
  <c r="AB86" i="23"/>
  <c r="W86" i="23"/>
  <c r="V86" i="23"/>
  <c r="F86" i="24"/>
  <c r="J86" i="24"/>
  <c r="AD86" i="24"/>
  <c r="X86" i="23"/>
  <c r="AG85" i="23"/>
  <c r="AF85" i="23"/>
  <c r="AC85" i="23"/>
  <c r="AB85" i="23"/>
  <c r="W85" i="23"/>
  <c r="V85" i="23"/>
  <c r="F85" i="24"/>
  <c r="J85" i="24"/>
  <c r="AD85" i="24"/>
  <c r="X85" i="23"/>
  <c r="AH84" i="23"/>
  <c r="AG84" i="23"/>
  <c r="AD84" i="23"/>
  <c r="AC84" i="23"/>
  <c r="X84" i="23"/>
  <c r="W84" i="23"/>
  <c r="F84" i="24"/>
  <c r="J84" i="24"/>
  <c r="AB84" i="24"/>
  <c r="V84" i="23"/>
  <c r="AA84" i="23"/>
  <c r="AH83" i="23"/>
  <c r="AG83" i="23"/>
  <c r="AD83" i="23"/>
  <c r="AC83" i="23"/>
  <c r="X83" i="23"/>
  <c r="W83" i="23"/>
  <c r="F83" i="24"/>
  <c r="J83" i="24"/>
  <c r="AB83" i="24"/>
  <c r="V83" i="23"/>
  <c r="AA83" i="23"/>
  <c r="AH82" i="23"/>
  <c r="AG82" i="23"/>
  <c r="AD82" i="23"/>
  <c r="AC82" i="23"/>
  <c r="X82" i="23"/>
  <c r="W82" i="23"/>
  <c r="F82" i="24"/>
  <c r="J82" i="24"/>
  <c r="AB82" i="24"/>
  <c r="V82" i="23"/>
  <c r="AA82" i="23"/>
  <c r="AH81" i="23"/>
  <c r="AG81" i="23"/>
  <c r="AD81" i="23"/>
  <c r="AC81" i="23"/>
  <c r="X81" i="23"/>
  <c r="W81" i="23"/>
  <c r="F81" i="24"/>
  <c r="J81" i="24"/>
  <c r="AB81" i="24"/>
  <c r="V81" i="23"/>
  <c r="AA81" i="23"/>
  <c r="AH80" i="23"/>
  <c r="AG80" i="23"/>
  <c r="AD80" i="23"/>
  <c r="AC80" i="23"/>
  <c r="X80" i="23"/>
  <c r="W80" i="23"/>
  <c r="F80" i="24"/>
  <c r="J80" i="24"/>
  <c r="AB80" i="24"/>
  <c r="V80" i="23"/>
  <c r="AA80" i="23"/>
  <c r="AH79" i="23"/>
  <c r="AG79" i="23"/>
  <c r="AD79" i="23"/>
  <c r="AC79" i="23"/>
  <c r="X79" i="23"/>
  <c r="W79" i="23"/>
  <c r="F79" i="24"/>
  <c r="J79" i="24"/>
  <c r="AB79" i="24"/>
  <c r="V79" i="23"/>
  <c r="AA79" i="23"/>
  <c r="AH78" i="23"/>
  <c r="AF78" i="23"/>
  <c r="AD78" i="23"/>
  <c r="AB78" i="23"/>
  <c r="X78" i="23"/>
  <c r="V78" i="23"/>
  <c r="F78" i="24"/>
  <c r="J78" i="24"/>
  <c r="AC78" i="24"/>
  <c r="AG78" i="23"/>
  <c r="AH77" i="23"/>
  <c r="AF77" i="23"/>
  <c r="AD77" i="23"/>
  <c r="AB77" i="23"/>
  <c r="X77" i="23"/>
  <c r="V77" i="23"/>
  <c r="F77" i="24"/>
  <c r="J77" i="24"/>
  <c r="AC77" i="24"/>
  <c r="AG77" i="23"/>
  <c r="AH76" i="23"/>
  <c r="AF76" i="23"/>
  <c r="AD76" i="23"/>
  <c r="AB76" i="23"/>
  <c r="X76" i="23"/>
  <c r="V76" i="23"/>
  <c r="F76" i="24"/>
  <c r="J76" i="24"/>
  <c r="AC76" i="24"/>
  <c r="AG76" i="23"/>
  <c r="AH75" i="23"/>
  <c r="AG75" i="23"/>
  <c r="AD75" i="23"/>
  <c r="Q82" i="22"/>
  <c r="T82" i="22"/>
  <c r="F75" i="23"/>
  <c r="J75" i="23"/>
  <c r="AB75" i="23"/>
  <c r="AC75" i="23"/>
  <c r="X75" i="23"/>
  <c r="W75" i="23"/>
  <c r="F75" i="24"/>
  <c r="J75" i="24"/>
  <c r="AB75" i="24"/>
  <c r="V75" i="23"/>
  <c r="AH74" i="23"/>
  <c r="AF74" i="23"/>
  <c r="AD74" i="23"/>
  <c r="AB74" i="23"/>
  <c r="X74" i="23"/>
  <c r="V74" i="23"/>
  <c r="F74" i="24"/>
  <c r="J74" i="24"/>
  <c r="AC74" i="24"/>
  <c r="AG74" i="23"/>
  <c r="AH73" i="23"/>
  <c r="AF73" i="23"/>
  <c r="AD73" i="23"/>
  <c r="AB73" i="23"/>
  <c r="X73" i="23"/>
  <c r="V73" i="23"/>
  <c r="F73" i="24"/>
  <c r="J73" i="24"/>
  <c r="AC73" i="24"/>
  <c r="AG73" i="23"/>
  <c r="AH72" i="23"/>
  <c r="AG72" i="23"/>
  <c r="AD72" i="23"/>
  <c r="AC72" i="23"/>
  <c r="X72" i="23"/>
  <c r="W72" i="23"/>
  <c r="F72" i="24"/>
  <c r="J72" i="24"/>
  <c r="AB72" i="24"/>
  <c r="V72" i="23"/>
  <c r="AA72" i="23"/>
  <c r="AH71" i="23"/>
  <c r="AG71" i="23"/>
  <c r="AD71" i="23"/>
  <c r="AC71" i="23"/>
  <c r="X71" i="23"/>
  <c r="W71" i="23"/>
  <c r="F71" i="24"/>
  <c r="J71" i="24"/>
  <c r="AB71" i="24"/>
  <c r="V71" i="23"/>
  <c r="AH70" i="23"/>
  <c r="AF70" i="23"/>
  <c r="AD70" i="23"/>
  <c r="AB70" i="23"/>
  <c r="X70" i="23"/>
  <c r="V70" i="23"/>
  <c r="F70" i="24"/>
  <c r="J70" i="24"/>
  <c r="AC70" i="24"/>
  <c r="AG70" i="23"/>
  <c r="AH69" i="23"/>
  <c r="AG69" i="23"/>
  <c r="AD69" i="23"/>
  <c r="AC69" i="23"/>
  <c r="X69" i="23"/>
  <c r="W69" i="23"/>
  <c r="F69" i="24"/>
  <c r="J69" i="24"/>
  <c r="AB69" i="24"/>
  <c r="V69" i="23"/>
  <c r="AA69" i="23"/>
  <c r="AH68" i="23"/>
  <c r="AG68" i="23"/>
  <c r="AD68" i="23"/>
  <c r="Q75" i="22"/>
  <c r="T75" i="22"/>
  <c r="F68" i="23"/>
  <c r="J68" i="23"/>
  <c r="AB68" i="23"/>
  <c r="AC68" i="23"/>
  <c r="X68" i="23"/>
  <c r="W68" i="23"/>
  <c r="F68" i="24"/>
  <c r="J68" i="24"/>
  <c r="AB68" i="24"/>
  <c r="V68" i="23"/>
  <c r="AA68" i="23"/>
  <c r="AH67" i="23"/>
  <c r="AG67" i="23"/>
  <c r="AD67" i="23"/>
  <c r="AC67" i="23"/>
  <c r="X67" i="23"/>
  <c r="W67" i="23"/>
  <c r="F67" i="24"/>
  <c r="J67" i="24"/>
  <c r="AB67" i="24"/>
  <c r="V67" i="23"/>
  <c r="AA67" i="23"/>
  <c r="AH66" i="23"/>
  <c r="AG66" i="23"/>
  <c r="AD66" i="23"/>
  <c r="Q73" i="22"/>
  <c r="T73" i="22"/>
  <c r="F66" i="23"/>
  <c r="J66" i="23"/>
  <c r="AB66" i="23"/>
  <c r="AC66" i="23"/>
  <c r="X66" i="23"/>
  <c r="W66" i="23"/>
  <c r="F66" i="24"/>
  <c r="J66" i="24"/>
  <c r="AB66" i="24"/>
  <c r="V66" i="23"/>
  <c r="AA66" i="23"/>
  <c r="AH65" i="23"/>
  <c r="AG65" i="23"/>
  <c r="AD65" i="23"/>
  <c r="AC65" i="23"/>
  <c r="X65" i="23"/>
  <c r="W65" i="23"/>
  <c r="F65" i="24"/>
  <c r="J65" i="24"/>
  <c r="AB65" i="24"/>
  <c r="V65" i="23"/>
  <c r="AA65" i="23"/>
  <c r="AH64" i="23"/>
  <c r="AG64" i="23"/>
  <c r="AD64" i="23"/>
  <c r="AC64" i="23"/>
  <c r="X64" i="23"/>
  <c r="W64" i="23"/>
  <c r="F64" i="24"/>
  <c r="J64" i="24"/>
  <c r="AB64" i="24"/>
  <c r="V64" i="23"/>
  <c r="AH63" i="23"/>
  <c r="AG63" i="23"/>
  <c r="AD63" i="23"/>
  <c r="AC63" i="23"/>
  <c r="X63" i="23"/>
  <c r="W63" i="23"/>
  <c r="F63" i="24"/>
  <c r="J63" i="24"/>
  <c r="AB63" i="24"/>
  <c r="V63" i="23"/>
  <c r="AA63" i="23"/>
  <c r="AH62" i="23"/>
  <c r="AG62" i="23"/>
  <c r="AD62" i="23"/>
  <c r="AC62" i="23"/>
  <c r="X62" i="23"/>
  <c r="W62" i="23"/>
  <c r="F62" i="24"/>
  <c r="J62" i="24"/>
  <c r="AB62" i="24"/>
  <c r="V62" i="23"/>
  <c r="AA62" i="23"/>
  <c r="AH61" i="23"/>
  <c r="AG61" i="23"/>
  <c r="AD61" i="23"/>
  <c r="AC61" i="23"/>
  <c r="X61" i="23"/>
  <c r="W61" i="23"/>
  <c r="F61" i="24"/>
  <c r="J61" i="24"/>
  <c r="AB61" i="24"/>
  <c r="V61" i="23"/>
  <c r="AA61" i="23"/>
  <c r="AH60" i="23"/>
  <c r="AG60" i="23"/>
  <c r="AD60" i="23"/>
  <c r="AC60" i="23"/>
  <c r="X60" i="23"/>
  <c r="W60" i="23"/>
  <c r="F60" i="24"/>
  <c r="J60" i="24"/>
  <c r="AB60" i="24"/>
  <c r="V60" i="23"/>
  <c r="AA60" i="23"/>
  <c r="AH59" i="23"/>
  <c r="AG59" i="23"/>
  <c r="AD59" i="23"/>
  <c r="AC59" i="23"/>
  <c r="X59" i="23"/>
  <c r="W59" i="23"/>
  <c r="F59" i="24"/>
  <c r="J59" i="24"/>
  <c r="AB59" i="24"/>
  <c r="V59" i="23"/>
  <c r="AG58" i="23"/>
  <c r="AF58" i="23"/>
  <c r="AC58" i="23"/>
  <c r="AB58" i="23"/>
  <c r="W58" i="23"/>
  <c r="V58" i="23"/>
  <c r="F58" i="24"/>
  <c r="J58" i="24"/>
  <c r="AD58" i="24"/>
  <c r="X58" i="23"/>
  <c r="AH57" i="23"/>
  <c r="AF57" i="23"/>
  <c r="AD57" i="23"/>
  <c r="AB57" i="23"/>
  <c r="X57" i="23"/>
  <c r="V57" i="23"/>
  <c r="F57" i="24"/>
  <c r="J57" i="24"/>
  <c r="AC57" i="24"/>
  <c r="AG57" i="23"/>
  <c r="AH56" i="23"/>
  <c r="AF56" i="23"/>
  <c r="AD56" i="23"/>
  <c r="AB56" i="23"/>
  <c r="X56" i="23"/>
  <c r="V56" i="23"/>
  <c r="F56" i="24"/>
  <c r="J56" i="24"/>
  <c r="AC56" i="24"/>
  <c r="AG56" i="23"/>
  <c r="AG55" i="23"/>
  <c r="AF55" i="23"/>
  <c r="AC55" i="23"/>
  <c r="AB55" i="23"/>
  <c r="W55" i="23"/>
  <c r="V55" i="23"/>
  <c r="X55" i="23"/>
  <c r="AH54" i="23"/>
  <c r="AF54" i="23"/>
  <c r="AD54" i="23"/>
  <c r="AB54" i="23"/>
  <c r="X54" i="23"/>
  <c r="V54" i="23"/>
  <c r="F54" i="24"/>
  <c r="J54" i="24"/>
  <c r="AC54" i="24"/>
  <c r="AG54" i="23"/>
  <c r="AH53" i="23"/>
  <c r="AF53" i="23"/>
  <c r="AD53" i="23"/>
  <c r="AB53" i="23"/>
  <c r="X53" i="23"/>
  <c r="V53" i="23"/>
  <c r="F53" i="24"/>
  <c r="J53" i="24"/>
  <c r="AC53" i="24"/>
  <c r="AG53" i="23"/>
  <c r="AH52" i="23"/>
  <c r="AF52" i="23"/>
  <c r="AD52" i="23"/>
  <c r="AB52" i="23"/>
  <c r="X52" i="23"/>
  <c r="V52" i="23"/>
  <c r="F52" i="24"/>
  <c r="J52" i="24"/>
  <c r="AC52" i="24"/>
  <c r="AG52" i="23"/>
  <c r="AH51" i="23"/>
  <c r="AF51" i="23"/>
  <c r="AD51" i="23"/>
  <c r="AB51" i="23"/>
  <c r="X51" i="23"/>
  <c r="V51" i="23"/>
  <c r="F51" i="24"/>
  <c r="J51" i="24"/>
  <c r="AC51" i="24"/>
  <c r="AG51" i="23"/>
  <c r="AH50" i="23"/>
  <c r="AF50" i="23"/>
  <c r="AD50" i="23"/>
  <c r="AB50" i="23"/>
  <c r="X50" i="23"/>
  <c r="V50" i="23"/>
  <c r="F50" i="24"/>
  <c r="J50" i="24"/>
  <c r="AC50" i="24"/>
  <c r="AG50" i="23"/>
  <c r="AH49" i="23"/>
  <c r="AG49" i="23"/>
  <c r="AD49" i="23"/>
  <c r="AC49" i="23"/>
  <c r="X49" i="23"/>
  <c r="W49" i="23"/>
  <c r="F49" i="24"/>
  <c r="J49" i="24"/>
  <c r="AB49" i="24"/>
  <c r="V49" i="23"/>
  <c r="AA49" i="23"/>
  <c r="AH48" i="23"/>
  <c r="AG48" i="23"/>
  <c r="AD48" i="23"/>
  <c r="AC48" i="23"/>
  <c r="X48" i="23"/>
  <c r="W48" i="23"/>
  <c r="F48" i="24"/>
  <c r="J48" i="24"/>
  <c r="AB48" i="24"/>
  <c r="V48" i="23"/>
  <c r="AA48" i="23"/>
  <c r="AH47" i="23"/>
  <c r="AG47" i="23"/>
  <c r="AD47" i="23"/>
  <c r="AC47" i="23"/>
  <c r="X47" i="23"/>
  <c r="W47" i="23"/>
  <c r="F47" i="24"/>
  <c r="J47" i="24"/>
  <c r="AB47" i="24"/>
  <c r="V47" i="23"/>
  <c r="AA47" i="23"/>
  <c r="AH46" i="23"/>
  <c r="AF46" i="23"/>
  <c r="AD46" i="23"/>
  <c r="AB46" i="23"/>
  <c r="X46" i="23"/>
  <c r="V46" i="23"/>
  <c r="F46" i="24"/>
  <c r="J46" i="24"/>
  <c r="AC46" i="24"/>
  <c r="AG46" i="23"/>
  <c r="AH45" i="23"/>
  <c r="AG45" i="23"/>
  <c r="AD45" i="23"/>
  <c r="AC45" i="23"/>
  <c r="X45" i="23"/>
  <c r="W45" i="23"/>
  <c r="F45" i="24"/>
  <c r="J45" i="24"/>
  <c r="AB45" i="24"/>
  <c r="V45" i="23"/>
  <c r="AA45" i="23"/>
  <c r="AH44" i="23"/>
  <c r="AG44" i="23"/>
  <c r="AD44" i="23"/>
  <c r="AC44" i="23"/>
  <c r="X44" i="23"/>
  <c r="W44" i="23"/>
  <c r="F44" i="24"/>
  <c r="J44" i="24"/>
  <c r="AB44" i="24"/>
  <c r="V44" i="23"/>
  <c r="AH43" i="23"/>
  <c r="AF43" i="23"/>
  <c r="AD43" i="23"/>
  <c r="AB43" i="23"/>
  <c r="X43" i="23"/>
  <c r="W43" i="23"/>
  <c r="V43" i="23"/>
  <c r="AA43" i="23"/>
  <c r="F43" i="24"/>
  <c r="J43" i="24"/>
  <c r="AC43" i="24"/>
  <c r="AG43" i="23"/>
  <c r="AH42" i="23"/>
  <c r="AG42" i="23"/>
  <c r="AD42" i="23"/>
  <c r="AC42" i="23"/>
  <c r="X42" i="23"/>
  <c r="W42" i="23"/>
  <c r="V42" i="23"/>
  <c r="AA42" i="23"/>
  <c r="AF42" i="23"/>
  <c r="AG40" i="23"/>
  <c r="AF40" i="23"/>
  <c r="AC40" i="23"/>
  <c r="AB40" i="23"/>
  <c r="W40" i="23"/>
  <c r="V40" i="23"/>
  <c r="F40" i="24"/>
  <c r="J40" i="24"/>
  <c r="AD40" i="24"/>
  <c r="X40" i="23"/>
  <c r="AH39" i="23"/>
  <c r="AG39" i="23"/>
  <c r="AD39" i="23"/>
  <c r="AC39" i="23"/>
  <c r="X39" i="23"/>
  <c r="W39" i="23"/>
  <c r="F39" i="24"/>
  <c r="J39" i="24"/>
  <c r="AB39" i="24"/>
  <c r="V39" i="23"/>
  <c r="AH38" i="23"/>
  <c r="AG38" i="23"/>
  <c r="AD38" i="23"/>
  <c r="AC38" i="23"/>
  <c r="X38" i="23"/>
  <c r="W38" i="23"/>
  <c r="F38" i="24"/>
  <c r="J38" i="24"/>
  <c r="AB38" i="24"/>
  <c r="V38" i="23"/>
  <c r="AH37" i="23"/>
  <c r="AG37" i="23"/>
  <c r="AD37" i="23"/>
  <c r="AC37" i="23"/>
  <c r="X37" i="23"/>
  <c r="W37" i="23"/>
  <c r="F37" i="24"/>
  <c r="J37" i="24"/>
  <c r="AB37" i="24"/>
  <c r="V37" i="23"/>
  <c r="AH36" i="23"/>
  <c r="AG36" i="23"/>
  <c r="AD36" i="23"/>
  <c r="AC36" i="23"/>
  <c r="X36" i="23"/>
  <c r="W36" i="23"/>
  <c r="F36" i="24"/>
  <c r="J36" i="24"/>
  <c r="AB36" i="24"/>
  <c r="V36" i="23"/>
  <c r="AH35" i="23"/>
  <c r="AG35" i="23"/>
  <c r="AD35" i="23"/>
  <c r="AC35" i="23"/>
  <c r="X35" i="23"/>
  <c r="W35" i="23"/>
  <c r="F35" i="24"/>
  <c r="J35" i="24"/>
  <c r="AB35" i="24"/>
  <c r="V35" i="23"/>
  <c r="AH34" i="23"/>
  <c r="AG34" i="23"/>
  <c r="AD34" i="23"/>
  <c r="AC34" i="23"/>
  <c r="X34" i="23"/>
  <c r="W34" i="23"/>
  <c r="F34" i="24"/>
  <c r="J34" i="24"/>
  <c r="AB34" i="24"/>
  <c r="AF34" i="23"/>
  <c r="AH33" i="23"/>
  <c r="AG33" i="23"/>
  <c r="AD33" i="23"/>
  <c r="AC33" i="23"/>
  <c r="X33" i="23"/>
  <c r="W33" i="23"/>
  <c r="F33" i="24"/>
  <c r="J33" i="24"/>
  <c r="AB33" i="24"/>
  <c r="V33" i="23"/>
  <c r="AH32" i="23"/>
  <c r="AG32" i="23"/>
  <c r="AD32" i="23"/>
  <c r="AC32" i="23"/>
  <c r="X32" i="23"/>
  <c r="W32" i="23"/>
  <c r="F32" i="24"/>
  <c r="J32" i="24"/>
  <c r="AB32" i="24"/>
  <c r="V32" i="23"/>
  <c r="AH31" i="23"/>
  <c r="AG31" i="23"/>
  <c r="AD31" i="23"/>
  <c r="AC31" i="23"/>
  <c r="X31" i="23"/>
  <c r="W31" i="23"/>
  <c r="F31" i="24"/>
  <c r="J31" i="24"/>
  <c r="AB31" i="24"/>
  <c r="V31" i="23"/>
  <c r="AH30" i="23"/>
  <c r="AG30" i="23"/>
  <c r="AD30" i="23"/>
  <c r="AC30" i="23"/>
  <c r="X30" i="23"/>
  <c r="W30" i="23"/>
  <c r="V30" i="23"/>
  <c r="AH29" i="23"/>
  <c r="AG29" i="23"/>
  <c r="AD29" i="23"/>
  <c r="AC29" i="23"/>
  <c r="X29" i="23"/>
  <c r="W29" i="23"/>
  <c r="F29" i="24"/>
  <c r="J29" i="24"/>
  <c r="AB29" i="24"/>
  <c r="V29" i="23"/>
  <c r="AH28" i="23"/>
  <c r="AF28" i="23"/>
  <c r="AD28" i="23"/>
  <c r="AB28" i="23"/>
  <c r="X28" i="23"/>
  <c r="V28" i="23"/>
  <c r="F28" i="24"/>
  <c r="J28" i="24"/>
  <c r="AC28" i="24"/>
  <c r="AG28" i="23"/>
  <c r="AH27" i="23"/>
  <c r="AG27" i="23"/>
  <c r="AD27" i="23"/>
  <c r="AC27" i="23"/>
  <c r="X27" i="23"/>
  <c r="W27" i="23"/>
  <c r="F27" i="24"/>
  <c r="J27" i="24"/>
  <c r="AB27" i="24"/>
  <c r="V27" i="23"/>
  <c r="AH26" i="23"/>
  <c r="AG26" i="23"/>
  <c r="AD26" i="23"/>
  <c r="AC26" i="23"/>
  <c r="X26" i="23"/>
  <c r="W26" i="23"/>
  <c r="F26" i="24"/>
  <c r="J26" i="24"/>
  <c r="AB26" i="24"/>
  <c r="V26" i="23"/>
  <c r="AH25" i="23"/>
  <c r="AG25" i="23"/>
  <c r="AD25" i="23"/>
  <c r="AC25" i="23"/>
  <c r="X25" i="23"/>
  <c r="W25" i="23"/>
  <c r="J25" i="24"/>
  <c r="AB25" i="24"/>
  <c r="AJ25" i="24"/>
  <c r="V25" i="23"/>
  <c r="AH24" i="23"/>
  <c r="AF24" i="23"/>
  <c r="AD24" i="23"/>
  <c r="AB24" i="23"/>
  <c r="X24" i="23"/>
  <c r="V24" i="23"/>
  <c r="F24" i="24"/>
  <c r="J24" i="24"/>
  <c r="AC24" i="24"/>
  <c r="AG24" i="23"/>
  <c r="AH23" i="23"/>
  <c r="AG23" i="23"/>
  <c r="AD23" i="23"/>
  <c r="AC23" i="23"/>
  <c r="X23" i="23"/>
  <c r="W23" i="23"/>
  <c r="F23" i="24"/>
  <c r="J23" i="24"/>
  <c r="AB23" i="24"/>
  <c r="V23" i="23"/>
  <c r="AH22" i="23"/>
  <c r="AG22" i="23"/>
  <c r="AD22" i="23"/>
  <c r="AC22" i="23"/>
  <c r="X22" i="23"/>
  <c r="W22" i="23"/>
  <c r="F22" i="24"/>
  <c r="J22" i="24"/>
  <c r="AB22" i="24"/>
  <c r="V22" i="23"/>
  <c r="AH21" i="23"/>
  <c r="AG21" i="23"/>
  <c r="AD21" i="23"/>
  <c r="AC21" i="23"/>
  <c r="X21" i="23"/>
  <c r="W21" i="23"/>
  <c r="F21" i="24"/>
  <c r="J21" i="24"/>
  <c r="AB21" i="24"/>
  <c r="V21" i="23"/>
  <c r="AH20" i="23"/>
  <c r="AF20" i="23"/>
  <c r="AD20" i="23"/>
  <c r="AB20" i="23"/>
  <c r="X20" i="23"/>
  <c r="V20" i="23"/>
  <c r="F20" i="24"/>
  <c r="J20" i="24"/>
  <c r="AC20" i="24"/>
  <c r="AG20" i="23"/>
  <c r="AH19" i="23"/>
  <c r="AF19" i="23"/>
  <c r="AD19" i="23"/>
  <c r="AB19" i="23"/>
  <c r="X19" i="23"/>
  <c r="V19" i="23"/>
  <c r="F19" i="24"/>
  <c r="J19" i="24"/>
  <c r="AC19" i="24"/>
  <c r="AG19" i="23"/>
  <c r="AH18" i="23"/>
  <c r="AD18" i="23"/>
  <c r="AB18" i="23"/>
  <c r="X18" i="23"/>
  <c r="F18" i="24"/>
  <c r="J18" i="24"/>
  <c r="AC18" i="24"/>
  <c r="AH17" i="23"/>
  <c r="AG17" i="23"/>
  <c r="AD17" i="23"/>
  <c r="AC17" i="23"/>
  <c r="X17" i="23"/>
  <c r="W17" i="23"/>
  <c r="V17" i="23"/>
  <c r="AH16" i="23"/>
  <c r="AF16" i="23"/>
  <c r="AD16" i="23"/>
  <c r="AB16" i="23"/>
  <c r="X16" i="23"/>
  <c r="V16" i="23"/>
  <c r="F16" i="24"/>
  <c r="J16" i="24"/>
  <c r="AC16" i="24"/>
  <c r="E219" i="23"/>
  <c r="I129" i="22"/>
  <c r="AB177" i="24"/>
  <c r="AC177" i="24"/>
  <c r="F173" i="24"/>
  <c r="J173" i="24"/>
  <c r="AD173" i="24"/>
  <c r="F172" i="24"/>
  <c r="J172" i="24"/>
  <c r="AC172" i="24"/>
  <c r="AF18" i="23"/>
  <c r="V18" i="23"/>
  <c r="AF202" i="23"/>
  <c r="V202" i="23"/>
  <c r="W135" i="23"/>
  <c r="AA135" i="23"/>
  <c r="AA123" i="23"/>
  <c r="AA75" i="23"/>
  <c r="AA71" i="23"/>
  <c r="AA64" i="23"/>
  <c r="AA97" i="23"/>
  <c r="AA98" i="23"/>
  <c r="AA99" i="23"/>
  <c r="W113" i="23"/>
  <c r="AA113" i="23"/>
  <c r="W145" i="23"/>
  <c r="AA145" i="23"/>
  <c r="W157" i="23"/>
  <c r="AA157" i="23"/>
  <c r="W172" i="23"/>
  <c r="AA172" i="23"/>
  <c r="AA17" i="23"/>
  <c r="AA21" i="23"/>
  <c r="AA22" i="23"/>
  <c r="AA23" i="23"/>
  <c r="AA25" i="23"/>
  <c r="AA26" i="23"/>
  <c r="AA27" i="23"/>
  <c r="AA29" i="23"/>
  <c r="AA30" i="23"/>
  <c r="AA31" i="23"/>
  <c r="AA32" i="23"/>
  <c r="W57" i="23"/>
  <c r="AA57" i="23"/>
  <c r="AA59" i="23"/>
  <c r="W114" i="23"/>
  <c r="AA114" i="23"/>
  <c r="X119" i="23"/>
  <c r="AA119" i="23"/>
  <c r="W120" i="23"/>
  <c r="AA120" i="23"/>
  <c r="AA124" i="23"/>
  <c r="AA125" i="23"/>
  <c r="AA126" i="23"/>
  <c r="AA127" i="23"/>
  <c r="AA128" i="23"/>
  <c r="AA130" i="23"/>
  <c r="AA131" i="23"/>
  <c r="W139" i="23"/>
  <c r="AA139" i="23"/>
  <c r="W149" i="23"/>
  <c r="AA149" i="23"/>
  <c r="W155" i="23"/>
  <c r="AA155" i="23"/>
  <c r="W159" i="23"/>
  <c r="AA159" i="23"/>
  <c r="AA164" i="23"/>
  <c r="AA165" i="23"/>
  <c r="W170" i="23"/>
  <c r="AA170" i="23"/>
  <c r="W175" i="23"/>
  <c r="AA175" i="23"/>
  <c r="AA199" i="23"/>
  <c r="AA201" i="23"/>
  <c r="AA205" i="23"/>
  <c r="AA206" i="23"/>
  <c r="AA211" i="23"/>
  <c r="AA213" i="23"/>
  <c r="AA214" i="23"/>
  <c r="AA215" i="23"/>
  <c r="AA218" i="23"/>
  <c r="AF218" i="23"/>
  <c r="M220" i="23"/>
  <c r="J227" i="23"/>
  <c r="T219" i="23"/>
  <c r="Q219" i="23"/>
  <c r="W18" i="23"/>
  <c r="W20" i="23"/>
  <c r="AA20" i="23"/>
  <c r="W24" i="23"/>
  <c r="AA24" i="23"/>
  <c r="W28" i="23"/>
  <c r="AA28" i="23"/>
  <c r="AA33" i="23"/>
  <c r="AF33" i="23"/>
  <c r="AA35" i="23"/>
  <c r="AF35" i="23"/>
  <c r="AA36" i="23"/>
  <c r="AA37" i="23"/>
  <c r="AF37" i="23"/>
  <c r="AA38" i="23"/>
  <c r="AA39" i="23"/>
  <c r="AF39" i="23"/>
  <c r="AA44" i="23"/>
  <c r="W46" i="23"/>
  <c r="AA46" i="23"/>
  <c r="W50" i="23"/>
  <c r="AA50" i="23"/>
  <c r="W52" i="23"/>
  <c r="AA52" i="23"/>
  <c r="W54" i="23"/>
  <c r="AA54" i="23"/>
  <c r="W56" i="23"/>
  <c r="AA56" i="23"/>
  <c r="AA58" i="23"/>
  <c r="W73" i="23"/>
  <c r="AA73" i="23"/>
  <c r="W77" i="23"/>
  <c r="AA77" i="23"/>
  <c r="AA85" i="23"/>
  <c r="W87" i="23"/>
  <c r="AA87" i="23"/>
  <c r="W91" i="23"/>
  <c r="AA91" i="23"/>
  <c r="AA100" i="23"/>
  <c r="AF100" i="23"/>
  <c r="AA101" i="23"/>
  <c r="AA102" i="23"/>
  <c r="AF102" i="23"/>
  <c r="AA103" i="23"/>
  <c r="AA104" i="23"/>
  <c r="AF104" i="23"/>
  <c r="AA105" i="23"/>
  <c r="AA106" i="23"/>
  <c r="AF106" i="23"/>
  <c r="AA107" i="23"/>
  <c r="AA108" i="23"/>
  <c r="AF108" i="23"/>
  <c r="AA109" i="23"/>
  <c r="AA110" i="23"/>
  <c r="AF110" i="23"/>
  <c r="AA111" i="23"/>
  <c r="AF111" i="23"/>
  <c r="AA112" i="23"/>
  <c r="AF112" i="23"/>
  <c r="AA115" i="23"/>
  <c r="AF115" i="23"/>
  <c r="AA116" i="23"/>
  <c r="AF116" i="23"/>
  <c r="AA118" i="23"/>
  <c r="AA132" i="23"/>
  <c r="AA133" i="23"/>
  <c r="AF133" i="23"/>
  <c r="AA136" i="23"/>
  <c r="AA137" i="23"/>
  <c r="AF137" i="23"/>
  <c r="AA141" i="23"/>
  <c r="AF141" i="23"/>
  <c r="AA142" i="23"/>
  <c r="AA143" i="23"/>
  <c r="AF143" i="23"/>
  <c r="AH147" i="23"/>
  <c r="AA148" i="23"/>
  <c r="AA151" i="23"/>
  <c r="AF151" i="23"/>
  <c r="AA152" i="23"/>
  <c r="AA158" i="23"/>
  <c r="AA160" i="23"/>
  <c r="AA161" i="23"/>
  <c r="AF161" i="23"/>
  <c r="AA162" i="23"/>
  <c r="AA163" i="23"/>
  <c r="AA166" i="23"/>
  <c r="AF166" i="23"/>
  <c r="AA168" i="23"/>
  <c r="AF168" i="23"/>
  <c r="AA174" i="23"/>
  <c r="AF174" i="23"/>
  <c r="AA176" i="23"/>
  <c r="AF176" i="23"/>
  <c r="AA177" i="23"/>
  <c r="AF177" i="23"/>
  <c r="AA178" i="23"/>
  <c r="AF178" i="23"/>
  <c r="AA179" i="23"/>
  <c r="AF179" i="23"/>
  <c r="AA180" i="23"/>
  <c r="AF180" i="23"/>
  <c r="W182" i="23"/>
  <c r="AA182" i="23"/>
  <c r="W184" i="23"/>
  <c r="AA184" i="23"/>
  <c r="W188" i="23"/>
  <c r="AA188" i="23"/>
  <c r="W190" i="23"/>
  <c r="AA190" i="23"/>
  <c r="W192" i="23"/>
  <c r="AA192" i="23"/>
  <c r="AA194" i="23"/>
  <c r="AA200" i="23"/>
  <c r="AA202" i="23"/>
  <c r="W203" i="23"/>
  <c r="AA203" i="23"/>
  <c r="AA204" i="23"/>
  <c r="W207" i="23"/>
  <c r="AA207" i="23"/>
  <c r="W208" i="23"/>
  <c r="AA208" i="23"/>
  <c r="W209" i="23"/>
  <c r="AA209" i="23"/>
  <c r="W210" i="23"/>
  <c r="AA210" i="23"/>
  <c r="W212" i="23"/>
  <c r="AA212" i="23"/>
  <c r="AF22" i="23"/>
  <c r="AF26" i="23"/>
  <c r="AF30" i="23"/>
  <c r="AF32" i="23"/>
  <c r="AF48" i="23"/>
  <c r="AH58" i="23"/>
  <c r="AF61" i="23"/>
  <c r="AF63" i="23"/>
  <c r="AF65" i="23"/>
  <c r="AF67" i="23"/>
  <c r="AF69" i="23"/>
  <c r="AF71" i="23"/>
  <c r="AF75" i="23"/>
  <c r="AF79" i="23"/>
  <c r="AF81" i="23"/>
  <c r="AF83" i="23"/>
  <c r="AH85" i="23"/>
  <c r="AF89" i="23"/>
  <c r="AF93" i="23"/>
  <c r="AF95" i="23"/>
  <c r="AF97" i="23"/>
  <c r="AF99" i="23"/>
  <c r="AF124" i="23"/>
  <c r="AF125" i="23"/>
  <c r="AF126" i="23"/>
  <c r="AF127" i="23"/>
  <c r="AF128" i="23"/>
  <c r="AF130" i="23"/>
  <c r="AF164" i="23"/>
  <c r="AF165" i="23"/>
  <c r="AF186" i="23"/>
  <c r="AH194" i="23"/>
  <c r="AF197" i="23"/>
  <c r="AF199" i="23"/>
  <c r="AH200" i="23"/>
  <c r="AF201" i="23"/>
  <c r="AH202" i="23"/>
  <c r="AH204" i="23"/>
  <c r="AF205" i="23"/>
  <c r="AF206" i="23"/>
  <c r="AF211" i="23"/>
  <c r="AF213" i="23"/>
  <c r="AF215" i="23"/>
  <c r="AH217" i="23"/>
  <c r="W16" i="23"/>
  <c r="AA16" i="23"/>
  <c r="W19" i="23"/>
  <c r="AA19" i="23"/>
  <c r="AF21" i="23"/>
  <c r="AF23" i="23"/>
  <c r="AF25" i="23"/>
  <c r="AF27" i="23"/>
  <c r="AF29" i="23"/>
  <c r="AF31" i="23"/>
  <c r="V34" i="23"/>
  <c r="AA34" i="23"/>
  <c r="AA55" i="23"/>
  <c r="AA86" i="23"/>
  <c r="AA121" i="23"/>
  <c r="AG16" i="23"/>
  <c r="AA40" i="23"/>
  <c r="AF36" i="23"/>
  <c r="AF38" i="23"/>
  <c r="AH40" i="23"/>
  <c r="AF44" i="23"/>
  <c r="AF45" i="23"/>
  <c r="AF47" i="23"/>
  <c r="AF49" i="23"/>
  <c r="W51" i="23"/>
  <c r="AA51" i="23"/>
  <c r="W53" i="23"/>
  <c r="AA53" i="23"/>
  <c r="AH55" i="23"/>
  <c r="AF59" i="23"/>
  <c r="AF60" i="23"/>
  <c r="AF62" i="23"/>
  <c r="AF64" i="23"/>
  <c r="AF66" i="23"/>
  <c r="AF68" i="23"/>
  <c r="W70" i="23"/>
  <c r="AA70" i="23"/>
  <c r="AF72" i="23"/>
  <c r="W74" i="23"/>
  <c r="AA74" i="23"/>
  <c r="W76" i="23"/>
  <c r="AA76" i="23"/>
  <c r="W78" i="23"/>
  <c r="AA78" i="23"/>
  <c r="AF80" i="23"/>
  <c r="AF82" i="23"/>
  <c r="AF84" i="23"/>
  <c r="AH86" i="23"/>
  <c r="W88" i="23"/>
  <c r="AA88" i="23"/>
  <c r="W90" i="23"/>
  <c r="AA90" i="23"/>
  <c r="W92" i="23"/>
  <c r="AA92" i="23"/>
  <c r="AF94" i="23"/>
  <c r="AF96" i="23"/>
  <c r="AF98" i="23"/>
  <c r="AF101" i="23"/>
  <c r="AF103" i="23"/>
  <c r="AF105" i="23"/>
  <c r="AF107" i="23"/>
  <c r="AF109" i="23"/>
  <c r="AF118" i="23"/>
  <c r="AG121" i="23"/>
  <c r="W122" i="23"/>
  <c r="AA122" i="23"/>
  <c r="AF123" i="23"/>
  <c r="V129" i="23"/>
  <c r="AA129" i="23"/>
  <c r="AA138" i="23"/>
  <c r="AA144" i="23"/>
  <c r="AA167" i="23"/>
  <c r="AA217" i="23"/>
  <c r="AA147" i="23"/>
  <c r="AA183" i="23"/>
  <c r="AA189" i="23"/>
  <c r="AA191" i="23"/>
  <c r="AA193" i="23"/>
  <c r="AA195" i="23"/>
  <c r="AA216" i="23"/>
  <c r="AF131" i="23"/>
  <c r="AF132" i="23"/>
  <c r="W134" i="23"/>
  <c r="AA134" i="23"/>
  <c r="AF136" i="23"/>
  <c r="AH138" i="23"/>
  <c r="W140" i="23"/>
  <c r="AA140" i="23"/>
  <c r="AF142" i="23"/>
  <c r="AH144" i="23"/>
  <c r="W146" i="23"/>
  <c r="AA146" i="23"/>
  <c r="AF148" i="23"/>
  <c r="W150" i="23"/>
  <c r="AA150" i="23"/>
  <c r="AF152" i="23"/>
  <c r="W154" i="23"/>
  <c r="AA154" i="23"/>
  <c r="W156" i="23"/>
  <c r="AA156" i="23"/>
  <c r="AF158" i="23"/>
  <c r="AF160" i="23"/>
  <c r="AF162" i="23"/>
  <c r="AF163" i="23"/>
  <c r="AG167" i="23"/>
  <c r="V171" i="23"/>
  <c r="AA171" i="23"/>
  <c r="X173" i="23"/>
  <c r="AA173" i="23"/>
  <c r="AG183" i="23"/>
  <c r="V185" i="23"/>
  <c r="AA185" i="23"/>
  <c r="V187" i="23"/>
  <c r="AA187" i="23"/>
  <c r="AG189" i="23"/>
  <c r="AG191" i="23"/>
  <c r="AG193" i="23"/>
  <c r="AG195" i="23"/>
  <c r="X196" i="23"/>
  <c r="AA196" i="23"/>
  <c r="AF198" i="23"/>
  <c r="AF214" i="23"/>
  <c r="AH216" i="23"/>
  <c r="E181" i="22"/>
  <c r="E170" i="22"/>
  <c r="AJ177" i="24"/>
  <c r="AA18" i="23"/>
  <c r="AH219" i="23"/>
  <c r="AH223" i="23"/>
  <c r="X219" i="23"/>
  <c r="Y232" i="23"/>
  <c r="AF219" i="23"/>
  <c r="AF223" i="23"/>
  <c r="W219" i="23"/>
  <c r="Y229" i="23"/>
  <c r="V219" i="23"/>
  <c r="AG219" i="23"/>
  <c r="AG223" i="23"/>
  <c r="R129" i="21"/>
  <c r="AD222" i="22"/>
  <c r="AC222" i="22"/>
  <c r="Y226" i="23"/>
  <c r="Y233" i="23"/>
  <c r="X224" i="23"/>
  <c r="X233" i="23"/>
  <c r="J224" i="23"/>
  <c r="E126" i="22"/>
  <c r="R144" i="21"/>
  <c r="R143" i="21"/>
  <c r="E16" i="22"/>
  <c r="R173" i="21"/>
  <c r="I139" i="22"/>
  <c r="I118" i="22"/>
  <c r="I107" i="22"/>
  <c r="E189" i="22"/>
  <c r="R17" i="21"/>
  <c r="R82" i="21"/>
  <c r="R183" i="21"/>
  <c r="R207" i="21"/>
  <c r="R223" i="21"/>
  <c r="E58" i="22"/>
  <c r="E173" i="22"/>
  <c r="E203" i="22"/>
  <c r="E59" i="22"/>
  <c r="AD229" i="21"/>
  <c r="AD229" i="22"/>
  <c r="AD228" i="22"/>
  <c r="Z226" i="22"/>
  <c r="Y237" i="22"/>
  <c r="Y226" i="22"/>
  <c r="Y234" i="22"/>
  <c r="R226" i="22"/>
  <c r="P226" i="22"/>
  <c r="O226" i="22"/>
  <c r="N226" i="22"/>
  <c r="M226" i="22"/>
  <c r="L226" i="22"/>
  <c r="I226" i="22"/>
  <c r="H226" i="22"/>
  <c r="G226" i="22"/>
  <c r="AH225" i="22"/>
  <c r="AG225" i="22"/>
  <c r="AD225" i="22"/>
  <c r="AC225" i="22"/>
  <c r="X225" i="22"/>
  <c r="W225" i="22"/>
  <c r="Q225" i="22"/>
  <c r="T225" i="22"/>
  <c r="F218" i="23"/>
  <c r="J218" i="23"/>
  <c r="AB218" i="23"/>
  <c r="V225" i="22"/>
  <c r="AG224" i="22"/>
  <c r="AF224" i="22"/>
  <c r="AC224" i="22"/>
  <c r="AB224" i="22"/>
  <c r="W224" i="22"/>
  <c r="V224" i="22"/>
  <c r="Q224" i="22"/>
  <c r="T224" i="22"/>
  <c r="F217" i="23"/>
  <c r="J217" i="23"/>
  <c r="AD217" i="23"/>
  <c r="AH224" i="22"/>
  <c r="AG223" i="22"/>
  <c r="AF223" i="22"/>
  <c r="AC223" i="22"/>
  <c r="AB223" i="22"/>
  <c r="W223" i="22"/>
  <c r="V223" i="22"/>
  <c r="Q223" i="22"/>
  <c r="T223" i="22"/>
  <c r="F216" i="23"/>
  <c r="J216" i="23"/>
  <c r="AD216" i="23"/>
  <c r="X223" i="22"/>
  <c r="AH222" i="22"/>
  <c r="AG222" i="22"/>
  <c r="X222" i="22"/>
  <c r="W222" i="22"/>
  <c r="Q222" i="22"/>
  <c r="T222" i="22"/>
  <c r="F215" i="23"/>
  <c r="J215" i="23"/>
  <c r="AB215" i="23"/>
  <c r="AF222" i="22"/>
  <c r="AH221" i="22"/>
  <c r="AG221" i="22"/>
  <c r="AD221" i="22"/>
  <c r="AC221" i="22"/>
  <c r="X221" i="22"/>
  <c r="W221" i="22"/>
  <c r="Q221" i="22"/>
  <c r="T221" i="22"/>
  <c r="F214" i="23"/>
  <c r="J214" i="23"/>
  <c r="AB214" i="23"/>
  <c r="V221" i="22"/>
  <c r="AH220" i="22"/>
  <c r="AG220" i="22"/>
  <c r="AD220" i="22"/>
  <c r="AC220" i="22"/>
  <c r="X220" i="22"/>
  <c r="W220" i="22"/>
  <c r="Q220" i="22"/>
  <c r="T220" i="22"/>
  <c r="F213" i="23"/>
  <c r="J213" i="23"/>
  <c r="AB213" i="23"/>
  <c r="AF220" i="22"/>
  <c r="AH219" i="22"/>
  <c r="AF219" i="22"/>
  <c r="AD219" i="22"/>
  <c r="AB219" i="22"/>
  <c r="X219" i="22"/>
  <c r="V219" i="22"/>
  <c r="Q219" i="22"/>
  <c r="T219" i="22"/>
  <c r="F212" i="23"/>
  <c r="J212" i="23"/>
  <c r="AC212" i="23"/>
  <c r="AG219" i="22"/>
  <c r="AH218" i="22"/>
  <c r="AG218" i="22"/>
  <c r="AD218" i="22"/>
  <c r="AC218" i="22"/>
  <c r="X218" i="22"/>
  <c r="W218" i="22"/>
  <c r="Q218" i="22"/>
  <c r="T218" i="22"/>
  <c r="F211" i="23"/>
  <c r="J211" i="23"/>
  <c r="AB211" i="23"/>
  <c r="AF218" i="22"/>
  <c r="AH217" i="22"/>
  <c r="AF217" i="22"/>
  <c r="AD217" i="22"/>
  <c r="AB217" i="22"/>
  <c r="X217" i="22"/>
  <c r="V217" i="22"/>
  <c r="Q217" i="22"/>
  <c r="T217" i="22"/>
  <c r="F210" i="23"/>
  <c r="J210" i="23"/>
  <c r="AC210" i="23"/>
  <c r="AG217" i="22"/>
  <c r="AH216" i="22"/>
  <c r="AF216" i="22"/>
  <c r="AD216" i="22"/>
  <c r="AB216" i="22"/>
  <c r="X216" i="22"/>
  <c r="V216" i="22"/>
  <c r="Q216" i="22"/>
  <c r="T216" i="22"/>
  <c r="F209" i="23"/>
  <c r="J209" i="23"/>
  <c r="AC209" i="23"/>
  <c r="W216" i="22"/>
  <c r="AH215" i="22"/>
  <c r="AF215" i="22"/>
  <c r="AD215" i="22"/>
  <c r="AB215" i="22"/>
  <c r="X215" i="22"/>
  <c r="V215" i="22"/>
  <c r="Q215" i="22"/>
  <c r="T215" i="22"/>
  <c r="F208" i="23"/>
  <c r="J208" i="23"/>
  <c r="AC208" i="23"/>
  <c r="AG215" i="22"/>
  <c r="AH214" i="22"/>
  <c r="AF214" i="22"/>
  <c r="AD214" i="22"/>
  <c r="AB214" i="22"/>
  <c r="X214" i="22"/>
  <c r="V214" i="22"/>
  <c r="Q214" i="22"/>
  <c r="T214" i="22"/>
  <c r="F207" i="23"/>
  <c r="J207" i="23"/>
  <c r="AC207" i="23"/>
  <c r="W214" i="22"/>
  <c r="AH213" i="22"/>
  <c r="AG213" i="22"/>
  <c r="AD213" i="22"/>
  <c r="AC213" i="22"/>
  <c r="X213" i="22"/>
  <c r="W213" i="22"/>
  <c r="Q213" i="22"/>
  <c r="T213" i="22"/>
  <c r="F206" i="23"/>
  <c r="J206" i="23"/>
  <c r="AB206" i="23"/>
  <c r="V213" i="22"/>
  <c r="AH212" i="22"/>
  <c r="AG212" i="22"/>
  <c r="AD212" i="22"/>
  <c r="AC212" i="22"/>
  <c r="X212" i="22"/>
  <c r="W212" i="22"/>
  <c r="AF212" i="22"/>
  <c r="AG211" i="22"/>
  <c r="AF211" i="22"/>
  <c r="AC211" i="22"/>
  <c r="AB211" i="22"/>
  <c r="W211" i="22"/>
  <c r="V211" i="22"/>
  <c r="Q211" i="22"/>
  <c r="T211" i="22"/>
  <c r="F204" i="23"/>
  <c r="J204" i="23"/>
  <c r="AD204" i="23"/>
  <c r="X211" i="22"/>
  <c r="AH210" i="22"/>
  <c r="AF210" i="22"/>
  <c r="AD210" i="22"/>
  <c r="AB210" i="22"/>
  <c r="X210" i="22"/>
  <c r="V210" i="22"/>
  <c r="Q210" i="22"/>
  <c r="T210" i="22"/>
  <c r="F203" i="23"/>
  <c r="J203" i="23"/>
  <c r="AC203" i="23"/>
  <c r="AG209" i="22"/>
  <c r="AF209" i="22"/>
  <c r="AC209" i="22"/>
  <c r="AB209" i="22"/>
  <c r="W209" i="22"/>
  <c r="V209" i="22"/>
  <c r="Q209" i="22"/>
  <c r="T209" i="22"/>
  <c r="F202" i="23"/>
  <c r="J202" i="23"/>
  <c r="AB202" i="23"/>
  <c r="X209" i="22"/>
  <c r="AH208" i="22"/>
  <c r="AG208" i="22"/>
  <c r="AD208" i="22"/>
  <c r="AC208" i="22"/>
  <c r="X208" i="22"/>
  <c r="W208" i="22"/>
  <c r="Q208" i="22"/>
  <c r="T208" i="22"/>
  <c r="F201" i="23"/>
  <c r="J201" i="23"/>
  <c r="AB201" i="23"/>
  <c r="AF208" i="22"/>
  <c r="AG207" i="22"/>
  <c r="AF207" i="22"/>
  <c r="AC207" i="22"/>
  <c r="AB207" i="22"/>
  <c r="W207" i="22"/>
  <c r="V207" i="22"/>
  <c r="Q207" i="22"/>
  <c r="T207" i="22"/>
  <c r="F200" i="23"/>
  <c r="J200" i="23"/>
  <c r="AD200" i="23"/>
  <c r="X207" i="22"/>
  <c r="AH206" i="22"/>
  <c r="AG206" i="22"/>
  <c r="AD206" i="22"/>
  <c r="AC206" i="22"/>
  <c r="X206" i="22"/>
  <c r="W206" i="22"/>
  <c r="F199" i="23"/>
  <c r="J199" i="23"/>
  <c r="AB199" i="23"/>
  <c r="AF206" i="22"/>
  <c r="AH205" i="22"/>
  <c r="AG205" i="22"/>
  <c r="AD205" i="22"/>
  <c r="AC205" i="22"/>
  <c r="X205" i="22"/>
  <c r="W205" i="22"/>
  <c r="V205" i="22"/>
  <c r="AH204" i="22"/>
  <c r="AG204" i="22"/>
  <c r="AD204" i="22"/>
  <c r="AC204" i="22"/>
  <c r="X204" i="22"/>
  <c r="W204" i="22"/>
  <c r="F197" i="23"/>
  <c r="J197" i="23"/>
  <c r="AB197" i="23"/>
  <c r="V204" i="22"/>
  <c r="AG203" i="22"/>
  <c r="AF203" i="22"/>
  <c r="AC203" i="22"/>
  <c r="AB203" i="22"/>
  <c r="W203" i="22"/>
  <c r="V203" i="22"/>
  <c r="F196" i="23"/>
  <c r="J196" i="23"/>
  <c r="AD196" i="23"/>
  <c r="AH203" i="22"/>
  <c r="AH202" i="22"/>
  <c r="AF202" i="22"/>
  <c r="AD202" i="22"/>
  <c r="AB202" i="22"/>
  <c r="X202" i="22"/>
  <c r="V202" i="22"/>
  <c r="F195" i="23"/>
  <c r="J195" i="23"/>
  <c r="AC195" i="23"/>
  <c r="AG202" i="22"/>
  <c r="AG201" i="22"/>
  <c r="AF201" i="22"/>
  <c r="AC201" i="22"/>
  <c r="AB201" i="22"/>
  <c r="W201" i="22"/>
  <c r="V201" i="22"/>
  <c r="AH201" i="22"/>
  <c r="AH200" i="22"/>
  <c r="AF200" i="22"/>
  <c r="AD200" i="22"/>
  <c r="AB200" i="22"/>
  <c r="X200" i="22"/>
  <c r="V200" i="22"/>
  <c r="Q200" i="22"/>
  <c r="T200" i="22"/>
  <c r="F193" i="23"/>
  <c r="J193" i="23"/>
  <c r="AC193" i="23"/>
  <c r="AG200" i="22"/>
  <c r="AH199" i="22"/>
  <c r="AF199" i="22"/>
  <c r="AD199" i="22"/>
  <c r="AB199" i="22"/>
  <c r="X199" i="22"/>
  <c r="V199" i="22"/>
  <c r="Q199" i="22"/>
  <c r="T199" i="22"/>
  <c r="F192" i="23"/>
  <c r="J192" i="23"/>
  <c r="AC192" i="23"/>
  <c r="W199" i="22"/>
  <c r="AH198" i="22"/>
  <c r="AF198" i="22"/>
  <c r="AD198" i="22"/>
  <c r="AB198" i="22"/>
  <c r="X198" i="22"/>
  <c r="V198" i="22"/>
  <c r="Q198" i="22"/>
  <c r="T198" i="22"/>
  <c r="F191" i="23"/>
  <c r="J191" i="23"/>
  <c r="AC191" i="23"/>
  <c r="AG198" i="22"/>
  <c r="AH197" i="22"/>
  <c r="AF197" i="22"/>
  <c r="AD197" i="22"/>
  <c r="AB197" i="22"/>
  <c r="X197" i="22"/>
  <c r="V197" i="22"/>
  <c r="Q197" i="22"/>
  <c r="T197" i="22"/>
  <c r="F190" i="23"/>
  <c r="J190" i="23"/>
  <c r="AC190" i="23"/>
  <c r="W197" i="22"/>
  <c r="AH196" i="22"/>
  <c r="AF196" i="22"/>
  <c r="AD196" i="22"/>
  <c r="AB196" i="22"/>
  <c r="X196" i="22"/>
  <c r="V196" i="22"/>
  <c r="Q196" i="22"/>
  <c r="T196" i="22"/>
  <c r="F189" i="23"/>
  <c r="J189" i="23"/>
  <c r="AC189" i="23"/>
  <c r="AG196" i="22"/>
  <c r="AH195" i="22"/>
  <c r="AF195" i="22"/>
  <c r="AD195" i="22"/>
  <c r="AB195" i="22"/>
  <c r="X195" i="22"/>
  <c r="V195" i="22"/>
  <c r="Q195" i="22"/>
  <c r="T195" i="22"/>
  <c r="F188" i="23"/>
  <c r="J188" i="23"/>
  <c r="AC188" i="23"/>
  <c r="W195" i="22"/>
  <c r="AH194" i="22"/>
  <c r="AG194" i="22"/>
  <c r="AD194" i="22"/>
  <c r="AC194" i="22"/>
  <c r="X194" i="22"/>
  <c r="W194" i="22"/>
  <c r="Q194" i="22"/>
  <c r="T194" i="22"/>
  <c r="F187" i="23"/>
  <c r="J187" i="23"/>
  <c r="AB187" i="23"/>
  <c r="V194" i="22"/>
  <c r="AH193" i="22"/>
  <c r="AG193" i="22"/>
  <c r="AD193" i="22"/>
  <c r="AC193" i="22"/>
  <c r="X193" i="22"/>
  <c r="W193" i="22"/>
  <c r="Q193" i="22"/>
  <c r="T193" i="22"/>
  <c r="F186" i="23"/>
  <c r="J186" i="23"/>
  <c r="AB186" i="23"/>
  <c r="AF193" i="22"/>
  <c r="AH192" i="22"/>
  <c r="AG192" i="22"/>
  <c r="AD192" i="22"/>
  <c r="AC192" i="22"/>
  <c r="Q192" i="21"/>
  <c r="T192" i="21"/>
  <c r="F192" i="22"/>
  <c r="J192" i="22"/>
  <c r="AB192" i="22"/>
  <c r="X192" i="22"/>
  <c r="W192" i="22"/>
  <c r="Q192" i="22"/>
  <c r="T192" i="22"/>
  <c r="F185" i="23"/>
  <c r="J185" i="23"/>
  <c r="AB185" i="23"/>
  <c r="V192" i="22"/>
  <c r="AH191" i="22"/>
  <c r="AF191" i="22"/>
  <c r="AD191" i="22"/>
  <c r="AB191" i="22"/>
  <c r="X191" i="22"/>
  <c r="V191" i="22"/>
  <c r="AH190" i="22"/>
  <c r="AF190" i="22"/>
  <c r="AD190" i="22"/>
  <c r="AB190" i="22"/>
  <c r="X190" i="22"/>
  <c r="V190" i="22"/>
  <c r="Q190" i="22"/>
  <c r="T190" i="22"/>
  <c r="F183" i="23"/>
  <c r="J183" i="23"/>
  <c r="AC183" i="23"/>
  <c r="AH189" i="22"/>
  <c r="AF189" i="22"/>
  <c r="AD189" i="22"/>
  <c r="AB189" i="22"/>
  <c r="X189" i="22"/>
  <c r="V189" i="22"/>
  <c r="Q189" i="22"/>
  <c r="T189" i="22"/>
  <c r="F182" i="23"/>
  <c r="J182" i="23"/>
  <c r="AC182" i="23"/>
  <c r="AG189" i="22"/>
  <c r="AH188" i="22"/>
  <c r="AF188" i="22"/>
  <c r="AD188" i="22"/>
  <c r="AB188" i="22"/>
  <c r="X188" i="22"/>
  <c r="V188" i="22"/>
  <c r="Q188" i="22"/>
  <c r="T188" i="22"/>
  <c r="F181" i="23"/>
  <c r="J181" i="23"/>
  <c r="AC181" i="23"/>
  <c r="AH187" i="22"/>
  <c r="AG187" i="22"/>
  <c r="AD187" i="22"/>
  <c r="AC187" i="22"/>
  <c r="X187" i="22"/>
  <c r="W187" i="22"/>
  <c r="Q187" i="22"/>
  <c r="T187" i="22"/>
  <c r="F180" i="23"/>
  <c r="J180" i="23"/>
  <c r="AB180" i="23"/>
  <c r="V187" i="22"/>
  <c r="AH186" i="22"/>
  <c r="AG186" i="22"/>
  <c r="AD186" i="22"/>
  <c r="AC186" i="22"/>
  <c r="X186" i="22"/>
  <c r="W186" i="22"/>
  <c r="Q186" i="22"/>
  <c r="T186" i="22"/>
  <c r="F179" i="23"/>
  <c r="J179" i="23"/>
  <c r="AB179" i="23"/>
  <c r="AF186" i="22"/>
  <c r="AH185" i="22"/>
  <c r="AG185" i="22"/>
  <c r="AD185" i="22"/>
  <c r="AC185" i="22"/>
  <c r="X185" i="22"/>
  <c r="W185" i="22"/>
  <c r="Q185" i="22"/>
  <c r="T185" i="22"/>
  <c r="F178" i="23"/>
  <c r="J178" i="23"/>
  <c r="AB178" i="23"/>
  <c r="V185" i="22"/>
  <c r="AH184" i="22"/>
  <c r="AG184" i="22"/>
  <c r="AD184" i="22"/>
  <c r="AC184" i="22"/>
  <c r="X184" i="22"/>
  <c r="W184" i="22"/>
  <c r="Q184" i="22"/>
  <c r="T184" i="22"/>
  <c r="F177" i="23"/>
  <c r="J177" i="23"/>
  <c r="AB177" i="23"/>
  <c r="AF184" i="22"/>
  <c r="AH183" i="22"/>
  <c r="AG183" i="22"/>
  <c r="AD183" i="22"/>
  <c r="AC183" i="22"/>
  <c r="X183" i="22"/>
  <c r="W183" i="22"/>
  <c r="Q183" i="22"/>
  <c r="T183" i="22"/>
  <c r="F176" i="23"/>
  <c r="J176" i="23"/>
  <c r="AB176" i="23"/>
  <c r="V183" i="22"/>
  <c r="AH182" i="22"/>
  <c r="AF182" i="22"/>
  <c r="AD182" i="22"/>
  <c r="AB182" i="22"/>
  <c r="X182" i="22"/>
  <c r="V182" i="22"/>
  <c r="W182" i="22"/>
  <c r="AH181" i="22"/>
  <c r="AG181" i="22"/>
  <c r="AD181" i="22"/>
  <c r="AC181" i="22"/>
  <c r="X181" i="22"/>
  <c r="W181" i="22"/>
  <c r="Q181" i="22"/>
  <c r="T181" i="22"/>
  <c r="F174" i="23"/>
  <c r="J174" i="23"/>
  <c r="AB174" i="23"/>
  <c r="V181" i="22"/>
  <c r="AG180" i="22"/>
  <c r="AF180" i="22"/>
  <c r="AC180" i="22"/>
  <c r="AB180" i="22"/>
  <c r="W180" i="22"/>
  <c r="V180" i="22"/>
  <c r="Q180" i="22"/>
  <c r="T180" i="22"/>
  <c r="AH180" i="22"/>
  <c r="AH179" i="22"/>
  <c r="AF179" i="22"/>
  <c r="AD179" i="22"/>
  <c r="AB179" i="22"/>
  <c r="X179" i="22"/>
  <c r="V179" i="22"/>
  <c r="Q179" i="22"/>
  <c r="T179" i="22"/>
  <c r="AG179" i="22"/>
  <c r="AH178" i="22"/>
  <c r="AG178" i="22"/>
  <c r="AD178" i="22"/>
  <c r="AC178" i="22"/>
  <c r="X178" i="22"/>
  <c r="W178" i="22"/>
  <c r="Q178" i="22"/>
  <c r="T178" i="22"/>
  <c r="F171" i="23"/>
  <c r="J171" i="23"/>
  <c r="AB171" i="23"/>
  <c r="AF178" i="22"/>
  <c r="AH177" i="22"/>
  <c r="AF177" i="22"/>
  <c r="AD177" i="22"/>
  <c r="AB177" i="22"/>
  <c r="X177" i="22"/>
  <c r="V177" i="22"/>
  <c r="Q177" i="22"/>
  <c r="T177" i="22"/>
  <c r="F170" i="23"/>
  <c r="J170" i="23"/>
  <c r="AC170" i="23"/>
  <c r="AG177" i="22"/>
  <c r="AH176" i="22"/>
  <c r="AF176" i="22"/>
  <c r="AD176" i="22"/>
  <c r="AB176" i="22"/>
  <c r="X176" i="22"/>
  <c r="V176" i="22"/>
  <c r="Q176" i="22"/>
  <c r="T176" i="22"/>
  <c r="F169" i="23"/>
  <c r="J169" i="23"/>
  <c r="AC169" i="23"/>
  <c r="AH175" i="22"/>
  <c r="AG175" i="22"/>
  <c r="AD175" i="22"/>
  <c r="Q175" i="21"/>
  <c r="T175" i="21"/>
  <c r="F175" i="22"/>
  <c r="J175" i="22"/>
  <c r="AB175" i="22"/>
  <c r="AC175" i="22"/>
  <c r="X175" i="22"/>
  <c r="W175" i="22"/>
  <c r="Q175" i="22"/>
  <c r="V175" i="22"/>
  <c r="AH174" i="22"/>
  <c r="AF174" i="22"/>
  <c r="AD174" i="22"/>
  <c r="AB174" i="22"/>
  <c r="X174" i="22"/>
  <c r="V174" i="22"/>
  <c r="Q174" i="22"/>
  <c r="T174" i="22"/>
  <c r="F167" i="23"/>
  <c r="J167" i="23"/>
  <c r="AC167" i="23"/>
  <c r="W174" i="22"/>
  <c r="AH173" i="22"/>
  <c r="AG173" i="22"/>
  <c r="AD173" i="22"/>
  <c r="AC173" i="22"/>
  <c r="X173" i="22"/>
  <c r="W173" i="22"/>
  <c r="Q173" i="22"/>
  <c r="T173" i="22"/>
  <c r="F166" i="23"/>
  <c r="J166" i="23"/>
  <c r="AB166" i="23"/>
  <c r="V173" i="22"/>
  <c r="AH172" i="22"/>
  <c r="AG172" i="22"/>
  <c r="AD172" i="22"/>
  <c r="AC172" i="22"/>
  <c r="X172" i="22"/>
  <c r="W172" i="22"/>
  <c r="Q172" i="22"/>
  <c r="T172" i="22"/>
  <c r="F165" i="23"/>
  <c r="J165" i="23"/>
  <c r="AB165" i="23"/>
  <c r="V172" i="22"/>
  <c r="AH171" i="22"/>
  <c r="AG171" i="22"/>
  <c r="AD171" i="22"/>
  <c r="AC171" i="22"/>
  <c r="X171" i="22"/>
  <c r="W171" i="22"/>
  <c r="AF171" i="22"/>
  <c r="AH170" i="22"/>
  <c r="AG170" i="22"/>
  <c r="AD170" i="22"/>
  <c r="AC170" i="22"/>
  <c r="X170" i="22"/>
  <c r="W170" i="22"/>
  <c r="Q170" i="22"/>
  <c r="T170" i="22"/>
  <c r="F163" i="23"/>
  <c r="J163" i="23"/>
  <c r="AB163" i="23"/>
  <c r="V170" i="22"/>
  <c r="AH169" i="22"/>
  <c r="AG169" i="22"/>
  <c r="AD169" i="22"/>
  <c r="AC169" i="22"/>
  <c r="X169" i="22"/>
  <c r="W169" i="22"/>
  <c r="Q169" i="22"/>
  <c r="T169" i="22"/>
  <c r="F162" i="23"/>
  <c r="J162" i="23"/>
  <c r="AB162" i="23"/>
  <c r="AF169" i="22"/>
  <c r="AH168" i="22"/>
  <c r="AG168" i="22"/>
  <c r="AD168" i="22"/>
  <c r="AC168" i="22"/>
  <c r="X168" i="22"/>
  <c r="W168" i="22"/>
  <c r="Q168" i="22"/>
  <c r="T168" i="22"/>
  <c r="F161" i="23"/>
  <c r="J161" i="23"/>
  <c r="AB161" i="23"/>
  <c r="V168" i="22"/>
  <c r="AH167" i="22"/>
  <c r="AG167" i="22"/>
  <c r="AD167" i="22"/>
  <c r="AC167" i="22"/>
  <c r="X167" i="22"/>
  <c r="W167" i="22"/>
  <c r="Q167" i="22"/>
  <c r="T167" i="22"/>
  <c r="F160" i="23"/>
  <c r="J160" i="23"/>
  <c r="AB160" i="23"/>
  <c r="AF167" i="22"/>
  <c r="AH166" i="22"/>
  <c r="AD166" i="22"/>
  <c r="X166" i="22"/>
  <c r="Q166" i="22"/>
  <c r="T166" i="22"/>
  <c r="F159" i="23"/>
  <c r="J159" i="23"/>
  <c r="AC159" i="23"/>
  <c r="V166" i="22"/>
  <c r="AH165" i="22"/>
  <c r="AG165" i="22"/>
  <c r="AD165" i="22"/>
  <c r="AC165" i="22"/>
  <c r="X165" i="22"/>
  <c r="W165" i="22"/>
  <c r="Q165" i="22"/>
  <c r="T165" i="22"/>
  <c r="F158" i="23"/>
  <c r="J158" i="23"/>
  <c r="AB158" i="23"/>
  <c r="AF165" i="22"/>
  <c r="AH164" i="22"/>
  <c r="AF164" i="22"/>
  <c r="AD164" i="22"/>
  <c r="AB164" i="22"/>
  <c r="X164" i="22"/>
  <c r="V164" i="22"/>
  <c r="Q164" i="22"/>
  <c r="T164" i="22"/>
  <c r="F157" i="23"/>
  <c r="J157" i="23"/>
  <c r="AC157" i="23"/>
  <c r="AG164" i="22"/>
  <c r="AH163" i="22"/>
  <c r="AF163" i="22"/>
  <c r="AD163" i="22"/>
  <c r="AB163" i="22"/>
  <c r="X163" i="22"/>
  <c r="V163" i="22"/>
  <c r="Q163" i="22"/>
  <c r="T163" i="22"/>
  <c r="F156" i="23"/>
  <c r="J156" i="23"/>
  <c r="AC156" i="23"/>
  <c r="AH162" i="22"/>
  <c r="AF162" i="22"/>
  <c r="AD162" i="22"/>
  <c r="AB162" i="22"/>
  <c r="X162" i="22"/>
  <c r="V162" i="22"/>
  <c r="Q162" i="22"/>
  <c r="T162" i="22"/>
  <c r="F155" i="23"/>
  <c r="J155" i="23"/>
  <c r="AC155" i="23"/>
  <c r="AG162" i="22"/>
  <c r="AH161" i="22"/>
  <c r="AF161" i="22"/>
  <c r="AD161" i="22"/>
  <c r="AB161" i="22"/>
  <c r="X161" i="22"/>
  <c r="V161" i="22"/>
  <c r="Q161" i="22"/>
  <c r="T161" i="22"/>
  <c r="F154" i="23"/>
  <c r="J154" i="23"/>
  <c r="AC154" i="23"/>
  <c r="AH160" i="22"/>
  <c r="AF160" i="22"/>
  <c r="AD160" i="22"/>
  <c r="AB160" i="22"/>
  <c r="X160" i="22"/>
  <c r="V160" i="22"/>
  <c r="Q160" i="22"/>
  <c r="T160" i="22"/>
  <c r="F153" i="23"/>
  <c r="J153" i="23"/>
  <c r="AC153" i="23"/>
  <c r="AG160" i="22"/>
  <c r="AH159" i="22"/>
  <c r="AG159" i="22"/>
  <c r="AD159" i="22"/>
  <c r="AC159" i="22"/>
  <c r="X159" i="22"/>
  <c r="W159" i="22"/>
  <c r="Q159" i="22"/>
  <c r="T159" i="22"/>
  <c r="F152" i="23"/>
  <c r="J152" i="23"/>
  <c r="AB152" i="23"/>
  <c r="AF159" i="22"/>
  <c r="AH158" i="22"/>
  <c r="AG158" i="22"/>
  <c r="AD158" i="22"/>
  <c r="AC158" i="22"/>
  <c r="X158" i="22"/>
  <c r="W158" i="22"/>
  <c r="Q158" i="22"/>
  <c r="T158" i="22"/>
  <c r="F151" i="23"/>
  <c r="J151" i="23"/>
  <c r="AB151" i="23"/>
  <c r="V158" i="22"/>
  <c r="AH157" i="22"/>
  <c r="AF157" i="22"/>
  <c r="AD157" i="22"/>
  <c r="AB157" i="22"/>
  <c r="X157" i="22"/>
  <c r="V157" i="22"/>
  <c r="Q157" i="22"/>
  <c r="T157" i="22"/>
  <c r="F150" i="23"/>
  <c r="J150" i="23"/>
  <c r="AC150" i="23"/>
  <c r="AH156" i="22"/>
  <c r="AF156" i="22"/>
  <c r="AD156" i="22"/>
  <c r="AB156" i="22"/>
  <c r="X156" i="22"/>
  <c r="V156" i="22"/>
  <c r="Q156" i="22"/>
  <c r="T156" i="22"/>
  <c r="F149" i="23"/>
  <c r="J149" i="23"/>
  <c r="AC149" i="23"/>
  <c r="AG156" i="22"/>
  <c r="AH155" i="22"/>
  <c r="AG155" i="22"/>
  <c r="AD155" i="22"/>
  <c r="AC155" i="22"/>
  <c r="X155" i="22"/>
  <c r="W155" i="22"/>
  <c r="Q155" i="22"/>
  <c r="T155" i="22"/>
  <c r="F148" i="23"/>
  <c r="J148" i="23"/>
  <c r="AB148" i="23"/>
  <c r="AF155" i="22"/>
  <c r="AG154" i="22"/>
  <c r="AF154" i="22"/>
  <c r="AC154" i="22"/>
  <c r="AB154" i="22"/>
  <c r="W154" i="22"/>
  <c r="V154" i="22"/>
  <c r="Q154" i="22"/>
  <c r="T154" i="22"/>
  <c r="F147" i="23"/>
  <c r="J147" i="23"/>
  <c r="AD147" i="23"/>
  <c r="X154" i="22"/>
  <c r="AH153" i="22"/>
  <c r="AF153" i="22"/>
  <c r="AD153" i="22"/>
  <c r="AB153" i="22"/>
  <c r="X153" i="22"/>
  <c r="V153" i="22"/>
  <c r="Q153" i="22"/>
  <c r="T153" i="22"/>
  <c r="F146" i="23"/>
  <c r="J146" i="23"/>
  <c r="AC146" i="23"/>
  <c r="AH152" i="22"/>
  <c r="AF152" i="22"/>
  <c r="AD152" i="22"/>
  <c r="AB152" i="22"/>
  <c r="X152" i="22"/>
  <c r="V152" i="22"/>
  <c r="Q152" i="22"/>
  <c r="T152" i="22"/>
  <c r="F145" i="23"/>
  <c r="J145" i="23"/>
  <c r="AC145" i="23"/>
  <c r="AG152" i="22"/>
  <c r="AG151" i="22"/>
  <c r="AF151" i="22"/>
  <c r="AC151" i="22"/>
  <c r="AB151" i="22"/>
  <c r="W151" i="22"/>
  <c r="V151" i="22"/>
  <c r="Q151" i="22"/>
  <c r="T151" i="22"/>
  <c r="F144" i="23"/>
  <c r="J144" i="23"/>
  <c r="AD144" i="23"/>
  <c r="AH151" i="22"/>
  <c r="AH150" i="22"/>
  <c r="AG150" i="22"/>
  <c r="AD150" i="22"/>
  <c r="AC150" i="22"/>
  <c r="X150" i="22"/>
  <c r="W150" i="22"/>
  <c r="Q150" i="22"/>
  <c r="T150" i="22"/>
  <c r="F143" i="23"/>
  <c r="J143" i="23"/>
  <c r="AB143" i="23"/>
  <c r="AF150" i="22"/>
  <c r="AH149" i="22"/>
  <c r="AG149" i="22"/>
  <c r="AD149" i="22"/>
  <c r="AC149" i="22"/>
  <c r="X149" i="22"/>
  <c r="W149" i="22"/>
  <c r="Q149" i="22"/>
  <c r="T149" i="22"/>
  <c r="F142" i="23"/>
  <c r="J142" i="23"/>
  <c r="AB142" i="23"/>
  <c r="AF149" i="22"/>
  <c r="AH148" i="22"/>
  <c r="AG148" i="22"/>
  <c r="AD148" i="22"/>
  <c r="AC148" i="22"/>
  <c r="X148" i="22"/>
  <c r="W148" i="22"/>
  <c r="Q148" i="22"/>
  <c r="T148" i="22"/>
  <c r="F141" i="23"/>
  <c r="J141" i="23"/>
  <c r="AB141" i="23"/>
  <c r="AF148" i="22"/>
  <c r="AH147" i="22"/>
  <c r="AF147" i="22"/>
  <c r="AD147" i="22"/>
  <c r="AB147" i="22"/>
  <c r="X147" i="22"/>
  <c r="V147" i="22"/>
  <c r="Q147" i="22"/>
  <c r="T147" i="22"/>
  <c r="F140" i="23"/>
  <c r="J140" i="23"/>
  <c r="AC140" i="23"/>
  <c r="AG147" i="22"/>
  <c r="AH146" i="22"/>
  <c r="AF146" i="22"/>
  <c r="AD146" i="22"/>
  <c r="AB146" i="22"/>
  <c r="X146" i="22"/>
  <c r="V146" i="22"/>
  <c r="Q146" i="22"/>
  <c r="T146" i="22"/>
  <c r="F139" i="23"/>
  <c r="J139" i="23"/>
  <c r="AC139" i="23"/>
  <c r="W146" i="22"/>
  <c r="AG145" i="22"/>
  <c r="AF145" i="22"/>
  <c r="AC145" i="22"/>
  <c r="AB145" i="22"/>
  <c r="W145" i="22"/>
  <c r="V145" i="22"/>
  <c r="Q145" i="22"/>
  <c r="T145" i="22"/>
  <c r="F138" i="23"/>
  <c r="J138" i="23"/>
  <c r="AD138" i="23"/>
  <c r="X145" i="22"/>
  <c r="AH144" i="22"/>
  <c r="AG144" i="22"/>
  <c r="AD144" i="22"/>
  <c r="AC144" i="22"/>
  <c r="X144" i="22"/>
  <c r="W144" i="22"/>
  <c r="Q144" i="22"/>
  <c r="T144" i="22"/>
  <c r="F137" i="23"/>
  <c r="J137" i="23"/>
  <c r="AB137" i="23"/>
  <c r="AF144" i="22"/>
  <c r="AH143" i="22"/>
  <c r="AG143" i="22"/>
  <c r="AD143" i="22"/>
  <c r="AC143" i="22"/>
  <c r="X143" i="22"/>
  <c r="W143" i="22"/>
  <c r="Q143" i="22"/>
  <c r="T143" i="22"/>
  <c r="F136" i="23"/>
  <c r="J136" i="23"/>
  <c r="AB136" i="23"/>
  <c r="V143" i="22"/>
  <c r="AH142" i="22"/>
  <c r="AF142" i="22"/>
  <c r="AD142" i="22"/>
  <c r="AB142" i="22"/>
  <c r="X142" i="22"/>
  <c r="V142" i="22"/>
  <c r="Q142" i="22"/>
  <c r="T142" i="22"/>
  <c r="F135" i="23"/>
  <c r="J135" i="23"/>
  <c r="AC135" i="23"/>
  <c r="W142" i="22"/>
  <c r="AH141" i="22"/>
  <c r="AF141" i="22"/>
  <c r="AD141" i="22"/>
  <c r="AB141" i="22"/>
  <c r="X141" i="22"/>
  <c r="V141" i="22"/>
  <c r="Q141" i="22"/>
  <c r="T141" i="22"/>
  <c r="F134" i="23"/>
  <c r="J134" i="23"/>
  <c r="AC134" i="23"/>
  <c r="AG141" i="22"/>
  <c r="AH140" i="22"/>
  <c r="AG140" i="22"/>
  <c r="AD140" i="22"/>
  <c r="AC140" i="22"/>
  <c r="X140" i="22"/>
  <c r="W140" i="22"/>
  <c r="Q140" i="22"/>
  <c r="T140" i="22"/>
  <c r="F133" i="23"/>
  <c r="J133" i="23"/>
  <c r="AB133" i="23"/>
  <c r="AF140" i="22"/>
  <c r="AH139" i="22"/>
  <c r="AG139" i="22"/>
  <c r="AD139" i="22"/>
  <c r="AC139" i="22"/>
  <c r="X139" i="22"/>
  <c r="W139" i="22"/>
  <c r="Q139" i="22"/>
  <c r="T139" i="22"/>
  <c r="F132" i="23"/>
  <c r="J132" i="23"/>
  <c r="AB132" i="23"/>
  <c r="V139" i="22"/>
  <c r="AH138" i="22"/>
  <c r="AG138" i="22"/>
  <c r="AD138" i="22"/>
  <c r="AC138" i="22"/>
  <c r="X138" i="22"/>
  <c r="W138" i="22"/>
  <c r="Q138" i="22"/>
  <c r="T138" i="22"/>
  <c r="F131" i="23"/>
  <c r="J131" i="23"/>
  <c r="AB131" i="23"/>
  <c r="AF138" i="22"/>
  <c r="AH137" i="22"/>
  <c r="AG137" i="22"/>
  <c r="AD137" i="22"/>
  <c r="AC137" i="22"/>
  <c r="X137" i="22"/>
  <c r="W137" i="22"/>
  <c r="Q137" i="22"/>
  <c r="T137" i="22"/>
  <c r="F130" i="23"/>
  <c r="J130" i="23"/>
  <c r="AB130" i="23"/>
  <c r="V137" i="22"/>
  <c r="AH136" i="22"/>
  <c r="AG136" i="22"/>
  <c r="AD136" i="22"/>
  <c r="AC136" i="22"/>
  <c r="X136" i="22"/>
  <c r="W136" i="22"/>
  <c r="Q136" i="22"/>
  <c r="T136" i="22"/>
  <c r="F129" i="23"/>
  <c r="J129" i="23"/>
  <c r="AB129" i="23"/>
  <c r="AF136" i="22"/>
  <c r="AH135" i="22"/>
  <c r="AG135" i="22"/>
  <c r="AD135" i="22"/>
  <c r="AC135" i="22"/>
  <c r="X135" i="22"/>
  <c r="W135" i="22"/>
  <c r="Q135" i="22"/>
  <c r="T135" i="22"/>
  <c r="F128" i="23"/>
  <c r="J128" i="23"/>
  <c r="AB128" i="23"/>
  <c r="V135" i="22"/>
  <c r="AH134" i="22"/>
  <c r="AG134" i="22"/>
  <c r="AD134" i="22"/>
  <c r="AC134" i="22"/>
  <c r="X134" i="22"/>
  <c r="W134" i="22"/>
  <c r="Q134" i="22"/>
  <c r="T134" i="22"/>
  <c r="F127" i="23"/>
  <c r="J127" i="23"/>
  <c r="AB127" i="23"/>
  <c r="AF134" i="22"/>
  <c r="AH133" i="22"/>
  <c r="AG133" i="22"/>
  <c r="AD133" i="22"/>
  <c r="AC133" i="22"/>
  <c r="X133" i="22"/>
  <c r="W133" i="22"/>
  <c r="Q133" i="22"/>
  <c r="T133" i="22"/>
  <c r="F126" i="23"/>
  <c r="J126" i="23"/>
  <c r="AB126" i="23"/>
  <c r="V133" i="22"/>
  <c r="AH132" i="22"/>
  <c r="AG132" i="22"/>
  <c r="AD132" i="22"/>
  <c r="AC132" i="22"/>
  <c r="X132" i="22"/>
  <c r="W132" i="22"/>
  <c r="Q132" i="22"/>
  <c r="T132" i="22"/>
  <c r="F125" i="23"/>
  <c r="J125" i="23"/>
  <c r="AB125" i="23"/>
  <c r="AF132" i="22"/>
  <c r="AH131" i="22"/>
  <c r="AG131" i="22"/>
  <c r="AD131" i="22"/>
  <c r="AC131" i="22"/>
  <c r="X131" i="22"/>
  <c r="W131" i="22"/>
  <c r="F124" i="23"/>
  <c r="J124" i="23"/>
  <c r="AB124" i="23"/>
  <c r="V131" i="22"/>
  <c r="AH130" i="22"/>
  <c r="AG130" i="22"/>
  <c r="AD130" i="22"/>
  <c r="X130" i="22"/>
  <c r="W130" i="22"/>
  <c r="AF130" i="22"/>
  <c r="AH129" i="22"/>
  <c r="AF129" i="22"/>
  <c r="AD129" i="22"/>
  <c r="X129" i="22"/>
  <c r="V129" i="22"/>
  <c r="W129" i="22"/>
  <c r="AH128" i="22"/>
  <c r="AF128" i="22"/>
  <c r="AD128" i="22"/>
  <c r="AB128" i="22"/>
  <c r="X128" i="22"/>
  <c r="V128" i="22"/>
  <c r="F121" i="23"/>
  <c r="J121" i="23"/>
  <c r="AC121" i="23"/>
  <c r="W128" i="22"/>
  <c r="AH127" i="22"/>
  <c r="AF127" i="22"/>
  <c r="AD127" i="22"/>
  <c r="AB127" i="22"/>
  <c r="X127" i="22"/>
  <c r="V127" i="22"/>
  <c r="F120" i="23"/>
  <c r="J120" i="23"/>
  <c r="AC120" i="23"/>
  <c r="AG127" i="22"/>
  <c r="AG126" i="22"/>
  <c r="AF126" i="22"/>
  <c r="AC126" i="22"/>
  <c r="AB126" i="22"/>
  <c r="W126" i="22"/>
  <c r="V126" i="22"/>
  <c r="AH126" i="22"/>
  <c r="AH125" i="22"/>
  <c r="AG125" i="22"/>
  <c r="AD125" i="22"/>
  <c r="AC125" i="22"/>
  <c r="X125" i="22"/>
  <c r="W125" i="22"/>
  <c r="F118" i="23"/>
  <c r="J118" i="23"/>
  <c r="AB118" i="23"/>
  <c r="AF125" i="22"/>
  <c r="AH124" i="22"/>
  <c r="AF124" i="22"/>
  <c r="AD124" i="22"/>
  <c r="AB124" i="22"/>
  <c r="X124" i="22"/>
  <c r="V124" i="22"/>
  <c r="F117" i="23"/>
  <c r="J117" i="23"/>
  <c r="AC117" i="23"/>
  <c r="AG124" i="22"/>
  <c r="AH123" i="22"/>
  <c r="AG123" i="22"/>
  <c r="AD123" i="22"/>
  <c r="AC123" i="22"/>
  <c r="X123" i="22"/>
  <c r="W123" i="22"/>
  <c r="Q123" i="22"/>
  <c r="T123" i="22"/>
  <c r="F116" i="23"/>
  <c r="J116" i="23"/>
  <c r="AB116" i="23"/>
  <c r="AF123" i="22"/>
  <c r="AH122" i="22"/>
  <c r="AG122" i="22"/>
  <c r="AD122" i="22"/>
  <c r="AC122" i="22"/>
  <c r="X122" i="22"/>
  <c r="W122" i="22"/>
  <c r="Q122" i="22"/>
  <c r="T122" i="22"/>
  <c r="F115" i="23"/>
  <c r="J115" i="23"/>
  <c r="AB115" i="23"/>
  <c r="V122" i="22"/>
  <c r="AH121" i="22"/>
  <c r="AF121" i="22"/>
  <c r="AD121" i="22"/>
  <c r="AB121" i="22"/>
  <c r="X121" i="22"/>
  <c r="V121" i="22"/>
  <c r="W121" i="22"/>
  <c r="AH120" i="22"/>
  <c r="AF120" i="22"/>
  <c r="AD120" i="22"/>
  <c r="AB120" i="22"/>
  <c r="X120" i="22"/>
  <c r="V120" i="22"/>
  <c r="Q120" i="22"/>
  <c r="T120" i="22"/>
  <c r="F113" i="23"/>
  <c r="J113" i="23"/>
  <c r="AC113" i="23"/>
  <c r="AG120" i="22"/>
  <c r="AH119" i="22"/>
  <c r="AG119" i="22"/>
  <c r="AD119" i="22"/>
  <c r="AC119" i="22"/>
  <c r="X119" i="22"/>
  <c r="W119" i="22"/>
  <c r="Q119" i="22"/>
  <c r="T119" i="22"/>
  <c r="F112" i="23"/>
  <c r="J112" i="23"/>
  <c r="AB112" i="23"/>
  <c r="AF119" i="22"/>
  <c r="AH118" i="22"/>
  <c r="AG118" i="22"/>
  <c r="AD118" i="22"/>
  <c r="AC118" i="22"/>
  <c r="X118" i="22"/>
  <c r="W118" i="22"/>
  <c r="Q118" i="22"/>
  <c r="T118" i="22"/>
  <c r="F111" i="23"/>
  <c r="J111" i="23"/>
  <c r="AB111" i="23"/>
  <c r="V118" i="22"/>
  <c r="AH117" i="22"/>
  <c r="AG117" i="22"/>
  <c r="AD117" i="22"/>
  <c r="AC117" i="22"/>
  <c r="X117" i="22"/>
  <c r="W117" i="22"/>
  <c r="Q117" i="22"/>
  <c r="T117" i="22"/>
  <c r="F110" i="23"/>
  <c r="J110" i="23"/>
  <c r="AB110" i="23"/>
  <c r="V117" i="22"/>
  <c r="AH116" i="22"/>
  <c r="AG116" i="22"/>
  <c r="AD116" i="22"/>
  <c r="AC116" i="22"/>
  <c r="X116" i="22"/>
  <c r="W116" i="22"/>
  <c r="Q116" i="22"/>
  <c r="T116" i="22"/>
  <c r="F109" i="23"/>
  <c r="J109" i="23"/>
  <c r="AB109" i="23"/>
  <c r="AF116" i="22"/>
  <c r="AH115" i="22"/>
  <c r="AG115" i="22"/>
  <c r="AD115" i="22"/>
  <c r="AC115" i="22"/>
  <c r="X115" i="22"/>
  <c r="W115" i="22"/>
  <c r="Q115" i="22"/>
  <c r="T115" i="22"/>
  <c r="F108" i="23"/>
  <c r="J108" i="23"/>
  <c r="AB108" i="23"/>
  <c r="V115" i="22"/>
  <c r="AH114" i="22"/>
  <c r="AG114" i="22"/>
  <c r="AD114" i="22"/>
  <c r="AC114" i="22"/>
  <c r="X114" i="22"/>
  <c r="W114" i="22"/>
  <c r="Q114" i="22"/>
  <c r="T114" i="22"/>
  <c r="F107" i="23"/>
  <c r="J107" i="23"/>
  <c r="AB107" i="23"/>
  <c r="AF114" i="22"/>
  <c r="AH113" i="22"/>
  <c r="AG113" i="22"/>
  <c r="AD113" i="22"/>
  <c r="AC113" i="22"/>
  <c r="X113" i="22"/>
  <c r="W113" i="22"/>
  <c r="Q113" i="22"/>
  <c r="T113" i="22"/>
  <c r="F106" i="23"/>
  <c r="J106" i="23"/>
  <c r="AB106" i="23"/>
  <c r="V113" i="22"/>
  <c r="AH112" i="22"/>
  <c r="AG112" i="22"/>
  <c r="AD112" i="22"/>
  <c r="AC112" i="22"/>
  <c r="X112" i="22"/>
  <c r="W112" i="22"/>
  <c r="AF112" i="22"/>
  <c r="AH111" i="22"/>
  <c r="AG111" i="22"/>
  <c r="AD111" i="22"/>
  <c r="AC111" i="22"/>
  <c r="X111" i="22"/>
  <c r="W111" i="22"/>
  <c r="Q111" i="22"/>
  <c r="T111" i="22"/>
  <c r="F104" i="23"/>
  <c r="J104" i="23"/>
  <c r="AB104" i="23"/>
  <c r="V111" i="22"/>
  <c r="AH110" i="22"/>
  <c r="AG110" i="22"/>
  <c r="AD110" i="22"/>
  <c r="AC110" i="22"/>
  <c r="X110" i="22"/>
  <c r="W110" i="22"/>
  <c r="Q110" i="22"/>
  <c r="T110" i="22"/>
  <c r="F103" i="23"/>
  <c r="J103" i="23"/>
  <c r="AB103" i="23"/>
  <c r="AF110" i="22"/>
  <c r="AH109" i="22"/>
  <c r="AG109" i="22"/>
  <c r="AD109" i="22"/>
  <c r="AC109" i="22"/>
  <c r="X109" i="22"/>
  <c r="W109" i="22"/>
  <c r="Q109" i="22"/>
  <c r="T109" i="22"/>
  <c r="F102" i="23"/>
  <c r="J102" i="23"/>
  <c r="AB102" i="23"/>
  <c r="V109" i="22"/>
  <c r="AH108" i="22"/>
  <c r="AG108" i="22"/>
  <c r="AD108" i="22"/>
  <c r="AC108" i="22"/>
  <c r="X108" i="22"/>
  <c r="W108" i="22"/>
  <c r="Q108" i="22"/>
  <c r="T108" i="22"/>
  <c r="F101" i="23"/>
  <c r="J101" i="23"/>
  <c r="AB101" i="23"/>
  <c r="AF108" i="22"/>
  <c r="AH107" i="22"/>
  <c r="AG107" i="22"/>
  <c r="AD107" i="22"/>
  <c r="AC107" i="22"/>
  <c r="X107" i="22"/>
  <c r="W107" i="22"/>
  <c r="Q107" i="22"/>
  <c r="T107" i="22"/>
  <c r="F100" i="23"/>
  <c r="J100" i="23"/>
  <c r="AB100" i="23"/>
  <c r="V107" i="22"/>
  <c r="AH106" i="22"/>
  <c r="AG106" i="22"/>
  <c r="AD106" i="22"/>
  <c r="AC106" i="22"/>
  <c r="X106" i="22"/>
  <c r="W106" i="22"/>
  <c r="Q106" i="22"/>
  <c r="T106" i="22"/>
  <c r="F99" i="23"/>
  <c r="J99" i="23"/>
  <c r="AB99" i="23"/>
  <c r="V106" i="22"/>
  <c r="AH105" i="22"/>
  <c r="AG105" i="22"/>
  <c r="AD105" i="22"/>
  <c r="AC105" i="22"/>
  <c r="X105" i="22"/>
  <c r="W105" i="22"/>
  <c r="Q105" i="22"/>
  <c r="T105" i="22"/>
  <c r="F98" i="23"/>
  <c r="J98" i="23"/>
  <c r="AB98" i="23"/>
  <c r="AF105" i="22"/>
  <c r="AH104" i="22"/>
  <c r="AG104" i="22"/>
  <c r="AD104" i="22"/>
  <c r="AC104" i="22"/>
  <c r="X104" i="22"/>
  <c r="W104" i="22"/>
  <c r="Q104" i="22"/>
  <c r="T104" i="22"/>
  <c r="F97" i="23"/>
  <c r="J97" i="23"/>
  <c r="AB97" i="23"/>
  <c r="V104" i="22"/>
  <c r="AH103" i="22"/>
  <c r="AG103" i="22"/>
  <c r="AD103" i="22"/>
  <c r="AC103" i="22"/>
  <c r="X103" i="22"/>
  <c r="W103" i="22"/>
  <c r="Q103" i="22"/>
  <c r="T103" i="22"/>
  <c r="F96" i="23"/>
  <c r="J96" i="23"/>
  <c r="AB96" i="23"/>
  <c r="AF103" i="22"/>
  <c r="AH102" i="22"/>
  <c r="AG102" i="22"/>
  <c r="AD102" i="22"/>
  <c r="AC102" i="22"/>
  <c r="X102" i="22"/>
  <c r="W102" i="22"/>
  <c r="Q102" i="22"/>
  <c r="T102" i="22"/>
  <c r="F95" i="23"/>
  <c r="J95" i="23"/>
  <c r="AB95" i="23"/>
  <c r="V102" i="22"/>
  <c r="AH101" i="22"/>
  <c r="AG101" i="22"/>
  <c r="AD101" i="22"/>
  <c r="AC101" i="22"/>
  <c r="X101" i="22"/>
  <c r="W101" i="22"/>
  <c r="Q101" i="22"/>
  <c r="T101" i="22"/>
  <c r="F94" i="23"/>
  <c r="J94" i="23"/>
  <c r="AB94" i="23"/>
  <c r="AF101" i="22"/>
  <c r="AH100" i="22"/>
  <c r="AG100" i="22"/>
  <c r="AD100" i="22"/>
  <c r="AC100" i="22"/>
  <c r="X100" i="22"/>
  <c r="W100" i="22"/>
  <c r="Q100" i="22"/>
  <c r="T100" i="22"/>
  <c r="F93" i="23"/>
  <c r="J93" i="23"/>
  <c r="AB93" i="23"/>
  <c r="V100" i="22"/>
  <c r="AH99" i="22"/>
  <c r="AF99" i="22"/>
  <c r="AD99" i="22"/>
  <c r="AB99" i="22"/>
  <c r="X99" i="22"/>
  <c r="V99" i="22"/>
  <c r="Q99" i="22"/>
  <c r="T99" i="22"/>
  <c r="F92" i="23"/>
  <c r="J92" i="23"/>
  <c r="AC92" i="23"/>
  <c r="W99" i="22"/>
  <c r="AH98" i="22"/>
  <c r="AF98" i="22"/>
  <c r="AD98" i="22"/>
  <c r="AB98" i="22"/>
  <c r="X98" i="22"/>
  <c r="V98" i="22"/>
  <c r="Q98" i="22"/>
  <c r="T98" i="22"/>
  <c r="F91" i="23"/>
  <c r="J91" i="23"/>
  <c r="AC91" i="23"/>
  <c r="W98" i="22"/>
  <c r="AH97" i="22"/>
  <c r="AF97" i="22"/>
  <c r="AD97" i="22"/>
  <c r="AB97" i="22"/>
  <c r="X97" i="22"/>
  <c r="V97" i="22"/>
  <c r="Q97" i="22"/>
  <c r="T97" i="22"/>
  <c r="F90" i="23"/>
  <c r="J90" i="23"/>
  <c r="AC90" i="23"/>
  <c r="AG97" i="22"/>
  <c r="AH96" i="22"/>
  <c r="AG96" i="22"/>
  <c r="AD96" i="22"/>
  <c r="AC96" i="22"/>
  <c r="X96" i="22"/>
  <c r="W96" i="22"/>
  <c r="Q96" i="22"/>
  <c r="T96" i="22"/>
  <c r="F89" i="23"/>
  <c r="J89" i="23"/>
  <c r="AB89" i="23"/>
  <c r="AF96" i="22"/>
  <c r="AH95" i="22"/>
  <c r="AF95" i="22"/>
  <c r="AD95" i="22"/>
  <c r="AB95" i="22"/>
  <c r="X95" i="22"/>
  <c r="V95" i="22"/>
  <c r="Q95" i="22"/>
  <c r="T95" i="22"/>
  <c r="F88" i="23"/>
  <c r="J88" i="23"/>
  <c r="AC88" i="23"/>
  <c r="AG95" i="22"/>
  <c r="AH94" i="22"/>
  <c r="AF94" i="22"/>
  <c r="AD94" i="22"/>
  <c r="AB94" i="22"/>
  <c r="X94" i="22"/>
  <c r="V94" i="22"/>
  <c r="Q94" i="22"/>
  <c r="T94" i="22"/>
  <c r="F87" i="23"/>
  <c r="J87" i="23"/>
  <c r="AC87" i="23"/>
  <c r="W94" i="22"/>
  <c r="AG93" i="22"/>
  <c r="AF93" i="22"/>
  <c r="AC93" i="22"/>
  <c r="AB93" i="22"/>
  <c r="W93" i="22"/>
  <c r="V93" i="22"/>
  <c r="Q93" i="22"/>
  <c r="T93" i="22"/>
  <c r="F86" i="23"/>
  <c r="J86" i="23"/>
  <c r="AD86" i="23"/>
  <c r="X93" i="22"/>
  <c r="AG92" i="22"/>
  <c r="AF92" i="22"/>
  <c r="AC92" i="22"/>
  <c r="AB92" i="22"/>
  <c r="W92" i="22"/>
  <c r="V92" i="22"/>
  <c r="Q92" i="22"/>
  <c r="T92" i="22"/>
  <c r="F85" i="23"/>
  <c r="J85" i="23"/>
  <c r="AD85" i="23"/>
  <c r="AH92" i="22"/>
  <c r="AH91" i="22"/>
  <c r="AG91" i="22"/>
  <c r="AD91" i="22"/>
  <c r="AC91" i="22"/>
  <c r="X91" i="22"/>
  <c r="W91" i="22"/>
  <c r="Q91" i="22"/>
  <c r="T91" i="22"/>
  <c r="F84" i="23"/>
  <c r="J84" i="23"/>
  <c r="AB84" i="23"/>
  <c r="V91" i="22"/>
  <c r="AH90" i="22"/>
  <c r="AG90" i="22"/>
  <c r="AD90" i="22"/>
  <c r="AC90" i="22"/>
  <c r="X90" i="22"/>
  <c r="W90" i="22"/>
  <c r="Q90" i="22"/>
  <c r="T90" i="22"/>
  <c r="F83" i="23"/>
  <c r="J83" i="23"/>
  <c r="AB83" i="23"/>
  <c r="AF90" i="22"/>
  <c r="AH89" i="22"/>
  <c r="AG89" i="22"/>
  <c r="AD89" i="22"/>
  <c r="AC89" i="22"/>
  <c r="X89" i="22"/>
  <c r="W89" i="22"/>
  <c r="Q89" i="22"/>
  <c r="T89" i="22"/>
  <c r="F82" i="23"/>
  <c r="J82" i="23"/>
  <c r="AB82" i="23"/>
  <c r="V89" i="22"/>
  <c r="AH88" i="22"/>
  <c r="AG88" i="22"/>
  <c r="AD88" i="22"/>
  <c r="AC88" i="22"/>
  <c r="X88" i="22"/>
  <c r="W88" i="22"/>
  <c r="Q88" i="22"/>
  <c r="T88" i="22"/>
  <c r="F81" i="23"/>
  <c r="J81" i="23"/>
  <c r="AB81" i="23"/>
  <c r="AF88" i="22"/>
  <c r="AH87" i="22"/>
  <c r="AG87" i="22"/>
  <c r="AD87" i="22"/>
  <c r="AC87" i="22"/>
  <c r="X87" i="22"/>
  <c r="W87" i="22"/>
  <c r="Q87" i="22"/>
  <c r="T87" i="22"/>
  <c r="F80" i="23"/>
  <c r="J80" i="23"/>
  <c r="AB80" i="23"/>
  <c r="V87" i="22"/>
  <c r="AH86" i="22"/>
  <c r="AG86" i="22"/>
  <c r="AD86" i="22"/>
  <c r="AC86" i="22"/>
  <c r="X86" i="22"/>
  <c r="W86" i="22"/>
  <c r="Q86" i="22"/>
  <c r="T86" i="22"/>
  <c r="F79" i="23"/>
  <c r="J79" i="23"/>
  <c r="AB79" i="23"/>
  <c r="AF86" i="22"/>
  <c r="AH85" i="22"/>
  <c r="AF85" i="22"/>
  <c r="AD85" i="22"/>
  <c r="AB85" i="22"/>
  <c r="X85" i="22"/>
  <c r="V85" i="22"/>
  <c r="Q85" i="22"/>
  <c r="T85" i="22"/>
  <c r="F78" i="23"/>
  <c r="J78" i="23"/>
  <c r="AC78" i="23"/>
  <c r="AG85" i="22"/>
  <c r="AH84" i="22"/>
  <c r="AF84" i="22"/>
  <c r="AD84" i="22"/>
  <c r="AB84" i="22"/>
  <c r="X84" i="22"/>
  <c r="V84" i="22"/>
  <c r="Q84" i="22"/>
  <c r="T84" i="22"/>
  <c r="F77" i="23"/>
  <c r="J77" i="23"/>
  <c r="AC77" i="23"/>
  <c r="W84" i="22"/>
  <c r="AH83" i="22"/>
  <c r="AF83" i="22"/>
  <c r="AD83" i="22"/>
  <c r="AB83" i="22"/>
  <c r="X83" i="22"/>
  <c r="V83" i="22"/>
  <c r="Q83" i="22"/>
  <c r="T83" i="22"/>
  <c r="F76" i="23"/>
  <c r="J76" i="23"/>
  <c r="AC76" i="23"/>
  <c r="AG83" i="22"/>
  <c r="AH82" i="22"/>
  <c r="AG82" i="22"/>
  <c r="AD82" i="22"/>
  <c r="AC82" i="22"/>
  <c r="X82" i="22"/>
  <c r="W82" i="22"/>
  <c r="AF82" i="22"/>
  <c r="AH81" i="22"/>
  <c r="AF81" i="22"/>
  <c r="AD81" i="22"/>
  <c r="AB81" i="22"/>
  <c r="X81" i="22"/>
  <c r="V81" i="22"/>
  <c r="Q81" i="22"/>
  <c r="T81" i="22"/>
  <c r="F74" i="23"/>
  <c r="J74" i="23"/>
  <c r="AC74" i="23"/>
  <c r="AG81" i="22"/>
  <c r="AH80" i="22"/>
  <c r="AF80" i="22"/>
  <c r="AD80" i="22"/>
  <c r="AB80" i="22"/>
  <c r="X80" i="22"/>
  <c r="V80" i="22"/>
  <c r="Q80" i="22"/>
  <c r="T80" i="22"/>
  <c r="F73" i="23"/>
  <c r="J73" i="23"/>
  <c r="AC73" i="23"/>
  <c r="W80" i="22"/>
  <c r="AH79" i="22"/>
  <c r="AG79" i="22"/>
  <c r="AD79" i="22"/>
  <c r="AC79" i="22"/>
  <c r="X79" i="22"/>
  <c r="W79" i="22"/>
  <c r="Q79" i="22"/>
  <c r="T79" i="22"/>
  <c r="F72" i="23"/>
  <c r="J72" i="23"/>
  <c r="AB72" i="23"/>
  <c r="V79" i="22"/>
  <c r="AH78" i="22"/>
  <c r="AG78" i="22"/>
  <c r="AD78" i="22"/>
  <c r="AC78" i="22"/>
  <c r="X78" i="22"/>
  <c r="W78" i="22"/>
  <c r="Q78" i="22"/>
  <c r="T78" i="22"/>
  <c r="F71" i="23"/>
  <c r="J71" i="23"/>
  <c r="AB71" i="23"/>
  <c r="AF78" i="22"/>
  <c r="AH77" i="22"/>
  <c r="AF77" i="22"/>
  <c r="AD77" i="22"/>
  <c r="AB77" i="22"/>
  <c r="X77" i="22"/>
  <c r="V77" i="22"/>
  <c r="Q77" i="22"/>
  <c r="T77" i="22"/>
  <c r="F70" i="23"/>
  <c r="J70" i="23"/>
  <c r="AC70" i="23"/>
  <c r="AG77" i="22"/>
  <c r="AH76" i="22"/>
  <c r="AG76" i="22"/>
  <c r="AD76" i="22"/>
  <c r="AC76" i="22"/>
  <c r="X76" i="22"/>
  <c r="W76" i="22"/>
  <c r="Q76" i="22"/>
  <c r="T76" i="22"/>
  <c r="F69" i="23"/>
  <c r="J69" i="23"/>
  <c r="AB69" i="23"/>
  <c r="AF76" i="22"/>
  <c r="AH75" i="22"/>
  <c r="AG75" i="22"/>
  <c r="AD75" i="22"/>
  <c r="AC75" i="22"/>
  <c r="X75" i="22"/>
  <c r="W75" i="22"/>
  <c r="V75" i="22"/>
  <c r="AH74" i="22"/>
  <c r="AG74" i="22"/>
  <c r="AD74" i="22"/>
  <c r="AC74" i="22"/>
  <c r="X74" i="22"/>
  <c r="W74" i="22"/>
  <c r="Q74" i="22"/>
  <c r="T74" i="22"/>
  <c r="F67" i="23"/>
  <c r="J67" i="23"/>
  <c r="AB67" i="23"/>
  <c r="AF74" i="22"/>
  <c r="AH73" i="22"/>
  <c r="AG73" i="22"/>
  <c r="AD73" i="22"/>
  <c r="AC73" i="22"/>
  <c r="X73" i="22"/>
  <c r="W73" i="22"/>
  <c r="V73" i="22"/>
  <c r="AH72" i="22"/>
  <c r="AG72" i="22"/>
  <c r="AD72" i="22"/>
  <c r="AC72" i="22"/>
  <c r="X72" i="22"/>
  <c r="W72" i="22"/>
  <c r="Q72" i="22"/>
  <c r="T72" i="22"/>
  <c r="F65" i="23"/>
  <c r="J65" i="23"/>
  <c r="AB65" i="23"/>
  <c r="AF72" i="22"/>
  <c r="AH71" i="22"/>
  <c r="AG71" i="22"/>
  <c r="AD71" i="22"/>
  <c r="AC71" i="22"/>
  <c r="X71" i="22"/>
  <c r="W71" i="22"/>
  <c r="Q71" i="22"/>
  <c r="T71" i="22"/>
  <c r="F64" i="23"/>
  <c r="J64" i="23"/>
  <c r="AB64" i="23"/>
  <c r="V71" i="22"/>
  <c r="AH70" i="22"/>
  <c r="AG70" i="22"/>
  <c r="AD70" i="22"/>
  <c r="AC70" i="22"/>
  <c r="X70" i="22"/>
  <c r="W70" i="22"/>
  <c r="Q70" i="22"/>
  <c r="T70" i="22"/>
  <c r="F63" i="23"/>
  <c r="J63" i="23"/>
  <c r="AB63" i="23"/>
  <c r="AF70" i="22"/>
  <c r="AH69" i="22"/>
  <c r="AG69" i="22"/>
  <c r="AD69" i="22"/>
  <c r="AC69" i="22"/>
  <c r="X69" i="22"/>
  <c r="W69" i="22"/>
  <c r="Q69" i="22"/>
  <c r="T69" i="22"/>
  <c r="F62" i="23"/>
  <c r="J62" i="23"/>
  <c r="AB62" i="23"/>
  <c r="V69" i="22"/>
  <c r="AH68" i="22"/>
  <c r="AG68" i="22"/>
  <c r="AD68" i="22"/>
  <c r="AC68" i="22"/>
  <c r="X68" i="22"/>
  <c r="W68" i="22"/>
  <c r="Q68" i="22"/>
  <c r="T68" i="22"/>
  <c r="F61" i="23"/>
  <c r="J61" i="23"/>
  <c r="AB61" i="23"/>
  <c r="AF68" i="22"/>
  <c r="AH67" i="22"/>
  <c r="AG67" i="22"/>
  <c r="AD67" i="22"/>
  <c r="AC67" i="22"/>
  <c r="X67" i="22"/>
  <c r="W67" i="22"/>
  <c r="Q67" i="22"/>
  <c r="T67" i="22"/>
  <c r="F60" i="23"/>
  <c r="J60" i="23"/>
  <c r="AB60" i="23"/>
  <c r="V67" i="22"/>
  <c r="AH66" i="22"/>
  <c r="AG66" i="22"/>
  <c r="AD66" i="22"/>
  <c r="AC66" i="22"/>
  <c r="X66" i="22"/>
  <c r="W66" i="22"/>
  <c r="Q66" i="22"/>
  <c r="AF66" i="22"/>
  <c r="AH65" i="22"/>
  <c r="AG65" i="22"/>
  <c r="AD65" i="22"/>
  <c r="AC65" i="22"/>
  <c r="X65" i="22"/>
  <c r="W65" i="22"/>
  <c r="Q65" i="22"/>
  <c r="T65" i="22"/>
  <c r="AF65" i="22"/>
  <c r="AH64" i="22"/>
  <c r="AG64" i="22"/>
  <c r="AD64" i="22"/>
  <c r="AC64" i="22"/>
  <c r="X64" i="22"/>
  <c r="W64" i="22"/>
  <c r="Q64" i="22"/>
  <c r="T64" i="22"/>
  <c r="V64" i="22"/>
  <c r="AH63" i="22"/>
  <c r="AG63" i="22"/>
  <c r="AD63" i="22"/>
  <c r="AC63" i="22"/>
  <c r="X63" i="22"/>
  <c r="W63" i="22"/>
  <c r="Q63" i="22"/>
  <c r="T63" i="22"/>
  <c r="AF63" i="22"/>
  <c r="AH62" i="22"/>
  <c r="AG62" i="22"/>
  <c r="AD62" i="22"/>
  <c r="AC62" i="22"/>
  <c r="X62" i="22"/>
  <c r="W62" i="22"/>
  <c r="Q62" i="22"/>
  <c r="T62" i="22"/>
  <c r="V62" i="22"/>
  <c r="AH61" i="22"/>
  <c r="AG61" i="22"/>
  <c r="AD61" i="22"/>
  <c r="AC61" i="22"/>
  <c r="X61" i="22"/>
  <c r="W61" i="22"/>
  <c r="Q61" i="22"/>
  <c r="T61" i="22"/>
  <c r="AF61" i="22"/>
  <c r="AH60" i="22"/>
  <c r="AG60" i="22"/>
  <c r="AD60" i="22"/>
  <c r="AC60" i="22"/>
  <c r="X60" i="22"/>
  <c r="W60" i="22"/>
  <c r="Q60" i="22"/>
  <c r="V60" i="22"/>
  <c r="AG59" i="22"/>
  <c r="AF59" i="22"/>
  <c r="AC59" i="22"/>
  <c r="AB59" i="22"/>
  <c r="W59" i="22"/>
  <c r="V59" i="22"/>
  <c r="Q59" i="22"/>
  <c r="T59" i="22"/>
  <c r="F58" i="23"/>
  <c r="J58" i="23"/>
  <c r="AD58" i="23"/>
  <c r="X59" i="22"/>
  <c r="AH58" i="22"/>
  <c r="AF58" i="22"/>
  <c r="AD58" i="22"/>
  <c r="AB58" i="22"/>
  <c r="X58" i="22"/>
  <c r="V58" i="22"/>
  <c r="Q58" i="22"/>
  <c r="T58" i="22"/>
  <c r="F57" i="23"/>
  <c r="J57" i="23"/>
  <c r="AC57" i="23"/>
  <c r="W58" i="22"/>
  <c r="AH57" i="22"/>
  <c r="AF57" i="22"/>
  <c r="AD57" i="22"/>
  <c r="AB57" i="22"/>
  <c r="X57" i="22"/>
  <c r="V57" i="22"/>
  <c r="Q57" i="22"/>
  <c r="T57" i="22"/>
  <c r="F56" i="23"/>
  <c r="J56" i="23"/>
  <c r="AC56" i="23"/>
  <c r="AG57" i="22"/>
  <c r="AG56" i="22"/>
  <c r="AF56" i="22"/>
  <c r="AC56" i="22"/>
  <c r="AB56" i="22"/>
  <c r="W56" i="22"/>
  <c r="V56" i="22"/>
  <c r="Q56" i="22"/>
  <c r="T56" i="22"/>
  <c r="F55" i="23"/>
  <c r="J55" i="23"/>
  <c r="AD55" i="23"/>
  <c r="AH56" i="22"/>
  <c r="AH55" i="22"/>
  <c r="AF55" i="22"/>
  <c r="AD55" i="22"/>
  <c r="AB55" i="22"/>
  <c r="X55" i="22"/>
  <c r="V55" i="22"/>
  <c r="Q55" i="22"/>
  <c r="T55" i="22"/>
  <c r="F54" i="23"/>
  <c r="J54" i="23"/>
  <c r="AC54" i="23"/>
  <c r="AG55" i="22"/>
  <c r="AH54" i="22"/>
  <c r="AF54" i="22"/>
  <c r="AD54" i="22"/>
  <c r="AB54" i="22"/>
  <c r="X54" i="22"/>
  <c r="V54" i="22"/>
  <c r="Q54" i="22"/>
  <c r="T54" i="22"/>
  <c r="F53" i="23"/>
  <c r="J53" i="23"/>
  <c r="AC53" i="23"/>
  <c r="W54" i="22"/>
  <c r="AH53" i="22"/>
  <c r="AF53" i="22"/>
  <c r="AD53" i="22"/>
  <c r="AB53" i="22"/>
  <c r="X53" i="22"/>
  <c r="V53" i="22"/>
  <c r="Q53" i="22"/>
  <c r="T53" i="22"/>
  <c r="F52" i="23"/>
  <c r="J52" i="23"/>
  <c r="AC52" i="23"/>
  <c r="AG53" i="22"/>
  <c r="AH52" i="22"/>
  <c r="AF52" i="22"/>
  <c r="AD52" i="22"/>
  <c r="AB52" i="22"/>
  <c r="X52" i="22"/>
  <c r="V52" i="22"/>
  <c r="Q52" i="22"/>
  <c r="T52" i="22"/>
  <c r="F51" i="23"/>
  <c r="J51" i="23"/>
  <c r="AC51" i="23"/>
  <c r="W52" i="22"/>
  <c r="AH51" i="22"/>
  <c r="AF51" i="22"/>
  <c r="AD51" i="22"/>
  <c r="AB51" i="22"/>
  <c r="X51" i="22"/>
  <c r="V51" i="22"/>
  <c r="Q51" i="22"/>
  <c r="T51" i="22"/>
  <c r="F50" i="23"/>
  <c r="J50" i="23"/>
  <c r="AC50" i="23"/>
  <c r="AG51" i="22"/>
  <c r="AH50" i="22"/>
  <c r="AG50" i="22"/>
  <c r="AD50" i="22"/>
  <c r="AC50" i="22"/>
  <c r="X50" i="22"/>
  <c r="W50" i="22"/>
  <c r="Q50" i="22"/>
  <c r="T50" i="22"/>
  <c r="F49" i="23"/>
  <c r="J49" i="23"/>
  <c r="AB49" i="23"/>
  <c r="AF50" i="22"/>
  <c r="AH49" i="22"/>
  <c r="AG49" i="22"/>
  <c r="AD49" i="22"/>
  <c r="AC49" i="22"/>
  <c r="X49" i="22"/>
  <c r="W49" i="22"/>
  <c r="Q49" i="22"/>
  <c r="T49" i="22"/>
  <c r="F48" i="23"/>
  <c r="J48" i="23"/>
  <c r="AB48" i="23"/>
  <c r="V49" i="22"/>
  <c r="AH48" i="22"/>
  <c r="AG48" i="22"/>
  <c r="AD48" i="22"/>
  <c r="AC48" i="22"/>
  <c r="X48" i="22"/>
  <c r="W48" i="22"/>
  <c r="Q48" i="22"/>
  <c r="T48" i="22"/>
  <c r="F47" i="23"/>
  <c r="J47" i="23"/>
  <c r="AB47" i="23"/>
  <c r="AF48" i="22"/>
  <c r="AH47" i="22"/>
  <c r="AF47" i="22"/>
  <c r="AD47" i="22"/>
  <c r="AB47" i="22"/>
  <c r="X47" i="22"/>
  <c r="V47" i="22"/>
  <c r="Q47" i="22"/>
  <c r="T47" i="22"/>
  <c r="F46" i="23"/>
  <c r="J46" i="23"/>
  <c r="AC46" i="23"/>
  <c r="AG47" i="22"/>
  <c r="AH46" i="22"/>
  <c r="AG46" i="22"/>
  <c r="AD46" i="22"/>
  <c r="AC46" i="22"/>
  <c r="X46" i="22"/>
  <c r="W46" i="22"/>
  <c r="Q46" i="22"/>
  <c r="T46" i="22"/>
  <c r="F45" i="23"/>
  <c r="J45" i="23"/>
  <c r="AB45" i="23"/>
  <c r="AF46" i="22"/>
  <c r="AH45" i="22"/>
  <c r="AG45" i="22"/>
  <c r="AD45" i="22"/>
  <c r="AC45" i="22"/>
  <c r="X45" i="22"/>
  <c r="W45" i="22"/>
  <c r="Q45" i="22"/>
  <c r="T45" i="22"/>
  <c r="F44" i="23"/>
  <c r="J44" i="23"/>
  <c r="AB44" i="23"/>
  <c r="V45" i="22"/>
  <c r="AH44" i="22"/>
  <c r="AF44" i="22"/>
  <c r="AD44" i="22"/>
  <c r="AB44" i="22"/>
  <c r="X44" i="22"/>
  <c r="V44" i="22"/>
  <c r="Q44" i="22"/>
  <c r="T44" i="22"/>
  <c r="F43" i="23"/>
  <c r="J43" i="23"/>
  <c r="AC43" i="23"/>
  <c r="W44" i="22"/>
  <c r="AH43" i="22"/>
  <c r="AG43" i="22"/>
  <c r="AD43" i="22"/>
  <c r="AC43" i="22"/>
  <c r="X43" i="22"/>
  <c r="W43" i="22"/>
  <c r="Q43" i="22"/>
  <c r="V43" i="22"/>
  <c r="AG42" i="22"/>
  <c r="AF42" i="22"/>
  <c r="AC42" i="22"/>
  <c r="AB42" i="22"/>
  <c r="W42" i="22"/>
  <c r="V42" i="22"/>
  <c r="Q42" i="22"/>
  <c r="T42" i="22"/>
  <c r="F40" i="23"/>
  <c r="J40" i="23"/>
  <c r="AD40" i="23"/>
  <c r="X42" i="22"/>
  <c r="AH41" i="22"/>
  <c r="AG41" i="22"/>
  <c r="AD41" i="22"/>
  <c r="AC41" i="22"/>
  <c r="X41" i="22"/>
  <c r="W41" i="22"/>
  <c r="Q41" i="22"/>
  <c r="T41" i="22"/>
  <c r="F39" i="23"/>
  <c r="J39" i="23"/>
  <c r="AB39" i="23"/>
  <c r="AF41" i="22"/>
  <c r="AH40" i="22"/>
  <c r="AG40" i="22"/>
  <c r="AD40" i="22"/>
  <c r="AC40" i="22"/>
  <c r="X40" i="22"/>
  <c r="W40" i="22"/>
  <c r="Q40" i="22"/>
  <c r="T40" i="22"/>
  <c r="F38" i="23"/>
  <c r="J38" i="23"/>
  <c r="AB38" i="23"/>
  <c r="V40" i="22"/>
  <c r="AH39" i="22"/>
  <c r="AG39" i="22"/>
  <c r="AD39" i="22"/>
  <c r="AC39" i="22"/>
  <c r="X39" i="22"/>
  <c r="W39" i="22"/>
  <c r="Q39" i="22"/>
  <c r="T39" i="22"/>
  <c r="F37" i="23"/>
  <c r="J37" i="23"/>
  <c r="AB37" i="23"/>
  <c r="AF39" i="22"/>
  <c r="AH38" i="22"/>
  <c r="AG38" i="22"/>
  <c r="AD38" i="22"/>
  <c r="AC38" i="22"/>
  <c r="X38" i="22"/>
  <c r="W38" i="22"/>
  <c r="Q38" i="22"/>
  <c r="T38" i="22"/>
  <c r="F36" i="23"/>
  <c r="J36" i="23"/>
  <c r="AB36" i="23"/>
  <c r="V38" i="22"/>
  <c r="AH37" i="22"/>
  <c r="AG37" i="22"/>
  <c r="AD37" i="22"/>
  <c r="AC37" i="22"/>
  <c r="X37" i="22"/>
  <c r="W37" i="22"/>
  <c r="Q37" i="22"/>
  <c r="T37" i="22"/>
  <c r="F35" i="23"/>
  <c r="J35" i="23"/>
  <c r="AB35" i="23"/>
  <c r="AF37" i="22"/>
  <c r="AH36" i="22"/>
  <c r="AG36" i="22"/>
  <c r="AD36" i="22"/>
  <c r="AC36" i="22"/>
  <c r="X36" i="22"/>
  <c r="W36" i="22"/>
  <c r="Q36" i="22"/>
  <c r="T36" i="22"/>
  <c r="F34" i="23"/>
  <c r="J34" i="23"/>
  <c r="AB34" i="23"/>
  <c r="V36" i="22"/>
  <c r="AH35" i="22"/>
  <c r="AG35" i="22"/>
  <c r="AD35" i="22"/>
  <c r="AC35" i="22"/>
  <c r="X35" i="22"/>
  <c r="W35" i="22"/>
  <c r="Q35" i="22"/>
  <c r="T35" i="22"/>
  <c r="F33" i="23"/>
  <c r="J33" i="23"/>
  <c r="AB33" i="23"/>
  <c r="AF35" i="22"/>
  <c r="AH34" i="22"/>
  <c r="AG34" i="22"/>
  <c r="AD34" i="22"/>
  <c r="AC34" i="22"/>
  <c r="X34" i="22"/>
  <c r="W34" i="22"/>
  <c r="Q34" i="22"/>
  <c r="T34" i="22"/>
  <c r="F32" i="23"/>
  <c r="J32" i="23"/>
  <c r="AB32" i="23"/>
  <c r="V34" i="22"/>
  <c r="AH33" i="22"/>
  <c r="AG33" i="22"/>
  <c r="AD33" i="22"/>
  <c r="AC33" i="22"/>
  <c r="X33" i="22"/>
  <c r="W33" i="22"/>
  <c r="Q33" i="22"/>
  <c r="T33" i="22"/>
  <c r="F31" i="23"/>
  <c r="J31" i="23"/>
  <c r="AB31" i="23"/>
  <c r="AF33" i="22"/>
  <c r="AH32" i="22"/>
  <c r="AG32" i="22"/>
  <c r="AD32" i="22"/>
  <c r="AC32" i="22"/>
  <c r="X32" i="22"/>
  <c r="W32" i="22"/>
  <c r="Q32" i="22"/>
  <c r="T32" i="22"/>
  <c r="F30" i="23"/>
  <c r="J30" i="23"/>
  <c r="AB30" i="23"/>
  <c r="V32" i="22"/>
  <c r="AH31" i="22"/>
  <c r="AG31" i="22"/>
  <c r="AD31" i="22"/>
  <c r="AC31" i="22"/>
  <c r="X31" i="22"/>
  <c r="W31" i="22"/>
  <c r="Q31" i="22"/>
  <c r="T31" i="22"/>
  <c r="F29" i="23"/>
  <c r="J29" i="23"/>
  <c r="AB29" i="23"/>
  <c r="AF31" i="22"/>
  <c r="AH30" i="22"/>
  <c r="AF30" i="22"/>
  <c r="AD30" i="22"/>
  <c r="AB30" i="22"/>
  <c r="X30" i="22"/>
  <c r="V30" i="22"/>
  <c r="Q30" i="22"/>
  <c r="T30" i="22"/>
  <c r="F28" i="23"/>
  <c r="J28" i="23"/>
  <c r="AC28" i="23"/>
  <c r="AG30" i="22"/>
  <c r="AH29" i="22"/>
  <c r="AG29" i="22"/>
  <c r="AD29" i="22"/>
  <c r="AC29" i="22"/>
  <c r="X29" i="22"/>
  <c r="W29" i="22"/>
  <c r="Q29" i="22"/>
  <c r="T29" i="22"/>
  <c r="F27" i="23"/>
  <c r="J27" i="23"/>
  <c r="AB27" i="23"/>
  <c r="AF29" i="22"/>
  <c r="AH28" i="22"/>
  <c r="AG28" i="22"/>
  <c r="AD28" i="22"/>
  <c r="AC28" i="22"/>
  <c r="X28" i="22"/>
  <c r="W28" i="22"/>
  <c r="Q28" i="22"/>
  <c r="T28" i="22"/>
  <c r="F26" i="23"/>
  <c r="J26" i="23"/>
  <c r="AB26" i="23"/>
  <c r="V28" i="22"/>
  <c r="AH27" i="22"/>
  <c r="AG27" i="22"/>
  <c r="AD27" i="22"/>
  <c r="AC27" i="22"/>
  <c r="X27" i="22"/>
  <c r="W27" i="22"/>
  <c r="Q27" i="22"/>
  <c r="T27" i="22"/>
  <c r="F25" i="23"/>
  <c r="J25" i="23"/>
  <c r="AB25" i="23"/>
  <c r="AF27" i="22"/>
  <c r="AH26" i="22"/>
  <c r="AF26" i="22"/>
  <c r="AD26" i="22"/>
  <c r="AB26" i="22"/>
  <c r="X26" i="22"/>
  <c r="V26" i="22"/>
  <c r="Q26" i="22"/>
  <c r="T26" i="22"/>
  <c r="AG26" i="22"/>
  <c r="AH25" i="22"/>
  <c r="AF25" i="22"/>
  <c r="AD25" i="22"/>
  <c r="AB25" i="22"/>
  <c r="X25" i="22"/>
  <c r="V25" i="22"/>
  <c r="Q25" i="22"/>
  <c r="T25" i="22"/>
  <c r="W25" i="22"/>
  <c r="AH24" i="22"/>
  <c r="AF24" i="22"/>
  <c r="AD24" i="22"/>
  <c r="AB24" i="22"/>
  <c r="X24" i="22"/>
  <c r="V24" i="22"/>
  <c r="Q24" i="22"/>
  <c r="T24" i="22"/>
  <c r="F24" i="23"/>
  <c r="J24" i="23"/>
  <c r="AC24" i="23"/>
  <c r="AG24" i="22"/>
  <c r="AH23" i="22"/>
  <c r="AG23" i="22"/>
  <c r="AD23" i="22"/>
  <c r="AC23" i="22"/>
  <c r="X23" i="22"/>
  <c r="W23" i="22"/>
  <c r="Q23" i="22"/>
  <c r="T23" i="22"/>
  <c r="F23" i="23"/>
  <c r="J23" i="23"/>
  <c r="AB23" i="23"/>
  <c r="AF23" i="22"/>
  <c r="AH22" i="22"/>
  <c r="AG22" i="22"/>
  <c r="AD22" i="22"/>
  <c r="AC22" i="22"/>
  <c r="X22" i="22"/>
  <c r="W22" i="22"/>
  <c r="Q22" i="22"/>
  <c r="T22" i="22"/>
  <c r="F22" i="23"/>
  <c r="J22" i="23"/>
  <c r="AB22" i="23"/>
  <c r="V22" i="22"/>
  <c r="AH21" i="22"/>
  <c r="AG21" i="22"/>
  <c r="AD21" i="22"/>
  <c r="AC21" i="22"/>
  <c r="X21" i="22"/>
  <c r="W21" i="22"/>
  <c r="Q21" i="22"/>
  <c r="T21" i="22"/>
  <c r="F21" i="23"/>
  <c r="J21" i="23"/>
  <c r="AB21" i="23"/>
  <c r="AF21" i="22"/>
  <c r="AH20" i="22"/>
  <c r="AF20" i="22"/>
  <c r="AD20" i="22"/>
  <c r="AB20" i="22"/>
  <c r="X20" i="22"/>
  <c r="V20" i="22"/>
  <c r="Q20" i="22"/>
  <c r="T20" i="22"/>
  <c r="F20" i="23"/>
  <c r="J20" i="23"/>
  <c r="AC20" i="23"/>
  <c r="AG20" i="22"/>
  <c r="AH19" i="22"/>
  <c r="AF19" i="22"/>
  <c r="AD19" i="22"/>
  <c r="AB19" i="22"/>
  <c r="X19" i="22"/>
  <c r="V19" i="22"/>
  <c r="Q19" i="22"/>
  <c r="T19" i="22"/>
  <c r="F19" i="23"/>
  <c r="J19" i="23"/>
  <c r="AC19" i="23"/>
  <c r="AG19" i="22"/>
  <c r="AH18" i="22"/>
  <c r="AF18" i="22"/>
  <c r="AD18" i="22"/>
  <c r="AB18" i="22"/>
  <c r="X18" i="22"/>
  <c r="V18" i="22"/>
  <c r="Q18" i="22"/>
  <c r="T18" i="22"/>
  <c r="F18" i="23"/>
  <c r="J18" i="23"/>
  <c r="AC18" i="23"/>
  <c r="W18" i="22"/>
  <c r="AH17" i="22"/>
  <c r="AG17" i="22"/>
  <c r="AD17" i="22"/>
  <c r="AC17" i="22"/>
  <c r="X17" i="22"/>
  <c r="W17" i="22"/>
  <c r="Q17" i="22"/>
  <c r="T17" i="22"/>
  <c r="F17" i="23"/>
  <c r="J17" i="23"/>
  <c r="AB17" i="23"/>
  <c r="V17" i="22"/>
  <c r="AH16" i="22"/>
  <c r="AF16" i="22"/>
  <c r="AD16" i="22"/>
  <c r="AB16" i="22"/>
  <c r="X16" i="22"/>
  <c r="V16" i="22"/>
  <c r="Q16" i="22"/>
  <c r="T16" i="22"/>
  <c r="F16" i="23"/>
  <c r="J16" i="23"/>
  <c r="AC16" i="23"/>
  <c r="W16" i="22"/>
  <c r="AD202" i="23"/>
  <c r="T60" i="22"/>
  <c r="F59" i="23"/>
  <c r="J59" i="23"/>
  <c r="AB59" i="23"/>
  <c r="F173" i="23"/>
  <c r="J173" i="23"/>
  <c r="AD173" i="23"/>
  <c r="F172" i="23"/>
  <c r="J172" i="23"/>
  <c r="AC172" i="23"/>
  <c r="AG166" i="22"/>
  <c r="W166" i="22"/>
  <c r="AA17" i="22"/>
  <c r="V66" i="22"/>
  <c r="AA66" i="22"/>
  <c r="W95" i="22"/>
  <c r="AA95" i="22"/>
  <c r="AA100" i="22"/>
  <c r="AA102" i="22"/>
  <c r="AA104" i="22"/>
  <c r="AA106" i="22"/>
  <c r="AA107" i="22"/>
  <c r="AA109" i="22"/>
  <c r="AA111" i="22"/>
  <c r="AA113" i="22"/>
  <c r="AA115" i="22"/>
  <c r="AA117" i="22"/>
  <c r="AA118" i="22"/>
  <c r="AA122" i="22"/>
  <c r="AA129" i="22"/>
  <c r="AA181" i="22"/>
  <c r="AA183" i="22"/>
  <c r="AA185" i="22"/>
  <c r="AA187" i="22"/>
  <c r="AA192" i="22"/>
  <c r="AA194" i="22"/>
  <c r="AA204" i="22"/>
  <c r="AA45" i="22"/>
  <c r="AA49" i="22"/>
  <c r="M227" i="22"/>
  <c r="J234" i="22"/>
  <c r="W20" i="22"/>
  <c r="AA20" i="22"/>
  <c r="AA22" i="22"/>
  <c r="AA28" i="22"/>
  <c r="AA32" i="22"/>
  <c r="AA34" i="22"/>
  <c r="AA36" i="22"/>
  <c r="AA38" i="22"/>
  <c r="AA40" i="22"/>
  <c r="AA42" i="22"/>
  <c r="W57" i="22"/>
  <c r="AA57" i="22"/>
  <c r="AA131" i="22"/>
  <c r="AA133" i="22"/>
  <c r="AA135" i="22"/>
  <c r="AA137" i="22"/>
  <c r="AA139" i="22"/>
  <c r="AA143" i="22"/>
  <c r="AA145" i="22"/>
  <c r="AA154" i="22"/>
  <c r="AA158" i="22"/>
  <c r="AA166" i="22"/>
  <c r="AA168" i="22"/>
  <c r="AA170" i="22"/>
  <c r="AA172" i="22"/>
  <c r="AA173" i="22"/>
  <c r="AA175" i="22"/>
  <c r="W202" i="22"/>
  <c r="AA202" i="22"/>
  <c r="AA211" i="22"/>
  <c r="AA213" i="22"/>
  <c r="W19" i="22"/>
  <c r="AA19" i="22"/>
  <c r="W55" i="22"/>
  <c r="AA55" i="22"/>
  <c r="AA60" i="22"/>
  <c r="AA62" i="22"/>
  <c r="AA64" i="22"/>
  <c r="AA67" i="22"/>
  <c r="AA69" i="22"/>
  <c r="AA71" i="22"/>
  <c r="AA73" i="22"/>
  <c r="AA75" i="22"/>
  <c r="AA79" i="22"/>
  <c r="AA87" i="22"/>
  <c r="AA89" i="22"/>
  <c r="AA91" i="22"/>
  <c r="V130" i="22"/>
  <c r="AA130" i="22"/>
  <c r="T175" i="22"/>
  <c r="W196" i="22"/>
  <c r="AA196" i="22"/>
  <c r="AA205" i="22"/>
  <c r="W219" i="22"/>
  <c r="AA219" i="22"/>
  <c r="AA225" i="22"/>
  <c r="AF225" i="22"/>
  <c r="I227" i="22"/>
  <c r="AF17" i="22"/>
  <c r="W24" i="22"/>
  <c r="AA24" i="22"/>
  <c r="W26" i="22"/>
  <c r="AA26" i="22"/>
  <c r="W30" i="22"/>
  <c r="AA30" i="22"/>
  <c r="AA43" i="22"/>
  <c r="W47" i="22"/>
  <c r="AA47" i="22"/>
  <c r="W51" i="22"/>
  <c r="AA51" i="22"/>
  <c r="W53" i="22"/>
  <c r="AA53" i="22"/>
  <c r="AG58" i="22"/>
  <c r="AH59" i="22"/>
  <c r="W77" i="22"/>
  <c r="AA77" i="22"/>
  <c r="W81" i="22"/>
  <c r="AA81" i="22"/>
  <c r="W83" i="22"/>
  <c r="AA83" i="22"/>
  <c r="W85" i="22"/>
  <c r="AA85" i="22"/>
  <c r="W97" i="22"/>
  <c r="AA97" i="22"/>
  <c r="W120" i="22"/>
  <c r="AA120" i="22"/>
  <c r="W124" i="22"/>
  <c r="AA124" i="22"/>
  <c r="X126" i="22"/>
  <c r="AA126" i="22"/>
  <c r="W127" i="22"/>
  <c r="AA127" i="22"/>
  <c r="AG128" i="22"/>
  <c r="AG129" i="22"/>
  <c r="AF131" i="22"/>
  <c r="AF133" i="22"/>
  <c r="AF135" i="22"/>
  <c r="AF137" i="22"/>
  <c r="AF139" i="22"/>
  <c r="AF143" i="22"/>
  <c r="AH145" i="22"/>
  <c r="W147" i="22"/>
  <c r="AA147" i="22"/>
  <c r="W152" i="22"/>
  <c r="AA152" i="22"/>
  <c r="W156" i="22"/>
  <c r="AA156" i="22"/>
  <c r="W160" i="22"/>
  <c r="AA160" i="22"/>
  <c r="W162" i="22"/>
  <c r="AA162" i="22"/>
  <c r="W164" i="22"/>
  <c r="AA164" i="22"/>
  <c r="AF173" i="22"/>
  <c r="W177" i="22"/>
  <c r="AA177" i="22"/>
  <c r="W179" i="22"/>
  <c r="AA179" i="22"/>
  <c r="AG182" i="22"/>
  <c r="AF183" i="22"/>
  <c r="AF185" i="22"/>
  <c r="AF187" i="22"/>
  <c r="AF192" i="22"/>
  <c r="AF194" i="22"/>
  <c r="AG197" i="22"/>
  <c r="W200" i="22"/>
  <c r="AA200" i="22"/>
  <c r="AA207" i="22"/>
  <c r="AA209" i="22"/>
  <c r="AG214" i="22"/>
  <c r="W217" i="22"/>
  <c r="AA217" i="22"/>
  <c r="AA221" i="22"/>
  <c r="AF221" i="22"/>
  <c r="AH223" i="22"/>
  <c r="AG18" i="22"/>
  <c r="AF22" i="22"/>
  <c r="AF28" i="22"/>
  <c r="AF32" i="22"/>
  <c r="AF34" i="22"/>
  <c r="AF36" i="22"/>
  <c r="AF38" i="22"/>
  <c r="AF40" i="22"/>
  <c r="AH42" i="22"/>
  <c r="AF45" i="22"/>
  <c r="AF49" i="22"/>
  <c r="AA59" i="22"/>
  <c r="AF60" i="22"/>
  <c r="AF62" i="22"/>
  <c r="AF64" i="22"/>
  <c r="AF67" i="22"/>
  <c r="AF69" i="22"/>
  <c r="AF71" i="22"/>
  <c r="AF73" i="22"/>
  <c r="AF75" i="22"/>
  <c r="AF79" i="22"/>
  <c r="AF87" i="22"/>
  <c r="AF89" i="22"/>
  <c r="AF91" i="22"/>
  <c r="AH93" i="22"/>
  <c r="AF100" i="22"/>
  <c r="AF102" i="22"/>
  <c r="AF104" i="22"/>
  <c r="AF106" i="22"/>
  <c r="AF107" i="22"/>
  <c r="AF109" i="22"/>
  <c r="AF111" i="22"/>
  <c r="AF113" i="22"/>
  <c r="AF115" i="22"/>
  <c r="AF117" i="22"/>
  <c r="AF118" i="22"/>
  <c r="AF122" i="22"/>
  <c r="W141" i="22"/>
  <c r="AA141" i="22"/>
  <c r="AG146" i="22"/>
  <c r="AH154" i="22"/>
  <c r="AF158" i="22"/>
  <c r="AF166" i="22"/>
  <c r="AF168" i="22"/>
  <c r="AF170" i="22"/>
  <c r="AF172" i="22"/>
  <c r="AG174" i="22"/>
  <c r="AF175" i="22"/>
  <c r="AF181" i="22"/>
  <c r="W189" i="22"/>
  <c r="AA189" i="22"/>
  <c r="AG195" i="22"/>
  <c r="W198" i="22"/>
  <c r="AA198" i="22"/>
  <c r="AG199" i="22"/>
  <c r="AF204" i="22"/>
  <c r="AH207" i="22"/>
  <c r="AH209" i="22"/>
  <c r="AH211" i="22"/>
  <c r="AF213" i="22"/>
  <c r="W215" i="22"/>
  <c r="AA215" i="22"/>
  <c r="AG216" i="22"/>
  <c r="AA223" i="22"/>
  <c r="AA18" i="22"/>
  <c r="V21" i="22"/>
  <c r="AA21" i="22"/>
  <c r="V23" i="22"/>
  <c r="AA23" i="22"/>
  <c r="AG25" i="22"/>
  <c r="V31" i="22"/>
  <c r="AA31" i="22"/>
  <c r="V33" i="22"/>
  <c r="AA33" i="22"/>
  <c r="V35" i="22"/>
  <c r="AA35" i="22"/>
  <c r="V37" i="22"/>
  <c r="AA37" i="22"/>
  <c r="V39" i="22"/>
  <c r="AA39" i="22"/>
  <c r="V41" i="22"/>
  <c r="AA41" i="22"/>
  <c r="AF43" i="22"/>
  <c r="AA44" i="22"/>
  <c r="V48" i="22"/>
  <c r="AA48" i="22"/>
  <c r="V50" i="22"/>
  <c r="AA50" i="22"/>
  <c r="AG52" i="22"/>
  <c r="AG54" i="22"/>
  <c r="AA58" i="22"/>
  <c r="V61" i="22"/>
  <c r="AA61" i="22"/>
  <c r="V63" i="22"/>
  <c r="AA63" i="22"/>
  <c r="V65" i="22"/>
  <c r="AA65" i="22"/>
  <c r="V68" i="22"/>
  <c r="AA68" i="22"/>
  <c r="V70" i="22"/>
  <c r="AA70" i="22"/>
  <c r="V72" i="22"/>
  <c r="AA72" i="22"/>
  <c r="V74" i="22"/>
  <c r="AA74" i="22"/>
  <c r="V76" i="22"/>
  <c r="AA76" i="22"/>
  <c r="AG80" i="22"/>
  <c r="AA84" i="22"/>
  <c r="AA94" i="22"/>
  <c r="AA98" i="22"/>
  <c r="AA99" i="22"/>
  <c r="AA16" i="22"/>
  <c r="AA25" i="22"/>
  <c r="V27" i="22"/>
  <c r="AA27" i="22"/>
  <c r="V29" i="22"/>
  <c r="AA29" i="22"/>
  <c r="AG44" i="22"/>
  <c r="V46" i="22"/>
  <c r="AA46" i="22"/>
  <c r="AA52" i="22"/>
  <c r="AA54" i="22"/>
  <c r="X56" i="22"/>
  <c r="AA56" i="22"/>
  <c r="V78" i="22"/>
  <c r="AA78" i="22"/>
  <c r="AA80" i="22"/>
  <c r="AA93" i="22"/>
  <c r="W153" i="22"/>
  <c r="AG153" i="22"/>
  <c r="W157" i="22"/>
  <c r="AG157" i="22"/>
  <c r="W161" i="22"/>
  <c r="AG161" i="22"/>
  <c r="W163" i="22"/>
  <c r="AG163" i="22"/>
  <c r="W176" i="22"/>
  <c r="AG176" i="22"/>
  <c r="W188" i="22"/>
  <c r="AG188" i="22"/>
  <c r="W190" i="22"/>
  <c r="AG190" i="22"/>
  <c r="W191" i="22"/>
  <c r="AG191" i="22"/>
  <c r="W210" i="22"/>
  <c r="AG210" i="22"/>
  <c r="V82" i="22"/>
  <c r="AA82" i="22"/>
  <c r="AG84" i="22"/>
  <c r="V86" i="22"/>
  <c r="AA86" i="22"/>
  <c r="V88" i="22"/>
  <c r="AA88" i="22"/>
  <c r="V90" i="22"/>
  <c r="AA90" i="22"/>
  <c r="X92" i="22"/>
  <c r="AA92" i="22"/>
  <c r="AG94" i="22"/>
  <c r="V96" i="22"/>
  <c r="AA96" i="22"/>
  <c r="AG98" i="22"/>
  <c r="AG99" i="22"/>
  <c r="V108" i="22"/>
  <c r="AA108" i="22"/>
  <c r="V110" i="22"/>
  <c r="AA110" i="22"/>
  <c r="V112" i="22"/>
  <c r="AA112" i="22"/>
  <c r="V114" i="22"/>
  <c r="AA114" i="22"/>
  <c r="V116" i="22"/>
  <c r="AA116" i="22"/>
  <c r="AA121" i="22"/>
  <c r="V125" i="22"/>
  <c r="AA125" i="22"/>
  <c r="AA142" i="22"/>
  <c r="AA153" i="22"/>
  <c r="AA157" i="22"/>
  <c r="AA161" i="22"/>
  <c r="AA163" i="22"/>
  <c r="V165" i="22"/>
  <c r="AA165" i="22"/>
  <c r="V167" i="22"/>
  <c r="AA167" i="22"/>
  <c r="V169" i="22"/>
  <c r="AA169" i="22"/>
  <c r="V171" i="22"/>
  <c r="AA171" i="22"/>
  <c r="AA176" i="22"/>
  <c r="V178" i="22"/>
  <c r="AA178" i="22"/>
  <c r="V184" i="22"/>
  <c r="AA184" i="22"/>
  <c r="V186" i="22"/>
  <c r="AA186" i="22"/>
  <c r="AA188" i="22"/>
  <c r="AA190" i="22"/>
  <c r="AA191" i="22"/>
  <c r="X203" i="22"/>
  <c r="AA203" i="22"/>
  <c r="Q226" i="22"/>
  <c r="AG16" i="22"/>
  <c r="V101" i="22"/>
  <c r="AA101" i="22"/>
  <c r="V103" i="22"/>
  <c r="AA103" i="22"/>
  <c r="V105" i="22"/>
  <c r="AA105" i="22"/>
  <c r="V119" i="22"/>
  <c r="AA119" i="22"/>
  <c r="AG121" i="22"/>
  <c r="V123" i="22"/>
  <c r="AA123" i="22"/>
  <c r="AA128" i="22"/>
  <c r="V132" i="22"/>
  <c r="AA132" i="22"/>
  <c r="V134" i="22"/>
  <c r="AA134" i="22"/>
  <c r="V136" i="22"/>
  <c r="AA136" i="22"/>
  <c r="V138" i="22"/>
  <c r="AA138" i="22"/>
  <c r="V140" i="22"/>
  <c r="AA140" i="22"/>
  <c r="AG142" i="22"/>
  <c r="V144" i="22"/>
  <c r="AA144" i="22"/>
  <c r="AA146" i="22"/>
  <c r="V148" i="22"/>
  <c r="AA148" i="22"/>
  <c r="V150" i="22"/>
  <c r="AA150" i="22"/>
  <c r="AF205" i="22"/>
  <c r="V206" i="22"/>
  <c r="AA206" i="22"/>
  <c r="V208" i="22"/>
  <c r="AA208" i="22"/>
  <c r="AA210" i="22"/>
  <c r="V220" i="22"/>
  <c r="AA220" i="22"/>
  <c r="V222" i="22"/>
  <c r="AA222" i="22"/>
  <c r="X224" i="22"/>
  <c r="AA224" i="22"/>
  <c r="V149" i="22"/>
  <c r="AA149" i="22"/>
  <c r="X151" i="22"/>
  <c r="AA151" i="22"/>
  <c r="V155" i="22"/>
  <c r="AA155" i="22"/>
  <c r="V159" i="22"/>
  <c r="AA159" i="22"/>
  <c r="AA174" i="22"/>
  <c r="X180" i="22"/>
  <c r="AA180" i="22"/>
  <c r="AA182" i="22"/>
  <c r="V193" i="22"/>
  <c r="AA193" i="22"/>
  <c r="AA195" i="22"/>
  <c r="AA197" i="22"/>
  <c r="AA199" i="22"/>
  <c r="X201" i="22"/>
  <c r="AA201" i="22"/>
  <c r="V212" i="22"/>
  <c r="AA212" i="22"/>
  <c r="AA214" i="22"/>
  <c r="AA216" i="22"/>
  <c r="V218" i="22"/>
  <c r="AA218" i="22"/>
  <c r="T226" i="22"/>
  <c r="F168" i="23"/>
  <c r="J168" i="23"/>
  <c r="AB168" i="23"/>
  <c r="AH226" i="22"/>
  <c r="AH230" i="22"/>
  <c r="W226" i="22"/>
  <c r="Y236" i="22"/>
  <c r="X226" i="22"/>
  <c r="Y239" i="22"/>
  <c r="AF226" i="22"/>
  <c r="AF230" i="22"/>
  <c r="V226" i="22"/>
  <c r="AG226" i="22"/>
  <c r="AG230" i="22"/>
  <c r="Y233" i="22"/>
  <c r="Y240" i="22"/>
  <c r="X231" i="22"/>
  <c r="X240" i="22"/>
  <c r="AC224" i="21"/>
  <c r="J231" i="22"/>
  <c r="R128" i="20"/>
  <c r="I118" i="21"/>
  <c r="I107" i="21"/>
  <c r="E173" i="21"/>
  <c r="R219" i="20"/>
  <c r="AH38" i="21"/>
  <c r="AG38" i="21"/>
  <c r="AD38" i="21"/>
  <c r="AC38" i="21"/>
  <c r="X38" i="21"/>
  <c r="W38" i="21"/>
  <c r="Q38" i="21"/>
  <c r="AH37" i="21"/>
  <c r="AG37" i="21"/>
  <c r="AD37" i="21"/>
  <c r="AC37" i="21"/>
  <c r="X37" i="21"/>
  <c r="W37" i="21"/>
  <c r="Q37" i="21"/>
  <c r="AH37" i="20"/>
  <c r="AG37" i="20"/>
  <c r="AD37" i="20"/>
  <c r="AC37" i="20"/>
  <c r="X37" i="20"/>
  <c r="W37" i="20"/>
  <c r="Q37" i="20"/>
  <c r="V37" i="20"/>
  <c r="J37" i="20"/>
  <c r="AB37" i="20"/>
  <c r="AH36" i="20"/>
  <c r="AG36" i="20"/>
  <c r="AD36" i="20"/>
  <c r="AC36" i="20"/>
  <c r="X36" i="20"/>
  <c r="W36" i="20"/>
  <c r="Q36" i="20"/>
  <c r="V36" i="20"/>
  <c r="J36" i="20"/>
  <c r="AB36" i="20"/>
  <c r="V37" i="21"/>
  <c r="T37" i="21"/>
  <c r="F37" i="22"/>
  <c r="J37" i="22"/>
  <c r="AB37" i="22"/>
  <c r="AF38" i="21"/>
  <c r="T38" i="21"/>
  <c r="F38" i="22"/>
  <c r="J38" i="22"/>
  <c r="AB38" i="22"/>
  <c r="T37" i="20"/>
  <c r="F38" i="21"/>
  <c r="J38" i="21"/>
  <c r="AB38" i="21"/>
  <c r="AA36" i="20"/>
  <c r="AA37" i="20"/>
  <c r="AF37" i="20"/>
  <c r="AJ37" i="20"/>
  <c r="AA37" i="21"/>
  <c r="AF37" i="21"/>
  <c r="V38" i="21"/>
  <c r="AA38" i="21"/>
  <c r="AF36" i="20"/>
  <c r="T36" i="20"/>
  <c r="F37" i="21"/>
  <c r="J37" i="21"/>
  <c r="AB37" i="21"/>
  <c r="AJ36" i="20"/>
  <c r="E99" i="21"/>
  <c r="R17" i="20"/>
  <c r="R222" i="20"/>
  <c r="E191" i="21"/>
  <c r="E151" i="21"/>
  <c r="E150" i="21"/>
  <c r="E60" i="21"/>
  <c r="AH20" i="21"/>
  <c r="AF20" i="21"/>
  <c r="AD20" i="21"/>
  <c r="AB20" i="21"/>
  <c r="X20" i="21"/>
  <c r="V20" i="21"/>
  <c r="Q20" i="21"/>
  <c r="J20" i="21"/>
  <c r="AC20" i="21"/>
  <c r="E149" i="21"/>
  <c r="AH149" i="21"/>
  <c r="AG149" i="21"/>
  <c r="AD149" i="21"/>
  <c r="AC149" i="21"/>
  <c r="X149" i="21"/>
  <c r="W149" i="21"/>
  <c r="Q149" i="21"/>
  <c r="V149" i="21"/>
  <c r="AH148" i="20"/>
  <c r="AG148" i="20"/>
  <c r="AD148" i="20"/>
  <c r="AC148" i="20"/>
  <c r="X148" i="20"/>
  <c r="W148" i="20"/>
  <c r="Q148" i="20"/>
  <c r="AF148" i="20"/>
  <c r="J148" i="20"/>
  <c r="AB148" i="20"/>
  <c r="R159" i="20"/>
  <c r="R182" i="20"/>
  <c r="AG20" i="21"/>
  <c r="AJ20" i="21"/>
  <c r="T20" i="21"/>
  <c r="F20" i="22"/>
  <c r="J20" i="22"/>
  <c r="AC20" i="22"/>
  <c r="T149" i="21"/>
  <c r="F149" i="22"/>
  <c r="J149" i="22"/>
  <c r="AB149" i="22"/>
  <c r="AJ148" i="20"/>
  <c r="AA149" i="21"/>
  <c r="AF149" i="21"/>
  <c r="W20" i="21"/>
  <c r="AA20" i="21"/>
  <c r="V148" i="20"/>
  <c r="AA148" i="20"/>
  <c r="T148" i="20"/>
  <c r="F149" i="21"/>
  <c r="J149" i="21"/>
  <c r="AB149" i="21"/>
  <c r="AD228" i="21"/>
  <c r="Z226" i="21"/>
  <c r="Y237" i="21"/>
  <c r="Y226" i="21"/>
  <c r="Y234" i="21"/>
  <c r="R226" i="21"/>
  <c r="P226" i="21"/>
  <c r="O226" i="21"/>
  <c r="N226" i="21"/>
  <c r="M226" i="21"/>
  <c r="L226" i="21"/>
  <c r="H226" i="21"/>
  <c r="G226" i="21"/>
  <c r="AH225" i="21"/>
  <c r="AG225" i="21"/>
  <c r="AD225" i="21"/>
  <c r="AC225" i="21"/>
  <c r="X225" i="21"/>
  <c r="W225" i="21"/>
  <c r="Q225" i="21"/>
  <c r="T225" i="21"/>
  <c r="F225" i="22"/>
  <c r="J225" i="22"/>
  <c r="AB225" i="22"/>
  <c r="V225" i="21"/>
  <c r="AG224" i="21"/>
  <c r="AF224" i="21"/>
  <c r="AB224" i="21"/>
  <c r="W224" i="21"/>
  <c r="V224" i="21"/>
  <c r="Q224" i="21"/>
  <c r="X224" i="21"/>
  <c r="AG223" i="21"/>
  <c r="AF223" i="21"/>
  <c r="AC223" i="21"/>
  <c r="AB223" i="21"/>
  <c r="W223" i="21"/>
  <c r="V223" i="21"/>
  <c r="Q223" i="21"/>
  <c r="X223" i="21"/>
  <c r="AH222" i="21"/>
  <c r="AG222" i="21"/>
  <c r="X222" i="21"/>
  <c r="W222" i="21"/>
  <c r="Q222" i="21"/>
  <c r="V222" i="21"/>
  <c r="AH221" i="21"/>
  <c r="AG221" i="21"/>
  <c r="AD221" i="21"/>
  <c r="AC221" i="21"/>
  <c r="X221" i="21"/>
  <c r="W221" i="21"/>
  <c r="Q221" i="21"/>
  <c r="V221" i="21"/>
  <c r="AH220" i="21"/>
  <c r="AG220" i="21"/>
  <c r="AD220" i="21"/>
  <c r="AC220" i="21"/>
  <c r="X220" i="21"/>
  <c r="W220" i="21"/>
  <c r="Q220" i="21"/>
  <c r="V220" i="21"/>
  <c r="AH219" i="21"/>
  <c r="AF219" i="21"/>
  <c r="AD219" i="21"/>
  <c r="AB219" i="21"/>
  <c r="X219" i="21"/>
  <c r="V219" i="21"/>
  <c r="Q219" i="21"/>
  <c r="AG219" i="21"/>
  <c r="AH218" i="21"/>
  <c r="AG218" i="21"/>
  <c r="AD218" i="21"/>
  <c r="AC218" i="21"/>
  <c r="X218" i="21"/>
  <c r="W218" i="21"/>
  <c r="Q218" i="21"/>
  <c r="V218" i="21"/>
  <c r="AH217" i="21"/>
  <c r="AF217" i="21"/>
  <c r="AD217" i="21"/>
  <c r="AB217" i="21"/>
  <c r="X217" i="21"/>
  <c r="V217" i="21"/>
  <c r="Q217" i="21"/>
  <c r="AG217" i="21"/>
  <c r="AH216" i="21"/>
  <c r="AF216" i="21"/>
  <c r="AD216" i="21"/>
  <c r="AB216" i="21"/>
  <c r="X216" i="21"/>
  <c r="V216" i="21"/>
  <c r="Q216" i="21"/>
  <c r="AG216" i="21"/>
  <c r="AH215" i="21"/>
  <c r="AF215" i="21"/>
  <c r="AD215" i="21"/>
  <c r="AB215" i="21"/>
  <c r="X215" i="21"/>
  <c r="V215" i="21"/>
  <c r="Q215" i="21"/>
  <c r="AG215" i="21"/>
  <c r="AH214" i="21"/>
  <c r="AF214" i="21"/>
  <c r="AD214" i="21"/>
  <c r="AB214" i="21"/>
  <c r="X214" i="21"/>
  <c r="V214" i="21"/>
  <c r="Q214" i="21"/>
  <c r="AG214" i="21"/>
  <c r="AH213" i="21"/>
  <c r="AG213" i="21"/>
  <c r="AD213" i="21"/>
  <c r="AC213" i="21"/>
  <c r="X213" i="21"/>
  <c r="W213" i="21"/>
  <c r="Q213" i="21"/>
  <c r="V213" i="21"/>
  <c r="AH212" i="21"/>
  <c r="AG212" i="21"/>
  <c r="AD212" i="21"/>
  <c r="AC212" i="21"/>
  <c r="X212" i="21"/>
  <c r="W212" i="21"/>
  <c r="Q212" i="21"/>
  <c r="V212" i="21"/>
  <c r="AG211" i="21"/>
  <c r="AF211" i="21"/>
  <c r="AC211" i="21"/>
  <c r="AB211" i="21"/>
  <c r="W211" i="21"/>
  <c r="V211" i="21"/>
  <c r="Q211" i="21"/>
  <c r="X211" i="21"/>
  <c r="AH210" i="21"/>
  <c r="AF210" i="21"/>
  <c r="AD210" i="21"/>
  <c r="AB210" i="21"/>
  <c r="X210" i="21"/>
  <c r="V210" i="21"/>
  <c r="Q210" i="21"/>
  <c r="AG210" i="21"/>
  <c r="AG209" i="21"/>
  <c r="AC209" i="21"/>
  <c r="W209" i="21"/>
  <c r="Q209" i="21"/>
  <c r="V209" i="21"/>
  <c r="AH208" i="21"/>
  <c r="AG208" i="21"/>
  <c r="AD208" i="21"/>
  <c r="AC208" i="21"/>
  <c r="X208" i="21"/>
  <c r="W208" i="21"/>
  <c r="Q208" i="21"/>
  <c r="V208" i="21"/>
  <c r="AG207" i="21"/>
  <c r="AF207" i="21"/>
  <c r="AC207" i="21"/>
  <c r="AB207" i="21"/>
  <c r="W207" i="21"/>
  <c r="V207" i="21"/>
  <c r="Q207" i="21"/>
  <c r="X207" i="21"/>
  <c r="AH206" i="21"/>
  <c r="AG206" i="21"/>
  <c r="AD206" i="21"/>
  <c r="AC206" i="21"/>
  <c r="X206" i="21"/>
  <c r="W206" i="21"/>
  <c r="Q206" i="21"/>
  <c r="V206" i="21"/>
  <c r="AH205" i="21"/>
  <c r="AG205" i="21"/>
  <c r="AD205" i="21"/>
  <c r="AC205" i="21"/>
  <c r="X205" i="21"/>
  <c r="W205" i="21"/>
  <c r="Q205" i="21"/>
  <c r="AH204" i="21"/>
  <c r="AG204" i="21"/>
  <c r="AD204" i="21"/>
  <c r="AC204" i="21"/>
  <c r="X204" i="21"/>
  <c r="W204" i="21"/>
  <c r="Q204" i="21"/>
  <c r="V204" i="21"/>
  <c r="AG203" i="21"/>
  <c r="AF203" i="21"/>
  <c r="AC203" i="21"/>
  <c r="AB203" i="21"/>
  <c r="W203" i="21"/>
  <c r="V203" i="21"/>
  <c r="Q203" i="21"/>
  <c r="AH203" i="21"/>
  <c r="AH202" i="21"/>
  <c r="AF202" i="21"/>
  <c r="AD202" i="21"/>
  <c r="AB202" i="21"/>
  <c r="X202" i="21"/>
  <c r="V202" i="21"/>
  <c r="Q202" i="21"/>
  <c r="AG202" i="21"/>
  <c r="AG201" i="21"/>
  <c r="AF201" i="21"/>
  <c r="AC201" i="21"/>
  <c r="AB201" i="21"/>
  <c r="W201" i="21"/>
  <c r="V201" i="21"/>
  <c r="Q201" i="21"/>
  <c r="X201" i="21"/>
  <c r="AH200" i="21"/>
  <c r="AF200" i="21"/>
  <c r="AD200" i="21"/>
  <c r="AB200" i="21"/>
  <c r="X200" i="21"/>
  <c r="V200" i="21"/>
  <c r="Q200" i="21"/>
  <c r="AG200" i="21"/>
  <c r="AH199" i="21"/>
  <c r="AF199" i="21"/>
  <c r="AD199" i="21"/>
  <c r="AB199" i="21"/>
  <c r="X199" i="21"/>
  <c r="V199" i="21"/>
  <c r="Q199" i="21"/>
  <c r="AG199" i="21"/>
  <c r="AH198" i="21"/>
  <c r="AF198" i="21"/>
  <c r="AD198" i="21"/>
  <c r="AB198" i="21"/>
  <c r="X198" i="21"/>
  <c r="V198" i="21"/>
  <c r="Q198" i="21"/>
  <c r="AG198" i="21"/>
  <c r="AH197" i="21"/>
  <c r="AF197" i="21"/>
  <c r="AD197" i="21"/>
  <c r="AB197" i="21"/>
  <c r="X197" i="21"/>
  <c r="V197" i="21"/>
  <c r="Q197" i="21"/>
  <c r="AG197" i="21"/>
  <c r="AH196" i="21"/>
  <c r="AF196" i="21"/>
  <c r="AD196" i="21"/>
  <c r="AB196" i="21"/>
  <c r="X196" i="21"/>
  <c r="V196" i="21"/>
  <c r="Q196" i="21"/>
  <c r="AG196" i="21"/>
  <c r="AH195" i="21"/>
  <c r="AF195" i="21"/>
  <c r="AD195" i="21"/>
  <c r="AB195" i="21"/>
  <c r="X195" i="21"/>
  <c r="V195" i="21"/>
  <c r="Q195" i="21"/>
  <c r="AG195" i="21"/>
  <c r="AH194" i="21"/>
  <c r="AG194" i="21"/>
  <c r="AD194" i="21"/>
  <c r="AC194" i="21"/>
  <c r="X194" i="21"/>
  <c r="W194" i="21"/>
  <c r="Q194" i="21"/>
  <c r="V194" i="21"/>
  <c r="AH193" i="21"/>
  <c r="AG193" i="21"/>
  <c r="AD193" i="21"/>
  <c r="AC193" i="21"/>
  <c r="X193" i="21"/>
  <c r="W193" i="21"/>
  <c r="Q193" i="21"/>
  <c r="V193" i="21"/>
  <c r="AH192" i="21"/>
  <c r="AG192" i="21"/>
  <c r="AD192" i="21"/>
  <c r="AC192" i="21"/>
  <c r="X192" i="21"/>
  <c r="W192" i="21"/>
  <c r="V192" i="21"/>
  <c r="AH191" i="21"/>
  <c r="AF191" i="21"/>
  <c r="AD191" i="21"/>
  <c r="AB191" i="21"/>
  <c r="Q190" i="20"/>
  <c r="T190" i="20"/>
  <c r="F191" i="21"/>
  <c r="J191" i="21"/>
  <c r="AC191" i="21"/>
  <c r="X191" i="21"/>
  <c r="V191" i="21"/>
  <c r="Q191" i="21"/>
  <c r="W191" i="21"/>
  <c r="AH190" i="21"/>
  <c r="AF190" i="21"/>
  <c r="AD190" i="21"/>
  <c r="AB190" i="21"/>
  <c r="X190" i="21"/>
  <c r="V190" i="21"/>
  <c r="Q190" i="21"/>
  <c r="AG190" i="21"/>
  <c r="AH189" i="21"/>
  <c r="AF189" i="21"/>
  <c r="AD189" i="21"/>
  <c r="AB189" i="21"/>
  <c r="X189" i="21"/>
  <c r="V189" i="21"/>
  <c r="Q189" i="21"/>
  <c r="AG189" i="21"/>
  <c r="AH188" i="21"/>
  <c r="AF188" i="21"/>
  <c r="AD188" i="21"/>
  <c r="AB188" i="21"/>
  <c r="X188" i="21"/>
  <c r="V188" i="21"/>
  <c r="Q188" i="21"/>
  <c r="AG188" i="21"/>
  <c r="AH187" i="21"/>
  <c r="AG187" i="21"/>
  <c r="AD187" i="21"/>
  <c r="AC187" i="21"/>
  <c r="X187" i="21"/>
  <c r="W187" i="21"/>
  <c r="Q187" i="21"/>
  <c r="V187" i="21"/>
  <c r="AH186" i="21"/>
  <c r="AG186" i="21"/>
  <c r="AD186" i="21"/>
  <c r="AC186" i="21"/>
  <c r="X186" i="21"/>
  <c r="W186" i="21"/>
  <c r="Q186" i="21"/>
  <c r="V186" i="21"/>
  <c r="AH185" i="21"/>
  <c r="AG185" i="21"/>
  <c r="AD185" i="21"/>
  <c r="AC185" i="21"/>
  <c r="X185" i="21"/>
  <c r="W185" i="21"/>
  <c r="Q185" i="21"/>
  <c r="V185" i="21"/>
  <c r="AH184" i="21"/>
  <c r="AG184" i="21"/>
  <c r="AD184" i="21"/>
  <c r="AC184" i="21"/>
  <c r="X184" i="21"/>
  <c r="W184" i="21"/>
  <c r="Q184" i="21"/>
  <c r="V184" i="21"/>
  <c r="AH183" i="21"/>
  <c r="AG183" i="21"/>
  <c r="AD183" i="21"/>
  <c r="AC183" i="21"/>
  <c r="X183" i="21"/>
  <c r="W183" i="21"/>
  <c r="Q183" i="21"/>
  <c r="V183" i="21"/>
  <c r="AH182" i="21"/>
  <c r="AF182" i="21"/>
  <c r="AD182" i="21"/>
  <c r="AB182" i="21"/>
  <c r="X182" i="21"/>
  <c r="V182" i="21"/>
  <c r="Q182" i="21"/>
  <c r="AG182" i="21"/>
  <c r="AH181" i="21"/>
  <c r="AG181" i="21"/>
  <c r="AD181" i="21"/>
  <c r="AC181" i="21"/>
  <c r="X181" i="21"/>
  <c r="W181" i="21"/>
  <c r="Q181" i="21"/>
  <c r="V181" i="21"/>
  <c r="AG180" i="21"/>
  <c r="AF180" i="21"/>
  <c r="AC180" i="21"/>
  <c r="AB180" i="21"/>
  <c r="W180" i="21"/>
  <c r="V180" i="21"/>
  <c r="Q180" i="21"/>
  <c r="X180" i="21"/>
  <c r="AH179" i="21"/>
  <c r="AF179" i="21"/>
  <c r="AD179" i="21"/>
  <c r="AB179" i="21"/>
  <c r="X179" i="21"/>
  <c r="V179" i="21"/>
  <c r="Q179" i="21"/>
  <c r="AG179" i="21"/>
  <c r="AH178" i="21"/>
  <c r="AG178" i="21"/>
  <c r="AD178" i="21"/>
  <c r="AC178" i="21"/>
  <c r="X178" i="21"/>
  <c r="W178" i="21"/>
  <c r="Q178" i="21"/>
  <c r="V178" i="21"/>
  <c r="AH177" i="21"/>
  <c r="AF177" i="21"/>
  <c r="AD177" i="21"/>
  <c r="AB177" i="21"/>
  <c r="X177" i="21"/>
  <c r="V177" i="21"/>
  <c r="Q177" i="21"/>
  <c r="AG177" i="21"/>
  <c r="AH176" i="21"/>
  <c r="AF176" i="21"/>
  <c r="AD176" i="21"/>
  <c r="AB176" i="21"/>
  <c r="X176" i="21"/>
  <c r="V176" i="21"/>
  <c r="Q176" i="21"/>
  <c r="AG176" i="21"/>
  <c r="AH175" i="21"/>
  <c r="AG175" i="21"/>
  <c r="AD175" i="21"/>
  <c r="AC175" i="21"/>
  <c r="X175" i="21"/>
  <c r="W175" i="21"/>
  <c r="V175" i="21"/>
  <c r="AH174" i="21"/>
  <c r="AF174" i="21"/>
  <c r="AD174" i="21"/>
  <c r="AB174" i="21"/>
  <c r="X174" i="21"/>
  <c r="V174" i="21"/>
  <c r="Q174" i="21"/>
  <c r="T174" i="21"/>
  <c r="F174" i="22"/>
  <c r="J174" i="22"/>
  <c r="AC174" i="22"/>
  <c r="AG174" i="21"/>
  <c r="AH173" i="21"/>
  <c r="AG173" i="21"/>
  <c r="AD173" i="21"/>
  <c r="AC173" i="21"/>
  <c r="Q172" i="20"/>
  <c r="T172" i="20"/>
  <c r="F173" i="21"/>
  <c r="J173" i="21"/>
  <c r="AB173" i="21"/>
  <c r="X173" i="21"/>
  <c r="W173" i="21"/>
  <c r="Q173" i="21"/>
  <c r="T173" i="21"/>
  <c r="F173" i="22"/>
  <c r="J173" i="22"/>
  <c r="AB173" i="22"/>
  <c r="V173" i="21"/>
  <c r="AH172" i="21"/>
  <c r="AG172" i="21"/>
  <c r="AD172" i="21"/>
  <c r="AC172" i="21"/>
  <c r="X172" i="21"/>
  <c r="W172" i="21"/>
  <c r="Q172" i="21"/>
  <c r="T172" i="21"/>
  <c r="F172" i="22"/>
  <c r="J172" i="22"/>
  <c r="AB172" i="22"/>
  <c r="V172" i="21"/>
  <c r="AH171" i="21"/>
  <c r="AG171" i="21"/>
  <c r="AD171" i="21"/>
  <c r="AC171" i="21"/>
  <c r="X171" i="21"/>
  <c r="W171" i="21"/>
  <c r="Q171" i="21"/>
  <c r="T171" i="21"/>
  <c r="F171" i="22"/>
  <c r="J171" i="22"/>
  <c r="AB171" i="22"/>
  <c r="V171" i="21"/>
  <c r="AH170" i="21"/>
  <c r="AG170" i="21"/>
  <c r="AD170" i="21"/>
  <c r="AC170" i="21"/>
  <c r="X170" i="21"/>
  <c r="W170" i="21"/>
  <c r="Q170" i="21"/>
  <c r="T170" i="21"/>
  <c r="F170" i="22"/>
  <c r="J170" i="22"/>
  <c r="AB170" i="22"/>
  <c r="V170" i="21"/>
  <c r="AH169" i="21"/>
  <c r="AG169" i="21"/>
  <c r="AD169" i="21"/>
  <c r="AC169" i="21"/>
  <c r="X169" i="21"/>
  <c r="W169" i="21"/>
  <c r="Q169" i="21"/>
  <c r="T169" i="21"/>
  <c r="F169" i="22"/>
  <c r="J169" i="22"/>
  <c r="AB169" i="22"/>
  <c r="V169" i="21"/>
  <c r="AH168" i="21"/>
  <c r="AG168" i="21"/>
  <c r="AD168" i="21"/>
  <c r="AC168" i="21"/>
  <c r="X168" i="21"/>
  <c r="W168" i="21"/>
  <c r="Q168" i="21"/>
  <c r="T168" i="21"/>
  <c r="F168" i="22"/>
  <c r="J168" i="22"/>
  <c r="AB168" i="22"/>
  <c r="V168" i="21"/>
  <c r="AH167" i="21"/>
  <c r="AG167" i="21"/>
  <c r="AD167" i="21"/>
  <c r="AC167" i="21"/>
  <c r="X167" i="21"/>
  <c r="W167" i="21"/>
  <c r="Q167" i="21"/>
  <c r="T167" i="21"/>
  <c r="F167" i="22"/>
  <c r="J167" i="22"/>
  <c r="AB167" i="22"/>
  <c r="V167" i="21"/>
  <c r="AH166" i="21"/>
  <c r="AG166" i="21"/>
  <c r="AD166" i="21"/>
  <c r="AC166" i="21"/>
  <c r="X166" i="21"/>
  <c r="W166" i="21"/>
  <c r="Q166" i="21"/>
  <c r="T166" i="21"/>
  <c r="F166" i="22"/>
  <c r="J166" i="22"/>
  <c r="AC166" i="22"/>
  <c r="AB166" i="22"/>
  <c r="V166" i="21"/>
  <c r="AH165" i="21"/>
  <c r="AG165" i="21"/>
  <c r="AD165" i="21"/>
  <c r="AC165" i="21"/>
  <c r="X165" i="21"/>
  <c r="W165" i="21"/>
  <c r="Q165" i="21"/>
  <c r="T165" i="21"/>
  <c r="F165" i="22"/>
  <c r="J165" i="22"/>
  <c r="AB165" i="22"/>
  <c r="V165" i="21"/>
  <c r="AH164" i="21"/>
  <c r="AF164" i="21"/>
  <c r="AD164" i="21"/>
  <c r="AB164" i="21"/>
  <c r="X164" i="21"/>
  <c r="V164" i="21"/>
  <c r="Q164" i="21"/>
  <c r="T164" i="21"/>
  <c r="F164" i="22"/>
  <c r="J164" i="22"/>
  <c r="AC164" i="22"/>
  <c r="AG164" i="21"/>
  <c r="AH163" i="21"/>
  <c r="AF163" i="21"/>
  <c r="AD163" i="21"/>
  <c r="AB163" i="21"/>
  <c r="X163" i="21"/>
  <c r="V163" i="21"/>
  <c r="Q163" i="21"/>
  <c r="T163" i="21"/>
  <c r="F163" i="22"/>
  <c r="J163" i="22"/>
  <c r="AC163" i="22"/>
  <c r="AG163" i="21"/>
  <c r="AH162" i="21"/>
  <c r="AF162" i="21"/>
  <c r="AD162" i="21"/>
  <c r="AB162" i="21"/>
  <c r="X162" i="21"/>
  <c r="V162" i="21"/>
  <c r="Q162" i="21"/>
  <c r="T162" i="21"/>
  <c r="F162" i="22"/>
  <c r="J162" i="22"/>
  <c r="AC162" i="22"/>
  <c r="AG162" i="21"/>
  <c r="AH161" i="21"/>
  <c r="AF161" i="21"/>
  <c r="AD161" i="21"/>
  <c r="AB161" i="21"/>
  <c r="X161" i="21"/>
  <c r="V161" i="21"/>
  <c r="Q161" i="21"/>
  <c r="T161" i="21"/>
  <c r="F161" i="22"/>
  <c r="J161" i="22"/>
  <c r="AC161" i="22"/>
  <c r="AG161" i="21"/>
  <c r="AH160" i="21"/>
  <c r="AF160" i="21"/>
  <c r="AD160" i="21"/>
  <c r="AB160" i="21"/>
  <c r="X160" i="21"/>
  <c r="V160" i="21"/>
  <c r="Q160" i="21"/>
  <c r="T160" i="21"/>
  <c r="F160" i="22"/>
  <c r="J160" i="22"/>
  <c r="AC160" i="22"/>
  <c r="AG160" i="21"/>
  <c r="AH159" i="21"/>
  <c r="AG159" i="21"/>
  <c r="AD159" i="21"/>
  <c r="AC159" i="21"/>
  <c r="X159" i="21"/>
  <c r="W159" i="21"/>
  <c r="Q159" i="21"/>
  <c r="T159" i="21"/>
  <c r="F159" i="22"/>
  <c r="J159" i="22"/>
  <c r="AB159" i="22"/>
  <c r="V159" i="21"/>
  <c r="AH158" i="21"/>
  <c r="AG158" i="21"/>
  <c r="AD158" i="21"/>
  <c r="AC158" i="21"/>
  <c r="X158" i="21"/>
  <c r="W158" i="21"/>
  <c r="Q158" i="21"/>
  <c r="T158" i="21"/>
  <c r="F158" i="22"/>
  <c r="J158" i="22"/>
  <c r="AB158" i="22"/>
  <c r="V158" i="21"/>
  <c r="AH157" i="21"/>
  <c r="AF157" i="21"/>
  <c r="AD157" i="21"/>
  <c r="AB157" i="21"/>
  <c r="X157" i="21"/>
  <c r="V157" i="21"/>
  <c r="Q157" i="21"/>
  <c r="T157" i="21"/>
  <c r="F157" i="22"/>
  <c r="J157" i="22"/>
  <c r="AC157" i="22"/>
  <c r="AG157" i="21"/>
  <c r="AH156" i="21"/>
  <c r="AF156" i="21"/>
  <c r="AD156" i="21"/>
  <c r="AB156" i="21"/>
  <c r="X156" i="21"/>
  <c r="V156" i="21"/>
  <c r="Q156" i="21"/>
  <c r="T156" i="21"/>
  <c r="F156" i="22"/>
  <c r="J156" i="22"/>
  <c r="AC156" i="22"/>
  <c r="AG156" i="21"/>
  <c r="AH155" i="21"/>
  <c r="AG155" i="21"/>
  <c r="AD155" i="21"/>
  <c r="AC155" i="21"/>
  <c r="X155" i="21"/>
  <c r="W155" i="21"/>
  <c r="Q155" i="21"/>
  <c r="T155" i="21"/>
  <c r="F155" i="22"/>
  <c r="J155" i="22"/>
  <c r="AB155" i="22"/>
  <c r="V155" i="21"/>
  <c r="AG154" i="21"/>
  <c r="AF154" i="21"/>
  <c r="AC154" i="21"/>
  <c r="AB154" i="21"/>
  <c r="W154" i="21"/>
  <c r="V154" i="21"/>
  <c r="Q154" i="21"/>
  <c r="T154" i="21"/>
  <c r="F154" i="22"/>
  <c r="J154" i="22"/>
  <c r="AD154" i="22"/>
  <c r="X154" i="21"/>
  <c r="AH153" i="21"/>
  <c r="AF153" i="21"/>
  <c r="AD153" i="21"/>
  <c r="AB153" i="21"/>
  <c r="X153" i="21"/>
  <c r="V153" i="21"/>
  <c r="Q153" i="21"/>
  <c r="T153" i="21"/>
  <c r="F153" i="22"/>
  <c r="J153" i="22"/>
  <c r="AC153" i="22"/>
  <c r="AG153" i="21"/>
  <c r="AH152" i="21"/>
  <c r="AF152" i="21"/>
  <c r="AD152" i="21"/>
  <c r="AB152" i="21"/>
  <c r="X152" i="21"/>
  <c r="V152" i="21"/>
  <c r="Q152" i="21"/>
  <c r="T152" i="21"/>
  <c r="F152" i="22"/>
  <c r="J152" i="22"/>
  <c r="AC152" i="22"/>
  <c r="AG152" i="21"/>
  <c r="AG151" i="21"/>
  <c r="AF151" i="21"/>
  <c r="AC151" i="21"/>
  <c r="AB151" i="21"/>
  <c r="W151" i="21"/>
  <c r="V151" i="21"/>
  <c r="Q151" i="21"/>
  <c r="T151" i="21"/>
  <c r="F151" i="22"/>
  <c r="J151" i="22"/>
  <c r="AD151" i="22"/>
  <c r="X151" i="21"/>
  <c r="AH150" i="21"/>
  <c r="AG150" i="21"/>
  <c r="AD150" i="21"/>
  <c r="AC150" i="21"/>
  <c r="X150" i="21"/>
  <c r="W150" i="21"/>
  <c r="Q150" i="21"/>
  <c r="T150" i="21"/>
  <c r="F150" i="22"/>
  <c r="J150" i="22"/>
  <c r="AB150" i="22"/>
  <c r="V150" i="21"/>
  <c r="AH148" i="21"/>
  <c r="AG148" i="21"/>
  <c r="AD148" i="21"/>
  <c r="AC148" i="21"/>
  <c r="X148" i="21"/>
  <c r="W148" i="21"/>
  <c r="Q148" i="21"/>
  <c r="T148" i="21"/>
  <c r="F148" i="22"/>
  <c r="J148" i="22"/>
  <c r="AB148" i="22"/>
  <c r="V148" i="21"/>
  <c r="AH147" i="21"/>
  <c r="AF147" i="21"/>
  <c r="AD147" i="21"/>
  <c r="AB147" i="21"/>
  <c r="X147" i="21"/>
  <c r="V147" i="21"/>
  <c r="Q147" i="21"/>
  <c r="T147" i="21"/>
  <c r="F147" i="22"/>
  <c r="J147" i="22"/>
  <c r="AC147" i="22"/>
  <c r="AG147" i="21"/>
  <c r="AH146" i="21"/>
  <c r="AF146" i="21"/>
  <c r="AD146" i="21"/>
  <c r="AB146" i="21"/>
  <c r="X146" i="21"/>
  <c r="V146" i="21"/>
  <c r="Q146" i="21"/>
  <c r="T146" i="21"/>
  <c r="F146" i="22"/>
  <c r="J146" i="22"/>
  <c r="AC146" i="22"/>
  <c r="AG146" i="21"/>
  <c r="AG145" i="21"/>
  <c r="AF145" i="21"/>
  <c r="AC145" i="21"/>
  <c r="AB145" i="21"/>
  <c r="W145" i="21"/>
  <c r="V145" i="21"/>
  <c r="Q145" i="21"/>
  <c r="T145" i="21"/>
  <c r="F145" i="22"/>
  <c r="J145" i="22"/>
  <c r="AD145" i="22"/>
  <c r="X145" i="21"/>
  <c r="AH144" i="21"/>
  <c r="AG144" i="21"/>
  <c r="AD144" i="21"/>
  <c r="AC144" i="21"/>
  <c r="X144" i="21"/>
  <c r="W144" i="21"/>
  <c r="Q144" i="21"/>
  <c r="T144" i="21"/>
  <c r="F144" i="22"/>
  <c r="J144" i="22"/>
  <c r="AB144" i="22"/>
  <c r="V144" i="21"/>
  <c r="AH143" i="21"/>
  <c r="AG143" i="21"/>
  <c r="AD143" i="21"/>
  <c r="AC143" i="21"/>
  <c r="X143" i="21"/>
  <c r="W143" i="21"/>
  <c r="Q143" i="21"/>
  <c r="T143" i="21"/>
  <c r="F143" i="22"/>
  <c r="J143" i="22"/>
  <c r="AB143" i="22"/>
  <c r="V143" i="21"/>
  <c r="AH142" i="21"/>
  <c r="AF142" i="21"/>
  <c r="AD142" i="21"/>
  <c r="AB142" i="21"/>
  <c r="X142" i="21"/>
  <c r="V142" i="21"/>
  <c r="Q142" i="21"/>
  <c r="T142" i="21"/>
  <c r="F142" i="22"/>
  <c r="J142" i="22"/>
  <c r="AC142" i="22"/>
  <c r="AG142" i="21"/>
  <c r="AH141" i="21"/>
  <c r="AF141" i="21"/>
  <c r="AD141" i="21"/>
  <c r="AB141" i="21"/>
  <c r="X141" i="21"/>
  <c r="V141" i="21"/>
  <c r="Q141" i="21"/>
  <c r="AG141" i="21"/>
  <c r="AH140" i="21"/>
  <c r="AG140" i="21"/>
  <c r="AD140" i="21"/>
  <c r="AC140" i="21"/>
  <c r="X140" i="21"/>
  <c r="W140" i="21"/>
  <c r="Q140" i="21"/>
  <c r="V140" i="21"/>
  <c r="AH139" i="21"/>
  <c r="AG139" i="21"/>
  <c r="AD139" i="21"/>
  <c r="AC139" i="21"/>
  <c r="X139" i="21"/>
  <c r="W139" i="21"/>
  <c r="Q139" i="21"/>
  <c r="V139" i="21"/>
  <c r="AH138" i="21"/>
  <c r="AG138" i="21"/>
  <c r="AD138" i="21"/>
  <c r="AC138" i="21"/>
  <c r="X138" i="21"/>
  <c r="W138" i="21"/>
  <c r="Q138" i="21"/>
  <c r="V138" i="21"/>
  <c r="AH137" i="21"/>
  <c r="AG137" i="21"/>
  <c r="AD137" i="21"/>
  <c r="AC137" i="21"/>
  <c r="X137" i="21"/>
  <c r="W137" i="21"/>
  <c r="Q137" i="21"/>
  <c r="AF137" i="21"/>
  <c r="AH136" i="21"/>
  <c r="AG136" i="21"/>
  <c r="AD136" i="21"/>
  <c r="AC136" i="21"/>
  <c r="X136" i="21"/>
  <c r="W136" i="21"/>
  <c r="Q136" i="21"/>
  <c r="V136" i="21"/>
  <c r="AH135" i="21"/>
  <c r="AG135" i="21"/>
  <c r="AD135" i="21"/>
  <c r="AC135" i="21"/>
  <c r="X135" i="21"/>
  <c r="W135" i="21"/>
  <c r="Q135" i="21"/>
  <c r="V135" i="21"/>
  <c r="AH134" i="21"/>
  <c r="AG134" i="21"/>
  <c r="AD134" i="21"/>
  <c r="AC134" i="21"/>
  <c r="X134" i="21"/>
  <c r="W134" i="21"/>
  <c r="Q134" i="21"/>
  <c r="AF134" i="21"/>
  <c r="AH133" i="21"/>
  <c r="AG133" i="21"/>
  <c r="AD133" i="21"/>
  <c r="AC133" i="21"/>
  <c r="X133" i="21"/>
  <c r="W133" i="21"/>
  <c r="Q133" i="21"/>
  <c r="V133" i="21"/>
  <c r="AH132" i="21"/>
  <c r="AG132" i="21"/>
  <c r="AD132" i="21"/>
  <c r="AC132" i="21"/>
  <c r="X132" i="21"/>
  <c r="W132" i="21"/>
  <c r="Q132" i="21"/>
  <c r="AF132" i="21"/>
  <c r="AH131" i="21"/>
  <c r="AG131" i="21"/>
  <c r="AD131" i="21"/>
  <c r="AC131" i="21"/>
  <c r="X131" i="21"/>
  <c r="W131" i="21"/>
  <c r="Q131" i="21"/>
  <c r="AH130" i="21"/>
  <c r="AD130" i="21"/>
  <c r="X130" i="21"/>
  <c r="Q130" i="21"/>
  <c r="V130" i="21"/>
  <c r="AH129" i="21"/>
  <c r="AD129" i="21"/>
  <c r="X129" i="21"/>
  <c r="Q129" i="21"/>
  <c r="AH128" i="21"/>
  <c r="AF128" i="21"/>
  <c r="AD128" i="21"/>
  <c r="AB128" i="21"/>
  <c r="X128" i="21"/>
  <c r="V128" i="21"/>
  <c r="Q128" i="21"/>
  <c r="AH127" i="21"/>
  <c r="AF127" i="21"/>
  <c r="AD127" i="21"/>
  <c r="AB127" i="21"/>
  <c r="X127" i="21"/>
  <c r="V127" i="21"/>
  <c r="Q127" i="21"/>
  <c r="AG126" i="21"/>
  <c r="AF126" i="21"/>
  <c r="AC126" i="21"/>
  <c r="AB126" i="21"/>
  <c r="W126" i="21"/>
  <c r="V126" i="21"/>
  <c r="Q126" i="21"/>
  <c r="AH125" i="21"/>
  <c r="AG125" i="21"/>
  <c r="AD125" i="21"/>
  <c r="AC125" i="21"/>
  <c r="X125" i="21"/>
  <c r="W125" i="21"/>
  <c r="Q125" i="21"/>
  <c r="AH124" i="21"/>
  <c r="AF124" i="21"/>
  <c r="AD124" i="21"/>
  <c r="AB124" i="21"/>
  <c r="X124" i="21"/>
  <c r="V124" i="21"/>
  <c r="Q124" i="21"/>
  <c r="AH123" i="21"/>
  <c r="AG123" i="21"/>
  <c r="AD123" i="21"/>
  <c r="AC123" i="21"/>
  <c r="X123" i="21"/>
  <c r="W123" i="21"/>
  <c r="Q123" i="21"/>
  <c r="AH122" i="21"/>
  <c r="AG122" i="21"/>
  <c r="AD122" i="21"/>
  <c r="AC122" i="21"/>
  <c r="X122" i="21"/>
  <c r="W122" i="21"/>
  <c r="Q122" i="21"/>
  <c r="AH121" i="21"/>
  <c r="AF121" i="21"/>
  <c r="AD121" i="21"/>
  <c r="AB121" i="21"/>
  <c r="X121" i="21"/>
  <c r="V121" i="21"/>
  <c r="Q121" i="21"/>
  <c r="AH120" i="21"/>
  <c r="AF120" i="21"/>
  <c r="AD120" i="21"/>
  <c r="AB120" i="21"/>
  <c r="X120" i="21"/>
  <c r="V120" i="21"/>
  <c r="Q120" i="21"/>
  <c r="AH119" i="21"/>
  <c r="AG119" i="21"/>
  <c r="AD119" i="21"/>
  <c r="AC119" i="21"/>
  <c r="X119" i="21"/>
  <c r="W119" i="21"/>
  <c r="Q119" i="21"/>
  <c r="AH118" i="21"/>
  <c r="AG118" i="21"/>
  <c r="AD118" i="21"/>
  <c r="AC118" i="21"/>
  <c r="X118" i="21"/>
  <c r="W118" i="21"/>
  <c r="Q118" i="21"/>
  <c r="AH117" i="21"/>
  <c r="AG117" i="21"/>
  <c r="AD117" i="21"/>
  <c r="AC117" i="21"/>
  <c r="X117" i="21"/>
  <c r="W117" i="21"/>
  <c r="Q117" i="21"/>
  <c r="AH116" i="21"/>
  <c r="AG116" i="21"/>
  <c r="AD116" i="21"/>
  <c r="AC116" i="21"/>
  <c r="X116" i="21"/>
  <c r="W116" i="21"/>
  <c r="Q116" i="21"/>
  <c r="AH115" i="21"/>
  <c r="AG115" i="21"/>
  <c r="AD115" i="21"/>
  <c r="AC115" i="21"/>
  <c r="X115" i="21"/>
  <c r="W115" i="21"/>
  <c r="Q115" i="21"/>
  <c r="AH114" i="21"/>
  <c r="AG114" i="21"/>
  <c r="AD114" i="21"/>
  <c r="AC114" i="21"/>
  <c r="X114" i="21"/>
  <c r="W114" i="21"/>
  <c r="Q114" i="21"/>
  <c r="AH113" i="21"/>
  <c r="AG113" i="21"/>
  <c r="AD113" i="21"/>
  <c r="AC113" i="21"/>
  <c r="X113" i="21"/>
  <c r="W113" i="21"/>
  <c r="Q113" i="21"/>
  <c r="AH112" i="21"/>
  <c r="AG112" i="21"/>
  <c r="AD112" i="21"/>
  <c r="AC112" i="21"/>
  <c r="X112" i="21"/>
  <c r="W112" i="21"/>
  <c r="Q112" i="21"/>
  <c r="AH111" i="21"/>
  <c r="AG111" i="21"/>
  <c r="AD111" i="21"/>
  <c r="AC111" i="21"/>
  <c r="X111" i="21"/>
  <c r="W111" i="21"/>
  <c r="Q111" i="21"/>
  <c r="AH110" i="21"/>
  <c r="AG110" i="21"/>
  <c r="AD110" i="21"/>
  <c r="AC110" i="21"/>
  <c r="X110" i="21"/>
  <c r="W110" i="21"/>
  <c r="Q110" i="21"/>
  <c r="AH109" i="21"/>
  <c r="AG109" i="21"/>
  <c r="AD109" i="21"/>
  <c r="AC109" i="21"/>
  <c r="X109" i="21"/>
  <c r="W109" i="21"/>
  <c r="Q109" i="21"/>
  <c r="AH108" i="21"/>
  <c r="AG108" i="21"/>
  <c r="AD108" i="21"/>
  <c r="AC108" i="21"/>
  <c r="X108" i="21"/>
  <c r="W108" i="21"/>
  <c r="Q108" i="21"/>
  <c r="AH107" i="21"/>
  <c r="AG107" i="21"/>
  <c r="AD107" i="21"/>
  <c r="AC107" i="21"/>
  <c r="X107" i="21"/>
  <c r="W107" i="21"/>
  <c r="Q107" i="21"/>
  <c r="I226" i="21"/>
  <c r="AH106" i="21"/>
  <c r="AG106" i="21"/>
  <c r="AD106" i="21"/>
  <c r="AC106" i="21"/>
  <c r="X106" i="21"/>
  <c r="W106" i="21"/>
  <c r="Q106" i="21"/>
  <c r="AH105" i="21"/>
  <c r="AG105" i="21"/>
  <c r="AD105" i="21"/>
  <c r="AC105" i="21"/>
  <c r="X105" i="21"/>
  <c r="W105" i="21"/>
  <c r="Q105" i="21"/>
  <c r="AH104" i="21"/>
  <c r="AG104" i="21"/>
  <c r="AD104" i="21"/>
  <c r="AC104" i="21"/>
  <c r="X104" i="21"/>
  <c r="W104" i="21"/>
  <c r="Q104" i="21"/>
  <c r="AH103" i="21"/>
  <c r="AG103" i="21"/>
  <c r="AD103" i="21"/>
  <c r="AC103" i="21"/>
  <c r="X103" i="21"/>
  <c r="W103" i="21"/>
  <c r="Q103" i="21"/>
  <c r="AH102" i="21"/>
  <c r="AG102" i="21"/>
  <c r="AD102" i="21"/>
  <c r="AC102" i="21"/>
  <c r="X102" i="21"/>
  <c r="W102" i="21"/>
  <c r="Q102" i="21"/>
  <c r="AH101" i="21"/>
  <c r="AG101" i="21"/>
  <c r="AD101" i="21"/>
  <c r="AC101" i="21"/>
  <c r="X101" i="21"/>
  <c r="W101" i="21"/>
  <c r="Q101" i="21"/>
  <c r="AH100" i="21"/>
  <c r="AG100" i="21"/>
  <c r="AD100" i="21"/>
  <c r="AC100" i="21"/>
  <c r="X100" i="21"/>
  <c r="W100" i="21"/>
  <c r="Q100" i="21"/>
  <c r="AH99" i="21"/>
  <c r="AF99" i="21"/>
  <c r="AD99" i="21"/>
  <c r="AB99" i="21"/>
  <c r="X99" i="21"/>
  <c r="V99" i="21"/>
  <c r="Q99" i="21"/>
  <c r="AH98" i="21"/>
  <c r="AF98" i="21"/>
  <c r="AD98" i="21"/>
  <c r="AB98" i="21"/>
  <c r="X98" i="21"/>
  <c r="V98" i="21"/>
  <c r="Q98" i="21"/>
  <c r="AH97" i="21"/>
  <c r="AF97" i="21"/>
  <c r="AD97" i="21"/>
  <c r="AB97" i="21"/>
  <c r="X97" i="21"/>
  <c r="V97" i="21"/>
  <c r="Q97" i="21"/>
  <c r="AH96" i="21"/>
  <c r="AG96" i="21"/>
  <c r="AD96" i="21"/>
  <c r="AC96" i="21"/>
  <c r="X96" i="21"/>
  <c r="W96" i="21"/>
  <c r="Q96" i="21"/>
  <c r="AH95" i="21"/>
  <c r="AF95" i="21"/>
  <c r="AD95" i="21"/>
  <c r="AB95" i="21"/>
  <c r="X95" i="21"/>
  <c r="V95" i="21"/>
  <c r="Q95" i="21"/>
  <c r="AH94" i="21"/>
  <c r="AF94" i="21"/>
  <c r="AD94" i="21"/>
  <c r="AB94" i="21"/>
  <c r="X94" i="21"/>
  <c r="V94" i="21"/>
  <c r="Q94" i="21"/>
  <c r="AG93" i="21"/>
  <c r="AF93" i="21"/>
  <c r="AC93" i="21"/>
  <c r="AB93" i="21"/>
  <c r="W93" i="21"/>
  <c r="V93" i="21"/>
  <c r="Q93" i="21"/>
  <c r="AG92" i="21"/>
  <c r="AF92" i="21"/>
  <c r="AC92" i="21"/>
  <c r="AB92" i="21"/>
  <c r="W92" i="21"/>
  <c r="V92" i="21"/>
  <c r="Q92" i="21"/>
  <c r="AH91" i="21"/>
  <c r="AG91" i="21"/>
  <c r="AD91" i="21"/>
  <c r="AC91" i="21"/>
  <c r="X91" i="21"/>
  <c r="W91" i="21"/>
  <c r="Q91" i="21"/>
  <c r="AH90" i="21"/>
  <c r="AG90" i="21"/>
  <c r="AD90" i="21"/>
  <c r="AC90" i="21"/>
  <c r="X90" i="21"/>
  <c r="W90" i="21"/>
  <c r="Q90" i="21"/>
  <c r="AH89" i="21"/>
  <c r="AG89" i="21"/>
  <c r="AD89" i="21"/>
  <c r="AC89" i="21"/>
  <c r="X89" i="21"/>
  <c r="W89" i="21"/>
  <c r="Q89" i="21"/>
  <c r="AH88" i="21"/>
  <c r="AG88" i="21"/>
  <c r="AD88" i="21"/>
  <c r="AC88" i="21"/>
  <c r="X88" i="21"/>
  <c r="W88" i="21"/>
  <c r="Q88" i="21"/>
  <c r="AH87" i="21"/>
  <c r="AG87" i="21"/>
  <c r="AD87" i="21"/>
  <c r="AC87" i="21"/>
  <c r="X87" i="21"/>
  <c r="W87" i="21"/>
  <c r="Q87" i="21"/>
  <c r="AH86" i="21"/>
  <c r="AG86" i="21"/>
  <c r="AD86" i="21"/>
  <c r="AC86" i="21"/>
  <c r="X86" i="21"/>
  <c r="W86" i="21"/>
  <c r="Q86" i="21"/>
  <c r="AH85" i="21"/>
  <c r="AF85" i="21"/>
  <c r="AD85" i="21"/>
  <c r="AB85" i="21"/>
  <c r="X85" i="21"/>
  <c r="V85" i="21"/>
  <c r="Q85" i="21"/>
  <c r="AH84" i="21"/>
  <c r="AF84" i="21"/>
  <c r="AD84" i="21"/>
  <c r="AB84" i="21"/>
  <c r="X84" i="21"/>
  <c r="V84" i="21"/>
  <c r="Q84" i="21"/>
  <c r="AH83" i="21"/>
  <c r="AF83" i="21"/>
  <c r="AD83" i="21"/>
  <c r="AB83" i="21"/>
  <c r="X83" i="21"/>
  <c r="V83" i="21"/>
  <c r="Q83" i="21"/>
  <c r="AH82" i="21"/>
  <c r="AG82" i="21"/>
  <c r="AD82" i="21"/>
  <c r="AC82" i="21"/>
  <c r="X82" i="21"/>
  <c r="W82" i="21"/>
  <c r="Q82" i="21"/>
  <c r="AH81" i="21"/>
  <c r="AF81" i="21"/>
  <c r="AD81" i="21"/>
  <c r="AB81" i="21"/>
  <c r="X81" i="21"/>
  <c r="V81" i="21"/>
  <c r="Q81" i="21"/>
  <c r="AH80" i="21"/>
  <c r="AF80" i="21"/>
  <c r="AD80" i="21"/>
  <c r="AB80" i="21"/>
  <c r="X80" i="21"/>
  <c r="V80" i="21"/>
  <c r="Q80" i="21"/>
  <c r="AH79" i="21"/>
  <c r="AG79" i="21"/>
  <c r="AD79" i="21"/>
  <c r="AC79" i="21"/>
  <c r="X79" i="21"/>
  <c r="W79" i="21"/>
  <c r="Q79" i="21"/>
  <c r="AH78" i="21"/>
  <c r="AG78" i="21"/>
  <c r="AD78" i="21"/>
  <c r="AC78" i="21"/>
  <c r="X78" i="21"/>
  <c r="W78" i="21"/>
  <c r="Q78" i="21"/>
  <c r="AH77" i="21"/>
  <c r="AF77" i="21"/>
  <c r="AD77" i="21"/>
  <c r="AB77" i="21"/>
  <c r="X77" i="21"/>
  <c r="V77" i="21"/>
  <c r="Q77" i="21"/>
  <c r="AH76" i="21"/>
  <c r="AG76" i="21"/>
  <c r="AD76" i="21"/>
  <c r="AC76" i="21"/>
  <c r="X76" i="21"/>
  <c r="W76" i="21"/>
  <c r="Q76" i="21"/>
  <c r="AH75" i="21"/>
  <c r="AG75" i="21"/>
  <c r="AD75" i="21"/>
  <c r="AC75" i="21"/>
  <c r="X75" i="21"/>
  <c r="W75" i="21"/>
  <c r="Q75" i="21"/>
  <c r="AH74" i="21"/>
  <c r="AG74" i="21"/>
  <c r="AD74" i="21"/>
  <c r="AC74" i="21"/>
  <c r="X74" i="21"/>
  <c r="W74" i="21"/>
  <c r="Q74" i="21"/>
  <c r="AH73" i="21"/>
  <c r="AG73" i="21"/>
  <c r="AD73" i="21"/>
  <c r="AC73" i="21"/>
  <c r="Q72" i="20"/>
  <c r="T72" i="20"/>
  <c r="F73" i="21"/>
  <c r="J73" i="21"/>
  <c r="AB73" i="21"/>
  <c r="X73" i="21"/>
  <c r="W73" i="21"/>
  <c r="Q73" i="21"/>
  <c r="AH72" i="21"/>
  <c r="AG72" i="21"/>
  <c r="AD72" i="21"/>
  <c r="AC72" i="21"/>
  <c r="X72" i="21"/>
  <c r="W72" i="21"/>
  <c r="Q72" i="21"/>
  <c r="AH71" i="21"/>
  <c r="AG71" i="21"/>
  <c r="AD71" i="21"/>
  <c r="AC71" i="21"/>
  <c r="X71" i="21"/>
  <c r="W71" i="21"/>
  <c r="Q71" i="21"/>
  <c r="AH70" i="21"/>
  <c r="AG70" i="21"/>
  <c r="AD70" i="21"/>
  <c r="AC70" i="21"/>
  <c r="X70" i="21"/>
  <c r="W70" i="21"/>
  <c r="Q70" i="21"/>
  <c r="AH69" i="21"/>
  <c r="AG69" i="21"/>
  <c r="AD69" i="21"/>
  <c r="AC69" i="21"/>
  <c r="X69" i="21"/>
  <c r="W69" i="21"/>
  <c r="Q69" i="21"/>
  <c r="AH68" i="21"/>
  <c r="AG68" i="21"/>
  <c r="AD68" i="21"/>
  <c r="AC68" i="21"/>
  <c r="X68" i="21"/>
  <c r="W68" i="21"/>
  <c r="Q68" i="21"/>
  <c r="AH67" i="21"/>
  <c r="AG67" i="21"/>
  <c r="AD67" i="21"/>
  <c r="AC67" i="21"/>
  <c r="X67" i="21"/>
  <c r="W67" i="21"/>
  <c r="Q67" i="21"/>
  <c r="AH66" i="21"/>
  <c r="AG66" i="21"/>
  <c r="AD66" i="21"/>
  <c r="AC66" i="21"/>
  <c r="X66" i="21"/>
  <c r="W66" i="21"/>
  <c r="Q66" i="21"/>
  <c r="AH65" i="21"/>
  <c r="AG65" i="21"/>
  <c r="AD65" i="21"/>
  <c r="AC65" i="21"/>
  <c r="X65" i="21"/>
  <c r="W65" i="21"/>
  <c r="Q65" i="21"/>
  <c r="AH64" i="21"/>
  <c r="AG64" i="21"/>
  <c r="AD64" i="21"/>
  <c r="AC64" i="21"/>
  <c r="X64" i="21"/>
  <c r="W64" i="21"/>
  <c r="Q64" i="21"/>
  <c r="AH63" i="21"/>
  <c r="AG63" i="21"/>
  <c r="AD63" i="21"/>
  <c r="AC63" i="21"/>
  <c r="X63" i="21"/>
  <c r="W63" i="21"/>
  <c r="Q63" i="21"/>
  <c r="AH62" i="21"/>
  <c r="AG62" i="21"/>
  <c r="AD62" i="21"/>
  <c r="AC62" i="21"/>
  <c r="X62" i="21"/>
  <c r="W62" i="21"/>
  <c r="Q62" i="21"/>
  <c r="AH61" i="21"/>
  <c r="AG61" i="21"/>
  <c r="AD61" i="21"/>
  <c r="AC61" i="21"/>
  <c r="X61" i="21"/>
  <c r="W61" i="21"/>
  <c r="Q61" i="21"/>
  <c r="AH60" i="21"/>
  <c r="AG60" i="21"/>
  <c r="AD60" i="21"/>
  <c r="AC60" i="21"/>
  <c r="X60" i="21"/>
  <c r="W60" i="21"/>
  <c r="Q60" i="21"/>
  <c r="AG59" i="21"/>
  <c r="AF59" i="21"/>
  <c r="AC59" i="21"/>
  <c r="AB59" i="21"/>
  <c r="W59" i="21"/>
  <c r="V59" i="21"/>
  <c r="Q59" i="21"/>
  <c r="AH58" i="21"/>
  <c r="AF58" i="21"/>
  <c r="AD58" i="21"/>
  <c r="AB58" i="21"/>
  <c r="X58" i="21"/>
  <c r="V58" i="21"/>
  <c r="Q58" i="21"/>
  <c r="AH57" i="21"/>
  <c r="AF57" i="21"/>
  <c r="AD57" i="21"/>
  <c r="AB57" i="21"/>
  <c r="X57" i="21"/>
  <c r="V57" i="21"/>
  <c r="Q57" i="21"/>
  <c r="AG56" i="21"/>
  <c r="AF56" i="21"/>
  <c r="AC56" i="21"/>
  <c r="AB56" i="21"/>
  <c r="W56" i="21"/>
  <c r="V56" i="21"/>
  <c r="Q56" i="21"/>
  <c r="AH55" i="21"/>
  <c r="AF55" i="21"/>
  <c r="AD55" i="21"/>
  <c r="AB55" i="21"/>
  <c r="X55" i="21"/>
  <c r="V55" i="21"/>
  <c r="Q55" i="21"/>
  <c r="AH54" i="21"/>
  <c r="AF54" i="21"/>
  <c r="AD54" i="21"/>
  <c r="AB54" i="21"/>
  <c r="X54" i="21"/>
  <c r="V54" i="21"/>
  <c r="Q54" i="21"/>
  <c r="AH53" i="21"/>
  <c r="AF53" i="21"/>
  <c r="AD53" i="21"/>
  <c r="AB53" i="21"/>
  <c r="X53" i="21"/>
  <c r="V53" i="21"/>
  <c r="Q53" i="21"/>
  <c r="AH52" i="21"/>
  <c r="AF52" i="21"/>
  <c r="AD52" i="21"/>
  <c r="AB52" i="21"/>
  <c r="X52" i="21"/>
  <c r="V52" i="21"/>
  <c r="Q52" i="21"/>
  <c r="AH51" i="21"/>
  <c r="AF51" i="21"/>
  <c r="AD51" i="21"/>
  <c r="AB51" i="21"/>
  <c r="X51" i="21"/>
  <c r="V51" i="21"/>
  <c r="Q51" i="21"/>
  <c r="AH50" i="21"/>
  <c r="AG50" i="21"/>
  <c r="AD50" i="21"/>
  <c r="AC50" i="21"/>
  <c r="X50" i="21"/>
  <c r="W50" i="21"/>
  <c r="Q50" i="21"/>
  <c r="AH49" i="21"/>
  <c r="AG49" i="21"/>
  <c r="AD49" i="21"/>
  <c r="AC49" i="21"/>
  <c r="X49" i="21"/>
  <c r="W49" i="21"/>
  <c r="Q49" i="21"/>
  <c r="AH48" i="21"/>
  <c r="AG48" i="21"/>
  <c r="AD48" i="21"/>
  <c r="AC48" i="21"/>
  <c r="X48" i="21"/>
  <c r="W48" i="21"/>
  <c r="Q48" i="21"/>
  <c r="T48" i="21"/>
  <c r="F48" i="22"/>
  <c r="J48" i="22"/>
  <c r="AB48" i="22"/>
  <c r="AH47" i="21"/>
  <c r="AF47" i="21"/>
  <c r="AD47" i="21"/>
  <c r="AB47" i="21"/>
  <c r="X47" i="21"/>
  <c r="V47" i="21"/>
  <c r="Q47" i="21"/>
  <c r="AH46" i="21"/>
  <c r="AG46" i="21"/>
  <c r="AD46" i="21"/>
  <c r="AC46" i="21"/>
  <c r="X46" i="21"/>
  <c r="W46" i="21"/>
  <c r="Q46" i="21"/>
  <c r="AH45" i="21"/>
  <c r="AG45" i="21"/>
  <c r="AD45" i="21"/>
  <c r="AC45" i="21"/>
  <c r="X45" i="21"/>
  <c r="W45" i="21"/>
  <c r="Q45" i="21"/>
  <c r="AH44" i="21"/>
  <c r="AF44" i="21"/>
  <c r="AD44" i="21"/>
  <c r="AB44" i="21"/>
  <c r="X44" i="21"/>
  <c r="V44" i="21"/>
  <c r="Q44" i="21"/>
  <c r="AH43" i="21"/>
  <c r="AG43" i="21"/>
  <c r="AD43" i="21"/>
  <c r="AC43" i="21"/>
  <c r="X43" i="21"/>
  <c r="W43" i="21"/>
  <c r="Q43" i="21"/>
  <c r="AG42" i="21"/>
  <c r="AF42" i="21"/>
  <c r="AC42" i="21"/>
  <c r="AB42" i="21"/>
  <c r="W42" i="21"/>
  <c r="V42" i="21"/>
  <c r="Q42" i="21"/>
  <c r="AH41" i="21"/>
  <c r="AG41" i="21"/>
  <c r="AD41" i="21"/>
  <c r="AC41" i="21"/>
  <c r="X41" i="21"/>
  <c r="W41" i="21"/>
  <c r="Q41" i="21"/>
  <c r="AH40" i="21"/>
  <c r="AG40" i="21"/>
  <c r="AD40" i="21"/>
  <c r="AC40" i="21"/>
  <c r="X40" i="21"/>
  <c r="W40" i="21"/>
  <c r="Q40" i="21"/>
  <c r="AH39" i="21"/>
  <c r="AG39" i="21"/>
  <c r="AD39" i="21"/>
  <c r="AC39" i="21"/>
  <c r="X39" i="21"/>
  <c r="W39" i="21"/>
  <c r="Q39" i="21"/>
  <c r="AH36" i="21"/>
  <c r="AG36" i="21"/>
  <c r="AD36" i="21"/>
  <c r="AC36" i="21"/>
  <c r="X36" i="21"/>
  <c r="W36" i="21"/>
  <c r="Q36" i="21"/>
  <c r="AH35" i="21"/>
  <c r="AG35" i="21"/>
  <c r="AD35" i="21"/>
  <c r="AC35" i="21"/>
  <c r="X35" i="21"/>
  <c r="W35" i="21"/>
  <c r="Q35" i="21"/>
  <c r="AH34" i="21"/>
  <c r="AG34" i="21"/>
  <c r="AD34" i="21"/>
  <c r="AC34" i="21"/>
  <c r="X34" i="21"/>
  <c r="W34" i="21"/>
  <c r="Q34" i="21"/>
  <c r="AH33" i="21"/>
  <c r="AG33" i="21"/>
  <c r="AD33" i="21"/>
  <c r="AC33" i="21"/>
  <c r="X33" i="21"/>
  <c r="W33" i="21"/>
  <c r="Q33" i="21"/>
  <c r="AH32" i="21"/>
  <c r="AG32" i="21"/>
  <c r="AD32" i="21"/>
  <c r="AC32" i="21"/>
  <c r="X32" i="21"/>
  <c r="W32" i="21"/>
  <c r="Q32" i="21"/>
  <c r="AH31" i="21"/>
  <c r="AG31" i="21"/>
  <c r="AD31" i="21"/>
  <c r="AC31" i="21"/>
  <c r="X31" i="21"/>
  <c r="W31" i="21"/>
  <c r="Q31" i="21"/>
  <c r="AH30" i="21"/>
  <c r="AF30" i="21"/>
  <c r="AD30" i="21"/>
  <c r="AB30" i="21"/>
  <c r="X30" i="21"/>
  <c r="V30" i="21"/>
  <c r="Q30" i="21"/>
  <c r="E226" i="21"/>
  <c r="AH29" i="21"/>
  <c r="AG29" i="21"/>
  <c r="AD29" i="21"/>
  <c r="AC29" i="21"/>
  <c r="X29" i="21"/>
  <c r="W29" i="21"/>
  <c r="Q29" i="21"/>
  <c r="AH28" i="21"/>
  <c r="AG28" i="21"/>
  <c r="AD28" i="21"/>
  <c r="AC28" i="21"/>
  <c r="X28" i="21"/>
  <c r="W28" i="21"/>
  <c r="Q28" i="21"/>
  <c r="AH27" i="21"/>
  <c r="AG27" i="21"/>
  <c r="AD27" i="21"/>
  <c r="AC27" i="21"/>
  <c r="X27" i="21"/>
  <c r="W27" i="21"/>
  <c r="Q27" i="21"/>
  <c r="AH26" i="21"/>
  <c r="AF26" i="21"/>
  <c r="AD26" i="21"/>
  <c r="AB26" i="21"/>
  <c r="X26" i="21"/>
  <c r="V26" i="21"/>
  <c r="Q26" i="21"/>
  <c r="AH25" i="21"/>
  <c r="AF25" i="21"/>
  <c r="AD25" i="21"/>
  <c r="AB25" i="21"/>
  <c r="X25" i="21"/>
  <c r="V25" i="21"/>
  <c r="Q25" i="21"/>
  <c r="AH24" i="21"/>
  <c r="AF24" i="21"/>
  <c r="AD24" i="21"/>
  <c r="AB24" i="21"/>
  <c r="X24" i="21"/>
  <c r="V24" i="21"/>
  <c r="Q24" i="21"/>
  <c r="AH23" i="21"/>
  <c r="AG23" i="21"/>
  <c r="AD23" i="21"/>
  <c r="AC23" i="21"/>
  <c r="X23" i="21"/>
  <c r="W23" i="21"/>
  <c r="Q23" i="21"/>
  <c r="AH22" i="21"/>
  <c r="AG22" i="21"/>
  <c r="AD22" i="21"/>
  <c r="AC22" i="21"/>
  <c r="X22" i="21"/>
  <c r="W22" i="21"/>
  <c r="Q22" i="21"/>
  <c r="AH21" i="21"/>
  <c r="AG21" i="21"/>
  <c r="AD21" i="21"/>
  <c r="AC21" i="21"/>
  <c r="X21" i="21"/>
  <c r="W21" i="21"/>
  <c r="Q21" i="21"/>
  <c r="AH19" i="21"/>
  <c r="AF19" i="21"/>
  <c r="AD19" i="21"/>
  <c r="AB19" i="21"/>
  <c r="X19" i="21"/>
  <c r="V19" i="21"/>
  <c r="Q19" i="21"/>
  <c r="AH18" i="21"/>
  <c r="AF18" i="21"/>
  <c r="AD18" i="21"/>
  <c r="AB18" i="21"/>
  <c r="X18" i="21"/>
  <c r="V18" i="21"/>
  <c r="Q18" i="21"/>
  <c r="AH17" i="21"/>
  <c r="AG17" i="21"/>
  <c r="AD17" i="21"/>
  <c r="AC17" i="21"/>
  <c r="X17" i="21"/>
  <c r="W17" i="21"/>
  <c r="Q17" i="21"/>
  <c r="AH16" i="21"/>
  <c r="AF16" i="21"/>
  <c r="AD16" i="21"/>
  <c r="AB16" i="21"/>
  <c r="X16" i="21"/>
  <c r="V16" i="21"/>
  <c r="Q16" i="21"/>
  <c r="T16" i="21"/>
  <c r="F16" i="22"/>
  <c r="J16" i="22"/>
  <c r="AC16" i="22"/>
  <c r="R19" i="19"/>
  <c r="R18" i="19"/>
  <c r="I163" i="20"/>
  <c r="T132" i="21"/>
  <c r="F132" i="22"/>
  <c r="J132" i="22"/>
  <c r="AB132" i="22"/>
  <c r="T133" i="21"/>
  <c r="F133" i="22"/>
  <c r="J133" i="22"/>
  <c r="AB133" i="22"/>
  <c r="T134" i="21"/>
  <c r="F134" i="22"/>
  <c r="J134" i="22"/>
  <c r="AB134" i="22"/>
  <c r="T135" i="21"/>
  <c r="F135" i="22"/>
  <c r="J135" i="22"/>
  <c r="AB135" i="22"/>
  <c r="T136" i="21"/>
  <c r="F136" i="22"/>
  <c r="J136" i="22"/>
  <c r="AB136" i="22"/>
  <c r="T137" i="21"/>
  <c r="F137" i="22"/>
  <c r="J137" i="22"/>
  <c r="AB137" i="22"/>
  <c r="T138" i="21"/>
  <c r="F138" i="22"/>
  <c r="J138" i="22"/>
  <c r="AB138" i="22"/>
  <c r="T139" i="21"/>
  <c r="F139" i="22"/>
  <c r="J139" i="22"/>
  <c r="AB139" i="22"/>
  <c r="T140" i="21"/>
  <c r="F140" i="22"/>
  <c r="J140" i="22"/>
  <c r="AB140" i="22"/>
  <c r="T206" i="21"/>
  <c r="F206" i="22"/>
  <c r="J206" i="22"/>
  <c r="AB206" i="22"/>
  <c r="T207" i="21"/>
  <c r="F207" i="22"/>
  <c r="J207" i="22"/>
  <c r="AD207" i="22"/>
  <c r="T208" i="21"/>
  <c r="F208" i="22"/>
  <c r="J208" i="22"/>
  <c r="AB208" i="22"/>
  <c r="T209" i="21"/>
  <c r="F209" i="22"/>
  <c r="J209" i="22"/>
  <c r="AD209" i="22"/>
  <c r="T141" i="21"/>
  <c r="F141" i="22"/>
  <c r="J141" i="22"/>
  <c r="AC141" i="22"/>
  <c r="V17" i="21"/>
  <c r="T17" i="21"/>
  <c r="F17" i="22"/>
  <c r="J17" i="22"/>
  <c r="AB17" i="22"/>
  <c r="AG18" i="21"/>
  <c r="T18" i="21"/>
  <c r="F18" i="22"/>
  <c r="J18" i="22"/>
  <c r="AC18" i="22"/>
  <c r="AG19" i="21"/>
  <c r="T19" i="21"/>
  <c r="F19" i="22"/>
  <c r="J19" i="22"/>
  <c r="AC19" i="22"/>
  <c r="V21" i="21"/>
  <c r="T21" i="21"/>
  <c r="F21" i="22"/>
  <c r="J21" i="22"/>
  <c r="AB21" i="22"/>
  <c r="V22" i="21"/>
  <c r="T22" i="21"/>
  <c r="F22" i="22"/>
  <c r="J22" i="22"/>
  <c r="AB22" i="22"/>
  <c r="V23" i="21"/>
  <c r="T23" i="21"/>
  <c r="F23" i="22"/>
  <c r="J23" i="22"/>
  <c r="AB23" i="22"/>
  <c r="AG24" i="21"/>
  <c r="T24" i="21"/>
  <c r="F24" i="22"/>
  <c r="J24" i="22"/>
  <c r="AC24" i="22"/>
  <c r="AG25" i="21"/>
  <c r="T25" i="21"/>
  <c r="F25" i="22"/>
  <c r="J25" i="22"/>
  <c r="AC25" i="22"/>
  <c r="AG26" i="21"/>
  <c r="T26" i="21"/>
  <c r="F26" i="22"/>
  <c r="J26" i="22"/>
  <c r="AC26" i="22"/>
  <c r="V27" i="21"/>
  <c r="T27" i="21"/>
  <c r="F27" i="22"/>
  <c r="J27" i="22"/>
  <c r="AB27" i="22"/>
  <c r="V28" i="21"/>
  <c r="T28" i="21"/>
  <c r="F28" i="22"/>
  <c r="J28" i="22"/>
  <c r="AB28" i="22"/>
  <c r="V29" i="21"/>
  <c r="T29" i="21"/>
  <c r="F29" i="22"/>
  <c r="J29" i="22"/>
  <c r="AB29" i="22"/>
  <c r="AG44" i="21"/>
  <c r="T44" i="21"/>
  <c r="F44" i="22"/>
  <c r="J44" i="22"/>
  <c r="AC44" i="22"/>
  <c r="V45" i="21"/>
  <c r="T45" i="21"/>
  <c r="F45" i="22"/>
  <c r="J45" i="22"/>
  <c r="AB45" i="22"/>
  <c r="V46" i="21"/>
  <c r="T46" i="21"/>
  <c r="F46" i="22"/>
  <c r="E46" i="22"/>
  <c r="J46" i="22"/>
  <c r="AB46" i="22"/>
  <c r="AG47" i="21"/>
  <c r="T47" i="21"/>
  <c r="F47" i="22"/>
  <c r="J47" i="22"/>
  <c r="AC47" i="22"/>
  <c r="V49" i="21"/>
  <c r="T49" i="21"/>
  <c r="F49" i="22"/>
  <c r="J49" i="22"/>
  <c r="AB49" i="22"/>
  <c r="AF50" i="21"/>
  <c r="T50" i="21"/>
  <c r="F50" i="22"/>
  <c r="J50" i="22"/>
  <c r="AB50" i="22"/>
  <c r="AG51" i="21"/>
  <c r="T51" i="21"/>
  <c r="F51" i="22"/>
  <c r="J51" i="22"/>
  <c r="AC51" i="22"/>
  <c r="W52" i="21"/>
  <c r="T52" i="21"/>
  <c r="F52" i="22"/>
  <c r="J52" i="22"/>
  <c r="AC52" i="22"/>
  <c r="AG53" i="21"/>
  <c r="T53" i="21"/>
  <c r="F53" i="22"/>
  <c r="J53" i="22"/>
  <c r="AC53" i="22"/>
  <c r="W54" i="21"/>
  <c r="T54" i="21"/>
  <c r="F54" i="22"/>
  <c r="J54" i="22"/>
  <c r="AC54" i="22"/>
  <c r="AG55" i="21"/>
  <c r="T55" i="21"/>
  <c r="F55" i="22"/>
  <c r="J55" i="22"/>
  <c r="AC55" i="22"/>
  <c r="X56" i="21"/>
  <c r="T56" i="21"/>
  <c r="F56" i="22"/>
  <c r="J56" i="22"/>
  <c r="AD56" i="22"/>
  <c r="W57" i="21"/>
  <c r="T57" i="21"/>
  <c r="F57" i="22"/>
  <c r="J57" i="22"/>
  <c r="AC57" i="22"/>
  <c r="AG58" i="21"/>
  <c r="T58" i="21"/>
  <c r="F58" i="22"/>
  <c r="J58" i="22"/>
  <c r="AC58" i="22"/>
  <c r="X59" i="21"/>
  <c r="T59" i="21"/>
  <c r="F59" i="22"/>
  <c r="J59" i="22"/>
  <c r="AD59" i="22"/>
  <c r="AF60" i="21"/>
  <c r="T60" i="21"/>
  <c r="F60" i="22"/>
  <c r="J60" i="22"/>
  <c r="AB60" i="22"/>
  <c r="V61" i="21"/>
  <c r="T61" i="21"/>
  <c r="F61" i="22"/>
  <c r="J61" i="22"/>
  <c r="AB61" i="22"/>
  <c r="AF62" i="21"/>
  <c r="T62" i="21"/>
  <c r="F62" i="22"/>
  <c r="J62" i="22"/>
  <c r="AB62" i="22"/>
  <c r="V63" i="21"/>
  <c r="T63" i="21"/>
  <c r="F63" i="22"/>
  <c r="J63" i="22"/>
  <c r="AB63" i="22"/>
  <c r="AF64" i="21"/>
  <c r="T64" i="21"/>
  <c r="F64" i="22"/>
  <c r="J64" i="22"/>
  <c r="AB64" i="22"/>
  <c r="V65" i="21"/>
  <c r="T65" i="21"/>
  <c r="F65" i="22"/>
  <c r="J65" i="22"/>
  <c r="AB65" i="22"/>
  <c r="V66" i="21"/>
  <c r="T66" i="21"/>
  <c r="F66" i="22"/>
  <c r="J66" i="22"/>
  <c r="AB66" i="22"/>
  <c r="V107" i="21"/>
  <c r="T107" i="21"/>
  <c r="F107" i="22"/>
  <c r="J107" i="22"/>
  <c r="AB107" i="22"/>
  <c r="V108" i="21"/>
  <c r="T108" i="21"/>
  <c r="F108" i="22"/>
  <c r="J108" i="22"/>
  <c r="AB108" i="22"/>
  <c r="V109" i="21"/>
  <c r="T109" i="21"/>
  <c r="F109" i="22"/>
  <c r="J109" i="22"/>
  <c r="AB109" i="22"/>
  <c r="V110" i="21"/>
  <c r="T110" i="21"/>
  <c r="F110" i="22"/>
  <c r="J110" i="22"/>
  <c r="AB110" i="22"/>
  <c r="V111" i="21"/>
  <c r="T111" i="21"/>
  <c r="F111" i="22"/>
  <c r="J111" i="22"/>
  <c r="AB111" i="22"/>
  <c r="V112" i="21"/>
  <c r="T112" i="21"/>
  <c r="F112" i="22"/>
  <c r="J112" i="22"/>
  <c r="AB112" i="22"/>
  <c r="V113" i="21"/>
  <c r="T113" i="21"/>
  <c r="F113" i="22"/>
  <c r="J113" i="22"/>
  <c r="AB113" i="22"/>
  <c r="V114" i="21"/>
  <c r="T114" i="21"/>
  <c r="F114" i="22"/>
  <c r="J114" i="22"/>
  <c r="AB114" i="22"/>
  <c r="V115" i="21"/>
  <c r="T115" i="21"/>
  <c r="F115" i="22"/>
  <c r="J115" i="22"/>
  <c r="AB115" i="22"/>
  <c r="V116" i="21"/>
  <c r="T116" i="21"/>
  <c r="F116" i="22"/>
  <c r="J116" i="22"/>
  <c r="AB116" i="22"/>
  <c r="V117" i="21"/>
  <c r="T117" i="21"/>
  <c r="F117" i="22"/>
  <c r="J117" i="22"/>
  <c r="AB117" i="22"/>
  <c r="V118" i="21"/>
  <c r="T118" i="21"/>
  <c r="F118" i="22"/>
  <c r="J118" i="22"/>
  <c r="AB118" i="22"/>
  <c r="V119" i="21"/>
  <c r="T119" i="21"/>
  <c r="F119" i="22"/>
  <c r="J119" i="22"/>
  <c r="AB119" i="22"/>
  <c r="AG120" i="21"/>
  <c r="T120" i="21"/>
  <c r="F120" i="22"/>
  <c r="J120" i="22"/>
  <c r="AC120" i="22"/>
  <c r="AG121" i="21"/>
  <c r="T121" i="21"/>
  <c r="F121" i="22"/>
  <c r="J121" i="22"/>
  <c r="AC121" i="22"/>
  <c r="V122" i="21"/>
  <c r="T122" i="21"/>
  <c r="F122" i="22"/>
  <c r="J122" i="22"/>
  <c r="AB122" i="22"/>
  <c r="V123" i="21"/>
  <c r="T123" i="21"/>
  <c r="F123" i="22"/>
  <c r="J123" i="22"/>
  <c r="AB123" i="22"/>
  <c r="AG124" i="21"/>
  <c r="T124" i="21"/>
  <c r="F124" i="22"/>
  <c r="J124" i="22"/>
  <c r="AC124" i="22"/>
  <c r="V125" i="21"/>
  <c r="T125" i="21"/>
  <c r="F125" i="22"/>
  <c r="J125" i="22"/>
  <c r="AB125" i="22"/>
  <c r="AH126" i="21"/>
  <c r="T126" i="21"/>
  <c r="F126" i="22"/>
  <c r="J126" i="22"/>
  <c r="AD126" i="22"/>
  <c r="V205" i="21"/>
  <c r="T205" i="21"/>
  <c r="F205" i="22"/>
  <c r="J205" i="22"/>
  <c r="AB205" i="22"/>
  <c r="AG30" i="21"/>
  <c r="T30" i="21"/>
  <c r="F30" i="22"/>
  <c r="J30" i="22"/>
  <c r="AC30" i="22"/>
  <c r="V31" i="21"/>
  <c r="T31" i="21"/>
  <c r="F31" i="22"/>
  <c r="J31" i="22"/>
  <c r="AB31" i="22"/>
  <c r="V32" i="21"/>
  <c r="T32" i="21"/>
  <c r="F32" i="22"/>
  <c r="J32" i="22"/>
  <c r="AB32" i="22"/>
  <c r="V33" i="21"/>
  <c r="T33" i="21"/>
  <c r="F33" i="22"/>
  <c r="J33" i="22"/>
  <c r="AB33" i="22"/>
  <c r="V34" i="21"/>
  <c r="T34" i="21"/>
  <c r="F34" i="22"/>
  <c r="J34" i="22"/>
  <c r="AB34" i="22"/>
  <c r="V35" i="21"/>
  <c r="T35" i="21"/>
  <c r="F35" i="22"/>
  <c r="J35" i="22"/>
  <c r="AB35" i="22"/>
  <c r="V36" i="21"/>
  <c r="T36" i="21"/>
  <c r="F36" i="22"/>
  <c r="J36" i="22"/>
  <c r="AB36" i="22"/>
  <c r="V39" i="21"/>
  <c r="T39" i="21"/>
  <c r="F39" i="22"/>
  <c r="J39" i="22"/>
  <c r="AB39" i="22"/>
  <c r="V40" i="21"/>
  <c r="T40" i="21"/>
  <c r="F40" i="22"/>
  <c r="J40" i="22"/>
  <c r="AB40" i="22"/>
  <c r="V41" i="21"/>
  <c r="T41" i="21"/>
  <c r="F41" i="22"/>
  <c r="J41" i="22"/>
  <c r="AB41" i="22"/>
  <c r="X42" i="21"/>
  <c r="T42" i="21"/>
  <c r="F42" i="22"/>
  <c r="J42" i="22"/>
  <c r="AD42" i="22"/>
  <c r="AF43" i="21"/>
  <c r="T43" i="21"/>
  <c r="F43" i="22"/>
  <c r="J43" i="22"/>
  <c r="AB43" i="22"/>
  <c r="V67" i="21"/>
  <c r="T67" i="21"/>
  <c r="F67" i="22"/>
  <c r="J67" i="22"/>
  <c r="AB67" i="22"/>
  <c r="V68" i="21"/>
  <c r="T68" i="21"/>
  <c r="F68" i="22"/>
  <c r="J68" i="22"/>
  <c r="AB68" i="22"/>
  <c r="V69" i="21"/>
  <c r="T69" i="21"/>
  <c r="F69" i="22"/>
  <c r="J69" i="22"/>
  <c r="AB69" i="22"/>
  <c r="V70" i="21"/>
  <c r="T70" i="21"/>
  <c r="F70" i="22"/>
  <c r="J70" i="22"/>
  <c r="AB70" i="22"/>
  <c r="V71" i="21"/>
  <c r="T71" i="21"/>
  <c r="F71" i="22"/>
  <c r="J71" i="22"/>
  <c r="AB71" i="22"/>
  <c r="V72" i="21"/>
  <c r="T72" i="21"/>
  <c r="F72" i="22"/>
  <c r="J72" i="22"/>
  <c r="AB72" i="22"/>
  <c r="V73" i="21"/>
  <c r="T73" i="21"/>
  <c r="F73" i="22"/>
  <c r="J73" i="22"/>
  <c r="AB73" i="22"/>
  <c r="V74" i="21"/>
  <c r="T74" i="21"/>
  <c r="F74" i="22"/>
  <c r="J74" i="22"/>
  <c r="AB74" i="22"/>
  <c r="V75" i="21"/>
  <c r="T75" i="21"/>
  <c r="F75" i="22"/>
  <c r="J75" i="22"/>
  <c r="AB75" i="22"/>
  <c r="V76" i="21"/>
  <c r="T76" i="21"/>
  <c r="F76" i="22"/>
  <c r="J76" i="22"/>
  <c r="AB76" i="22"/>
  <c r="AG77" i="21"/>
  <c r="T77" i="21"/>
  <c r="F77" i="22"/>
  <c r="J77" i="22"/>
  <c r="AC77" i="22"/>
  <c r="V78" i="21"/>
  <c r="T78" i="21"/>
  <c r="F78" i="22"/>
  <c r="J78" i="22"/>
  <c r="AB78" i="22"/>
  <c r="AF79" i="21"/>
  <c r="T79" i="21"/>
  <c r="F79" i="22"/>
  <c r="J79" i="22"/>
  <c r="AB79" i="22"/>
  <c r="AG80" i="21"/>
  <c r="T80" i="21"/>
  <c r="F80" i="22"/>
  <c r="J80" i="22"/>
  <c r="AC80" i="22"/>
  <c r="AG81" i="21"/>
  <c r="T81" i="21"/>
  <c r="F81" i="22"/>
  <c r="J81" i="22"/>
  <c r="AC81" i="22"/>
  <c r="V82" i="21"/>
  <c r="T82" i="21"/>
  <c r="F82" i="22"/>
  <c r="J82" i="22"/>
  <c r="AB82" i="22"/>
  <c r="AG83" i="21"/>
  <c r="T83" i="21"/>
  <c r="F83" i="22"/>
  <c r="J83" i="22"/>
  <c r="AC83" i="22"/>
  <c r="AG84" i="21"/>
  <c r="T84" i="21"/>
  <c r="F84" i="22"/>
  <c r="J84" i="22"/>
  <c r="AC84" i="22"/>
  <c r="AG85" i="21"/>
  <c r="T85" i="21"/>
  <c r="F85" i="22"/>
  <c r="J85" i="22"/>
  <c r="AC85" i="22"/>
  <c r="V86" i="21"/>
  <c r="T86" i="21"/>
  <c r="F86" i="22"/>
  <c r="J86" i="22"/>
  <c r="AB86" i="22"/>
  <c r="V87" i="21"/>
  <c r="T87" i="21"/>
  <c r="F87" i="22"/>
  <c r="J87" i="22"/>
  <c r="AB87" i="22"/>
  <c r="V88" i="21"/>
  <c r="T88" i="21"/>
  <c r="F88" i="22"/>
  <c r="J88" i="22"/>
  <c r="AB88" i="22"/>
  <c r="V89" i="21"/>
  <c r="T89" i="21"/>
  <c r="F89" i="22"/>
  <c r="J89" i="22"/>
  <c r="AB89" i="22"/>
  <c r="V90" i="21"/>
  <c r="T90" i="21"/>
  <c r="F90" i="22"/>
  <c r="J90" i="22"/>
  <c r="AB90" i="22"/>
  <c r="V91" i="21"/>
  <c r="T91" i="21"/>
  <c r="F91" i="22"/>
  <c r="J91" i="22"/>
  <c r="AB91" i="22"/>
  <c r="X92" i="21"/>
  <c r="T92" i="21"/>
  <c r="F92" i="22"/>
  <c r="J92" i="22"/>
  <c r="AD92" i="22"/>
  <c r="X93" i="21"/>
  <c r="T93" i="21"/>
  <c r="F93" i="22"/>
  <c r="J93" i="22"/>
  <c r="AD93" i="22"/>
  <c r="AG94" i="21"/>
  <c r="T94" i="21"/>
  <c r="F94" i="22"/>
  <c r="J94" i="22"/>
  <c r="AC94" i="22"/>
  <c r="AG95" i="21"/>
  <c r="T95" i="21"/>
  <c r="F95" i="22"/>
  <c r="J95" i="22"/>
  <c r="AC95" i="22"/>
  <c r="V96" i="21"/>
  <c r="T96" i="21"/>
  <c r="F96" i="22"/>
  <c r="J96" i="22"/>
  <c r="AB96" i="22"/>
  <c r="AG97" i="21"/>
  <c r="T97" i="21"/>
  <c r="F97" i="22"/>
  <c r="J97" i="22"/>
  <c r="AC97" i="22"/>
  <c r="AG98" i="21"/>
  <c r="T98" i="21"/>
  <c r="F98" i="22"/>
  <c r="J98" i="22"/>
  <c r="AC98" i="22"/>
  <c r="AG99" i="21"/>
  <c r="T99" i="21"/>
  <c r="F99" i="22"/>
  <c r="J99" i="22"/>
  <c r="AC99" i="22"/>
  <c r="V100" i="21"/>
  <c r="T100" i="21"/>
  <c r="F100" i="22"/>
  <c r="J100" i="22"/>
  <c r="AB100" i="22"/>
  <c r="V101" i="21"/>
  <c r="T101" i="21"/>
  <c r="F101" i="22"/>
  <c r="J101" i="22"/>
  <c r="AB101" i="22"/>
  <c r="V102" i="21"/>
  <c r="T102" i="21"/>
  <c r="F102" i="22"/>
  <c r="J102" i="22"/>
  <c r="AB102" i="22"/>
  <c r="V103" i="21"/>
  <c r="T103" i="21"/>
  <c r="F103" i="22"/>
  <c r="J103" i="22"/>
  <c r="AB103" i="22"/>
  <c r="V104" i="21"/>
  <c r="T104" i="21"/>
  <c r="F104" i="22"/>
  <c r="J104" i="22"/>
  <c r="AB104" i="22"/>
  <c r="V105" i="21"/>
  <c r="T105" i="21"/>
  <c r="F105" i="22"/>
  <c r="J105" i="22"/>
  <c r="AB105" i="22"/>
  <c r="V106" i="21"/>
  <c r="T106" i="21"/>
  <c r="F106" i="22"/>
  <c r="J106" i="22"/>
  <c r="AB106" i="22"/>
  <c r="AG127" i="21"/>
  <c r="T127" i="21"/>
  <c r="F127" i="22"/>
  <c r="J127" i="22"/>
  <c r="AC127" i="22"/>
  <c r="AG128" i="21"/>
  <c r="T128" i="21"/>
  <c r="F128" i="22"/>
  <c r="J128" i="22"/>
  <c r="AC128" i="22"/>
  <c r="AF129" i="21"/>
  <c r="T129" i="21"/>
  <c r="F129" i="22"/>
  <c r="J129" i="22"/>
  <c r="AC129" i="22"/>
  <c r="W130" i="21"/>
  <c r="T130" i="21"/>
  <c r="F130" i="22"/>
  <c r="J130" i="22"/>
  <c r="AB130" i="22"/>
  <c r="V131" i="21"/>
  <c r="T131" i="21"/>
  <c r="F131" i="22"/>
  <c r="J131" i="22"/>
  <c r="AB131" i="22"/>
  <c r="AF130" i="21"/>
  <c r="T176" i="21"/>
  <c r="F176" i="22"/>
  <c r="J176" i="22"/>
  <c r="AC176" i="22"/>
  <c r="T177" i="21"/>
  <c r="F177" i="22"/>
  <c r="J177" i="22"/>
  <c r="AC177" i="22"/>
  <c r="T178" i="21"/>
  <c r="F178" i="22"/>
  <c r="J178" i="22"/>
  <c r="AB178" i="22"/>
  <c r="T179" i="21"/>
  <c r="T180" i="21"/>
  <c r="T181" i="21"/>
  <c r="F181" i="22"/>
  <c r="J181" i="22"/>
  <c r="AB181" i="22"/>
  <c r="T182" i="21"/>
  <c r="F182" i="22"/>
  <c r="J182" i="22"/>
  <c r="AC182" i="22"/>
  <c r="T183" i="21"/>
  <c r="F183" i="22"/>
  <c r="J183" i="22"/>
  <c r="AB183" i="22"/>
  <c r="T184" i="21"/>
  <c r="F184" i="22"/>
  <c r="J184" i="22"/>
  <c r="AB184" i="22"/>
  <c r="T185" i="21"/>
  <c r="F185" i="22"/>
  <c r="J185" i="22"/>
  <c r="AB185" i="22"/>
  <c r="T186" i="21"/>
  <c r="F186" i="22"/>
  <c r="J186" i="22"/>
  <c r="AB186" i="22"/>
  <c r="T187" i="21"/>
  <c r="F187" i="22"/>
  <c r="J187" i="22"/>
  <c r="AB187" i="22"/>
  <c r="T188" i="21"/>
  <c r="F188" i="22"/>
  <c r="J188" i="22"/>
  <c r="AC188" i="22"/>
  <c r="T189" i="21"/>
  <c r="F189" i="22"/>
  <c r="J189" i="22"/>
  <c r="AC189" i="22"/>
  <c r="T190" i="21"/>
  <c r="F190" i="22"/>
  <c r="J190" i="22"/>
  <c r="AC190" i="22"/>
  <c r="T191" i="21"/>
  <c r="F191" i="22"/>
  <c r="J191" i="22"/>
  <c r="AC191" i="22"/>
  <c r="T193" i="21"/>
  <c r="F193" i="22"/>
  <c r="J193" i="22"/>
  <c r="AB193" i="22"/>
  <c r="T194" i="21"/>
  <c r="F194" i="22"/>
  <c r="J194" i="22"/>
  <c r="AB194" i="22"/>
  <c r="T195" i="21"/>
  <c r="F195" i="22"/>
  <c r="J195" i="22"/>
  <c r="AC195" i="22"/>
  <c r="T196" i="21"/>
  <c r="F196" i="22"/>
  <c r="J196" i="22"/>
  <c r="AC196" i="22"/>
  <c r="T197" i="21"/>
  <c r="F197" i="22"/>
  <c r="J197" i="22"/>
  <c r="AC197" i="22"/>
  <c r="T198" i="21"/>
  <c r="F198" i="22"/>
  <c r="J198" i="22"/>
  <c r="AC198" i="22"/>
  <c r="T199" i="21"/>
  <c r="F199" i="22"/>
  <c r="J199" i="22"/>
  <c r="AC199" i="22"/>
  <c r="T200" i="21"/>
  <c r="F200" i="22"/>
  <c r="J200" i="22"/>
  <c r="AC200" i="22"/>
  <c r="T201" i="21"/>
  <c r="F201" i="22"/>
  <c r="J201" i="22"/>
  <c r="AD201" i="22"/>
  <c r="T202" i="21"/>
  <c r="F202" i="22"/>
  <c r="J202" i="22"/>
  <c r="AC202" i="22"/>
  <c r="T203" i="21"/>
  <c r="F203" i="22"/>
  <c r="J203" i="22"/>
  <c r="AD203" i="22"/>
  <c r="T204" i="21"/>
  <c r="F204" i="22"/>
  <c r="J204" i="22"/>
  <c r="AB204" i="22"/>
  <c r="T210" i="21"/>
  <c r="F210" i="22"/>
  <c r="J210" i="22"/>
  <c r="AC210" i="22"/>
  <c r="T211" i="21"/>
  <c r="F211" i="22"/>
  <c r="J211" i="22"/>
  <c r="AD211" i="22"/>
  <c r="T212" i="21"/>
  <c r="F212" i="22"/>
  <c r="J212" i="22"/>
  <c r="AB212" i="22"/>
  <c r="T213" i="21"/>
  <c r="F213" i="22"/>
  <c r="J213" i="22"/>
  <c r="AB213" i="22"/>
  <c r="T214" i="21"/>
  <c r="F214" i="22"/>
  <c r="J214" i="22"/>
  <c r="AC214" i="22"/>
  <c r="T215" i="21"/>
  <c r="F215" i="22"/>
  <c r="J215" i="22"/>
  <c r="AC215" i="22"/>
  <c r="T216" i="21"/>
  <c r="F216" i="22"/>
  <c r="J216" i="22"/>
  <c r="AC216" i="22"/>
  <c r="T217" i="21"/>
  <c r="F217" i="22"/>
  <c r="J217" i="22"/>
  <c r="AC217" i="22"/>
  <c r="T218" i="21"/>
  <c r="F218" i="22"/>
  <c r="J218" i="22"/>
  <c r="AB218" i="22"/>
  <c r="T219" i="21"/>
  <c r="F219" i="22"/>
  <c r="J219" i="22"/>
  <c r="AC219" i="22"/>
  <c r="T220" i="21"/>
  <c r="F220" i="22"/>
  <c r="J220" i="22"/>
  <c r="AB220" i="22"/>
  <c r="T221" i="21"/>
  <c r="F221" i="22"/>
  <c r="J221" i="22"/>
  <c r="AB221" i="22"/>
  <c r="T222" i="21"/>
  <c r="F222" i="22"/>
  <c r="J222" i="22"/>
  <c r="AB222" i="22"/>
  <c r="T223" i="21"/>
  <c r="F223" i="22"/>
  <c r="J223" i="22"/>
  <c r="AD223" i="22"/>
  <c r="T224" i="21"/>
  <c r="F224" i="22"/>
  <c r="J224" i="22"/>
  <c r="AD224" i="22"/>
  <c r="F179" i="22"/>
  <c r="J179" i="22"/>
  <c r="AC179" i="22"/>
  <c r="F180" i="22"/>
  <c r="J180" i="22"/>
  <c r="AD180" i="22"/>
  <c r="W129" i="21"/>
  <c r="AG129" i="21"/>
  <c r="AH209" i="21"/>
  <c r="X209" i="21"/>
  <c r="AA209" i="21"/>
  <c r="I227" i="21"/>
  <c r="AA31" i="21"/>
  <c r="AA32" i="21"/>
  <c r="W51" i="21"/>
  <c r="AA51" i="21"/>
  <c r="W161" i="21"/>
  <c r="AA161" i="21"/>
  <c r="W190" i="21"/>
  <c r="AA190" i="21"/>
  <c r="AA96" i="21"/>
  <c r="AA100" i="21"/>
  <c r="AA101" i="21"/>
  <c r="AA102" i="21"/>
  <c r="AA103" i="21"/>
  <c r="AA131" i="21"/>
  <c r="AA133" i="21"/>
  <c r="AA135" i="21"/>
  <c r="AA136" i="21"/>
  <c r="AA138" i="21"/>
  <c r="AA139" i="21"/>
  <c r="AA140" i="21"/>
  <c r="AA143" i="21"/>
  <c r="AA144" i="21"/>
  <c r="AA178" i="21"/>
  <c r="W198" i="21"/>
  <c r="AA198" i="21"/>
  <c r="W215" i="21"/>
  <c r="AA215" i="21"/>
  <c r="W55" i="21"/>
  <c r="AA55" i="21"/>
  <c r="AA66" i="21"/>
  <c r="AA151" i="21"/>
  <c r="W153" i="21"/>
  <c r="AA153" i="21"/>
  <c r="W164" i="21"/>
  <c r="AA164" i="21"/>
  <c r="W188" i="21"/>
  <c r="AA188" i="21"/>
  <c r="W196" i="21"/>
  <c r="AA196" i="21"/>
  <c r="W200" i="21"/>
  <c r="AA200" i="21"/>
  <c r="AA207" i="21"/>
  <c r="W210" i="21"/>
  <c r="AA210" i="21"/>
  <c r="W217" i="21"/>
  <c r="AA217" i="21"/>
  <c r="AA107" i="21"/>
  <c r="AA108" i="21"/>
  <c r="AA111" i="21"/>
  <c r="AA112" i="21"/>
  <c r="AA113" i="21"/>
  <c r="AA114" i="21"/>
  <c r="AA115" i="21"/>
  <c r="AA116" i="21"/>
  <c r="AA117" i="21"/>
  <c r="AA118" i="21"/>
  <c r="AA119" i="21"/>
  <c r="AA122" i="21"/>
  <c r="AA123" i="21"/>
  <c r="AA125" i="21"/>
  <c r="AA145" i="21"/>
  <c r="W146" i="21"/>
  <c r="AA146" i="21"/>
  <c r="AA150" i="21"/>
  <c r="W157" i="21"/>
  <c r="AA157" i="21"/>
  <c r="W163" i="21"/>
  <c r="AA163" i="21"/>
  <c r="W174" i="21"/>
  <c r="AA174" i="21"/>
  <c r="W182" i="21"/>
  <c r="AA182" i="21"/>
  <c r="W189" i="21"/>
  <c r="AA189" i="21"/>
  <c r="W195" i="21"/>
  <c r="AA195" i="21"/>
  <c r="W197" i="21"/>
  <c r="AA197" i="21"/>
  <c r="W199" i="21"/>
  <c r="AA199" i="21"/>
  <c r="AA201" i="21"/>
  <c r="W202" i="21"/>
  <c r="AA202" i="21"/>
  <c r="AA211" i="21"/>
  <c r="W214" i="21"/>
  <c r="AA214" i="21"/>
  <c r="W216" i="21"/>
  <c r="AA216" i="21"/>
  <c r="W219" i="21"/>
  <c r="AA219" i="21"/>
  <c r="AA222" i="21"/>
  <c r="M227" i="21"/>
  <c r="J234" i="21"/>
  <c r="Q226" i="21"/>
  <c r="AA17" i="21"/>
  <c r="AA21" i="21"/>
  <c r="AA22" i="21"/>
  <c r="AA23" i="21"/>
  <c r="AA27" i="21"/>
  <c r="AA28" i="21"/>
  <c r="AA29" i="21"/>
  <c r="AA45" i="21"/>
  <c r="AA46" i="21"/>
  <c r="W53" i="21"/>
  <c r="AA53" i="21"/>
  <c r="W58" i="21"/>
  <c r="AA58" i="21"/>
  <c r="AA61" i="21"/>
  <c r="AA63" i="21"/>
  <c r="AA65" i="21"/>
  <c r="AA67" i="21"/>
  <c r="AA68" i="21"/>
  <c r="AA69" i="21"/>
  <c r="AA70" i="21"/>
  <c r="AA71" i="21"/>
  <c r="AA72" i="21"/>
  <c r="AA73" i="21"/>
  <c r="AA74" i="21"/>
  <c r="AA75" i="21"/>
  <c r="AA76" i="21"/>
  <c r="AA78" i="21"/>
  <c r="AA82" i="21"/>
  <c r="AA86" i="21"/>
  <c r="AA87" i="21"/>
  <c r="AA88" i="21"/>
  <c r="AA89" i="21"/>
  <c r="AA90" i="21"/>
  <c r="AA91" i="21"/>
  <c r="AF21" i="21"/>
  <c r="AF23" i="21"/>
  <c r="AF27" i="21"/>
  <c r="AF29" i="21"/>
  <c r="W30" i="21"/>
  <c r="AA30" i="21"/>
  <c r="AF46" i="21"/>
  <c r="AF61" i="21"/>
  <c r="AF63" i="21"/>
  <c r="AF65" i="21"/>
  <c r="AF67" i="21"/>
  <c r="AF68" i="21"/>
  <c r="AF69" i="21"/>
  <c r="AF70" i="21"/>
  <c r="AF71" i="21"/>
  <c r="AF72" i="21"/>
  <c r="AF73" i="21"/>
  <c r="AF74" i="21"/>
  <c r="AF75" i="21"/>
  <c r="AF76" i="21"/>
  <c r="AF78" i="21"/>
  <c r="AF82" i="21"/>
  <c r="AF86" i="21"/>
  <c r="W94" i="21"/>
  <c r="AA94" i="21"/>
  <c r="W95" i="21"/>
  <c r="AA95" i="21"/>
  <c r="W97" i="21"/>
  <c r="AA97" i="21"/>
  <c r="W98" i="21"/>
  <c r="AA98" i="21"/>
  <c r="AF107" i="21"/>
  <c r="AF111" i="21"/>
  <c r="AF113" i="21"/>
  <c r="AF115" i="21"/>
  <c r="AF117" i="21"/>
  <c r="AF118" i="21"/>
  <c r="W120" i="21"/>
  <c r="AA120" i="21"/>
  <c r="W124" i="21"/>
  <c r="AA124" i="21"/>
  <c r="X126" i="21"/>
  <c r="AA126" i="21"/>
  <c r="W128" i="21"/>
  <c r="AA128" i="21"/>
  <c r="AA130" i="21"/>
  <c r="AF133" i="21"/>
  <c r="AF135" i="21"/>
  <c r="AF136" i="21"/>
  <c r="AF138" i="21"/>
  <c r="AF139" i="21"/>
  <c r="AF140" i="21"/>
  <c r="AF143" i="21"/>
  <c r="AF144" i="21"/>
  <c r="AH145" i="21"/>
  <c r="AA148" i="21"/>
  <c r="AF148" i="21"/>
  <c r="AH151" i="21"/>
  <c r="AA155" i="21"/>
  <c r="AF155" i="21"/>
  <c r="AA158" i="21"/>
  <c r="AA159" i="21"/>
  <c r="AF159" i="21"/>
  <c r="AA165" i="21"/>
  <c r="AA166" i="21"/>
  <c r="AF166" i="21"/>
  <c r="AA167" i="21"/>
  <c r="AA168" i="21"/>
  <c r="AF168" i="21"/>
  <c r="AA169" i="21"/>
  <c r="AA170" i="21"/>
  <c r="AF170" i="21"/>
  <c r="AA171" i="21"/>
  <c r="AA172" i="21"/>
  <c r="AF172" i="21"/>
  <c r="AA173" i="21"/>
  <c r="AA175" i="21"/>
  <c r="W179" i="21"/>
  <c r="AA179" i="21"/>
  <c r="AA181" i="21"/>
  <c r="AF181" i="21"/>
  <c r="AA183" i="21"/>
  <c r="AF183" i="21"/>
  <c r="AA184" i="21"/>
  <c r="AF184" i="21"/>
  <c r="AA185" i="21"/>
  <c r="AF185" i="21"/>
  <c r="AA186" i="21"/>
  <c r="AF186" i="21"/>
  <c r="AA187" i="21"/>
  <c r="AF187" i="21"/>
  <c r="AA192" i="21"/>
  <c r="AF192" i="21"/>
  <c r="AA193" i="21"/>
  <c r="AF193" i="21"/>
  <c r="AA194" i="21"/>
  <c r="AF194" i="21"/>
  <c r="AH201" i="21"/>
  <c r="AA204" i="21"/>
  <c r="AF204" i="21"/>
  <c r="AA205" i="21"/>
  <c r="AA206" i="21"/>
  <c r="AF206" i="21"/>
  <c r="AH207" i="21"/>
  <c r="AA208" i="21"/>
  <c r="AF208" i="21"/>
  <c r="AF209" i="21"/>
  <c r="AH211" i="21"/>
  <c r="AA212" i="21"/>
  <c r="AF212" i="21"/>
  <c r="AA213" i="21"/>
  <c r="AF213" i="21"/>
  <c r="AA218" i="21"/>
  <c r="AF218" i="21"/>
  <c r="AA220" i="21"/>
  <c r="AF220" i="21"/>
  <c r="AA221" i="21"/>
  <c r="AH224" i="21"/>
  <c r="AA225" i="21"/>
  <c r="W18" i="21"/>
  <c r="AA18" i="21"/>
  <c r="W25" i="21"/>
  <c r="AA25" i="21"/>
  <c r="AF32" i="21"/>
  <c r="AA33" i="21"/>
  <c r="AA34" i="21"/>
  <c r="AF34" i="21"/>
  <c r="AA35" i="21"/>
  <c r="AA36" i="21"/>
  <c r="AF36" i="21"/>
  <c r="AA39" i="21"/>
  <c r="AA40" i="21"/>
  <c r="AF40" i="21"/>
  <c r="AA41" i="21"/>
  <c r="AH42" i="21"/>
  <c r="W44" i="21"/>
  <c r="AA44" i="21"/>
  <c r="AA49" i="21"/>
  <c r="AF49" i="21"/>
  <c r="AH56" i="21"/>
  <c r="AH59" i="21"/>
  <c r="W77" i="21"/>
  <c r="AA77" i="21"/>
  <c r="W80" i="21"/>
  <c r="AA80" i="21"/>
  <c r="W81" i="21"/>
  <c r="AA81" i="21"/>
  <c r="W83" i="21"/>
  <c r="AA83" i="21"/>
  <c r="W84" i="21"/>
  <c r="AA84" i="21"/>
  <c r="W85" i="21"/>
  <c r="AA85" i="21"/>
  <c r="AF88" i="21"/>
  <c r="AF89" i="21"/>
  <c r="AF90" i="21"/>
  <c r="AF91" i="21"/>
  <c r="AH92" i="21"/>
  <c r="AH93" i="21"/>
  <c r="AF96" i="21"/>
  <c r="AF100" i="21"/>
  <c r="AF102" i="21"/>
  <c r="AA104" i="21"/>
  <c r="AF104" i="21"/>
  <c r="AA105" i="21"/>
  <c r="AA106" i="21"/>
  <c r="AF106" i="21"/>
  <c r="AA109" i="21"/>
  <c r="AF109" i="21"/>
  <c r="AA110" i="21"/>
  <c r="AF122" i="21"/>
  <c r="AF131" i="21"/>
  <c r="W141" i="21"/>
  <c r="AA141" i="21"/>
  <c r="W142" i="21"/>
  <c r="AA142" i="21"/>
  <c r="AF150" i="21"/>
  <c r="AF178" i="21"/>
  <c r="AF222" i="21"/>
  <c r="AA42" i="21"/>
  <c r="W16" i="21"/>
  <c r="AF17" i="21"/>
  <c r="W19" i="21"/>
  <c r="AA19" i="21"/>
  <c r="AF22" i="21"/>
  <c r="W24" i="21"/>
  <c r="AA24" i="21"/>
  <c r="W26" i="21"/>
  <c r="AA26" i="21"/>
  <c r="AF28" i="21"/>
  <c r="AF31" i="21"/>
  <c r="AF33" i="21"/>
  <c r="AF35" i="21"/>
  <c r="AF39" i="21"/>
  <c r="AF41" i="21"/>
  <c r="V43" i="21"/>
  <c r="AA43" i="21"/>
  <c r="AF45" i="21"/>
  <c r="W47" i="21"/>
  <c r="AA47" i="21"/>
  <c r="AA56" i="21"/>
  <c r="AA59" i="21"/>
  <c r="AA92" i="21"/>
  <c r="AA93" i="21"/>
  <c r="AF48" i="21"/>
  <c r="V48" i="21"/>
  <c r="AA48" i="21"/>
  <c r="AG16" i="21"/>
  <c r="AA52" i="21"/>
  <c r="AA54" i="21"/>
  <c r="AA57" i="21"/>
  <c r="V50" i="21"/>
  <c r="AA50" i="21"/>
  <c r="AG52" i="21"/>
  <c r="AG54" i="21"/>
  <c r="AG57" i="21"/>
  <c r="V60" i="21"/>
  <c r="AA60" i="21"/>
  <c r="V62" i="21"/>
  <c r="AA62" i="21"/>
  <c r="V64" i="21"/>
  <c r="AA64" i="21"/>
  <c r="AF66" i="21"/>
  <c r="V79" i="21"/>
  <c r="AA79" i="21"/>
  <c r="AF87" i="21"/>
  <c r="W99" i="21"/>
  <c r="AA99" i="21"/>
  <c r="AF101" i="21"/>
  <c r="AF103" i="21"/>
  <c r="AF105" i="21"/>
  <c r="AF108" i="21"/>
  <c r="AF110" i="21"/>
  <c r="AF112" i="21"/>
  <c r="AF114" i="21"/>
  <c r="AF116" i="21"/>
  <c r="AF119" i="21"/>
  <c r="W121" i="21"/>
  <c r="AA121" i="21"/>
  <c r="AF123" i="21"/>
  <c r="AF125" i="21"/>
  <c r="W127" i="21"/>
  <c r="AA127" i="21"/>
  <c r="V129" i="21"/>
  <c r="AA129" i="21"/>
  <c r="AG130" i="21"/>
  <c r="V132" i="21"/>
  <c r="AA132" i="21"/>
  <c r="V134" i="21"/>
  <c r="AA134" i="21"/>
  <c r="AA154" i="21"/>
  <c r="AA180" i="21"/>
  <c r="AA191" i="21"/>
  <c r="AA224" i="21"/>
  <c r="V137" i="21"/>
  <c r="AA137" i="21"/>
  <c r="AA223" i="21"/>
  <c r="W147" i="21"/>
  <c r="AA147" i="21"/>
  <c r="W152" i="21"/>
  <c r="AA152" i="21"/>
  <c r="AH154" i="21"/>
  <c r="W156" i="21"/>
  <c r="AA156" i="21"/>
  <c r="AF158" i="21"/>
  <c r="W160" i="21"/>
  <c r="AA160" i="21"/>
  <c r="W162" i="21"/>
  <c r="AA162" i="21"/>
  <c r="AF165" i="21"/>
  <c r="AF167" i="21"/>
  <c r="AF169" i="21"/>
  <c r="AF171" i="21"/>
  <c r="AF173" i="21"/>
  <c r="AF175" i="21"/>
  <c r="W176" i="21"/>
  <c r="AA176" i="21"/>
  <c r="W177" i="21"/>
  <c r="AA177" i="21"/>
  <c r="AH180" i="21"/>
  <c r="AG191" i="21"/>
  <c r="X203" i="21"/>
  <c r="AF205" i="21"/>
  <c r="AF221" i="21"/>
  <c r="AH223" i="21"/>
  <c r="AF225" i="21"/>
  <c r="E57" i="20"/>
  <c r="AB129" i="22"/>
  <c r="AC130" i="22"/>
  <c r="T226" i="21"/>
  <c r="X226" i="21"/>
  <c r="Y239" i="21"/>
  <c r="AH226" i="21"/>
  <c r="AH230" i="21"/>
  <c r="AA203" i="21"/>
  <c r="AG226" i="21"/>
  <c r="AG230" i="21"/>
  <c r="V226" i="21"/>
  <c r="AF226" i="21"/>
  <c r="AF230" i="21"/>
  <c r="W226" i="21"/>
  <c r="Y236" i="21"/>
  <c r="AA16" i="21"/>
  <c r="AC17" i="20"/>
  <c r="AD17" i="20"/>
  <c r="AG17" i="20"/>
  <c r="AH17" i="20"/>
  <c r="AB18" i="20"/>
  <c r="AD18" i="20"/>
  <c r="AF18" i="20"/>
  <c r="AH18" i="20"/>
  <c r="AB19" i="20"/>
  <c r="AD19" i="20"/>
  <c r="AF19" i="20"/>
  <c r="AH19" i="20"/>
  <c r="AC20" i="20"/>
  <c r="AD20" i="20"/>
  <c r="AG20" i="20"/>
  <c r="AH20" i="20"/>
  <c r="AC21" i="20"/>
  <c r="AD21" i="20"/>
  <c r="AG21" i="20"/>
  <c r="AH21" i="20"/>
  <c r="AC22" i="20"/>
  <c r="AD22" i="20"/>
  <c r="AG22" i="20"/>
  <c r="AH22" i="20"/>
  <c r="AB23" i="20"/>
  <c r="AD23" i="20"/>
  <c r="AF23" i="20"/>
  <c r="AH23" i="20"/>
  <c r="AB24" i="20"/>
  <c r="AD24" i="20"/>
  <c r="AF24" i="20"/>
  <c r="AH24" i="20"/>
  <c r="AB25" i="20"/>
  <c r="AD25" i="20"/>
  <c r="AF25" i="20"/>
  <c r="AH25" i="20"/>
  <c r="AC26" i="20"/>
  <c r="AD26" i="20"/>
  <c r="AG26" i="20"/>
  <c r="AH26" i="20"/>
  <c r="AC27" i="20"/>
  <c r="AD27" i="20"/>
  <c r="AG27" i="20"/>
  <c r="AH27" i="20"/>
  <c r="AC28" i="20"/>
  <c r="AD28" i="20"/>
  <c r="AG28" i="20"/>
  <c r="AH28" i="20"/>
  <c r="AB29" i="20"/>
  <c r="AD29" i="20"/>
  <c r="AF29" i="20"/>
  <c r="AH29" i="20"/>
  <c r="AC30" i="20"/>
  <c r="AD30" i="20"/>
  <c r="AG30" i="20"/>
  <c r="AH30" i="20"/>
  <c r="AC31" i="20"/>
  <c r="AD31" i="20"/>
  <c r="AG31" i="20"/>
  <c r="AH31" i="20"/>
  <c r="AC32" i="20"/>
  <c r="AD32" i="20"/>
  <c r="AG32" i="20"/>
  <c r="AH32" i="20"/>
  <c r="AC33" i="20"/>
  <c r="AD33" i="20"/>
  <c r="AG33" i="20"/>
  <c r="AH33" i="20"/>
  <c r="AC34" i="20"/>
  <c r="AD34" i="20"/>
  <c r="AG34" i="20"/>
  <c r="AH34" i="20"/>
  <c r="AC35" i="20"/>
  <c r="AD35" i="20"/>
  <c r="AG35" i="20"/>
  <c r="AH35" i="20"/>
  <c r="AC38" i="20"/>
  <c r="AD38" i="20"/>
  <c r="AG38" i="20"/>
  <c r="AH38" i="20"/>
  <c r="AC39" i="20"/>
  <c r="AD39" i="20"/>
  <c r="AG39" i="20"/>
  <c r="AH39" i="20"/>
  <c r="AC40" i="20"/>
  <c r="AD40" i="20"/>
  <c r="AG40" i="20"/>
  <c r="AH40" i="20"/>
  <c r="AB41" i="20"/>
  <c r="AC41" i="20"/>
  <c r="AF41" i="20"/>
  <c r="AG41" i="20"/>
  <c r="AC42" i="20"/>
  <c r="AD42" i="20"/>
  <c r="AG42" i="20"/>
  <c r="AH42" i="20"/>
  <c r="AB43" i="20"/>
  <c r="AD43" i="20"/>
  <c r="AF43" i="20"/>
  <c r="AH43" i="20"/>
  <c r="AC44" i="20"/>
  <c r="AD44" i="20"/>
  <c r="AG44" i="20"/>
  <c r="AH44" i="20"/>
  <c r="AC45" i="20"/>
  <c r="AD45" i="20"/>
  <c r="AG45" i="20"/>
  <c r="AH45" i="20"/>
  <c r="AB46" i="20"/>
  <c r="AD46" i="20"/>
  <c r="AF46" i="20"/>
  <c r="AH46" i="20"/>
  <c r="AC47" i="20"/>
  <c r="AD47" i="20"/>
  <c r="AG47" i="20"/>
  <c r="AH47" i="20"/>
  <c r="AC48" i="20"/>
  <c r="AD48" i="20"/>
  <c r="AG48" i="20"/>
  <c r="AH48" i="20"/>
  <c r="AC49" i="20"/>
  <c r="AD49" i="20"/>
  <c r="AG49" i="20"/>
  <c r="AH49" i="20"/>
  <c r="AB50" i="20"/>
  <c r="AD50" i="20"/>
  <c r="AF50" i="20"/>
  <c r="AH50" i="20"/>
  <c r="AB51" i="20"/>
  <c r="AD51" i="20"/>
  <c r="AF51" i="20"/>
  <c r="AH51" i="20"/>
  <c r="AB52" i="20"/>
  <c r="AD52" i="20"/>
  <c r="AF52" i="20"/>
  <c r="AH52" i="20"/>
  <c r="AB53" i="20"/>
  <c r="AD53" i="20"/>
  <c r="AF53" i="20"/>
  <c r="AH53" i="20"/>
  <c r="AB54" i="20"/>
  <c r="AD54" i="20"/>
  <c r="AF54" i="20"/>
  <c r="AH54" i="20"/>
  <c r="AB55" i="20"/>
  <c r="AC55" i="20"/>
  <c r="AF55" i="20"/>
  <c r="AG55" i="20"/>
  <c r="AB56" i="20"/>
  <c r="AD56" i="20"/>
  <c r="AF56" i="20"/>
  <c r="AH56" i="20"/>
  <c r="AB57" i="20"/>
  <c r="AD57" i="20"/>
  <c r="AF57" i="20"/>
  <c r="AH57" i="20"/>
  <c r="AB58" i="20"/>
  <c r="AC58" i="20"/>
  <c r="AF58" i="20"/>
  <c r="AG58" i="20"/>
  <c r="AC59" i="20"/>
  <c r="AD59" i="20"/>
  <c r="AG59" i="20"/>
  <c r="AH59" i="20"/>
  <c r="AC60" i="20"/>
  <c r="AD60" i="20"/>
  <c r="AG60" i="20"/>
  <c r="AH60" i="20"/>
  <c r="AC61" i="20"/>
  <c r="AD61" i="20"/>
  <c r="AG61" i="20"/>
  <c r="AH61" i="20"/>
  <c r="AC62" i="20"/>
  <c r="AD62" i="20"/>
  <c r="AG62" i="20"/>
  <c r="AH62" i="20"/>
  <c r="AC63" i="20"/>
  <c r="AD63" i="20"/>
  <c r="AG63" i="20"/>
  <c r="AH63" i="20"/>
  <c r="AC64" i="20"/>
  <c r="AD64" i="20"/>
  <c r="AG64" i="20"/>
  <c r="AH64" i="20"/>
  <c r="AC65" i="20"/>
  <c r="AD65" i="20"/>
  <c r="AG65" i="20"/>
  <c r="AH65" i="20"/>
  <c r="AC66" i="20"/>
  <c r="AD66" i="20"/>
  <c r="AG66" i="20"/>
  <c r="AH66" i="20"/>
  <c r="AC67" i="20"/>
  <c r="AD67" i="20"/>
  <c r="AG67" i="20"/>
  <c r="AH67" i="20"/>
  <c r="AC68" i="20"/>
  <c r="AD68" i="20"/>
  <c r="AG68" i="20"/>
  <c r="AH68" i="20"/>
  <c r="AC69" i="20"/>
  <c r="AD69" i="20"/>
  <c r="AG69" i="20"/>
  <c r="AH69" i="20"/>
  <c r="AC70" i="20"/>
  <c r="AD70" i="20"/>
  <c r="AG70" i="20"/>
  <c r="AH70" i="20"/>
  <c r="AC71" i="20"/>
  <c r="AD71" i="20"/>
  <c r="AG71" i="20"/>
  <c r="AH71" i="20"/>
  <c r="AC72" i="20"/>
  <c r="AD72" i="20"/>
  <c r="AG72" i="20"/>
  <c r="AH72" i="20"/>
  <c r="AC73" i="20"/>
  <c r="AD73" i="20"/>
  <c r="AG73" i="20"/>
  <c r="AH73" i="20"/>
  <c r="AC74" i="20"/>
  <c r="AD74" i="20"/>
  <c r="AG74" i="20"/>
  <c r="AH74" i="20"/>
  <c r="AC75" i="20"/>
  <c r="AD75" i="20"/>
  <c r="AG75" i="20"/>
  <c r="AH75" i="20"/>
  <c r="AB76" i="20"/>
  <c r="AD76" i="20"/>
  <c r="AF76" i="20"/>
  <c r="AH76" i="20"/>
  <c r="AC77" i="20"/>
  <c r="AD77" i="20"/>
  <c r="AG77" i="20"/>
  <c r="AH77" i="20"/>
  <c r="AC78" i="20"/>
  <c r="AD78" i="20"/>
  <c r="AG78" i="20"/>
  <c r="AH78" i="20"/>
  <c r="AB79" i="20"/>
  <c r="AD79" i="20"/>
  <c r="AF79" i="20"/>
  <c r="AH79" i="20"/>
  <c r="AB80" i="20"/>
  <c r="AD80" i="20"/>
  <c r="AF80" i="20"/>
  <c r="AH80" i="20"/>
  <c r="AC81" i="20"/>
  <c r="AD81" i="20"/>
  <c r="AG81" i="20"/>
  <c r="AH81" i="20"/>
  <c r="AB82" i="20"/>
  <c r="AD82" i="20"/>
  <c r="AF82" i="20"/>
  <c r="AH82" i="20"/>
  <c r="AB83" i="20"/>
  <c r="AD83" i="20"/>
  <c r="AF83" i="20"/>
  <c r="AH83" i="20"/>
  <c r="AB84" i="20"/>
  <c r="AD84" i="20"/>
  <c r="AF84" i="20"/>
  <c r="AH84" i="20"/>
  <c r="AC85" i="20"/>
  <c r="AD85" i="20"/>
  <c r="AG85" i="20"/>
  <c r="AH85" i="20"/>
  <c r="AC86" i="20"/>
  <c r="AD86" i="20"/>
  <c r="AG86" i="20"/>
  <c r="AH86" i="20"/>
  <c r="AC87" i="20"/>
  <c r="AD87" i="20"/>
  <c r="AG87" i="20"/>
  <c r="AH87" i="20"/>
  <c r="AC88" i="20"/>
  <c r="AD88" i="20"/>
  <c r="AG88" i="20"/>
  <c r="AH88" i="20"/>
  <c r="AC89" i="20"/>
  <c r="AD89" i="20"/>
  <c r="AG89" i="20"/>
  <c r="AH89" i="20"/>
  <c r="AC90" i="20"/>
  <c r="AD90" i="20"/>
  <c r="AG90" i="20"/>
  <c r="AH90" i="20"/>
  <c r="AB91" i="20"/>
  <c r="AC91" i="20"/>
  <c r="AF91" i="20"/>
  <c r="AG91" i="20"/>
  <c r="AB92" i="20"/>
  <c r="AC92" i="20"/>
  <c r="AF92" i="20"/>
  <c r="AG92" i="20"/>
  <c r="AB93" i="20"/>
  <c r="AD93" i="20"/>
  <c r="AF93" i="20"/>
  <c r="AH93" i="20"/>
  <c r="AB94" i="20"/>
  <c r="AD94" i="20"/>
  <c r="AF94" i="20"/>
  <c r="AH94" i="20"/>
  <c r="AC95" i="20"/>
  <c r="AD95" i="20"/>
  <c r="AG95" i="20"/>
  <c r="AH95" i="20"/>
  <c r="AB96" i="20"/>
  <c r="AD96" i="20"/>
  <c r="AF96" i="20"/>
  <c r="AH96" i="20"/>
  <c r="AB97" i="20"/>
  <c r="AD97" i="20"/>
  <c r="AF97" i="20"/>
  <c r="AH97" i="20"/>
  <c r="AB98" i="20"/>
  <c r="AD98" i="20"/>
  <c r="AF98" i="20"/>
  <c r="AH98" i="20"/>
  <c r="AC99" i="20"/>
  <c r="AD99" i="20"/>
  <c r="AG99" i="20"/>
  <c r="AH99" i="20"/>
  <c r="AC100" i="20"/>
  <c r="AD100" i="20"/>
  <c r="AG100" i="20"/>
  <c r="AH100" i="20"/>
  <c r="AC101" i="20"/>
  <c r="AD101" i="20"/>
  <c r="AG101" i="20"/>
  <c r="AH101" i="20"/>
  <c r="AC102" i="20"/>
  <c r="AD102" i="20"/>
  <c r="AG102" i="20"/>
  <c r="AH102" i="20"/>
  <c r="AC103" i="20"/>
  <c r="AD103" i="20"/>
  <c r="AG103" i="20"/>
  <c r="AH103" i="20"/>
  <c r="AC104" i="20"/>
  <c r="AD104" i="20"/>
  <c r="AG104" i="20"/>
  <c r="AH104" i="20"/>
  <c r="AC105" i="20"/>
  <c r="AD105" i="20"/>
  <c r="AG105" i="20"/>
  <c r="AH105" i="20"/>
  <c r="AC106" i="20"/>
  <c r="AD106" i="20"/>
  <c r="AG106" i="20"/>
  <c r="AH106" i="20"/>
  <c r="AC107" i="20"/>
  <c r="AD107" i="20"/>
  <c r="AG107" i="20"/>
  <c r="AH107" i="20"/>
  <c r="AC108" i="20"/>
  <c r="AD108" i="20"/>
  <c r="AG108" i="20"/>
  <c r="AH108" i="20"/>
  <c r="AC109" i="20"/>
  <c r="AD109" i="20"/>
  <c r="AG109" i="20"/>
  <c r="AH109" i="20"/>
  <c r="AC110" i="20"/>
  <c r="AD110" i="20"/>
  <c r="AG110" i="20"/>
  <c r="AH110" i="20"/>
  <c r="AC111" i="20"/>
  <c r="AD111" i="20"/>
  <c r="AG111" i="20"/>
  <c r="AH111" i="20"/>
  <c r="AC112" i="20"/>
  <c r="AD112" i="20"/>
  <c r="AG112" i="20"/>
  <c r="AH112" i="20"/>
  <c r="AC113" i="20"/>
  <c r="AD113" i="20"/>
  <c r="AG113" i="20"/>
  <c r="AH113" i="20"/>
  <c r="AC114" i="20"/>
  <c r="AD114" i="20"/>
  <c r="AG114" i="20"/>
  <c r="AH114" i="20"/>
  <c r="AC115" i="20"/>
  <c r="AD115" i="20"/>
  <c r="AG115" i="20"/>
  <c r="AH115" i="20"/>
  <c r="AC116" i="20"/>
  <c r="AD116" i="20"/>
  <c r="AG116" i="20"/>
  <c r="AH116" i="20"/>
  <c r="AC117" i="20"/>
  <c r="AD117" i="20"/>
  <c r="AG117" i="20"/>
  <c r="AH117" i="20"/>
  <c r="AC118" i="20"/>
  <c r="AD118" i="20"/>
  <c r="AG118" i="20"/>
  <c r="AH118" i="20"/>
  <c r="AB119" i="20"/>
  <c r="AD119" i="20"/>
  <c r="AF119" i="20"/>
  <c r="AH119" i="20"/>
  <c r="AB120" i="20"/>
  <c r="AD120" i="20"/>
  <c r="AF120" i="20"/>
  <c r="AH120" i="20"/>
  <c r="AC121" i="20"/>
  <c r="AD121" i="20"/>
  <c r="AG121" i="20"/>
  <c r="AH121" i="20"/>
  <c r="AC122" i="20"/>
  <c r="AD122" i="20"/>
  <c r="AG122" i="20"/>
  <c r="AH122" i="20"/>
  <c r="AB123" i="20"/>
  <c r="AD123" i="20"/>
  <c r="AF123" i="20"/>
  <c r="AH123" i="20"/>
  <c r="AC124" i="20"/>
  <c r="AD124" i="20"/>
  <c r="AG124" i="20"/>
  <c r="AH124" i="20"/>
  <c r="AB125" i="20"/>
  <c r="AC125" i="20"/>
  <c r="AF125" i="20"/>
  <c r="AG125" i="20"/>
  <c r="AB126" i="20"/>
  <c r="AD126" i="20"/>
  <c r="AF126" i="20"/>
  <c r="AH126" i="20"/>
  <c r="AB127" i="20"/>
  <c r="AD127" i="20"/>
  <c r="AF127" i="20"/>
  <c r="AH127" i="20"/>
  <c r="AC128" i="20"/>
  <c r="AD128" i="20"/>
  <c r="AG128" i="20"/>
  <c r="AH128" i="20"/>
  <c r="AB129" i="20"/>
  <c r="AD129" i="20"/>
  <c r="AF129" i="20"/>
  <c r="AH129" i="20"/>
  <c r="AC130" i="20"/>
  <c r="AD130" i="20"/>
  <c r="AG130" i="20"/>
  <c r="AH130" i="20"/>
  <c r="AC131" i="20"/>
  <c r="AD131" i="20"/>
  <c r="AG131" i="20"/>
  <c r="AH131" i="20"/>
  <c r="AC132" i="20"/>
  <c r="AD132" i="20"/>
  <c r="AG132" i="20"/>
  <c r="AH132" i="20"/>
  <c r="AC133" i="20"/>
  <c r="AD133" i="20"/>
  <c r="AG133" i="20"/>
  <c r="AH133" i="20"/>
  <c r="AC134" i="20"/>
  <c r="AD134" i="20"/>
  <c r="AG134" i="20"/>
  <c r="AH134" i="20"/>
  <c r="AC135" i="20"/>
  <c r="AD135" i="20"/>
  <c r="AG135" i="20"/>
  <c r="AH135" i="20"/>
  <c r="AC136" i="20"/>
  <c r="AD136" i="20"/>
  <c r="AG136" i="20"/>
  <c r="AH136" i="20"/>
  <c r="AC137" i="20"/>
  <c r="AD137" i="20"/>
  <c r="AG137" i="20"/>
  <c r="AH137" i="20"/>
  <c r="AC138" i="20"/>
  <c r="AD138" i="20"/>
  <c r="AG138" i="20"/>
  <c r="AH138" i="20"/>
  <c r="AC139" i="20"/>
  <c r="AD139" i="20"/>
  <c r="AG139" i="20"/>
  <c r="AH139" i="20"/>
  <c r="AB140" i="20"/>
  <c r="AD140" i="20"/>
  <c r="AF140" i="20"/>
  <c r="AH140" i="20"/>
  <c r="AB141" i="20"/>
  <c r="AD141" i="20"/>
  <c r="AF141" i="20"/>
  <c r="AH141" i="20"/>
  <c r="AC142" i="20"/>
  <c r="AD142" i="20"/>
  <c r="AG142" i="20"/>
  <c r="AH142" i="20"/>
  <c r="AC143" i="20"/>
  <c r="AD143" i="20"/>
  <c r="AG143" i="20"/>
  <c r="AH143" i="20"/>
  <c r="AB144" i="20"/>
  <c r="AC144" i="20"/>
  <c r="AF144" i="20"/>
  <c r="AG144" i="20"/>
  <c r="AB145" i="20"/>
  <c r="AD145" i="20"/>
  <c r="AF145" i="20"/>
  <c r="AH145" i="20"/>
  <c r="AB146" i="20"/>
  <c r="AD146" i="20"/>
  <c r="AF146" i="20"/>
  <c r="AH146" i="20"/>
  <c r="AC147" i="20"/>
  <c r="AD147" i="20"/>
  <c r="AG147" i="20"/>
  <c r="AH147" i="20"/>
  <c r="AC149" i="20"/>
  <c r="AD149" i="20"/>
  <c r="AG149" i="20"/>
  <c r="AH149" i="20"/>
  <c r="AB150" i="20"/>
  <c r="AC150" i="20"/>
  <c r="AF150" i="20"/>
  <c r="AG150" i="20"/>
  <c r="AB151" i="20"/>
  <c r="AD151" i="20"/>
  <c r="AF151" i="20"/>
  <c r="AH151" i="20"/>
  <c r="AB152" i="20"/>
  <c r="AD152" i="20"/>
  <c r="AF152" i="20"/>
  <c r="AH152" i="20"/>
  <c r="AB153" i="20"/>
  <c r="AC153" i="20"/>
  <c r="AF153" i="20"/>
  <c r="AG153" i="20"/>
  <c r="AC154" i="20"/>
  <c r="AD154" i="20"/>
  <c r="AG154" i="20"/>
  <c r="AH154" i="20"/>
  <c r="AB155" i="20"/>
  <c r="AD155" i="20"/>
  <c r="AF155" i="20"/>
  <c r="AH155" i="20"/>
  <c r="AB156" i="20"/>
  <c r="AD156" i="20"/>
  <c r="AF156" i="20"/>
  <c r="AH156" i="20"/>
  <c r="AC157" i="20"/>
  <c r="AD157" i="20"/>
  <c r="AG157" i="20"/>
  <c r="AH157" i="20"/>
  <c r="AC158" i="20"/>
  <c r="AD158" i="20"/>
  <c r="AG158" i="20"/>
  <c r="AH158" i="20"/>
  <c r="AB159" i="20"/>
  <c r="AD159" i="20"/>
  <c r="AF159" i="20"/>
  <c r="AH159" i="20"/>
  <c r="AB160" i="20"/>
  <c r="AD160" i="20"/>
  <c r="AF160" i="20"/>
  <c r="AH160" i="20"/>
  <c r="AB161" i="20"/>
  <c r="AD161" i="20"/>
  <c r="AF161" i="20"/>
  <c r="AH161" i="20"/>
  <c r="AB162" i="20"/>
  <c r="AD162" i="20"/>
  <c r="AF162" i="20"/>
  <c r="AH162" i="20"/>
  <c r="AB163" i="20"/>
  <c r="AD163" i="20"/>
  <c r="AF163" i="20"/>
  <c r="AH163" i="20"/>
  <c r="AC164" i="20"/>
  <c r="AD164" i="20"/>
  <c r="AG164" i="20"/>
  <c r="AH164" i="20"/>
  <c r="AC165" i="20"/>
  <c r="AD165" i="20"/>
  <c r="AG165" i="20"/>
  <c r="AH165" i="20"/>
  <c r="AC166" i="20"/>
  <c r="AD166" i="20"/>
  <c r="AG166" i="20"/>
  <c r="AH166" i="20"/>
  <c r="AC167" i="20"/>
  <c r="AD167" i="20"/>
  <c r="AG167" i="20"/>
  <c r="AH167" i="20"/>
  <c r="AC168" i="20"/>
  <c r="AD168" i="20"/>
  <c r="AG168" i="20"/>
  <c r="AH168" i="20"/>
  <c r="AC169" i="20"/>
  <c r="AD169" i="20"/>
  <c r="AG169" i="20"/>
  <c r="AH169" i="20"/>
  <c r="AC170" i="20"/>
  <c r="AD170" i="20"/>
  <c r="AG170" i="20"/>
  <c r="AH170" i="20"/>
  <c r="AC171" i="20"/>
  <c r="AD171" i="20"/>
  <c r="AG171" i="20"/>
  <c r="AH171" i="20"/>
  <c r="AC172" i="20"/>
  <c r="AD172" i="20"/>
  <c r="AG172" i="20"/>
  <c r="AH172" i="20"/>
  <c r="AB173" i="20"/>
  <c r="AD173" i="20"/>
  <c r="AF173" i="20"/>
  <c r="AH173" i="20"/>
  <c r="AC174" i="20"/>
  <c r="AD174" i="20"/>
  <c r="AG174" i="20"/>
  <c r="AH174" i="20"/>
  <c r="AB175" i="20"/>
  <c r="AD175" i="20"/>
  <c r="AF175" i="20"/>
  <c r="AH175" i="20"/>
  <c r="AB176" i="20"/>
  <c r="AD176" i="20"/>
  <c r="AF176" i="20"/>
  <c r="AH176" i="20"/>
  <c r="AC177" i="20"/>
  <c r="AD177" i="20"/>
  <c r="AG177" i="20"/>
  <c r="AH177" i="20"/>
  <c r="AB178" i="20"/>
  <c r="AD178" i="20"/>
  <c r="AF178" i="20"/>
  <c r="AH178" i="20"/>
  <c r="AB179" i="20"/>
  <c r="AC179" i="20"/>
  <c r="AF179" i="20"/>
  <c r="AG179" i="20"/>
  <c r="AC180" i="20"/>
  <c r="AD180" i="20"/>
  <c r="AG180" i="20"/>
  <c r="AH180" i="20"/>
  <c r="AB181" i="20"/>
  <c r="AD181" i="20"/>
  <c r="AF181" i="20"/>
  <c r="AH181" i="20"/>
  <c r="AC182" i="20"/>
  <c r="AD182" i="20"/>
  <c r="AG182" i="20"/>
  <c r="AH182" i="20"/>
  <c r="AC183" i="20"/>
  <c r="AD183" i="20"/>
  <c r="AG183" i="20"/>
  <c r="AH183" i="20"/>
  <c r="AC184" i="20"/>
  <c r="AD184" i="20"/>
  <c r="AG184" i="20"/>
  <c r="AH184" i="20"/>
  <c r="AC185" i="20"/>
  <c r="AD185" i="20"/>
  <c r="AG185" i="20"/>
  <c r="AH185" i="20"/>
  <c r="AC186" i="20"/>
  <c r="AD186" i="20"/>
  <c r="AG186" i="20"/>
  <c r="AH186" i="20"/>
  <c r="AB187" i="20"/>
  <c r="AD187" i="20"/>
  <c r="AF187" i="20"/>
  <c r="AH187" i="20"/>
  <c r="AB188" i="20"/>
  <c r="AD188" i="20"/>
  <c r="AF188" i="20"/>
  <c r="AH188" i="20"/>
  <c r="AB189" i="20"/>
  <c r="AD189" i="20"/>
  <c r="AF189" i="20"/>
  <c r="AH189" i="20"/>
  <c r="AB190" i="20"/>
  <c r="AD190" i="20"/>
  <c r="AF190" i="20"/>
  <c r="AH190" i="20"/>
  <c r="AC191" i="20"/>
  <c r="AD191" i="20"/>
  <c r="AG191" i="20"/>
  <c r="AH191" i="20"/>
  <c r="AC192" i="20"/>
  <c r="AD192" i="20"/>
  <c r="AG192" i="20"/>
  <c r="AH192" i="20"/>
  <c r="AC193" i="20"/>
  <c r="AD193" i="20"/>
  <c r="AG193" i="20"/>
  <c r="AH193" i="20"/>
  <c r="AB194" i="20"/>
  <c r="AD194" i="20"/>
  <c r="AF194" i="20"/>
  <c r="AH194" i="20"/>
  <c r="AB195" i="20"/>
  <c r="AD195" i="20"/>
  <c r="AF195" i="20"/>
  <c r="AH195" i="20"/>
  <c r="AB196" i="20"/>
  <c r="AD196" i="20"/>
  <c r="AF196" i="20"/>
  <c r="AH196" i="20"/>
  <c r="AB197" i="20"/>
  <c r="AD197" i="20"/>
  <c r="AF197" i="20"/>
  <c r="AH197" i="20"/>
  <c r="AB198" i="20"/>
  <c r="AD198" i="20"/>
  <c r="AF198" i="20"/>
  <c r="AH198" i="20"/>
  <c r="AB199" i="20"/>
  <c r="AD199" i="20"/>
  <c r="AF199" i="20"/>
  <c r="AH199" i="20"/>
  <c r="AB200" i="20"/>
  <c r="AC200" i="20"/>
  <c r="AF200" i="20"/>
  <c r="AG200" i="20"/>
  <c r="AB201" i="20"/>
  <c r="AD201" i="20"/>
  <c r="AF201" i="20"/>
  <c r="AH201" i="20"/>
  <c r="AB202" i="20"/>
  <c r="AC202" i="20"/>
  <c r="AF202" i="20"/>
  <c r="AG202" i="20"/>
  <c r="AC203" i="20"/>
  <c r="AD203" i="20"/>
  <c r="AG203" i="20"/>
  <c r="AH203" i="20"/>
  <c r="AC204" i="20"/>
  <c r="AD204" i="20"/>
  <c r="AG204" i="20"/>
  <c r="AH204" i="20"/>
  <c r="AC205" i="20"/>
  <c r="AD205" i="20"/>
  <c r="AG205" i="20"/>
  <c r="AH205" i="20"/>
  <c r="AB206" i="20"/>
  <c r="AC206" i="20"/>
  <c r="AF206" i="20"/>
  <c r="AG206" i="20"/>
  <c r="AC207" i="20"/>
  <c r="AD207" i="20"/>
  <c r="AG207" i="20"/>
  <c r="AH207" i="20"/>
  <c r="AC208" i="20"/>
  <c r="AD208" i="20"/>
  <c r="AG208" i="20"/>
  <c r="AH208" i="20"/>
  <c r="AB209" i="20"/>
  <c r="AD209" i="20"/>
  <c r="AF209" i="20"/>
  <c r="AH209" i="20"/>
  <c r="AB210" i="20"/>
  <c r="AC210" i="20"/>
  <c r="AF210" i="20"/>
  <c r="AG210" i="20"/>
  <c r="AC211" i="20"/>
  <c r="AD211" i="20"/>
  <c r="AG211" i="20"/>
  <c r="AH211" i="20"/>
  <c r="AC212" i="20"/>
  <c r="AD212" i="20"/>
  <c r="AG212" i="20"/>
  <c r="AH212" i="20"/>
  <c r="AB213" i="20"/>
  <c r="AD213" i="20"/>
  <c r="AF213" i="20"/>
  <c r="AH213" i="20"/>
  <c r="AB214" i="20"/>
  <c r="AD214" i="20"/>
  <c r="AF214" i="20"/>
  <c r="AH214" i="20"/>
  <c r="AB215" i="20"/>
  <c r="AD215" i="20"/>
  <c r="AF215" i="20"/>
  <c r="AH215" i="20"/>
  <c r="AB216" i="20"/>
  <c r="AD216" i="20"/>
  <c r="AF216" i="20"/>
  <c r="AH216" i="20"/>
  <c r="AC217" i="20"/>
  <c r="AD217" i="20"/>
  <c r="AG217" i="20"/>
  <c r="AH217" i="20"/>
  <c r="AB218" i="20"/>
  <c r="AD218" i="20"/>
  <c r="AF218" i="20"/>
  <c r="AH218" i="20"/>
  <c r="AC219" i="20"/>
  <c r="AD219" i="20"/>
  <c r="AG219" i="20"/>
  <c r="AH219" i="20"/>
  <c r="AC220" i="20"/>
  <c r="AD220" i="20"/>
  <c r="AG220" i="20"/>
  <c r="AH220" i="20"/>
  <c r="AC221" i="20"/>
  <c r="AD221" i="20"/>
  <c r="AG221" i="20"/>
  <c r="AH221" i="20"/>
  <c r="AB222" i="20"/>
  <c r="AC222" i="20"/>
  <c r="AF222" i="20"/>
  <c r="AG222" i="20"/>
  <c r="AB223" i="20"/>
  <c r="AF223" i="20"/>
  <c r="AG223" i="20"/>
  <c r="Q223" i="20"/>
  <c r="AH223" i="20"/>
  <c r="AJ223" i="20"/>
  <c r="AC224" i="20"/>
  <c r="AD224" i="20"/>
  <c r="AG224" i="20"/>
  <c r="AH224" i="20"/>
  <c r="I138" i="20"/>
  <c r="X130" i="20"/>
  <c r="W130" i="20"/>
  <c r="Q130" i="20"/>
  <c r="AH128" i="19"/>
  <c r="AG128" i="19"/>
  <c r="AD128" i="19"/>
  <c r="AC128" i="19"/>
  <c r="X128" i="19"/>
  <c r="W128" i="19"/>
  <c r="Q128" i="19"/>
  <c r="AF128" i="19"/>
  <c r="J128" i="19"/>
  <c r="AB128" i="19"/>
  <c r="R140" i="19"/>
  <c r="E54" i="20"/>
  <c r="E150" i="20"/>
  <c r="E149" i="20"/>
  <c r="I178" i="20"/>
  <c r="R17" i="19"/>
  <c r="I117" i="20"/>
  <c r="AF130" i="20"/>
  <c r="T130" i="20"/>
  <c r="F131" i="21"/>
  <c r="J131" i="21"/>
  <c r="AB131" i="21"/>
  <c r="Y233" i="21"/>
  <c r="Y240" i="21"/>
  <c r="X231" i="21"/>
  <c r="X240" i="21"/>
  <c r="T128" i="19"/>
  <c r="F130" i="20"/>
  <c r="J130" i="20"/>
  <c r="AB130" i="20"/>
  <c r="V130" i="20"/>
  <c r="AA130" i="20"/>
  <c r="AJ128" i="19"/>
  <c r="V128" i="19"/>
  <c r="AA128" i="19"/>
  <c r="I106" i="20"/>
  <c r="R203" i="19"/>
  <c r="R127" i="19"/>
  <c r="R219" i="19"/>
  <c r="R179" i="19"/>
  <c r="E176" i="20"/>
  <c r="E175" i="20"/>
  <c r="R181" i="19"/>
  <c r="E29" i="20"/>
  <c r="E126" i="20"/>
  <c r="E43" i="20"/>
  <c r="E79" i="20"/>
  <c r="R158" i="19"/>
  <c r="AD228" i="20"/>
  <c r="AD227" i="20"/>
  <c r="Z225" i="20"/>
  <c r="Y236" i="20"/>
  <c r="Y225" i="20"/>
  <c r="Y233" i="20"/>
  <c r="R225" i="20"/>
  <c r="P225" i="20"/>
  <c r="O225" i="20"/>
  <c r="N225" i="20"/>
  <c r="M225" i="20"/>
  <c r="L225" i="20"/>
  <c r="H225" i="20"/>
  <c r="G225" i="20"/>
  <c r="X224" i="20"/>
  <c r="W224" i="20"/>
  <c r="Q224" i="20"/>
  <c r="T224" i="20"/>
  <c r="F225" i="21"/>
  <c r="J225" i="21"/>
  <c r="AB225" i="21"/>
  <c r="W223" i="20"/>
  <c r="V223" i="20"/>
  <c r="T223" i="20"/>
  <c r="F224" i="21"/>
  <c r="J224" i="21"/>
  <c r="AD224" i="21"/>
  <c r="W222" i="20"/>
  <c r="V222" i="20"/>
  <c r="Q222" i="20"/>
  <c r="T222" i="20"/>
  <c r="F223" i="21"/>
  <c r="J223" i="21"/>
  <c r="AD223" i="21"/>
  <c r="X221" i="20"/>
  <c r="W221" i="20"/>
  <c r="Q221" i="20"/>
  <c r="T221" i="20"/>
  <c r="F222" i="21"/>
  <c r="J222" i="21"/>
  <c r="AB222" i="21"/>
  <c r="AJ222" i="21"/>
  <c r="X220" i="20"/>
  <c r="W220" i="20"/>
  <c r="Q220" i="20"/>
  <c r="X219" i="20"/>
  <c r="W219" i="20"/>
  <c r="Q219" i="20"/>
  <c r="T219" i="20"/>
  <c r="F220" i="21"/>
  <c r="J220" i="21"/>
  <c r="AB220" i="21"/>
  <c r="X218" i="20"/>
  <c r="V218" i="20"/>
  <c r="Q218" i="20"/>
  <c r="X217" i="20"/>
  <c r="W217" i="20"/>
  <c r="Q217" i="20"/>
  <c r="T217" i="20"/>
  <c r="F218" i="21"/>
  <c r="J218" i="21"/>
  <c r="AB218" i="21"/>
  <c r="X216" i="20"/>
  <c r="V216" i="20"/>
  <c r="Q216" i="20"/>
  <c r="X215" i="20"/>
  <c r="V215" i="20"/>
  <c r="Q215" i="20"/>
  <c r="X214" i="20"/>
  <c r="V214" i="20"/>
  <c r="Q214" i="20"/>
  <c r="X213" i="20"/>
  <c r="V213" i="20"/>
  <c r="Q213" i="20"/>
  <c r="X212" i="20"/>
  <c r="W212" i="20"/>
  <c r="Q212" i="20"/>
  <c r="T212" i="20"/>
  <c r="F213" i="21"/>
  <c r="J213" i="21"/>
  <c r="AB213" i="21"/>
  <c r="X211" i="20"/>
  <c r="W211" i="20"/>
  <c r="Q211" i="20"/>
  <c r="T211" i="20"/>
  <c r="F212" i="21"/>
  <c r="J212" i="21"/>
  <c r="AB212" i="21"/>
  <c r="W210" i="20"/>
  <c r="V210" i="20"/>
  <c r="Q210" i="20"/>
  <c r="T210" i="20"/>
  <c r="F211" i="21"/>
  <c r="J211" i="21"/>
  <c r="AD211" i="21"/>
  <c r="X209" i="20"/>
  <c r="V209" i="20"/>
  <c r="Q209" i="20"/>
  <c r="X208" i="20"/>
  <c r="W208" i="20"/>
  <c r="Q208" i="20"/>
  <c r="T208" i="20"/>
  <c r="F209" i="21"/>
  <c r="J209" i="21"/>
  <c r="AD209" i="21"/>
  <c r="X207" i="20"/>
  <c r="W207" i="20"/>
  <c r="Q207" i="20"/>
  <c r="T207" i="20"/>
  <c r="F208" i="21"/>
  <c r="J208" i="21"/>
  <c r="AB208" i="21"/>
  <c r="W206" i="20"/>
  <c r="V206" i="20"/>
  <c r="Q206" i="20"/>
  <c r="T206" i="20"/>
  <c r="F207" i="21"/>
  <c r="J207" i="21"/>
  <c r="AD207" i="21"/>
  <c r="X205" i="20"/>
  <c r="W205" i="20"/>
  <c r="Q205" i="20"/>
  <c r="T205" i="20"/>
  <c r="F206" i="21"/>
  <c r="J206" i="21"/>
  <c r="AB206" i="21"/>
  <c r="X204" i="20"/>
  <c r="W204" i="20"/>
  <c r="Q204" i="20"/>
  <c r="X203" i="20"/>
  <c r="W203" i="20"/>
  <c r="Q203" i="20"/>
  <c r="T203" i="20"/>
  <c r="F204" i="21"/>
  <c r="J204" i="21"/>
  <c r="AB204" i="21"/>
  <c r="W202" i="20"/>
  <c r="V202" i="20"/>
  <c r="Q202" i="20"/>
  <c r="T202" i="20"/>
  <c r="F203" i="21"/>
  <c r="J203" i="21"/>
  <c r="AD203" i="21"/>
  <c r="X201" i="20"/>
  <c r="V201" i="20"/>
  <c r="Q201" i="20"/>
  <c r="W200" i="20"/>
  <c r="V200" i="20"/>
  <c r="Q200" i="20"/>
  <c r="T200" i="20"/>
  <c r="F201" i="21"/>
  <c r="J201" i="21"/>
  <c r="AD201" i="21"/>
  <c r="X199" i="20"/>
  <c r="V199" i="20"/>
  <c r="Q199" i="20"/>
  <c r="X198" i="20"/>
  <c r="V198" i="20"/>
  <c r="Q198" i="20"/>
  <c r="X197" i="20"/>
  <c r="V197" i="20"/>
  <c r="Q197" i="20"/>
  <c r="X196" i="20"/>
  <c r="V196" i="20"/>
  <c r="Q196" i="20"/>
  <c r="X195" i="20"/>
  <c r="V195" i="20"/>
  <c r="Q195" i="20"/>
  <c r="X194" i="20"/>
  <c r="V194" i="20"/>
  <c r="Q194" i="20"/>
  <c r="X193" i="20"/>
  <c r="W193" i="20"/>
  <c r="Q193" i="20"/>
  <c r="T193" i="20"/>
  <c r="F194" i="21"/>
  <c r="J194" i="21"/>
  <c r="AB194" i="21"/>
  <c r="X192" i="20"/>
  <c r="W192" i="20"/>
  <c r="Q192" i="20"/>
  <c r="T192" i="20"/>
  <c r="F193" i="21"/>
  <c r="J193" i="21"/>
  <c r="AB193" i="21"/>
  <c r="X191" i="20"/>
  <c r="W191" i="20"/>
  <c r="Q191" i="20"/>
  <c r="T191" i="20"/>
  <c r="F192" i="21"/>
  <c r="J192" i="21"/>
  <c r="AB192" i="21"/>
  <c r="X190" i="20"/>
  <c r="V190" i="20"/>
  <c r="X189" i="20"/>
  <c r="V189" i="20"/>
  <c r="Q189" i="20"/>
  <c r="X188" i="20"/>
  <c r="V188" i="20"/>
  <c r="Q188" i="20"/>
  <c r="X187" i="20"/>
  <c r="V187" i="20"/>
  <c r="Q187" i="20"/>
  <c r="X186" i="20"/>
  <c r="W186" i="20"/>
  <c r="Q186" i="20"/>
  <c r="T186" i="20"/>
  <c r="F187" i="21"/>
  <c r="J187" i="21"/>
  <c r="AB187" i="21"/>
  <c r="X185" i="20"/>
  <c r="W185" i="20"/>
  <c r="Q185" i="20"/>
  <c r="T185" i="20"/>
  <c r="F186" i="21"/>
  <c r="J186" i="21"/>
  <c r="AB186" i="21"/>
  <c r="X184" i="20"/>
  <c r="W184" i="20"/>
  <c r="Q184" i="20"/>
  <c r="T184" i="20"/>
  <c r="F185" i="21"/>
  <c r="J185" i="21"/>
  <c r="AB185" i="21"/>
  <c r="X183" i="20"/>
  <c r="W183" i="20"/>
  <c r="Q183" i="20"/>
  <c r="T183" i="20"/>
  <c r="F184" i="21"/>
  <c r="J184" i="21"/>
  <c r="AB184" i="21"/>
  <c r="X182" i="20"/>
  <c r="W182" i="20"/>
  <c r="Q182" i="20"/>
  <c r="T182" i="20"/>
  <c r="F183" i="21"/>
  <c r="J183" i="21"/>
  <c r="AB183" i="21"/>
  <c r="X181" i="20"/>
  <c r="V181" i="20"/>
  <c r="Q181" i="20"/>
  <c r="X180" i="20"/>
  <c r="W180" i="20"/>
  <c r="Q180" i="20"/>
  <c r="T180" i="20"/>
  <c r="F181" i="21"/>
  <c r="J181" i="21"/>
  <c r="AB181" i="21"/>
  <c r="W179" i="20"/>
  <c r="V179" i="20"/>
  <c r="Q179" i="20"/>
  <c r="T179" i="20"/>
  <c r="X178" i="20"/>
  <c r="V178" i="20"/>
  <c r="Q178" i="20"/>
  <c r="X177" i="20"/>
  <c r="W177" i="20"/>
  <c r="Q177" i="20"/>
  <c r="T177" i="20"/>
  <c r="F178" i="21"/>
  <c r="J178" i="21"/>
  <c r="AB178" i="21"/>
  <c r="X176" i="20"/>
  <c r="V176" i="20"/>
  <c r="Q176" i="20"/>
  <c r="X175" i="20"/>
  <c r="V175" i="20"/>
  <c r="Q175" i="20"/>
  <c r="X174" i="20"/>
  <c r="W174" i="20"/>
  <c r="Q174" i="20"/>
  <c r="T174" i="20"/>
  <c r="X173" i="20"/>
  <c r="V173" i="20"/>
  <c r="X172" i="20"/>
  <c r="W172" i="20"/>
  <c r="X171" i="20"/>
  <c r="W171" i="20"/>
  <c r="Q171" i="20"/>
  <c r="T171" i="20"/>
  <c r="F172" i="21"/>
  <c r="J172" i="21"/>
  <c r="AB172" i="21"/>
  <c r="X170" i="20"/>
  <c r="W170" i="20"/>
  <c r="Q170" i="20"/>
  <c r="T170" i="20"/>
  <c r="F171" i="21"/>
  <c r="J171" i="21"/>
  <c r="AB171" i="21"/>
  <c r="X169" i="20"/>
  <c r="W169" i="20"/>
  <c r="Q169" i="20"/>
  <c r="T169" i="20"/>
  <c r="F170" i="21"/>
  <c r="J170" i="21"/>
  <c r="AB170" i="21"/>
  <c r="X168" i="20"/>
  <c r="W168" i="20"/>
  <c r="Q168" i="20"/>
  <c r="T168" i="20"/>
  <c r="F169" i="21"/>
  <c r="J169" i="21"/>
  <c r="AB169" i="21"/>
  <c r="X167" i="20"/>
  <c r="W167" i="20"/>
  <c r="Q167" i="20"/>
  <c r="T167" i="20"/>
  <c r="F168" i="21"/>
  <c r="J168" i="21"/>
  <c r="AB168" i="21"/>
  <c r="X166" i="20"/>
  <c r="W166" i="20"/>
  <c r="Q166" i="20"/>
  <c r="T166" i="20"/>
  <c r="F167" i="21"/>
  <c r="J167" i="21"/>
  <c r="AB167" i="21"/>
  <c r="X165" i="20"/>
  <c r="W165" i="20"/>
  <c r="Q165" i="20"/>
  <c r="T165" i="20"/>
  <c r="F166" i="21"/>
  <c r="J166" i="21"/>
  <c r="AB166" i="21"/>
  <c r="X164" i="20"/>
  <c r="W164" i="20"/>
  <c r="Q164" i="20"/>
  <c r="T164" i="20"/>
  <c r="F165" i="21"/>
  <c r="J165" i="21"/>
  <c r="AB165" i="21"/>
  <c r="X163" i="20"/>
  <c r="V163" i="20"/>
  <c r="Q163" i="20"/>
  <c r="X162" i="20"/>
  <c r="V162" i="20"/>
  <c r="Q162" i="20"/>
  <c r="X161" i="20"/>
  <c r="V161" i="20"/>
  <c r="Q161" i="20"/>
  <c r="X160" i="20"/>
  <c r="V160" i="20"/>
  <c r="Q160" i="20"/>
  <c r="X159" i="20"/>
  <c r="V159" i="20"/>
  <c r="Q159" i="20"/>
  <c r="X158" i="20"/>
  <c r="W158" i="20"/>
  <c r="Q158" i="20"/>
  <c r="T158" i="20"/>
  <c r="F159" i="21"/>
  <c r="J159" i="21"/>
  <c r="AB159" i="21"/>
  <c r="X157" i="20"/>
  <c r="W157" i="20"/>
  <c r="Q157" i="20"/>
  <c r="T157" i="20"/>
  <c r="F158" i="21"/>
  <c r="J158" i="21"/>
  <c r="AB158" i="21"/>
  <c r="X156" i="20"/>
  <c r="V156" i="20"/>
  <c r="Q156" i="20"/>
  <c r="X155" i="20"/>
  <c r="V155" i="20"/>
  <c r="Q155" i="20"/>
  <c r="X154" i="20"/>
  <c r="W154" i="20"/>
  <c r="Q154" i="20"/>
  <c r="T154" i="20"/>
  <c r="F155" i="21"/>
  <c r="J155" i="21"/>
  <c r="AB155" i="21"/>
  <c r="W153" i="20"/>
  <c r="V153" i="20"/>
  <c r="Q153" i="20"/>
  <c r="T153" i="20"/>
  <c r="F154" i="21"/>
  <c r="J154" i="21"/>
  <c r="AD154" i="21"/>
  <c r="X152" i="20"/>
  <c r="V152" i="20"/>
  <c r="Q152" i="20"/>
  <c r="X151" i="20"/>
  <c r="V151" i="20"/>
  <c r="Q151" i="20"/>
  <c r="T151" i="20"/>
  <c r="F152" i="21"/>
  <c r="J152" i="21"/>
  <c r="AC152" i="21"/>
  <c r="W150" i="20"/>
  <c r="V150" i="20"/>
  <c r="Q150" i="20"/>
  <c r="T150" i="20"/>
  <c r="F151" i="21"/>
  <c r="J151" i="21"/>
  <c r="AD151" i="21"/>
  <c r="X149" i="20"/>
  <c r="W149" i="20"/>
  <c r="Q149" i="20"/>
  <c r="T149" i="20"/>
  <c r="F150" i="21"/>
  <c r="J150" i="21"/>
  <c r="AB150" i="21"/>
  <c r="X147" i="20"/>
  <c r="W147" i="20"/>
  <c r="Q147" i="20"/>
  <c r="T147" i="20"/>
  <c r="F148" i="21"/>
  <c r="J148" i="21"/>
  <c r="AB148" i="21"/>
  <c r="X146" i="20"/>
  <c r="V146" i="20"/>
  <c r="Q146" i="20"/>
  <c r="T146" i="20"/>
  <c r="F147" i="21"/>
  <c r="J147" i="21"/>
  <c r="AC147" i="21"/>
  <c r="X145" i="20"/>
  <c r="V145" i="20"/>
  <c r="Q145" i="20"/>
  <c r="W144" i="20"/>
  <c r="V144" i="20"/>
  <c r="Q144" i="20"/>
  <c r="X143" i="20"/>
  <c r="W143" i="20"/>
  <c r="Q143" i="20"/>
  <c r="T143" i="20"/>
  <c r="F144" i="21"/>
  <c r="J144" i="21"/>
  <c r="AB144" i="21"/>
  <c r="X142" i="20"/>
  <c r="W142" i="20"/>
  <c r="Q142" i="20"/>
  <c r="X141" i="20"/>
  <c r="V141" i="20"/>
  <c r="Q141" i="20"/>
  <c r="T141" i="20"/>
  <c r="F142" i="21"/>
  <c r="J142" i="21"/>
  <c r="AC142" i="21"/>
  <c r="X140" i="20"/>
  <c r="V140" i="20"/>
  <c r="Q140" i="20"/>
  <c r="X139" i="20"/>
  <c r="W139" i="20"/>
  <c r="Q139" i="20"/>
  <c r="X138" i="20"/>
  <c r="W138" i="20"/>
  <c r="Q138" i="20"/>
  <c r="T138" i="20"/>
  <c r="F139" i="21"/>
  <c r="J139" i="21"/>
  <c r="AB139" i="21"/>
  <c r="X137" i="20"/>
  <c r="W137" i="20"/>
  <c r="Q137" i="20"/>
  <c r="T137" i="20"/>
  <c r="F138" i="21"/>
  <c r="J138" i="21"/>
  <c r="AB138" i="21"/>
  <c r="X136" i="20"/>
  <c r="W136" i="20"/>
  <c r="Q136" i="20"/>
  <c r="X135" i="20"/>
  <c r="W135" i="20"/>
  <c r="Q135" i="20"/>
  <c r="T135" i="20"/>
  <c r="F136" i="21"/>
  <c r="J136" i="21"/>
  <c r="AB136" i="21"/>
  <c r="X134" i="20"/>
  <c r="W134" i="20"/>
  <c r="Q134" i="20"/>
  <c r="X133" i="20"/>
  <c r="W133" i="20"/>
  <c r="Q133" i="20"/>
  <c r="T133" i="20"/>
  <c r="F134" i="21"/>
  <c r="J134" i="21"/>
  <c r="AB134" i="21"/>
  <c r="X132" i="20"/>
  <c r="W132" i="20"/>
  <c r="Q132" i="20"/>
  <c r="X131" i="20"/>
  <c r="W131" i="20"/>
  <c r="Q131" i="20"/>
  <c r="T131" i="20"/>
  <c r="F132" i="21"/>
  <c r="J132" i="21"/>
  <c r="AB132" i="21"/>
  <c r="X129" i="20"/>
  <c r="V129" i="20"/>
  <c r="Q129" i="20"/>
  <c r="T129" i="20"/>
  <c r="F130" i="21"/>
  <c r="J130" i="21"/>
  <c r="AB130" i="21"/>
  <c r="X128" i="20"/>
  <c r="W128" i="20"/>
  <c r="Q128" i="20"/>
  <c r="X127" i="20"/>
  <c r="V127" i="20"/>
  <c r="Q127" i="20"/>
  <c r="X126" i="20"/>
  <c r="V126" i="20"/>
  <c r="Q126" i="20"/>
  <c r="W125" i="20"/>
  <c r="V125" i="20"/>
  <c r="Q125" i="20"/>
  <c r="X124" i="20"/>
  <c r="W124" i="20"/>
  <c r="Q124" i="20"/>
  <c r="T124" i="20"/>
  <c r="F125" i="21"/>
  <c r="J125" i="21"/>
  <c r="AB125" i="21"/>
  <c r="X123" i="20"/>
  <c r="V123" i="20"/>
  <c r="Q123" i="20"/>
  <c r="X122" i="20"/>
  <c r="W122" i="20"/>
  <c r="Q122" i="20"/>
  <c r="T122" i="20"/>
  <c r="F123" i="21"/>
  <c r="J123" i="21"/>
  <c r="AB123" i="21"/>
  <c r="X121" i="20"/>
  <c r="W121" i="20"/>
  <c r="Q121" i="20"/>
  <c r="T121" i="20"/>
  <c r="F122" i="21"/>
  <c r="J122" i="21"/>
  <c r="AB122" i="21"/>
  <c r="X120" i="20"/>
  <c r="V120" i="20"/>
  <c r="Q120" i="20"/>
  <c r="X119" i="20"/>
  <c r="V119" i="20"/>
  <c r="Q119" i="20"/>
  <c r="X118" i="20"/>
  <c r="W118" i="20"/>
  <c r="Q118" i="20"/>
  <c r="T118" i="20"/>
  <c r="F119" i="21"/>
  <c r="J119" i="21"/>
  <c r="AB119" i="21"/>
  <c r="X117" i="20"/>
  <c r="W117" i="20"/>
  <c r="Q117" i="20"/>
  <c r="T117" i="20"/>
  <c r="F118" i="21"/>
  <c r="J118" i="21"/>
  <c r="AB118" i="21"/>
  <c r="I225" i="20"/>
  <c r="X116" i="20"/>
  <c r="W116" i="20"/>
  <c r="Q116" i="20"/>
  <c r="T116" i="20"/>
  <c r="F117" i="21"/>
  <c r="J117" i="21"/>
  <c r="AB117" i="21"/>
  <c r="X115" i="20"/>
  <c r="W115" i="20"/>
  <c r="Q115" i="20"/>
  <c r="T115" i="20"/>
  <c r="F116" i="21"/>
  <c r="J116" i="21"/>
  <c r="AB116" i="21"/>
  <c r="X114" i="20"/>
  <c r="W114" i="20"/>
  <c r="Q114" i="20"/>
  <c r="T114" i="20"/>
  <c r="F115" i="21"/>
  <c r="J115" i="21"/>
  <c r="AB115" i="21"/>
  <c r="X113" i="20"/>
  <c r="W113" i="20"/>
  <c r="Q113" i="20"/>
  <c r="T113" i="20"/>
  <c r="F114" i="21"/>
  <c r="J114" i="21"/>
  <c r="AB114" i="21"/>
  <c r="X112" i="20"/>
  <c r="W112" i="20"/>
  <c r="Q112" i="20"/>
  <c r="T112" i="20"/>
  <c r="F113" i="21"/>
  <c r="J113" i="21"/>
  <c r="AB113" i="21"/>
  <c r="X111" i="20"/>
  <c r="W111" i="20"/>
  <c r="Q111" i="20"/>
  <c r="T111" i="20"/>
  <c r="F112" i="21"/>
  <c r="J112" i="21"/>
  <c r="AB112" i="21"/>
  <c r="X110" i="20"/>
  <c r="W110" i="20"/>
  <c r="Q110" i="20"/>
  <c r="T110" i="20"/>
  <c r="F111" i="21"/>
  <c r="J111" i="21"/>
  <c r="AB111" i="21"/>
  <c r="X109" i="20"/>
  <c r="W109" i="20"/>
  <c r="Q109" i="20"/>
  <c r="T109" i="20"/>
  <c r="F110" i="21"/>
  <c r="J110" i="21"/>
  <c r="AB110" i="21"/>
  <c r="X108" i="20"/>
  <c r="W108" i="20"/>
  <c r="Q108" i="20"/>
  <c r="T108" i="20"/>
  <c r="F109" i="21"/>
  <c r="J109" i="21"/>
  <c r="AB109" i="21"/>
  <c r="X107" i="20"/>
  <c r="W107" i="20"/>
  <c r="Q107" i="20"/>
  <c r="T107" i="20"/>
  <c r="F108" i="21"/>
  <c r="J108" i="21"/>
  <c r="AB108" i="21"/>
  <c r="X106" i="20"/>
  <c r="W106" i="20"/>
  <c r="Q106" i="20"/>
  <c r="T106" i="20"/>
  <c r="F107" i="21"/>
  <c r="J107" i="21"/>
  <c r="AB107" i="21"/>
  <c r="X105" i="20"/>
  <c r="W105" i="20"/>
  <c r="Q105" i="20"/>
  <c r="T105" i="20"/>
  <c r="F106" i="21"/>
  <c r="J106" i="21"/>
  <c r="AB106" i="21"/>
  <c r="X104" i="20"/>
  <c r="W104" i="20"/>
  <c r="Q104" i="20"/>
  <c r="T104" i="20"/>
  <c r="F105" i="21"/>
  <c r="J105" i="21"/>
  <c r="AB105" i="21"/>
  <c r="X103" i="20"/>
  <c r="W103" i="20"/>
  <c r="Q103" i="20"/>
  <c r="T103" i="20"/>
  <c r="F104" i="21"/>
  <c r="J104" i="21"/>
  <c r="AB104" i="21"/>
  <c r="X102" i="20"/>
  <c r="W102" i="20"/>
  <c r="Q102" i="20"/>
  <c r="T102" i="20"/>
  <c r="F103" i="21"/>
  <c r="J103" i="21"/>
  <c r="AB103" i="21"/>
  <c r="X101" i="20"/>
  <c r="W101" i="20"/>
  <c r="Q101" i="20"/>
  <c r="T101" i="20"/>
  <c r="F102" i="21"/>
  <c r="J102" i="21"/>
  <c r="AB102" i="21"/>
  <c r="X100" i="20"/>
  <c r="W100" i="20"/>
  <c r="Q100" i="20"/>
  <c r="T100" i="20"/>
  <c r="F101" i="21"/>
  <c r="J101" i="21"/>
  <c r="AB101" i="21"/>
  <c r="X99" i="20"/>
  <c r="W99" i="20"/>
  <c r="Q99" i="20"/>
  <c r="T99" i="20"/>
  <c r="F100" i="21"/>
  <c r="J100" i="21"/>
  <c r="AB100" i="21"/>
  <c r="X98" i="20"/>
  <c r="V98" i="20"/>
  <c r="Q98" i="20"/>
  <c r="X97" i="20"/>
  <c r="V97" i="20"/>
  <c r="Q97" i="20"/>
  <c r="X96" i="20"/>
  <c r="V96" i="20"/>
  <c r="Q96" i="20"/>
  <c r="X95" i="20"/>
  <c r="W95" i="20"/>
  <c r="Q95" i="20"/>
  <c r="T95" i="20"/>
  <c r="F96" i="21"/>
  <c r="J96" i="21"/>
  <c r="AB96" i="21"/>
  <c r="X94" i="20"/>
  <c r="V94" i="20"/>
  <c r="Q94" i="20"/>
  <c r="X93" i="20"/>
  <c r="V93" i="20"/>
  <c r="Q93" i="20"/>
  <c r="W92" i="20"/>
  <c r="V92" i="20"/>
  <c r="Q92" i="20"/>
  <c r="T92" i="20"/>
  <c r="F93" i="21"/>
  <c r="J93" i="21"/>
  <c r="AD93" i="21"/>
  <c r="W91" i="20"/>
  <c r="V91" i="20"/>
  <c r="Q91" i="20"/>
  <c r="T91" i="20"/>
  <c r="F92" i="21"/>
  <c r="J92" i="21"/>
  <c r="AD92" i="21"/>
  <c r="X90" i="20"/>
  <c r="W90" i="20"/>
  <c r="Q90" i="20"/>
  <c r="T90" i="20"/>
  <c r="F91" i="21"/>
  <c r="J91" i="21"/>
  <c r="AB91" i="21"/>
  <c r="X89" i="20"/>
  <c r="W89" i="20"/>
  <c r="Q89" i="20"/>
  <c r="T89" i="20"/>
  <c r="F90" i="21"/>
  <c r="J90" i="21"/>
  <c r="AB90" i="21"/>
  <c r="X88" i="20"/>
  <c r="W88" i="20"/>
  <c r="Q88" i="20"/>
  <c r="T88" i="20"/>
  <c r="F89" i="21"/>
  <c r="J89" i="21"/>
  <c r="AB89" i="21"/>
  <c r="X87" i="20"/>
  <c r="W87" i="20"/>
  <c r="Q87" i="20"/>
  <c r="T87" i="20"/>
  <c r="F88" i="21"/>
  <c r="J88" i="21"/>
  <c r="AB88" i="21"/>
  <c r="X86" i="20"/>
  <c r="W86" i="20"/>
  <c r="Q86" i="20"/>
  <c r="T86" i="20"/>
  <c r="F87" i="21"/>
  <c r="J87" i="21"/>
  <c r="AB87" i="21"/>
  <c r="X85" i="20"/>
  <c r="W85" i="20"/>
  <c r="Q85" i="20"/>
  <c r="T85" i="20"/>
  <c r="F86" i="21"/>
  <c r="J86" i="21"/>
  <c r="AB86" i="21"/>
  <c r="X84" i="20"/>
  <c r="V84" i="20"/>
  <c r="Q84" i="20"/>
  <c r="X83" i="20"/>
  <c r="V83" i="20"/>
  <c r="X82" i="20"/>
  <c r="V82" i="20"/>
  <c r="Q82" i="20"/>
  <c r="X81" i="20"/>
  <c r="W81" i="20"/>
  <c r="Q81" i="20"/>
  <c r="T81" i="20"/>
  <c r="F82" i="21"/>
  <c r="J82" i="21"/>
  <c r="AB82" i="21"/>
  <c r="X80" i="20"/>
  <c r="V80" i="20"/>
  <c r="Q80" i="20"/>
  <c r="X79" i="20"/>
  <c r="V79" i="20"/>
  <c r="Q79" i="20"/>
  <c r="X78" i="20"/>
  <c r="W78" i="20"/>
  <c r="Q78" i="20"/>
  <c r="T78" i="20"/>
  <c r="F79" i="21"/>
  <c r="J79" i="21"/>
  <c r="AB79" i="21"/>
  <c r="X77" i="20"/>
  <c r="W77" i="20"/>
  <c r="Q77" i="20"/>
  <c r="T77" i="20"/>
  <c r="F78" i="21"/>
  <c r="J78" i="21"/>
  <c r="AB78" i="21"/>
  <c r="X76" i="20"/>
  <c r="V76" i="20"/>
  <c r="Q76" i="20"/>
  <c r="X75" i="20"/>
  <c r="W75" i="20"/>
  <c r="Q75" i="20"/>
  <c r="T75" i="20"/>
  <c r="F76" i="21"/>
  <c r="J76" i="21"/>
  <c r="AB76" i="21"/>
  <c r="X74" i="20"/>
  <c r="W74" i="20"/>
  <c r="Q74" i="20"/>
  <c r="T74" i="20"/>
  <c r="F75" i="21"/>
  <c r="J75" i="21"/>
  <c r="AB75" i="21"/>
  <c r="X73" i="20"/>
  <c r="W73" i="20"/>
  <c r="Q73" i="20"/>
  <c r="T73" i="20"/>
  <c r="F74" i="21"/>
  <c r="J74" i="21"/>
  <c r="AB74" i="21"/>
  <c r="X72" i="20"/>
  <c r="W72" i="20"/>
  <c r="X71" i="20"/>
  <c r="W71" i="20"/>
  <c r="Q71" i="20"/>
  <c r="T71" i="20"/>
  <c r="F72" i="21"/>
  <c r="J72" i="21"/>
  <c r="AB72" i="21"/>
  <c r="X70" i="20"/>
  <c r="W70" i="20"/>
  <c r="Q70" i="20"/>
  <c r="T70" i="20"/>
  <c r="F71" i="21"/>
  <c r="J71" i="21"/>
  <c r="AB71" i="21"/>
  <c r="X69" i="20"/>
  <c r="W69" i="20"/>
  <c r="Q69" i="20"/>
  <c r="T69" i="20"/>
  <c r="F70" i="21"/>
  <c r="J70" i="21"/>
  <c r="AB70" i="21"/>
  <c r="X68" i="20"/>
  <c r="W68" i="20"/>
  <c r="Q68" i="20"/>
  <c r="T68" i="20"/>
  <c r="F69" i="21"/>
  <c r="J69" i="21"/>
  <c r="AB69" i="21"/>
  <c r="X67" i="20"/>
  <c r="W67" i="20"/>
  <c r="Q67" i="20"/>
  <c r="T67" i="20"/>
  <c r="F68" i="21"/>
  <c r="J68" i="21"/>
  <c r="AB68" i="21"/>
  <c r="X66" i="20"/>
  <c r="W66" i="20"/>
  <c r="Q66" i="20"/>
  <c r="T66" i="20"/>
  <c r="F67" i="21"/>
  <c r="J67" i="21"/>
  <c r="AB67" i="21"/>
  <c r="X65" i="20"/>
  <c r="W65" i="20"/>
  <c r="Q65" i="20"/>
  <c r="T65" i="20"/>
  <c r="F66" i="21"/>
  <c r="J66" i="21"/>
  <c r="AB66" i="21"/>
  <c r="X64" i="20"/>
  <c r="W64" i="20"/>
  <c r="Q64" i="20"/>
  <c r="T64" i="20"/>
  <c r="F65" i="21"/>
  <c r="J65" i="21"/>
  <c r="AB65" i="21"/>
  <c r="X63" i="20"/>
  <c r="W63" i="20"/>
  <c r="Q63" i="20"/>
  <c r="X62" i="20"/>
  <c r="W62" i="20"/>
  <c r="Q62" i="20"/>
  <c r="T62" i="20"/>
  <c r="F63" i="21"/>
  <c r="J63" i="21"/>
  <c r="AB63" i="21"/>
  <c r="X61" i="20"/>
  <c r="W61" i="20"/>
  <c r="Q61" i="20"/>
  <c r="X60" i="20"/>
  <c r="W60" i="20"/>
  <c r="Q60" i="20"/>
  <c r="T60" i="20"/>
  <c r="F61" i="21"/>
  <c r="J61" i="21"/>
  <c r="AB61" i="21"/>
  <c r="X59" i="20"/>
  <c r="W59" i="20"/>
  <c r="Q59" i="20"/>
  <c r="W58" i="20"/>
  <c r="V58" i="20"/>
  <c r="Q58" i="20"/>
  <c r="T58" i="20"/>
  <c r="F59" i="21"/>
  <c r="J59" i="21"/>
  <c r="AD59" i="21"/>
  <c r="X57" i="20"/>
  <c r="V57" i="20"/>
  <c r="Q57" i="20"/>
  <c r="T57" i="20"/>
  <c r="F58" i="21"/>
  <c r="J58" i="21"/>
  <c r="AC58" i="21"/>
  <c r="X56" i="20"/>
  <c r="V56" i="20"/>
  <c r="Q56" i="20"/>
  <c r="W55" i="20"/>
  <c r="V55" i="20"/>
  <c r="Q55" i="20"/>
  <c r="X54" i="20"/>
  <c r="V54" i="20"/>
  <c r="Q54" i="20"/>
  <c r="T54" i="20"/>
  <c r="F55" i="21"/>
  <c r="J55" i="21"/>
  <c r="AC55" i="21"/>
  <c r="X53" i="20"/>
  <c r="V53" i="20"/>
  <c r="Q53" i="20"/>
  <c r="T53" i="20"/>
  <c r="F54" i="21"/>
  <c r="J54" i="21"/>
  <c r="AC54" i="21"/>
  <c r="X52" i="20"/>
  <c r="V52" i="20"/>
  <c r="Q52" i="20"/>
  <c r="X51" i="20"/>
  <c r="V51" i="20"/>
  <c r="Q51" i="20"/>
  <c r="T51" i="20"/>
  <c r="F52" i="21"/>
  <c r="J52" i="21"/>
  <c r="AC52" i="21"/>
  <c r="X50" i="20"/>
  <c r="V50" i="20"/>
  <c r="Q50" i="20"/>
  <c r="X49" i="20"/>
  <c r="W49" i="20"/>
  <c r="Q49" i="20"/>
  <c r="X48" i="20"/>
  <c r="W48" i="20"/>
  <c r="Q48" i="20"/>
  <c r="T48" i="20"/>
  <c r="F49" i="21"/>
  <c r="J49" i="21"/>
  <c r="AB49" i="21"/>
  <c r="X47" i="20"/>
  <c r="W47" i="20"/>
  <c r="Q47" i="20"/>
  <c r="X46" i="20"/>
  <c r="V46" i="20"/>
  <c r="Q46" i="20"/>
  <c r="X45" i="20"/>
  <c r="W45" i="20"/>
  <c r="Q45" i="20"/>
  <c r="X44" i="20"/>
  <c r="W44" i="20"/>
  <c r="Q44" i="20"/>
  <c r="T44" i="20"/>
  <c r="F45" i="21"/>
  <c r="J45" i="21"/>
  <c r="AB45" i="21"/>
  <c r="X43" i="20"/>
  <c r="V43" i="20"/>
  <c r="Q43" i="20"/>
  <c r="T43" i="20"/>
  <c r="F44" i="21"/>
  <c r="J44" i="21"/>
  <c r="AC44" i="21"/>
  <c r="X42" i="20"/>
  <c r="W42" i="20"/>
  <c r="Q42" i="20"/>
  <c r="T42" i="20"/>
  <c r="F43" i="21"/>
  <c r="J43" i="21"/>
  <c r="AB43" i="21"/>
  <c r="W41" i="20"/>
  <c r="V41" i="20"/>
  <c r="Q41" i="20"/>
  <c r="T41" i="20"/>
  <c r="F42" i="21"/>
  <c r="J42" i="21"/>
  <c r="AD42" i="21"/>
  <c r="X40" i="20"/>
  <c r="W40" i="20"/>
  <c r="Q40" i="20"/>
  <c r="AF40" i="20"/>
  <c r="X39" i="20"/>
  <c r="W39" i="20"/>
  <c r="Q39" i="20"/>
  <c r="T39" i="20"/>
  <c r="F40" i="21"/>
  <c r="J40" i="21"/>
  <c r="AB40" i="21"/>
  <c r="X38" i="20"/>
  <c r="W38" i="20"/>
  <c r="Q38" i="20"/>
  <c r="AF38" i="20"/>
  <c r="E225" i="20"/>
  <c r="X35" i="20"/>
  <c r="W35" i="20"/>
  <c r="Q35" i="20"/>
  <c r="AF35" i="20"/>
  <c r="X34" i="20"/>
  <c r="W34" i="20"/>
  <c r="Q34" i="20"/>
  <c r="T34" i="20"/>
  <c r="F35" i="21"/>
  <c r="J35" i="21"/>
  <c r="AB35" i="21"/>
  <c r="X33" i="20"/>
  <c r="W33" i="20"/>
  <c r="Q33" i="20"/>
  <c r="AF33" i="20"/>
  <c r="X32" i="20"/>
  <c r="W32" i="20"/>
  <c r="Q32" i="20"/>
  <c r="T32" i="20"/>
  <c r="F33" i="21"/>
  <c r="J33" i="21"/>
  <c r="AB33" i="21"/>
  <c r="X31" i="20"/>
  <c r="W31" i="20"/>
  <c r="Q31" i="20"/>
  <c r="AF31" i="20"/>
  <c r="X30" i="20"/>
  <c r="W30" i="20"/>
  <c r="Q30" i="20"/>
  <c r="T30" i="20"/>
  <c r="F31" i="21"/>
  <c r="J31" i="21"/>
  <c r="AB31" i="21"/>
  <c r="X29" i="20"/>
  <c r="V29" i="20"/>
  <c r="Q29" i="20"/>
  <c r="T29" i="20"/>
  <c r="F30" i="21"/>
  <c r="J30" i="21"/>
  <c r="AC30" i="21"/>
  <c r="X28" i="20"/>
  <c r="W28" i="20"/>
  <c r="Q28" i="20"/>
  <c r="T28" i="20"/>
  <c r="F29" i="21"/>
  <c r="J29" i="21"/>
  <c r="AB29" i="21"/>
  <c r="X27" i="20"/>
  <c r="W27" i="20"/>
  <c r="Q27" i="20"/>
  <c r="AF27" i="20"/>
  <c r="X26" i="20"/>
  <c r="W26" i="20"/>
  <c r="Q26" i="20"/>
  <c r="T26" i="20"/>
  <c r="F27" i="21"/>
  <c r="J27" i="21"/>
  <c r="AB27" i="21"/>
  <c r="X25" i="20"/>
  <c r="V25" i="20"/>
  <c r="Q25" i="20"/>
  <c r="T25" i="20"/>
  <c r="F26" i="21"/>
  <c r="J26" i="21"/>
  <c r="AC26" i="21"/>
  <c r="X24" i="20"/>
  <c r="V24" i="20"/>
  <c r="Q24" i="20"/>
  <c r="AG24" i="20"/>
  <c r="X23" i="20"/>
  <c r="V23" i="20"/>
  <c r="Q23" i="20"/>
  <c r="T23" i="20"/>
  <c r="F24" i="21"/>
  <c r="J24" i="21"/>
  <c r="AC24" i="21"/>
  <c r="X22" i="20"/>
  <c r="W22" i="20"/>
  <c r="Q22" i="20"/>
  <c r="T22" i="20"/>
  <c r="F23" i="21"/>
  <c r="J23" i="21"/>
  <c r="AB23" i="21"/>
  <c r="X21" i="20"/>
  <c r="W21" i="20"/>
  <c r="Q21" i="20"/>
  <c r="AF21" i="20"/>
  <c r="X20" i="20"/>
  <c r="W20" i="20"/>
  <c r="Q20" i="20"/>
  <c r="T20" i="20"/>
  <c r="F21" i="21"/>
  <c r="J21" i="21"/>
  <c r="AB21" i="21"/>
  <c r="X19" i="20"/>
  <c r="V19" i="20"/>
  <c r="Q19" i="20"/>
  <c r="T19" i="20"/>
  <c r="F19" i="21"/>
  <c r="J19" i="21"/>
  <c r="AC19" i="21"/>
  <c r="X18" i="20"/>
  <c r="V18" i="20"/>
  <c r="Q18" i="20"/>
  <c r="AG18" i="20"/>
  <c r="X17" i="20"/>
  <c r="W17" i="20"/>
  <c r="Q17" i="20"/>
  <c r="AF17" i="20"/>
  <c r="AH16" i="20"/>
  <c r="AF16" i="20"/>
  <c r="AD16" i="20"/>
  <c r="AB16" i="20"/>
  <c r="X16" i="20"/>
  <c r="V16" i="20"/>
  <c r="Q16" i="20"/>
  <c r="T16" i="20"/>
  <c r="F16" i="21"/>
  <c r="J16" i="21"/>
  <c r="AC16" i="21"/>
  <c r="AC130" i="21"/>
  <c r="AB209" i="21"/>
  <c r="T38" i="20"/>
  <c r="F39" i="21"/>
  <c r="J39" i="21"/>
  <c r="AB39" i="21"/>
  <c r="T40" i="20"/>
  <c r="F41" i="21"/>
  <c r="J41" i="21"/>
  <c r="AB41" i="21"/>
  <c r="AF45" i="20"/>
  <c r="T45" i="20"/>
  <c r="F46" i="21"/>
  <c r="J46" i="21"/>
  <c r="AB46" i="21"/>
  <c r="AG46" i="20"/>
  <c r="T46" i="20"/>
  <c r="F47" i="21"/>
  <c r="J47" i="21"/>
  <c r="AC47" i="21"/>
  <c r="AF47" i="20"/>
  <c r="T47" i="20"/>
  <c r="F48" i="21"/>
  <c r="J48" i="21"/>
  <c r="AB48" i="21"/>
  <c r="AH55" i="20"/>
  <c r="T55" i="20"/>
  <c r="F56" i="21"/>
  <c r="J56" i="21"/>
  <c r="AD56" i="21"/>
  <c r="AG56" i="20"/>
  <c r="T56" i="20"/>
  <c r="F57" i="21"/>
  <c r="J57" i="21"/>
  <c r="AC57" i="21"/>
  <c r="AF59" i="20"/>
  <c r="T59" i="20"/>
  <c r="F60" i="21"/>
  <c r="J60" i="21"/>
  <c r="AB60" i="21"/>
  <c r="AF61" i="20"/>
  <c r="T61" i="20"/>
  <c r="F62" i="21"/>
  <c r="J62" i="21"/>
  <c r="AB62" i="21"/>
  <c r="AF63" i="20"/>
  <c r="T63" i="20"/>
  <c r="F64" i="21"/>
  <c r="J64" i="21"/>
  <c r="AB64" i="21"/>
  <c r="AG120" i="20"/>
  <c r="T120" i="20"/>
  <c r="F121" i="21"/>
  <c r="J121" i="21"/>
  <c r="AC121" i="21"/>
  <c r="AG123" i="20"/>
  <c r="T123" i="20"/>
  <c r="F124" i="21"/>
  <c r="J124" i="21"/>
  <c r="AC124" i="21"/>
  <c r="AH125" i="20"/>
  <c r="T125" i="20"/>
  <c r="F126" i="21"/>
  <c r="J126" i="21"/>
  <c r="AD126" i="21"/>
  <c r="AG175" i="20"/>
  <c r="T175" i="20"/>
  <c r="F176" i="21"/>
  <c r="J176" i="21"/>
  <c r="AC176" i="21"/>
  <c r="AG176" i="20"/>
  <c r="T176" i="20"/>
  <c r="F177" i="21"/>
  <c r="J177" i="21"/>
  <c r="AC177" i="21"/>
  <c r="AG178" i="20"/>
  <c r="T178" i="20"/>
  <c r="F179" i="21"/>
  <c r="J179" i="21"/>
  <c r="AC179" i="21"/>
  <c r="AG181" i="20"/>
  <c r="T181" i="20"/>
  <c r="F182" i="21"/>
  <c r="J182" i="21"/>
  <c r="AC182" i="21"/>
  <c r="AG187" i="20"/>
  <c r="T187" i="20"/>
  <c r="F188" i="21"/>
  <c r="J188" i="21"/>
  <c r="AC188" i="21"/>
  <c r="AG188" i="20"/>
  <c r="T188" i="20"/>
  <c r="F189" i="21"/>
  <c r="J189" i="21"/>
  <c r="AC189" i="21"/>
  <c r="AG189" i="20"/>
  <c r="T189" i="20"/>
  <c r="F190" i="21"/>
  <c r="J190" i="21"/>
  <c r="AC190" i="21"/>
  <c r="AG190" i="20"/>
  <c r="AG194" i="20"/>
  <c r="T194" i="20"/>
  <c r="F195" i="21"/>
  <c r="J195" i="21"/>
  <c r="AC195" i="21"/>
  <c r="AG195" i="20"/>
  <c r="T195" i="20"/>
  <c r="F196" i="21"/>
  <c r="J196" i="21"/>
  <c r="AC196" i="21"/>
  <c r="AG196" i="20"/>
  <c r="T196" i="20"/>
  <c r="F197" i="21"/>
  <c r="J197" i="21"/>
  <c r="AC197" i="21"/>
  <c r="AG197" i="20"/>
  <c r="T197" i="20"/>
  <c r="F198" i="21"/>
  <c r="J198" i="21"/>
  <c r="AC198" i="21"/>
  <c r="AG198" i="20"/>
  <c r="T198" i="20"/>
  <c r="F199" i="21"/>
  <c r="J199" i="21"/>
  <c r="AC199" i="21"/>
  <c r="AG199" i="20"/>
  <c r="T199" i="20"/>
  <c r="F200" i="21"/>
  <c r="J200" i="21"/>
  <c r="AC200" i="21"/>
  <c r="AG201" i="20"/>
  <c r="T201" i="20"/>
  <c r="F202" i="21"/>
  <c r="J202" i="21"/>
  <c r="AC202" i="21"/>
  <c r="AF204" i="20"/>
  <c r="T204" i="20"/>
  <c r="F205" i="21"/>
  <c r="J205" i="21"/>
  <c r="AB205" i="21"/>
  <c r="AF49" i="20"/>
  <c r="T49" i="20"/>
  <c r="F50" i="21"/>
  <c r="J50" i="21"/>
  <c r="AB50" i="21"/>
  <c r="AG50" i="20"/>
  <c r="T50" i="20"/>
  <c r="F51" i="21"/>
  <c r="J51" i="21"/>
  <c r="AC51" i="21"/>
  <c r="AG52" i="20"/>
  <c r="T52" i="20"/>
  <c r="F53" i="21"/>
  <c r="J53" i="21"/>
  <c r="AC53" i="21"/>
  <c r="AG119" i="20"/>
  <c r="T119" i="20"/>
  <c r="F120" i="21"/>
  <c r="J120" i="21"/>
  <c r="AC120" i="21"/>
  <c r="AG76" i="20"/>
  <c r="T76" i="20"/>
  <c r="F77" i="21"/>
  <c r="J77" i="21"/>
  <c r="AC77" i="21"/>
  <c r="AG79" i="20"/>
  <c r="T79" i="20"/>
  <c r="F80" i="21"/>
  <c r="J80" i="21"/>
  <c r="AC80" i="21"/>
  <c r="AG80" i="20"/>
  <c r="T80" i="20"/>
  <c r="F81" i="21"/>
  <c r="J81" i="21"/>
  <c r="AC81" i="21"/>
  <c r="AG82" i="20"/>
  <c r="T82" i="20"/>
  <c r="F83" i="21"/>
  <c r="J83" i="21"/>
  <c r="AC83" i="21"/>
  <c r="AG83" i="20"/>
  <c r="T83" i="20"/>
  <c r="F84" i="21"/>
  <c r="J84" i="21"/>
  <c r="AC84" i="21"/>
  <c r="AG84" i="20"/>
  <c r="T84" i="20"/>
  <c r="F85" i="21"/>
  <c r="J85" i="21"/>
  <c r="AC85" i="21"/>
  <c r="AG93" i="20"/>
  <c r="T93" i="20"/>
  <c r="F94" i="21"/>
  <c r="J94" i="21"/>
  <c r="AC94" i="21"/>
  <c r="AG94" i="20"/>
  <c r="T94" i="20"/>
  <c r="F95" i="21"/>
  <c r="J95" i="21"/>
  <c r="AC95" i="21"/>
  <c r="AG96" i="20"/>
  <c r="T96" i="20"/>
  <c r="F97" i="21"/>
  <c r="J97" i="21"/>
  <c r="AC97" i="21"/>
  <c r="AG97" i="20"/>
  <c r="T97" i="20"/>
  <c r="F98" i="21"/>
  <c r="J98" i="21"/>
  <c r="AC98" i="21"/>
  <c r="AG98" i="20"/>
  <c r="T98" i="20"/>
  <c r="F99" i="21"/>
  <c r="J99" i="21"/>
  <c r="AC99" i="21"/>
  <c r="AG126" i="20"/>
  <c r="T126" i="20"/>
  <c r="F127" i="21"/>
  <c r="J127" i="21"/>
  <c r="AC127" i="21"/>
  <c r="AG127" i="20"/>
  <c r="T127" i="20"/>
  <c r="F128" i="21"/>
  <c r="J128" i="21"/>
  <c r="AC128" i="21"/>
  <c r="AF128" i="20"/>
  <c r="T128" i="20"/>
  <c r="F129" i="21"/>
  <c r="J129" i="21"/>
  <c r="AC129" i="21"/>
  <c r="AF132" i="20"/>
  <c r="T132" i="20"/>
  <c r="F133" i="21"/>
  <c r="J133" i="21"/>
  <c r="AB133" i="21"/>
  <c r="AF134" i="20"/>
  <c r="T134" i="20"/>
  <c r="F135" i="21"/>
  <c r="J135" i="21"/>
  <c r="AB135" i="21"/>
  <c r="AF136" i="20"/>
  <c r="T136" i="20"/>
  <c r="F137" i="21"/>
  <c r="J137" i="21"/>
  <c r="AB137" i="21"/>
  <c r="AF139" i="20"/>
  <c r="T139" i="20"/>
  <c r="F140" i="21"/>
  <c r="J140" i="21"/>
  <c r="AB140" i="21"/>
  <c r="AG140" i="20"/>
  <c r="T140" i="20"/>
  <c r="F141" i="21"/>
  <c r="J141" i="21"/>
  <c r="AC141" i="21"/>
  <c r="AF142" i="20"/>
  <c r="T142" i="20"/>
  <c r="F143" i="21"/>
  <c r="J143" i="21"/>
  <c r="AB143" i="21"/>
  <c r="AH144" i="20"/>
  <c r="T144" i="20"/>
  <c r="F145" i="21"/>
  <c r="J145" i="21"/>
  <c r="AD145" i="21"/>
  <c r="AG145" i="20"/>
  <c r="T145" i="20"/>
  <c r="F146" i="21"/>
  <c r="J146" i="21"/>
  <c r="AC146" i="21"/>
  <c r="AG152" i="20"/>
  <c r="T152" i="20"/>
  <c r="F153" i="21"/>
  <c r="J153" i="21"/>
  <c r="AC153" i="21"/>
  <c r="AG155" i="20"/>
  <c r="T155" i="20"/>
  <c r="F156" i="21"/>
  <c r="J156" i="21"/>
  <c r="AC156" i="21"/>
  <c r="AG156" i="20"/>
  <c r="T156" i="20"/>
  <c r="F157" i="21"/>
  <c r="J157" i="21"/>
  <c r="AC157" i="21"/>
  <c r="AG159" i="20"/>
  <c r="T159" i="20"/>
  <c r="F160" i="21"/>
  <c r="J160" i="21"/>
  <c r="AC160" i="21"/>
  <c r="AG160" i="20"/>
  <c r="T160" i="20"/>
  <c r="F161" i="21"/>
  <c r="J161" i="21"/>
  <c r="AC161" i="21"/>
  <c r="AG161" i="20"/>
  <c r="T161" i="20"/>
  <c r="F162" i="21"/>
  <c r="J162" i="21"/>
  <c r="AC162" i="21"/>
  <c r="AG162" i="20"/>
  <c r="T162" i="20"/>
  <c r="F163" i="21"/>
  <c r="J163" i="21"/>
  <c r="AC163" i="21"/>
  <c r="AG163" i="20"/>
  <c r="T163" i="20"/>
  <c r="F164" i="21"/>
  <c r="J164" i="21"/>
  <c r="AC164" i="21"/>
  <c r="AG173" i="20"/>
  <c r="T173" i="20"/>
  <c r="F174" i="21"/>
  <c r="J174" i="21"/>
  <c r="AC174" i="21"/>
  <c r="AG209" i="20"/>
  <c r="T209" i="20"/>
  <c r="F210" i="21"/>
  <c r="J210" i="21"/>
  <c r="AC210" i="21"/>
  <c r="AG213" i="20"/>
  <c r="T213" i="20"/>
  <c r="F214" i="21"/>
  <c r="J214" i="21"/>
  <c r="AC214" i="21"/>
  <c r="AG214" i="20"/>
  <c r="T214" i="20"/>
  <c r="F215" i="21"/>
  <c r="J215" i="21"/>
  <c r="AC215" i="21"/>
  <c r="AG215" i="20"/>
  <c r="T215" i="20"/>
  <c r="F216" i="21"/>
  <c r="J216" i="21"/>
  <c r="AC216" i="21"/>
  <c r="AG216" i="20"/>
  <c r="T216" i="20"/>
  <c r="F217" i="21"/>
  <c r="J217" i="21"/>
  <c r="AC217" i="21"/>
  <c r="AG218" i="20"/>
  <c r="T218" i="20"/>
  <c r="F219" i="21"/>
  <c r="J219" i="21"/>
  <c r="AC219" i="21"/>
  <c r="AF220" i="20"/>
  <c r="T220" i="20"/>
  <c r="F221" i="21"/>
  <c r="J221" i="21"/>
  <c r="AB221" i="21"/>
  <c r="T17" i="20"/>
  <c r="F17" i="21"/>
  <c r="T18" i="20"/>
  <c r="F18" i="21"/>
  <c r="J18" i="21"/>
  <c r="AC18" i="21"/>
  <c r="T21" i="20"/>
  <c r="F22" i="21"/>
  <c r="J22" i="21"/>
  <c r="AB22" i="21"/>
  <c r="T24" i="20"/>
  <c r="F25" i="21"/>
  <c r="J25" i="21"/>
  <c r="AC25" i="21"/>
  <c r="T27" i="20"/>
  <c r="F28" i="21"/>
  <c r="J28" i="21"/>
  <c r="AB28" i="21"/>
  <c r="T31" i="20"/>
  <c r="F32" i="21"/>
  <c r="J32" i="21"/>
  <c r="AB32" i="21"/>
  <c r="T33" i="20"/>
  <c r="F34" i="21"/>
  <c r="J34" i="21"/>
  <c r="AB34" i="21"/>
  <c r="T35" i="20"/>
  <c r="F36" i="21"/>
  <c r="J36" i="21"/>
  <c r="AB36" i="21"/>
  <c r="F180" i="21"/>
  <c r="J180" i="21"/>
  <c r="AD180" i="21"/>
  <c r="W152" i="20"/>
  <c r="AA152" i="20"/>
  <c r="W19" i="20"/>
  <c r="AA19" i="20"/>
  <c r="AG19" i="20"/>
  <c r="W25" i="20"/>
  <c r="AA25" i="20"/>
  <c r="AG25" i="20"/>
  <c r="V26" i="20"/>
  <c r="AA26" i="20"/>
  <c r="AF26" i="20"/>
  <c r="V28" i="20"/>
  <c r="AA28" i="20"/>
  <c r="AF28" i="20"/>
  <c r="W29" i="20"/>
  <c r="AG29" i="20"/>
  <c r="W43" i="20"/>
  <c r="AA43" i="20"/>
  <c r="AG43" i="20"/>
  <c r="V44" i="20"/>
  <c r="AA44" i="20"/>
  <c r="AF44" i="20"/>
  <c r="W51" i="20"/>
  <c r="AA51" i="20"/>
  <c r="AG51" i="20"/>
  <c r="W53" i="20"/>
  <c r="AA53" i="20"/>
  <c r="AG53" i="20"/>
  <c r="X58" i="20"/>
  <c r="AA58" i="20"/>
  <c r="AH58" i="20"/>
  <c r="V60" i="20"/>
  <c r="AF60" i="20"/>
  <c r="V62" i="20"/>
  <c r="AA62" i="20"/>
  <c r="AF62" i="20"/>
  <c r="V64" i="20"/>
  <c r="AA64" i="20"/>
  <c r="AF64" i="20"/>
  <c r="V65" i="20"/>
  <c r="AA65" i="20"/>
  <c r="AF65" i="20"/>
  <c r="V117" i="20"/>
  <c r="AA117" i="20"/>
  <c r="AF117" i="20"/>
  <c r="V118" i="20"/>
  <c r="AA118" i="20"/>
  <c r="AF118" i="20"/>
  <c r="V121" i="20"/>
  <c r="AA121" i="20"/>
  <c r="AF121" i="20"/>
  <c r="V124" i="20"/>
  <c r="AA124" i="20"/>
  <c r="AF124" i="20"/>
  <c r="W129" i="20"/>
  <c r="AA129" i="20"/>
  <c r="AG129" i="20"/>
  <c r="X153" i="20"/>
  <c r="AA153" i="20"/>
  <c r="AH153" i="20"/>
  <c r="V154" i="20"/>
  <c r="AF154" i="20"/>
  <c r="V157" i="20"/>
  <c r="AA157" i="20"/>
  <c r="AF157" i="20"/>
  <c r="V158" i="20"/>
  <c r="AA158" i="20"/>
  <c r="AF158" i="20"/>
  <c r="V164" i="20"/>
  <c r="AA164" i="20"/>
  <c r="AF164" i="20"/>
  <c r="V165" i="20"/>
  <c r="AF165" i="20"/>
  <c r="V166" i="20"/>
  <c r="AA166" i="20"/>
  <c r="AF166" i="20"/>
  <c r="V167" i="20"/>
  <c r="AF167" i="20"/>
  <c r="V170" i="20"/>
  <c r="AA170" i="20"/>
  <c r="AF170" i="20"/>
  <c r="V174" i="20"/>
  <c r="AA174" i="20"/>
  <c r="AF174" i="20"/>
  <c r="V205" i="20"/>
  <c r="AF205" i="20"/>
  <c r="X206" i="20"/>
  <c r="AA206" i="20"/>
  <c r="AH206" i="20"/>
  <c r="V207" i="20"/>
  <c r="AA207" i="20"/>
  <c r="AF207" i="20"/>
  <c r="X210" i="20"/>
  <c r="AA210" i="20"/>
  <c r="AH210" i="20"/>
  <c r="V211" i="20"/>
  <c r="AA211" i="20"/>
  <c r="AF211" i="20"/>
  <c r="V212" i="20"/>
  <c r="AF212" i="20"/>
  <c r="V217" i="20"/>
  <c r="AF217" i="20"/>
  <c r="V221" i="20"/>
  <c r="AA221" i="20"/>
  <c r="AF221" i="20"/>
  <c r="X222" i="20"/>
  <c r="AH222" i="20"/>
  <c r="X223" i="20"/>
  <c r="AA223" i="20"/>
  <c r="V224" i="20"/>
  <c r="AA224" i="20"/>
  <c r="AF224" i="20"/>
  <c r="V39" i="20"/>
  <c r="AF39" i="20"/>
  <c r="V66" i="20"/>
  <c r="AA66" i="20"/>
  <c r="AF66" i="20"/>
  <c r="V67" i="20"/>
  <c r="AA67" i="20"/>
  <c r="AF67" i="20"/>
  <c r="V68" i="20"/>
  <c r="AA68" i="20"/>
  <c r="AF68" i="20"/>
  <c r="V69" i="20"/>
  <c r="AF69" i="20"/>
  <c r="V71" i="20"/>
  <c r="AA71" i="20"/>
  <c r="AF71" i="20"/>
  <c r="V72" i="20"/>
  <c r="AA72" i="20"/>
  <c r="AF72" i="20"/>
  <c r="V73" i="20"/>
  <c r="AA73" i="20"/>
  <c r="AF73" i="20"/>
  <c r="V74" i="20"/>
  <c r="AA74" i="20"/>
  <c r="AF74" i="20"/>
  <c r="V75" i="20"/>
  <c r="AA75" i="20"/>
  <c r="AF75" i="20"/>
  <c r="V78" i="20"/>
  <c r="AA78" i="20"/>
  <c r="AF78" i="20"/>
  <c r="V85" i="20"/>
  <c r="AF85" i="20"/>
  <c r="V86" i="20"/>
  <c r="AA86" i="20"/>
  <c r="AF86" i="20"/>
  <c r="V87" i="20"/>
  <c r="AA87" i="20"/>
  <c r="AF87" i="20"/>
  <c r="V88" i="20"/>
  <c r="AA88" i="20"/>
  <c r="AF88" i="20"/>
  <c r="V89" i="20"/>
  <c r="AF89" i="20"/>
  <c r="V90" i="20"/>
  <c r="AA90" i="20"/>
  <c r="AF90" i="20"/>
  <c r="X92" i="20"/>
  <c r="AH92" i="20"/>
  <c r="V95" i="20"/>
  <c r="AA95" i="20"/>
  <c r="AF95" i="20"/>
  <c r="V99" i="20"/>
  <c r="AA99" i="20"/>
  <c r="AF99" i="20"/>
  <c r="V100" i="20"/>
  <c r="AA100" i="20"/>
  <c r="AF100" i="20"/>
  <c r="V101" i="20"/>
  <c r="AA101" i="20"/>
  <c r="AF101" i="20"/>
  <c r="V102" i="20"/>
  <c r="AA102" i="20"/>
  <c r="AF102" i="20"/>
  <c r="V103" i="20"/>
  <c r="AF103" i="20"/>
  <c r="V104" i="20"/>
  <c r="AF104" i="20"/>
  <c r="V105" i="20"/>
  <c r="AA105" i="20"/>
  <c r="AF105" i="20"/>
  <c r="V106" i="20"/>
  <c r="AA106" i="20"/>
  <c r="AF106" i="20"/>
  <c r="V107" i="20"/>
  <c r="AA107" i="20"/>
  <c r="AF107" i="20"/>
  <c r="V108" i="20"/>
  <c r="AA108" i="20"/>
  <c r="AF108" i="20"/>
  <c r="V109" i="20"/>
  <c r="AA109" i="20"/>
  <c r="AF109" i="20"/>
  <c r="V110" i="20"/>
  <c r="AA110" i="20"/>
  <c r="AF110" i="20"/>
  <c r="V111" i="20"/>
  <c r="AF111" i="20"/>
  <c r="V112" i="20"/>
  <c r="AF112" i="20"/>
  <c r="V113" i="20"/>
  <c r="AA113" i="20"/>
  <c r="AF113" i="20"/>
  <c r="V114" i="20"/>
  <c r="AA114" i="20"/>
  <c r="AF114" i="20"/>
  <c r="V115" i="20"/>
  <c r="AA115" i="20"/>
  <c r="AF115" i="20"/>
  <c r="V116" i="20"/>
  <c r="AA116" i="20"/>
  <c r="AF116" i="20"/>
  <c r="V131" i="20"/>
  <c r="AF131" i="20"/>
  <c r="V133" i="20"/>
  <c r="AA133" i="20"/>
  <c r="AF133" i="20"/>
  <c r="V135" i="20"/>
  <c r="AA135" i="20"/>
  <c r="AF135" i="20"/>
  <c r="V137" i="20"/>
  <c r="AA137" i="20"/>
  <c r="AF137" i="20"/>
  <c r="V138" i="20"/>
  <c r="AA138" i="20"/>
  <c r="AF138" i="20"/>
  <c r="W146" i="20"/>
  <c r="AG146" i="20"/>
  <c r="V147" i="20"/>
  <c r="AA147" i="20"/>
  <c r="AF147" i="20"/>
  <c r="X150" i="20"/>
  <c r="AA150" i="20"/>
  <c r="AH150" i="20"/>
  <c r="W151" i="20"/>
  <c r="AA151" i="20"/>
  <c r="AG151" i="20"/>
  <c r="V177" i="20"/>
  <c r="AA177" i="20"/>
  <c r="AF177" i="20"/>
  <c r="X179" i="20"/>
  <c r="AA179" i="20"/>
  <c r="AH179" i="20"/>
  <c r="V183" i="20"/>
  <c r="AA183" i="20"/>
  <c r="AF183" i="20"/>
  <c r="V186" i="20"/>
  <c r="AA186" i="20"/>
  <c r="AF186" i="20"/>
  <c r="V191" i="20"/>
  <c r="AA191" i="20"/>
  <c r="AF191" i="20"/>
  <c r="V192" i="20"/>
  <c r="AA192" i="20"/>
  <c r="AF192" i="20"/>
  <c r="V193" i="20"/>
  <c r="AF193" i="20"/>
  <c r="X202" i="20"/>
  <c r="AA202" i="20"/>
  <c r="AH202" i="20"/>
  <c r="V203" i="20"/>
  <c r="AA203" i="20"/>
  <c r="AF203" i="20"/>
  <c r="V22" i="20"/>
  <c r="AA22" i="20"/>
  <c r="AF22" i="20"/>
  <c r="V20" i="20"/>
  <c r="AA20" i="20"/>
  <c r="AF20" i="20"/>
  <c r="V219" i="20"/>
  <c r="AA219" i="20"/>
  <c r="AF219" i="20"/>
  <c r="V208" i="20"/>
  <c r="AA208" i="20"/>
  <c r="AF208" i="20"/>
  <c r="X200" i="20"/>
  <c r="AA200" i="20"/>
  <c r="AH200" i="20"/>
  <c r="V185" i="20"/>
  <c r="AF185" i="20"/>
  <c r="V184" i="20"/>
  <c r="AA184" i="20"/>
  <c r="AF184" i="20"/>
  <c r="V182" i="20"/>
  <c r="AA182" i="20"/>
  <c r="AF182" i="20"/>
  <c r="V180" i="20"/>
  <c r="AF180" i="20"/>
  <c r="V172" i="20"/>
  <c r="AA172" i="20"/>
  <c r="AF172" i="20"/>
  <c r="V171" i="20"/>
  <c r="AA171" i="20"/>
  <c r="AF171" i="20"/>
  <c r="V169" i="20"/>
  <c r="AA169" i="20"/>
  <c r="AF169" i="20"/>
  <c r="V168" i="20"/>
  <c r="AA168" i="20"/>
  <c r="AF168" i="20"/>
  <c r="V149" i="20"/>
  <c r="AA149" i="20"/>
  <c r="AF149" i="20"/>
  <c r="V143" i="20"/>
  <c r="AA143" i="20"/>
  <c r="AF143" i="20"/>
  <c r="W141" i="20"/>
  <c r="AA141" i="20"/>
  <c r="AG141" i="20"/>
  <c r="V122" i="20"/>
  <c r="AA122" i="20"/>
  <c r="AF122" i="20"/>
  <c r="X91" i="20"/>
  <c r="AA91" i="20"/>
  <c r="AH91" i="20"/>
  <c r="V81" i="20"/>
  <c r="AA81" i="20"/>
  <c r="AF81" i="20"/>
  <c r="V77" i="20"/>
  <c r="AA77" i="20"/>
  <c r="AF77" i="20"/>
  <c r="V70" i="20"/>
  <c r="AA70" i="20"/>
  <c r="AF70" i="20"/>
  <c r="W57" i="20"/>
  <c r="AA57" i="20"/>
  <c r="AG57" i="20"/>
  <c r="W54" i="20"/>
  <c r="AG54" i="20"/>
  <c r="V48" i="20"/>
  <c r="AA48" i="20"/>
  <c r="AF48" i="20"/>
  <c r="V42" i="20"/>
  <c r="AF42" i="20"/>
  <c r="X41" i="20"/>
  <c r="AA41" i="20"/>
  <c r="AH41" i="20"/>
  <c r="V34" i="20"/>
  <c r="AA34" i="20"/>
  <c r="AF34" i="20"/>
  <c r="V32" i="20"/>
  <c r="AA32" i="20"/>
  <c r="AF32" i="20"/>
  <c r="V30" i="20"/>
  <c r="AA30" i="20"/>
  <c r="AF30" i="20"/>
  <c r="W23" i="20"/>
  <c r="AA23" i="20"/>
  <c r="AG23" i="20"/>
  <c r="AA42" i="20"/>
  <c r="AA69" i="20"/>
  <c r="W173" i="20"/>
  <c r="AA173" i="20"/>
  <c r="W175" i="20"/>
  <c r="AA175" i="20"/>
  <c r="AA180" i="20"/>
  <c r="AA185" i="20"/>
  <c r="AA193" i="20"/>
  <c r="W214" i="20"/>
  <c r="AA214" i="20"/>
  <c r="W24" i="20"/>
  <c r="AA24" i="20"/>
  <c r="W96" i="20"/>
  <c r="AA96" i="20"/>
  <c r="AA104" i="20"/>
  <c r="AA111" i="20"/>
  <c r="W120" i="20"/>
  <c r="AA120" i="20"/>
  <c r="W140" i="20"/>
  <c r="AA140" i="20"/>
  <c r="W159" i="20"/>
  <c r="AA159" i="20"/>
  <c r="I226" i="20"/>
  <c r="Q225" i="20"/>
  <c r="AA39" i="20"/>
  <c r="AA60" i="20"/>
  <c r="W76" i="20"/>
  <c r="AA76" i="20"/>
  <c r="AA85" i="20"/>
  <c r="AA89" i="20"/>
  <c r="AA131" i="20"/>
  <c r="W145" i="20"/>
  <c r="AA145" i="20"/>
  <c r="W155" i="20"/>
  <c r="AA155" i="20"/>
  <c r="W163" i="20"/>
  <c r="AA163" i="20"/>
  <c r="AA165" i="20"/>
  <c r="AA205" i="20"/>
  <c r="AA212" i="20"/>
  <c r="W216" i="20"/>
  <c r="AA216" i="20"/>
  <c r="AA217" i="20"/>
  <c r="W18" i="20"/>
  <c r="AA18" i="20"/>
  <c r="W52" i="20"/>
  <c r="AA52" i="20"/>
  <c r="W80" i="20"/>
  <c r="AA80" i="20"/>
  <c r="W83" i="20"/>
  <c r="AA83" i="20"/>
  <c r="W93" i="20"/>
  <c r="AA93" i="20"/>
  <c r="W178" i="20"/>
  <c r="AA178" i="20"/>
  <c r="W181" i="20"/>
  <c r="AA181" i="20"/>
  <c r="W188" i="20"/>
  <c r="AA188" i="20"/>
  <c r="W196" i="20"/>
  <c r="AA196" i="20"/>
  <c r="W209" i="20"/>
  <c r="AA209" i="20"/>
  <c r="W213" i="20"/>
  <c r="AA213" i="20"/>
  <c r="W215" i="20"/>
  <c r="AA215" i="20"/>
  <c r="M226" i="20"/>
  <c r="W46" i="20"/>
  <c r="AA46" i="20"/>
  <c r="W50" i="20"/>
  <c r="AA50" i="20"/>
  <c r="W56" i="20"/>
  <c r="AA56" i="20"/>
  <c r="W79" i="20"/>
  <c r="AA79" i="20"/>
  <c r="W82" i="20"/>
  <c r="AA82" i="20"/>
  <c r="W84" i="20"/>
  <c r="AA84" i="20"/>
  <c r="W94" i="20"/>
  <c r="AA94" i="20"/>
  <c r="W98" i="20"/>
  <c r="AA98" i="20"/>
  <c r="AA103" i="20"/>
  <c r="AA112" i="20"/>
  <c r="W127" i="20"/>
  <c r="AA127" i="20"/>
  <c r="AA154" i="20"/>
  <c r="W161" i="20"/>
  <c r="AA161" i="20"/>
  <c r="AA167" i="20"/>
  <c r="W190" i="20"/>
  <c r="AA190" i="20"/>
  <c r="W194" i="20"/>
  <c r="AA194" i="20"/>
  <c r="W198" i="20"/>
  <c r="AA198" i="20"/>
  <c r="W218" i="20"/>
  <c r="AA218" i="20"/>
  <c r="AA29" i="20"/>
  <c r="AA54" i="20"/>
  <c r="AG16" i="20"/>
  <c r="V17" i="20"/>
  <c r="AA17" i="20"/>
  <c r="V21" i="20"/>
  <c r="AA21" i="20"/>
  <c r="V27" i="20"/>
  <c r="AA27" i="20"/>
  <c r="V31" i="20"/>
  <c r="AA31" i="20"/>
  <c r="V33" i="20"/>
  <c r="AA33" i="20"/>
  <c r="V35" i="20"/>
  <c r="AA35" i="20"/>
  <c r="V38" i="20"/>
  <c r="AA38" i="20"/>
  <c r="V40" i="20"/>
  <c r="AA40" i="20"/>
  <c r="V45" i="20"/>
  <c r="AA45" i="20"/>
  <c r="V47" i="20"/>
  <c r="AA47" i="20"/>
  <c r="V49" i="20"/>
  <c r="AA49" i="20"/>
  <c r="AA92" i="20"/>
  <c r="W16" i="20"/>
  <c r="X55" i="20"/>
  <c r="AA55" i="20"/>
  <c r="V59" i="20"/>
  <c r="AA59" i="20"/>
  <c r="V61" i="20"/>
  <c r="AA61" i="20"/>
  <c r="V63" i="20"/>
  <c r="AA63" i="20"/>
  <c r="W97" i="20"/>
  <c r="AA97" i="20"/>
  <c r="W119" i="20"/>
  <c r="AA119" i="20"/>
  <c r="W123" i="20"/>
  <c r="AA123" i="20"/>
  <c r="X125" i="20"/>
  <c r="AA125" i="20"/>
  <c r="W126" i="20"/>
  <c r="AA126" i="20"/>
  <c r="V128" i="20"/>
  <c r="AA128" i="20"/>
  <c r="V132" i="20"/>
  <c r="AA132" i="20"/>
  <c r="V134" i="20"/>
  <c r="AA134" i="20"/>
  <c r="V136" i="20"/>
  <c r="AA136" i="20"/>
  <c r="V139" i="20"/>
  <c r="AA139" i="20"/>
  <c r="AA146" i="20"/>
  <c r="V142" i="20"/>
  <c r="AA142" i="20"/>
  <c r="X144" i="20"/>
  <c r="AA144" i="20"/>
  <c r="AA222" i="20"/>
  <c r="W156" i="20"/>
  <c r="AA156" i="20"/>
  <c r="W160" i="20"/>
  <c r="AA160" i="20"/>
  <c r="W162" i="20"/>
  <c r="AA162" i="20"/>
  <c r="W176" i="20"/>
  <c r="AA176" i="20"/>
  <c r="W187" i="20"/>
  <c r="AA187" i="20"/>
  <c r="W189" i="20"/>
  <c r="AA189" i="20"/>
  <c r="W195" i="20"/>
  <c r="AA195" i="20"/>
  <c r="W197" i="20"/>
  <c r="AA197" i="20"/>
  <c r="W199" i="20"/>
  <c r="AA199" i="20"/>
  <c r="W201" i="20"/>
  <c r="AA201" i="20"/>
  <c r="V204" i="20"/>
  <c r="AA204" i="20"/>
  <c r="V220" i="20"/>
  <c r="AA220" i="20"/>
  <c r="E199" i="19"/>
  <c r="E169" i="19"/>
  <c r="R168" i="18"/>
  <c r="R167" i="18"/>
  <c r="I115" i="19"/>
  <c r="AB129" i="21"/>
  <c r="T225" i="20"/>
  <c r="F175" i="21"/>
  <c r="J175" i="21"/>
  <c r="AB175" i="21"/>
  <c r="J233" i="20"/>
  <c r="J231" i="21"/>
  <c r="AH225" i="20"/>
  <c r="AH229" i="20"/>
  <c r="AF225" i="20"/>
  <c r="AF229" i="20"/>
  <c r="W225" i="20"/>
  <c r="Y235" i="20"/>
  <c r="X225" i="20"/>
  <c r="Y238" i="20"/>
  <c r="AA16" i="20"/>
  <c r="AG225" i="20"/>
  <c r="AG229" i="20"/>
  <c r="V225" i="20"/>
  <c r="J230" i="20"/>
  <c r="I136" i="19"/>
  <c r="E166" i="19"/>
  <c r="Y232" i="20"/>
  <c r="Y239" i="20"/>
  <c r="X230" i="20"/>
  <c r="X239" i="20"/>
  <c r="R127" i="18"/>
  <c r="I176" i="19"/>
  <c r="I175" i="19"/>
  <c r="E52" i="19"/>
  <c r="R218" i="18"/>
  <c r="E147" i="19"/>
  <c r="E146" i="19"/>
  <c r="R180" i="18"/>
  <c r="AH56" i="18"/>
  <c r="AD56" i="18"/>
  <c r="X56" i="18"/>
  <c r="Q56" i="18"/>
  <c r="AG56" i="18"/>
  <c r="J56" i="18"/>
  <c r="AC56" i="18"/>
  <c r="AG56" i="19"/>
  <c r="AC56" i="19"/>
  <c r="W56" i="19"/>
  <c r="Q56" i="19"/>
  <c r="AH221" i="19"/>
  <c r="AG221" i="19"/>
  <c r="AD221" i="19"/>
  <c r="AC221" i="19"/>
  <c r="AG220" i="19"/>
  <c r="AF220" i="19"/>
  <c r="AC220" i="19"/>
  <c r="AB220" i="19"/>
  <c r="AG219" i="19"/>
  <c r="AF219" i="19"/>
  <c r="AC219" i="19"/>
  <c r="AB219" i="19"/>
  <c r="AH218" i="19"/>
  <c r="AG218" i="19"/>
  <c r="AD218" i="19"/>
  <c r="AC218" i="19"/>
  <c r="AH217" i="19"/>
  <c r="AG217" i="19"/>
  <c r="AD217" i="19"/>
  <c r="AC217" i="19"/>
  <c r="AH216" i="19"/>
  <c r="AG216" i="19"/>
  <c r="AD216" i="19"/>
  <c r="AC216" i="19"/>
  <c r="AH215" i="19"/>
  <c r="AF215" i="19"/>
  <c r="AD215" i="19"/>
  <c r="AB215" i="19"/>
  <c r="AH214" i="19"/>
  <c r="AG214" i="19"/>
  <c r="AD214" i="19"/>
  <c r="AC214" i="19"/>
  <c r="AH213" i="19"/>
  <c r="AF213" i="19"/>
  <c r="AD213" i="19"/>
  <c r="AB213" i="19"/>
  <c r="AH212" i="19"/>
  <c r="AF212" i="19"/>
  <c r="AD212" i="19"/>
  <c r="AB212" i="19"/>
  <c r="AH211" i="19"/>
  <c r="AF211" i="19"/>
  <c r="AD211" i="19"/>
  <c r="AB211" i="19"/>
  <c r="AH210" i="19"/>
  <c r="AF210" i="19"/>
  <c r="AD210" i="19"/>
  <c r="AB210" i="19"/>
  <c r="AH209" i="19"/>
  <c r="AG209" i="19"/>
  <c r="AD209" i="19"/>
  <c r="AC209" i="19"/>
  <c r="AH208" i="19"/>
  <c r="AG208" i="19"/>
  <c r="AD208" i="19"/>
  <c r="AC208" i="19"/>
  <c r="AG207" i="19"/>
  <c r="AF207" i="19"/>
  <c r="AC207" i="19"/>
  <c r="AB207" i="19"/>
  <c r="AH206" i="19"/>
  <c r="AF206" i="19"/>
  <c r="AD206" i="19"/>
  <c r="AB206" i="19"/>
  <c r="AH205" i="19"/>
  <c r="AG205" i="19"/>
  <c r="AD205" i="19"/>
  <c r="AC205" i="19"/>
  <c r="AH204" i="19"/>
  <c r="AG204" i="19"/>
  <c r="AD204" i="19"/>
  <c r="AC204" i="19"/>
  <c r="AG203" i="19"/>
  <c r="AF203" i="19"/>
  <c r="AC203" i="19"/>
  <c r="AB203" i="19"/>
  <c r="AH202" i="19"/>
  <c r="AG202" i="19"/>
  <c r="AD202" i="19"/>
  <c r="AC202" i="19"/>
  <c r="AH201" i="19"/>
  <c r="AG201" i="19"/>
  <c r="AD201" i="19"/>
  <c r="AC201" i="19"/>
  <c r="AH200" i="19"/>
  <c r="AG200" i="19"/>
  <c r="AD200" i="19"/>
  <c r="AC200" i="19"/>
  <c r="AG199" i="19"/>
  <c r="AF199" i="19"/>
  <c r="AC199" i="19"/>
  <c r="AB199" i="19"/>
  <c r="AH198" i="19"/>
  <c r="AF198" i="19"/>
  <c r="AD198" i="19"/>
  <c r="AB198" i="19"/>
  <c r="AG197" i="19"/>
  <c r="AF197" i="19"/>
  <c r="AC197" i="19"/>
  <c r="AB197" i="19"/>
  <c r="AH196" i="19"/>
  <c r="AF196" i="19"/>
  <c r="AD196" i="19"/>
  <c r="AB196" i="19"/>
  <c r="AH195" i="19"/>
  <c r="AF195" i="19"/>
  <c r="AD195" i="19"/>
  <c r="AB195" i="19"/>
  <c r="AH194" i="19"/>
  <c r="AF194" i="19"/>
  <c r="AD194" i="19"/>
  <c r="AB194" i="19"/>
  <c r="AH193" i="19"/>
  <c r="AF193" i="19"/>
  <c r="AD193" i="19"/>
  <c r="AB193" i="19"/>
  <c r="AH192" i="19"/>
  <c r="AF192" i="19"/>
  <c r="AD192" i="19"/>
  <c r="AB192" i="19"/>
  <c r="AH191" i="19"/>
  <c r="AF191" i="19"/>
  <c r="AD191" i="19"/>
  <c r="AB191" i="19"/>
  <c r="AH190" i="19"/>
  <c r="AG190" i="19"/>
  <c r="AD190" i="19"/>
  <c r="AC190" i="19"/>
  <c r="AH189" i="19"/>
  <c r="AG189" i="19"/>
  <c r="AD189" i="19"/>
  <c r="AC189" i="19"/>
  <c r="AH188" i="19"/>
  <c r="AG188" i="19"/>
  <c r="AD188" i="19"/>
  <c r="AC188" i="19"/>
  <c r="AH187" i="19"/>
  <c r="AF187" i="19"/>
  <c r="AD187" i="19"/>
  <c r="AB187" i="19"/>
  <c r="AH186" i="19"/>
  <c r="AF186" i="19"/>
  <c r="AD186" i="19"/>
  <c r="AB186" i="19"/>
  <c r="AH185" i="19"/>
  <c r="AF185" i="19"/>
  <c r="AD185" i="19"/>
  <c r="AB185" i="19"/>
  <c r="AH184" i="19"/>
  <c r="AF184" i="19"/>
  <c r="AD184" i="19"/>
  <c r="AB184" i="19"/>
  <c r="AH183" i="19"/>
  <c r="AG183" i="19"/>
  <c r="AD183" i="19"/>
  <c r="AC183" i="19"/>
  <c r="AH182" i="19"/>
  <c r="AG182" i="19"/>
  <c r="AD182" i="19"/>
  <c r="AC182" i="19"/>
  <c r="AH181" i="19"/>
  <c r="AG181" i="19"/>
  <c r="AD181" i="19"/>
  <c r="AC181" i="19"/>
  <c r="AH180" i="19"/>
  <c r="AG180" i="19"/>
  <c r="AD180" i="19"/>
  <c r="AC180" i="19"/>
  <c r="AH179" i="19"/>
  <c r="AG179" i="19"/>
  <c r="AD179" i="19"/>
  <c r="AC179" i="19"/>
  <c r="AH178" i="19"/>
  <c r="AF178" i="19"/>
  <c r="AD178" i="19"/>
  <c r="AB178" i="19"/>
  <c r="AH177" i="19"/>
  <c r="AG177" i="19"/>
  <c r="AD177" i="19"/>
  <c r="AC177" i="19"/>
  <c r="AG176" i="19"/>
  <c r="AF176" i="19"/>
  <c r="AC176" i="19"/>
  <c r="AB176" i="19"/>
  <c r="AH175" i="19"/>
  <c r="AF175" i="19"/>
  <c r="AD175" i="19"/>
  <c r="AB175" i="19"/>
  <c r="AH174" i="19"/>
  <c r="AG174" i="19"/>
  <c r="AD174" i="19"/>
  <c r="AC174" i="19"/>
  <c r="AH173" i="19"/>
  <c r="AF173" i="19"/>
  <c r="AD173" i="19"/>
  <c r="AB173" i="19"/>
  <c r="AH172" i="19"/>
  <c r="AF172" i="19"/>
  <c r="AD172" i="19"/>
  <c r="AB172" i="19"/>
  <c r="AH171" i="19"/>
  <c r="AG171" i="19"/>
  <c r="AD171" i="19"/>
  <c r="AC171" i="19"/>
  <c r="AH170" i="19"/>
  <c r="AF170" i="19"/>
  <c r="AD170" i="19"/>
  <c r="AB170" i="19"/>
  <c r="AH169" i="19"/>
  <c r="AG169" i="19"/>
  <c r="AD169" i="19"/>
  <c r="AC169" i="19"/>
  <c r="AH168" i="19"/>
  <c r="AG168" i="19"/>
  <c r="AD168" i="19"/>
  <c r="AC168" i="19"/>
  <c r="AH167" i="19"/>
  <c r="AG167" i="19"/>
  <c r="AD167" i="19"/>
  <c r="AC167" i="19"/>
  <c r="AH166" i="19"/>
  <c r="AG166" i="19"/>
  <c r="AD166" i="19"/>
  <c r="AC166" i="19"/>
  <c r="AH165" i="19"/>
  <c r="AG165" i="19"/>
  <c r="AD165" i="19"/>
  <c r="AC165" i="19"/>
  <c r="AH164" i="19"/>
  <c r="AG164" i="19"/>
  <c r="AD164" i="19"/>
  <c r="AC164" i="19"/>
  <c r="AH163" i="19"/>
  <c r="AG163" i="19"/>
  <c r="AD163" i="19"/>
  <c r="AC163" i="19"/>
  <c r="AH162" i="19"/>
  <c r="AG162" i="19"/>
  <c r="AD162" i="19"/>
  <c r="AC162" i="19"/>
  <c r="AH161" i="19"/>
  <c r="AG161" i="19"/>
  <c r="AD161" i="19"/>
  <c r="AC161" i="19"/>
  <c r="AH160" i="19"/>
  <c r="AF160" i="19"/>
  <c r="AD160" i="19"/>
  <c r="AB160" i="19"/>
  <c r="AH159" i="19"/>
  <c r="AF159" i="19"/>
  <c r="AD159" i="19"/>
  <c r="AB159" i="19"/>
  <c r="AH158" i="19"/>
  <c r="AF158" i="19"/>
  <c r="AD158" i="19"/>
  <c r="AB158" i="19"/>
  <c r="AH157" i="19"/>
  <c r="AF157" i="19"/>
  <c r="AD157" i="19"/>
  <c r="AB157" i="19"/>
  <c r="AH156" i="19"/>
  <c r="AF156" i="19"/>
  <c r="AD156" i="19"/>
  <c r="AB156" i="19"/>
  <c r="AH155" i="19"/>
  <c r="AG155" i="19"/>
  <c r="AD155" i="19"/>
  <c r="AC155" i="19"/>
  <c r="AH154" i="19"/>
  <c r="AG154" i="19"/>
  <c r="AD154" i="19"/>
  <c r="AC154" i="19"/>
  <c r="AH153" i="19"/>
  <c r="AF153" i="19"/>
  <c r="AD153" i="19"/>
  <c r="AB153" i="19"/>
  <c r="AH152" i="19"/>
  <c r="AF152" i="19"/>
  <c r="AD152" i="19"/>
  <c r="AB152" i="19"/>
  <c r="AH151" i="19"/>
  <c r="AG151" i="19"/>
  <c r="AD151" i="19"/>
  <c r="AC151" i="19"/>
  <c r="AG150" i="19"/>
  <c r="AF150" i="19"/>
  <c r="AC150" i="19"/>
  <c r="AB150" i="19"/>
  <c r="AH149" i="19"/>
  <c r="AF149" i="19"/>
  <c r="AD149" i="19"/>
  <c r="AB149" i="19"/>
  <c r="AH148" i="19"/>
  <c r="AF148" i="19"/>
  <c r="AD148" i="19"/>
  <c r="AB148" i="19"/>
  <c r="AG147" i="19"/>
  <c r="AF147" i="19"/>
  <c r="AC147" i="19"/>
  <c r="AB147" i="19"/>
  <c r="AH146" i="19"/>
  <c r="AG146" i="19"/>
  <c r="AD146" i="19"/>
  <c r="AC146" i="19"/>
  <c r="AH145" i="19"/>
  <c r="AG145" i="19"/>
  <c r="AD145" i="19"/>
  <c r="AC145" i="19"/>
  <c r="AH144" i="19"/>
  <c r="AF144" i="19"/>
  <c r="AD144" i="19"/>
  <c r="AB144" i="19"/>
  <c r="AH143" i="19"/>
  <c r="AF143" i="19"/>
  <c r="AD143" i="19"/>
  <c r="AB143" i="19"/>
  <c r="AG142" i="19"/>
  <c r="AF142" i="19"/>
  <c r="AC142" i="19"/>
  <c r="AB142" i="19"/>
  <c r="AH141" i="19"/>
  <c r="AG141" i="19"/>
  <c r="AD141" i="19"/>
  <c r="AC141" i="19"/>
  <c r="AH140" i="19"/>
  <c r="AG140" i="19"/>
  <c r="AD140" i="19"/>
  <c r="AC140" i="19"/>
  <c r="AH139" i="19"/>
  <c r="AF139" i="19"/>
  <c r="AD139" i="19"/>
  <c r="AB139" i="19"/>
  <c r="AH138" i="19"/>
  <c r="AF138" i="19"/>
  <c r="AD138" i="19"/>
  <c r="AB138" i="19"/>
  <c r="AH137" i="19"/>
  <c r="AG137" i="19"/>
  <c r="AD137" i="19"/>
  <c r="AC137" i="19"/>
  <c r="AH136" i="19"/>
  <c r="AG136" i="19"/>
  <c r="AD136" i="19"/>
  <c r="AC136" i="19"/>
  <c r="AH135" i="19"/>
  <c r="AG135" i="19"/>
  <c r="AD135" i="19"/>
  <c r="AC135" i="19"/>
  <c r="AH134" i="19"/>
  <c r="AG134" i="19"/>
  <c r="AD134" i="19"/>
  <c r="AC134" i="19"/>
  <c r="AH133" i="19"/>
  <c r="AG133" i="19"/>
  <c r="AD133" i="19"/>
  <c r="AC133" i="19"/>
  <c r="AH132" i="19"/>
  <c r="AG132" i="19"/>
  <c r="AD132" i="19"/>
  <c r="AC132" i="19"/>
  <c r="AH131" i="19"/>
  <c r="AG131" i="19"/>
  <c r="AD131" i="19"/>
  <c r="AC131" i="19"/>
  <c r="AH130" i="19"/>
  <c r="AG130" i="19"/>
  <c r="AD130" i="19"/>
  <c r="AC130" i="19"/>
  <c r="AH129" i="19"/>
  <c r="AG129" i="19"/>
  <c r="AD129" i="19"/>
  <c r="AC129" i="19"/>
  <c r="AH127" i="19"/>
  <c r="AF127" i="19"/>
  <c r="AD127" i="19"/>
  <c r="AB127" i="19"/>
  <c r="AH126" i="19"/>
  <c r="AG126" i="19"/>
  <c r="AD126" i="19"/>
  <c r="AC126" i="19"/>
  <c r="AH125" i="19"/>
  <c r="AF125" i="19"/>
  <c r="AD125" i="19"/>
  <c r="AB125" i="19"/>
  <c r="AH124" i="19"/>
  <c r="AF124" i="19"/>
  <c r="AD124" i="19"/>
  <c r="AB124" i="19"/>
  <c r="AG123" i="19"/>
  <c r="AF123" i="19"/>
  <c r="AC123" i="19"/>
  <c r="AB123" i="19"/>
  <c r="AH122" i="19"/>
  <c r="AG122" i="19"/>
  <c r="AD122" i="19"/>
  <c r="AC122" i="19"/>
  <c r="AH121" i="19"/>
  <c r="AF121" i="19"/>
  <c r="AD121" i="19"/>
  <c r="AB121" i="19"/>
  <c r="AH120" i="19"/>
  <c r="AG120" i="19"/>
  <c r="AD120" i="19"/>
  <c r="AC120" i="19"/>
  <c r="AH119" i="19"/>
  <c r="AG119" i="19"/>
  <c r="AD119" i="19"/>
  <c r="AC119" i="19"/>
  <c r="AH118" i="19"/>
  <c r="AF118" i="19"/>
  <c r="AD118" i="19"/>
  <c r="AB118" i="19"/>
  <c r="AH117" i="19"/>
  <c r="AF117" i="19"/>
  <c r="AD117" i="19"/>
  <c r="AB117" i="19"/>
  <c r="AH116" i="19"/>
  <c r="AG116" i="19"/>
  <c r="AD116" i="19"/>
  <c r="AC116" i="19"/>
  <c r="AH115" i="19"/>
  <c r="AG115" i="19"/>
  <c r="AD115" i="19"/>
  <c r="AC115" i="19"/>
  <c r="AH114" i="19"/>
  <c r="AG114" i="19"/>
  <c r="AD114" i="19"/>
  <c r="AC114" i="19"/>
  <c r="AH113" i="19"/>
  <c r="AG113" i="19"/>
  <c r="AD113" i="19"/>
  <c r="AC113" i="19"/>
  <c r="AH112" i="19"/>
  <c r="AG112" i="19"/>
  <c r="AD112" i="19"/>
  <c r="AC112" i="19"/>
  <c r="AH111" i="19"/>
  <c r="AG111" i="19"/>
  <c r="AD111" i="19"/>
  <c r="AC111" i="19"/>
  <c r="AH110" i="19"/>
  <c r="AG110" i="19"/>
  <c r="AD110" i="19"/>
  <c r="AC110" i="19"/>
  <c r="AH109" i="19"/>
  <c r="AG109" i="19"/>
  <c r="AD109" i="19"/>
  <c r="AC109" i="19"/>
  <c r="AH108" i="19"/>
  <c r="AG108" i="19"/>
  <c r="AD108" i="19"/>
  <c r="AC108" i="19"/>
  <c r="AH107" i="19"/>
  <c r="AG107" i="19"/>
  <c r="AD107" i="19"/>
  <c r="AC107" i="19"/>
  <c r="AH106" i="19"/>
  <c r="AG106" i="19"/>
  <c r="AD106" i="19"/>
  <c r="AC106" i="19"/>
  <c r="AH105" i="19"/>
  <c r="AG105" i="19"/>
  <c r="AD105" i="19"/>
  <c r="AC105" i="19"/>
  <c r="AH104" i="19"/>
  <c r="AG104" i="19"/>
  <c r="AD104" i="19"/>
  <c r="AC104" i="19"/>
  <c r="AH103" i="19"/>
  <c r="AG103" i="19"/>
  <c r="AD103" i="19"/>
  <c r="AC103" i="19"/>
  <c r="AH102" i="19"/>
  <c r="AG102" i="19"/>
  <c r="AD102" i="19"/>
  <c r="AC102" i="19"/>
  <c r="AH101" i="19"/>
  <c r="AG101" i="19"/>
  <c r="AD101" i="19"/>
  <c r="AC101" i="19"/>
  <c r="AH100" i="19"/>
  <c r="AG100" i="19"/>
  <c r="AD100" i="19"/>
  <c r="AC100" i="19"/>
  <c r="AH99" i="19"/>
  <c r="AG99" i="19"/>
  <c r="AD99" i="19"/>
  <c r="AC99" i="19"/>
  <c r="AH98" i="19"/>
  <c r="AG98" i="19"/>
  <c r="AD98" i="19"/>
  <c r="AC98" i="19"/>
  <c r="AH97" i="19"/>
  <c r="AG97" i="19"/>
  <c r="AD97" i="19"/>
  <c r="AC97" i="19"/>
  <c r="AH96" i="19"/>
  <c r="AF96" i="19"/>
  <c r="AD96" i="19"/>
  <c r="AB96" i="19"/>
  <c r="AH95" i="19"/>
  <c r="AF95" i="19"/>
  <c r="AD95" i="19"/>
  <c r="AB95" i="19"/>
  <c r="AH94" i="19"/>
  <c r="AF94" i="19"/>
  <c r="AD94" i="19"/>
  <c r="AB94" i="19"/>
  <c r="AH93" i="19"/>
  <c r="AG93" i="19"/>
  <c r="AD93" i="19"/>
  <c r="AC93" i="19"/>
  <c r="AH92" i="19"/>
  <c r="AF92" i="19"/>
  <c r="AD92" i="19"/>
  <c r="AB92" i="19"/>
  <c r="AH91" i="19"/>
  <c r="AF91" i="19"/>
  <c r="AD91" i="19"/>
  <c r="AB91" i="19"/>
  <c r="AG90" i="19"/>
  <c r="AF90" i="19"/>
  <c r="AC90" i="19"/>
  <c r="AB90" i="19"/>
  <c r="AG89" i="19"/>
  <c r="AF89" i="19"/>
  <c r="AC89" i="19"/>
  <c r="AB89" i="19"/>
  <c r="AH88" i="19"/>
  <c r="AG88" i="19"/>
  <c r="AD88" i="19"/>
  <c r="AC88" i="19"/>
  <c r="AH87" i="19"/>
  <c r="AG87" i="19"/>
  <c r="AD87" i="19"/>
  <c r="AC87" i="19"/>
  <c r="AH86" i="19"/>
  <c r="AG86" i="19"/>
  <c r="AD86" i="19"/>
  <c r="AC86" i="19"/>
  <c r="AH85" i="19"/>
  <c r="AG85" i="19"/>
  <c r="AD85" i="19"/>
  <c r="AC85" i="19"/>
  <c r="AH84" i="19"/>
  <c r="AG84" i="19"/>
  <c r="AD84" i="19"/>
  <c r="AC84" i="19"/>
  <c r="AH83" i="19"/>
  <c r="AG83" i="19"/>
  <c r="AD83" i="19"/>
  <c r="AC83" i="19"/>
  <c r="AH82" i="19"/>
  <c r="AF82" i="19"/>
  <c r="AD82" i="19"/>
  <c r="AB82" i="19"/>
  <c r="AH81" i="19"/>
  <c r="AF81" i="19"/>
  <c r="AD81" i="19"/>
  <c r="AB81" i="19"/>
  <c r="AH80" i="19"/>
  <c r="AF80" i="19"/>
  <c r="AD80" i="19"/>
  <c r="AB80" i="19"/>
  <c r="AH79" i="19"/>
  <c r="AG79" i="19"/>
  <c r="AD79" i="19"/>
  <c r="AC79" i="19"/>
  <c r="AH78" i="19"/>
  <c r="AF78" i="19"/>
  <c r="AD78" i="19"/>
  <c r="AB78" i="19"/>
  <c r="AH77" i="19"/>
  <c r="AF77" i="19"/>
  <c r="AD77" i="19"/>
  <c r="AB77" i="19"/>
  <c r="AH76" i="19"/>
  <c r="AG76" i="19"/>
  <c r="AD76" i="19"/>
  <c r="AC76" i="19"/>
  <c r="AH75" i="19"/>
  <c r="AG75" i="19"/>
  <c r="AD75" i="19"/>
  <c r="AC75" i="19"/>
  <c r="AH74" i="19"/>
  <c r="AF74" i="19"/>
  <c r="AD74" i="19"/>
  <c r="AB74" i="19"/>
  <c r="AH73" i="19"/>
  <c r="AG73" i="19"/>
  <c r="AD73" i="19"/>
  <c r="AC73" i="19"/>
  <c r="AH72" i="19"/>
  <c r="AG72" i="19"/>
  <c r="AD72" i="19"/>
  <c r="AC72" i="19"/>
  <c r="AH71" i="19"/>
  <c r="AG71" i="19"/>
  <c r="AD71" i="19"/>
  <c r="AC71" i="19"/>
  <c r="AH70" i="19"/>
  <c r="AG70" i="19"/>
  <c r="AD70" i="19"/>
  <c r="AC70" i="19"/>
  <c r="AH69" i="19"/>
  <c r="AG69" i="19"/>
  <c r="AD69" i="19"/>
  <c r="AC69" i="19"/>
  <c r="AH68" i="19"/>
  <c r="AG68" i="19"/>
  <c r="AD68" i="19"/>
  <c r="AC68" i="19"/>
  <c r="AH67" i="19"/>
  <c r="AG67" i="19"/>
  <c r="AD67" i="19"/>
  <c r="AC67" i="19"/>
  <c r="AH66" i="19"/>
  <c r="AG66" i="19"/>
  <c r="AD66" i="19"/>
  <c r="AC66" i="19"/>
  <c r="AH65" i="19"/>
  <c r="AG65" i="19"/>
  <c r="AD65" i="19"/>
  <c r="AC65" i="19"/>
  <c r="AH64" i="19"/>
  <c r="AG64" i="19"/>
  <c r="AD64" i="19"/>
  <c r="AC64" i="19"/>
  <c r="AH63" i="19"/>
  <c r="AG63" i="19"/>
  <c r="AD63" i="19"/>
  <c r="AC63" i="19"/>
  <c r="AH62" i="19"/>
  <c r="AG62" i="19"/>
  <c r="AD62" i="19"/>
  <c r="AC62" i="19"/>
  <c r="AH61" i="19"/>
  <c r="AG61" i="19"/>
  <c r="AD61" i="19"/>
  <c r="AC61" i="19"/>
  <c r="AH60" i="19"/>
  <c r="AG60" i="19"/>
  <c r="AD60" i="19"/>
  <c r="AC60" i="19"/>
  <c r="AH59" i="19"/>
  <c r="AG59" i="19"/>
  <c r="AD59" i="19"/>
  <c r="AC59" i="19"/>
  <c r="AH58" i="19"/>
  <c r="AG58" i="19"/>
  <c r="AD58" i="19"/>
  <c r="AC58" i="19"/>
  <c r="AH57" i="19"/>
  <c r="AG57" i="19"/>
  <c r="AD57" i="19"/>
  <c r="AC57" i="19"/>
  <c r="AH55" i="19"/>
  <c r="AF55" i="19"/>
  <c r="AD55" i="19"/>
  <c r="AB55" i="19"/>
  <c r="AH54" i="19"/>
  <c r="AF54" i="19"/>
  <c r="AD54" i="19"/>
  <c r="AB54" i="19"/>
  <c r="AG53" i="19"/>
  <c r="AF53" i="19"/>
  <c r="AC53" i="19"/>
  <c r="AB53" i="19"/>
  <c r="AH52" i="19"/>
  <c r="AF52" i="19"/>
  <c r="AD52" i="19"/>
  <c r="AB52" i="19"/>
  <c r="AH51" i="19"/>
  <c r="AF51" i="19"/>
  <c r="AD51" i="19"/>
  <c r="AB51" i="19"/>
  <c r="AH50" i="19"/>
  <c r="AF50" i="19"/>
  <c r="AD50" i="19"/>
  <c r="AB50" i="19"/>
  <c r="AH49" i="19"/>
  <c r="AF49" i="19"/>
  <c r="AD49" i="19"/>
  <c r="AB49" i="19"/>
  <c r="AH48" i="19"/>
  <c r="AF48" i="19"/>
  <c r="AD48" i="19"/>
  <c r="AB48" i="19"/>
  <c r="AH47" i="19"/>
  <c r="AG47" i="19"/>
  <c r="AD47" i="19"/>
  <c r="AC47" i="19"/>
  <c r="AH46" i="19"/>
  <c r="AG46" i="19"/>
  <c r="AD46" i="19"/>
  <c r="AC46" i="19"/>
  <c r="AH45" i="19"/>
  <c r="AG45" i="19"/>
  <c r="AD45" i="19"/>
  <c r="AC45" i="19"/>
  <c r="AH44" i="19"/>
  <c r="AF44" i="19"/>
  <c r="AD44" i="19"/>
  <c r="AB44" i="19"/>
  <c r="AH43" i="19"/>
  <c r="AG43" i="19"/>
  <c r="AD43" i="19"/>
  <c r="AC43" i="19"/>
  <c r="AH42" i="19"/>
  <c r="AG42" i="19"/>
  <c r="AD42" i="19"/>
  <c r="AC42" i="19"/>
  <c r="AH41" i="19"/>
  <c r="AF41" i="19"/>
  <c r="AD41" i="19"/>
  <c r="AB41" i="19"/>
  <c r="AH40" i="19"/>
  <c r="AG40" i="19"/>
  <c r="AD40" i="19"/>
  <c r="AC40" i="19"/>
  <c r="AG39" i="19"/>
  <c r="AF39" i="19"/>
  <c r="AC39" i="19"/>
  <c r="AB39" i="19"/>
  <c r="AH38" i="19"/>
  <c r="AG38" i="19"/>
  <c r="AD38" i="19"/>
  <c r="AC38" i="19"/>
  <c r="AH37" i="19"/>
  <c r="AG37" i="19"/>
  <c r="AD37" i="19"/>
  <c r="AC37" i="19"/>
  <c r="AH36" i="19"/>
  <c r="AG36" i="19"/>
  <c r="AD36" i="19"/>
  <c r="AC36" i="19"/>
  <c r="AH35" i="19"/>
  <c r="AG35" i="19"/>
  <c r="AD35" i="19"/>
  <c r="AC35" i="19"/>
  <c r="AH34" i="19"/>
  <c r="AG34" i="19"/>
  <c r="AD34" i="19"/>
  <c r="AC34" i="19"/>
  <c r="AH33" i="19"/>
  <c r="AG33" i="19"/>
  <c r="AD33" i="19"/>
  <c r="AC33" i="19"/>
  <c r="AH32" i="19"/>
  <c r="AG32" i="19"/>
  <c r="AD32" i="19"/>
  <c r="AC32" i="19"/>
  <c r="AH31" i="19"/>
  <c r="AG31" i="19"/>
  <c r="AD31" i="19"/>
  <c r="AC31" i="19"/>
  <c r="AH30" i="19"/>
  <c r="AG30" i="19"/>
  <c r="AD30" i="19"/>
  <c r="AC30" i="19"/>
  <c r="AH29" i="19"/>
  <c r="AF29" i="19"/>
  <c r="AD29" i="19"/>
  <c r="AB29" i="19"/>
  <c r="AH28" i="19"/>
  <c r="AG28" i="19"/>
  <c r="AD28" i="19"/>
  <c r="AC28" i="19"/>
  <c r="AH27" i="19"/>
  <c r="AG27" i="19"/>
  <c r="AD27" i="19"/>
  <c r="AC27" i="19"/>
  <c r="AH26" i="19"/>
  <c r="AG26" i="19"/>
  <c r="AD26" i="19"/>
  <c r="AC26" i="19"/>
  <c r="AH25" i="19"/>
  <c r="AF25" i="19"/>
  <c r="AD25" i="19"/>
  <c r="AB25" i="19"/>
  <c r="AH24" i="19"/>
  <c r="AF24" i="19"/>
  <c r="AD24" i="19"/>
  <c r="AB24" i="19"/>
  <c r="AH23" i="19"/>
  <c r="AF23" i="19"/>
  <c r="AD23" i="19"/>
  <c r="AB23" i="19"/>
  <c r="AH22" i="19"/>
  <c r="AG22" i="19"/>
  <c r="AD22" i="19"/>
  <c r="AC22" i="19"/>
  <c r="AH21" i="19"/>
  <c r="AG21" i="19"/>
  <c r="AD21" i="19"/>
  <c r="AC21" i="19"/>
  <c r="AH20" i="19"/>
  <c r="AG20" i="19"/>
  <c r="AD20" i="19"/>
  <c r="AC20" i="19"/>
  <c r="AH19" i="19"/>
  <c r="AF19" i="19"/>
  <c r="AD19" i="19"/>
  <c r="AB19" i="19"/>
  <c r="AH18" i="19"/>
  <c r="AF18" i="19"/>
  <c r="AD18" i="19"/>
  <c r="AB18" i="19"/>
  <c r="AH17" i="19"/>
  <c r="AG17" i="19"/>
  <c r="AD17" i="19"/>
  <c r="AC17" i="19"/>
  <c r="E150" i="19"/>
  <c r="R178" i="18"/>
  <c r="E179" i="19"/>
  <c r="R17" i="18"/>
  <c r="R139" i="18"/>
  <c r="R143" i="18"/>
  <c r="R202" i="18"/>
  <c r="R221" i="18"/>
  <c r="X190" i="19"/>
  <c r="W190" i="19"/>
  <c r="Q190" i="19"/>
  <c r="AH189" i="18"/>
  <c r="AG189" i="18"/>
  <c r="AD189" i="18"/>
  <c r="AC189" i="18"/>
  <c r="X189" i="18"/>
  <c r="W189" i="18"/>
  <c r="Q189" i="18"/>
  <c r="T189" i="18"/>
  <c r="J189" i="18"/>
  <c r="AB189" i="18"/>
  <c r="E36" i="19"/>
  <c r="E101" i="19"/>
  <c r="Q201" i="18"/>
  <c r="T201" i="18"/>
  <c r="F202" i="19"/>
  <c r="J202" i="19"/>
  <c r="AB202" i="19"/>
  <c r="Q200" i="18"/>
  <c r="T200" i="18"/>
  <c r="F201" i="19"/>
  <c r="J201" i="19"/>
  <c r="AB201" i="19"/>
  <c r="Q199" i="18"/>
  <c r="T199" i="18"/>
  <c r="F200" i="19"/>
  <c r="J200" i="19"/>
  <c r="AB200" i="19"/>
  <c r="Q198" i="18"/>
  <c r="T198" i="18"/>
  <c r="F199" i="19"/>
  <c r="J199" i="19"/>
  <c r="AD199" i="19"/>
  <c r="Q197" i="18"/>
  <c r="T197" i="18"/>
  <c r="F198" i="19"/>
  <c r="J198" i="19"/>
  <c r="AC198" i="19"/>
  <c r="Q196" i="18"/>
  <c r="T196" i="18"/>
  <c r="F197" i="19"/>
  <c r="J197" i="19"/>
  <c r="AD197" i="19"/>
  <c r="Q195" i="18"/>
  <c r="T195" i="18"/>
  <c r="F196" i="19"/>
  <c r="J196" i="19"/>
  <c r="AC196" i="19"/>
  <c r="Q194" i="18"/>
  <c r="T194" i="18"/>
  <c r="F195" i="19"/>
  <c r="J195" i="19"/>
  <c r="AC195" i="19"/>
  <c r="Q193" i="18"/>
  <c r="T193" i="18"/>
  <c r="F194" i="19"/>
  <c r="J194" i="19"/>
  <c r="AC194" i="19"/>
  <c r="Q192" i="18"/>
  <c r="T192" i="18"/>
  <c r="F193" i="19"/>
  <c r="J193" i="19"/>
  <c r="AC193" i="19"/>
  <c r="Q191" i="18"/>
  <c r="T191" i="18"/>
  <c r="F192" i="19"/>
  <c r="J192" i="19"/>
  <c r="AC192" i="19"/>
  <c r="Q190" i="18"/>
  <c r="T190" i="18"/>
  <c r="F191" i="19"/>
  <c r="J191" i="19"/>
  <c r="AC191" i="19"/>
  <c r="Q188" i="18"/>
  <c r="T188" i="18"/>
  <c r="F189" i="19"/>
  <c r="J189" i="19"/>
  <c r="AB189" i="19"/>
  <c r="Q187" i="18"/>
  <c r="T187" i="18"/>
  <c r="F188" i="19"/>
  <c r="J188" i="19"/>
  <c r="AB188" i="19"/>
  <c r="Q186" i="18"/>
  <c r="T186" i="18"/>
  <c r="F187" i="19"/>
  <c r="J187" i="19"/>
  <c r="AC187" i="19"/>
  <c r="Q185" i="18"/>
  <c r="T185" i="18"/>
  <c r="F186" i="19"/>
  <c r="J186" i="19"/>
  <c r="AC186" i="19"/>
  <c r="Q184" i="18"/>
  <c r="T184" i="18"/>
  <c r="F185" i="19"/>
  <c r="J185" i="19"/>
  <c r="AC185" i="19"/>
  <c r="Q183" i="18"/>
  <c r="T183" i="18"/>
  <c r="F184" i="19"/>
  <c r="J184" i="19"/>
  <c r="AC184" i="19"/>
  <c r="Q182" i="18"/>
  <c r="T182" i="18"/>
  <c r="F183" i="19"/>
  <c r="J183" i="19"/>
  <c r="AB183" i="19"/>
  <c r="Q181" i="18"/>
  <c r="T181" i="18"/>
  <c r="F182" i="19"/>
  <c r="J182" i="19"/>
  <c r="AB182" i="19"/>
  <c r="Q180" i="18"/>
  <c r="T180" i="18"/>
  <c r="F181" i="19"/>
  <c r="J181" i="19"/>
  <c r="AB181" i="19"/>
  <c r="Q179" i="18"/>
  <c r="T179" i="18"/>
  <c r="F180" i="19"/>
  <c r="J180" i="19"/>
  <c r="AB180" i="19"/>
  <c r="Q178" i="18"/>
  <c r="T178" i="18"/>
  <c r="F179" i="19"/>
  <c r="J179" i="19"/>
  <c r="AB179" i="19"/>
  <c r="Q177" i="18"/>
  <c r="T177" i="18"/>
  <c r="F178" i="19"/>
  <c r="J178" i="19"/>
  <c r="AC178" i="19"/>
  <c r="Q176" i="18"/>
  <c r="T176" i="18"/>
  <c r="F177" i="19"/>
  <c r="J177" i="19"/>
  <c r="AB177" i="19"/>
  <c r="Q175" i="18"/>
  <c r="T175" i="18"/>
  <c r="Q174" i="18"/>
  <c r="T174" i="18"/>
  <c r="Q173" i="18"/>
  <c r="T173" i="18"/>
  <c r="F174" i="19"/>
  <c r="J174" i="19"/>
  <c r="AB174" i="19"/>
  <c r="Q172" i="18"/>
  <c r="T172" i="18"/>
  <c r="F173" i="19"/>
  <c r="J173" i="19"/>
  <c r="AC173" i="19"/>
  <c r="Q171" i="18"/>
  <c r="T171" i="18"/>
  <c r="F172" i="19"/>
  <c r="J172" i="19"/>
  <c r="AC172" i="19"/>
  <c r="Q170" i="18"/>
  <c r="T170" i="18"/>
  <c r="F171" i="19"/>
  <c r="J171" i="19"/>
  <c r="AB171" i="19"/>
  <c r="Q169" i="18"/>
  <c r="T169" i="18"/>
  <c r="F170" i="19"/>
  <c r="J170" i="19"/>
  <c r="AC170" i="19"/>
  <c r="Q168" i="18"/>
  <c r="T168" i="18"/>
  <c r="F169" i="19"/>
  <c r="J169" i="19"/>
  <c r="AB169" i="19"/>
  <c r="Q167" i="18"/>
  <c r="T167" i="18"/>
  <c r="F168" i="19"/>
  <c r="J168" i="19"/>
  <c r="AB168" i="19"/>
  <c r="Q166" i="18"/>
  <c r="T166" i="18"/>
  <c r="F167" i="19"/>
  <c r="J167" i="19"/>
  <c r="AB167" i="19"/>
  <c r="Q165" i="18"/>
  <c r="T165" i="18"/>
  <c r="F166" i="19"/>
  <c r="J166" i="19"/>
  <c r="AB166" i="19"/>
  <c r="Q164" i="18"/>
  <c r="T164" i="18"/>
  <c r="F165" i="19"/>
  <c r="J165" i="19"/>
  <c r="AB165" i="19"/>
  <c r="Q163" i="18"/>
  <c r="T163" i="18"/>
  <c r="F164" i="19"/>
  <c r="J164" i="19"/>
  <c r="AB164" i="19"/>
  <c r="Q162" i="18"/>
  <c r="T162" i="18"/>
  <c r="F163" i="19"/>
  <c r="J163" i="19"/>
  <c r="AB163" i="19"/>
  <c r="Q161" i="18"/>
  <c r="T161" i="18"/>
  <c r="F162" i="19"/>
  <c r="J162" i="19"/>
  <c r="AB162" i="19"/>
  <c r="Q160" i="18"/>
  <c r="T160" i="18"/>
  <c r="F161" i="19"/>
  <c r="J161" i="19"/>
  <c r="AB161" i="19"/>
  <c r="Q159" i="18"/>
  <c r="T159" i="18"/>
  <c r="F160" i="19"/>
  <c r="J160" i="19"/>
  <c r="AC160" i="19"/>
  <c r="Q158" i="18"/>
  <c r="T158" i="18"/>
  <c r="F159" i="19"/>
  <c r="J159" i="19"/>
  <c r="AC159" i="19"/>
  <c r="Q157" i="18"/>
  <c r="T157" i="18"/>
  <c r="F158" i="19"/>
  <c r="J158" i="19"/>
  <c r="AC158" i="19"/>
  <c r="Q156" i="18"/>
  <c r="T156" i="18"/>
  <c r="F157" i="19"/>
  <c r="J157" i="19"/>
  <c r="AC157" i="19"/>
  <c r="Q155" i="18"/>
  <c r="T155" i="18"/>
  <c r="F156" i="19"/>
  <c r="J156" i="19"/>
  <c r="AC156" i="19"/>
  <c r="Q154" i="18"/>
  <c r="T154" i="18"/>
  <c r="F155" i="19"/>
  <c r="J155" i="19"/>
  <c r="AB155" i="19"/>
  <c r="Q153" i="18"/>
  <c r="T153" i="18"/>
  <c r="F154" i="19"/>
  <c r="J154" i="19"/>
  <c r="AB154" i="19"/>
  <c r="Q152" i="18"/>
  <c r="T152" i="18"/>
  <c r="F153" i="19"/>
  <c r="J153" i="19"/>
  <c r="AC153" i="19"/>
  <c r="Q151" i="18"/>
  <c r="T151" i="18"/>
  <c r="F152" i="19"/>
  <c r="J152" i="19"/>
  <c r="AC152" i="19"/>
  <c r="Q150" i="18"/>
  <c r="T150" i="18"/>
  <c r="F151" i="19"/>
  <c r="J151" i="19"/>
  <c r="AB151" i="19"/>
  <c r="Q149" i="18"/>
  <c r="T149" i="18"/>
  <c r="F150" i="19"/>
  <c r="J150" i="19"/>
  <c r="AD150" i="19"/>
  <c r="Q148" i="18"/>
  <c r="T148" i="18"/>
  <c r="F149" i="19"/>
  <c r="J149" i="19"/>
  <c r="AC149" i="19"/>
  <c r="Q147" i="18"/>
  <c r="T147" i="18"/>
  <c r="F148" i="19"/>
  <c r="J148" i="19"/>
  <c r="AC148" i="19"/>
  <c r="Q146" i="18"/>
  <c r="T146" i="18"/>
  <c r="F147" i="19"/>
  <c r="J147" i="19"/>
  <c r="AD147" i="19"/>
  <c r="Q145" i="18"/>
  <c r="T145" i="18"/>
  <c r="F146" i="19"/>
  <c r="J146" i="19"/>
  <c r="AB146" i="19"/>
  <c r="Q144" i="18"/>
  <c r="T144" i="18"/>
  <c r="F145" i="19"/>
  <c r="J145" i="19"/>
  <c r="AB145" i="19"/>
  <c r="Q143" i="18"/>
  <c r="T143" i="18"/>
  <c r="F144" i="19"/>
  <c r="J144" i="19"/>
  <c r="AC144" i="19"/>
  <c r="Q142" i="18"/>
  <c r="T142" i="18"/>
  <c r="F143" i="19"/>
  <c r="J143" i="19"/>
  <c r="AC143" i="19"/>
  <c r="Q141" i="18"/>
  <c r="T141" i="18"/>
  <c r="F142" i="19"/>
  <c r="J142" i="19"/>
  <c r="AD142" i="19"/>
  <c r="Q140" i="18"/>
  <c r="T140" i="18"/>
  <c r="F141" i="19"/>
  <c r="J141" i="19"/>
  <c r="AB141" i="19"/>
  <c r="Q139" i="18"/>
  <c r="Q138" i="18"/>
  <c r="T138" i="18"/>
  <c r="F139" i="19"/>
  <c r="J139" i="19"/>
  <c r="AC139" i="19"/>
  <c r="Q137" i="18"/>
  <c r="T137" i="18"/>
  <c r="F138" i="19"/>
  <c r="J138" i="19"/>
  <c r="AC138" i="19"/>
  <c r="Q136" i="18"/>
  <c r="T136" i="18"/>
  <c r="F137" i="19"/>
  <c r="J137" i="19"/>
  <c r="AB137" i="19"/>
  <c r="Q135" i="18"/>
  <c r="T135" i="18"/>
  <c r="F136" i="19"/>
  <c r="J136" i="19"/>
  <c r="AB136" i="19"/>
  <c r="Q134" i="18"/>
  <c r="T134" i="18"/>
  <c r="F135" i="19"/>
  <c r="J135" i="19"/>
  <c r="AB135" i="19"/>
  <c r="Q133" i="18"/>
  <c r="T133" i="18"/>
  <c r="F134" i="19"/>
  <c r="J134" i="19"/>
  <c r="AB134" i="19"/>
  <c r="Q132" i="18"/>
  <c r="T132" i="18"/>
  <c r="F133" i="19"/>
  <c r="J133" i="19"/>
  <c r="AB133" i="19"/>
  <c r="Q131" i="18"/>
  <c r="T131" i="18"/>
  <c r="F132" i="19"/>
  <c r="J132" i="19"/>
  <c r="AB132" i="19"/>
  <c r="Q130" i="18"/>
  <c r="T130" i="18"/>
  <c r="F131" i="19"/>
  <c r="J131" i="19"/>
  <c r="AB131" i="19"/>
  <c r="Q129" i="18"/>
  <c r="T129" i="18"/>
  <c r="F130" i="19"/>
  <c r="J130" i="19"/>
  <c r="AB130" i="19"/>
  <c r="Q128" i="18"/>
  <c r="T128" i="18"/>
  <c r="F129" i="19"/>
  <c r="J129" i="19"/>
  <c r="AB129" i="19"/>
  <c r="Q127" i="18"/>
  <c r="T127" i="18"/>
  <c r="F127" i="19"/>
  <c r="J127" i="19"/>
  <c r="AC127" i="19"/>
  <c r="Q126" i="18"/>
  <c r="T126" i="18"/>
  <c r="F126" i="19"/>
  <c r="J126" i="19"/>
  <c r="AB126" i="19"/>
  <c r="Q125" i="18"/>
  <c r="T125" i="18"/>
  <c r="F125" i="19"/>
  <c r="J125" i="19"/>
  <c r="AC125" i="19"/>
  <c r="Q124" i="18"/>
  <c r="T124" i="18"/>
  <c r="F124" i="19"/>
  <c r="J124" i="19"/>
  <c r="AC124" i="19"/>
  <c r="Q123" i="18"/>
  <c r="T123" i="18"/>
  <c r="F123" i="19"/>
  <c r="J123" i="19"/>
  <c r="AD123" i="19"/>
  <c r="Q122" i="18"/>
  <c r="T122" i="18"/>
  <c r="F122" i="19"/>
  <c r="J122" i="19"/>
  <c r="AB122" i="19"/>
  <c r="Q121" i="18"/>
  <c r="T121" i="18"/>
  <c r="F121" i="19"/>
  <c r="J121" i="19"/>
  <c r="AC121" i="19"/>
  <c r="Q120" i="18"/>
  <c r="T120" i="18"/>
  <c r="F120" i="19"/>
  <c r="J120" i="19"/>
  <c r="AB120" i="19"/>
  <c r="Q119" i="18"/>
  <c r="T119" i="18"/>
  <c r="F119" i="19"/>
  <c r="J119" i="19"/>
  <c r="AB119" i="19"/>
  <c r="Q118" i="18"/>
  <c r="T118" i="18"/>
  <c r="F118" i="19"/>
  <c r="J118" i="19"/>
  <c r="AC118" i="19"/>
  <c r="Q117" i="18"/>
  <c r="T117" i="18"/>
  <c r="F117" i="19"/>
  <c r="J117" i="19"/>
  <c r="AC117" i="19"/>
  <c r="Q116" i="18"/>
  <c r="T116" i="18"/>
  <c r="F116" i="19"/>
  <c r="J116" i="19"/>
  <c r="AB116" i="19"/>
  <c r="Q115" i="18"/>
  <c r="T115" i="18"/>
  <c r="F115" i="19"/>
  <c r="J115" i="19"/>
  <c r="AB115" i="19"/>
  <c r="Q221" i="19"/>
  <c r="Q220" i="18"/>
  <c r="T220" i="18"/>
  <c r="V221" i="19"/>
  <c r="W221" i="19"/>
  <c r="X221" i="19"/>
  <c r="Q220" i="19"/>
  <c r="Q219" i="18"/>
  <c r="T219" i="18"/>
  <c r="F220" i="19"/>
  <c r="J220" i="19"/>
  <c r="AD220" i="19"/>
  <c r="V220" i="19"/>
  <c r="W220" i="19"/>
  <c r="X220" i="19"/>
  <c r="Q219" i="19"/>
  <c r="Q218" i="18"/>
  <c r="T218" i="18"/>
  <c r="F219" i="19"/>
  <c r="J219" i="19"/>
  <c r="AD219" i="19"/>
  <c r="V219" i="19"/>
  <c r="W219" i="19"/>
  <c r="Q218" i="19"/>
  <c r="Q217" i="18"/>
  <c r="T217" i="18"/>
  <c r="F218" i="19"/>
  <c r="J218" i="19"/>
  <c r="AB218" i="19"/>
  <c r="W218" i="19"/>
  <c r="X218" i="19"/>
  <c r="Q217" i="19"/>
  <c r="Q216" i="18"/>
  <c r="T216" i="18"/>
  <c r="F217" i="19"/>
  <c r="J217" i="19"/>
  <c r="AB217" i="19"/>
  <c r="W217" i="19"/>
  <c r="X217" i="19"/>
  <c r="Q216" i="19"/>
  <c r="Q215" i="18"/>
  <c r="T215" i="18"/>
  <c r="F216" i="19"/>
  <c r="J216" i="19"/>
  <c r="AB216" i="19"/>
  <c r="W216" i="19"/>
  <c r="X216" i="19"/>
  <c r="Q215" i="19"/>
  <c r="Q214" i="18"/>
  <c r="T214" i="18"/>
  <c r="F215" i="19"/>
  <c r="J215" i="19"/>
  <c r="AC215" i="19"/>
  <c r="V215" i="19"/>
  <c r="X215" i="19"/>
  <c r="Q214" i="19"/>
  <c r="Q213" i="18"/>
  <c r="T213" i="18"/>
  <c r="F214" i="19"/>
  <c r="J214" i="19"/>
  <c r="AB214" i="19"/>
  <c r="W214" i="19"/>
  <c r="X214" i="19"/>
  <c r="Q213" i="19"/>
  <c r="Q212" i="18"/>
  <c r="T212" i="18"/>
  <c r="F213" i="19"/>
  <c r="J213" i="19"/>
  <c r="AC213" i="19"/>
  <c r="V213" i="19"/>
  <c r="X213" i="19"/>
  <c r="Q212" i="19"/>
  <c r="Q211" i="18"/>
  <c r="T211" i="18"/>
  <c r="F212" i="19"/>
  <c r="J212" i="19"/>
  <c r="AC212" i="19"/>
  <c r="V212" i="19"/>
  <c r="X212" i="19"/>
  <c r="Q211" i="19"/>
  <c r="Q210" i="18"/>
  <c r="T210" i="18"/>
  <c r="F211" i="19"/>
  <c r="J211" i="19"/>
  <c r="AC211" i="19"/>
  <c r="V211" i="19"/>
  <c r="X211" i="19"/>
  <c r="Q210" i="19"/>
  <c r="Q209" i="18"/>
  <c r="T209" i="18"/>
  <c r="F210" i="19"/>
  <c r="J210" i="19"/>
  <c r="AC210" i="19"/>
  <c r="V210" i="19"/>
  <c r="X210" i="19"/>
  <c r="Q209" i="19"/>
  <c r="Q208" i="18"/>
  <c r="T208" i="18"/>
  <c r="F209" i="19"/>
  <c r="J209" i="19"/>
  <c r="AB209" i="19"/>
  <c r="V209" i="19"/>
  <c r="W209" i="19"/>
  <c r="X209" i="19"/>
  <c r="Q208" i="19"/>
  <c r="Q207" i="18"/>
  <c r="T207" i="18"/>
  <c r="F208" i="19"/>
  <c r="J208" i="19"/>
  <c r="AB208" i="19"/>
  <c r="W208" i="19"/>
  <c r="X208" i="19"/>
  <c r="Q207" i="19"/>
  <c r="Q206" i="18"/>
  <c r="T206" i="18"/>
  <c r="F207" i="19"/>
  <c r="J207" i="19"/>
  <c r="AD207" i="19"/>
  <c r="V207" i="19"/>
  <c r="W207" i="19"/>
  <c r="X207" i="19"/>
  <c r="Q206" i="19"/>
  <c r="Q205" i="18"/>
  <c r="T205" i="18"/>
  <c r="F206" i="19"/>
  <c r="J206" i="19"/>
  <c r="AC206" i="19"/>
  <c r="V206" i="19"/>
  <c r="X206" i="19"/>
  <c r="Q205" i="19"/>
  <c r="Q204" i="18"/>
  <c r="T204" i="18"/>
  <c r="F205" i="19"/>
  <c r="J205" i="19"/>
  <c r="AB205" i="19"/>
  <c r="W205" i="19"/>
  <c r="X205" i="19"/>
  <c r="Q204" i="19"/>
  <c r="Q203" i="18"/>
  <c r="T203" i="18"/>
  <c r="F204" i="19"/>
  <c r="J204" i="19"/>
  <c r="AB204" i="19"/>
  <c r="V204" i="19"/>
  <c r="W204" i="19"/>
  <c r="X204" i="19"/>
  <c r="Q203" i="19"/>
  <c r="Q202" i="18"/>
  <c r="T202" i="18"/>
  <c r="F203" i="19"/>
  <c r="J203" i="19"/>
  <c r="AD203" i="19"/>
  <c r="V203" i="19"/>
  <c r="W203" i="19"/>
  <c r="Q202" i="19"/>
  <c r="W202" i="19"/>
  <c r="X202" i="19"/>
  <c r="Q201" i="19"/>
  <c r="W201" i="19"/>
  <c r="X201" i="19"/>
  <c r="Q200" i="19"/>
  <c r="W200" i="19"/>
  <c r="X200" i="19"/>
  <c r="Q199" i="19"/>
  <c r="V199" i="19"/>
  <c r="W199" i="19"/>
  <c r="Q198" i="19"/>
  <c r="V198" i="19"/>
  <c r="X198" i="19"/>
  <c r="Q197" i="19"/>
  <c r="V197" i="19"/>
  <c r="W197" i="19"/>
  <c r="Q196" i="19"/>
  <c r="V196" i="19"/>
  <c r="X196" i="19"/>
  <c r="Q195" i="19"/>
  <c r="V195" i="19"/>
  <c r="X195" i="19"/>
  <c r="Q194" i="19"/>
  <c r="V194" i="19"/>
  <c r="X194" i="19"/>
  <c r="Q193" i="19"/>
  <c r="V193" i="19"/>
  <c r="W193" i="19"/>
  <c r="X193" i="19"/>
  <c r="Q192" i="19"/>
  <c r="V192" i="19"/>
  <c r="X192" i="19"/>
  <c r="Q114" i="18"/>
  <c r="T114" i="18"/>
  <c r="F114" i="19"/>
  <c r="J114" i="19"/>
  <c r="AB114" i="19"/>
  <c r="Q113" i="18"/>
  <c r="T113" i="18"/>
  <c r="F113" i="19"/>
  <c r="J113" i="19"/>
  <c r="AB113" i="19"/>
  <c r="Q112" i="18"/>
  <c r="T112" i="18"/>
  <c r="F112" i="19"/>
  <c r="J112" i="19"/>
  <c r="AB112" i="19"/>
  <c r="Q111" i="18"/>
  <c r="T111" i="18"/>
  <c r="F111" i="19"/>
  <c r="J111" i="19"/>
  <c r="AB111" i="19"/>
  <c r="Q110" i="18"/>
  <c r="T110" i="18"/>
  <c r="F110" i="19"/>
  <c r="J110" i="19"/>
  <c r="AB110" i="19"/>
  <c r="Q109" i="18"/>
  <c r="T109" i="18"/>
  <c r="F109" i="19"/>
  <c r="J109" i="19"/>
  <c r="AB109" i="19"/>
  <c r="Q108" i="18"/>
  <c r="T108" i="18"/>
  <c r="F108" i="19"/>
  <c r="J108" i="19"/>
  <c r="AB108" i="19"/>
  <c r="Q107" i="18"/>
  <c r="T107" i="18"/>
  <c r="F107" i="19"/>
  <c r="J107" i="19"/>
  <c r="AB107" i="19"/>
  <c r="Q106" i="18"/>
  <c r="T106" i="18"/>
  <c r="F106" i="19"/>
  <c r="J106" i="19"/>
  <c r="AB106" i="19"/>
  <c r="Q105" i="18"/>
  <c r="T105" i="18"/>
  <c r="F105" i="19"/>
  <c r="J105" i="19"/>
  <c r="AB105" i="19"/>
  <c r="Q104" i="18"/>
  <c r="T104" i="18"/>
  <c r="F104" i="19"/>
  <c r="J104" i="19"/>
  <c r="AB104" i="19"/>
  <c r="Q103" i="18"/>
  <c r="T103" i="18"/>
  <c r="F103" i="19"/>
  <c r="J103" i="19"/>
  <c r="AB103" i="19"/>
  <c r="Q102" i="18"/>
  <c r="T102" i="18"/>
  <c r="F102" i="19"/>
  <c r="J102" i="19"/>
  <c r="AB102" i="19"/>
  <c r="Q101" i="18"/>
  <c r="T101" i="18"/>
  <c r="F101" i="19"/>
  <c r="J101" i="19"/>
  <c r="AB101" i="19"/>
  <c r="Q100" i="18"/>
  <c r="T100" i="18"/>
  <c r="F100" i="19"/>
  <c r="J100" i="19"/>
  <c r="AB100" i="19"/>
  <c r="Q99" i="18"/>
  <c r="T99" i="18"/>
  <c r="F99" i="19"/>
  <c r="J99" i="19"/>
  <c r="AB99" i="19"/>
  <c r="Q98" i="18"/>
  <c r="T98" i="18"/>
  <c r="F98" i="19"/>
  <c r="J98" i="19"/>
  <c r="AB98" i="19"/>
  <c r="Q97" i="18"/>
  <c r="T97" i="18"/>
  <c r="F97" i="19"/>
  <c r="J97" i="19"/>
  <c r="AB97" i="19"/>
  <c r="Q96" i="18"/>
  <c r="T96" i="18"/>
  <c r="F96" i="19"/>
  <c r="J96" i="19"/>
  <c r="AC96" i="19"/>
  <c r="Q95" i="18"/>
  <c r="T95" i="18"/>
  <c r="F95" i="19"/>
  <c r="J95" i="19"/>
  <c r="AC95" i="19"/>
  <c r="Q94" i="18"/>
  <c r="T94" i="18"/>
  <c r="F94" i="19"/>
  <c r="J94" i="19"/>
  <c r="AC94" i="19"/>
  <c r="Q93" i="18"/>
  <c r="T93" i="18"/>
  <c r="F93" i="19"/>
  <c r="J93" i="19"/>
  <c r="AB93" i="19"/>
  <c r="Q92" i="18"/>
  <c r="T92" i="18"/>
  <c r="F92" i="19"/>
  <c r="J92" i="19"/>
  <c r="AC92" i="19"/>
  <c r="Q91" i="18"/>
  <c r="T91" i="18"/>
  <c r="F91" i="19"/>
  <c r="J91" i="19"/>
  <c r="AC91" i="19"/>
  <c r="Q90" i="18"/>
  <c r="T90" i="18"/>
  <c r="F90" i="19"/>
  <c r="J90" i="19"/>
  <c r="AD90" i="19"/>
  <c r="Q89" i="18"/>
  <c r="T89" i="18"/>
  <c r="F89" i="19"/>
  <c r="J89" i="19"/>
  <c r="AD89" i="19"/>
  <c r="Q88" i="18"/>
  <c r="T88" i="18"/>
  <c r="F88" i="19"/>
  <c r="J88" i="19"/>
  <c r="AB88" i="19"/>
  <c r="Q87" i="18"/>
  <c r="T87" i="18"/>
  <c r="F87" i="19"/>
  <c r="J87" i="19"/>
  <c r="AB87" i="19"/>
  <c r="Q86" i="18"/>
  <c r="T86" i="18"/>
  <c r="F86" i="19"/>
  <c r="J86" i="19"/>
  <c r="AB86" i="19"/>
  <c r="Q85" i="18"/>
  <c r="T85" i="18"/>
  <c r="F85" i="19"/>
  <c r="J85" i="19"/>
  <c r="AB85" i="19"/>
  <c r="Q84" i="18"/>
  <c r="T84" i="18"/>
  <c r="F84" i="19"/>
  <c r="J84" i="19"/>
  <c r="AB84" i="19"/>
  <c r="Q83" i="18"/>
  <c r="T83" i="18"/>
  <c r="F83" i="19"/>
  <c r="J83" i="19"/>
  <c r="AB83" i="19"/>
  <c r="Q82" i="18"/>
  <c r="T82" i="18"/>
  <c r="F82" i="19"/>
  <c r="J82" i="19"/>
  <c r="AC82" i="19"/>
  <c r="Q81" i="18"/>
  <c r="T81" i="18"/>
  <c r="F81" i="19"/>
  <c r="J81" i="19"/>
  <c r="AC81" i="19"/>
  <c r="Q80" i="18"/>
  <c r="T80" i="18"/>
  <c r="F80" i="19"/>
  <c r="J80" i="19"/>
  <c r="AC80" i="19"/>
  <c r="Q79" i="18"/>
  <c r="T79" i="18"/>
  <c r="F79" i="19"/>
  <c r="J79" i="19"/>
  <c r="AB79" i="19"/>
  <c r="Q78" i="18"/>
  <c r="T78" i="18"/>
  <c r="F78" i="19"/>
  <c r="J78" i="19"/>
  <c r="AC78" i="19"/>
  <c r="Q77" i="18"/>
  <c r="T77" i="18"/>
  <c r="F77" i="19"/>
  <c r="J77" i="19"/>
  <c r="AC77" i="19"/>
  <c r="Q76" i="18"/>
  <c r="T76" i="18"/>
  <c r="F76" i="19"/>
  <c r="J76" i="19"/>
  <c r="AB76" i="19"/>
  <c r="Q75" i="18"/>
  <c r="T75" i="18"/>
  <c r="F75" i="19"/>
  <c r="J75" i="19"/>
  <c r="AB75" i="19"/>
  <c r="Q74" i="18"/>
  <c r="T74" i="18"/>
  <c r="F74" i="19"/>
  <c r="J74" i="19"/>
  <c r="AC74" i="19"/>
  <c r="Q73" i="18"/>
  <c r="T73" i="18"/>
  <c r="F73" i="19"/>
  <c r="J73" i="19"/>
  <c r="AB73" i="19"/>
  <c r="Q72" i="18"/>
  <c r="T72" i="18"/>
  <c r="F72" i="19"/>
  <c r="J72" i="19"/>
  <c r="AB72" i="19"/>
  <c r="Q71" i="18"/>
  <c r="T71" i="18"/>
  <c r="F71" i="19"/>
  <c r="J71" i="19"/>
  <c r="AB71" i="19"/>
  <c r="Q70" i="18"/>
  <c r="T70" i="18"/>
  <c r="F70" i="19"/>
  <c r="J70" i="19"/>
  <c r="AB70" i="19"/>
  <c r="Q69" i="18"/>
  <c r="T69" i="18"/>
  <c r="F69" i="19"/>
  <c r="J69" i="19"/>
  <c r="AB69" i="19"/>
  <c r="Q68" i="18"/>
  <c r="T68" i="18"/>
  <c r="F68" i="19"/>
  <c r="J68" i="19"/>
  <c r="AB68" i="19"/>
  <c r="Q67" i="18"/>
  <c r="T67" i="18"/>
  <c r="F67" i="19"/>
  <c r="J67" i="19"/>
  <c r="AB67" i="19"/>
  <c r="Q66" i="18"/>
  <c r="T66" i="18"/>
  <c r="F66" i="19"/>
  <c r="J66" i="19"/>
  <c r="AB66" i="19"/>
  <c r="Q65" i="18"/>
  <c r="T65" i="18"/>
  <c r="F65" i="19"/>
  <c r="J65" i="19"/>
  <c r="AB65" i="19"/>
  <c r="Q64" i="18"/>
  <c r="T64" i="18"/>
  <c r="F64" i="19"/>
  <c r="J64" i="19"/>
  <c r="AB64" i="19"/>
  <c r="F63" i="19"/>
  <c r="J63" i="19"/>
  <c r="AB63" i="19"/>
  <c r="Q62" i="18"/>
  <c r="T62" i="18"/>
  <c r="F62" i="19"/>
  <c r="J62" i="19"/>
  <c r="AB62" i="19"/>
  <c r="Q61" i="18"/>
  <c r="T61" i="18"/>
  <c r="F61" i="19"/>
  <c r="J61" i="19"/>
  <c r="AB61" i="19"/>
  <c r="Q60" i="18"/>
  <c r="T60" i="18"/>
  <c r="F60" i="19"/>
  <c r="J60" i="19"/>
  <c r="AB60" i="19"/>
  <c r="Q59" i="18"/>
  <c r="T59" i="18"/>
  <c r="F59" i="19"/>
  <c r="J59" i="19"/>
  <c r="AB59" i="19"/>
  <c r="Q58" i="18"/>
  <c r="T58" i="18"/>
  <c r="F58" i="19"/>
  <c r="J58" i="19"/>
  <c r="AB58" i="19"/>
  <c r="Q57" i="18"/>
  <c r="T57" i="18"/>
  <c r="F57" i="19"/>
  <c r="J57" i="19"/>
  <c r="AB57" i="19"/>
  <c r="Q55" i="18"/>
  <c r="T55" i="18"/>
  <c r="F55" i="19"/>
  <c r="J55" i="19"/>
  <c r="AC55" i="19"/>
  <c r="Q54" i="18"/>
  <c r="T54" i="18"/>
  <c r="F54" i="19"/>
  <c r="J54" i="19"/>
  <c r="AC54" i="19"/>
  <c r="Q53" i="18"/>
  <c r="T53" i="18"/>
  <c r="F53" i="19"/>
  <c r="J53" i="19"/>
  <c r="AD53" i="19"/>
  <c r="Q52" i="18"/>
  <c r="T52" i="18"/>
  <c r="F52" i="19"/>
  <c r="J52" i="19"/>
  <c r="AC52" i="19"/>
  <c r="Q51" i="18"/>
  <c r="T51" i="18"/>
  <c r="F51" i="19"/>
  <c r="J51" i="19"/>
  <c r="AC51" i="19"/>
  <c r="Q50" i="18"/>
  <c r="T50" i="18"/>
  <c r="F50" i="19"/>
  <c r="J50" i="19"/>
  <c r="AC50" i="19"/>
  <c r="Q49" i="18"/>
  <c r="T49" i="18"/>
  <c r="F49" i="19"/>
  <c r="J49" i="19"/>
  <c r="AC49" i="19"/>
  <c r="Q48" i="18"/>
  <c r="T48" i="18"/>
  <c r="F48" i="19"/>
  <c r="J48" i="19"/>
  <c r="AC48" i="19"/>
  <c r="Q47" i="18"/>
  <c r="T47" i="18"/>
  <c r="F47" i="19"/>
  <c r="J47" i="19"/>
  <c r="AB47" i="19"/>
  <c r="Q46" i="18"/>
  <c r="T46" i="18"/>
  <c r="F46" i="19"/>
  <c r="J46" i="19"/>
  <c r="AB46" i="19"/>
  <c r="Q45" i="18"/>
  <c r="T45" i="18"/>
  <c r="F45" i="19"/>
  <c r="J45" i="19"/>
  <c r="AB45" i="19"/>
  <c r="Q44" i="18"/>
  <c r="T44" i="18"/>
  <c r="F44" i="19"/>
  <c r="J44" i="19"/>
  <c r="AC44" i="19"/>
  <c r="Q43" i="18"/>
  <c r="T43" i="18"/>
  <c r="F43" i="19"/>
  <c r="J43" i="19"/>
  <c r="AB43" i="19"/>
  <c r="Q42" i="18"/>
  <c r="T42" i="18"/>
  <c r="F42" i="19"/>
  <c r="J42" i="19"/>
  <c r="AB42" i="19"/>
  <c r="Q41" i="18"/>
  <c r="T41" i="18"/>
  <c r="F41" i="19"/>
  <c r="J41" i="19"/>
  <c r="AC41" i="19"/>
  <c r="F40" i="19"/>
  <c r="J40" i="19"/>
  <c r="AB40" i="19"/>
  <c r="Q39" i="18"/>
  <c r="T39" i="18"/>
  <c r="F39" i="19"/>
  <c r="J39" i="19"/>
  <c r="AD39" i="19"/>
  <c r="Q38" i="18"/>
  <c r="T38" i="18"/>
  <c r="F38" i="19"/>
  <c r="J38" i="19"/>
  <c r="AB38" i="19"/>
  <c r="Q37" i="18"/>
  <c r="T37" i="18"/>
  <c r="F37" i="19"/>
  <c r="J37" i="19"/>
  <c r="AB37" i="19"/>
  <c r="Q36" i="18"/>
  <c r="T36" i="18"/>
  <c r="F36" i="19"/>
  <c r="J36" i="19"/>
  <c r="AB36" i="19"/>
  <c r="Q35" i="18"/>
  <c r="T35" i="18"/>
  <c r="F35" i="19"/>
  <c r="J35" i="19"/>
  <c r="AB35" i="19"/>
  <c r="Q34" i="18"/>
  <c r="T34" i="18"/>
  <c r="F34" i="19"/>
  <c r="J34" i="19"/>
  <c r="AB34" i="19"/>
  <c r="Q33" i="18"/>
  <c r="T33" i="18"/>
  <c r="F33" i="19"/>
  <c r="J33" i="19"/>
  <c r="AB33" i="19"/>
  <c r="Q32" i="18"/>
  <c r="T32" i="18"/>
  <c r="F32" i="19"/>
  <c r="J32" i="19"/>
  <c r="AB32" i="19"/>
  <c r="Q31" i="18"/>
  <c r="T31" i="18"/>
  <c r="F31" i="19"/>
  <c r="J31" i="19"/>
  <c r="AB31" i="19"/>
  <c r="Q30" i="18"/>
  <c r="T30" i="18"/>
  <c r="F30" i="19"/>
  <c r="J30" i="19"/>
  <c r="AB30" i="19"/>
  <c r="Q29" i="18"/>
  <c r="T29" i="18"/>
  <c r="F29" i="19"/>
  <c r="J29" i="19"/>
  <c r="AC29" i="19"/>
  <c r="Q28" i="18"/>
  <c r="T28" i="18"/>
  <c r="F28" i="19"/>
  <c r="J28" i="19"/>
  <c r="AB28" i="19"/>
  <c r="Q27" i="18"/>
  <c r="T27" i="18"/>
  <c r="F27" i="19"/>
  <c r="J27" i="19"/>
  <c r="AB27" i="19"/>
  <c r="Q26" i="18"/>
  <c r="T26" i="18"/>
  <c r="F26" i="19"/>
  <c r="J26" i="19"/>
  <c r="AB26" i="19"/>
  <c r="Q25" i="18"/>
  <c r="T25" i="18"/>
  <c r="F25" i="19"/>
  <c r="J25" i="19"/>
  <c r="AC25" i="19"/>
  <c r="Q24" i="18"/>
  <c r="T24" i="18"/>
  <c r="F24" i="19"/>
  <c r="J24" i="19"/>
  <c r="AC24" i="19"/>
  <c r="Q23" i="18"/>
  <c r="T23" i="18"/>
  <c r="F23" i="19"/>
  <c r="J23" i="19"/>
  <c r="AC23" i="19"/>
  <c r="Q22" i="18"/>
  <c r="T22" i="18"/>
  <c r="F22" i="19"/>
  <c r="J22" i="19"/>
  <c r="AB22" i="19"/>
  <c r="Q21" i="18"/>
  <c r="T21" i="18"/>
  <c r="F21" i="19"/>
  <c r="J21" i="19"/>
  <c r="AB21" i="19"/>
  <c r="Q20" i="18"/>
  <c r="T20" i="18"/>
  <c r="F20" i="19"/>
  <c r="J20" i="19"/>
  <c r="AB20" i="19"/>
  <c r="Q19" i="18"/>
  <c r="T19" i="18"/>
  <c r="F19" i="19"/>
  <c r="J19" i="19"/>
  <c r="AC19" i="19"/>
  <c r="Q18" i="18"/>
  <c r="T18" i="18"/>
  <c r="F18" i="19"/>
  <c r="J18" i="19"/>
  <c r="AC18" i="19"/>
  <c r="Q17" i="18"/>
  <c r="T17" i="18"/>
  <c r="F17" i="19"/>
  <c r="J17" i="19"/>
  <c r="AB17" i="19"/>
  <c r="Q16" i="18"/>
  <c r="T16" i="18"/>
  <c r="F16" i="19"/>
  <c r="J16" i="19"/>
  <c r="V16" i="19"/>
  <c r="Q17" i="19"/>
  <c r="V18" i="19"/>
  <c r="V19" i="19"/>
  <c r="Q20" i="19"/>
  <c r="T20" i="19"/>
  <c r="Q21" i="19"/>
  <c r="Q22" i="19"/>
  <c r="T22" i="19"/>
  <c r="V23" i="19"/>
  <c r="V24" i="19"/>
  <c r="V25" i="19"/>
  <c r="Q26" i="19"/>
  <c r="T26" i="19"/>
  <c r="Q27" i="19"/>
  <c r="Q28" i="19"/>
  <c r="T28" i="19"/>
  <c r="V29" i="19"/>
  <c r="Q30" i="19"/>
  <c r="T30" i="19"/>
  <c r="Q31" i="19"/>
  <c r="Q32" i="19"/>
  <c r="T32" i="19"/>
  <c r="Q33" i="19"/>
  <c r="Q34" i="19"/>
  <c r="T34" i="19"/>
  <c r="Q35" i="19"/>
  <c r="Q36" i="19"/>
  <c r="T36" i="19"/>
  <c r="Q37" i="19"/>
  <c r="Q38" i="19"/>
  <c r="T38" i="19"/>
  <c r="V39" i="19"/>
  <c r="Q40" i="19"/>
  <c r="T40" i="19"/>
  <c r="F42" i="20"/>
  <c r="J42" i="20"/>
  <c r="AB42" i="20"/>
  <c r="V41" i="19"/>
  <c r="Q42" i="19"/>
  <c r="Q43" i="19"/>
  <c r="T43" i="19"/>
  <c r="F45" i="20"/>
  <c r="J45" i="20"/>
  <c r="AB45" i="20"/>
  <c r="V44" i="19"/>
  <c r="Q45" i="19"/>
  <c r="T45" i="19"/>
  <c r="F47" i="20"/>
  <c r="J47" i="20"/>
  <c r="AB47" i="20"/>
  <c r="Q46" i="19"/>
  <c r="T46" i="19"/>
  <c r="Q47" i="19"/>
  <c r="T47" i="19"/>
  <c r="F49" i="20"/>
  <c r="J49" i="20"/>
  <c r="AB49" i="20"/>
  <c r="V48" i="19"/>
  <c r="V49" i="19"/>
  <c r="V50" i="19"/>
  <c r="V51" i="19"/>
  <c r="V52" i="19"/>
  <c r="V53" i="19"/>
  <c r="V54" i="19"/>
  <c r="V55" i="19"/>
  <c r="Q57" i="19"/>
  <c r="T57" i="19"/>
  <c r="Q58" i="19"/>
  <c r="T58" i="19"/>
  <c r="F60" i="20"/>
  <c r="J60" i="20"/>
  <c r="AB60" i="20"/>
  <c r="Q59" i="19"/>
  <c r="T59" i="19"/>
  <c r="Q60" i="19"/>
  <c r="T60" i="19"/>
  <c r="F62" i="20"/>
  <c r="J62" i="20"/>
  <c r="AB62" i="20"/>
  <c r="Q61" i="19"/>
  <c r="T61" i="19"/>
  <c r="Q62" i="19"/>
  <c r="T62" i="19"/>
  <c r="F64" i="20"/>
  <c r="J64" i="20"/>
  <c r="AB64" i="20"/>
  <c r="Q63" i="19"/>
  <c r="T63" i="19"/>
  <c r="F65" i="20"/>
  <c r="J65" i="20"/>
  <c r="AB65" i="20"/>
  <c r="Q64" i="19"/>
  <c r="T64" i="19"/>
  <c r="F66" i="20"/>
  <c r="J66" i="20"/>
  <c r="AB66" i="20"/>
  <c r="Q65" i="19"/>
  <c r="T65" i="19"/>
  <c r="Q66" i="19"/>
  <c r="T66" i="19"/>
  <c r="F68" i="20"/>
  <c r="J68" i="20"/>
  <c r="AB68" i="20"/>
  <c r="Q67" i="19"/>
  <c r="T67" i="19"/>
  <c r="Q68" i="19"/>
  <c r="T68" i="19"/>
  <c r="F70" i="20"/>
  <c r="J70" i="20"/>
  <c r="AB70" i="20"/>
  <c r="Q69" i="19"/>
  <c r="T69" i="19"/>
  <c r="Q70" i="19"/>
  <c r="T70" i="19"/>
  <c r="F72" i="20"/>
  <c r="J72" i="20"/>
  <c r="AB72" i="20"/>
  <c r="AJ72" i="20"/>
  <c r="Q71" i="19"/>
  <c r="T71" i="19"/>
  <c r="Q72" i="19"/>
  <c r="T72" i="19"/>
  <c r="F74" i="20"/>
  <c r="J74" i="20"/>
  <c r="AB74" i="20"/>
  <c r="Q73" i="19"/>
  <c r="T73" i="19"/>
  <c r="V74" i="19"/>
  <c r="Q75" i="19"/>
  <c r="Q76" i="19"/>
  <c r="T76" i="19"/>
  <c r="F78" i="20"/>
  <c r="J78" i="20"/>
  <c r="AB78" i="20"/>
  <c r="AJ78" i="20"/>
  <c r="V77" i="19"/>
  <c r="V78" i="19"/>
  <c r="Q79" i="19"/>
  <c r="V80" i="19"/>
  <c r="V81" i="19"/>
  <c r="V82" i="19"/>
  <c r="Q83" i="19"/>
  <c r="Q84" i="19"/>
  <c r="T84" i="19"/>
  <c r="F86" i="20"/>
  <c r="J86" i="20"/>
  <c r="AB86" i="20"/>
  <c r="Q85" i="19"/>
  <c r="Q86" i="19"/>
  <c r="T86" i="19"/>
  <c r="F88" i="20"/>
  <c r="J88" i="20"/>
  <c r="AB88" i="20"/>
  <c r="Q87" i="19"/>
  <c r="Q88" i="19"/>
  <c r="T88" i="19"/>
  <c r="F90" i="20"/>
  <c r="J90" i="20"/>
  <c r="AB90" i="20"/>
  <c r="V89" i="19"/>
  <c r="V90" i="19"/>
  <c r="V91" i="19"/>
  <c r="V92" i="19"/>
  <c r="Q93" i="19"/>
  <c r="V94" i="19"/>
  <c r="V95" i="19"/>
  <c r="V96" i="19"/>
  <c r="Q97" i="19"/>
  <c r="Q98" i="19"/>
  <c r="T98" i="19"/>
  <c r="F100" i="20"/>
  <c r="J100" i="20"/>
  <c r="AB100" i="20"/>
  <c r="Q99" i="19"/>
  <c r="Q100" i="19"/>
  <c r="T100" i="19"/>
  <c r="F102" i="20"/>
  <c r="J102" i="20"/>
  <c r="AB102" i="20"/>
  <c r="Q101" i="19"/>
  <c r="Q102" i="19"/>
  <c r="T102" i="19"/>
  <c r="F104" i="20"/>
  <c r="J104" i="20"/>
  <c r="AB104" i="20"/>
  <c r="Q103" i="19"/>
  <c r="Q104" i="19"/>
  <c r="T104" i="19"/>
  <c r="Q105" i="19"/>
  <c r="Q106" i="19"/>
  <c r="T106" i="19"/>
  <c r="F108" i="20"/>
  <c r="J108" i="20"/>
  <c r="AB108" i="20"/>
  <c r="Q107" i="19"/>
  <c r="Q108" i="19"/>
  <c r="T108" i="19"/>
  <c r="F110" i="20"/>
  <c r="J110" i="20"/>
  <c r="AB110" i="20"/>
  <c r="Q109" i="19"/>
  <c r="Q110" i="19"/>
  <c r="T110" i="19"/>
  <c r="F112" i="20"/>
  <c r="J112" i="20"/>
  <c r="AB112" i="20"/>
  <c r="Q111" i="19"/>
  <c r="Q112" i="19"/>
  <c r="T112" i="19"/>
  <c r="F114" i="20"/>
  <c r="J114" i="20"/>
  <c r="AB114" i="20"/>
  <c r="Q113" i="19"/>
  <c r="Q114" i="19"/>
  <c r="T114" i="19"/>
  <c r="F116" i="20"/>
  <c r="J116" i="20"/>
  <c r="AB116" i="20"/>
  <c r="Q115" i="19"/>
  <c r="Q116" i="19"/>
  <c r="T116" i="19"/>
  <c r="F118" i="20"/>
  <c r="J118" i="20"/>
  <c r="AB118" i="20"/>
  <c r="V117" i="19"/>
  <c r="V118" i="19"/>
  <c r="Q119" i="19"/>
  <c r="Q120" i="19"/>
  <c r="T120" i="19"/>
  <c r="F122" i="20"/>
  <c r="J122" i="20"/>
  <c r="AB122" i="20"/>
  <c r="V121" i="19"/>
  <c r="Q122" i="19"/>
  <c r="T122" i="19"/>
  <c r="F124" i="20"/>
  <c r="J124" i="20"/>
  <c r="AB124" i="20"/>
  <c r="V123" i="19"/>
  <c r="V124" i="19"/>
  <c r="V125" i="19"/>
  <c r="Q126" i="19"/>
  <c r="T126" i="19"/>
  <c r="F128" i="20"/>
  <c r="J128" i="20"/>
  <c r="AB128" i="20"/>
  <c r="V127" i="19"/>
  <c r="Q129" i="19"/>
  <c r="T129" i="19"/>
  <c r="F131" i="20"/>
  <c r="J131" i="20"/>
  <c r="AB131" i="20"/>
  <c r="Q130" i="19"/>
  <c r="T130" i="19"/>
  <c r="Q131" i="19"/>
  <c r="T131" i="19"/>
  <c r="F133" i="20"/>
  <c r="J133" i="20"/>
  <c r="AB133" i="20"/>
  <c r="Q132" i="19"/>
  <c r="T132" i="19"/>
  <c r="Q133" i="19"/>
  <c r="T133" i="19"/>
  <c r="F135" i="20"/>
  <c r="J135" i="20"/>
  <c r="AB135" i="20"/>
  <c r="Q134" i="19"/>
  <c r="T134" i="19"/>
  <c r="Q135" i="19"/>
  <c r="T135" i="19"/>
  <c r="F137" i="20"/>
  <c r="J137" i="20"/>
  <c r="AB137" i="20"/>
  <c r="AJ137" i="20"/>
  <c r="Q136" i="19"/>
  <c r="T136" i="19"/>
  <c r="Q137" i="19"/>
  <c r="T137" i="19"/>
  <c r="F139" i="20"/>
  <c r="J139" i="20"/>
  <c r="AB139" i="20"/>
  <c r="V138" i="19"/>
  <c r="V139" i="19"/>
  <c r="Q140" i="19"/>
  <c r="T140" i="19"/>
  <c r="Q141" i="19"/>
  <c r="T141" i="19"/>
  <c r="F143" i="20"/>
  <c r="J143" i="20"/>
  <c r="AB143" i="20"/>
  <c r="V142" i="19"/>
  <c r="V143" i="19"/>
  <c r="V144" i="19"/>
  <c r="Q145" i="19"/>
  <c r="Q146" i="19"/>
  <c r="T146" i="19"/>
  <c r="V147" i="19"/>
  <c r="V148" i="19"/>
  <c r="V149" i="19"/>
  <c r="V150" i="19"/>
  <c r="Q151" i="19"/>
  <c r="V152" i="19"/>
  <c r="V153" i="19"/>
  <c r="Q154" i="19"/>
  <c r="T154" i="19"/>
  <c r="Q155" i="19"/>
  <c r="V156" i="19"/>
  <c r="V157" i="19"/>
  <c r="V158" i="19"/>
  <c r="V159" i="19"/>
  <c r="V160" i="19"/>
  <c r="Q161" i="19"/>
  <c r="Q162" i="19"/>
  <c r="T162" i="19"/>
  <c r="Q163" i="19"/>
  <c r="Q164" i="19"/>
  <c r="T164" i="19"/>
  <c r="Q165" i="19"/>
  <c r="Q166" i="19"/>
  <c r="T166" i="19"/>
  <c r="Q167" i="19"/>
  <c r="Q168" i="19"/>
  <c r="T168" i="19"/>
  <c r="Q169" i="19"/>
  <c r="V170" i="19"/>
  <c r="Q171" i="19"/>
  <c r="T171" i="19"/>
  <c r="F174" i="20"/>
  <c r="J174" i="20"/>
  <c r="AB174" i="20"/>
  <c r="V172" i="19"/>
  <c r="V173" i="19"/>
  <c r="Q174" i="19"/>
  <c r="T174" i="19"/>
  <c r="V175" i="19"/>
  <c r="V176" i="19"/>
  <c r="Q177" i="19"/>
  <c r="T177" i="19"/>
  <c r="F180" i="20"/>
  <c r="J180" i="20"/>
  <c r="AB180" i="20"/>
  <c r="V178" i="19"/>
  <c r="Q179" i="19"/>
  <c r="Q180" i="19"/>
  <c r="Q181" i="19"/>
  <c r="Q182" i="19"/>
  <c r="Q183" i="19"/>
  <c r="V184" i="19"/>
  <c r="V185" i="19"/>
  <c r="V186" i="19"/>
  <c r="V187" i="19"/>
  <c r="Q188" i="19"/>
  <c r="Q189" i="19"/>
  <c r="V191" i="19"/>
  <c r="Y222" i="19"/>
  <c r="Y230" i="19"/>
  <c r="Q16" i="19"/>
  <c r="W16" i="19"/>
  <c r="W17" i="19"/>
  <c r="Q18" i="19"/>
  <c r="Q19" i="19"/>
  <c r="W20" i="19"/>
  <c r="W21" i="19"/>
  <c r="W22" i="19"/>
  <c r="Q23" i="19"/>
  <c r="T23" i="19"/>
  <c r="F23" i="20"/>
  <c r="J23" i="20"/>
  <c r="AC23" i="20"/>
  <c r="Q24" i="19"/>
  <c r="T24" i="19"/>
  <c r="Q25" i="19"/>
  <c r="T25" i="19"/>
  <c r="F25" i="20"/>
  <c r="J25" i="20"/>
  <c r="AC25" i="20"/>
  <c r="W26" i="19"/>
  <c r="W27" i="19"/>
  <c r="W28" i="19"/>
  <c r="Q29" i="19"/>
  <c r="T29" i="19"/>
  <c r="F29" i="20"/>
  <c r="J29" i="20"/>
  <c r="AC29" i="20"/>
  <c r="W30" i="19"/>
  <c r="W31" i="19"/>
  <c r="W32" i="19"/>
  <c r="W33" i="19"/>
  <c r="W34" i="19"/>
  <c r="W35" i="19"/>
  <c r="W36" i="19"/>
  <c r="W37" i="19"/>
  <c r="W38" i="19"/>
  <c r="W39" i="19"/>
  <c r="W40" i="19"/>
  <c r="Q41" i="19"/>
  <c r="T41" i="19"/>
  <c r="F43" i="20"/>
  <c r="J43" i="20"/>
  <c r="AC43" i="20"/>
  <c r="W42" i="19"/>
  <c r="W43" i="19"/>
  <c r="Q44" i="19"/>
  <c r="T44" i="19"/>
  <c r="W45" i="19"/>
  <c r="W46" i="19"/>
  <c r="W47" i="19"/>
  <c r="Q48" i="19"/>
  <c r="T48" i="19"/>
  <c r="Q49" i="19"/>
  <c r="T49" i="19"/>
  <c r="F51" i="20"/>
  <c r="J51" i="20"/>
  <c r="AC51" i="20"/>
  <c r="Q50" i="19"/>
  <c r="T50" i="19"/>
  <c r="Q51" i="19"/>
  <c r="T51" i="19"/>
  <c r="F53" i="20"/>
  <c r="J53" i="20"/>
  <c r="AC53" i="20"/>
  <c r="Q52" i="19"/>
  <c r="T52" i="19"/>
  <c r="W53" i="19"/>
  <c r="Q54" i="19"/>
  <c r="T54" i="19"/>
  <c r="Q55" i="19"/>
  <c r="T55" i="19"/>
  <c r="F57" i="20"/>
  <c r="J57" i="20"/>
  <c r="AC57" i="20"/>
  <c r="W57" i="19"/>
  <c r="W58" i="19"/>
  <c r="W59" i="19"/>
  <c r="W60" i="19"/>
  <c r="W61" i="19"/>
  <c r="W62" i="19"/>
  <c r="W63" i="19"/>
  <c r="W64" i="19"/>
  <c r="W65" i="19"/>
  <c r="W66" i="19"/>
  <c r="W67" i="19"/>
  <c r="W68" i="19"/>
  <c r="W69" i="19"/>
  <c r="W70" i="19"/>
  <c r="W71" i="19"/>
  <c r="W72" i="19"/>
  <c r="W73" i="19"/>
  <c r="Q74" i="19"/>
  <c r="T74" i="19"/>
  <c r="F76" i="20"/>
  <c r="J76" i="20"/>
  <c r="AC76" i="20"/>
  <c r="W75" i="19"/>
  <c r="W76" i="19"/>
  <c r="Q77" i="19"/>
  <c r="T77" i="19"/>
  <c r="Q78" i="19"/>
  <c r="T78" i="19"/>
  <c r="F80" i="20"/>
  <c r="J80" i="20"/>
  <c r="AC80" i="20"/>
  <c r="W79" i="19"/>
  <c r="Q80" i="19"/>
  <c r="T80" i="19"/>
  <c r="F82" i="20"/>
  <c r="J82" i="20"/>
  <c r="AC82" i="20"/>
  <c r="Q81" i="19"/>
  <c r="T81" i="19"/>
  <c r="Q82" i="19"/>
  <c r="T82" i="19"/>
  <c r="F84" i="20"/>
  <c r="J84" i="20"/>
  <c r="AC84" i="20"/>
  <c r="W83" i="19"/>
  <c r="W84" i="19"/>
  <c r="W85" i="19"/>
  <c r="W86" i="19"/>
  <c r="W87" i="19"/>
  <c r="W88" i="19"/>
  <c r="W89" i="19"/>
  <c r="W90" i="19"/>
  <c r="Q91" i="19"/>
  <c r="T91" i="19"/>
  <c r="Q92" i="19"/>
  <c r="T92" i="19"/>
  <c r="F94" i="20"/>
  <c r="J94" i="20"/>
  <c r="AC94" i="20"/>
  <c r="W93" i="19"/>
  <c r="Q94" i="19"/>
  <c r="Q95" i="19"/>
  <c r="Q96" i="19"/>
  <c r="W97" i="19"/>
  <c r="W98" i="19"/>
  <c r="W99" i="19"/>
  <c r="W100" i="19"/>
  <c r="W101" i="19"/>
  <c r="W102" i="19"/>
  <c r="W103" i="19"/>
  <c r="W104" i="19"/>
  <c r="W105" i="19"/>
  <c r="W106" i="19"/>
  <c r="W107" i="19"/>
  <c r="W108" i="19"/>
  <c r="W109" i="19"/>
  <c r="W110" i="19"/>
  <c r="W111" i="19"/>
  <c r="W112" i="19"/>
  <c r="W113" i="19"/>
  <c r="W114" i="19"/>
  <c r="W115" i="19"/>
  <c r="W116" i="19"/>
  <c r="Q117" i="19"/>
  <c r="Q118" i="19"/>
  <c r="W119" i="19"/>
  <c r="W120" i="19"/>
  <c r="Q121" i="19"/>
  <c r="W122" i="19"/>
  <c r="W123" i="19"/>
  <c r="Q124" i="19"/>
  <c r="Q125" i="19"/>
  <c r="W126" i="19"/>
  <c r="Q127" i="19"/>
  <c r="T127" i="19"/>
  <c r="F129" i="20"/>
  <c r="J129" i="20"/>
  <c r="AC129" i="20"/>
  <c r="W129" i="19"/>
  <c r="W130" i="19"/>
  <c r="W131" i="19"/>
  <c r="W132" i="19"/>
  <c r="W133" i="19"/>
  <c r="W134" i="19"/>
  <c r="W135" i="19"/>
  <c r="W136" i="19"/>
  <c r="W137" i="19"/>
  <c r="Q138" i="19"/>
  <c r="T138" i="19"/>
  <c r="Q139" i="19"/>
  <c r="T139" i="19"/>
  <c r="F141" i="20"/>
  <c r="J141" i="20"/>
  <c r="AC141" i="20"/>
  <c r="W140" i="19"/>
  <c r="W141" i="19"/>
  <c r="W142" i="19"/>
  <c r="Q143" i="19"/>
  <c r="T143" i="19"/>
  <c r="F145" i="20"/>
  <c r="J145" i="20"/>
  <c r="AC145" i="20"/>
  <c r="Q144" i="19"/>
  <c r="T144" i="19"/>
  <c r="W145" i="19"/>
  <c r="W146" i="19"/>
  <c r="W147" i="19"/>
  <c r="Q148" i="19"/>
  <c r="T148" i="19"/>
  <c r="Q149" i="19"/>
  <c r="T149" i="19"/>
  <c r="F152" i="20"/>
  <c r="J152" i="20"/>
  <c r="AC152" i="20"/>
  <c r="W150" i="19"/>
  <c r="W151" i="19"/>
  <c r="Q152" i="19"/>
  <c r="T152" i="19"/>
  <c r="Q153" i="19"/>
  <c r="T153" i="19"/>
  <c r="F156" i="20"/>
  <c r="J156" i="20"/>
  <c r="AC156" i="20"/>
  <c r="W154" i="19"/>
  <c r="W155" i="19"/>
  <c r="Q156" i="19"/>
  <c r="T156" i="19"/>
  <c r="Q157" i="19"/>
  <c r="T157" i="19"/>
  <c r="F160" i="20"/>
  <c r="J160" i="20"/>
  <c r="AC160" i="20"/>
  <c r="Q158" i="19"/>
  <c r="T158" i="19"/>
  <c r="Q159" i="19"/>
  <c r="T159" i="19"/>
  <c r="F162" i="20"/>
  <c r="J162" i="20"/>
  <c r="AC162" i="20"/>
  <c r="Q160" i="19"/>
  <c r="T160" i="19"/>
  <c r="W161" i="19"/>
  <c r="W162" i="19"/>
  <c r="W163" i="19"/>
  <c r="W164" i="19"/>
  <c r="W165" i="19"/>
  <c r="W166" i="19"/>
  <c r="W167" i="19"/>
  <c r="W168" i="19"/>
  <c r="W169" i="19"/>
  <c r="Q170" i="19"/>
  <c r="T170" i="19"/>
  <c r="W171" i="19"/>
  <c r="Q172" i="19"/>
  <c r="Q173" i="19"/>
  <c r="W174" i="19"/>
  <c r="Q175" i="19"/>
  <c r="T175" i="19"/>
  <c r="W176" i="19"/>
  <c r="W177" i="19"/>
  <c r="Q178" i="19"/>
  <c r="T178" i="19"/>
  <c r="W179" i="19"/>
  <c r="W180" i="19"/>
  <c r="W181" i="19"/>
  <c r="W182" i="19"/>
  <c r="W183" i="19"/>
  <c r="Q184" i="19"/>
  <c r="Q185" i="19"/>
  <c r="Q186" i="19"/>
  <c r="Q187" i="19"/>
  <c r="W188" i="19"/>
  <c r="W189" i="19"/>
  <c r="Q191" i="19"/>
  <c r="Z222" i="19"/>
  <c r="Y233" i="19"/>
  <c r="X16" i="19"/>
  <c r="X17" i="19"/>
  <c r="X18" i="19"/>
  <c r="X19" i="19"/>
  <c r="X20" i="19"/>
  <c r="X21" i="19"/>
  <c r="X22" i="19"/>
  <c r="X23" i="19"/>
  <c r="X24" i="19"/>
  <c r="X25" i="19"/>
  <c r="X26" i="19"/>
  <c r="X27" i="19"/>
  <c r="X28" i="19"/>
  <c r="X29" i="19"/>
  <c r="X30" i="19"/>
  <c r="X31" i="19"/>
  <c r="X32" i="19"/>
  <c r="X33" i="19"/>
  <c r="X34" i="19"/>
  <c r="X35" i="19"/>
  <c r="X36" i="19"/>
  <c r="X37" i="19"/>
  <c r="X38" i="19"/>
  <c r="Q39" i="19"/>
  <c r="T39" i="19"/>
  <c r="F41" i="20"/>
  <c r="J41" i="20"/>
  <c r="AD41" i="20"/>
  <c r="X40" i="19"/>
  <c r="X41" i="19"/>
  <c r="X42" i="19"/>
  <c r="X43" i="19"/>
  <c r="X44" i="19"/>
  <c r="X45" i="19"/>
  <c r="X46" i="19"/>
  <c r="X47" i="19"/>
  <c r="X48" i="19"/>
  <c r="X49" i="19"/>
  <c r="X50" i="19"/>
  <c r="X51" i="19"/>
  <c r="X52" i="19"/>
  <c r="Q53" i="19"/>
  <c r="T53" i="19"/>
  <c r="F55" i="20"/>
  <c r="J55" i="20"/>
  <c r="AD55" i="20"/>
  <c r="X54" i="19"/>
  <c r="X55" i="19"/>
  <c r="X57" i="19"/>
  <c r="X58" i="19"/>
  <c r="X59" i="19"/>
  <c r="X60" i="19"/>
  <c r="X61" i="19"/>
  <c r="X62" i="19"/>
  <c r="X63" i="19"/>
  <c r="X64" i="19"/>
  <c r="X65" i="19"/>
  <c r="X66" i="19"/>
  <c r="X67" i="19"/>
  <c r="X68" i="19"/>
  <c r="X69" i="19"/>
  <c r="X70" i="19"/>
  <c r="X71" i="19"/>
  <c r="X72" i="19"/>
  <c r="X73" i="19"/>
  <c r="X74" i="19"/>
  <c r="X75" i="19"/>
  <c r="X76" i="19"/>
  <c r="X77" i="19"/>
  <c r="X78" i="19"/>
  <c r="X79" i="19"/>
  <c r="X80" i="19"/>
  <c r="X81" i="19"/>
  <c r="X82" i="19"/>
  <c r="X83" i="19"/>
  <c r="X84" i="19"/>
  <c r="X85" i="19"/>
  <c r="X86" i="19"/>
  <c r="X87" i="19"/>
  <c r="X88" i="19"/>
  <c r="Q89" i="19"/>
  <c r="T89" i="19"/>
  <c r="Q90" i="19"/>
  <c r="T90" i="19"/>
  <c r="F92" i="20"/>
  <c r="J92" i="20"/>
  <c r="AD92" i="20"/>
  <c r="X91" i="19"/>
  <c r="X92" i="19"/>
  <c r="X93" i="19"/>
  <c r="X94" i="19"/>
  <c r="X95" i="19"/>
  <c r="X96" i="19"/>
  <c r="X97" i="19"/>
  <c r="X98" i="19"/>
  <c r="X99" i="19"/>
  <c r="X100" i="19"/>
  <c r="X101" i="19"/>
  <c r="X102" i="19"/>
  <c r="X103" i="19"/>
  <c r="X104" i="19"/>
  <c r="X105" i="19"/>
  <c r="X106" i="19"/>
  <c r="X107" i="19"/>
  <c r="X108" i="19"/>
  <c r="X109" i="19"/>
  <c r="X110" i="19"/>
  <c r="X111" i="19"/>
  <c r="X112" i="19"/>
  <c r="X113" i="19"/>
  <c r="X114" i="19"/>
  <c r="X115" i="19"/>
  <c r="X116" i="19"/>
  <c r="X117" i="19"/>
  <c r="X118" i="19"/>
  <c r="X119" i="19"/>
  <c r="X120" i="19"/>
  <c r="X121" i="19"/>
  <c r="X122" i="19"/>
  <c r="Q123" i="19"/>
  <c r="T123" i="19"/>
  <c r="F125" i="20"/>
  <c r="J125" i="20"/>
  <c r="AD125" i="20"/>
  <c r="X124" i="19"/>
  <c r="X125" i="19"/>
  <c r="X126" i="19"/>
  <c r="X127" i="19"/>
  <c r="X129" i="19"/>
  <c r="X130" i="19"/>
  <c r="X131" i="19"/>
  <c r="X132" i="19"/>
  <c r="X133" i="19"/>
  <c r="X134" i="19"/>
  <c r="X135" i="19"/>
  <c r="X136" i="19"/>
  <c r="X137" i="19"/>
  <c r="X138" i="19"/>
  <c r="X139" i="19"/>
  <c r="X140" i="19"/>
  <c r="X141" i="19"/>
  <c r="Q142" i="19"/>
  <c r="T142" i="19"/>
  <c r="X143" i="19"/>
  <c r="X144" i="19"/>
  <c r="X145" i="19"/>
  <c r="X146" i="19"/>
  <c r="Q147" i="19"/>
  <c r="T147" i="19"/>
  <c r="F150" i="20"/>
  <c r="J150" i="20"/>
  <c r="AD150" i="20"/>
  <c r="X148" i="19"/>
  <c r="X149" i="19"/>
  <c r="Q150" i="19"/>
  <c r="T150" i="19"/>
  <c r="X151" i="19"/>
  <c r="X152" i="19"/>
  <c r="X153" i="19"/>
  <c r="X154" i="19"/>
  <c r="X155" i="19"/>
  <c r="X156" i="19"/>
  <c r="X157" i="19"/>
  <c r="X158" i="19"/>
  <c r="X159" i="19"/>
  <c r="X160" i="19"/>
  <c r="X161" i="19"/>
  <c r="X162" i="19"/>
  <c r="X163" i="19"/>
  <c r="X164" i="19"/>
  <c r="X165" i="19"/>
  <c r="X166" i="19"/>
  <c r="X167" i="19"/>
  <c r="X168" i="19"/>
  <c r="X169" i="19"/>
  <c r="X170" i="19"/>
  <c r="X171" i="19"/>
  <c r="X172" i="19"/>
  <c r="X173" i="19"/>
  <c r="X174" i="19"/>
  <c r="X175" i="19"/>
  <c r="Q176" i="19"/>
  <c r="X177" i="19"/>
  <c r="X178" i="19"/>
  <c r="X179" i="19"/>
  <c r="X180" i="19"/>
  <c r="X181" i="19"/>
  <c r="X182" i="19"/>
  <c r="X183" i="19"/>
  <c r="X184" i="19"/>
  <c r="X185" i="19"/>
  <c r="X186" i="19"/>
  <c r="X187" i="19"/>
  <c r="X188" i="19"/>
  <c r="X189" i="19"/>
  <c r="X191" i="19"/>
  <c r="AB16" i="19"/>
  <c r="AD16" i="19"/>
  <c r="AD224" i="19"/>
  <c r="AD225" i="19"/>
  <c r="AF16" i="19"/>
  <c r="AG16" i="19"/>
  <c r="AH16" i="19"/>
  <c r="M222" i="19"/>
  <c r="L222" i="19"/>
  <c r="I222" i="19"/>
  <c r="H222" i="19"/>
  <c r="G222" i="19"/>
  <c r="E222" i="19"/>
  <c r="T16" i="19"/>
  <c r="F16" i="20"/>
  <c r="J16" i="20"/>
  <c r="AC16" i="20"/>
  <c r="F20" i="20"/>
  <c r="J20" i="20"/>
  <c r="AB20" i="20"/>
  <c r="F22" i="20"/>
  <c r="J22" i="20"/>
  <c r="AB22" i="20"/>
  <c r="F24" i="20"/>
  <c r="J24" i="20"/>
  <c r="AC24" i="20"/>
  <c r="F26" i="20"/>
  <c r="J26" i="20"/>
  <c r="AB26" i="20"/>
  <c r="F28" i="20"/>
  <c r="J28" i="20"/>
  <c r="AB28" i="20"/>
  <c r="F30" i="20"/>
  <c r="J30" i="20"/>
  <c r="AB30" i="20"/>
  <c r="F32" i="20"/>
  <c r="J32" i="20"/>
  <c r="AB32" i="20"/>
  <c r="F34" i="20"/>
  <c r="J34" i="20"/>
  <c r="AB34" i="20"/>
  <c r="F38" i="20"/>
  <c r="J38" i="20"/>
  <c r="AB38" i="20"/>
  <c r="F40" i="20"/>
  <c r="J40" i="20"/>
  <c r="AB40" i="20"/>
  <c r="F46" i="20"/>
  <c r="J46" i="20"/>
  <c r="AC46" i="20"/>
  <c r="F48" i="20"/>
  <c r="J48" i="20"/>
  <c r="AB48" i="20"/>
  <c r="F50" i="20"/>
  <c r="J50" i="20"/>
  <c r="AC50" i="20"/>
  <c r="F52" i="20"/>
  <c r="J52" i="20"/>
  <c r="AC52" i="20"/>
  <c r="F54" i="20"/>
  <c r="J54" i="20"/>
  <c r="AC54" i="20"/>
  <c r="F56" i="20"/>
  <c r="J56" i="20"/>
  <c r="AC56" i="20"/>
  <c r="AJ56" i="20"/>
  <c r="F59" i="20"/>
  <c r="J59" i="20"/>
  <c r="AB59" i="20"/>
  <c r="F61" i="20"/>
  <c r="J61" i="20"/>
  <c r="AB61" i="20"/>
  <c r="F63" i="20"/>
  <c r="J63" i="20"/>
  <c r="AB63" i="20"/>
  <c r="F67" i="20"/>
  <c r="J67" i="20"/>
  <c r="AB67" i="20"/>
  <c r="F69" i="20"/>
  <c r="J69" i="20"/>
  <c r="AB69" i="20"/>
  <c r="F71" i="20"/>
  <c r="J71" i="20"/>
  <c r="AB71" i="20"/>
  <c r="F73" i="20"/>
  <c r="J73" i="20"/>
  <c r="AB73" i="20"/>
  <c r="F75" i="20"/>
  <c r="J75" i="20"/>
  <c r="AB75" i="20"/>
  <c r="F79" i="20"/>
  <c r="J79" i="20"/>
  <c r="AC79" i="20"/>
  <c r="J83" i="20"/>
  <c r="AC83" i="20"/>
  <c r="AJ83" i="20"/>
  <c r="F91" i="20"/>
  <c r="J91" i="20"/>
  <c r="AD91" i="20"/>
  <c r="F93" i="20"/>
  <c r="J93" i="20"/>
  <c r="AC93" i="20"/>
  <c r="F106" i="20"/>
  <c r="J106" i="20"/>
  <c r="AB106" i="20"/>
  <c r="F132" i="20"/>
  <c r="J132" i="20"/>
  <c r="AB132" i="20"/>
  <c r="F134" i="20"/>
  <c r="J134" i="20"/>
  <c r="AB134" i="20"/>
  <c r="F136" i="20"/>
  <c r="J136" i="20"/>
  <c r="AB136" i="20"/>
  <c r="F138" i="20"/>
  <c r="J138" i="20"/>
  <c r="AB138" i="20"/>
  <c r="F140" i="20"/>
  <c r="J140" i="20"/>
  <c r="AC140" i="20"/>
  <c r="F142" i="20"/>
  <c r="J142" i="20"/>
  <c r="AB142" i="20"/>
  <c r="F144" i="20"/>
  <c r="J144" i="20"/>
  <c r="AD144" i="20"/>
  <c r="F146" i="20"/>
  <c r="J146" i="20"/>
  <c r="AC146" i="20"/>
  <c r="F149" i="20"/>
  <c r="J149" i="20"/>
  <c r="AB149" i="20"/>
  <c r="F151" i="20"/>
  <c r="J151" i="20"/>
  <c r="AC151" i="20"/>
  <c r="F153" i="20"/>
  <c r="J153" i="20"/>
  <c r="AD153" i="20"/>
  <c r="F155" i="20"/>
  <c r="J155" i="20"/>
  <c r="AC155" i="20"/>
  <c r="F157" i="20"/>
  <c r="J157" i="20"/>
  <c r="AB157" i="20"/>
  <c r="F159" i="20"/>
  <c r="J159" i="20"/>
  <c r="AC159" i="20"/>
  <c r="F161" i="20"/>
  <c r="J161" i="20"/>
  <c r="AC161" i="20"/>
  <c r="F163" i="20"/>
  <c r="J163" i="20"/>
  <c r="AC163" i="20"/>
  <c r="F165" i="20"/>
  <c r="J165" i="20"/>
  <c r="AB165" i="20"/>
  <c r="F167" i="20"/>
  <c r="J167" i="20"/>
  <c r="AB167" i="20"/>
  <c r="F169" i="20"/>
  <c r="J169" i="20"/>
  <c r="AB169" i="20"/>
  <c r="F171" i="20"/>
  <c r="J171" i="20"/>
  <c r="AB171" i="20"/>
  <c r="F173" i="20"/>
  <c r="J173" i="20"/>
  <c r="AC173" i="20"/>
  <c r="AJ173" i="20"/>
  <c r="F177" i="20"/>
  <c r="J177" i="20"/>
  <c r="AB177" i="20"/>
  <c r="F181" i="20"/>
  <c r="J181" i="20"/>
  <c r="AC181" i="20"/>
  <c r="R222" i="19"/>
  <c r="P222" i="19"/>
  <c r="O222" i="19"/>
  <c r="N222" i="19"/>
  <c r="AB223" i="18"/>
  <c r="AD224" i="18"/>
  <c r="E89" i="18"/>
  <c r="AD223" i="18"/>
  <c r="E147" i="18"/>
  <c r="R204" i="14"/>
  <c r="M221" i="18"/>
  <c r="L221" i="18"/>
  <c r="E167" i="18"/>
  <c r="R135" i="14"/>
  <c r="E127" i="18"/>
  <c r="E126" i="18"/>
  <c r="I135" i="18"/>
  <c r="I115" i="18"/>
  <c r="I104" i="18"/>
  <c r="R65" i="14"/>
  <c r="Q190" i="14"/>
  <c r="T190" i="14"/>
  <c r="F170" i="18"/>
  <c r="J170" i="18"/>
  <c r="AB170" i="18"/>
  <c r="AH170" i="18"/>
  <c r="AD170" i="18"/>
  <c r="X170" i="18"/>
  <c r="AG170" i="18"/>
  <c r="AC170" i="18"/>
  <c r="AH66" i="18"/>
  <c r="AG66" i="18"/>
  <c r="AD66" i="18"/>
  <c r="AC66" i="18"/>
  <c r="X66" i="18"/>
  <c r="W66" i="18"/>
  <c r="F66" i="18"/>
  <c r="J66" i="18"/>
  <c r="AB66" i="18"/>
  <c r="R64" i="14"/>
  <c r="R63" i="14"/>
  <c r="E177" i="18"/>
  <c r="AH199" i="14"/>
  <c r="AF199" i="14"/>
  <c r="AD199" i="14"/>
  <c r="AB199" i="14"/>
  <c r="X199" i="14"/>
  <c r="V199" i="14"/>
  <c r="Q199" i="14"/>
  <c r="AG199" i="14"/>
  <c r="J199" i="14"/>
  <c r="AC199" i="14"/>
  <c r="AH177" i="18"/>
  <c r="AF177" i="18"/>
  <c r="AD177" i="18"/>
  <c r="AB177" i="18"/>
  <c r="X177" i="18"/>
  <c r="V177" i="18"/>
  <c r="AG177" i="18"/>
  <c r="E215" i="18"/>
  <c r="R17" i="14"/>
  <c r="AH74" i="18"/>
  <c r="AF74" i="18"/>
  <c r="AD74" i="18"/>
  <c r="AB74" i="18"/>
  <c r="X74" i="18"/>
  <c r="V74" i="18"/>
  <c r="R148" i="14"/>
  <c r="R250" i="14"/>
  <c r="E125" i="18"/>
  <c r="R232" i="14"/>
  <c r="E218" i="18"/>
  <c r="E77" i="18"/>
  <c r="E188" i="18"/>
  <c r="E143" i="18"/>
  <c r="E123" i="18"/>
  <c r="E157" i="18"/>
  <c r="F123" i="18"/>
  <c r="J123" i="18"/>
  <c r="AD123" i="18"/>
  <c r="F63" i="18"/>
  <c r="J63" i="18"/>
  <c r="AB63" i="18"/>
  <c r="F40" i="18"/>
  <c r="J40" i="18"/>
  <c r="AB40" i="18"/>
  <c r="V16" i="18"/>
  <c r="V18" i="18"/>
  <c r="V19" i="18"/>
  <c r="V23" i="18"/>
  <c r="V24" i="18"/>
  <c r="V25" i="18"/>
  <c r="W26" i="18"/>
  <c r="X26" i="18"/>
  <c r="W27" i="18"/>
  <c r="X27" i="18"/>
  <c r="W28" i="18"/>
  <c r="X28" i="18"/>
  <c r="V29" i="18"/>
  <c r="V39" i="18"/>
  <c r="Q40" i="18"/>
  <c r="V40" i="18"/>
  <c r="V41" i="18"/>
  <c r="V44" i="18"/>
  <c r="V48" i="18"/>
  <c r="V49" i="18"/>
  <c r="V50" i="18"/>
  <c r="V51" i="18"/>
  <c r="V52" i="18"/>
  <c r="V53" i="18"/>
  <c r="V54" i="18"/>
  <c r="V55" i="18"/>
  <c r="V58" i="18"/>
  <c r="Q63" i="18"/>
  <c r="V63" i="18"/>
  <c r="V72" i="18"/>
  <c r="V77" i="18"/>
  <c r="V78" i="18"/>
  <c r="V80" i="18"/>
  <c r="V81" i="18"/>
  <c r="V82" i="18"/>
  <c r="V86" i="18"/>
  <c r="V88" i="18"/>
  <c r="V89" i="18"/>
  <c r="V90" i="18"/>
  <c r="V91" i="18"/>
  <c r="V92" i="18"/>
  <c r="V94" i="18"/>
  <c r="V95" i="18"/>
  <c r="V96" i="18"/>
  <c r="W98" i="18"/>
  <c r="X98" i="18"/>
  <c r="W99" i="18"/>
  <c r="X99" i="18"/>
  <c r="W100" i="18"/>
  <c r="X100" i="18"/>
  <c r="W101" i="18"/>
  <c r="X101" i="18"/>
  <c r="V102" i="18"/>
  <c r="W102" i="18"/>
  <c r="X102" i="18"/>
  <c r="W103" i="18"/>
  <c r="X103" i="18"/>
  <c r="V104" i="18"/>
  <c r="W104" i="18"/>
  <c r="X104" i="18"/>
  <c r="W105" i="18"/>
  <c r="X105" i="18"/>
  <c r="V106" i="18"/>
  <c r="W106" i="18"/>
  <c r="X106" i="18"/>
  <c r="W107" i="18"/>
  <c r="X107" i="18"/>
  <c r="V108" i="18"/>
  <c r="W108" i="18"/>
  <c r="X108" i="18"/>
  <c r="W109" i="18"/>
  <c r="X109" i="18"/>
  <c r="V110" i="18"/>
  <c r="W110" i="18"/>
  <c r="X110" i="18"/>
  <c r="W111" i="18"/>
  <c r="X111" i="18"/>
  <c r="V112" i="18"/>
  <c r="W112" i="18"/>
  <c r="X112" i="18"/>
  <c r="W113" i="18"/>
  <c r="X113" i="18"/>
  <c r="V114" i="18"/>
  <c r="W114" i="18"/>
  <c r="X114" i="18"/>
  <c r="V115" i="18"/>
  <c r="W115" i="18"/>
  <c r="X115" i="18"/>
  <c r="W116" i="18"/>
  <c r="X116" i="18"/>
  <c r="V117" i="18"/>
  <c r="V118" i="18"/>
  <c r="V119" i="18"/>
  <c r="W119" i="18"/>
  <c r="X119" i="18"/>
  <c r="W120" i="18"/>
  <c r="X120" i="18"/>
  <c r="V121" i="18"/>
  <c r="V123" i="18"/>
  <c r="V124" i="18"/>
  <c r="V125" i="18"/>
  <c r="V127" i="18"/>
  <c r="V129" i="18"/>
  <c r="V131" i="18"/>
  <c r="V133" i="18"/>
  <c r="V135" i="18"/>
  <c r="V137" i="18"/>
  <c r="V138" i="18"/>
  <c r="V139" i="18"/>
  <c r="V141" i="18"/>
  <c r="V142" i="18"/>
  <c r="V143" i="18"/>
  <c r="V145" i="18"/>
  <c r="V146" i="18"/>
  <c r="V147" i="18"/>
  <c r="V148" i="18"/>
  <c r="V149" i="18"/>
  <c r="V151" i="18"/>
  <c r="V152" i="18"/>
  <c r="V153" i="18"/>
  <c r="V155" i="18"/>
  <c r="V156" i="18"/>
  <c r="V157" i="18"/>
  <c r="V158" i="18"/>
  <c r="V159" i="18"/>
  <c r="V161" i="18"/>
  <c r="V163" i="18"/>
  <c r="V165" i="18"/>
  <c r="V167" i="18"/>
  <c r="V169" i="18"/>
  <c r="V171" i="18"/>
  <c r="V172" i="18"/>
  <c r="V173" i="18"/>
  <c r="V174" i="18"/>
  <c r="V175" i="18"/>
  <c r="V179" i="18"/>
  <c r="V181" i="18"/>
  <c r="V183" i="18"/>
  <c r="V184" i="18"/>
  <c r="V185" i="18"/>
  <c r="V186" i="18"/>
  <c r="V187" i="18"/>
  <c r="V190" i="18"/>
  <c r="V191" i="18"/>
  <c r="V192" i="18"/>
  <c r="V193" i="18"/>
  <c r="V194" i="18"/>
  <c r="V195" i="18"/>
  <c r="V196" i="18"/>
  <c r="V197" i="18"/>
  <c r="V198" i="18"/>
  <c r="V200" i="18"/>
  <c r="V202" i="18"/>
  <c r="V203" i="18"/>
  <c r="V205" i="18"/>
  <c r="V206" i="18"/>
  <c r="V209" i="18"/>
  <c r="V210" i="18"/>
  <c r="V211" i="18"/>
  <c r="V212" i="18"/>
  <c r="V213" i="18"/>
  <c r="V214" i="18"/>
  <c r="V215" i="18"/>
  <c r="V216" i="18"/>
  <c r="V217" i="18"/>
  <c r="V218" i="18"/>
  <c r="V219" i="18"/>
  <c r="V220" i="18"/>
  <c r="Y221" i="18"/>
  <c r="Y229" i="18"/>
  <c r="W17" i="18"/>
  <c r="W20" i="18"/>
  <c r="W21" i="18"/>
  <c r="W22" i="18"/>
  <c r="W30" i="18"/>
  <c r="W31" i="18"/>
  <c r="W32" i="18"/>
  <c r="W33" i="18"/>
  <c r="W34" i="18"/>
  <c r="W35" i="18"/>
  <c r="W36" i="18"/>
  <c r="W37" i="18"/>
  <c r="W38" i="18"/>
  <c r="W39" i="18"/>
  <c r="W40" i="18"/>
  <c r="W42" i="18"/>
  <c r="W43" i="18"/>
  <c r="W45" i="18"/>
  <c r="W46" i="18"/>
  <c r="W47" i="18"/>
  <c r="W53" i="18"/>
  <c r="W57" i="18"/>
  <c r="W58" i="18"/>
  <c r="W59" i="18"/>
  <c r="W60" i="18"/>
  <c r="W61" i="18"/>
  <c r="W62" i="18"/>
  <c r="W63" i="18"/>
  <c r="W64" i="18"/>
  <c r="W65" i="18"/>
  <c r="W67" i="18"/>
  <c r="W68" i="18"/>
  <c r="W69" i="18"/>
  <c r="W70" i="18"/>
  <c r="W71" i="18"/>
  <c r="W72" i="18"/>
  <c r="W73" i="18"/>
  <c r="W75" i="18"/>
  <c r="W76" i="18"/>
  <c r="W79" i="18"/>
  <c r="W83" i="18"/>
  <c r="W84" i="18"/>
  <c r="W85" i="18"/>
  <c r="W86" i="18"/>
  <c r="W87" i="18"/>
  <c r="W88" i="18"/>
  <c r="W89" i="18"/>
  <c r="W90" i="18"/>
  <c r="W93" i="18"/>
  <c r="W97" i="18"/>
  <c r="W117" i="18"/>
  <c r="W121" i="18"/>
  <c r="W122" i="18"/>
  <c r="W123" i="18"/>
  <c r="W125" i="18"/>
  <c r="W126" i="18"/>
  <c r="W127" i="18"/>
  <c r="W128" i="18"/>
  <c r="W129" i="18"/>
  <c r="W130" i="18"/>
  <c r="W131" i="18"/>
  <c r="W132" i="18"/>
  <c r="W133" i="18"/>
  <c r="W134" i="18"/>
  <c r="W135" i="18"/>
  <c r="W136" i="18"/>
  <c r="W137" i="18"/>
  <c r="W139" i="18"/>
  <c r="W140" i="18"/>
  <c r="W141" i="18"/>
  <c r="W143" i="18"/>
  <c r="W144" i="18"/>
  <c r="W145" i="18"/>
  <c r="W146" i="18"/>
  <c r="W147" i="18"/>
  <c r="W149" i="18"/>
  <c r="W150" i="18"/>
  <c r="W151" i="18"/>
  <c r="W153" i="18"/>
  <c r="W154" i="18"/>
  <c r="W155" i="18"/>
  <c r="W157" i="18"/>
  <c r="W159" i="18"/>
  <c r="W160" i="18"/>
  <c r="W161" i="18"/>
  <c r="W162" i="18"/>
  <c r="W163" i="18"/>
  <c r="W164" i="18"/>
  <c r="W165" i="18"/>
  <c r="W166" i="18"/>
  <c r="W167" i="18"/>
  <c r="W168" i="18"/>
  <c r="W169" i="18"/>
  <c r="W171" i="18"/>
  <c r="W173" i="18"/>
  <c r="W175" i="18"/>
  <c r="W176" i="18"/>
  <c r="W178" i="18"/>
  <c r="W179" i="18"/>
  <c r="W180" i="18"/>
  <c r="W181" i="18"/>
  <c r="W182" i="18"/>
  <c r="W183" i="18"/>
  <c r="W185" i="18"/>
  <c r="W187" i="18"/>
  <c r="W188" i="18"/>
  <c r="W190" i="18"/>
  <c r="W192" i="18"/>
  <c r="W194" i="18"/>
  <c r="W196" i="18"/>
  <c r="W198" i="18"/>
  <c r="W199" i="18"/>
  <c r="W200" i="18"/>
  <c r="W201" i="18"/>
  <c r="W202" i="18"/>
  <c r="W203" i="18"/>
  <c r="W204" i="18"/>
  <c r="W206" i="18"/>
  <c r="W207" i="18"/>
  <c r="W208" i="18"/>
  <c r="W209" i="18"/>
  <c r="W210" i="18"/>
  <c r="W211" i="18"/>
  <c r="W212" i="18"/>
  <c r="W213" i="18"/>
  <c r="W214" i="18"/>
  <c r="W215" i="18"/>
  <c r="W216" i="18"/>
  <c r="W217" i="18"/>
  <c r="W218" i="18"/>
  <c r="W219" i="18"/>
  <c r="W220" i="18"/>
  <c r="Z221" i="18"/>
  <c r="Y232" i="18"/>
  <c r="X16" i="18"/>
  <c r="X17" i="18"/>
  <c r="X18" i="18"/>
  <c r="X19" i="18"/>
  <c r="X20" i="18"/>
  <c r="X21" i="18"/>
  <c r="X22" i="18"/>
  <c r="X23" i="18"/>
  <c r="X24" i="18"/>
  <c r="X25" i="18"/>
  <c r="X29" i="18"/>
  <c r="X30" i="18"/>
  <c r="X31" i="18"/>
  <c r="X32" i="18"/>
  <c r="X33" i="18"/>
  <c r="X34" i="18"/>
  <c r="X35" i="18"/>
  <c r="X36" i="18"/>
  <c r="X37" i="18"/>
  <c r="X38" i="18"/>
  <c r="X40" i="18"/>
  <c r="X41" i="18"/>
  <c r="X42" i="18"/>
  <c r="X43" i="18"/>
  <c r="X44" i="18"/>
  <c r="X45" i="18"/>
  <c r="X46" i="18"/>
  <c r="X47" i="18"/>
  <c r="X48" i="18"/>
  <c r="X49" i="18"/>
  <c r="X50" i="18"/>
  <c r="X51" i="18"/>
  <c r="X52" i="18"/>
  <c r="X54" i="18"/>
  <c r="X55" i="18"/>
  <c r="X57" i="18"/>
  <c r="X58" i="18"/>
  <c r="X59" i="18"/>
  <c r="X60" i="18"/>
  <c r="X61" i="18"/>
  <c r="X62" i="18"/>
  <c r="X63" i="18"/>
  <c r="X64" i="18"/>
  <c r="X65" i="18"/>
  <c r="X67" i="18"/>
  <c r="X68" i="18"/>
  <c r="X69" i="18"/>
  <c r="X70" i="18"/>
  <c r="X71" i="18"/>
  <c r="X72" i="18"/>
  <c r="X73" i="18"/>
  <c r="X75" i="18"/>
  <c r="X76" i="18"/>
  <c r="X77" i="18"/>
  <c r="X78" i="18"/>
  <c r="X79" i="18"/>
  <c r="X80" i="18"/>
  <c r="X81" i="18"/>
  <c r="X82" i="18"/>
  <c r="X83" i="18"/>
  <c r="X84" i="18"/>
  <c r="X85" i="18"/>
  <c r="X86" i="18"/>
  <c r="X87" i="18"/>
  <c r="X88" i="18"/>
  <c r="X91" i="18"/>
  <c r="X92" i="18"/>
  <c r="X93" i="18"/>
  <c r="X94" i="18"/>
  <c r="X95" i="18"/>
  <c r="X96" i="18"/>
  <c r="X97" i="18"/>
  <c r="X117" i="18"/>
  <c r="X118" i="18"/>
  <c r="X121" i="18"/>
  <c r="X122" i="18"/>
  <c r="X123" i="18"/>
  <c r="X124" i="18"/>
  <c r="X125" i="18"/>
  <c r="X126" i="18"/>
  <c r="X127" i="18"/>
  <c r="X128" i="18"/>
  <c r="X129" i="18"/>
  <c r="X130" i="18"/>
  <c r="X131" i="18"/>
  <c r="X132" i="18"/>
  <c r="X133" i="18"/>
  <c r="X134" i="18"/>
  <c r="X135" i="18"/>
  <c r="X136" i="18"/>
  <c r="X137" i="18"/>
  <c r="X138" i="18"/>
  <c r="X139" i="18"/>
  <c r="X140" i="18"/>
  <c r="X141" i="18"/>
  <c r="X142" i="18"/>
  <c r="X143" i="18"/>
  <c r="X144" i="18"/>
  <c r="X145" i="18"/>
  <c r="X147" i="18"/>
  <c r="X148" i="18"/>
  <c r="X149" i="18"/>
  <c r="X150" i="18"/>
  <c r="X151" i="18"/>
  <c r="X152" i="18"/>
  <c r="X153" i="18"/>
  <c r="X154" i="18"/>
  <c r="X155" i="18"/>
  <c r="X156" i="18"/>
  <c r="X157" i="18"/>
  <c r="X158" i="18"/>
  <c r="X159" i="18"/>
  <c r="X160" i="18"/>
  <c r="X161" i="18"/>
  <c r="X162" i="18"/>
  <c r="X163" i="18"/>
  <c r="X164" i="18"/>
  <c r="X165" i="18"/>
  <c r="X166" i="18"/>
  <c r="X167" i="18"/>
  <c r="X168" i="18"/>
  <c r="X169" i="18"/>
  <c r="X171" i="18"/>
  <c r="X172" i="18"/>
  <c r="X173" i="18"/>
  <c r="X174" i="18"/>
  <c r="X175" i="18"/>
  <c r="X176" i="18"/>
  <c r="X178" i="18"/>
  <c r="X179" i="18"/>
  <c r="X180" i="18"/>
  <c r="X181" i="18"/>
  <c r="X182" i="18"/>
  <c r="X183" i="18"/>
  <c r="X184" i="18"/>
  <c r="X185" i="18"/>
  <c r="X186" i="18"/>
  <c r="X187" i="18"/>
  <c r="X188" i="18"/>
  <c r="X190" i="18"/>
  <c r="X191" i="18"/>
  <c r="X192" i="18"/>
  <c r="X193" i="18"/>
  <c r="X194" i="18"/>
  <c r="X195" i="18"/>
  <c r="X196" i="18"/>
  <c r="X197" i="18"/>
  <c r="X198" i="18"/>
  <c r="X199" i="18"/>
  <c r="X200" i="18"/>
  <c r="X201" i="18"/>
  <c r="X202" i="18"/>
  <c r="X203" i="18"/>
  <c r="X204" i="18"/>
  <c r="X205" i="18"/>
  <c r="X206" i="18"/>
  <c r="X207" i="18"/>
  <c r="X208" i="18"/>
  <c r="X209" i="18"/>
  <c r="X210" i="18"/>
  <c r="X211" i="18"/>
  <c r="X212" i="18"/>
  <c r="X213" i="18"/>
  <c r="X214" i="18"/>
  <c r="X215" i="18"/>
  <c r="X216" i="18"/>
  <c r="X217" i="18"/>
  <c r="X218" i="18"/>
  <c r="X220" i="18"/>
  <c r="AB16" i="18"/>
  <c r="AB18" i="18"/>
  <c r="AB19" i="18"/>
  <c r="AB23" i="18"/>
  <c r="AB24" i="18"/>
  <c r="AB25" i="18"/>
  <c r="AB29" i="18"/>
  <c r="AB39" i="18"/>
  <c r="AB41" i="18"/>
  <c r="AB44" i="18"/>
  <c r="AB48" i="18"/>
  <c r="AB49" i="18"/>
  <c r="AB50" i="18"/>
  <c r="AB51" i="18"/>
  <c r="AB52" i="18"/>
  <c r="AB53" i="18"/>
  <c r="AB54" i="18"/>
  <c r="AB55" i="18"/>
  <c r="AB77" i="18"/>
  <c r="AB78" i="18"/>
  <c r="AB80" i="18"/>
  <c r="AB81" i="18"/>
  <c r="AB82" i="18"/>
  <c r="AB89" i="18"/>
  <c r="AB90" i="18"/>
  <c r="AB91" i="18"/>
  <c r="AB92" i="18"/>
  <c r="AB94" i="18"/>
  <c r="AB95" i="18"/>
  <c r="AB96" i="18"/>
  <c r="AB117" i="18"/>
  <c r="AB118" i="18"/>
  <c r="AB121" i="18"/>
  <c r="AB123" i="18"/>
  <c r="AB124" i="18"/>
  <c r="AB125" i="18"/>
  <c r="AB127" i="18"/>
  <c r="AB137" i="18"/>
  <c r="AB138" i="18"/>
  <c r="AB141" i="18"/>
  <c r="AB142" i="18"/>
  <c r="AB143" i="18"/>
  <c r="AB146" i="18"/>
  <c r="AB147" i="18"/>
  <c r="AB148" i="18"/>
  <c r="AB149" i="18"/>
  <c r="AB151" i="18"/>
  <c r="AB152" i="18"/>
  <c r="AB155" i="18"/>
  <c r="AB156" i="18"/>
  <c r="AB157" i="18"/>
  <c r="AB158" i="18"/>
  <c r="AB159" i="18"/>
  <c r="AB169" i="18"/>
  <c r="AB171" i="18"/>
  <c r="AB172" i="18"/>
  <c r="AB174" i="18"/>
  <c r="AB175" i="18"/>
  <c r="AB183" i="18"/>
  <c r="AB184" i="18"/>
  <c r="AB185" i="18"/>
  <c r="AB186" i="18"/>
  <c r="AB190" i="18"/>
  <c r="AB191" i="18"/>
  <c r="AB192" i="18"/>
  <c r="AB193" i="18"/>
  <c r="AB194" i="18"/>
  <c r="AB195" i="18"/>
  <c r="AB196" i="18"/>
  <c r="AB198" i="18"/>
  <c r="AB202" i="18"/>
  <c r="AB205" i="18"/>
  <c r="AB206" i="18"/>
  <c r="AB209" i="18"/>
  <c r="AB210" i="18"/>
  <c r="AB211" i="18"/>
  <c r="AB212" i="18"/>
  <c r="AB214" i="18"/>
  <c r="AB218" i="18"/>
  <c r="AB219" i="18"/>
  <c r="AC17" i="18"/>
  <c r="AC20" i="18"/>
  <c r="AC21" i="18"/>
  <c r="AC22" i="18"/>
  <c r="AC26" i="18"/>
  <c r="AC27" i="18"/>
  <c r="AC28" i="18"/>
  <c r="AC30" i="18"/>
  <c r="AC31" i="18"/>
  <c r="AC32" i="18"/>
  <c r="AC33" i="18"/>
  <c r="AC34" i="18"/>
  <c r="AC35" i="18"/>
  <c r="AC36" i="18"/>
  <c r="AC37" i="18"/>
  <c r="AC38" i="18"/>
  <c r="AC39" i="18"/>
  <c r="AC40" i="18"/>
  <c r="AC42" i="18"/>
  <c r="AC43" i="18"/>
  <c r="AC45" i="18"/>
  <c r="AC46" i="18"/>
  <c r="AC47" i="18"/>
  <c r="AC53" i="18"/>
  <c r="AC57" i="18"/>
  <c r="AC58" i="18"/>
  <c r="AC59" i="18"/>
  <c r="AC60" i="18"/>
  <c r="AC61" i="18"/>
  <c r="AC62" i="18"/>
  <c r="AC63" i="18"/>
  <c r="AC64" i="18"/>
  <c r="AC65" i="18"/>
  <c r="AC67" i="18"/>
  <c r="AC68" i="18"/>
  <c r="AC69" i="18"/>
  <c r="AC70" i="18"/>
  <c r="AC71" i="18"/>
  <c r="AC72" i="18"/>
  <c r="AC73" i="18"/>
  <c r="AC75" i="18"/>
  <c r="AC76" i="18"/>
  <c r="AC79" i="18"/>
  <c r="AC83" i="18"/>
  <c r="AC84" i="18"/>
  <c r="AC85" i="18"/>
  <c r="AC86" i="18"/>
  <c r="AC87" i="18"/>
  <c r="AC88" i="18"/>
  <c r="AC89" i="18"/>
  <c r="AC90" i="18"/>
  <c r="AC93" i="18"/>
  <c r="AC97" i="18"/>
  <c r="AC98" i="18"/>
  <c r="AC99" i="18"/>
  <c r="AC100" i="18"/>
  <c r="AC101" i="18"/>
  <c r="AC102" i="18"/>
  <c r="AC103" i="18"/>
  <c r="AC104" i="18"/>
  <c r="AC105" i="18"/>
  <c r="AC106" i="18"/>
  <c r="AC107" i="18"/>
  <c r="AC108" i="18"/>
  <c r="AC109" i="18"/>
  <c r="AC110" i="18"/>
  <c r="AC111" i="18"/>
  <c r="AC112" i="18"/>
  <c r="AC113" i="18"/>
  <c r="AC114" i="18"/>
  <c r="AC115" i="18"/>
  <c r="AC116" i="18"/>
  <c r="AC119" i="18"/>
  <c r="AC120" i="18"/>
  <c r="AC122" i="18"/>
  <c r="AC123" i="18"/>
  <c r="AC126" i="18"/>
  <c r="AC128" i="18"/>
  <c r="AC129" i="18"/>
  <c r="AC130" i="18"/>
  <c r="AC131" i="18"/>
  <c r="AC132" i="18"/>
  <c r="AC133" i="18"/>
  <c r="AC134" i="18"/>
  <c r="AC135" i="18"/>
  <c r="AC136" i="18"/>
  <c r="AC139" i="18"/>
  <c r="AC140" i="18"/>
  <c r="AC141" i="18"/>
  <c r="AC144" i="18"/>
  <c r="AC145" i="18"/>
  <c r="AC146" i="18"/>
  <c r="AC149" i="18"/>
  <c r="AC150" i="18"/>
  <c r="AC153" i="18"/>
  <c r="AC154" i="18"/>
  <c r="AC160" i="18"/>
  <c r="AC161" i="18"/>
  <c r="AC162" i="18"/>
  <c r="AC163" i="18"/>
  <c r="AC164" i="18"/>
  <c r="AC165" i="18"/>
  <c r="AC166" i="18"/>
  <c r="AC167" i="18"/>
  <c r="AC168" i="18"/>
  <c r="AC173" i="18"/>
  <c r="AC175" i="18"/>
  <c r="AC176" i="18"/>
  <c r="AC178" i="18"/>
  <c r="AC179" i="18"/>
  <c r="AC180" i="18"/>
  <c r="AC181" i="18"/>
  <c r="AC182" i="18"/>
  <c r="AC187" i="18"/>
  <c r="AC188" i="18"/>
  <c r="AC196" i="18"/>
  <c r="AC198" i="18"/>
  <c r="AC199" i="18"/>
  <c r="AC200" i="18"/>
  <c r="AC201" i="18"/>
  <c r="AC202" i="18"/>
  <c r="AC203" i="18"/>
  <c r="AC204" i="18"/>
  <c r="AC206" i="18"/>
  <c r="AC207" i="18"/>
  <c r="AC208" i="18"/>
  <c r="AC213" i="18"/>
  <c r="AC215" i="18"/>
  <c r="AC216" i="18"/>
  <c r="AC217" i="18"/>
  <c r="AC218" i="18"/>
  <c r="AC219" i="18"/>
  <c r="AC220" i="18"/>
  <c r="AD16" i="18"/>
  <c r="AD17" i="18"/>
  <c r="AD18" i="18"/>
  <c r="AD19" i="18"/>
  <c r="AD20" i="18"/>
  <c r="AD21" i="18"/>
  <c r="AD22" i="18"/>
  <c r="AD23" i="18"/>
  <c r="AD24" i="18"/>
  <c r="AD25" i="18"/>
  <c r="AD26" i="18"/>
  <c r="AD27" i="18"/>
  <c r="AD28" i="18"/>
  <c r="AD29" i="18"/>
  <c r="AD30" i="18"/>
  <c r="AD31" i="18"/>
  <c r="AD32" i="18"/>
  <c r="AD33" i="18"/>
  <c r="AD34" i="18"/>
  <c r="AD35" i="18"/>
  <c r="AD36" i="18"/>
  <c r="AD37" i="18"/>
  <c r="AD38" i="18"/>
  <c r="AD40" i="18"/>
  <c r="AD41" i="18"/>
  <c r="AD42" i="18"/>
  <c r="AD43" i="18"/>
  <c r="AD44" i="18"/>
  <c r="AD45" i="18"/>
  <c r="AD46" i="18"/>
  <c r="AD47" i="18"/>
  <c r="AD48" i="18"/>
  <c r="AD49" i="18"/>
  <c r="AD50" i="18"/>
  <c r="AD51" i="18"/>
  <c r="AD52" i="18"/>
  <c r="AD54" i="18"/>
  <c r="AD55" i="18"/>
  <c r="AD57" i="18"/>
  <c r="AD58" i="18"/>
  <c r="AD59" i="18"/>
  <c r="AD60" i="18"/>
  <c r="AD61" i="18"/>
  <c r="AD62" i="18"/>
  <c r="AD63" i="18"/>
  <c r="AD64" i="18"/>
  <c r="AD65" i="18"/>
  <c r="AD67" i="18"/>
  <c r="AD68" i="18"/>
  <c r="AD69" i="18"/>
  <c r="AD70" i="18"/>
  <c r="AD71" i="18"/>
  <c r="AD72" i="18"/>
  <c r="AD73" i="18"/>
  <c r="AD75" i="18"/>
  <c r="AD76" i="18"/>
  <c r="AD77" i="18"/>
  <c r="AD78" i="18"/>
  <c r="AD79" i="18"/>
  <c r="AD80" i="18"/>
  <c r="AD81" i="18"/>
  <c r="AD82" i="18"/>
  <c r="AD83" i="18"/>
  <c r="AD84" i="18"/>
  <c r="AD85" i="18"/>
  <c r="AD86" i="18"/>
  <c r="AD87" i="18"/>
  <c r="AD88" i="18"/>
  <c r="AD91" i="18"/>
  <c r="AD92" i="18"/>
  <c r="AD93" i="18"/>
  <c r="AD94" i="18"/>
  <c r="AD95" i="18"/>
  <c r="AD96" i="18"/>
  <c r="AD97" i="18"/>
  <c r="AD98" i="18"/>
  <c r="AD99" i="18"/>
  <c r="AD100" i="18"/>
  <c r="AD101" i="18"/>
  <c r="AD102" i="18"/>
  <c r="AD103" i="18"/>
  <c r="AD104" i="18"/>
  <c r="AD105" i="18"/>
  <c r="AD106" i="18"/>
  <c r="AD107" i="18"/>
  <c r="AD108" i="18"/>
  <c r="AD109" i="18"/>
  <c r="AD110" i="18"/>
  <c r="AD111" i="18"/>
  <c r="AD112" i="18"/>
  <c r="AD113" i="18"/>
  <c r="AD114" i="18"/>
  <c r="AD115" i="18"/>
  <c r="AD116" i="18"/>
  <c r="AD117" i="18"/>
  <c r="AD118" i="18"/>
  <c r="AD119" i="18"/>
  <c r="AD120" i="18"/>
  <c r="AD121" i="18"/>
  <c r="AD122" i="18"/>
  <c r="AD124" i="18"/>
  <c r="AD125" i="18"/>
  <c r="AD126" i="18"/>
  <c r="AD127" i="18"/>
  <c r="AD128" i="18"/>
  <c r="AD129" i="18"/>
  <c r="AD130" i="18"/>
  <c r="AD131" i="18"/>
  <c r="AD132" i="18"/>
  <c r="AD133" i="18"/>
  <c r="AD134" i="18"/>
  <c r="AD135" i="18"/>
  <c r="AD136" i="18"/>
  <c r="AD137" i="18"/>
  <c r="AD138" i="18"/>
  <c r="AD139" i="18"/>
  <c r="AD140" i="18"/>
  <c r="AD142" i="18"/>
  <c r="AD143" i="18"/>
  <c r="AD144" i="18"/>
  <c r="AD145" i="18"/>
  <c r="AD147" i="18"/>
  <c r="AD148" i="18"/>
  <c r="AD150" i="18"/>
  <c r="AD151" i="18"/>
  <c r="AD152" i="18"/>
  <c r="AD153" i="18"/>
  <c r="AD154" i="18"/>
  <c r="AD155" i="18"/>
  <c r="AD156" i="18"/>
  <c r="AD157" i="18"/>
  <c r="AD158" i="18"/>
  <c r="AD159" i="18"/>
  <c r="AD160" i="18"/>
  <c r="AD161" i="18"/>
  <c r="AD162" i="18"/>
  <c r="AD163" i="18"/>
  <c r="AD164" i="18"/>
  <c r="AD165" i="18"/>
  <c r="AD166" i="18"/>
  <c r="AD167" i="18"/>
  <c r="AD168" i="18"/>
  <c r="AD169" i="18"/>
  <c r="AD171" i="18"/>
  <c r="AD172" i="18"/>
  <c r="AD173" i="18"/>
  <c r="AD174" i="18"/>
  <c r="AD176" i="18"/>
  <c r="AD178" i="18"/>
  <c r="AD179" i="18"/>
  <c r="AD180" i="18"/>
  <c r="AD181" i="18"/>
  <c r="AD182" i="18"/>
  <c r="AD183" i="18"/>
  <c r="AD184" i="18"/>
  <c r="AD185" i="18"/>
  <c r="AD186" i="18"/>
  <c r="AD187" i="18"/>
  <c r="AD188" i="18"/>
  <c r="AD190" i="18"/>
  <c r="AD191" i="18"/>
  <c r="AD192" i="18"/>
  <c r="AD193" i="18"/>
  <c r="AD194" i="18"/>
  <c r="AD195" i="18"/>
  <c r="AD197" i="18"/>
  <c r="AD199" i="18"/>
  <c r="AD200" i="18"/>
  <c r="AD201" i="18"/>
  <c r="AD203" i="18"/>
  <c r="AD204" i="18"/>
  <c r="AD205" i="18"/>
  <c r="AD207" i="18"/>
  <c r="AD208" i="18"/>
  <c r="AD209" i="18"/>
  <c r="AD210" i="18"/>
  <c r="AD211" i="18"/>
  <c r="AD212" i="18"/>
  <c r="AD213" i="18"/>
  <c r="AD214" i="18"/>
  <c r="AD215" i="18"/>
  <c r="AD217" i="18"/>
  <c r="AD220" i="18"/>
  <c r="AF16" i="18"/>
  <c r="AF18" i="18"/>
  <c r="AF19" i="18"/>
  <c r="AF23" i="18"/>
  <c r="AF24" i="18"/>
  <c r="AF25" i="18"/>
  <c r="AF29" i="18"/>
  <c r="AF39" i="18"/>
  <c r="AF41" i="18"/>
  <c r="AF42" i="18"/>
  <c r="AF44" i="18"/>
  <c r="AF48" i="18"/>
  <c r="AF49" i="18"/>
  <c r="AF50" i="18"/>
  <c r="AF51" i="18"/>
  <c r="AF52" i="18"/>
  <c r="AF53" i="18"/>
  <c r="AF54" i="18"/>
  <c r="AF55" i="18"/>
  <c r="AF60" i="18"/>
  <c r="AF62" i="18"/>
  <c r="AF67" i="18"/>
  <c r="AF75" i="18"/>
  <c r="AF77" i="18"/>
  <c r="AF78" i="18"/>
  <c r="AF80" i="18"/>
  <c r="AF81" i="18"/>
  <c r="AF82" i="18"/>
  <c r="AF85" i="18"/>
  <c r="AF89" i="18"/>
  <c r="AF90" i="18"/>
  <c r="AF91" i="18"/>
  <c r="AF92" i="18"/>
  <c r="AF94" i="18"/>
  <c r="AF95" i="18"/>
  <c r="AF96" i="18"/>
  <c r="AF101" i="18"/>
  <c r="AF108" i="18"/>
  <c r="AF110" i="18"/>
  <c r="AF112" i="18"/>
  <c r="AF114" i="18"/>
  <c r="AF115" i="18"/>
  <c r="AF117" i="18"/>
  <c r="AF118" i="18"/>
  <c r="AF119" i="18"/>
  <c r="AF121" i="18"/>
  <c r="AF123" i="18"/>
  <c r="AF124" i="18"/>
  <c r="AF125" i="18"/>
  <c r="AF127" i="18"/>
  <c r="AF129" i="18"/>
  <c r="AF131" i="18"/>
  <c r="AF133" i="18"/>
  <c r="AF135" i="18"/>
  <c r="AF137" i="18"/>
  <c r="AF138" i="18"/>
  <c r="AF139" i="18"/>
  <c r="AF141" i="18"/>
  <c r="AF142" i="18"/>
  <c r="AF143" i="18"/>
  <c r="AF145" i="18"/>
  <c r="AF146" i="18"/>
  <c r="AF147" i="18"/>
  <c r="AF148" i="18"/>
  <c r="AF149" i="18"/>
  <c r="AF151" i="18"/>
  <c r="AF152" i="18"/>
  <c r="AF153" i="18"/>
  <c r="AF155" i="18"/>
  <c r="AF156" i="18"/>
  <c r="AF157" i="18"/>
  <c r="AF158" i="18"/>
  <c r="AF159" i="18"/>
  <c r="AF161" i="18"/>
  <c r="AF163" i="18"/>
  <c r="AF165" i="18"/>
  <c r="AF167" i="18"/>
  <c r="AF169" i="18"/>
  <c r="AF171" i="18"/>
  <c r="AF172" i="18"/>
  <c r="AF173" i="18"/>
  <c r="AF174" i="18"/>
  <c r="AF175" i="18"/>
  <c r="AF178" i="18"/>
  <c r="AF179" i="18"/>
  <c r="AF180" i="18"/>
  <c r="AF181" i="18"/>
  <c r="AF182" i="18"/>
  <c r="AF183" i="18"/>
  <c r="AF184" i="18"/>
  <c r="AF185" i="18"/>
  <c r="AF186" i="18"/>
  <c r="AF187" i="18"/>
  <c r="AF188" i="18"/>
  <c r="AF190" i="18"/>
  <c r="AF191" i="18"/>
  <c r="AF192" i="18"/>
  <c r="AF193" i="18"/>
  <c r="AF194" i="18"/>
  <c r="AF195" i="18"/>
  <c r="AF196" i="18"/>
  <c r="AF197" i="18"/>
  <c r="AF198" i="18"/>
  <c r="AF199" i="18"/>
  <c r="AF200" i="18"/>
  <c r="AF201" i="18"/>
  <c r="AF202" i="18"/>
  <c r="AF203" i="18"/>
  <c r="AF204" i="18"/>
  <c r="AF205" i="18"/>
  <c r="AF206" i="18"/>
  <c r="AF207" i="18"/>
  <c r="AF208" i="18"/>
  <c r="AF209" i="18"/>
  <c r="AF210" i="18"/>
  <c r="AF211" i="18"/>
  <c r="AF212" i="18"/>
  <c r="AF213" i="18"/>
  <c r="AF214" i="18"/>
  <c r="AF215" i="18"/>
  <c r="AF216" i="18"/>
  <c r="AF217" i="18"/>
  <c r="AF218" i="18"/>
  <c r="AF219" i="18"/>
  <c r="AF220" i="18"/>
  <c r="AG17" i="18"/>
  <c r="AG20" i="18"/>
  <c r="AG21" i="18"/>
  <c r="AG22" i="18"/>
  <c r="AG26" i="18"/>
  <c r="AG27" i="18"/>
  <c r="AG28" i="18"/>
  <c r="AG30" i="18"/>
  <c r="AG31" i="18"/>
  <c r="AG32" i="18"/>
  <c r="AG33" i="18"/>
  <c r="AG34" i="18"/>
  <c r="AG35" i="18"/>
  <c r="AG36" i="18"/>
  <c r="AG37" i="18"/>
  <c r="AG38" i="18"/>
  <c r="AG39" i="18"/>
  <c r="AG40" i="18"/>
  <c r="AG42" i="18"/>
  <c r="AG43" i="18"/>
  <c r="AG45" i="18"/>
  <c r="AG46" i="18"/>
  <c r="AG47" i="18"/>
  <c r="AG53" i="18"/>
  <c r="AG57" i="18"/>
  <c r="AG58" i="18"/>
  <c r="AG59" i="18"/>
  <c r="AG60" i="18"/>
  <c r="AG61" i="18"/>
  <c r="AG62" i="18"/>
  <c r="AG63" i="18"/>
  <c r="AG64" i="18"/>
  <c r="AG65" i="18"/>
  <c r="AG67" i="18"/>
  <c r="AG68" i="18"/>
  <c r="AG69" i="18"/>
  <c r="AG70" i="18"/>
  <c r="AG71" i="18"/>
  <c r="AG72" i="18"/>
  <c r="AG73" i="18"/>
  <c r="AG75" i="18"/>
  <c r="AG76" i="18"/>
  <c r="AG79" i="18"/>
  <c r="AG83" i="18"/>
  <c r="AG84" i="18"/>
  <c r="AG85" i="18"/>
  <c r="AG86" i="18"/>
  <c r="AG87" i="18"/>
  <c r="AG88" i="18"/>
  <c r="AG89" i="18"/>
  <c r="AG90" i="18"/>
  <c r="AG93" i="18"/>
  <c r="AG97" i="18"/>
  <c r="AG98" i="18"/>
  <c r="AG99" i="18"/>
  <c r="AG100" i="18"/>
  <c r="AG101" i="18"/>
  <c r="AG102" i="18"/>
  <c r="AG103" i="18"/>
  <c r="AG104" i="18"/>
  <c r="AG105" i="18"/>
  <c r="AG106" i="18"/>
  <c r="AG107" i="18"/>
  <c r="AG108" i="18"/>
  <c r="AG109" i="18"/>
  <c r="AG110" i="18"/>
  <c r="AG111" i="18"/>
  <c r="AG112" i="18"/>
  <c r="AG113" i="18"/>
  <c r="AG114" i="18"/>
  <c r="AG115" i="18"/>
  <c r="AG116" i="18"/>
  <c r="AG117" i="18"/>
  <c r="AG119" i="18"/>
  <c r="AG120" i="18"/>
  <c r="AG121" i="18"/>
  <c r="AG122" i="18"/>
  <c r="AG123" i="18"/>
  <c r="AG125" i="18"/>
  <c r="AG126" i="18"/>
  <c r="AG127" i="18"/>
  <c r="AG128" i="18"/>
  <c r="AG129" i="18"/>
  <c r="AG130" i="18"/>
  <c r="AG131" i="18"/>
  <c r="AG132" i="18"/>
  <c r="AG133" i="18"/>
  <c r="AG134" i="18"/>
  <c r="AG135" i="18"/>
  <c r="AG136" i="18"/>
  <c r="AG137" i="18"/>
  <c r="AG139" i="18"/>
  <c r="AG140" i="18"/>
  <c r="AG141" i="18"/>
  <c r="AG143" i="18"/>
  <c r="AG144" i="18"/>
  <c r="AG145" i="18"/>
  <c r="AG146" i="18"/>
  <c r="AG147" i="18"/>
  <c r="AG149" i="18"/>
  <c r="AG150" i="18"/>
  <c r="AG151" i="18"/>
  <c r="AG153" i="18"/>
  <c r="AG154" i="18"/>
  <c r="AG155" i="18"/>
  <c r="AG157" i="18"/>
  <c r="AG159" i="18"/>
  <c r="AG160" i="18"/>
  <c r="AG161" i="18"/>
  <c r="AG162" i="18"/>
  <c r="AG163" i="18"/>
  <c r="AG164" i="18"/>
  <c r="AG165" i="18"/>
  <c r="AG166" i="18"/>
  <c r="AG167" i="18"/>
  <c r="AG168" i="18"/>
  <c r="AG169" i="18"/>
  <c r="AG171" i="18"/>
  <c r="AG173" i="18"/>
  <c r="AG175" i="18"/>
  <c r="AG176" i="18"/>
  <c r="AG178" i="18"/>
  <c r="AG179" i="18"/>
  <c r="AG180" i="18"/>
  <c r="AG181" i="18"/>
  <c r="AG182" i="18"/>
  <c r="AG183" i="18"/>
  <c r="AG185" i="18"/>
  <c r="AG187" i="18"/>
  <c r="AG188" i="18"/>
  <c r="AG190" i="18"/>
  <c r="AG192" i="18"/>
  <c r="AG194" i="18"/>
  <c r="AG196" i="18"/>
  <c r="AG198" i="18"/>
  <c r="AG199" i="18"/>
  <c r="AG200" i="18"/>
  <c r="AG201" i="18"/>
  <c r="AG202" i="18"/>
  <c r="AG203" i="18"/>
  <c r="AG204" i="18"/>
  <c r="AG205" i="18"/>
  <c r="AG206" i="18"/>
  <c r="AG207" i="18"/>
  <c r="AG208" i="18"/>
  <c r="AG209" i="18"/>
  <c r="AG210" i="18"/>
  <c r="AG211" i="18"/>
  <c r="AG212" i="18"/>
  <c r="AG213" i="18"/>
  <c r="AG214" i="18"/>
  <c r="AG215" i="18"/>
  <c r="AG216" i="18"/>
  <c r="AG217" i="18"/>
  <c r="AG218" i="18"/>
  <c r="AG219" i="18"/>
  <c r="AG220" i="18"/>
  <c r="AH16" i="18"/>
  <c r="AH17" i="18"/>
  <c r="AH18" i="18"/>
  <c r="AH19" i="18"/>
  <c r="AH20" i="18"/>
  <c r="AH21" i="18"/>
  <c r="AH22" i="18"/>
  <c r="AH23" i="18"/>
  <c r="AH24" i="18"/>
  <c r="AH25" i="18"/>
  <c r="AH26" i="18"/>
  <c r="AH27" i="18"/>
  <c r="AH28" i="18"/>
  <c r="AH29" i="18"/>
  <c r="AH30" i="18"/>
  <c r="AH31" i="18"/>
  <c r="AH32" i="18"/>
  <c r="AH33" i="18"/>
  <c r="AH34" i="18"/>
  <c r="AH35" i="18"/>
  <c r="AH36" i="18"/>
  <c r="AH37" i="18"/>
  <c r="AH38" i="18"/>
  <c r="AH40" i="18"/>
  <c r="AH41" i="18"/>
  <c r="AH42" i="18"/>
  <c r="AH43" i="18"/>
  <c r="AH44" i="18"/>
  <c r="AH45" i="18"/>
  <c r="AH46" i="18"/>
  <c r="AH47" i="18"/>
  <c r="AH48" i="18"/>
  <c r="AH49" i="18"/>
  <c r="AH50" i="18"/>
  <c r="AH51" i="18"/>
  <c r="AH52" i="18"/>
  <c r="AH54" i="18"/>
  <c r="AH55" i="18"/>
  <c r="AH57" i="18"/>
  <c r="AH58" i="18"/>
  <c r="AH59" i="18"/>
  <c r="AH60" i="18"/>
  <c r="AH61" i="18"/>
  <c r="AH62" i="18"/>
  <c r="AH63" i="18"/>
  <c r="AH64" i="18"/>
  <c r="AH65" i="18"/>
  <c r="AH67" i="18"/>
  <c r="AH68" i="18"/>
  <c r="AH69" i="18"/>
  <c r="AH70" i="18"/>
  <c r="AH71" i="18"/>
  <c r="AH72" i="18"/>
  <c r="AH73" i="18"/>
  <c r="AH75" i="18"/>
  <c r="AH76" i="18"/>
  <c r="AH77" i="18"/>
  <c r="AH78" i="18"/>
  <c r="AH79" i="18"/>
  <c r="AH80" i="18"/>
  <c r="AH81" i="18"/>
  <c r="AH82" i="18"/>
  <c r="AH83" i="18"/>
  <c r="AH84" i="18"/>
  <c r="AH85" i="18"/>
  <c r="AH86" i="18"/>
  <c r="AH87" i="18"/>
  <c r="AH88" i="18"/>
  <c r="AH91" i="18"/>
  <c r="AH92" i="18"/>
  <c r="AH93" i="18"/>
  <c r="AH94" i="18"/>
  <c r="AH95" i="18"/>
  <c r="AH96" i="18"/>
  <c r="AH97" i="18"/>
  <c r="AH98" i="18"/>
  <c r="AH99" i="18"/>
  <c r="AH100" i="18"/>
  <c r="AH101" i="18"/>
  <c r="AH102" i="18"/>
  <c r="AH103" i="18"/>
  <c r="AH104" i="18"/>
  <c r="AH105" i="18"/>
  <c r="AH106" i="18"/>
  <c r="AH107" i="18"/>
  <c r="AH108" i="18"/>
  <c r="AH109" i="18"/>
  <c r="AH110" i="18"/>
  <c r="AH111" i="18"/>
  <c r="AH112" i="18"/>
  <c r="AH113" i="18"/>
  <c r="AH114" i="18"/>
  <c r="AH115" i="18"/>
  <c r="AH116" i="18"/>
  <c r="AH117" i="18"/>
  <c r="AH118" i="18"/>
  <c r="AH119" i="18"/>
  <c r="AH120" i="18"/>
  <c r="AH121" i="18"/>
  <c r="AH122" i="18"/>
  <c r="AH123" i="18"/>
  <c r="AH124" i="18"/>
  <c r="AH125" i="18"/>
  <c r="AH126" i="18"/>
  <c r="AH127" i="18"/>
  <c r="AH128" i="18"/>
  <c r="AH129" i="18"/>
  <c r="AH130" i="18"/>
  <c r="AH131" i="18"/>
  <c r="AH132" i="18"/>
  <c r="AH133" i="18"/>
  <c r="AH134" i="18"/>
  <c r="AH135" i="18"/>
  <c r="AH136" i="18"/>
  <c r="AH137" i="18"/>
  <c r="AH138" i="18"/>
  <c r="AH139" i="18"/>
  <c r="AH140" i="18"/>
  <c r="AH141" i="18"/>
  <c r="AH142" i="18"/>
  <c r="AH143" i="18"/>
  <c r="AH144" i="18"/>
  <c r="AH145" i="18"/>
  <c r="AH147" i="18"/>
  <c r="AH148" i="18"/>
  <c r="AH149" i="18"/>
  <c r="AH150" i="18"/>
  <c r="AH151" i="18"/>
  <c r="AH152" i="18"/>
  <c r="AH153" i="18"/>
  <c r="AH154" i="18"/>
  <c r="AH155" i="18"/>
  <c r="AH156" i="18"/>
  <c r="AH157" i="18"/>
  <c r="AH158" i="18"/>
  <c r="AH159" i="18"/>
  <c r="AH160" i="18"/>
  <c r="AH161" i="18"/>
  <c r="AH162" i="18"/>
  <c r="AH163" i="18"/>
  <c r="AH164" i="18"/>
  <c r="AH165" i="18"/>
  <c r="AH166" i="18"/>
  <c r="AH167" i="18"/>
  <c r="AH168" i="18"/>
  <c r="AH169" i="18"/>
  <c r="AH171" i="18"/>
  <c r="AH172" i="18"/>
  <c r="AH173" i="18"/>
  <c r="AH174" i="18"/>
  <c r="AH175" i="18"/>
  <c r="AH176" i="18"/>
  <c r="AH178" i="18"/>
  <c r="AH179" i="18"/>
  <c r="AH180" i="18"/>
  <c r="AH181" i="18"/>
  <c r="AH182" i="18"/>
  <c r="AH183" i="18"/>
  <c r="AH184" i="18"/>
  <c r="AH185" i="18"/>
  <c r="AH186" i="18"/>
  <c r="AH187" i="18"/>
  <c r="AH188" i="18"/>
  <c r="AH190" i="18"/>
  <c r="AH191" i="18"/>
  <c r="AH192" i="18"/>
  <c r="AH193" i="18"/>
  <c r="AH194" i="18"/>
  <c r="AH195" i="18"/>
  <c r="AH196" i="18"/>
  <c r="AH197" i="18"/>
  <c r="AH198" i="18"/>
  <c r="AH199" i="18"/>
  <c r="AH200" i="18"/>
  <c r="AH201" i="18"/>
  <c r="AH203" i="18"/>
  <c r="AH204" i="18"/>
  <c r="AH205" i="18"/>
  <c r="AH207" i="18"/>
  <c r="AH208" i="18"/>
  <c r="AH209" i="18"/>
  <c r="AH210" i="18"/>
  <c r="AH211" i="18"/>
  <c r="AH212" i="18"/>
  <c r="AH213" i="18"/>
  <c r="AH214" i="18"/>
  <c r="AH215" i="18"/>
  <c r="AH216" i="18"/>
  <c r="AH217" i="18"/>
  <c r="AH218" i="18"/>
  <c r="AH220" i="18"/>
  <c r="I221" i="18"/>
  <c r="H221" i="18"/>
  <c r="G221" i="18"/>
  <c r="E221" i="18"/>
  <c r="P221" i="18"/>
  <c r="O221" i="18"/>
  <c r="N221" i="18"/>
  <c r="E97" i="14"/>
  <c r="AB169" i="14"/>
  <c r="AB97" i="14"/>
  <c r="AB16" i="14"/>
  <c r="AB18" i="14"/>
  <c r="AB19" i="14"/>
  <c r="AB23" i="14"/>
  <c r="AB24" i="14"/>
  <c r="AB25" i="14"/>
  <c r="AB29" i="14"/>
  <c r="AB39" i="14"/>
  <c r="F40" i="14"/>
  <c r="J40" i="14"/>
  <c r="AB40" i="14"/>
  <c r="AB42" i="14"/>
  <c r="AB43" i="14"/>
  <c r="AB46" i="14"/>
  <c r="AB50" i="14"/>
  <c r="AB51" i="14"/>
  <c r="AB52" i="14"/>
  <c r="AB53" i="14"/>
  <c r="AB54" i="14"/>
  <c r="AB55" i="14"/>
  <c r="AB56" i="14"/>
  <c r="AB57" i="14"/>
  <c r="AB58" i="14"/>
  <c r="AB59" i="14"/>
  <c r="AB77" i="14"/>
  <c r="AB78" i="14"/>
  <c r="AB81" i="14"/>
  <c r="AB82" i="14"/>
  <c r="AB83" i="14"/>
  <c r="AB85" i="14"/>
  <c r="AB86" i="14"/>
  <c r="AB87" i="14"/>
  <c r="AB94" i="14"/>
  <c r="AB95" i="14"/>
  <c r="AB96" i="14"/>
  <c r="AB99" i="14"/>
  <c r="AB101" i="14"/>
  <c r="AB102" i="14"/>
  <c r="AB103" i="14"/>
  <c r="AB124" i="14"/>
  <c r="AB125" i="14"/>
  <c r="AB129" i="14"/>
  <c r="AB131" i="14"/>
  <c r="AB132" i="14"/>
  <c r="AB133" i="14"/>
  <c r="AB135" i="14"/>
  <c r="AB145" i="14"/>
  <c r="AB146" i="14"/>
  <c r="AB147" i="14"/>
  <c r="AB150" i="14"/>
  <c r="AB151" i="14"/>
  <c r="AB152" i="14"/>
  <c r="AB153" i="14"/>
  <c r="AB154" i="14"/>
  <c r="AB157" i="14"/>
  <c r="AB158" i="14"/>
  <c r="AB159" i="14"/>
  <c r="AB162" i="14"/>
  <c r="AB164" i="14"/>
  <c r="AB165" i="14"/>
  <c r="AB168" i="14"/>
  <c r="AB173" i="14"/>
  <c r="AB174" i="14"/>
  <c r="AB175" i="14"/>
  <c r="AB176" i="14"/>
  <c r="AB177" i="14"/>
  <c r="AB178" i="14"/>
  <c r="AB188" i="14"/>
  <c r="AB189" i="14"/>
  <c r="AB191" i="14"/>
  <c r="AB192" i="14"/>
  <c r="AB195" i="14"/>
  <c r="AB196" i="14"/>
  <c r="AB200" i="14"/>
  <c r="AB203" i="14"/>
  <c r="AB207" i="14"/>
  <c r="AB208" i="14"/>
  <c r="AB209" i="14"/>
  <c r="AB210" i="14"/>
  <c r="AB211" i="14"/>
  <c r="AB212" i="14"/>
  <c r="AB213" i="14"/>
  <c r="AB214" i="14"/>
  <c r="AB218" i="14"/>
  <c r="AB219" i="14"/>
  <c r="AB220" i="14"/>
  <c r="AB221" i="14"/>
  <c r="AB222" i="14"/>
  <c r="AB223" i="14"/>
  <c r="AB224" i="14"/>
  <c r="AB225" i="14"/>
  <c r="AB226" i="14"/>
  <c r="AB228" i="14"/>
  <c r="AB232" i="14"/>
  <c r="AB235" i="14"/>
  <c r="AB236" i="14"/>
  <c r="AB237" i="14"/>
  <c r="AB240" i="14"/>
  <c r="AB241" i="14"/>
  <c r="AB242" i="14"/>
  <c r="AB243" i="14"/>
  <c r="AB245" i="14"/>
  <c r="AB250" i="14"/>
  <c r="AB251" i="14"/>
  <c r="AB254" i="14"/>
  <c r="AF169" i="14"/>
  <c r="Q186" i="14"/>
  <c r="T186" i="14"/>
  <c r="F167" i="18"/>
  <c r="J167" i="18"/>
  <c r="AB167" i="18"/>
  <c r="Q71" i="14"/>
  <c r="T71" i="14"/>
  <c r="F68" i="18"/>
  <c r="J68" i="18"/>
  <c r="AB68" i="18"/>
  <c r="Q204" i="14"/>
  <c r="T204" i="14"/>
  <c r="F180" i="18"/>
  <c r="J180" i="18"/>
  <c r="AB180" i="18"/>
  <c r="AF225" i="14"/>
  <c r="AC17" i="14"/>
  <c r="AC20" i="14"/>
  <c r="AC21" i="14"/>
  <c r="AC22" i="14"/>
  <c r="AC26" i="14"/>
  <c r="AC27" i="14"/>
  <c r="AC30" i="14"/>
  <c r="AC31" i="14"/>
  <c r="AC32" i="14"/>
  <c r="AC33" i="14"/>
  <c r="AC34" i="14"/>
  <c r="AC35" i="14"/>
  <c r="AC36" i="14"/>
  <c r="AC37" i="14"/>
  <c r="AC38" i="14"/>
  <c r="AC39" i="14"/>
  <c r="AC40" i="14"/>
  <c r="AC41" i="14"/>
  <c r="AC44" i="14"/>
  <c r="AC45" i="14"/>
  <c r="AC47" i="14"/>
  <c r="AC48" i="14"/>
  <c r="AC49" i="14"/>
  <c r="AC55" i="14"/>
  <c r="AC60" i="14"/>
  <c r="AC61" i="14"/>
  <c r="AC62" i="14"/>
  <c r="AC63" i="14"/>
  <c r="AC64" i="14"/>
  <c r="AC65" i="14"/>
  <c r="AC66" i="14"/>
  <c r="AC67" i="14"/>
  <c r="AC68" i="14"/>
  <c r="AC70" i="14"/>
  <c r="AC71" i="14"/>
  <c r="AC72" i="14"/>
  <c r="AC73" i="14"/>
  <c r="AC74" i="14"/>
  <c r="AC75" i="14"/>
  <c r="AC76" i="14"/>
  <c r="AC79" i="14"/>
  <c r="AC80" i="14"/>
  <c r="AC84" i="14"/>
  <c r="AC88" i="14"/>
  <c r="AC89" i="14"/>
  <c r="AC90" i="14"/>
  <c r="AC91" i="14"/>
  <c r="AC92" i="14"/>
  <c r="AC93" i="14"/>
  <c r="AC94" i="14"/>
  <c r="AC95" i="14"/>
  <c r="AC98" i="14"/>
  <c r="AC100" i="14"/>
  <c r="AC104" i="14"/>
  <c r="AC105" i="14"/>
  <c r="AC106" i="14"/>
  <c r="AC107" i="14"/>
  <c r="AC108" i="14"/>
  <c r="AC109" i="14"/>
  <c r="AC110" i="14"/>
  <c r="AC111" i="14"/>
  <c r="AC112" i="14"/>
  <c r="AC113" i="14"/>
  <c r="AC114" i="14"/>
  <c r="AC115" i="14"/>
  <c r="AC116" i="14"/>
  <c r="AC117" i="14"/>
  <c r="AC118" i="14"/>
  <c r="AC119" i="14"/>
  <c r="AC120" i="14"/>
  <c r="AC121" i="14"/>
  <c r="AC122" i="14"/>
  <c r="AC123" i="14"/>
  <c r="AC126" i="14"/>
  <c r="AC127" i="14"/>
  <c r="AC128" i="14"/>
  <c r="AC130" i="14"/>
  <c r="AC131" i="14"/>
  <c r="AC134" i="14"/>
  <c r="AC136" i="14"/>
  <c r="AC137" i="14"/>
  <c r="AC138" i="14"/>
  <c r="AC139" i="14"/>
  <c r="AC140" i="14"/>
  <c r="AC141" i="14"/>
  <c r="AC142" i="14"/>
  <c r="AC143" i="14"/>
  <c r="AC144" i="14"/>
  <c r="AC148" i="14"/>
  <c r="AC149" i="14"/>
  <c r="AC150" i="14"/>
  <c r="AC155" i="14"/>
  <c r="AC156" i="14"/>
  <c r="AC157" i="14"/>
  <c r="AC160" i="14"/>
  <c r="AC161" i="14"/>
  <c r="AC163" i="14"/>
  <c r="AC165" i="14"/>
  <c r="AC166" i="14"/>
  <c r="AC167" i="14"/>
  <c r="AC170" i="14"/>
  <c r="AC171" i="14"/>
  <c r="AC172" i="14"/>
  <c r="AC179" i="14"/>
  <c r="AC180" i="14"/>
  <c r="AC181" i="14"/>
  <c r="AC182" i="14"/>
  <c r="AC183" i="14"/>
  <c r="AC184" i="14"/>
  <c r="AC185" i="14"/>
  <c r="AC186" i="14"/>
  <c r="AC187" i="14"/>
  <c r="AC189" i="14"/>
  <c r="AC193" i="14"/>
  <c r="AC194" i="14"/>
  <c r="AC196" i="14"/>
  <c r="AC197" i="14"/>
  <c r="AC198" i="14"/>
  <c r="AC201" i="14"/>
  <c r="AC202" i="14"/>
  <c r="AC204" i="14"/>
  <c r="AC205" i="14"/>
  <c r="AC206" i="14"/>
  <c r="AC215" i="14"/>
  <c r="AC216" i="14"/>
  <c r="AC217" i="14"/>
  <c r="AC225" i="14"/>
  <c r="AC227" i="14"/>
  <c r="AC228" i="14"/>
  <c r="AC229" i="14"/>
  <c r="AC230" i="14"/>
  <c r="AC231" i="14"/>
  <c r="AC232" i="14"/>
  <c r="AC233" i="14"/>
  <c r="AC234" i="14"/>
  <c r="AC237" i="14"/>
  <c r="AC238" i="14"/>
  <c r="AC239" i="14"/>
  <c r="AC244" i="14"/>
  <c r="AC246" i="14"/>
  <c r="AC247" i="14"/>
  <c r="AC248" i="14"/>
  <c r="AC249" i="14"/>
  <c r="AC250" i="14"/>
  <c r="AC251" i="14"/>
  <c r="AC252" i="14"/>
  <c r="AC253" i="14"/>
  <c r="AC255" i="14"/>
  <c r="Q169" i="14"/>
  <c r="T169" i="14"/>
  <c r="F152" i="18"/>
  <c r="J152" i="18"/>
  <c r="AC152" i="18"/>
  <c r="AG186" i="14"/>
  <c r="AG71" i="14"/>
  <c r="AG204" i="14"/>
  <c r="AG225" i="14"/>
  <c r="AD169" i="14"/>
  <c r="AD97" i="14"/>
  <c r="AD16" i="14"/>
  <c r="AD17" i="14"/>
  <c r="AD18" i="14"/>
  <c r="AD19" i="14"/>
  <c r="AD20" i="14"/>
  <c r="AD21" i="14"/>
  <c r="AD22" i="14"/>
  <c r="AD23" i="14"/>
  <c r="AD24" i="14"/>
  <c r="AD25" i="14"/>
  <c r="AD26" i="14"/>
  <c r="AD27" i="14"/>
  <c r="AD29" i="14"/>
  <c r="AD30" i="14"/>
  <c r="AD31" i="14"/>
  <c r="AD32" i="14"/>
  <c r="AD33" i="14"/>
  <c r="AD34" i="14"/>
  <c r="AD35" i="14"/>
  <c r="AD36" i="14"/>
  <c r="AD37" i="14"/>
  <c r="AD38" i="14"/>
  <c r="AD40" i="14"/>
  <c r="AD41" i="14"/>
  <c r="AD42" i="14"/>
  <c r="AD43" i="14"/>
  <c r="AD44" i="14"/>
  <c r="AD45" i="14"/>
  <c r="AD46" i="14"/>
  <c r="AD47" i="14"/>
  <c r="AD48" i="14"/>
  <c r="AD49" i="14"/>
  <c r="AD50" i="14"/>
  <c r="AD51" i="14"/>
  <c r="AD52" i="14"/>
  <c r="AD53" i="14"/>
  <c r="AD54" i="14"/>
  <c r="AD56" i="14"/>
  <c r="AD57" i="14"/>
  <c r="AD58" i="14"/>
  <c r="AD59" i="14"/>
  <c r="AD60" i="14"/>
  <c r="AD61" i="14"/>
  <c r="AD62" i="14"/>
  <c r="AD63" i="14"/>
  <c r="AD64" i="14"/>
  <c r="AD65" i="14"/>
  <c r="AD66" i="14"/>
  <c r="AD67" i="14"/>
  <c r="AD68" i="14"/>
  <c r="AD70" i="14"/>
  <c r="AD71" i="14"/>
  <c r="AD72" i="14"/>
  <c r="AD73" i="14"/>
  <c r="AD74" i="14"/>
  <c r="AD75" i="14"/>
  <c r="AD76" i="14"/>
  <c r="AD77" i="14"/>
  <c r="AD78" i="14"/>
  <c r="AD79" i="14"/>
  <c r="AD80" i="14"/>
  <c r="AD81" i="14"/>
  <c r="AD82" i="14"/>
  <c r="AD83" i="14"/>
  <c r="AD84" i="14"/>
  <c r="AD85" i="14"/>
  <c r="AD86" i="14"/>
  <c r="AD87" i="14"/>
  <c r="AD88" i="14"/>
  <c r="AD89" i="14"/>
  <c r="AD90" i="14"/>
  <c r="AD91" i="14"/>
  <c r="AD92" i="14"/>
  <c r="AD93" i="14"/>
  <c r="AD96" i="14"/>
  <c r="AD98" i="14"/>
  <c r="AD99" i="14"/>
  <c r="AD100" i="14"/>
  <c r="AD101" i="14"/>
  <c r="AD102" i="14"/>
  <c r="AD103" i="14"/>
  <c r="AD104" i="14"/>
  <c r="AD105" i="14"/>
  <c r="AD106" i="14"/>
  <c r="AD107" i="14"/>
  <c r="AD108" i="14"/>
  <c r="AD109" i="14"/>
  <c r="AD110" i="14"/>
  <c r="AD111" i="14"/>
  <c r="AD112" i="14"/>
  <c r="AD113" i="14"/>
  <c r="AD114" i="14"/>
  <c r="AD115" i="14"/>
  <c r="AD116" i="14"/>
  <c r="AD117" i="14"/>
  <c r="AD118" i="14"/>
  <c r="AD119" i="14"/>
  <c r="AD120" i="14"/>
  <c r="AD121" i="14"/>
  <c r="AD122" i="14"/>
  <c r="AD123" i="14"/>
  <c r="AD124" i="14"/>
  <c r="AD125" i="14"/>
  <c r="AD126" i="14"/>
  <c r="AD127" i="14"/>
  <c r="AD128" i="14"/>
  <c r="AD129" i="14"/>
  <c r="AD130" i="14"/>
  <c r="AD132" i="14"/>
  <c r="AD133" i="14"/>
  <c r="AD134" i="14"/>
  <c r="AD135" i="14"/>
  <c r="AD136" i="14"/>
  <c r="AD137" i="14"/>
  <c r="AD138" i="14"/>
  <c r="AD139" i="14"/>
  <c r="AD140" i="14"/>
  <c r="AD141" i="14"/>
  <c r="AD142" i="14"/>
  <c r="AD143" i="14"/>
  <c r="AD144" i="14"/>
  <c r="AD145" i="14"/>
  <c r="AD146" i="14"/>
  <c r="AD147" i="14"/>
  <c r="AD148" i="14"/>
  <c r="AD149" i="14"/>
  <c r="AD151" i="14"/>
  <c r="AD152" i="14"/>
  <c r="AD153" i="14"/>
  <c r="AD154" i="14"/>
  <c r="AD155" i="14"/>
  <c r="AD156" i="14"/>
  <c r="AD158" i="14"/>
  <c r="AD159" i="14"/>
  <c r="AD160" i="14"/>
  <c r="AD161" i="14"/>
  <c r="AD162" i="14"/>
  <c r="AD163" i="14"/>
  <c r="AD164" i="14"/>
  <c r="AD166" i="14"/>
  <c r="AD167" i="14"/>
  <c r="AD168" i="14"/>
  <c r="AD170" i="14"/>
  <c r="AD171" i="14"/>
  <c r="AD172" i="14"/>
  <c r="AD173" i="14"/>
  <c r="AD174" i="14"/>
  <c r="AD175" i="14"/>
  <c r="AD176" i="14"/>
  <c r="AD177" i="14"/>
  <c r="AD178" i="14"/>
  <c r="AD179" i="14"/>
  <c r="AD180" i="14"/>
  <c r="AD181" i="14"/>
  <c r="AD182" i="14"/>
  <c r="AD183" i="14"/>
  <c r="AD184" i="14"/>
  <c r="AD185" i="14"/>
  <c r="AD186" i="14"/>
  <c r="AD187" i="14"/>
  <c r="AD188" i="14"/>
  <c r="AD191" i="14"/>
  <c r="AD192" i="14"/>
  <c r="AD193" i="14"/>
  <c r="AD194" i="14"/>
  <c r="AD195" i="14"/>
  <c r="AD197" i="14"/>
  <c r="AD198" i="14"/>
  <c r="AD200" i="14"/>
  <c r="AD201" i="14"/>
  <c r="AD202" i="14"/>
  <c r="AD203" i="14"/>
  <c r="AD204" i="14"/>
  <c r="AD205" i="14"/>
  <c r="AD206" i="14"/>
  <c r="AD207" i="14"/>
  <c r="AD208" i="14"/>
  <c r="AD209" i="14"/>
  <c r="AD210" i="14"/>
  <c r="AD211" i="14"/>
  <c r="AD212" i="14"/>
  <c r="AD213" i="14"/>
  <c r="AD214" i="14"/>
  <c r="AD215" i="14"/>
  <c r="AD216" i="14"/>
  <c r="AD217" i="14"/>
  <c r="AD218" i="14"/>
  <c r="AD219" i="14"/>
  <c r="AD220" i="14"/>
  <c r="AD221" i="14"/>
  <c r="AD222" i="14"/>
  <c r="AD223" i="14"/>
  <c r="AD224" i="14"/>
  <c r="AD226" i="14"/>
  <c r="AD227" i="14"/>
  <c r="AD229" i="14"/>
  <c r="AD230" i="14"/>
  <c r="AD231" i="14"/>
  <c r="AD233" i="14"/>
  <c r="AD234" i="14"/>
  <c r="AD235" i="14"/>
  <c r="AD236" i="14"/>
  <c r="AD238" i="14"/>
  <c r="AD239" i="14"/>
  <c r="AD240" i="14"/>
  <c r="AD241" i="14"/>
  <c r="AD242" i="14"/>
  <c r="AD243" i="14"/>
  <c r="AD244" i="14"/>
  <c r="AD245" i="14"/>
  <c r="AD246" i="14"/>
  <c r="AD247" i="14"/>
  <c r="AD248" i="14"/>
  <c r="AD249" i="14"/>
  <c r="AD253" i="14"/>
  <c r="AD254" i="14"/>
  <c r="AD255" i="14"/>
  <c r="AH169" i="14"/>
  <c r="AH186" i="14"/>
  <c r="AH71" i="14"/>
  <c r="AH204" i="14"/>
  <c r="Q225" i="14"/>
  <c r="T225" i="14"/>
  <c r="F196" i="18"/>
  <c r="J196" i="18"/>
  <c r="AD196" i="18"/>
  <c r="M165" i="14"/>
  <c r="I122" i="14"/>
  <c r="I111" i="14"/>
  <c r="R195" i="15"/>
  <c r="E157" i="14"/>
  <c r="E156" i="14"/>
  <c r="I143" i="14"/>
  <c r="E28" i="14"/>
  <c r="AH255" i="14"/>
  <c r="AG255" i="14"/>
  <c r="AH254" i="14"/>
  <c r="AF254" i="14"/>
  <c r="AH253" i="14"/>
  <c r="AG253" i="14"/>
  <c r="AG252" i="14"/>
  <c r="AF252" i="14"/>
  <c r="AG251" i="14"/>
  <c r="AF251" i="14"/>
  <c r="AG250" i="14"/>
  <c r="AF250" i="14"/>
  <c r="AH249" i="14"/>
  <c r="AG249" i="14"/>
  <c r="AH248" i="14"/>
  <c r="AG248" i="14"/>
  <c r="AH247" i="14"/>
  <c r="AG247" i="14"/>
  <c r="AH246" i="14"/>
  <c r="AG246" i="14"/>
  <c r="AH245" i="14"/>
  <c r="AF245" i="14"/>
  <c r="AH244" i="14"/>
  <c r="AG244" i="14"/>
  <c r="AH243" i="14"/>
  <c r="AF243" i="14"/>
  <c r="AH242" i="14"/>
  <c r="AF242" i="14"/>
  <c r="AH241" i="14"/>
  <c r="AF241" i="14"/>
  <c r="AH240" i="14"/>
  <c r="AF240" i="14"/>
  <c r="AH239" i="14"/>
  <c r="AG239" i="14"/>
  <c r="AH238" i="14"/>
  <c r="AG238" i="14"/>
  <c r="AG237" i="14"/>
  <c r="AF237" i="14"/>
  <c r="AH236" i="14"/>
  <c r="AF236" i="14"/>
  <c r="AH235" i="14"/>
  <c r="AF235" i="14"/>
  <c r="AH234" i="14"/>
  <c r="AG234" i="14"/>
  <c r="AH233" i="14"/>
  <c r="AG233" i="14"/>
  <c r="AG232" i="14"/>
  <c r="AF232" i="14"/>
  <c r="AH231" i="14"/>
  <c r="AG231" i="14"/>
  <c r="AH230" i="14"/>
  <c r="AG230" i="14"/>
  <c r="AH229" i="14"/>
  <c r="AG229" i="14"/>
  <c r="AG228" i="14"/>
  <c r="AF228" i="14"/>
  <c r="AH227" i="14"/>
  <c r="AG227" i="14"/>
  <c r="AH226" i="14"/>
  <c r="AF226" i="14"/>
  <c r="AH224" i="14"/>
  <c r="AF224" i="14"/>
  <c r="AH223" i="14"/>
  <c r="AF223" i="14"/>
  <c r="AH222" i="14"/>
  <c r="AF222" i="14"/>
  <c r="AH221" i="14"/>
  <c r="AF221" i="14"/>
  <c r="AH220" i="14"/>
  <c r="AF220" i="14"/>
  <c r="AH219" i="14"/>
  <c r="AF219" i="14"/>
  <c r="AH218" i="14"/>
  <c r="AF218" i="14"/>
  <c r="AH217" i="14"/>
  <c r="AG217" i="14"/>
  <c r="AH216" i="14"/>
  <c r="AG216" i="14"/>
  <c r="AH215" i="14"/>
  <c r="AG215" i="14"/>
  <c r="AH214" i="14"/>
  <c r="AF214" i="14"/>
  <c r="AH213" i="14"/>
  <c r="AF213" i="14"/>
  <c r="AH212" i="14"/>
  <c r="AF212" i="14"/>
  <c r="AH211" i="14"/>
  <c r="AF211" i="14"/>
  <c r="AH210" i="14"/>
  <c r="AF210" i="14"/>
  <c r="AH209" i="14"/>
  <c r="AF209" i="14"/>
  <c r="AH208" i="14"/>
  <c r="AF208" i="14"/>
  <c r="AH207" i="14"/>
  <c r="AF207" i="14"/>
  <c r="AH206" i="14"/>
  <c r="AG206" i="14"/>
  <c r="AH205" i="14"/>
  <c r="AG205" i="14"/>
  <c r="AH203" i="14"/>
  <c r="AF203" i="14"/>
  <c r="AH202" i="14"/>
  <c r="AG202" i="14"/>
  <c r="AH201" i="14"/>
  <c r="AG201" i="14"/>
  <c r="AH200" i="14"/>
  <c r="AF200" i="14"/>
  <c r="AH198" i="14"/>
  <c r="AG198" i="14"/>
  <c r="AH197" i="14"/>
  <c r="AG197" i="14"/>
  <c r="AG196" i="14"/>
  <c r="AF196" i="14"/>
  <c r="AH195" i="14"/>
  <c r="AF195" i="14"/>
  <c r="AH194" i="14"/>
  <c r="AG194" i="14"/>
  <c r="AH193" i="14"/>
  <c r="AG193" i="14"/>
  <c r="AH192" i="14"/>
  <c r="AF192" i="14"/>
  <c r="AH191" i="14"/>
  <c r="AF191" i="14"/>
  <c r="AG189" i="14"/>
  <c r="AF189" i="14"/>
  <c r="AH188" i="14"/>
  <c r="AF188" i="14"/>
  <c r="AH187" i="14"/>
  <c r="AG187" i="14"/>
  <c r="AH185" i="14"/>
  <c r="AG185" i="14"/>
  <c r="AH184" i="14"/>
  <c r="AG184" i="14"/>
  <c r="AH183" i="14"/>
  <c r="AG183" i="14"/>
  <c r="AH182" i="14"/>
  <c r="AG182" i="14"/>
  <c r="AH181" i="14"/>
  <c r="AG181" i="14"/>
  <c r="AH180" i="14"/>
  <c r="AG180" i="14"/>
  <c r="AH179" i="14"/>
  <c r="AG179" i="14"/>
  <c r="AH178" i="14"/>
  <c r="AF178" i="14"/>
  <c r="AH177" i="14"/>
  <c r="AF177" i="14"/>
  <c r="AH176" i="14"/>
  <c r="AF176" i="14"/>
  <c r="AH175" i="14"/>
  <c r="AF175" i="14"/>
  <c r="AH174" i="14"/>
  <c r="AF174" i="14"/>
  <c r="AH173" i="14"/>
  <c r="AF173" i="14"/>
  <c r="AH172" i="14"/>
  <c r="AG172" i="14"/>
  <c r="AH171" i="14"/>
  <c r="AG171" i="14"/>
  <c r="AH170" i="14"/>
  <c r="AG170" i="14"/>
  <c r="AH168" i="14"/>
  <c r="AF168" i="14"/>
  <c r="AH167" i="14"/>
  <c r="AG167" i="14"/>
  <c r="AH166" i="14"/>
  <c r="AG166" i="14"/>
  <c r="AG165" i="14"/>
  <c r="AF165" i="14"/>
  <c r="AH164" i="14"/>
  <c r="AF164" i="14"/>
  <c r="AH163" i="14"/>
  <c r="AG163" i="14"/>
  <c r="AH162" i="14"/>
  <c r="AF162" i="14"/>
  <c r="AH161" i="14"/>
  <c r="AG161" i="14"/>
  <c r="AH160" i="14"/>
  <c r="AG160" i="14"/>
  <c r="AH159" i="14"/>
  <c r="AF159" i="14"/>
  <c r="AH158" i="14"/>
  <c r="AF158" i="14"/>
  <c r="AG157" i="14"/>
  <c r="AF157" i="14"/>
  <c r="AH156" i="14"/>
  <c r="AG156" i="14"/>
  <c r="AH155" i="14"/>
  <c r="AG155" i="14"/>
  <c r="AH154" i="14"/>
  <c r="AF154" i="14"/>
  <c r="AH153" i="14"/>
  <c r="AF153" i="14"/>
  <c r="AH152" i="14"/>
  <c r="AF152" i="14"/>
  <c r="AH151" i="14"/>
  <c r="AF151" i="14"/>
  <c r="AG150" i="14"/>
  <c r="AF150" i="14"/>
  <c r="AH149" i="14"/>
  <c r="AG149" i="14"/>
  <c r="AH148" i="14"/>
  <c r="AG148" i="14"/>
  <c r="AH147" i="14"/>
  <c r="AF147" i="14"/>
  <c r="AH146" i="14"/>
  <c r="AF146" i="14"/>
  <c r="AH145" i="14"/>
  <c r="AF145" i="14"/>
  <c r="AH144" i="14"/>
  <c r="AG144" i="14"/>
  <c r="AH143" i="14"/>
  <c r="AG143" i="14"/>
  <c r="AH142" i="14"/>
  <c r="AG142" i="14"/>
  <c r="AH141" i="14"/>
  <c r="AG141" i="14"/>
  <c r="AH140" i="14"/>
  <c r="AG140" i="14"/>
  <c r="AH139" i="14"/>
  <c r="AG139" i="14"/>
  <c r="AH138" i="14"/>
  <c r="AG138" i="14"/>
  <c r="AH137" i="14"/>
  <c r="AG137" i="14"/>
  <c r="AH136" i="14"/>
  <c r="AG136" i="14"/>
  <c r="AH135" i="14"/>
  <c r="AF135" i="14"/>
  <c r="AH134" i="14"/>
  <c r="AG134" i="14"/>
  <c r="AH133" i="14"/>
  <c r="AF133" i="14"/>
  <c r="AH132" i="14"/>
  <c r="AF132" i="14"/>
  <c r="AG131" i="14"/>
  <c r="AF131" i="14"/>
  <c r="AH130" i="14"/>
  <c r="AG130" i="14"/>
  <c r="AH129" i="14"/>
  <c r="AF129" i="14"/>
  <c r="AH128" i="14"/>
  <c r="AG128" i="14"/>
  <c r="AH127" i="14"/>
  <c r="AG127" i="14"/>
  <c r="AH126" i="14"/>
  <c r="AG126" i="14"/>
  <c r="AH125" i="14"/>
  <c r="AF125" i="14"/>
  <c r="AH124" i="14"/>
  <c r="AF124" i="14"/>
  <c r="AH123" i="14"/>
  <c r="AG123" i="14"/>
  <c r="AH122" i="14"/>
  <c r="AG122" i="14"/>
  <c r="AH121" i="14"/>
  <c r="AG121" i="14"/>
  <c r="AH120" i="14"/>
  <c r="AG120" i="14"/>
  <c r="AH119" i="14"/>
  <c r="AG119" i="14"/>
  <c r="AH118" i="14"/>
  <c r="AG118" i="14"/>
  <c r="AH117" i="14"/>
  <c r="AG117" i="14"/>
  <c r="AH116" i="14"/>
  <c r="AG116" i="14"/>
  <c r="AH115" i="14"/>
  <c r="AG115" i="14"/>
  <c r="AH114" i="14"/>
  <c r="AG114" i="14"/>
  <c r="AH113" i="14"/>
  <c r="AG113" i="14"/>
  <c r="AH112" i="14"/>
  <c r="AG112" i="14"/>
  <c r="AH111" i="14"/>
  <c r="AG111" i="14"/>
  <c r="AH110" i="14"/>
  <c r="AG110" i="14"/>
  <c r="AH109" i="14"/>
  <c r="AG109" i="14"/>
  <c r="AH108" i="14"/>
  <c r="AG108" i="14"/>
  <c r="AH107" i="14"/>
  <c r="AG107" i="14"/>
  <c r="AH106" i="14"/>
  <c r="AG106" i="14"/>
  <c r="AH105" i="14"/>
  <c r="AG105" i="14"/>
  <c r="AH104" i="14"/>
  <c r="AG104" i="14"/>
  <c r="AH103" i="14"/>
  <c r="AF103" i="14"/>
  <c r="AH102" i="14"/>
  <c r="AF102" i="14"/>
  <c r="AH101" i="14"/>
  <c r="AF101" i="14"/>
  <c r="AH100" i="14"/>
  <c r="AG100" i="14"/>
  <c r="AH99" i="14"/>
  <c r="AF99" i="14"/>
  <c r="AH98" i="14"/>
  <c r="AG98" i="14"/>
  <c r="AH97" i="14"/>
  <c r="AF97" i="14"/>
  <c r="AH96" i="14"/>
  <c r="AF96" i="14"/>
  <c r="AG95" i="14"/>
  <c r="AF95" i="14"/>
  <c r="AG94" i="14"/>
  <c r="AF94" i="14"/>
  <c r="AH93" i="14"/>
  <c r="AG93" i="14"/>
  <c r="AH92" i="14"/>
  <c r="AG92" i="14"/>
  <c r="AH91" i="14"/>
  <c r="AG91" i="14"/>
  <c r="AH90" i="14"/>
  <c r="AG90" i="14"/>
  <c r="AH89" i="14"/>
  <c r="AG89" i="14"/>
  <c r="AH88" i="14"/>
  <c r="AG88" i="14"/>
  <c r="AH87" i="14"/>
  <c r="AF87" i="14"/>
  <c r="AH86" i="14"/>
  <c r="AF86" i="14"/>
  <c r="AH85" i="14"/>
  <c r="AF85" i="14"/>
  <c r="AH84" i="14"/>
  <c r="AG84" i="14"/>
  <c r="AH83" i="14"/>
  <c r="AF83" i="14"/>
  <c r="AH82" i="14"/>
  <c r="AF82" i="14"/>
  <c r="AH81" i="14"/>
  <c r="AF81" i="14"/>
  <c r="AH80" i="14"/>
  <c r="AG80" i="14"/>
  <c r="AH79" i="14"/>
  <c r="AG79" i="14"/>
  <c r="AH78" i="14"/>
  <c r="AF78" i="14"/>
  <c r="AH77" i="14"/>
  <c r="AF77" i="14"/>
  <c r="AH76" i="14"/>
  <c r="AG76" i="14"/>
  <c r="AH75" i="14"/>
  <c r="AG75" i="14"/>
  <c r="AH74" i="14"/>
  <c r="AG74" i="14"/>
  <c r="AH73" i="14"/>
  <c r="AG73" i="14"/>
  <c r="AH72" i="14"/>
  <c r="AG72" i="14"/>
  <c r="AH70" i="14"/>
  <c r="AG70" i="14"/>
  <c r="AH68" i="14"/>
  <c r="AG68" i="14"/>
  <c r="AH67" i="14"/>
  <c r="AG67" i="14"/>
  <c r="AH66" i="14"/>
  <c r="AG66" i="14"/>
  <c r="AH65" i="14"/>
  <c r="AG65" i="14"/>
  <c r="AH64" i="14"/>
  <c r="AG64" i="14"/>
  <c r="AH63" i="14"/>
  <c r="AG63" i="14"/>
  <c r="AH62" i="14"/>
  <c r="AG62" i="14"/>
  <c r="AH61" i="14"/>
  <c r="AG61" i="14"/>
  <c r="AH60" i="14"/>
  <c r="AG60" i="14"/>
  <c r="AH59" i="14"/>
  <c r="AF59" i="14"/>
  <c r="AH58" i="14"/>
  <c r="AF58" i="14"/>
  <c r="AH57" i="14"/>
  <c r="AF57" i="14"/>
  <c r="AH56" i="14"/>
  <c r="AF56" i="14"/>
  <c r="AG55" i="14"/>
  <c r="AF55" i="14"/>
  <c r="AH54" i="14"/>
  <c r="AF54" i="14"/>
  <c r="AH53" i="14"/>
  <c r="AF53" i="14"/>
  <c r="AH52" i="14"/>
  <c r="AF52" i="14"/>
  <c r="AH51" i="14"/>
  <c r="AF51" i="14"/>
  <c r="AH50" i="14"/>
  <c r="AF50" i="14"/>
  <c r="AH49" i="14"/>
  <c r="AG49" i="14"/>
  <c r="AH48" i="14"/>
  <c r="AG48" i="14"/>
  <c r="AH47" i="14"/>
  <c r="AG47" i="14"/>
  <c r="AH46" i="14"/>
  <c r="AF46" i="14"/>
  <c r="AH45" i="14"/>
  <c r="AG45" i="14"/>
  <c r="AH44" i="14"/>
  <c r="AG44" i="14"/>
  <c r="AH43" i="14"/>
  <c r="AF43" i="14"/>
  <c r="AH42" i="14"/>
  <c r="AF42" i="14"/>
  <c r="AH41" i="14"/>
  <c r="AG41" i="14"/>
  <c r="AH40" i="14"/>
  <c r="AG40" i="14"/>
  <c r="AG39" i="14"/>
  <c r="AF39" i="14"/>
  <c r="AH38" i="14"/>
  <c r="AG38" i="14"/>
  <c r="AH37" i="14"/>
  <c r="AG37" i="14"/>
  <c r="AH36" i="14"/>
  <c r="AG36" i="14"/>
  <c r="AH35" i="14"/>
  <c r="AG35" i="14"/>
  <c r="AH34" i="14"/>
  <c r="AG34" i="14"/>
  <c r="AH33" i="14"/>
  <c r="AG33" i="14"/>
  <c r="AH32" i="14"/>
  <c r="AG32" i="14"/>
  <c r="AH31" i="14"/>
  <c r="AG31" i="14"/>
  <c r="AH30" i="14"/>
  <c r="AG30" i="14"/>
  <c r="AH29" i="14"/>
  <c r="AF29" i="14"/>
  <c r="AH28" i="14"/>
  <c r="AG28" i="14"/>
  <c r="AD28" i="14"/>
  <c r="AC28" i="14"/>
  <c r="AH27" i="14"/>
  <c r="AG27" i="14"/>
  <c r="AH26" i="14"/>
  <c r="AG26" i="14"/>
  <c r="AH25" i="14"/>
  <c r="AF25" i="14"/>
  <c r="AH24" i="14"/>
  <c r="AF24" i="14"/>
  <c r="AH23" i="14"/>
  <c r="AF23" i="14"/>
  <c r="AH22" i="14"/>
  <c r="AG22" i="14"/>
  <c r="AH21" i="14"/>
  <c r="AG21" i="14"/>
  <c r="AH20" i="14"/>
  <c r="AG20" i="14"/>
  <c r="AH19" i="14"/>
  <c r="AF19" i="14"/>
  <c r="AH18" i="14"/>
  <c r="AF18" i="14"/>
  <c r="AH17" i="14"/>
  <c r="AG17" i="14"/>
  <c r="R64" i="15"/>
  <c r="R62" i="15"/>
  <c r="R146" i="15"/>
  <c r="R17" i="15"/>
  <c r="R228" i="15"/>
  <c r="R246" i="15"/>
  <c r="R252" i="15"/>
  <c r="E132" i="14"/>
  <c r="AH55" i="15"/>
  <c r="AF55" i="15"/>
  <c r="AD55" i="15"/>
  <c r="AB55" i="15"/>
  <c r="X55" i="15"/>
  <c r="Q55" i="15"/>
  <c r="W55" i="15"/>
  <c r="V55" i="15"/>
  <c r="AA55" i="15"/>
  <c r="J55" i="15"/>
  <c r="AC55" i="15"/>
  <c r="X56" i="14"/>
  <c r="V56" i="14"/>
  <c r="Q56" i="14"/>
  <c r="T56" i="14"/>
  <c r="F54" i="18"/>
  <c r="J54" i="18"/>
  <c r="AC54" i="18"/>
  <c r="E81" i="14"/>
  <c r="X28" i="14"/>
  <c r="W28" i="14"/>
  <c r="Q28" i="14"/>
  <c r="T28" i="14"/>
  <c r="F28" i="18"/>
  <c r="J28" i="18"/>
  <c r="AB28" i="18"/>
  <c r="J28" i="14"/>
  <c r="AB28" i="14"/>
  <c r="E82" i="14"/>
  <c r="E180" i="14"/>
  <c r="E179" i="14"/>
  <c r="Z256" i="14"/>
  <c r="Y267" i="14"/>
  <c r="Y256" i="14"/>
  <c r="Y264" i="14"/>
  <c r="R256" i="14"/>
  <c r="P256" i="14"/>
  <c r="O256" i="14"/>
  <c r="N256" i="14"/>
  <c r="M256" i="14"/>
  <c r="L256" i="14"/>
  <c r="H256" i="14"/>
  <c r="G256" i="14"/>
  <c r="X255" i="14"/>
  <c r="W255" i="14"/>
  <c r="Q255" i="14"/>
  <c r="T255" i="14"/>
  <c r="F220" i="18"/>
  <c r="J220" i="18"/>
  <c r="AB220" i="18"/>
  <c r="X254" i="14"/>
  <c r="V254" i="14"/>
  <c r="Q254" i="14"/>
  <c r="T254" i="14"/>
  <c r="X253" i="14"/>
  <c r="W253" i="14"/>
  <c r="Q253" i="14"/>
  <c r="T253" i="14"/>
  <c r="W252" i="14"/>
  <c r="V252" i="14"/>
  <c r="Q252" i="14"/>
  <c r="T252" i="14"/>
  <c r="W251" i="14"/>
  <c r="V251" i="14"/>
  <c r="Q251" i="14"/>
  <c r="T251" i="14"/>
  <c r="F219" i="18"/>
  <c r="J219" i="18"/>
  <c r="AD219" i="18"/>
  <c r="W250" i="14"/>
  <c r="V250" i="14"/>
  <c r="Q250" i="14"/>
  <c r="T250" i="14"/>
  <c r="F218" i="18"/>
  <c r="J218" i="18"/>
  <c r="AD218" i="18"/>
  <c r="X249" i="14"/>
  <c r="W249" i="14"/>
  <c r="Q249" i="14"/>
  <c r="T249" i="14"/>
  <c r="F217" i="18"/>
  <c r="J217" i="18"/>
  <c r="X248" i="14"/>
  <c r="W248" i="14"/>
  <c r="Q248" i="14"/>
  <c r="T248" i="14"/>
  <c r="F216" i="18"/>
  <c r="J216" i="18"/>
  <c r="AB216" i="18"/>
  <c r="X247" i="14"/>
  <c r="W247" i="14"/>
  <c r="Q247" i="14"/>
  <c r="T247" i="14"/>
  <c r="F215" i="18"/>
  <c r="J215" i="18"/>
  <c r="AB215" i="18"/>
  <c r="X246" i="14"/>
  <c r="W246" i="14"/>
  <c r="Q246" i="14"/>
  <c r="T246" i="14"/>
  <c r="X245" i="14"/>
  <c r="V245" i="14"/>
  <c r="Q245" i="14"/>
  <c r="T245" i="14"/>
  <c r="F214" i="18"/>
  <c r="J214" i="18"/>
  <c r="AC214" i="18"/>
  <c r="X244" i="14"/>
  <c r="W244" i="14"/>
  <c r="Q244" i="14"/>
  <c r="T244" i="14"/>
  <c r="F213" i="18"/>
  <c r="J213" i="18"/>
  <c r="AB213" i="18"/>
  <c r="X243" i="14"/>
  <c r="V243" i="14"/>
  <c r="Q243" i="14"/>
  <c r="T243" i="14"/>
  <c r="F212" i="18"/>
  <c r="J212" i="18"/>
  <c r="AC212" i="18"/>
  <c r="X242" i="14"/>
  <c r="V242" i="14"/>
  <c r="Q242" i="14"/>
  <c r="T242" i="14"/>
  <c r="F211" i="18"/>
  <c r="J211" i="18"/>
  <c r="AC211" i="18"/>
  <c r="X241" i="14"/>
  <c r="V241" i="14"/>
  <c r="Q241" i="14"/>
  <c r="T241" i="14"/>
  <c r="F210" i="18"/>
  <c r="J210" i="18"/>
  <c r="AC210" i="18"/>
  <c r="X240" i="14"/>
  <c r="V240" i="14"/>
  <c r="Q240" i="14"/>
  <c r="T240" i="14"/>
  <c r="F209" i="18"/>
  <c r="J209" i="18"/>
  <c r="AC209" i="18"/>
  <c r="X239" i="14"/>
  <c r="W239" i="14"/>
  <c r="Q239" i="14"/>
  <c r="T239" i="14"/>
  <c r="F208" i="18"/>
  <c r="J208" i="18"/>
  <c r="AB208" i="18"/>
  <c r="X238" i="14"/>
  <c r="W238" i="14"/>
  <c r="Q238" i="14"/>
  <c r="T238" i="14"/>
  <c r="F207" i="18"/>
  <c r="J207" i="18"/>
  <c r="AB207" i="18"/>
  <c r="W237" i="14"/>
  <c r="V237" i="14"/>
  <c r="Q237" i="14"/>
  <c r="T237" i="14"/>
  <c r="F206" i="18"/>
  <c r="J206" i="18"/>
  <c r="AD206" i="18"/>
  <c r="X236" i="14"/>
  <c r="V236" i="14"/>
  <c r="Q236" i="14"/>
  <c r="T236" i="14"/>
  <c r="F205" i="18"/>
  <c r="J205" i="18"/>
  <c r="AC205" i="18"/>
  <c r="X235" i="14"/>
  <c r="V235" i="14"/>
  <c r="Q235" i="14"/>
  <c r="T235" i="14"/>
  <c r="X234" i="14"/>
  <c r="W234" i="14"/>
  <c r="Q234" i="14"/>
  <c r="T234" i="14"/>
  <c r="F204" i="18"/>
  <c r="J204" i="18"/>
  <c r="AB204" i="18"/>
  <c r="X233" i="14"/>
  <c r="W233" i="14"/>
  <c r="Q233" i="14"/>
  <c r="T233" i="14"/>
  <c r="F203" i="18"/>
  <c r="J203" i="18"/>
  <c r="AB203" i="18"/>
  <c r="W232" i="14"/>
  <c r="V232" i="14"/>
  <c r="Q232" i="14"/>
  <c r="T232" i="14"/>
  <c r="F202" i="18"/>
  <c r="J202" i="18"/>
  <c r="AD202" i="18"/>
  <c r="X231" i="14"/>
  <c r="W231" i="14"/>
  <c r="Q231" i="14"/>
  <c r="T231" i="14"/>
  <c r="F201" i="18"/>
  <c r="J201" i="18"/>
  <c r="AB201" i="18"/>
  <c r="X230" i="14"/>
  <c r="W230" i="14"/>
  <c r="Q230" i="14"/>
  <c r="T230" i="14"/>
  <c r="F200" i="18"/>
  <c r="J200" i="18"/>
  <c r="AB200" i="18"/>
  <c r="X229" i="14"/>
  <c r="W229" i="14"/>
  <c r="Q229" i="14"/>
  <c r="T229" i="14"/>
  <c r="F199" i="18"/>
  <c r="J199" i="18"/>
  <c r="AB199" i="18"/>
  <c r="W228" i="14"/>
  <c r="V228" i="14"/>
  <c r="Q228" i="14"/>
  <c r="T228" i="14"/>
  <c r="F198" i="18"/>
  <c r="J198" i="18"/>
  <c r="AD198" i="18"/>
  <c r="X227" i="14"/>
  <c r="W227" i="14"/>
  <c r="Q227" i="14"/>
  <c r="T227" i="14"/>
  <c r="X226" i="14"/>
  <c r="Q226" i="14"/>
  <c r="T226" i="14"/>
  <c r="F197" i="18"/>
  <c r="J197" i="18"/>
  <c r="AC197" i="18"/>
  <c r="V226" i="14"/>
  <c r="AG226" i="14"/>
  <c r="W225" i="14"/>
  <c r="V225" i="14"/>
  <c r="X224" i="14"/>
  <c r="V224" i="14"/>
  <c r="Q224" i="14"/>
  <c r="T224" i="14"/>
  <c r="F195" i="18"/>
  <c r="J195" i="18"/>
  <c r="AC195" i="18"/>
  <c r="X223" i="14"/>
  <c r="V223" i="14"/>
  <c r="Q223" i="14"/>
  <c r="T223" i="14"/>
  <c r="F194" i="18"/>
  <c r="J194" i="18"/>
  <c r="AC194" i="18"/>
  <c r="X222" i="14"/>
  <c r="V222" i="14"/>
  <c r="Q222" i="14"/>
  <c r="T222" i="14"/>
  <c r="F193" i="18"/>
  <c r="J193" i="18"/>
  <c r="AC193" i="18"/>
  <c r="X221" i="14"/>
  <c r="V221" i="14"/>
  <c r="Q221" i="14"/>
  <c r="T221" i="14"/>
  <c r="F192" i="18"/>
  <c r="J192" i="18"/>
  <c r="AC192" i="18"/>
  <c r="X220" i="14"/>
  <c r="V220" i="14"/>
  <c r="Q220" i="14"/>
  <c r="T220" i="14"/>
  <c r="F191" i="18"/>
  <c r="J191" i="18"/>
  <c r="AC191" i="18"/>
  <c r="X219" i="14"/>
  <c r="V219" i="14"/>
  <c r="Q219" i="14"/>
  <c r="T219" i="14"/>
  <c r="F190" i="18"/>
  <c r="J190" i="18"/>
  <c r="AC190" i="18"/>
  <c r="X218" i="14"/>
  <c r="V218" i="14"/>
  <c r="Q218" i="14"/>
  <c r="T218" i="14"/>
  <c r="X217" i="14"/>
  <c r="W217" i="14"/>
  <c r="Q217" i="14"/>
  <c r="T217" i="14"/>
  <c r="X216" i="14"/>
  <c r="W216" i="14"/>
  <c r="Q216" i="14"/>
  <c r="T216" i="14"/>
  <c r="F188" i="18"/>
  <c r="J188" i="18"/>
  <c r="AB188" i="18"/>
  <c r="X215" i="14"/>
  <c r="W215" i="14"/>
  <c r="Q215" i="14"/>
  <c r="T215" i="14"/>
  <c r="F187" i="18"/>
  <c r="J187" i="18"/>
  <c r="AB187" i="18"/>
  <c r="X214" i="14"/>
  <c r="V214" i="14"/>
  <c r="Q214" i="14"/>
  <c r="T214" i="14"/>
  <c r="F186" i="18"/>
  <c r="J186" i="18"/>
  <c r="AC186" i="18"/>
  <c r="X213" i="14"/>
  <c r="V213" i="14"/>
  <c r="Q213" i="14"/>
  <c r="T213" i="14"/>
  <c r="F185" i="18"/>
  <c r="J185" i="18"/>
  <c r="AC185" i="18"/>
  <c r="X212" i="14"/>
  <c r="V212" i="14"/>
  <c r="Q212" i="14"/>
  <c r="T212" i="14"/>
  <c r="X211" i="14"/>
  <c r="V211" i="14"/>
  <c r="Q211" i="14"/>
  <c r="T211" i="14"/>
  <c r="X210" i="14"/>
  <c r="V210" i="14"/>
  <c r="Q210" i="14"/>
  <c r="T210" i="14"/>
  <c r="X209" i="14"/>
  <c r="V209" i="14"/>
  <c r="Q209" i="14"/>
  <c r="T209" i="14"/>
  <c r="X208" i="14"/>
  <c r="V208" i="14"/>
  <c r="Q208" i="14"/>
  <c r="T208" i="14"/>
  <c r="F184" i="18"/>
  <c r="J184" i="18"/>
  <c r="AC184" i="18"/>
  <c r="X207" i="14"/>
  <c r="V207" i="14"/>
  <c r="Q207" i="14"/>
  <c r="T207" i="14"/>
  <c r="F183" i="18"/>
  <c r="J183" i="18"/>
  <c r="AC183" i="18"/>
  <c r="X206" i="14"/>
  <c r="W206" i="14"/>
  <c r="Q206" i="14"/>
  <c r="T206" i="14"/>
  <c r="F182" i="18"/>
  <c r="J182" i="18"/>
  <c r="AB182" i="18"/>
  <c r="X205" i="14"/>
  <c r="W205" i="14"/>
  <c r="Q205" i="14"/>
  <c r="T205" i="14"/>
  <c r="F181" i="18"/>
  <c r="J181" i="18"/>
  <c r="AB181" i="18"/>
  <c r="X204" i="14"/>
  <c r="W204" i="14"/>
  <c r="X203" i="14"/>
  <c r="V203" i="14"/>
  <c r="Q203" i="14"/>
  <c r="T203" i="14"/>
  <c r="X202" i="14"/>
  <c r="W202" i="14"/>
  <c r="Q202" i="14"/>
  <c r="T202" i="14"/>
  <c r="F179" i="18"/>
  <c r="J179" i="18"/>
  <c r="AB179" i="18"/>
  <c r="X201" i="14"/>
  <c r="W201" i="14"/>
  <c r="Q201" i="14"/>
  <c r="T201" i="14"/>
  <c r="X200" i="14"/>
  <c r="V200" i="14"/>
  <c r="Q200" i="14"/>
  <c r="T200" i="14"/>
  <c r="X198" i="14"/>
  <c r="W198" i="14"/>
  <c r="Q198" i="14"/>
  <c r="T198" i="14"/>
  <c r="F178" i="18"/>
  <c r="J178" i="18"/>
  <c r="AB178" i="18"/>
  <c r="X197" i="14"/>
  <c r="W197" i="14"/>
  <c r="Q197" i="14"/>
  <c r="T197" i="14"/>
  <c r="F176" i="18"/>
  <c r="J176" i="18"/>
  <c r="AB176" i="18"/>
  <c r="W196" i="14"/>
  <c r="V196" i="14"/>
  <c r="Q196" i="14"/>
  <c r="T196" i="14"/>
  <c r="X195" i="14"/>
  <c r="V195" i="14"/>
  <c r="Q195" i="14"/>
  <c r="T195" i="14"/>
  <c r="X194" i="14"/>
  <c r="W194" i="14"/>
  <c r="Q194" i="14"/>
  <c r="T194" i="14"/>
  <c r="F173" i="18"/>
  <c r="J173" i="18"/>
  <c r="AB173" i="18"/>
  <c r="X193" i="14"/>
  <c r="W193" i="14"/>
  <c r="Q193" i="14"/>
  <c r="T193" i="14"/>
  <c r="X192" i="14"/>
  <c r="V192" i="14"/>
  <c r="Q192" i="14"/>
  <c r="T192" i="14"/>
  <c r="F172" i="18"/>
  <c r="J172" i="18"/>
  <c r="AC172" i="18"/>
  <c r="X191" i="14"/>
  <c r="V191" i="14"/>
  <c r="Q191" i="14"/>
  <c r="T191" i="14"/>
  <c r="F171" i="18"/>
  <c r="J171" i="18"/>
  <c r="AC171" i="18"/>
  <c r="W189" i="14"/>
  <c r="V189" i="14"/>
  <c r="Q189" i="14"/>
  <c r="T189" i="14"/>
  <c r="X188" i="14"/>
  <c r="V188" i="14"/>
  <c r="Q188" i="14"/>
  <c r="T188" i="14"/>
  <c r="F169" i="18"/>
  <c r="J169" i="18"/>
  <c r="AC169" i="18"/>
  <c r="X187" i="14"/>
  <c r="W187" i="14"/>
  <c r="Q187" i="14"/>
  <c r="T187" i="14"/>
  <c r="J168" i="18"/>
  <c r="AB168" i="18"/>
  <c r="X186" i="14"/>
  <c r="W186" i="14"/>
  <c r="X185" i="14"/>
  <c r="W185" i="14"/>
  <c r="Q185" i="14"/>
  <c r="T185" i="14"/>
  <c r="F166" i="18"/>
  <c r="J166" i="18"/>
  <c r="AB166" i="18"/>
  <c r="X184" i="14"/>
  <c r="W184" i="14"/>
  <c r="Q184" i="14"/>
  <c r="T184" i="14"/>
  <c r="F165" i="18"/>
  <c r="J165" i="18"/>
  <c r="AB165" i="18"/>
  <c r="X183" i="14"/>
  <c r="W183" i="14"/>
  <c r="Q183" i="14"/>
  <c r="T183" i="14"/>
  <c r="F164" i="18"/>
  <c r="J164" i="18"/>
  <c r="AB164" i="18"/>
  <c r="X182" i="14"/>
  <c r="W182" i="14"/>
  <c r="Q182" i="14"/>
  <c r="T182" i="14"/>
  <c r="F163" i="18"/>
  <c r="J163" i="18"/>
  <c r="AB163" i="18"/>
  <c r="X181" i="14"/>
  <c r="W181" i="14"/>
  <c r="Q181" i="14"/>
  <c r="T181" i="14"/>
  <c r="F162" i="18"/>
  <c r="J162" i="18"/>
  <c r="AB162" i="18"/>
  <c r="X180" i="14"/>
  <c r="W180" i="14"/>
  <c r="Q180" i="14"/>
  <c r="T180" i="14"/>
  <c r="F161" i="18"/>
  <c r="J161" i="18"/>
  <c r="AB161" i="18"/>
  <c r="X179" i="14"/>
  <c r="W179" i="14"/>
  <c r="Q179" i="14"/>
  <c r="T179" i="14"/>
  <c r="F160" i="18"/>
  <c r="J160" i="18"/>
  <c r="AB160" i="18"/>
  <c r="X178" i="14"/>
  <c r="V178" i="14"/>
  <c r="Q178" i="14"/>
  <c r="T178" i="14"/>
  <c r="X177" i="14"/>
  <c r="V177" i="14"/>
  <c r="Q177" i="14"/>
  <c r="T177" i="14"/>
  <c r="F159" i="18"/>
  <c r="J159" i="18"/>
  <c r="AC159" i="18"/>
  <c r="X176" i="14"/>
  <c r="V176" i="14"/>
  <c r="Q176" i="14"/>
  <c r="T176" i="14"/>
  <c r="F158" i="18"/>
  <c r="J158" i="18"/>
  <c r="AC158" i="18"/>
  <c r="X175" i="14"/>
  <c r="V175" i="14"/>
  <c r="Q175" i="14"/>
  <c r="T175" i="14"/>
  <c r="F157" i="18"/>
  <c r="J157" i="18"/>
  <c r="AC157" i="18"/>
  <c r="X174" i="14"/>
  <c r="V174" i="14"/>
  <c r="Q174" i="14"/>
  <c r="T174" i="14"/>
  <c r="F156" i="18"/>
  <c r="J156" i="18"/>
  <c r="AC156" i="18"/>
  <c r="X173" i="14"/>
  <c r="V173" i="14"/>
  <c r="Q173" i="14"/>
  <c r="T173" i="14"/>
  <c r="F155" i="18"/>
  <c r="J155" i="18"/>
  <c r="AC155" i="18"/>
  <c r="X172" i="14"/>
  <c r="W172" i="14"/>
  <c r="Q172" i="14"/>
  <c r="T172" i="14"/>
  <c r="X171" i="14"/>
  <c r="W171" i="14"/>
  <c r="Q171" i="14"/>
  <c r="T171" i="14"/>
  <c r="F154" i="18"/>
  <c r="J154" i="18"/>
  <c r="AB154" i="18"/>
  <c r="X170" i="14"/>
  <c r="W170" i="14"/>
  <c r="Q170" i="14"/>
  <c r="T170" i="14"/>
  <c r="F153" i="18"/>
  <c r="J153" i="18"/>
  <c r="AB153" i="18"/>
  <c r="X169" i="14"/>
  <c r="V169" i="14"/>
  <c r="X168" i="14"/>
  <c r="V168" i="14"/>
  <c r="Q168" i="14"/>
  <c r="T168" i="14"/>
  <c r="F151" i="18"/>
  <c r="J151" i="18"/>
  <c r="AC151" i="18"/>
  <c r="X167" i="14"/>
  <c r="W167" i="14"/>
  <c r="Q167" i="14"/>
  <c r="T167" i="14"/>
  <c r="X166" i="14"/>
  <c r="W166" i="14"/>
  <c r="Q166" i="14"/>
  <c r="T166" i="14"/>
  <c r="F150" i="18"/>
  <c r="J150" i="18"/>
  <c r="AB150" i="18"/>
  <c r="W165" i="14"/>
  <c r="V165" i="14"/>
  <c r="Q165" i="14"/>
  <c r="T165" i="14"/>
  <c r="F149" i="18"/>
  <c r="J149" i="18"/>
  <c r="AD149" i="18"/>
  <c r="X164" i="14"/>
  <c r="V164" i="14"/>
  <c r="Q164" i="14"/>
  <c r="T164" i="14"/>
  <c r="X163" i="14"/>
  <c r="W163" i="14"/>
  <c r="Q163" i="14"/>
  <c r="T163" i="14"/>
  <c r="X162" i="14"/>
  <c r="V162" i="14"/>
  <c r="Q162" i="14"/>
  <c r="T162" i="14"/>
  <c r="X161" i="14"/>
  <c r="W161" i="14"/>
  <c r="Q161" i="14"/>
  <c r="T161" i="14"/>
  <c r="X160" i="14"/>
  <c r="W160" i="14"/>
  <c r="Q160" i="14"/>
  <c r="T160" i="14"/>
  <c r="X159" i="14"/>
  <c r="V159" i="14"/>
  <c r="Q159" i="14"/>
  <c r="T159" i="14"/>
  <c r="F148" i="18"/>
  <c r="J148" i="18"/>
  <c r="AC148" i="18"/>
  <c r="X158" i="14"/>
  <c r="V158" i="14"/>
  <c r="Q158" i="14"/>
  <c r="T158" i="14"/>
  <c r="F147" i="18"/>
  <c r="J147" i="18"/>
  <c r="AC147" i="18"/>
  <c r="W157" i="14"/>
  <c r="V157" i="14"/>
  <c r="Q157" i="14"/>
  <c r="T157" i="14"/>
  <c r="F146" i="18"/>
  <c r="J146" i="18"/>
  <c r="AD146" i="18"/>
  <c r="X156" i="14"/>
  <c r="W156" i="14"/>
  <c r="Q156" i="14"/>
  <c r="T156" i="14"/>
  <c r="F145" i="18"/>
  <c r="J145" i="18"/>
  <c r="AB145" i="18"/>
  <c r="X155" i="14"/>
  <c r="W155" i="14"/>
  <c r="Q155" i="14"/>
  <c r="T155" i="14"/>
  <c r="F144" i="18"/>
  <c r="J144" i="18"/>
  <c r="AB144" i="18"/>
  <c r="X154" i="14"/>
  <c r="V154" i="14"/>
  <c r="Q154" i="14"/>
  <c r="T154" i="14"/>
  <c r="F143" i="18"/>
  <c r="J143" i="18"/>
  <c r="AC143" i="18"/>
  <c r="X153" i="14"/>
  <c r="V153" i="14"/>
  <c r="Q153" i="14"/>
  <c r="T153" i="14"/>
  <c r="F142" i="18"/>
  <c r="J142" i="18"/>
  <c r="AC142" i="18"/>
  <c r="X152" i="14"/>
  <c r="V152" i="14"/>
  <c r="Q152" i="14"/>
  <c r="T152" i="14"/>
  <c r="X151" i="14"/>
  <c r="V151" i="14"/>
  <c r="Q151" i="14"/>
  <c r="T151" i="14"/>
  <c r="W150" i="14"/>
  <c r="V150" i="14"/>
  <c r="Q150" i="14"/>
  <c r="T150" i="14"/>
  <c r="F141" i="18"/>
  <c r="J141" i="18"/>
  <c r="AD141" i="18"/>
  <c r="X149" i="14"/>
  <c r="W149" i="14"/>
  <c r="Q149" i="14"/>
  <c r="T149" i="14"/>
  <c r="F140" i="18"/>
  <c r="J140" i="18"/>
  <c r="AB140" i="18"/>
  <c r="X148" i="14"/>
  <c r="W148" i="14"/>
  <c r="Q148" i="14"/>
  <c r="AF148" i="14"/>
  <c r="X147" i="14"/>
  <c r="Q147" i="14"/>
  <c r="T147" i="14"/>
  <c r="V147" i="14"/>
  <c r="X146" i="14"/>
  <c r="V146" i="14"/>
  <c r="Q146" i="14"/>
  <c r="T146" i="14"/>
  <c r="F138" i="18"/>
  <c r="J138" i="18"/>
  <c r="AC138" i="18"/>
  <c r="X145" i="14"/>
  <c r="V145" i="14"/>
  <c r="Q145" i="14"/>
  <c r="T145" i="14"/>
  <c r="F137" i="18"/>
  <c r="J137" i="18"/>
  <c r="AC137" i="18"/>
  <c r="X144" i="14"/>
  <c r="W144" i="14"/>
  <c r="Q144" i="14"/>
  <c r="T144" i="14"/>
  <c r="F136" i="18"/>
  <c r="J136" i="18"/>
  <c r="AB136" i="18"/>
  <c r="X143" i="14"/>
  <c r="W143" i="14"/>
  <c r="Q143" i="14"/>
  <c r="T143" i="14"/>
  <c r="F135" i="18"/>
  <c r="J135" i="18"/>
  <c r="AB135" i="18"/>
  <c r="X142" i="14"/>
  <c r="W142" i="14"/>
  <c r="Q142" i="14"/>
  <c r="T142" i="14"/>
  <c r="F134" i="18"/>
  <c r="J134" i="18"/>
  <c r="AB134" i="18"/>
  <c r="X141" i="14"/>
  <c r="W141" i="14"/>
  <c r="Q141" i="14"/>
  <c r="T141" i="14"/>
  <c r="F133" i="18"/>
  <c r="J133" i="18"/>
  <c r="AB133" i="18"/>
  <c r="X140" i="14"/>
  <c r="W140" i="14"/>
  <c r="Q140" i="14"/>
  <c r="T140" i="14"/>
  <c r="F132" i="18"/>
  <c r="J132" i="18"/>
  <c r="AB132" i="18"/>
  <c r="X139" i="14"/>
  <c r="W139" i="14"/>
  <c r="Q139" i="14"/>
  <c r="T139" i="14"/>
  <c r="F131" i="18"/>
  <c r="J131" i="18"/>
  <c r="AB131" i="18"/>
  <c r="X138" i="14"/>
  <c r="W138" i="14"/>
  <c r="Q138" i="14"/>
  <c r="T138" i="14"/>
  <c r="F130" i="18"/>
  <c r="J130" i="18"/>
  <c r="AB130" i="18"/>
  <c r="X137" i="14"/>
  <c r="W137" i="14"/>
  <c r="Q137" i="14"/>
  <c r="T137" i="14"/>
  <c r="F129" i="18"/>
  <c r="J129" i="18"/>
  <c r="AB129" i="18"/>
  <c r="X136" i="14"/>
  <c r="W136" i="14"/>
  <c r="Q136" i="14"/>
  <c r="T136" i="14"/>
  <c r="F128" i="18"/>
  <c r="J128" i="18"/>
  <c r="AB128" i="18"/>
  <c r="X135" i="14"/>
  <c r="V135" i="14"/>
  <c r="Q135" i="14"/>
  <c r="T135" i="14"/>
  <c r="F127" i="18"/>
  <c r="J127" i="18"/>
  <c r="AC127" i="18"/>
  <c r="X134" i="14"/>
  <c r="W134" i="14"/>
  <c r="Q134" i="14"/>
  <c r="T134" i="14"/>
  <c r="F126" i="18"/>
  <c r="J126" i="18"/>
  <c r="AB126" i="18"/>
  <c r="X133" i="14"/>
  <c r="V133" i="14"/>
  <c r="Q133" i="14"/>
  <c r="T133" i="14"/>
  <c r="F125" i="18"/>
  <c r="J125" i="18"/>
  <c r="AC125" i="18"/>
  <c r="X132" i="14"/>
  <c r="V132" i="14"/>
  <c r="Q132" i="14"/>
  <c r="T132" i="14"/>
  <c r="F124" i="18"/>
  <c r="J124" i="18"/>
  <c r="AC124" i="18"/>
  <c r="W131" i="14"/>
  <c r="V131" i="14"/>
  <c r="Q131" i="14"/>
  <c r="AH131" i="14"/>
  <c r="X130" i="14"/>
  <c r="W130" i="14"/>
  <c r="Q130" i="14"/>
  <c r="T130" i="14"/>
  <c r="F122" i="18"/>
  <c r="J122" i="18"/>
  <c r="AB122" i="18"/>
  <c r="X129" i="14"/>
  <c r="V129" i="14"/>
  <c r="Q129" i="14"/>
  <c r="T129" i="14"/>
  <c r="F121" i="18"/>
  <c r="J121" i="18"/>
  <c r="AC121" i="18"/>
  <c r="X128" i="14"/>
  <c r="W128" i="14"/>
  <c r="Q128" i="14"/>
  <c r="T128" i="14"/>
  <c r="F120" i="18"/>
  <c r="J120" i="18"/>
  <c r="AB120" i="18"/>
  <c r="X127" i="14"/>
  <c r="W127" i="14"/>
  <c r="Q127" i="14"/>
  <c r="T127" i="14"/>
  <c r="X126" i="14"/>
  <c r="W126" i="14"/>
  <c r="Q126" i="14"/>
  <c r="T126" i="14"/>
  <c r="F119" i="18"/>
  <c r="J119" i="18"/>
  <c r="AB119" i="18"/>
  <c r="X125" i="14"/>
  <c r="V125" i="14"/>
  <c r="Q125" i="14"/>
  <c r="T125" i="14"/>
  <c r="F118" i="18"/>
  <c r="J118" i="18"/>
  <c r="AC118" i="18"/>
  <c r="X124" i="14"/>
  <c r="V124" i="14"/>
  <c r="Q124" i="14"/>
  <c r="T124" i="14"/>
  <c r="F117" i="18"/>
  <c r="J117" i="18"/>
  <c r="AC117" i="18"/>
  <c r="X123" i="14"/>
  <c r="W123" i="14"/>
  <c r="Q123" i="14"/>
  <c r="T123" i="14"/>
  <c r="F116" i="18"/>
  <c r="J116" i="18"/>
  <c r="AB116" i="18"/>
  <c r="X122" i="14"/>
  <c r="W122" i="14"/>
  <c r="Q122" i="14"/>
  <c r="T122" i="14"/>
  <c r="F115" i="18"/>
  <c r="J115" i="18"/>
  <c r="AB115" i="18"/>
  <c r="X121" i="14"/>
  <c r="W121" i="14"/>
  <c r="Q121" i="14"/>
  <c r="T121" i="14"/>
  <c r="F114" i="18"/>
  <c r="J114" i="18"/>
  <c r="AB114" i="18"/>
  <c r="X120" i="14"/>
  <c r="W120" i="14"/>
  <c r="Q120" i="14"/>
  <c r="T120" i="14"/>
  <c r="F113" i="18"/>
  <c r="J113" i="18"/>
  <c r="AB113" i="18"/>
  <c r="X119" i="14"/>
  <c r="W119" i="14"/>
  <c r="Q119" i="14"/>
  <c r="T119" i="14"/>
  <c r="F112" i="18"/>
  <c r="J112" i="18"/>
  <c r="AB112" i="18"/>
  <c r="X118" i="14"/>
  <c r="W118" i="14"/>
  <c r="Q118" i="14"/>
  <c r="T118" i="14"/>
  <c r="F111" i="18"/>
  <c r="J111" i="18"/>
  <c r="AB111" i="18"/>
  <c r="X117" i="14"/>
  <c r="W117" i="14"/>
  <c r="Q117" i="14"/>
  <c r="T117" i="14"/>
  <c r="F110" i="18"/>
  <c r="J110" i="18"/>
  <c r="AB110" i="18"/>
  <c r="X116" i="14"/>
  <c r="W116" i="14"/>
  <c r="Q116" i="14"/>
  <c r="T116" i="14"/>
  <c r="F109" i="18"/>
  <c r="J109" i="18"/>
  <c r="AB109" i="18"/>
  <c r="X115" i="14"/>
  <c r="W115" i="14"/>
  <c r="Q115" i="14"/>
  <c r="T115" i="14"/>
  <c r="F108" i="18"/>
  <c r="J108" i="18"/>
  <c r="AB108" i="18"/>
  <c r="X114" i="14"/>
  <c r="W114" i="14"/>
  <c r="Q114" i="14"/>
  <c r="T114" i="14"/>
  <c r="F107" i="18"/>
  <c r="J107" i="18"/>
  <c r="AB107" i="18"/>
  <c r="X113" i="14"/>
  <c r="W113" i="14"/>
  <c r="Q113" i="14"/>
  <c r="T113" i="14"/>
  <c r="F106" i="18"/>
  <c r="J106" i="18"/>
  <c r="AB106" i="18"/>
  <c r="X112" i="14"/>
  <c r="W112" i="14"/>
  <c r="Q112" i="14"/>
  <c r="T112" i="14"/>
  <c r="F105" i="18"/>
  <c r="J105" i="18"/>
  <c r="AB105" i="18"/>
  <c r="X111" i="14"/>
  <c r="W111" i="14"/>
  <c r="Q111" i="14"/>
  <c r="T111" i="14"/>
  <c r="F104" i="18"/>
  <c r="J104" i="18"/>
  <c r="AB104" i="18"/>
  <c r="I256" i="14"/>
  <c r="X110" i="14"/>
  <c r="W110" i="14"/>
  <c r="Q110" i="14"/>
  <c r="T110" i="14"/>
  <c r="F103" i="18"/>
  <c r="J103" i="18"/>
  <c r="AB103" i="18"/>
  <c r="X109" i="14"/>
  <c r="W109" i="14"/>
  <c r="Q109" i="14"/>
  <c r="T109" i="14"/>
  <c r="F102" i="18"/>
  <c r="J102" i="18"/>
  <c r="AB102" i="18"/>
  <c r="X108" i="14"/>
  <c r="W108" i="14"/>
  <c r="Q108" i="14"/>
  <c r="T108" i="14"/>
  <c r="F101" i="18"/>
  <c r="J101" i="18"/>
  <c r="AB101" i="18"/>
  <c r="X107" i="14"/>
  <c r="W107" i="14"/>
  <c r="Q107" i="14"/>
  <c r="T107" i="14"/>
  <c r="F100" i="18"/>
  <c r="J100" i="18"/>
  <c r="AB100" i="18"/>
  <c r="X106" i="14"/>
  <c r="W106" i="14"/>
  <c r="Q106" i="14"/>
  <c r="T106" i="14"/>
  <c r="F99" i="18"/>
  <c r="J99" i="18"/>
  <c r="AB99" i="18"/>
  <c r="X105" i="14"/>
  <c r="W105" i="14"/>
  <c r="Q105" i="14"/>
  <c r="T105" i="14"/>
  <c r="F98" i="18"/>
  <c r="J98" i="18"/>
  <c r="AB98" i="18"/>
  <c r="X104" i="14"/>
  <c r="W104" i="14"/>
  <c r="Q104" i="14"/>
  <c r="T104" i="14"/>
  <c r="F97" i="18"/>
  <c r="J97" i="18"/>
  <c r="AB97" i="18"/>
  <c r="X103" i="14"/>
  <c r="V103" i="14"/>
  <c r="Q103" i="14"/>
  <c r="T103" i="14"/>
  <c r="F96" i="18"/>
  <c r="J96" i="18"/>
  <c r="AC96" i="18"/>
  <c r="X102" i="14"/>
  <c r="V102" i="14"/>
  <c r="Q102" i="14"/>
  <c r="T102" i="14"/>
  <c r="F95" i="18"/>
  <c r="J95" i="18"/>
  <c r="AC95" i="18"/>
  <c r="X101" i="14"/>
  <c r="V101" i="14"/>
  <c r="Q101" i="14"/>
  <c r="T101" i="14"/>
  <c r="F94" i="18"/>
  <c r="J94" i="18"/>
  <c r="AC94" i="18"/>
  <c r="X100" i="14"/>
  <c r="W100" i="14"/>
  <c r="Q100" i="14"/>
  <c r="T100" i="14"/>
  <c r="F93" i="18"/>
  <c r="J93" i="18"/>
  <c r="AB93" i="18"/>
  <c r="X99" i="14"/>
  <c r="V99" i="14"/>
  <c r="Q99" i="14"/>
  <c r="T99" i="14"/>
  <c r="F92" i="18"/>
  <c r="J92" i="18"/>
  <c r="AC92" i="18"/>
  <c r="X98" i="14"/>
  <c r="W98" i="14"/>
  <c r="Q98" i="14"/>
  <c r="T98" i="14"/>
  <c r="X97" i="14"/>
  <c r="V97" i="14"/>
  <c r="Q97" i="14"/>
  <c r="T97" i="14"/>
  <c r="F91" i="18"/>
  <c r="J91" i="18"/>
  <c r="AC91" i="18"/>
  <c r="X96" i="14"/>
  <c r="V96" i="14"/>
  <c r="Q96" i="14"/>
  <c r="T96" i="14"/>
  <c r="W95" i="14"/>
  <c r="V95" i="14"/>
  <c r="Q95" i="14"/>
  <c r="T95" i="14"/>
  <c r="F90" i="18"/>
  <c r="J90" i="18"/>
  <c r="AD90" i="18"/>
  <c r="W94" i="14"/>
  <c r="V94" i="14"/>
  <c r="Q94" i="14"/>
  <c r="T94" i="14"/>
  <c r="F89" i="18"/>
  <c r="J89" i="18"/>
  <c r="AD89" i="18"/>
  <c r="X93" i="14"/>
  <c r="W93" i="14"/>
  <c r="Q93" i="14"/>
  <c r="T93" i="14"/>
  <c r="F88" i="18"/>
  <c r="J88" i="18"/>
  <c r="AB88" i="18"/>
  <c r="X92" i="14"/>
  <c r="W92" i="14"/>
  <c r="Q92" i="14"/>
  <c r="T92" i="14"/>
  <c r="F87" i="18"/>
  <c r="J87" i="18"/>
  <c r="AB87" i="18"/>
  <c r="X91" i="14"/>
  <c r="W91" i="14"/>
  <c r="Q91" i="14"/>
  <c r="T91" i="14"/>
  <c r="F86" i="18"/>
  <c r="J86" i="18"/>
  <c r="AB86" i="18"/>
  <c r="X90" i="14"/>
  <c r="W90" i="14"/>
  <c r="Q90" i="14"/>
  <c r="T90" i="14"/>
  <c r="F85" i="18"/>
  <c r="J85" i="18"/>
  <c r="AB85" i="18"/>
  <c r="X89" i="14"/>
  <c r="W89" i="14"/>
  <c r="Q89" i="14"/>
  <c r="T89" i="14"/>
  <c r="F84" i="18"/>
  <c r="J84" i="18"/>
  <c r="AB84" i="18"/>
  <c r="X88" i="14"/>
  <c r="W88" i="14"/>
  <c r="Q88" i="14"/>
  <c r="T88" i="14"/>
  <c r="F83" i="18"/>
  <c r="J83" i="18"/>
  <c r="AB83" i="18"/>
  <c r="X87" i="14"/>
  <c r="V87" i="14"/>
  <c r="Q87" i="14"/>
  <c r="T87" i="14"/>
  <c r="F82" i="18"/>
  <c r="J82" i="18"/>
  <c r="AC82" i="18"/>
  <c r="X86" i="14"/>
  <c r="V86" i="14"/>
  <c r="Q86" i="14"/>
  <c r="T86" i="14"/>
  <c r="F81" i="18"/>
  <c r="J81" i="18"/>
  <c r="AC81" i="18"/>
  <c r="X85" i="14"/>
  <c r="Q85" i="14"/>
  <c r="T85" i="14"/>
  <c r="F80" i="18"/>
  <c r="J80" i="18"/>
  <c r="AC80" i="18"/>
  <c r="V85" i="14"/>
  <c r="X84" i="14"/>
  <c r="W84" i="14"/>
  <c r="Q84" i="14"/>
  <c r="T84" i="14"/>
  <c r="F79" i="18"/>
  <c r="J79" i="18"/>
  <c r="AB79" i="18"/>
  <c r="X83" i="14"/>
  <c r="V83" i="14"/>
  <c r="Q83" i="14"/>
  <c r="T83" i="14"/>
  <c r="X82" i="14"/>
  <c r="V82" i="14"/>
  <c r="Q82" i="14"/>
  <c r="T82" i="14"/>
  <c r="F78" i="18"/>
  <c r="J78" i="18"/>
  <c r="AC78" i="18"/>
  <c r="X81" i="14"/>
  <c r="V81" i="14"/>
  <c r="Q81" i="14"/>
  <c r="T81" i="14"/>
  <c r="F77" i="18"/>
  <c r="J77" i="18"/>
  <c r="AC77" i="18"/>
  <c r="X80" i="14"/>
  <c r="W80" i="14"/>
  <c r="Q80" i="14"/>
  <c r="T80" i="14"/>
  <c r="F76" i="18"/>
  <c r="J76" i="18"/>
  <c r="AB76" i="18"/>
  <c r="X79" i="14"/>
  <c r="W79" i="14"/>
  <c r="Q79" i="14"/>
  <c r="T79" i="14"/>
  <c r="F75" i="18"/>
  <c r="J75" i="18"/>
  <c r="AB75" i="18"/>
  <c r="X78" i="14"/>
  <c r="V78" i="14"/>
  <c r="Q78" i="14"/>
  <c r="T78" i="14"/>
  <c r="F74" i="18"/>
  <c r="J74" i="18"/>
  <c r="AC74" i="18"/>
  <c r="X77" i="14"/>
  <c r="V77" i="14"/>
  <c r="Q77" i="14"/>
  <c r="T77" i="14"/>
  <c r="X76" i="14"/>
  <c r="W76" i="14"/>
  <c r="Q76" i="14"/>
  <c r="T76" i="14"/>
  <c r="F73" i="18"/>
  <c r="J73" i="18"/>
  <c r="AB73" i="18"/>
  <c r="X75" i="14"/>
  <c r="W75" i="14"/>
  <c r="Q75" i="14"/>
  <c r="T75" i="14"/>
  <c r="F72" i="18"/>
  <c r="J72" i="18"/>
  <c r="AB72" i="18"/>
  <c r="X74" i="14"/>
  <c r="W74" i="14"/>
  <c r="Q74" i="14"/>
  <c r="T74" i="14"/>
  <c r="F71" i="18"/>
  <c r="J71" i="18"/>
  <c r="AB71" i="18"/>
  <c r="X73" i="14"/>
  <c r="W73" i="14"/>
  <c r="Q73" i="14"/>
  <c r="T73" i="14"/>
  <c r="F70" i="18"/>
  <c r="J70" i="18"/>
  <c r="AB70" i="18"/>
  <c r="X72" i="14"/>
  <c r="W72" i="14"/>
  <c r="Q72" i="14"/>
  <c r="T72" i="14"/>
  <c r="F69" i="18"/>
  <c r="J69" i="18"/>
  <c r="AB69" i="18"/>
  <c r="X71" i="14"/>
  <c r="W71" i="14"/>
  <c r="X70" i="14"/>
  <c r="W70" i="14"/>
  <c r="Q70" i="14"/>
  <c r="T70" i="14"/>
  <c r="F67" i="18"/>
  <c r="J67" i="18"/>
  <c r="AB67" i="18"/>
  <c r="X68" i="14"/>
  <c r="W68" i="14"/>
  <c r="Q68" i="14"/>
  <c r="T68" i="14"/>
  <c r="F65" i="18"/>
  <c r="J65" i="18"/>
  <c r="AB65" i="18"/>
  <c r="X67" i="14"/>
  <c r="W67" i="14"/>
  <c r="Q67" i="14"/>
  <c r="T67" i="14"/>
  <c r="F64" i="18"/>
  <c r="J64" i="18"/>
  <c r="AB64" i="18"/>
  <c r="X66" i="14"/>
  <c r="W66" i="14"/>
  <c r="Q66" i="14"/>
  <c r="AF66" i="14"/>
  <c r="X65" i="14"/>
  <c r="W65" i="14"/>
  <c r="Q65" i="14"/>
  <c r="T65" i="14"/>
  <c r="F62" i="18"/>
  <c r="J62" i="18"/>
  <c r="AB62" i="18"/>
  <c r="X64" i="14"/>
  <c r="W64" i="14"/>
  <c r="Q64" i="14"/>
  <c r="T64" i="14"/>
  <c r="F61" i="18"/>
  <c r="J61" i="18"/>
  <c r="AB61" i="18"/>
  <c r="X63" i="14"/>
  <c r="W63" i="14"/>
  <c r="Q63" i="14"/>
  <c r="T63" i="14"/>
  <c r="F60" i="18"/>
  <c r="J60" i="18"/>
  <c r="AB60" i="18"/>
  <c r="X62" i="14"/>
  <c r="W62" i="14"/>
  <c r="Q62" i="14"/>
  <c r="T62" i="14"/>
  <c r="F59" i="18"/>
  <c r="J59" i="18"/>
  <c r="AB59" i="18"/>
  <c r="X61" i="14"/>
  <c r="W61" i="14"/>
  <c r="Q61" i="14"/>
  <c r="T61" i="14"/>
  <c r="F58" i="18"/>
  <c r="J58" i="18"/>
  <c r="AB58" i="18"/>
  <c r="X60" i="14"/>
  <c r="W60" i="14"/>
  <c r="Q60" i="14"/>
  <c r="T60" i="14"/>
  <c r="F57" i="18"/>
  <c r="J57" i="18"/>
  <c r="AB57" i="18"/>
  <c r="X59" i="14"/>
  <c r="V59" i="14"/>
  <c r="Q59" i="14"/>
  <c r="T59" i="14"/>
  <c r="X58" i="14"/>
  <c r="V58" i="14"/>
  <c r="Q58" i="14"/>
  <c r="T58" i="14"/>
  <c r="F55" i="18"/>
  <c r="J55" i="18"/>
  <c r="AC55" i="18"/>
  <c r="X57" i="14"/>
  <c r="V57" i="14"/>
  <c r="Q57" i="14"/>
  <c r="T57" i="14"/>
  <c r="W55" i="14"/>
  <c r="V55" i="14"/>
  <c r="Q55" i="14"/>
  <c r="T55" i="14"/>
  <c r="F53" i="18"/>
  <c r="J53" i="18"/>
  <c r="AD53" i="18"/>
  <c r="X54" i="14"/>
  <c r="V54" i="14"/>
  <c r="Q54" i="14"/>
  <c r="T54" i="14"/>
  <c r="F52" i="18"/>
  <c r="J52" i="18"/>
  <c r="AC52" i="18"/>
  <c r="X53" i="14"/>
  <c r="V53" i="14"/>
  <c r="Q53" i="14"/>
  <c r="T53" i="14"/>
  <c r="F51" i="18"/>
  <c r="J51" i="18"/>
  <c r="AC51" i="18"/>
  <c r="X52" i="14"/>
  <c r="V52" i="14"/>
  <c r="Q52" i="14"/>
  <c r="T52" i="14"/>
  <c r="F50" i="18"/>
  <c r="J50" i="18"/>
  <c r="AC50" i="18"/>
  <c r="X51" i="14"/>
  <c r="V51" i="14"/>
  <c r="Q51" i="14"/>
  <c r="T51" i="14"/>
  <c r="F49" i="18"/>
  <c r="J49" i="18"/>
  <c r="AC49" i="18"/>
  <c r="X50" i="14"/>
  <c r="V50" i="14"/>
  <c r="Q50" i="14"/>
  <c r="T50" i="14"/>
  <c r="F48" i="18"/>
  <c r="J48" i="18"/>
  <c r="AC48" i="18"/>
  <c r="X49" i="14"/>
  <c r="W49" i="14"/>
  <c r="Q49" i="14"/>
  <c r="T49" i="14"/>
  <c r="F47" i="18"/>
  <c r="J47" i="18"/>
  <c r="AB47" i="18"/>
  <c r="X48" i="14"/>
  <c r="W48" i="14"/>
  <c r="Q48" i="14"/>
  <c r="T48" i="14"/>
  <c r="F46" i="18"/>
  <c r="J46" i="18"/>
  <c r="AB46" i="18"/>
  <c r="X47" i="14"/>
  <c r="W47" i="14"/>
  <c r="Q47" i="14"/>
  <c r="T47" i="14"/>
  <c r="F45" i="18"/>
  <c r="J45" i="18"/>
  <c r="AB45" i="18"/>
  <c r="X46" i="14"/>
  <c r="V46" i="14"/>
  <c r="Q46" i="14"/>
  <c r="T46" i="14"/>
  <c r="F44" i="18"/>
  <c r="J44" i="18"/>
  <c r="AC44" i="18"/>
  <c r="X45" i="14"/>
  <c r="W45" i="14"/>
  <c r="Q45" i="14"/>
  <c r="T45" i="14"/>
  <c r="F43" i="18"/>
  <c r="J43" i="18"/>
  <c r="AB43" i="18"/>
  <c r="X44" i="14"/>
  <c r="W44" i="14"/>
  <c r="Q44" i="14"/>
  <c r="T44" i="14"/>
  <c r="F42" i="18"/>
  <c r="J42" i="18"/>
  <c r="AB42" i="18"/>
  <c r="X43" i="14"/>
  <c r="V43" i="14"/>
  <c r="Q43" i="14"/>
  <c r="T43" i="14"/>
  <c r="X42" i="14"/>
  <c r="V42" i="14"/>
  <c r="Q42" i="14"/>
  <c r="T42" i="14"/>
  <c r="F41" i="18"/>
  <c r="J41" i="18"/>
  <c r="AC41" i="18"/>
  <c r="X41" i="14"/>
  <c r="W41" i="14"/>
  <c r="Q41" i="14"/>
  <c r="T41" i="14"/>
  <c r="X40" i="14"/>
  <c r="W40" i="14"/>
  <c r="Q40" i="14"/>
  <c r="AF40" i="14"/>
  <c r="W39" i="14"/>
  <c r="V39" i="14"/>
  <c r="Q39" i="14"/>
  <c r="T39" i="14"/>
  <c r="F39" i="18"/>
  <c r="J39" i="18"/>
  <c r="AD39" i="18"/>
  <c r="X38" i="14"/>
  <c r="W38" i="14"/>
  <c r="Q38" i="14"/>
  <c r="T38" i="14"/>
  <c r="F38" i="18"/>
  <c r="J38" i="18"/>
  <c r="AB38" i="18"/>
  <c r="X37" i="14"/>
  <c r="W37" i="14"/>
  <c r="Q37" i="14"/>
  <c r="T37" i="14"/>
  <c r="F37" i="18"/>
  <c r="J37" i="18"/>
  <c r="AB37" i="18"/>
  <c r="X36" i="14"/>
  <c r="W36" i="14"/>
  <c r="Q36" i="14"/>
  <c r="T36" i="14"/>
  <c r="F36" i="18"/>
  <c r="J36" i="18"/>
  <c r="AB36" i="18"/>
  <c r="X35" i="14"/>
  <c r="W35" i="14"/>
  <c r="Q35" i="14"/>
  <c r="T35" i="14"/>
  <c r="F35" i="18"/>
  <c r="J35" i="18"/>
  <c r="AB35" i="18"/>
  <c r="X34" i="14"/>
  <c r="W34" i="14"/>
  <c r="Q34" i="14"/>
  <c r="T34" i="14"/>
  <c r="F34" i="18"/>
  <c r="J34" i="18"/>
  <c r="AB34" i="18"/>
  <c r="X33" i="14"/>
  <c r="W33" i="14"/>
  <c r="Q33" i="14"/>
  <c r="T33" i="14"/>
  <c r="F33" i="18"/>
  <c r="J33" i="18"/>
  <c r="AB33" i="18"/>
  <c r="X32" i="14"/>
  <c r="W32" i="14"/>
  <c r="Q32" i="14"/>
  <c r="T32" i="14"/>
  <c r="F32" i="18"/>
  <c r="J32" i="18"/>
  <c r="AB32" i="18"/>
  <c r="X31" i="14"/>
  <c r="W31" i="14"/>
  <c r="Q31" i="14"/>
  <c r="T31" i="14"/>
  <c r="F31" i="18"/>
  <c r="J31" i="18"/>
  <c r="AB31" i="18"/>
  <c r="X30" i="14"/>
  <c r="W30" i="14"/>
  <c r="Q30" i="14"/>
  <c r="T30" i="14"/>
  <c r="F30" i="18"/>
  <c r="J30" i="18"/>
  <c r="AB30" i="18"/>
  <c r="X29" i="14"/>
  <c r="V29" i="14"/>
  <c r="Q29" i="14"/>
  <c r="T29" i="14"/>
  <c r="F29" i="18"/>
  <c r="J29" i="18"/>
  <c r="AC29" i="18"/>
  <c r="X27" i="14"/>
  <c r="W27" i="14"/>
  <c r="Q27" i="14"/>
  <c r="T27" i="14"/>
  <c r="F27" i="18"/>
  <c r="J27" i="18"/>
  <c r="AB27" i="18"/>
  <c r="X26" i="14"/>
  <c r="W26" i="14"/>
  <c r="Q26" i="14"/>
  <c r="T26" i="14"/>
  <c r="F26" i="18"/>
  <c r="J26" i="18"/>
  <c r="AB26" i="18"/>
  <c r="X25" i="14"/>
  <c r="V25" i="14"/>
  <c r="Q25" i="14"/>
  <c r="T25" i="14"/>
  <c r="F25" i="18"/>
  <c r="J25" i="18"/>
  <c r="AC25" i="18"/>
  <c r="X24" i="14"/>
  <c r="V24" i="14"/>
  <c r="Q24" i="14"/>
  <c r="T24" i="14"/>
  <c r="F24" i="18"/>
  <c r="J24" i="18"/>
  <c r="AC24" i="18"/>
  <c r="X23" i="14"/>
  <c r="V23" i="14"/>
  <c r="Q23" i="14"/>
  <c r="T23" i="14"/>
  <c r="F23" i="18"/>
  <c r="J23" i="18"/>
  <c r="AC23" i="18"/>
  <c r="X22" i="14"/>
  <c r="W22" i="14"/>
  <c r="Q22" i="14"/>
  <c r="T22" i="14"/>
  <c r="F22" i="18"/>
  <c r="J22" i="18"/>
  <c r="AB22" i="18"/>
  <c r="X21" i="14"/>
  <c r="W21" i="14"/>
  <c r="Q21" i="14"/>
  <c r="T21" i="14"/>
  <c r="F21" i="18"/>
  <c r="J21" i="18"/>
  <c r="AB21" i="18"/>
  <c r="X20" i="14"/>
  <c r="W20" i="14"/>
  <c r="Q20" i="14"/>
  <c r="T20" i="14"/>
  <c r="F20" i="18"/>
  <c r="J20" i="18"/>
  <c r="AB20" i="18"/>
  <c r="X19" i="14"/>
  <c r="V19" i="14"/>
  <c r="Q19" i="14"/>
  <c r="T19" i="14"/>
  <c r="F19" i="18"/>
  <c r="J19" i="18"/>
  <c r="AC19" i="18"/>
  <c r="X18" i="14"/>
  <c r="V18" i="14"/>
  <c r="Q18" i="14"/>
  <c r="T18" i="14"/>
  <c r="X17" i="14"/>
  <c r="W17" i="14"/>
  <c r="Q17" i="14"/>
  <c r="T17" i="14"/>
  <c r="F17" i="18"/>
  <c r="J17" i="18"/>
  <c r="AB17" i="18"/>
  <c r="AH16" i="14"/>
  <c r="AF16" i="14"/>
  <c r="X16" i="14"/>
  <c r="V16" i="14"/>
  <c r="Q16" i="14"/>
  <c r="T16" i="14"/>
  <c r="F16" i="18"/>
  <c r="J16" i="18"/>
  <c r="AC16" i="18"/>
  <c r="AF91" i="14"/>
  <c r="AF72" i="14"/>
  <c r="V116" i="14"/>
  <c r="AF139" i="14"/>
  <c r="X228" i="14"/>
  <c r="V229" i="14"/>
  <c r="AA229" i="14"/>
  <c r="AF229" i="14"/>
  <c r="X237" i="14"/>
  <c r="AF238" i="14"/>
  <c r="AF239" i="14"/>
  <c r="V244" i="14"/>
  <c r="AF244" i="14"/>
  <c r="V246" i="14"/>
  <c r="AF246" i="14"/>
  <c r="V248" i="14"/>
  <c r="AF248" i="14"/>
  <c r="AF249" i="14"/>
  <c r="X250" i="14"/>
  <c r="AH250" i="14"/>
  <c r="X252" i="14"/>
  <c r="AH252" i="14"/>
  <c r="AF253" i="14"/>
  <c r="W235" i="14"/>
  <c r="AF90" i="14"/>
  <c r="AG135" i="14"/>
  <c r="AF155" i="14"/>
  <c r="AF166" i="14"/>
  <c r="W188" i="14"/>
  <c r="AA188" i="14"/>
  <c r="W191" i="14"/>
  <c r="AA191" i="14"/>
  <c r="W192" i="14"/>
  <c r="AA192" i="14"/>
  <c r="AG200" i="14"/>
  <c r="AG207" i="14"/>
  <c r="W208" i="14"/>
  <c r="W209" i="14"/>
  <c r="AA209" i="14"/>
  <c r="AG210" i="14"/>
  <c r="AG211" i="14"/>
  <c r="AG213" i="14"/>
  <c r="AG214" i="14"/>
  <c r="W219" i="14"/>
  <c r="AG220" i="14"/>
  <c r="AG221" i="14"/>
  <c r="AG223" i="14"/>
  <c r="AG224" i="14"/>
  <c r="X225" i="14"/>
  <c r="AH232" i="14"/>
  <c r="AF233" i="14"/>
  <c r="AF234" i="14"/>
  <c r="V28" i="14"/>
  <c r="AF28" i="14"/>
  <c r="W243" i="14"/>
  <c r="AA243" i="14"/>
  <c r="X131" i="14"/>
  <c r="W195" i="14"/>
  <c r="AA195" i="14"/>
  <c r="W236" i="14"/>
  <c r="AA236" i="14"/>
  <c r="W240" i="14"/>
  <c r="W242" i="14"/>
  <c r="AA242" i="14"/>
  <c r="W254" i="14"/>
  <c r="M257" i="14"/>
  <c r="J264" i="14"/>
  <c r="E256" i="14"/>
  <c r="V134" i="14"/>
  <c r="W169" i="14"/>
  <c r="V185" i="14"/>
  <c r="AA185" i="14"/>
  <c r="V197" i="14"/>
  <c r="V204" i="14"/>
  <c r="V182" i="14"/>
  <c r="V186" i="14"/>
  <c r="V194" i="14"/>
  <c r="AA194" i="14"/>
  <c r="V205" i="14"/>
  <c r="V215" i="14"/>
  <c r="V231" i="14"/>
  <c r="L229" i="11"/>
  <c r="H65" i="16"/>
  <c r="I193" i="15"/>
  <c r="I192" i="15"/>
  <c r="R194" i="11"/>
  <c r="I141" i="15"/>
  <c r="I120" i="15"/>
  <c r="I109" i="15"/>
  <c r="E97" i="15"/>
  <c r="E221" i="15"/>
  <c r="R145" i="11"/>
  <c r="R227" i="11"/>
  <c r="E154" i="15"/>
  <c r="J257" i="15"/>
  <c r="E105" i="15"/>
  <c r="AH241" i="15"/>
  <c r="AF241" i="15"/>
  <c r="AH240" i="15"/>
  <c r="AG240" i="15"/>
  <c r="AH239" i="15"/>
  <c r="AF239" i="15"/>
  <c r="AH238" i="15"/>
  <c r="AF238" i="15"/>
  <c r="AH237" i="15"/>
  <c r="AF237" i="15"/>
  <c r="AH236" i="15"/>
  <c r="AF236" i="15"/>
  <c r="AH235" i="15"/>
  <c r="AG235" i="15"/>
  <c r="AH234" i="15"/>
  <c r="AG234" i="15"/>
  <c r="AG233" i="15"/>
  <c r="AF233" i="15"/>
  <c r="AH232" i="15"/>
  <c r="AF232" i="15"/>
  <c r="AH231" i="15"/>
  <c r="AF231" i="15"/>
  <c r="AH230" i="15"/>
  <c r="AG230" i="15"/>
  <c r="AH229" i="15"/>
  <c r="AG229" i="15"/>
  <c r="AG228" i="15"/>
  <c r="AH227" i="15"/>
  <c r="AG227" i="15"/>
  <c r="AH226" i="15"/>
  <c r="AG226" i="15"/>
  <c r="AH225" i="15"/>
  <c r="AG225" i="15"/>
  <c r="AG224" i="15"/>
  <c r="AF224" i="15"/>
  <c r="AH223" i="15"/>
  <c r="AG223" i="15"/>
  <c r="AH222" i="15"/>
  <c r="AF222" i="15"/>
  <c r="AG221" i="15"/>
  <c r="AF221" i="15"/>
  <c r="AH220" i="15"/>
  <c r="AF220" i="15"/>
  <c r="AH219" i="15"/>
  <c r="AF219" i="15"/>
  <c r="AH218" i="15"/>
  <c r="AF218" i="15"/>
  <c r="AH217" i="15"/>
  <c r="AF217" i="15"/>
  <c r="AH216" i="15"/>
  <c r="AF216" i="15"/>
  <c r="AH215" i="15"/>
  <c r="AF215" i="15"/>
  <c r="AH214" i="15"/>
  <c r="AF214" i="15"/>
  <c r="AH213" i="15"/>
  <c r="AG213" i="15"/>
  <c r="AH212" i="15"/>
  <c r="AG212" i="15"/>
  <c r="AH211" i="15"/>
  <c r="AG211" i="15"/>
  <c r="AH210" i="15"/>
  <c r="AF210" i="15"/>
  <c r="AC248" i="15"/>
  <c r="AB248" i="15"/>
  <c r="AC247" i="15"/>
  <c r="AB247" i="15"/>
  <c r="AC246" i="15"/>
  <c r="AB246" i="15"/>
  <c r="AD245" i="15"/>
  <c r="AC245" i="15"/>
  <c r="AD244" i="15"/>
  <c r="AC244" i="15"/>
  <c r="AD243" i="15"/>
  <c r="AC243" i="15"/>
  <c r="AD242" i="15"/>
  <c r="AC242" i="15"/>
  <c r="AD241" i="15"/>
  <c r="AB241" i="15"/>
  <c r="AD240" i="15"/>
  <c r="AC240" i="15"/>
  <c r="AD239" i="15"/>
  <c r="AB239" i="15"/>
  <c r="AD238" i="15"/>
  <c r="AB238" i="15"/>
  <c r="AD237" i="15"/>
  <c r="AB237" i="15"/>
  <c r="AD236" i="15"/>
  <c r="AB236" i="15"/>
  <c r="AD235" i="15"/>
  <c r="AC235" i="15"/>
  <c r="AD234" i="15"/>
  <c r="AC234" i="15"/>
  <c r="AC233" i="15"/>
  <c r="AB233" i="15"/>
  <c r="AD232" i="15"/>
  <c r="AB232" i="15"/>
  <c r="AD231" i="15"/>
  <c r="AB231" i="15"/>
  <c r="AD230" i="15"/>
  <c r="AC230" i="15"/>
  <c r="AD229" i="15"/>
  <c r="AC229" i="15"/>
  <c r="AC228" i="15"/>
  <c r="AD227" i="15"/>
  <c r="AC227" i="15"/>
  <c r="AD226" i="15"/>
  <c r="AC226" i="15"/>
  <c r="AD225" i="15"/>
  <c r="AC225" i="15"/>
  <c r="AC224" i="15"/>
  <c r="AB224" i="15"/>
  <c r="AD223" i="15"/>
  <c r="AC223" i="15"/>
  <c r="AD222" i="15"/>
  <c r="AB222" i="15"/>
  <c r="AC221" i="15"/>
  <c r="AB221" i="15"/>
  <c r="AD220" i="15"/>
  <c r="AB220" i="15"/>
  <c r="AD219" i="15"/>
  <c r="AB219" i="15"/>
  <c r="AD218" i="15"/>
  <c r="AB218" i="15"/>
  <c r="AD217" i="15"/>
  <c r="AB217" i="15"/>
  <c r="AD216" i="15"/>
  <c r="AB216" i="15"/>
  <c r="AD215" i="15"/>
  <c r="AB215" i="15"/>
  <c r="AD214" i="15"/>
  <c r="AB214" i="15"/>
  <c r="AD213" i="15"/>
  <c r="AC213" i="15"/>
  <c r="AD212" i="15"/>
  <c r="AC212" i="15"/>
  <c r="AD211" i="15"/>
  <c r="AC211" i="15"/>
  <c r="AD210" i="15"/>
  <c r="AB210" i="15"/>
  <c r="AD209" i="15"/>
  <c r="AB209" i="15"/>
  <c r="AD208" i="15"/>
  <c r="AB208" i="15"/>
  <c r="F133" i="15"/>
  <c r="J133" i="15"/>
  <c r="AC133" i="15"/>
  <c r="F132" i="15"/>
  <c r="J132" i="15"/>
  <c r="AB132" i="15"/>
  <c r="F129" i="15"/>
  <c r="J129" i="15"/>
  <c r="AD129" i="15"/>
  <c r="F65" i="15"/>
  <c r="J65" i="15"/>
  <c r="AB65" i="15"/>
  <c r="F39" i="15"/>
  <c r="J39" i="15"/>
  <c r="AB39" i="15"/>
  <c r="AD255" i="15"/>
  <c r="AD254" i="15"/>
  <c r="Z252" i="15"/>
  <c r="Y263" i="15"/>
  <c r="Y252" i="15"/>
  <c r="Y260" i="15"/>
  <c r="P252" i="15"/>
  <c r="O252" i="15"/>
  <c r="N252" i="15"/>
  <c r="M252" i="15"/>
  <c r="L252" i="15"/>
  <c r="H252" i="15"/>
  <c r="G252" i="15"/>
  <c r="AH251" i="15"/>
  <c r="AG251" i="15"/>
  <c r="AD251" i="15"/>
  <c r="AC251" i="15"/>
  <c r="X251" i="15"/>
  <c r="W251" i="15"/>
  <c r="Q251" i="15"/>
  <c r="AF251" i="15"/>
  <c r="AH250" i="15"/>
  <c r="AF250" i="15"/>
  <c r="AD250" i="15"/>
  <c r="AB250" i="15"/>
  <c r="X250" i="15"/>
  <c r="V250" i="15"/>
  <c r="Q250" i="15"/>
  <c r="W250" i="15"/>
  <c r="AH249" i="15"/>
  <c r="AG249" i="15"/>
  <c r="AD249" i="15"/>
  <c r="AC249" i="15"/>
  <c r="X249" i="15"/>
  <c r="W249" i="15"/>
  <c r="Q249" i="15"/>
  <c r="T249" i="15"/>
  <c r="F253" i="14"/>
  <c r="J253" i="14"/>
  <c r="AB253" i="14"/>
  <c r="AG248" i="15"/>
  <c r="AF248" i="15"/>
  <c r="W248" i="15"/>
  <c r="V248" i="15"/>
  <c r="Q248" i="15"/>
  <c r="AH248" i="15"/>
  <c r="AG247" i="15"/>
  <c r="AF247" i="15"/>
  <c r="W247" i="15"/>
  <c r="V247" i="15"/>
  <c r="Q247" i="15"/>
  <c r="T247" i="15"/>
  <c r="F251" i="14"/>
  <c r="J251" i="14"/>
  <c r="AD251" i="14"/>
  <c r="AG246" i="15"/>
  <c r="AF246" i="15"/>
  <c r="W246" i="15"/>
  <c r="V246" i="15"/>
  <c r="Q246" i="15"/>
  <c r="AH246" i="15"/>
  <c r="AH245" i="15"/>
  <c r="AG245" i="15"/>
  <c r="X245" i="15"/>
  <c r="W245" i="15"/>
  <c r="Q245" i="15"/>
  <c r="T245" i="15"/>
  <c r="F249" i="14"/>
  <c r="J249" i="14"/>
  <c r="AB249" i="14"/>
  <c r="AH244" i="15"/>
  <c r="AG244" i="15"/>
  <c r="X244" i="15"/>
  <c r="W244" i="15"/>
  <c r="Q244" i="15"/>
  <c r="AF244" i="15"/>
  <c r="AH243" i="15"/>
  <c r="AG243" i="15"/>
  <c r="X243" i="15"/>
  <c r="W243" i="15"/>
  <c r="Q243" i="15"/>
  <c r="T243" i="15"/>
  <c r="F247" i="14"/>
  <c r="J247" i="14"/>
  <c r="AB247" i="14"/>
  <c r="AH242" i="15"/>
  <c r="AG242" i="15"/>
  <c r="X242" i="15"/>
  <c r="W242" i="15"/>
  <c r="Q242" i="15"/>
  <c r="V242" i="15"/>
  <c r="X241" i="15"/>
  <c r="V241" i="15"/>
  <c r="Q241" i="15"/>
  <c r="T241" i="15"/>
  <c r="F245" i="14"/>
  <c r="J245" i="14"/>
  <c r="AC245" i="14"/>
  <c r="X240" i="15"/>
  <c r="W240" i="15"/>
  <c r="Q240" i="15"/>
  <c r="V240" i="15"/>
  <c r="X239" i="15"/>
  <c r="V239" i="15"/>
  <c r="Q239" i="15"/>
  <c r="T239" i="15"/>
  <c r="F243" i="14"/>
  <c r="J243" i="14"/>
  <c r="AC243" i="14"/>
  <c r="X238" i="15"/>
  <c r="V238" i="15"/>
  <c r="Q238" i="15"/>
  <c r="AG238" i="15"/>
  <c r="X237" i="15"/>
  <c r="V237" i="15"/>
  <c r="Q237" i="15"/>
  <c r="T237" i="15"/>
  <c r="F241" i="14"/>
  <c r="J241" i="14"/>
  <c r="AC241" i="14"/>
  <c r="X236" i="15"/>
  <c r="V236" i="15"/>
  <c r="Q236" i="15"/>
  <c r="AG236" i="15"/>
  <c r="X235" i="15"/>
  <c r="W235" i="15"/>
  <c r="Q235" i="15"/>
  <c r="T235" i="15"/>
  <c r="F239" i="14"/>
  <c r="J239" i="14"/>
  <c r="AB239" i="14"/>
  <c r="X234" i="15"/>
  <c r="W234" i="15"/>
  <c r="Q234" i="15"/>
  <c r="V234" i="15"/>
  <c r="W233" i="15"/>
  <c r="V233" i="15"/>
  <c r="Q233" i="15"/>
  <c r="T233" i="15"/>
  <c r="F237" i="14"/>
  <c r="J237" i="14"/>
  <c r="AD237" i="14"/>
  <c r="X232" i="15"/>
  <c r="V232" i="15"/>
  <c r="Q232" i="15"/>
  <c r="AG232" i="15"/>
  <c r="X231" i="15"/>
  <c r="V231" i="15"/>
  <c r="Q231" i="15"/>
  <c r="T231" i="15"/>
  <c r="F235" i="14"/>
  <c r="J235" i="14"/>
  <c r="AC235" i="14"/>
  <c r="X230" i="15"/>
  <c r="W230" i="15"/>
  <c r="Q230" i="15"/>
  <c r="V230" i="15"/>
  <c r="X229" i="15"/>
  <c r="W229" i="15"/>
  <c r="Q229" i="15"/>
  <c r="T229" i="15"/>
  <c r="F233" i="14"/>
  <c r="J233" i="14"/>
  <c r="AB233" i="14"/>
  <c r="W228" i="15"/>
  <c r="Q228" i="15"/>
  <c r="T228" i="15"/>
  <c r="F232" i="14"/>
  <c r="J232" i="14"/>
  <c r="AD232" i="14"/>
  <c r="X227" i="15"/>
  <c r="W227" i="15"/>
  <c r="Q227" i="15"/>
  <c r="V227" i="15"/>
  <c r="X226" i="15"/>
  <c r="W226" i="15"/>
  <c r="Q226" i="15"/>
  <c r="T226" i="15"/>
  <c r="F230" i="14"/>
  <c r="J230" i="14"/>
  <c r="AB230" i="14"/>
  <c r="X225" i="15"/>
  <c r="W225" i="15"/>
  <c r="Q225" i="15"/>
  <c r="V225" i="15"/>
  <c r="AA225" i="15"/>
  <c r="W224" i="15"/>
  <c r="V224" i="15"/>
  <c r="Q224" i="15"/>
  <c r="T224" i="15"/>
  <c r="F228" i="14"/>
  <c r="J228" i="14"/>
  <c r="AD228" i="14"/>
  <c r="X223" i="15"/>
  <c r="W223" i="15"/>
  <c r="Q223" i="15"/>
  <c r="V223" i="15"/>
  <c r="X222" i="15"/>
  <c r="V222" i="15"/>
  <c r="Q222" i="15"/>
  <c r="T222" i="15"/>
  <c r="F226" i="14"/>
  <c r="J226" i="14"/>
  <c r="AC226" i="14"/>
  <c r="W221" i="15"/>
  <c r="V221" i="15"/>
  <c r="Q221" i="15"/>
  <c r="X221" i="15"/>
  <c r="X220" i="15"/>
  <c r="V220" i="15"/>
  <c r="Q220" i="15"/>
  <c r="T220" i="15"/>
  <c r="F224" i="14"/>
  <c r="J224" i="14"/>
  <c r="AC224" i="14"/>
  <c r="X219" i="15"/>
  <c r="V219" i="15"/>
  <c r="Q219" i="15"/>
  <c r="AG219" i="15"/>
  <c r="X218" i="15"/>
  <c r="V218" i="15"/>
  <c r="Q218" i="15"/>
  <c r="T218" i="15"/>
  <c r="F222" i="14"/>
  <c r="J222" i="14"/>
  <c r="AC222" i="14"/>
  <c r="X217" i="15"/>
  <c r="V217" i="15"/>
  <c r="Q217" i="15"/>
  <c r="AG217" i="15"/>
  <c r="X216" i="15"/>
  <c r="V216" i="15"/>
  <c r="Q216" i="15"/>
  <c r="T216" i="15"/>
  <c r="F220" i="14"/>
  <c r="J220" i="14"/>
  <c r="AC220" i="14"/>
  <c r="X215" i="15"/>
  <c r="V215" i="15"/>
  <c r="Q215" i="15"/>
  <c r="AG215" i="15"/>
  <c r="X214" i="15"/>
  <c r="V214" i="15"/>
  <c r="Q214" i="15"/>
  <c r="T214" i="15"/>
  <c r="F218" i="14"/>
  <c r="J218" i="14"/>
  <c r="AC218" i="14"/>
  <c r="X213" i="15"/>
  <c r="W213" i="15"/>
  <c r="Q213" i="15"/>
  <c r="V213" i="15"/>
  <c r="X212" i="15"/>
  <c r="W212" i="15"/>
  <c r="Q212" i="15"/>
  <c r="T212" i="15"/>
  <c r="F216" i="14"/>
  <c r="J216" i="14"/>
  <c r="AB216" i="14"/>
  <c r="X211" i="15"/>
  <c r="W211" i="15"/>
  <c r="Q211" i="15"/>
  <c r="V211" i="15"/>
  <c r="X210" i="15"/>
  <c r="V210" i="15"/>
  <c r="Q210" i="15"/>
  <c r="T210" i="15"/>
  <c r="F214" i="14"/>
  <c r="J214" i="14"/>
  <c r="AC214" i="14"/>
  <c r="AH209" i="15"/>
  <c r="AF209" i="15"/>
  <c r="X209" i="15"/>
  <c r="V209" i="15"/>
  <c r="Q209" i="15"/>
  <c r="AG209" i="15"/>
  <c r="AH208" i="15"/>
  <c r="AF208" i="15"/>
  <c r="X208" i="15"/>
  <c r="V208" i="15"/>
  <c r="Q208" i="15"/>
  <c r="T208" i="15"/>
  <c r="F212" i="14"/>
  <c r="J212" i="14"/>
  <c r="AC212" i="14"/>
  <c r="AH207" i="15"/>
  <c r="AF207" i="15"/>
  <c r="AD207" i="15"/>
  <c r="AB207" i="15"/>
  <c r="X207" i="15"/>
  <c r="V207" i="15"/>
  <c r="Q207" i="15"/>
  <c r="AG207" i="15"/>
  <c r="AH206" i="15"/>
  <c r="AF206" i="15"/>
  <c r="AD206" i="15"/>
  <c r="AB206" i="15"/>
  <c r="X206" i="15"/>
  <c r="V206" i="15"/>
  <c r="Q206" i="15"/>
  <c r="T206" i="15"/>
  <c r="F210" i="14"/>
  <c r="J210" i="14"/>
  <c r="AC210" i="14"/>
  <c r="AH205" i="15"/>
  <c r="AF205" i="15"/>
  <c r="AD205" i="15"/>
  <c r="AB205" i="15"/>
  <c r="X205" i="15"/>
  <c r="V205" i="15"/>
  <c r="Q205" i="15"/>
  <c r="AG205" i="15"/>
  <c r="AH204" i="15"/>
  <c r="AF204" i="15"/>
  <c r="AD204" i="15"/>
  <c r="AB204" i="15"/>
  <c r="X204" i="15"/>
  <c r="V204" i="15"/>
  <c r="Q204" i="15"/>
  <c r="T204" i="15"/>
  <c r="F208" i="14"/>
  <c r="J208" i="14"/>
  <c r="AC208" i="14"/>
  <c r="AH203" i="15"/>
  <c r="AF203" i="15"/>
  <c r="AD203" i="15"/>
  <c r="AB203" i="15"/>
  <c r="X203" i="15"/>
  <c r="V203" i="15"/>
  <c r="Q203" i="15"/>
  <c r="AG203" i="15"/>
  <c r="AH202" i="15"/>
  <c r="AG202" i="15"/>
  <c r="AD202" i="15"/>
  <c r="AC202" i="15"/>
  <c r="X202" i="15"/>
  <c r="W202" i="15"/>
  <c r="Q202" i="15"/>
  <c r="T202" i="15"/>
  <c r="F206" i="14"/>
  <c r="J206" i="14"/>
  <c r="AB206" i="14"/>
  <c r="AH201" i="15"/>
  <c r="AG201" i="15"/>
  <c r="AD201" i="15"/>
  <c r="AC201" i="15"/>
  <c r="X201" i="15"/>
  <c r="W201" i="15"/>
  <c r="Q201" i="15"/>
  <c r="V201" i="15"/>
  <c r="AH200" i="15"/>
  <c r="AG200" i="15"/>
  <c r="AD200" i="15"/>
  <c r="AC200" i="15"/>
  <c r="X200" i="15"/>
  <c r="W200" i="15"/>
  <c r="Q200" i="15"/>
  <c r="T200" i="15"/>
  <c r="F204" i="14"/>
  <c r="J204" i="14"/>
  <c r="AB204" i="14"/>
  <c r="AH199" i="15"/>
  <c r="AF199" i="15"/>
  <c r="AD199" i="15"/>
  <c r="AB199" i="15"/>
  <c r="X199" i="15"/>
  <c r="V199" i="15"/>
  <c r="Q199" i="15"/>
  <c r="AG199" i="15"/>
  <c r="AH198" i="15"/>
  <c r="AG198" i="15"/>
  <c r="AD198" i="15"/>
  <c r="AC198" i="15"/>
  <c r="X198" i="15"/>
  <c r="W198" i="15"/>
  <c r="Q198" i="15"/>
  <c r="T198" i="15"/>
  <c r="F202" i="14"/>
  <c r="J202" i="14"/>
  <c r="AB202" i="14"/>
  <c r="AH197" i="15"/>
  <c r="AG197" i="15"/>
  <c r="AD197" i="15"/>
  <c r="AC197" i="15"/>
  <c r="X197" i="15"/>
  <c r="W197" i="15"/>
  <c r="Q197" i="15"/>
  <c r="V197" i="15"/>
  <c r="AH196" i="15"/>
  <c r="AF196" i="15"/>
  <c r="AD196" i="15"/>
  <c r="AB196" i="15"/>
  <c r="X196" i="15"/>
  <c r="V196" i="15"/>
  <c r="Q196" i="15"/>
  <c r="T196" i="15"/>
  <c r="F200" i="14"/>
  <c r="J200" i="14"/>
  <c r="AC200" i="14"/>
  <c r="AH195" i="15"/>
  <c r="AG195" i="15"/>
  <c r="AD195" i="15"/>
  <c r="AC195" i="15"/>
  <c r="X195" i="15"/>
  <c r="W195" i="15"/>
  <c r="Q195" i="15"/>
  <c r="V195" i="15"/>
  <c r="AH194" i="15"/>
  <c r="AG194" i="15"/>
  <c r="AD194" i="15"/>
  <c r="AC194" i="15"/>
  <c r="X194" i="15"/>
  <c r="W194" i="15"/>
  <c r="Q194" i="15"/>
  <c r="T194" i="15"/>
  <c r="F197" i="14"/>
  <c r="J197" i="14"/>
  <c r="AB197" i="14"/>
  <c r="AG193" i="15"/>
  <c r="AF193" i="15"/>
  <c r="AC193" i="15"/>
  <c r="AB193" i="15"/>
  <c r="W193" i="15"/>
  <c r="V193" i="15"/>
  <c r="Q193" i="15"/>
  <c r="X193" i="15"/>
  <c r="AH192" i="15"/>
  <c r="AF192" i="15"/>
  <c r="AD192" i="15"/>
  <c r="AB192" i="15"/>
  <c r="X192" i="15"/>
  <c r="V192" i="15"/>
  <c r="Q192" i="15"/>
  <c r="T192" i="15"/>
  <c r="AH191" i="15"/>
  <c r="AG191" i="15"/>
  <c r="AD191" i="15"/>
  <c r="AC191" i="15"/>
  <c r="X191" i="15"/>
  <c r="W191" i="15"/>
  <c r="Q191" i="15"/>
  <c r="V191" i="15"/>
  <c r="AH190" i="15"/>
  <c r="AG190" i="15"/>
  <c r="AD190" i="15"/>
  <c r="AC190" i="15"/>
  <c r="X190" i="15"/>
  <c r="W190" i="15"/>
  <c r="Q190" i="15"/>
  <c r="T190" i="15"/>
  <c r="F193" i="14"/>
  <c r="J193" i="14"/>
  <c r="AB193" i="14"/>
  <c r="AH189" i="15"/>
  <c r="AF189" i="15"/>
  <c r="AD189" i="15"/>
  <c r="AB189" i="15"/>
  <c r="X189" i="15"/>
  <c r="V189" i="15"/>
  <c r="Q189" i="15"/>
  <c r="AG189" i="15"/>
  <c r="AH188" i="15"/>
  <c r="AF188" i="15"/>
  <c r="AD188" i="15"/>
  <c r="AB188" i="15"/>
  <c r="X188" i="15"/>
  <c r="V188" i="15"/>
  <c r="Q188" i="15"/>
  <c r="T188" i="15"/>
  <c r="F191" i="14"/>
  <c r="J191" i="14"/>
  <c r="AC191" i="14"/>
  <c r="AG187" i="15"/>
  <c r="AF187" i="15"/>
  <c r="AC187" i="15"/>
  <c r="AB187" i="15"/>
  <c r="W187" i="15"/>
  <c r="V187" i="15"/>
  <c r="Q187" i="15"/>
  <c r="X187" i="15"/>
  <c r="AH186" i="15"/>
  <c r="AF186" i="15"/>
  <c r="AD186" i="15"/>
  <c r="AB186" i="15"/>
  <c r="X186" i="15"/>
  <c r="V186" i="15"/>
  <c r="Q186" i="15"/>
  <c r="T186" i="15"/>
  <c r="F188" i="14"/>
  <c r="J188" i="14"/>
  <c r="AC188" i="14"/>
  <c r="AH185" i="15"/>
  <c r="AG185" i="15"/>
  <c r="AD185" i="15"/>
  <c r="AC185" i="15"/>
  <c r="X185" i="15"/>
  <c r="W185" i="15"/>
  <c r="Q185" i="15"/>
  <c r="V185" i="15"/>
  <c r="AH184" i="15"/>
  <c r="AG184" i="15"/>
  <c r="AD184" i="15"/>
  <c r="AC184" i="15"/>
  <c r="X184" i="15"/>
  <c r="W184" i="15"/>
  <c r="Q184" i="15"/>
  <c r="T184" i="15"/>
  <c r="F186" i="14"/>
  <c r="J186" i="14"/>
  <c r="AB186" i="14"/>
  <c r="AH183" i="15"/>
  <c r="AG183" i="15"/>
  <c r="AD183" i="15"/>
  <c r="AC183" i="15"/>
  <c r="X183" i="15"/>
  <c r="W183" i="15"/>
  <c r="Q183" i="15"/>
  <c r="V183" i="15"/>
  <c r="AH182" i="15"/>
  <c r="AG182" i="15"/>
  <c r="AD182" i="15"/>
  <c r="AC182" i="15"/>
  <c r="X182" i="15"/>
  <c r="W182" i="15"/>
  <c r="Q182" i="15"/>
  <c r="T182" i="15"/>
  <c r="F184" i="14"/>
  <c r="J184" i="14"/>
  <c r="AB184" i="14"/>
  <c r="AH181" i="15"/>
  <c r="AG181" i="15"/>
  <c r="AD181" i="15"/>
  <c r="AC181" i="15"/>
  <c r="X181" i="15"/>
  <c r="W181" i="15"/>
  <c r="Q181" i="15"/>
  <c r="V181" i="15"/>
  <c r="AH180" i="15"/>
  <c r="AG180" i="15"/>
  <c r="AD180" i="15"/>
  <c r="AC180" i="15"/>
  <c r="X180" i="15"/>
  <c r="W180" i="15"/>
  <c r="Q180" i="15"/>
  <c r="T180" i="15"/>
  <c r="F182" i="14"/>
  <c r="J182" i="14"/>
  <c r="AB182" i="14"/>
  <c r="AH179" i="15"/>
  <c r="AG179" i="15"/>
  <c r="AD179" i="15"/>
  <c r="AC179" i="15"/>
  <c r="X179" i="15"/>
  <c r="W179" i="15"/>
  <c r="Q179" i="15"/>
  <c r="V179" i="15"/>
  <c r="AH178" i="15"/>
  <c r="AG178" i="15"/>
  <c r="AD178" i="15"/>
  <c r="AC178" i="15"/>
  <c r="X178" i="15"/>
  <c r="W178" i="15"/>
  <c r="Q178" i="15"/>
  <c r="T178" i="15"/>
  <c r="F180" i="14"/>
  <c r="J180" i="14"/>
  <c r="AB180" i="14"/>
  <c r="AH177" i="15"/>
  <c r="AG177" i="15"/>
  <c r="AD177" i="15"/>
  <c r="AC177" i="15"/>
  <c r="X177" i="15"/>
  <c r="W177" i="15"/>
  <c r="Q177" i="15"/>
  <c r="V177" i="15"/>
  <c r="AH176" i="15"/>
  <c r="AF176" i="15"/>
  <c r="AD176" i="15"/>
  <c r="AB176" i="15"/>
  <c r="X176" i="15"/>
  <c r="V176" i="15"/>
  <c r="Q176" i="15"/>
  <c r="T176" i="15"/>
  <c r="F178" i="14"/>
  <c r="J178" i="14"/>
  <c r="AC178" i="14"/>
  <c r="AH175" i="15"/>
  <c r="AF175" i="15"/>
  <c r="AD175" i="15"/>
  <c r="AB175" i="15"/>
  <c r="X175" i="15"/>
  <c r="V175" i="15"/>
  <c r="Q175" i="15"/>
  <c r="AG175" i="15"/>
  <c r="AH174" i="15"/>
  <c r="AF174" i="15"/>
  <c r="AD174" i="15"/>
  <c r="AB174" i="15"/>
  <c r="X174" i="15"/>
  <c r="V174" i="15"/>
  <c r="Q174" i="15"/>
  <c r="T174" i="15"/>
  <c r="F176" i="14"/>
  <c r="J176" i="14"/>
  <c r="AC176" i="14"/>
  <c r="AH173" i="15"/>
  <c r="AF173" i="15"/>
  <c r="AD173" i="15"/>
  <c r="AB173" i="15"/>
  <c r="X173" i="15"/>
  <c r="V173" i="15"/>
  <c r="Q173" i="15"/>
  <c r="AG173" i="15"/>
  <c r="AH172" i="15"/>
  <c r="AF172" i="15"/>
  <c r="AD172" i="15"/>
  <c r="AB172" i="15"/>
  <c r="X172" i="15"/>
  <c r="V172" i="15"/>
  <c r="Q172" i="15"/>
  <c r="T172" i="15"/>
  <c r="F174" i="14"/>
  <c r="J174" i="14"/>
  <c r="AC174" i="14"/>
  <c r="AH171" i="15"/>
  <c r="AF171" i="15"/>
  <c r="AD171" i="15"/>
  <c r="AB171" i="15"/>
  <c r="X171" i="15"/>
  <c r="V171" i="15"/>
  <c r="Q171" i="15"/>
  <c r="AG171" i="15"/>
  <c r="AH170" i="15"/>
  <c r="AG170" i="15"/>
  <c r="AD170" i="15"/>
  <c r="AC170" i="15"/>
  <c r="X170" i="15"/>
  <c r="W170" i="15"/>
  <c r="Q170" i="15"/>
  <c r="T170" i="15"/>
  <c r="F172" i="14"/>
  <c r="J172" i="14"/>
  <c r="AB172" i="14"/>
  <c r="AH169" i="15"/>
  <c r="AG169" i="15"/>
  <c r="AD169" i="15"/>
  <c r="AC169" i="15"/>
  <c r="X169" i="15"/>
  <c r="W169" i="15"/>
  <c r="Q169" i="15"/>
  <c r="V169" i="15"/>
  <c r="AH168" i="15"/>
  <c r="AG168" i="15"/>
  <c r="AD168" i="15"/>
  <c r="AC168" i="15"/>
  <c r="X168" i="15"/>
  <c r="W168" i="15"/>
  <c r="Q168" i="15"/>
  <c r="T168" i="15"/>
  <c r="F170" i="14"/>
  <c r="J170" i="14"/>
  <c r="AB170" i="14"/>
  <c r="AH167" i="15"/>
  <c r="AF167" i="15"/>
  <c r="AD167" i="15"/>
  <c r="AB167" i="15"/>
  <c r="X167" i="15"/>
  <c r="V167" i="15"/>
  <c r="Q167" i="15"/>
  <c r="AG167" i="15"/>
  <c r="AH166" i="15"/>
  <c r="AF166" i="15"/>
  <c r="AD166" i="15"/>
  <c r="AB166" i="15"/>
  <c r="X166" i="15"/>
  <c r="V166" i="15"/>
  <c r="Q166" i="15"/>
  <c r="T166" i="15"/>
  <c r="F168" i="14"/>
  <c r="J168" i="14"/>
  <c r="AC168" i="14"/>
  <c r="AH165" i="15"/>
  <c r="AG165" i="15"/>
  <c r="AD165" i="15"/>
  <c r="AC165" i="15"/>
  <c r="X165" i="15"/>
  <c r="W165" i="15"/>
  <c r="Q165" i="15"/>
  <c r="AF165" i="15"/>
  <c r="AH164" i="15"/>
  <c r="AG164" i="15"/>
  <c r="AD164" i="15"/>
  <c r="AC164" i="15"/>
  <c r="X164" i="15"/>
  <c r="W164" i="15"/>
  <c r="Q164" i="15"/>
  <c r="T164" i="15"/>
  <c r="F166" i="14"/>
  <c r="J166" i="14"/>
  <c r="AB166" i="14"/>
  <c r="AG163" i="15"/>
  <c r="AF163" i="15"/>
  <c r="AC163" i="15"/>
  <c r="AB163" i="15"/>
  <c r="W163" i="15"/>
  <c r="V163" i="15"/>
  <c r="Q163" i="15"/>
  <c r="AH163" i="15"/>
  <c r="AH162" i="15"/>
  <c r="AF162" i="15"/>
  <c r="AD162" i="15"/>
  <c r="AB162" i="15"/>
  <c r="X162" i="15"/>
  <c r="V162" i="15"/>
  <c r="Q162" i="15"/>
  <c r="T162" i="15"/>
  <c r="F164" i="14"/>
  <c r="J164" i="14"/>
  <c r="AC164" i="14"/>
  <c r="AH161" i="15"/>
  <c r="AG161" i="15"/>
  <c r="AD161" i="15"/>
  <c r="AC161" i="15"/>
  <c r="X161" i="15"/>
  <c r="W161" i="15"/>
  <c r="Q161" i="15"/>
  <c r="AF161" i="15"/>
  <c r="AH160" i="15"/>
  <c r="AF160" i="15"/>
  <c r="AD160" i="15"/>
  <c r="AB160" i="15"/>
  <c r="X160" i="15"/>
  <c r="V160" i="15"/>
  <c r="Q160" i="15"/>
  <c r="T160" i="15"/>
  <c r="F162" i="14"/>
  <c r="J162" i="14"/>
  <c r="AC162" i="14"/>
  <c r="AH159" i="15"/>
  <c r="AG159" i="15"/>
  <c r="AD159" i="15"/>
  <c r="AC159" i="15"/>
  <c r="X159" i="15"/>
  <c r="W159" i="15"/>
  <c r="Q159" i="15"/>
  <c r="AF159" i="15"/>
  <c r="AH158" i="15"/>
  <c r="AG158" i="15"/>
  <c r="AD158" i="15"/>
  <c r="AC158" i="15"/>
  <c r="X158" i="15"/>
  <c r="W158" i="15"/>
  <c r="Q158" i="15"/>
  <c r="T158" i="15"/>
  <c r="F160" i="14"/>
  <c r="J160" i="14"/>
  <c r="AB160" i="14"/>
  <c r="AH157" i="15"/>
  <c r="AF157" i="15"/>
  <c r="AD157" i="15"/>
  <c r="AB157" i="15"/>
  <c r="X157" i="15"/>
  <c r="V157" i="15"/>
  <c r="Q157" i="15"/>
  <c r="W157" i="15"/>
  <c r="AH156" i="15"/>
  <c r="AF156" i="15"/>
  <c r="AD156" i="15"/>
  <c r="AB156" i="15"/>
  <c r="X156" i="15"/>
  <c r="V156" i="15"/>
  <c r="Q156" i="15"/>
  <c r="T156" i="15"/>
  <c r="F158" i="14"/>
  <c r="J158" i="14"/>
  <c r="AC158" i="14"/>
  <c r="AG155" i="15"/>
  <c r="AF155" i="15"/>
  <c r="AC155" i="15"/>
  <c r="AB155" i="15"/>
  <c r="W155" i="15"/>
  <c r="V155" i="15"/>
  <c r="Q155" i="15"/>
  <c r="X155" i="15"/>
  <c r="AH154" i="15"/>
  <c r="AG154" i="15"/>
  <c r="AD154" i="15"/>
  <c r="AC154" i="15"/>
  <c r="X154" i="15"/>
  <c r="W154" i="15"/>
  <c r="Q154" i="15"/>
  <c r="T154" i="15"/>
  <c r="F156" i="14"/>
  <c r="J156" i="14"/>
  <c r="AB156" i="14"/>
  <c r="AH153" i="15"/>
  <c r="AG153" i="15"/>
  <c r="AD153" i="15"/>
  <c r="AC153" i="15"/>
  <c r="X153" i="15"/>
  <c r="W153" i="15"/>
  <c r="Q153" i="15"/>
  <c r="V153" i="15"/>
  <c r="AH152" i="15"/>
  <c r="AF152" i="15"/>
  <c r="AD152" i="15"/>
  <c r="AB152" i="15"/>
  <c r="X152" i="15"/>
  <c r="V152" i="15"/>
  <c r="Q152" i="15"/>
  <c r="T152" i="15"/>
  <c r="F154" i="14"/>
  <c r="J154" i="14"/>
  <c r="AC154" i="14"/>
  <c r="AH151" i="15"/>
  <c r="AF151" i="15"/>
  <c r="AD151" i="15"/>
  <c r="AB151" i="15"/>
  <c r="X151" i="15"/>
  <c r="V151" i="15"/>
  <c r="Q151" i="15"/>
  <c r="W151" i="15"/>
  <c r="AH150" i="15"/>
  <c r="AF150" i="15"/>
  <c r="AD150" i="15"/>
  <c r="AB150" i="15"/>
  <c r="X150" i="15"/>
  <c r="V150" i="15"/>
  <c r="Q150" i="15"/>
  <c r="T150" i="15"/>
  <c r="F152" i="14"/>
  <c r="J152" i="14"/>
  <c r="AC152" i="14"/>
  <c r="AH149" i="15"/>
  <c r="AF149" i="15"/>
  <c r="AD149" i="15"/>
  <c r="AB149" i="15"/>
  <c r="X149" i="15"/>
  <c r="V149" i="15"/>
  <c r="Q149" i="15"/>
  <c r="W149" i="15"/>
  <c r="AG148" i="15"/>
  <c r="AF148" i="15"/>
  <c r="AC148" i="15"/>
  <c r="AB148" i="15"/>
  <c r="W148" i="15"/>
  <c r="V148" i="15"/>
  <c r="Q148" i="15"/>
  <c r="T148" i="15"/>
  <c r="F150" i="14"/>
  <c r="J150" i="14"/>
  <c r="AD150" i="14"/>
  <c r="AH147" i="15"/>
  <c r="AG147" i="15"/>
  <c r="AD147" i="15"/>
  <c r="AC147" i="15"/>
  <c r="X147" i="15"/>
  <c r="W147" i="15"/>
  <c r="Q147" i="15"/>
  <c r="AF147" i="15"/>
  <c r="AH146" i="15"/>
  <c r="AG146" i="15"/>
  <c r="AD146" i="15"/>
  <c r="AC146" i="15"/>
  <c r="X146" i="15"/>
  <c r="W146" i="15"/>
  <c r="Q146" i="15"/>
  <c r="AF146" i="15"/>
  <c r="AH145" i="15"/>
  <c r="AF145" i="15"/>
  <c r="AD145" i="15"/>
  <c r="AB145" i="15"/>
  <c r="X145" i="15"/>
  <c r="V145" i="15"/>
  <c r="Q145" i="15"/>
  <c r="W145" i="15"/>
  <c r="AH144" i="15"/>
  <c r="AF144" i="15"/>
  <c r="AD144" i="15"/>
  <c r="AB144" i="15"/>
  <c r="X144" i="15"/>
  <c r="V144" i="15"/>
  <c r="Q144" i="15"/>
  <c r="W144" i="15"/>
  <c r="AH143" i="15"/>
  <c r="AF143" i="15"/>
  <c r="AD143" i="15"/>
  <c r="AB143" i="15"/>
  <c r="X143" i="15"/>
  <c r="V143" i="15"/>
  <c r="Q143" i="15"/>
  <c r="W143" i="15"/>
  <c r="AH142" i="15"/>
  <c r="AG142" i="15"/>
  <c r="AD142" i="15"/>
  <c r="AC142" i="15"/>
  <c r="X142" i="15"/>
  <c r="W142" i="15"/>
  <c r="Q142" i="15"/>
  <c r="AF142" i="15"/>
  <c r="AH141" i="15"/>
  <c r="AG141" i="15"/>
  <c r="AD141" i="15"/>
  <c r="AC141" i="15"/>
  <c r="X141" i="15"/>
  <c r="W141" i="15"/>
  <c r="Q141" i="15"/>
  <c r="AF141" i="15"/>
  <c r="AH140" i="15"/>
  <c r="AG140" i="15"/>
  <c r="AD140" i="15"/>
  <c r="AC140" i="15"/>
  <c r="X140" i="15"/>
  <c r="W140" i="15"/>
  <c r="Q140" i="15"/>
  <c r="V140" i="15"/>
  <c r="AH139" i="15"/>
  <c r="AG139" i="15"/>
  <c r="AD139" i="15"/>
  <c r="AC139" i="15"/>
  <c r="X139" i="15"/>
  <c r="W139" i="15"/>
  <c r="Q139" i="15"/>
  <c r="V139" i="15"/>
  <c r="AH138" i="15"/>
  <c r="AG138" i="15"/>
  <c r="AD138" i="15"/>
  <c r="AC138" i="15"/>
  <c r="X138" i="15"/>
  <c r="W138" i="15"/>
  <c r="Q138" i="15"/>
  <c r="V138" i="15"/>
  <c r="AH137" i="15"/>
  <c r="AG137" i="15"/>
  <c r="AD137" i="15"/>
  <c r="AC137" i="15"/>
  <c r="X137" i="15"/>
  <c r="W137" i="15"/>
  <c r="Q137" i="15"/>
  <c r="V137" i="15"/>
  <c r="AH136" i="15"/>
  <c r="AG136" i="15"/>
  <c r="AD136" i="15"/>
  <c r="AC136" i="15"/>
  <c r="X136" i="15"/>
  <c r="W136" i="15"/>
  <c r="Q136" i="15"/>
  <c r="AF136" i="15"/>
  <c r="AH135" i="15"/>
  <c r="AG135" i="15"/>
  <c r="AD135" i="15"/>
  <c r="AC135" i="15"/>
  <c r="X135" i="15"/>
  <c r="W135" i="15"/>
  <c r="Q135" i="15"/>
  <c r="AF135" i="15"/>
  <c r="AH134" i="15"/>
  <c r="AG134" i="15"/>
  <c r="AD134" i="15"/>
  <c r="AC134" i="15"/>
  <c r="X134" i="15"/>
  <c r="W134" i="15"/>
  <c r="Q134" i="15"/>
  <c r="AF134" i="15"/>
  <c r="AH133" i="15"/>
  <c r="AF133" i="15"/>
  <c r="AD133" i="15"/>
  <c r="AB133" i="15"/>
  <c r="X133" i="15"/>
  <c r="V133" i="15"/>
  <c r="Q133" i="15"/>
  <c r="W133" i="15"/>
  <c r="AH132" i="15"/>
  <c r="AG132" i="15"/>
  <c r="AD132" i="15"/>
  <c r="AC132" i="15"/>
  <c r="X132" i="15"/>
  <c r="W132" i="15"/>
  <c r="Q132" i="15"/>
  <c r="AF132" i="15"/>
  <c r="AH131" i="15"/>
  <c r="AF131" i="15"/>
  <c r="AD131" i="15"/>
  <c r="AB131" i="15"/>
  <c r="X131" i="15"/>
  <c r="V131" i="15"/>
  <c r="Q131" i="15"/>
  <c r="W131" i="15"/>
  <c r="AH130" i="15"/>
  <c r="AF130" i="15"/>
  <c r="AD130" i="15"/>
  <c r="AB130" i="15"/>
  <c r="X130" i="15"/>
  <c r="V130" i="15"/>
  <c r="Q130" i="15"/>
  <c r="W130" i="15"/>
  <c r="AG129" i="15"/>
  <c r="AF129" i="15"/>
  <c r="AC129" i="15"/>
  <c r="AB129" i="15"/>
  <c r="W129" i="15"/>
  <c r="V129" i="15"/>
  <c r="Q129" i="15"/>
  <c r="AH129" i="15"/>
  <c r="AH128" i="15"/>
  <c r="AG128" i="15"/>
  <c r="AD128" i="15"/>
  <c r="AC128" i="15"/>
  <c r="X128" i="15"/>
  <c r="W128" i="15"/>
  <c r="Q128" i="15"/>
  <c r="V128" i="15"/>
  <c r="AH127" i="15"/>
  <c r="AF127" i="15"/>
  <c r="AD127" i="15"/>
  <c r="AB127" i="15"/>
  <c r="X127" i="15"/>
  <c r="V127" i="15"/>
  <c r="Q127" i="15"/>
  <c r="W127" i="15"/>
  <c r="AH126" i="15"/>
  <c r="AG126" i="15"/>
  <c r="AD126" i="15"/>
  <c r="AC126" i="15"/>
  <c r="X126" i="15"/>
  <c r="W126" i="15"/>
  <c r="Q126" i="15"/>
  <c r="AF126" i="15"/>
  <c r="AH125" i="15"/>
  <c r="AG125" i="15"/>
  <c r="AD125" i="15"/>
  <c r="AC125" i="15"/>
  <c r="X125" i="15"/>
  <c r="W125" i="15"/>
  <c r="Q125" i="15"/>
  <c r="AF125" i="15"/>
  <c r="AH124" i="15"/>
  <c r="AG124" i="15"/>
  <c r="AD124" i="15"/>
  <c r="AC124" i="15"/>
  <c r="X124" i="15"/>
  <c r="W124" i="15"/>
  <c r="Q124" i="15"/>
  <c r="AF124" i="15"/>
  <c r="AH123" i="15"/>
  <c r="AF123" i="15"/>
  <c r="AD123" i="15"/>
  <c r="AB123" i="15"/>
  <c r="X123" i="15"/>
  <c r="V123" i="15"/>
  <c r="Q123" i="15"/>
  <c r="W123" i="15"/>
  <c r="AH122" i="15"/>
  <c r="AF122" i="15"/>
  <c r="AD122" i="15"/>
  <c r="AB122" i="15"/>
  <c r="X122" i="15"/>
  <c r="V122" i="15"/>
  <c r="Q122" i="15"/>
  <c r="W122" i="15"/>
  <c r="AH121" i="15"/>
  <c r="AG121" i="15"/>
  <c r="AD121" i="15"/>
  <c r="AC121" i="15"/>
  <c r="X121" i="15"/>
  <c r="W121" i="15"/>
  <c r="Q121" i="15"/>
  <c r="AF121" i="15"/>
  <c r="AH120" i="15"/>
  <c r="AG120" i="15"/>
  <c r="AD120" i="15"/>
  <c r="AC120" i="15"/>
  <c r="X120" i="15"/>
  <c r="W120" i="15"/>
  <c r="Q120" i="15"/>
  <c r="AF120" i="15"/>
  <c r="AH119" i="15"/>
  <c r="AG119" i="15"/>
  <c r="AD119" i="15"/>
  <c r="AC119" i="15"/>
  <c r="X119" i="15"/>
  <c r="W119" i="15"/>
  <c r="Q119" i="15"/>
  <c r="V119" i="15"/>
  <c r="AH118" i="15"/>
  <c r="AG118" i="15"/>
  <c r="AD118" i="15"/>
  <c r="AC118" i="15"/>
  <c r="X118" i="15"/>
  <c r="W118" i="15"/>
  <c r="Q118" i="15"/>
  <c r="V118" i="15"/>
  <c r="AH117" i="15"/>
  <c r="AG117" i="15"/>
  <c r="AD117" i="15"/>
  <c r="AC117" i="15"/>
  <c r="X117" i="15"/>
  <c r="W117" i="15"/>
  <c r="Q117" i="15"/>
  <c r="V117" i="15"/>
  <c r="AH116" i="15"/>
  <c r="AG116" i="15"/>
  <c r="AD116" i="15"/>
  <c r="AC116" i="15"/>
  <c r="X116" i="15"/>
  <c r="W116" i="15"/>
  <c r="Q116" i="15"/>
  <c r="V116" i="15"/>
  <c r="AH115" i="15"/>
  <c r="AG115" i="15"/>
  <c r="AD115" i="15"/>
  <c r="AC115" i="15"/>
  <c r="X115" i="15"/>
  <c r="W115" i="15"/>
  <c r="Q115" i="15"/>
  <c r="V115" i="15"/>
  <c r="AH114" i="15"/>
  <c r="AG114" i="15"/>
  <c r="AD114" i="15"/>
  <c r="AC114" i="15"/>
  <c r="X114" i="15"/>
  <c r="W114" i="15"/>
  <c r="Q114" i="15"/>
  <c r="V114" i="15"/>
  <c r="AH113" i="15"/>
  <c r="AG113" i="15"/>
  <c r="AD113" i="15"/>
  <c r="AC113" i="15"/>
  <c r="X113" i="15"/>
  <c r="W113" i="15"/>
  <c r="Q113" i="15"/>
  <c r="V113" i="15"/>
  <c r="AH112" i="15"/>
  <c r="AG112" i="15"/>
  <c r="AD112" i="15"/>
  <c r="AC112" i="15"/>
  <c r="X112" i="15"/>
  <c r="W112" i="15"/>
  <c r="Q112" i="15"/>
  <c r="V112" i="15"/>
  <c r="AH111" i="15"/>
  <c r="AG111" i="15"/>
  <c r="AD111" i="15"/>
  <c r="AC111" i="15"/>
  <c r="X111" i="15"/>
  <c r="W111" i="15"/>
  <c r="Q111" i="15"/>
  <c r="V111" i="15"/>
  <c r="AH110" i="15"/>
  <c r="AG110" i="15"/>
  <c r="AD110" i="15"/>
  <c r="AC110" i="15"/>
  <c r="X110" i="15"/>
  <c r="W110" i="15"/>
  <c r="Q110" i="15"/>
  <c r="V110" i="15"/>
  <c r="AH109" i="15"/>
  <c r="AG109" i="15"/>
  <c r="AD109" i="15"/>
  <c r="AC109" i="15"/>
  <c r="X109" i="15"/>
  <c r="W109" i="15"/>
  <c r="Q109" i="15"/>
  <c r="V109" i="15"/>
  <c r="AH108" i="15"/>
  <c r="AG108" i="15"/>
  <c r="AD108" i="15"/>
  <c r="AC108" i="15"/>
  <c r="X108" i="15"/>
  <c r="W108" i="15"/>
  <c r="Q108" i="15"/>
  <c r="V108" i="15"/>
  <c r="AH107" i="15"/>
  <c r="AG107" i="15"/>
  <c r="AD107" i="15"/>
  <c r="AC107" i="15"/>
  <c r="X107" i="15"/>
  <c r="W107" i="15"/>
  <c r="Q107" i="15"/>
  <c r="V107" i="15"/>
  <c r="AH106" i="15"/>
  <c r="AG106" i="15"/>
  <c r="AD106" i="15"/>
  <c r="AC106" i="15"/>
  <c r="X106" i="15"/>
  <c r="W106" i="15"/>
  <c r="Q106" i="15"/>
  <c r="V106" i="15"/>
  <c r="AH105" i="15"/>
  <c r="AG105" i="15"/>
  <c r="AD105" i="15"/>
  <c r="AC105" i="15"/>
  <c r="X105" i="15"/>
  <c r="W105" i="15"/>
  <c r="Q105" i="15"/>
  <c r="V105" i="15"/>
  <c r="AH104" i="15"/>
  <c r="AG104" i="15"/>
  <c r="AD104" i="15"/>
  <c r="AC104" i="15"/>
  <c r="X104" i="15"/>
  <c r="W104" i="15"/>
  <c r="Q104" i="15"/>
  <c r="V104" i="15"/>
  <c r="AH103" i="15"/>
  <c r="AG103" i="15"/>
  <c r="AD103" i="15"/>
  <c r="AC103" i="15"/>
  <c r="X103" i="15"/>
  <c r="W103" i="15"/>
  <c r="Q103" i="15"/>
  <c r="V103" i="15"/>
  <c r="J103" i="15"/>
  <c r="AB103" i="15"/>
  <c r="AH102" i="15"/>
  <c r="AG102" i="15"/>
  <c r="AD102" i="15"/>
  <c r="AC102" i="15"/>
  <c r="X102" i="15"/>
  <c r="W102" i="15"/>
  <c r="Q102" i="15"/>
  <c r="AF102" i="15"/>
  <c r="AH101" i="15"/>
  <c r="AF101" i="15"/>
  <c r="AD101" i="15"/>
  <c r="AB101" i="15"/>
  <c r="X101" i="15"/>
  <c r="V101" i="15"/>
  <c r="Q101" i="15"/>
  <c r="T101" i="15"/>
  <c r="F103" i="14"/>
  <c r="J103" i="14"/>
  <c r="AC103" i="14"/>
  <c r="AH100" i="15"/>
  <c r="AF100" i="15"/>
  <c r="AD100" i="15"/>
  <c r="AB100" i="15"/>
  <c r="X100" i="15"/>
  <c r="V100" i="15"/>
  <c r="Q100" i="15"/>
  <c r="W100" i="15"/>
  <c r="AH99" i="15"/>
  <c r="AF99" i="15"/>
  <c r="AD99" i="15"/>
  <c r="AB99" i="15"/>
  <c r="X99" i="15"/>
  <c r="V99" i="15"/>
  <c r="Q99" i="15"/>
  <c r="T99" i="15"/>
  <c r="F101" i="14"/>
  <c r="J101" i="14"/>
  <c r="AC101" i="14"/>
  <c r="AH98" i="15"/>
  <c r="AG98" i="15"/>
  <c r="AD98" i="15"/>
  <c r="AC98" i="15"/>
  <c r="X98" i="15"/>
  <c r="W98" i="15"/>
  <c r="Q98" i="15"/>
  <c r="AF98" i="15"/>
  <c r="AH97" i="15"/>
  <c r="AF97" i="15"/>
  <c r="AD97" i="15"/>
  <c r="AB97" i="15"/>
  <c r="X97" i="15"/>
  <c r="V97" i="15"/>
  <c r="Q97" i="15"/>
  <c r="T97" i="15"/>
  <c r="F99" i="14"/>
  <c r="J99" i="14"/>
  <c r="AC99" i="14"/>
  <c r="AH96" i="15"/>
  <c r="AG96" i="15"/>
  <c r="AD96" i="15"/>
  <c r="AC96" i="15"/>
  <c r="X96" i="15"/>
  <c r="W96" i="15"/>
  <c r="Q96" i="15"/>
  <c r="AF96" i="15"/>
  <c r="AH95" i="15"/>
  <c r="AF95" i="15"/>
  <c r="AD95" i="15"/>
  <c r="AB95" i="15"/>
  <c r="X95" i="15"/>
  <c r="V95" i="15"/>
  <c r="Q95" i="15"/>
  <c r="T95" i="15"/>
  <c r="F97" i="14"/>
  <c r="J97" i="14"/>
  <c r="AC97" i="14"/>
  <c r="AH94" i="15"/>
  <c r="AF94" i="15"/>
  <c r="AD94" i="15"/>
  <c r="AB94" i="15"/>
  <c r="X94" i="15"/>
  <c r="V94" i="15"/>
  <c r="Q94" i="15"/>
  <c r="W94" i="15"/>
  <c r="AG93" i="15"/>
  <c r="AF93" i="15"/>
  <c r="AC93" i="15"/>
  <c r="AB93" i="15"/>
  <c r="W93" i="15"/>
  <c r="V93" i="15"/>
  <c r="Q93" i="15"/>
  <c r="AH93" i="15"/>
  <c r="AG92" i="15"/>
  <c r="AF92" i="15"/>
  <c r="AC92" i="15"/>
  <c r="AB92" i="15"/>
  <c r="W92" i="15"/>
  <c r="V92" i="15"/>
  <c r="Q92" i="15"/>
  <c r="AH92" i="15"/>
  <c r="AH91" i="15"/>
  <c r="AG91" i="15"/>
  <c r="AD91" i="15"/>
  <c r="AC91" i="15"/>
  <c r="X91" i="15"/>
  <c r="W91" i="15"/>
  <c r="Q91" i="15"/>
  <c r="AF91" i="15"/>
  <c r="AH90" i="15"/>
  <c r="AG90" i="15"/>
  <c r="AD90" i="15"/>
  <c r="AC90" i="15"/>
  <c r="X90" i="15"/>
  <c r="W90" i="15"/>
  <c r="Q90" i="15"/>
  <c r="AF90" i="15"/>
  <c r="AH89" i="15"/>
  <c r="AG89" i="15"/>
  <c r="AD89" i="15"/>
  <c r="AC89" i="15"/>
  <c r="X89" i="15"/>
  <c r="W89" i="15"/>
  <c r="Q89" i="15"/>
  <c r="AF89" i="15"/>
  <c r="AH88" i="15"/>
  <c r="AG88" i="15"/>
  <c r="AD88" i="15"/>
  <c r="AC88" i="15"/>
  <c r="X88" i="15"/>
  <c r="W88" i="15"/>
  <c r="Q88" i="15"/>
  <c r="AF88" i="15"/>
  <c r="AH87" i="15"/>
  <c r="AG87" i="15"/>
  <c r="AD87" i="15"/>
  <c r="AC87" i="15"/>
  <c r="X87" i="15"/>
  <c r="W87" i="15"/>
  <c r="Q87" i="15"/>
  <c r="AF87" i="15"/>
  <c r="AH86" i="15"/>
  <c r="AG86" i="15"/>
  <c r="AD86" i="15"/>
  <c r="AC86" i="15"/>
  <c r="X86" i="15"/>
  <c r="W86" i="15"/>
  <c r="Q86" i="15"/>
  <c r="V86" i="15"/>
  <c r="AH85" i="15"/>
  <c r="AF85" i="15"/>
  <c r="AD85" i="15"/>
  <c r="AB85" i="15"/>
  <c r="X85" i="15"/>
  <c r="V85" i="15"/>
  <c r="Q85" i="15"/>
  <c r="W85" i="15"/>
  <c r="AH84" i="15"/>
  <c r="AF84" i="15"/>
  <c r="AD84" i="15"/>
  <c r="AB84" i="15"/>
  <c r="X84" i="15"/>
  <c r="V84" i="15"/>
  <c r="Q84" i="15"/>
  <c r="AG84" i="15"/>
  <c r="AH83" i="15"/>
  <c r="AF83" i="15"/>
  <c r="AD83" i="15"/>
  <c r="AB83" i="15"/>
  <c r="X83" i="15"/>
  <c r="V83" i="15"/>
  <c r="Q83" i="15"/>
  <c r="W83" i="15"/>
  <c r="AH82" i="15"/>
  <c r="AG82" i="15"/>
  <c r="AD82" i="15"/>
  <c r="AC82" i="15"/>
  <c r="X82" i="15"/>
  <c r="W82" i="15"/>
  <c r="Q82" i="15"/>
  <c r="AF82" i="15"/>
  <c r="AH81" i="15"/>
  <c r="AF81" i="15"/>
  <c r="AD81" i="15"/>
  <c r="AB81" i="15"/>
  <c r="X81" i="15"/>
  <c r="V81" i="15"/>
  <c r="Q81" i="15"/>
  <c r="W81" i="15"/>
  <c r="AH80" i="15"/>
  <c r="AF80" i="15"/>
  <c r="AD80" i="15"/>
  <c r="AB80" i="15"/>
  <c r="X80" i="15"/>
  <c r="V80" i="15"/>
  <c r="Q80" i="15"/>
  <c r="W80" i="15"/>
  <c r="AH79" i="15"/>
  <c r="AF79" i="15"/>
  <c r="AD79" i="15"/>
  <c r="AB79" i="15"/>
  <c r="X79" i="15"/>
  <c r="V79" i="15"/>
  <c r="Q79" i="15"/>
  <c r="W79" i="15"/>
  <c r="AH78" i="15"/>
  <c r="AG78" i="15"/>
  <c r="AD78" i="15"/>
  <c r="AC78" i="15"/>
  <c r="X78" i="15"/>
  <c r="W78" i="15"/>
  <c r="Q78" i="15"/>
  <c r="AF78" i="15"/>
  <c r="AH77" i="15"/>
  <c r="AG77" i="15"/>
  <c r="AD77" i="15"/>
  <c r="AC77" i="15"/>
  <c r="X77" i="15"/>
  <c r="W77" i="15"/>
  <c r="Q77" i="15"/>
  <c r="T77" i="15"/>
  <c r="F79" i="14"/>
  <c r="J79" i="14"/>
  <c r="AB79" i="14"/>
  <c r="AH76" i="15"/>
  <c r="AF76" i="15"/>
  <c r="AD76" i="15"/>
  <c r="AB76" i="15"/>
  <c r="X76" i="15"/>
  <c r="V76" i="15"/>
  <c r="Q76" i="15"/>
  <c r="AG76" i="15"/>
  <c r="AH75" i="15"/>
  <c r="AF75" i="15"/>
  <c r="AD75" i="15"/>
  <c r="AB75" i="15"/>
  <c r="X75" i="15"/>
  <c r="V75" i="15"/>
  <c r="Q75" i="15"/>
  <c r="T75" i="15"/>
  <c r="F77" i="14"/>
  <c r="J77" i="14"/>
  <c r="AC77" i="14"/>
  <c r="AH74" i="15"/>
  <c r="AG74" i="15"/>
  <c r="AD74" i="15"/>
  <c r="AC74" i="15"/>
  <c r="X74" i="15"/>
  <c r="W74" i="15"/>
  <c r="Q74" i="15"/>
  <c r="V74" i="15"/>
  <c r="AH73" i="15"/>
  <c r="AG73" i="15"/>
  <c r="AD73" i="15"/>
  <c r="AC73" i="15"/>
  <c r="X73" i="15"/>
  <c r="W73" i="15"/>
  <c r="Q73" i="15"/>
  <c r="T73" i="15"/>
  <c r="F75" i="14"/>
  <c r="J75" i="14"/>
  <c r="AB75" i="14"/>
  <c r="AH72" i="15"/>
  <c r="AG72" i="15"/>
  <c r="AD72" i="15"/>
  <c r="AC72" i="15"/>
  <c r="X72" i="15"/>
  <c r="W72" i="15"/>
  <c r="Q72" i="15"/>
  <c r="T72" i="15"/>
  <c r="F74" i="14"/>
  <c r="J74" i="14"/>
  <c r="AB74" i="14"/>
  <c r="AH71" i="15"/>
  <c r="AG71" i="15"/>
  <c r="AD71" i="15"/>
  <c r="AC71" i="15"/>
  <c r="X71" i="15"/>
  <c r="W71" i="15"/>
  <c r="Q71" i="15"/>
  <c r="T71" i="15"/>
  <c r="F73" i="14"/>
  <c r="J73" i="14"/>
  <c r="AB73" i="14"/>
  <c r="AH70" i="15"/>
  <c r="AG70" i="15"/>
  <c r="AD70" i="15"/>
  <c r="AC70" i="15"/>
  <c r="X70" i="15"/>
  <c r="W70" i="15"/>
  <c r="Q70" i="15"/>
  <c r="T70" i="15"/>
  <c r="F72" i="14"/>
  <c r="J72" i="14"/>
  <c r="AB72" i="14"/>
  <c r="AH69" i="15"/>
  <c r="AG69" i="15"/>
  <c r="AD69" i="15"/>
  <c r="AC69" i="15"/>
  <c r="X69" i="15"/>
  <c r="W69" i="15"/>
  <c r="Q69" i="15"/>
  <c r="T69" i="15"/>
  <c r="F71" i="14"/>
  <c r="J71" i="14"/>
  <c r="AB71" i="14"/>
  <c r="AH68" i="15"/>
  <c r="AG68" i="15"/>
  <c r="AD68" i="15"/>
  <c r="AC68" i="15"/>
  <c r="X68" i="15"/>
  <c r="W68" i="15"/>
  <c r="Q68" i="15"/>
  <c r="V68" i="15"/>
  <c r="AH67" i="15"/>
  <c r="AG67" i="15"/>
  <c r="AD67" i="15"/>
  <c r="AC67" i="15"/>
  <c r="X67" i="15"/>
  <c r="W67" i="15"/>
  <c r="Q67" i="15"/>
  <c r="V67" i="15"/>
  <c r="AH66" i="15"/>
  <c r="AG66" i="15"/>
  <c r="AD66" i="15"/>
  <c r="AC66" i="15"/>
  <c r="X66" i="15"/>
  <c r="W66" i="15"/>
  <c r="Q66" i="15"/>
  <c r="V66" i="15"/>
  <c r="AH65" i="15"/>
  <c r="AG65" i="15"/>
  <c r="AD65" i="15"/>
  <c r="AC65" i="15"/>
  <c r="X65" i="15"/>
  <c r="W65" i="15"/>
  <c r="Q65" i="15"/>
  <c r="V65" i="15"/>
  <c r="AH64" i="15"/>
  <c r="AG64" i="15"/>
  <c r="AD64" i="15"/>
  <c r="AC64" i="15"/>
  <c r="X64" i="15"/>
  <c r="W64" i="15"/>
  <c r="Q64" i="15"/>
  <c r="T64" i="15"/>
  <c r="F65" i="14"/>
  <c r="J65" i="14"/>
  <c r="AB65" i="14"/>
  <c r="AH63" i="15"/>
  <c r="AG63" i="15"/>
  <c r="AD63" i="15"/>
  <c r="AC63" i="15"/>
  <c r="X63" i="15"/>
  <c r="W63" i="15"/>
  <c r="Q63" i="15"/>
  <c r="T63" i="15"/>
  <c r="F64" i="14"/>
  <c r="J64" i="14"/>
  <c r="AB64" i="14"/>
  <c r="AH62" i="15"/>
  <c r="AG62" i="15"/>
  <c r="AD62" i="15"/>
  <c r="AC62" i="15"/>
  <c r="X62" i="15"/>
  <c r="W62" i="15"/>
  <c r="Q62" i="15"/>
  <c r="T62" i="15"/>
  <c r="F63" i="14"/>
  <c r="J63" i="14"/>
  <c r="AB63" i="14"/>
  <c r="AH61" i="15"/>
  <c r="AG61" i="15"/>
  <c r="AD61" i="15"/>
  <c r="AC61" i="15"/>
  <c r="X61" i="15"/>
  <c r="W61" i="15"/>
  <c r="Q61" i="15"/>
  <c r="T61" i="15"/>
  <c r="F62" i="14"/>
  <c r="J62" i="14"/>
  <c r="AB62" i="14"/>
  <c r="AH60" i="15"/>
  <c r="AG60" i="15"/>
  <c r="AD60" i="15"/>
  <c r="AC60" i="15"/>
  <c r="X60" i="15"/>
  <c r="W60" i="15"/>
  <c r="Q60" i="15"/>
  <c r="T60" i="15"/>
  <c r="F61" i="14"/>
  <c r="J61" i="14"/>
  <c r="AB61" i="14"/>
  <c r="AH59" i="15"/>
  <c r="AG59" i="15"/>
  <c r="AD59" i="15"/>
  <c r="AC59" i="15"/>
  <c r="X59" i="15"/>
  <c r="W59" i="15"/>
  <c r="Q59" i="15"/>
  <c r="T59" i="15"/>
  <c r="F60" i="14"/>
  <c r="J60" i="14"/>
  <c r="AB60" i="14"/>
  <c r="AH58" i="15"/>
  <c r="AF58" i="15"/>
  <c r="AD58" i="15"/>
  <c r="AB58" i="15"/>
  <c r="X58" i="15"/>
  <c r="V58" i="15"/>
  <c r="Q58" i="15"/>
  <c r="T58" i="15"/>
  <c r="F59" i="14"/>
  <c r="J59" i="14"/>
  <c r="AC59" i="14"/>
  <c r="AH57" i="15"/>
  <c r="AF57" i="15"/>
  <c r="AD57" i="15"/>
  <c r="AB57" i="15"/>
  <c r="X57" i="15"/>
  <c r="V57" i="15"/>
  <c r="Q57" i="15"/>
  <c r="T57" i="15"/>
  <c r="F58" i="14"/>
  <c r="J58" i="14"/>
  <c r="AC58" i="14"/>
  <c r="AH56" i="15"/>
  <c r="AF56" i="15"/>
  <c r="AD56" i="15"/>
  <c r="AB56" i="15"/>
  <c r="X56" i="15"/>
  <c r="V56" i="15"/>
  <c r="Q56" i="15"/>
  <c r="T56" i="15"/>
  <c r="F57" i="14"/>
  <c r="J57" i="14"/>
  <c r="AC57" i="14"/>
  <c r="AG54" i="15"/>
  <c r="AF54" i="15"/>
  <c r="AC54" i="15"/>
  <c r="AB54" i="15"/>
  <c r="W54" i="15"/>
  <c r="V54" i="15"/>
  <c r="Q54" i="15"/>
  <c r="T54" i="15"/>
  <c r="F55" i="14"/>
  <c r="J55" i="14"/>
  <c r="AD55" i="14"/>
  <c r="AH53" i="15"/>
  <c r="AF53" i="15"/>
  <c r="AD53" i="15"/>
  <c r="AB53" i="15"/>
  <c r="X53" i="15"/>
  <c r="V53" i="15"/>
  <c r="Q53" i="15"/>
  <c r="T53" i="15"/>
  <c r="F54" i="14"/>
  <c r="J54" i="14"/>
  <c r="AC54" i="14"/>
  <c r="AH52" i="15"/>
  <c r="AF52" i="15"/>
  <c r="AD52" i="15"/>
  <c r="AB52" i="15"/>
  <c r="X52" i="15"/>
  <c r="V52" i="15"/>
  <c r="Q52" i="15"/>
  <c r="T52" i="15"/>
  <c r="F53" i="14"/>
  <c r="J53" i="14"/>
  <c r="AC53" i="14"/>
  <c r="AH51" i="15"/>
  <c r="AF51" i="15"/>
  <c r="AD51" i="15"/>
  <c r="AB51" i="15"/>
  <c r="X51" i="15"/>
  <c r="V51" i="15"/>
  <c r="Q51" i="15"/>
  <c r="T51" i="15"/>
  <c r="F52" i="14"/>
  <c r="J52" i="14"/>
  <c r="AC52" i="14"/>
  <c r="AH50" i="15"/>
  <c r="AF50" i="15"/>
  <c r="AD50" i="15"/>
  <c r="AB50" i="15"/>
  <c r="X50" i="15"/>
  <c r="V50" i="15"/>
  <c r="Q50" i="15"/>
  <c r="T50" i="15"/>
  <c r="F51" i="14"/>
  <c r="J51" i="14"/>
  <c r="AC51" i="14"/>
  <c r="AH49" i="15"/>
  <c r="AF49" i="15"/>
  <c r="AD49" i="15"/>
  <c r="AB49" i="15"/>
  <c r="X49" i="15"/>
  <c r="V49" i="15"/>
  <c r="Q49" i="15"/>
  <c r="T49" i="15"/>
  <c r="F50" i="14"/>
  <c r="J50" i="14"/>
  <c r="AC50" i="14"/>
  <c r="AH48" i="15"/>
  <c r="AG48" i="15"/>
  <c r="AD48" i="15"/>
  <c r="AC48" i="15"/>
  <c r="X48" i="15"/>
  <c r="W48" i="15"/>
  <c r="Q48" i="15"/>
  <c r="T48" i="15"/>
  <c r="F49" i="14"/>
  <c r="J49" i="14"/>
  <c r="AB49" i="14"/>
  <c r="AH47" i="15"/>
  <c r="AG47" i="15"/>
  <c r="AD47" i="15"/>
  <c r="AC47" i="15"/>
  <c r="X47" i="15"/>
  <c r="W47" i="15"/>
  <c r="Q47" i="15"/>
  <c r="T47" i="15"/>
  <c r="F48" i="14"/>
  <c r="J48" i="14"/>
  <c r="AB48" i="14"/>
  <c r="AH46" i="15"/>
  <c r="AG46" i="15"/>
  <c r="AD46" i="15"/>
  <c r="AC46" i="15"/>
  <c r="X46" i="15"/>
  <c r="W46" i="15"/>
  <c r="Q46" i="15"/>
  <c r="T46" i="15"/>
  <c r="F47" i="14"/>
  <c r="J47" i="14"/>
  <c r="AB47" i="14"/>
  <c r="AH45" i="15"/>
  <c r="AF45" i="15"/>
  <c r="AD45" i="15"/>
  <c r="AB45" i="15"/>
  <c r="X45" i="15"/>
  <c r="V45" i="15"/>
  <c r="Q45" i="15"/>
  <c r="T45" i="15"/>
  <c r="F46" i="14"/>
  <c r="J46" i="14"/>
  <c r="AC46" i="14"/>
  <c r="AH44" i="15"/>
  <c r="AG44" i="15"/>
  <c r="AD44" i="15"/>
  <c r="AC44" i="15"/>
  <c r="X44" i="15"/>
  <c r="W44" i="15"/>
  <c r="Q44" i="15"/>
  <c r="T44" i="15"/>
  <c r="F45" i="14"/>
  <c r="J45" i="14"/>
  <c r="AB45" i="14"/>
  <c r="AH43" i="15"/>
  <c r="AG43" i="15"/>
  <c r="AD43" i="15"/>
  <c r="AC43" i="15"/>
  <c r="X43" i="15"/>
  <c r="W43" i="15"/>
  <c r="Q43" i="15"/>
  <c r="T43" i="15"/>
  <c r="F44" i="14"/>
  <c r="J44" i="14"/>
  <c r="AB44" i="14"/>
  <c r="AH42" i="15"/>
  <c r="AF42" i="15"/>
  <c r="AD42" i="15"/>
  <c r="AB42" i="15"/>
  <c r="X42" i="15"/>
  <c r="V42" i="15"/>
  <c r="Q42" i="15"/>
  <c r="T42" i="15"/>
  <c r="F43" i="14"/>
  <c r="J43" i="14"/>
  <c r="AC43" i="14"/>
  <c r="AH41" i="15"/>
  <c r="AF41" i="15"/>
  <c r="AD41" i="15"/>
  <c r="AB41" i="15"/>
  <c r="X41" i="15"/>
  <c r="V41" i="15"/>
  <c r="Q41" i="15"/>
  <c r="T41" i="15"/>
  <c r="F42" i="14"/>
  <c r="J42" i="14"/>
  <c r="AC42" i="14"/>
  <c r="AH40" i="15"/>
  <c r="AG40" i="15"/>
  <c r="AD40" i="15"/>
  <c r="AC40" i="15"/>
  <c r="X40" i="15"/>
  <c r="W40" i="15"/>
  <c r="Q40" i="15"/>
  <c r="T40" i="15"/>
  <c r="F41" i="14"/>
  <c r="J41" i="14"/>
  <c r="AB41" i="14"/>
  <c r="AH39" i="15"/>
  <c r="AG39" i="15"/>
  <c r="AD39" i="15"/>
  <c r="AC39" i="15"/>
  <c r="X39" i="15"/>
  <c r="W39" i="15"/>
  <c r="Q39" i="15"/>
  <c r="AF39" i="15"/>
  <c r="AG38" i="15"/>
  <c r="AF38" i="15"/>
  <c r="AC38" i="15"/>
  <c r="AB38" i="15"/>
  <c r="W38" i="15"/>
  <c r="V38" i="15"/>
  <c r="Q38" i="15"/>
  <c r="X38" i="15"/>
  <c r="AH37" i="15"/>
  <c r="AG37" i="15"/>
  <c r="AD37" i="15"/>
  <c r="AC37" i="15"/>
  <c r="X37" i="15"/>
  <c r="W37" i="15"/>
  <c r="Q37" i="15"/>
  <c r="V37" i="15"/>
  <c r="AH36" i="15"/>
  <c r="AG36" i="15"/>
  <c r="AD36" i="15"/>
  <c r="AC36" i="15"/>
  <c r="X36" i="15"/>
  <c r="W36" i="15"/>
  <c r="Q36" i="15"/>
  <c r="V36" i="15"/>
  <c r="AH35" i="15"/>
  <c r="AG35" i="15"/>
  <c r="AD35" i="15"/>
  <c r="AC35" i="15"/>
  <c r="X35" i="15"/>
  <c r="W35" i="15"/>
  <c r="Q35" i="15"/>
  <c r="V35" i="15"/>
  <c r="AH34" i="15"/>
  <c r="AG34" i="15"/>
  <c r="AD34" i="15"/>
  <c r="AC34" i="15"/>
  <c r="X34" i="15"/>
  <c r="W34" i="15"/>
  <c r="Q34" i="15"/>
  <c r="V34" i="15"/>
  <c r="AH33" i="15"/>
  <c r="AG33" i="15"/>
  <c r="AD33" i="15"/>
  <c r="AC33" i="15"/>
  <c r="X33" i="15"/>
  <c r="W33" i="15"/>
  <c r="Q33" i="15"/>
  <c r="V33" i="15"/>
  <c r="AH32" i="15"/>
  <c r="AG32" i="15"/>
  <c r="AD32" i="15"/>
  <c r="AC32" i="15"/>
  <c r="X32" i="15"/>
  <c r="W32" i="15"/>
  <c r="Q32" i="15"/>
  <c r="V32" i="15"/>
  <c r="AH31" i="15"/>
  <c r="AG31" i="15"/>
  <c r="AD31" i="15"/>
  <c r="AC31" i="15"/>
  <c r="X31" i="15"/>
  <c r="W31" i="15"/>
  <c r="Q31" i="15"/>
  <c r="V31" i="15"/>
  <c r="AH30" i="15"/>
  <c r="AG30" i="15"/>
  <c r="AD30" i="15"/>
  <c r="AC30" i="15"/>
  <c r="X30" i="15"/>
  <c r="W30" i="15"/>
  <c r="Q30" i="15"/>
  <c r="V30" i="15"/>
  <c r="AH29" i="15"/>
  <c r="AG29" i="15"/>
  <c r="AD29" i="15"/>
  <c r="AC29" i="15"/>
  <c r="X29" i="15"/>
  <c r="W29" i="15"/>
  <c r="Q29" i="15"/>
  <c r="V29" i="15"/>
  <c r="AH28" i="15"/>
  <c r="AF28" i="15"/>
  <c r="AD28" i="15"/>
  <c r="AB28" i="15"/>
  <c r="X28" i="15"/>
  <c r="V28" i="15"/>
  <c r="Q28" i="15"/>
  <c r="AG28" i="15"/>
  <c r="AH27" i="15"/>
  <c r="AG27" i="15"/>
  <c r="AD27" i="15"/>
  <c r="AC27" i="15"/>
  <c r="X27" i="15"/>
  <c r="W27" i="15"/>
  <c r="Q27" i="15"/>
  <c r="V27" i="15"/>
  <c r="AH26" i="15"/>
  <c r="AG26" i="15"/>
  <c r="AD26" i="15"/>
  <c r="AC26" i="15"/>
  <c r="X26" i="15"/>
  <c r="W26" i="15"/>
  <c r="Q26" i="15"/>
  <c r="V26" i="15"/>
  <c r="E252" i="15"/>
  <c r="AH25" i="15"/>
  <c r="AF25" i="15"/>
  <c r="AD25" i="15"/>
  <c r="AB25" i="15"/>
  <c r="X25" i="15"/>
  <c r="V25" i="15"/>
  <c r="Q25" i="15"/>
  <c r="W25" i="15"/>
  <c r="AH24" i="15"/>
  <c r="AF24" i="15"/>
  <c r="AD24" i="15"/>
  <c r="AB24" i="15"/>
  <c r="X24" i="15"/>
  <c r="V24" i="15"/>
  <c r="Q24" i="15"/>
  <c r="W24" i="15"/>
  <c r="AH23" i="15"/>
  <c r="AF23" i="15"/>
  <c r="AD23" i="15"/>
  <c r="AB23" i="15"/>
  <c r="X23" i="15"/>
  <c r="V23" i="15"/>
  <c r="Q23" i="15"/>
  <c r="W23" i="15"/>
  <c r="AH22" i="15"/>
  <c r="AG22" i="15"/>
  <c r="AD22" i="15"/>
  <c r="AC22" i="15"/>
  <c r="X22" i="15"/>
  <c r="W22" i="15"/>
  <c r="Q22" i="15"/>
  <c r="AF22" i="15"/>
  <c r="AH21" i="15"/>
  <c r="AG21" i="15"/>
  <c r="AD21" i="15"/>
  <c r="AC21" i="15"/>
  <c r="X21" i="15"/>
  <c r="W21" i="15"/>
  <c r="Q21" i="15"/>
  <c r="AF21" i="15"/>
  <c r="AH20" i="15"/>
  <c r="AG20" i="15"/>
  <c r="AD20" i="15"/>
  <c r="AC20" i="15"/>
  <c r="X20" i="15"/>
  <c r="W20" i="15"/>
  <c r="Q20" i="15"/>
  <c r="AF20" i="15"/>
  <c r="AH19" i="15"/>
  <c r="AF19" i="15"/>
  <c r="AD19" i="15"/>
  <c r="AB19" i="15"/>
  <c r="X19" i="15"/>
  <c r="V19" i="15"/>
  <c r="Q19" i="15"/>
  <c r="W19" i="15"/>
  <c r="AH18" i="15"/>
  <c r="AF18" i="15"/>
  <c r="AD18" i="15"/>
  <c r="AB18" i="15"/>
  <c r="X18" i="15"/>
  <c r="V18" i="15"/>
  <c r="Q18" i="15"/>
  <c r="W18" i="15"/>
  <c r="AH17" i="15"/>
  <c r="AG17" i="15"/>
  <c r="AD17" i="15"/>
  <c r="AC17" i="15"/>
  <c r="X17" i="15"/>
  <c r="W17" i="15"/>
  <c r="Q17" i="15"/>
  <c r="AF17" i="15"/>
  <c r="AH16" i="15"/>
  <c r="AF16" i="15"/>
  <c r="AD16" i="15"/>
  <c r="AB16" i="15"/>
  <c r="X16" i="15"/>
  <c r="V16" i="15"/>
  <c r="Q16" i="15"/>
  <c r="T16" i="15"/>
  <c r="F16" i="14"/>
  <c r="J16" i="14"/>
  <c r="AC16" i="14"/>
  <c r="AD253" i="11"/>
  <c r="I191" i="11"/>
  <c r="R86" i="10"/>
  <c r="R87" i="10"/>
  <c r="I84" i="11"/>
  <c r="I83" i="11"/>
  <c r="AH135" i="10"/>
  <c r="AF135" i="10"/>
  <c r="AD135" i="10"/>
  <c r="AB135" i="10"/>
  <c r="X135" i="10"/>
  <c r="V135" i="10"/>
  <c r="Q135" i="10"/>
  <c r="AG135" i="10"/>
  <c r="J135" i="10"/>
  <c r="AC135" i="10"/>
  <c r="AH134" i="10"/>
  <c r="AG134" i="10"/>
  <c r="Q134" i="10"/>
  <c r="AF134" i="10"/>
  <c r="AD134" i="10"/>
  <c r="AC134" i="10"/>
  <c r="X134" i="10"/>
  <c r="W134" i="10"/>
  <c r="T134" i="10"/>
  <c r="V134" i="10"/>
  <c r="AA134" i="10"/>
  <c r="J134" i="10"/>
  <c r="AB134" i="10"/>
  <c r="E132" i="11"/>
  <c r="E131" i="11"/>
  <c r="AH132" i="11"/>
  <c r="AF132" i="11"/>
  <c r="AD132" i="11"/>
  <c r="AB132" i="11"/>
  <c r="X132" i="11"/>
  <c r="V132" i="11"/>
  <c r="Q132" i="11"/>
  <c r="W132" i="11"/>
  <c r="AA132" i="11"/>
  <c r="AH131" i="11"/>
  <c r="AG131" i="11"/>
  <c r="AD131" i="11"/>
  <c r="AC131" i="11"/>
  <c r="X131" i="11"/>
  <c r="W131" i="11"/>
  <c r="Q131" i="11"/>
  <c r="V131" i="11"/>
  <c r="F131" i="11"/>
  <c r="J131" i="11"/>
  <c r="AB131" i="11"/>
  <c r="T113" i="15"/>
  <c r="F115" i="14"/>
  <c r="J115" i="14"/>
  <c r="AB115" i="14"/>
  <c r="T137" i="15"/>
  <c r="F139" i="14"/>
  <c r="J139" i="14"/>
  <c r="AB139" i="14"/>
  <c r="T163" i="15"/>
  <c r="F165" i="14"/>
  <c r="J165" i="14"/>
  <c r="AD165" i="14"/>
  <c r="T189" i="15"/>
  <c r="F192" i="14"/>
  <c r="J192" i="14"/>
  <c r="AC192" i="14"/>
  <c r="T193" i="15"/>
  <c r="T199" i="15"/>
  <c r="F203" i="14"/>
  <c r="J203" i="14"/>
  <c r="AC203" i="14"/>
  <c r="T207" i="15"/>
  <c r="F211" i="14"/>
  <c r="J211" i="14"/>
  <c r="AC211" i="14"/>
  <c r="T215" i="15"/>
  <c r="F219" i="14"/>
  <c r="J219" i="14"/>
  <c r="AC219" i="14"/>
  <c r="T223" i="15"/>
  <c r="F227" i="14"/>
  <c r="J227" i="14"/>
  <c r="AB227" i="14"/>
  <c r="T230" i="15"/>
  <c r="F234" i="14"/>
  <c r="J234" i="14"/>
  <c r="AB234" i="14"/>
  <c r="T234" i="15"/>
  <c r="F238" i="14"/>
  <c r="J238" i="14"/>
  <c r="AB238" i="14"/>
  <c r="T238" i="15"/>
  <c r="F242" i="14"/>
  <c r="J242" i="14"/>
  <c r="AC242" i="14"/>
  <c r="T242" i="15"/>
  <c r="F246" i="14"/>
  <c r="J246" i="14"/>
  <c r="AB246" i="14"/>
  <c r="T246" i="15"/>
  <c r="F250" i="14"/>
  <c r="J250" i="14"/>
  <c r="AD250" i="14"/>
  <c r="T67" i="15"/>
  <c r="F68" i="14"/>
  <c r="J68" i="14"/>
  <c r="AB68" i="14"/>
  <c r="AG237" i="15"/>
  <c r="AG241" i="15"/>
  <c r="AF245" i="15"/>
  <c r="AF249" i="15"/>
  <c r="T18" i="15"/>
  <c r="T20" i="15"/>
  <c r="F20" i="14"/>
  <c r="J20" i="14"/>
  <c r="AB20" i="14"/>
  <c r="T22" i="15"/>
  <c r="F22" i="14"/>
  <c r="J22" i="14"/>
  <c r="AB22" i="14"/>
  <c r="T24" i="15"/>
  <c r="F24" i="14"/>
  <c r="J24" i="14"/>
  <c r="AC24" i="14"/>
  <c r="W236" i="15"/>
  <c r="V39" i="15"/>
  <c r="V228" i="15"/>
  <c r="AF228" i="15"/>
  <c r="W76" i="15"/>
  <c r="W209" i="15"/>
  <c r="AF211" i="15"/>
  <c r="AH221" i="15"/>
  <c r="AF225" i="15"/>
  <c r="AF234" i="15"/>
  <c r="AF27" i="15"/>
  <c r="AF33" i="15"/>
  <c r="AF43" i="15"/>
  <c r="AF66" i="15"/>
  <c r="AF70" i="15"/>
  <c r="AF74" i="15"/>
  <c r="AF86" i="15"/>
  <c r="AF105" i="15"/>
  <c r="AF117" i="15"/>
  <c r="X129" i="15"/>
  <c r="AG145" i="15"/>
  <c r="W171" i="15"/>
  <c r="W175" i="15"/>
  <c r="W41" i="15"/>
  <c r="W45" i="15"/>
  <c r="AG133" i="15"/>
  <c r="AF139" i="15"/>
  <c r="AH155" i="15"/>
  <c r="AG157" i="15"/>
  <c r="AF177" i="15"/>
  <c r="AF181" i="15"/>
  <c r="AF185" i="15"/>
  <c r="AH187" i="15"/>
  <c r="AF191" i="15"/>
  <c r="AG51" i="15"/>
  <c r="AG56" i="15"/>
  <c r="V60" i="15"/>
  <c r="V64" i="15"/>
  <c r="AG80" i="15"/>
  <c r="AF109" i="15"/>
  <c r="AF113" i="15"/>
  <c r="AG151" i="15"/>
  <c r="V22" i="15"/>
  <c r="I252" i="15"/>
  <c r="V159" i="15"/>
  <c r="X163" i="15"/>
  <c r="AH193" i="15"/>
  <c r="AF197" i="15"/>
  <c r="W232" i="15"/>
  <c r="V243" i="15"/>
  <c r="V244" i="15"/>
  <c r="V245" i="15"/>
  <c r="X246" i="15"/>
  <c r="X247" i="15"/>
  <c r="X248" i="15"/>
  <c r="V249" i="15"/>
  <c r="AG250" i="15"/>
  <c r="V251" i="15"/>
  <c r="AG132" i="11"/>
  <c r="T135" i="10"/>
  <c r="F132" i="11"/>
  <c r="J132" i="11"/>
  <c r="AC132" i="11"/>
  <c r="W135" i="10"/>
  <c r="AA135" i="10"/>
  <c r="R197" i="10"/>
  <c r="I140" i="11"/>
  <c r="H74" i="12"/>
  <c r="J256" i="11"/>
  <c r="I119" i="11"/>
  <c r="I108" i="11"/>
  <c r="AB249" i="11"/>
  <c r="AB247" i="11"/>
  <c r="AB246" i="11"/>
  <c r="AB245" i="11"/>
  <c r="AB240" i="11"/>
  <c r="AB238" i="11"/>
  <c r="AB237" i="11"/>
  <c r="AB236" i="11"/>
  <c r="AB235" i="11"/>
  <c r="AB232" i="11"/>
  <c r="AB231" i="11"/>
  <c r="AB230" i="11"/>
  <c r="AB227" i="11"/>
  <c r="AB223" i="11"/>
  <c r="AB221" i="11"/>
  <c r="AB220" i="11"/>
  <c r="AB219" i="11"/>
  <c r="AB218" i="11"/>
  <c r="AB217" i="11"/>
  <c r="AB216" i="11"/>
  <c r="AB215" i="11"/>
  <c r="AB214" i="11"/>
  <c r="AB213" i="11"/>
  <c r="AB209" i="11"/>
  <c r="AB208" i="11"/>
  <c r="AB207" i="11"/>
  <c r="AB206" i="11"/>
  <c r="AB205" i="11"/>
  <c r="AB204" i="11"/>
  <c r="AB203" i="11"/>
  <c r="AB202" i="11"/>
  <c r="AB198" i="11"/>
  <c r="AB195" i="11"/>
  <c r="AB192" i="11"/>
  <c r="AB191" i="11"/>
  <c r="AB188" i="11"/>
  <c r="AB187" i="11"/>
  <c r="AB186" i="11"/>
  <c r="AB185" i="11"/>
  <c r="AB175" i="11"/>
  <c r="AB174" i="11"/>
  <c r="AB173" i="11"/>
  <c r="AB172" i="11"/>
  <c r="AB171" i="11"/>
  <c r="AB170" i="11"/>
  <c r="AB166" i="11"/>
  <c r="AB165" i="11"/>
  <c r="AB162" i="11"/>
  <c r="AB161" i="11"/>
  <c r="AB159" i="11"/>
  <c r="AB156" i="11"/>
  <c r="AB155" i="11"/>
  <c r="AB154" i="11"/>
  <c r="AB151" i="11"/>
  <c r="AB150" i="11"/>
  <c r="AB149" i="11"/>
  <c r="AB148" i="11"/>
  <c r="AB147" i="11"/>
  <c r="AB144" i="11"/>
  <c r="AB143" i="11"/>
  <c r="AB142" i="11"/>
  <c r="AB130" i="11"/>
  <c r="AB129" i="11"/>
  <c r="AB128" i="11"/>
  <c r="AB126" i="11"/>
  <c r="AB122" i="11"/>
  <c r="AB121" i="11"/>
  <c r="AB100" i="11"/>
  <c r="AB99" i="11"/>
  <c r="AB98" i="11"/>
  <c r="AB96" i="11"/>
  <c r="AB94" i="11"/>
  <c r="AB93" i="11"/>
  <c r="AB92" i="11"/>
  <c r="AB91" i="11"/>
  <c r="AB84" i="11"/>
  <c r="AB83" i="11"/>
  <c r="AB82" i="11"/>
  <c r="AB80" i="11"/>
  <c r="AB79" i="11"/>
  <c r="AB78" i="11"/>
  <c r="AB75" i="11"/>
  <c r="AB74" i="11"/>
  <c r="AB57" i="11"/>
  <c r="AB56" i="11"/>
  <c r="AB55" i="11"/>
  <c r="AB54" i="11"/>
  <c r="AB53" i="11"/>
  <c r="AB52" i="11"/>
  <c r="AB51" i="11"/>
  <c r="AB50" i="11"/>
  <c r="AB49" i="11"/>
  <c r="AB45" i="11"/>
  <c r="AB42" i="11"/>
  <c r="AB41" i="11"/>
  <c r="AB38" i="11"/>
  <c r="AB28" i="11"/>
  <c r="AB25" i="11"/>
  <c r="AB24" i="11"/>
  <c r="AB23" i="11"/>
  <c r="AB19" i="11"/>
  <c r="AB18" i="11"/>
  <c r="AB16" i="11"/>
  <c r="E127" i="11"/>
  <c r="Q106" i="10"/>
  <c r="T106" i="10"/>
  <c r="F103" i="11"/>
  <c r="J103" i="11"/>
  <c r="AB103" i="11"/>
  <c r="Q105" i="10"/>
  <c r="T105" i="10"/>
  <c r="F102" i="11"/>
  <c r="Q104" i="10"/>
  <c r="T104" i="10"/>
  <c r="F101" i="11"/>
  <c r="J101" i="11"/>
  <c r="AB101" i="11"/>
  <c r="E242" i="11"/>
  <c r="E86" i="11"/>
  <c r="E85" i="11"/>
  <c r="R248" i="10"/>
  <c r="E155" i="11"/>
  <c r="E201" i="11"/>
  <c r="E26" i="11"/>
  <c r="R230" i="10"/>
  <c r="Q232" i="10"/>
  <c r="E41" i="11"/>
  <c r="E200" i="11"/>
  <c r="Q42" i="10"/>
  <c r="T42" i="10"/>
  <c r="Q67" i="10"/>
  <c r="T67" i="10"/>
  <c r="T80" i="10"/>
  <c r="Q131" i="10"/>
  <c r="T131" i="10"/>
  <c r="Q228" i="10"/>
  <c r="T228" i="10"/>
  <c r="E77" i="11"/>
  <c r="E151" i="11"/>
  <c r="E49" i="11"/>
  <c r="E225" i="11"/>
  <c r="AH77" i="11"/>
  <c r="AG77" i="11"/>
  <c r="AD77" i="11"/>
  <c r="AC77" i="11"/>
  <c r="X77" i="11"/>
  <c r="W77" i="11"/>
  <c r="Q77" i="11"/>
  <c r="V77" i="11"/>
  <c r="F77" i="11"/>
  <c r="J77" i="11"/>
  <c r="AB77" i="11"/>
  <c r="E203" i="11"/>
  <c r="E251" i="11"/>
  <c r="AD231" i="11"/>
  <c r="F225" i="11"/>
  <c r="J225" i="11"/>
  <c r="AB225" i="11"/>
  <c r="F128" i="11"/>
  <c r="J128" i="11"/>
  <c r="AD128" i="11"/>
  <c r="F64" i="11"/>
  <c r="J64" i="11"/>
  <c r="AB64" i="11"/>
  <c r="F39" i="11"/>
  <c r="J39" i="11"/>
  <c r="AB39" i="11"/>
  <c r="AD254" i="11"/>
  <c r="Z251" i="11"/>
  <c r="Y262" i="11"/>
  <c r="Y251" i="11"/>
  <c r="Y259" i="11"/>
  <c r="R251" i="11"/>
  <c r="F257" i="15"/>
  <c r="P251" i="11"/>
  <c r="O251" i="11"/>
  <c r="N251" i="11"/>
  <c r="M251" i="11"/>
  <c r="L251" i="11"/>
  <c r="I251" i="11"/>
  <c r="H251" i="11"/>
  <c r="AH250" i="11"/>
  <c r="AG250" i="11"/>
  <c r="AD250" i="11"/>
  <c r="AC250" i="11"/>
  <c r="X250" i="11"/>
  <c r="W250" i="11"/>
  <c r="Q250" i="11"/>
  <c r="V250" i="11"/>
  <c r="AH249" i="11"/>
  <c r="AF249" i="11"/>
  <c r="AD249" i="11"/>
  <c r="X249" i="11"/>
  <c r="V249" i="11"/>
  <c r="Q249" i="11"/>
  <c r="AG249" i="11"/>
  <c r="AH248" i="11"/>
  <c r="AG248" i="11"/>
  <c r="AD248" i="11"/>
  <c r="AC248" i="11"/>
  <c r="X248" i="11"/>
  <c r="W248" i="11"/>
  <c r="Q248" i="11"/>
  <c r="V248" i="11"/>
  <c r="AG247" i="11"/>
  <c r="AF247" i="11"/>
  <c r="AC247" i="11"/>
  <c r="W247" i="11"/>
  <c r="V247" i="11"/>
  <c r="Q247" i="11"/>
  <c r="X247" i="11"/>
  <c r="AG246" i="11"/>
  <c r="AF246" i="11"/>
  <c r="AC246" i="11"/>
  <c r="W246" i="11"/>
  <c r="V246" i="11"/>
  <c r="Q246" i="11"/>
  <c r="X246" i="11"/>
  <c r="AG245" i="11"/>
  <c r="AF245" i="11"/>
  <c r="AC245" i="11"/>
  <c r="W245" i="11"/>
  <c r="V245" i="11"/>
  <c r="Q245" i="11"/>
  <c r="X245" i="11"/>
  <c r="AH244" i="11"/>
  <c r="AG244" i="11"/>
  <c r="AD244" i="11"/>
  <c r="AC244" i="11"/>
  <c r="X244" i="11"/>
  <c r="W244" i="11"/>
  <c r="Q244" i="11"/>
  <c r="V244" i="11"/>
  <c r="AH243" i="11"/>
  <c r="AG243" i="11"/>
  <c r="AD243" i="11"/>
  <c r="AC243" i="11"/>
  <c r="X243" i="11"/>
  <c r="W243" i="11"/>
  <c r="Q243" i="11"/>
  <c r="V243" i="11"/>
  <c r="AH242" i="11"/>
  <c r="AG242" i="11"/>
  <c r="AD242" i="11"/>
  <c r="AC242" i="11"/>
  <c r="X242" i="11"/>
  <c r="W242" i="11"/>
  <c r="Q242" i="11"/>
  <c r="V242" i="11"/>
  <c r="AH241" i="11"/>
  <c r="AG241" i="11"/>
  <c r="AD241" i="11"/>
  <c r="AC241" i="11"/>
  <c r="X241" i="11"/>
  <c r="W241" i="11"/>
  <c r="Q241" i="11"/>
  <c r="V241" i="11"/>
  <c r="AH240" i="11"/>
  <c r="AF240" i="11"/>
  <c r="AD240" i="11"/>
  <c r="X240" i="11"/>
  <c r="V240" i="11"/>
  <c r="Q240" i="11"/>
  <c r="AG240" i="11"/>
  <c r="AH239" i="11"/>
  <c r="AG239" i="11"/>
  <c r="AD239" i="11"/>
  <c r="AC239" i="11"/>
  <c r="X239" i="11"/>
  <c r="W239" i="11"/>
  <c r="Q239" i="11"/>
  <c r="V239" i="11"/>
  <c r="AH238" i="11"/>
  <c r="AF238" i="11"/>
  <c r="AD238" i="11"/>
  <c r="X238" i="11"/>
  <c r="V238" i="11"/>
  <c r="Q238" i="11"/>
  <c r="W238" i="11"/>
  <c r="AH237" i="11"/>
  <c r="AF237" i="11"/>
  <c r="AD237" i="11"/>
  <c r="X237" i="11"/>
  <c r="V237" i="11"/>
  <c r="Q237" i="11"/>
  <c r="W237" i="11"/>
  <c r="AH236" i="11"/>
  <c r="AF236" i="11"/>
  <c r="AD236" i="11"/>
  <c r="X236" i="11"/>
  <c r="V236" i="11"/>
  <c r="Q236" i="11"/>
  <c r="W236" i="11"/>
  <c r="AH235" i="11"/>
  <c r="AF235" i="11"/>
  <c r="AD235" i="11"/>
  <c r="X235" i="11"/>
  <c r="V235" i="11"/>
  <c r="Q235" i="11"/>
  <c r="W235" i="11"/>
  <c r="AH234" i="11"/>
  <c r="AG234" i="11"/>
  <c r="AD234" i="11"/>
  <c r="AC234" i="11"/>
  <c r="X234" i="11"/>
  <c r="W234" i="11"/>
  <c r="Q234" i="11"/>
  <c r="AF234" i="11"/>
  <c r="AH233" i="11"/>
  <c r="AG233" i="11"/>
  <c r="AD233" i="11"/>
  <c r="AC233" i="11"/>
  <c r="X233" i="11"/>
  <c r="W233" i="11"/>
  <c r="Q233" i="11"/>
  <c r="AF233" i="11"/>
  <c r="AG232" i="11"/>
  <c r="AF232" i="11"/>
  <c r="AC232" i="11"/>
  <c r="W232" i="11"/>
  <c r="V232" i="11"/>
  <c r="Q232" i="11"/>
  <c r="AH232" i="11"/>
  <c r="AH231" i="11"/>
  <c r="AF231" i="11"/>
  <c r="X231" i="11"/>
  <c r="V231" i="11"/>
  <c r="Q231" i="11"/>
  <c r="W231" i="11"/>
  <c r="AH230" i="11"/>
  <c r="AF230" i="11"/>
  <c r="AD230" i="11"/>
  <c r="X230" i="11"/>
  <c r="V230" i="11"/>
  <c r="Q230" i="11"/>
  <c r="T230" i="11"/>
  <c r="F231" i="15"/>
  <c r="J231" i="15"/>
  <c r="AC231" i="15"/>
  <c r="AH229" i="11"/>
  <c r="AG229" i="11"/>
  <c r="AD229" i="11"/>
  <c r="AC229" i="11"/>
  <c r="X229" i="11"/>
  <c r="W229" i="11"/>
  <c r="Q229" i="11"/>
  <c r="V229" i="11"/>
  <c r="AH228" i="11"/>
  <c r="AG228" i="11"/>
  <c r="AD228" i="11"/>
  <c r="AC228" i="11"/>
  <c r="X228" i="11"/>
  <c r="W228" i="11"/>
  <c r="Q228" i="11"/>
  <c r="AG227" i="11"/>
  <c r="AC227" i="11"/>
  <c r="W227" i="11"/>
  <c r="V227" i="11"/>
  <c r="Q227" i="11"/>
  <c r="X227" i="11"/>
  <c r="AH226" i="11"/>
  <c r="AG226" i="11"/>
  <c r="AD226" i="11"/>
  <c r="AC226" i="11"/>
  <c r="X226" i="11"/>
  <c r="W226" i="11"/>
  <c r="Q226" i="11"/>
  <c r="V226" i="11"/>
  <c r="AH225" i="11"/>
  <c r="AG225" i="11"/>
  <c r="AD225" i="11"/>
  <c r="AC225" i="11"/>
  <c r="X225" i="11"/>
  <c r="W225" i="11"/>
  <c r="Q225" i="11"/>
  <c r="V225" i="11"/>
  <c r="AH224" i="11"/>
  <c r="AG224" i="11"/>
  <c r="AD224" i="11"/>
  <c r="AC224" i="11"/>
  <c r="X224" i="11"/>
  <c r="W224" i="11"/>
  <c r="Q224" i="11"/>
  <c r="T224" i="11"/>
  <c r="F225" i="15"/>
  <c r="J225" i="15"/>
  <c r="AB225" i="15"/>
  <c r="AG223" i="11"/>
  <c r="AF223" i="11"/>
  <c r="AC223" i="11"/>
  <c r="W223" i="11"/>
  <c r="V223" i="11"/>
  <c r="Q223" i="11"/>
  <c r="AH223" i="11"/>
  <c r="AH222" i="11"/>
  <c r="AG222" i="11"/>
  <c r="AD222" i="11"/>
  <c r="AC222" i="11"/>
  <c r="X222" i="11"/>
  <c r="W222" i="11"/>
  <c r="Q222" i="11"/>
  <c r="AF222" i="11"/>
  <c r="AH221" i="11"/>
  <c r="AF221" i="11"/>
  <c r="AD221" i="11"/>
  <c r="X221" i="11"/>
  <c r="V221" i="11"/>
  <c r="Q221" i="11"/>
  <c r="T221" i="11"/>
  <c r="F222" i="15"/>
  <c r="J222" i="15"/>
  <c r="AC222" i="15"/>
  <c r="AG220" i="11"/>
  <c r="AF220" i="11"/>
  <c r="AC220" i="11"/>
  <c r="W220" i="11"/>
  <c r="V220" i="11"/>
  <c r="Q220" i="11"/>
  <c r="AH220" i="11"/>
  <c r="AH219" i="11"/>
  <c r="AF219" i="11"/>
  <c r="AD219" i="11"/>
  <c r="X219" i="11"/>
  <c r="V219" i="11"/>
  <c r="Q219" i="11"/>
  <c r="W219" i="11"/>
  <c r="AH218" i="11"/>
  <c r="AF218" i="11"/>
  <c r="AD218" i="11"/>
  <c r="X218" i="11"/>
  <c r="V218" i="11"/>
  <c r="Q218" i="11"/>
  <c r="W218" i="11"/>
  <c r="AH217" i="11"/>
  <c r="AF217" i="11"/>
  <c r="AD217" i="11"/>
  <c r="X217" i="11"/>
  <c r="V217" i="11"/>
  <c r="Q217" i="11"/>
  <c r="W217" i="11"/>
  <c r="AH216" i="11"/>
  <c r="AF216" i="11"/>
  <c r="AD216" i="11"/>
  <c r="X216" i="11"/>
  <c r="V216" i="11"/>
  <c r="Q216" i="11"/>
  <c r="W216" i="11"/>
  <c r="AH215" i="11"/>
  <c r="AF215" i="11"/>
  <c r="AD215" i="11"/>
  <c r="X215" i="11"/>
  <c r="V215" i="11"/>
  <c r="Q215" i="11"/>
  <c r="AG215" i="11"/>
  <c r="AH214" i="11"/>
  <c r="AF214" i="11"/>
  <c r="AD214" i="11"/>
  <c r="X214" i="11"/>
  <c r="V214" i="11"/>
  <c r="Q214" i="11"/>
  <c r="W214" i="11"/>
  <c r="AH213" i="11"/>
  <c r="AF213" i="11"/>
  <c r="AD213" i="11"/>
  <c r="X213" i="11"/>
  <c r="V213" i="11"/>
  <c r="Q213" i="11"/>
  <c r="W213" i="11"/>
  <c r="AH212" i="11"/>
  <c r="AG212" i="11"/>
  <c r="AD212" i="11"/>
  <c r="AC212" i="11"/>
  <c r="X212" i="11"/>
  <c r="W212" i="11"/>
  <c r="Q212" i="11"/>
  <c r="AF212" i="11"/>
  <c r="AH211" i="11"/>
  <c r="AG211" i="11"/>
  <c r="AD211" i="11"/>
  <c r="AC211" i="11"/>
  <c r="X211" i="11"/>
  <c r="W211" i="11"/>
  <c r="Q211" i="11"/>
  <c r="AF211" i="11"/>
  <c r="AH210" i="11"/>
  <c r="AG210" i="11"/>
  <c r="AD210" i="11"/>
  <c r="AC210" i="11"/>
  <c r="X210" i="11"/>
  <c r="W210" i="11"/>
  <c r="Q210" i="11"/>
  <c r="AF210" i="11"/>
  <c r="AH209" i="11"/>
  <c r="AF209" i="11"/>
  <c r="X209" i="11"/>
  <c r="V209" i="11"/>
  <c r="Q209" i="11"/>
  <c r="W209" i="11"/>
  <c r="AH208" i="11"/>
  <c r="AF208" i="11"/>
  <c r="AD208" i="11"/>
  <c r="X208" i="11"/>
  <c r="V208" i="11"/>
  <c r="Q208" i="11"/>
  <c r="W208" i="11"/>
  <c r="AH207" i="11"/>
  <c r="AF207" i="11"/>
  <c r="AD207" i="11"/>
  <c r="X207" i="11"/>
  <c r="V207" i="11"/>
  <c r="Q207" i="11"/>
  <c r="AH206" i="11"/>
  <c r="AF206" i="11"/>
  <c r="AD206" i="11"/>
  <c r="X206" i="11"/>
  <c r="V206" i="11"/>
  <c r="Q206" i="11"/>
  <c r="W206" i="11"/>
  <c r="AH205" i="11"/>
  <c r="AF205" i="11"/>
  <c r="AD205" i="11"/>
  <c r="X205" i="11"/>
  <c r="V205" i="11"/>
  <c r="Q205" i="11"/>
  <c r="W205" i="11"/>
  <c r="AH204" i="11"/>
  <c r="AF204" i="11"/>
  <c r="AD204" i="11"/>
  <c r="X204" i="11"/>
  <c r="V204" i="11"/>
  <c r="Q204" i="11"/>
  <c r="W204" i="11"/>
  <c r="AH203" i="11"/>
  <c r="AF203" i="11"/>
  <c r="AD203" i="11"/>
  <c r="X203" i="11"/>
  <c r="V203" i="11"/>
  <c r="Q203" i="11"/>
  <c r="W203" i="11"/>
  <c r="AH202" i="11"/>
  <c r="AF202" i="11"/>
  <c r="AD202" i="11"/>
  <c r="X202" i="11"/>
  <c r="V202" i="11"/>
  <c r="Q202" i="11"/>
  <c r="W202" i="11"/>
  <c r="AH201" i="11"/>
  <c r="AG201" i="11"/>
  <c r="AD201" i="11"/>
  <c r="AC201" i="11"/>
  <c r="X201" i="11"/>
  <c r="W201" i="11"/>
  <c r="Q201" i="11"/>
  <c r="AF201" i="11"/>
  <c r="AH200" i="11"/>
  <c r="AG200" i="11"/>
  <c r="AD200" i="11"/>
  <c r="AC200" i="11"/>
  <c r="X200" i="11"/>
  <c r="W200" i="11"/>
  <c r="Q200" i="11"/>
  <c r="AF200" i="11"/>
  <c r="AH199" i="11"/>
  <c r="AG199" i="11"/>
  <c r="AD199" i="11"/>
  <c r="AC199" i="11"/>
  <c r="X199" i="11"/>
  <c r="W199" i="11"/>
  <c r="Q199" i="11"/>
  <c r="AF199" i="11"/>
  <c r="AH198" i="11"/>
  <c r="AF198" i="11"/>
  <c r="AD198" i="11"/>
  <c r="X198" i="11"/>
  <c r="V198" i="11"/>
  <c r="Q198" i="11"/>
  <c r="W198" i="11"/>
  <c r="AH197" i="11"/>
  <c r="AG197" i="11"/>
  <c r="AD197" i="11"/>
  <c r="AC197" i="11"/>
  <c r="X197" i="11"/>
  <c r="W197" i="11"/>
  <c r="Q197" i="11"/>
  <c r="AF197" i="11"/>
  <c r="AH196" i="11"/>
  <c r="AG196" i="11"/>
  <c r="AD196" i="11"/>
  <c r="AC196" i="11"/>
  <c r="X196" i="11"/>
  <c r="W196" i="11"/>
  <c r="Q196" i="11"/>
  <c r="AF196" i="11"/>
  <c r="AH195" i="11"/>
  <c r="AF195" i="11"/>
  <c r="AD195" i="11"/>
  <c r="X195" i="11"/>
  <c r="V195" i="11"/>
  <c r="Q195" i="11"/>
  <c r="W195" i="11"/>
  <c r="AH194" i="11"/>
  <c r="AG194" i="11"/>
  <c r="AD194" i="11"/>
  <c r="AC194" i="11"/>
  <c r="X194" i="11"/>
  <c r="W194" i="11"/>
  <c r="Q194" i="11"/>
  <c r="AF194" i="11"/>
  <c r="AH193" i="11"/>
  <c r="AG193" i="11"/>
  <c r="AD193" i="11"/>
  <c r="AC193" i="11"/>
  <c r="X193" i="11"/>
  <c r="W193" i="11"/>
  <c r="Q193" i="11"/>
  <c r="AF193" i="11"/>
  <c r="AG192" i="11"/>
  <c r="AF192" i="11"/>
  <c r="AC192" i="11"/>
  <c r="W192" i="11"/>
  <c r="V192" i="11"/>
  <c r="Q192" i="11"/>
  <c r="AH192" i="11"/>
  <c r="AH191" i="11"/>
  <c r="AF191" i="11"/>
  <c r="AD191" i="11"/>
  <c r="X191" i="11"/>
  <c r="V191" i="11"/>
  <c r="Q191" i="11"/>
  <c r="AG191" i="11"/>
  <c r="AH190" i="11"/>
  <c r="AG190" i="11"/>
  <c r="AD190" i="11"/>
  <c r="AC190" i="11"/>
  <c r="X190" i="11"/>
  <c r="W190" i="11"/>
  <c r="Q190" i="11"/>
  <c r="V190" i="11"/>
  <c r="AH189" i="11"/>
  <c r="AG189" i="11"/>
  <c r="AD189" i="11"/>
  <c r="AC189" i="11"/>
  <c r="X189" i="11"/>
  <c r="W189" i="11"/>
  <c r="Q189" i="11"/>
  <c r="V189" i="11"/>
  <c r="AH188" i="11"/>
  <c r="AF188" i="11"/>
  <c r="AD188" i="11"/>
  <c r="X188" i="11"/>
  <c r="V188" i="11"/>
  <c r="Q188" i="11"/>
  <c r="W188" i="11"/>
  <c r="AH187" i="11"/>
  <c r="AF187" i="11"/>
  <c r="AD187" i="11"/>
  <c r="X187" i="11"/>
  <c r="V187" i="11"/>
  <c r="Q187" i="11"/>
  <c r="AG186" i="11"/>
  <c r="AF186" i="11"/>
  <c r="AC186" i="11"/>
  <c r="W186" i="11"/>
  <c r="V186" i="11"/>
  <c r="Q186" i="11"/>
  <c r="T186" i="11"/>
  <c r="F187" i="15"/>
  <c r="J187" i="15"/>
  <c r="AD187" i="15"/>
  <c r="AH185" i="11"/>
  <c r="AF185" i="11"/>
  <c r="AD185" i="11"/>
  <c r="X185" i="11"/>
  <c r="V185" i="11"/>
  <c r="Q185" i="11"/>
  <c r="W185" i="11"/>
  <c r="AH184" i="11"/>
  <c r="AG184" i="11"/>
  <c r="AD184" i="11"/>
  <c r="AC184" i="11"/>
  <c r="X184" i="11"/>
  <c r="W184" i="11"/>
  <c r="Q184" i="11"/>
  <c r="V184" i="11"/>
  <c r="AH183" i="11"/>
  <c r="AG183" i="11"/>
  <c r="AD183" i="11"/>
  <c r="AC183" i="11"/>
  <c r="X183" i="11"/>
  <c r="W183" i="11"/>
  <c r="Q183" i="11"/>
  <c r="AH182" i="11"/>
  <c r="AG182" i="11"/>
  <c r="AD182" i="11"/>
  <c r="AC182" i="11"/>
  <c r="X182" i="11"/>
  <c r="W182" i="11"/>
  <c r="Q182" i="11"/>
  <c r="AF182" i="11"/>
  <c r="AH181" i="11"/>
  <c r="AG181" i="11"/>
  <c r="AD181" i="11"/>
  <c r="AC181" i="11"/>
  <c r="X181" i="11"/>
  <c r="W181" i="11"/>
  <c r="Q181" i="11"/>
  <c r="AF181" i="11"/>
  <c r="AH180" i="11"/>
  <c r="AG180" i="11"/>
  <c r="AD180" i="11"/>
  <c r="AC180" i="11"/>
  <c r="X180" i="11"/>
  <c r="W180" i="11"/>
  <c r="Q180" i="11"/>
  <c r="V180" i="11"/>
  <c r="AH179" i="11"/>
  <c r="AG179" i="11"/>
  <c r="AD179" i="11"/>
  <c r="AC179" i="11"/>
  <c r="X179" i="11"/>
  <c r="W179" i="11"/>
  <c r="Q179" i="11"/>
  <c r="AH178" i="11"/>
  <c r="AG178" i="11"/>
  <c r="AD178" i="11"/>
  <c r="AC178" i="11"/>
  <c r="X178" i="11"/>
  <c r="W178" i="11"/>
  <c r="Q178" i="11"/>
  <c r="V178" i="11"/>
  <c r="AH177" i="11"/>
  <c r="AG177" i="11"/>
  <c r="AD177" i="11"/>
  <c r="AC177" i="11"/>
  <c r="X177" i="11"/>
  <c r="W177" i="11"/>
  <c r="Q177" i="11"/>
  <c r="V177" i="11"/>
  <c r="AH176" i="11"/>
  <c r="AG176" i="11"/>
  <c r="AD176" i="11"/>
  <c r="AC176" i="11"/>
  <c r="X176" i="11"/>
  <c r="W176" i="11"/>
  <c r="Q176" i="11"/>
  <c r="AF176" i="11"/>
  <c r="AH175" i="11"/>
  <c r="AF175" i="11"/>
  <c r="AD175" i="11"/>
  <c r="X175" i="11"/>
  <c r="V175" i="11"/>
  <c r="Q175" i="11"/>
  <c r="AG175" i="11"/>
  <c r="AH174" i="11"/>
  <c r="AF174" i="11"/>
  <c r="AD174" i="11"/>
  <c r="X174" i="11"/>
  <c r="V174" i="11"/>
  <c r="Q174" i="11"/>
  <c r="AG174" i="11"/>
  <c r="AH173" i="11"/>
  <c r="AF173" i="11"/>
  <c r="AD173" i="11"/>
  <c r="X173" i="11"/>
  <c r="V173" i="11"/>
  <c r="Q173" i="11"/>
  <c r="AG173" i="11"/>
  <c r="AH172" i="11"/>
  <c r="AF172" i="11"/>
  <c r="AD172" i="11"/>
  <c r="X172" i="11"/>
  <c r="V172" i="11"/>
  <c r="Q172" i="11"/>
  <c r="W172" i="11"/>
  <c r="AH171" i="11"/>
  <c r="AF171" i="11"/>
  <c r="AD171" i="11"/>
  <c r="X171" i="11"/>
  <c r="V171" i="11"/>
  <c r="Q171" i="11"/>
  <c r="AH170" i="11"/>
  <c r="AF170" i="11"/>
  <c r="AD170" i="11"/>
  <c r="X170" i="11"/>
  <c r="V170" i="11"/>
  <c r="Q170" i="11"/>
  <c r="AG170" i="11"/>
  <c r="AH169" i="11"/>
  <c r="AG169" i="11"/>
  <c r="AD169" i="11"/>
  <c r="AC169" i="11"/>
  <c r="X169" i="11"/>
  <c r="W169" i="11"/>
  <c r="Q169" i="11"/>
  <c r="V169" i="11"/>
  <c r="AH168" i="11"/>
  <c r="AG168" i="11"/>
  <c r="AD168" i="11"/>
  <c r="AC168" i="11"/>
  <c r="X168" i="11"/>
  <c r="W168" i="11"/>
  <c r="Q168" i="11"/>
  <c r="V168" i="11"/>
  <c r="AH167" i="11"/>
  <c r="AG167" i="11"/>
  <c r="AD167" i="11"/>
  <c r="AC167" i="11"/>
  <c r="X167" i="11"/>
  <c r="W167" i="11"/>
  <c r="Q167" i="11"/>
  <c r="V167" i="11"/>
  <c r="AH166" i="11"/>
  <c r="AF166" i="11"/>
  <c r="AD166" i="11"/>
  <c r="X166" i="11"/>
  <c r="V166" i="11"/>
  <c r="Q166" i="11"/>
  <c r="AG166" i="11"/>
  <c r="AH165" i="11"/>
  <c r="AF165" i="11"/>
  <c r="AD165" i="11"/>
  <c r="X165" i="11"/>
  <c r="V165" i="11"/>
  <c r="Q165" i="11"/>
  <c r="AG165" i="11"/>
  <c r="AH164" i="11"/>
  <c r="AG164" i="11"/>
  <c r="AD164" i="11"/>
  <c r="AC164" i="11"/>
  <c r="X164" i="11"/>
  <c r="W164" i="11"/>
  <c r="Q164" i="11"/>
  <c r="V164" i="11"/>
  <c r="AH163" i="11"/>
  <c r="AG163" i="11"/>
  <c r="AD163" i="11"/>
  <c r="AC163" i="11"/>
  <c r="X163" i="11"/>
  <c r="W163" i="11"/>
  <c r="Q163" i="11"/>
  <c r="AG162" i="11"/>
  <c r="AF162" i="11"/>
  <c r="AC162" i="11"/>
  <c r="W162" i="11"/>
  <c r="V162" i="11"/>
  <c r="Q162" i="11"/>
  <c r="X162" i="11"/>
  <c r="AH161" i="11"/>
  <c r="AF161" i="11"/>
  <c r="AD161" i="11"/>
  <c r="X161" i="11"/>
  <c r="V161" i="11"/>
  <c r="Q161" i="11"/>
  <c r="T161" i="11"/>
  <c r="F162" i="15"/>
  <c r="J162" i="15"/>
  <c r="AC162" i="15"/>
  <c r="AH160" i="11"/>
  <c r="AG160" i="11"/>
  <c r="AD160" i="11"/>
  <c r="AC160" i="11"/>
  <c r="X160" i="11"/>
  <c r="W160" i="11"/>
  <c r="Q160" i="11"/>
  <c r="V160" i="11"/>
  <c r="AH159" i="11"/>
  <c r="AF159" i="11"/>
  <c r="AD159" i="11"/>
  <c r="X159" i="11"/>
  <c r="V159" i="11"/>
  <c r="Q159" i="11"/>
  <c r="AG159" i="11"/>
  <c r="AH158" i="11"/>
  <c r="AG158" i="11"/>
  <c r="AD158" i="11"/>
  <c r="AC158" i="11"/>
  <c r="X158" i="11"/>
  <c r="W158" i="11"/>
  <c r="Q158" i="11"/>
  <c r="V158" i="11"/>
  <c r="AH157" i="11"/>
  <c r="AG157" i="11"/>
  <c r="AD157" i="11"/>
  <c r="AC157" i="11"/>
  <c r="X157" i="11"/>
  <c r="W157" i="11"/>
  <c r="Q157" i="11"/>
  <c r="V157" i="11"/>
  <c r="AH156" i="11"/>
  <c r="AF156" i="11"/>
  <c r="AD156" i="11"/>
  <c r="X156" i="11"/>
  <c r="V156" i="11"/>
  <c r="Q156" i="11"/>
  <c r="W156" i="11"/>
  <c r="AH155" i="11"/>
  <c r="AF155" i="11"/>
  <c r="AD155" i="11"/>
  <c r="X155" i="11"/>
  <c r="V155" i="11"/>
  <c r="Q155" i="11"/>
  <c r="AG155" i="11"/>
  <c r="AG154" i="11"/>
  <c r="AF154" i="11"/>
  <c r="AC154" i="11"/>
  <c r="W154" i="11"/>
  <c r="V154" i="11"/>
  <c r="Q154" i="11"/>
  <c r="X154" i="11"/>
  <c r="AH153" i="11"/>
  <c r="AG153" i="11"/>
  <c r="AD153" i="11"/>
  <c r="AC153" i="11"/>
  <c r="X153" i="11"/>
  <c r="W153" i="11"/>
  <c r="Q153" i="11"/>
  <c r="V153" i="11"/>
  <c r="AH152" i="11"/>
  <c r="AG152" i="11"/>
  <c r="AD152" i="11"/>
  <c r="AC152" i="11"/>
  <c r="X152" i="11"/>
  <c r="W152" i="11"/>
  <c r="Q152" i="11"/>
  <c r="V152" i="11"/>
  <c r="AH151" i="11"/>
  <c r="AF151" i="11"/>
  <c r="AD151" i="11"/>
  <c r="X151" i="11"/>
  <c r="V151" i="11"/>
  <c r="Q151" i="11"/>
  <c r="AG151" i="11"/>
  <c r="AH150" i="11"/>
  <c r="AF150" i="11"/>
  <c r="AD150" i="11"/>
  <c r="X150" i="11"/>
  <c r="V150" i="11"/>
  <c r="Q150" i="11"/>
  <c r="W150" i="11"/>
  <c r="AH149" i="11"/>
  <c r="AF149" i="11"/>
  <c r="AD149" i="11"/>
  <c r="X149" i="11"/>
  <c r="V149" i="11"/>
  <c r="Q149" i="11"/>
  <c r="AG149" i="11"/>
  <c r="AH148" i="11"/>
  <c r="AF148" i="11"/>
  <c r="AD148" i="11"/>
  <c r="X148" i="11"/>
  <c r="V148" i="11"/>
  <c r="Q148" i="11"/>
  <c r="AG148" i="11"/>
  <c r="AG147" i="11"/>
  <c r="AF147" i="11"/>
  <c r="AC147" i="11"/>
  <c r="W147" i="11"/>
  <c r="V147" i="11"/>
  <c r="Q147" i="11"/>
  <c r="X147" i="11"/>
  <c r="AH146" i="11"/>
  <c r="AG146" i="11"/>
  <c r="AD146" i="11"/>
  <c r="AC146" i="11"/>
  <c r="X146" i="11"/>
  <c r="W146" i="11"/>
  <c r="Q146" i="11"/>
  <c r="V146" i="11"/>
  <c r="AH145" i="11"/>
  <c r="AG145" i="11"/>
  <c r="AD145" i="11"/>
  <c r="AC145" i="11"/>
  <c r="X145" i="11"/>
  <c r="W145" i="11"/>
  <c r="Q145" i="11"/>
  <c r="V145" i="11"/>
  <c r="AH144" i="11"/>
  <c r="AF144" i="11"/>
  <c r="AD144" i="11"/>
  <c r="X144" i="11"/>
  <c r="V144" i="11"/>
  <c r="Q144" i="11"/>
  <c r="AG144" i="11"/>
  <c r="AH143" i="11"/>
  <c r="AF143" i="11"/>
  <c r="AD143" i="11"/>
  <c r="X143" i="11"/>
  <c r="V143" i="11"/>
  <c r="Q143" i="11"/>
  <c r="AG143" i="11"/>
  <c r="AH142" i="11"/>
  <c r="AF142" i="11"/>
  <c r="AD142" i="11"/>
  <c r="X142" i="11"/>
  <c r="V142" i="11"/>
  <c r="Q142" i="11"/>
  <c r="AG142" i="11"/>
  <c r="AH141" i="11"/>
  <c r="AG141" i="11"/>
  <c r="AD141" i="11"/>
  <c r="AC141" i="11"/>
  <c r="X141" i="11"/>
  <c r="W141" i="11"/>
  <c r="Q141" i="11"/>
  <c r="AH140" i="11"/>
  <c r="AG140" i="11"/>
  <c r="AD140" i="11"/>
  <c r="AC140" i="11"/>
  <c r="X140" i="11"/>
  <c r="W140" i="11"/>
  <c r="Q140" i="11"/>
  <c r="V140" i="11"/>
  <c r="AH139" i="11"/>
  <c r="AG139" i="11"/>
  <c r="AD139" i="11"/>
  <c r="AC139" i="11"/>
  <c r="X139" i="11"/>
  <c r="W139" i="11"/>
  <c r="Q139" i="11"/>
  <c r="V139" i="11"/>
  <c r="AH138" i="11"/>
  <c r="AG138" i="11"/>
  <c r="AD138" i="11"/>
  <c r="AC138" i="11"/>
  <c r="X138" i="11"/>
  <c r="W138" i="11"/>
  <c r="Q138" i="11"/>
  <c r="V138" i="11"/>
  <c r="AH137" i="11"/>
  <c r="AG137" i="11"/>
  <c r="AD137" i="11"/>
  <c r="AC137" i="11"/>
  <c r="X137" i="11"/>
  <c r="W137" i="11"/>
  <c r="Q137" i="11"/>
  <c r="AF137" i="11"/>
  <c r="AH136" i="11"/>
  <c r="AG136" i="11"/>
  <c r="AD136" i="11"/>
  <c r="AC136" i="11"/>
  <c r="X136" i="11"/>
  <c r="W136" i="11"/>
  <c r="Q136" i="11"/>
  <c r="V136" i="11"/>
  <c r="AH135" i="11"/>
  <c r="AG135" i="11"/>
  <c r="AD135" i="11"/>
  <c r="AC135" i="11"/>
  <c r="X135" i="11"/>
  <c r="W135" i="11"/>
  <c r="Q135" i="11"/>
  <c r="V135" i="11"/>
  <c r="AH134" i="11"/>
  <c r="AG134" i="11"/>
  <c r="AD134" i="11"/>
  <c r="AC134" i="11"/>
  <c r="X134" i="11"/>
  <c r="W134" i="11"/>
  <c r="Q134" i="11"/>
  <c r="V134" i="11"/>
  <c r="AH133" i="11"/>
  <c r="AG133" i="11"/>
  <c r="AD133" i="11"/>
  <c r="AC133" i="11"/>
  <c r="X133" i="11"/>
  <c r="W133" i="11"/>
  <c r="Q133" i="11"/>
  <c r="AF133" i="11"/>
  <c r="AH130" i="11"/>
  <c r="AF130" i="11"/>
  <c r="AD130" i="11"/>
  <c r="X130" i="11"/>
  <c r="V130" i="11"/>
  <c r="Q130" i="11"/>
  <c r="AG130" i="11"/>
  <c r="AH129" i="11"/>
  <c r="AF129" i="11"/>
  <c r="AD129" i="11"/>
  <c r="X129" i="11"/>
  <c r="V129" i="11"/>
  <c r="Q129" i="11"/>
  <c r="W129" i="11"/>
  <c r="AG128" i="11"/>
  <c r="AF128" i="11"/>
  <c r="AC128" i="11"/>
  <c r="W128" i="11"/>
  <c r="V128" i="11"/>
  <c r="Q128" i="11"/>
  <c r="AH128" i="11"/>
  <c r="AH127" i="11"/>
  <c r="AG127" i="11"/>
  <c r="AD127" i="11"/>
  <c r="AC127" i="11"/>
  <c r="X127" i="11"/>
  <c r="W127" i="11"/>
  <c r="Q127" i="11"/>
  <c r="V127" i="11"/>
  <c r="AH126" i="11"/>
  <c r="AF126" i="11"/>
  <c r="AD126" i="11"/>
  <c r="X126" i="11"/>
  <c r="V126" i="11"/>
  <c r="Q126" i="11"/>
  <c r="AG126" i="11"/>
  <c r="AH125" i="11"/>
  <c r="AG125" i="11"/>
  <c r="AD125" i="11"/>
  <c r="AC125" i="11"/>
  <c r="X125" i="11"/>
  <c r="W125" i="11"/>
  <c r="Q125" i="11"/>
  <c r="V125" i="11"/>
  <c r="AH124" i="11"/>
  <c r="AG124" i="11"/>
  <c r="AD124" i="11"/>
  <c r="AC124" i="11"/>
  <c r="X124" i="11"/>
  <c r="W124" i="11"/>
  <c r="Q124" i="11"/>
  <c r="V124" i="11"/>
  <c r="AH123" i="11"/>
  <c r="AG123" i="11"/>
  <c r="AD123" i="11"/>
  <c r="AC123" i="11"/>
  <c r="X123" i="11"/>
  <c r="W123" i="11"/>
  <c r="Q123" i="11"/>
  <c r="V123" i="11"/>
  <c r="AH122" i="11"/>
  <c r="AF122" i="11"/>
  <c r="AD122" i="11"/>
  <c r="X122" i="11"/>
  <c r="V122" i="11"/>
  <c r="Q122" i="11"/>
  <c r="AG122" i="11"/>
  <c r="AH121" i="11"/>
  <c r="AF121" i="11"/>
  <c r="AD121" i="11"/>
  <c r="X121" i="11"/>
  <c r="V121" i="11"/>
  <c r="Q121" i="11"/>
  <c r="AG121" i="11"/>
  <c r="AH120" i="11"/>
  <c r="AG120" i="11"/>
  <c r="AD120" i="11"/>
  <c r="AC120" i="11"/>
  <c r="X120" i="11"/>
  <c r="W120" i="11"/>
  <c r="Q120" i="11"/>
  <c r="V120" i="11"/>
  <c r="AH119" i="11"/>
  <c r="AG119" i="11"/>
  <c r="AD119" i="11"/>
  <c r="AC119" i="11"/>
  <c r="X119" i="11"/>
  <c r="W119" i="11"/>
  <c r="Q119" i="11"/>
  <c r="V119" i="11"/>
  <c r="AH118" i="11"/>
  <c r="AG118" i="11"/>
  <c r="AD118" i="11"/>
  <c r="AC118" i="11"/>
  <c r="X118" i="11"/>
  <c r="W118" i="11"/>
  <c r="Q118" i="11"/>
  <c r="V118" i="11"/>
  <c r="AH117" i="11"/>
  <c r="AG117" i="11"/>
  <c r="AD117" i="11"/>
  <c r="AC117" i="11"/>
  <c r="X117" i="11"/>
  <c r="W117" i="11"/>
  <c r="Q117" i="11"/>
  <c r="V117" i="11"/>
  <c r="AH116" i="11"/>
  <c r="AG116" i="11"/>
  <c r="AD116" i="11"/>
  <c r="AC116" i="11"/>
  <c r="X116" i="11"/>
  <c r="W116" i="11"/>
  <c r="Q116" i="11"/>
  <c r="V116" i="11"/>
  <c r="AH115" i="11"/>
  <c r="AG115" i="11"/>
  <c r="AD115" i="11"/>
  <c r="AC115" i="11"/>
  <c r="X115" i="11"/>
  <c r="W115" i="11"/>
  <c r="Q115" i="11"/>
  <c r="V115" i="11"/>
  <c r="AH114" i="11"/>
  <c r="AG114" i="11"/>
  <c r="AD114" i="11"/>
  <c r="AC114" i="11"/>
  <c r="X114" i="11"/>
  <c r="W114" i="11"/>
  <c r="Q114" i="11"/>
  <c r="V114" i="11"/>
  <c r="AH113" i="11"/>
  <c r="AG113" i="11"/>
  <c r="AD113" i="11"/>
  <c r="AC113" i="11"/>
  <c r="X113" i="11"/>
  <c r="W113" i="11"/>
  <c r="Q113" i="11"/>
  <c r="V113" i="11"/>
  <c r="AH112" i="11"/>
  <c r="AG112" i="11"/>
  <c r="AD112" i="11"/>
  <c r="AC112" i="11"/>
  <c r="X112" i="11"/>
  <c r="W112" i="11"/>
  <c r="Q112" i="11"/>
  <c r="AH111" i="11"/>
  <c r="AG111" i="11"/>
  <c r="AD111" i="11"/>
  <c r="AC111" i="11"/>
  <c r="X111" i="11"/>
  <c r="W111" i="11"/>
  <c r="Q111" i="11"/>
  <c r="V111" i="11"/>
  <c r="AH110" i="11"/>
  <c r="AG110" i="11"/>
  <c r="AD110" i="11"/>
  <c r="AC110" i="11"/>
  <c r="X110" i="11"/>
  <c r="W110" i="11"/>
  <c r="Q110" i="11"/>
  <c r="V110" i="11"/>
  <c r="AH109" i="11"/>
  <c r="AG109" i="11"/>
  <c r="AD109" i="11"/>
  <c r="AC109" i="11"/>
  <c r="X109" i="11"/>
  <c r="W109" i="11"/>
  <c r="Q109" i="11"/>
  <c r="V109" i="11"/>
  <c r="AH108" i="11"/>
  <c r="AG108" i="11"/>
  <c r="AD108" i="11"/>
  <c r="AC108" i="11"/>
  <c r="X108" i="11"/>
  <c r="W108" i="11"/>
  <c r="Q108" i="11"/>
  <c r="T108" i="11"/>
  <c r="F109" i="15"/>
  <c r="J109" i="15"/>
  <c r="AB109" i="15"/>
  <c r="AH107" i="11"/>
  <c r="AG107" i="11"/>
  <c r="AD107" i="11"/>
  <c r="AC107" i="11"/>
  <c r="X107" i="11"/>
  <c r="W107" i="11"/>
  <c r="Q107" i="11"/>
  <c r="V107" i="11"/>
  <c r="AH106" i="11"/>
  <c r="AG106" i="11"/>
  <c r="AD106" i="11"/>
  <c r="AC106" i="11"/>
  <c r="X106" i="11"/>
  <c r="W106" i="11"/>
  <c r="Q106" i="11"/>
  <c r="V106" i="11"/>
  <c r="AH105" i="11"/>
  <c r="AG105" i="11"/>
  <c r="AD105" i="11"/>
  <c r="AC105" i="11"/>
  <c r="X105" i="11"/>
  <c r="W105" i="11"/>
  <c r="Q105" i="11"/>
  <c r="V105" i="11"/>
  <c r="AH104" i="11"/>
  <c r="AG104" i="11"/>
  <c r="AD104" i="11"/>
  <c r="AC104" i="11"/>
  <c r="X104" i="11"/>
  <c r="W104" i="11"/>
  <c r="Q104" i="11"/>
  <c r="V104" i="11"/>
  <c r="AH103" i="11"/>
  <c r="AG103" i="11"/>
  <c r="AD103" i="11"/>
  <c r="AC103" i="11"/>
  <c r="X103" i="11"/>
  <c r="W103" i="11"/>
  <c r="Q103" i="11"/>
  <c r="V103" i="11"/>
  <c r="AH102" i="11"/>
  <c r="AG102" i="11"/>
  <c r="AD102" i="11"/>
  <c r="AC102" i="11"/>
  <c r="X102" i="11"/>
  <c r="W102" i="11"/>
  <c r="Q102" i="11"/>
  <c r="V102" i="11"/>
  <c r="J102" i="11"/>
  <c r="AB102" i="11"/>
  <c r="AH101" i="11"/>
  <c r="AG101" i="11"/>
  <c r="AD101" i="11"/>
  <c r="AC101" i="11"/>
  <c r="X101" i="11"/>
  <c r="W101" i="11"/>
  <c r="Q101" i="11"/>
  <c r="V101" i="11"/>
  <c r="AH100" i="11"/>
  <c r="AF100" i="11"/>
  <c r="AD100" i="11"/>
  <c r="X100" i="11"/>
  <c r="V100" i="11"/>
  <c r="Q100" i="11"/>
  <c r="AG100" i="11"/>
  <c r="AH99" i="11"/>
  <c r="AF99" i="11"/>
  <c r="AD99" i="11"/>
  <c r="X99" i="11"/>
  <c r="V99" i="11"/>
  <c r="Q99" i="11"/>
  <c r="AG99" i="11"/>
  <c r="AH98" i="11"/>
  <c r="AF98" i="11"/>
  <c r="AD98" i="11"/>
  <c r="X98" i="11"/>
  <c r="V98" i="11"/>
  <c r="Q98" i="11"/>
  <c r="T98" i="11"/>
  <c r="F99" i="15"/>
  <c r="J99" i="15"/>
  <c r="AC99" i="15"/>
  <c r="AH97" i="11"/>
  <c r="AG97" i="11"/>
  <c r="AD97" i="11"/>
  <c r="AC97" i="11"/>
  <c r="X97" i="11"/>
  <c r="W97" i="11"/>
  <c r="Q97" i="11"/>
  <c r="V97" i="11"/>
  <c r="AH96" i="11"/>
  <c r="AF96" i="11"/>
  <c r="AD96" i="11"/>
  <c r="X96" i="11"/>
  <c r="V96" i="11"/>
  <c r="Q96" i="11"/>
  <c r="AH95" i="11"/>
  <c r="AG95" i="11"/>
  <c r="AD95" i="11"/>
  <c r="AC95" i="11"/>
  <c r="X95" i="11"/>
  <c r="W95" i="11"/>
  <c r="Q95" i="11"/>
  <c r="AF95" i="11"/>
  <c r="AH94" i="11"/>
  <c r="AF94" i="11"/>
  <c r="AD94" i="11"/>
  <c r="X94" i="11"/>
  <c r="V94" i="11"/>
  <c r="Q94" i="11"/>
  <c r="AG94" i="11"/>
  <c r="AH93" i="11"/>
  <c r="AF93" i="11"/>
  <c r="AD93" i="11"/>
  <c r="X93" i="11"/>
  <c r="V93" i="11"/>
  <c r="Q93" i="11"/>
  <c r="AG93" i="11"/>
  <c r="AG92" i="11"/>
  <c r="AF92" i="11"/>
  <c r="AC92" i="11"/>
  <c r="W92" i="11"/>
  <c r="V92" i="11"/>
  <c r="Q92" i="11"/>
  <c r="X92" i="11"/>
  <c r="AG91" i="11"/>
  <c r="AF91" i="11"/>
  <c r="AC91" i="11"/>
  <c r="W91" i="11"/>
  <c r="V91" i="11"/>
  <c r="Q91" i="11"/>
  <c r="AH91" i="11"/>
  <c r="AH90" i="11"/>
  <c r="AG90" i="11"/>
  <c r="AD90" i="11"/>
  <c r="AC90" i="11"/>
  <c r="X90" i="11"/>
  <c r="W90" i="11"/>
  <c r="Q90" i="11"/>
  <c r="V90" i="11"/>
  <c r="AH89" i="11"/>
  <c r="AG89" i="11"/>
  <c r="AD89" i="11"/>
  <c r="AC89" i="11"/>
  <c r="X89" i="11"/>
  <c r="W89" i="11"/>
  <c r="Q89" i="11"/>
  <c r="V89" i="11"/>
  <c r="AH88" i="11"/>
  <c r="AG88" i="11"/>
  <c r="AD88" i="11"/>
  <c r="AC88" i="11"/>
  <c r="X88" i="11"/>
  <c r="W88" i="11"/>
  <c r="Q88" i="11"/>
  <c r="AH87" i="11"/>
  <c r="AG87" i="11"/>
  <c r="AD87" i="11"/>
  <c r="AC87" i="11"/>
  <c r="X87" i="11"/>
  <c r="W87" i="11"/>
  <c r="Q87" i="11"/>
  <c r="AF87" i="11"/>
  <c r="AH86" i="11"/>
  <c r="AG86" i="11"/>
  <c r="AD86" i="11"/>
  <c r="AC86" i="11"/>
  <c r="X86" i="11"/>
  <c r="W86" i="11"/>
  <c r="Q86" i="11"/>
  <c r="V86" i="11"/>
  <c r="AH85" i="11"/>
  <c r="AG85" i="11"/>
  <c r="AD85" i="11"/>
  <c r="AC85" i="11"/>
  <c r="X85" i="11"/>
  <c r="W85" i="11"/>
  <c r="Q85" i="11"/>
  <c r="V85" i="11"/>
  <c r="AH84" i="11"/>
  <c r="AF84" i="11"/>
  <c r="AD84" i="11"/>
  <c r="X84" i="11"/>
  <c r="V84" i="11"/>
  <c r="Q84" i="11"/>
  <c r="AG84" i="11"/>
  <c r="AH83" i="11"/>
  <c r="AF83" i="11"/>
  <c r="AD83" i="11"/>
  <c r="X83" i="11"/>
  <c r="V83" i="11"/>
  <c r="Q83" i="11"/>
  <c r="AG83" i="11"/>
  <c r="AH82" i="11"/>
  <c r="AF82" i="11"/>
  <c r="AD82" i="11"/>
  <c r="X82" i="11"/>
  <c r="V82" i="11"/>
  <c r="Q82" i="11"/>
  <c r="AG82" i="11"/>
  <c r="AH81" i="11"/>
  <c r="AG81" i="11"/>
  <c r="AD81" i="11"/>
  <c r="AC81" i="11"/>
  <c r="X81" i="11"/>
  <c r="W81" i="11"/>
  <c r="Q81" i="11"/>
  <c r="V81" i="11"/>
  <c r="AH80" i="11"/>
  <c r="AF80" i="11"/>
  <c r="AD80" i="11"/>
  <c r="X80" i="11"/>
  <c r="V80" i="11"/>
  <c r="Q80" i="11"/>
  <c r="AH79" i="11"/>
  <c r="AF79" i="11"/>
  <c r="AD79" i="11"/>
  <c r="X79" i="11"/>
  <c r="V79" i="11"/>
  <c r="Q79" i="11"/>
  <c r="AG79" i="11"/>
  <c r="AH78" i="11"/>
  <c r="AF78" i="11"/>
  <c r="AD78" i="11"/>
  <c r="X78" i="11"/>
  <c r="V78" i="11"/>
  <c r="Q78" i="11"/>
  <c r="W78" i="11"/>
  <c r="AH76" i="11"/>
  <c r="AG76" i="11"/>
  <c r="AD76" i="11"/>
  <c r="AC76" i="11"/>
  <c r="X76" i="11"/>
  <c r="W76" i="11"/>
  <c r="Q76" i="11"/>
  <c r="AF76" i="11"/>
  <c r="AH75" i="11"/>
  <c r="AF75" i="11"/>
  <c r="AD75" i="11"/>
  <c r="X75" i="11"/>
  <c r="V75" i="11"/>
  <c r="Q75" i="11"/>
  <c r="W75" i="11"/>
  <c r="AH74" i="11"/>
  <c r="AF74" i="11"/>
  <c r="AD74" i="11"/>
  <c r="X74" i="11"/>
  <c r="V74" i="11"/>
  <c r="Q74" i="11"/>
  <c r="W74" i="11"/>
  <c r="AH73" i="11"/>
  <c r="AG73" i="11"/>
  <c r="AD73" i="11"/>
  <c r="AC73" i="11"/>
  <c r="X73" i="11"/>
  <c r="W73" i="11"/>
  <c r="Q73" i="11"/>
  <c r="V73" i="11"/>
  <c r="AH72" i="11"/>
  <c r="AG72" i="11"/>
  <c r="AD72" i="11"/>
  <c r="AC72" i="11"/>
  <c r="X72" i="11"/>
  <c r="W72" i="11"/>
  <c r="Q72" i="11"/>
  <c r="V72" i="11"/>
  <c r="AH71" i="11"/>
  <c r="AG71" i="11"/>
  <c r="AD71" i="11"/>
  <c r="AC71" i="11"/>
  <c r="X71" i="11"/>
  <c r="W71" i="11"/>
  <c r="Q71" i="11"/>
  <c r="V71" i="11"/>
  <c r="AH70" i="11"/>
  <c r="AG70" i="11"/>
  <c r="AD70" i="11"/>
  <c r="AC70" i="11"/>
  <c r="X70" i="11"/>
  <c r="W70" i="11"/>
  <c r="Q70" i="11"/>
  <c r="AF70" i="11"/>
  <c r="AH69" i="11"/>
  <c r="AG69" i="11"/>
  <c r="AD69" i="11"/>
  <c r="AC69" i="11"/>
  <c r="X69" i="11"/>
  <c r="W69" i="11"/>
  <c r="Q69" i="11"/>
  <c r="AF69" i="11"/>
  <c r="AH68" i="11"/>
  <c r="AG68" i="11"/>
  <c r="AD68" i="11"/>
  <c r="AC68" i="11"/>
  <c r="X68" i="11"/>
  <c r="W68" i="11"/>
  <c r="Q68" i="11"/>
  <c r="AF68" i="11"/>
  <c r="AH67" i="11"/>
  <c r="AG67" i="11"/>
  <c r="AD67" i="11"/>
  <c r="AC67" i="11"/>
  <c r="X67" i="11"/>
  <c r="W67" i="11"/>
  <c r="Q67" i="11"/>
  <c r="AH66" i="11"/>
  <c r="AG66" i="11"/>
  <c r="AD66" i="11"/>
  <c r="AC66" i="11"/>
  <c r="X66" i="11"/>
  <c r="W66" i="11"/>
  <c r="Q66" i="11"/>
  <c r="AF66" i="11"/>
  <c r="AH65" i="11"/>
  <c r="AG65" i="11"/>
  <c r="AD65" i="11"/>
  <c r="AC65" i="11"/>
  <c r="X65" i="11"/>
  <c r="W65" i="11"/>
  <c r="Q65" i="11"/>
  <c r="AF65" i="11"/>
  <c r="AH64" i="11"/>
  <c r="AG64" i="11"/>
  <c r="AD64" i="11"/>
  <c r="AC64" i="11"/>
  <c r="X64" i="11"/>
  <c r="W64" i="11"/>
  <c r="Q64" i="11"/>
  <c r="AF64" i="11"/>
  <c r="AH63" i="11"/>
  <c r="AG63" i="11"/>
  <c r="AD63" i="11"/>
  <c r="AC63" i="11"/>
  <c r="X63" i="11"/>
  <c r="W63" i="11"/>
  <c r="Q63" i="11"/>
  <c r="V63" i="11"/>
  <c r="AH62" i="11"/>
  <c r="AG62" i="11"/>
  <c r="AD62" i="11"/>
  <c r="AC62" i="11"/>
  <c r="X62" i="11"/>
  <c r="W62" i="11"/>
  <c r="Q62" i="11"/>
  <c r="V62" i="11"/>
  <c r="AH61" i="11"/>
  <c r="AG61" i="11"/>
  <c r="AD61" i="11"/>
  <c r="AC61" i="11"/>
  <c r="X61" i="11"/>
  <c r="W61" i="11"/>
  <c r="Q61" i="11"/>
  <c r="V61" i="11"/>
  <c r="AH60" i="11"/>
  <c r="AG60" i="11"/>
  <c r="AD60" i="11"/>
  <c r="AC60" i="11"/>
  <c r="X60" i="11"/>
  <c r="W60" i="11"/>
  <c r="Q60" i="11"/>
  <c r="V60" i="11"/>
  <c r="AH59" i="11"/>
  <c r="AG59" i="11"/>
  <c r="AD59" i="11"/>
  <c r="AC59" i="11"/>
  <c r="X59" i="11"/>
  <c r="W59" i="11"/>
  <c r="Q59" i="11"/>
  <c r="V59" i="11"/>
  <c r="AH58" i="11"/>
  <c r="AG58" i="11"/>
  <c r="AD58" i="11"/>
  <c r="AC58" i="11"/>
  <c r="X58" i="11"/>
  <c r="W58" i="11"/>
  <c r="Q58" i="11"/>
  <c r="V58" i="11"/>
  <c r="AH57" i="11"/>
  <c r="AF57" i="11"/>
  <c r="AD57" i="11"/>
  <c r="X57" i="11"/>
  <c r="V57" i="11"/>
  <c r="Q57" i="11"/>
  <c r="AG57" i="11"/>
  <c r="AH56" i="11"/>
  <c r="AF56" i="11"/>
  <c r="AD56" i="11"/>
  <c r="X56" i="11"/>
  <c r="V56" i="11"/>
  <c r="Q56" i="11"/>
  <c r="AG56" i="11"/>
  <c r="AH55" i="11"/>
  <c r="AF55" i="11"/>
  <c r="AD55" i="11"/>
  <c r="X55" i="11"/>
  <c r="V55" i="11"/>
  <c r="Q55" i="11"/>
  <c r="AG55" i="11"/>
  <c r="AG54" i="11"/>
  <c r="AF54" i="11"/>
  <c r="AC54" i="11"/>
  <c r="W54" i="11"/>
  <c r="V54" i="11"/>
  <c r="Q54" i="11"/>
  <c r="X54" i="11"/>
  <c r="AH53" i="11"/>
  <c r="AF53" i="11"/>
  <c r="AD53" i="11"/>
  <c r="X53" i="11"/>
  <c r="V53" i="11"/>
  <c r="Q53" i="11"/>
  <c r="W53" i="11"/>
  <c r="AH52" i="11"/>
  <c r="AF52" i="11"/>
  <c r="AD52" i="11"/>
  <c r="X52" i="11"/>
  <c r="V52" i="11"/>
  <c r="Q52" i="11"/>
  <c r="AG52" i="11"/>
  <c r="AH51" i="11"/>
  <c r="AF51" i="11"/>
  <c r="AD51" i="11"/>
  <c r="X51" i="11"/>
  <c r="V51" i="11"/>
  <c r="Q51" i="11"/>
  <c r="AG51" i="11"/>
  <c r="AH50" i="11"/>
  <c r="AF50" i="11"/>
  <c r="AD50" i="11"/>
  <c r="X50" i="11"/>
  <c r="V50" i="11"/>
  <c r="Q50" i="11"/>
  <c r="AG50" i="11"/>
  <c r="AH49" i="11"/>
  <c r="AF49" i="11"/>
  <c r="AD49" i="11"/>
  <c r="X49" i="11"/>
  <c r="V49" i="11"/>
  <c r="Q49" i="11"/>
  <c r="AG49" i="11"/>
  <c r="AH48" i="11"/>
  <c r="AG48" i="11"/>
  <c r="AD48" i="11"/>
  <c r="AC48" i="11"/>
  <c r="X48" i="11"/>
  <c r="W48" i="11"/>
  <c r="Q48" i="11"/>
  <c r="V48" i="11"/>
  <c r="AH47" i="11"/>
  <c r="AG47" i="11"/>
  <c r="AD47" i="11"/>
  <c r="AC47" i="11"/>
  <c r="X47" i="11"/>
  <c r="W47" i="11"/>
  <c r="Q47" i="11"/>
  <c r="V47" i="11"/>
  <c r="AH46" i="11"/>
  <c r="AG46" i="11"/>
  <c r="AD46" i="11"/>
  <c r="AC46" i="11"/>
  <c r="X46" i="11"/>
  <c r="W46" i="11"/>
  <c r="Q46" i="11"/>
  <c r="AH45" i="11"/>
  <c r="AF45" i="11"/>
  <c r="AD45" i="11"/>
  <c r="X45" i="11"/>
  <c r="V45" i="11"/>
  <c r="Q45" i="11"/>
  <c r="AG45" i="11"/>
  <c r="AH44" i="11"/>
  <c r="AG44" i="11"/>
  <c r="AD44" i="11"/>
  <c r="AC44" i="11"/>
  <c r="X44" i="11"/>
  <c r="W44" i="11"/>
  <c r="Q44" i="11"/>
  <c r="V44" i="11"/>
  <c r="AH43" i="11"/>
  <c r="AG43" i="11"/>
  <c r="AD43" i="11"/>
  <c r="AC43" i="11"/>
  <c r="X43" i="11"/>
  <c r="W43" i="11"/>
  <c r="Q43" i="11"/>
  <c r="V43" i="11"/>
  <c r="AH42" i="11"/>
  <c r="AF42" i="11"/>
  <c r="AD42" i="11"/>
  <c r="X42" i="11"/>
  <c r="V42" i="11"/>
  <c r="Q42" i="11"/>
  <c r="AH41" i="11"/>
  <c r="AF41" i="11"/>
  <c r="AD41" i="11"/>
  <c r="X41" i="11"/>
  <c r="V41" i="11"/>
  <c r="Q41" i="11"/>
  <c r="AG41" i="11"/>
  <c r="AH40" i="11"/>
  <c r="AG40" i="11"/>
  <c r="AD40" i="11"/>
  <c r="AC40" i="11"/>
  <c r="X40" i="11"/>
  <c r="W40" i="11"/>
  <c r="Q40" i="11"/>
  <c r="V40" i="11"/>
  <c r="AH39" i="11"/>
  <c r="AG39" i="11"/>
  <c r="AD39" i="11"/>
  <c r="AC39" i="11"/>
  <c r="X39" i="11"/>
  <c r="W39" i="11"/>
  <c r="Q39" i="11"/>
  <c r="AF39" i="11"/>
  <c r="AG38" i="11"/>
  <c r="AF38" i="11"/>
  <c r="AC38" i="11"/>
  <c r="W38" i="11"/>
  <c r="V38" i="11"/>
  <c r="Q38" i="11"/>
  <c r="X38" i="11"/>
  <c r="AH37" i="11"/>
  <c r="AG37" i="11"/>
  <c r="AD37" i="11"/>
  <c r="AC37" i="11"/>
  <c r="X37" i="11"/>
  <c r="W37" i="11"/>
  <c r="Q37" i="11"/>
  <c r="V37" i="11"/>
  <c r="AH36" i="11"/>
  <c r="AG36" i="11"/>
  <c r="AD36" i="11"/>
  <c r="AC36" i="11"/>
  <c r="X36" i="11"/>
  <c r="W36" i="11"/>
  <c r="Q36" i="11"/>
  <c r="AH35" i="11"/>
  <c r="AG35" i="11"/>
  <c r="AD35" i="11"/>
  <c r="AC35" i="11"/>
  <c r="X35" i="11"/>
  <c r="W35" i="11"/>
  <c r="Q35" i="11"/>
  <c r="V35" i="11"/>
  <c r="AH34" i="11"/>
  <c r="AG34" i="11"/>
  <c r="AD34" i="11"/>
  <c r="AC34" i="11"/>
  <c r="X34" i="11"/>
  <c r="W34" i="11"/>
  <c r="Q34" i="11"/>
  <c r="V34" i="11"/>
  <c r="AH33" i="11"/>
  <c r="AG33" i="11"/>
  <c r="AD33" i="11"/>
  <c r="AC33" i="11"/>
  <c r="X33" i="11"/>
  <c r="W33" i="11"/>
  <c r="Q33" i="11"/>
  <c r="V33" i="11"/>
  <c r="AH32" i="11"/>
  <c r="AG32" i="11"/>
  <c r="AD32" i="11"/>
  <c r="AC32" i="11"/>
  <c r="X32" i="11"/>
  <c r="W32" i="11"/>
  <c r="Q32" i="11"/>
  <c r="V32" i="11"/>
  <c r="AH31" i="11"/>
  <c r="AG31" i="11"/>
  <c r="AD31" i="11"/>
  <c r="AC31" i="11"/>
  <c r="X31" i="11"/>
  <c r="W31" i="11"/>
  <c r="Q31" i="11"/>
  <c r="V31" i="11"/>
  <c r="AH30" i="11"/>
  <c r="AG30" i="11"/>
  <c r="AD30" i="11"/>
  <c r="AC30" i="11"/>
  <c r="X30" i="11"/>
  <c r="W30" i="11"/>
  <c r="Q30" i="11"/>
  <c r="V30" i="11"/>
  <c r="AH29" i="11"/>
  <c r="AG29" i="11"/>
  <c r="AD29" i="11"/>
  <c r="AC29" i="11"/>
  <c r="X29" i="11"/>
  <c r="W29" i="11"/>
  <c r="Q29" i="11"/>
  <c r="V29" i="11"/>
  <c r="AH28" i="11"/>
  <c r="AF28" i="11"/>
  <c r="AD28" i="11"/>
  <c r="X28" i="11"/>
  <c r="V28" i="11"/>
  <c r="Q28" i="11"/>
  <c r="W28" i="11"/>
  <c r="AH27" i="11"/>
  <c r="AG27" i="11"/>
  <c r="AD27" i="11"/>
  <c r="AC27" i="11"/>
  <c r="X27" i="11"/>
  <c r="W27" i="11"/>
  <c r="Q27" i="11"/>
  <c r="V27" i="11"/>
  <c r="AH26" i="11"/>
  <c r="AG26" i="11"/>
  <c r="AD26" i="11"/>
  <c r="AC26" i="11"/>
  <c r="X26" i="11"/>
  <c r="W26" i="11"/>
  <c r="Q26" i="11"/>
  <c r="V26" i="11"/>
  <c r="AH25" i="11"/>
  <c r="AF25" i="11"/>
  <c r="AD25" i="11"/>
  <c r="X25" i="11"/>
  <c r="V25" i="11"/>
  <c r="Q25" i="11"/>
  <c r="AG25" i="11"/>
  <c r="AH24" i="11"/>
  <c r="AF24" i="11"/>
  <c r="AD24" i="11"/>
  <c r="X24" i="11"/>
  <c r="V24" i="11"/>
  <c r="Q24" i="11"/>
  <c r="AG24" i="11"/>
  <c r="AH23" i="11"/>
  <c r="AF23" i="11"/>
  <c r="AD23" i="11"/>
  <c r="X23" i="11"/>
  <c r="V23" i="11"/>
  <c r="Q23" i="11"/>
  <c r="AG23" i="11"/>
  <c r="AH22" i="11"/>
  <c r="AG22" i="11"/>
  <c r="AD22" i="11"/>
  <c r="AC22" i="11"/>
  <c r="X22" i="11"/>
  <c r="W22" i="11"/>
  <c r="Q22" i="11"/>
  <c r="V22" i="11"/>
  <c r="AH21" i="11"/>
  <c r="AG21" i="11"/>
  <c r="AD21" i="11"/>
  <c r="AC21" i="11"/>
  <c r="X21" i="11"/>
  <c r="W21" i="11"/>
  <c r="Q21" i="11"/>
  <c r="V21" i="11"/>
  <c r="AH20" i="11"/>
  <c r="AG20" i="11"/>
  <c r="AD20" i="11"/>
  <c r="AC20" i="11"/>
  <c r="X20" i="11"/>
  <c r="W20" i="11"/>
  <c r="Q20" i="11"/>
  <c r="V20" i="11"/>
  <c r="AH19" i="11"/>
  <c r="AF19" i="11"/>
  <c r="AD19" i="11"/>
  <c r="X19" i="11"/>
  <c r="V19" i="11"/>
  <c r="Q19" i="11"/>
  <c r="W19" i="11"/>
  <c r="AH18" i="11"/>
  <c r="AF18" i="11"/>
  <c r="AD18" i="11"/>
  <c r="X18" i="11"/>
  <c r="V18" i="11"/>
  <c r="Q18" i="11"/>
  <c r="AG18" i="11"/>
  <c r="AH17" i="11"/>
  <c r="AG17" i="11"/>
  <c r="AD17" i="11"/>
  <c r="AC17" i="11"/>
  <c r="X17" i="11"/>
  <c r="W17" i="11"/>
  <c r="Q17" i="11"/>
  <c r="V17" i="11"/>
  <c r="AH16" i="11"/>
  <c r="AF16" i="11"/>
  <c r="AD16" i="11"/>
  <c r="X16" i="11"/>
  <c r="V16" i="11"/>
  <c r="Q16" i="11"/>
  <c r="T16" i="11"/>
  <c r="F16" i="15"/>
  <c r="J16" i="15"/>
  <c r="AC16" i="15"/>
  <c r="T80" i="11"/>
  <c r="F81" i="15"/>
  <c r="J81" i="15"/>
  <c r="AC81" i="15"/>
  <c r="AF190" i="11"/>
  <c r="G251" i="11"/>
  <c r="AF239" i="11"/>
  <c r="Q152" i="9"/>
  <c r="T152" i="9"/>
  <c r="AD234" i="10"/>
  <c r="E44" i="10"/>
  <c r="AB228" i="15"/>
  <c r="G182" i="10"/>
  <c r="R199" i="9"/>
  <c r="G122" i="10"/>
  <c r="G111" i="10"/>
  <c r="R223" i="9"/>
  <c r="Q45" i="9"/>
  <c r="T45" i="9"/>
  <c r="R255" i="9"/>
  <c r="E81" i="10"/>
  <c r="R90" i="9"/>
  <c r="E97" i="10"/>
  <c r="R191" i="9"/>
  <c r="G194" i="10"/>
  <c r="G195" i="10"/>
  <c r="G143" i="10"/>
  <c r="R208" i="9"/>
  <c r="R75" i="9"/>
  <c r="R21" i="9"/>
  <c r="R168" i="9"/>
  <c r="R250" i="9"/>
  <c r="R249" i="9"/>
  <c r="R277" i="9"/>
  <c r="R247" i="9"/>
  <c r="R180" i="9"/>
  <c r="R73" i="9"/>
  <c r="R72" i="9"/>
  <c r="R71" i="9"/>
  <c r="R70" i="9"/>
  <c r="R69" i="9"/>
  <c r="R68" i="9"/>
  <c r="R258" i="9"/>
  <c r="R48" i="9"/>
  <c r="E234" i="10"/>
  <c r="E254" i="10"/>
  <c r="R205" i="9"/>
  <c r="R204" i="9"/>
  <c r="AC111" i="10"/>
  <c r="AC110" i="10"/>
  <c r="AC109" i="10"/>
  <c r="AC108" i="10"/>
  <c r="AC107" i="10"/>
  <c r="AC106" i="10"/>
  <c r="AC105" i="10"/>
  <c r="AC104" i="10"/>
  <c r="AB103" i="10"/>
  <c r="AB102" i="10"/>
  <c r="AB101" i="10"/>
  <c r="AC100" i="10"/>
  <c r="AB99" i="10"/>
  <c r="AC98" i="10"/>
  <c r="AB97" i="10"/>
  <c r="AB96" i="10"/>
  <c r="AC95" i="10"/>
  <c r="AB95" i="10"/>
  <c r="AC182" i="10"/>
  <c r="T282" i="9"/>
  <c r="F253" i="10"/>
  <c r="J253" i="10"/>
  <c r="AB253" i="10"/>
  <c r="T281" i="9"/>
  <c r="F252" i="10"/>
  <c r="J252" i="10"/>
  <c r="AC252" i="10"/>
  <c r="T280" i="9"/>
  <c r="F251" i="10"/>
  <c r="J251" i="10"/>
  <c r="AB251" i="10"/>
  <c r="T279" i="9"/>
  <c r="F250" i="10"/>
  <c r="J250" i="10"/>
  <c r="AD250" i="10"/>
  <c r="T278" i="9"/>
  <c r="F249" i="10"/>
  <c r="J249" i="10"/>
  <c r="AD249" i="10"/>
  <c r="T276" i="9"/>
  <c r="F247" i="10"/>
  <c r="J247" i="10"/>
  <c r="AB247" i="10"/>
  <c r="T275" i="9"/>
  <c r="F246" i="10"/>
  <c r="J246" i="10"/>
  <c r="AB246" i="10"/>
  <c r="T272" i="9"/>
  <c r="F244" i="10"/>
  <c r="J244" i="10"/>
  <c r="AB244" i="10"/>
  <c r="T271" i="9"/>
  <c r="F243" i="10"/>
  <c r="J243" i="10"/>
  <c r="AC243" i="10"/>
  <c r="T270" i="9"/>
  <c r="F242" i="10"/>
  <c r="J242" i="10"/>
  <c r="AB242" i="10"/>
  <c r="T269" i="9"/>
  <c r="F241" i="10"/>
  <c r="J241" i="10"/>
  <c r="AC241" i="10"/>
  <c r="T268" i="9"/>
  <c r="F240" i="10"/>
  <c r="J240" i="10"/>
  <c r="AC240" i="10"/>
  <c r="T267" i="9"/>
  <c r="F239" i="10"/>
  <c r="J239" i="10"/>
  <c r="AC239" i="10"/>
  <c r="T266" i="9"/>
  <c r="F238" i="10"/>
  <c r="J238" i="10"/>
  <c r="AC238" i="10"/>
  <c r="T265" i="9"/>
  <c r="F237" i="10"/>
  <c r="J237" i="10"/>
  <c r="AB237" i="10"/>
  <c r="T264" i="9"/>
  <c r="F236" i="10"/>
  <c r="J236" i="10"/>
  <c r="AB236" i="10"/>
  <c r="T263" i="9"/>
  <c r="F235" i="10"/>
  <c r="J235" i="10"/>
  <c r="AD235" i="10"/>
  <c r="T262" i="9"/>
  <c r="F234" i="10"/>
  <c r="J234" i="10"/>
  <c r="T261" i="9"/>
  <c r="F233" i="10"/>
  <c r="J233" i="10"/>
  <c r="AC233" i="10"/>
  <c r="T259" i="9"/>
  <c r="F231" i="10"/>
  <c r="J231" i="10"/>
  <c r="AB231" i="10"/>
  <c r="T257" i="9"/>
  <c r="F229" i="10"/>
  <c r="J229" i="10"/>
  <c r="AB229" i="10"/>
  <c r="F228" i="10"/>
  <c r="J228" i="10"/>
  <c r="AB228" i="10"/>
  <c r="T254" i="9"/>
  <c r="F226" i="10"/>
  <c r="J226" i="10"/>
  <c r="AD226" i="10"/>
  <c r="T253" i="9"/>
  <c r="F225" i="10"/>
  <c r="J225" i="10"/>
  <c r="AB225" i="10"/>
  <c r="T252" i="9"/>
  <c r="F224" i="10"/>
  <c r="J224" i="10"/>
  <c r="AC224" i="10"/>
  <c r="T245" i="9"/>
  <c r="F217" i="10"/>
  <c r="J217" i="10"/>
  <c r="AC217" i="10"/>
  <c r="T243" i="9"/>
  <c r="F216" i="10"/>
  <c r="J216" i="10"/>
  <c r="AC216" i="10"/>
  <c r="T242" i="9"/>
  <c r="F215" i="10"/>
  <c r="J215" i="10"/>
  <c r="AB215" i="10"/>
  <c r="T241" i="9"/>
  <c r="F214" i="10"/>
  <c r="J214" i="10"/>
  <c r="AB214" i="10"/>
  <c r="T240" i="9"/>
  <c r="F213" i="10"/>
  <c r="J213" i="10"/>
  <c r="AB213" i="10"/>
  <c r="T239" i="9"/>
  <c r="F212" i="10"/>
  <c r="J212" i="10"/>
  <c r="AC212" i="10"/>
  <c r="T238" i="9"/>
  <c r="F211" i="10"/>
  <c r="J211" i="10"/>
  <c r="AC211" i="10"/>
  <c r="T237" i="9"/>
  <c r="F210" i="10"/>
  <c r="J210" i="10"/>
  <c r="AC210" i="10"/>
  <c r="T236" i="9"/>
  <c r="F209" i="10"/>
  <c r="J209" i="10"/>
  <c r="AC209" i="10"/>
  <c r="T235" i="9"/>
  <c r="F208" i="10"/>
  <c r="J208" i="10"/>
  <c r="AC208" i="10"/>
  <c r="T234" i="9"/>
  <c r="F207" i="10"/>
  <c r="J207" i="10"/>
  <c r="AC207" i="10"/>
  <c r="T233" i="9"/>
  <c r="F206" i="10"/>
  <c r="J206" i="10"/>
  <c r="AC206" i="10"/>
  <c r="T232" i="9"/>
  <c r="F205" i="10"/>
  <c r="J205" i="10"/>
  <c r="AC205" i="10"/>
  <c r="T231" i="9"/>
  <c r="F204" i="10"/>
  <c r="J204" i="10"/>
  <c r="AB204" i="10"/>
  <c r="T228" i="9"/>
  <c r="F201" i="10"/>
  <c r="J201" i="10"/>
  <c r="AC201" i="10"/>
  <c r="T227" i="9"/>
  <c r="F200" i="10"/>
  <c r="J200" i="10"/>
  <c r="AB200" i="10"/>
  <c r="T226" i="9"/>
  <c r="F199" i="10"/>
  <c r="J199" i="10"/>
  <c r="AB199" i="10"/>
  <c r="T225" i="9"/>
  <c r="F198" i="10"/>
  <c r="J198" i="10"/>
  <c r="AC198" i="10"/>
  <c r="T220" i="9"/>
  <c r="F195" i="10"/>
  <c r="J195" i="10"/>
  <c r="AD195" i="10"/>
  <c r="F194" i="10"/>
  <c r="J194" i="10"/>
  <c r="AC194" i="10"/>
  <c r="T218" i="9"/>
  <c r="F192" i="10"/>
  <c r="J192" i="10"/>
  <c r="AB192" i="10"/>
  <c r="T216" i="9"/>
  <c r="F191" i="10"/>
  <c r="J191" i="10"/>
  <c r="AC191" i="10"/>
  <c r="T215" i="9"/>
  <c r="F190" i="10"/>
  <c r="J190" i="10"/>
  <c r="AC190" i="10"/>
  <c r="T214" i="9"/>
  <c r="F189" i="10"/>
  <c r="J189" i="10"/>
  <c r="AD189" i="10"/>
  <c r="T212" i="9"/>
  <c r="F187" i="10"/>
  <c r="J187" i="10"/>
  <c r="AB187" i="10"/>
  <c r="T210" i="9"/>
  <c r="F185" i="10"/>
  <c r="J185" i="10"/>
  <c r="AB185" i="10"/>
  <c r="T207" i="9"/>
  <c r="F182" i="10"/>
  <c r="J182" i="10"/>
  <c r="AB182" i="10"/>
  <c r="T206" i="9"/>
  <c r="F181" i="10"/>
  <c r="J181" i="10"/>
  <c r="AB181" i="10"/>
  <c r="T202" i="9"/>
  <c r="F178" i="10"/>
  <c r="J178" i="10"/>
  <c r="AC178" i="10"/>
  <c r="T201" i="9"/>
  <c r="F177" i="10"/>
  <c r="J177" i="10"/>
  <c r="AC177" i="10"/>
  <c r="T200" i="9"/>
  <c r="F176" i="10"/>
  <c r="J176" i="10"/>
  <c r="AC176" i="10"/>
  <c r="T198" i="9"/>
  <c r="F174" i="10"/>
  <c r="J174" i="10"/>
  <c r="AC174" i="10"/>
  <c r="T195" i="9"/>
  <c r="F172" i="10"/>
  <c r="J172" i="10"/>
  <c r="AB172" i="10"/>
  <c r="T188" i="9"/>
  <c r="F167" i="10"/>
  <c r="J167" i="10"/>
  <c r="AB167" i="10"/>
  <c r="T187" i="9"/>
  <c r="F166" i="10"/>
  <c r="J166" i="10"/>
  <c r="AB166" i="10"/>
  <c r="T186" i="9"/>
  <c r="F165" i="10"/>
  <c r="J165" i="10"/>
  <c r="AD165" i="10"/>
  <c r="T185" i="9"/>
  <c r="F164" i="10"/>
  <c r="J164" i="10"/>
  <c r="AC164" i="10"/>
  <c r="T183" i="9"/>
  <c r="F162" i="10"/>
  <c r="J162" i="10"/>
  <c r="AC162" i="10"/>
  <c r="T182" i="9"/>
  <c r="F161" i="10"/>
  <c r="J161" i="10"/>
  <c r="AB161" i="10"/>
  <c r="T181" i="9"/>
  <c r="F160" i="10"/>
  <c r="J160" i="10"/>
  <c r="AB160" i="10"/>
  <c r="T178" i="9"/>
  <c r="F157" i="10"/>
  <c r="J157" i="10"/>
  <c r="AD157" i="10"/>
  <c r="T176" i="9"/>
  <c r="F155" i="10"/>
  <c r="J155" i="10"/>
  <c r="AB155" i="10"/>
  <c r="T175" i="9"/>
  <c r="F154" i="10"/>
  <c r="J154" i="10"/>
  <c r="AC154" i="10"/>
  <c r="T173" i="9"/>
  <c r="F153" i="10"/>
  <c r="J153" i="10"/>
  <c r="AC153" i="10"/>
  <c r="T172" i="9"/>
  <c r="F152" i="10"/>
  <c r="J152" i="10"/>
  <c r="AC152" i="10"/>
  <c r="T171" i="9"/>
  <c r="F151" i="10"/>
  <c r="J151" i="10"/>
  <c r="AC151" i="10"/>
  <c r="T170" i="9"/>
  <c r="F150" i="10"/>
  <c r="J150" i="10"/>
  <c r="AD150" i="10"/>
  <c r="T167" i="9"/>
  <c r="F147" i="10"/>
  <c r="J147" i="10"/>
  <c r="AC147" i="10"/>
  <c r="T166" i="9"/>
  <c r="F146" i="10"/>
  <c r="J146" i="10"/>
  <c r="AC146" i="10"/>
  <c r="T165" i="9"/>
  <c r="F145" i="10"/>
  <c r="J145" i="10"/>
  <c r="AC145" i="10"/>
  <c r="T164" i="9"/>
  <c r="F144" i="10"/>
  <c r="J144" i="10"/>
  <c r="AB144" i="10"/>
  <c r="T163" i="9"/>
  <c r="F143" i="10"/>
  <c r="J143" i="10"/>
  <c r="AB143" i="10"/>
  <c r="T162" i="9"/>
  <c r="F142" i="10"/>
  <c r="J142" i="10"/>
  <c r="AB142" i="10"/>
  <c r="T161" i="9"/>
  <c r="F141" i="10"/>
  <c r="J141" i="10"/>
  <c r="AB141" i="10"/>
  <c r="T160" i="9"/>
  <c r="F140" i="10"/>
  <c r="J140" i="10"/>
  <c r="AB140" i="10"/>
  <c r="T159" i="9"/>
  <c r="F139" i="10"/>
  <c r="J139" i="10"/>
  <c r="AB139" i="10"/>
  <c r="T158" i="9"/>
  <c r="F138" i="10"/>
  <c r="J138" i="10"/>
  <c r="AB138" i="10"/>
  <c r="T157" i="9"/>
  <c r="F137" i="10"/>
  <c r="J137" i="10"/>
  <c r="AB137" i="10"/>
  <c r="T155" i="9"/>
  <c r="F136" i="10"/>
  <c r="J136" i="10"/>
  <c r="AB136" i="10"/>
  <c r="F131" i="10"/>
  <c r="J131" i="10"/>
  <c r="AD131" i="10"/>
  <c r="T150" i="9"/>
  <c r="F129" i="10"/>
  <c r="J129" i="10"/>
  <c r="AC129" i="10"/>
  <c r="T147" i="9"/>
  <c r="F127" i="10"/>
  <c r="J127" i="10"/>
  <c r="AB127" i="10"/>
  <c r="T137" i="9"/>
  <c r="F123" i="10"/>
  <c r="J123" i="10"/>
  <c r="AB123" i="10"/>
  <c r="T136" i="9"/>
  <c r="F122" i="10"/>
  <c r="J122" i="10"/>
  <c r="AB122" i="10"/>
  <c r="T135" i="9"/>
  <c r="F121" i="10"/>
  <c r="J121" i="10"/>
  <c r="AB121" i="10"/>
  <c r="T134" i="9"/>
  <c r="F120" i="10"/>
  <c r="J120" i="10"/>
  <c r="AB120" i="10"/>
  <c r="T133" i="9"/>
  <c r="F119" i="10"/>
  <c r="J119" i="10"/>
  <c r="AB119" i="10"/>
  <c r="T132" i="9"/>
  <c r="F118" i="10"/>
  <c r="J118" i="10"/>
  <c r="AB118" i="10"/>
  <c r="T131" i="9"/>
  <c r="F117" i="10"/>
  <c r="J117" i="10"/>
  <c r="AB117" i="10"/>
  <c r="T130" i="9"/>
  <c r="F116" i="10"/>
  <c r="J116" i="10"/>
  <c r="AB116" i="10"/>
  <c r="T129" i="9"/>
  <c r="F115" i="10"/>
  <c r="J115" i="10"/>
  <c r="AB115" i="10"/>
  <c r="T128" i="9"/>
  <c r="F114" i="10"/>
  <c r="J114" i="10"/>
  <c r="AB114" i="10"/>
  <c r="T127" i="9"/>
  <c r="F113" i="10"/>
  <c r="J113" i="10"/>
  <c r="AB113" i="10"/>
  <c r="T126" i="9"/>
  <c r="F112" i="10"/>
  <c r="J112" i="10"/>
  <c r="AB112" i="10"/>
  <c r="T125" i="9"/>
  <c r="F111" i="10"/>
  <c r="J111" i="10"/>
  <c r="AB111" i="10"/>
  <c r="T124" i="9"/>
  <c r="F110" i="10"/>
  <c r="J110" i="10"/>
  <c r="AB110" i="10"/>
  <c r="T123" i="9"/>
  <c r="F109" i="10"/>
  <c r="J109" i="10"/>
  <c r="AB109" i="10"/>
  <c r="T121" i="9"/>
  <c r="F107" i="10"/>
  <c r="J107" i="10"/>
  <c r="AB107" i="10"/>
  <c r="T120" i="9"/>
  <c r="F106" i="10"/>
  <c r="J106" i="10"/>
  <c r="AB106" i="10"/>
  <c r="T119" i="9"/>
  <c r="F105" i="10"/>
  <c r="T118" i="9"/>
  <c r="F104" i="10"/>
  <c r="J104" i="10"/>
  <c r="AB104" i="10"/>
  <c r="T117" i="9"/>
  <c r="F103" i="10"/>
  <c r="J103" i="10"/>
  <c r="AC103" i="10"/>
  <c r="T114" i="9"/>
  <c r="F100" i="10"/>
  <c r="J100" i="10"/>
  <c r="AB100" i="10"/>
  <c r="T112" i="9"/>
  <c r="F98" i="10"/>
  <c r="J98" i="10"/>
  <c r="AB98" i="10"/>
  <c r="T110" i="9"/>
  <c r="F96" i="10"/>
  <c r="J96" i="10"/>
  <c r="AC96" i="10"/>
  <c r="T109" i="9"/>
  <c r="F95" i="10"/>
  <c r="J95" i="10"/>
  <c r="AD95" i="10"/>
  <c r="T103" i="9"/>
  <c r="F93" i="10"/>
  <c r="J93" i="10"/>
  <c r="AB93" i="10"/>
  <c r="T102" i="9"/>
  <c r="F92" i="10"/>
  <c r="J92" i="10"/>
  <c r="AB92" i="10"/>
  <c r="T101" i="9"/>
  <c r="F91" i="10"/>
  <c r="J91" i="10"/>
  <c r="AB91" i="10"/>
  <c r="T100" i="9"/>
  <c r="F90" i="10"/>
  <c r="J90" i="10"/>
  <c r="AB90" i="10"/>
  <c r="T98" i="9"/>
  <c r="F89" i="10"/>
  <c r="J89" i="10"/>
  <c r="AB89" i="10"/>
  <c r="T97" i="9"/>
  <c r="F88" i="10"/>
  <c r="J88" i="10"/>
  <c r="AB88" i="10"/>
  <c r="T93" i="9"/>
  <c r="F84" i="10"/>
  <c r="J84" i="10"/>
  <c r="AB84" i="10"/>
  <c r="T92" i="9"/>
  <c r="F83" i="10"/>
  <c r="J83" i="10"/>
  <c r="AC83" i="10"/>
  <c r="T91" i="9"/>
  <c r="F82" i="10"/>
  <c r="J82" i="10"/>
  <c r="AC82" i="10"/>
  <c r="T89" i="9"/>
  <c r="F79" i="10"/>
  <c r="J79" i="10"/>
  <c r="AB79" i="10"/>
  <c r="T88" i="9"/>
  <c r="F78" i="10"/>
  <c r="J78" i="10"/>
  <c r="AC78" i="10"/>
  <c r="T86" i="9"/>
  <c r="F77" i="10"/>
  <c r="J77" i="10"/>
  <c r="AC77" i="10"/>
  <c r="T79" i="9"/>
  <c r="F70" i="10"/>
  <c r="J70" i="10"/>
  <c r="AB70" i="10"/>
  <c r="T76" i="9"/>
  <c r="F69" i="10"/>
  <c r="J69" i="10"/>
  <c r="AB69" i="10"/>
  <c r="F67" i="10"/>
  <c r="J67" i="10"/>
  <c r="AB67" i="10"/>
  <c r="T66" i="9"/>
  <c r="F60" i="10"/>
  <c r="J60" i="10"/>
  <c r="AC60" i="10"/>
  <c r="T65" i="9"/>
  <c r="F59" i="10"/>
  <c r="J59" i="10"/>
  <c r="AC59" i="10"/>
  <c r="T64" i="9"/>
  <c r="F58" i="10"/>
  <c r="J58" i="10"/>
  <c r="AC58" i="10"/>
  <c r="T63" i="9"/>
  <c r="F57" i="10"/>
  <c r="J57" i="10"/>
  <c r="AD57" i="10"/>
  <c r="T62" i="9"/>
  <c r="F56" i="10"/>
  <c r="J56" i="10"/>
  <c r="AC56" i="10"/>
  <c r="T60" i="9"/>
  <c r="F55" i="10"/>
  <c r="J55" i="10"/>
  <c r="AC55" i="10"/>
  <c r="T59" i="9"/>
  <c r="F54" i="10"/>
  <c r="J54" i="10"/>
  <c r="AC54" i="10"/>
  <c r="T58" i="9"/>
  <c r="F53" i="10"/>
  <c r="J53" i="10"/>
  <c r="AC53" i="10"/>
  <c r="T57" i="9"/>
  <c r="F52" i="10"/>
  <c r="J52" i="10"/>
  <c r="AC52" i="10"/>
  <c r="T54" i="9"/>
  <c r="F49" i="10"/>
  <c r="J49" i="10"/>
  <c r="AB49" i="10"/>
  <c r="T50" i="9"/>
  <c r="F46" i="10"/>
  <c r="J46" i="10"/>
  <c r="AB46" i="10"/>
  <c r="T49" i="9"/>
  <c r="F45" i="10"/>
  <c r="J45" i="10"/>
  <c r="AC45" i="10"/>
  <c r="J43" i="10"/>
  <c r="AB43" i="10"/>
  <c r="F42" i="10"/>
  <c r="J42" i="10"/>
  <c r="AB42" i="10"/>
  <c r="T43" i="9"/>
  <c r="F40" i="10"/>
  <c r="J40" i="10"/>
  <c r="AB40" i="10"/>
  <c r="T33" i="9"/>
  <c r="F31" i="10"/>
  <c r="J31" i="10"/>
  <c r="AC31" i="10"/>
  <c r="T30" i="9"/>
  <c r="F29" i="10"/>
  <c r="J29" i="10"/>
  <c r="AB29" i="10"/>
  <c r="T29" i="9"/>
  <c r="F28" i="10"/>
  <c r="J28" i="10"/>
  <c r="AC28" i="10"/>
  <c r="T28" i="9"/>
  <c r="F27" i="10"/>
  <c r="J27" i="10"/>
  <c r="AC27" i="10"/>
  <c r="AD257" i="10"/>
  <c r="Z254" i="10"/>
  <c r="Y265" i="10"/>
  <c r="Y254" i="10"/>
  <c r="Y262" i="10"/>
  <c r="R254" i="10"/>
  <c r="F256" i="11"/>
  <c r="P254" i="10"/>
  <c r="O254" i="10"/>
  <c r="N254" i="10"/>
  <c r="M254" i="10"/>
  <c r="L254" i="10"/>
  <c r="AH253" i="10"/>
  <c r="AG253" i="10"/>
  <c r="AD253" i="10"/>
  <c r="AC253" i="10"/>
  <c r="X253" i="10"/>
  <c r="W253" i="10"/>
  <c r="Q253" i="10"/>
  <c r="T253" i="10"/>
  <c r="F250" i="11"/>
  <c r="J250" i="11"/>
  <c r="AB250" i="11"/>
  <c r="AF253" i="10"/>
  <c r="AH252" i="10"/>
  <c r="AF252" i="10"/>
  <c r="AD252" i="10"/>
  <c r="AB252" i="10"/>
  <c r="X252" i="10"/>
  <c r="V252" i="10"/>
  <c r="Q252" i="10"/>
  <c r="T252" i="10"/>
  <c r="F249" i="11"/>
  <c r="J249" i="11"/>
  <c r="AC249" i="11"/>
  <c r="W252" i="10"/>
  <c r="AH251" i="10"/>
  <c r="AG251" i="10"/>
  <c r="AD251" i="10"/>
  <c r="AC251" i="10"/>
  <c r="X251" i="10"/>
  <c r="W251" i="10"/>
  <c r="Q251" i="10"/>
  <c r="T251" i="10"/>
  <c r="F248" i="11"/>
  <c r="J248" i="11"/>
  <c r="AB248" i="11"/>
  <c r="AF251" i="10"/>
  <c r="AG250" i="10"/>
  <c r="AF250" i="10"/>
  <c r="AC250" i="10"/>
  <c r="AB250" i="10"/>
  <c r="W250" i="10"/>
  <c r="V250" i="10"/>
  <c r="Q250" i="10"/>
  <c r="T250" i="10"/>
  <c r="F247" i="11"/>
  <c r="J247" i="11"/>
  <c r="AD247" i="11"/>
  <c r="AH250" i="10"/>
  <c r="AG249" i="10"/>
  <c r="AF249" i="10"/>
  <c r="AC249" i="10"/>
  <c r="AB249" i="10"/>
  <c r="W249" i="10"/>
  <c r="V249" i="10"/>
  <c r="Q249" i="10"/>
  <c r="T249" i="10"/>
  <c r="F246" i="11"/>
  <c r="J246" i="11"/>
  <c r="AD246" i="11"/>
  <c r="AH249" i="10"/>
  <c r="AG248" i="10"/>
  <c r="AF248" i="10"/>
  <c r="AC248" i="10"/>
  <c r="AB248" i="10"/>
  <c r="W248" i="10"/>
  <c r="V248" i="10"/>
  <c r="Q248" i="10"/>
  <c r="T248" i="10"/>
  <c r="F245" i="11"/>
  <c r="J245" i="11"/>
  <c r="AD245" i="11"/>
  <c r="X248" i="10"/>
  <c r="AH247" i="10"/>
  <c r="AG247" i="10"/>
  <c r="AD247" i="10"/>
  <c r="AC247" i="10"/>
  <c r="X247" i="10"/>
  <c r="W247" i="10"/>
  <c r="Q247" i="10"/>
  <c r="T247" i="10"/>
  <c r="F244" i="11"/>
  <c r="J244" i="11"/>
  <c r="AB244" i="11"/>
  <c r="V247" i="10"/>
  <c r="AH246" i="10"/>
  <c r="AG246" i="10"/>
  <c r="AD246" i="10"/>
  <c r="AC246" i="10"/>
  <c r="X246" i="10"/>
  <c r="W246" i="10"/>
  <c r="Q246" i="10"/>
  <c r="T246" i="10"/>
  <c r="F243" i="11"/>
  <c r="J243" i="11"/>
  <c r="AB243" i="11"/>
  <c r="V246" i="10"/>
  <c r="AH245" i="10"/>
  <c r="AG245" i="10"/>
  <c r="AD245" i="10"/>
  <c r="AC245" i="10"/>
  <c r="X245" i="10"/>
  <c r="W245" i="10"/>
  <c r="Q245" i="10"/>
  <c r="T245" i="10"/>
  <c r="F242" i="11"/>
  <c r="J242" i="11"/>
  <c r="AB242" i="11"/>
  <c r="V245" i="10"/>
  <c r="AH244" i="10"/>
  <c r="AG244" i="10"/>
  <c r="AD244" i="10"/>
  <c r="AC244" i="10"/>
  <c r="X244" i="10"/>
  <c r="W244" i="10"/>
  <c r="Q244" i="10"/>
  <c r="T244" i="10"/>
  <c r="F241" i="11"/>
  <c r="J241" i="11"/>
  <c r="AB241" i="11"/>
  <c r="V244" i="10"/>
  <c r="AH243" i="10"/>
  <c r="AF243" i="10"/>
  <c r="AD243" i="10"/>
  <c r="AB243" i="10"/>
  <c r="X243" i="10"/>
  <c r="V243" i="10"/>
  <c r="Q243" i="10"/>
  <c r="T243" i="10"/>
  <c r="F240" i="11"/>
  <c r="J240" i="11"/>
  <c r="AC240" i="11"/>
  <c r="AG243" i="10"/>
  <c r="AH242" i="10"/>
  <c r="AG242" i="10"/>
  <c r="AD242" i="10"/>
  <c r="AC242" i="10"/>
  <c r="X242" i="10"/>
  <c r="W242" i="10"/>
  <c r="Q242" i="10"/>
  <c r="T242" i="10"/>
  <c r="F239" i="11"/>
  <c r="J239" i="11"/>
  <c r="AB239" i="11"/>
  <c r="V242" i="10"/>
  <c r="AH241" i="10"/>
  <c r="AF241" i="10"/>
  <c r="AD241" i="10"/>
  <c r="AB241" i="10"/>
  <c r="X241" i="10"/>
  <c r="V241" i="10"/>
  <c r="Q241" i="10"/>
  <c r="T241" i="10"/>
  <c r="F238" i="11"/>
  <c r="J238" i="11"/>
  <c r="AC238" i="11"/>
  <c r="AG241" i="10"/>
  <c r="AH240" i="10"/>
  <c r="AF240" i="10"/>
  <c r="AD240" i="10"/>
  <c r="AB240" i="10"/>
  <c r="X240" i="10"/>
  <c r="V240" i="10"/>
  <c r="Q240" i="10"/>
  <c r="T240" i="10"/>
  <c r="F237" i="11"/>
  <c r="J237" i="11"/>
  <c r="AC237" i="11"/>
  <c r="AG240" i="10"/>
  <c r="AH239" i="10"/>
  <c r="AF239" i="10"/>
  <c r="AD239" i="10"/>
  <c r="AB239" i="10"/>
  <c r="X239" i="10"/>
  <c r="V239" i="10"/>
  <c r="Q239" i="10"/>
  <c r="T239" i="10"/>
  <c r="F236" i="11"/>
  <c r="J236" i="11"/>
  <c r="AC236" i="11"/>
  <c r="AG239" i="10"/>
  <c r="AH238" i="10"/>
  <c r="AF238" i="10"/>
  <c r="AD238" i="10"/>
  <c r="AB238" i="10"/>
  <c r="X238" i="10"/>
  <c r="V238" i="10"/>
  <c r="Q238" i="10"/>
  <c r="T238" i="10"/>
  <c r="F235" i="11"/>
  <c r="J235" i="11"/>
  <c r="AC235" i="11"/>
  <c r="AG238" i="10"/>
  <c r="AH237" i="10"/>
  <c r="AG237" i="10"/>
  <c r="AD237" i="10"/>
  <c r="AC237" i="10"/>
  <c r="X237" i="10"/>
  <c r="W237" i="10"/>
  <c r="Q237" i="10"/>
  <c r="T237" i="10"/>
  <c r="F234" i="11"/>
  <c r="J234" i="11"/>
  <c r="AB234" i="11"/>
  <c r="V237" i="10"/>
  <c r="AH236" i="10"/>
  <c r="AG236" i="10"/>
  <c r="AD236" i="10"/>
  <c r="AC236" i="10"/>
  <c r="X236" i="10"/>
  <c r="W236" i="10"/>
  <c r="Q236" i="10"/>
  <c r="T236" i="10"/>
  <c r="F233" i="11"/>
  <c r="J233" i="11"/>
  <c r="AB233" i="11"/>
  <c r="V236" i="10"/>
  <c r="AG235" i="10"/>
  <c r="AF235" i="10"/>
  <c r="AC235" i="10"/>
  <c r="AB235" i="10"/>
  <c r="W235" i="10"/>
  <c r="V235" i="10"/>
  <c r="Q235" i="10"/>
  <c r="T235" i="10"/>
  <c r="F232" i="11"/>
  <c r="J232" i="11"/>
  <c r="AD232" i="11"/>
  <c r="X235" i="10"/>
  <c r="AH234" i="10"/>
  <c r="AF234" i="10"/>
  <c r="AB234" i="10"/>
  <c r="X234" i="10"/>
  <c r="V234" i="10"/>
  <c r="Q234" i="10"/>
  <c r="T234" i="10"/>
  <c r="F231" i="11"/>
  <c r="J231" i="11"/>
  <c r="AC231" i="11"/>
  <c r="AG234" i="10"/>
  <c r="AH233" i="10"/>
  <c r="AF233" i="10"/>
  <c r="AD233" i="10"/>
  <c r="AB233" i="10"/>
  <c r="X233" i="10"/>
  <c r="V233" i="10"/>
  <c r="Q233" i="10"/>
  <c r="T233" i="10"/>
  <c r="F230" i="11"/>
  <c r="J230" i="11"/>
  <c r="AC230" i="11"/>
  <c r="AG233" i="10"/>
  <c r="AH232" i="10"/>
  <c r="AG232" i="10"/>
  <c r="AD232" i="10"/>
  <c r="AC232" i="10"/>
  <c r="X232" i="10"/>
  <c r="W232" i="10"/>
  <c r="T232" i="10"/>
  <c r="F229" i="11"/>
  <c r="J229" i="11"/>
  <c r="AB229" i="11"/>
  <c r="V232" i="10"/>
  <c r="AH231" i="10"/>
  <c r="AG231" i="10"/>
  <c r="AD231" i="10"/>
  <c r="AC231" i="10"/>
  <c r="X231" i="10"/>
  <c r="W231" i="10"/>
  <c r="Q231" i="10"/>
  <c r="T231" i="10"/>
  <c r="F228" i="11"/>
  <c r="J228" i="11"/>
  <c r="AB228" i="11"/>
  <c r="V231" i="10"/>
  <c r="AG230" i="10"/>
  <c r="AF230" i="10"/>
  <c r="AC230" i="10"/>
  <c r="AB230" i="10"/>
  <c r="W230" i="10"/>
  <c r="V230" i="10"/>
  <c r="Q230" i="10"/>
  <c r="T230" i="10"/>
  <c r="F227" i="11"/>
  <c r="J227" i="11"/>
  <c r="AD227" i="11"/>
  <c r="X230" i="10"/>
  <c r="AH229" i="10"/>
  <c r="AG229" i="10"/>
  <c r="AD229" i="10"/>
  <c r="AC229" i="10"/>
  <c r="X229" i="10"/>
  <c r="W229" i="10"/>
  <c r="T229" i="10"/>
  <c r="F226" i="11"/>
  <c r="J226" i="11"/>
  <c r="AB226" i="11"/>
  <c r="V229" i="10"/>
  <c r="AH228" i="10"/>
  <c r="AG228" i="10"/>
  <c r="AD228" i="10"/>
  <c r="AC228" i="10"/>
  <c r="X228" i="10"/>
  <c r="W228" i="10"/>
  <c r="AF228" i="10"/>
  <c r="AH227" i="10"/>
  <c r="AG227" i="10"/>
  <c r="AD227" i="10"/>
  <c r="AC227" i="10"/>
  <c r="X227" i="10"/>
  <c r="W227" i="10"/>
  <c r="Q227" i="10"/>
  <c r="T227" i="10"/>
  <c r="F224" i="11"/>
  <c r="J224" i="11"/>
  <c r="AB224" i="11"/>
  <c r="V227" i="10"/>
  <c r="AG226" i="10"/>
  <c r="AF226" i="10"/>
  <c r="AC226" i="10"/>
  <c r="AB226" i="10"/>
  <c r="W226" i="10"/>
  <c r="V226" i="10"/>
  <c r="Q226" i="10"/>
  <c r="T226" i="10"/>
  <c r="F223" i="11"/>
  <c r="J223" i="11"/>
  <c r="AD223" i="11"/>
  <c r="X226" i="10"/>
  <c r="AH225" i="10"/>
  <c r="AG225" i="10"/>
  <c r="AD225" i="10"/>
  <c r="AC225" i="10"/>
  <c r="X225" i="10"/>
  <c r="W225" i="10"/>
  <c r="Q225" i="10"/>
  <c r="T225" i="10"/>
  <c r="F222" i="11"/>
  <c r="J222" i="11"/>
  <c r="AB222" i="11"/>
  <c r="V225" i="10"/>
  <c r="AH224" i="10"/>
  <c r="AF224" i="10"/>
  <c r="AD224" i="10"/>
  <c r="AB224" i="10"/>
  <c r="X224" i="10"/>
  <c r="V224" i="10"/>
  <c r="Q224" i="10"/>
  <c r="T224" i="10"/>
  <c r="F221" i="11"/>
  <c r="J221" i="11"/>
  <c r="AC221" i="11"/>
  <c r="AG224" i="10"/>
  <c r="AG223" i="10"/>
  <c r="AF223" i="10"/>
  <c r="AC223" i="10"/>
  <c r="AB223" i="10"/>
  <c r="W223" i="10"/>
  <c r="V223" i="10"/>
  <c r="Q223" i="10"/>
  <c r="T223" i="10"/>
  <c r="F220" i="11"/>
  <c r="J220" i="11"/>
  <c r="AD220" i="11"/>
  <c r="X223" i="10"/>
  <c r="AH222" i="10"/>
  <c r="AF222" i="10"/>
  <c r="AD222" i="10"/>
  <c r="AB222" i="10"/>
  <c r="X222" i="10"/>
  <c r="V222" i="10"/>
  <c r="Q222" i="10"/>
  <c r="T222" i="10"/>
  <c r="F219" i="11"/>
  <c r="J219" i="11"/>
  <c r="AC219" i="11"/>
  <c r="AG222" i="10"/>
  <c r="AH221" i="10"/>
  <c r="AF221" i="10"/>
  <c r="AD221" i="10"/>
  <c r="AB221" i="10"/>
  <c r="X221" i="10"/>
  <c r="V221" i="10"/>
  <c r="Q221" i="10"/>
  <c r="T221" i="10"/>
  <c r="F218" i="11"/>
  <c r="J218" i="11"/>
  <c r="AC218" i="11"/>
  <c r="AG221" i="10"/>
  <c r="AH220" i="10"/>
  <c r="AF220" i="10"/>
  <c r="AD220" i="10"/>
  <c r="AB220" i="10"/>
  <c r="X220" i="10"/>
  <c r="V220" i="10"/>
  <c r="Q220" i="10"/>
  <c r="T220" i="10"/>
  <c r="F217" i="11"/>
  <c r="J217" i="11"/>
  <c r="AC217" i="11"/>
  <c r="AG220" i="10"/>
  <c r="AH219" i="10"/>
  <c r="AF219" i="10"/>
  <c r="AD219" i="10"/>
  <c r="AB219" i="10"/>
  <c r="X219" i="10"/>
  <c r="V219" i="10"/>
  <c r="Q219" i="10"/>
  <c r="T219" i="10"/>
  <c r="F216" i="11"/>
  <c r="J216" i="11"/>
  <c r="AC216" i="11"/>
  <c r="AG219" i="10"/>
  <c r="AH218" i="10"/>
  <c r="AF218" i="10"/>
  <c r="AD218" i="10"/>
  <c r="AB218" i="10"/>
  <c r="X218" i="10"/>
  <c r="V218" i="10"/>
  <c r="Q218" i="10"/>
  <c r="T218" i="10"/>
  <c r="F215" i="11"/>
  <c r="J215" i="11"/>
  <c r="AC215" i="11"/>
  <c r="AG218" i="10"/>
  <c r="AH217" i="10"/>
  <c r="AF217" i="10"/>
  <c r="AD217" i="10"/>
  <c r="AB217" i="10"/>
  <c r="X217" i="10"/>
  <c r="V217" i="10"/>
  <c r="Q217" i="10"/>
  <c r="T217" i="10"/>
  <c r="F214" i="11"/>
  <c r="J214" i="11"/>
  <c r="AC214" i="11"/>
  <c r="AG217" i="10"/>
  <c r="AH216" i="10"/>
  <c r="AF216" i="10"/>
  <c r="AD216" i="10"/>
  <c r="AB216" i="10"/>
  <c r="X216" i="10"/>
  <c r="V216" i="10"/>
  <c r="Q216" i="10"/>
  <c r="T216" i="10"/>
  <c r="F213" i="11"/>
  <c r="J213" i="11"/>
  <c r="AC213" i="11"/>
  <c r="AG216" i="10"/>
  <c r="AH215" i="10"/>
  <c r="AG215" i="10"/>
  <c r="AD215" i="10"/>
  <c r="AC215" i="10"/>
  <c r="X215" i="10"/>
  <c r="W215" i="10"/>
  <c r="Q215" i="10"/>
  <c r="T215" i="10"/>
  <c r="F212" i="11"/>
  <c r="J212" i="11"/>
  <c r="AB212" i="11"/>
  <c r="V215" i="10"/>
  <c r="AH214" i="10"/>
  <c r="AG214" i="10"/>
  <c r="AD214" i="10"/>
  <c r="AC214" i="10"/>
  <c r="X214" i="10"/>
  <c r="W214" i="10"/>
  <c r="Q214" i="10"/>
  <c r="T214" i="10"/>
  <c r="F211" i="11"/>
  <c r="J211" i="11"/>
  <c r="AB211" i="11"/>
  <c r="V214" i="10"/>
  <c r="AH213" i="10"/>
  <c r="AG213" i="10"/>
  <c r="AD213" i="10"/>
  <c r="AC213" i="10"/>
  <c r="X213" i="10"/>
  <c r="W213" i="10"/>
  <c r="Q213" i="10"/>
  <c r="T213" i="10"/>
  <c r="F210" i="11"/>
  <c r="J210" i="11"/>
  <c r="AB210" i="11"/>
  <c r="V213" i="10"/>
  <c r="AH212" i="10"/>
  <c r="AF212" i="10"/>
  <c r="AD212" i="10"/>
  <c r="AB212" i="10"/>
  <c r="X212" i="10"/>
  <c r="V212" i="10"/>
  <c r="Q212" i="10"/>
  <c r="T212" i="10"/>
  <c r="F209" i="11"/>
  <c r="J209" i="11"/>
  <c r="AC209" i="11"/>
  <c r="AG212" i="10"/>
  <c r="AH211" i="10"/>
  <c r="AF211" i="10"/>
  <c r="AD211" i="10"/>
  <c r="AB211" i="10"/>
  <c r="X211" i="10"/>
  <c r="V211" i="10"/>
  <c r="Q211" i="10"/>
  <c r="T211" i="10"/>
  <c r="F208" i="11"/>
  <c r="J208" i="11"/>
  <c r="AC208" i="11"/>
  <c r="AG211" i="10"/>
  <c r="AH210" i="10"/>
  <c r="AF210" i="10"/>
  <c r="AD210" i="10"/>
  <c r="AB210" i="10"/>
  <c r="X210" i="10"/>
  <c r="V210" i="10"/>
  <c r="Q210" i="10"/>
  <c r="T210" i="10"/>
  <c r="F207" i="11"/>
  <c r="J207" i="11"/>
  <c r="AC207" i="11"/>
  <c r="AG210" i="10"/>
  <c r="AH209" i="10"/>
  <c r="AF209" i="10"/>
  <c r="AD209" i="10"/>
  <c r="AB209" i="10"/>
  <c r="X209" i="10"/>
  <c r="V209" i="10"/>
  <c r="Q209" i="10"/>
  <c r="T209" i="10"/>
  <c r="F206" i="11"/>
  <c r="J206" i="11"/>
  <c r="AC206" i="11"/>
  <c r="AG209" i="10"/>
  <c r="AH208" i="10"/>
  <c r="AF208" i="10"/>
  <c r="AD208" i="10"/>
  <c r="AB208" i="10"/>
  <c r="X208" i="10"/>
  <c r="V208" i="10"/>
  <c r="Q208" i="10"/>
  <c r="T208" i="10"/>
  <c r="F205" i="11"/>
  <c r="J205" i="11"/>
  <c r="AC205" i="11"/>
  <c r="AG208" i="10"/>
  <c r="AH207" i="10"/>
  <c r="AF207" i="10"/>
  <c r="AD207" i="10"/>
  <c r="AB207" i="10"/>
  <c r="X207" i="10"/>
  <c r="V207" i="10"/>
  <c r="Q207" i="10"/>
  <c r="T207" i="10"/>
  <c r="F204" i="11"/>
  <c r="J204" i="11"/>
  <c r="AC204" i="11"/>
  <c r="AG207" i="10"/>
  <c r="AH206" i="10"/>
  <c r="AF206" i="10"/>
  <c r="AD206" i="10"/>
  <c r="AB206" i="10"/>
  <c r="X206" i="10"/>
  <c r="V206" i="10"/>
  <c r="Q206" i="10"/>
  <c r="T206" i="10"/>
  <c r="F203" i="11"/>
  <c r="J203" i="11"/>
  <c r="AC203" i="11"/>
  <c r="AG206" i="10"/>
  <c r="AH205" i="10"/>
  <c r="AF205" i="10"/>
  <c r="AD205" i="10"/>
  <c r="AB205" i="10"/>
  <c r="X205" i="10"/>
  <c r="V205" i="10"/>
  <c r="Q205" i="10"/>
  <c r="T205" i="10"/>
  <c r="F202" i="11"/>
  <c r="J202" i="11"/>
  <c r="AC202" i="11"/>
  <c r="AG205" i="10"/>
  <c r="AH204" i="10"/>
  <c r="AG204" i="10"/>
  <c r="AD204" i="10"/>
  <c r="AC204" i="10"/>
  <c r="X204" i="10"/>
  <c r="W204" i="10"/>
  <c r="Q204" i="10"/>
  <c r="T204" i="10"/>
  <c r="F201" i="11"/>
  <c r="J201" i="11"/>
  <c r="AB201" i="11"/>
  <c r="V204" i="10"/>
  <c r="AH203" i="10"/>
  <c r="AG203" i="10"/>
  <c r="AD203" i="10"/>
  <c r="AC203" i="10"/>
  <c r="X203" i="10"/>
  <c r="W203" i="10"/>
  <c r="Q203" i="10"/>
  <c r="T203" i="10"/>
  <c r="F200" i="11"/>
  <c r="J200" i="11"/>
  <c r="AB200" i="11"/>
  <c r="V203" i="10"/>
  <c r="AH202" i="10"/>
  <c r="AG202" i="10"/>
  <c r="AD202" i="10"/>
  <c r="AC202" i="10"/>
  <c r="X202" i="10"/>
  <c r="W202" i="10"/>
  <c r="Q202" i="10"/>
  <c r="T202" i="10"/>
  <c r="F199" i="11"/>
  <c r="J199" i="11"/>
  <c r="AB199" i="11"/>
  <c r="V202" i="10"/>
  <c r="AH201" i="10"/>
  <c r="AF201" i="10"/>
  <c r="AD201" i="10"/>
  <c r="AB201" i="10"/>
  <c r="X201" i="10"/>
  <c r="V201" i="10"/>
  <c r="Q201" i="10"/>
  <c r="T201" i="10"/>
  <c r="F198" i="11"/>
  <c r="J198" i="11"/>
  <c r="AC198" i="11"/>
  <c r="AG201" i="10"/>
  <c r="AH200" i="10"/>
  <c r="AG200" i="10"/>
  <c r="AD200" i="10"/>
  <c r="AC200" i="10"/>
  <c r="X200" i="10"/>
  <c r="W200" i="10"/>
  <c r="Q200" i="10"/>
  <c r="T200" i="10"/>
  <c r="F197" i="11"/>
  <c r="J197" i="11"/>
  <c r="AB197" i="11"/>
  <c r="V200" i="10"/>
  <c r="AH199" i="10"/>
  <c r="AG199" i="10"/>
  <c r="AD199" i="10"/>
  <c r="AC199" i="10"/>
  <c r="X199" i="10"/>
  <c r="W199" i="10"/>
  <c r="Q199" i="10"/>
  <c r="T199" i="10"/>
  <c r="F196" i="11"/>
  <c r="J196" i="11"/>
  <c r="AB196" i="11"/>
  <c r="V199" i="10"/>
  <c r="AH198" i="10"/>
  <c r="AF198" i="10"/>
  <c r="AD198" i="10"/>
  <c r="AB198" i="10"/>
  <c r="X198" i="10"/>
  <c r="V198" i="10"/>
  <c r="Q198" i="10"/>
  <c r="T198" i="10"/>
  <c r="F195" i="11"/>
  <c r="J195" i="11"/>
  <c r="AC195" i="11"/>
  <c r="AG198" i="10"/>
  <c r="AH197" i="10"/>
  <c r="AG197" i="10"/>
  <c r="AD197" i="10"/>
  <c r="AC197" i="10"/>
  <c r="X197" i="10"/>
  <c r="W197" i="10"/>
  <c r="Q197" i="10"/>
  <c r="T197" i="10"/>
  <c r="F194" i="11"/>
  <c r="J194" i="11"/>
  <c r="AB194" i="11"/>
  <c r="V197" i="10"/>
  <c r="AH196" i="10"/>
  <c r="AG196" i="10"/>
  <c r="AD196" i="10"/>
  <c r="AC196" i="10"/>
  <c r="X196" i="10"/>
  <c r="W196" i="10"/>
  <c r="Q196" i="10"/>
  <c r="T196" i="10"/>
  <c r="F193" i="11"/>
  <c r="J193" i="11"/>
  <c r="AB193" i="11"/>
  <c r="V196" i="10"/>
  <c r="AG195" i="10"/>
  <c r="AF195" i="10"/>
  <c r="AC195" i="10"/>
  <c r="AB195" i="10"/>
  <c r="W195" i="10"/>
  <c r="V195" i="10"/>
  <c r="Q195" i="10"/>
  <c r="T195" i="10"/>
  <c r="X195" i="10"/>
  <c r="AH194" i="10"/>
  <c r="AF194" i="10"/>
  <c r="AD194" i="10"/>
  <c r="AB194" i="10"/>
  <c r="X194" i="10"/>
  <c r="V194" i="10"/>
  <c r="Q194" i="10"/>
  <c r="T194" i="10"/>
  <c r="AG194" i="10"/>
  <c r="AH193" i="10"/>
  <c r="AG193" i="10"/>
  <c r="AD193" i="10"/>
  <c r="AC193" i="10"/>
  <c r="X193" i="10"/>
  <c r="W193" i="10"/>
  <c r="Q193" i="10"/>
  <c r="V193" i="10"/>
  <c r="AH192" i="10"/>
  <c r="AG192" i="10"/>
  <c r="AD192" i="10"/>
  <c r="AC192" i="10"/>
  <c r="X192" i="10"/>
  <c r="W192" i="10"/>
  <c r="Q192" i="10"/>
  <c r="T192" i="10"/>
  <c r="F189" i="11"/>
  <c r="J189" i="11"/>
  <c r="AB189" i="11"/>
  <c r="V192" i="10"/>
  <c r="AH191" i="10"/>
  <c r="AF191" i="10"/>
  <c r="AD191" i="10"/>
  <c r="AB191" i="10"/>
  <c r="X191" i="10"/>
  <c r="V191" i="10"/>
  <c r="Q191" i="10"/>
  <c r="T191" i="10"/>
  <c r="F188" i="11"/>
  <c r="J188" i="11"/>
  <c r="AC188" i="11"/>
  <c r="AG191" i="10"/>
  <c r="AH190" i="10"/>
  <c r="AF190" i="10"/>
  <c r="AD190" i="10"/>
  <c r="AB190" i="10"/>
  <c r="X190" i="10"/>
  <c r="V190" i="10"/>
  <c r="Q190" i="10"/>
  <c r="T190" i="10"/>
  <c r="F187" i="11"/>
  <c r="J187" i="11"/>
  <c r="AC187" i="11"/>
  <c r="AG190" i="10"/>
  <c r="AG189" i="10"/>
  <c r="AF189" i="10"/>
  <c r="AC189" i="10"/>
  <c r="AB189" i="10"/>
  <c r="W189" i="10"/>
  <c r="V189" i="10"/>
  <c r="Q189" i="10"/>
  <c r="T189" i="10"/>
  <c r="F186" i="11"/>
  <c r="J186" i="11"/>
  <c r="AD186" i="11"/>
  <c r="X189" i="10"/>
  <c r="AH188" i="10"/>
  <c r="AF188" i="10"/>
  <c r="AD188" i="10"/>
  <c r="AB188" i="10"/>
  <c r="X188" i="10"/>
  <c r="V188" i="10"/>
  <c r="Q188" i="10"/>
  <c r="T188" i="10"/>
  <c r="F185" i="11"/>
  <c r="J185" i="11"/>
  <c r="AC185" i="11"/>
  <c r="AG188" i="10"/>
  <c r="AH187" i="10"/>
  <c r="AG187" i="10"/>
  <c r="AD187" i="10"/>
  <c r="AC187" i="10"/>
  <c r="X187" i="10"/>
  <c r="W187" i="10"/>
  <c r="Q187" i="10"/>
  <c r="T187" i="10"/>
  <c r="F184" i="11"/>
  <c r="J184" i="11"/>
  <c r="AB184" i="11"/>
  <c r="V187" i="10"/>
  <c r="AH186" i="10"/>
  <c r="AG186" i="10"/>
  <c r="AD186" i="10"/>
  <c r="AC186" i="10"/>
  <c r="X186" i="10"/>
  <c r="W186" i="10"/>
  <c r="Q186" i="10"/>
  <c r="T186" i="10"/>
  <c r="F183" i="11"/>
  <c r="J183" i="11"/>
  <c r="V186" i="10"/>
  <c r="AH185" i="10"/>
  <c r="AG185" i="10"/>
  <c r="AD185" i="10"/>
  <c r="AC185" i="10"/>
  <c r="X185" i="10"/>
  <c r="W185" i="10"/>
  <c r="Q185" i="10"/>
  <c r="T185" i="10"/>
  <c r="F182" i="11"/>
  <c r="J182" i="11"/>
  <c r="AB182" i="11"/>
  <c r="V185" i="10"/>
  <c r="AH184" i="10"/>
  <c r="AG184" i="10"/>
  <c r="AD184" i="10"/>
  <c r="AC184" i="10"/>
  <c r="X184" i="10"/>
  <c r="W184" i="10"/>
  <c r="Q184" i="10"/>
  <c r="T184" i="10"/>
  <c r="F181" i="11"/>
  <c r="J181" i="11"/>
  <c r="AB181" i="11"/>
  <c r="AF184" i="10"/>
  <c r="AH183" i="10"/>
  <c r="AG183" i="10"/>
  <c r="AD183" i="10"/>
  <c r="AC183" i="10"/>
  <c r="X183" i="10"/>
  <c r="W183" i="10"/>
  <c r="Q183" i="10"/>
  <c r="T183" i="10"/>
  <c r="F180" i="11"/>
  <c r="J180" i="11"/>
  <c r="AB180" i="11"/>
  <c r="AF183" i="10"/>
  <c r="AH182" i="10"/>
  <c r="AG182" i="10"/>
  <c r="AD182" i="10"/>
  <c r="X182" i="10"/>
  <c r="W182" i="10"/>
  <c r="Q182" i="10"/>
  <c r="T182" i="10"/>
  <c r="F179" i="11"/>
  <c r="J179" i="11"/>
  <c r="AB179" i="11"/>
  <c r="AF182" i="10"/>
  <c r="AH181" i="10"/>
  <c r="AG181" i="10"/>
  <c r="AD181" i="10"/>
  <c r="AC181" i="10"/>
  <c r="X181" i="10"/>
  <c r="W181" i="10"/>
  <c r="Q181" i="10"/>
  <c r="T181" i="10"/>
  <c r="F178" i="11"/>
  <c r="J178" i="11"/>
  <c r="AB178" i="11"/>
  <c r="AF181" i="10"/>
  <c r="AH180" i="10"/>
  <c r="AG180" i="10"/>
  <c r="AD180" i="10"/>
  <c r="AC180" i="10"/>
  <c r="X180" i="10"/>
  <c r="W180" i="10"/>
  <c r="Q180" i="10"/>
  <c r="T180" i="10"/>
  <c r="F177" i="11"/>
  <c r="J177" i="11"/>
  <c r="AB177" i="11"/>
  <c r="AF180" i="10"/>
  <c r="AH179" i="10"/>
  <c r="AG179" i="10"/>
  <c r="AD179" i="10"/>
  <c r="AC179" i="10"/>
  <c r="X179" i="10"/>
  <c r="W179" i="10"/>
  <c r="Q179" i="10"/>
  <c r="T179" i="10"/>
  <c r="F176" i="11"/>
  <c r="J176" i="11"/>
  <c r="AB176" i="11"/>
  <c r="AF179" i="10"/>
  <c r="AH178" i="10"/>
  <c r="AF178" i="10"/>
  <c r="AD178" i="10"/>
  <c r="AB178" i="10"/>
  <c r="X178" i="10"/>
  <c r="V178" i="10"/>
  <c r="Q178" i="10"/>
  <c r="T178" i="10"/>
  <c r="F175" i="11"/>
  <c r="J175" i="11"/>
  <c r="AC175" i="11"/>
  <c r="W178" i="10"/>
  <c r="AH177" i="10"/>
  <c r="AF177" i="10"/>
  <c r="AD177" i="10"/>
  <c r="AB177" i="10"/>
  <c r="X177" i="10"/>
  <c r="V177" i="10"/>
  <c r="Q177" i="10"/>
  <c r="T177" i="10"/>
  <c r="F174" i="11"/>
  <c r="J174" i="11"/>
  <c r="AC174" i="11"/>
  <c r="W177" i="10"/>
  <c r="AH176" i="10"/>
  <c r="AF176" i="10"/>
  <c r="AD176" i="10"/>
  <c r="AB176" i="10"/>
  <c r="X176" i="10"/>
  <c r="V176" i="10"/>
  <c r="Q176" i="10"/>
  <c r="T176" i="10"/>
  <c r="F173" i="11"/>
  <c r="J173" i="11"/>
  <c r="AC173" i="11"/>
  <c r="W176" i="10"/>
  <c r="AH175" i="10"/>
  <c r="AF175" i="10"/>
  <c r="AD175" i="10"/>
  <c r="AB175" i="10"/>
  <c r="X175" i="10"/>
  <c r="V175" i="10"/>
  <c r="Q175" i="10"/>
  <c r="T175" i="10"/>
  <c r="F172" i="11"/>
  <c r="J172" i="11"/>
  <c r="AC172" i="11"/>
  <c r="W175" i="10"/>
  <c r="AH174" i="10"/>
  <c r="AF174" i="10"/>
  <c r="AD174" i="10"/>
  <c r="AB174" i="10"/>
  <c r="X174" i="10"/>
  <c r="V174" i="10"/>
  <c r="Q174" i="10"/>
  <c r="T174" i="10"/>
  <c r="F171" i="11"/>
  <c r="J171" i="11"/>
  <c r="AC171" i="11"/>
  <c r="W174" i="10"/>
  <c r="AH173" i="10"/>
  <c r="AF173" i="10"/>
  <c r="AD173" i="10"/>
  <c r="AB173" i="10"/>
  <c r="X173" i="10"/>
  <c r="V173" i="10"/>
  <c r="Q173" i="10"/>
  <c r="T173" i="10"/>
  <c r="F170" i="11"/>
  <c r="J170" i="11"/>
  <c r="AC170" i="11"/>
  <c r="W173" i="10"/>
  <c r="AH172" i="10"/>
  <c r="AG172" i="10"/>
  <c r="AD172" i="10"/>
  <c r="AC172" i="10"/>
  <c r="X172" i="10"/>
  <c r="W172" i="10"/>
  <c r="Q172" i="10"/>
  <c r="T172" i="10"/>
  <c r="F169" i="11"/>
  <c r="J169" i="11"/>
  <c r="AB169" i="11"/>
  <c r="AF172" i="10"/>
  <c r="AH171" i="10"/>
  <c r="AG171" i="10"/>
  <c r="AD171" i="10"/>
  <c r="AC171" i="10"/>
  <c r="X171" i="10"/>
  <c r="W171" i="10"/>
  <c r="Q171" i="10"/>
  <c r="T171" i="10"/>
  <c r="F168" i="11"/>
  <c r="J168" i="11"/>
  <c r="AB168" i="11"/>
  <c r="AF171" i="10"/>
  <c r="AH170" i="10"/>
  <c r="AG170" i="10"/>
  <c r="AD170" i="10"/>
  <c r="AC170" i="10"/>
  <c r="X170" i="10"/>
  <c r="W170" i="10"/>
  <c r="Q170" i="10"/>
  <c r="T170" i="10"/>
  <c r="F167" i="11"/>
  <c r="J167" i="11"/>
  <c r="AB167" i="11"/>
  <c r="AF170" i="10"/>
  <c r="AH169" i="10"/>
  <c r="AF169" i="10"/>
  <c r="AD169" i="10"/>
  <c r="AB169" i="10"/>
  <c r="X169" i="10"/>
  <c r="V169" i="10"/>
  <c r="Q169" i="10"/>
  <c r="T169" i="10"/>
  <c r="F166" i="11"/>
  <c r="J166" i="11"/>
  <c r="AC166" i="11"/>
  <c r="W169" i="10"/>
  <c r="AH168" i="10"/>
  <c r="AF168" i="10"/>
  <c r="AD168" i="10"/>
  <c r="AB168" i="10"/>
  <c r="X168" i="10"/>
  <c r="V168" i="10"/>
  <c r="Q168" i="10"/>
  <c r="T168" i="10"/>
  <c r="F165" i="11"/>
  <c r="J165" i="11"/>
  <c r="AC165" i="11"/>
  <c r="W168" i="10"/>
  <c r="AH167" i="10"/>
  <c r="AG167" i="10"/>
  <c r="AD167" i="10"/>
  <c r="AC167" i="10"/>
  <c r="X167" i="10"/>
  <c r="W167" i="10"/>
  <c r="Q167" i="10"/>
  <c r="T167" i="10"/>
  <c r="F164" i="11"/>
  <c r="J164" i="11"/>
  <c r="AB164" i="11"/>
  <c r="AF167" i="10"/>
  <c r="AH166" i="10"/>
  <c r="AG166" i="10"/>
  <c r="AD166" i="10"/>
  <c r="AC166" i="10"/>
  <c r="X166" i="10"/>
  <c r="W166" i="10"/>
  <c r="Q166" i="10"/>
  <c r="T166" i="10"/>
  <c r="F163" i="11"/>
  <c r="J163" i="11"/>
  <c r="AB163" i="11"/>
  <c r="AF166" i="10"/>
  <c r="AG165" i="10"/>
  <c r="AF165" i="10"/>
  <c r="AC165" i="10"/>
  <c r="AB165" i="10"/>
  <c r="W165" i="10"/>
  <c r="V165" i="10"/>
  <c r="Q165" i="10"/>
  <c r="T165" i="10"/>
  <c r="F162" i="11"/>
  <c r="J162" i="11"/>
  <c r="AD162" i="11"/>
  <c r="AH165" i="10"/>
  <c r="AH164" i="10"/>
  <c r="AF164" i="10"/>
  <c r="AD164" i="10"/>
  <c r="AB164" i="10"/>
  <c r="X164" i="10"/>
  <c r="V164" i="10"/>
  <c r="Q164" i="10"/>
  <c r="T164" i="10"/>
  <c r="F161" i="11"/>
  <c r="J161" i="11"/>
  <c r="AC161" i="11"/>
  <c r="W164" i="10"/>
  <c r="AH163" i="10"/>
  <c r="AG163" i="10"/>
  <c r="AD163" i="10"/>
  <c r="AC163" i="10"/>
  <c r="X163" i="10"/>
  <c r="W163" i="10"/>
  <c r="Q163" i="10"/>
  <c r="T163" i="10"/>
  <c r="F160" i="11"/>
  <c r="J160" i="11"/>
  <c r="AB160" i="11"/>
  <c r="AF163" i="10"/>
  <c r="AH162" i="10"/>
  <c r="AF162" i="10"/>
  <c r="AD162" i="10"/>
  <c r="AB162" i="10"/>
  <c r="X162" i="10"/>
  <c r="V162" i="10"/>
  <c r="Q162" i="10"/>
  <c r="T162" i="10"/>
  <c r="F159" i="11"/>
  <c r="J159" i="11"/>
  <c r="AC159" i="11"/>
  <c r="W162" i="10"/>
  <c r="AH161" i="10"/>
  <c r="AG161" i="10"/>
  <c r="AD161" i="10"/>
  <c r="AC161" i="10"/>
  <c r="X161" i="10"/>
  <c r="W161" i="10"/>
  <c r="Q161" i="10"/>
  <c r="T161" i="10"/>
  <c r="F158" i="11"/>
  <c r="J158" i="11"/>
  <c r="AB158" i="11"/>
  <c r="AF161" i="10"/>
  <c r="AH160" i="10"/>
  <c r="AG160" i="10"/>
  <c r="AD160" i="10"/>
  <c r="AC160" i="10"/>
  <c r="X160" i="10"/>
  <c r="W160" i="10"/>
  <c r="Q160" i="10"/>
  <c r="T160" i="10"/>
  <c r="F157" i="11"/>
  <c r="J157" i="11"/>
  <c r="AB157" i="11"/>
  <c r="V160" i="10"/>
  <c r="AH159" i="10"/>
  <c r="AF159" i="10"/>
  <c r="AD159" i="10"/>
  <c r="AB159" i="10"/>
  <c r="X159" i="10"/>
  <c r="V159" i="10"/>
  <c r="Q159" i="10"/>
  <c r="T159" i="10"/>
  <c r="F156" i="11"/>
  <c r="J156" i="11"/>
  <c r="AC156" i="11"/>
  <c r="W159" i="10"/>
  <c r="AH158" i="10"/>
  <c r="AF158" i="10"/>
  <c r="AD158" i="10"/>
  <c r="AB158" i="10"/>
  <c r="X158" i="10"/>
  <c r="V158" i="10"/>
  <c r="Q158" i="10"/>
  <c r="T158" i="10"/>
  <c r="F155" i="11"/>
  <c r="J155" i="11"/>
  <c r="AC155" i="11"/>
  <c r="W158" i="10"/>
  <c r="AG157" i="10"/>
  <c r="AF157" i="10"/>
  <c r="AC157" i="10"/>
  <c r="AB157" i="10"/>
  <c r="W157" i="10"/>
  <c r="V157" i="10"/>
  <c r="Q157" i="10"/>
  <c r="T157" i="10"/>
  <c r="F154" i="11"/>
  <c r="J154" i="11"/>
  <c r="AD154" i="11"/>
  <c r="AH157" i="10"/>
  <c r="AH156" i="10"/>
  <c r="AG156" i="10"/>
  <c r="AD156" i="10"/>
  <c r="AC156" i="10"/>
  <c r="X156" i="10"/>
  <c r="W156" i="10"/>
  <c r="Q156" i="10"/>
  <c r="T156" i="10"/>
  <c r="F153" i="11"/>
  <c r="J153" i="11"/>
  <c r="AB153" i="11"/>
  <c r="AF156" i="10"/>
  <c r="AH155" i="10"/>
  <c r="AG155" i="10"/>
  <c r="AD155" i="10"/>
  <c r="AC155" i="10"/>
  <c r="X155" i="10"/>
  <c r="W155" i="10"/>
  <c r="Q155" i="10"/>
  <c r="T155" i="10"/>
  <c r="F152" i="11"/>
  <c r="J152" i="11"/>
  <c r="AB152" i="11"/>
  <c r="V155" i="10"/>
  <c r="AH154" i="10"/>
  <c r="AF154" i="10"/>
  <c r="AD154" i="10"/>
  <c r="AB154" i="10"/>
  <c r="X154" i="10"/>
  <c r="V154" i="10"/>
  <c r="Q154" i="10"/>
  <c r="T154" i="10"/>
  <c r="F151" i="11"/>
  <c r="J151" i="11"/>
  <c r="AC151" i="11"/>
  <c r="AG154" i="10"/>
  <c r="AH153" i="10"/>
  <c r="AF153" i="10"/>
  <c r="AD153" i="10"/>
  <c r="AB153" i="10"/>
  <c r="X153" i="10"/>
  <c r="V153" i="10"/>
  <c r="Q153" i="10"/>
  <c r="T153" i="10"/>
  <c r="F150" i="11"/>
  <c r="J150" i="11"/>
  <c r="AC150" i="11"/>
  <c r="AG153" i="10"/>
  <c r="AH152" i="10"/>
  <c r="AF152" i="10"/>
  <c r="AD152" i="10"/>
  <c r="AB152" i="10"/>
  <c r="X152" i="10"/>
  <c r="V152" i="10"/>
  <c r="Q152" i="10"/>
  <c r="T152" i="10"/>
  <c r="F149" i="11"/>
  <c r="J149" i="11"/>
  <c r="AC149" i="11"/>
  <c r="AG152" i="10"/>
  <c r="AH151" i="10"/>
  <c r="AF151" i="10"/>
  <c r="AD151" i="10"/>
  <c r="AB151" i="10"/>
  <c r="X151" i="10"/>
  <c r="V151" i="10"/>
  <c r="Q151" i="10"/>
  <c r="T151" i="10"/>
  <c r="F148" i="11"/>
  <c r="J148" i="11"/>
  <c r="AC148" i="11"/>
  <c r="AG151" i="10"/>
  <c r="AG150" i="10"/>
  <c r="AF150" i="10"/>
  <c r="AC150" i="10"/>
  <c r="AB150" i="10"/>
  <c r="W150" i="10"/>
  <c r="V150" i="10"/>
  <c r="Q150" i="10"/>
  <c r="T150" i="10"/>
  <c r="F147" i="11"/>
  <c r="J147" i="11"/>
  <c r="AD147" i="11"/>
  <c r="X150" i="10"/>
  <c r="AH149" i="10"/>
  <c r="AG149" i="10"/>
  <c r="AD149" i="10"/>
  <c r="AC149" i="10"/>
  <c r="X149" i="10"/>
  <c r="W149" i="10"/>
  <c r="Q149" i="10"/>
  <c r="T149" i="10"/>
  <c r="F146" i="11"/>
  <c r="J146" i="11"/>
  <c r="AB146" i="11"/>
  <c r="V149" i="10"/>
  <c r="AH148" i="10"/>
  <c r="AG148" i="10"/>
  <c r="AD148" i="10"/>
  <c r="AC148" i="10"/>
  <c r="X148" i="10"/>
  <c r="W148" i="10"/>
  <c r="Q148" i="10"/>
  <c r="T148" i="10"/>
  <c r="F145" i="11"/>
  <c r="J145" i="11"/>
  <c r="AB145" i="11"/>
  <c r="V148" i="10"/>
  <c r="AH147" i="10"/>
  <c r="AF147" i="10"/>
  <c r="AD147" i="10"/>
  <c r="AB147" i="10"/>
  <c r="X147" i="10"/>
  <c r="V147" i="10"/>
  <c r="Q147" i="10"/>
  <c r="T147" i="10"/>
  <c r="F144" i="11"/>
  <c r="J144" i="11"/>
  <c r="AC144" i="11"/>
  <c r="AG147" i="10"/>
  <c r="AH146" i="10"/>
  <c r="AF146" i="10"/>
  <c r="AD146" i="10"/>
  <c r="AB146" i="10"/>
  <c r="X146" i="10"/>
  <c r="V146" i="10"/>
  <c r="Q146" i="10"/>
  <c r="T146" i="10"/>
  <c r="F143" i="11"/>
  <c r="J143" i="11"/>
  <c r="AC143" i="11"/>
  <c r="AG146" i="10"/>
  <c r="AH145" i="10"/>
  <c r="AF145" i="10"/>
  <c r="AD145" i="10"/>
  <c r="AB145" i="10"/>
  <c r="X145" i="10"/>
  <c r="V145" i="10"/>
  <c r="Q145" i="10"/>
  <c r="T145" i="10"/>
  <c r="F142" i="11"/>
  <c r="J142" i="11"/>
  <c r="AC142" i="11"/>
  <c r="AG145" i="10"/>
  <c r="AH144" i="10"/>
  <c r="AG144" i="10"/>
  <c r="AD144" i="10"/>
  <c r="AC144" i="10"/>
  <c r="X144" i="10"/>
  <c r="W144" i="10"/>
  <c r="Q144" i="10"/>
  <c r="T144" i="10"/>
  <c r="F141" i="11"/>
  <c r="J141" i="11"/>
  <c r="AB141" i="11"/>
  <c r="V144" i="10"/>
  <c r="AH143" i="10"/>
  <c r="AG143" i="10"/>
  <c r="AD143" i="10"/>
  <c r="AC143" i="10"/>
  <c r="X143" i="10"/>
  <c r="W143" i="10"/>
  <c r="Q143" i="10"/>
  <c r="T143" i="10"/>
  <c r="F140" i="11"/>
  <c r="J140" i="11"/>
  <c r="AB140" i="11"/>
  <c r="V143" i="10"/>
  <c r="AH142" i="10"/>
  <c r="AG142" i="10"/>
  <c r="AD142" i="10"/>
  <c r="AC142" i="10"/>
  <c r="X142" i="10"/>
  <c r="W142" i="10"/>
  <c r="Q142" i="10"/>
  <c r="T142" i="10"/>
  <c r="F139" i="11"/>
  <c r="J139" i="11"/>
  <c r="AB139" i="11"/>
  <c r="V142" i="10"/>
  <c r="AH141" i="10"/>
  <c r="AG141" i="10"/>
  <c r="AD141" i="10"/>
  <c r="AC141" i="10"/>
  <c r="X141" i="10"/>
  <c r="W141" i="10"/>
  <c r="Q141" i="10"/>
  <c r="T141" i="10"/>
  <c r="F138" i="11"/>
  <c r="J138" i="11"/>
  <c r="AB138" i="11"/>
  <c r="V141" i="10"/>
  <c r="AH140" i="10"/>
  <c r="AG140" i="10"/>
  <c r="AD140" i="10"/>
  <c r="AC140" i="10"/>
  <c r="X140" i="10"/>
  <c r="W140" i="10"/>
  <c r="Q140" i="10"/>
  <c r="T140" i="10"/>
  <c r="F137" i="11"/>
  <c r="J137" i="11"/>
  <c r="AB137" i="11"/>
  <c r="V140" i="10"/>
  <c r="AH139" i="10"/>
  <c r="AG139" i="10"/>
  <c r="AD139" i="10"/>
  <c r="AC139" i="10"/>
  <c r="X139" i="10"/>
  <c r="W139" i="10"/>
  <c r="Q139" i="10"/>
  <c r="T139" i="10"/>
  <c r="F136" i="11"/>
  <c r="J136" i="11"/>
  <c r="AB136" i="11"/>
  <c r="V139" i="10"/>
  <c r="AH138" i="10"/>
  <c r="AG138" i="10"/>
  <c r="AD138" i="10"/>
  <c r="AC138" i="10"/>
  <c r="X138" i="10"/>
  <c r="W138" i="10"/>
  <c r="Q138" i="10"/>
  <c r="T138" i="10"/>
  <c r="F135" i="11"/>
  <c r="J135" i="11"/>
  <c r="AB135" i="11"/>
  <c r="V138" i="10"/>
  <c r="AH137" i="10"/>
  <c r="AG137" i="10"/>
  <c r="AD137" i="10"/>
  <c r="AC137" i="10"/>
  <c r="X137" i="10"/>
  <c r="W137" i="10"/>
  <c r="Q137" i="10"/>
  <c r="T137" i="10"/>
  <c r="F134" i="11"/>
  <c r="J134" i="11"/>
  <c r="AB134" i="11"/>
  <c r="V137" i="10"/>
  <c r="AH136" i="10"/>
  <c r="AG136" i="10"/>
  <c r="AD136" i="10"/>
  <c r="AC136" i="10"/>
  <c r="X136" i="10"/>
  <c r="W136" i="10"/>
  <c r="Q136" i="10"/>
  <c r="T136" i="10"/>
  <c r="F133" i="11"/>
  <c r="J133" i="11"/>
  <c r="AB133" i="11"/>
  <c r="V136" i="10"/>
  <c r="AH133" i="10"/>
  <c r="AF133" i="10"/>
  <c r="AD133" i="10"/>
  <c r="AB133" i="10"/>
  <c r="X133" i="10"/>
  <c r="V133" i="10"/>
  <c r="Q133" i="10"/>
  <c r="T133" i="10"/>
  <c r="F130" i="11"/>
  <c r="J130" i="11"/>
  <c r="AC130" i="11"/>
  <c r="AG133" i="10"/>
  <c r="AH132" i="10"/>
  <c r="AF132" i="10"/>
  <c r="AD132" i="10"/>
  <c r="AB132" i="10"/>
  <c r="X132" i="10"/>
  <c r="V132" i="10"/>
  <c r="Q132" i="10"/>
  <c r="T132" i="10"/>
  <c r="F129" i="11"/>
  <c r="J129" i="11"/>
  <c r="AC129" i="11"/>
  <c r="AG132" i="10"/>
  <c r="AG131" i="10"/>
  <c r="AF131" i="10"/>
  <c r="AC131" i="10"/>
  <c r="AB131" i="10"/>
  <c r="W131" i="10"/>
  <c r="V131" i="10"/>
  <c r="AH131" i="10"/>
  <c r="AH130" i="10"/>
  <c r="AG130" i="10"/>
  <c r="AD130" i="10"/>
  <c r="AC130" i="10"/>
  <c r="X130" i="10"/>
  <c r="W130" i="10"/>
  <c r="Q130" i="10"/>
  <c r="T130" i="10"/>
  <c r="F127" i="11"/>
  <c r="J127" i="11"/>
  <c r="AB127" i="11"/>
  <c r="V130" i="10"/>
  <c r="AH129" i="10"/>
  <c r="AF129" i="10"/>
  <c r="AD129" i="10"/>
  <c r="AB129" i="10"/>
  <c r="X129" i="10"/>
  <c r="V129" i="10"/>
  <c r="Q129" i="10"/>
  <c r="T129" i="10"/>
  <c r="F126" i="11"/>
  <c r="J126" i="11"/>
  <c r="AC126" i="11"/>
  <c r="AG129" i="10"/>
  <c r="AH128" i="10"/>
  <c r="AG128" i="10"/>
  <c r="AD128" i="10"/>
  <c r="AC128" i="10"/>
  <c r="X128" i="10"/>
  <c r="W128" i="10"/>
  <c r="Q128" i="10"/>
  <c r="T128" i="10"/>
  <c r="F125" i="11"/>
  <c r="J125" i="11"/>
  <c r="AB125" i="11"/>
  <c r="V128" i="10"/>
  <c r="AH127" i="10"/>
  <c r="AG127" i="10"/>
  <c r="AD127" i="10"/>
  <c r="AC127" i="10"/>
  <c r="X127" i="10"/>
  <c r="W127" i="10"/>
  <c r="Q127" i="10"/>
  <c r="T127" i="10"/>
  <c r="F124" i="11"/>
  <c r="J124" i="11"/>
  <c r="AB124" i="11"/>
  <c r="V127" i="10"/>
  <c r="AH126" i="10"/>
  <c r="AG126" i="10"/>
  <c r="AD126" i="10"/>
  <c r="AC126" i="10"/>
  <c r="X126" i="10"/>
  <c r="W126" i="10"/>
  <c r="Q126" i="10"/>
  <c r="T126" i="10"/>
  <c r="F123" i="11"/>
  <c r="J123" i="11"/>
  <c r="AB123" i="11"/>
  <c r="V126" i="10"/>
  <c r="AH125" i="10"/>
  <c r="AF125" i="10"/>
  <c r="AD125" i="10"/>
  <c r="AB125" i="10"/>
  <c r="X125" i="10"/>
  <c r="V125" i="10"/>
  <c r="Q125" i="10"/>
  <c r="T125" i="10"/>
  <c r="F122" i="11"/>
  <c r="J122" i="11"/>
  <c r="AC122" i="11"/>
  <c r="AG125" i="10"/>
  <c r="AH124" i="10"/>
  <c r="AF124" i="10"/>
  <c r="AD124" i="10"/>
  <c r="AB124" i="10"/>
  <c r="X124" i="10"/>
  <c r="V124" i="10"/>
  <c r="Q124" i="10"/>
  <c r="T124" i="10"/>
  <c r="F121" i="11"/>
  <c r="J121" i="11"/>
  <c r="AC121" i="11"/>
  <c r="AG124" i="10"/>
  <c r="AH123" i="10"/>
  <c r="AG123" i="10"/>
  <c r="AD123" i="10"/>
  <c r="AC123" i="10"/>
  <c r="X123" i="10"/>
  <c r="W123" i="10"/>
  <c r="Q123" i="10"/>
  <c r="T123" i="10"/>
  <c r="F120" i="11"/>
  <c r="J120" i="11"/>
  <c r="AB120" i="11"/>
  <c r="V123" i="10"/>
  <c r="AH122" i="10"/>
  <c r="AG122" i="10"/>
  <c r="AD122" i="10"/>
  <c r="AC122" i="10"/>
  <c r="X122" i="10"/>
  <c r="W122" i="10"/>
  <c r="Q122" i="10"/>
  <c r="T122" i="10"/>
  <c r="F119" i="11"/>
  <c r="J119" i="11"/>
  <c r="AB119" i="11"/>
  <c r="V122" i="10"/>
  <c r="AH121" i="10"/>
  <c r="AG121" i="10"/>
  <c r="AD121" i="10"/>
  <c r="AC121" i="10"/>
  <c r="X121" i="10"/>
  <c r="W121" i="10"/>
  <c r="Q121" i="10"/>
  <c r="T121" i="10"/>
  <c r="F118" i="11"/>
  <c r="J118" i="11"/>
  <c r="AB118" i="11"/>
  <c r="V121" i="10"/>
  <c r="AH120" i="10"/>
  <c r="AG120" i="10"/>
  <c r="AD120" i="10"/>
  <c r="AC120" i="10"/>
  <c r="X120" i="10"/>
  <c r="W120" i="10"/>
  <c r="Q120" i="10"/>
  <c r="T120" i="10"/>
  <c r="F117" i="11"/>
  <c r="J117" i="11"/>
  <c r="AB117" i="11"/>
  <c r="V120" i="10"/>
  <c r="AH119" i="10"/>
  <c r="AG119" i="10"/>
  <c r="AD119" i="10"/>
  <c r="AC119" i="10"/>
  <c r="X119" i="10"/>
  <c r="W119" i="10"/>
  <c r="Q119" i="10"/>
  <c r="T119" i="10"/>
  <c r="F116" i="11"/>
  <c r="J116" i="11"/>
  <c r="AB116" i="11"/>
  <c r="V119" i="10"/>
  <c r="AH118" i="10"/>
  <c r="AG118" i="10"/>
  <c r="AD118" i="10"/>
  <c r="AC118" i="10"/>
  <c r="X118" i="10"/>
  <c r="W118" i="10"/>
  <c r="Q118" i="10"/>
  <c r="T118" i="10"/>
  <c r="F115" i="11"/>
  <c r="J115" i="11"/>
  <c r="AB115" i="11"/>
  <c r="V118" i="10"/>
  <c r="AH117" i="10"/>
  <c r="AG117" i="10"/>
  <c r="AD117" i="10"/>
  <c r="AC117" i="10"/>
  <c r="X117" i="10"/>
  <c r="W117" i="10"/>
  <c r="Q117" i="10"/>
  <c r="T117" i="10"/>
  <c r="F114" i="11"/>
  <c r="J114" i="11"/>
  <c r="AB114" i="11"/>
  <c r="V117" i="10"/>
  <c r="AH116" i="10"/>
  <c r="AG116" i="10"/>
  <c r="AD116" i="10"/>
  <c r="AC116" i="10"/>
  <c r="X116" i="10"/>
  <c r="W116" i="10"/>
  <c r="Q116" i="10"/>
  <c r="T116" i="10"/>
  <c r="F113" i="11"/>
  <c r="J113" i="11"/>
  <c r="AB113" i="11"/>
  <c r="V116" i="10"/>
  <c r="AH115" i="10"/>
  <c r="AG115" i="10"/>
  <c r="AD115" i="10"/>
  <c r="AC115" i="10"/>
  <c r="X115" i="10"/>
  <c r="W115" i="10"/>
  <c r="Q115" i="10"/>
  <c r="T115" i="10"/>
  <c r="F112" i="11"/>
  <c r="J112" i="11"/>
  <c r="AB112" i="11"/>
  <c r="V115" i="10"/>
  <c r="AH114" i="10"/>
  <c r="AG114" i="10"/>
  <c r="AD114" i="10"/>
  <c r="AC114" i="10"/>
  <c r="X114" i="10"/>
  <c r="W114" i="10"/>
  <c r="Q114" i="10"/>
  <c r="T114" i="10"/>
  <c r="F111" i="11"/>
  <c r="J111" i="11"/>
  <c r="AB111" i="11"/>
  <c r="V114" i="10"/>
  <c r="AH113" i="10"/>
  <c r="AG113" i="10"/>
  <c r="AD113" i="10"/>
  <c r="AC113" i="10"/>
  <c r="X113" i="10"/>
  <c r="W113" i="10"/>
  <c r="Q113" i="10"/>
  <c r="T113" i="10"/>
  <c r="F110" i="11"/>
  <c r="J110" i="11"/>
  <c r="AB110" i="11"/>
  <c r="V113" i="10"/>
  <c r="AH112" i="10"/>
  <c r="AG112" i="10"/>
  <c r="AD112" i="10"/>
  <c r="AC112" i="10"/>
  <c r="X112" i="10"/>
  <c r="W112" i="10"/>
  <c r="Q112" i="10"/>
  <c r="T112" i="10"/>
  <c r="F109" i="11"/>
  <c r="J109" i="11"/>
  <c r="AB109" i="11"/>
  <c r="V112" i="10"/>
  <c r="AH111" i="10"/>
  <c r="AG111" i="10"/>
  <c r="AD111" i="10"/>
  <c r="X111" i="10"/>
  <c r="W111" i="10"/>
  <c r="Q111" i="10"/>
  <c r="T111" i="10"/>
  <c r="F108" i="11"/>
  <c r="J108" i="11"/>
  <c r="AB108" i="11"/>
  <c r="V111" i="10"/>
  <c r="AH110" i="10"/>
  <c r="AG110" i="10"/>
  <c r="AD110" i="10"/>
  <c r="X110" i="10"/>
  <c r="W110" i="10"/>
  <c r="Q110" i="10"/>
  <c r="T110" i="10"/>
  <c r="F107" i="11"/>
  <c r="J107" i="11"/>
  <c r="AB107" i="11"/>
  <c r="V110" i="10"/>
  <c r="AH109" i="10"/>
  <c r="AG109" i="10"/>
  <c r="AD109" i="10"/>
  <c r="X109" i="10"/>
  <c r="W109" i="10"/>
  <c r="Q109" i="10"/>
  <c r="T109" i="10"/>
  <c r="F106" i="11"/>
  <c r="J106" i="11"/>
  <c r="AB106" i="11"/>
  <c r="V109" i="10"/>
  <c r="AH108" i="10"/>
  <c r="AG108" i="10"/>
  <c r="AD108" i="10"/>
  <c r="X108" i="10"/>
  <c r="W108" i="10"/>
  <c r="Q108" i="10"/>
  <c r="T108" i="10"/>
  <c r="F105" i="11"/>
  <c r="J105" i="11"/>
  <c r="AB105" i="11"/>
  <c r="V108" i="10"/>
  <c r="AH107" i="10"/>
  <c r="AG107" i="10"/>
  <c r="AD107" i="10"/>
  <c r="X107" i="10"/>
  <c r="W107" i="10"/>
  <c r="Q107" i="10"/>
  <c r="T107" i="10"/>
  <c r="F104" i="11"/>
  <c r="J104" i="11"/>
  <c r="AB104" i="11"/>
  <c r="V107" i="10"/>
  <c r="AH106" i="10"/>
  <c r="AG106" i="10"/>
  <c r="AD106" i="10"/>
  <c r="X106" i="10"/>
  <c r="W106" i="10"/>
  <c r="V106" i="10"/>
  <c r="AH105" i="10"/>
  <c r="AG105" i="10"/>
  <c r="AD105" i="10"/>
  <c r="X105" i="10"/>
  <c r="W105" i="10"/>
  <c r="AF105" i="10"/>
  <c r="J105" i="10"/>
  <c r="AB105" i="10"/>
  <c r="AH104" i="10"/>
  <c r="AG104" i="10"/>
  <c r="AD104" i="10"/>
  <c r="X104" i="10"/>
  <c r="W104" i="10"/>
  <c r="V104" i="10"/>
  <c r="AH103" i="10"/>
  <c r="AF103" i="10"/>
  <c r="AD103" i="10"/>
  <c r="X103" i="10"/>
  <c r="V103" i="10"/>
  <c r="Q103" i="10"/>
  <c r="T103" i="10"/>
  <c r="F100" i="11"/>
  <c r="J100" i="11"/>
  <c r="AC100" i="11"/>
  <c r="AG103" i="10"/>
  <c r="AH102" i="10"/>
  <c r="AF102" i="10"/>
  <c r="AD102" i="10"/>
  <c r="X102" i="10"/>
  <c r="V102" i="10"/>
  <c r="Q102" i="10"/>
  <c r="T102" i="10"/>
  <c r="F99" i="11"/>
  <c r="J99" i="11"/>
  <c r="AC99" i="11"/>
  <c r="AG102" i="10"/>
  <c r="AH101" i="10"/>
  <c r="AF101" i="10"/>
  <c r="AD101" i="10"/>
  <c r="X101" i="10"/>
  <c r="V101" i="10"/>
  <c r="Q101" i="10"/>
  <c r="T101" i="10"/>
  <c r="F98" i="11"/>
  <c r="J98" i="11"/>
  <c r="AC98" i="11"/>
  <c r="W101" i="10"/>
  <c r="AH100" i="10"/>
  <c r="AG100" i="10"/>
  <c r="AD100" i="10"/>
  <c r="X100" i="10"/>
  <c r="W100" i="10"/>
  <c r="Q100" i="10"/>
  <c r="T100" i="10"/>
  <c r="F97" i="11"/>
  <c r="J97" i="11"/>
  <c r="AB97" i="11"/>
  <c r="AF100" i="10"/>
  <c r="AH99" i="10"/>
  <c r="AF99" i="10"/>
  <c r="AD99" i="10"/>
  <c r="X99" i="10"/>
  <c r="V99" i="10"/>
  <c r="Q99" i="10"/>
  <c r="T99" i="10"/>
  <c r="F96" i="11"/>
  <c r="J96" i="11"/>
  <c r="AC96" i="11"/>
  <c r="AG99" i="10"/>
  <c r="AH98" i="10"/>
  <c r="AG98" i="10"/>
  <c r="AD98" i="10"/>
  <c r="X98" i="10"/>
  <c r="W98" i="10"/>
  <c r="Q98" i="10"/>
  <c r="T98" i="10"/>
  <c r="F95" i="11"/>
  <c r="J95" i="11"/>
  <c r="AB95" i="11"/>
  <c r="V98" i="10"/>
  <c r="AH97" i="10"/>
  <c r="AF97" i="10"/>
  <c r="AD97" i="10"/>
  <c r="X97" i="10"/>
  <c r="V97" i="10"/>
  <c r="Q97" i="10"/>
  <c r="T97" i="10"/>
  <c r="F94" i="11"/>
  <c r="J94" i="11"/>
  <c r="AC94" i="11"/>
  <c r="AG97" i="10"/>
  <c r="AH96" i="10"/>
  <c r="AF96" i="10"/>
  <c r="AD96" i="10"/>
  <c r="X96" i="10"/>
  <c r="V96" i="10"/>
  <c r="Q96" i="10"/>
  <c r="T96" i="10"/>
  <c r="F93" i="11"/>
  <c r="J93" i="11"/>
  <c r="AC93" i="11"/>
  <c r="AG96" i="10"/>
  <c r="AG95" i="10"/>
  <c r="AF95" i="10"/>
  <c r="W95" i="10"/>
  <c r="V95" i="10"/>
  <c r="Q95" i="10"/>
  <c r="T95" i="10"/>
  <c r="F92" i="11"/>
  <c r="J92" i="11"/>
  <c r="AD92" i="11"/>
  <c r="X95" i="10"/>
  <c r="AG94" i="10"/>
  <c r="AF94" i="10"/>
  <c r="AC94" i="10"/>
  <c r="AB94" i="10"/>
  <c r="W94" i="10"/>
  <c r="V94" i="10"/>
  <c r="Q94" i="10"/>
  <c r="T94" i="10"/>
  <c r="F91" i="11"/>
  <c r="J91" i="11"/>
  <c r="AD91" i="11"/>
  <c r="X94" i="10"/>
  <c r="AH93" i="10"/>
  <c r="AG93" i="10"/>
  <c r="AD93" i="10"/>
  <c r="AC93" i="10"/>
  <c r="X93" i="10"/>
  <c r="W93" i="10"/>
  <c r="Q93" i="10"/>
  <c r="T93" i="10"/>
  <c r="F90" i="11"/>
  <c r="J90" i="11"/>
  <c r="AB90" i="11"/>
  <c r="AF93" i="10"/>
  <c r="AH92" i="10"/>
  <c r="AG92" i="10"/>
  <c r="AD92" i="10"/>
  <c r="AC92" i="10"/>
  <c r="X92" i="10"/>
  <c r="W92" i="10"/>
  <c r="Q92" i="10"/>
  <c r="T92" i="10"/>
  <c r="F89" i="11"/>
  <c r="J89" i="11"/>
  <c r="AB89" i="11"/>
  <c r="AF92" i="10"/>
  <c r="AH91" i="10"/>
  <c r="AG91" i="10"/>
  <c r="AD91" i="10"/>
  <c r="AC91" i="10"/>
  <c r="X91" i="10"/>
  <c r="W91" i="10"/>
  <c r="Q91" i="10"/>
  <c r="T91" i="10"/>
  <c r="F88" i="11"/>
  <c r="J88" i="11"/>
  <c r="AB88" i="11"/>
  <c r="AF91" i="10"/>
  <c r="AH90" i="10"/>
  <c r="AG90" i="10"/>
  <c r="AD90" i="10"/>
  <c r="AC90" i="10"/>
  <c r="X90" i="10"/>
  <c r="W90" i="10"/>
  <c r="Q90" i="10"/>
  <c r="T90" i="10"/>
  <c r="F87" i="11"/>
  <c r="J87" i="11"/>
  <c r="AB87" i="11"/>
  <c r="AF90" i="10"/>
  <c r="AH89" i="10"/>
  <c r="AG89" i="10"/>
  <c r="AD89" i="10"/>
  <c r="AC89" i="10"/>
  <c r="X89" i="10"/>
  <c r="W89" i="10"/>
  <c r="Q89" i="10"/>
  <c r="T89" i="10"/>
  <c r="F86" i="11"/>
  <c r="J86" i="11"/>
  <c r="AB86" i="11"/>
  <c r="AF89" i="10"/>
  <c r="AH88" i="10"/>
  <c r="AG88" i="10"/>
  <c r="AD88" i="10"/>
  <c r="AC88" i="10"/>
  <c r="X88" i="10"/>
  <c r="W88" i="10"/>
  <c r="Q88" i="10"/>
  <c r="T88" i="10"/>
  <c r="F85" i="11"/>
  <c r="J85" i="11"/>
  <c r="AB85" i="11"/>
  <c r="AF88" i="10"/>
  <c r="AH87" i="10"/>
  <c r="AF87" i="10"/>
  <c r="AD87" i="10"/>
  <c r="AB87" i="10"/>
  <c r="X87" i="10"/>
  <c r="V87" i="10"/>
  <c r="Q87" i="10"/>
  <c r="T87" i="10"/>
  <c r="F84" i="11"/>
  <c r="J84" i="11"/>
  <c r="AC84" i="11"/>
  <c r="W87" i="10"/>
  <c r="AH86" i="10"/>
  <c r="AF86" i="10"/>
  <c r="AD86" i="10"/>
  <c r="AB86" i="10"/>
  <c r="X86" i="10"/>
  <c r="V86" i="10"/>
  <c r="Q86" i="10"/>
  <c r="T86" i="10"/>
  <c r="F83" i="11"/>
  <c r="J83" i="11"/>
  <c r="AC83" i="11"/>
  <c r="W86" i="10"/>
  <c r="AH85" i="10"/>
  <c r="AF85" i="10"/>
  <c r="AD85" i="10"/>
  <c r="AB85" i="10"/>
  <c r="X85" i="10"/>
  <c r="V85" i="10"/>
  <c r="Q85" i="10"/>
  <c r="T85" i="10"/>
  <c r="F82" i="11"/>
  <c r="J82" i="11"/>
  <c r="AC82" i="11"/>
  <c r="AG85" i="10"/>
  <c r="AH84" i="10"/>
  <c r="AG84" i="10"/>
  <c r="AD84" i="10"/>
  <c r="AC84" i="10"/>
  <c r="X84" i="10"/>
  <c r="W84" i="10"/>
  <c r="Q84" i="10"/>
  <c r="T84" i="10"/>
  <c r="F81" i="11"/>
  <c r="J81" i="11"/>
  <c r="AB81" i="11"/>
  <c r="V84" i="10"/>
  <c r="AH83" i="10"/>
  <c r="AF83" i="10"/>
  <c r="AD83" i="10"/>
  <c r="AB83" i="10"/>
  <c r="X83" i="10"/>
  <c r="V83" i="10"/>
  <c r="Q83" i="10"/>
  <c r="T83" i="10"/>
  <c r="F80" i="11"/>
  <c r="J80" i="11"/>
  <c r="AC80" i="11"/>
  <c r="AG83" i="10"/>
  <c r="AH82" i="10"/>
  <c r="AF82" i="10"/>
  <c r="AD82" i="10"/>
  <c r="AB82" i="10"/>
  <c r="X82" i="10"/>
  <c r="V82" i="10"/>
  <c r="Q82" i="10"/>
  <c r="T82" i="10"/>
  <c r="F79" i="11"/>
  <c r="J79" i="11"/>
  <c r="AC79" i="11"/>
  <c r="AG82" i="10"/>
  <c r="AH81" i="10"/>
  <c r="AF81" i="10"/>
  <c r="AD81" i="10"/>
  <c r="AB81" i="10"/>
  <c r="X81" i="10"/>
  <c r="V81" i="10"/>
  <c r="Q81" i="10"/>
  <c r="T81" i="10"/>
  <c r="F78" i="11"/>
  <c r="J78" i="11"/>
  <c r="AC78" i="11"/>
  <c r="AG81" i="10"/>
  <c r="AH79" i="10"/>
  <c r="AG79" i="10"/>
  <c r="AD79" i="10"/>
  <c r="AC79" i="10"/>
  <c r="X79" i="10"/>
  <c r="W79" i="10"/>
  <c r="Q79" i="10"/>
  <c r="T79" i="10"/>
  <c r="F76" i="11"/>
  <c r="J76" i="11"/>
  <c r="AB76" i="11"/>
  <c r="V79" i="10"/>
  <c r="AH78" i="10"/>
  <c r="AF78" i="10"/>
  <c r="AD78" i="10"/>
  <c r="AB78" i="10"/>
  <c r="X78" i="10"/>
  <c r="V78" i="10"/>
  <c r="Q78" i="10"/>
  <c r="T78" i="10"/>
  <c r="F75" i="11"/>
  <c r="J75" i="11"/>
  <c r="AC75" i="11"/>
  <c r="AG78" i="10"/>
  <c r="AH77" i="10"/>
  <c r="AF77" i="10"/>
  <c r="AD77" i="10"/>
  <c r="AB77" i="10"/>
  <c r="X77" i="10"/>
  <c r="V77" i="10"/>
  <c r="Q77" i="10"/>
  <c r="T77" i="10"/>
  <c r="F74" i="11"/>
  <c r="J74" i="11"/>
  <c r="AC74" i="11"/>
  <c r="W77" i="10"/>
  <c r="AH76" i="10"/>
  <c r="AG76" i="10"/>
  <c r="AD76" i="10"/>
  <c r="AC76" i="10"/>
  <c r="X76" i="10"/>
  <c r="W76" i="10"/>
  <c r="Q76" i="10"/>
  <c r="T76" i="10"/>
  <c r="F73" i="11"/>
  <c r="J73" i="11"/>
  <c r="AB73" i="11"/>
  <c r="AF76" i="10"/>
  <c r="AH75" i="10"/>
  <c r="AG75" i="10"/>
  <c r="AD75" i="10"/>
  <c r="AC75" i="10"/>
  <c r="X75" i="10"/>
  <c r="W75" i="10"/>
  <c r="Q75" i="10"/>
  <c r="T75" i="10"/>
  <c r="F72" i="11"/>
  <c r="J72" i="11"/>
  <c r="AB72" i="11"/>
  <c r="AF75" i="10"/>
  <c r="AH74" i="10"/>
  <c r="AG74" i="10"/>
  <c r="AD74" i="10"/>
  <c r="AC74" i="10"/>
  <c r="X74" i="10"/>
  <c r="W74" i="10"/>
  <c r="Q74" i="10"/>
  <c r="T74" i="10"/>
  <c r="F71" i="11"/>
  <c r="J71" i="11"/>
  <c r="AB71" i="11"/>
  <c r="AF74" i="10"/>
  <c r="AH73" i="10"/>
  <c r="AG73" i="10"/>
  <c r="AD73" i="10"/>
  <c r="AC73" i="10"/>
  <c r="X73" i="10"/>
  <c r="W73" i="10"/>
  <c r="Q73" i="10"/>
  <c r="T73" i="10"/>
  <c r="F70" i="11"/>
  <c r="J70" i="11"/>
  <c r="AB70" i="11"/>
  <c r="AF73" i="10"/>
  <c r="AH72" i="10"/>
  <c r="AG72" i="10"/>
  <c r="AD72" i="10"/>
  <c r="AC72" i="10"/>
  <c r="X72" i="10"/>
  <c r="W72" i="10"/>
  <c r="Q72" i="10"/>
  <c r="T72" i="10"/>
  <c r="F69" i="11"/>
  <c r="J69" i="11"/>
  <c r="AB69" i="11"/>
  <c r="AF72" i="10"/>
  <c r="AH71" i="10"/>
  <c r="AG71" i="10"/>
  <c r="AD71" i="10"/>
  <c r="AC71" i="10"/>
  <c r="X71" i="10"/>
  <c r="W71" i="10"/>
  <c r="Q71" i="10"/>
  <c r="T71" i="10"/>
  <c r="F68" i="11"/>
  <c r="J68" i="11"/>
  <c r="AB68" i="11"/>
  <c r="AF71" i="10"/>
  <c r="AH70" i="10"/>
  <c r="AG70" i="10"/>
  <c r="AD70" i="10"/>
  <c r="AC70" i="10"/>
  <c r="X70" i="10"/>
  <c r="W70" i="10"/>
  <c r="Q70" i="10"/>
  <c r="T70" i="10"/>
  <c r="F67" i="11"/>
  <c r="J67" i="11"/>
  <c r="AB67" i="11"/>
  <c r="AF70" i="10"/>
  <c r="AH69" i="10"/>
  <c r="AG69" i="10"/>
  <c r="AD69" i="10"/>
  <c r="AC69" i="10"/>
  <c r="X69" i="10"/>
  <c r="W69" i="10"/>
  <c r="Q69" i="10"/>
  <c r="T69" i="10"/>
  <c r="F66" i="11"/>
  <c r="J66" i="11"/>
  <c r="AB66" i="11"/>
  <c r="V69" i="10"/>
  <c r="AH68" i="10"/>
  <c r="AG68" i="10"/>
  <c r="AD68" i="10"/>
  <c r="AC68" i="10"/>
  <c r="X68" i="10"/>
  <c r="W68" i="10"/>
  <c r="Q68" i="10"/>
  <c r="T68" i="10"/>
  <c r="F65" i="11"/>
  <c r="J65" i="11"/>
  <c r="AB65" i="11"/>
  <c r="V68" i="10"/>
  <c r="AH67" i="10"/>
  <c r="AG67" i="10"/>
  <c r="AD67" i="10"/>
  <c r="AC67" i="10"/>
  <c r="X67" i="10"/>
  <c r="W67" i="10"/>
  <c r="V67" i="10"/>
  <c r="AH66" i="10"/>
  <c r="AG66" i="10"/>
  <c r="AD66" i="10"/>
  <c r="AC66" i="10"/>
  <c r="X66" i="10"/>
  <c r="W66" i="10"/>
  <c r="Q66" i="10"/>
  <c r="T66" i="10"/>
  <c r="F63" i="11"/>
  <c r="J63" i="11"/>
  <c r="AB63" i="11"/>
  <c r="AF66" i="10"/>
  <c r="AH65" i="10"/>
  <c r="AG65" i="10"/>
  <c r="AD65" i="10"/>
  <c r="AC65" i="10"/>
  <c r="X65" i="10"/>
  <c r="W65" i="10"/>
  <c r="Q65" i="10"/>
  <c r="T65" i="10"/>
  <c r="F62" i="11"/>
  <c r="J62" i="11"/>
  <c r="AB62" i="11"/>
  <c r="AF65" i="10"/>
  <c r="AH64" i="10"/>
  <c r="AG64" i="10"/>
  <c r="AD64" i="10"/>
  <c r="AC64" i="10"/>
  <c r="X64" i="10"/>
  <c r="W64" i="10"/>
  <c r="Q64" i="10"/>
  <c r="T64" i="10"/>
  <c r="F61" i="11"/>
  <c r="J61" i="11"/>
  <c r="AB61" i="11"/>
  <c r="AF64" i="10"/>
  <c r="AH63" i="10"/>
  <c r="AG63" i="10"/>
  <c r="AD63" i="10"/>
  <c r="AC63" i="10"/>
  <c r="X63" i="10"/>
  <c r="W63" i="10"/>
  <c r="Q63" i="10"/>
  <c r="T63" i="10"/>
  <c r="F60" i="11"/>
  <c r="J60" i="11"/>
  <c r="AB60" i="11"/>
  <c r="V63" i="10"/>
  <c r="AH62" i="10"/>
  <c r="AG62" i="10"/>
  <c r="AD62" i="10"/>
  <c r="AC62" i="10"/>
  <c r="X62" i="10"/>
  <c r="W62" i="10"/>
  <c r="Q62" i="10"/>
  <c r="T62" i="10"/>
  <c r="F59" i="11"/>
  <c r="J59" i="11"/>
  <c r="AB59" i="11"/>
  <c r="V62" i="10"/>
  <c r="AH61" i="10"/>
  <c r="AG61" i="10"/>
  <c r="AD61" i="10"/>
  <c r="AC61" i="10"/>
  <c r="X61" i="10"/>
  <c r="W61" i="10"/>
  <c r="Q61" i="10"/>
  <c r="T61" i="10"/>
  <c r="F58" i="11"/>
  <c r="J58" i="11"/>
  <c r="AB58" i="11"/>
  <c r="V61" i="10"/>
  <c r="AH60" i="10"/>
  <c r="AF60" i="10"/>
  <c r="AD60" i="10"/>
  <c r="AB60" i="10"/>
  <c r="X60" i="10"/>
  <c r="V60" i="10"/>
  <c r="Q60" i="10"/>
  <c r="T60" i="10"/>
  <c r="F57" i="11"/>
  <c r="J57" i="11"/>
  <c r="AC57" i="11"/>
  <c r="AG60" i="10"/>
  <c r="AH59" i="10"/>
  <c r="AF59" i="10"/>
  <c r="AD59" i="10"/>
  <c r="AB59" i="10"/>
  <c r="X59" i="10"/>
  <c r="V59" i="10"/>
  <c r="Q59" i="10"/>
  <c r="T59" i="10"/>
  <c r="F56" i="11"/>
  <c r="J56" i="11"/>
  <c r="AC56" i="11"/>
  <c r="AG59" i="10"/>
  <c r="AH58" i="10"/>
  <c r="AF58" i="10"/>
  <c r="AD58" i="10"/>
  <c r="AB58" i="10"/>
  <c r="X58" i="10"/>
  <c r="V58" i="10"/>
  <c r="Q58" i="10"/>
  <c r="T58" i="10"/>
  <c r="F55" i="11"/>
  <c r="J55" i="11"/>
  <c r="AC55" i="11"/>
  <c r="AG58" i="10"/>
  <c r="AG57" i="10"/>
  <c r="AF57" i="10"/>
  <c r="AC57" i="10"/>
  <c r="AB57" i="10"/>
  <c r="W57" i="10"/>
  <c r="V57" i="10"/>
  <c r="Q57" i="10"/>
  <c r="T57" i="10"/>
  <c r="F54" i="11"/>
  <c r="J54" i="11"/>
  <c r="AD54" i="11"/>
  <c r="X57" i="10"/>
  <c r="AH56" i="10"/>
  <c r="AF56" i="10"/>
  <c r="AD56" i="10"/>
  <c r="AB56" i="10"/>
  <c r="X56" i="10"/>
  <c r="V56" i="10"/>
  <c r="Q56" i="10"/>
  <c r="T56" i="10"/>
  <c r="F53" i="11"/>
  <c r="J53" i="11"/>
  <c r="AC53" i="11"/>
  <c r="AG56" i="10"/>
  <c r="AH55" i="10"/>
  <c r="AF55" i="10"/>
  <c r="AD55" i="10"/>
  <c r="AB55" i="10"/>
  <c r="X55" i="10"/>
  <c r="V55" i="10"/>
  <c r="Q55" i="10"/>
  <c r="T55" i="10"/>
  <c r="F52" i="11"/>
  <c r="J52" i="11"/>
  <c r="AC52" i="11"/>
  <c r="AG55" i="10"/>
  <c r="AH54" i="10"/>
  <c r="AF54" i="10"/>
  <c r="AD54" i="10"/>
  <c r="AB54" i="10"/>
  <c r="X54" i="10"/>
  <c r="V54" i="10"/>
  <c r="Q54" i="10"/>
  <c r="T54" i="10"/>
  <c r="F51" i="11"/>
  <c r="J51" i="11"/>
  <c r="AC51" i="11"/>
  <c r="AG54" i="10"/>
  <c r="AH53" i="10"/>
  <c r="AF53" i="10"/>
  <c r="AD53" i="10"/>
  <c r="AB53" i="10"/>
  <c r="X53" i="10"/>
  <c r="V53" i="10"/>
  <c r="Q53" i="10"/>
  <c r="T53" i="10"/>
  <c r="F50" i="11"/>
  <c r="J50" i="11"/>
  <c r="AC50" i="11"/>
  <c r="AG53" i="10"/>
  <c r="AH52" i="10"/>
  <c r="AF52" i="10"/>
  <c r="AD52" i="10"/>
  <c r="AB52" i="10"/>
  <c r="X52" i="10"/>
  <c r="V52" i="10"/>
  <c r="Q52" i="10"/>
  <c r="T52" i="10"/>
  <c r="F49" i="11"/>
  <c r="J49" i="11"/>
  <c r="AC49" i="11"/>
  <c r="AG52" i="10"/>
  <c r="AH51" i="10"/>
  <c r="AG51" i="10"/>
  <c r="AD51" i="10"/>
  <c r="AC51" i="10"/>
  <c r="X51" i="10"/>
  <c r="W51" i="10"/>
  <c r="Q51" i="10"/>
  <c r="T51" i="10"/>
  <c r="F48" i="11"/>
  <c r="J48" i="11"/>
  <c r="AB48" i="11"/>
  <c r="V51" i="10"/>
  <c r="AH50" i="10"/>
  <c r="AG50" i="10"/>
  <c r="AD50" i="10"/>
  <c r="AC50" i="10"/>
  <c r="X50" i="10"/>
  <c r="W50" i="10"/>
  <c r="Q50" i="10"/>
  <c r="T50" i="10"/>
  <c r="F47" i="11"/>
  <c r="J47" i="11"/>
  <c r="AB47" i="11"/>
  <c r="V50" i="10"/>
  <c r="AH49" i="10"/>
  <c r="AG49" i="10"/>
  <c r="AD49" i="10"/>
  <c r="AC49" i="10"/>
  <c r="X49" i="10"/>
  <c r="W49" i="10"/>
  <c r="Q49" i="10"/>
  <c r="T49" i="10"/>
  <c r="F46" i="11"/>
  <c r="J46" i="11"/>
  <c r="AB46" i="11"/>
  <c r="V49" i="10"/>
  <c r="AH48" i="10"/>
  <c r="AF48" i="10"/>
  <c r="AD48" i="10"/>
  <c r="AB48" i="10"/>
  <c r="X48" i="10"/>
  <c r="V48" i="10"/>
  <c r="Q48" i="10"/>
  <c r="T48" i="10"/>
  <c r="F45" i="11"/>
  <c r="J45" i="11"/>
  <c r="AC45" i="11"/>
  <c r="AG48" i="10"/>
  <c r="AH47" i="10"/>
  <c r="AG47" i="10"/>
  <c r="AD47" i="10"/>
  <c r="AC47" i="10"/>
  <c r="X47" i="10"/>
  <c r="W47" i="10"/>
  <c r="Q47" i="10"/>
  <c r="T47" i="10"/>
  <c r="F44" i="11"/>
  <c r="J44" i="11"/>
  <c r="AB44" i="11"/>
  <c r="V47" i="10"/>
  <c r="AH46" i="10"/>
  <c r="AG46" i="10"/>
  <c r="AD46" i="10"/>
  <c r="AC46" i="10"/>
  <c r="X46" i="10"/>
  <c r="W46" i="10"/>
  <c r="Q46" i="10"/>
  <c r="T46" i="10"/>
  <c r="F43" i="11"/>
  <c r="J43" i="11"/>
  <c r="AB43" i="11"/>
  <c r="V46" i="10"/>
  <c r="AH45" i="10"/>
  <c r="AF45" i="10"/>
  <c r="AD45" i="10"/>
  <c r="AB45" i="10"/>
  <c r="X45" i="10"/>
  <c r="V45" i="10"/>
  <c r="Q45" i="10"/>
  <c r="T45" i="10"/>
  <c r="F42" i="11"/>
  <c r="J42" i="11"/>
  <c r="AC42" i="11"/>
  <c r="AG45" i="10"/>
  <c r="AH44" i="10"/>
  <c r="AF44" i="10"/>
  <c r="AD44" i="10"/>
  <c r="AB44" i="10"/>
  <c r="X44" i="10"/>
  <c r="V44" i="10"/>
  <c r="Q44" i="10"/>
  <c r="T44" i="10"/>
  <c r="F41" i="11"/>
  <c r="J41" i="11"/>
  <c r="AC41" i="11"/>
  <c r="AG44" i="10"/>
  <c r="AH43" i="10"/>
  <c r="AG43" i="10"/>
  <c r="AD43" i="10"/>
  <c r="AC43" i="10"/>
  <c r="X43" i="10"/>
  <c r="W43" i="10"/>
  <c r="Q43" i="10"/>
  <c r="T43" i="10"/>
  <c r="F40" i="11"/>
  <c r="J40" i="11"/>
  <c r="AB40" i="11"/>
  <c r="V43" i="10"/>
  <c r="AH42" i="10"/>
  <c r="AG42" i="10"/>
  <c r="AD42" i="10"/>
  <c r="AC42" i="10"/>
  <c r="X42" i="10"/>
  <c r="W42" i="10"/>
  <c r="AF42" i="10"/>
  <c r="AG41" i="10"/>
  <c r="AF41" i="10"/>
  <c r="AC41" i="10"/>
  <c r="AB41" i="10"/>
  <c r="W41" i="10"/>
  <c r="V41" i="10"/>
  <c r="Q41" i="10"/>
  <c r="T41" i="10"/>
  <c r="F38" i="11"/>
  <c r="J38" i="11"/>
  <c r="AD38" i="11"/>
  <c r="X41" i="10"/>
  <c r="AH40" i="10"/>
  <c r="AG40" i="10"/>
  <c r="AD40" i="10"/>
  <c r="AC40" i="10"/>
  <c r="X40" i="10"/>
  <c r="W40" i="10"/>
  <c r="Q40" i="10"/>
  <c r="T40" i="10"/>
  <c r="F37" i="11"/>
  <c r="J37" i="11"/>
  <c r="AB37" i="11"/>
  <c r="V40" i="10"/>
  <c r="AH39" i="10"/>
  <c r="AG39" i="10"/>
  <c r="AD39" i="10"/>
  <c r="AC39" i="10"/>
  <c r="X39" i="10"/>
  <c r="W39" i="10"/>
  <c r="Q39" i="10"/>
  <c r="T39" i="10"/>
  <c r="F36" i="11"/>
  <c r="J36" i="11"/>
  <c r="AB36" i="11"/>
  <c r="V39" i="10"/>
  <c r="AH38" i="10"/>
  <c r="AG38" i="10"/>
  <c r="AD38" i="10"/>
  <c r="AC38" i="10"/>
  <c r="X38" i="10"/>
  <c r="W38" i="10"/>
  <c r="Q38" i="10"/>
  <c r="T38" i="10"/>
  <c r="F35" i="11"/>
  <c r="J35" i="11"/>
  <c r="AB35" i="11"/>
  <c r="V38" i="10"/>
  <c r="AH37" i="10"/>
  <c r="AG37" i="10"/>
  <c r="AD37" i="10"/>
  <c r="AC37" i="10"/>
  <c r="X37" i="10"/>
  <c r="W37" i="10"/>
  <c r="Q37" i="10"/>
  <c r="T37" i="10"/>
  <c r="F34" i="11"/>
  <c r="J34" i="11"/>
  <c r="AB34" i="11"/>
  <c r="V37" i="10"/>
  <c r="AH36" i="10"/>
  <c r="AG36" i="10"/>
  <c r="AD36" i="10"/>
  <c r="AC36" i="10"/>
  <c r="X36" i="10"/>
  <c r="W36" i="10"/>
  <c r="Q36" i="10"/>
  <c r="T36" i="10"/>
  <c r="F33" i="11"/>
  <c r="J33" i="11"/>
  <c r="AB33" i="11"/>
  <c r="V36" i="10"/>
  <c r="AH35" i="10"/>
  <c r="AG35" i="10"/>
  <c r="AD35" i="10"/>
  <c r="AC35" i="10"/>
  <c r="X35" i="10"/>
  <c r="W35" i="10"/>
  <c r="Q35" i="10"/>
  <c r="T35" i="10"/>
  <c r="F32" i="11"/>
  <c r="J32" i="11"/>
  <c r="AB32" i="11"/>
  <c r="V35" i="10"/>
  <c r="AH34" i="10"/>
  <c r="AG34" i="10"/>
  <c r="AD34" i="10"/>
  <c r="AC34" i="10"/>
  <c r="X34" i="10"/>
  <c r="W34" i="10"/>
  <c r="Q34" i="10"/>
  <c r="T34" i="10"/>
  <c r="F31" i="11"/>
  <c r="J31" i="11"/>
  <c r="AB31" i="11"/>
  <c r="V34" i="10"/>
  <c r="AH33" i="10"/>
  <c r="AG33" i="10"/>
  <c r="AD33" i="10"/>
  <c r="AC33" i="10"/>
  <c r="X33" i="10"/>
  <c r="W33" i="10"/>
  <c r="Q33" i="10"/>
  <c r="T33" i="10"/>
  <c r="F30" i="11"/>
  <c r="J30" i="11"/>
  <c r="AB30" i="11"/>
  <c r="V33" i="10"/>
  <c r="AH32" i="10"/>
  <c r="AG32" i="10"/>
  <c r="AD32" i="10"/>
  <c r="AC32" i="10"/>
  <c r="X32" i="10"/>
  <c r="W32" i="10"/>
  <c r="Q32" i="10"/>
  <c r="T32" i="10"/>
  <c r="F29" i="11"/>
  <c r="J29" i="11"/>
  <c r="AB29" i="11"/>
  <c r="V32" i="10"/>
  <c r="AH31" i="10"/>
  <c r="AF31" i="10"/>
  <c r="AD31" i="10"/>
  <c r="AB31" i="10"/>
  <c r="X31" i="10"/>
  <c r="V31" i="10"/>
  <c r="Q31" i="10"/>
  <c r="T31" i="10"/>
  <c r="F28" i="11"/>
  <c r="J28" i="11"/>
  <c r="AC28" i="11"/>
  <c r="AG31" i="10"/>
  <c r="AH30" i="10"/>
  <c r="AG30" i="10"/>
  <c r="AD30" i="10"/>
  <c r="AC30" i="10"/>
  <c r="X30" i="10"/>
  <c r="W30" i="10"/>
  <c r="Q30" i="10"/>
  <c r="T30" i="10"/>
  <c r="F27" i="11"/>
  <c r="J27" i="11"/>
  <c r="AB27" i="11"/>
  <c r="AF30" i="10"/>
  <c r="AH29" i="10"/>
  <c r="AG29" i="10"/>
  <c r="AD29" i="10"/>
  <c r="AC29" i="10"/>
  <c r="X29" i="10"/>
  <c r="W29" i="10"/>
  <c r="Q29" i="10"/>
  <c r="T29" i="10"/>
  <c r="F26" i="11"/>
  <c r="J26" i="11"/>
  <c r="AB26" i="11"/>
  <c r="AF29" i="10"/>
  <c r="AH28" i="10"/>
  <c r="AF28" i="10"/>
  <c r="AD28" i="10"/>
  <c r="AB28" i="10"/>
  <c r="X28" i="10"/>
  <c r="V28" i="10"/>
  <c r="Q28" i="10"/>
  <c r="T28" i="10"/>
  <c r="F25" i="11"/>
  <c r="J25" i="11"/>
  <c r="AC25" i="11"/>
  <c r="W28" i="10"/>
  <c r="AH27" i="10"/>
  <c r="AF27" i="10"/>
  <c r="AD27" i="10"/>
  <c r="AB27" i="10"/>
  <c r="X27" i="10"/>
  <c r="V27" i="10"/>
  <c r="Q27" i="10"/>
  <c r="T27" i="10"/>
  <c r="F24" i="11"/>
  <c r="J24" i="11"/>
  <c r="AC24" i="11"/>
  <c r="W27" i="10"/>
  <c r="AH26" i="10"/>
  <c r="AF26" i="10"/>
  <c r="AD26" i="10"/>
  <c r="AB26" i="10"/>
  <c r="X26" i="10"/>
  <c r="V26" i="10"/>
  <c r="Q26" i="10"/>
  <c r="T26" i="10"/>
  <c r="F23" i="11"/>
  <c r="J23" i="11"/>
  <c r="AC23" i="11"/>
  <c r="W26" i="10"/>
  <c r="AH25" i="10"/>
  <c r="AG25" i="10"/>
  <c r="AD25" i="10"/>
  <c r="AC25" i="10"/>
  <c r="X25" i="10"/>
  <c r="W25" i="10"/>
  <c r="Q25" i="10"/>
  <c r="T25" i="10"/>
  <c r="F22" i="11"/>
  <c r="J22" i="11"/>
  <c r="AB22" i="11"/>
  <c r="AF25" i="10"/>
  <c r="AH24" i="10"/>
  <c r="AG24" i="10"/>
  <c r="AD24" i="10"/>
  <c r="AC24" i="10"/>
  <c r="X24" i="10"/>
  <c r="W24" i="10"/>
  <c r="Q24" i="10"/>
  <c r="T24" i="10"/>
  <c r="F21" i="11"/>
  <c r="J21" i="11"/>
  <c r="AB21" i="11"/>
  <c r="AF24" i="10"/>
  <c r="AH23" i="10"/>
  <c r="AG23" i="10"/>
  <c r="AD23" i="10"/>
  <c r="AC23" i="10"/>
  <c r="X23" i="10"/>
  <c r="W23" i="10"/>
  <c r="Q23" i="10"/>
  <c r="T23" i="10"/>
  <c r="F20" i="11"/>
  <c r="J20" i="11"/>
  <c r="AB20" i="11"/>
  <c r="AF23" i="10"/>
  <c r="AH22" i="10"/>
  <c r="AF22" i="10"/>
  <c r="AD22" i="10"/>
  <c r="AB22" i="10"/>
  <c r="X22" i="10"/>
  <c r="V22" i="10"/>
  <c r="Q22" i="10"/>
  <c r="T22" i="10"/>
  <c r="F19" i="11"/>
  <c r="J19" i="11"/>
  <c r="AC19" i="11"/>
  <c r="W22" i="10"/>
  <c r="AH21" i="10"/>
  <c r="AF21" i="10"/>
  <c r="AD21" i="10"/>
  <c r="AB21" i="10"/>
  <c r="X21" i="10"/>
  <c r="V21" i="10"/>
  <c r="Q21" i="10"/>
  <c r="T21" i="10"/>
  <c r="F18" i="11"/>
  <c r="J18" i="11"/>
  <c r="W21" i="10"/>
  <c r="AH20" i="10"/>
  <c r="AG20" i="10"/>
  <c r="AD20" i="10"/>
  <c r="AC20" i="10"/>
  <c r="X20" i="10"/>
  <c r="W20" i="10"/>
  <c r="Q20" i="10"/>
  <c r="T20" i="10"/>
  <c r="F17" i="11"/>
  <c r="J17" i="11"/>
  <c r="AB17" i="11"/>
  <c r="AF20" i="10"/>
  <c r="H254" i="10"/>
  <c r="G254" i="10"/>
  <c r="AH19" i="10"/>
  <c r="AF19" i="10"/>
  <c r="AD19" i="10"/>
  <c r="X19" i="10"/>
  <c r="V19" i="10"/>
  <c r="Q19" i="10"/>
  <c r="T19" i="10"/>
  <c r="F16" i="11"/>
  <c r="J16" i="11"/>
  <c r="AC16" i="11"/>
  <c r="W19" i="10"/>
  <c r="I185" i="9"/>
  <c r="I184" i="9"/>
  <c r="I182" i="9"/>
  <c r="I181" i="9"/>
  <c r="F192" i="11"/>
  <c r="J192" i="11"/>
  <c r="AD192" i="11"/>
  <c r="F191" i="11"/>
  <c r="J191" i="11"/>
  <c r="AC191" i="11"/>
  <c r="T193" i="10"/>
  <c r="F190" i="11"/>
  <c r="J190" i="11"/>
  <c r="AB190" i="11"/>
  <c r="AA62" i="10"/>
  <c r="AA106" i="10"/>
  <c r="AA107" i="10"/>
  <c r="AA108" i="10"/>
  <c r="AA109" i="10"/>
  <c r="AA110" i="10"/>
  <c r="AA111" i="10"/>
  <c r="AA112" i="10"/>
  <c r="AA69" i="10"/>
  <c r="AA104" i="10"/>
  <c r="AA114" i="10"/>
  <c r="AA116" i="10"/>
  <c r="AA118" i="10"/>
  <c r="AA120" i="10"/>
  <c r="AA122" i="10"/>
  <c r="AA126" i="10"/>
  <c r="AA128" i="10"/>
  <c r="AA136" i="10"/>
  <c r="AA137" i="10"/>
  <c r="AA139" i="10"/>
  <c r="AA141" i="10"/>
  <c r="AA143" i="10"/>
  <c r="AA149" i="10"/>
  <c r="AA160" i="10"/>
  <c r="AA185" i="10"/>
  <c r="AA187" i="10"/>
  <c r="AA192" i="10"/>
  <c r="AA196" i="10"/>
  <c r="AA199" i="10"/>
  <c r="AA203" i="10"/>
  <c r="AA213" i="10"/>
  <c r="AA215" i="10"/>
  <c r="AA229" i="10"/>
  <c r="AA231" i="10"/>
  <c r="AA232" i="10"/>
  <c r="AA236" i="10"/>
  <c r="AA242" i="10"/>
  <c r="AA244" i="10"/>
  <c r="AA245" i="10"/>
  <c r="AA247" i="10"/>
  <c r="AA98" i="10"/>
  <c r="AA50" i="10"/>
  <c r="AA47" i="10"/>
  <c r="Q254" i="10"/>
  <c r="F257" i="11"/>
  <c r="T254" i="10"/>
  <c r="AA33" i="10"/>
  <c r="AA35" i="10"/>
  <c r="AA37" i="10"/>
  <c r="AA39" i="10"/>
  <c r="AA79" i="10"/>
  <c r="AA84" i="10"/>
  <c r="AA113" i="10"/>
  <c r="AA115" i="10"/>
  <c r="AA117" i="10"/>
  <c r="AA119" i="10"/>
  <c r="AA121" i="10"/>
  <c r="AA123" i="10"/>
  <c r="AA127" i="10"/>
  <c r="AA130" i="10"/>
  <c r="AA138" i="10"/>
  <c r="AA140" i="10"/>
  <c r="AA142" i="10"/>
  <c r="AA144" i="10"/>
  <c r="AA148" i="10"/>
  <c r="AA155" i="10"/>
  <c r="AA186" i="10"/>
  <c r="AA193" i="10"/>
  <c r="AA197" i="10"/>
  <c r="AA200" i="10"/>
  <c r="AA202" i="10"/>
  <c r="AA204" i="10"/>
  <c r="AA214" i="10"/>
  <c r="AA225" i="10"/>
  <c r="AA32" i="10"/>
  <c r="AA40" i="10"/>
  <c r="AA43" i="10"/>
  <c r="AA46" i="10"/>
  <c r="AA49" i="10"/>
  <c r="AA61" i="10"/>
  <c r="AA63" i="10"/>
  <c r="AA67" i="10"/>
  <c r="AA68" i="10"/>
  <c r="AA34" i="10"/>
  <c r="AA36" i="10"/>
  <c r="AA227" i="10"/>
  <c r="AA237" i="10"/>
  <c r="AA246" i="10"/>
  <c r="AG162" i="10"/>
  <c r="AA38" i="10"/>
  <c r="AA51" i="10"/>
  <c r="W153" i="10"/>
  <c r="AA153" i="10"/>
  <c r="AF34" i="10"/>
  <c r="AF36" i="10"/>
  <c r="AF38" i="10"/>
  <c r="W44" i="10"/>
  <c r="AA44" i="10"/>
  <c r="W59" i="10"/>
  <c r="AA59" i="10"/>
  <c r="AF61" i="10"/>
  <c r="AF63" i="10"/>
  <c r="AF68" i="10"/>
  <c r="W82" i="10"/>
  <c r="AA82" i="10"/>
  <c r="W103" i="10"/>
  <c r="AA103" i="10"/>
  <c r="AF104" i="10"/>
  <c r="AF108" i="10"/>
  <c r="AF110" i="10"/>
  <c r="AF112" i="10"/>
  <c r="AF114" i="10"/>
  <c r="AF116" i="10"/>
  <c r="AF118" i="10"/>
  <c r="AF120" i="10"/>
  <c r="X131" i="10"/>
  <c r="AA131" i="10"/>
  <c r="W133" i="10"/>
  <c r="AA133" i="10"/>
  <c r="AF136" i="10"/>
  <c r="AF137" i="10"/>
  <c r="AF139" i="10"/>
  <c r="AF141" i="10"/>
  <c r="W152" i="10"/>
  <c r="AA152" i="10"/>
  <c r="AG168" i="10"/>
  <c r="AG169" i="10"/>
  <c r="AG173" i="10"/>
  <c r="AG174" i="10"/>
  <c r="AG175" i="10"/>
  <c r="AG176" i="10"/>
  <c r="AG177" i="10"/>
  <c r="AF185" i="10"/>
  <c r="AF187" i="10"/>
  <c r="W188" i="10"/>
  <c r="AA188" i="10"/>
  <c r="AH189" i="10"/>
  <c r="W190" i="10"/>
  <c r="AA190" i="10"/>
  <c r="AF192" i="10"/>
  <c r="AH195" i="10"/>
  <c r="AF197" i="10"/>
  <c r="AF200" i="10"/>
  <c r="W201" i="10"/>
  <c r="AA201" i="10"/>
  <c r="W207" i="10"/>
  <c r="AA207" i="10"/>
  <c r="W209" i="10"/>
  <c r="AA209" i="10"/>
  <c r="W211" i="10"/>
  <c r="AA211" i="10"/>
  <c r="W224" i="10"/>
  <c r="AA224" i="10"/>
  <c r="AF225" i="10"/>
  <c r="AF227" i="10"/>
  <c r="V228" i="10"/>
  <c r="AA228" i="10"/>
  <c r="W240" i="10"/>
  <c r="AA240" i="10"/>
  <c r="AF245" i="10"/>
  <c r="AF246" i="10"/>
  <c r="AH248" i="10"/>
  <c r="M255" i="10"/>
  <c r="J262" i="10"/>
  <c r="W31" i="10"/>
  <c r="AA31" i="10"/>
  <c r="AF32" i="10"/>
  <c r="AF33" i="10"/>
  <c r="AF35" i="10"/>
  <c r="AF37" i="10"/>
  <c r="AF39" i="10"/>
  <c r="AF43" i="10"/>
  <c r="W45" i="10"/>
  <c r="AA45" i="10"/>
  <c r="AF46" i="10"/>
  <c r="W58" i="10"/>
  <c r="AA58" i="10"/>
  <c r="W60" i="10"/>
  <c r="AA60" i="10"/>
  <c r="AF62" i="10"/>
  <c r="AF69" i="10"/>
  <c r="W78" i="10"/>
  <c r="AA78" i="10"/>
  <c r="AF79" i="10"/>
  <c r="W81" i="10"/>
  <c r="AA81" i="10"/>
  <c r="W83" i="10"/>
  <c r="AA83" i="10"/>
  <c r="AG86" i="10"/>
  <c r="AG87" i="10"/>
  <c r="W97" i="10"/>
  <c r="AA97" i="10"/>
  <c r="AF98" i="10"/>
  <c r="W99" i="10"/>
  <c r="AA99" i="10"/>
  <c r="W102" i="10"/>
  <c r="AA102" i="10"/>
  <c r="AF109" i="10"/>
  <c r="AF111" i="10"/>
  <c r="AF113" i="10"/>
  <c r="AF115" i="10"/>
  <c r="AF117" i="10"/>
  <c r="AF119" i="10"/>
  <c r="AF121" i="10"/>
  <c r="W132" i="10"/>
  <c r="AA132" i="10"/>
  <c r="AF138" i="10"/>
  <c r="AF140" i="10"/>
  <c r="AF142" i="10"/>
  <c r="AF160" i="10"/>
  <c r="AF186" i="10"/>
  <c r="AA189" i="10"/>
  <c r="W191" i="10"/>
  <c r="AA191" i="10"/>
  <c r="AF196" i="10"/>
  <c r="W198" i="10"/>
  <c r="AA198" i="10"/>
  <c r="AF199" i="10"/>
  <c r="W206" i="10"/>
  <c r="AA206" i="10"/>
  <c r="W208" i="10"/>
  <c r="AA208" i="10"/>
  <c r="W210" i="10"/>
  <c r="AA210" i="10"/>
  <c r="W212" i="10"/>
  <c r="AA212" i="10"/>
  <c r="AF213" i="10"/>
  <c r="AH226" i="10"/>
  <c r="AF244" i="10"/>
  <c r="AF247" i="10"/>
  <c r="AA248" i="10"/>
  <c r="AA22" i="10"/>
  <c r="AA28" i="10"/>
  <c r="AA19" i="10"/>
  <c r="AA21" i="10"/>
  <c r="AA27" i="10"/>
  <c r="AA41" i="10"/>
  <c r="AA57" i="10"/>
  <c r="AA26" i="10"/>
  <c r="AA77" i="10"/>
  <c r="AG19" i="10"/>
  <c r="V20" i="10"/>
  <c r="AA20" i="10"/>
  <c r="AG21" i="10"/>
  <c r="AG22" i="10"/>
  <c r="V23" i="10"/>
  <c r="AA23" i="10"/>
  <c r="V24" i="10"/>
  <c r="AA24" i="10"/>
  <c r="V25" i="10"/>
  <c r="AA25" i="10"/>
  <c r="AG26" i="10"/>
  <c r="AG27" i="10"/>
  <c r="AG28" i="10"/>
  <c r="V29" i="10"/>
  <c r="AA29" i="10"/>
  <c r="V30" i="10"/>
  <c r="AA30" i="10"/>
  <c r="AF40" i="10"/>
  <c r="AH41" i="10"/>
  <c r="V42" i="10"/>
  <c r="AA42" i="10"/>
  <c r="AF47" i="10"/>
  <c r="W48" i="10"/>
  <c r="AA48" i="10"/>
  <c r="AF49" i="10"/>
  <c r="AF50" i="10"/>
  <c r="AF51" i="10"/>
  <c r="W52" i="10"/>
  <c r="AA52" i="10"/>
  <c r="W53" i="10"/>
  <c r="AA53" i="10"/>
  <c r="W54" i="10"/>
  <c r="AA54" i="10"/>
  <c r="W55" i="10"/>
  <c r="AA55" i="10"/>
  <c r="W56" i="10"/>
  <c r="AA56" i="10"/>
  <c r="AH57" i="10"/>
  <c r="V64" i="10"/>
  <c r="AA64" i="10"/>
  <c r="V65" i="10"/>
  <c r="AA65" i="10"/>
  <c r="V66" i="10"/>
  <c r="AA66" i="10"/>
  <c r="AF67" i="10"/>
  <c r="V70" i="10"/>
  <c r="AA70" i="10"/>
  <c r="V71" i="10"/>
  <c r="AA71" i="10"/>
  <c r="V72" i="10"/>
  <c r="AA72" i="10"/>
  <c r="V73" i="10"/>
  <c r="AA73" i="10"/>
  <c r="V74" i="10"/>
  <c r="AA74" i="10"/>
  <c r="V75" i="10"/>
  <c r="AA75" i="10"/>
  <c r="V76" i="10"/>
  <c r="AA76" i="10"/>
  <c r="AG77" i="10"/>
  <c r="AF84" i="10"/>
  <c r="W85" i="10"/>
  <c r="AA85" i="10"/>
  <c r="AA86" i="10"/>
  <c r="AA87" i="10"/>
  <c r="V88" i="10"/>
  <c r="AA88" i="10"/>
  <c r="V91" i="10"/>
  <c r="AA91" i="10"/>
  <c r="V93" i="10"/>
  <c r="AA93" i="10"/>
  <c r="AA95" i="10"/>
  <c r="V89" i="10"/>
  <c r="AA89" i="10"/>
  <c r="V90" i="10"/>
  <c r="AA90" i="10"/>
  <c r="V92" i="10"/>
  <c r="AA92" i="10"/>
  <c r="AA94" i="10"/>
  <c r="AA101" i="10"/>
  <c r="AA150" i="10"/>
  <c r="AH94" i="10"/>
  <c r="AH95" i="10"/>
  <c r="W96" i="10"/>
  <c r="AA96" i="10"/>
  <c r="V100" i="10"/>
  <c r="AA100" i="10"/>
  <c r="AG101" i="10"/>
  <c r="V105" i="10"/>
  <c r="AA105" i="10"/>
  <c r="AF106" i="10"/>
  <c r="AF107" i="10"/>
  <c r="I254" i="10"/>
  <c r="I255" i="10"/>
  <c r="AF122" i="10"/>
  <c r="AF123" i="10"/>
  <c r="W124" i="10"/>
  <c r="AA124" i="10"/>
  <c r="W125" i="10"/>
  <c r="AA125" i="10"/>
  <c r="AF126" i="10"/>
  <c r="AF127" i="10"/>
  <c r="AF128" i="10"/>
  <c r="W129" i="10"/>
  <c r="AA129" i="10"/>
  <c r="AF130" i="10"/>
  <c r="AF143" i="10"/>
  <c r="AF144" i="10"/>
  <c r="W145" i="10"/>
  <c r="AA145" i="10"/>
  <c r="W146" i="10"/>
  <c r="AA146" i="10"/>
  <c r="W147" i="10"/>
  <c r="AA147" i="10"/>
  <c r="AF148" i="10"/>
  <c r="AF149" i="10"/>
  <c r="AH150" i="10"/>
  <c r="W151" i="10"/>
  <c r="AA151" i="10"/>
  <c r="W154" i="10"/>
  <c r="AA154" i="10"/>
  <c r="AF155" i="10"/>
  <c r="X157" i="10"/>
  <c r="AG158" i="10"/>
  <c r="AG159" i="10"/>
  <c r="AA162" i="10"/>
  <c r="V163" i="10"/>
  <c r="AA163" i="10"/>
  <c r="AG164" i="10"/>
  <c r="V166" i="10"/>
  <c r="AA166" i="10"/>
  <c r="AA168" i="10"/>
  <c r="AA169" i="10"/>
  <c r="V170" i="10"/>
  <c r="AA170" i="10"/>
  <c r="V171" i="10"/>
  <c r="AA171" i="10"/>
  <c r="V172" i="10"/>
  <c r="AA172" i="10"/>
  <c r="AA173" i="10"/>
  <c r="AA174" i="10"/>
  <c r="AA175" i="10"/>
  <c r="AA176" i="10"/>
  <c r="AA177" i="10"/>
  <c r="AA178" i="10"/>
  <c r="AA195" i="10"/>
  <c r="AA226" i="10"/>
  <c r="AA235" i="10"/>
  <c r="AA252" i="10"/>
  <c r="V156" i="10"/>
  <c r="AA156" i="10"/>
  <c r="AA158" i="10"/>
  <c r="AA159" i="10"/>
  <c r="V161" i="10"/>
  <c r="AA161" i="10"/>
  <c r="AA164" i="10"/>
  <c r="X165" i="10"/>
  <c r="AA165" i="10"/>
  <c r="V167" i="10"/>
  <c r="AA167" i="10"/>
  <c r="AG178" i="10"/>
  <c r="V179" i="10"/>
  <c r="AA179" i="10"/>
  <c r="AA223" i="10"/>
  <c r="AA230" i="10"/>
  <c r="V180" i="10"/>
  <c r="AA180" i="10"/>
  <c r="V181" i="10"/>
  <c r="AA181" i="10"/>
  <c r="V183" i="10"/>
  <c r="AA183" i="10"/>
  <c r="V184" i="10"/>
  <c r="AA184" i="10"/>
  <c r="AF193" i="10"/>
  <c r="W194" i="10"/>
  <c r="AA194" i="10"/>
  <c r="AF202" i="10"/>
  <c r="AF203" i="10"/>
  <c r="AF204" i="10"/>
  <c r="W205" i="10"/>
  <c r="AA205" i="10"/>
  <c r="AF214" i="10"/>
  <c r="AF215" i="10"/>
  <c r="W216" i="10"/>
  <c r="AA216" i="10"/>
  <c r="W217" i="10"/>
  <c r="AA217" i="10"/>
  <c r="W218" i="10"/>
  <c r="AA218" i="10"/>
  <c r="W219" i="10"/>
  <c r="AA219" i="10"/>
  <c r="W220" i="10"/>
  <c r="AA220" i="10"/>
  <c r="W221" i="10"/>
  <c r="AA221" i="10"/>
  <c r="W222" i="10"/>
  <c r="AA222" i="10"/>
  <c r="AH223" i="10"/>
  <c r="AF229" i="10"/>
  <c r="AH230" i="10"/>
  <c r="AF231" i="10"/>
  <c r="AF232" i="10"/>
  <c r="W233" i="10"/>
  <c r="AA233" i="10"/>
  <c r="W234" i="10"/>
  <c r="AA234" i="10"/>
  <c r="AH235" i="10"/>
  <c r="AF236" i="10"/>
  <c r="AF237" i="10"/>
  <c r="W238" i="10"/>
  <c r="AA238" i="10"/>
  <c r="W239" i="10"/>
  <c r="AA239" i="10"/>
  <c r="W241" i="10"/>
  <c r="AA241" i="10"/>
  <c r="AF242" i="10"/>
  <c r="W243" i="10"/>
  <c r="AA243" i="10"/>
  <c r="X249" i="10"/>
  <c r="AA249" i="10"/>
  <c r="X250" i="10"/>
  <c r="AA250" i="10"/>
  <c r="V251" i="10"/>
  <c r="AA251" i="10"/>
  <c r="AG252" i="10"/>
  <c r="V253" i="10"/>
  <c r="AA253" i="10"/>
  <c r="V182" i="10"/>
  <c r="AA182" i="10"/>
  <c r="I207" i="9"/>
  <c r="I220" i="9"/>
  <c r="I219" i="9"/>
  <c r="AB286" i="9"/>
  <c r="AG254" i="10"/>
  <c r="AG258" i="10"/>
  <c r="X254" i="10"/>
  <c r="Y267" i="10"/>
  <c r="AH254" i="10"/>
  <c r="AH258" i="10"/>
  <c r="V254" i="10"/>
  <c r="AA157" i="10"/>
  <c r="AF254" i="10"/>
  <c r="AF258" i="10"/>
  <c r="W254" i="10"/>
  <c r="Y264" i="10"/>
  <c r="I136" i="9"/>
  <c r="I125" i="9"/>
  <c r="I163" i="9"/>
  <c r="H223" i="9"/>
  <c r="AD286" i="9"/>
  <c r="H208" i="9"/>
  <c r="H21" i="9"/>
  <c r="H169" i="9"/>
  <c r="H168" i="9"/>
  <c r="R271" i="8"/>
  <c r="Y261" i="10"/>
  <c r="Y268" i="10"/>
  <c r="X259" i="10"/>
  <c r="X268" i="10"/>
  <c r="G258" i="9"/>
  <c r="AD285" i="9"/>
  <c r="AB285" i="9"/>
  <c r="H258" i="9"/>
  <c r="H182" i="9"/>
  <c r="G233" i="9"/>
  <c r="H233" i="9"/>
  <c r="H185" i="9"/>
  <c r="H184" i="9"/>
  <c r="H181" i="9"/>
  <c r="E252" i="9"/>
  <c r="R112" i="8"/>
  <c r="J119" i="9"/>
  <c r="H93" i="9"/>
  <c r="E269" i="9"/>
  <c r="E233" i="9"/>
  <c r="R231" i="8"/>
  <c r="R228" i="8"/>
  <c r="G229" i="9"/>
  <c r="E51" i="9"/>
  <c r="AH77" i="9"/>
  <c r="AG77" i="9"/>
  <c r="AD77" i="9"/>
  <c r="AC77" i="9"/>
  <c r="X77" i="9"/>
  <c r="W77" i="9"/>
  <c r="T77" i="9"/>
  <c r="Q77" i="9"/>
  <c r="AF77" i="9"/>
  <c r="J77" i="9"/>
  <c r="AB77" i="9"/>
  <c r="AH122" i="9"/>
  <c r="AG122" i="9"/>
  <c r="AD122" i="9"/>
  <c r="AC122" i="9"/>
  <c r="X122" i="9"/>
  <c r="W122" i="9"/>
  <c r="Q122" i="9"/>
  <c r="T122" i="9"/>
  <c r="F108" i="10"/>
  <c r="J108" i="10"/>
  <c r="AB108" i="10"/>
  <c r="V122" i="9"/>
  <c r="J122" i="9"/>
  <c r="AB122" i="9"/>
  <c r="AH121" i="9"/>
  <c r="AG121" i="9"/>
  <c r="AD121" i="9"/>
  <c r="AC121" i="9"/>
  <c r="X121" i="9"/>
  <c r="W121" i="9"/>
  <c r="Q121" i="9"/>
  <c r="V121" i="9"/>
  <c r="G223" i="9"/>
  <c r="H207" i="9"/>
  <c r="G207" i="9"/>
  <c r="H136" i="9"/>
  <c r="R43" i="8"/>
  <c r="E43" i="9"/>
  <c r="R151" i="8"/>
  <c r="H277" i="9"/>
  <c r="E172" i="9"/>
  <c r="H163" i="9"/>
  <c r="E268" i="9"/>
  <c r="AF121" i="9"/>
  <c r="AA122" i="9"/>
  <c r="AA121" i="9"/>
  <c r="V77" i="9"/>
  <c r="AA77" i="9"/>
  <c r="AF122" i="9"/>
  <c r="G169" i="9"/>
  <c r="G168" i="9"/>
  <c r="G185" i="9"/>
  <c r="G184" i="9"/>
  <c r="G182" i="9"/>
  <c r="G181" i="9"/>
  <c r="G21" i="9"/>
  <c r="G71" i="9"/>
  <c r="G208" i="9"/>
  <c r="AH43" i="8"/>
  <c r="AG43" i="8"/>
  <c r="AD43" i="8"/>
  <c r="AC43" i="8"/>
  <c r="X43" i="8"/>
  <c r="W43" i="8"/>
  <c r="Q43" i="8"/>
  <c r="T43" i="8"/>
  <c r="V43" i="8"/>
  <c r="J43" i="8"/>
  <c r="AB43" i="8"/>
  <c r="AH43" i="9"/>
  <c r="AG43" i="9"/>
  <c r="AD43" i="9"/>
  <c r="AC43" i="9"/>
  <c r="X43" i="9"/>
  <c r="W43" i="9"/>
  <c r="Q43" i="9"/>
  <c r="V43" i="9"/>
  <c r="AA43" i="9"/>
  <c r="F43" i="9"/>
  <c r="J43" i="9"/>
  <c r="AB43" i="9"/>
  <c r="AA43" i="8"/>
  <c r="AF43" i="8"/>
  <c r="AF43" i="9"/>
  <c r="G175" i="9"/>
  <c r="AG252" i="8"/>
  <c r="AF252" i="8"/>
  <c r="AC252" i="8"/>
  <c r="AB252" i="8"/>
  <c r="W252" i="8"/>
  <c r="V252" i="8"/>
  <c r="T252" i="8"/>
  <c r="Q252" i="8"/>
  <c r="X252" i="8"/>
  <c r="J252" i="8"/>
  <c r="AD252" i="8"/>
  <c r="AG254" i="9"/>
  <c r="AF254" i="9"/>
  <c r="AC254" i="9"/>
  <c r="AB254" i="9"/>
  <c r="W254" i="9"/>
  <c r="V254" i="9"/>
  <c r="Q254" i="9"/>
  <c r="X254" i="9"/>
  <c r="F254" i="9"/>
  <c r="J254" i="9"/>
  <c r="AD254" i="9"/>
  <c r="AA252" i="8"/>
  <c r="AH252" i="8"/>
  <c r="AA254" i="9"/>
  <c r="AH254" i="9"/>
  <c r="R221" i="8"/>
  <c r="R276" i="8"/>
  <c r="E278" i="9"/>
  <c r="T66" i="8"/>
  <c r="T65" i="8"/>
  <c r="T64" i="8"/>
  <c r="T63" i="8"/>
  <c r="T62" i="8"/>
  <c r="T61" i="8"/>
  <c r="T60" i="8"/>
  <c r="T56" i="8"/>
  <c r="T55" i="8"/>
  <c r="T54" i="8"/>
  <c r="T53" i="8"/>
  <c r="Q50" i="8"/>
  <c r="T50" i="8"/>
  <c r="T49" i="8"/>
  <c r="T47" i="8"/>
  <c r="T46" i="8"/>
  <c r="T42" i="8"/>
  <c r="T40" i="8"/>
  <c r="T39" i="8"/>
  <c r="T38" i="8"/>
  <c r="T37" i="8"/>
  <c r="T36" i="8"/>
  <c r="T35" i="8"/>
  <c r="T34" i="8"/>
  <c r="T33" i="8"/>
  <c r="T32" i="8"/>
  <c r="T31" i="8"/>
  <c r="T30" i="8"/>
  <c r="T160" i="8"/>
  <c r="T159" i="8"/>
  <c r="T158" i="8"/>
  <c r="T157" i="8"/>
  <c r="T156" i="8"/>
  <c r="T155" i="8"/>
  <c r="T154" i="8"/>
  <c r="T153" i="8"/>
  <c r="T149" i="8"/>
  <c r="T148" i="8"/>
  <c r="T147" i="8"/>
  <c r="T146" i="8"/>
  <c r="T145" i="8"/>
  <c r="T144" i="8"/>
  <c r="R207" i="8"/>
  <c r="G277" i="9"/>
  <c r="R197" i="8"/>
  <c r="G136" i="9"/>
  <c r="G125" i="9"/>
  <c r="G241" i="9"/>
  <c r="R195" i="8"/>
  <c r="G221" i="9"/>
  <c r="G220" i="9"/>
  <c r="R168" i="8"/>
  <c r="Q95" i="8"/>
  <c r="T95" i="8"/>
  <c r="V95" i="8"/>
  <c r="W95" i="8"/>
  <c r="X95" i="8"/>
  <c r="AF95" i="8"/>
  <c r="AG95" i="8"/>
  <c r="AH95" i="8"/>
  <c r="AH96" i="9"/>
  <c r="AF96" i="9"/>
  <c r="AD96" i="9"/>
  <c r="AB96" i="9"/>
  <c r="X96" i="9"/>
  <c r="V96" i="9"/>
  <c r="Q96" i="9"/>
  <c r="T96" i="9"/>
  <c r="F87" i="10"/>
  <c r="J87" i="10"/>
  <c r="AC87" i="10"/>
  <c r="AG96" i="9"/>
  <c r="F96" i="9"/>
  <c r="J96" i="9"/>
  <c r="AC96" i="9"/>
  <c r="R283" i="9"/>
  <c r="G163" i="9"/>
  <c r="AG170" i="9"/>
  <c r="AF170" i="9"/>
  <c r="AC170" i="9"/>
  <c r="AB170" i="9"/>
  <c r="W170" i="9"/>
  <c r="V170" i="9"/>
  <c r="Q170" i="9"/>
  <c r="X170" i="9"/>
  <c r="AG168" i="8"/>
  <c r="AF168" i="8"/>
  <c r="AC168" i="8"/>
  <c r="AB168" i="8"/>
  <c r="W168" i="8"/>
  <c r="V168" i="8"/>
  <c r="Q168" i="8"/>
  <c r="X168" i="8"/>
  <c r="J168" i="8"/>
  <c r="AD168" i="8"/>
  <c r="AB20" i="9"/>
  <c r="F256" i="9"/>
  <c r="J256" i="9"/>
  <c r="AB256" i="9"/>
  <c r="J185" i="9"/>
  <c r="AB185" i="9"/>
  <c r="J184" i="9"/>
  <c r="AB184" i="9"/>
  <c r="F162" i="9"/>
  <c r="J162" i="9"/>
  <c r="AB162" i="9"/>
  <c r="F161" i="9"/>
  <c r="J161" i="9"/>
  <c r="AB161" i="9"/>
  <c r="F160" i="9"/>
  <c r="J160" i="9"/>
  <c r="AB160" i="9"/>
  <c r="F159" i="9"/>
  <c r="J159" i="9"/>
  <c r="AB159" i="9"/>
  <c r="F158" i="9"/>
  <c r="J158" i="9"/>
  <c r="AB158" i="9"/>
  <c r="F157" i="9"/>
  <c r="J157" i="9"/>
  <c r="AB157" i="9"/>
  <c r="F156" i="9"/>
  <c r="J156" i="9"/>
  <c r="AC156" i="9"/>
  <c r="F155" i="9"/>
  <c r="J155" i="9"/>
  <c r="AB155" i="9"/>
  <c r="F151" i="9"/>
  <c r="J151" i="9"/>
  <c r="AB151" i="9"/>
  <c r="F150" i="9"/>
  <c r="J150" i="9"/>
  <c r="AC150" i="9"/>
  <c r="F149" i="9"/>
  <c r="J149" i="9"/>
  <c r="AB149" i="9"/>
  <c r="F148" i="9"/>
  <c r="J148" i="9"/>
  <c r="AB148" i="9"/>
  <c r="F147" i="9"/>
  <c r="J147" i="9"/>
  <c r="AB147" i="9"/>
  <c r="F146" i="9"/>
  <c r="J146" i="9"/>
  <c r="AB146" i="9"/>
  <c r="F74" i="9"/>
  <c r="J74" i="9"/>
  <c r="AB74" i="9"/>
  <c r="F66" i="9"/>
  <c r="J66" i="9"/>
  <c r="AC66" i="9"/>
  <c r="F65" i="9"/>
  <c r="J65" i="9"/>
  <c r="AC65" i="9"/>
  <c r="F64" i="9"/>
  <c r="J64" i="9"/>
  <c r="AC64" i="9"/>
  <c r="F63" i="9"/>
  <c r="J63" i="9"/>
  <c r="AD63" i="9"/>
  <c r="F62" i="9"/>
  <c r="J62" i="9"/>
  <c r="AC62" i="9"/>
  <c r="F61" i="9"/>
  <c r="J61" i="9"/>
  <c r="AB61" i="9"/>
  <c r="F60" i="9"/>
  <c r="J60" i="9"/>
  <c r="AC60" i="9"/>
  <c r="F56" i="9"/>
  <c r="J56" i="9"/>
  <c r="AB56" i="9"/>
  <c r="F55" i="9"/>
  <c r="J55" i="9"/>
  <c r="AB55" i="9"/>
  <c r="F54" i="9"/>
  <c r="J54" i="9"/>
  <c r="AB54" i="9"/>
  <c r="F53" i="9"/>
  <c r="J53" i="9"/>
  <c r="AC53" i="9"/>
  <c r="F50" i="9"/>
  <c r="J50" i="9"/>
  <c r="AB50" i="9"/>
  <c r="F49" i="9"/>
  <c r="J49" i="9"/>
  <c r="AC49" i="9"/>
  <c r="F47" i="9"/>
  <c r="J47" i="9"/>
  <c r="AC47" i="9"/>
  <c r="F46" i="9"/>
  <c r="J46" i="9"/>
  <c r="AB46" i="9"/>
  <c r="F42" i="9"/>
  <c r="J42" i="9"/>
  <c r="AB42" i="9"/>
  <c r="F40" i="9"/>
  <c r="J40" i="9"/>
  <c r="AB40" i="9"/>
  <c r="F39" i="9"/>
  <c r="J39" i="9"/>
  <c r="AB39" i="9"/>
  <c r="F38" i="9"/>
  <c r="J38" i="9"/>
  <c r="AB38" i="9"/>
  <c r="F37" i="9"/>
  <c r="J37" i="9"/>
  <c r="AB37" i="9"/>
  <c r="F36" i="9"/>
  <c r="J36" i="9"/>
  <c r="AB36" i="9"/>
  <c r="F35" i="9"/>
  <c r="J35" i="9"/>
  <c r="AB35" i="9"/>
  <c r="F34" i="9"/>
  <c r="J34" i="9"/>
  <c r="AB34" i="9"/>
  <c r="F33" i="9"/>
  <c r="J33" i="9"/>
  <c r="AC33" i="9"/>
  <c r="F32" i="9"/>
  <c r="J32" i="9"/>
  <c r="AB32" i="9"/>
  <c r="F31" i="9"/>
  <c r="J31" i="9"/>
  <c r="AC31" i="9"/>
  <c r="F30" i="9"/>
  <c r="J30" i="9"/>
  <c r="AB30" i="9"/>
  <c r="Z283" i="9"/>
  <c r="Y294" i="9"/>
  <c r="Y283" i="9"/>
  <c r="Y291" i="9"/>
  <c r="P283" i="9"/>
  <c r="N283" i="9"/>
  <c r="M283" i="9"/>
  <c r="L283" i="9"/>
  <c r="AH282" i="9"/>
  <c r="AG282" i="9"/>
  <c r="AD282" i="9"/>
  <c r="AC282" i="9"/>
  <c r="X282" i="9"/>
  <c r="W282" i="9"/>
  <c r="Q282" i="9"/>
  <c r="AF282" i="9"/>
  <c r="AH281" i="9"/>
  <c r="AF281" i="9"/>
  <c r="AD281" i="9"/>
  <c r="AB281" i="9"/>
  <c r="X281" i="9"/>
  <c r="V281" i="9"/>
  <c r="Q281" i="9"/>
  <c r="AG281" i="9"/>
  <c r="AH280" i="9"/>
  <c r="AG280" i="9"/>
  <c r="AD280" i="9"/>
  <c r="AC280" i="9"/>
  <c r="X280" i="9"/>
  <c r="W280" i="9"/>
  <c r="Q280" i="9"/>
  <c r="AF280" i="9"/>
  <c r="AG279" i="9"/>
  <c r="AF279" i="9"/>
  <c r="AC279" i="9"/>
  <c r="AB279" i="9"/>
  <c r="W279" i="9"/>
  <c r="V279" i="9"/>
  <c r="Q279" i="9"/>
  <c r="X279" i="9"/>
  <c r="AG278" i="9"/>
  <c r="AF278" i="9"/>
  <c r="AC278" i="9"/>
  <c r="AB278" i="9"/>
  <c r="W278" i="9"/>
  <c r="V278" i="9"/>
  <c r="Q278" i="9"/>
  <c r="AH278" i="9"/>
  <c r="AG277" i="9"/>
  <c r="AF277" i="9"/>
  <c r="AC277" i="9"/>
  <c r="AB277" i="9"/>
  <c r="W277" i="9"/>
  <c r="V277" i="9"/>
  <c r="Q277" i="9"/>
  <c r="T277" i="9"/>
  <c r="F248" i="10"/>
  <c r="J248" i="10"/>
  <c r="AD248" i="10"/>
  <c r="AH277" i="9"/>
  <c r="AH276" i="9"/>
  <c r="AG276" i="9"/>
  <c r="AD276" i="9"/>
  <c r="AC276" i="9"/>
  <c r="X276" i="9"/>
  <c r="W276" i="9"/>
  <c r="Q276" i="9"/>
  <c r="AF276" i="9"/>
  <c r="AH275" i="9"/>
  <c r="AG275" i="9"/>
  <c r="AD275" i="9"/>
  <c r="AC275" i="9"/>
  <c r="X275" i="9"/>
  <c r="W275" i="9"/>
  <c r="Q275" i="9"/>
  <c r="V275" i="9"/>
  <c r="AA275" i="9"/>
  <c r="AH274" i="9"/>
  <c r="AG274" i="9"/>
  <c r="AD274" i="9"/>
  <c r="AC274" i="9"/>
  <c r="X274" i="9"/>
  <c r="W274" i="9"/>
  <c r="T274" i="9"/>
  <c r="Q274" i="9"/>
  <c r="V274" i="9"/>
  <c r="AA274" i="9"/>
  <c r="AH273" i="9"/>
  <c r="AG273" i="9"/>
  <c r="AD273" i="9"/>
  <c r="AC273" i="9"/>
  <c r="X273" i="9"/>
  <c r="W273" i="9"/>
  <c r="Q273" i="9"/>
  <c r="T273" i="9"/>
  <c r="F245" i="10"/>
  <c r="J245" i="10"/>
  <c r="AB245" i="10"/>
  <c r="V273" i="9"/>
  <c r="AH272" i="9"/>
  <c r="AG272" i="9"/>
  <c r="AD272" i="9"/>
  <c r="AC272" i="9"/>
  <c r="X272" i="9"/>
  <c r="W272" i="9"/>
  <c r="Q272" i="9"/>
  <c r="V272" i="9"/>
  <c r="AA272" i="9"/>
  <c r="AH271" i="9"/>
  <c r="AF271" i="9"/>
  <c r="AD271" i="9"/>
  <c r="AB271" i="9"/>
  <c r="X271" i="9"/>
  <c r="V271" i="9"/>
  <c r="Q271" i="9"/>
  <c r="AG271" i="9"/>
  <c r="AH270" i="9"/>
  <c r="AG270" i="9"/>
  <c r="AD270" i="9"/>
  <c r="AC270" i="9"/>
  <c r="X270" i="9"/>
  <c r="W270" i="9"/>
  <c r="Q270" i="9"/>
  <c r="V270" i="9"/>
  <c r="AA270" i="9"/>
  <c r="AH269" i="9"/>
  <c r="AF269" i="9"/>
  <c r="AD269" i="9"/>
  <c r="AB269" i="9"/>
  <c r="X269" i="9"/>
  <c r="V269" i="9"/>
  <c r="Q269" i="9"/>
  <c r="AG269" i="9"/>
  <c r="AH268" i="9"/>
  <c r="AF268" i="9"/>
  <c r="AD268" i="9"/>
  <c r="AB268" i="9"/>
  <c r="X268" i="9"/>
  <c r="V268" i="9"/>
  <c r="Q268" i="9"/>
  <c r="AG268" i="9"/>
  <c r="AH267" i="9"/>
  <c r="AF267" i="9"/>
  <c r="AD267" i="9"/>
  <c r="AB267" i="9"/>
  <c r="X267" i="9"/>
  <c r="V267" i="9"/>
  <c r="Q267" i="9"/>
  <c r="AG267" i="9"/>
  <c r="AH266" i="9"/>
  <c r="AF266" i="9"/>
  <c r="AD266" i="9"/>
  <c r="AB266" i="9"/>
  <c r="X266" i="9"/>
  <c r="V266" i="9"/>
  <c r="Q266" i="9"/>
  <c r="AG266" i="9"/>
  <c r="AH265" i="9"/>
  <c r="AG265" i="9"/>
  <c r="AD265" i="9"/>
  <c r="AC265" i="9"/>
  <c r="X265" i="9"/>
  <c r="W265" i="9"/>
  <c r="Q265" i="9"/>
  <c r="V265" i="9"/>
  <c r="AA265" i="9"/>
  <c r="AH264" i="9"/>
  <c r="Q264" i="9"/>
  <c r="AF264" i="9"/>
  <c r="AD264" i="9"/>
  <c r="X264" i="9"/>
  <c r="AG264" i="9"/>
  <c r="AG263" i="9"/>
  <c r="AF263" i="9"/>
  <c r="AC263" i="9"/>
  <c r="AB263" i="9"/>
  <c r="W263" i="9"/>
  <c r="V263" i="9"/>
  <c r="Q263" i="9"/>
  <c r="X263" i="9"/>
  <c r="AH262" i="9"/>
  <c r="AF262" i="9"/>
  <c r="AD262" i="9"/>
  <c r="AB262" i="9"/>
  <c r="X262" i="9"/>
  <c r="V262" i="9"/>
  <c r="Q262" i="9"/>
  <c r="AG262" i="9"/>
  <c r="AH261" i="9"/>
  <c r="AF261" i="9"/>
  <c r="AD261" i="9"/>
  <c r="AB261" i="9"/>
  <c r="X261" i="9"/>
  <c r="V261" i="9"/>
  <c r="Q261" i="9"/>
  <c r="AG261" i="9"/>
  <c r="AH260" i="9"/>
  <c r="AG260" i="9"/>
  <c r="AD260" i="9"/>
  <c r="AC260" i="9"/>
  <c r="X260" i="9"/>
  <c r="W260" i="9"/>
  <c r="Q260" i="9"/>
  <c r="T260" i="9"/>
  <c r="F232" i="10"/>
  <c r="J232" i="10"/>
  <c r="AB232" i="10"/>
  <c r="V260" i="9"/>
  <c r="AH259" i="9"/>
  <c r="AG259" i="9"/>
  <c r="AD259" i="9"/>
  <c r="AC259" i="9"/>
  <c r="X259" i="9"/>
  <c r="W259" i="9"/>
  <c r="Q259" i="9"/>
  <c r="V259" i="9"/>
  <c r="AG258" i="9"/>
  <c r="AF258" i="9"/>
  <c r="AC258" i="9"/>
  <c r="AB258" i="9"/>
  <c r="W258" i="9"/>
  <c r="V258" i="9"/>
  <c r="Q258" i="9"/>
  <c r="T258" i="9"/>
  <c r="F230" i="10"/>
  <c r="J230" i="10"/>
  <c r="AD230" i="10"/>
  <c r="X258" i="9"/>
  <c r="AH257" i="9"/>
  <c r="AG257" i="9"/>
  <c r="AD257" i="9"/>
  <c r="AC257" i="9"/>
  <c r="X257" i="9"/>
  <c r="W257" i="9"/>
  <c r="Q257" i="9"/>
  <c r="V257" i="9"/>
  <c r="AH256" i="9"/>
  <c r="AG256" i="9"/>
  <c r="AD256" i="9"/>
  <c r="AC256" i="9"/>
  <c r="X256" i="9"/>
  <c r="W256" i="9"/>
  <c r="Q256" i="9"/>
  <c r="AF256" i="9"/>
  <c r="AH255" i="9"/>
  <c r="AG255" i="9"/>
  <c r="AD255" i="9"/>
  <c r="AC255" i="9"/>
  <c r="X255" i="9"/>
  <c r="W255" i="9"/>
  <c r="Q255" i="9"/>
  <c r="T255" i="9"/>
  <c r="F227" i="10"/>
  <c r="J227" i="10"/>
  <c r="AB227" i="10"/>
  <c r="V255" i="9"/>
  <c r="AH253" i="9"/>
  <c r="Q253" i="9"/>
  <c r="AF253" i="9"/>
  <c r="AD253" i="9"/>
  <c r="X253" i="9"/>
  <c r="AG253" i="9"/>
  <c r="AH252" i="9"/>
  <c r="AF252" i="9"/>
  <c r="AD252" i="9"/>
  <c r="AB252" i="9"/>
  <c r="X252" i="9"/>
  <c r="V252" i="9"/>
  <c r="Q252" i="9"/>
  <c r="AG252" i="9"/>
  <c r="AG251" i="9"/>
  <c r="AF251" i="9"/>
  <c r="AC251" i="9"/>
  <c r="AB251" i="9"/>
  <c r="W251" i="9"/>
  <c r="V251" i="9"/>
  <c r="Q251" i="9"/>
  <c r="T251" i="9"/>
  <c r="F223" i="10"/>
  <c r="J223" i="10"/>
  <c r="AD223" i="10"/>
  <c r="X251" i="9"/>
  <c r="AH250" i="9"/>
  <c r="AF250" i="9"/>
  <c r="AD250" i="9"/>
  <c r="AB250" i="9"/>
  <c r="X250" i="9"/>
  <c r="V250" i="9"/>
  <c r="Q250" i="9"/>
  <c r="T250" i="9"/>
  <c r="F222" i="10"/>
  <c r="J222" i="10"/>
  <c r="AC222" i="10"/>
  <c r="AG250" i="9"/>
  <c r="AH249" i="9"/>
  <c r="AF249" i="9"/>
  <c r="AD249" i="9"/>
  <c r="AB249" i="9"/>
  <c r="X249" i="9"/>
  <c r="V249" i="9"/>
  <c r="Q249" i="9"/>
  <c r="T249" i="9"/>
  <c r="F221" i="10"/>
  <c r="J221" i="10"/>
  <c r="AC221" i="10"/>
  <c r="AG249" i="9"/>
  <c r="AH248" i="9"/>
  <c r="AF248" i="9"/>
  <c r="AD248" i="9"/>
  <c r="AB248" i="9"/>
  <c r="X248" i="9"/>
  <c r="V248" i="9"/>
  <c r="Q248" i="9"/>
  <c r="T248" i="9"/>
  <c r="F220" i="10"/>
  <c r="J220" i="10"/>
  <c r="AC220" i="10"/>
  <c r="AG248" i="9"/>
  <c r="AH247" i="9"/>
  <c r="AF247" i="9"/>
  <c r="AD247" i="9"/>
  <c r="AB247" i="9"/>
  <c r="X247" i="9"/>
  <c r="V247" i="9"/>
  <c r="Q247" i="9"/>
  <c r="T247" i="9"/>
  <c r="F219" i="10"/>
  <c r="J219" i="10"/>
  <c r="AC219" i="10"/>
  <c r="AG247" i="9"/>
  <c r="AH246" i="9"/>
  <c r="AF246" i="9"/>
  <c r="AD246" i="9"/>
  <c r="AB246" i="9"/>
  <c r="X246" i="9"/>
  <c r="V246" i="9"/>
  <c r="Q246" i="9"/>
  <c r="T246" i="9"/>
  <c r="F218" i="10"/>
  <c r="J218" i="10"/>
  <c r="AC218" i="10"/>
  <c r="AG246" i="9"/>
  <c r="AH245" i="9"/>
  <c r="AF245" i="9"/>
  <c r="AD245" i="9"/>
  <c r="AB245" i="9"/>
  <c r="X245" i="9"/>
  <c r="V245" i="9"/>
  <c r="Q245" i="9"/>
  <c r="AG245" i="9"/>
  <c r="AH244" i="9"/>
  <c r="AF244" i="9"/>
  <c r="AD244" i="9"/>
  <c r="AB244" i="9"/>
  <c r="X244" i="9"/>
  <c r="V244" i="9"/>
  <c r="T244" i="9"/>
  <c r="Q244" i="9"/>
  <c r="AG244" i="9"/>
  <c r="AH243" i="9"/>
  <c r="AF243" i="9"/>
  <c r="AD243" i="9"/>
  <c r="AB243" i="9"/>
  <c r="X243" i="9"/>
  <c r="V243" i="9"/>
  <c r="Q243" i="9"/>
  <c r="AG243" i="9"/>
  <c r="AH242" i="9"/>
  <c r="AG242" i="9"/>
  <c r="AD242" i="9"/>
  <c r="AC242" i="9"/>
  <c r="X242" i="9"/>
  <c r="W242" i="9"/>
  <c r="Q242" i="9"/>
  <c r="V242" i="9"/>
  <c r="AA242" i="9"/>
  <c r="AH241" i="9"/>
  <c r="AG241" i="9"/>
  <c r="AD241" i="9"/>
  <c r="AC241" i="9"/>
  <c r="X241" i="9"/>
  <c r="W241" i="9"/>
  <c r="Q241" i="9"/>
  <c r="V241" i="9"/>
  <c r="AA241" i="9"/>
  <c r="AH240" i="9"/>
  <c r="AG240" i="9"/>
  <c r="AD240" i="9"/>
  <c r="AC240" i="9"/>
  <c r="X240" i="9"/>
  <c r="W240" i="9"/>
  <c r="Q240" i="9"/>
  <c r="V240" i="9"/>
  <c r="AA240" i="9"/>
  <c r="AH239" i="9"/>
  <c r="AF239" i="9"/>
  <c r="AD239" i="9"/>
  <c r="AB239" i="9"/>
  <c r="X239" i="9"/>
  <c r="V239" i="9"/>
  <c r="Q239" i="9"/>
  <c r="AG239" i="9"/>
  <c r="AH238" i="9"/>
  <c r="AF238" i="9"/>
  <c r="AD238" i="9"/>
  <c r="AB238" i="9"/>
  <c r="X238" i="9"/>
  <c r="V238" i="9"/>
  <c r="Q238" i="9"/>
  <c r="AG238" i="9"/>
  <c r="AH237" i="9"/>
  <c r="AF237" i="9"/>
  <c r="AD237" i="9"/>
  <c r="AB237" i="9"/>
  <c r="X237" i="9"/>
  <c r="V237" i="9"/>
  <c r="Q237" i="9"/>
  <c r="AG237" i="9"/>
  <c r="AH236" i="9"/>
  <c r="AF236" i="9"/>
  <c r="AD236" i="9"/>
  <c r="AB236" i="9"/>
  <c r="X236" i="9"/>
  <c r="Q236" i="9"/>
  <c r="W236" i="9"/>
  <c r="V236" i="9"/>
  <c r="AA236" i="9"/>
  <c r="AG236" i="9"/>
  <c r="AH235" i="9"/>
  <c r="AF235" i="9"/>
  <c r="AD235" i="9"/>
  <c r="AB235" i="9"/>
  <c r="X235" i="9"/>
  <c r="V235" i="9"/>
  <c r="Q235" i="9"/>
  <c r="AG235" i="9"/>
  <c r="AH234" i="9"/>
  <c r="AF234" i="9"/>
  <c r="AD234" i="9"/>
  <c r="AB234" i="9"/>
  <c r="X234" i="9"/>
  <c r="Q234" i="9"/>
  <c r="W234" i="9"/>
  <c r="V234" i="9"/>
  <c r="AA234" i="9"/>
  <c r="AG234" i="9"/>
  <c r="AH233" i="9"/>
  <c r="AF233" i="9"/>
  <c r="AD233" i="9"/>
  <c r="AB233" i="9"/>
  <c r="X233" i="9"/>
  <c r="V233" i="9"/>
  <c r="Q233" i="9"/>
  <c r="AG233" i="9"/>
  <c r="AH232" i="9"/>
  <c r="AF232" i="9"/>
  <c r="AD232" i="9"/>
  <c r="AB232" i="9"/>
  <c r="X232" i="9"/>
  <c r="V232" i="9"/>
  <c r="Q232" i="9"/>
  <c r="AG232" i="9"/>
  <c r="AH231" i="9"/>
  <c r="AG231" i="9"/>
  <c r="AD231" i="9"/>
  <c r="AC231" i="9"/>
  <c r="X231" i="9"/>
  <c r="W231" i="9"/>
  <c r="Q231" i="9"/>
  <c r="V231" i="9"/>
  <c r="AA231" i="9"/>
  <c r="AH230" i="9"/>
  <c r="AG230" i="9"/>
  <c r="AD230" i="9"/>
  <c r="AC230" i="9"/>
  <c r="X230" i="9"/>
  <c r="W230" i="9"/>
  <c r="Q230" i="9"/>
  <c r="T230" i="9"/>
  <c r="F203" i="10"/>
  <c r="J203" i="10"/>
  <c r="AB203" i="10"/>
  <c r="AF230" i="9"/>
  <c r="AH229" i="9"/>
  <c r="AG229" i="9"/>
  <c r="AD229" i="9"/>
  <c r="AC229" i="9"/>
  <c r="X229" i="9"/>
  <c r="W229" i="9"/>
  <c r="Q229" i="9"/>
  <c r="T229" i="9"/>
  <c r="F202" i="10"/>
  <c r="J202" i="10"/>
  <c r="AB202" i="10"/>
  <c r="AF229" i="9"/>
  <c r="AH228" i="9"/>
  <c r="AF228" i="9"/>
  <c r="AD228" i="9"/>
  <c r="AB228" i="9"/>
  <c r="X228" i="9"/>
  <c r="V228" i="9"/>
  <c r="Q228" i="9"/>
  <c r="W228" i="9"/>
  <c r="AH227" i="9"/>
  <c r="AG227" i="9"/>
  <c r="AD227" i="9"/>
  <c r="AC227" i="9"/>
  <c r="X227" i="9"/>
  <c r="W227" i="9"/>
  <c r="Q227" i="9"/>
  <c r="AF227" i="9"/>
  <c r="AH226" i="9"/>
  <c r="AG226" i="9"/>
  <c r="AD226" i="9"/>
  <c r="AC226" i="9"/>
  <c r="X226" i="9"/>
  <c r="W226" i="9"/>
  <c r="Q226" i="9"/>
  <c r="AF226" i="9"/>
  <c r="AH225" i="9"/>
  <c r="AF225" i="9"/>
  <c r="AD225" i="9"/>
  <c r="AB225" i="9"/>
  <c r="X225" i="9"/>
  <c r="V225" i="9"/>
  <c r="Q225" i="9"/>
  <c r="W225" i="9"/>
  <c r="AH224" i="9"/>
  <c r="AG224" i="9"/>
  <c r="AD224" i="9"/>
  <c r="AC224" i="9"/>
  <c r="X224" i="9"/>
  <c r="W224" i="9"/>
  <c r="T224" i="9"/>
  <c r="Q224" i="9"/>
  <c r="AF224" i="9"/>
  <c r="AH223" i="9"/>
  <c r="AG223" i="9"/>
  <c r="AD223" i="9"/>
  <c r="AC223" i="9"/>
  <c r="X223" i="9"/>
  <c r="W223" i="9"/>
  <c r="Q223" i="9"/>
  <c r="T223" i="9"/>
  <c r="F197" i="10"/>
  <c r="J197" i="10"/>
  <c r="AB197" i="10"/>
  <c r="AF223" i="9"/>
  <c r="AH222" i="9"/>
  <c r="AG222" i="9"/>
  <c r="AD222" i="9"/>
  <c r="AC222" i="9"/>
  <c r="X222" i="9"/>
  <c r="W222" i="9"/>
  <c r="Q222" i="9"/>
  <c r="T222" i="9"/>
  <c r="F196" i="10"/>
  <c r="J196" i="10"/>
  <c r="AB196" i="10"/>
  <c r="AF222" i="9"/>
  <c r="AG221" i="9"/>
  <c r="AF221" i="9"/>
  <c r="AC221" i="9"/>
  <c r="AB221" i="9"/>
  <c r="W221" i="9"/>
  <c r="V221" i="9"/>
  <c r="T221" i="9"/>
  <c r="Q221" i="9"/>
  <c r="AH221" i="9"/>
  <c r="AH220" i="9"/>
  <c r="AF220" i="9"/>
  <c r="AD220" i="9"/>
  <c r="AB220" i="9"/>
  <c r="X220" i="9"/>
  <c r="V220" i="9"/>
  <c r="Q220" i="9"/>
  <c r="W220" i="9"/>
  <c r="AH219" i="9"/>
  <c r="AG219" i="9"/>
  <c r="AD219" i="9"/>
  <c r="AC219" i="9"/>
  <c r="X219" i="9"/>
  <c r="W219" i="9"/>
  <c r="Q219" i="9"/>
  <c r="T219" i="9"/>
  <c r="F193" i="10"/>
  <c r="J193" i="10"/>
  <c r="AB193" i="10"/>
  <c r="V219" i="9"/>
  <c r="AA219" i="9"/>
  <c r="AH218" i="9"/>
  <c r="AG218" i="9"/>
  <c r="AD218" i="9"/>
  <c r="AC218" i="9"/>
  <c r="X218" i="9"/>
  <c r="W218" i="9"/>
  <c r="Q218" i="9"/>
  <c r="V218" i="9"/>
  <c r="AA218" i="9"/>
  <c r="AH217" i="9"/>
  <c r="AG217" i="9"/>
  <c r="AD217" i="9"/>
  <c r="AC217" i="9"/>
  <c r="X217" i="9"/>
  <c r="W217" i="9"/>
  <c r="T217" i="9"/>
  <c r="Q217" i="9"/>
  <c r="V217" i="9"/>
  <c r="AA217" i="9"/>
  <c r="AH216" i="9"/>
  <c r="AF216" i="9"/>
  <c r="AD216" i="9"/>
  <c r="AB216" i="9"/>
  <c r="X216" i="9"/>
  <c r="V216" i="9"/>
  <c r="Q216" i="9"/>
  <c r="AG216" i="9"/>
  <c r="AH215" i="9"/>
  <c r="AF215" i="9"/>
  <c r="AD215" i="9"/>
  <c r="AB215" i="9"/>
  <c r="X215" i="9"/>
  <c r="V215" i="9"/>
  <c r="Q215" i="9"/>
  <c r="AG215" i="9"/>
  <c r="AG214" i="9"/>
  <c r="AF214" i="9"/>
  <c r="AC214" i="9"/>
  <c r="AB214" i="9"/>
  <c r="W214" i="9"/>
  <c r="V214" i="9"/>
  <c r="Q214" i="9"/>
  <c r="X214" i="9"/>
  <c r="AH213" i="9"/>
  <c r="AF213" i="9"/>
  <c r="AD213" i="9"/>
  <c r="AB213" i="9"/>
  <c r="X213" i="9"/>
  <c r="V213" i="9"/>
  <c r="Q213" i="9"/>
  <c r="T213" i="9"/>
  <c r="F188" i="10"/>
  <c r="J188" i="10"/>
  <c r="AC188" i="10"/>
  <c r="AG213" i="9"/>
  <c r="AH212" i="9"/>
  <c r="AG212" i="9"/>
  <c r="AD212" i="9"/>
  <c r="AC212" i="9"/>
  <c r="X212" i="9"/>
  <c r="W212" i="9"/>
  <c r="Q212" i="9"/>
  <c r="V212" i="9"/>
  <c r="AA212" i="9"/>
  <c r="AH211" i="9"/>
  <c r="AG211" i="9"/>
  <c r="AD211" i="9"/>
  <c r="AC211" i="9"/>
  <c r="X211" i="9"/>
  <c r="W211" i="9"/>
  <c r="Q211" i="9"/>
  <c r="T211" i="9"/>
  <c r="F186" i="10"/>
  <c r="J186" i="10"/>
  <c r="AB186" i="10"/>
  <c r="V211" i="9"/>
  <c r="AA211" i="9"/>
  <c r="AH210" i="9"/>
  <c r="AG210" i="9"/>
  <c r="AD210" i="9"/>
  <c r="AC210" i="9"/>
  <c r="X210" i="9"/>
  <c r="W210" i="9"/>
  <c r="Q210" i="9"/>
  <c r="AF210" i="9"/>
  <c r="AH209" i="9"/>
  <c r="AG209" i="9"/>
  <c r="AD209" i="9"/>
  <c r="AC209" i="9"/>
  <c r="X209" i="9"/>
  <c r="W209" i="9"/>
  <c r="Q209" i="9"/>
  <c r="T209" i="9"/>
  <c r="F184" i="10"/>
  <c r="J184" i="10"/>
  <c r="AB184" i="10"/>
  <c r="AF209" i="9"/>
  <c r="AH208" i="9"/>
  <c r="AG208" i="9"/>
  <c r="AD208" i="9"/>
  <c r="AC208" i="9"/>
  <c r="X208" i="9"/>
  <c r="W208" i="9"/>
  <c r="Q208" i="9"/>
  <c r="T208" i="9"/>
  <c r="F183" i="10"/>
  <c r="J183" i="10"/>
  <c r="AB183" i="10"/>
  <c r="AF208" i="9"/>
  <c r="AH207" i="9"/>
  <c r="AG207" i="9"/>
  <c r="AD207" i="9"/>
  <c r="X207" i="9"/>
  <c r="W207" i="9"/>
  <c r="Q207" i="9"/>
  <c r="V207" i="9"/>
  <c r="AH206" i="9"/>
  <c r="AG206" i="9"/>
  <c r="AD206" i="9"/>
  <c r="AC206" i="9"/>
  <c r="X206" i="9"/>
  <c r="W206" i="9"/>
  <c r="Q206" i="9"/>
  <c r="AF206" i="9"/>
  <c r="AH205" i="9"/>
  <c r="AG205" i="9"/>
  <c r="AD205" i="9"/>
  <c r="AC205" i="9"/>
  <c r="X205" i="9"/>
  <c r="W205" i="9"/>
  <c r="Q205" i="9"/>
  <c r="T205" i="9"/>
  <c r="F180" i="10"/>
  <c r="J180" i="10"/>
  <c r="AB180" i="10"/>
  <c r="AF205" i="9"/>
  <c r="AH204" i="9"/>
  <c r="AG204" i="9"/>
  <c r="AD204" i="9"/>
  <c r="AC204" i="9"/>
  <c r="X204" i="9"/>
  <c r="W204" i="9"/>
  <c r="Q204" i="9"/>
  <c r="T204" i="9"/>
  <c r="F179" i="10"/>
  <c r="J179" i="10"/>
  <c r="AB179" i="10"/>
  <c r="V204" i="9"/>
  <c r="AH203" i="9"/>
  <c r="AG203" i="9"/>
  <c r="AD203" i="9"/>
  <c r="AC203" i="9"/>
  <c r="X203" i="9"/>
  <c r="W203" i="9"/>
  <c r="T203" i="9"/>
  <c r="Q203" i="9"/>
  <c r="AF203" i="9"/>
  <c r="AH202" i="9"/>
  <c r="AF202" i="9"/>
  <c r="AD202" i="9"/>
  <c r="AB202" i="9"/>
  <c r="X202" i="9"/>
  <c r="V202" i="9"/>
  <c r="Q202" i="9"/>
  <c r="W202" i="9"/>
  <c r="AH201" i="9"/>
  <c r="AD201" i="9"/>
  <c r="X201" i="9"/>
  <c r="Q201" i="9"/>
  <c r="AF201" i="9"/>
  <c r="AH200" i="9"/>
  <c r="AF200" i="9"/>
  <c r="AD200" i="9"/>
  <c r="AB200" i="9"/>
  <c r="X200" i="9"/>
  <c r="V200" i="9"/>
  <c r="Q200" i="9"/>
  <c r="W200" i="9"/>
  <c r="AH199" i="9"/>
  <c r="AF199" i="9"/>
  <c r="AD199" i="9"/>
  <c r="AB199" i="9"/>
  <c r="X199" i="9"/>
  <c r="V199" i="9"/>
  <c r="Q199" i="9"/>
  <c r="T199" i="9"/>
  <c r="F175" i="10"/>
  <c r="J175" i="10"/>
  <c r="AC175" i="10"/>
  <c r="W199" i="9"/>
  <c r="AH198" i="9"/>
  <c r="AF198" i="9"/>
  <c r="AD198" i="9"/>
  <c r="AB198" i="9"/>
  <c r="X198" i="9"/>
  <c r="V198" i="9"/>
  <c r="Q198" i="9"/>
  <c r="W198" i="9"/>
  <c r="AH197" i="9"/>
  <c r="AF197" i="9"/>
  <c r="AD197" i="9"/>
  <c r="AB197" i="9"/>
  <c r="X197" i="9"/>
  <c r="V197" i="9"/>
  <c r="Q197" i="9"/>
  <c r="T197" i="9"/>
  <c r="F173" i="10"/>
  <c r="J173" i="10"/>
  <c r="AC173" i="10"/>
  <c r="W197" i="9"/>
  <c r="AH196" i="9"/>
  <c r="AG196" i="9"/>
  <c r="AD196" i="9"/>
  <c r="AC196" i="9"/>
  <c r="X196" i="9"/>
  <c r="W196" i="9"/>
  <c r="T196" i="9"/>
  <c r="Q196" i="9"/>
  <c r="V196" i="9"/>
  <c r="AA196" i="9"/>
  <c r="AH195" i="9"/>
  <c r="AG195" i="9"/>
  <c r="AD195" i="9"/>
  <c r="AC195" i="9"/>
  <c r="X195" i="9"/>
  <c r="W195" i="9"/>
  <c r="Q195" i="9"/>
  <c r="V195" i="9"/>
  <c r="AA195" i="9"/>
  <c r="AH194" i="9"/>
  <c r="AG194" i="9"/>
  <c r="AD194" i="9"/>
  <c r="AC194" i="9"/>
  <c r="X194" i="9"/>
  <c r="W194" i="9"/>
  <c r="T194" i="9"/>
  <c r="Q194" i="9"/>
  <c r="V194" i="9"/>
  <c r="AA194" i="9"/>
  <c r="AH193" i="9"/>
  <c r="AG193" i="9"/>
  <c r="AD193" i="9"/>
  <c r="AC193" i="9"/>
  <c r="X193" i="9"/>
  <c r="W193" i="9"/>
  <c r="Q193" i="9"/>
  <c r="T193" i="9"/>
  <c r="F171" i="10"/>
  <c r="J171" i="10"/>
  <c r="AB171" i="10"/>
  <c r="V193" i="9"/>
  <c r="AA193" i="9"/>
  <c r="AH192" i="9"/>
  <c r="AG192" i="9"/>
  <c r="AD192" i="9"/>
  <c r="AC192" i="9"/>
  <c r="X192" i="9"/>
  <c r="W192" i="9"/>
  <c r="T192" i="9"/>
  <c r="Q192" i="9"/>
  <c r="AF192" i="9"/>
  <c r="AH191" i="9"/>
  <c r="AG191" i="9"/>
  <c r="AD191" i="9"/>
  <c r="AC191" i="9"/>
  <c r="X191" i="9"/>
  <c r="W191" i="9"/>
  <c r="Q191" i="9"/>
  <c r="T191" i="9"/>
  <c r="F170" i="10"/>
  <c r="J170" i="10"/>
  <c r="AB170" i="10"/>
  <c r="AF191" i="9"/>
  <c r="AH190" i="9"/>
  <c r="AF190" i="9"/>
  <c r="AD190" i="9"/>
  <c r="AB190" i="9"/>
  <c r="X190" i="9"/>
  <c r="V190" i="9"/>
  <c r="Q190" i="9"/>
  <c r="T190" i="9"/>
  <c r="F169" i="10"/>
  <c r="J169" i="10"/>
  <c r="AC169" i="10"/>
  <c r="W190" i="9"/>
  <c r="AH189" i="9"/>
  <c r="AF189" i="9"/>
  <c r="AD189" i="9"/>
  <c r="AB189" i="9"/>
  <c r="X189" i="9"/>
  <c r="V189" i="9"/>
  <c r="Q189" i="9"/>
  <c r="T189" i="9"/>
  <c r="F168" i="10"/>
  <c r="J168" i="10"/>
  <c r="AC168" i="10"/>
  <c r="W189" i="9"/>
  <c r="AH188" i="9"/>
  <c r="AG188" i="9"/>
  <c r="AD188" i="9"/>
  <c r="AC188" i="9"/>
  <c r="X188" i="9"/>
  <c r="W188" i="9"/>
  <c r="Q188" i="9"/>
  <c r="AF188" i="9"/>
  <c r="AH187" i="9"/>
  <c r="AG187" i="9"/>
  <c r="AD187" i="9"/>
  <c r="AC187" i="9"/>
  <c r="X187" i="9"/>
  <c r="W187" i="9"/>
  <c r="Q187" i="9"/>
  <c r="AF187" i="9"/>
  <c r="AG186" i="9"/>
  <c r="AF186" i="9"/>
  <c r="AC186" i="9"/>
  <c r="AB186" i="9"/>
  <c r="W186" i="9"/>
  <c r="V186" i="9"/>
  <c r="Q186" i="9"/>
  <c r="AH186" i="9"/>
  <c r="AH185" i="9"/>
  <c r="AD185" i="9"/>
  <c r="AC185" i="9"/>
  <c r="X185" i="9"/>
  <c r="Q185" i="9"/>
  <c r="AF185" i="9"/>
  <c r="AH184" i="9"/>
  <c r="AG184" i="9"/>
  <c r="AD184" i="9"/>
  <c r="AC184" i="9"/>
  <c r="X184" i="9"/>
  <c r="W184" i="9"/>
  <c r="T184" i="9"/>
  <c r="F163" i="10"/>
  <c r="J163" i="10"/>
  <c r="AB163" i="10"/>
  <c r="Q184" i="9"/>
  <c r="AF184" i="9"/>
  <c r="AH183" i="9"/>
  <c r="AF183" i="9"/>
  <c r="AD183" i="9"/>
  <c r="AB183" i="9"/>
  <c r="X183" i="9"/>
  <c r="V183" i="9"/>
  <c r="Q183" i="9"/>
  <c r="W183" i="9"/>
  <c r="AH182" i="9"/>
  <c r="AG182" i="9"/>
  <c r="AD182" i="9"/>
  <c r="AC182" i="9"/>
  <c r="X182" i="9"/>
  <c r="W182" i="9"/>
  <c r="Q182" i="9"/>
  <c r="AF182" i="9"/>
  <c r="AH181" i="9"/>
  <c r="AG181" i="9"/>
  <c r="AD181" i="9"/>
  <c r="AC181" i="9"/>
  <c r="X181" i="9"/>
  <c r="W181" i="9"/>
  <c r="Q181" i="9"/>
  <c r="V181" i="9"/>
  <c r="AA181" i="9"/>
  <c r="AH180" i="9"/>
  <c r="AF180" i="9"/>
  <c r="AD180" i="9"/>
  <c r="AB180" i="9"/>
  <c r="X180" i="9"/>
  <c r="V180" i="9"/>
  <c r="Q180" i="9"/>
  <c r="T180" i="9"/>
  <c r="F159" i="10"/>
  <c r="J159" i="10"/>
  <c r="AC159" i="10"/>
  <c r="W180" i="9"/>
  <c r="AH179" i="9"/>
  <c r="AF179" i="9"/>
  <c r="AD179" i="9"/>
  <c r="AB179" i="9"/>
  <c r="X179" i="9"/>
  <c r="V179" i="9"/>
  <c r="Q179" i="9"/>
  <c r="T179" i="9"/>
  <c r="F158" i="10"/>
  <c r="J158" i="10"/>
  <c r="AC158" i="10"/>
  <c r="W179" i="9"/>
  <c r="AG178" i="9"/>
  <c r="AF178" i="9"/>
  <c r="AC178" i="9"/>
  <c r="AB178" i="9"/>
  <c r="W178" i="9"/>
  <c r="V178" i="9"/>
  <c r="Q178" i="9"/>
  <c r="AH178" i="9"/>
  <c r="AH177" i="9"/>
  <c r="AG177" i="9"/>
  <c r="AD177" i="9"/>
  <c r="AC177" i="9"/>
  <c r="X177" i="9"/>
  <c r="W177" i="9"/>
  <c r="Q177" i="9"/>
  <c r="T177" i="9"/>
  <c r="F156" i="10"/>
  <c r="J156" i="10"/>
  <c r="AB156" i="10"/>
  <c r="V177" i="9"/>
  <c r="AA177" i="9"/>
  <c r="AH176" i="9"/>
  <c r="AG176" i="9"/>
  <c r="AD176" i="9"/>
  <c r="AC176" i="9"/>
  <c r="X176" i="9"/>
  <c r="W176" i="9"/>
  <c r="Q176" i="9"/>
  <c r="AF176" i="9"/>
  <c r="AH175" i="9"/>
  <c r="AF175" i="9"/>
  <c r="AD175" i="9"/>
  <c r="AB175" i="9"/>
  <c r="X175" i="9"/>
  <c r="V175" i="9"/>
  <c r="Q175" i="9"/>
  <c r="W175" i="9"/>
  <c r="AH174" i="9"/>
  <c r="AG174" i="9"/>
  <c r="AD174" i="9"/>
  <c r="AC174" i="9"/>
  <c r="X174" i="9"/>
  <c r="W174" i="9"/>
  <c r="T174" i="9"/>
  <c r="Q174" i="9"/>
  <c r="AF174" i="9"/>
  <c r="AH173" i="9"/>
  <c r="AF173" i="9"/>
  <c r="AD173" i="9"/>
  <c r="AB173" i="9"/>
  <c r="X173" i="9"/>
  <c r="V173" i="9"/>
  <c r="Q173" i="9"/>
  <c r="W173" i="9"/>
  <c r="AH172" i="9"/>
  <c r="AF172" i="9"/>
  <c r="AD172" i="9"/>
  <c r="AB172" i="9"/>
  <c r="X172" i="9"/>
  <c r="V172" i="9"/>
  <c r="Q172" i="9"/>
  <c r="W172" i="9"/>
  <c r="AH171" i="9"/>
  <c r="AF171" i="9"/>
  <c r="AD171" i="9"/>
  <c r="AB171" i="9"/>
  <c r="X171" i="9"/>
  <c r="V171" i="9"/>
  <c r="Q171" i="9"/>
  <c r="W171" i="9"/>
  <c r="AH169" i="9"/>
  <c r="AG169" i="9"/>
  <c r="AD169" i="9"/>
  <c r="AC169" i="9"/>
  <c r="X169" i="9"/>
  <c r="W169" i="9"/>
  <c r="Q169" i="9"/>
  <c r="T169" i="9"/>
  <c r="F149" i="10"/>
  <c r="J149" i="10"/>
  <c r="AB149" i="10"/>
  <c r="AF169" i="9"/>
  <c r="AH168" i="9"/>
  <c r="AG168" i="9"/>
  <c r="AD168" i="9"/>
  <c r="AC168" i="9"/>
  <c r="X168" i="9"/>
  <c r="W168" i="9"/>
  <c r="Q168" i="9"/>
  <c r="T168" i="9"/>
  <c r="F148" i="10"/>
  <c r="J148" i="10"/>
  <c r="AB148" i="10"/>
  <c r="V168" i="9"/>
  <c r="AA168" i="9"/>
  <c r="AH167" i="9"/>
  <c r="AF167" i="9"/>
  <c r="AD167" i="9"/>
  <c r="AB167" i="9"/>
  <c r="X167" i="9"/>
  <c r="V167" i="9"/>
  <c r="Q167" i="9"/>
  <c r="AG167" i="9"/>
  <c r="AH166" i="9"/>
  <c r="Q166" i="9"/>
  <c r="AG166" i="9"/>
  <c r="AD166" i="9"/>
  <c r="X166" i="9"/>
  <c r="V166" i="9"/>
  <c r="AH165" i="9"/>
  <c r="AF165" i="9"/>
  <c r="AD165" i="9"/>
  <c r="AB165" i="9"/>
  <c r="X165" i="9"/>
  <c r="V165" i="9"/>
  <c r="Q165" i="9"/>
  <c r="AG165" i="9"/>
  <c r="AH164" i="9"/>
  <c r="AG164" i="9"/>
  <c r="AD164" i="9"/>
  <c r="AC164" i="9"/>
  <c r="X164" i="9"/>
  <c r="W164" i="9"/>
  <c r="Q164" i="9"/>
  <c r="V164" i="9"/>
  <c r="AH163" i="9"/>
  <c r="AG163" i="9"/>
  <c r="AD163" i="9"/>
  <c r="AC163" i="9"/>
  <c r="X163" i="9"/>
  <c r="W163" i="9"/>
  <c r="Q163" i="9"/>
  <c r="V163" i="9"/>
  <c r="AH162" i="9"/>
  <c r="AG162" i="9"/>
  <c r="AD162" i="9"/>
  <c r="AC162" i="9"/>
  <c r="X162" i="9"/>
  <c r="W162" i="9"/>
  <c r="Q162" i="9"/>
  <c r="AF162" i="9"/>
  <c r="AH161" i="9"/>
  <c r="AG161" i="9"/>
  <c r="AD161" i="9"/>
  <c r="AC161" i="9"/>
  <c r="X161" i="9"/>
  <c r="W161" i="9"/>
  <c r="Q161" i="9"/>
  <c r="AF161" i="9"/>
  <c r="AH160" i="9"/>
  <c r="AG160" i="9"/>
  <c r="AD160" i="9"/>
  <c r="AC160" i="9"/>
  <c r="X160" i="9"/>
  <c r="W160" i="9"/>
  <c r="Q160" i="9"/>
  <c r="AF160" i="9"/>
  <c r="AH159" i="9"/>
  <c r="AG159" i="9"/>
  <c r="AD159" i="9"/>
  <c r="AC159" i="9"/>
  <c r="X159" i="9"/>
  <c r="W159" i="9"/>
  <c r="Q159" i="9"/>
  <c r="AF159" i="9"/>
  <c r="AH158" i="9"/>
  <c r="AG158" i="9"/>
  <c r="AD158" i="9"/>
  <c r="AC158" i="9"/>
  <c r="X158" i="9"/>
  <c r="W158" i="9"/>
  <c r="Q158" i="9"/>
  <c r="AF158" i="9"/>
  <c r="AH157" i="9"/>
  <c r="AG157" i="9"/>
  <c r="AD157" i="9"/>
  <c r="AC157" i="9"/>
  <c r="X157" i="9"/>
  <c r="W157" i="9"/>
  <c r="Q157" i="9"/>
  <c r="AF157" i="9"/>
  <c r="AH156" i="9"/>
  <c r="AF156" i="9"/>
  <c r="AD156" i="9"/>
  <c r="AB156" i="9"/>
  <c r="X156" i="9"/>
  <c r="V156" i="9"/>
  <c r="T156" i="9"/>
  <c r="Q156" i="9"/>
  <c r="W156" i="9"/>
  <c r="AH155" i="9"/>
  <c r="AG155" i="9"/>
  <c r="AD155" i="9"/>
  <c r="AC155" i="9"/>
  <c r="X155" i="9"/>
  <c r="W155" i="9"/>
  <c r="Q155" i="9"/>
  <c r="AF155" i="9"/>
  <c r="AH154" i="9"/>
  <c r="AF154" i="9"/>
  <c r="AD154" i="9"/>
  <c r="AB154" i="9"/>
  <c r="X154" i="9"/>
  <c r="V154" i="9"/>
  <c r="Q154" i="9"/>
  <c r="T154" i="9"/>
  <c r="F133" i="10"/>
  <c r="J133" i="10"/>
  <c r="AC133" i="10"/>
  <c r="W154" i="9"/>
  <c r="AH153" i="9"/>
  <c r="AF153" i="9"/>
  <c r="AD153" i="9"/>
  <c r="AB153" i="9"/>
  <c r="X153" i="9"/>
  <c r="V153" i="9"/>
  <c r="Q153" i="9"/>
  <c r="T153" i="9"/>
  <c r="F132" i="10"/>
  <c r="J132" i="10"/>
  <c r="AC132" i="10"/>
  <c r="W153" i="9"/>
  <c r="AG152" i="9"/>
  <c r="AF152" i="9"/>
  <c r="AC152" i="9"/>
  <c r="AB152" i="9"/>
  <c r="W152" i="9"/>
  <c r="V152" i="9"/>
  <c r="AH152" i="9"/>
  <c r="AH151" i="9"/>
  <c r="AG151" i="9"/>
  <c r="AD151" i="9"/>
  <c r="AC151" i="9"/>
  <c r="X151" i="9"/>
  <c r="W151" i="9"/>
  <c r="Q151" i="9"/>
  <c r="T151" i="9"/>
  <c r="F130" i="10"/>
  <c r="J130" i="10"/>
  <c r="AB130" i="10"/>
  <c r="AF151" i="9"/>
  <c r="AH150" i="9"/>
  <c r="AF150" i="9"/>
  <c r="AD150" i="9"/>
  <c r="AB150" i="9"/>
  <c r="X150" i="9"/>
  <c r="V150" i="9"/>
  <c r="Q150" i="9"/>
  <c r="W150" i="9"/>
  <c r="AH149" i="9"/>
  <c r="AG149" i="9"/>
  <c r="AD149" i="9"/>
  <c r="AC149" i="9"/>
  <c r="X149" i="9"/>
  <c r="W149" i="9"/>
  <c r="T149" i="9"/>
  <c r="Q149" i="9"/>
  <c r="AF149" i="9"/>
  <c r="AH148" i="9"/>
  <c r="AG148" i="9"/>
  <c r="AD148" i="9"/>
  <c r="AC148" i="9"/>
  <c r="X148" i="9"/>
  <c r="W148" i="9"/>
  <c r="Q148" i="9"/>
  <c r="T148" i="9"/>
  <c r="F128" i="10"/>
  <c r="J128" i="10"/>
  <c r="AB128" i="10"/>
  <c r="AF148" i="9"/>
  <c r="AH147" i="9"/>
  <c r="AG147" i="9"/>
  <c r="AD147" i="9"/>
  <c r="AC147" i="9"/>
  <c r="X147" i="9"/>
  <c r="W147" i="9"/>
  <c r="Q147" i="9"/>
  <c r="AF147" i="9"/>
  <c r="AH146" i="9"/>
  <c r="AG146" i="9"/>
  <c r="AD146" i="9"/>
  <c r="AC146" i="9"/>
  <c r="X146" i="9"/>
  <c r="W146" i="9"/>
  <c r="T146" i="9"/>
  <c r="Q146" i="9"/>
  <c r="AF146" i="9"/>
  <c r="AH145" i="9"/>
  <c r="AG145" i="9"/>
  <c r="AD145" i="9"/>
  <c r="AC145" i="9"/>
  <c r="X145" i="9"/>
  <c r="W145" i="9"/>
  <c r="T145" i="9"/>
  <c r="Q145" i="9"/>
  <c r="AF145" i="9"/>
  <c r="AH144" i="9"/>
  <c r="AG144" i="9"/>
  <c r="AD144" i="9"/>
  <c r="AC144" i="9"/>
  <c r="X144" i="9"/>
  <c r="W144" i="9"/>
  <c r="T144" i="9"/>
  <c r="Q144" i="9"/>
  <c r="AF144" i="9"/>
  <c r="AH143" i="9"/>
  <c r="AG143" i="9"/>
  <c r="AD143" i="9"/>
  <c r="AC143" i="9"/>
  <c r="X143" i="9"/>
  <c r="W143" i="9"/>
  <c r="T143" i="9"/>
  <c r="Q143" i="9"/>
  <c r="AF143" i="9"/>
  <c r="AH142" i="9"/>
  <c r="AG142" i="9"/>
  <c r="AD142" i="9"/>
  <c r="AC142" i="9"/>
  <c r="X142" i="9"/>
  <c r="W142" i="9"/>
  <c r="Q142" i="9"/>
  <c r="T142" i="9"/>
  <c r="F126" i="10"/>
  <c r="J126" i="10"/>
  <c r="AB126" i="10"/>
  <c r="AF142" i="9"/>
  <c r="AH141" i="9"/>
  <c r="AG141" i="9"/>
  <c r="AD141" i="9"/>
  <c r="AC141" i="9"/>
  <c r="X141" i="9"/>
  <c r="W141" i="9"/>
  <c r="T141" i="9"/>
  <c r="Q141" i="9"/>
  <c r="AF141" i="9"/>
  <c r="AH140" i="9"/>
  <c r="AG140" i="9"/>
  <c r="AD140" i="9"/>
  <c r="AC140" i="9"/>
  <c r="X140" i="9"/>
  <c r="W140" i="9"/>
  <c r="T140" i="9"/>
  <c r="Q140" i="9"/>
  <c r="AF140" i="9"/>
  <c r="AH139" i="9"/>
  <c r="AF139" i="9"/>
  <c r="AD139" i="9"/>
  <c r="AB139" i="9"/>
  <c r="X139" i="9"/>
  <c r="V139" i="9"/>
  <c r="Q139" i="9"/>
  <c r="T139" i="9"/>
  <c r="F125" i="10"/>
  <c r="J125" i="10"/>
  <c r="AC125" i="10"/>
  <c r="W139" i="9"/>
  <c r="AH138" i="9"/>
  <c r="AF138" i="9"/>
  <c r="AD138" i="9"/>
  <c r="AB138" i="9"/>
  <c r="X138" i="9"/>
  <c r="V138" i="9"/>
  <c r="Q138" i="9"/>
  <c r="T138" i="9"/>
  <c r="F124" i="10"/>
  <c r="J124" i="10"/>
  <c r="AC124" i="10"/>
  <c r="W138" i="9"/>
  <c r="AH137" i="9"/>
  <c r="AG137" i="9"/>
  <c r="AD137" i="9"/>
  <c r="AC137" i="9"/>
  <c r="X137" i="9"/>
  <c r="W137" i="9"/>
  <c r="Q137" i="9"/>
  <c r="AF137" i="9"/>
  <c r="AH136" i="9"/>
  <c r="AG136" i="9"/>
  <c r="AD136" i="9"/>
  <c r="AC136" i="9"/>
  <c r="X136" i="9"/>
  <c r="W136" i="9"/>
  <c r="Q136" i="9"/>
  <c r="AF136" i="9"/>
  <c r="AH135" i="9"/>
  <c r="AG135" i="9"/>
  <c r="AD135" i="9"/>
  <c r="AC135" i="9"/>
  <c r="X135" i="9"/>
  <c r="W135" i="9"/>
  <c r="Q135" i="9"/>
  <c r="AF135" i="9"/>
  <c r="AH134" i="9"/>
  <c r="AG134" i="9"/>
  <c r="AD134" i="9"/>
  <c r="AC134" i="9"/>
  <c r="X134" i="9"/>
  <c r="W134" i="9"/>
  <c r="Q134" i="9"/>
  <c r="V134" i="9"/>
  <c r="AH133" i="9"/>
  <c r="AG133" i="9"/>
  <c r="AD133" i="9"/>
  <c r="AC133" i="9"/>
  <c r="X133" i="9"/>
  <c r="W133" i="9"/>
  <c r="Q133" i="9"/>
  <c r="V133" i="9"/>
  <c r="AH132" i="9"/>
  <c r="AG132" i="9"/>
  <c r="AD132" i="9"/>
  <c r="AC132" i="9"/>
  <c r="X132" i="9"/>
  <c r="W132" i="9"/>
  <c r="Q132" i="9"/>
  <c r="V132" i="9"/>
  <c r="AH131" i="9"/>
  <c r="AG131" i="9"/>
  <c r="AD131" i="9"/>
  <c r="AC131" i="9"/>
  <c r="X131" i="9"/>
  <c r="W131" i="9"/>
  <c r="Q131" i="9"/>
  <c r="V131" i="9"/>
  <c r="AH130" i="9"/>
  <c r="AG130" i="9"/>
  <c r="AD130" i="9"/>
  <c r="AC130" i="9"/>
  <c r="X130" i="9"/>
  <c r="W130" i="9"/>
  <c r="Q130" i="9"/>
  <c r="V130" i="9"/>
  <c r="AH129" i="9"/>
  <c r="AG129" i="9"/>
  <c r="AD129" i="9"/>
  <c r="AC129" i="9"/>
  <c r="X129" i="9"/>
  <c r="W129" i="9"/>
  <c r="Q129" i="9"/>
  <c r="V129" i="9"/>
  <c r="AH128" i="9"/>
  <c r="AG128" i="9"/>
  <c r="AD128" i="9"/>
  <c r="AC128" i="9"/>
  <c r="X128" i="9"/>
  <c r="W128" i="9"/>
  <c r="Q128" i="9"/>
  <c r="V128" i="9"/>
  <c r="AH127" i="9"/>
  <c r="AG127" i="9"/>
  <c r="AD127" i="9"/>
  <c r="AC127" i="9"/>
  <c r="X127" i="9"/>
  <c r="W127" i="9"/>
  <c r="Q127" i="9"/>
  <c r="V127" i="9"/>
  <c r="AH126" i="9"/>
  <c r="AG126" i="9"/>
  <c r="AD126" i="9"/>
  <c r="AC126" i="9"/>
  <c r="X126" i="9"/>
  <c r="W126" i="9"/>
  <c r="Q126" i="9"/>
  <c r="V126" i="9"/>
  <c r="AH125" i="9"/>
  <c r="AG125" i="9"/>
  <c r="AD125" i="9"/>
  <c r="AC125" i="9"/>
  <c r="X125" i="9"/>
  <c r="W125" i="9"/>
  <c r="Q125" i="9"/>
  <c r="V125" i="9"/>
  <c r="AH124" i="9"/>
  <c r="AG124" i="9"/>
  <c r="AD124" i="9"/>
  <c r="AC124" i="9"/>
  <c r="X124" i="9"/>
  <c r="W124" i="9"/>
  <c r="Q124" i="9"/>
  <c r="V124" i="9"/>
  <c r="AH123" i="9"/>
  <c r="AG123" i="9"/>
  <c r="AD123" i="9"/>
  <c r="AC123" i="9"/>
  <c r="X123" i="9"/>
  <c r="W123" i="9"/>
  <c r="Q123" i="9"/>
  <c r="V123" i="9"/>
  <c r="AH120" i="9"/>
  <c r="AG120" i="9"/>
  <c r="AD120" i="9"/>
  <c r="AC120" i="9"/>
  <c r="X120" i="9"/>
  <c r="W120" i="9"/>
  <c r="Q120" i="9"/>
  <c r="V120" i="9"/>
  <c r="AH119" i="9"/>
  <c r="AG119" i="9"/>
  <c r="AD119" i="9"/>
  <c r="AC119" i="9"/>
  <c r="X119" i="9"/>
  <c r="W119" i="9"/>
  <c r="Q119" i="9"/>
  <c r="V119" i="9"/>
  <c r="AH118" i="9"/>
  <c r="AG118" i="9"/>
  <c r="AD118" i="9"/>
  <c r="AC118" i="9"/>
  <c r="X118" i="9"/>
  <c r="W118" i="9"/>
  <c r="Q118" i="9"/>
  <c r="V118" i="9"/>
  <c r="AH117" i="9"/>
  <c r="AF117" i="9"/>
  <c r="AD117" i="9"/>
  <c r="AB117" i="9"/>
  <c r="X117" i="9"/>
  <c r="V117" i="9"/>
  <c r="Q117" i="9"/>
  <c r="AG117" i="9"/>
  <c r="AH116" i="9"/>
  <c r="AF116" i="9"/>
  <c r="AD116" i="9"/>
  <c r="AB116" i="9"/>
  <c r="X116" i="9"/>
  <c r="V116" i="9"/>
  <c r="Q116" i="9"/>
  <c r="T116" i="9"/>
  <c r="F102" i="10"/>
  <c r="J102" i="10"/>
  <c r="AC102" i="10"/>
  <c r="AG116" i="9"/>
  <c r="AH115" i="9"/>
  <c r="AF115" i="9"/>
  <c r="AD115" i="9"/>
  <c r="AB115" i="9"/>
  <c r="X115" i="9"/>
  <c r="V115" i="9"/>
  <c r="Q115" i="9"/>
  <c r="T115" i="9"/>
  <c r="F101" i="10"/>
  <c r="J101" i="10"/>
  <c r="AC101" i="10"/>
  <c r="AG115" i="9"/>
  <c r="AH114" i="9"/>
  <c r="AG114" i="9"/>
  <c r="AD114" i="9"/>
  <c r="AC114" i="9"/>
  <c r="X114" i="9"/>
  <c r="W114" i="9"/>
  <c r="Q114" i="9"/>
  <c r="V114" i="9"/>
  <c r="AH113" i="9"/>
  <c r="AF113" i="9"/>
  <c r="AD113" i="9"/>
  <c r="X113" i="9"/>
  <c r="V113" i="9"/>
  <c r="Q113" i="9"/>
  <c r="T113" i="9"/>
  <c r="F99" i="10"/>
  <c r="J99" i="10"/>
  <c r="AC99" i="10"/>
  <c r="AG113" i="9"/>
  <c r="AH112" i="9"/>
  <c r="AG112" i="9"/>
  <c r="AD112" i="9"/>
  <c r="AC112" i="9"/>
  <c r="X112" i="9"/>
  <c r="W112" i="9"/>
  <c r="Q112" i="9"/>
  <c r="AF112" i="9"/>
  <c r="AH111" i="9"/>
  <c r="AF111" i="9"/>
  <c r="AD111" i="9"/>
  <c r="AB111" i="9"/>
  <c r="X111" i="9"/>
  <c r="V111" i="9"/>
  <c r="Q111" i="9"/>
  <c r="T111" i="9"/>
  <c r="F97" i="10"/>
  <c r="J97" i="10"/>
  <c r="AC97" i="10"/>
  <c r="W111" i="9"/>
  <c r="AH110" i="9"/>
  <c r="AF110" i="9"/>
  <c r="AD110" i="9"/>
  <c r="AB110" i="9"/>
  <c r="X110" i="9"/>
  <c r="V110" i="9"/>
  <c r="Q110" i="9"/>
  <c r="AG110" i="9"/>
  <c r="AG109" i="9"/>
  <c r="AF109" i="9"/>
  <c r="AC109" i="9"/>
  <c r="AB109" i="9"/>
  <c r="W109" i="9"/>
  <c r="V109" i="9"/>
  <c r="Q109" i="9"/>
  <c r="X109" i="9"/>
  <c r="AG108" i="9"/>
  <c r="AF108" i="9"/>
  <c r="AC108" i="9"/>
  <c r="AB108" i="9"/>
  <c r="W108" i="9"/>
  <c r="V108" i="9"/>
  <c r="Q108" i="9"/>
  <c r="T108" i="9"/>
  <c r="F94" i="10"/>
  <c r="J94" i="10"/>
  <c r="AD94" i="10"/>
  <c r="X108" i="9"/>
  <c r="AH107" i="9"/>
  <c r="AF107" i="9"/>
  <c r="AD107" i="9"/>
  <c r="AB107" i="9"/>
  <c r="X107" i="9"/>
  <c r="V107" i="9"/>
  <c r="T107" i="9"/>
  <c r="Q107" i="9"/>
  <c r="AG107" i="9"/>
  <c r="AH106" i="9"/>
  <c r="AF106" i="9"/>
  <c r="AD106" i="9"/>
  <c r="AB106" i="9"/>
  <c r="X106" i="9"/>
  <c r="V106" i="9"/>
  <c r="T106" i="9"/>
  <c r="Q106" i="9"/>
  <c r="AG106" i="9"/>
  <c r="AH105" i="9"/>
  <c r="AF105" i="9"/>
  <c r="AD105" i="9"/>
  <c r="AB105" i="9"/>
  <c r="X105" i="9"/>
  <c r="V105" i="9"/>
  <c r="T105" i="9"/>
  <c r="Q105" i="9"/>
  <c r="AG105" i="9"/>
  <c r="AH104" i="9"/>
  <c r="AG104" i="9"/>
  <c r="AD104" i="9"/>
  <c r="AC104" i="9"/>
  <c r="X104" i="9"/>
  <c r="W104" i="9"/>
  <c r="T104" i="9"/>
  <c r="Q104" i="9"/>
  <c r="V104" i="9"/>
  <c r="AH103" i="9"/>
  <c r="AG103" i="9"/>
  <c r="AD103" i="9"/>
  <c r="AC103" i="9"/>
  <c r="X103" i="9"/>
  <c r="W103" i="9"/>
  <c r="Q103" i="9"/>
  <c r="AF103" i="9"/>
  <c r="AH102" i="9"/>
  <c r="AG102" i="9"/>
  <c r="AD102" i="9"/>
  <c r="AC102" i="9"/>
  <c r="X102" i="9"/>
  <c r="W102" i="9"/>
  <c r="Q102" i="9"/>
  <c r="AF102" i="9"/>
  <c r="AH101" i="9"/>
  <c r="AG101" i="9"/>
  <c r="AD101" i="9"/>
  <c r="AC101" i="9"/>
  <c r="X101" i="9"/>
  <c r="W101" i="9"/>
  <c r="Q101" i="9"/>
  <c r="AF101" i="9"/>
  <c r="AH100" i="9"/>
  <c r="AG100" i="9"/>
  <c r="AD100" i="9"/>
  <c r="AC100" i="9"/>
  <c r="X100" i="9"/>
  <c r="W100" i="9"/>
  <c r="Q100" i="9"/>
  <c r="AF100" i="9"/>
  <c r="AH99" i="9"/>
  <c r="AG99" i="9"/>
  <c r="AD99" i="9"/>
  <c r="AC99" i="9"/>
  <c r="X99" i="9"/>
  <c r="W99" i="9"/>
  <c r="T99" i="9"/>
  <c r="Q99" i="9"/>
  <c r="AF99" i="9"/>
  <c r="AH98" i="9"/>
  <c r="AG98" i="9"/>
  <c r="AD98" i="9"/>
  <c r="AC98" i="9"/>
  <c r="X98" i="9"/>
  <c r="W98" i="9"/>
  <c r="Q98" i="9"/>
  <c r="AF98" i="9"/>
  <c r="AH97" i="9"/>
  <c r="AG97" i="9"/>
  <c r="AD97" i="9"/>
  <c r="AC97" i="9"/>
  <c r="X97" i="9"/>
  <c r="W97" i="9"/>
  <c r="Q97" i="9"/>
  <c r="V97" i="9"/>
  <c r="O283" i="9"/>
  <c r="AH95" i="9"/>
  <c r="AF95" i="9"/>
  <c r="AD95" i="9"/>
  <c r="AB95" i="9"/>
  <c r="X95" i="9"/>
  <c r="V95" i="9"/>
  <c r="Q95" i="9"/>
  <c r="T95" i="9"/>
  <c r="F86" i="10"/>
  <c r="J86" i="10"/>
  <c r="AC86" i="10"/>
  <c r="AG95" i="9"/>
  <c r="AH94" i="9"/>
  <c r="AF94" i="9"/>
  <c r="AD94" i="9"/>
  <c r="AB94" i="9"/>
  <c r="X94" i="9"/>
  <c r="Q94" i="9"/>
  <c r="W94" i="9"/>
  <c r="V94" i="9"/>
  <c r="AA94" i="9"/>
  <c r="T94" i="9"/>
  <c r="F85" i="10"/>
  <c r="J85" i="10"/>
  <c r="AC85" i="10"/>
  <c r="AG94" i="9"/>
  <c r="AH93" i="9"/>
  <c r="AG93" i="9"/>
  <c r="AD93" i="9"/>
  <c r="AC93" i="9"/>
  <c r="X93" i="9"/>
  <c r="W93" i="9"/>
  <c r="Q93" i="9"/>
  <c r="V93" i="9"/>
  <c r="AH92" i="9"/>
  <c r="AF92" i="9"/>
  <c r="AD92" i="9"/>
  <c r="AB92" i="9"/>
  <c r="X92" i="9"/>
  <c r="V92" i="9"/>
  <c r="Q92" i="9"/>
  <c r="W92" i="9"/>
  <c r="AH91" i="9"/>
  <c r="AF91" i="9"/>
  <c r="AD91" i="9"/>
  <c r="AB91" i="9"/>
  <c r="X91" i="9"/>
  <c r="V91" i="9"/>
  <c r="Q91" i="9"/>
  <c r="W91" i="9"/>
  <c r="AH90" i="9"/>
  <c r="AF90" i="9"/>
  <c r="AD90" i="9"/>
  <c r="AB90" i="9"/>
  <c r="X90" i="9"/>
  <c r="V90" i="9"/>
  <c r="Q90" i="9"/>
  <c r="T90" i="9"/>
  <c r="F81" i="10"/>
  <c r="J81" i="10"/>
  <c r="AC81" i="10"/>
  <c r="W90" i="9"/>
  <c r="AH89" i="9"/>
  <c r="AG89" i="9"/>
  <c r="AD89" i="9"/>
  <c r="AC89" i="9"/>
  <c r="X89" i="9"/>
  <c r="W89" i="9"/>
  <c r="Q89" i="9"/>
  <c r="AF89" i="9"/>
  <c r="AH88" i="9"/>
  <c r="AF88" i="9"/>
  <c r="AD88" i="9"/>
  <c r="AB88" i="9"/>
  <c r="X88" i="9"/>
  <c r="V88" i="9"/>
  <c r="Q88" i="9"/>
  <c r="W88" i="9"/>
  <c r="AH87" i="9"/>
  <c r="AG87" i="9"/>
  <c r="AD87" i="9"/>
  <c r="AC87" i="9"/>
  <c r="X87" i="9"/>
  <c r="W87" i="9"/>
  <c r="T87" i="9"/>
  <c r="Q87" i="9"/>
  <c r="AF87" i="9"/>
  <c r="AH86" i="9"/>
  <c r="AF86" i="9"/>
  <c r="AD86" i="9"/>
  <c r="AB86" i="9"/>
  <c r="X86" i="9"/>
  <c r="V86" i="9"/>
  <c r="Q86" i="9"/>
  <c r="W86" i="9"/>
  <c r="AH85" i="9"/>
  <c r="AG85" i="9"/>
  <c r="AD85" i="9"/>
  <c r="AC85" i="9"/>
  <c r="X85" i="9"/>
  <c r="W85" i="9"/>
  <c r="Q85" i="9"/>
  <c r="T85" i="9"/>
  <c r="F76" i="10"/>
  <c r="J76" i="10"/>
  <c r="AB76" i="10"/>
  <c r="AF85" i="9"/>
  <c r="AH84" i="9"/>
  <c r="AG84" i="9"/>
  <c r="AD84" i="9"/>
  <c r="AC84" i="9"/>
  <c r="X84" i="9"/>
  <c r="W84" i="9"/>
  <c r="Q84" i="9"/>
  <c r="T84" i="9"/>
  <c r="F75" i="10"/>
  <c r="J75" i="10"/>
  <c r="AB75" i="10"/>
  <c r="AF84" i="9"/>
  <c r="AH83" i="9"/>
  <c r="AG83" i="9"/>
  <c r="AD83" i="9"/>
  <c r="AC83" i="9"/>
  <c r="X83" i="9"/>
  <c r="W83" i="9"/>
  <c r="Q83" i="9"/>
  <c r="T83" i="9"/>
  <c r="F74" i="10"/>
  <c r="J74" i="10"/>
  <c r="AB74" i="10"/>
  <c r="AF83" i="9"/>
  <c r="AH82" i="9"/>
  <c r="AG82" i="9"/>
  <c r="AD82" i="9"/>
  <c r="AC82" i="9"/>
  <c r="X82" i="9"/>
  <c r="W82" i="9"/>
  <c r="Q82" i="9"/>
  <c r="T82" i="9"/>
  <c r="F73" i="10"/>
  <c r="J73" i="10"/>
  <c r="AB73" i="10"/>
  <c r="AF82" i="9"/>
  <c r="AH81" i="9"/>
  <c r="AG81" i="9"/>
  <c r="AD81" i="9"/>
  <c r="AC81" i="9"/>
  <c r="X81" i="9"/>
  <c r="W81" i="9"/>
  <c r="Q81" i="9"/>
  <c r="T81" i="9"/>
  <c r="F72" i="10"/>
  <c r="J72" i="10"/>
  <c r="AB72" i="10"/>
  <c r="AF81" i="9"/>
  <c r="AH80" i="9"/>
  <c r="AG80" i="9"/>
  <c r="AD80" i="9"/>
  <c r="AC80" i="9"/>
  <c r="X80" i="9"/>
  <c r="W80" i="9"/>
  <c r="Q80" i="9"/>
  <c r="T80" i="9"/>
  <c r="F71" i="10"/>
  <c r="J71" i="10"/>
  <c r="AB71" i="10"/>
  <c r="AF80" i="9"/>
  <c r="AH79" i="9"/>
  <c r="AG79" i="9"/>
  <c r="AD79" i="9"/>
  <c r="AC79" i="9"/>
  <c r="X79" i="9"/>
  <c r="W79" i="9"/>
  <c r="Q79" i="9"/>
  <c r="AF79" i="9"/>
  <c r="AH78" i="9"/>
  <c r="AG78" i="9"/>
  <c r="AD78" i="9"/>
  <c r="AC78" i="9"/>
  <c r="X78" i="9"/>
  <c r="W78" i="9"/>
  <c r="T78" i="9"/>
  <c r="Q78" i="9"/>
  <c r="AF78" i="9"/>
  <c r="AH76" i="9"/>
  <c r="AG76" i="9"/>
  <c r="AD76" i="9"/>
  <c r="AC76" i="9"/>
  <c r="X76" i="9"/>
  <c r="W76" i="9"/>
  <c r="Q76" i="9"/>
  <c r="AF76" i="9"/>
  <c r="AH75" i="9"/>
  <c r="AG75" i="9"/>
  <c r="AD75" i="9"/>
  <c r="AC75" i="9"/>
  <c r="X75" i="9"/>
  <c r="W75" i="9"/>
  <c r="Q75" i="9"/>
  <c r="T75" i="9"/>
  <c r="F68" i="10"/>
  <c r="J68" i="10"/>
  <c r="AB68" i="10"/>
  <c r="AF75" i="9"/>
  <c r="AH74" i="9"/>
  <c r="AG74" i="9"/>
  <c r="AD74" i="9"/>
  <c r="AC74" i="9"/>
  <c r="X74" i="9"/>
  <c r="W74" i="9"/>
  <c r="Q74" i="9"/>
  <c r="V74" i="9"/>
  <c r="AA74" i="9"/>
  <c r="AF74" i="9"/>
  <c r="AH73" i="9"/>
  <c r="AG73" i="9"/>
  <c r="AD73" i="9"/>
  <c r="AC73" i="9"/>
  <c r="X73" i="9"/>
  <c r="W73" i="9"/>
  <c r="Q73" i="9"/>
  <c r="T73" i="9"/>
  <c r="F66" i="10"/>
  <c r="J66" i="10"/>
  <c r="AB66" i="10"/>
  <c r="AF73" i="9"/>
  <c r="AH72" i="9"/>
  <c r="AG72" i="9"/>
  <c r="AD72" i="9"/>
  <c r="AC72" i="9"/>
  <c r="X72" i="9"/>
  <c r="W72" i="9"/>
  <c r="Q72" i="9"/>
  <c r="T72" i="9"/>
  <c r="F65" i="10"/>
  <c r="J65" i="10"/>
  <c r="AB65" i="10"/>
  <c r="AF72" i="9"/>
  <c r="AH71" i="9"/>
  <c r="AG71" i="9"/>
  <c r="AD71" i="9"/>
  <c r="AC71" i="9"/>
  <c r="X71" i="9"/>
  <c r="W71" i="9"/>
  <c r="Q71" i="9"/>
  <c r="T71" i="9"/>
  <c r="F64" i="10"/>
  <c r="J64" i="10"/>
  <c r="AB64" i="10"/>
  <c r="AF71" i="9"/>
  <c r="AH70" i="9"/>
  <c r="AG70" i="9"/>
  <c r="AD70" i="9"/>
  <c r="AC70" i="9"/>
  <c r="X70" i="9"/>
  <c r="W70" i="9"/>
  <c r="Q70" i="9"/>
  <c r="T70" i="9"/>
  <c r="F63" i="10"/>
  <c r="J63" i="10"/>
  <c r="AB63" i="10"/>
  <c r="AF70" i="9"/>
  <c r="AH69" i="9"/>
  <c r="AG69" i="9"/>
  <c r="AD69" i="9"/>
  <c r="AC69" i="9"/>
  <c r="X69" i="9"/>
  <c r="W69" i="9"/>
  <c r="Q69" i="9"/>
  <c r="T69" i="9"/>
  <c r="F62" i="10"/>
  <c r="J62" i="10"/>
  <c r="AB62" i="10"/>
  <c r="AF69" i="9"/>
  <c r="AH68" i="9"/>
  <c r="AG68" i="9"/>
  <c r="AD68" i="9"/>
  <c r="AC68" i="9"/>
  <c r="X68" i="9"/>
  <c r="W68" i="9"/>
  <c r="Q68" i="9"/>
  <c r="T68" i="9"/>
  <c r="F61" i="10"/>
  <c r="J61" i="10"/>
  <c r="AB61" i="10"/>
  <c r="AF68" i="9"/>
  <c r="AH67" i="9"/>
  <c r="AG67" i="9"/>
  <c r="AD67" i="9"/>
  <c r="AC67" i="9"/>
  <c r="X67" i="9"/>
  <c r="W67" i="9"/>
  <c r="T67" i="9"/>
  <c r="Q67" i="9"/>
  <c r="AF67" i="9"/>
  <c r="AH66" i="9"/>
  <c r="AF66" i="9"/>
  <c r="AD66" i="9"/>
  <c r="AB66" i="9"/>
  <c r="X66" i="9"/>
  <c r="V66" i="9"/>
  <c r="Q66" i="9"/>
  <c r="W66" i="9"/>
  <c r="AH65" i="9"/>
  <c r="AF65" i="9"/>
  <c r="AD65" i="9"/>
  <c r="AB65" i="9"/>
  <c r="X65" i="9"/>
  <c r="V65" i="9"/>
  <c r="Q65" i="9"/>
  <c r="W65" i="9"/>
  <c r="AH64" i="9"/>
  <c r="AF64" i="9"/>
  <c r="AD64" i="9"/>
  <c r="AB64" i="9"/>
  <c r="X64" i="9"/>
  <c r="V64" i="9"/>
  <c r="Q64" i="9"/>
  <c r="W64" i="9"/>
  <c r="AG63" i="9"/>
  <c r="AF63" i="9"/>
  <c r="AC63" i="9"/>
  <c r="AB63" i="9"/>
  <c r="W63" i="9"/>
  <c r="V63" i="9"/>
  <c r="Q63" i="9"/>
  <c r="AH63" i="9"/>
  <c r="AH62" i="9"/>
  <c r="AF62" i="9"/>
  <c r="AD62" i="9"/>
  <c r="AB62" i="9"/>
  <c r="X62" i="9"/>
  <c r="V62" i="9"/>
  <c r="Q62" i="9"/>
  <c r="W62" i="9"/>
  <c r="AH61" i="9"/>
  <c r="AG61" i="9"/>
  <c r="AD61" i="9"/>
  <c r="AC61" i="9"/>
  <c r="X61" i="9"/>
  <c r="W61" i="9"/>
  <c r="T61" i="9"/>
  <c r="Q61" i="9"/>
  <c r="AF61" i="9"/>
  <c r="AH60" i="9"/>
  <c r="AF60" i="9"/>
  <c r="AD60" i="9"/>
  <c r="AB60" i="9"/>
  <c r="X60" i="9"/>
  <c r="V60" i="9"/>
  <c r="Q60" i="9"/>
  <c r="W60" i="9"/>
  <c r="AH59" i="9"/>
  <c r="AF59" i="9"/>
  <c r="AD59" i="9"/>
  <c r="AB59" i="9"/>
  <c r="X59" i="9"/>
  <c r="V59" i="9"/>
  <c r="Q59" i="9"/>
  <c r="W59" i="9"/>
  <c r="AH58" i="9"/>
  <c r="AF58" i="9"/>
  <c r="AD58" i="9"/>
  <c r="AB58" i="9"/>
  <c r="X58" i="9"/>
  <c r="V58" i="9"/>
  <c r="Q58" i="9"/>
  <c r="W58" i="9"/>
  <c r="AH57" i="9"/>
  <c r="AF57" i="9"/>
  <c r="AD57" i="9"/>
  <c r="AB57" i="9"/>
  <c r="X57" i="9"/>
  <c r="V57" i="9"/>
  <c r="Q57" i="9"/>
  <c r="W57" i="9"/>
  <c r="AH56" i="9"/>
  <c r="AG56" i="9"/>
  <c r="AD56" i="9"/>
  <c r="AC56" i="9"/>
  <c r="X56" i="9"/>
  <c r="W56" i="9"/>
  <c r="T56" i="9"/>
  <c r="F51" i="10"/>
  <c r="J51" i="10"/>
  <c r="AB51" i="10"/>
  <c r="Q56" i="9"/>
  <c r="AF56" i="9"/>
  <c r="AH55" i="9"/>
  <c r="AG55" i="9"/>
  <c r="AD55" i="9"/>
  <c r="AC55" i="9"/>
  <c r="X55" i="9"/>
  <c r="W55" i="9"/>
  <c r="Q55" i="9"/>
  <c r="T55" i="9"/>
  <c r="F50" i="10"/>
  <c r="J50" i="10"/>
  <c r="AB50" i="10"/>
  <c r="AF55" i="9"/>
  <c r="AH54" i="9"/>
  <c r="AG54" i="9"/>
  <c r="AD54" i="9"/>
  <c r="AC54" i="9"/>
  <c r="X54" i="9"/>
  <c r="W54" i="9"/>
  <c r="Q54" i="9"/>
  <c r="AF54" i="9"/>
  <c r="AH53" i="9"/>
  <c r="AF53" i="9"/>
  <c r="AD53" i="9"/>
  <c r="AB53" i="9"/>
  <c r="X53" i="9"/>
  <c r="V53" i="9"/>
  <c r="T53" i="9"/>
  <c r="Q53" i="9"/>
  <c r="W53" i="9"/>
  <c r="AH52" i="9"/>
  <c r="AF52" i="9"/>
  <c r="AD52" i="9"/>
  <c r="AB52" i="9"/>
  <c r="X52" i="9"/>
  <c r="V52" i="9"/>
  <c r="Q52" i="9"/>
  <c r="T52" i="9"/>
  <c r="F48" i="10"/>
  <c r="J48" i="10"/>
  <c r="AC48" i="10"/>
  <c r="W52" i="9"/>
  <c r="AH51" i="9"/>
  <c r="AG51" i="9"/>
  <c r="AD51" i="9"/>
  <c r="AC51" i="9"/>
  <c r="X51" i="9"/>
  <c r="W51" i="9"/>
  <c r="Q51" i="9"/>
  <c r="T51" i="9"/>
  <c r="F47" i="10"/>
  <c r="J47" i="10"/>
  <c r="AB47" i="10"/>
  <c r="AF51" i="9"/>
  <c r="AH50" i="9"/>
  <c r="AG50" i="9"/>
  <c r="AD50" i="9"/>
  <c r="AC50" i="9"/>
  <c r="X50" i="9"/>
  <c r="W50" i="9"/>
  <c r="Q50" i="9"/>
  <c r="V50" i="9"/>
  <c r="AA50" i="9"/>
  <c r="AH49" i="9"/>
  <c r="AF49" i="9"/>
  <c r="AD49" i="9"/>
  <c r="AB49" i="9"/>
  <c r="X49" i="9"/>
  <c r="V49" i="9"/>
  <c r="Q49" i="9"/>
  <c r="W49" i="9"/>
  <c r="AH48" i="9"/>
  <c r="AF48" i="9"/>
  <c r="AD48" i="9"/>
  <c r="AB48" i="9"/>
  <c r="X48" i="9"/>
  <c r="V48" i="9"/>
  <c r="Q48" i="9"/>
  <c r="T48" i="9"/>
  <c r="F44" i="10"/>
  <c r="J44" i="10"/>
  <c r="AC44" i="10"/>
  <c r="W48" i="9"/>
  <c r="AH47" i="9"/>
  <c r="AF47" i="9"/>
  <c r="AD47" i="9"/>
  <c r="AB47" i="9"/>
  <c r="X47" i="9"/>
  <c r="V47" i="9"/>
  <c r="T47" i="9"/>
  <c r="Q47" i="9"/>
  <c r="AG47" i="9"/>
  <c r="AH46" i="9"/>
  <c r="AG46" i="9"/>
  <c r="AD46" i="9"/>
  <c r="AC46" i="9"/>
  <c r="X46" i="9"/>
  <c r="W46" i="9"/>
  <c r="T46" i="9"/>
  <c r="Q46" i="9"/>
  <c r="V46" i="9"/>
  <c r="AA46" i="9"/>
  <c r="AH45" i="9"/>
  <c r="AG45" i="9"/>
  <c r="AD45" i="9"/>
  <c r="AC45" i="9"/>
  <c r="X45" i="9"/>
  <c r="W45" i="9"/>
  <c r="V45" i="9"/>
  <c r="AG44" i="9"/>
  <c r="AF44" i="9"/>
  <c r="AC44" i="9"/>
  <c r="AB44" i="9"/>
  <c r="W44" i="9"/>
  <c r="V44" i="9"/>
  <c r="Q44" i="9"/>
  <c r="T44" i="9"/>
  <c r="F41" i="10"/>
  <c r="J41" i="10"/>
  <c r="AD41" i="10"/>
  <c r="AH44" i="9"/>
  <c r="AH42" i="9"/>
  <c r="AG42" i="9"/>
  <c r="AD42" i="9"/>
  <c r="AC42" i="9"/>
  <c r="X42" i="9"/>
  <c r="W42" i="9"/>
  <c r="Q42" i="9"/>
  <c r="T42" i="9"/>
  <c r="F39" i="10"/>
  <c r="J39" i="10"/>
  <c r="AB39" i="10"/>
  <c r="AF42" i="9"/>
  <c r="AH41" i="9"/>
  <c r="AG41" i="9"/>
  <c r="AD41" i="9"/>
  <c r="AC41" i="9"/>
  <c r="X41" i="9"/>
  <c r="W41" i="9"/>
  <c r="Q41" i="9"/>
  <c r="T41" i="9"/>
  <c r="F38" i="10"/>
  <c r="J38" i="10"/>
  <c r="AB38" i="10"/>
  <c r="AF41" i="9"/>
  <c r="AH40" i="9"/>
  <c r="AG40" i="9"/>
  <c r="AD40" i="9"/>
  <c r="AC40" i="9"/>
  <c r="X40" i="9"/>
  <c r="W40" i="9"/>
  <c r="Q40" i="9"/>
  <c r="T40" i="9"/>
  <c r="F37" i="10"/>
  <c r="J37" i="10"/>
  <c r="AB37" i="10"/>
  <c r="AF40" i="9"/>
  <c r="AH39" i="9"/>
  <c r="AG39" i="9"/>
  <c r="AD39" i="9"/>
  <c r="AC39" i="9"/>
  <c r="X39" i="9"/>
  <c r="W39" i="9"/>
  <c r="Q39" i="9"/>
  <c r="T39" i="9"/>
  <c r="F36" i="10"/>
  <c r="J36" i="10"/>
  <c r="AB36" i="10"/>
  <c r="AF39" i="9"/>
  <c r="AH38" i="9"/>
  <c r="AG38" i="9"/>
  <c r="AD38" i="9"/>
  <c r="AC38" i="9"/>
  <c r="X38" i="9"/>
  <c r="W38" i="9"/>
  <c r="Q38" i="9"/>
  <c r="T38" i="9"/>
  <c r="F35" i="10"/>
  <c r="J35" i="10"/>
  <c r="AB35" i="10"/>
  <c r="AF38" i="9"/>
  <c r="AH37" i="9"/>
  <c r="AG37" i="9"/>
  <c r="AD37" i="9"/>
  <c r="AC37" i="9"/>
  <c r="X37" i="9"/>
  <c r="W37" i="9"/>
  <c r="Q37" i="9"/>
  <c r="T37" i="9"/>
  <c r="F34" i="10"/>
  <c r="J34" i="10"/>
  <c r="AB34" i="10"/>
  <c r="AF37" i="9"/>
  <c r="AH36" i="9"/>
  <c r="AG36" i="9"/>
  <c r="AD36" i="9"/>
  <c r="AC36" i="9"/>
  <c r="X36" i="9"/>
  <c r="W36" i="9"/>
  <c r="Q36" i="9"/>
  <c r="T36" i="9"/>
  <c r="F33" i="10"/>
  <c r="J33" i="10"/>
  <c r="AB33" i="10"/>
  <c r="AF36" i="9"/>
  <c r="AH35" i="9"/>
  <c r="AG35" i="9"/>
  <c r="AD35" i="9"/>
  <c r="AC35" i="9"/>
  <c r="X35" i="9"/>
  <c r="W35" i="9"/>
  <c r="T35" i="9"/>
  <c r="Q35" i="9"/>
  <c r="AF35" i="9"/>
  <c r="AH34" i="9"/>
  <c r="AG34" i="9"/>
  <c r="AD34" i="9"/>
  <c r="AC34" i="9"/>
  <c r="X34" i="9"/>
  <c r="W34" i="9"/>
  <c r="Q34" i="9"/>
  <c r="T34" i="9"/>
  <c r="F32" i="10"/>
  <c r="J32" i="10"/>
  <c r="AB32" i="10"/>
  <c r="AF34" i="9"/>
  <c r="AH33" i="9"/>
  <c r="AF33" i="9"/>
  <c r="AD33" i="9"/>
  <c r="AB33" i="9"/>
  <c r="X33" i="9"/>
  <c r="V33" i="9"/>
  <c r="Q33" i="9"/>
  <c r="W33" i="9"/>
  <c r="AH32" i="9"/>
  <c r="AG32" i="9"/>
  <c r="AD32" i="9"/>
  <c r="AC32" i="9"/>
  <c r="X32" i="9"/>
  <c r="W32" i="9"/>
  <c r="Q32" i="9"/>
  <c r="T32" i="9"/>
  <c r="F30" i="10"/>
  <c r="J30" i="10"/>
  <c r="AB30" i="10"/>
  <c r="AF32" i="9"/>
  <c r="AH31" i="9"/>
  <c r="AF31" i="9"/>
  <c r="AD31" i="9"/>
  <c r="AB31" i="9"/>
  <c r="X31" i="9"/>
  <c r="V31" i="9"/>
  <c r="T31" i="9"/>
  <c r="Q31" i="9"/>
  <c r="AG31" i="9"/>
  <c r="AH30" i="9"/>
  <c r="AG30" i="9"/>
  <c r="AD30" i="9"/>
  <c r="AC30" i="9"/>
  <c r="X30" i="9"/>
  <c r="W30" i="9"/>
  <c r="Q30" i="9"/>
  <c r="V30" i="9"/>
  <c r="AH29" i="9"/>
  <c r="AF29" i="9"/>
  <c r="AD29" i="9"/>
  <c r="AB29" i="9"/>
  <c r="X29" i="9"/>
  <c r="V29" i="9"/>
  <c r="Q29" i="9"/>
  <c r="AG29" i="9"/>
  <c r="AH28" i="9"/>
  <c r="AF28" i="9"/>
  <c r="AD28" i="9"/>
  <c r="AB28" i="9"/>
  <c r="X28" i="9"/>
  <c r="V28" i="9"/>
  <c r="Q28" i="9"/>
  <c r="AG28" i="9"/>
  <c r="AH27" i="9"/>
  <c r="AF27" i="9"/>
  <c r="AD27" i="9"/>
  <c r="AB27" i="9"/>
  <c r="X27" i="9"/>
  <c r="V27" i="9"/>
  <c r="Q27" i="9"/>
  <c r="T27" i="9"/>
  <c r="F26" i="10"/>
  <c r="J26" i="10"/>
  <c r="AC26" i="10"/>
  <c r="AG27" i="9"/>
  <c r="AH26" i="9"/>
  <c r="AG26" i="9"/>
  <c r="AD26" i="9"/>
  <c r="AC26" i="9"/>
  <c r="X26" i="9"/>
  <c r="W26" i="9"/>
  <c r="Q26" i="9"/>
  <c r="T26" i="9"/>
  <c r="F25" i="10"/>
  <c r="J25" i="10"/>
  <c r="AB25" i="10"/>
  <c r="V26" i="9"/>
  <c r="AH25" i="9"/>
  <c r="AG25" i="9"/>
  <c r="AD25" i="9"/>
  <c r="AC25" i="9"/>
  <c r="X25" i="9"/>
  <c r="W25" i="9"/>
  <c r="Q25" i="9"/>
  <c r="T25" i="9"/>
  <c r="F24" i="10"/>
  <c r="J24" i="10"/>
  <c r="AB24" i="10"/>
  <c r="V25" i="9"/>
  <c r="AH24" i="9"/>
  <c r="AG24" i="9"/>
  <c r="AD24" i="9"/>
  <c r="AC24" i="9"/>
  <c r="X24" i="9"/>
  <c r="W24" i="9"/>
  <c r="Q24" i="9"/>
  <c r="T24" i="9"/>
  <c r="F23" i="10"/>
  <c r="J23" i="10"/>
  <c r="AB23" i="10"/>
  <c r="V24" i="9"/>
  <c r="AH23" i="9"/>
  <c r="AF23" i="9"/>
  <c r="AD23" i="9"/>
  <c r="AB23" i="9"/>
  <c r="X23" i="9"/>
  <c r="V23" i="9"/>
  <c r="Q23" i="9"/>
  <c r="T23" i="9"/>
  <c r="F22" i="10"/>
  <c r="J22" i="10"/>
  <c r="AC22" i="10"/>
  <c r="AG23" i="9"/>
  <c r="AH22" i="9"/>
  <c r="AF22" i="9"/>
  <c r="AD22" i="9"/>
  <c r="AB22" i="9"/>
  <c r="X22" i="9"/>
  <c r="V22" i="9"/>
  <c r="Q22" i="9"/>
  <c r="T22" i="9"/>
  <c r="F21" i="10"/>
  <c r="J21" i="10"/>
  <c r="AG22" i="9"/>
  <c r="AH21" i="9"/>
  <c r="AG21" i="9"/>
  <c r="AD21" i="9"/>
  <c r="AC21" i="9"/>
  <c r="X21" i="9"/>
  <c r="W21" i="9"/>
  <c r="Q21" i="9"/>
  <c r="T21" i="9"/>
  <c r="F20" i="10"/>
  <c r="J20" i="10"/>
  <c r="AB20" i="10"/>
  <c r="AF21" i="9"/>
  <c r="I283" i="9"/>
  <c r="H283" i="9"/>
  <c r="G283" i="9"/>
  <c r="AH20" i="9"/>
  <c r="AF20" i="9"/>
  <c r="AD20" i="9"/>
  <c r="X20" i="9"/>
  <c r="V20" i="9"/>
  <c r="Q20" i="9"/>
  <c r="T20" i="9"/>
  <c r="F19" i="10"/>
  <c r="J19" i="10"/>
  <c r="AC19" i="10"/>
  <c r="AG20" i="9"/>
  <c r="E283" i="9"/>
  <c r="AH19" i="9"/>
  <c r="AG19" i="9"/>
  <c r="AD19" i="9"/>
  <c r="AC19" i="9"/>
  <c r="X19" i="9"/>
  <c r="W19" i="9"/>
  <c r="T19" i="9"/>
  <c r="Q19" i="9"/>
  <c r="J286" i="8"/>
  <c r="I180" i="8"/>
  <c r="I179" i="8"/>
  <c r="W185" i="9"/>
  <c r="AG185" i="9"/>
  <c r="W201" i="9"/>
  <c r="Q283" i="9"/>
  <c r="W20" i="9"/>
  <c r="AA20" i="9"/>
  <c r="AA163" i="9"/>
  <c r="AA164" i="9"/>
  <c r="W166" i="9"/>
  <c r="AA166" i="9"/>
  <c r="AG201" i="9"/>
  <c r="AA204" i="9"/>
  <c r="AA207" i="9"/>
  <c r="W233" i="9"/>
  <c r="AA233" i="9"/>
  <c r="W235" i="9"/>
  <c r="AA235" i="9"/>
  <c r="W243" i="9"/>
  <c r="AA243" i="9"/>
  <c r="V253" i="9"/>
  <c r="AA257" i="9"/>
  <c r="AA259" i="9"/>
  <c r="AA260" i="9"/>
  <c r="V264" i="9"/>
  <c r="W281" i="9"/>
  <c r="AA281" i="9"/>
  <c r="T168" i="8"/>
  <c r="F170" i="9"/>
  <c r="J170" i="9"/>
  <c r="AD170" i="9"/>
  <c r="W22" i="9"/>
  <c r="AA22" i="9"/>
  <c r="AA24" i="9"/>
  <c r="AA25" i="9"/>
  <c r="AA26" i="9"/>
  <c r="AA30" i="9"/>
  <c r="AA45" i="9"/>
  <c r="AA93" i="9"/>
  <c r="AA97" i="9"/>
  <c r="AA104" i="9"/>
  <c r="AA114" i="9"/>
  <c r="AA118" i="9"/>
  <c r="AA125" i="9"/>
  <c r="AA126" i="9"/>
  <c r="AA127" i="9"/>
  <c r="AA128" i="9"/>
  <c r="AA129" i="9"/>
  <c r="AA130" i="9"/>
  <c r="AA131" i="9"/>
  <c r="AA132" i="9"/>
  <c r="AA133" i="9"/>
  <c r="AA134" i="9"/>
  <c r="W96" i="9"/>
  <c r="AA96" i="9"/>
  <c r="T283" i="9"/>
  <c r="AA170" i="9"/>
  <c r="M284" i="9"/>
  <c r="J291" i="9"/>
  <c r="J293" i="9"/>
  <c r="AH170" i="9"/>
  <c r="AA168" i="8"/>
  <c r="AH168" i="8"/>
  <c r="W23" i="9"/>
  <c r="AA23" i="9"/>
  <c r="W27" i="9"/>
  <c r="AA27" i="9"/>
  <c r="W28" i="9"/>
  <c r="AA28" i="9"/>
  <c r="W29" i="9"/>
  <c r="AA29" i="9"/>
  <c r="W31" i="9"/>
  <c r="AA31" i="9"/>
  <c r="W47" i="9"/>
  <c r="AA47" i="9"/>
  <c r="V54" i="9"/>
  <c r="AA54" i="9"/>
  <c r="AF93" i="9"/>
  <c r="W105" i="9"/>
  <c r="AA105" i="9"/>
  <c r="W106" i="9"/>
  <c r="AA106" i="9"/>
  <c r="W107" i="9"/>
  <c r="AA107" i="9"/>
  <c r="AA109" i="9"/>
  <c r="W110" i="9"/>
  <c r="AA110" i="9"/>
  <c r="AG111" i="9"/>
  <c r="AF114" i="9"/>
  <c r="AF125" i="9"/>
  <c r="AF126" i="9"/>
  <c r="AF127" i="9"/>
  <c r="AF128" i="9"/>
  <c r="AF129" i="9"/>
  <c r="AF130" i="9"/>
  <c r="AF131" i="9"/>
  <c r="AF132" i="9"/>
  <c r="AF133" i="9"/>
  <c r="AF134" i="9"/>
  <c r="AG138" i="9"/>
  <c r="AG139" i="9"/>
  <c r="AF163" i="9"/>
  <c r="AF164" i="9"/>
  <c r="AF166" i="9"/>
  <c r="AF168" i="9"/>
  <c r="AF177" i="9"/>
  <c r="AF181" i="9"/>
  <c r="AG197" i="9"/>
  <c r="AG198" i="9"/>
  <c r="AG199" i="9"/>
  <c r="AG202" i="9"/>
  <c r="AF211" i="9"/>
  <c r="AF212" i="9"/>
  <c r="AH214" i="9"/>
  <c r="AF217" i="9"/>
  <c r="AF218" i="9"/>
  <c r="AF219" i="9"/>
  <c r="AG225" i="9"/>
  <c r="AG228" i="9"/>
  <c r="W237" i="9"/>
  <c r="AA237" i="9"/>
  <c r="W238" i="9"/>
  <c r="AA238" i="9"/>
  <c r="W239" i="9"/>
  <c r="AA239" i="9"/>
  <c r="W244" i="9"/>
  <c r="AA244" i="9"/>
  <c r="W245" i="9"/>
  <c r="AA245" i="9"/>
  <c r="AA255" i="9"/>
  <c r="AF274" i="9"/>
  <c r="AF275" i="9"/>
  <c r="AH279" i="9"/>
  <c r="AF24" i="9"/>
  <c r="AF25" i="9"/>
  <c r="AF26" i="9"/>
  <c r="AF30" i="9"/>
  <c r="AF46" i="9"/>
  <c r="AF50" i="9"/>
  <c r="V56" i="9"/>
  <c r="AA56" i="9"/>
  <c r="W95" i="9"/>
  <c r="AA95" i="9"/>
  <c r="AF97" i="9"/>
  <c r="AF104" i="9"/>
  <c r="AH108" i="9"/>
  <c r="AH109" i="9"/>
  <c r="W113" i="9"/>
  <c r="AA113" i="9"/>
  <c r="W115" i="9"/>
  <c r="AA115" i="9"/>
  <c r="W116" i="9"/>
  <c r="AA116" i="9"/>
  <c r="W117" i="9"/>
  <c r="AA117" i="9"/>
  <c r="AF118" i="9"/>
  <c r="AA119" i="9"/>
  <c r="AF119" i="9"/>
  <c r="AA120" i="9"/>
  <c r="AF120" i="9"/>
  <c r="AA123" i="9"/>
  <c r="AF123" i="9"/>
  <c r="AA124" i="9"/>
  <c r="AF124" i="9"/>
  <c r="X152" i="9"/>
  <c r="AA152" i="9"/>
  <c r="W165" i="9"/>
  <c r="AA165" i="9"/>
  <c r="W167" i="9"/>
  <c r="AA167" i="9"/>
  <c r="AF193" i="9"/>
  <c r="AF194" i="9"/>
  <c r="AF195" i="9"/>
  <c r="AF196" i="9"/>
  <c r="AF204" i="9"/>
  <c r="AF207" i="9"/>
  <c r="W213" i="9"/>
  <c r="AA213" i="9"/>
  <c r="AA214" i="9"/>
  <c r="W215" i="9"/>
  <c r="AA215" i="9"/>
  <c r="W216" i="9"/>
  <c r="AA216" i="9"/>
  <c r="AG220" i="9"/>
  <c r="AF257" i="9"/>
  <c r="AA273" i="9"/>
  <c r="AA49" i="9"/>
  <c r="AA52" i="9"/>
  <c r="AA58" i="9"/>
  <c r="AA60" i="9"/>
  <c r="AA62" i="9"/>
  <c r="AA64" i="9"/>
  <c r="AA66" i="9"/>
  <c r="AA86" i="9"/>
  <c r="AA88" i="9"/>
  <c r="AA90" i="9"/>
  <c r="AA92" i="9"/>
  <c r="AA108" i="9"/>
  <c r="AA33" i="9"/>
  <c r="AA48" i="9"/>
  <c r="AA53" i="9"/>
  <c r="AA57" i="9"/>
  <c r="AA59" i="9"/>
  <c r="AA65" i="9"/>
  <c r="AA91" i="9"/>
  <c r="V19" i="9"/>
  <c r="V32" i="9"/>
  <c r="AA32" i="9"/>
  <c r="V34" i="9"/>
  <c r="AA34" i="9"/>
  <c r="V37" i="9"/>
  <c r="AA37" i="9"/>
  <c r="V38" i="9"/>
  <c r="AA38" i="9"/>
  <c r="V40" i="9"/>
  <c r="AA40" i="9"/>
  <c r="V42" i="9"/>
  <c r="AA42" i="9"/>
  <c r="AG48" i="9"/>
  <c r="AG49" i="9"/>
  <c r="AG53" i="9"/>
  <c r="V55" i="9"/>
  <c r="AA55" i="9"/>
  <c r="AG58" i="9"/>
  <c r="AG60" i="9"/>
  <c r="AG62" i="9"/>
  <c r="AG65" i="9"/>
  <c r="V67" i="9"/>
  <c r="AA67" i="9"/>
  <c r="V69" i="9"/>
  <c r="AA69" i="9"/>
  <c r="V70" i="9"/>
  <c r="AA70" i="9"/>
  <c r="V71" i="9"/>
  <c r="AA71" i="9"/>
  <c r="V72" i="9"/>
  <c r="AA72" i="9"/>
  <c r="V73" i="9"/>
  <c r="AA73" i="9"/>
  <c r="V75" i="9"/>
  <c r="AA75" i="9"/>
  <c r="V76" i="9"/>
  <c r="AA76" i="9"/>
  <c r="V78" i="9"/>
  <c r="AA78" i="9"/>
  <c r="V79" i="9"/>
  <c r="AA79" i="9"/>
  <c r="V80" i="9"/>
  <c r="AA80" i="9"/>
  <c r="V81" i="9"/>
  <c r="AA81" i="9"/>
  <c r="V82" i="9"/>
  <c r="AA82" i="9"/>
  <c r="V83" i="9"/>
  <c r="AA83" i="9"/>
  <c r="V84" i="9"/>
  <c r="AA84" i="9"/>
  <c r="V85" i="9"/>
  <c r="AA85" i="9"/>
  <c r="AG86" i="9"/>
  <c r="V87" i="9"/>
  <c r="AA87" i="9"/>
  <c r="AG88" i="9"/>
  <c r="V89" i="9"/>
  <c r="AA89" i="9"/>
  <c r="AG90" i="9"/>
  <c r="AG91" i="9"/>
  <c r="AG92" i="9"/>
  <c r="V98" i="9"/>
  <c r="AA98" i="9"/>
  <c r="V99" i="9"/>
  <c r="AA99" i="9"/>
  <c r="V100" i="9"/>
  <c r="AA100" i="9"/>
  <c r="V101" i="9"/>
  <c r="AA101" i="9"/>
  <c r="V102" i="9"/>
  <c r="AA102" i="9"/>
  <c r="V103" i="9"/>
  <c r="AA103" i="9"/>
  <c r="AA111" i="9"/>
  <c r="V112" i="9"/>
  <c r="AA112" i="9"/>
  <c r="V136" i="9"/>
  <c r="AA136" i="9"/>
  <c r="AA138" i="9"/>
  <c r="AA139" i="9"/>
  <c r="V140" i="9"/>
  <c r="AA140" i="9"/>
  <c r="V142" i="9"/>
  <c r="AA142" i="9"/>
  <c r="V144" i="9"/>
  <c r="AA144" i="9"/>
  <c r="V146" i="9"/>
  <c r="AA146" i="9"/>
  <c r="AA150" i="9"/>
  <c r="AA153" i="9"/>
  <c r="AA171" i="9"/>
  <c r="AA173" i="9"/>
  <c r="AA175" i="9"/>
  <c r="AA180" i="9"/>
  <c r="AA183" i="9"/>
  <c r="AA189" i="9"/>
  <c r="I284" i="9"/>
  <c r="V21" i="9"/>
  <c r="AA21" i="9"/>
  <c r="AG33" i="9"/>
  <c r="V35" i="9"/>
  <c r="AA35" i="9"/>
  <c r="V36" i="9"/>
  <c r="AA36" i="9"/>
  <c r="V39" i="9"/>
  <c r="AA39" i="9"/>
  <c r="V41" i="9"/>
  <c r="AA41" i="9"/>
  <c r="X44" i="9"/>
  <c r="AA44" i="9"/>
  <c r="AF45" i="9"/>
  <c r="V51" i="9"/>
  <c r="AA51" i="9"/>
  <c r="AG52" i="9"/>
  <c r="AG57" i="9"/>
  <c r="AG59" i="9"/>
  <c r="V61" i="9"/>
  <c r="AA61" i="9"/>
  <c r="X63" i="9"/>
  <c r="AA63" i="9"/>
  <c r="AG64" i="9"/>
  <c r="AG66" i="9"/>
  <c r="V68" i="9"/>
  <c r="AA68" i="9"/>
  <c r="AF19" i="9"/>
  <c r="V135" i="9"/>
  <c r="AA135" i="9"/>
  <c r="V137" i="9"/>
  <c r="AA137" i="9"/>
  <c r="V141" i="9"/>
  <c r="AA141" i="9"/>
  <c r="V143" i="9"/>
  <c r="AA143" i="9"/>
  <c r="V145" i="9"/>
  <c r="AA145" i="9"/>
  <c r="AA154" i="9"/>
  <c r="AA156" i="9"/>
  <c r="AA172" i="9"/>
  <c r="AA179" i="9"/>
  <c r="AA190" i="9"/>
  <c r="V147" i="9"/>
  <c r="AA147" i="9"/>
  <c r="V148" i="9"/>
  <c r="AA148" i="9"/>
  <c r="V149" i="9"/>
  <c r="AA149" i="9"/>
  <c r="AG150" i="9"/>
  <c r="V151" i="9"/>
  <c r="AA151" i="9"/>
  <c r="AG153" i="9"/>
  <c r="AG154" i="9"/>
  <c r="V155" i="9"/>
  <c r="AA155" i="9"/>
  <c r="AG156" i="9"/>
  <c r="V157" i="9"/>
  <c r="AA157" i="9"/>
  <c r="V158" i="9"/>
  <c r="AA158" i="9"/>
  <c r="V159" i="9"/>
  <c r="AA159" i="9"/>
  <c r="V160" i="9"/>
  <c r="AA160" i="9"/>
  <c r="V161" i="9"/>
  <c r="AA161" i="9"/>
  <c r="V162" i="9"/>
  <c r="AA162" i="9"/>
  <c r="V169" i="9"/>
  <c r="AA169" i="9"/>
  <c r="AG171" i="9"/>
  <c r="AG172" i="9"/>
  <c r="AG173" i="9"/>
  <c r="V174" i="9"/>
  <c r="AA174" i="9"/>
  <c r="AG175" i="9"/>
  <c r="V176" i="9"/>
  <c r="AA176" i="9"/>
  <c r="X178" i="9"/>
  <c r="AA178" i="9"/>
  <c r="AG179" i="9"/>
  <c r="AG180" i="9"/>
  <c r="V182" i="9"/>
  <c r="AA182" i="9"/>
  <c r="AG183" i="9"/>
  <c r="V184" i="9"/>
  <c r="AA184" i="9"/>
  <c r="V185" i="9"/>
  <c r="AA185" i="9"/>
  <c r="X186" i="9"/>
  <c r="AA186" i="9"/>
  <c r="V187" i="9"/>
  <c r="AA187" i="9"/>
  <c r="V188" i="9"/>
  <c r="AA188" i="9"/>
  <c r="AG189" i="9"/>
  <c r="AG190" i="9"/>
  <c r="V191" i="9"/>
  <c r="AA191" i="9"/>
  <c r="V192" i="9"/>
  <c r="AA192" i="9"/>
  <c r="AA197" i="9"/>
  <c r="AA198" i="9"/>
  <c r="AA199" i="9"/>
  <c r="AA200" i="9"/>
  <c r="V201" i="9"/>
  <c r="AA201" i="9"/>
  <c r="V205" i="9"/>
  <c r="AA205" i="9"/>
  <c r="V208" i="9"/>
  <c r="AA208" i="9"/>
  <c r="V210" i="9"/>
  <c r="AA210" i="9"/>
  <c r="AA220" i="9"/>
  <c r="X221" i="9"/>
  <c r="AA221" i="9"/>
  <c r="V223" i="9"/>
  <c r="AA223" i="9"/>
  <c r="AA225" i="9"/>
  <c r="V226" i="9"/>
  <c r="AA226" i="9"/>
  <c r="AA228" i="9"/>
  <c r="V229" i="9"/>
  <c r="AA229" i="9"/>
  <c r="AA251" i="9"/>
  <c r="AA258" i="9"/>
  <c r="AA279" i="9"/>
  <c r="AG200" i="9"/>
  <c r="AA202" i="9"/>
  <c r="V203" i="9"/>
  <c r="AA203" i="9"/>
  <c r="V206" i="9"/>
  <c r="AA206" i="9"/>
  <c r="V209" i="9"/>
  <c r="AA209" i="9"/>
  <c r="V222" i="9"/>
  <c r="AA222" i="9"/>
  <c r="V224" i="9"/>
  <c r="AA224" i="9"/>
  <c r="V227" i="9"/>
  <c r="AA227" i="9"/>
  <c r="V230" i="9"/>
  <c r="AA230" i="9"/>
  <c r="AA263" i="9"/>
  <c r="AF231" i="9"/>
  <c r="W232" i="9"/>
  <c r="AF240" i="9"/>
  <c r="AF241" i="9"/>
  <c r="AF242" i="9"/>
  <c r="W246" i="9"/>
  <c r="AA246" i="9"/>
  <c r="W247" i="9"/>
  <c r="AA247" i="9"/>
  <c r="W248" i="9"/>
  <c r="AA248" i="9"/>
  <c r="W249" i="9"/>
  <c r="AA249" i="9"/>
  <c r="W250" i="9"/>
  <c r="AA250" i="9"/>
  <c r="AH251" i="9"/>
  <c r="W252" i="9"/>
  <c r="AA252" i="9"/>
  <c r="W253" i="9"/>
  <c r="AA253" i="9"/>
  <c r="AF255" i="9"/>
  <c r="V256" i="9"/>
  <c r="AA256" i="9"/>
  <c r="AH258" i="9"/>
  <c r="AF259" i="9"/>
  <c r="AF260" i="9"/>
  <c r="W261" i="9"/>
  <c r="AA261" i="9"/>
  <c r="W262" i="9"/>
  <c r="AA262" i="9"/>
  <c r="AH263" i="9"/>
  <c r="W264" i="9"/>
  <c r="AA264" i="9"/>
  <c r="AF265" i="9"/>
  <c r="W266" i="9"/>
  <c r="AA266" i="9"/>
  <c r="W267" i="9"/>
  <c r="AA267" i="9"/>
  <c r="W268" i="9"/>
  <c r="AA268" i="9"/>
  <c r="W269" i="9"/>
  <c r="AA269" i="9"/>
  <c r="AF270" i="9"/>
  <c r="W271" i="9"/>
  <c r="AA271" i="9"/>
  <c r="AF272" i="9"/>
  <c r="AF273" i="9"/>
  <c r="V276" i="9"/>
  <c r="AA276" i="9"/>
  <c r="X277" i="9"/>
  <c r="AA277" i="9"/>
  <c r="X278" i="9"/>
  <c r="AA278" i="9"/>
  <c r="V280" i="9"/>
  <c r="AA280" i="9"/>
  <c r="V282" i="9"/>
  <c r="AA282" i="9"/>
  <c r="Q254" i="8"/>
  <c r="AH283" i="9"/>
  <c r="AH287" i="9"/>
  <c r="AG283" i="9"/>
  <c r="AG287" i="9"/>
  <c r="W283" i="9"/>
  <c r="Y293" i="9"/>
  <c r="AA232" i="9"/>
  <c r="AF283" i="9"/>
  <c r="AF287" i="9"/>
  <c r="X283" i="9"/>
  <c r="Y296" i="9"/>
  <c r="V283" i="9"/>
  <c r="AA19" i="9"/>
  <c r="O238" i="8"/>
  <c r="I74" i="8"/>
  <c r="O96" i="8"/>
  <c r="I229" i="8"/>
  <c r="H229" i="8"/>
  <c r="Y290" i="9"/>
  <c r="Y297" i="9"/>
  <c r="X288" i="9"/>
  <c r="X297" i="9"/>
  <c r="R252" i="7"/>
  <c r="AB20" i="8"/>
  <c r="I21" i="8"/>
  <c r="G244" i="8"/>
  <c r="I256" i="8"/>
  <c r="I275" i="8"/>
  <c r="I274" i="8"/>
  <c r="H181" i="8"/>
  <c r="G181" i="8"/>
  <c r="E181" i="8"/>
  <c r="R176" i="7"/>
  <c r="R178" i="7"/>
  <c r="I181" i="8"/>
  <c r="H183" i="8"/>
  <c r="G183" i="8"/>
  <c r="H180" i="8"/>
  <c r="G180" i="8"/>
  <c r="R175" i="7"/>
  <c r="E173" i="8"/>
  <c r="R169" i="7"/>
  <c r="R190" i="7"/>
  <c r="H173" i="8"/>
  <c r="G173" i="8"/>
  <c r="H203" i="8"/>
  <c r="H202" i="8"/>
  <c r="F280" i="8"/>
  <c r="R231" i="7"/>
  <c r="R232" i="7"/>
  <c r="R47" i="7"/>
  <c r="E48" i="8"/>
  <c r="R50" i="7"/>
  <c r="R49" i="7"/>
  <c r="E50" i="8"/>
  <c r="I206" i="8"/>
  <c r="E51" i="8"/>
  <c r="H22" i="8"/>
  <c r="I173" i="8"/>
  <c r="G179" i="8"/>
  <c r="H179" i="8"/>
  <c r="G166" i="8"/>
  <c r="H167" i="8"/>
  <c r="H166" i="8"/>
  <c r="G150" i="8"/>
  <c r="I123" i="8"/>
  <c r="I195" i="8"/>
  <c r="E112" i="8"/>
  <c r="I219" i="8"/>
  <c r="I92" i="8"/>
  <c r="I218" i="8"/>
  <c r="R62" i="7"/>
  <c r="R51" i="7"/>
  <c r="R44" i="7"/>
  <c r="G175" i="8"/>
  <c r="AG176" i="8"/>
  <c r="AC176" i="8"/>
  <c r="W176" i="8"/>
  <c r="Q176" i="8"/>
  <c r="T176" i="8"/>
  <c r="V176" i="8"/>
  <c r="J176" i="8"/>
  <c r="AB176" i="8"/>
  <c r="H219" i="8"/>
  <c r="H218" i="8"/>
  <c r="G219" i="8"/>
  <c r="G218" i="8"/>
  <c r="AF219" i="8"/>
  <c r="AB219" i="8"/>
  <c r="Q219" i="8"/>
  <c r="X219" i="8"/>
  <c r="V219" i="8"/>
  <c r="T219" i="8"/>
  <c r="AG219" i="8"/>
  <c r="X176" i="8"/>
  <c r="AH219" i="8"/>
  <c r="AH176" i="8"/>
  <c r="AD176" i="8"/>
  <c r="AA176" i="8"/>
  <c r="AF176" i="8"/>
  <c r="J219" i="8"/>
  <c r="W219" i="8"/>
  <c r="AA219" i="8"/>
  <c r="AH74" i="8"/>
  <c r="AG74" i="8"/>
  <c r="AD74" i="8"/>
  <c r="AC74" i="8"/>
  <c r="X74" i="8"/>
  <c r="W74" i="8"/>
  <c r="AH135" i="8"/>
  <c r="AG135" i="8"/>
  <c r="AD135" i="8"/>
  <c r="AC135" i="8"/>
  <c r="X135" i="8"/>
  <c r="W135" i="8"/>
  <c r="T135" i="8"/>
  <c r="F137" i="9"/>
  <c r="J137" i="9"/>
  <c r="AB137" i="9"/>
  <c r="Q135" i="8"/>
  <c r="V135" i="8"/>
  <c r="AH134" i="8"/>
  <c r="AG134" i="8"/>
  <c r="AD134" i="8"/>
  <c r="AC134" i="8"/>
  <c r="X134" i="8"/>
  <c r="W134" i="8"/>
  <c r="T134" i="8"/>
  <c r="F136" i="9"/>
  <c r="J136" i="9"/>
  <c r="AB136" i="9"/>
  <c r="Q134" i="8"/>
  <c r="V134" i="8"/>
  <c r="AA134" i="8"/>
  <c r="H195" i="8"/>
  <c r="G195" i="8"/>
  <c r="I161" i="8"/>
  <c r="AF134" i="8"/>
  <c r="AA135" i="8"/>
  <c r="AF135" i="8"/>
  <c r="AC219" i="8"/>
  <c r="AD219" i="8"/>
  <c r="AH278" i="8"/>
  <c r="AG278" i="8"/>
  <c r="AD278" i="8"/>
  <c r="AC278" i="8"/>
  <c r="X278" i="8"/>
  <c r="W278" i="8"/>
  <c r="T278" i="8"/>
  <c r="F280" i="9"/>
  <c r="J280" i="9"/>
  <c r="AB280" i="9"/>
  <c r="Q278" i="8"/>
  <c r="V278" i="8"/>
  <c r="AA278" i="8"/>
  <c r="J278" i="8"/>
  <c r="AB278" i="8"/>
  <c r="AF278" i="8"/>
  <c r="AH241" i="8"/>
  <c r="AF241" i="8"/>
  <c r="AD241" i="8"/>
  <c r="AB241" i="8"/>
  <c r="X241" i="8"/>
  <c r="V241" i="8"/>
  <c r="T241" i="8"/>
  <c r="F243" i="9"/>
  <c r="J243" i="9"/>
  <c r="AC243" i="9"/>
  <c r="Q241" i="8"/>
  <c r="AG241" i="8"/>
  <c r="J241" i="8"/>
  <c r="AC241" i="8"/>
  <c r="G221" i="8"/>
  <c r="R215" i="7"/>
  <c r="E221" i="8"/>
  <c r="W241" i="8"/>
  <c r="AA241" i="8"/>
  <c r="H209" i="8"/>
  <c r="J277" i="8"/>
  <c r="AD277" i="8"/>
  <c r="AG277" i="8"/>
  <c r="AF277" i="8"/>
  <c r="AC277" i="8"/>
  <c r="AB277" i="8"/>
  <c r="W277" i="8"/>
  <c r="V277" i="8"/>
  <c r="T277" i="8"/>
  <c r="F279" i="9"/>
  <c r="J279" i="9"/>
  <c r="AD279" i="9"/>
  <c r="Q277" i="8"/>
  <c r="X277" i="8"/>
  <c r="H21" i="8"/>
  <c r="H206" i="8"/>
  <c r="H161" i="8"/>
  <c r="AA277" i="8"/>
  <c r="AH277" i="8"/>
  <c r="R147" i="7"/>
  <c r="H275" i="8"/>
  <c r="H274" i="8"/>
  <c r="G275" i="8"/>
  <c r="G274" i="8"/>
  <c r="G206" i="8"/>
  <c r="R167" i="7"/>
  <c r="R134" i="7"/>
  <c r="G21" i="8"/>
  <c r="AH133" i="8"/>
  <c r="AG133" i="8"/>
  <c r="AD133" i="8"/>
  <c r="AC133" i="8"/>
  <c r="X133" i="8"/>
  <c r="W133" i="8"/>
  <c r="T133" i="8"/>
  <c r="F135" i="9"/>
  <c r="J135" i="9"/>
  <c r="AB135" i="9"/>
  <c r="Q133" i="8"/>
  <c r="V133" i="8"/>
  <c r="AA133" i="8"/>
  <c r="J133" i="8"/>
  <c r="AB133" i="8"/>
  <c r="AF133" i="8"/>
  <c r="R73" i="7"/>
  <c r="R242" i="7"/>
  <c r="G117" i="8"/>
  <c r="H117" i="8"/>
  <c r="R110" i="7"/>
  <c r="AG275" i="8"/>
  <c r="AC275" i="8"/>
  <c r="W275" i="8"/>
  <c r="T275" i="8"/>
  <c r="F277" i="9"/>
  <c r="J277" i="9"/>
  <c r="AD277" i="9"/>
  <c r="Q275" i="8"/>
  <c r="V275" i="8"/>
  <c r="J275" i="8"/>
  <c r="AB275" i="8"/>
  <c r="E32" i="8"/>
  <c r="R263" i="7"/>
  <c r="AH32" i="8"/>
  <c r="AG32" i="8"/>
  <c r="AD32" i="8"/>
  <c r="AC32" i="8"/>
  <c r="X32" i="8"/>
  <c r="W32" i="8"/>
  <c r="Q32" i="8"/>
  <c r="V32" i="8"/>
  <c r="Q32" i="7"/>
  <c r="T32" i="7"/>
  <c r="F32" i="8"/>
  <c r="J32" i="8"/>
  <c r="AB32" i="8"/>
  <c r="Q31" i="7"/>
  <c r="T31" i="7"/>
  <c r="Q30" i="7"/>
  <c r="T30" i="7"/>
  <c r="AH32" i="7"/>
  <c r="AG32" i="7"/>
  <c r="AF32" i="7"/>
  <c r="AD32" i="7"/>
  <c r="AC32" i="7"/>
  <c r="X32" i="7"/>
  <c r="W32" i="7"/>
  <c r="V32" i="7"/>
  <c r="AA32" i="7"/>
  <c r="J32" i="7"/>
  <c r="AB32" i="7"/>
  <c r="X275" i="8"/>
  <c r="AA32" i="8"/>
  <c r="AA275" i="8"/>
  <c r="AH275" i="8"/>
  <c r="AD275" i="8"/>
  <c r="AF275" i="8"/>
  <c r="AF32" i="8"/>
  <c r="R171" i="7"/>
  <c r="G205" i="8"/>
  <c r="R200" i="7"/>
  <c r="R212" i="7"/>
  <c r="R204" i="7"/>
  <c r="R177" i="7"/>
  <c r="R174" i="7"/>
  <c r="E20" i="8"/>
  <c r="R198" i="7"/>
  <c r="R197" i="7"/>
  <c r="R41" i="7"/>
  <c r="R192" i="7"/>
  <c r="R191" i="7"/>
  <c r="R117" i="7"/>
  <c r="T132" i="7"/>
  <c r="F135" i="8"/>
  <c r="J135" i="8"/>
  <c r="AB135" i="8"/>
  <c r="Q137" i="7"/>
  <c r="T137" i="7"/>
  <c r="Q136" i="7"/>
  <c r="T136" i="7"/>
  <c r="Q135" i="7"/>
  <c r="T135" i="7"/>
  <c r="M134" i="7"/>
  <c r="Q134" i="7"/>
  <c r="T134" i="7"/>
  <c r="M133" i="7"/>
  <c r="Q133" i="7"/>
  <c r="T133" i="7"/>
  <c r="T131" i="7"/>
  <c r="Q130" i="7"/>
  <c r="T130" i="7"/>
  <c r="V132" i="7"/>
  <c r="W132" i="7"/>
  <c r="X132" i="7"/>
  <c r="AF132" i="7"/>
  <c r="AG132" i="7"/>
  <c r="AH132" i="7"/>
  <c r="R164" i="7"/>
  <c r="R163" i="7"/>
  <c r="G161" i="8"/>
  <c r="Q74" i="8"/>
  <c r="T73" i="7"/>
  <c r="F74" i="8"/>
  <c r="J74" i="8"/>
  <c r="AB74" i="8"/>
  <c r="V74" i="8"/>
  <c r="AA74" i="8"/>
  <c r="AF74" i="8"/>
  <c r="G123" i="8"/>
  <c r="Q149" i="7"/>
  <c r="T149" i="7"/>
  <c r="M148" i="7"/>
  <c r="Q148" i="7"/>
  <c r="T148" i="7"/>
  <c r="M147" i="7"/>
  <c r="Q147" i="7"/>
  <c r="T147" i="7"/>
  <c r="Q146" i="7"/>
  <c r="T146" i="7"/>
  <c r="M145" i="7"/>
  <c r="Q145" i="7"/>
  <c r="T145" i="7"/>
  <c r="Q144" i="7"/>
  <c r="T144" i="7"/>
  <c r="R21" i="7"/>
  <c r="R179" i="7"/>
  <c r="R201" i="7"/>
  <c r="E231" i="8"/>
  <c r="R158" i="7"/>
  <c r="R245" i="7"/>
  <c r="R58" i="7"/>
  <c r="R57" i="7"/>
  <c r="R56" i="7"/>
  <c r="E97" i="8"/>
  <c r="E96" i="8"/>
  <c r="F254" i="8"/>
  <c r="J254" i="8"/>
  <c r="AB254" i="8"/>
  <c r="F152" i="8"/>
  <c r="J152" i="8"/>
  <c r="AC152" i="8"/>
  <c r="F151" i="8"/>
  <c r="J151" i="8"/>
  <c r="AC151" i="8"/>
  <c r="F150" i="8"/>
  <c r="J150" i="8"/>
  <c r="AD150" i="8"/>
  <c r="AC150" i="8"/>
  <c r="F149" i="8"/>
  <c r="J149" i="8"/>
  <c r="AB149" i="8"/>
  <c r="F148" i="8"/>
  <c r="J148" i="8"/>
  <c r="AC148" i="8"/>
  <c r="F147" i="8"/>
  <c r="J147" i="8"/>
  <c r="AB147" i="8"/>
  <c r="F140" i="8"/>
  <c r="J140" i="8"/>
  <c r="AB140" i="8"/>
  <c r="F139" i="8"/>
  <c r="J139" i="8"/>
  <c r="AB139" i="8"/>
  <c r="F138" i="8"/>
  <c r="J138" i="8"/>
  <c r="AB138" i="8"/>
  <c r="F137" i="8"/>
  <c r="J137" i="8"/>
  <c r="AC137" i="8"/>
  <c r="F134" i="8"/>
  <c r="J134" i="8"/>
  <c r="AB134" i="8"/>
  <c r="F132" i="8"/>
  <c r="J132" i="8"/>
  <c r="AB132" i="8"/>
  <c r="T96" i="7"/>
  <c r="F98" i="8"/>
  <c r="J98" i="8"/>
  <c r="AB98" i="8"/>
  <c r="F31" i="8"/>
  <c r="J31" i="8"/>
  <c r="AC31" i="8"/>
  <c r="F30" i="8"/>
  <c r="J30" i="8"/>
  <c r="AB30" i="8"/>
  <c r="Z281" i="8"/>
  <c r="Y292" i="8"/>
  <c r="Y281" i="8"/>
  <c r="Y289" i="8"/>
  <c r="R281" i="8"/>
  <c r="P281" i="8"/>
  <c r="N281" i="8"/>
  <c r="K281" i="8"/>
  <c r="AH280" i="8"/>
  <c r="AG280" i="8"/>
  <c r="AD280" i="8"/>
  <c r="AC280" i="8"/>
  <c r="X280" i="8"/>
  <c r="W280" i="8"/>
  <c r="T280" i="8"/>
  <c r="F282" i="9"/>
  <c r="J282" i="9"/>
  <c r="AB282" i="9"/>
  <c r="Q280" i="8"/>
  <c r="AF280" i="8"/>
  <c r="J280" i="8"/>
  <c r="AB280" i="8"/>
  <c r="AH279" i="8"/>
  <c r="Q279" i="8"/>
  <c r="AG279" i="8"/>
  <c r="AF279" i="8"/>
  <c r="AD279" i="8"/>
  <c r="AB279" i="8"/>
  <c r="X279" i="8"/>
  <c r="V279" i="8"/>
  <c r="T279" i="8"/>
  <c r="F281" i="9"/>
  <c r="J281" i="9"/>
  <c r="AC281" i="9"/>
  <c r="W279" i="8"/>
  <c r="AG276" i="8"/>
  <c r="AF276" i="8"/>
  <c r="AC276" i="8"/>
  <c r="AB276" i="8"/>
  <c r="W276" i="8"/>
  <c r="V276" i="8"/>
  <c r="Q276" i="8"/>
  <c r="X276" i="8"/>
  <c r="AA276" i="8"/>
  <c r="AH274" i="8"/>
  <c r="AG274" i="8"/>
  <c r="AD274" i="8"/>
  <c r="AC274" i="8"/>
  <c r="X274" i="8"/>
  <c r="W274" i="8"/>
  <c r="T274" i="8"/>
  <c r="F276" i="9"/>
  <c r="J276" i="9"/>
  <c r="AB276" i="9"/>
  <c r="Q274" i="8"/>
  <c r="AF274" i="8"/>
  <c r="AH273" i="8"/>
  <c r="AG273" i="8"/>
  <c r="AD273" i="8"/>
  <c r="AC273" i="8"/>
  <c r="X273" i="8"/>
  <c r="W273" i="8"/>
  <c r="T273" i="8"/>
  <c r="F275" i="9"/>
  <c r="J275" i="9"/>
  <c r="AB275" i="9"/>
  <c r="Q273" i="8"/>
  <c r="AF273" i="8"/>
  <c r="AH272" i="8"/>
  <c r="AG272" i="8"/>
  <c r="AD272" i="8"/>
  <c r="AC272" i="8"/>
  <c r="X272" i="8"/>
  <c r="W272" i="8"/>
  <c r="T272" i="8"/>
  <c r="F274" i="9"/>
  <c r="J274" i="9"/>
  <c r="AB274" i="9"/>
  <c r="Q272" i="8"/>
  <c r="V272" i="8"/>
  <c r="AA272" i="8"/>
  <c r="AH271" i="8"/>
  <c r="AG271" i="8"/>
  <c r="AD271" i="8"/>
  <c r="AC271" i="8"/>
  <c r="X271" i="8"/>
  <c r="W271" i="8"/>
  <c r="T271" i="8"/>
  <c r="F273" i="9"/>
  <c r="J273" i="9"/>
  <c r="AB273" i="9"/>
  <c r="V271" i="8"/>
  <c r="AH270" i="8"/>
  <c r="AG270" i="8"/>
  <c r="AD270" i="8"/>
  <c r="AC270" i="8"/>
  <c r="X270" i="8"/>
  <c r="W270" i="8"/>
  <c r="T270" i="8"/>
  <c r="F272" i="9"/>
  <c r="J272" i="9"/>
  <c r="AB272" i="9"/>
  <c r="Q270" i="8"/>
  <c r="V270" i="8"/>
  <c r="AH269" i="8"/>
  <c r="AF269" i="8"/>
  <c r="AD269" i="8"/>
  <c r="AB269" i="8"/>
  <c r="X269" i="8"/>
  <c r="V269" i="8"/>
  <c r="Q269" i="8"/>
  <c r="T269" i="8"/>
  <c r="F271" i="9"/>
  <c r="J271" i="9"/>
  <c r="AC271" i="9"/>
  <c r="AG269" i="8"/>
  <c r="AH268" i="8"/>
  <c r="AG268" i="8"/>
  <c r="AD268" i="8"/>
  <c r="AC268" i="8"/>
  <c r="X268" i="8"/>
  <c r="W268" i="8"/>
  <c r="T268" i="8"/>
  <c r="F270" i="9"/>
  <c r="J270" i="9"/>
  <c r="AB270" i="9"/>
  <c r="Q268" i="8"/>
  <c r="AF268" i="8"/>
  <c r="AH267" i="8"/>
  <c r="AF267" i="8"/>
  <c r="AD267" i="8"/>
  <c r="AB267" i="8"/>
  <c r="X267" i="8"/>
  <c r="V267" i="8"/>
  <c r="T267" i="8"/>
  <c r="F269" i="9"/>
  <c r="J269" i="9"/>
  <c r="AC269" i="9"/>
  <c r="Q267" i="8"/>
  <c r="W267" i="8"/>
  <c r="AH266" i="8"/>
  <c r="AF266" i="8"/>
  <c r="AD266" i="8"/>
  <c r="AB266" i="8"/>
  <c r="X266" i="8"/>
  <c r="V266" i="8"/>
  <c r="T266" i="8"/>
  <c r="F268" i="9"/>
  <c r="J268" i="9"/>
  <c r="AC268" i="9"/>
  <c r="Q266" i="8"/>
  <c r="W266" i="8"/>
  <c r="AH265" i="8"/>
  <c r="AF265" i="8"/>
  <c r="AD265" i="8"/>
  <c r="AB265" i="8"/>
  <c r="X265" i="8"/>
  <c r="V265" i="8"/>
  <c r="T265" i="8"/>
  <c r="F267" i="9"/>
  <c r="J267" i="9"/>
  <c r="AC267" i="9"/>
  <c r="Q265" i="8"/>
  <c r="W265" i="8"/>
  <c r="AH264" i="8"/>
  <c r="AF264" i="8"/>
  <c r="AD264" i="8"/>
  <c r="AB264" i="8"/>
  <c r="X264" i="8"/>
  <c r="V264" i="8"/>
  <c r="T264" i="8"/>
  <c r="F266" i="9"/>
  <c r="J266" i="9"/>
  <c r="AC266" i="9"/>
  <c r="Q264" i="8"/>
  <c r="AH263" i="8"/>
  <c r="AG263" i="8"/>
  <c r="AD263" i="8"/>
  <c r="AC263" i="8"/>
  <c r="X263" i="8"/>
  <c r="W263" i="8"/>
  <c r="T263" i="8"/>
  <c r="F265" i="9"/>
  <c r="J265" i="9"/>
  <c r="AB265" i="9"/>
  <c r="AH262" i="8"/>
  <c r="AF262" i="8"/>
  <c r="AD262" i="8"/>
  <c r="AB262" i="8"/>
  <c r="X262" i="8"/>
  <c r="V262" i="8"/>
  <c r="Q262" i="8"/>
  <c r="AG262" i="8"/>
  <c r="AG261" i="8"/>
  <c r="AF261" i="8"/>
  <c r="AC261" i="8"/>
  <c r="AB261" i="8"/>
  <c r="W261" i="8"/>
  <c r="V261" i="8"/>
  <c r="T261" i="8"/>
  <c r="F263" i="9"/>
  <c r="J263" i="9"/>
  <c r="AD263" i="9"/>
  <c r="Q261" i="8"/>
  <c r="X261" i="8"/>
  <c r="AA261" i="8"/>
  <c r="AH260" i="8"/>
  <c r="AF260" i="8"/>
  <c r="AD260" i="8"/>
  <c r="AB260" i="8"/>
  <c r="X260" i="8"/>
  <c r="V260" i="8"/>
  <c r="Q260" i="8"/>
  <c r="T260" i="8"/>
  <c r="F262" i="9"/>
  <c r="J262" i="9"/>
  <c r="AC262" i="9"/>
  <c r="W260" i="8"/>
  <c r="AH259" i="8"/>
  <c r="AF259" i="8"/>
  <c r="AD259" i="8"/>
  <c r="AB259" i="8"/>
  <c r="X259" i="8"/>
  <c r="V259" i="8"/>
  <c r="T259" i="8"/>
  <c r="F261" i="9"/>
  <c r="J261" i="9"/>
  <c r="AC261" i="9"/>
  <c r="Q259" i="8"/>
  <c r="W259" i="8"/>
  <c r="AH258" i="8"/>
  <c r="AG258" i="8"/>
  <c r="AD258" i="8"/>
  <c r="AC258" i="8"/>
  <c r="X258" i="8"/>
  <c r="W258" i="8"/>
  <c r="T258" i="8"/>
  <c r="F260" i="9"/>
  <c r="J260" i="9"/>
  <c r="AB260" i="9"/>
  <c r="Q258" i="8"/>
  <c r="AF258" i="8"/>
  <c r="AH257" i="8"/>
  <c r="AG257" i="8"/>
  <c r="AD257" i="8"/>
  <c r="AC257" i="8"/>
  <c r="X257" i="8"/>
  <c r="W257" i="8"/>
  <c r="T257" i="8"/>
  <c r="F259" i="9"/>
  <c r="J259" i="9"/>
  <c r="AB259" i="9"/>
  <c r="Q257" i="8"/>
  <c r="AF257" i="8"/>
  <c r="AG256" i="8"/>
  <c r="AF256" i="8"/>
  <c r="AC256" i="8"/>
  <c r="AB256" i="8"/>
  <c r="W256" i="8"/>
  <c r="V256" i="8"/>
  <c r="T256" i="8"/>
  <c r="F258" i="9"/>
  <c r="J258" i="9"/>
  <c r="AD258" i="9"/>
  <c r="Q256" i="8"/>
  <c r="AH256" i="8"/>
  <c r="AH255" i="8"/>
  <c r="AG255" i="8"/>
  <c r="AD255" i="8"/>
  <c r="AC255" i="8"/>
  <c r="X255" i="8"/>
  <c r="W255" i="8"/>
  <c r="T255" i="8"/>
  <c r="F257" i="9"/>
  <c r="J257" i="9"/>
  <c r="AB257" i="9"/>
  <c r="Q255" i="8"/>
  <c r="AF255" i="8"/>
  <c r="AH254" i="8"/>
  <c r="AG254" i="8"/>
  <c r="AF254" i="8"/>
  <c r="AD254" i="8"/>
  <c r="AC254" i="8"/>
  <c r="X254" i="8"/>
  <c r="W254" i="8"/>
  <c r="V254" i="8"/>
  <c r="AH253" i="8"/>
  <c r="AG253" i="8"/>
  <c r="AD253" i="8"/>
  <c r="AC253" i="8"/>
  <c r="X253" i="8"/>
  <c r="W253" i="8"/>
  <c r="T253" i="8"/>
  <c r="F255" i="9"/>
  <c r="J255" i="9"/>
  <c r="AB255" i="9"/>
  <c r="Q253" i="8"/>
  <c r="V253" i="8"/>
  <c r="AA253" i="8"/>
  <c r="AH251" i="8"/>
  <c r="AF251" i="8"/>
  <c r="AD251" i="8"/>
  <c r="AB251" i="8"/>
  <c r="X251" i="8"/>
  <c r="V251" i="8"/>
  <c r="T251" i="8"/>
  <c r="F253" i="9"/>
  <c r="J253" i="9"/>
  <c r="AB253" i="9"/>
  <c r="Q251" i="8"/>
  <c r="AG251" i="8"/>
  <c r="AH250" i="8"/>
  <c r="AF250" i="8"/>
  <c r="AD250" i="8"/>
  <c r="AB250" i="8"/>
  <c r="X250" i="8"/>
  <c r="V250" i="8"/>
  <c r="Q250" i="8"/>
  <c r="T250" i="8"/>
  <c r="F252" i="9"/>
  <c r="J252" i="9"/>
  <c r="AC252" i="9"/>
  <c r="AG250" i="8"/>
  <c r="AG249" i="8"/>
  <c r="AF249" i="8"/>
  <c r="AC249" i="8"/>
  <c r="AB249" i="8"/>
  <c r="W249" i="8"/>
  <c r="V249" i="8"/>
  <c r="Q249" i="8"/>
  <c r="T249" i="8"/>
  <c r="F251" i="9"/>
  <c r="J251" i="9"/>
  <c r="AD251" i="9"/>
  <c r="X249" i="8"/>
  <c r="AH248" i="8"/>
  <c r="AF248" i="8"/>
  <c r="AD248" i="8"/>
  <c r="AB248" i="8"/>
  <c r="X248" i="8"/>
  <c r="V248" i="8"/>
  <c r="T248" i="8"/>
  <c r="F250" i="9"/>
  <c r="J250" i="9"/>
  <c r="AC250" i="9"/>
  <c r="Q248" i="8"/>
  <c r="W248" i="8"/>
  <c r="AH247" i="8"/>
  <c r="AF247" i="8"/>
  <c r="AD247" i="8"/>
  <c r="AB247" i="8"/>
  <c r="X247" i="8"/>
  <c r="V247" i="8"/>
  <c r="T247" i="8"/>
  <c r="F249" i="9"/>
  <c r="J249" i="9"/>
  <c r="AC249" i="9"/>
  <c r="Q247" i="8"/>
  <c r="W247" i="8"/>
  <c r="AH246" i="8"/>
  <c r="AF246" i="8"/>
  <c r="AD246" i="8"/>
  <c r="AB246" i="8"/>
  <c r="X246" i="8"/>
  <c r="V246" i="8"/>
  <c r="T246" i="8"/>
  <c r="F248" i="9"/>
  <c r="J248" i="9"/>
  <c r="AC248" i="9"/>
  <c r="Q246" i="8"/>
  <c r="W246" i="8"/>
  <c r="AH245" i="8"/>
  <c r="AF245" i="8"/>
  <c r="AD245" i="8"/>
  <c r="AB245" i="8"/>
  <c r="X245" i="8"/>
  <c r="V245" i="8"/>
  <c r="T245" i="8"/>
  <c r="F247" i="9"/>
  <c r="J247" i="9"/>
  <c r="AC247" i="9"/>
  <c r="Q245" i="8"/>
  <c r="W245" i="8"/>
  <c r="AH244" i="8"/>
  <c r="AF244" i="8"/>
  <c r="AD244" i="8"/>
  <c r="AB244" i="8"/>
  <c r="X244" i="8"/>
  <c r="V244" i="8"/>
  <c r="T244" i="8"/>
  <c r="F246" i="9"/>
  <c r="J246" i="9"/>
  <c r="AC246" i="9"/>
  <c r="Q244" i="8"/>
  <c r="AH243" i="8"/>
  <c r="AF243" i="8"/>
  <c r="AD243" i="8"/>
  <c r="AB243" i="8"/>
  <c r="X243" i="8"/>
  <c r="V243" i="8"/>
  <c r="T243" i="8"/>
  <c r="F245" i="9"/>
  <c r="J245" i="9"/>
  <c r="AC245" i="9"/>
  <c r="Q243" i="8"/>
  <c r="AG243" i="8"/>
  <c r="AH242" i="8"/>
  <c r="AF242" i="8"/>
  <c r="AD242" i="8"/>
  <c r="AB242" i="8"/>
  <c r="X242" i="8"/>
  <c r="V242" i="8"/>
  <c r="T242" i="8"/>
  <c r="F244" i="9"/>
  <c r="J244" i="9"/>
  <c r="AC244" i="9"/>
  <c r="Q242" i="8"/>
  <c r="W242" i="8"/>
  <c r="AH240" i="8"/>
  <c r="AG240" i="8"/>
  <c r="AD240" i="8"/>
  <c r="AC240" i="8"/>
  <c r="X240" i="8"/>
  <c r="W240" i="8"/>
  <c r="T240" i="8"/>
  <c r="F242" i="9"/>
  <c r="J242" i="9"/>
  <c r="AB242" i="9"/>
  <c r="Q240" i="8"/>
  <c r="AF240" i="8"/>
  <c r="AH239" i="8"/>
  <c r="AG239" i="8"/>
  <c r="AD239" i="8"/>
  <c r="AC239" i="8"/>
  <c r="X239" i="8"/>
  <c r="W239" i="8"/>
  <c r="T239" i="8"/>
  <c r="F241" i="9"/>
  <c r="J241" i="9"/>
  <c r="AB241" i="9"/>
  <c r="AF239" i="8"/>
  <c r="AH238" i="8"/>
  <c r="AG238" i="8"/>
  <c r="AD238" i="8"/>
  <c r="AC238" i="8"/>
  <c r="X238" i="8"/>
  <c r="W238" i="8"/>
  <c r="T238" i="8"/>
  <c r="F240" i="9"/>
  <c r="J240" i="9"/>
  <c r="AB240" i="9"/>
  <c r="Q238" i="8"/>
  <c r="V238" i="8"/>
  <c r="AH237" i="8"/>
  <c r="AF237" i="8"/>
  <c r="AD237" i="8"/>
  <c r="AB237" i="8"/>
  <c r="X237" i="8"/>
  <c r="V237" i="8"/>
  <c r="Q237" i="8"/>
  <c r="T237" i="8"/>
  <c r="F239" i="9"/>
  <c r="J239" i="9"/>
  <c r="AC239" i="9"/>
  <c r="W237" i="8"/>
  <c r="AH236" i="8"/>
  <c r="AF236" i="8"/>
  <c r="AD236" i="8"/>
  <c r="AB236" i="8"/>
  <c r="X236" i="8"/>
  <c r="V236" i="8"/>
  <c r="T236" i="8"/>
  <c r="F238" i="9"/>
  <c r="J238" i="9"/>
  <c r="AC238" i="9"/>
  <c r="Q236" i="8"/>
  <c r="AG236" i="8"/>
  <c r="AH235" i="8"/>
  <c r="AF235" i="8"/>
  <c r="AD235" i="8"/>
  <c r="AB235" i="8"/>
  <c r="X235" i="8"/>
  <c r="V235" i="8"/>
  <c r="T235" i="8"/>
  <c r="F237" i="9"/>
  <c r="J237" i="9"/>
  <c r="AC237" i="9"/>
  <c r="Q235" i="8"/>
  <c r="AG235" i="8"/>
  <c r="AH234" i="8"/>
  <c r="AF234" i="8"/>
  <c r="AD234" i="8"/>
  <c r="AB234" i="8"/>
  <c r="X234" i="8"/>
  <c r="V234" i="8"/>
  <c r="T234" i="8"/>
  <c r="F236" i="9"/>
  <c r="J236" i="9"/>
  <c r="AC236" i="9"/>
  <c r="Q234" i="8"/>
  <c r="AG234" i="8"/>
  <c r="AH233" i="8"/>
  <c r="AF233" i="8"/>
  <c r="AD233" i="8"/>
  <c r="AB233" i="8"/>
  <c r="X233" i="8"/>
  <c r="V233" i="8"/>
  <c r="T233" i="8"/>
  <c r="F235" i="9"/>
  <c r="J235" i="9"/>
  <c r="AC235" i="9"/>
  <c r="Q233" i="8"/>
  <c r="W233" i="8"/>
  <c r="AH232" i="8"/>
  <c r="AF232" i="8"/>
  <c r="AD232" i="8"/>
  <c r="AB232" i="8"/>
  <c r="X232" i="8"/>
  <c r="V232" i="8"/>
  <c r="T232" i="8"/>
  <c r="F234" i="9"/>
  <c r="J234" i="9"/>
  <c r="AC234" i="9"/>
  <c r="Q232" i="8"/>
  <c r="W232" i="8"/>
  <c r="AH231" i="8"/>
  <c r="AF231" i="8"/>
  <c r="AD231" i="8"/>
  <c r="AB231" i="8"/>
  <c r="X231" i="8"/>
  <c r="V231" i="8"/>
  <c r="Q231" i="8"/>
  <c r="T231" i="8"/>
  <c r="F233" i="9"/>
  <c r="J233" i="9"/>
  <c r="AC233" i="9"/>
  <c r="AG231" i="8"/>
  <c r="AH230" i="8"/>
  <c r="AF230" i="8"/>
  <c r="AD230" i="8"/>
  <c r="AB230" i="8"/>
  <c r="X230" i="8"/>
  <c r="V230" i="8"/>
  <c r="T230" i="8"/>
  <c r="F232" i="9"/>
  <c r="J232" i="9"/>
  <c r="AC232" i="9"/>
  <c r="Q230" i="8"/>
  <c r="W230" i="8"/>
  <c r="AH229" i="8"/>
  <c r="AG229" i="8"/>
  <c r="AD229" i="8"/>
  <c r="AC229" i="8"/>
  <c r="X229" i="8"/>
  <c r="W229" i="8"/>
  <c r="T229" i="8"/>
  <c r="F231" i="9"/>
  <c r="J231" i="9"/>
  <c r="AB231" i="9"/>
  <c r="Q229" i="8"/>
  <c r="AF229" i="8"/>
  <c r="AH228" i="8"/>
  <c r="AG228" i="8"/>
  <c r="AD228" i="8"/>
  <c r="AC228" i="8"/>
  <c r="X228" i="8"/>
  <c r="W228" i="8"/>
  <c r="Q228" i="8"/>
  <c r="T228" i="8"/>
  <c r="F230" i="9"/>
  <c r="J230" i="9"/>
  <c r="AB230" i="9"/>
  <c r="AH227" i="8"/>
  <c r="AG227" i="8"/>
  <c r="AD227" i="8"/>
  <c r="AC227" i="8"/>
  <c r="X227" i="8"/>
  <c r="W227" i="8"/>
  <c r="Q227" i="8"/>
  <c r="AF227" i="8"/>
  <c r="AH226" i="8"/>
  <c r="AF226" i="8"/>
  <c r="AD226" i="8"/>
  <c r="AB226" i="8"/>
  <c r="X226" i="8"/>
  <c r="V226" i="8"/>
  <c r="T226" i="8"/>
  <c r="F228" i="9"/>
  <c r="J228" i="9"/>
  <c r="AC228" i="9"/>
  <c r="Q226" i="8"/>
  <c r="AG226" i="8"/>
  <c r="AH225" i="8"/>
  <c r="AG225" i="8"/>
  <c r="AD225" i="8"/>
  <c r="AC225" i="8"/>
  <c r="X225" i="8"/>
  <c r="W225" i="8"/>
  <c r="T225" i="8"/>
  <c r="F227" i="9"/>
  <c r="J227" i="9"/>
  <c r="AB227" i="9"/>
  <c r="Q225" i="8"/>
  <c r="V225" i="8"/>
  <c r="AA225" i="8"/>
  <c r="AH224" i="8"/>
  <c r="AG224" i="8"/>
  <c r="AD224" i="8"/>
  <c r="AC224" i="8"/>
  <c r="X224" i="8"/>
  <c r="W224" i="8"/>
  <c r="T224" i="8"/>
  <c r="F226" i="9"/>
  <c r="J226" i="9"/>
  <c r="AB226" i="9"/>
  <c r="Q224" i="8"/>
  <c r="V224" i="8"/>
  <c r="AA224" i="8"/>
  <c r="AH223" i="8"/>
  <c r="AF223" i="8"/>
  <c r="AD223" i="8"/>
  <c r="AB223" i="8"/>
  <c r="X223" i="8"/>
  <c r="V223" i="8"/>
  <c r="T223" i="8"/>
  <c r="F225" i="9"/>
  <c r="J225" i="9"/>
  <c r="AC225" i="9"/>
  <c r="Q223" i="8"/>
  <c r="AG223" i="8"/>
  <c r="AH222" i="8"/>
  <c r="AG222" i="8"/>
  <c r="AD222" i="8"/>
  <c r="AC222" i="8"/>
  <c r="X222" i="8"/>
  <c r="W222" i="8"/>
  <c r="T222" i="8"/>
  <c r="F224" i="9"/>
  <c r="J224" i="9"/>
  <c r="AB224" i="9"/>
  <c r="Q222" i="8"/>
  <c r="V222" i="8"/>
  <c r="AA222" i="8"/>
  <c r="AH221" i="8"/>
  <c r="AG221" i="8"/>
  <c r="AD221" i="8"/>
  <c r="AC221" i="8"/>
  <c r="X221" i="8"/>
  <c r="W221" i="8"/>
  <c r="Q221" i="8"/>
  <c r="V221" i="8"/>
  <c r="AA221" i="8"/>
  <c r="AH220" i="8"/>
  <c r="AG220" i="8"/>
  <c r="AD220" i="8"/>
  <c r="AC220" i="8"/>
  <c r="X220" i="8"/>
  <c r="W220" i="8"/>
  <c r="T220" i="8"/>
  <c r="F222" i="9"/>
  <c r="J222" i="9"/>
  <c r="AB222" i="9"/>
  <c r="Q220" i="8"/>
  <c r="V220" i="8"/>
  <c r="AH218" i="8"/>
  <c r="AF218" i="8"/>
  <c r="AD218" i="8"/>
  <c r="AB218" i="8"/>
  <c r="X218" i="8"/>
  <c r="V218" i="8"/>
  <c r="T218" i="8"/>
  <c r="Q218" i="8"/>
  <c r="W218" i="8"/>
  <c r="AH217" i="8"/>
  <c r="AG217" i="8"/>
  <c r="AD217" i="8"/>
  <c r="AC217" i="8"/>
  <c r="X217" i="8"/>
  <c r="W217" i="8"/>
  <c r="Q217" i="8"/>
  <c r="V217" i="8"/>
  <c r="AA217" i="8"/>
  <c r="AH216" i="8"/>
  <c r="AG216" i="8"/>
  <c r="AD216" i="8"/>
  <c r="AC216" i="8"/>
  <c r="X216" i="8"/>
  <c r="W216" i="8"/>
  <c r="Q216" i="8"/>
  <c r="V216" i="8"/>
  <c r="AA216" i="8"/>
  <c r="AH215" i="8"/>
  <c r="AG215" i="8"/>
  <c r="AD215" i="8"/>
  <c r="AC215" i="8"/>
  <c r="X215" i="8"/>
  <c r="W215" i="8"/>
  <c r="T215" i="8"/>
  <c r="F217" i="9"/>
  <c r="J217" i="9"/>
  <c r="AB217" i="9"/>
  <c r="Q215" i="8"/>
  <c r="V215" i="8"/>
  <c r="AA215" i="8"/>
  <c r="AH214" i="8"/>
  <c r="AF214" i="8"/>
  <c r="AD214" i="8"/>
  <c r="AB214" i="8"/>
  <c r="X214" i="8"/>
  <c r="V214" i="8"/>
  <c r="T214" i="8"/>
  <c r="F216" i="9"/>
  <c r="J216" i="9"/>
  <c r="AC216" i="9"/>
  <c r="Q214" i="8"/>
  <c r="AG214" i="8"/>
  <c r="AH213" i="8"/>
  <c r="AF213" i="8"/>
  <c r="AD213" i="8"/>
  <c r="AB213" i="8"/>
  <c r="X213" i="8"/>
  <c r="V213" i="8"/>
  <c r="T213" i="8"/>
  <c r="F215" i="9"/>
  <c r="J215" i="9"/>
  <c r="AC215" i="9"/>
  <c r="Q213" i="8"/>
  <c r="W213" i="8"/>
  <c r="AG212" i="8"/>
  <c r="AF212" i="8"/>
  <c r="AC212" i="8"/>
  <c r="AB212" i="8"/>
  <c r="W212" i="8"/>
  <c r="V212" i="8"/>
  <c r="Q212" i="8"/>
  <c r="AH212" i="8"/>
  <c r="AH211" i="8"/>
  <c r="AF211" i="8"/>
  <c r="AD211" i="8"/>
  <c r="AB211" i="8"/>
  <c r="X211" i="8"/>
  <c r="V211" i="8"/>
  <c r="T211" i="8"/>
  <c r="F213" i="9"/>
  <c r="J213" i="9"/>
  <c r="AC213" i="9"/>
  <c r="Q211" i="8"/>
  <c r="AH210" i="8"/>
  <c r="AG210" i="8"/>
  <c r="AD210" i="8"/>
  <c r="AC210" i="8"/>
  <c r="X210" i="8"/>
  <c r="W210" i="8"/>
  <c r="T210" i="8"/>
  <c r="F212" i="9"/>
  <c r="J212" i="9"/>
  <c r="AB212" i="9"/>
  <c r="Q210" i="8"/>
  <c r="V210" i="8"/>
  <c r="AA210" i="8"/>
  <c r="AH209" i="8"/>
  <c r="AG209" i="8"/>
  <c r="AD209" i="8"/>
  <c r="AC209" i="8"/>
  <c r="X209" i="8"/>
  <c r="W209" i="8"/>
  <c r="T209" i="8"/>
  <c r="F211" i="9"/>
  <c r="J211" i="9"/>
  <c r="AB211" i="9"/>
  <c r="Q209" i="8"/>
  <c r="V209" i="8"/>
  <c r="AH208" i="8"/>
  <c r="AG208" i="8"/>
  <c r="AD208" i="8"/>
  <c r="AC208" i="8"/>
  <c r="X208" i="8"/>
  <c r="W208" i="8"/>
  <c r="T208" i="8"/>
  <c r="F210" i="9"/>
  <c r="J210" i="9"/>
  <c r="AB210" i="9"/>
  <c r="Q208" i="8"/>
  <c r="AF208" i="8"/>
  <c r="AH207" i="8"/>
  <c r="AG207" i="8"/>
  <c r="AD207" i="8"/>
  <c r="AC207" i="8"/>
  <c r="X207" i="8"/>
  <c r="W207" i="8"/>
  <c r="Q207" i="8"/>
  <c r="AF207" i="8"/>
  <c r="AH206" i="8"/>
  <c r="AG206" i="8"/>
  <c r="AD206" i="8"/>
  <c r="AC206" i="8"/>
  <c r="X206" i="8"/>
  <c r="W206" i="8"/>
  <c r="T206" i="8"/>
  <c r="F208" i="9"/>
  <c r="J208" i="9"/>
  <c r="AB208" i="9"/>
  <c r="AH205" i="8"/>
  <c r="AG205" i="8"/>
  <c r="AD205" i="8"/>
  <c r="AC205" i="8"/>
  <c r="X205" i="8"/>
  <c r="W205" i="8"/>
  <c r="AH204" i="8"/>
  <c r="AG204" i="8"/>
  <c r="AD204" i="8"/>
  <c r="AC204" i="8"/>
  <c r="X204" i="8"/>
  <c r="W204" i="8"/>
  <c r="T204" i="8"/>
  <c r="F206" i="9"/>
  <c r="J206" i="9"/>
  <c r="AB206" i="9"/>
  <c r="Q204" i="8"/>
  <c r="AF204" i="8"/>
  <c r="AH203" i="8"/>
  <c r="AG203" i="8"/>
  <c r="AD203" i="8"/>
  <c r="AC203" i="8"/>
  <c r="X203" i="8"/>
  <c r="W203" i="8"/>
  <c r="T203" i="8"/>
  <c r="F205" i="9"/>
  <c r="J205" i="9"/>
  <c r="AB205" i="9"/>
  <c r="Q203" i="8"/>
  <c r="AF203" i="8"/>
  <c r="AH202" i="8"/>
  <c r="AG202" i="8"/>
  <c r="AD202" i="8"/>
  <c r="AC202" i="8"/>
  <c r="X202" i="8"/>
  <c r="W202" i="8"/>
  <c r="T202" i="8"/>
  <c r="F204" i="9"/>
  <c r="J204" i="9"/>
  <c r="AB204" i="9"/>
  <c r="Q202" i="8"/>
  <c r="AF202" i="8"/>
  <c r="AH201" i="8"/>
  <c r="AG201" i="8"/>
  <c r="AD201" i="8"/>
  <c r="AC201" i="8"/>
  <c r="X201" i="8"/>
  <c r="W201" i="8"/>
  <c r="T201" i="8"/>
  <c r="F203" i="9"/>
  <c r="J203" i="9"/>
  <c r="AB203" i="9"/>
  <c r="Q201" i="8"/>
  <c r="AF201" i="8"/>
  <c r="AH200" i="8"/>
  <c r="AF200" i="8"/>
  <c r="AD200" i="8"/>
  <c r="AB200" i="8"/>
  <c r="X200" i="8"/>
  <c r="V200" i="8"/>
  <c r="T200" i="8"/>
  <c r="F202" i="9"/>
  <c r="J202" i="9"/>
  <c r="AC202" i="9"/>
  <c r="Q200" i="8"/>
  <c r="AG200" i="8"/>
  <c r="AH199" i="8"/>
  <c r="Q199" i="8"/>
  <c r="AF199" i="8"/>
  <c r="AD199" i="8"/>
  <c r="X199" i="8"/>
  <c r="T199" i="8"/>
  <c r="F201" i="9"/>
  <c r="J201" i="9"/>
  <c r="AC201" i="9"/>
  <c r="AG199" i="8"/>
  <c r="AH198" i="8"/>
  <c r="AF198" i="8"/>
  <c r="AD198" i="8"/>
  <c r="AB198" i="8"/>
  <c r="X198" i="8"/>
  <c r="V198" i="8"/>
  <c r="T198" i="8"/>
  <c r="F200" i="9"/>
  <c r="J200" i="9"/>
  <c r="AC200" i="9"/>
  <c r="Q198" i="8"/>
  <c r="AG198" i="8"/>
  <c r="AH197" i="8"/>
  <c r="AF197" i="8"/>
  <c r="AD197" i="8"/>
  <c r="AB197" i="8"/>
  <c r="X197" i="8"/>
  <c r="V197" i="8"/>
  <c r="Q197" i="8"/>
  <c r="T197" i="8"/>
  <c r="F199" i="9"/>
  <c r="J199" i="9"/>
  <c r="AC199" i="9"/>
  <c r="AG197" i="8"/>
  <c r="AH196" i="8"/>
  <c r="AF196" i="8"/>
  <c r="AD196" i="8"/>
  <c r="AB196" i="8"/>
  <c r="X196" i="8"/>
  <c r="V196" i="8"/>
  <c r="T196" i="8"/>
  <c r="F198" i="9"/>
  <c r="J198" i="9"/>
  <c r="AC198" i="9"/>
  <c r="AH195" i="8"/>
  <c r="AF195" i="8"/>
  <c r="AD195" i="8"/>
  <c r="AB195" i="8"/>
  <c r="X195" i="8"/>
  <c r="V195" i="8"/>
  <c r="Q195" i="8"/>
  <c r="AG195" i="8"/>
  <c r="AH194" i="8"/>
  <c r="AG194" i="8"/>
  <c r="AD194" i="8"/>
  <c r="AC194" i="8"/>
  <c r="X194" i="8"/>
  <c r="W194" i="8"/>
  <c r="T194" i="8"/>
  <c r="F196" i="9"/>
  <c r="J196" i="9"/>
  <c r="AB196" i="9"/>
  <c r="Q194" i="8"/>
  <c r="AF194" i="8"/>
  <c r="AH193" i="8"/>
  <c r="AG193" i="8"/>
  <c r="AD193" i="8"/>
  <c r="AC193" i="8"/>
  <c r="X193" i="8"/>
  <c r="W193" i="8"/>
  <c r="T193" i="8"/>
  <c r="F195" i="9"/>
  <c r="J195" i="9"/>
  <c r="AB195" i="9"/>
  <c r="Q193" i="8"/>
  <c r="AF193" i="8"/>
  <c r="AH192" i="8"/>
  <c r="AG192" i="8"/>
  <c r="AD192" i="8"/>
  <c r="AC192" i="8"/>
  <c r="X192" i="8"/>
  <c r="W192" i="8"/>
  <c r="T192" i="8"/>
  <c r="F194" i="9"/>
  <c r="J194" i="9"/>
  <c r="AB194" i="9"/>
  <c r="Q192" i="8"/>
  <c r="V192" i="8"/>
  <c r="AA192" i="8"/>
  <c r="AH191" i="8"/>
  <c r="AG191" i="8"/>
  <c r="AD191" i="8"/>
  <c r="AC191" i="8"/>
  <c r="X191" i="8"/>
  <c r="W191" i="8"/>
  <c r="Q191" i="8"/>
  <c r="T191" i="8"/>
  <c r="F193" i="9"/>
  <c r="J193" i="9"/>
  <c r="AB193" i="9"/>
  <c r="V191" i="8"/>
  <c r="AA191" i="8"/>
  <c r="AH190" i="8"/>
  <c r="AG190" i="8"/>
  <c r="AD190" i="8"/>
  <c r="AC190" i="8"/>
  <c r="X190" i="8"/>
  <c r="W190" i="8"/>
  <c r="T190" i="8"/>
  <c r="F192" i="9"/>
  <c r="J192" i="9"/>
  <c r="AB192" i="9"/>
  <c r="Q190" i="8"/>
  <c r="V190" i="8"/>
  <c r="AA190" i="8"/>
  <c r="AH189" i="8"/>
  <c r="AG189" i="8"/>
  <c r="AD189" i="8"/>
  <c r="AC189" i="8"/>
  <c r="X189" i="8"/>
  <c r="W189" i="8"/>
  <c r="T189" i="8"/>
  <c r="J191" i="9"/>
  <c r="AB191" i="9"/>
  <c r="Q189" i="8"/>
  <c r="V189" i="8"/>
  <c r="AA189" i="8"/>
  <c r="AH188" i="8"/>
  <c r="AF188" i="8"/>
  <c r="AD188" i="8"/>
  <c r="AB188" i="8"/>
  <c r="X188" i="8"/>
  <c r="V188" i="8"/>
  <c r="T188" i="8"/>
  <c r="F190" i="9"/>
  <c r="J190" i="9"/>
  <c r="AC190" i="9"/>
  <c r="Q188" i="8"/>
  <c r="AG188" i="8"/>
  <c r="AH187" i="8"/>
  <c r="AF187" i="8"/>
  <c r="AD187" i="8"/>
  <c r="AB187" i="8"/>
  <c r="X187" i="8"/>
  <c r="V187" i="8"/>
  <c r="T187" i="8"/>
  <c r="F189" i="9"/>
  <c r="J189" i="9"/>
  <c r="AC189" i="9"/>
  <c r="AH186" i="8"/>
  <c r="AG186" i="8"/>
  <c r="AD186" i="8"/>
  <c r="AC186" i="8"/>
  <c r="X186" i="8"/>
  <c r="W186" i="8"/>
  <c r="T186" i="8"/>
  <c r="F188" i="9"/>
  <c r="J188" i="9"/>
  <c r="AB188" i="9"/>
  <c r="Q186" i="8"/>
  <c r="V186" i="8"/>
  <c r="AG185" i="8"/>
  <c r="AC185" i="8"/>
  <c r="W185" i="8"/>
  <c r="T185" i="8"/>
  <c r="F187" i="9"/>
  <c r="J187" i="9"/>
  <c r="AB187" i="9"/>
  <c r="Q185" i="8"/>
  <c r="X185" i="8"/>
  <c r="AG184" i="8"/>
  <c r="AF184" i="8"/>
  <c r="AC184" i="8"/>
  <c r="AB184" i="8"/>
  <c r="W184" i="8"/>
  <c r="V184" i="8"/>
  <c r="T184" i="8"/>
  <c r="F186" i="9"/>
  <c r="J186" i="9"/>
  <c r="AD186" i="9"/>
  <c r="Q184" i="8"/>
  <c r="X184" i="8"/>
  <c r="AH183" i="8"/>
  <c r="AG183" i="8"/>
  <c r="AD183" i="8"/>
  <c r="AC183" i="8"/>
  <c r="X183" i="8"/>
  <c r="W183" i="8"/>
  <c r="T183" i="8"/>
  <c r="AH182" i="8"/>
  <c r="AG182" i="8"/>
  <c r="AD182" i="8"/>
  <c r="AC182" i="8"/>
  <c r="X182" i="8"/>
  <c r="W182" i="8"/>
  <c r="T182" i="8"/>
  <c r="AH181" i="8"/>
  <c r="AF181" i="8"/>
  <c r="AD181" i="8"/>
  <c r="AB181" i="8"/>
  <c r="X181" i="8"/>
  <c r="V181" i="8"/>
  <c r="T181" i="8"/>
  <c r="F183" i="9"/>
  <c r="J183" i="9"/>
  <c r="AC183" i="9"/>
  <c r="Q181" i="8"/>
  <c r="W181" i="8"/>
  <c r="AH180" i="8"/>
  <c r="AG180" i="8"/>
  <c r="AD180" i="8"/>
  <c r="AC180" i="8"/>
  <c r="X180" i="8"/>
  <c r="W180" i="8"/>
  <c r="T180" i="8"/>
  <c r="F182" i="9"/>
  <c r="J182" i="9"/>
  <c r="AB182" i="9"/>
  <c r="AH179" i="8"/>
  <c r="AG179" i="8"/>
  <c r="AD179" i="8"/>
  <c r="AC179" i="8"/>
  <c r="X179" i="8"/>
  <c r="W179" i="8"/>
  <c r="T179" i="8"/>
  <c r="F181" i="9"/>
  <c r="J181" i="9"/>
  <c r="AB181" i="9"/>
  <c r="AH178" i="8"/>
  <c r="AF178" i="8"/>
  <c r="AD178" i="8"/>
  <c r="AB178" i="8"/>
  <c r="X178" i="8"/>
  <c r="V178" i="8"/>
  <c r="T178" i="8"/>
  <c r="F180" i="9"/>
  <c r="J180" i="9"/>
  <c r="AC180" i="9"/>
  <c r="Q178" i="8"/>
  <c r="W178" i="8"/>
  <c r="AH177" i="8"/>
  <c r="AF177" i="8"/>
  <c r="AD177" i="8"/>
  <c r="AB177" i="8"/>
  <c r="X177" i="8"/>
  <c r="V177" i="8"/>
  <c r="T177" i="8"/>
  <c r="F179" i="9"/>
  <c r="J179" i="9"/>
  <c r="AC179" i="9"/>
  <c r="Q177" i="8"/>
  <c r="AH175" i="8"/>
  <c r="AG175" i="8"/>
  <c r="AD175" i="8"/>
  <c r="AC175" i="8"/>
  <c r="X175" i="8"/>
  <c r="W175" i="8"/>
  <c r="Q175" i="8"/>
  <c r="T175" i="8"/>
  <c r="AF175" i="8"/>
  <c r="AH174" i="8"/>
  <c r="AG174" i="8"/>
  <c r="AD174" i="8"/>
  <c r="AC174" i="8"/>
  <c r="X174" i="8"/>
  <c r="W174" i="8"/>
  <c r="T174" i="8"/>
  <c r="F176" i="9"/>
  <c r="J176" i="9"/>
  <c r="AB176" i="9"/>
  <c r="Q174" i="8"/>
  <c r="AF174" i="8"/>
  <c r="AH173" i="8"/>
  <c r="AF173" i="8"/>
  <c r="AD173" i="8"/>
  <c r="AB173" i="8"/>
  <c r="X173" i="8"/>
  <c r="V173" i="8"/>
  <c r="T173" i="8"/>
  <c r="F175" i="9"/>
  <c r="J175" i="9"/>
  <c r="AC175" i="9"/>
  <c r="AH172" i="8"/>
  <c r="AG172" i="8"/>
  <c r="AD172" i="8"/>
  <c r="AC172" i="8"/>
  <c r="X172" i="8"/>
  <c r="W172" i="8"/>
  <c r="T172" i="8"/>
  <c r="F174" i="9"/>
  <c r="J174" i="9"/>
  <c r="AB174" i="9"/>
  <c r="Q172" i="8"/>
  <c r="V172" i="8"/>
  <c r="AA172" i="8"/>
  <c r="AH171" i="8"/>
  <c r="AF171" i="8"/>
  <c r="AD171" i="8"/>
  <c r="AB171" i="8"/>
  <c r="X171" i="8"/>
  <c r="V171" i="8"/>
  <c r="T171" i="8"/>
  <c r="F173" i="9"/>
  <c r="J173" i="9"/>
  <c r="AC173" i="9"/>
  <c r="Q171" i="8"/>
  <c r="AG171" i="8"/>
  <c r="AH170" i="8"/>
  <c r="AF170" i="8"/>
  <c r="AD170" i="8"/>
  <c r="AB170" i="8"/>
  <c r="X170" i="8"/>
  <c r="V170" i="8"/>
  <c r="T170" i="8"/>
  <c r="F172" i="9"/>
  <c r="J172" i="9"/>
  <c r="AC172" i="9"/>
  <c r="Q170" i="8"/>
  <c r="AG170" i="8"/>
  <c r="AH169" i="8"/>
  <c r="AF169" i="8"/>
  <c r="AD169" i="8"/>
  <c r="AB169" i="8"/>
  <c r="X169" i="8"/>
  <c r="V169" i="8"/>
  <c r="T169" i="8"/>
  <c r="F171" i="9"/>
  <c r="J171" i="9"/>
  <c r="AC171" i="9"/>
  <c r="Q169" i="8"/>
  <c r="AG169" i="8"/>
  <c r="AH167" i="8"/>
  <c r="AG167" i="8"/>
  <c r="AD167" i="8"/>
  <c r="AC167" i="8"/>
  <c r="X167" i="8"/>
  <c r="W167" i="8"/>
  <c r="Q167" i="8"/>
  <c r="T167" i="8"/>
  <c r="F169" i="9"/>
  <c r="J169" i="9"/>
  <c r="AB169" i="9"/>
  <c r="AH166" i="8"/>
  <c r="AG166" i="8"/>
  <c r="AD166" i="8"/>
  <c r="AC166" i="8"/>
  <c r="X166" i="8"/>
  <c r="W166" i="8"/>
  <c r="AH165" i="8"/>
  <c r="AF165" i="8"/>
  <c r="AD165" i="8"/>
  <c r="AB165" i="8"/>
  <c r="X165" i="8"/>
  <c r="V165" i="8"/>
  <c r="T165" i="8"/>
  <c r="F167" i="9"/>
  <c r="J167" i="9"/>
  <c r="AC167" i="9"/>
  <c r="Q165" i="8"/>
  <c r="AG165" i="8"/>
  <c r="AH164" i="8"/>
  <c r="AG164" i="8"/>
  <c r="AD164" i="8"/>
  <c r="AC164" i="8"/>
  <c r="X164" i="8"/>
  <c r="W164" i="8"/>
  <c r="Q164" i="8"/>
  <c r="T164" i="8"/>
  <c r="F166" i="9"/>
  <c r="J166" i="9"/>
  <c r="AC166" i="9"/>
  <c r="V164" i="8"/>
  <c r="AA164" i="8"/>
  <c r="AH163" i="8"/>
  <c r="AF163" i="8"/>
  <c r="AD163" i="8"/>
  <c r="AB163" i="8"/>
  <c r="X163" i="8"/>
  <c r="V163" i="8"/>
  <c r="T163" i="8"/>
  <c r="F165" i="9"/>
  <c r="J165" i="9"/>
  <c r="AC165" i="9"/>
  <c r="Q163" i="8"/>
  <c r="AG163" i="8"/>
  <c r="AH162" i="8"/>
  <c r="AG162" i="8"/>
  <c r="AD162" i="8"/>
  <c r="AC162" i="8"/>
  <c r="X162" i="8"/>
  <c r="W162" i="8"/>
  <c r="T162" i="8"/>
  <c r="F164" i="9"/>
  <c r="J164" i="9"/>
  <c r="AB164" i="9"/>
  <c r="Q162" i="8"/>
  <c r="AH161" i="8"/>
  <c r="AG161" i="8"/>
  <c r="AD161" i="8"/>
  <c r="AC161" i="8"/>
  <c r="X161" i="8"/>
  <c r="W161" i="8"/>
  <c r="T161" i="8"/>
  <c r="F163" i="9"/>
  <c r="J163" i="9"/>
  <c r="AB163" i="9"/>
  <c r="AH160" i="8"/>
  <c r="AG160" i="8"/>
  <c r="AD160" i="8"/>
  <c r="AC160" i="8"/>
  <c r="X160" i="8"/>
  <c r="W160" i="8"/>
  <c r="Q160" i="8"/>
  <c r="AH159" i="8"/>
  <c r="AG159" i="8"/>
  <c r="AD159" i="8"/>
  <c r="AC159" i="8"/>
  <c r="X159" i="8"/>
  <c r="W159" i="8"/>
  <c r="Q159" i="8"/>
  <c r="AF159" i="8"/>
  <c r="AH158" i="8"/>
  <c r="AG158" i="8"/>
  <c r="AD158" i="8"/>
  <c r="AC158" i="8"/>
  <c r="X158" i="8"/>
  <c r="W158" i="8"/>
  <c r="Q158" i="8"/>
  <c r="AH157" i="8"/>
  <c r="AG157" i="8"/>
  <c r="AD157" i="8"/>
  <c r="AC157" i="8"/>
  <c r="X157" i="8"/>
  <c r="W157" i="8"/>
  <c r="Q157" i="8"/>
  <c r="AF157" i="8"/>
  <c r="AH156" i="8"/>
  <c r="AG156" i="8"/>
  <c r="AD156" i="8"/>
  <c r="AC156" i="8"/>
  <c r="X156" i="8"/>
  <c r="W156" i="8"/>
  <c r="Q156" i="8"/>
  <c r="AH155" i="8"/>
  <c r="AG155" i="8"/>
  <c r="AD155" i="8"/>
  <c r="AC155" i="8"/>
  <c r="X155" i="8"/>
  <c r="W155" i="8"/>
  <c r="Q155" i="8"/>
  <c r="AF155" i="8"/>
  <c r="AH154" i="8"/>
  <c r="AF154" i="8"/>
  <c r="AD154" i="8"/>
  <c r="AB154" i="8"/>
  <c r="X154" i="8"/>
  <c r="V154" i="8"/>
  <c r="Q154" i="8"/>
  <c r="AG154" i="8"/>
  <c r="AH153" i="8"/>
  <c r="AG153" i="8"/>
  <c r="AD153" i="8"/>
  <c r="AC153" i="8"/>
  <c r="X153" i="8"/>
  <c r="W153" i="8"/>
  <c r="Q153" i="8"/>
  <c r="V153" i="8"/>
  <c r="AA153" i="8"/>
  <c r="AH152" i="8"/>
  <c r="AF152" i="8"/>
  <c r="AD152" i="8"/>
  <c r="AB152" i="8"/>
  <c r="X152" i="8"/>
  <c r="V152" i="8"/>
  <c r="Q152" i="8"/>
  <c r="AH151" i="8"/>
  <c r="AF151" i="8"/>
  <c r="AD151" i="8"/>
  <c r="AB151" i="8"/>
  <c r="X151" i="8"/>
  <c r="V151" i="8"/>
  <c r="Q151" i="8"/>
  <c r="T151" i="8"/>
  <c r="F153" i="9"/>
  <c r="J153" i="9"/>
  <c r="AC153" i="9"/>
  <c r="AF150" i="8"/>
  <c r="AB150" i="8"/>
  <c r="V150" i="8"/>
  <c r="Q150" i="8"/>
  <c r="AH149" i="8"/>
  <c r="AG149" i="8"/>
  <c r="AD149" i="8"/>
  <c r="AC149" i="8"/>
  <c r="X149" i="8"/>
  <c r="W149" i="8"/>
  <c r="Q149" i="8"/>
  <c r="AF149" i="8"/>
  <c r="AH148" i="8"/>
  <c r="AF148" i="8"/>
  <c r="AD148" i="8"/>
  <c r="AB148" i="8"/>
  <c r="X148" i="8"/>
  <c r="V148" i="8"/>
  <c r="Q148" i="8"/>
  <c r="W148" i="8"/>
  <c r="AH147" i="8"/>
  <c r="AG147" i="8"/>
  <c r="AD147" i="8"/>
  <c r="AC147" i="8"/>
  <c r="X147" i="8"/>
  <c r="W147" i="8"/>
  <c r="Q147" i="8"/>
  <c r="V147" i="8"/>
  <c r="AA147" i="8"/>
  <c r="AH146" i="8"/>
  <c r="AG146" i="8"/>
  <c r="AD146" i="8"/>
  <c r="AC146" i="8"/>
  <c r="X146" i="8"/>
  <c r="W146" i="8"/>
  <c r="Q146" i="8"/>
  <c r="AH145" i="8"/>
  <c r="AG145" i="8"/>
  <c r="AD145" i="8"/>
  <c r="AC145" i="8"/>
  <c r="X145" i="8"/>
  <c r="W145" i="8"/>
  <c r="Q145" i="8"/>
  <c r="AF145" i="8"/>
  <c r="AH144" i="8"/>
  <c r="AG144" i="8"/>
  <c r="AD144" i="8"/>
  <c r="AC144" i="8"/>
  <c r="X144" i="8"/>
  <c r="W144" i="8"/>
  <c r="Q144" i="8"/>
  <c r="AF144" i="8"/>
  <c r="AH143" i="8"/>
  <c r="AG143" i="8"/>
  <c r="AD143" i="8"/>
  <c r="AC143" i="8"/>
  <c r="X143" i="8"/>
  <c r="W143" i="8"/>
  <c r="T143" i="8"/>
  <c r="F145" i="9"/>
  <c r="J145" i="9"/>
  <c r="AB145" i="9"/>
  <c r="Q143" i="8"/>
  <c r="AF143" i="8"/>
  <c r="AH142" i="8"/>
  <c r="AG142" i="8"/>
  <c r="AD142" i="8"/>
  <c r="AC142" i="8"/>
  <c r="X142" i="8"/>
  <c r="W142" i="8"/>
  <c r="T142" i="8"/>
  <c r="F144" i="9"/>
  <c r="J144" i="9"/>
  <c r="AB144" i="9"/>
  <c r="Q142" i="8"/>
  <c r="AF142" i="8"/>
  <c r="AH141" i="8"/>
  <c r="AG141" i="8"/>
  <c r="AD141" i="8"/>
  <c r="AC141" i="8"/>
  <c r="X141" i="8"/>
  <c r="W141" i="8"/>
  <c r="T141" i="8"/>
  <c r="F143" i="9"/>
  <c r="J143" i="9"/>
  <c r="AB143" i="9"/>
  <c r="Q141" i="8"/>
  <c r="AF141" i="8"/>
  <c r="AH140" i="8"/>
  <c r="AG140" i="8"/>
  <c r="AD140" i="8"/>
  <c r="AC140" i="8"/>
  <c r="X140" i="8"/>
  <c r="W140" i="8"/>
  <c r="T140" i="8"/>
  <c r="F142" i="9"/>
  <c r="J142" i="9"/>
  <c r="AB142" i="9"/>
  <c r="Q140" i="8"/>
  <c r="AF140" i="8"/>
  <c r="AH139" i="8"/>
  <c r="AG139" i="8"/>
  <c r="AD139" i="8"/>
  <c r="AC139" i="8"/>
  <c r="X139" i="8"/>
  <c r="W139" i="8"/>
  <c r="T139" i="8"/>
  <c r="F141" i="9"/>
  <c r="J141" i="9"/>
  <c r="AB141" i="9"/>
  <c r="Q139" i="8"/>
  <c r="AF139" i="8"/>
  <c r="AH138" i="8"/>
  <c r="AG138" i="8"/>
  <c r="AD138" i="8"/>
  <c r="AC138" i="8"/>
  <c r="X138" i="8"/>
  <c r="W138" i="8"/>
  <c r="T138" i="8"/>
  <c r="F140" i="9"/>
  <c r="J140" i="9"/>
  <c r="AB140" i="9"/>
  <c r="Q138" i="8"/>
  <c r="AF138" i="8"/>
  <c r="AH137" i="8"/>
  <c r="AF137" i="8"/>
  <c r="AD137" i="8"/>
  <c r="AB137" i="8"/>
  <c r="X137" i="8"/>
  <c r="V137" i="8"/>
  <c r="T137" i="8"/>
  <c r="F139" i="9"/>
  <c r="J139" i="9"/>
  <c r="AC139" i="9"/>
  <c r="AH136" i="8"/>
  <c r="AF136" i="8"/>
  <c r="AD136" i="8"/>
  <c r="AB136" i="8"/>
  <c r="X136" i="8"/>
  <c r="V136" i="8"/>
  <c r="T136" i="8"/>
  <c r="F138" i="9"/>
  <c r="J138" i="9"/>
  <c r="AC138" i="9"/>
  <c r="Q136" i="8"/>
  <c r="AH132" i="8"/>
  <c r="AG132" i="8"/>
  <c r="AD132" i="8"/>
  <c r="AC132" i="8"/>
  <c r="X132" i="8"/>
  <c r="W132" i="8"/>
  <c r="T132" i="8"/>
  <c r="F134" i="9"/>
  <c r="J134" i="9"/>
  <c r="AB134" i="9"/>
  <c r="Q132" i="8"/>
  <c r="AF132" i="8"/>
  <c r="AH131" i="8"/>
  <c r="AG131" i="8"/>
  <c r="AD131" i="8"/>
  <c r="AC131" i="8"/>
  <c r="X131" i="8"/>
  <c r="W131" i="8"/>
  <c r="T131" i="8"/>
  <c r="F133" i="9"/>
  <c r="J133" i="9"/>
  <c r="AB133" i="9"/>
  <c r="Q131" i="8"/>
  <c r="AF131" i="8"/>
  <c r="AH130" i="8"/>
  <c r="AG130" i="8"/>
  <c r="AD130" i="8"/>
  <c r="AC130" i="8"/>
  <c r="X130" i="8"/>
  <c r="W130" i="8"/>
  <c r="T130" i="8"/>
  <c r="F132" i="9"/>
  <c r="J132" i="9"/>
  <c r="AB132" i="9"/>
  <c r="Q130" i="8"/>
  <c r="AF130" i="8"/>
  <c r="AH129" i="8"/>
  <c r="AG129" i="8"/>
  <c r="AD129" i="8"/>
  <c r="AC129" i="8"/>
  <c r="X129" i="8"/>
  <c r="W129" i="8"/>
  <c r="T129" i="8"/>
  <c r="F131" i="9"/>
  <c r="J131" i="9"/>
  <c r="AB131" i="9"/>
  <c r="Q129" i="8"/>
  <c r="AF129" i="8"/>
  <c r="AH128" i="8"/>
  <c r="AG128" i="8"/>
  <c r="AD128" i="8"/>
  <c r="AC128" i="8"/>
  <c r="X128" i="8"/>
  <c r="W128" i="8"/>
  <c r="T128" i="8"/>
  <c r="F130" i="9"/>
  <c r="J130" i="9"/>
  <c r="AB130" i="9"/>
  <c r="Q128" i="8"/>
  <c r="AF128" i="8"/>
  <c r="AH127" i="8"/>
  <c r="AG127" i="8"/>
  <c r="AD127" i="8"/>
  <c r="AC127" i="8"/>
  <c r="X127" i="8"/>
  <c r="W127" i="8"/>
  <c r="T127" i="8"/>
  <c r="F129" i="9"/>
  <c r="J129" i="9"/>
  <c r="AB129" i="9"/>
  <c r="Q127" i="8"/>
  <c r="AF127" i="8"/>
  <c r="AH126" i="8"/>
  <c r="AG126" i="8"/>
  <c r="AD126" i="8"/>
  <c r="AC126" i="8"/>
  <c r="X126" i="8"/>
  <c r="W126" i="8"/>
  <c r="T126" i="8"/>
  <c r="F128" i="9"/>
  <c r="J128" i="9"/>
  <c r="AB128" i="9"/>
  <c r="Q126" i="8"/>
  <c r="AF126" i="8"/>
  <c r="AH125" i="8"/>
  <c r="AG125" i="8"/>
  <c r="AD125" i="8"/>
  <c r="AC125" i="8"/>
  <c r="X125" i="8"/>
  <c r="W125" i="8"/>
  <c r="T125" i="8"/>
  <c r="F127" i="9"/>
  <c r="J127" i="9"/>
  <c r="AB127" i="9"/>
  <c r="Q125" i="8"/>
  <c r="AF125" i="8"/>
  <c r="AH124" i="8"/>
  <c r="AG124" i="8"/>
  <c r="AD124" i="8"/>
  <c r="AC124" i="8"/>
  <c r="X124" i="8"/>
  <c r="W124" i="8"/>
  <c r="T124" i="8"/>
  <c r="F126" i="9"/>
  <c r="J126" i="9"/>
  <c r="AB126" i="9"/>
  <c r="Q124" i="8"/>
  <c r="AF124" i="8"/>
  <c r="AH123" i="8"/>
  <c r="AG123" i="8"/>
  <c r="AD123" i="8"/>
  <c r="AC123" i="8"/>
  <c r="X123" i="8"/>
  <c r="W123" i="8"/>
  <c r="T123" i="8"/>
  <c r="F125" i="9"/>
  <c r="J125" i="9"/>
  <c r="AB125" i="9"/>
  <c r="Q123" i="8"/>
  <c r="AF123" i="8"/>
  <c r="AH122" i="8"/>
  <c r="AG122" i="8"/>
  <c r="AD122" i="8"/>
  <c r="AC122" i="8"/>
  <c r="X122" i="8"/>
  <c r="W122" i="8"/>
  <c r="T122" i="8"/>
  <c r="F124" i="9"/>
  <c r="J124" i="9"/>
  <c r="AB124" i="9"/>
  <c r="Q122" i="8"/>
  <c r="AF122" i="8"/>
  <c r="AH121" i="8"/>
  <c r="AG121" i="8"/>
  <c r="AD121" i="8"/>
  <c r="AC121" i="8"/>
  <c r="X121" i="8"/>
  <c r="W121" i="8"/>
  <c r="T121" i="8"/>
  <c r="F123" i="9"/>
  <c r="J123" i="9"/>
  <c r="AB123" i="9"/>
  <c r="Q121" i="8"/>
  <c r="AF121" i="8"/>
  <c r="AH120" i="8"/>
  <c r="AG120" i="8"/>
  <c r="AD120" i="8"/>
  <c r="AC120" i="8"/>
  <c r="X120" i="8"/>
  <c r="W120" i="8"/>
  <c r="T120" i="8"/>
  <c r="F121" i="9"/>
  <c r="J121" i="9"/>
  <c r="AB121" i="9"/>
  <c r="Q120" i="8"/>
  <c r="AF120" i="8"/>
  <c r="AH119" i="8"/>
  <c r="AG119" i="8"/>
  <c r="AD119" i="8"/>
  <c r="AC119" i="8"/>
  <c r="X119" i="8"/>
  <c r="W119" i="8"/>
  <c r="Q119" i="8"/>
  <c r="T119" i="8"/>
  <c r="F120" i="9"/>
  <c r="J120" i="9"/>
  <c r="AB120" i="9"/>
  <c r="AF119" i="8"/>
  <c r="AH118" i="8"/>
  <c r="AG118" i="8"/>
  <c r="AD118" i="8"/>
  <c r="AC118" i="8"/>
  <c r="X118" i="8"/>
  <c r="W118" i="8"/>
  <c r="T118" i="8"/>
  <c r="F119" i="9"/>
  <c r="Q118" i="8"/>
  <c r="AH117" i="8"/>
  <c r="AG117" i="8"/>
  <c r="AD117" i="8"/>
  <c r="AC117" i="8"/>
  <c r="X117" i="8"/>
  <c r="W117" i="8"/>
  <c r="T117" i="8"/>
  <c r="F118" i="9"/>
  <c r="J118" i="9"/>
  <c r="AB118" i="9"/>
  <c r="Q117" i="8"/>
  <c r="AF117" i="8"/>
  <c r="I281" i="8"/>
  <c r="AH116" i="8"/>
  <c r="AF116" i="8"/>
  <c r="AD116" i="8"/>
  <c r="AB116" i="8"/>
  <c r="X116" i="8"/>
  <c r="V116" i="8"/>
  <c r="Q116" i="8"/>
  <c r="AG116" i="8"/>
  <c r="AH115" i="8"/>
  <c r="AF115" i="8"/>
  <c r="AD115" i="8"/>
  <c r="AB115" i="8"/>
  <c r="X115" i="8"/>
  <c r="V115" i="8"/>
  <c r="AH114" i="8"/>
  <c r="AF114" i="8"/>
  <c r="AD114" i="8"/>
  <c r="AB114" i="8"/>
  <c r="X114" i="8"/>
  <c r="V114" i="8"/>
  <c r="Q114" i="8"/>
  <c r="T114" i="8"/>
  <c r="F115" i="9"/>
  <c r="J115" i="9"/>
  <c r="AC115" i="9"/>
  <c r="W114" i="8"/>
  <c r="AH113" i="8"/>
  <c r="AG113" i="8"/>
  <c r="AD113" i="8"/>
  <c r="AC113" i="8"/>
  <c r="X113" i="8"/>
  <c r="W113" i="8"/>
  <c r="T113" i="8"/>
  <c r="F114" i="9"/>
  <c r="J114" i="9"/>
  <c r="AB114" i="9"/>
  <c r="Q113" i="8"/>
  <c r="AF113" i="8"/>
  <c r="AH112" i="8"/>
  <c r="AF112" i="8"/>
  <c r="AD112" i="8"/>
  <c r="AB112" i="8"/>
  <c r="X112" i="8"/>
  <c r="V112" i="8"/>
  <c r="Q112" i="8"/>
  <c r="T112" i="8"/>
  <c r="F113" i="9"/>
  <c r="J113" i="9"/>
  <c r="AC113" i="9"/>
  <c r="W112" i="8"/>
  <c r="AH111" i="8"/>
  <c r="AG111" i="8"/>
  <c r="AD111" i="8"/>
  <c r="AC111" i="8"/>
  <c r="X111" i="8"/>
  <c r="W111" i="8"/>
  <c r="T111" i="8"/>
  <c r="F112" i="9"/>
  <c r="J112" i="9"/>
  <c r="AB112" i="9"/>
  <c r="Q111" i="8"/>
  <c r="AF111" i="8"/>
  <c r="AH110" i="8"/>
  <c r="AF110" i="8"/>
  <c r="AD110" i="8"/>
  <c r="AB110" i="8"/>
  <c r="X110" i="8"/>
  <c r="V110" i="8"/>
  <c r="Q110" i="8"/>
  <c r="T110" i="8"/>
  <c r="F111" i="9"/>
  <c r="J111" i="9"/>
  <c r="AC111" i="9"/>
  <c r="W110" i="8"/>
  <c r="AH109" i="8"/>
  <c r="AF109" i="8"/>
  <c r="AD109" i="8"/>
  <c r="AB109" i="8"/>
  <c r="X109" i="8"/>
  <c r="V109" i="8"/>
  <c r="T109" i="8"/>
  <c r="F110" i="9"/>
  <c r="J110" i="9"/>
  <c r="AC110" i="9"/>
  <c r="Q109" i="8"/>
  <c r="AG109" i="8"/>
  <c r="AG108" i="8"/>
  <c r="AF108" i="8"/>
  <c r="AC108" i="8"/>
  <c r="AB108" i="8"/>
  <c r="W108" i="8"/>
  <c r="V108" i="8"/>
  <c r="T108" i="8"/>
  <c r="F109" i="9"/>
  <c r="J109" i="9"/>
  <c r="AD109" i="9"/>
  <c r="Q108" i="8"/>
  <c r="X108" i="8"/>
  <c r="AG107" i="8"/>
  <c r="AF107" i="8"/>
  <c r="AC107" i="8"/>
  <c r="AB107" i="8"/>
  <c r="W107" i="8"/>
  <c r="V107" i="8"/>
  <c r="Q107" i="8"/>
  <c r="T107" i="8"/>
  <c r="F108" i="9"/>
  <c r="J108" i="9"/>
  <c r="AD108" i="9"/>
  <c r="AH107" i="8"/>
  <c r="AH106" i="8"/>
  <c r="AF106" i="8"/>
  <c r="AD106" i="8"/>
  <c r="AB106" i="8"/>
  <c r="X106" i="8"/>
  <c r="V106" i="8"/>
  <c r="T106" i="8"/>
  <c r="F107" i="9"/>
  <c r="J107" i="9"/>
  <c r="AC107" i="9"/>
  <c r="Q106" i="8"/>
  <c r="W106" i="8"/>
  <c r="AH105" i="8"/>
  <c r="AF105" i="8"/>
  <c r="AD105" i="8"/>
  <c r="AB105" i="8"/>
  <c r="X105" i="8"/>
  <c r="V105" i="8"/>
  <c r="T105" i="8"/>
  <c r="F106" i="9"/>
  <c r="J106" i="9"/>
  <c r="AC106" i="9"/>
  <c r="Q105" i="8"/>
  <c r="W105" i="8"/>
  <c r="AH104" i="8"/>
  <c r="AF104" i="8"/>
  <c r="AD104" i="8"/>
  <c r="AB104" i="8"/>
  <c r="X104" i="8"/>
  <c r="V104" i="8"/>
  <c r="T104" i="8"/>
  <c r="F105" i="9"/>
  <c r="J105" i="9"/>
  <c r="AC105" i="9"/>
  <c r="Q104" i="8"/>
  <c r="W104" i="8"/>
  <c r="AH103" i="8"/>
  <c r="AG103" i="8"/>
  <c r="AD103" i="8"/>
  <c r="AC103" i="8"/>
  <c r="X103" i="8"/>
  <c r="W103" i="8"/>
  <c r="T103" i="8"/>
  <c r="F104" i="9"/>
  <c r="J104" i="9"/>
  <c r="AB104" i="9"/>
  <c r="Q103" i="8"/>
  <c r="AF103" i="8"/>
  <c r="AH102" i="8"/>
  <c r="AG102" i="8"/>
  <c r="AD102" i="8"/>
  <c r="AC102" i="8"/>
  <c r="X102" i="8"/>
  <c r="W102" i="8"/>
  <c r="T102" i="8"/>
  <c r="F103" i="9"/>
  <c r="J103" i="9"/>
  <c r="AB103" i="9"/>
  <c r="Q102" i="8"/>
  <c r="AF102" i="8"/>
  <c r="AH101" i="8"/>
  <c r="AG101" i="8"/>
  <c r="AD101" i="8"/>
  <c r="AC101" i="8"/>
  <c r="X101" i="8"/>
  <c r="W101" i="8"/>
  <c r="T101" i="8"/>
  <c r="F102" i="9"/>
  <c r="J102" i="9"/>
  <c r="AB102" i="9"/>
  <c r="Q101" i="8"/>
  <c r="AH100" i="8"/>
  <c r="AG100" i="8"/>
  <c r="AD100" i="8"/>
  <c r="AC100" i="8"/>
  <c r="X100" i="8"/>
  <c r="W100" i="8"/>
  <c r="T100" i="8"/>
  <c r="F101" i="9"/>
  <c r="J101" i="9"/>
  <c r="AB101" i="9"/>
  <c r="Q100" i="8"/>
  <c r="AF100" i="8"/>
  <c r="AH99" i="8"/>
  <c r="AG99" i="8"/>
  <c r="AD99" i="8"/>
  <c r="AC99" i="8"/>
  <c r="X99" i="8"/>
  <c r="W99" i="8"/>
  <c r="T99" i="8"/>
  <c r="F100" i="9"/>
  <c r="J100" i="9"/>
  <c r="AB100" i="9"/>
  <c r="Q99" i="8"/>
  <c r="AH98" i="8"/>
  <c r="AG98" i="8"/>
  <c r="AD98" i="8"/>
  <c r="AC98" i="8"/>
  <c r="X98" i="8"/>
  <c r="W98" i="8"/>
  <c r="T98" i="8"/>
  <c r="F99" i="9"/>
  <c r="J99" i="9"/>
  <c r="AB99" i="9"/>
  <c r="Q98" i="8"/>
  <c r="AF98" i="8"/>
  <c r="AH97" i="8"/>
  <c r="AG97" i="8"/>
  <c r="AD97" i="8"/>
  <c r="AC97" i="8"/>
  <c r="X97" i="8"/>
  <c r="W97" i="8"/>
  <c r="T97" i="8"/>
  <c r="F98" i="9"/>
  <c r="J98" i="9"/>
  <c r="AB98" i="9"/>
  <c r="Q97" i="8"/>
  <c r="AF97" i="8"/>
  <c r="AH96" i="8"/>
  <c r="AG96" i="8"/>
  <c r="AD96" i="8"/>
  <c r="AC96" i="8"/>
  <c r="X96" i="8"/>
  <c r="W96" i="8"/>
  <c r="T96" i="8"/>
  <c r="F97" i="9"/>
  <c r="J97" i="9"/>
  <c r="AB97" i="9"/>
  <c r="Q96" i="8"/>
  <c r="AH94" i="8"/>
  <c r="AF94" i="8"/>
  <c r="AD94" i="8"/>
  <c r="AB94" i="8"/>
  <c r="X94" i="8"/>
  <c r="V94" i="8"/>
  <c r="T94" i="8"/>
  <c r="F95" i="9"/>
  <c r="J95" i="9"/>
  <c r="AC95" i="9"/>
  <c r="Q94" i="8"/>
  <c r="W94" i="8"/>
  <c r="AH93" i="8"/>
  <c r="AF93" i="8"/>
  <c r="AD93" i="8"/>
  <c r="AB93" i="8"/>
  <c r="X93" i="8"/>
  <c r="V93" i="8"/>
  <c r="T93" i="8"/>
  <c r="F94" i="9"/>
  <c r="J94" i="9"/>
  <c r="AC94" i="9"/>
  <c r="Q93" i="8"/>
  <c r="AH92" i="8"/>
  <c r="AG92" i="8"/>
  <c r="AD92" i="8"/>
  <c r="AC92" i="8"/>
  <c r="X92" i="8"/>
  <c r="W92" i="8"/>
  <c r="T92" i="8"/>
  <c r="F93" i="9"/>
  <c r="J93" i="9"/>
  <c r="AB93" i="9"/>
  <c r="Q92" i="8"/>
  <c r="V92" i="8"/>
  <c r="AH91" i="8"/>
  <c r="AF91" i="8"/>
  <c r="AD91" i="8"/>
  <c r="AB91" i="8"/>
  <c r="X91" i="8"/>
  <c r="V91" i="8"/>
  <c r="T91" i="8"/>
  <c r="F92" i="9"/>
  <c r="J92" i="9"/>
  <c r="AC92" i="9"/>
  <c r="Q91" i="8"/>
  <c r="AG91" i="8"/>
  <c r="AH90" i="8"/>
  <c r="AF90" i="8"/>
  <c r="AD90" i="8"/>
  <c r="AB90" i="8"/>
  <c r="X90" i="8"/>
  <c r="V90" i="8"/>
  <c r="T90" i="8"/>
  <c r="F91" i="9"/>
  <c r="J91" i="9"/>
  <c r="AC91" i="9"/>
  <c r="Q90" i="8"/>
  <c r="AG90" i="8"/>
  <c r="AH89" i="8"/>
  <c r="AF89" i="8"/>
  <c r="AD89" i="8"/>
  <c r="AB89" i="8"/>
  <c r="X89" i="8"/>
  <c r="V89" i="8"/>
  <c r="T89" i="8"/>
  <c r="F90" i="9"/>
  <c r="J90" i="9"/>
  <c r="AC90" i="9"/>
  <c r="Q89" i="8"/>
  <c r="AG89" i="8"/>
  <c r="AH88" i="8"/>
  <c r="AG88" i="8"/>
  <c r="AD88" i="8"/>
  <c r="AC88" i="8"/>
  <c r="X88" i="8"/>
  <c r="W88" i="8"/>
  <c r="T88" i="8"/>
  <c r="F89" i="9"/>
  <c r="J89" i="9"/>
  <c r="AB89" i="9"/>
  <c r="Q88" i="8"/>
  <c r="AF88" i="8"/>
  <c r="AH87" i="8"/>
  <c r="AF87" i="8"/>
  <c r="AD87" i="8"/>
  <c r="AB87" i="8"/>
  <c r="X87" i="8"/>
  <c r="V87" i="8"/>
  <c r="Q87" i="8"/>
  <c r="T87" i="8"/>
  <c r="F88" i="9"/>
  <c r="J88" i="9"/>
  <c r="AC88" i="9"/>
  <c r="AG87" i="8"/>
  <c r="AH86" i="8"/>
  <c r="AG86" i="8"/>
  <c r="AD86" i="8"/>
  <c r="AC86" i="8"/>
  <c r="X86" i="8"/>
  <c r="W86" i="8"/>
  <c r="T86" i="8"/>
  <c r="F87" i="9"/>
  <c r="J87" i="9"/>
  <c r="AB87" i="9"/>
  <c r="Q86" i="8"/>
  <c r="V86" i="8"/>
  <c r="AH85" i="8"/>
  <c r="AF85" i="8"/>
  <c r="AD85" i="8"/>
  <c r="AB85" i="8"/>
  <c r="X85" i="8"/>
  <c r="V85" i="8"/>
  <c r="T85" i="8"/>
  <c r="F86" i="9"/>
  <c r="J86" i="9"/>
  <c r="AC86" i="9"/>
  <c r="Q85" i="8"/>
  <c r="AG85" i="8"/>
  <c r="AH84" i="8"/>
  <c r="AG84" i="8"/>
  <c r="AD84" i="8"/>
  <c r="AC84" i="8"/>
  <c r="X84" i="8"/>
  <c r="W84" i="8"/>
  <c r="T84" i="8"/>
  <c r="F85" i="9"/>
  <c r="J85" i="9"/>
  <c r="AB85" i="9"/>
  <c r="Q84" i="8"/>
  <c r="V84" i="8"/>
  <c r="AH83" i="8"/>
  <c r="AG83" i="8"/>
  <c r="AD83" i="8"/>
  <c r="AC83" i="8"/>
  <c r="X83" i="8"/>
  <c r="W83" i="8"/>
  <c r="T83" i="8"/>
  <c r="F84" i="9"/>
  <c r="J84" i="9"/>
  <c r="AB84" i="9"/>
  <c r="Q83" i="8"/>
  <c r="V83" i="8"/>
  <c r="AH82" i="8"/>
  <c r="AG82" i="8"/>
  <c r="AD82" i="8"/>
  <c r="AC82" i="8"/>
  <c r="X82" i="8"/>
  <c r="W82" i="8"/>
  <c r="T82" i="8"/>
  <c r="F83" i="9"/>
  <c r="J83" i="9"/>
  <c r="AB83" i="9"/>
  <c r="Q82" i="8"/>
  <c r="V82" i="8"/>
  <c r="AH81" i="8"/>
  <c r="AG81" i="8"/>
  <c r="AD81" i="8"/>
  <c r="AC81" i="8"/>
  <c r="X81" i="8"/>
  <c r="W81" i="8"/>
  <c r="T81" i="8"/>
  <c r="F82" i="9"/>
  <c r="J82" i="9"/>
  <c r="AB82" i="9"/>
  <c r="Q81" i="8"/>
  <c r="V81" i="8"/>
  <c r="AH80" i="8"/>
  <c r="AG80" i="8"/>
  <c r="AD80" i="8"/>
  <c r="AC80" i="8"/>
  <c r="X80" i="8"/>
  <c r="W80" i="8"/>
  <c r="T80" i="8"/>
  <c r="F81" i="9"/>
  <c r="J81" i="9"/>
  <c r="AB81" i="9"/>
  <c r="Q80" i="8"/>
  <c r="V80" i="8"/>
  <c r="AH79" i="8"/>
  <c r="AG79" i="8"/>
  <c r="AD79" i="8"/>
  <c r="AC79" i="8"/>
  <c r="X79" i="8"/>
  <c r="W79" i="8"/>
  <c r="T79" i="8"/>
  <c r="F80" i="9"/>
  <c r="J80" i="9"/>
  <c r="AB80" i="9"/>
  <c r="Q79" i="8"/>
  <c r="V79" i="8"/>
  <c r="AH78" i="8"/>
  <c r="AG78" i="8"/>
  <c r="AD78" i="8"/>
  <c r="AC78" i="8"/>
  <c r="X78" i="8"/>
  <c r="W78" i="8"/>
  <c r="T78" i="8"/>
  <c r="F79" i="9"/>
  <c r="J79" i="9"/>
  <c r="AB79" i="9"/>
  <c r="Q78" i="8"/>
  <c r="V78" i="8"/>
  <c r="AH77" i="8"/>
  <c r="AG77" i="8"/>
  <c r="AD77" i="8"/>
  <c r="AC77" i="8"/>
  <c r="X77" i="8"/>
  <c r="W77" i="8"/>
  <c r="T77" i="8"/>
  <c r="F78" i="9"/>
  <c r="J78" i="9"/>
  <c r="AB78" i="9"/>
  <c r="Q77" i="8"/>
  <c r="AF77" i="8"/>
  <c r="AH76" i="8"/>
  <c r="AG76" i="8"/>
  <c r="AD76" i="8"/>
  <c r="AC76" i="8"/>
  <c r="X76" i="8"/>
  <c r="W76" i="8"/>
  <c r="T76" i="8"/>
  <c r="F76" i="9"/>
  <c r="J76" i="9"/>
  <c r="AB76" i="9"/>
  <c r="Q76" i="8"/>
  <c r="AF76" i="8"/>
  <c r="AH75" i="8"/>
  <c r="AG75" i="8"/>
  <c r="AD75" i="8"/>
  <c r="AC75" i="8"/>
  <c r="X75" i="8"/>
  <c r="W75" i="8"/>
  <c r="T75" i="8"/>
  <c r="F75" i="9"/>
  <c r="J75" i="9"/>
  <c r="AB75" i="9"/>
  <c r="Q75" i="8"/>
  <c r="AF75" i="8"/>
  <c r="AH73" i="8"/>
  <c r="AG73" i="8"/>
  <c r="AD73" i="8"/>
  <c r="AC73" i="8"/>
  <c r="X73" i="8"/>
  <c r="W73" i="8"/>
  <c r="T73" i="8"/>
  <c r="F73" i="9"/>
  <c r="J73" i="9"/>
  <c r="AB73" i="9"/>
  <c r="Q73" i="8"/>
  <c r="V73" i="8"/>
  <c r="AH72" i="8"/>
  <c r="AG72" i="8"/>
  <c r="AD72" i="8"/>
  <c r="AC72" i="8"/>
  <c r="X72" i="8"/>
  <c r="W72" i="8"/>
  <c r="T72" i="8"/>
  <c r="F72" i="9"/>
  <c r="J72" i="9"/>
  <c r="AB72" i="9"/>
  <c r="Q72" i="8"/>
  <c r="AF72" i="8"/>
  <c r="AH71" i="8"/>
  <c r="AG71" i="8"/>
  <c r="AD71" i="8"/>
  <c r="AC71" i="8"/>
  <c r="X71" i="8"/>
  <c r="W71" i="8"/>
  <c r="T71" i="8"/>
  <c r="F71" i="9"/>
  <c r="J71" i="9"/>
  <c r="AB71" i="9"/>
  <c r="Q71" i="8"/>
  <c r="V71" i="8"/>
  <c r="AH70" i="8"/>
  <c r="AG70" i="8"/>
  <c r="AD70" i="8"/>
  <c r="AC70" i="8"/>
  <c r="X70" i="8"/>
  <c r="W70" i="8"/>
  <c r="T70" i="8"/>
  <c r="F70" i="9"/>
  <c r="J70" i="9"/>
  <c r="AB70" i="9"/>
  <c r="Q70" i="8"/>
  <c r="AF70" i="8"/>
  <c r="AH69" i="8"/>
  <c r="AG69" i="8"/>
  <c r="AD69" i="8"/>
  <c r="AC69" i="8"/>
  <c r="X69" i="8"/>
  <c r="W69" i="8"/>
  <c r="T69" i="8"/>
  <c r="F69" i="9"/>
  <c r="J69" i="9"/>
  <c r="AB69" i="9"/>
  <c r="Q69" i="8"/>
  <c r="V69" i="8"/>
  <c r="AH68" i="8"/>
  <c r="AG68" i="8"/>
  <c r="AD68" i="8"/>
  <c r="AC68" i="8"/>
  <c r="X68" i="8"/>
  <c r="W68" i="8"/>
  <c r="T68" i="8"/>
  <c r="F68" i="9"/>
  <c r="J68" i="9"/>
  <c r="AB68" i="9"/>
  <c r="Q68" i="8"/>
  <c r="AF68" i="8"/>
  <c r="AH67" i="8"/>
  <c r="AG67" i="8"/>
  <c r="AD67" i="8"/>
  <c r="AC67" i="8"/>
  <c r="X67" i="8"/>
  <c r="W67" i="8"/>
  <c r="T67" i="8"/>
  <c r="F67" i="9"/>
  <c r="J67" i="9"/>
  <c r="AB67" i="9"/>
  <c r="Q67" i="8"/>
  <c r="V67" i="8"/>
  <c r="AH66" i="8"/>
  <c r="AF66" i="8"/>
  <c r="AD66" i="8"/>
  <c r="AB66" i="8"/>
  <c r="X66" i="8"/>
  <c r="V66" i="8"/>
  <c r="Q66" i="8"/>
  <c r="AG66" i="8"/>
  <c r="AH65" i="8"/>
  <c r="AF65" i="8"/>
  <c r="AD65" i="8"/>
  <c r="AB65" i="8"/>
  <c r="X65" i="8"/>
  <c r="V65" i="8"/>
  <c r="Q65" i="8"/>
  <c r="AG65" i="8"/>
  <c r="AH64" i="8"/>
  <c r="AF64" i="8"/>
  <c r="AD64" i="8"/>
  <c r="AB64" i="8"/>
  <c r="X64" i="8"/>
  <c r="V64" i="8"/>
  <c r="Q64" i="8"/>
  <c r="AG64" i="8"/>
  <c r="AG63" i="8"/>
  <c r="AC63" i="8"/>
  <c r="W63" i="8"/>
  <c r="Q63" i="8"/>
  <c r="V63" i="8"/>
  <c r="AH62" i="8"/>
  <c r="AF62" i="8"/>
  <c r="AD62" i="8"/>
  <c r="AB62" i="8"/>
  <c r="X62" i="8"/>
  <c r="V62" i="8"/>
  <c r="Q62" i="8"/>
  <c r="AG62" i="8"/>
  <c r="AH61" i="8"/>
  <c r="AG61" i="8"/>
  <c r="AD61" i="8"/>
  <c r="AC61" i="8"/>
  <c r="X61" i="8"/>
  <c r="W61" i="8"/>
  <c r="Q61" i="8"/>
  <c r="V61" i="8"/>
  <c r="AA61" i="8"/>
  <c r="AH60" i="8"/>
  <c r="AF60" i="8"/>
  <c r="AD60" i="8"/>
  <c r="AB60" i="8"/>
  <c r="X60" i="8"/>
  <c r="V60" i="8"/>
  <c r="Q60" i="8"/>
  <c r="AG60" i="8"/>
  <c r="AH59" i="8"/>
  <c r="AF59" i="8"/>
  <c r="AD59" i="8"/>
  <c r="AB59" i="8"/>
  <c r="X59" i="8"/>
  <c r="V59" i="8"/>
  <c r="Q59" i="8"/>
  <c r="AH58" i="8"/>
  <c r="AF58" i="8"/>
  <c r="AD58" i="8"/>
  <c r="AB58" i="8"/>
  <c r="X58" i="8"/>
  <c r="V58" i="8"/>
  <c r="AH57" i="8"/>
  <c r="AF57" i="8"/>
  <c r="AD57" i="8"/>
  <c r="AB57" i="8"/>
  <c r="X57" i="8"/>
  <c r="V57" i="8"/>
  <c r="H281" i="8"/>
  <c r="AH56" i="8"/>
  <c r="AG56" i="8"/>
  <c r="AD56" i="8"/>
  <c r="AC56" i="8"/>
  <c r="X56" i="8"/>
  <c r="W56" i="8"/>
  <c r="Q56" i="8"/>
  <c r="V56" i="8"/>
  <c r="E281" i="8"/>
  <c r="AH55" i="8"/>
  <c r="AG55" i="8"/>
  <c r="AD55" i="8"/>
  <c r="AC55" i="8"/>
  <c r="X55" i="8"/>
  <c r="W55" i="8"/>
  <c r="AH54" i="8"/>
  <c r="AG54" i="8"/>
  <c r="AD54" i="8"/>
  <c r="AC54" i="8"/>
  <c r="X54" i="8"/>
  <c r="W54" i="8"/>
  <c r="O281" i="8"/>
  <c r="AH53" i="8"/>
  <c r="AF53" i="8"/>
  <c r="AD53" i="8"/>
  <c r="AB53" i="8"/>
  <c r="X53" i="8"/>
  <c r="V53" i="8"/>
  <c r="Q53" i="8"/>
  <c r="W53" i="8"/>
  <c r="AH52" i="8"/>
  <c r="AF52" i="8"/>
  <c r="AD52" i="8"/>
  <c r="AB52" i="8"/>
  <c r="X52" i="8"/>
  <c r="V52" i="8"/>
  <c r="Q52" i="8"/>
  <c r="AH51" i="8"/>
  <c r="AD51" i="8"/>
  <c r="X51" i="8"/>
  <c r="Q51" i="8"/>
  <c r="V51" i="8"/>
  <c r="AH50" i="8"/>
  <c r="AG50" i="8"/>
  <c r="AD50" i="8"/>
  <c r="AC50" i="8"/>
  <c r="X50" i="8"/>
  <c r="W50" i="8"/>
  <c r="AF50" i="8"/>
  <c r="AH49" i="8"/>
  <c r="AF49" i="8"/>
  <c r="AD49" i="8"/>
  <c r="AB49" i="8"/>
  <c r="X49" i="8"/>
  <c r="V49" i="8"/>
  <c r="Q49" i="8"/>
  <c r="W49" i="8"/>
  <c r="AH48" i="8"/>
  <c r="AF48" i="8"/>
  <c r="AD48" i="8"/>
  <c r="AB48" i="8"/>
  <c r="X48" i="8"/>
  <c r="V48" i="8"/>
  <c r="Q48" i="8"/>
  <c r="AH47" i="8"/>
  <c r="AF47" i="8"/>
  <c r="AD47" i="8"/>
  <c r="AB47" i="8"/>
  <c r="X47" i="8"/>
  <c r="V47" i="8"/>
  <c r="Q47" i="8"/>
  <c r="W47" i="8"/>
  <c r="AH46" i="8"/>
  <c r="AG46" i="8"/>
  <c r="AD46" i="8"/>
  <c r="AC46" i="8"/>
  <c r="X46" i="8"/>
  <c r="W46" i="8"/>
  <c r="Q46" i="8"/>
  <c r="AF46" i="8"/>
  <c r="AH45" i="8"/>
  <c r="AG45" i="8"/>
  <c r="AD45" i="8"/>
  <c r="AC45" i="8"/>
  <c r="X45" i="8"/>
  <c r="W45" i="8"/>
  <c r="Q45" i="8"/>
  <c r="AG44" i="8"/>
  <c r="AF44" i="8"/>
  <c r="AC44" i="8"/>
  <c r="AB44" i="8"/>
  <c r="W44" i="8"/>
  <c r="V44" i="8"/>
  <c r="Q44" i="8"/>
  <c r="AH44" i="8"/>
  <c r="AH42" i="8"/>
  <c r="AG42" i="8"/>
  <c r="AD42" i="8"/>
  <c r="AC42" i="8"/>
  <c r="X42" i="8"/>
  <c r="W42" i="8"/>
  <c r="Q42" i="8"/>
  <c r="V42" i="8"/>
  <c r="AH41" i="8"/>
  <c r="AG41" i="8"/>
  <c r="AD41" i="8"/>
  <c r="AC41" i="8"/>
  <c r="X41" i="8"/>
  <c r="W41" i="8"/>
  <c r="Q41" i="8"/>
  <c r="T41" i="8"/>
  <c r="F41" i="9"/>
  <c r="J41" i="9"/>
  <c r="AB41" i="9"/>
  <c r="AH40" i="8"/>
  <c r="AG40" i="8"/>
  <c r="AD40" i="8"/>
  <c r="AC40" i="8"/>
  <c r="X40" i="8"/>
  <c r="W40" i="8"/>
  <c r="Q40" i="8"/>
  <c r="AF40" i="8"/>
  <c r="AH39" i="8"/>
  <c r="AG39" i="8"/>
  <c r="AD39" i="8"/>
  <c r="AC39" i="8"/>
  <c r="X39" i="8"/>
  <c r="W39" i="8"/>
  <c r="Q39" i="8"/>
  <c r="AH38" i="8"/>
  <c r="AG38" i="8"/>
  <c r="AD38" i="8"/>
  <c r="AC38" i="8"/>
  <c r="X38" i="8"/>
  <c r="W38" i="8"/>
  <c r="Q38" i="8"/>
  <c r="AF38" i="8"/>
  <c r="AH37" i="8"/>
  <c r="AG37" i="8"/>
  <c r="AD37" i="8"/>
  <c r="AC37" i="8"/>
  <c r="X37" i="8"/>
  <c r="W37" i="8"/>
  <c r="Q37" i="8"/>
  <c r="AH36" i="8"/>
  <c r="AG36" i="8"/>
  <c r="AD36" i="8"/>
  <c r="AC36" i="8"/>
  <c r="X36" i="8"/>
  <c r="W36" i="8"/>
  <c r="Q36" i="8"/>
  <c r="AF36" i="8"/>
  <c r="AH35" i="8"/>
  <c r="AG35" i="8"/>
  <c r="AD35" i="8"/>
  <c r="AC35" i="8"/>
  <c r="X35" i="8"/>
  <c r="W35" i="8"/>
  <c r="Q35" i="8"/>
  <c r="AH34" i="8"/>
  <c r="AG34" i="8"/>
  <c r="AD34" i="8"/>
  <c r="AC34" i="8"/>
  <c r="X34" i="8"/>
  <c r="W34" i="8"/>
  <c r="Q34" i="8"/>
  <c r="AF34" i="8"/>
  <c r="AH33" i="8"/>
  <c r="AF33" i="8"/>
  <c r="AD33" i="8"/>
  <c r="AB33" i="8"/>
  <c r="X33" i="8"/>
  <c r="V33" i="8"/>
  <c r="Q33" i="8"/>
  <c r="AH31" i="8"/>
  <c r="AF31" i="8"/>
  <c r="AD31" i="8"/>
  <c r="AB31" i="8"/>
  <c r="X31" i="8"/>
  <c r="V31" i="8"/>
  <c r="Q31" i="8"/>
  <c r="W31" i="8"/>
  <c r="AH30" i="8"/>
  <c r="AG30" i="8"/>
  <c r="AD30" i="8"/>
  <c r="AC30" i="8"/>
  <c r="X30" i="8"/>
  <c r="W30" i="8"/>
  <c r="Q30" i="8"/>
  <c r="AF30" i="8"/>
  <c r="AH29" i="8"/>
  <c r="AF29" i="8"/>
  <c r="AD29" i="8"/>
  <c r="AB29" i="8"/>
  <c r="X29" i="8"/>
  <c r="V29" i="8"/>
  <c r="Q29" i="8"/>
  <c r="AH28" i="8"/>
  <c r="AF28" i="8"/>
  <c r="AD28" i="8"/>
  <c r="AB28" i="8"/>
  <c r="X28" i="8"/>
  <c r="V28" i="8"/>
  <c r="Q28" i="8"/>
  <c r="AH27" i="8"/>
  <c r="AF27" i="8"/>
  <c r="AD27" i="8"/>
  <c r="AB27" i="8"/>
  <c r="X27" i="8"/>
  <c r="V27" i="8"/>
  <c r="Q27" i="8"/>
  <c r="AH26" i="8"/>
  <c r="AG26" i="8"/>
  <c r="AD26" i="8"/>
  <c r="AC26" i="8"/>
  <c r="X26" i="8"/>
  <c r="W26" i="8"/>
  <c r="Q26" i="8"/>
  <c r="T26" i="8"/>
  <c r="F26" i="9"/>
  <c r="J26" i="9"/>
  <c r="AB26" i="9"/>
  <c r="AF26" i="8"/>
  <c r="AH25" i="8"/>
  <c r="AG25" i="8"/>
  <c r="AD25" i="8"/>
  <c r="AC25" i="8"/>
  <c r="X25" i="8"/>
  <c r="W25" i="8"/>
  <c r="Q25" i="8"/>
  <c r="T25" i="8"/>
  <c r="F25" i="9"/>
  <c r="J25" i="9"/>
  <c r="AB25" i="9"/>
  <c r="AH24" i="8"/>
  <c r="AG24" i="8"/>
  <c r="AD24" i="8"/>
  <c r="AC24" i="8"/>
  <c r="X24" i="8"/>
  <c r="W24" i="8"/>
  <c r="Q24" i="8"/>
  <c r="T24" i="8"/>
  <c r="F24" i="9"/>
  <c r="J24" i="9"/>
  <c r="AB24" i="9"/>
  <c r="AF24" i="8"/>
  <c r="AH23" i="8"/>
  <c r="AF23" i="8"/>
  <c r="AD23" i="8"/>
  <c r="AB23" i="8"/>
  <c r="X23" i="8"/>
  <c r="V23" i="8"/>
  <c r="T23" i="8"/>
  <c r="F23" i="9"/>
  <c r="J23" i="9"/>
  <c r="AC23" i="9"/>
  <c r="Q23" i="8"/>
  <c r="AH22" i="8"/>
  <c r="AF22" i="8"/>
  <c r="AD22" i="8"/>
  <c r="AB22" i="8"/>
  <c r="X22" i="8"/>
  <c r="V22" i="8"/>
  <c r="T22" i="8"/>
  <c r="F22" i="9"/>
  <c r="J22" i="9"/>
  <c r="AC22" i="9"/>
  <c r="Q22" i="8"/>
  <c r="W22" i="8"/>
  <c r="AH21" i="8"/>
  <c r="AG21" i="8"/>
  <c r="AD21" i="8"/>
  <c r="AC21" i="8"/>
  <c r="X21" i="8"/>
  <c r="W21" i="8"/>
  <c r="T21" i="8"/>
  <c r="F21" i="9"/>
  <c r="J21" i="9"/>
  <c r="AB21" i="9"/>
  <c r="L281" i="8"/>
  <c r="AH20" i="8"/>
  <c r="AF20" i="8"/>
  <c r="AD20" i="8"/>
  <c r="X20" i="8"/>
  <c r="V20" i="8"/>
  <c r="T20" i="8"/>
  <c r="F20" i="9"/>
  <c r="J20" i="9"/>
  <c r="AC20" i="9"/>
  <c r="Q20" i="8"/>
  <c r="W20" i="8"/>
  <c r="AH19" i="8"/>
  <c r="AG19" i="8"/>
  <c r="AD19" i="8"/>
  <c r="AC19" i="8"/>
  <c r="X19" i="8"/>
  <c r="W19" i="8"/>
  <c r="T19" i="8"/>
  <c r="F19" i="9"/>
  <c r="J19" i="9"/>
  <c r="AB19" i="9"/>
  <c r="Q19" i="8"/>
  <c r="AB201" i="9"/>
  <c r="AC253" i="9"/>
  <c r="AB166" i="9"/>
  <c r="AF45" i="8"/>
  <c r="T45" i="8"/>
  <c r="F45" i="9"/>
  <c r="J45" i="9"/>
  <c r="AB45" i="9"/>
  <c r="W27" i="8"/>
  <c r="T27" i="8"/>
  <c r="F27" i="9"/>
  <c r="J27" i="9"/>
  <c r="AC27" i="9"/>
  <c r="W29" i="8"/>
  <c r="T29" i="8"/>
  <c r="F29" i="9"/>
  <c r="J29" i="9"/>
  <c r="AC29" i="9"/>
  <c r="W48" i="8"/>
  <c r="T48" i="8"/>
  <c r="F48" i="9"/>
  <c r="J48" i="9"/>
  <c r="AC48" i="9"/>
  <c r="W51" i="8"/>
  <c r="T51" i="8"/>
  <c r="F51" i="9"/>
  <c r="J51" i="9"/>
  <c r="AB51" i="9"/>
  <c r="W52" i="8"/>
  <c r="T52" i="8"/>
  <c r="F52" i="9"/>
  <c r="J52" i="9"/>
  <c r="AC52" i="9"/>
  <c r="AG59" i="8"/>
  <c r="T59" i="8"/>
  <c r="F59" i="9"/>
  <c r="J59" i="9"/>
  <c r="AC59" i="9"/>
  <c r="X63" i="8"/>
  <c r="AA63" i="8"/>
  <c r="AA42" i="8"/>
  <c r="T44" i="8"/>
  <c r="F44" i="9"/>
  <c r="J44" i="9"/>
  <c r="AD44" i="9"/>
  <c r="AF51" i="8"/>
  <c r="AA56" i="8"/>
  <c r="AH63" i="8"/>
  <c r="AA67" i="8"/>
  <c r="AA79" i="8"/>
  <c r="AA80" i="8"/>
  <c r="AA81" i="8"/>
  <c r="AA82" i="8"/>
  <c r="AA83" i="8"/>
  <c r="AA84" i="8"/>
  <c r="AA86" i="8"/>
  <c r="AA92" i="8"/>
  <c r="T116" i="8"/>
  <c r="F117" i="9"/>
  <c r="J117" i="9"/>
  <c r="AC117" i="9"/>
  <c r="AF185" i="8"/>
  <c r="AA186" i="8"/>
  <c r="T195" i="8"/>
  <c r="F197" i="9"/>
  <c r="J197" i="9"/>
  <c r="AC197" i="9"/>
  <c r="V199" i="8"/>
  <c r="T207" i="8"/>
  <c r="F209" i="9"/>
  <c r="J209" i="9"/>
  <c r="AB209" i="9"/>
  <c r="T212" i="8"/>
  <c r="F214" i="9"/>
  <c r="J214" i="9"/>
  <c r="AD214" i="9"/>
  <c r="T216" i="8"/>
  <c r="F218" i="9"/>
  <c r="J218" i="9"/>
  <c r="AB218" i="9"/>
  <c r="T217" i="8"/>
  <c r="F219" i="9"/>
  <c r="J219" i="9"/>
  <c r="AB219" i="9"/>
  <c r="T221" i="8"/>
  <c r="F223" i="9"/>
  <c r="J223" i="9"/>
  <c r="AB223" i="9"/>
  <c r="T227" i="8"/>
  <c r="F229" i="9"/>
  <c r="J229" i="9"/>
  <c r="AB229" i="9"/>
  <c r="T276" i="8"/>
  <c r="F278" i="9"/>
  <c r="J278" i="9"/>
  <c r="AD278" i="9"/>
  <c r="W28" i="8"/>
  <c r="T28" i="8"/>
  <c r="F28" i="9"/>
  <c r="J28" i="9"/>
  <c r="AC28" i="9"/>
  <c r="AG150" i="8"/>
  <c r="T150" i="8"/>
  <c r="F152" i="9"/>
  <c r="J152" i="9"/>
  <c r="AD152" i="9"/>
  <c r="AG152" i="8"/>
  <c r="T152" i="8"/>
  <c r="F154" i="9"/>
  <c r="J154" i="9"/>
  <c r="AC154" i="9"/>
  <c r="V185" i="8"/>
  <c r="AA185" i="8"/>
  <c r="AA254" i="8"/>
  <c r="T262" i="8"/>
  <c r="F264" i="9"/>
  <c r="J264" i="9"/>
  <c r="AB264" i="9"/>
  <c r="AA270" i="8"/>
  <c r="AA271" i="8"/>
  <c r="AH276" i="8"/>
  <c r="F178" i="9"/>
  <c r="J178" i="9"/>
  <c r="AD178" i="9"/>
  <c r="F177" i="9"/>
  <c r="J177" i="9"/>
  <c r="AB177" i="9"/>
  <c r="F221" i="9"/>
  <c r="J221" i="9"/>
  <c r="AD221" i="9"/>
  <c r="F220" i="9"/>
  <c r="J220" i="9"/>
  <c r="AC220" i="9"/>
  <c r="X150" i="8"/>
  <c r="AH150" i="8"/>
  <c r="W60" i="8"/>
  <c r="AA60" i="8"/>
  <c r="AF61" i="8"/>
  <c r="W62" i="8"/>
  <c r="AA62" i="8"/>
  <c r="AF63" i="8"/>
  <c r="W64" i="8"/>
  <c r="AA64" i="8"/>
  <c r="W65" i="8"/>
  <c r="AA65" i="8"/>
  <c r="AF79" i="8"/>
  <c r="AF81" i="8"/>
  <c r="AF83" i="8"/>
  <c r="W90" i="8"/>
  <c r="AA90" i="8"/>
  <c r="AH108" i="8"/>
  <c r="W109" i="8"/>
  <c r="AA109" i="8"/>
  <c r="AF147" i="8"/>
  <c r="W152" i="8"/>
  <c r="AA152" i="8"/>
  <c r="AF153" i="8"/>
  <c r="W154" i="8"/>
  <c r="AA154" i="8"/>
  <c r="W170" i="8"/>
  <c r="AA170" i="8"/>
  <c r="AF186" i="8"/>
  <c r="AF190" i="8"/>
  <c r="AF192" i="8"/>
  <c r="W197" i="8"/>
  <c r="AA197" i="8"/>
  <c r="W199" i="8"/>
  <c r="AA199" i="8"/>
  <c r="AF216" i="8"/>
  <c r="AF222" i="8"/>
  <c r="W223" i="8"/>
  <c r="AA223" i="8"/>
  <c r="AF224" i="8"/>
  <c r="W231" i="8"/>
  <c r="AA231" i="8"/>
  <c r="W236" i="8"/>
  <c r="AA236" i="8"/>
  <c r="AG245" i="8"/>
  <c r="AG246" i="8"/>
  <c r="AG247" i="8"/>
  <c r="AG248" i="8"/>
  <c r="AF253" i="8"/>
  <c r="AH261" i="8"/>
  <c r="W262" i="8"/>
  <c r="AA262" i="8"/>
  <c r="AG265" i="8"/>
  <c r="AG266" i="8"/>
  <c r="AG267" i="8"/>
  <c r="AF270" i="8"/>
  <c r="AF272" i="8"/>
  <c r="AF42" i="8"/>
  <c r="AF56" i="8"/>
  <c r="W66" i="8"/>
  <c r="AA66" i="8"/>
  <c r="AF67" i="8"/>
  <c r="AF80" i="8"/>
  <c r="AF82" i="8"/>
  <c r="AF84" i="8"/>
  <c r="W85" i="8"/>
  <c r="AA85" i="8"/>
  <c r="AF86" i="8"/>
  <c r="W87" i="8"/>
  <c r="AA87" i="8"/>
  <c r="W91" i="8"/>
  <c r="AA91" i="8"/>
  <c r="AF92" i="8"/>
  <c r="W116" i="8"/>
  <c r="AA116" i="8"/>
  <c r="W163" i="8"/>
  <c r="AA163" i="8"/>
  <c r="AF164" i="8"/>
  <c r="W165" i="8"/>
  <c r="AA165" i="8"/>
  <c r="W169" i="8"/>
  <c r="AA169" i="8"/>
  <c r="W171" i="8"/>
  <c r="AA171" i="8"/>
  <c r="AF172" i="8"/>
  <c r="AA184" i="8"/>
  <c r="AH185" i="8"/>
  <c r="AF189" i="8"/>
  <c r="AF191" i="8"/>
  <c r="W198" i="8"/>
  <c r="AA198" i="8"/>
  <c r="W200" i="8"/>
  <c r="AA200" i="8"/>
  <c r="AF210" i="8"/>
  <c r="W214" i="8"/>
  <c r="AA214" i="8"/>
  <c r="AF215" i="8"/>
  <c r="AF217" i="8"/>
  <c r="AF221" i="8"/>
  <c r="AF225" i="8"/>
  <c r="W226" i="8"/>
  <c r="AA226" i="8"/>
  <c r="W235" i="8"/>
  <c r="AA235" i="8"/>
  <c r="AG242" i="8"/>
  <c r="AH249" i="8"/>
  <c r="W250" i="8"/>
  <c r="AA250" i="8"/>
  <c r="AG259" i="8"/>
  <c r="AF271" i="8"/>
  <c r="W244" i="8"/>
  <c r="AA244" i="8"/>
  <c r="AG244" i="8"/>
  <c r="W243" i="8"/>
  <c r="AA243" i="8"/>
  <c r="W211" i="8"/>
  <c r="AG211" i="8"/>
  <c r="AA211" i="8"/>
  <c r="W188" i="8"/>
  <c r="AA188" i="8"/>
  <c r="AA178" i="8"/>
  <c r="Q187" i="8"/>
  <c r="Q137" i="8"/>
  <c r="W137" i="8"/>
  <c r="AA137" i="8"/>
  <c r="W59" i="8"/>
  <c r="AA59" i="8"/>
  <c r="AA22" i="8"/>
  <c r="Q58" i="8"/>
  <c r="T58" i="8"/>
  <c r="F58" i="9"/>
  <c r="J58" i="9"/>
  <c r="AC58" i="9"/>
  <c r="AA94" i="8"/>
  <c r="AG23" i="8"/>
  <c r="W23" i="8"/>
  <c r="AA23" i="8"/>
  <c r="V25" i="8"/>
  <c r="AA25" i="8"/>
  <c r="AF25" i="8"/>
  <c r="Q57" i="8"/>
  <c r="T57" i="8"/>
  <c r="F57" i="9"/>
  <c r="J57" i="9"/>
  <c r="AC57" i="9"/>
  <c r="AA27" i="8"/>
  <c r="AA29" i="8"/>
  <c r="AA31" i="8"/>
  <c r="AA47" i="8"/>
  <c r="AA49" i="8"/>
  <c r="AA51" i="8"/>
  <c r="AA53" i="8"/>
  <c r="AG33" i="8"/>
  <c r="W33" i="8"/>
  <c r="AA33" i="8"/>
  <c r="V35" i="8"/>
  <c r="AF35" i="8"/>
  <c r="V37" i="8"/>
  <c r="AF37" i="8"/>
  <c r="V39" i="8"/>
  <c r="AF39" i="8"/>
  <c r="V41" i="8"/>
  <c r="AF41" i="8"/>
  <c r="AA20" i="8"/>
  <c r="AA28" i="8"/>
  <c r="AA48" i="8"/>
  <c r="AA52" i="8"/>
  <c r="V96" i="8"/>
  <c r="AF96" i="8"/>
  <c r="V118" i="8"/>
  <c r="AF118" i="8"/>
  <c r="AG136" i="8"/>
  <c r="W136" i="8"/>
  <c r="V146" i="8"/>
  <c r="AF146" i="8"/>
  <c r="AG151" i="8"/>
  <c r="W151" i="8"/>
  <c r="AA151" i="8"/>
  <c r="V156" i="8"/>
  <c r="AF156" i="8"/>
  <c r="V158" i="8"/>
  <c r="AF158" i="8"/>
  <c r="V160" i="8"/>
  <c r="AF160" i="8"/>
  <c r="Q173" i="8"/>
  <c r="AG177" i="8"/>
  <c r="W177" i="8"/>
  <c r="Q180" i="8"/>
  <c r="Q182" i="8"/>
  <c r="Q196" i="8"/>
  <c r="W264" i="8"/>
  <c r="AG264" i="8"/>
  <c r="AG93" i="8"/>
  <c r="W93" i="8"/>
  <c r="AA93" i="8"/>
  <c r="V99" i="8"/>
  <c r="AF99" i="8"/>
  <c r="V101" i="8"/>
  <c r="AF101" i="8"/>
  <c r="Q161" i="8"/>
  <c r="V162" i="8"/>
  <c r="AA162" i="8"/>
  <c r="AF162" i="8"/>
  <c r="Q166" i="8"/>
  <c r="T166" i="8"/>
  <c r="F168" i="9"/>
  <c r="J168" i="9"/>
  <c r="AB168" i="9"/>
  <c r="V167" i="8"/>
  <c r="AA167" i="8"/>
  <c r="AF167" i="8"/>
  <c r="Q179" i="8"/>
  <c r="Q183" i="8"/>
  <c r="Q206" i="8"/>
  <c r="V19" i="8"/>
  <c r="AG20" i="8"/>
  <c r="AG22" i="8"/>
  <c r="V24" i="8"/>
  <c r="AA24" i="8"/>
  <c r="V26" i="8"/>
  <c r="AA26" i="8"/>
  <c r="AG27" i="8"/>
  <c r="AG28" i="8"/>
  <c r="AG29" i="8"/>
  <c r="V30" i="8"/>
  <c r="AA30" i="8"/>
  <c r="AG31" i="8"/>
  <c r="V34" i="8"/>
  <c r="AA34" i="8"/>
  <c r="AA35" i="8"/>
  <c r="V36" i="8"/>
  <c r="AA36" i="8"/>
  <c r="AA37" i="8"/>
  <c r="V38" i="8"/>
  <c r="AA38" i="8"/>
  <c r="AA39" i="8"/>
  <c r="V40" i="8"/>
  <c r="AA40" i="8"/>
  <c r="AA41" i="8"/>
  <c r="X44" i="8"/>
  <c r="AA44" i="8"/>
  <c r="V45" i="8"/>
  <c r="AA45" i="8"/>
  <c r="V46" i="8"/>
  <c r="AA46" i="8"/>
  <c r="AG47" i="8"/>
  <c r="AG48" i="8"/>
  <c r="AG49" i="8"/>
  <c r="V50" i="8"/>
  <c r="AA50" i="8"/>
  <c r="AG51" i="8"/>
  <c r="AG52" i="8"/>
  <c r="AG53" i="8"/>
  <c r="Q54" i="8"/>
  <c r="Q55" i="8"/>
  <c r="AA69" i="8"/>
  <c r="AA71" i="8"/>
  <c r="AA73" i="8"/>
  <c r="V76" i="8"/>
  <c r="AA76" i="8"/>
  <c r="AA78" i="8"/>
  <c r="AA104" i="8"/>
  <c r="AA106" i="8"/>
  <c r="AA112" i="8"/>
  <c r="AA114" i="8"/>
  <c r="AA181" i="8"/>
  <c r="AF19" i="8"/>
  <c r="G281" i="8"/>
  <c r="I282" i="8"/>
  <c r="Q21" i="8"/>
  <c r="V68" i="8"/>
  <c r="AA68" i="8"/>
  <c r="AF69" i="8"/>
  <c r="V70" i="8"/>
  <c r="AA70" i="8"/>
  <c r="AF71" i="8"/>
  <c r="V72" i="8"/>
  <c r="AA72" i="8"/>
  <c r="AF73" i="8"/>
  <c r="V75" i="8"/>
  <c r="AA75" i="8"/>
  <c r="V77" i="8"/>
  <c r="AA77" i="8"/>
  <c r="AF78" i="8"/>
  <c r="V88" i="8"/>
  <c r="AA88" i="8"/>
  <c r="W89" i="8"/>
  <c r="AA89" i="8"/>
  <c r="AA105" i="8"/>
  <c r="AA108" i="8"/>
  <c r="AA110" i="8"/>
  <c r="AA148" i="8"/>
  <c r="AG94" i="8"/>
  <c r="AA96" i="8"/>
  <c r="V97" i="8"/>
  <c r="AA97" i="8"/>
  <c r="V98" i="8"/>
  <c r="AA98" i="8"/>
  <c r="AA99" i="8"/>
  <c r="V100" i="8"/>
  <c r="AA100" i="8"/>
  <c r="AA101" i="8"/>
  <c r="V102" i="8"/>
  <c r="AA102" i="8"/>
  <c r="V103" i="8"/>
  <c r="AA103" i="8"/>
  <c r="AG104" i="8"/>
  <c r="AG105" i="8"/>
  <c r="AG106" i="8"/>
  <c r="X107" i="8"/>
  <c r="AA107" i="8"/>
  <c r="AG110" i="8"/>
  <c r="V111" i="8"/>
  <c r="AA111" i="8"/>
  <c r="AG112" i="8"/>
  <c r="V113" i="8"/>
  <c r="AA113" i="8"/>
  <c r="AG114" i="8"/>
  <c r="V117" i="8"/>
  <c r="AA117" i="8"/>
  <c r="AA118" i="8"/>
  <c r="V119" i="8"/>
  <c r="AA119" i="8"/>
  <c r="V120" i="8"/>
  <c r="AA120" i="8"/>
  <c r="V121" i="8"/>
  <c r="AA121" i="8"/>
  <c r="V122" i="8"/>
  <c r="AA122" i="8"/>
  <c r="V123" i="8"/>
  <c r="AA123" i="8"/>
  <c r="V124" i="8"/>
  <c r="AA124" i="8"/>
  <c r="V125" i="8"/>
  <c r="AA125" i="8"/>
  <c r="V126" i="8"/>
  <c r="AA126" i="8"/>
  <c r="V127" i="8"/>
  <c r="AA127" i="8"/>
  <c r="V128" i="8"/>
  <c r="AA128" i="8"/>
  <c r="V129" i="8"/>
  <c r="AA129" i="8"/>
  <c r="V130" i="8"/>
  <c r="AA130" i="8"/>
  <c r="V131" i="8"/>
  <c r="AA131" i="8"/>
  <c r="V132" i="8"/>
  <c r="AA132" i="8"/>
  <c r="AA136" i="8"/>
  <c r="V138" i="8"/>
  <c r="AA138" i="8"/>
  <c r="V139" i="8"/>
  <c r="AA139" i="8"/>
  <c r="V140" i="8"/>
  <c r="AA140" i="8"/>
  <c r="V141" i="8"/>
  <c r="AA141" i="8"/>
  <c r="V142" i="8"/>
  <c r="AA142" i="8"/>
  <c r="V143" i="8"/>
  <c r="AA143" i="8"/>
  <c r="V144" i="8"/>
  <c r="AA144" i="8"/>
  <c r="V145" i="8"/>
  <c r="AA145" i="8"/>
  <c r="AA146" i="8"/>
  <c r="AG148" i="8"/>
  <c r="V149" i="8"/>
  <c r="AA149" i="8"/>
  <c r="W150" i="8"/>
  <c r="AA150" i="8"/>
  <c r="V155" i="8"/>
  <c r="AA155" i="8"/>
  <c r="AA156" i="8"/>
  <c r="V157" i="8"/>
  <c r="AA157" i="8"/>
  <c r="AA158" i="8"/>
  <c r="V159" i="8"/>
  <c r="AA159" i="8"/>
  <c r="AA160" i="8"/>
  <c r="V174" i="8"/>
  <c r="AA174" i="8"/>
  <c r="V175" i="8"/>
  <c r="AA175" i="8"/>
  <c r="AA177" i="8"/>
  <c r="AG178" i="8"/>
  <c r="AG181" i="8"/>
  <c r="V193" i="8"/>
  <c r="AA193" i="8"/>
  <c r="V201" i="8"/>
  <c r="AA201" i="8"/>
  <c r="V203" i="8"/>
  <c r="AA203" i="8"/>
  <c r="Q205" i="8"/>
  <c r="T205" i="8"/>
  <c r="F207" i="9"/>
  <c r="J207" i="9"/>
  <c r="AB207" i="9"/>
  <c r="V207" i="8"/>
  <c r="AA209" i="8"/>
  <c r="AA213" i="8"/>
  <c r="AA220" i="8"/>
  <c r="AA230" i="8"/>
  <c r="AA233" i="8"/>
  <c r="AA238" i="8"/>
  <c r="V240" i="8"/>
  <c r="AA240" i="8"/>
  <c r="X256" i="8"/>
  <c r="V257" i="8"/>
  <c r="V258" i="8"/>
  <c r="AA260" i="8"/>
  <c r="AA264" i="8"/>
  <c r="V273" i="8"/>
  <c r="AH184" i="8"/>
  <c r="AH281" i="8"/>
  <c r="AH285" i="8"/>
  <c r="V194" i="8"/>
  <c r="AA194" i="8"/>
  <c r="W195" i="8"/>
  <c r="AA195" i="8"/>
  <c r="V202" i="8"/>
  <c r="AA202" i="8"/>
  <c r="V204" i="8"/>
  <c r="AA204" i="8"/>
  <c r="AA207" i="8"/>
  <c r="V208" i="8"/>
  <c r="AA208" i="8"/>
  <c r="AF209" i="8"/>
  <c r="X212" i="8"/>
  <c r="AA212" i="8"/>
  <c r="AG213" i="8"/>
  <c r="AA218" i="8"/>
  <c r="AG218" i="8"/>
  <c r="AF220" i="8"/>
  <c r="V227" i="8"/>
  <c r="AA227" i="8"/>
  <c r="V229" i="8"/>
  <c r="AA229" i="8"/>
  <c r="AG230" i="8"/>
  <c r="AA232" i="8"/>
  <c r="AG232" i="8"/>
  <c r="AG233" i="8"/>
  <c r="W234" i="8"/>
  <c r="AA234" i="8"/>
  <c r="AA237" i="8"/>
  <c r="AG237" i="8"/>
  <c r="AF238" i="8"/>
  <c r="V239" i="8"/>
  <c r="AA239" i="8"/>
  <c r="AA242" i="8"/>
  <c r="AA245" i="8"/>
  <c r="AA246" i="8"/>
  <c r="AA247" i="8"/>
  <c r="AA248" i="8"/>
  <c r="AA249" i="8"/>
  <c r="W251" i="8"/>
  <c r="AA251" i="8"/>
  <c r="V255" i="8"/>
  <c r="AA255" i="8"/>
  <c r="AA256" i="8"/>
  <c r="AA257" i="8"/>
  <c r="AA258" i="8"/>
  <c r="AA259" i="8"/>
  <c r="AG260" i="8"/>
  <c r="Q263" i="8"/>
  <c r="AA265" i="8"/>
  <c r="AA266" i="8"/>
  <c r="AA267" i="8"/>
  <c r="V268" i="8"/>
  <c r="AA268" i="8"/>
  <c r="W269" i="8"/>
  <c r="AA269" i="8"/>
  <c r="AA273" i="8"/>
  <c r="V274" i="8"/>
  <c r="AA274" i="8"/>
  <c r="AA279" i="8"/>
  <c r="V280" i="8"/>
  <c r="AA280" i="8"/>
  <c r="AC264" i="9"/>
  <c r="W187" i="8"/>
  <c r="AA187" i="8"/>
  <c r="AG187" i="8"/>
  <c r="AG137" i="8"/>
  <c r="W58" i="8"/>
  <c r="AA58" i="8"/>
  <c r="AG58" i="8"/>
  <c r="V263" i="8"/>
  <c r="AA263" i="8"/>
  <c r="AF263" i="8"/>
  <c r="AF228" i="8"/>
  <c r="V228" i="8"/>
  <c r="AA228" i="8"/>
  <c r="Q115" i="8"/>
  <c r="T115" i="8"/>
  <c r="V21" i="8"/>
  <c r="AA21" i="8"/>
  <c r="AF21" i="8"/>
  <c r="AF55" i="8"/>
  <c r="V55" i="8"/>
  <c r="AA55" i="8"/>
  <c r="V206" i="8"/>
  <c r="AA206" i="8"/>
  <c r="AF206" i="8"/>
  <c r="V179" i="8"/>
  <c r="AA179" i="8"/>
  <c r="AF179" i="8"/>
  <c r="AG196" i="8"/>
  <c r="W196" i="8"/>
  <c r="AA196" i="8"/>
  <c r="V182" i="8"/>
  <c r="AA182" i="8"/>
  <c r="AF182" i="8"/>
  <c r="M281" i="8"/>
  <c r="M282" i="8"/>
  <c r="J289" i="8"/>
  <c r="J291" i="8"/>
  <c r="X281" i="8"/>
  <c r="Y294" i="8"/>
  <c r="Q281" i="8"/>
  <c r="AF205" i="8"/>
  <c r="V205" i="8"/>
  <c r="AA205" i="8"/>
  <c r="AF54" i="8"/>
  <c r="V54" i="8"/>
  <c r="AA54" i="8"/>
  <c r="AA19" i="8"/>
  <c r="AF183" i="8"/>
  <c r="V183" i="8"/>
  <c r="AA183" i="8"/>
  <c r="AF166" i="8"/>
  <c r="V166" i="8"/>
  <c r="AA166" i="8"/>
  <c r="AF161" i="8"/>
  <c r="V161" i="8"/>
  <c r="AA161" i="8"/>
  <c r="AF180" i="8"/>
  <c r="V180" i="8"/>
  <c r="AA180" i="8"/>
  <c r="W173" i="8"/>
  <c r="AA173" i="8"/>
  <c r="AG173" i="8"/>
  <c r="W57" i="8"/>
  <c r="AG57" i="8"/>
  <c r="F116" i="9"/>
  <c r="J116" i="9"/>
  <c r="AC116" i="9"/>
  <c r="T281" i="8"/>
  <c r="AF281" i="8"/>
  <c r="AF285" i="8"/>
  <c r="AA57" i="8"/>
  <c r="V281" i="8"/>
  <c r="AG115" i="8"/>
  <c r="AG281" i="8"/>
  <c r="AG285" i="8"/>
  <c r="W115" i="8"/>
  <c r="AA115" i="8"/>
  <c r="Y288" i="8"/>
  <c r="W281" i="8"/>
  <c r="Y291" i="8"/>
  <c r="Y295" i="8"/>
  <c r="X286" i="8"/>
  <c r="X295" i="8"/>
  <c r="M242" i="7"/>
  <c r="L21" i="7"/>
  <c r="L255" i="7"/>
  <c r="L256" i="7"/>
  <c r="L270" i="7"/>
  <c r="G21" i="7"/>
  <c r="M21" i="7"/>
  <c r="I115" i="7"/>
  <c r="I121" i="7"/>
  <c r="I131" i="7"/>
  <c r="I194" i="7"/>
  <c r="I270" i="7"/>
  <c r="H56" i="7"/>
  <c r="H115" i="7"/>
  <c r="H121" i="7"/>
  <c r="H158" i="7"/>
  <c r="H163" i="7"/>
  <c r="H169" i="7"/>
  <c r="H174" i="7"/>
  <c r="H175" i="7"/>
  <c r="H177" i="7"/>
  <c r="H178" i="7"/>
  <c r="H194" i="7"/>
  <c r="H201" i="7"/>
  <c r="H222" i="7"/>
  <c r="H232" i="7"/>
  <c r="H248" i="7"/>
  <c r="H270" i="7"/>
  <c r="G56" i="7"/>
  <c r="G115" i="7"/>
  <c r="G121" i="7"/>
  <c r="G158" i="7"/>
  <c r="G163" i="7"/>
  <c r="G169" i="7"/>
  <c r="G174" i="7"/>
  <c r="G175" i="7"/>
  <c r="G177" i="7"/>
  <c r="G178" i="7"/>
  <c r="G191" i="7"/>
  <c r="G194" i="7"/>
  <c r="G196" i="7"/>
  <c r="G200" i="7"/>
  <c r="G201" i="7"/>
  <c r="G232" i="7"/>
  <c r="G244" i="7"/>
  <c r="G248" i="7"/>
  <c r="G270" i="7"/>
  <c r="M54" i="7"/>
  <c r="M53" i="7"/>
  <c r="M93" i="7"/>
  <c r="O87" i="7"/>
  <c r="O148" i="7"/>
  <c r="O54" i="7"/>
  <c r="O252" i="7"/>
  <c r="Q248" i="6"/>
  <c r="O64" i="7"/>
  <c r="O233" i="7"/>
  <c r="O53" i="7"/>
  <c r="O92" i="7"/>
  <c r="O121" i="7"/>
  <c r="M256" i="7"/>
  <c r="M255" i="7"/>
  <c r="M244" i="7"/>
  <c r="M231" i="7"/>
  <c r="M226" i="7"/>
  <c r="M204" i="7"/>
  <c r="M191" i="7"/>
  <c r="M117" i="7"/>
  <c r="M97" i="7"/>
  <c r="M108" i="7"/>
  <c r="M116" i="7"/>
  <c r="M143" i="7"/>
  <c r="M158" i="7"/>
  <c r="M157" i="7"/>
  <c r="M156" i="7"/>
  <c r="M155" i="7"/>
  <c r="M154" i="7"/>
  <c r="M153" i="7"/>
  <c r="M152" i="7"/>
  <c r="M159" i="7"/>
  <c r="M164" i="7"/>
  <c r="M163" i="7"/>
  <c r="M169" i="7"/>
  <c r="M178" i="7"/>
  <c r="M177" i="7"/>
  <c r="M175" i="7"/>
  <c r="M174" i="7"/>
  <c r="M173" i="7"/>
  <c r="M172" i="7"/>
  <c r="M183" i="7"/>
  <c r="M182" i="7"/>
  <c r="M190" i="7"/>
  <c r="M206" i="7"/>
  <c r="M202" i="7"/>
  <c r="M201" i="7"/>
  <c r="M200" i="7"/>
  <c r="M214" i="7"/>
  <c r="M213" i="7"/>
  <c r="M222" i="7"/>
  <c r="M221" i="7"/>
  <c r="M228" i="7"/>
  <c r="M232" i="7"/>
  <c r="M237" i="7"/>
  <c r="M236" i="7"/>
  <c r="M250" i="7"/>
  <c r="M249" i="7"/>
  <c r="M248" i="7"/>
  <c r="M247" i="7"/>
  <c r="M261" i="7"/>
  <c r="M265" i="7"/>
  <c r="M100" i="7"/>
  <c r="M99" i="7"/>
  <c r="M98" i="7"/>
  <c r="M95" i="7"/>
  <c r="M94" i="7"/>
  <c r="M92" i="7"/>
  <c r="M88" i="7"/>
  <c r="M77" i="7"/>
  <c r="M74" i="7"/>
  <c r="M72" i="7"/>
  <c r="M71" i="7"/>
  <c r="M70" i="7"/>
  <c r="M69" i="7"/>
  <c r="M68" i="7"/>
  <c r="M67" i="7"/>
  <c r="M58" i="7"/>
  <c r="M57" i="7"/>
  <c r="M56" i="7"/>
  <c r="M43" i="7"/>
  <c r="M41" i="7"/>
  <c r="M40" i="7"/>
  <c r="M39" i="7"/>
  <c r="M38" i="7"/>
  <c r="M37" i="7"/>
  <c r="M36" i="7"/>
  <c r="M35" i="7"/>
  <c r="M34" i="7"/>
  <c r="M33" i="7"/>
  <c r="M26" i="7"/>
  <c r="M25" i="7"/>
  <c r="M24" i="7"/>
  <c r="M23" i="7"/>
  <c r="M22" i="7"/>
  <c r="Q264" i="7"/>
  <c r="V264" i="7"/>
  <c r="W264" i="7"/>
  <c r="X264" i="7"/>
  <c r="AA264" i="7"/>
  <c r="Q263" i="7"/>
  <c r="V263" i="7"/>
  <c r="W263" i="7"/>
  <c r="X263" i="7"/>
  <c r="AA263" i="7"/>
  <c r="Q262" i="7"/>
  <c r="V262" i="7"/>
  <c r="W262" i="7"/>
  <c r="X262" i="7"/>
  <c r="AA262" i="7"/>
  <c r="Q260" i="7"/>
  <c r="V260" i="7"/>
  <c r="W260" i="7"/>
  <c r="X260" i="7"/>
  <c r="AA260" i="7"/>
  <c r="V259" i="7"/>
  <c r="Q259" i="7"/>
  <c r="W259" i="7"/>
  <c r="X259" i="7"/>
  <c r="AA259" i="7"/>
  <c r="V258" i="7"/>
  <c r="Q258" i="7"/>
  <c r="W258" i="7"/>
  <c r="X258" i="7"/>
  <c r="AA258" i="7"/>
  <c r="V257" i="7"/>
  <c r="Q257" i="7"/>
  <c r="W257" i="7"/>
  <c r="X257" i="7"/>
  <c r="AA257" i="7"/>
  <c r="V254" i="7"/>
  <c r="Q254" i="7"/>
  <c r="W254" i="7"/>
  <c r="X254" i="7"/>
  <c r="AA254" i="7"/>
  <c r="V253" i="7"/>
  <c r="W253" i="7"/>
  <c r="Q253" i="7"/>
  <c r="X253" i="7"/>
  <c r="AA253" i="7"/>
  <c r="V252" i="7"/>
  <c r="Q252" i="7"/>
  <c r="W252" i="7"/>
  <c r="X252" i="7"/>
  <c r="AA252" i="7"/>
  <c r="V251" i="7"/>
  <c r="Q251" i="7"/>
  <c r="W251" i="7"/>
  <c r="X251" i="7"/>
  <c r="AA251" i="7"/>
  <c r="V246" i="7"/>
  <c r="W246" i="7"/>
  <c r="X246" i="7"/>
  <c r="AA246" i="7"/>
  <c r="Q245" i="7"/>
  <c r="V245" i="7"/>
  <c r="W245" i="7"/>
  <c r="X245" i="7"/>
  <c r="AA245" i="7"/>
  <c r="V243" i="7"/>
  <c r="Q243" i="7"/>
  <c r="W243" i="7"/>
  <c r="X243" i="7"/>
  <c r="AA243" i="7"/>
  <c r="V241" i="7"/>
  <c r="Q241" i="7"/>
  <c r="W241" i="7"/>
  <c r="X241" i="7"/>
  <c r="AA241" i="7"/>
  <c r="V240" i="7"/>
  <c r="Q240" i="7"/>
  <c r="W240" i="7"/>
  <c r="X240" i="7"/>
  <c r="AA240" i="7"/>
  <c r="V239" i="7"/>
  <c r="Q239" i="7"/>
  <c r="W239" i="7"/>
  <c r="X239" i="7"/>
  <c r="AA239" i="7"/>
  <c r="V238" i="7"/>
  <c r="Q238" i="7"/>
  <c r="W238" i="7"/>
  <c r="X238" i="7"/>
  <c r="AA238" i="7"/>
  <c r="V235" i="7"/>
  <c r="Q235" i="7"/>
  <c r="W235" i="7"/>
  <c r="X235" i="7"/>
  <c r="AA235" i="7"/>
  <c r="Q234" i="7"/>
  <c r="V234" i="7"/>
  <c r="W234" i="7"/>
  <c r="X234" i="7"/>
  <c r="AA234" i="7"/>
  <c r="V230" i="7"/>
  <c r="Q230" i="7"/>
  <c r="W230" i="7"/>
  <c r="X230" i="7"/>
  <c r="AA230" i="7"/>
  <c r="V229" i="7"/>
  <c r="Q229" i="7"/>
  <c r="W229" i="7"/>
  <c r="X229" i="7"/>
  <c r="AA229" i="7"/>
  <c r="V227" i="7"/>
  <c r="Q227" i="7"/>
  <c r="W227" i="7"/>
  <c r="X227" i="7"/>
  <c r="AA227" i="7"/>
  <c r="V225" i="7"/>
  <c r="Q225" i="7"/>
  <c r="W225" i="7"/>
  <c r="X225" i="7"/>
  <c r="AA225" i="7"/>
  <c r="V224" i="7"/>
  <c r="Q224" i="7"/>
  <c r="W224" i="7"/>
  <c r="X224" i="7"/>
  <c r="AA224" i="7"/>
  <c r="Q223" i="7"/>
  <c r="V223" i="7"/>
  <c r="W223" i="7"/>
  <c r="X223" i="7"/>
  <c r="AA223" i="7"/>
  <c r="V220" i="7"/>
  <c r="Q220" i="7"/>
  <c r="W220" i="7"/>
  <c r="X220" i="7"/>
  <c r="AA220" i="7"/>
  <c r="Q219" i="7"/>
  <c r="V219" i="7"/>
  <c r="W219" i="7"/>
  <c r="X219" i="7"/>
  <c r="AA219" i="7"/>
  <c r="Q218" i="7"/>
  <c r="V218" i="7"/>
  <c r="W218" i="7"/>
  <c r="X218" i="7"/>
  <c r="AA218" i="7"/>
  <c r="V217" i="7"/>
  <c r="Q217" i="7"/>
  <c r="W217" i="7"/>
  <c r="X217" i="7"/>
  <c r="AA217" i="7"/>
  <c r="Q216" i="7"/>
  <c r="V216" i="7"/>
  <c r="W216" i="7"/>
  <c r="X216" i="7"/>
  <c r="AA216" i="7"/>
  <c r="Q215" i="7"/>
  <c r="V215" i="7"/>
  <c r="W215" i="7"/>
  <c r="X215" i="7"/>
  <c r="AA215" i="7"/>
  <c r="Q212" i="7"/>
  <c r="V212" i="7"/>
  <c r="W212" i="7"/>
  <c r="X212" i="7"/>
  <c r="AA212" i="7"/>
  <c r="Q211" i="7"/>
  <c r="V211" i="7"/>
  <c r="W211" i="7"/>
  <c r="X211" i="7"/>
  <c r="AA211" i="7"/>
  <c r="Q210" i="7"/>
  <c r="V210" i="7"/>
  <c r="W210" i="7"/>
  <c r="X210" i="7"/>
  <c r="AA210" i="7"/>
  <c r="V209" i="7"/>
  <c r="Q209" i="7"/>
  <c r="W209" i="7"/>
  <c r="X209" i="7"/>
  <c r="AA209" i="7"/>
  <c r="V207" i="7"/>
  <c r="W207" i="7"/>
  <c r="Q207" i="7"/>
  <c r="X207" i="7"/>
  <c r="AA207" i="7"/>
  <c r="Q205" i="7"/>
  <c r="V205" i="7"/>
  <c r="W205" i="7"/>
  <c r="X205" i="7"/>
  <c r="AA205" i="7"/>
  <c r="Q203" i="7"/>
  <c r="V203" i="7"/>
  <c r="W203" i="7"/>
  <c r="X203" i="7"/>
  <c r="AA203" i="7"/>
  <c r="Q199" i="7"/>
  <c r="V199" i="7"/>
  <c r="W199" i="7"/>
  <c r="X199" i="7"/>
  <c r="AA199" i="7"/>
  <c r="Q198" i="7"/>
  <c r="V198" i="7"/>
  <c r="W198" i="7"/>
  <c r="X198" i="7"/>
  <c r="AA198" i="7"/>
  <c r="Q197" i="7"/>
  <c r="V197" i="7"/>
  <c r="W197" i="7"/>
  <c r="X197" i="7"/>
  <c r="AA197" i="7"/>
  <c r="Q196" i="7"/>
  <c r="V196" i="7"/>
  <c r="W196" i="7"/>
  <c r="X196" i="7"/>
  <c r="AA196" i="7"/>
  <c r="V195" i="7"/>
  <c r="Q195" i="7"/>
  <c r="W195" i="7"/>
  <c r="X195" i="7"/>
  <c r="AA195" i="7"/>
  <c r="V194" i="7"/>
  <c r="Q194" i="7"/>
  <c r="W194" i="7"/>
  <c r="X194" i="7"/>
  <c r="AA194" i="7"/>
  <c r="V193" i="7"/>
  <c r="Q193" i="7"/>
  <c r="W193" i="7"/>
  <c r="X193" i="7"/>
  <c r="AA193" i="7"/>
  <c r="Q189" i="7"/>
  <c r="V189" i="7"/>
  <c r="W189" i="7"/>
  <c r="X189" i="7"/>
  <c r="AA189" i="7"/>
  <c r="Q188" i="7"/>
  <c r="V188" i="7"/>
  <c r="W188" i="7"/>
  <c r="X188" i="7"/>
  <c r="AA188" i="7"/>
  <c r="Q187" i="7"/>
  <c r="V187" i="7"/>
  <c r="W187" i="7"/>
  <c r="X187" i="7"/>
  <c r="AA187" i="7"/>
  <c r="Q186" i="7"/>
  <c r="V186" i="7"/>
  <c r="W186" i="7"/>
  <c r="X186" i="7"/>
  <c r="AA186" i="7"/>
  <c r="Q185" i="7"/>
  <c r="V185" i="7"/>
  <c r="W185" i="7"/>
  <c r="X185" i="7"/>
  <c r="AA185" i="7"/>
  <c r="Q184" i="7"/>
  <c r="V184" i="7"/>
  <c r="W184" i="7"/>
  <c r="X184" i="7"/>
  <c r="AA184" i="7"/>
  <c r="Q181" i="7"/>
  <c r="V181" i="7"/>
  <c r="W181" i="7"/>
  <c r="X181" i="7"/>
  <c r="AA181" i="7"/>
  <c r="V180" i="7"/>
  <c r="W180" i="7"/>
  <c r="Q180" i="7"/>
  <c r="X180" i="7"/>
  <c r="AA180" i="7"/>
  <c r="V179" i="7"/>
  <c r="W179" i="7"/>
  <c r="Q179" i="7"/>
  <c r="X179" i="7"/>
  <c r="AA179" i="7"/>
  <c r="V176" i="7"/>
  <c r="Q176" i="7"/>
  <c r="W176" i="7"/>
  <c r="X176" i="7"/>
  <c r="AA176" i="7"/>
  <c r="Q170" i="7"/>
  <c r="V170" i="7"/>
  <c r="W170" i="7"/>
  <c r="X170" i="7"/>
  <c r="AA170" i="7"/>
  <c r="Q168" i="7"/>
  <c r="V168" i="7"/>
  <c r="W168" i="7"/>
  <c r="X168" i="7"/>
  <c r="AA168" i="7"/>
  <c r="V167" i="7"/>
  <c r="Q167" i="7"/>
  <c r="W167" i="7"/>
  <c r="X167" i="7"/>
  <c r="AA167" i="7"/>
  <c r="V166" i="7"/>
  <c r="Q166" i="7"/>
  <c r="W166" i="7"/>
  <c r="X166" i="7"/>
  <c r="AA166" i="7"/>
  <c r="V165" i="7"/>
  <c r="Q165" i="7"/>
  <c r="W165" i="7"/>
  <c r="X165" i="7"/>
  <c r="AA165" i="7"/>
  <c r="V162" i="7"/>
  <c r="Q162" i="7"/>
  <c r="W162" i="7"/>
  <c r="X162" i="7"/>
  <c r="AA162" i="7"/>
  <c r="Q161" i="7"/>
  <c r="V161" i="7"/>
  <c r="W161" i="7"/>
  <c r="X161" i="7"/>
  <c r="AA161" i="7"/>
  <c r="V160" i="7"/>
  <c r="Q160" i="7"/>
  <c r="W160" i="7"/>
  <c r="X160" i="7"/>
  <c r="AA160" i="7"/>
  <c r="V151" i="7"/>
  <c r="Q151" i="7"/>
  <c r="W151" i="7"/>
  <c r="X151" i="7"/>
  <c r="AA151" i="7"/>
  <c r="V146" i="7"/>
  <c r="W146" i="7"/>
  <c r="X146" i="7"/>
  <c r="AA146" i="7"/>
  <c r="V144" i="7"/>
  <c r="W144" i="7"/>
  <c r="X144" i="7"/>
  <c r="AA144" i="7"/>
  <c r="Q142" i="7"/>
  <c r="V142" i="7"/>
  <c r="W142" i="7"/>
  <c r="X142" i="7"/>
  <c r="AA142" i="7"/>
  <c r="Q140" i="7"/>
  <c r="V140" i="7"/>
  <c r="W140" i="7"/>
  <c r="X140" i="7"/>
  <c r="AA140" i="7"/>
  <c r="Q139" i="7"/>
  <c r="V139" i="7"/>
  <c r="W139" i="7"/>
  <c r="X139" i="7"/>
  <c r="AA139" i="7"/>
  <c r="Q138" i="7"/>
  <c r="V138" i="7"/>
  <c r="W138" i="7"/>
  <c r="X138" i="7"/>
  <c r="AA138" i="7"/>
  <c r="V137" i="7"/>
  <c r="W137" i="7"/>
  <c r="X137" i="7"/>
  <c r="AA137" i="7"/>
  <c r="V136" i="7"/>
  <c r="W136" i="7"/>
  <c r="X136" i="7"/>
  <c r="AA136" i="7"/>
  <c r="V135" i="7"/>
  <c r="W135" i="7"/>
  <c r="X135" i="7"/>
  <c r="AA135" i="7"/>
  <c r="V130" i="7"/>
  <c r="W130" i="7"/>
  <c r="X130" i="7"/>
  <c r="AA130" i="7"/>
  <c r="Q129" i="7"/>
  <c r="V129" i="7"/>
  <c r="W129" i="7"/>
  <c r="X129" i="7"/>
  <c r="AA129" i="7"/>
  <c r="Q128" i="7"/>
  <c r="V128" i="7"/>
  <c r="W128" i="7"/>
  <c r="X128" i="7"/>
  <c r="AA128" i="7"/>
  <c r="Q127" i="7"/>
  <c r="V127" i="7"/>
  <c r="W127" i="7"/>
  <c r="X127" i="7"/>
  <c r="AA127" i="7"/>
  <c r="Q126" i="7"/>
  <c r="V126" i="7"/>
  <c r="W126" i="7"/>
  <c r="X126" i="7"/>
  <c r="AA126" i="7"/>
  <c r="Q125" i="7"/>
  <c r="V125" i="7"/>
  <c r="W125" i="7"/>
  <c r="X125" i="7"/>
  <c r="AA125" i="7"/>
  <c r="Q124" i="7"/>
  <c r="V124" i="7"/>
  <c r="W124" i="7"/>
  <c r="X124" i="7"/>
  <c r="AA124" i="7"/>
  <c r="Q123" i="7"/>
  <c r="V123" i="7"/>
  <c r="W123" i="7"/>
  <c r="X123" i="7"/>
  <c r="AA123" i="7"/>
  <c r="Q122" i="7"/>
  <c r="V122" i="7"/>
  <c r="W122" i="7"/>
  <c r="X122" i="7"/>
  <c r="AA122" i="7"/>
  <c r="Q121" i="7"/>
  <c r="V121" i="7"/>
  <c r="W121" i="7"/>
  <c r="X121" i="7"/>
  <c r="AA121" i="7"/>
  <c r="Q120" i="7"/>
  <c r="V120" i="7"/>
  <c r="W120" i="7"/>
  <c r="X120" i="7"/>
  <c r="AA120" i="7"/>
  <c r="Q119" i="7"/>
  <c r="V119" i="7"/>
  <c r="W119" i="7"/>
  <c r="X119" i="7"/>
  <c r="AA119" i="7"/>
  <c r="Q118" i="7"/>
  <c r="V118" i="7"/>
  <c r="W118" i="7"/>
  <c r="X118" i="7"/>
  <c r="AA118" i="7"/>
  <c r="Q115" i="7"/>
  <c r="V115" i="7"/>
  <c r="W115" i="7"/>
  <c r="X115" i="7"/>
  <c r="AA115" i="7"/>
  <c r="Q83" i="7"/>
  <c r="V83" i="7"/>
  <c r="W83" i="7"/>
  <c r="X83" i="7"/>
  <c r="AA83" i="7"/>
  <c r="Q82" i="7"/>
  <c r="V82" i="7"/>
  <c r="W82" i="7"/>
  <c r="X82" i="7"/>
  <c r="AA82" i="7"/>
  <c r="Q81" i="7"/>
  <c r="V81" i="7"/>
  <c r="W81" i="7"/>
  <c r="X81" i="7"/>
  <c r="AA81" i="7"/>
  <c r="Q80" i="7"/>
  <c r="V80" i="7"/>
  <c r="W80" i="7"/>
  <c r="X80" i="7"/>
  <c r="AA80" i="7"/>
  <c r="Q79" i="7"/>
  <c r="V79" i="7"/>
  <c r="W79" i="7"/>
  <c r="X79" i="7"/>
  <c r="AA79" i="7"/>
  <c r="AH269" i="7"/>
  <c r="AG269" i="7"/>
  <c r="AD269" i="7"/>
  <c r="AC269" i="7"/>
  <c r="AH268" i="7"/>
  <c r="AF268" i="7"/>
  <c r="AD268" i="7"/>
  <c r="AB268" i="7"/>
  <c r="AG267" i="7"/>
  <c r="AF267" i="7"/>
  <c r="AD267" i="7"/>
  <c r="AC267" i="7"/>
  <c r="AB267" i="7"/>
  <c r="AH266" i="7"/>
  <c r="AG266" i="7"/>
  <c r="AD266" i="7"/>
  <c r="AC266" i="7"/>
  <c r="AH265" i="7"/>
  <c r="AG265" i="7"/>
  <c r="AD265" i="7"/>
  <c r="AC265" i="7"/>
  <c r="AH264" i="7"/>
  <c r="AG264" i="7"/>
  <c r="AF264" i="7"/>
  <c r="AD264" i="7"/>
  <c r="AC264" i="7"/>
  <c r="AH263" i="7"/>
  <c r="AG263" i="7"/>
  <c r="AF263" i="7"/>
  <c r="AD263" i="7"/>
  <c r="AC263" i="7"/>
  <c r="AH262" i="7"/>
  <c r="AG262" i="7"/>
  <c r="AF262" i="7"/>
  <c r="AD262" i="7"/>
  <c r="AC262" i="7"/>
  <c r="AH261" i="7"/>
  <c r="AF261" i="7"/>
  <c r="AD261" i="7"/>
  <c r="AB261" i="7"/>
  <c r="AH260" i="7"/>
  <c r="AG260" i="7"/>
  <c r="AF260" i="7"/>
  <c r="AD260" i="7"/>
  <c r="AC260" i="7"/>
  <c r="AH259" i="7"/>
  <c r="AG259" i="7"/>
  <c r="AF259" i="7"/>
  <c r="AD259" i="7"/>
  <c r="AB259" i="7"/>
  <c r="AH258" i="7"/>
  <c r="AG258" i="7"/>
  <c r="AF258" i="7"/>
  <c r="AD258" i="7"/>
  <c r="AB258" i="7"/>
  <c r="AH257" i="7"/>
  <c r="AG257" i="7"/>
  <c r="AF257" i="7"/>
  <c r="AD257" i="7"/>
  <c r="AB257" i="7"/>
  <c r="AH256" i="7"/>
  <c r="AF256" i="7"/>
  <c r="AD256" i="7"/>
  <c r="AB256" i="7"/>
  <c r="AH255" i="7"/>
  <c r="AG255" i="7"/>
  <c r="AD255" i="7"/>
  <c r="AC255" i="7"/>
  <c r="AH254" i="7"/>
  <c r="AG254" i="7"/>
  <c r="AF254" i="7"/>
  <c r="AD254" i="7"/>
  <c r="AB254" i="7"/>
  <c r="AH253" i="7"/>
  <c r="AG253" i="7"/>
  <c r="AF253" i="7"/>
  <c r="AC253" i="7"/>
  <c r="AB253" i="7"/>
  <c r="AH252" i="7"/>
  <c r="AG252" i="7"/>
  <c r="AF252" i="7"/>
  <c r="AD252" i="7"/>
  <c r="AB252" i="7"/>
  <c r="AH251" i="7"/>
  <c r="AG251" i="7"/>
  <c r="AF251" i="7"/>
  <c r="AD251" i="7"/>
  <c r="AB251" i="7"/>
  <c r="AH250" i="7"/>
  <c r="AG250" i="7"/>
  <c r="AD250" i="7"/>
  <c r="AC250" i="7"/>
  <c r="AH249" i="7"/>
  <c r="AG249" i="7"/>
  <c r="AD249" i="7"/>
  <c r="AC249" i="7"/>
  <c r="AG248" i="7"/>
  <c r="AF248" i="7"/>
  <c r="AC248" i="7"/>
  <c r="AB248" i="7"/>
  <c r="AH247" i="7"/>
  <c r="AG247" i="7"/>
  <c r="AD247" i="7"/>
  <c r="AC247" i="7"/>
  <c r="AH246" i="7"/>
  <c r="AG246" i="7"/>
  <c r="AF246" i="7"/>
  <c r="AD246" i="7"/>
  <c r="AC246" i="7"/>
  <c r="AH245" i="7"/>
  <c r="AG245" i="7"/>
  <c r="AF245" i="7"/>
  <c r="AD245" i="7"/>
  <c r="AC245" i="7"/>
  <c r="AH244" i="7"/>
  <c r="AF244" i="7"/>
  <c r="AD244" i="7"/>
  <c r="AB244" i="7"/>
  <c r="AH243" i="7"/>
  <c r="AG243" i="7"/>
  <c r="AF243" i="7"/>
  <c r="AD243" i="7"/>
  <c r="AB243" i="7"/>
  <c r="AG242" i="7"/>
  <c r="AF242" i="7"/>
  <c r="AC242" i="7"/>
  <c r="AB242" i="7"/>
  <c r="AH241" i="7"/>
  <c r="AG241" i="7"/>
  <c r="AF241" i="7"/>
  <c r="AD241" i="7"/>
  <c r="AB241" i="7"/>
  <c r="AH240" i="7"/>
  <c r="AG240" i="7"/>
  <c r="AF240" i="7"/>
  <c r="AD240" i="7"/>
  <c r="AB240" i="7"/>
  <c r="AH239" i="7"/>
  <c r="AG239" i="7"/>
  <c r="AF239" i="7"/>
  <c r="AD239" i="7"/>
  <c r="AB239" i="7"/>
  <c r="AH238" i="7"/>
  <c r="AG238" i="7"/>
  <c r="AF238" i="7"/>
  <c r="AD238" i="7"/>
  <c r="AB238" i="7"/>
  <c r="AH237" i="7"/>
  <c r="AF237" i="7"/>
  <c r="AD237" i="7"/>
  <c r="AB237" i="7"/>
  <c r="AH236" i="7"/>
  <c r="AF236" i="7"/>
  <c r="AD236" i="7"/>
  <c r="AB236" i="7"/>
  <c r="AH235" i="7"/>
  <c r="AG235" i="7"/>
  <c r="AF235" i="7"/>
  <c r="AD235" i="7"/>
  <c r="AB235" i="7"/>
  <c r="AH234" i="7"/>
  <c r="AG234" i="7"/>
  <c r="AF234" i="7"/>
  <c r="AD234" i="7"/>
  <c r="AC234" i="7"/>
  <c r="AH233" i="7"/>
  <c r="AG233" i="7"/>
  <c r="AD233" i="7"/>
  <c r="AC233" i="7"/>
  <c r="AH232" i="7"/>
  <c r="AG232" i="7"/>
  <c r="AD232" i="7"/>
  <c r="AC232" i="7"/>
  <c r="AH231" i="7"/>
  <c r="AF231" i="7"/>
  <c r="AD231" i="7"/>
  <c r="AB231" i="7"/>
  <c r="AH230" i="7"/>
  <c r="AG230" i="7"/>
  <c r="AF230" i="7"/>
  <c r="AD230" i="7"/>
  <c r="AB230" i="7"/>
  <c r="AH229" i="7"/>
  <c r="AG229" i="7"/>
  <c r="AF229" i="7"/>
  <c r="AD229" i="7"/>
  <c r="AB229" i="7"/>
  <c r="AH228" i="7"/>
  <c r="AF228" i="7"/>
  <c r="AD228" i="7"/>
  <c r="AB228" i="7"/>
  <c r="AH227" i="7"/>
  <c r="AG227" i="7"/>
  <c r="AF227" i="7"/>
  <c r="AD227" i="7"/>
  <c r="AB227" i="7"/>
  <c r="AH226" i="7"/>
  <c r="AF226" i="7"/>
  <c r="AD226" i="7"/>
  <c r="AB226" i="7"/>
  <c r="AH225" i="7"/>
  <c r="AG225" i="7"/>
  <c r="AF225" i="7"/>
  <c r="AD225" i="7"/>
  <c r="AB225" i="7"/>
  <c r="AH224" i="7"/>
  <c r="AG224" i="7"/>
  <c r="AF224" i="7"/>
  <c r="AD224" i="7"/>
  <c r="AB224" i="7"/>
  <c r="AH223" i="7"/>
  <c r="AG223" i="7"/>
  <c r="AF223" i="7"/>
  <c r="AD223" i="7"/>
  <c r="AC223" i="7"/>
  <c r="AH222" i="7"/>
  <c r="AG222" i="7"/>
  <c r="AD222" i="7"/>
  <c r="AC222" i="7"/>
  <c r="AH221" i="7"/>
  <c r="AG221" i="7"/>
  <c r="AD221" i="7"/>
  <c r="AC221" i="7"/>
  <c r="AH220" i="7"/>
  <c r="AG220" i="7"/>
  <c r="AF220" i="7"/>
  <c r="AD220" i="7"/>
  <c r="AB220" i="7"/>
  <c r="AH219" i="7"/>
  <c r="AG219" i="7"/>
  <c r="AF219" i="7"/>
  <c r="AD219" i="7"/>
  <c r="AC219" i="7"/>
  <c r="AH218" i="7"/>
  <c r="AG218" i="7"/>
  <c r="AF218" i="7"/>
  <c r="AD218" i="7"/>
  <c r="AC218" i="7"/>
  <c r="AH217" i="7"/>
  <c r="AG217" i="7"/>
  <c r="AF217" i="7"/>
  <c r="AD217" i="7"/>
  <c r="AB217" i="7"/>
  <c r="AH216" i="7"/>
  <c r="AG216" i="7"/>
  <c r="AF216" i="7"/>
  <c r="AD216" i="7"/>
  <c r="AC216" i="7"/>
  <c r="AH215" i="7"/>
  <c r="AG215" i="7"/>
  <c r="AF215" i="7"/>
  <c r="AD215" i="7"/>
  <c r="AC215" i="7"/>
  <c r="AH214" i="7"/>
  <c r="AG214" i="7"/>
  <c r="AD214" i="7"/>
  <c r="AC214" i="7"/>
  <c r="AH213" i="7"/>
  <c r="AF213" i="7"/>
  <c r="AD213" i="7"/>
  <c r="AB213" i="7"/>
  <c r="AH212" i="7"/>
  <c r="AG212" i="7"/>
  <c r="AF212" i="7"/>
  <c r="AD212" i="7"/>
  <c r="AC212" i="7"/>
  <c r="AH211" i="7"/>
  <c r="AG211" i="7"/>
  <c r="AF211" i="7"/>
  <c r="AD211" i="7"/>
  <c r="AC211" i="7"/>
  <c r="AH210" i="7"/>
  <c r="AG210" i="7"/>
  <c r="AF210" i="7"/>
  <c r="AD210" i="7"/>
  <c r="AC210" i="7"/>
  <c r="AH209" i="7"/>
  <c r="AG209" i="7"/>
  <c r="AF209" i="7"/>
  <c r="AD209" i="7"/>
  <c r="AB209" i="7"/>
  <c r="AH208" i="7"/>
  <c r="AF208" i="7"/>
  <c r="AD208" i="7"/>
  <c r="AB208" i="7"/>
  <c r="AH207" i="7"/>
  <c r="AG207" i="7"/>
  <c r="AF207" i="7"/>
  <c r="AC207" i="7"/>
  <c r="AB207" i="7"/>
  <c r="AH206" i="7"/>
  <c r="AF206" i="7"/>
  <c r="AD206" i="7"/>
  <c r="AB206" i="7"/>
  <c r="AH205" i="7"/>
  <c r="AG205" i="7"/>
  <c r="AF205" i="7"/>
  <c r="AD205" i="7"/>
  <c r="AC205" i="7"/>
  <c r="AH204" i="7"/>
  <c r="AG204" i="7"/>
  <c r="AD204" i="7"/>
  <c r="AC204" i="7"/>
  <c r="AH203" i="7"/>
  <c r="AG203" i="7"/>
  <c r="AF203" i="7"/>
  <c r="AD203" i="7"/>
  <c r="AC203" i="7"/>
  <c r="AH202" i="7"/>
  <c r="AG202" i="7"/>
  <c r="AD202" i="7"/>
  <c r="AC202" i="7"/>
  <c r="AH201" i="7"/>
  <c r="AG201" i="7"/>
  <c r="AD201" i="7"/>
  <c r="AC201" i="7"/>
  <c r="AH200" i="7"/>
  <c r="AG200" i="7"/>
  <c r="AD200" i="7"/>
  <c r="AC200" i="7"/>
  <c r="AH199" i="7"/>
  <c r="AG199" i="7"/>
  <c r="AF199" i="7"/>
  <c r="AD199" i="7"/>
  <c r="AC199" i="7"/>
  <c r="AH198" i="7"/>
  <c r="AG198" i="7"/>
  <c r="AF198" i="7"/>
  <c r="AD198" i="7"/>
  <c r="AC198" i="7"/>
  <c r="AH197" i="7"/>
  <c r="AG197" i="7"/>
  <c r="AF197" i="7"/>
  <c r="AD197" i="7"/>
  <c r="AC197" i="7"/>
  <c r="AH196" i="7"/>
  <c r="AG196" i="7"/>
  <c r="AF196" i="7"/>
  <c r="AD196" i="7"/>
  <c r="AC196" i="7"/>
  <c r="AH195" i="7"/>
  <c r="AG195" i="7"/>
  <c r="AF195" i="7"/>
  <c r="AD195" i="7"/>
  <c r="AB195" i="7"/>
  <c r="AH194" i="7"/>
  <c r="AG194" i="7"/>
  <c r="AF194" i="7"/>
  <c r="AD194" i="7"/>
  <c r="AB194" i="7"/>
  <c r="AH193" i="7"/>
  <c r="AG193" i="7"/>
  <c r="AF193" i="7"/>
  <c r="AD193" i="7"/>
  <c r="AB193" i="7"/>
  <c r="AH192" i="7"/>
  <c r="AF192" i="7"/>
  <c r="AD192" i="7"/>
  <c r="AB192" i="7"/>
  <c r="AH191" i="7"/>
  <c r="AF191" i="7"/>
  <c r="AD191" i="7"/>
  <c r="AB191" i="7"/>
  <c r="AH190" i="7"/>
  <c r="AF190" i="7"/>
  <c r="AD190" i="7"/>
  <c r="AB190" i="7"/>
  <c r="AH189" i="7"/>
  <c r="AG189" i="7"/>
  <c r="AF189" i="7"/>
  <c r="AD189" i="7"/>
  <c r="AC189" i="7"/>
  <c r="AH188" i="7"/>
  <c r="AG188" i="7"/>
  <c r="AF188" i="7"/>
  <c r="AD188" i="7"/>
  <c r="AC188" i="7"/>
  <c r="AH187" i="7"/>
  <c r="AG187" i="7"/>
  <c r="AF187" i="7"/>
  <c r="AD187" i="7"/>
  <c r="AC187" i="7"/>
  <c r="AH186" i="7"/>
  <c r="AG186" i="7"/>
  <c r="AF186" i="7"/>
  <c r="AD186" i="7"/>
  <c r="AC186" i="7"/>
  <c r="AH185" i="7"/>
  <c r="AG185" i="7"/>
  <c r="AF185" i="7"/>
  <c r="AD185" i="7"/>
  <c r="AC185" i="7"/>
  <c r="AH184" i="7"/>
  <c r="AG184" i="7"/>
  <c r="AF184" i="7"/>
  <c r="AD184" i="7"/>
  <c r="AC184" i="7"/>
  <c r="AH183" i="7"/>
  <c r="AF183" i="7"/>
  <c r="AD183" i="7"/>
  <c r="AB183" i="7"/>
  <c r="AH182" i="7"/>
  <c r="AF182" i="7"/>
  <c r="AD182" i="7"/>
  <c r="AB182" i="7"/>
  <c r="AH181" i="7"/>
  <c r="AG181" i="7"/>
  <c r="AF181" i="7"/>
  <c r="AD181" i="7"/>
  <c r="AC181" i="7"/>
  <c r="AH180" i="7"/>
  <c r="AG180" i="7"/>
  <c r="AF180" i="7"/>
  <c r="AC180" i="7"/>
  <c r="AB180" i="7"/>
  <c r="AH179" i="7"/>
  <c r="AG179" i="7"/>
  <c r="AF179" i="7"/>
  <c r="AC179" i="7"/>
  <c r="AB179" i="7"/>
  <c r="AH178" i="7"/>
  <c r="AG178" i="7"/>
  <c r="AD178" i="7"/>
  <c r="AC178" i="7"/>
  <c r="AH177" i="7"/>
  <c r="AG177" i="7"/>
  <c r="AD177" i="7"/>
  <c r="AC177" i="7"/>
  <c r="AH176" i="7"/>
  <c r="AG176" i="7"/>
  <c r="AF176" i="7"/>
  <c r="AD176" i="7"/>
  <c r="AB176" i="7"/>
  <c r="AH175" i="7"/>
  <c r="AG175" i="7"/>
  <c r="AD175" i="7"/>
  <c r="AC175" i="7"/>
  <c r="AH174" i="7"/>
  <c r="AG174" i="7"/>
  <c r="AD174" i="7"/>
  <c r="AC174" i="7"/>
  <c r="AH173" i="7"/>
  <c r="AF173" i="7"/>
  <c r="AD173" i="7"/>
  <c r="AB173" i="7"/>
  <c r="AH172" i="7"/>
  <c r="AF172" i="7"/>
  <c r="AD172" i="7"/>
  <c r="AB172" i="7"/>
  <c r="AH171" i="7"/>
  <c r="AG171" i="7"/>
  <c r="AD171" i="7"/>
  <c r="AC171" i="7"/>
  <c r="AH170" i="7"/>
  <c r="AG170" i="7"/>
  <c r="AF170" i="7"/>
  <c r="AD170" i="7"/>
  <c r="AC170" i="7"/>
  <c r="AH169" i="7"/>
  <c r="AF169" i="7"/>
  <c r="AD169" i="7"/>
  <c r="AB169" i="7"/>
  <c r="AH168" i="7"/>
  <c r="AG168" i="7"/>
  <c r="AF168" i="7"/>
  <c r="AD168" i="7"/>
  <c r="AC168" i="7"/>
  <c r="AH167" i="7"/>
  <c r="AG167" i="7"/>
  <c r="AF167" i="7"/>
  <c r="AD167" i="7"/>
  <c r="AB167" i="7"/>
  <c r="AH166" i="7"/>
  <c r="AG166" i="7"/>
  <c r="AF166" i="7"/>
  <c r="AD166" i="7"/>
  <c r="AB166" i="7"/>
  <c r="AH165" i="7"/>
  <c r="AG165" i="7"/>
  <c r="AF165" i="7"/>
  <c r="AD165" i="7"/>
  <c r="AB165" i="7"/>
  <c r="AH164" i="7"/>
  <c r="AG164" i="7"/>
  <c r="AD164" i="7"/>
  <c r="AC164" i="7"/>
  <c r="AH163" i="7"/>
  <c r="AG163" i="7"/>
  <c r="AD163" i="7"/>
  <c r="AC163" i="7"/>
  <c r="AH162" i="7"/>
  <c r="AG162" i="7"/>
  <c r="AF162" i="7"/>
  <c r="AD162" i="7"/>
  <c r="AB162" i="7"/>
  <c r="AH161" i="7"/>
  <c r="AG161" i="7"/>
  <c r="AF161" i="7"/>
  <c r="AD161" i="7"/>
  <c r="AC161" i="7"/>
  <c r="AH160" i="7"/>
  <c r="AG160" i="7"/>
  <c r="AF160" i="7"/>
  <c r="AD160" i="7"/>
  <c r="AB160" i="7"/>
  <c r="AH159" i="7"/>
  <c r="AG159" i="7"/>
  <c r="AD159" i="7"/>
  <c r="AC159" i="7"/>
  <c r="AH158" i="7"/>
  <c r="AG158" i="7"/>
  <c r="AD158" i="7"/>
  <c r="AC158" i="7"/>
  <c r="AH157" i="7"/>
  <c r="AG157" i="7"/>
  <c r="AD157" i="7"/>
  <c r="AC157" i="7"/>
  <c r="AH156" i="7"/>
  <c r="AG156" i="7"/>
  <c r="AD156" i="7"/>
  <c r="AC156" i="7"/>
  <c r="AH155" i="7"/>
  <c r="AG155" i="7"/>
  <c r="AD155" i="7"/>
  <c r="AC155" i="7"/>
  <c r="AH154" i="7"/>
  <c r="AG154" i="7"/>
  <c r="AD154" i="7"/>
  <c r="AC154" i="7"/>
  <c r="AH153" i="7"/>
  <c r="AG153" i="7"/>
  <c r="AD153" i="7"/>
  <c r="AC153" i="7"/>
  <c r="AH152" i="7"/>
  <c r="AG152" i="7"/>
  <c r="AD152" i="7"/>
  <c r="AC152" i="7"/>
  <c r="AH151" i="7"/>
  <c r="AG151" i="7"/>
  <c r="AF151" i="7"/>
  <c r="AD151" i="7"/>
  <c r="AB151" i="7"/>
  <c r="AH150" i="7"/>
  <c r="AG150" i="7"/>
  <c r="AD150" i="7"/>
  <c r="AC150" i="7"/>
  <c r="AH149" i="7"/>
  <c r="AF149" i="7"/>
  <c r="AD149" i="7"/>
  <c r="AB149" i="7"/>
  <c r="AH148" i="7"/>
  <c r="AF148" i="7"/>
  <c r="AD148" i="7"/>
  <c r="AB148" i="7"/>
  <c r="AH147" i="7"/>
  <c r="AF147" i="7"/>
  <c r="J147" i="7"/>
  <c r="AD147" i="7"/>
  <c r="AC147" i="7"/>
  <c r="AB147" i="7"/>
  <c r="AH146" i="7"/>
  <c r="AG146" i="7"/>
  <c r="AF146" i="7"/>
  <c r="AD146" i="7"/>
  <c r="AC146" i="7"/>
  <c r="AH145" i="7"/>
  <c r="AF145" i="7"/>
  <c r="AD145" i="7"/>
  <c r="AB145" i="7"/>
  <c r="AH144" i="7"/>
  <c r="AG144" i="7"/>
  <c r="AF144" i="7"/>
  <c r="AD144" i="7"/>
  <c r="AC144" i="7"/>
  <c r="AH143" i="7"/>
  <c r="AG143" i="7"/>
  <c r="AD143" i="7"/>
  <c r="AC143" i="7"/>
  <c r="AH142" i="7"/>
  <c r="AG142" i="7"/>
  <c r="AF142" i="7"/>
  <c r="AD142" i="7"/>
  <c r="AC142" i="7"/>
  <c r="AH141" i="7"/>
  <c r="AG141" i="7"/>
  <c r="AD141" i="7"/>
  <c r="AC141" i="7"/>
  <c r="AH140" i="7"/>
  <c r="AG140" i="7"/>
  <c r="AF140" i="7"/>
  <c r="AD140" i="7"/>
  <c r="AC140" i="7"/>
  <c r="AH139" i="7"/>
  <c r="AG139" i="7"/>
  <c r="AF139" i="7"/>
  <c r="AD139" i="7"/>
  <c r="AC139" i="7"/>
  <c r="AH138" i="7"/>
  <c r="AG138" i="7"/>
  <c r="AF138" i="7"/>
  <c r="AD138" i="7"/>
  <c r="AC138" i="7"/>
  <c r="AH137" i="7"/>
  <c r="AG137" i="7"/>
  <c r="AF137" i="7"/>
  <c r="AD137" i="7"/>
  <c r="AC137" i="7"/>
  <c r="AH136" i="7"/>
  <c r="AG136" i="7"/>
  <c r="AF136" i="7"/>
  <c r="AD136" i="7"/>
  <c r="AC136" i="7"/>
  <c r="AH135" i="7"/>
  <c r="AG135" i="7"/>
  <c r="AF135" i="7"/>
  <c r="AD135" i="7"/>
  <c r="AC135" i="7"/>
  <c r="AH134" i="7"/>
  <c r="AF134" i="7"/>
  <c r="AD134" i="7"/>
  <c r="AB134" i="7"/>
  <c r="AH133" i="7"/>
  <c r="AF133" i="7"/>
  <c r="AD133" i="7"/>
  <c r="AB133" i="7"/>
  <c r="AH131" i="7"/>
  <c r="AG131" i="7"/>
  <c r="AF131" i="7"/>
  <c r="AD131" i="7"/>
  <c r="AC131" i="7"/>
  <c r="J131" i="7"/>
  <c r="AB131" i="7"/>
  <c r="AH130" i="7"/>
  <c r="AG130" i="7"/>
  <c r="AF130" i="7"/>
  <c r="AD130" i="7"/>
  <c r="AC130" i="7"/>
  <c r="AH129" i="7"/>
  <c r="AG129" i="7"/>
  <c r="AF129" i="7"/>
  <c r="AD129" i="7"/>
  <c r="AC129" i="7"/>
  <c r="AH128" i="7"/>
  <c r="AG128" i="7"/>
  <c r="AF128" i="7"/>
  <c r="AD128" i="7"/>
  <c r="AC128" i="7"/>
  <c r="AH127" i="7"/>
  <c r="AG127" i="7"/>
  <c r="AF127" i="7"/>
  <c r="AD127" i="7"/>
  <c r="AC127" i="7"/>
  <c r="AH126" i="7"/>
  <c r="AG126" i="7"/>
  <c r="AF126" i="7"/>
  <c r="AD126" i="7"/>
  <c r="AC126" i="7"/>
  <c r="AH125" i="7"/>
  <c r="AG125" i="7"/>
  <c r="AF125" i="7"/>
  <c r="AD125" i="7"/>
  <c r="AC125" i="7"/>
  <c r="AH124" i="7"/>
  <c r="AG124" i="7"/>
  <c r="AF124" i="7"/>
  <c r="AD124" i="7"/>
  <c r="AC124" i="7"/>
  <c r="AH123" i="7"/>
  <c r="AG123" i="7"/>
  <c r="AF123" i="7"/>
  <c r="AD123" i="7"/>
  <c r="AC123" i="7"/>
  <c r="AH122" i="7"/>
  <c r="AG122" i="7"/>
  <c r="AF122" i="7"/>
  <c r="AD122" i="7"/>
  <c r="AC122" i="7"/>
  <c r="AH121" i="7"/>
  <c r="AG121" i="7"/>
  <c r="AF121" i="7"/>
  <c r="AD121" i="7"/>
  <c r="AC121" i="7"/>
  <c r="AH120" i="7"/>
  <c r="AG120" i="7"/>
  <c r="AF120" i="7"/>
  <c r="AD120" i="7"/>
  <c r="AC120" i="7"/>
  <c r="AH119" i="7"/>
  <c r="AG119" i="7"/>
  <c r="AF119" i="7"/>
  <c r="AD119" i="7"/>
  <c r="AC119" i="7"/>
  <c r="AH118" i="7"/>
  <c r="AG118" i="7"/>
  <c r="AF118" i="7"/>
  <c r="AD118" i="7"/>
  <c r="AC118" i="7"/>
  <c r="AH117" i="7"/>
  <c r="AG117" i="7"/>
  <c r="AD117" i="7"/>
  <c r="AC117" i="7"/>
  <c r="AH116" i="7"/>
  <c r="AG116" i="7"/>
  <c r="AD116" i="7"/>
  <c r="AC116" i="7"/>
  <c r="AH115" i="7"/>
  <c r="AG115" i="7"/>
  <c r="AF115" i="7"/>
  <c r="AD115" i="7"/>
  <c r="AC115" i="7"/>
  <c r="AH114" i="7"/>
  <c r="AF114" i="7"/>
  <c r="AD114" i="7"/>
  <c r="AB114" i="7"/>
  <c r="AH113" i="7"/>
  <c r="AH19" i="7"/>
  <c r="AH20" i="7"/>
  <c r="AH21" i="7"/>
  <c r="AH22" i="7"/>
  <c r="AH23" i="7"/>
  <c r="AH24" i="7"/>
  <c r="AH25" i="7"/>
  <c r="AH26" i="7"/>
  <c r="AH27" i="7"/>
  <c r="AH28" i="7"/>
  <c r="AH29" i="7"/>
  <c r="AH30" i="7"/>
  <c r="AH31" i="7"/>
  <c r="AH33" i="7"/>
  <c r="AH34" i="7"/>
  <c r="AH35" i="7"/>
  <c r="AH36" i="7"/>
  <c r="AH37" i="7"/>
  <c r="AH38" i="7"/>
  <c r="AH39" i="7"/>
  <c r="AH40" i="7"/>
  <c r="AH41" i="7"/>
  <c r="AH42" i="7"/>
  <c r="Q43" i="7"/>
  <c r="AH43" i="7"/>
  <c r="AH44" i="7"/>
  <c r="AH45" i="7"/>
  <c r="AH46" i="7"/>
  <c r="AH47" i="7"/>
  <c r="AH48" i="7"/>
  <c r="AH49" i="7"/>
  <c r="AH50" i="7"/>
  <c r="AH51" i="7"/>
  <c r="AH52" i="7"/>
  <c r="AH53" i="7"/>
  <c r="AH54" i="7"/>
  <c r="AH55" i="7"/>
  <c r="AH56" i="7"/>
  <c r="AH57" i="7"/>
  <c r="AH58" i="7"/>
  <c r="AH59" i="7"/>
  <c r="AH60" i="7"/>
  <c r="AH61" i="7"/>
  <c r="AH62" i="7"/>
  <c r="AH63" i="7"/>
  <c r="AH64" i="7"/>
  <c r="AH65" i="7"/>
  <c r="AH66" i="7"/>
  <c r="AH67" i="7"/>
  <c r="AH68" i="7"/>
  <c r="AH69" i="7"/>
  <c r="AH70" i="7"/>
  <c r="AH71" i="7"/>
  <c r="AH72" i="7"/>
  <c r="AH74" i="7"/>
  <c r="AH75" i="7"/>
  <c r="AH76" i="7"/>
  <c r="AH77" i="7"/>
  <c r="AH78" i="7"/>
  <c r="AH79" i="7"/>
  <c r="AH80" i="7"/>
  <c r="AH81" i="7"/>
  <c r="AH82" i="7"/>
  <c r="AH83" i="7"/>
  <c r="AH84" i="7"/>
  <c r="AH85" i="7"/>
  <c r="AH86" i="7"/>
  <c r="AH87" i="7"/>
  <c r="AH88" i="7"/>
  <c r="AH89" i="7"/>
  <c r="AH90" i="7"/>
  <c r="AH91" i="7"/>
  <c r="AH92" i="7"/>
  <c r="AH93" i="7"/>
  <c r="AH94" i="7"/>
  <c r="AH95" i="7"/>
  <c r="AH96" i="7"/>
  <c r="AH97" i="7"/>
  <c r="AH98" i="7"/>
  <c r="AH99" i="7"/>
  <c r="AH100" i="7"/>
  <c r="AH101" i="7"/>
  <c r="AH102" i="7"/>
  <c r="AH103" i="7"/>
  <c r="AH104" i="7"/>
  <c r="Q105" i="7"/>
  <c r="AH105" i="7"/>
  <c r="Q106" i="7"/>
  <c r="AH106" i="7"/>
  <c r="AH107" i="7"/>
  <c r="AH108" i="7"/>
  <c r="AH109" i="7"/>
  <c r="AH110" i="7"/>
  <c r="AH111" i="7"/>
  <c r="AH112" i="7"/>
  <c r="Q242" i="7"/>
  <c r="AH242" i="7"/>
  <c r="Q248" i="7"/>
  <c r="AH248" i="7"/>
  <c r="Q267" i="7"/>
  <c r="AH267" i="7"/>
  <c r="AH270" i="7"/>
  <c r="AH274" i="7"/>
  <c r="AF113" i="7"/>
  <c r="Q19" i="7"/>
  <c r="AF19" i="7"/>
  <c r="AF20" i="7"/>
  <c r="Q21" i="7"/>
  <c r="AF21" i="7"/>
  <c r="AF22" i="7"/>
  <c r="AF23" i="7"/>
  <c r="Q24" i="7"/>
  <c r="AF24" i="7"/>
  <c r="Q25" i="7"/>
  <c r="AF25" i="7"/>
  <c r="Q26" i="7"/>
  <c r="AF26" i="7"/>
  <c r="AF27" i="7"/>
  <c r="AF28" i="7"/>
  <c r="AF29" i="7"/>
  <c r="AF30" i="7"/>
  <c r="AF31" i="7"/>
  <c r="AF33" i="7"/>
  <c r="Q34" i="7"/>
  <c r="AF34" i="7"/>
  <c r="Q35" i="7"/>
  <c r="AF35" i="7"/>
  <c r="Q36" i="7"/>
  <c r="AF36" i="7"/>
  <c r="Q37" i="7"/>
  <c r="AF37" i="7"/>
  <c r="Q38" i="7"/>
  <c r="AF38" i="7"/>
  <c r="Q39" i="7"/>
  <c r="AF39" i="7"/>
  <c r="Q40" i="7"/>
  <c r="AF40" i="7"/>
  <c r="Q41" i="7"/>
  <c r="AF41" i="7"/>
  <c r="Q42" i="7"/>
  <c r="AF42" i="7"/>
  <c r="AF43" i="7"/>
  <c r="Q44" i="7"/>
  <c r="AF44" i="7"/>
  <c r="Q45" i="7"/>
  <c r="AF45" i="7"/>
  <c r="AF46" i="7"/>
  <c r="AF47" i="7"/>
  <c r="AF48" i="7"/>
  <c r="Q49" i="7"/>
  <c r="AF49" i="7"/>
  <c r="AF50" i="7"/>
  <c r="AF51" i="7"/>
  <c r="AF52" i="7"/>
  <c r="Q53" i="7"/>
  <c r="AF53" i="7"/>
  <c r="Q54" i="7"/>
  <c r="AF54" i="7"/>
  <c r="Q55" i="7"/>
  <c r="AF55" i="7"/>
  <c r="AF56" i="7"/>
  <c r="AF57" i="7"/>
  <c r="AF58" i="7"/>
  <c r="AF59" i="7"/>
  <c r="Q60" i="7"/>
  <c r="AF60" i="7"/>
  <c r="AF61" i="7"/>
  <c r="Q62" i="7"/>
  <c r="AF62" i="7"/>
  <c r="AF63" i="7"/>
  <c r="AF64" i="7"/>
  <c r="AF65" i="7"/>
  <c r="Q66" i="7"/>
  <c r="AF66" i="7"/>
  <c r="Q67" i="7"/>
  <c r="AF67" i="7"/>
  <c r="Q68" i="7"/>
  <c r="AF68" i="7"/>
  <c r="Q69" i="7"/>
  <c r="AF69" i="7"/>
  <c r="Q70" i="7"/>
  <c r="AF70" i="7"/>
  <c r="Q71" i="7"/>
  <c r="AF71" i="7"/>
  <c r="Q72" i="7"/>
  <c r="AF72" i="7"/>
  <c r="Q74" i="7"/>
  <c r="AF74" i="7"/>
  <c r="Q75" i="7"/>
  <c r="AF75" i="7"/>
  <c r="Q76" i="7"/>
  <c r="AF76" i="7"/>
  <c r="Q77" i="7"/>
  <c r="AF77" i="7"/>
  <c r="Q78" i="7"/>
  <c r="AF78" i="7"/>
  <c r="AF79" i="7"/>
  <c r="AF80" i="7"/>
  <c r="AF81" i="7"/>
  <c r="AF82" i="7"/>
  <c r="AF83" i="7"/>
  <c r="AF84" i="7"/>
  <c r="Q85" i="7"/>
  <c r="AF85" i="7"/>
  <c r="AF86" i="7"/>
  <c r="Q87" i="7"/>
  <c r="AF87" i="7"/>
  <c r="AF88" i="7"/>
  <c r="AF89" i="7"/>
  <c r="AF90" i="7"/>
  <c r="Q91" i="7"/>
  <c r="AF91" i="7"/>
  <c r="AF92" i="7"/>
  <c r="AF93" i="7"/>
  <c r="Q94" i="7"/>
  <c r="AF94" i="7"/>
  <c r="Q95" i="7"/>
  <c r="AF95" i="7"/>
  <c r="Q96" i="7"/>
  <c r="AF96" i="7"/>
  <c r="Q97" i="7"/>
  <c r="AF97" i="7"/>
  <c r="Q98" i="7"/>
  <c r="AF98" i="7"/>
  <c r="Q99" i="7"/>
  <c r="AF99" i="7"/>
  <c r="Q100" i="7"/>
  <c r="AF100" i="7"/>
  <c r="Q101" i="7"/>
  <c r="AF101" i="7"/>
  <c r="AF102" i="7"/>
  <c r="AF103" i="7"/>
  <c r="AF104" i="7"/>
  <c r="AF105" i="7"/>
  <c r="AF106" i="7"/>
  <c r="AF107" i="7"/>
  <c r="AF108" i="7"/>
  <c r="Q109" i="7"/>
  <c r="AF109" i="7"/>
  <c r="AF110" i="7"/>
  <c r="Q111" i="7"/>
  <c r="AF111" i="7"/>
  <c r="AF112" i="7"/>
  <c r="Q116" i="7"/>
  <c r="AF116" i="7"/>
  <c r="Q117" i="7"/>
  <c r="AF117" i="7"/>
  <c r="Q141" i="7"/>
  <c r="AF141" i="7"/>
  <c r="Q143" i="7"/>
  <c r="AF143" i="7"/>
  <c r="Q150" i="7"/>
  <c r="AF150" i="7"/>
  <c r="Q152" i="7"/>
  <c r="AF152" i="7"/>
  <c r="Q153" i="7"/>
  <c r="AF153" i="7"/>
  <c r="Q154" i="7"/>
  <c r="AF154" i="7"/>
  <c r="Q155" i="7"/>
  <c r="AF155" i="7"/>
  <c r="Q156" i="7"/>
  <c r="AF156" i="7"/>
  <c r="Q157" i="7"/>
  <c r="AF157" i="7"/>
  <c r="Q158" i="7"/>
  <c r="AF158" i="7"/>
  <c r="Q159" i="7"/>
  <c r="AF159" i="7"/>
  <c r="Q163" i="7"/>
  <c r="AF163" i="7"/>
  <c r="Q164" i="7"/>
  <c r="AF164" i="7"/>
  <c r="Q171" i="7"/>
  <c r="AF171" i="7"/>
  <c r="Q174" i="7"/>
  <c r="AF174" i="7"/>
  <c r="Q175" i="7"/>
  <c r="AF175" i="7"/>
  <c r="Q177" i="7"/>
  <c r="AF177" i="7"/>
  <c r="Q178" i="7"/>
  <c r="AF178" i="7"/>
  <c r="Q200" i="7"/>
  <c r="AF200" i="7"/>
  <c r="Q201" i="7"/>
  <c r="AF201" i="7"/>
  <c r="Q202" i="7"/>
  <c r="AF202" i="7"/>
  <c r="Q204" i="7"/>
  <c r="AF204" i="7"/>
  <c r="Q214" i="7"/>
  <c r="AF214" i="7"/>
  <c r="Q221" i="7"/>
  <c r="AF221" i="7"/>
  <c r="Q222" i="7"/>
  <c r="AF222" i="7"/>
  <c r="Q232" i="7"/>
  <c r="AF232" i="7"/>
  <c r="Q233" i="7"/>
  <c r="AF233" i="7"/>
  <c r="Q247" i="7"/>
  <c r="AF247" i="7"/>
  <c r="Q249" i="7"/>
  <c r="AF249" i="7"/>
  <c r="Q250" i="7"/>
  <c r="AF250" i="7"/>
  <c r="Q255" i="7"/>
  <c r="AF255" i="7"/>
  <c r="Q265" i="7"/>
  <c r="AF265" i="7"/>
  <c r="Q266" i="7"/>
  <c r="AF266" i="7"/>
  <c r="Q269" i="7"/>
  <c r="AF269" i="7"/>
  <c r="AF270" i="7"/>
  <c r="AF274" i="7"/>
  <c r="AD113" i="7"/>
  <c r="AB113" i="7"/>
  <c r="AD112" i="7"/>
  <c r="AB112" i="7"/>
  <c r="AG111" i="7"/>
  <c r="AD111" i="7"/>
  <c r="AC111" i="7"/>
  <c r="AD110" i="7"/>
  <c r="AB110" i="7"/>
  <c r="AG109" i="7"/>
  <c r="AD109" i="7"/>
  <c r="AC109" i="7"/>
  <c r="AD108" i="7"/>
  <c r="AB108" i="7"/>
  <c r="AD107" i="7"/>
  <c r="AB107" i="7"/>
  <c r="AG106" i="7"/>
  <c r="AD106" i="7"/>
  <c r="AC106" i="7"/>
  <c r="AB106" i="7"/>
  <c r="AG105" i="7"/>
  <c r="AC105" i="7"/>
  <c r="AB105" i="7"/>
  <c r="AD104" i="7"/>
  <c r="AB104" i="7"/>
  <c r="AD103" i="7"/>
  <c r="AB103" i="7"/>
  <c r="AD102" i="7"/>
  <c r="AB102" i="7"/>
  <c r="AG101" i="7"/>
  <c r="AD101" i="7"/>
  <c r="AC101" i="7"/>
  <c r="AG100" i="7"/>
  <c r="AD100" i="7"/>
  <c r="AC100" i="7"/>
  <c r="AG99" i="7"/>
  <c r="AD99" i="7"/>
  <c r="AC99" i="7"/>
  <c r="AG98" i="7"/>
  <c r="AD98" i="7"/>
  <c r="AC98" i="7"/>
  <c r="AG97" i="7"/>
  <c r="AD97" i="7"/>
  <c r="AC97" i="7"/>
  <c r="AG96" i="7"/>
  <c r="AD96" i="7"/>
  <c r="AC96" i="7"/>
  <c r="AG95" i="7"/>
  <c r="AD95" i="7"/>
  <c r="AC95" i="7"/>
  <c r="AG94" i="7"/>
  <c r="AD94" i="7"/>
  <c r="AC94" i="7"/>
  <c r="AD93" i="7"/>
  <c r="AB93" i="7"/>
  <c r="AD92" i="7"/>
  <c r="AB92" i="7"/>
  <c r="AG91" i="7"/>
  <c r="AD91" i="7"/>
  <c r="AC91" i="7"/>
  <c r="AD90" i="7"/>
  <c r="AB90" i="7"/>
  <c r="AD89" i="7"/>
  <c r="AB89" i="7"/>
  <c r="AD88" i="7"/>
  <c r="AB88" i="7"/>
  <c r="AG87" i="7"/>
  <c r="AD87" i="7"/>
  <c r="AC87" i="7"/>
  <c r="AD86" i="7"/>
  <c r="AB86" i="7"/>
  <c r="AG85" i="7"/>
  <c r="AD85" i="7"/>
  <c r="AC85" i="7"/>
  <c r="AD84" i="7"/>
  <c r="AB84" i="7"/>
  <c r="AG83" i="7"/>
  <c r="AD83" i="7"/>
  <c r="AC83" i="7"/>
  <c r="AG82" i="7"/>
  <c r="AD82" i="7"/>
  <c r="AC82" i="7"/>
  <c r="AG81" i="7"/>
  <c r="AD81" i="7"/>
  <c r="AC81" i="7"/>
  <c r="AG80" i="7"/>
  <c r="AD80" i="7"/>
  <c r="AC80" i="7"/>
  <c r="AG79" i="7"/>
  <c r="AD79" i="7"/>
  <c r="AC79" i="7"/>
  <c r="AG78" i="7"/>
  <c r="AD78" i="7"/>
  <c r="AC78" i="7"/>
  <c r="AG77" i="7"/>
  <c r="AD77" i="7"/>
  <c r="AC77" i="7"/>
  <c r="AG76" i="7"/>
  <c r="AD76" i="7"/>
  <c r="AC76" i="7"/>
  <c r="AG75" i="7"/>
  <c r="AD75" i="7"/>
  <c r="AC75" i="7"/>
  <c r="AG74" i="7"/>
  <c r="AD74" i="7"/>
  <c r="AC74" i="7"/>
  <c r="AG72" i="7"/>
  <c r="AD72" i="7"/>
  <c r="AC72" i="7"/>
  <c r="AG71" i="7"/>
  <c r="AD71" i="7"/>
  <c r="AC71" i="7"/>
  <c r="AG70" i="7"/>
  <c r="AD70" i="7"/>
  <c r="AC70" i="7"/>
  <c r="AG69" i="7"/>
  <c r="AD69" i="7"/>
  <c r="AC69" i="7"/>
  <c r="AG68" i="7"/>
  <c r="AD68" i="7"/>
  <c r="AC68" i="7"/>
  <c r="AG67" i="7"/>
  <c r="AD67" i="7"/>
  <c r="AC67" i="7"/>
  <c r="AG66" i="7"/>
  <c r="AD66" i="7"/>
  <c r="AC66" i="7"/>
  <c r="AD65" i="7"/>
  <c r="AB65" i="7"/>
  <c r="AD64" i="7"/>
  <c r="AB64" i="7"/>
  <c r="AD63" i="7"/>
  <c r="AB63" i="7"/>
  <c r="AG62" i="7"/>
  <c r="AD62" i="7"/>
  <c r="AC62" i="7"/>
  <c r="AD61" i="7"/>
  <c r="AB61" i="7"/>
  <c r="AG60" i="7"/>
  <c r="AD60" i="7"/>
  <c r="AC60" i="7"/>
  <c r="AD59" i="7"/>
  <c r="AB59" i="7"/>
  <c r="AD58" i="7"/>
  <c r="AB58" i="7"/>
  <c r="AD57" i="7"/>
  <c r="AB57" i="7"/>
  <c r="AD56" i="7"/>
  <c r="AB56" i="7"/>
  <c r="AG55" i="7"/>
  <c r="AD55" i="7"/>
  <c r="AC55" i="7"/>
  <c r="AG54" i="7"/>
  <c r="AD54" i="7"/>
  <c r="AC54" i="7"/>
  <c r="AG53" i="7"/>
  <c r="AD53" i="7"/>
  <c r="AC53" i="7"/>
  <c r="AD52" i="7"/>
  <c r="AB52" i="7"/>
  <c r="AD51" i="7"/>
  <c r="AB51" i="7"/>
  <c r="AD50" i="7"/>
  <c r="AB50" i="7"/>
  <c r="AG49" i="7"/>
  <c r="AD49" i="7"/>
  <c r="AC49" i="7"/>
  <c r="AD48" i="7"/>
  <c r="AB48" i="7"/>
  <c r="AD47" i="7"/>
  <c r="AB47" i="7"/>
  <c r="AD46" i="7"/>
  <c r="AB46" i="7"/>
  <c r="AG45" i="7"/>
  <c r="AD45" i="7"/>
  <c r="AC45" i="7"/>
  <c r="AG44" i="7"/>
  <c r="AD44" i="7"/>
  <c r="AC44" i="7"/>
  <c r="AG43" i="7"/>
  <c r="AC43" i="7"/>
  <c r="AB43" i="7"/>
  <c r="AG42" i="7"/>
  <c r="AD42" i="7"/>
  <c r="AC42" i="7"/>
  <c r="AG41" i="7"/>
  <c r="AD41" i="7"/>
  <c r="AC41" i="7"/>
  <c r="AG40" i="7"/>
  <c r="AD40" i="7"/>
  <c r="AC40" i="7"/>
  <c r="AG39" i="7"/>
  <c r="AD39" i="7"/>
  <c r="AC39" i="7"/>
  <c r="AG38" i="7"/>
  <c r="AD38" i="7"/>
  <c r="AC38" i="7"/>
  <c r="AG37" i="7"/>
  <c r="AD37" i="7"/>
  <c r="AC37" i="7"/>
  <c r="AG36" i="7"/>
  <c r="AD36" i="7"/>
  <c r="AC36" i="7"/>
  <c r="AG35" i="7"/>
  <c r="AD35" i="7"/>
  <c r="AC35" i="7"/>
  <c r="AG34" i="7"/>
  <c r="AD34" i="7"/>
  <c r="AC34" i="7"/>
  <c r="AD33" i="7"/>
  <c r="AB33" i="7"/>
  <c r="AD31" i="7"/>
  <c r="AB31" i="7"/>
  <c r="AG30" i="7"/>
  <c r="AD30" i="7"/>
  <c r="AC30" i="7"/>
  <c r="AD29" i="7"/>
  <c r="AB29" i="7"/>
  <c r="AD28" i="7"/>
  <c r="AB28" i="7"/>
  <c r="AD27" i="7"/>
  <c r="AB27" i="7"/>
  <c r="AG26" i="7"/>
  <c r="AD26" i="7"/>
  <c r="AC26" i="7"/>
  <c r="AG25" i="7"/>
  <c r="AD25" i="7"/>
  <c r="AC25" i="7"/>
  <c r="AG24" i="7"/>
  <c r="AD24" i="7"/>
  <c r="AC24" i="7"/>
  <c r="AD23" i="7"/>
  <c r="AB23" i="7"/>
  <c r="AD22" i="7"/>
  <c r="AB22" i="7"/>
  <c r="AG21" i="7"/>
  <c r="AD21" i="7"/>
  <c r="AC21" i="7"/>
  <c r="AD20" i="7"/>
  <c r="AB20" i="7"/>
  <c r="Z270" i="7"/>
  <c r="Y270" i="7"/>
  <c r="X269" i="7"/>
  <c r="W269" i="7"/>
  <c r="X268" i="7"/>
  <c r="W267" i="7"/>
  <c r="X266" i="7"/>
  <c r="W266" i="7"/>
  <c r="X265" i="7"/>
  <c r="W265" i="7"/>
  <c r="X261" i="7"/>
  <c r="X256" i="7"/>
  <c r="X255" i="7"/>
  <c r="W255" i="7"/>
  <c r="X250" i="7"/>
  <c r="W250" i="7"/>
  <c r="X249" i="7"/>
  <c r="W249" i="7"/>
  <c r="W248" i="7"/>
  <c r="X247" i="7"/>
  <c r="W247" i="7"/>
  <c r="X244" i="7"/>
  <c r="W242" i="7"/>
  <c r="X237" i="7"/>
  <c r="X236" i="7"/>
  <c r="X233" i="7"/>
  <c r="W233" i="7"/>
  <c r="X232" i="7"/>
  <c r="W232" i="7"/>
  <c r="X231" i="7"/>
  <c r="X228" i="7"/>
  <c r="X226" i="7"/>
  <c r="X222" i="7"/>
  <c r="W222" i="7"/>
  <c r="X221" i="7"/>
  <c r="W221" i="7"/>
  <c r="X214" i="7"/>
  <c r="W214" i="7"/>
  <c r="X213" i="7"/>
  <c r="X208" i="7"/>
  <c r="X206" i="7"/>
  <c r="X204" i="7"/>
  <c r="W204" i="7"/>
  <c r="X202" i="7"/>
  <c r="W202" i="7"/>
  <c r="X201" i="7"/>
  <c r="W201" i="7"/>
  <c r="X200" i="7"/>
  <c r="W200" i="7"/>
  <c r="X192" i="7"/>
  <c r="X191" i="7"/>
  <c r="X190" i="7"/>
  <c r="X183" i="7"/>
  <c r="X182" i="7"/>
  <c r="X178" i="7"/>
  <c r="W178" i="7"/>
  <c r="X177" i="7"/>
  <c r="W177" i="7"/>
  <c r="X175" i="7"/>
  <c r="W175" i="7"/>
  <c r="X174" i="7"/>
  <c r="W174" i="7"/>
  <c r="X173" i="7"/>
  <c r="X172" i="7"/>
  <c r="X171" i="7"/>
  <c r="W171" i="7"/>
  <c r="X169" i="7"/>
  <c r="X164" i="7"/>
  <c r="W164" i="7"/>
  <c r="X163" i="7"/>
  <c r="W163" i="7"/>
  <c r="X159" i="7"/>
  <c r="W159" i="7"/>
  <c r="X158" i="7"/>
  <c r="W158" i="7"/>
  <c r="X157" i="7"/>
  <c r="W157" i="7"/>
  <c r="X156" i="7"/>
  <c r="W156" i="7"/>
  <c r="X155" i="7"/>
  <c r="W155" i="7"/>
  <c r="X154" i="7"/>
  <c r="W154" i="7"/>
  <c r="X153" i="7"/>
  <c r="W153" i="7"/>
  <c r="X152" i="7"/>
  <c r="W152" i="7"/>
  <c r="X150" i="7"/>
  <c r="W150" i="7"/>
  <c r="X149" i="7"/>
  <c r="X148" i="7"/>
  <c r="X147" i="7"/>
  <c r="X145" i="7"/>
  <c r="X143" i="7"/>
  <c r="W143" i="7"/>
  <c r="X141" i="7"/>
  <c r="W141" i="7"/>
  <c r="X134" i="7"/>
  <c r="X133" i="7"/>
  <c r="X131" i="7"/>
  <c r="W131" i="7"/>
  <c r="X117" i="7"/>
  <c r="W117" i="7"/>
  <c r="X116" i="7"/>
  <c r="W116" i="7"/>
  <c r="X114" i="7"/>
  <c r="X113" i="7"/>
  <c r="X19" i="7"/>
  <c r="X20" i="7"/>
  <c r="X21" i="7"/>
  <c r="X22" i="7"/>
  <c r="X23" i="7"/>
  <c r="X24" i="7"/>
  <c r="X25" i="7"/>
  <c r="X26" i="7"/>
  <c r="X27" i="7"/>
  <c r="X28" i="7"/>
  <c r="X29" i="7"/>
  <c r="X30" i="7"/>
  <c r="X31" i="7"/>
  <c r="X33" i="7"/>
  <c r="X34" i="7"/>
  <c r="X35" i="7"/>
  <c r="X36" i="7"/>
  <c r="X37" i="7"/>
  <c r="X38" i="7"/>
  <c r="X39" i="7"/>
  <c r="X40" i="7"/>
  <c r="X41" i="7"/>
  <c r="X42" i="7"/>
  <c r="X43" i="7"/>
  <c r="X44" i="7"/>
  <c r="X45" i="7"/>
  <c r="X46" i="7"/>
  <c r="X47" i="7"/>
  <c r="X48" i="7"/>
  <c r="X49" i="7"/>
  <c r="X50" i="7"/>
  <c r="X51" i="7"/>
  <c r="X52" i="7"/>
  <c r="X53" i="7"/>
  <c r="X54" i="7"/>
  <c r="X55" i="7"/>
  <c r="X56" i="7"/>
  <c r="X57" i="7"/>
  <c r="X58" i="7"/>
  <c r="X59" i="7"/>
  <c r="X60" i="7"/>
  <c r="X61" i="7"/>
  <c r="X62" i="7"/>
  <c r="X63" i="7"/>
  <c r="X64" i="7"/>
  <c r="X65" i="7"/>
  <c r="X66" i="7"/>
  <c r="X67" i="7"/>
  <c r="X68" i="7"/>
  <c r="X69" i="7"/>
  <c r="X70" i="7"/>
  <c r="X71" i="7"/>
  <c r="X72" i="7"/>
  <c r="X74" i="7"/>
  <c r="X75" i="7"/>
  <c r="X76" i="7"/>
  <c r="X77" i="7"/>
  <c r="X78" i="7"/>
  <c r="X84" i="7"/>
  <c r="X85" i="7"/>
  <c r="X86" i="7"/>
  <c r="X87" i="7"/>
  <c r="X88" i="7"/>
  <c r="X89" i="7"/>
  <c r="X90" i="7"/>
  <c r="X91" i="7"/>
  <c r="X92" i="7"/>
  <c r="X93" i="7"/>
  <c r="X94" i="7"/>
  <c r="X95" i="7"/>
  <c r="X96" i="7"/>
  <c r="X97" i="7"/>
  <c r="X98" i="7"/>
  <c r="X99" i="7"/>
  <c r="X100" i="7"/>
  <c r="X101" i="7"/>
  <c r="X102" i="7"/>
  <c r="X103" i="7"/>
  <c r="X104" i="7"/>
  <c r="X105" i="7"/>
  <c r="X106" i="7"/>
  <c r="X107" i="7"/>
  <c r="X108" i="7"/>
  <c r="X109" i="7"/>
  <c r="X110" i="7"/>
  <c r="X111" i="7"/>
  <c r="X112" i="7"/>
  <c r="X242" i="7"/>
  <c r="X248" i="7"/>
  <c r="X267" i="7"/>
  <c r="X270" i="7"/>
  <c r="Y283" i="7"/>
  <c r="W111" i="7"/>
  <c r="W109" i="7"/>
  <c r="W106" i="7"/>
  <c r="W105" i="7"/>
  <c r="W101" i="7"/>
  <c r="W100" i="7"/>
  <c r="W99" i="7"/>
  <c r="W98" i="7"/>
  <c r="W97" i="7"/>
  <c r="W96" i="7"/>
  <c r="W95" i="7"/>
  <c r="W94" i="7"/>
  <c r="W91" i="7"/>
  <c r="W87" i="7"/>
  <c r="W85" i="7"/>
  <c r="W78" i="7"/>
  <c r="W77" i="7"/>
  <c r="W76" i="7"/>
  <c r="W75" i="7"/>
  <c r="W74" i="7"/>
  <c r="W72" i="7"/>
  <c r="W71" i="7"/>
  <c r="W70" i="7"/>
  <c r="W69" i="7"/>
  <c r="W68" i="7"/>
  <c r="W67" i="7"/>
  <c r="W66" i="7"/>
  <c r="W62" i="7"/>
  <c r="W60" i="7"/>
  <c r="W55" i="7"/>
  <c r="W54" i="7"/>
  <c r="W53" i="7"/>
  <c r="W49" i="7"/>
  <c r="W45" i="7"/>
  <c r="W44" i="7"/>
  <c r="W43" i="7"/>
  <c r="W42" i="7"/>
  <c r="W41" i="7"/>
  <c r="W40" i="7"/>
  <c r="W39" i="7"/>
  <c r="W38" i="7"/>
  <c r="W37" i="7"/>
  <c r="W36" i="7"/>
  <c r="W35" i="7"/>
  <c r="W34" i="7"/>
  <c r="W30" i="7"/>
  <c r="W26" i="7"/>
  <c r="W25" i="7"/>
  <c r="W24" i="7"/>
  <c r="W21" i="7"/>
  <c r="V268" i="7"/>
  <c r="V267" i="7"/>
  <c r="V261" i="7"/>
  <c r="V256" i="7"/>
  <c r="V248" i="7"/>
  <c r="V244" i="7"/>
  <c r="V242" i="7"/>
  <c r="V237" i="7"/>
  <c r="V236" i="7"/>
  <c r="V231" i="7"/>
  <c r="V228" i="7"/>
  <c r="V226" i="7"/>
  <c r="V213" i="7"/>
  <c r="V208" i="7"/>
  <c r="V206" i="7"/>
  <c r="V192" i="7"/>
  <c r="V191" i="7"/>
  <c r="V190" i="7"/>
  <c r="V183" i="7"/>
  <c r="V182" i="7"/>
  <c r="V173" i="7"/>
  <c r="V172" i="7"/>
  <c r="V169" i="7"/>
  <c r="V149" i="7"/>
  <c r="V148" i="7"/>
  <c r="V147" i="7"/>
  <c r="V145" i="7"/>
  <c r="V134" i="7"/>
  <c r="V133" i="7"/>
  <c r="V131" i="7"/>
  <c r="AA131" i="7"/>
  <c r="V114" i="7"/>
  <c r="V113" i="7"/>
  <c r="V19" i="7"/>
  <c r="V20" i="7"/>
  <c r="V21" i="7"/>
  <c r="V22" i="7"/>
  <c r="V23" i="7"/>
  <c r="V24" i="7"/>
  <c r="V25" i="7"/>
  <c r="V26" i="7"/>
  <c r="V27" i="7"/>
  <c r="V28" i="7"/>
  <c r="V29" i="7"/>
  <c r="V30" i="7"/>
  <c r="V31" i="7"/>
  <c r="V33" i="7"/>
  <c r="V34" i="7"/>
  <c r="V35" i="7"/>
  <c r="V36" i="7"/>
  <c r="V37" i="7"/>
  <c r="V38" i="7"/>
  <c r="V39" i="7"/>
  <c r="V40" i="7"/>
  <c r="V41" i="7"/>
  <c r="V42" i="7"/>
  <c r="V43" i="7"/>
  <c r="V44" i="7"/>
  <c r="V45" i="7"/>
  <c r="V46" i="7"/>
  <c r="V47" i="7"/>
  <c r="V48" i="7"/>
  <c r="V49" i="7"/>
  <c r="V50" i="7"/>
  <c r="V51" i="7"/>
  <c r="V52" i="7"/>
  <c r="V53" i="7"/>
  <c r="V54" i="7"/>
  <c r="V55" i="7"/>
  <c r="V56" i="7"/>
  <c r="V57" i="7"/>
  <c r="V58" i="7"/>
  <c r="V59" i="7"/>
  <c r="V60" i="7"/>
  <c r="V61" i="7"/>
  <c r="V62" i="7"/>
  <c r="V63" i="7"/>
  <c r="V64" i="7"/>
  <c r="V65" i="7"/>
  <c r="V66" i="7"/>
  <c r="V67" i="7"/>
  <c r="V68" i="7"/>
  <c r="V69" i="7"/>
  <c r="V70" i="7"/>
  <c r="V71" i="7"/>
  <c r="V72" i="7"/>
  <c r="V74" i="7"/>
  <c r="V75" i="7"/>
  <c r="V76" i="7"/>
  <c r="V77" i="7"/>
  <c r="V78" i="7"/>
  <c r="V84" i="7"/>
  <c r="V85" i="7"/>
  <c r="V86" i="7"/>
  <c r="V87" i="7"/>
  <c r="V88" i="7"/>
  <c r="V89" i="7"/>
  <c r="V90" i="7"/>
  <c r="V91" i="7"/>
  <c r="V92" i="7"/>
  <c r="V93" i="7"/>
  <c r="V94" i="7"/>
  <c r="V95" i="7"/>
  <c r="V96" i="7"/>
  <c r="V97" i="7"/>
  <c r="V98" i="7"/>
  <c r="V99" i="7"/>
  <c r="V100" i="7"/>
  <c r="V101" i="7"/>
  <c r="V102" i="7"/>
  <c r="V103" i="7"/>
  <c r="V104" i="7"/>
  <c r="V105" i="7"/>
  <c r="V106" i="7"/>
  <c r="V107" i="7"/>
  <c r="V108" i="7"/>
  <c r="V109" i="7"/>
  <c r="V110" i="7"/>
  <c r="V111" i="7"/>
  <c r="V112" i="7"/>
  <c r="V116" i="7"/>
  <c r="V117" i="7"/>
  <c r="V141" i="7"/>
  <c r="V143" i="7"/>
  <c r="V150" i="7"/>
  <c r="V152" i="7"/>
  <c r="V153" i="7"/>
  <c r="V154" i="7"/>
  <c r="V155" i="7"/>
  <c r="V156" i="7"/>
  <c r="V157" i="7"/>
  <c r="V158" i="7"/>
  <c r="V159" i="7"/>
  <c r="V163" i="7"/>
  <c r="V164" i="7"/>
  <c r="V171" i="7"/>
  <c r="V174" i="7"/>
  <c r="V175" i="7"/>
  <c r="V177" i="7"/>
  <c r="V178" i="7"/>
  <c r="V200" i="7"/>
  <c r="V201" i="7"/>
  <c r="V202" i="7"/>
  <c r="V204" i="7"/>
  <c r="V214" i="7"/>
  <c r="V221" i="7"/>
  <c r="V222" i="7"/>
  <c r="V232" i="7"/>
  <c r="V233" i="7"/>
  <c r="V247" i="7"/>
  <c r="V249" i="7"/>
  <c r="V250" i="7"/>
  <c r="V255" i="7"/>
  <c r="V265" i="7"/>
  <c r="V266" i="7"/>
  <c r="V269" i="7"/>
  <c r="V270" i="7"/>
  <c r="Y277" i="7"/>
  <c r="R270" i="7"/>
  <c r="O256" i="7"/>
  <c r="O270" i="7"/>
  <c r="E55" i="7"/>
  <c r="E64" i="7"/>
  <c r="E188" i="7"/>
  <c r="E194" i="7"/>
  <c r="E209" i="7"/>
  <c r="E225" i="7"/>
  <c r="E248" i="7"/>
  <c r="E249" i="7"/>
  <c r="E250" i="7"/>
  <c r="E252" i="7"/>
  <c r="E253" i="7"/>
  <c r="E268" i="7"/>
  <c r="E270" i="7"/>
  <c r="P265" i="6"/>
  <c r="S265" i="6"/>
  <c r="F269" i="7"/>
  <c r="J269" i="7"/>
  <c r="AB269" i="7"/>
  <c r="Q264" i="6"/>
  <c r="P264" i="6"/>
  <c r="S264" i="6"/>
  <c r="F268" i="7"/>
  <c r="J268" i="7"/>
  <c r="AC268" i="7"/>
  <c r="P263" i="6"/>
  <c r="S263" i="6"/>
  <c r="F267" i="7"/>
  <c r="L261" i="6"/>
  <c r="P261" i="6"/>
  <c r="S261" i="6"/>
  <c r="F265" i="7"/>
  <c r="J265" i="7"/>
  <c r="AB265" i="7"/>
  <c r="P260" i="6"/>
  <c r="S260" i="6"/>
  <c r="F264" i="7"/>
  <c r="J264" i="7"/>
  <c r="AB264" i="7"/>
  <c r="P259" i="6"/>
  <c r="S259" i="6"/>
  <c r="F263" i="7"/>
  <c r="J263" i="7"/>
  <c r="AB263" i="7"/>
  <c r="P258" i="6"/>
  <c r="S258" i="6"/>
  <c r="F262" i="7"/>
  <c r="J262" i="7"/>
  <c r="AB262" i="7"/>
  <c r="Q257" i="6"/>
  <c r="P257" i="6"/>
  <c r="S257" i="6"/>
  <c r="F261" i="7"/>
  <c r="J261" i="7"/>
  <c r="AC261" i="7"/>
  <c r="P256" i="6"/>
  <c r="S256" i="6"/>
  <c r="F260" i="7"/>
  <c r="J260" i="7"/>
  <c r="AB260" i="7"/>
  <c r="P255" i="6"/>
  <c r="S255" i="6"/>
  <c r="F259" i="7"/>
  <c r="J259" i="7"/>
  <c r="AC259" i="7"/>
  <c r="P254" i="6"/>
  <c r="S254" i="6"/>
  <c r="F258" i="7"/>
  <c r="J258" i="7"/>
  <c r="AC258" i="7"/>
  <c r="P253" i="6"/>
  <c r="S253" i="6"/>
  <c r="F257" i="7"/>
  <c r="J257" i="7"/>
  <c r="AC257" i="7"/>
  <c r="Q252" i="6"/>
  <c r="K252" i="6"/>
  <c r="P252" i="6"/>
  <c r="S252" i="6"/>
  <c r="F256" i="7"/>
  <c r="J256" i="7"/>
  <c r="AC256" i="7"/>
  <c r="Q251" i="6"/>
  <c r="K251" i="6"/>
  <c r="P251" i="6"/>
  <c r="S251" i="6"/>
  <c r="F255" i="7"/>
  <c r="J255" i="7"/>
  <c r="AB255" i="7"/>
  <c r="P250" i="6"/>
  <c r="S250" i="6"/>
  <c r="F254" i="7"/>
  <c r="J254" i="7"/>
  <c r="AC254" i="7"/>
  <c r="P249" i="6"/>
  <c r="S249" i="6"/>
  <c r="F253" i="7"/>
  <c r="J253" i="7"/>
  <c r="AD253" i="7"/>
  <c r="P247" i="6"/>
  <c r="S247" i="6"/>
  <c r="F251" i="7"/>
  <c r="J251" i="7"/>
  <c r="AC251" i="7"/>
  <c r="Q246" i="6"/>
  <c r="P246" i="6"/>
  <c r="S246" i="6"/>
  <c r="F250" i="7"/>
  <c r="J250" i="7"/>
  <c r="AB250" i="7"/>
  <c r="Q245" i="6"/>
  <c r="P245" i="6"/>
  <c r="S245" i="6"/>
  <c r="F249" i="7"/>
  <c r="J249" i="7"/>
  <c r="AB249" i="7"/>
  <c r="Q244" i="6"/>
  <c r="L244" i="6"/>
  <c r="P244" i="6"/>
  <c r="S244" i="6"/>
  <c r="F248" i="7"/>
  <c r="J248" i="7"/>
  <c r="AD248" i="7"/>
  <c r="L243" i="6"/>
  <c r="P243" i="6"/>
  <c r="S243" i="6"/>
  <c r="F247" i="7"/>
  <c r="J247" i="7"/>
  <c r="AB247" i="7"/>
  <c r="S242" i="6"/>
  <c r="F246" i="7"/>
  <c r="J246" i="7"/>
  <c r="AB246" i="7"/>
  <c r="Q241" i="6"/>
  <c r="P241" i="6"/>
  <c r="S241" i="6"/>
  <c r="F245" i="7"/>
  <c r="J245" i="7"/>
  <c r="AB245" i="7"/>
  <c r="Q240" i="6"/>
  <c r="P240" i="6"/>
  <c r="S240" i="6"/>
  <c r="F244" i="7"/>
  <c r="J244" i="7"/>
  <c r="AC244" i="7"/>
  <c r="P239" i="6"/>
  <c r="S239" i="6"/>
  <c r="F243" i="7"/>
  <c r="J243" i="7"/>
  <c r="AC243" i="7"/>
  <c r="L238" i="6"/>
  <c r="P238" i="6"/>
  <c r="S238" i="6"/>
  <c r="F242" i="7"/>
  <c r="J242" i="7"/>
  <c r="AD242" i="7"/>
  <c r="P237" i="6"/>
  <c r="S237" i="6"/>
  <c r="F241" i="7"/>
  <c r="J241" i="7"/>
  <c r="AC241" i="7"/>
  <c r="P236" i="6"/>
  <c r="S236" i="6"/>
  <c r="F240" i="7"/>
  <c r="J240" i="7"/>
  <c r="AC240" i="7"/>
  <c r="L235" i="6"/>
  <c r="P235" i="6"/>
  <c r="S235" i="6"/>
  <c r="F239" i="7"/>
  <c r="J239" i="7"/>
  <c r="AC239" i="7"/>
  <c r="L234" i="6"/>
  <c r="P234" i="6"/>
  <c r="S234" i="6"/>
  <c r="F238" i="7"/>
  <c r="J238" i="7"/>
  <c r="AC238" i="7"/>
  <c r="L233" i="6"/>
  <c r="P233" i="6"/>
  <c r="S233" i="6"/>
  <c r="F237" i="7"/>
  <c r="J237" i="7"/>
  <c r="AC237" i="7"/>
  <c r="L232" i="6"/>
  <c r="P232" i="6"/>
  <c r="S232" i="6"/>
  <c r="F236" i="7"/>
  <c r="J236" i="7"/>
  <c r="AC236" i="7"/>
  <c r="P231" i="6"/>
  <c r="S231" i="6"/>
  <c r="F235" i="7"/>
  <c r="J235" i="7"/>
  <c r="AC235" i="7"/>
  <c r="P230" i="6"/>
  <c r="S230" i="6"/>
  <c r="F234" i="7"/>
  <c r="J234" i="7"/>
  <c r="AB234" i="7"/>
  <c r="P229" i="6"/>
  <c r="S229" i="6"/>
  <c r="F233" i="7"/>
  <c r="J233" i="7"/>
  <c r="AB233" i="7"/>
  <c r="P228" i="6"/>
  <c r="S228" i="6"/>
  <c r="F232" i="7"/>
  <c r="J232" i="7"/>
  <c r="AB232" i="7"/>
  <c r="Q227" i="6"/>
  <c r="P227" i="6"/>
  <c r="S227" i="6"/>
  <c r="F231" i="7"/>
  <c r="J231" i="7"/>
  <c r="AC231" i="7"/>
  <c r="L226" i="6"/>
  <c r="P226" i="6"/>
  <c r="S226" i="6"/>
  <c r="F230" i="7"/>
  <c r="J230" i="7"/>
  <c r="AC230" i="7"/>
  <c r="P225" i="6"/>
  <c r="S225" i="6"/>
  <c r="F229" i="7"/>
  <c r="J229" i="7"/>
  <c r="AC229" i="7"/>
  <c r="L224" i="6"/>
  <c r="P224" i="6"/>
  <c r="S224" i="6"/>
  <c r="F228" i="7"/>
  <c r="J228" i="7"/>
  <c r="AC228" i="7"/>
  <c r="P223" i="6"/>
  <c r="S223" i="6"/>
  <c r="F227" i="7"/>
  <c r="J227" i="7"/>
  <c r="AC227" i="7"/>
  <c r="L222" i="6"/>
  <c r="P222" i="6"/>
  <c r="S222" i="6"/>
  <c r="F226" i="7"/>
  <c r="J226" i="7"/>
  <c r="AC226" i="7"/>
  <c r="L221" i="6"/>
  <c r="P221" i="6"/>
  <c r="S221" i="6"/>
  <c r="F225" i="7"/>
  <c r="J225" i="7"/>
  <c r="AC225" i="7"/>
  <c r="P220" i="6"/>
  <c r="S220" i="6"/>
  <c r="F224" i="7"/>
  <c r="J224" i="7"/>
  <c r="AC224" i="7"/>
  <c r="P219" i="6"/>
  <c r="S219" i="6"/>
  <c r="F223" i="7"/>
  <c r="J223" i="7"/>
  <c r="AB223" i="7"/>
  <c r="Q218" i="6"/>
  <c r="P218" i="6"/>
  <c r="S218" i="6"/>
  <c r="F222" i="7"/>
  <c r="J222" i="7"/>
  <c r="AB222" i="7"/>
  <c r="Q217" i="6"/>
  <c r="K217" i="6"/>
  <c r="P217" i="6"/>
  <c r="S217" i="6"/>
  <c r="F221" i="7"/>
  <c r="J221" i="7"/>
  <c r="AB221" i="7"/>
  <c r="P216" i="6"/>
  <c r="S216" i="6"/>
  <c r="F220" i="7"/>
  <c r="J220" i="7"/>
  <c r="AC220" i="7"/>
  <c r="P215" i="6"/>
  <c r="S215" i="6"/>
  <c r="F219" i="7"/>
  <c r="J219" i="7"/>
  <c r="AB219" i="7"/>
  <c r="P214" i="6"/>
  <c r="S214" i="6"/>
  <c r="F218" i="7"/>
  <c r="J218" i="7"/>
  <c r="AB218" i="7"/>
  <c r="P213" i="6"/>
  <c r="S213" i="6"/>
  <c r="F217" i="7"/>
  <c r="J217" i="7"/>
  <c r="AC217" i="7"/>
  <c r="P212" i="6"/>
  <c r="S212" i="6"/>
  <c r="F216" i="7"/>
  <c r="J216" i="7"/>
  <c r="AB216" i="7"/>
  <c r="Q211" i="6"/>
  <c r="L211" i="6"/>
  <c r="P211" i="6"/>
  <c r="S211" i="6"/>
  <c r="F215" i="7"/>
  <c r="J215" i="7"/>
  <c r="AB215" i="7"/>
  <c r="L210" i="6"/>
  <c r="P210" i="6"/>
  <c r="S210" i="6"/>
  <c r="F214" i="7"/>
  <c r="J214" i="7"/>
  <c r="AB214" i="7"/>
  <c r="L209" i="6"/>
  <c r="P209" i="6"/>
  <c r="S209" i="6"/>
  <c r="F213" i="7"/>
  <c r="J213" i="7"/>
  <c r="AC213" i="7"/>
  <c r="L208" i="6"/>
  <c r="P208" i="6"/>
  <c r="S208" i="6"/>
  <c r="F212" i="7"/>
  <c r="J212" i="7"/>
  <c r="AB212" i="7"/>
  <c r="P207" i="6"/>
  <c r="S207" i="6"/>
  <c r="F211" i="7"/>
  <c r="J211" i="7"/>
  <c r="AB211" i="7"/>
  <c r="P206" i="6"/>
  <c r="S206" i="6"/>
  <c r="F210" i="7"/>
  <c r="J210" i="7"/>
  <c r="AB210" i="7"/>
  <c r="Q205" i="6"/>
  <c r="P205" i="6"/>
  <c r="S205" i="6"/>
  <c r="F209" i="7"/>
  <c r="J209" i="7"/>
  <c r="AC209" i="7"/>
  <c r="P204" i="6"/>
  <c r="S204" i="6"/>
  <c r="F208" i="7"/>
  <c r="J208" i="7"/>
  <c r="AC208" i="7"/>
  <c r="P203" i="6"/>
  <c r="S203" i="6"/>
  <c r="F207" i="7"/>
  <c r="J207" i="7"/>
  <c r="AD207" i="7"/>
  <c r="L202" i="6"/>
  <c r="P202" i="6"/>
  <c r="S202" i="6"/>
  <c r="F206" i="7"/>
  <c r="J206" i="7"/>
  <c r="AC206" i="7"/>
  <c r="P201" i="6"/>
  <c r="S201" i="6"/>
  <c r="F205" i="7"/>
  <c r="J205" i="7"/>
  <c r="AB205" i="7"/>
  <c r="L200" i="6"/>
  <c r="P200" i="6"/>
  <c r="S200" i="6"/>
  <c r="F204" i="7"/>
  <c r="J204" i="7"/>
  <c r="AB204" i="7"/>
  <c r="P199" i="6"/>
  <c r="S199" i="6"/>
  <c r="F203" i="7"/>
  <c r="J203" i="7"/>
  <c r="AB203" i="7"/>
  <c r="Q198" i="6"/>
  <c r="P198" i="6"/>
  <c r="S198" i="6"/>
  <c r="F202" i="7"/>
  <c r="J202" i="7"/>
  <c r="AB202" i="7"/>
  <c r="P197" i="6"/>
  <c r="S197" i="6"/>
  <c r="F201" i="7"/>
  <c r="J201" i="7"/>
  <c r="AB201" i="7"/>
  <c r="Q196" i="6"/>
  <c r="L196" i="6"/>
  <c r="P196" i="6"/>
  <c r="S196" i="6"/>
  <c r="F200" i="7"/>
  <c r="J200" i="7"/>
  <c r="AB200" i="7"/>
  <c r="L195" i="6"/>
  <c r="P195" i="6"/>
  <c r="S195" i="6"/>
  <c r="F199" i="7"/>
  <c r="J199" i="7"/>
  <c r="AB199" i="7"/>
  <c r="L194" i="6"/>
  <c r="P194" i="6"/>
  <c r="S194" i="6"/>
  <c r="F198" i="7"/>
  <c r="J198" i="7"/>
  <c r="AB198" i="7"/>
  <c r="L193" i="6"/>
  <c r="P193" i="6"/>
  <c r="S193" i="6"/>
  <c r="F197" i="7"/>
  <c r="J197" i="7"/>
  <c r="AB197" i="7"/>
  <c r="Q192" i="6"/>
  <c r="L192" i="6"/>
  <c r="P192" i="6"/>
  <c r="S192" i="6"/>
  <c r="F196" i="7"/>
  <c r="J196" i="7"/>
  <c r="AB196" i="7"/>
  <c r="L191" i="6"/>
  <c r="P191" i="6"/>
  <c r="S191" i="6"/>
  <c r="F195" i="7"/>
  <c r="J195" i="7"/>
  <c r="AC195" i="7"/>
  <c r="Q190" i="6"/>
  <c r="L190" i="6"/>
  <c r="P190" i="6"/>
  <c r="S190" i="6"/>
  <c r="F194" i="7"/>
  <c r="J194" i="7"/>
  <c r="AC194" i="7"/>
  <c r="L189" i="6"/>
  <c r="P189" i="6"/>
  <c r="S189" i="6"/>
  <c r="F193" i="7"/>
  <c r="J193" i="7"/>
  <c r="AC193" i="7"/>
  <c r="Q188" i="6"/>
  <c r="P188" i="6"/>
  <c r="S188" i="6"/>
  <c r="F192" i="7"/>
  <c r="J192" i="7"/>
  <c r="AC192" i="7"/>
  <c r="Q187" i="6"/>
  <c r="F187" i="6"/>
  <c r="G187" i="6"/>
  <c r="L187" i="6"/>
  <c r="P187" i="6"/>
  <c r="S187" i="6"/>
  <c r="F191" i="7"/>
  <c r="J191" i="7"/>
  <c r="AC191" i="7"/>
  <c r="Q186" i="6"/>
  <c r="F186" i="6"/>
  <c r="G186" i="6"/>
  <c r="L186" i="6"/>
  <c r="P186" i="6"/>
  <c r="S186" i="6"/>
  <c r="F190" i="7"/>
  <c r="J190" i="7"/>
  <c r="AC190" i="7"/>
  <c r="L185" i="6"/>
  <c r="P185" i="6"/>
  <c r="S185" i="6"/>
  <c r="F189" i="7"/>
  <c r="J189" i="7"/>
  <c r="AB189" i="7"/>
  <c r="L184" i="6"/>
  <c r="P184" i="6"/>
  <c r="S184" i="6"/>
  <c r="F188" i="7"/>
  <c r="J188" i="7"/>
  <c r="AB188" i="7"/>
  <c r="L183" i="6"/>
  <c r="P183" i="6"/>
  <c r="S183" i="6"/>
  <c r="F187" i="7"/>
  <c r="J187" i="7"/>
  <c r="AB187" i="7"/>
  <c r="L182" i="6"/>
  <c r="P182" i="6"/>
  <c r="S182" i="6"/>
  <c r="F186" i="7"/>
  <c r="J186" i="7"/>
  <c r="AB186" i="7"/>
  <c r="L181" i="6"/>
  <c r="P181" i="6"/>
  <c r="S181" i="6"/>
  <c r="F185" i="7"/>
  <c r="J185" i="7"/>
  <c r="AB185" i="7"/>
  <c r="L180" i="6"/>
  <c r="P180" i="6"/>
  <c r="S180" i="6"/>
  <c r="F184" i="7"/>
  <c r="J184" i="7"/>
  <c r="AB184" i="7"/>
  <c r="P179" i="6"/>
  <c r="S179" i="6"/>
  <c r="F183" i="7"/>
  <c r="J183" i="7"/>
  <c r="AC183" i="7"/>
  <c r="L178" i="6"/>
  <c r="P178" i="6"/>
  <c r="S178" i="6"/>
  <c r="F182" i="7"/>
  <c r="J182" i="7"/>
  <c r="AC182" i="7"/>
  <c r="P177" i="6"/>
  <c r="S177" i="6"/>
  <c r="F181" i="7"/>
  <c r="J181" i="7"/>
  <c r="AB181" i="7"/>
  <c r="P176" i="6"/>
  <c r="S176" i="6"/>
  <c r="F180" i="7"/>
  <c r="J180" i="7"/>
  <c r="AD180" i="7"/>
  <c r="P175" i="6"/>
  <c r="S175" i="6"/>
  <c r="F179" i="7"/>
  <c r="J179" i="7"/>
  <c r="AD179" i="7"/>
  <c r="Q174" i="6"/>
  <c r="F174" i="6"/>
  <c r="G174" i="6"/>
  <c r="L174" i="6"/>
  <c r="P174" i="6"/>
  <c r="S174" i="6"/>
  <c r="F178" i="7"/>
  <c r="J178" i="7"/>
  <c r="AB178" i="7"/>
  <c r="Q173" i="6"/>
  <c r="F173" i="6"/>
  <c r="G173" i="6"/>
  <c r="L173" i="6"/>
  <c r="P173" i="6"/>
  <c r="S173" i="6"/>
  <c r="F177" i="7"/>
  <c r="J177" i="7"/>
  <c r="AB177" i="7"/>
  <c r="L172" i="6"/>
  <c r="P172" i="6"/>
  <c r="S172" i="6"/>
  <c r="F176" i="7"/>
  <c r="J176" i="7"/>
  <c r="AC176" i="7"/>
  <c r="Q171" i="6"/>
  <c r="F171" i="6"/>
  <c r="G171" i="6"/>
  <c r="L171" i="6"/>
  <c r="P171" i="6"/>
  <c r="S171" i="6"/>
  <c r="F175" i="7"/>
  <c r="J175" i="7"/>
  <c r="AB175" i="7"/>
  <c r="Q170" i="6"/>
  <c r="F170" i="6"/>
  <c r="G170" i="6"/>
  <c r="L170" i="6"/>
  <c r="P170" i="6"/>
  <c r="S170" i="6"/>
  <c r="F174" i="7"/>
  <c r="J174" i="7"/>
  <c r="AB174" i="7"/>
  <c r="L169" i="6"/>
  <c r="P169" i="6"/>
  <c r="S169" i="6"/>
  <c r="F173" i="7"/>
  <c r="J173" i="7"/>
  <c r="AC173" i="7"/>
  <c r="P168" i="6"/>
  <c r="S168" i="6"/>
  <c r="F172" i="7"/>
  <c r="J172" i="7"/>
  <c r="AC172" i="7"/>
  <c r="Q167" i="6"/>
  <c r="P167" i="6"/>
  <c r="S167" i="6"/>
  <c r="F171" i="7"/>
  <c r="J171" i="7"/>
  <c r="AB171" i="7"/>
  <c r="P166" i="6"/>
  <c r="S166" i="6"/>
  <c r="F170" i="7"/>
  <c r="J170" i="7"/>
  <c r="AB170" i="7"/>
  <c r="G165" i="6"/>
  <c r="L165" i="6"/>
  <c r="P165" i="6"/>
  <c r="S165" i="6"/>
  <c r="F169" i="7"/>
  <c r="J169" i="7"/>
  <c r="AC169" i="7"/>
  <c r="P164" i="6"/>
  <c r="S164" i="6"/>
  <c r="F168" i="7"/>
  <c r="J168" i="7"/>
  <c r="AB168" i="7"/>
  <c r="P163" i="6"/>
  <c r="S163" i="6"/>
  <c r="F167" i="7"/>
  <c r="J167" i="7"/>
  <c r="AC167" i="7"/>
  <c r="P162" i="6"/>
  <c r="S162" i="6"/>
  <c r="F166" i="7"/>
  <c r="J166" i="7"/>
  <c r="AC166" i="7"/>
  <c r="L161" i="6"/>
  <c r="P161" i="6"/>
  <c r="S161" i="6"/>
  <c r="F165" i="7"/>
  <c r="J165" i="7"/>
  <c r="AC165" i="7"/>
  <c r="F160" i="6"/>
  <c r="G160" i="6"/>
  <c r="L160" i="6"/>
  <c r="P160" i="6"/>
  <c r="S160" i="6"/>
  <c r="F164" i="7"/>
  <c r="J164" i="7"/>
  <c r="AB164" i="7"/>
  <c r="Q159" i="6"/>
  <c r="F159" i="6"/>
  <c r="G159" i="6"/>
  <c r="L159" i="6"/>
  <c r="P159" i="6"/>
  <c r="S159" i="6"/>
  <c r="F163" i="7"/>
  <c r="J163" i="7"/>
  <c r="AB163" i="7"/>
  <c r="P158" i="6"/>
  <c r="S158" i="6"/>
  <c r="F162" i="7"/>
  <c r="J162" i="7"/>
  <c r="AC162" i="7"/>
  <c r="P157" i="6"/>
  <c r="S157" i="6"/>
  <c r="F161" i="7"/>
  <c r="J161" i="7"/>
  <c r="AB161" i="7"/>
  <c r="P156" i="6"/>
  <c r="S156" i="6"/>
  <c r="F160" i="7"/>
  <c r="J160" i="7"/>
  <c r="AC160" i="7"/>
  <c r="P155" i="6"/>
  <c r="S155" i="6"/>
  <c r="F159" i="7"/>
  <c r="J159" i="7"/>
  <c r="AB159" i="7"/>
  <c r="P154" i="6"/>
  <c r="S154" i="6"/>
  <c r="F158" i="7"/>
  <c r="J158" i="7"/>
  <c r="AB158" i="7"/>
  <c r="P153" i="6"/>
  <c r="S153" i="6"/>
  <c r="F157" i="7"/>
  <c r="J157" i="7"/>
  <c r="AB157" i="7"/>
  <c r="P152" i="6"/>
  <c r="S152" i="6"/>
  <c r="F156" i="7"/>
  <c r="J156" i="7"/>
  <c r="AB156" i="7"/>
  <c r="P151" i="6"/>
  <c r="S151" i="6"/>
  <c r="F155" i="7"/>
  <c r="J155" i="7"/>
  <c r="AB155" i="7"/>
  <c r="P150" i="6"/>
  <c r="S150" i="6"/>
  <c r="F154" i="7"/>
  <c r="J154" i="7"/>
  <c r="AB154" i="7"/>
  <c r="P149" i="6"/>
  <c r="S149" i="6"/>
  <c r="F153" i="7"/>
  <c r="J153" i="7"/>
  <c r="AB153" i="7"/>
  <c r="P148" i="6"/>
  <c r="S148" i="6"/>
  <c r="F152" i="7"/>
  <c r="J152" i="7"/>
  <c r="AB152" i="7"/>
  <c r="P147" i="6"/>
  <c r="S147" i="6"/>
  <c r="F151" i="7"/>
  <c r="J151" i="7"/>
  <c r="AC151" i="7"/>
  <c r="P146" i="6"/>
  <c r="S146" i="6"/>
  <c r="F150" i="7"/>
  <c r="J150" i="7"/>
  <c r="AB150" i="7"/>
  <c r="Q145" i="6"/>
  <c r="P145" i="6"/>
  <c r="S145" i="6"/>
  <c r="F149" i="7"/>
  <c r="J149" i="7"/>
  <c r="AC149" i="7"/>
  <c r="Q144" i="6"/>
  <c r="L144" i="6"/>
  <c r="P144" i="6"/>
  <c r="S144" i="6"/>
  <c r="F148" i="7"/>
  <c r="J148" i="7"/>
  <c r="AC148" i="7"/>
  <c r="P143" i="6"/>
  <c r="S143" i="6"/>
  <c r="F146" i="7"/>
  <c r="J146" i="7"/>
  <c r="AB146" i="7"/>
  <c r="Q142" i="6"/>
  <c r="L142" i="6"/>
  <c r="P142" i="6"/>
  <c r="S142" i="6"/>
  <c r="F145" i="7"/>
  <c r="J145" i="7"/>
  <c r="AC145" i="7"/>
  <c r="P141" i="6"/>
  <c r="S141" i="6"/>
  <c r="F144" i="7"/>
  <c r="J144" i="7"/>
  <c r="AB144" i="7"/>
  <c r="L140" i="6"/>
  <c r="P140" i="6"/>
  <c r="S140" i="6"/>
  <c r="F143" i="7"/>
  <c r="J143" i="7"/>
  <c r="AB143" i="7"/>
  <c r="P139" i="6"/>
  <c r="S139" i="6"/>
  <c r="F142" i="7"/>
  <c r="J142" i="7"/>
  <c r="AB142" i="7"/>
  <c r="Q138" i="6"/>
  <c r="L138" i="6"/>
  <c r="P138" i="6"/>
  <c r="S138" i="6"/>
  <c r="F141" i="7"/>
  <c r="J141" i="7"/>
  <c r="AB141" i="7"/>
  <c r="L137" i="6"/>
  <c r="P137" i="6"/>
  <c r="S137" i="6"/>
  <c r="F140" i="7"/>
  <c r="J140" i="7"/>
  <c r="AB140" i="7"/>
  <c r="P136" i="6"/>
  <c r="S136" i="6"/>
  <c r="F139" i="7"/>
  <c r="J139" i="7"/>
  <c r="AB139" i="7"/>
  <c r="P135" i="6"/>
  <c r="S135" i="6"/>
  <c r="F138" i="7"/>
  <c r="J138" i="7"/>
  <c r="AB138" i="7"/>
  <c r="Q134" i="6"/>
  <c r="L134" i="6"/>
  <c r="P134" i="6"/>
  <c r="S134" i="6"/>
  <c r="F137" i="7"/>
  <c r="J137" i="7"/>
  <c r="AB137" i="7"/>
  <c r="P133" i="6"/>
  <c r="S133" i="6"/>
  <c r="F136" i="7"/>
  <c r="J136" i="7"/>
  <c r="AB136" i="7"/>
  <c r="P132" i="6"/>
  <c r="S132" i="6"/>
  <c r="F135" i="7"/>
  <c r="J135" i="7"/>
  <c r="AB135" i="7"/>
  <c r="Q131" i="6"/>
  <c r="P131" i="6"/>
  <c r="S131" i="6"/>
  <c r="F134" i="7"/>
  <c r="J134" i="7"/>
  <c r="AC134" i="7"/>
  <c r="L130" i="6"/>
  <c r="P130" i="6"/>
  <c r="S130" i="6"/>
  <c r="F133" i="7"/>
  <c r="J133" i="7"/>
  <c r="AC133" i="7"/>
  <c r="P129" i="6"/>
  <c r="S129" i="6"/>
  <c r="F130" i="7"/>
  <c r="J130" i="7"/>
  <c r="AB130" i="7"/>
  <c r="P128" i="6"/>
  <c r="S128" i="6"/>
  <c r="F129" i="7"/>
  <c r="J129" i="7"/>
  <c r="AB129" i="7"/>
  <c r="P127" i="6"/>
  <c r="S127" i="6"/>
  <c r="F128" i="7"/>
  <c r="J128" i="7"/>
  <c r="AB128" i="7"/>
  <c r="P126" i="6"/>
  <c r="S126" i="6"/>
  <c r="F127" i="7"/>
  <c r="J127" i="7"/>
  <c r="AB127" i="7"/>
  <c r="P125" i="6"/>
  <c r="S125" i="6"/>
  <c r="F126" i="7"/>
  <c r="J126" i="7"/>
  <c r="AB126" i="7"/>
  <c r="P124" i="6"/>
  <c r="S124" i="6"/>
  <c r="F125" i="7"/>
  <c r="J125" i="7"/>
  <c r="AB125" i="7"/>
  <c r="P123" i="6"/>
  <c r="S123" i="6"/>
  <c r="F124" i="7"/>
  <c r="J124" i="7"/>
  <c r="AB124" i="7"/>
  <c r="P122" i="6"/>
  <c r="S122" i="6"/>
  <c r="F123" i="7"/>
  <c r="J123" i="7"/>
  <c r="AB123" i="7"/>
  <c r="P121" i="6"/>
  <c r="S121" i="6"/>
  <c r="F122" i="7"/>
  <c r="J122" i="7"/>
  <c r="AB122" i="7"/>
  <c r="P120" i="6"/>
  <c r="S120" i="6"/>
  <c r="F121" i="7"/>
  <c r="J121" i="7"/>
  <c r="AB121" i="7"/>
  <c r="P119" i="6"/>
  <c r="S119" i="6"/>
  <c r="F120" i="7"/>
  <c r="J120" i="7"/>
  <c r="AB120" i="7"/>
  <c r="P118" i="6"/>
  <c r="S118" i="6"/>
  <c r="F119" i="7"/>
  <c r="J119" i="7"/>
  <c r="AB119" i="7"/>
  <c r="Q117" i="6"/>
  <c r="L117" i="6"/>
  <c r="P117" i="6"/>
  <c r="S117" i="6"/>
  <c r="F118" i="7"/>
  <c r="J118" i="7"/>
  <c r="AB118" i="7"/>
  <c r="L116" i="6"/>
  <c r="P116" i="6"/>
  <c r="S116" i="6"/>
  <c r="F117" i="7"/>
  <c r="J117" i="7"/>
  <c r="AB117" i="7"/>
  <c r="L115" i="6"/>
  <c r="P115" i="6"/>
  <c r="S115" i="6"/>
  <c r="F116" i="7"/>
  <c r="J116" i="7"/>
  <c r="AB116" i="7"/>
  <c r="P114" i="6"/>
  <c r="S114" i="6"/>
  <c r="F115" i="7"/>
  <c r="J115" i="7"/>
  <c r="AB115" i="7"/>
  <c r="P113" i="6"/>
  <c r="S113" i="6"/>
  <c r="F114" i="7"/>
  <c r="J114" i="7"/>
  <c r="AC114" i="7"/>
  <c r="P112" i="6"/>
  <c r="S112" i="6"/>
  <c r="F113" i="7"/>
  <c r="J113" i="7"/>
  <c r="AC113" i="7"/>
  <c r="P111" i="6"/>
  <c r="S111" i="6"/>
  <c r="F112" i="7"/>
  <c r="J112" i="7"/>
  <c r="AC112" i="7"/>
  <c r="P110" i="6"/>
  <c r="S110" i="6"/>
  <c r="F111" i="7"/>
  <c r="J111" i="7"/>
  <c r="AB111" i="7"/>
  <c r="P109" i="6"/>
  <c r="S109" i="6"/>
  <c r="F110" i="7"/>
  <c r="J110" i="7"/>
  <c r="AC110" i="7"/>
  <c r="P108" i="6"/>
  <c r="S108" i="6"/>
  <c r="F109" i="7"/>
  <c r="J109" i="7"/>
  <c r="AB109" i="7"/>
  <c r="P107" i="6"/>
  <c r="S107" i="6"/>
  <c r="F108" i="7"/>
  <c r="J108" i="7"/>
  <c r="AC108" i="7"/>
  <c r="P106" i="6"/>
  <c r="S106" i="6"/>
  <c r="F107" i="7"/>
  <c r="J107" i="7"/>
  <c r="AC107" i="7"/>
  <c r="P105" i="6"/>
  <c r="S105" i="6"/>
  <c r="F106" i="7"/>
  <c r="P104" i="6"/>
  <c r="S104" i="6"/>
  <c r="F105" i="7"/>
  <c r="J105" i="7"/>
  <c r="AD105" i="7"/>
  <c r="P103" i="6"/>
  <c r="S103" i="6"/>
  <c r="F104" i="7"/>
  <c r="J104" i="7"/>
  <c r="AC104" i="7"/>
  <c r="P102" i="6"/>
  <c r="S102" i="6"/>
  <c r="F103" i="7"/>
  <c r="J103" i="7"/>
  <c r="AC103" i="7"/>
  <c r="P101" i="6"/>
  <c r="S101" i="6"/>
  <c r="F102" i="7"/>
  <c r="J102" i="7"/>
  <c r="AC102" i="7"/>
  <c r="L100" i="6"/>
  <c r="P100" i="6"/>
  <c r="S100" i="6"/>
  <c r="F101" i="7"/>
  <c r="J101" i="7"/>
  <c r="AB101" i="7"/>
  <c r="P99" i="6"/>
  <c r="S99" i="6"/>
  <c r="F100" i="7"/>
  <c r="J100" i="7"/>
  <c r="AB100" i="7"/>
  <c r="P98" i="6"/>
  <c r="S98" i="6"/>
  <c r="F99" i="7"/>
  <c r="J99" i="7"/>
  <c r="AB99" i="7"/>
  <c r="P97" i="6"/>
  <c r="S97" i="6"/>
  <c r="F98" i="7"/>
  <c r="J98" i="7"/>
  <c r="AB98" i="7"/>
  <c r="L96" i="6"/>
  <c r="P96" i="6"/>
  <c r="S96" i="6"/>
  <c r="F97" i="7"/>
  <c r="J97" i="7"/>
  <c r="AB97" i="7"/>
  <c r="P95" i="6"/>
  <c r="S95" i="6"/>
  <c r="F96" i="7"/>
  <c r="J96" i="7"/>
  <c r="AB96" i="7"/>
  <c r="Q94" i="6"/>
  <c r="P94" i="6"/>
  <c r="S94" i="6"/>
  <c r="F95" i="7"/>
  <c r="J95" i="7"/>
  <c r="AB95" i="7"/>
  <c r="Q93" i="6"/>
  <c r="P93" i="6"/>
  <c r="S93" i="6"/>
  <c r="F94" i="7"/>
  <c r="J94" i="7"/>
  <c r="AB94" i="7"/>
  <c r="L92" i="6"/>
  <c r="P92" i="6"/>
  <c r="S92" i="6"/>
  <c r="F93" i="7"/>
  <c r="J93" i="7"/>
  <c r="AC93" i="7"/>
  <c r="L90" i="6"/>
  <c r="P90" i="6"/>
  <c r="S90" i="6"/>
  <c r="F92" i="7"/>
  <c r="J92" i="7"/>
  <c r="AC92" i="7"/>
  <c r="P88" i="6"/>
  <c r="S88" i="6"/>
  <c r="F90" i="7"/>
  <c r="J90" i="7"/>
  <c r="AC90" i="7"/>
  <c r="P87" i="6"/>
  <c r="S87" i="6"/>
  <c r="F89" i="7"/>
  <c r="J89" i="7"/>
  <c r="AC89" i="7"/>
  <c r="Q86" i="6"/>
  <c r="P86" i="6"/>
  <c r="S86" i="6"/>
  <c r="F88" i="7"/>
  <c r="J88" i="7"/>
  <c r="AC88" i="7"/>
  <c r="P85" i="6"/>
  <c r="S85" i="6"/>
  <c r="F87" i="7"/>
  <c r="J87" i="7"/>
  <c r="AB87" i="7"/>
  <c r="P84" i="6"/>
  <c r="S84" i="6"/>
  <c r="F86" i="7"/>
  <c r="J86" i="7"/>
  <c r="AC86" i="7"/>
  <c r="P83" i="6"/>
  <c r="S83" i="6"/>
  <c r="F85" i="7"/>
  <c r="J85" i="7"/>
  <c r="AB85" i="7"/>
  <c r="P82" i="6"/>
  <c r="S82" i="6"/>
  <c r="F84" i="7"/>
  <c r="J84" i="7"/>
  <c r="AC84" i="7"/>
  <c r="P81" i="6"/>
  <c r="S81" i="6"/>
  <c r="F83" i="7"/>
  <c r="J83" i="7"/>
  <c r="AB83" i="7"/>
  <c r="P80" i="6"/>
  <c r="S80" i="6"/>
  <c r="F82" i="7"/>
  <c r="J82" i="7"/>
  <c r="AB82" i="7"/>
  <c r="P79" i="6"/>
  <c r="S79" i="6"/>
  <c r="F81" i="7"/>
  <c r="J81" i="7"/>
  <c r="AB81" i="7"/>
  <c r="P78" i="6"/>
  <c r="S78" i="6"/>
  <c r="F80" i="7"/>
  <c r="J80" i="7"/>
  <c r="AB80" i="7"/>
  <c r="P77" i="6"/>
  <c r="S77" i="6"/>
  <c r="F79" i="7"/>
  <c r="J79" i="7"/>
  <c r="AB79" i="7"/>
  <c r="P76" i="6"/>
  <c r="S76" i="6"/>
  <c r="F78" i="7"/>
  <c r="J78" i="7"/>
  <c r="AB78" i="7"/>
  <c r="L75" i="6"/>
  <c r="P75" i="6"/>
  <c r="S75" i="6"/>
  <c r="F77" i="7"/>
  <c r="J77" i="7"/>
  <c r="AB77" i="7"/>
  <c r="P74" i="6"/>
  <c r="S74" i="6"/>
  <c r="F76" i="7"/>
  <c r="J76" i="7"/>
  <c r="AB76" i="7"/>
  <c r="P73" i="6"/>
  <c r="S73" i="6"/>
  <c r="F75" i="7"/>
  <c r="J75" i="7"/>
  <c r="AB75" i="7"/>
  <c r="L72" i="6"/>
  <c r="P72" i="6"/>
  <c r="S72" i="6"/>
  <c r="F74" i="7"/>
  <c r="J74" i="7"/>
  <c r="AB74" i="7"/>
  <c r="L71" i="6"/>
  <c r="P71" i="6"/>
  <c r="S71" i="6"/>
  <c r="F72" i="7"/>
  <c r="J72" i="7"/>
  <c r="AB72" i="7"/>
  <c r="L70" i="6"/>
  <c r="P70" i="6"/>
  <c r="S70" i="6"/>
  <c r="F71" i="7"/>
  <c r="J71" i="7"/>
  <c r="AB71" i="7"/>
  <c r="L69" i="6"/>
  <c r="P69" i="6"/>
  <c r="S69" i="6"/>
  <c r="F70" i="7"/>
  <c r="J70" i="7"/>
  <c r="AB70" i="7"/>
  <c r="L68" i="6"/>
  <c r="P68" i="6"/>
  <c r="S68" i="6"/>
  <c r="F69" i="7"/>
  <c r="J69" i="7"/>
  <c r="AB69" i="7"/>
  <c r="L67" i="6"/>
  <c r="P67" i="6"/>
  <c r="S67" i="6"/>
  <c r="F68" i="7"/>
  <c r="J68" i="7"/>
  <c r="AB68" i="7"/>
  <c r="L66" i="6"/>
  <c r="P66" i="6"/>
  <c r="S66" i="6"/>
  <c r="F67" i="7"/>
  <c r="J67" i="7"/>
  <c r="AB67" i="7"/>
  <c r="P65" i="6"/>
  <c r="S65" i="6"/>
  <c r="F66" i="7"/>
  <c r="J66" i="7"/>
  <c r="AB66" i="7"/>
  <c r="P64" i="6"/>
  <c r="S64" i="6"/>
  <c r="F65" i="7"/>
  <c r="J65" i="7"/>
  <c r="AC65" i="7"/>
  <c r="P63" i="6"/>
  <c r="S63" i="6"/>
  <c r="F64" i="7"/>
  <c r="J64" i="7"/>
  <c r="AC64" i="7"/>
  <c r="P62" i="6"/>
  <c r="S62" i="6"/>
  <c r="F63" i="7"/>
  <c r="J63" i="7"/>
  <c r="AC63" i="7"/>
  <c r="P61" i="6"/>
  <c r="S61" i="6"/>
  <c r="F62" i="7"/>
  <c r="J62" i="7"/>
  <c r="AB62" i="7"/>
  <c r="P60" i="6"/>
  <c r="S60" i="6"/>
  <c r="F61" i="7"/>
  <c r="J61" i="7"/>
  <c r="AC61" i="7"/>
  <c r="P59" i="6"/>
  <c r="S59" i="6"/>
  <c r="F60" i="7"/>
  <c r="J60" i="7"/>
  <c r="AB60" i="7"/>
  <c r="L58" i="6"/>
  <c r="P58" i="6"/>
  <c r="S58" i="6"/>
  <c r="F59" i="7"/>
  <c r="J59" i="7"/>
  <c r="AC59" i="7"/>
  <c r="L57" i="6"/>
  <c r="P57" i="6"/>
  <c r="S57" i="6"/>
  <c r="F58" i="7"/>
  <c r="J58" i="7"/>
  <c r="AC58" i="7"/>
  <c r="L56" i="6"/>
  <c r="P56" i="6"/>
  <c r="S56" i="6"/>
  <c r="F57" i="7"/>
  <c r="J57" i="7"/>
  <c r="AC57" i="7"/>
  <c r="Q55" i="6"/>
  <c r="F55" i="6"/>
  <c r="G55" i="6"/>
  <c r="L55" i="6"/>
  <c r="P55" i="6"/>
  <c r="S55" i="6"/>
  <c r="F56" i="7"/>
  <c r="J56" i="7"/>
  <c r="AC56" i="7"/>
  <c r="P54" i="6"/>
  <c r="S54" i="6"/>
  <c r="F55" i="7"/>
  <c r="J55" i="7"/>
  <c r="AB55" i="7"/>
  <c r="L53" i="6"/>
  <c r="P53" i="6"/>
  <c r="S53" i="6"/>
  <c r="F54" i="7"/>
  <c r="J54" i="7"/>
  <c r="AB54" i="7"/>
  <c r="L52" i="6"/>
  <c r="P52" i="6"/>
  <c r="S52" i="6"/>
  <c r="F53" i="7"/>
  <c r="J53" i="7"/>
  <c r="AB53" i="7"/>
  <c r="P51" i="6"/>
  <c r="S51" i="6"/>
  <c r="F52" i="7"/>
  <c r="J52" i="7"/>
  <c r="AC52" i="7"/>
  <c r="P50" i="6"/>
  <c r="S50" i="6"/>
  <c r="F51" i="7"/>
  <c r="J51" i="7"/>
  <c r="AC51" i="7"/>
  <c r="P49" i="6"/>
  <c r="S49" i="6"/>
  <c r="F50" i="7"/>
  <c r="J50" i="7"/>
  <c r="AC50" i="7"/>
  <c r="L48" i="6"/>
  <c r="P48" i="6"/>
  <c r="S48" i="6"/>
  <c r="F49" i="7"/>
  <c r="J49" i="7"/>
  <c r="AB49" i="7"/>
  <c r="P47" i="6"/>
  <c r="S47" i="6"/>
  <c r="F48" i="7"/>
  <c r="J48" i="7"/>
  <c r="AC48" i="7"/>
  <c r="P45" i="6"/>
  <c r="S45" i="6"/>
  <c r="F46" i="7"/>
  <c r="J46" i="7"/>
  <c r="AC46" i="7"/>
  <c r="P44" i="6"/>
  <c r="S44" i="6"/>
  <c r="F45" i="7"/>
  <c r="J45" i="7"/>
  <c r="AB45" i="7"/>
  <c r="P43" i="6"/>
  <c r="S43" i="6"/>
  <c r="F44" i="7"/>
  <c r="J44" i="7"/>
  <c r="AB44" i="7"/>
  <c r="L42" i="6"/>
  <c r="P42" i="6"/>
  <c r="S42" i="6"/>
  <c r="F43" i="7"/>
  <c r="J43" i="7"/>
  <c r="AD43" i="7"/>
  <c r="P41" i="6"/>
  <c r="S41" i="6"/>
  <c r="F42" i="7"/>
  <c r="J42" i="7"/>
  <c r="AB42" i="7"/>
  <c r="F41" i="7"/>
  <c r="J41" i="7"/>
  <c r="AB41" i="7"/>
  <c r="L39" i="6"/>
  <c r="P39" i="6"/>
  <c r="S39" i="6"/>
  <c r="F40" i="7"/>
  <c r="J40" i="7"/>
  <c r="AB40" i="7"/>
  <c r="L38" i="6"/>
  <c r="P38" i="6"/>
  <c r="S38" i="6"/>
  <c r="F39" i="7"/>
  <c r="J39" i="7"/>
  <c r="AB39" i="7"/>
  <c r="L37" i="6"/>
  <c r="P37" i="6"/>
  <c r="S37" i="6"/>
  <c r="F38" i="7"/>
  <c r="J38" i="7"/>
  <c r="AB38" i="7"/>
  <c r="L36" i="6"/>
  <c r="P36" i="6"/>
  <c r="S36" i="6"/>
  <c r="F37" i="7"/>
  <c r="J37" i="7"/>
  <c r="AB37" i="7"/>
  <c r="L35" i="6"/>
  <c r="P35" i="6"/>
  <c r="S35" i="6"/>
  <c r="F36" i="7"/>
  <c r="J36" i="7"/>
  <c r="AB36" i="7"/>
  <c r="P34" i="6"/>
  <c r="S34" i="6"/>
  <c r="F35" i="7"/>
  <c r="J35" i="7"/>
  <c r="AB35" i="7"/>
  <c r="L33" i="6"/>
  <c r="P33" i="6"/>
  <c r="S33" i="6"/>
  <c r="F34" i="7"/>
  <c r="J34" i="7"/>
  <c r="AB34" i="7"/>
  <c r="L32" i="6"/>
  <c r="P32" i="6"/>
  <c r="S32" i="6"/>
  <c r="F33" i="7"/>
  <c r="J33" i="7"/>
  <c r="AC33" i="7"/>
  <c r="P31" i="6"/>
  <c r="S31" i="6"/>
  <c r="F31" i="7"/>
  <c r="J31" i="7"/>
  <c r="AC31" i="7"/>
  <c r="P30" i="6"/>
  <c r="S30" i="6"/>
  <c r="F30" i="7"/>
  <c r="J30" i="7"/>
  <c r="AB30" i="7"/>
  <c r="P29" i="6"/>
  <c r="S29" i="6"/>
  <c r="F29" i="7"/>
  <c r="J29" i="7"/>
  <c r="AC29" i="7"/>
  <c r="P28" i="6"/>
  <c r="S28" i="6"/>
  <c r="F28" i="7"/>
  <c r="J28" i="7"/>
  <c r="AC28" i="7"/>
  <c r="P27" i="6"/>
  <c r="S27" i="6"/>
  <c r="F27" i="7"/>
  <c r="J27" i="7"/>
  <c r="AC27" i="7"/>
  <c r="Q26" i="6"/>
  <c r="L26" i="6"/>
  <c r="P26" i="6"/>
  <c r="S26" i="6"/>
  <c r="F26" i="7"/>
  <c r="J26" i="7"/>
  <c r="AB26" i="7"/>
  <c r="Q25" i="6"/>
  <c r="L25" i="6"/>
  <c r="P25" i="6"/>
  <c r="S25" i="6"/>
  <c r="F25" i="7"/>
  <c r="J25" i="7"/>
  <c r="AB25" i="7"/>
  <c r="Q24" i="6"/>
  <c r="L24" i="6"/>
  <c r="P24" i="6"/>
  <c r="S24" i="6"/>
  <c r="F24" i="7"/>
  <c r="L23" i="6"/>
  <c r="P23" i="6"/>
  <c r="S23" i="6"/>
  <c r="F23" i="7"/>
  <c r="J23" i="7"/>
  <c r="AC23" i="7"/>
  <c r="L22" i="6"/>
  <c r="P22" i="6"/>
  <c r="S22" i="6"/>
  <c r="F22" i="7"/>
  <c r="J22" i="7"/>
  <c r="AC22" i="7"/>
  <c r="Q21" i="6"/>
  <c r="F21" i="6"/>
  <c r="G21" i="6"/>
  <c r="L21" i="6"/>
  <c r="P21" i="6"/>
  <c r="S21" i="6"/>
  <c r="F21" i="7"/>
  <c r="J21" i="7"/>
  <c r="AB21" i="7"/>
  <c r="P20" i="6"/>
  <c r="S20" i="6"/>
  <c r="F20" i="7"/>
  <c r="J20" i="7"/>
  <c r="AC20" i="7"/>
  <c r="P90" i="5"/>
  <c r="S90" i="5"/>
  <c r="E90" i="6"/>
  <c r="I90" i="6"/>
  <c r="AB90" i="6"/>
  <c r="P89" i="5"/>
  <c r="S89" i="5"/>
  <c r="E89" i="6"/>
  <c r="I89" i="6"/>
  <c r="AA89" i="6"/>
  <c r="P88" i="5"/>
  <c r="S88" i="5"/>
  <c r="E88" i="6"/>
  <c r="D88" i="6"/>
  <c r="I88" i="6"/>
  <c r="AB88" i="6"/>
  <c r="P86" i="5"/>
  <c r="S86" i="5"/>
  <c r="E85" i="6"/>
  <c r="I85" i="6"/>
  <c r="AA85" i="6"/>
  <c r="P85" i="5"/>
  <c r="S85" i="5"/>
  <c r="E84" i="6"/>
  <c r="I84" i="6"/>
  <c r="AB84" i="6"/>
  <c r="P84" i="5"/>
  <c r="S84" i="5"/>
  <c r="E83" i="6"/>
  <c r="I83" i="6"/>
  <c r="AA83" i="6"/>
  <c r="P83" i="5"/>
  <c r="S83" i="5"/>
  <c r="E82" i="6"/>
  <c r="I82" i="6"/>
  <c r="AB82" i="6"/>
  <c r="P82" i="5"/>
  <c r="S82" i="5"/>
  <c r="E81" i="6"/>
  <c r="I81" i="6"/>
  <c r="AA81" i="6"/>
  <c r="L81" i="5"/>
  <c r="P81" i="5"/>
  <c r="S81" i="5"/>
  <c r="E80" i="6"/>
  <c r="I80" i="6"/>
  <c r="AA80" i="6"/>
  <c r="P80" i="5"/>
  <c r="S80" i="5"/>
  <c r="E79" i="6"/>
  <c r="I79" i="6"/>
  <c r="AA79" i="6"/>
  <c r="L79" i="5"/>
  <c r="P79" i="5"/>
  <c r="S79" i="5"/>
  <c r="E78" i="6"/>
  <c r="I78" i="6"/>
  <c r="AA78" i="6"/>
  <c r="P78" i="5"/>
  <c r="S78" i="5"/>
  <c r="E77" i="6"/>
  <c r="I77" i="6"/>
  <c r="AA77" i="6"/>
  <c r="L77" i="5"/>
  <c r="P77" i="5"/>
  <c r="S77" i="5"/>
  <c r="E76" i="6"/>
  <c r="I76" i="6"/>
  <c r="AA76" i="6"/>
  <c r="L76" i="5"/>
  <c r="P76" i="5"/>
  <c r="S76" i="5"/>
  <c r="E75" i="6"/>
  <c r="I75" i="6"/>
  <c r="AA75" i="6"/>
  <c r="P75" i="5"/>
  <c r="S75" i="5"/>
  <c r="E74" i="6"/>
  <c r="I74" i="6"/>
  <c r="AA74" i="6"/>
  <c r="P74" i="5"/>
  <c r="S74" i="5"/>
  <c r="E73" i="6"/>
  <c r="I73" i="6"/>
  <c r="AA73" i="6"/>
  <c r="Q73" i="5"/>
  <c r="P73" i="5"/>
  <c r="S73" i="5"/>
  <c r="E72" i="6"/>
  <c r="I72" i="6"/>
  <c r="AA72" i="6"/>
  <c r="Q72" i="5"/>
  <c r="P72" i="5"/>
  <c r="S72" i="5"/>
  <c r="E71" i="6"/>
  <c r="D71" i="6"/>
  <c r="I71" i="6"/>
  <c r="AA71" i="6"/>
  <c r="L71" i="5"/>
  <c r="P71" i="5"/>
  <c r="S71" i="5"/>
  <c r="E70" i="6"/>
  <c r="I70" i="6"/>
  <c r="AA70" i="6"/>
  <c r="L70" i="5"/>
  <c r="P70" i="5"/>
  <c r="S70" i="5"/>
  <c r="E69" i="6"/>
  <c r="I69" i="6"/>
  <c r="AA69" i="6"/>
  <c r="L69" i="5"/>
  <c r="P69" i="5"/>
  <c r="S69" i="5"/>
  <c r="E68" i="6"/>
  <c r="I68" i="6"/>
  <c r="AA68" i="6"/>
  <c r="L68" i="5"/>
  <c r="P68" i="5"/>
  <c r="S68" i="5"/>
  <c r="E67" i="6"/>
  <c r="I67" i="6"/>
  <c r="AA67" i="6"/>
  <c r="L67" i="5"/>
  <c r="P67" i="5"/>
  <c r="S67" i="5"/>
  <c r="E66" i="6"/>
  <c r="I66" i="6"/>
  <c r="AA66" i="6"/>
  <c r="P87" i="5"/>
  <c r="S87" i="5"/>
  <c r="E87" i="6"/>
  <c r="D87" i="6"/>
  <c r="I87" i="6"/>
  <c r="AB87" i="6"/>
  <c r="P66" i="5"/>
  <c r="S66" i="5"/>
  <c r="E64" i="6"/>
  <c r="I64" i="6"/>
  <c r="AB64" i="6"/>
  <c r="L65" i="5"/>
  <c r="P65" i="5"/>
  <c r="S65" i="5"/>
  <c r="E63" i="6"/>
  <c r="I63" i="6"/>
  <c r="AB63" i="6"/>
  <c r="P64" i="5"/>
  <c r="S64" i="5"/>
  <c r="E62" i="6"/>
  <c r="I62" i="6"/>
  <c r="AB62" i="6"/>
  <c r="P63" i="5"/>
  <c r="S63" i="5"/>
  <c r="E61" i="6"/>
  <c r="I61" i="6"/>
  <c r="AA61" i="6"/>
  <c r="L62" i="5"/>
  <c r="P62" i="5"/>
  <c r="S62" i="5"/>
  <c r="E60" i="6"/>
  <c r="I60" i="6"/>
  <c r="AB60" i="6"/>
  <c r="P61" i="5"/>
  <c r="S61" i="5"/>
  <c r="E59" i="6"/>
  <c r="I59" i="6"/>
  <c r="AA59" i="6"/>
  <c r="L60" i="5"/>
  <c r="P60" i="5"/>
  <c r="S60" i="5"/>
  <c r="E58" i="6"/>
  <c r="I58" i="6"/>
  <c r="AB58" i="6"/>
  <c r="L59" i="5"/>
  <c r="P59" i="5"/>
  <c r="S59" i="5"/>
  <c r="E57" i="6"/>
  <c r="I57" i="6"/>
  <c r="AB57" i="6"/>
  <c r="L58" i="5"/>
  <c r="P58" i="5"/>
  <c r="S58" i="5"/>
  <c r="E56" i="6"/>
  <c r="I56" i="6"/>
  <c r="AB56" i="6"/>
  <c r="Q57" i="5"/>
  <c r="F57" i="5"/>
  <c r="G57" i="5"/>
  <c r="L57" i="5"/>
  <c r="P57" i="5"/>
  <c r="S57" i="5"/>
  <c r="E55" i="6"/>
  <c r="I55" i="6"/>
  <c r="AB55" i="6"/>
  <c r="P56" i="5"/>
  <c r="S56" i="5"/>
  <c r="E54" i="6"/>
  <c r="I54" i="6"/>
  <c r="AA54" i="6"/>
  <c r="L55" i="5"/>
  <c r="P55" i="5"/>
  <c r="S55" i="5"/>
  <c r="E53" i="6"/>
  <c r="I53" i="6"/>
  <c r="AA53" i="6"/>
  <c r="L54" i="5"/>
  <c r="P54" i="5"/>
  <c r="S54" i="5"/>
  <c r="E52" i="6"/>
  <c r="I52" i="6"/>
  <c r="AA52" i="6"/>
  <c r="P53" i="5"/>
  <c r="S53" i="5"/>
  <c r="E51" i="6"/>
  <c r="I51" i="6"/>
  <c r="AB51" i="6"/>
  <c r="P52" i="5"/>
  <c r="S52" i="5"/>
  <c r="E50" i="6"/>
  <c r="I50" i="6"/>
  <c r="AB50" i="6"/>
  <c r="P51" i="5"/>
  <c r="S51" i="5"/>
  <c r="E49" i="6"/>
  <c r="I49" i="6"/>
  <c r="AB49" i="6"/>
  <c r="Q50" i="5"/>
  <c r="P50" i="5"/>
  <c r="S50" i="5"/>
  <c r="E48" i="6"/>
  <c r="D48" i="6"/>
  <c r="I48" i="6"/>
  <c r="AA48" i="6"/>
  <c r="P49" i="5"/>
  <c r="S49" i="5"/>
  <c r="E47" i="6"/>
  <c r="I47" i="6"/>
  <c r="AB47" i="6"/>
  <c r="Q48" i="5"/>
  <c r="P48" i="5"/>
  <c r="S48" i="5"/>
  <c r="E46" i="6"/>
  <c r="F46" i="6"/>
  <c r="G46" i="6"/>
  <c r="I46" i="6"/>
  <c r="AB46" i="6"/>
  <c r="P47" i="5"/>
  <c r="S47" i="5"/>
  <c r="E45" i="6"/>
  <c r="I45" i="6"/>
  <c r="AB45" i="6"/>
  <c r="P46" i="5"/>
  <c r="S46" i="5"/>
  <c r="E44" i="6"/>
  <c r="I44" i="6"/>
  <c r="AA44" i="6"/>
  <c r="P45" i="5"/>
  <c r="S45" i="5"/>
  <c r="E43" i="6"/>
  <c r="I43" i="6"/>
  <c r="AA43" i="6"/>
  <c r="Q44" i="5"/>
  <c r="P44" i="5"/>
  <c r="S44" i="5"/>
  <c r="E42" i="6"/>
  <c r="I42" i="6"/>
  <c r="AC42" i="6"/>
  <c r="P43" i="5"/>
  <c r="S43" i="5"/>
  <c r="E41" i="6"/>
  <c r="I41" i="6"/>
  <c r="AA41" i="6"/>
  <c r="L42" i="5"/>
  <c r="P42" i="5"/>
  <c r="S42" i="5"/>
  <c r="E40" i="6"/>
  <c r="I40" i="6"/>
  <c r="AA40" i="6"/>
  <c r="L41" i="5"/>
  <c r="P41" i="5"/>
  <c r="S41" i="5"/>
  <c r="E39" i="6"/>
  <c r="I39" i="6"/>
  <c r="AA39" i="6"/>
  <c r="L40" i="5"/>
  <c r="P40" i="5"/>
  <c r="S40" i="5"/>
  <c r="E38" i="6"/>
  <c r="I38" i="6"/>
  <c r="AA38" i="6"/>
  <c r="L39" i="5"/>
  <c r="P39" i="5"/>
  <c r="S39" i="5"/>
  <c r="E37" i="6"/>
  <c r="I37" i="6"/>
  <c r="AA37" i="6"/>
  <c r="L38" i="5"/>
  <c r="P38" i="5"/>
  <c r="S38" i="5"/>
  <c r="E36" i="6"/>
  <c r="I36" i="6"/>
  <c r="AA36" i="6"/>
  <c r="L37" i="5"/>
  <c r="P37" i="5"/>
  <c r="S37" i="5"/>
  <c r="E35" i="6"/>
  <c r="I35" i="6"/>
  <c r="AA35" i="6"/>
  <c r="L36" i="5"/>
  <c r="P36" i="5"/>
  <c r="S36" i="5"/>
  <c r="E34" i="6"/>
  <c r="I34" i="6"/>
  <c r="AA34" i="6"/>
  <c r="L35" i="5"/>
  <c r="P35" i="5"/>
  <c r="S35" i="5"/>
  <c r="E33" i="6"/>
  <c r="I33" i="6"/>
  <c r="AA33" i="6"/>
  <c r="L34" i="5"/>
  <c r="P34" i="5"/>
  <c r="S34" i="5"/>
  <c r="E32" i="6"/>
  <c r="I32" i="6"/>
  <c r="AB32" i="6"/>
  <c r="P33" i="5"/>
  <c r="S33" i="5"/>
  <c r="E31" i="6"/>
  <c r="I31" i="6"/>
  <c r="AB31" i="6"/>
  <c r="Q32" i="5"/>
  <c r="P32" i="5"/>
  <c r="S32" i="5"/>
  <c r="E30" i="6"/>
  <c r="I30" i="6"/>
  <c r="AA30" i="6"/>
  <c r="Q31" i="5"/>
  <c r="L31" i="5"/>
  <c r="P31" i="5"/>
  <c r="S31" i="5"/>
  <c r="E29" i="6"/>
  <c r="I29" i="6"/>
  <c r="AB29" i="6"/>
  <c r="L30" i="5"/>
  <c r="P30" i="5"/>
  <c r="S30" i="5"/>
  <c r="E28" i="6"/>
  <c r="I28" i="6"/>
  <c r="AB28" i="6"/>
  <c r="L29" i="5"/>
  <c r="P29" i="5"/>
  <c r="S29" i="5"/>
  <c r="E27" i="6"/>
  <c r="I27" i="6"/>
  <c r="AB27" i="6"/>
  <c r="P28" i="5"/>
  <c r="S28" i="5"/>
  <c r="E26" i="6"/>
  <c r="I26" i="6"/>
  <c r="AA26" i="6"/>
  <c r="P27" i="5"/>
  <c r="S27" i="5"/>
  <c r="E25" i="6"/>
  <c r="I25" i="6"/>
  <c r="AA25" i="6"/>
  <c r="P26" i="5"/>
  <c r="S26" i="5"/>
  <c r="E24" i="6"/>
  <c r="I24" i="6"/>
  <c r="AA24" i="6"/>
  <c r="L24" i="5"/>
  <c r="P24" i="5"/>
  <c r="S24" i="5"/>
  <c r="E23" i="6"/>
  <c r="I23" i="6"/>
  <c r="AA23" i="6"/>
  <c r="L22" i="5"/>
  <c r="P22" i="5"/>
  <c r="S22" i="5"/>
  <c r="E22" i="6"/>
  <c r="I22" i="6"/>
  <c r="AB22" i="6"/>
  <c r="Q21" i="5"/>
  <c r="F21" i="5"/>
  <c r="G21" i="5"/>
  <c r="L21" i="5"/>
  <c r="P21" i="5"/>
  <c r="S21" i="5"/>
  <c r="E21" i="6"/>
  <c r="I21" i="6"/>
  <c r="AA21" i="6"/>
  <c r="P20" i="5"/>
  <c r="S20" i="5"/>
  <c r="E20" i="6"/>
  <c r="I20" i="6"/>
  <c r="AB20" i="6"/>
  <c r="P19" i="5"/>
  <c r="S19" i="5"/>
  <c r="E19" i="6"/>
  <c r="I19" i="6"/>
  <c r="AA19" i="6"/>
  <c r="P19" i="6"/>
  <c r="S19" i="6"/>
  <c r="Q40" i="6"/>
  <c r="L40" i="6"/>
  <c r="P40" i="6"/>
  <c r="S40" i="6"/>
  <c r="L46" i="6"/>
  <c r="P46" i="6"/>
  <c r="S46" i="6"/>
  <c r="P89" i="6"/>
  <c r="S89" i="6"/>
  <c r="P91" i="6"/>
  <c r="S91" i="6"/>
  <c r="P248" i="6"/>
  <c r="S248" i="6"/>
  <c r="P262" i="6"/>
  <c r="S262" i="6"/>
  <c r="S266" i="6"/>
  <c r="F252" i="7"/>
  <c r="J252" i="7"/>
  <c r="AC252" i="7"/>
  <c r="I271" i="7"/>
  <c r="W147" i="7"/>
  <c r="AA147" i="7"/>
  <c r="AG147" i="7"/>
  <c r="T222" i="7"/>
  <c r="F228" i="8"/>
  <c r="J228" i="8"/>
  <c r="AB228" i="8"/>
  <c r="AG218" i="6"/>
  <c r="AF218" i="6"/>
  <c r="AC218" i="6"/>
  <c r="AB218" i="6"/>
  <c r="W218" i="6"/>
  <c r="V218" i="6"/>
  <c r="I218" i="6"/>
  <c r="AA218" i="6"/>
  <c r="Q88" i="7"/>
  <c r="T88" i="7"/>
  <c r="F89" i="8"/>
  <c r="J89" i="8"/>
  <c r="AC89" i="8"/>
  <c r="AG86" i="6"/>
  <c r="AE86" i="6"/>
  <c r="AC86" i="6"/>
  <c r="AA86" i="6"/>
  <c r="W86" i="6"/>
  <c r="U86" i="6"/>
  <c r="AF86" i="6"/>
  <c r="I86" i="6"/>
  <c r="AB86" i="6"/>
  <c r="AA222" i="7"/>
  <c r="AG88" i="7"/>
  <c r="W88" i="7"/>
  <c r="AA88" i="7"/>
  <c r="V86" i="6"/>
  <c r="Z86" i="6"/>
  <c r="U218" i="6"/>
  <c r="Z218" i="6"/>
  <c r="AE218" i="6"/>
  <c r="I94" i="6"/>
  <c r="I93" i="6"/>
  <c r="T211" i="7"/>
  <c r="F216" i="8"/>
  <c r="J216" i="8"/>
  <c r="AB216" i="8"/>
  <c r="AG207" i="6"/>
  <c r="AF207" i="6"/>
  <c r="AC207" i="6"/>
  <c r="AB207" i="6"/>
  <c r="W207" i="6"/>
  <c r="V207" i="6"/>
  <c r="U207" i="6"/>
  <c r="Z207" i="6"/>
  <c r="I207" i="6"/>
  <c r="AA207" i="6"/>
  <c r="AE207" i="6"/>
  <c r="T95" i="7"/>
  <c r="F97" i="8"/>
  <c r="J97" i="8"/>
  <c r="AB97" i="8"/>
  <c r="T94" i="7"/>
  <c r="F96" i="8"/>
  <c r="J96" i="8"/>
  <c r="AB96" i="8"/>
  <c r="AG190" i="6"/>
  <c r="AE190" i="6"/>
  <c r="AC190" i="6"/>
  <c r="AA190" i="6"/>
  <c r="W190" i="6"/>
  <c r="U190" i="6"/>
  <c r="I190" i="6"/>
  <c r="AB190" i="6"/>
  <c r="T194" i="7"/>
  <c r="F199" i="8"/>
  <c r="J199" i="8"/>
  <c r="AB199" i="8"/>
  <c r="AC199" i="8"/>
  <c r="AA95" i="7"/>
  <c r="AA94" i="7"/>
  <c r="AF190" i="6"/>
  <c r="V190" i="6"/>
  <c r="Z190" i="6"/>
  <c r="AG110" i="6"/>
  <c r="AF110" i="6"/>
  <c r="AC110" i="6"/>
  <c r="AB110" i="6"/>
  <c r="W110" i="6"/>
  <c r="V110" i="6"/>
  <c r="AE110" i="6"/>
  <c r="I110" i="6"/>
  <c r="AA110" i="6"/>
  <c r="T111" i="7"/>
  <c r="F113" i="8"/>
  <c r="J113" i="8"/>
  <c r="AB113" i="8"/>
  <c r="AA111" i="7"/>
  <c r="U110" i="6"/>
  <c r="Z110" i="6"/>
  <c r="T219" i="7"/>
  <c r="F225" i="8"/>
  <c r="J225" i="8"/>
  <c r="AB225" i="8"/>
  <c r="AG215" i="6"/>
  <c r="AF215" i="6"/>
  <c r="AC215" i="6"/>
  <c r="AB215" i="6"/>
  <c r="W215" i="6"/>
  <c r="V215" i="6"/>
  <c r="AE215" i="6"/>
  <c r="I215" i="6"/>
  <c r="AA215" i="6"/>
  <c r="U215" i="6"/>
  <c r="Z215" i="6"/>
  <c r="T66" i="7"/>
  <c r="F67" i="8"/>
  <c r="J67" i="8"/>
  <c r="AB67" i="8"/>
  <c r="AG65" i="6"/>
  <c r="AF65" i="6"/>
  <c r="AC65" i="6"/>
  <c r="AB65" i="6"/>
  <c r="W65" i="6"/>
  <c r="V65" i="6"/>
  <c r="U65" i="6"/>
  <c r="Z65" i="6"/>
  <c r="I65" i="6"/>
  <c r="AA65" i="6"/>
  <c r="AA66" i="7"/>
  <c r="AE65" i="6"/>
  <c r="AG142" i="6"/>
  <c r="AE142" i="6"/>
  <c r="AC142" i="6"/>
  <c r="AA142" i="6"/>
  <c r="W142" i="6"/>
  <c r="U142" i="6"/>
  <c r="I142" i="6"/>
  <c r="AB142" i="6"/>
  <c r="AG113" i="6"/>
  <c r="AE113" i="6"/>
  <c r="AC113" i="6"/>
  <c r="AA113" i="6"/>
  <c r="W113" i="6"/>
  <c r="U113" i="6"/>
  <c r="AF113" i="6"/>
  <c r="I113" i="6"/>
  <c r="AB113" i="6"/>
  <c r="Q114" i="7"/>
  <c r="T114" i="7"/>
  <c r="F116" i="8"/>
  <c r="J116" i="8"/>
  <c r="AC116" i="8"/>
  <c r="AG145" i="7"/>
  <c r="W145" i="7"/>
  <c r="AA145" i="7"/>
  <c r="W114" i="7"/>
  <c r="AA114" i="7"/>
  <c r="AG114" i="7"/>
  <c r="AF142" i="6"/>
  <c r="V142" i="6"/>
  <c r="Z142" i="6"/>
  <c r="V113" i="6"/>
  <c r="Z113" i="6"/>
  <c r="F19" i="7"/>
  <c r="J19" i="7"/>
  <c r="AB19" i="7"/>
  <c r="AD273" i="7"/>
  <c r="Y281" i="7"/>
  <c r="Y278" i="7"/>
  <c r="P270" i="7"/>
  <c r="N270" i="7"/>
  <c r="K270" i="7"/>
  <c r="T269" i="7"/>
  <c r="Q268" i="7"/>
  <c r="T268" i="7"/>
  <c r="F279" i="8"/>
  <c r="J279" i="8"/>
  <c r="AC279" i="8"/>
  <c r="T267" i="7"/>
  <c r="F276" i="8"/>
  <c r="J276" i="8"/>
  <c r="AD276" i="8"/>
  <c r="T266" i="7"/>
  <c r="F274" i="8"/>
  <c r="J274" i="8"/>
  <c r="AB274" i="8"/>
  <c r="J266" i="7"/>
  <c r="AB266" i="7"/>
  <c r="T265" i="7"/>
  <c r="F273" i="8"/>
  <c r="J273" i="8"/>
  <c r="AB273" i="8"/>
  <c r="T264" i="7"/>
  <c r="F272" i="8"/>
  <c r="J272" i="8"/>
  <c r="AB272" i="8"/>
  <c r="T263" i="7"/>
  <c r="F271" i="8"/>
  <c r="J271" i="8"/>
  <c r="AB271" i="8"/>
  <c r="T262" i="7"/>
  <c r="F270" i="8"/>
  <c r="J270" i="8"/>
  <c r="AB270" i="8"/>
  <c r="Q261" i="7"/>
  <c r="T261" i="7"/>
  <c r="F269" i="8"/>
  <c r="J269" i="8"/>
  <c r="AC269" i="8"/>
  <c r="T260" i="7"/>
  <c r="F268" i="8"/>
  <c r="J268" i="8"/>
  <c r="AB268" i="8"/>
  <c r="T259" i="7"/>
  <c r="F267" i="8"/>
  <c r="J267" i="8"/>
  <c r="AC267" i="8"/>
  <c r="T258" i="7"/>
  <c r="F266" i="8"/>
  <c r="J266" i="8"/>
  <c r="AC266" i="8"/>
  <c r="T257" i="7"/>
  <c r="F265" i="8"/>
  <c r="J265" i="8"/>
  <c r="AC265" i="8"/>
  <c r="Q256" i="7"/>
  <c r="T256" i="7"/>
  <c r="F264" i="8"/>
  <c r="J264" i="8"/>
  <c r="AC264" i="8"/>
  <c r="T255" i="7"/>
  <c r="F263" i="8"/>
  <c r="J263" i="8"/>
  <c r="AB263" i="8"/>
  <c r="T254" i="7"/>
  <c r="F262" i="8"/>
  <c r="J262" i="8"/>
  <c r="AC262" i="8"/>
  <c r="T253" i="7"/>
  <c r="F261" i="8"/>
  <c r="J261" i="8"/>
  <c r="AD261" i="8"/>
  <c r="T252" i="7"/>
  <c r="F260" i="8"/>
  <c r="J260" i="8"/>
  <c r="AC260" i="8"/>
  <c r="T251" i="7"/>
  <c r="F259" i="8"/>
  <c r="J259" i="8"/>
  <c r="AC259" i="8"/>
  <c r="T250" i="7"/>
  <c r="F258" i="8"/>
  <c r="J258" i="8"/>
  <c r="AB258" i="8"/>
  <c r="T249" i="7"/>
  <c r="F257" i="8"/>
  <c r="J257" i="8"/>
  <c r="AB257" i="8"/>
  <c r="T248" i="7"/>
  <c r="F256" i="8"/>
  <c r="J256" i="8"/>
  <c r="AD256" i="8"/>
  <c r="T247" i="7"/>
  <c r="F255" i="8"/>
  <c r="J255" i="8"/>
  <c r="AB255" i="8"/>
  <c r="T245" i="7"/>
  <c r="F253" i="8"/>
  <c r="J253" i="8"/>
  <c r="AB253" i="8"/>
  <c r="Q244" i="7"/>
  <c r="T244" i="7"/>
  <c r="F251" i="8"/>
  <c r="J251" i="8"/>
  <c r="AC251" i="8"/>
  <c r="T243" i="7"/>
  <c r="F250" i="8"/>
  <c r="J250" i="8"/>
  <c r="AC250" i="8"/>
  <c r="T242" i="7"/>
  <c r="F249" i="8"/>
  <c r="J249" i="8"/>
  <c r="AD249" i="8"/>
  <c r="T241" i="7"/>
  <c r="F248" i="8"/>
  <c r="J248" i="8"/>
  <c r="AC248" i="8"/>
  <c r="T240" i="7"/>
  <c r="F247" i="8"/>
  <c r="J247" i="8"/>
  <c r="AC247" i="8"/>
  <c r="T239" i="7"/>
  <c r="F246" i="8"/>
  <c r="J246" i="8"/>
  <c r="AC246" i="8"/>
  <c r="T238" i="7"/>
  <c r="F245" i="8"/>
  <c r="J245" i="8"/>
  <c r="AC245" i="8"/>
  <c r="Q237" i="7"/>
  <c r="T237" i="7"/>
  <c r="F244" i="8"/>
  <c r="J244" i="8"/>
  <c r="AC244" i="8"/>
  <c r="Q236" i="7"/>
  <c r="T236" i="7"/>
  <c r="F243" i="8"/>
  <c r="J243" i="8"/>
  <c r="AC243" i="8"/>
  <c r="T235" i="7"/>
  <c r="F242" i="8"/>
  <c r="J242" i="8"/>
  <c r="AC242" i="8"/>
  <c r="T234" i="7"/>
  <c r="F240" i="8"/>
  <c r="J240" i="8"/>
  <c r="AB240" i="8"/>
  <c r="T233" i="7"/>
  <c r="F239" i="8"/>
  <c r="J239" i="8"/>
  <c r="AB239" i="8"/>
  <c r="T232" i="7"/>
  <c r="F238" i="8"/>
  <c r="J238" i="8"/>
  <c r="AB238" i="8"/>
  <c r="Q231" i="7"/>
  <c r="T231" i="7"/>
  <c r="F237" i="8"/>
  <c r="J237" i="8"/>
  <c r="AC237" i="8"/>
  <c r="T230" i="7"/>
  <c r="F236" i="8"/>
  <c r="J236" i="8"/>
  <c r="AC236" i="8"/>
  <c r="T229" i="7"/>
  <c r="F235" i="8"/>
  <c r="J235" i="8"/>
  <c r="AC235" i="8"/>
  <c r="Q228" i="7"/>
  <c r="T228" i="7"/>
  <c r="F234" i="8"/>
  <c r="J234" i="8"/>
  <c r="AC234" i="8"/>
  <c r="T227" i="7"/>
  <c r="F233" i="8"/>
  <c r="J233" i="8"/>
  <c r="AC233" i="8"/>
  <c r="Q226" i="7"/>
  <c r="T226" i="7"/>
  <c r="F232" i="8"/>
  <c r="J232" i="8"/>
  <c r="AC232" i="8"/>
  <c r="T225" i="7"/>
  <c r="F231" i="8"/>
  <c r="J231" i="8"/>
  <c r="AC231" i="8"/>
  <c r="T224" i="7"/>
  <c r="F230" i="8"/>
  <c r="J230" i="8"/>
  <c r="AC230" i="8"/>
  <c r="T223" i="7"/>
  <c r="F229" i="8"/>
  <c r="J229" i="8"/>
  <c r="AB229" i="8"/>
  <c r="T221" i="7"/>
  <c r="F227" i="8"/>
  <c r="J227" i="8"/>
  <c r="AB227" i="8"/>
  <c r="T220" i="7"/>
  <c r="F226" i="8"/>
  <c r="J226" i="8"/>
  <c r="AC226" i="8"/>
  <c r="T218" i="7"/>
  <c r="F224" i="8"/>
  <c r="J224" i="8"/>
  <c r="AB224" i="8"/>
  <c r="T217" i="7"/>
  <c r="F223" i="8"/>
  <c r="J223" i="8"/>
  <c r="AC223" i="8"/>
  <c r="T216" i="7"/>
  <c r="F222" i="8"/>
  <c r="J222" i="8"/>
  <c r="AB222" i="8"/>
  <c r="T215" i="7"/>
  <c r="F221" i="8"/>
  <c r="J221" i="8"/>
  <c r="AB221" i="8"/>
  <c r="T214" i="7"/>
  <c r="F220" i="8"/>
  <c r="J220" i="8"/>
  <c r="AB220" i="8"/>
  <c r="Q213" i="7"/>
  <c r="T213" i="7"/>
  <c r="F218" i="8"/>
  <c r="J218" i="8"/>
  <c r="AC218" i="8"/>
  <c r="T212" i="7"/>
  <c r="F217" i="8"/>
  <c r="J217" i="8"/>
  <c r="AB217" i="8"/>
  <c r="T210" i="7"/>
  <c r="F215" i="8"/>
  <c r="J215" i="8"/>
  <c r="AB215" i="8"/>
  <c r="T209" i="7"/>
  <c r="F214" i="8"/>
  <c r="J214" i="8"/>
  <c r="AC214" i="8"/>
  <c r="Q208" i="7"/>
  <c r="T208" i="7"/>
  <c r="F213" i="8"/>
  <c r="J213" i="8"/>
  <c r="AC213" i="8"/>
  <c r="T207" i="7"/>
  <c r="F212" i="8"/>
  <c r="J212" i="8"/>
  <c r="AD212" i="8"/>
  <c r="Q206" i="7"/>
  <c r="T206" i="7"/>
  <c r="F211" i="8"/>
  <c r="J211" i="8"/>
  <c r="AC211" i="8"/>
  <c r="T205" i="7"/>
  <c r="F210" i="8"/>
  <c r="J210" i="8"/>
  <c r="AB210" i="8"/>
  <c r="T204" i="7"/>
  <c r="F209" i="8"/>
  <c r="J209" i="8"/>
  <c r="AB209" i="8"/>
  <c r="T203" i="7"/>
  <c r="F208" i="8"/>
  <c r="J208" i="8"/>
  <c r="AB208" i="8"/>
  <c r="T202" i="7"/>
  <c r="F207" i="8"/>
  <c r="J207" i="8"/>
  <c r="AB207" i="8"/>
  <c r="T201" i="7"/>
  <c r="F206" i="8"/>
  <c r="J206" i="8"/>
  <c r="AB206" i="8"/>
  <c r="T200" i="7"/>
  <c r="F205" i="8"/>
  <c r="J205" i="8"/>
  <c r="AB205" i="8"/>
  <c r="T199" i="7"/>
  <c r="F204" i="8"/>
  <c r="J204" i="8"/>
  <c r="AB204" i="8"/>
  <c r="T198" i="7"/>
  <c r="F203" i="8"/>
  <c r="J203" i="8"/>
  <c r="AB203" i="8"/>
  <c r="T197" i="7"/>
  <c r="F202" i="8"/>
  <c r="J202" i="8"/>
  <c r="AB202" i="8"/>
  <c r="T196" i="7"/>
  <c r="F201" i="8"/>
  <c r="J201" i="8"/>
  <c r="AB201" i="8"/>
  <c r="T195" i="7"/>
  <c r="F200" i="8"/>
  <c r="J200" i="8"/>
  <c r="AC200" i="8"/>
  <c r="T193" i="7"/>
  <c r="F198" i="8"/>
  <c r="J198" i="8"/>
  <c r="AC198" i="8"/>
  <c r="Q192" i="7"/>
  <c r="T192" i="7"/>
  <c r="F197" i="8"/>
  <c r="J197" i="8"/>
  <c r="AC197" i="8"/>
  <c r="Q191" i="7"/>
  <c r="T191" i="7"/>
  <c r="F196" i="8"/>
  <c r="J196" i="8"/>
  <c r="AC196" i="8"/>
  <c r="Q190" i="7"/>
  <c r="T190" i="7"/>
  <c r="F195" i="8"/>
  <c r="J195" i="8"/>
  <c r="AC195" i="8"/>
  <c r="T189" i="7"/>
  <c r="F194" i="8"/>
  <c r="J194" i="8"/>
  <c r="AB194" i="8"/>
  <c r="T188" i="7"/>
  <c r="F193" i="8"/>
  <c r="J193" i="8"/>
  <c r="AB193" i="8"/>
  <c r="T187" i="7"/>
  <c r="F192" i="8"/>
  <c r="J192" i="8"/>
  <c r="AB192" i="8"/>
  <c r="T186" i="7"/>
  <c r="F191" i="8"/>
  <c r="J191" i="8"/>
  <c r="AB191" i="8"/>
  <c r="T185" i="7"/>
  <c r="F190" i="8"/>
  <c r="J190" i="8"/>
  <c r="AB190" i="8"/>
  <c r="T184" i="7"/>
  <c r="F189" i="8"/>
  <c r="J189" i="8"/>
  <c r="AB189" i="8"/>
  <c r="Q183" i="7"/>
  <c r="T183" i="7"/>
  <c r="F188" i="8"/>
  <c r="J188" i="8"/>
  <c r="AC188" i="8"/>
  <c r="Q182" i="7"/>
  <c r="T182" i="7"/>
  <c r="F187" i="8"/>
  <c r="J187" i="8"/>
  <c r="AC187" i="8"/>
  <c r="T181" i="7"/>
  <c r="F186" i="8"/>
  <c r="J186" i="8"/>
  <c r="AB186" i="8"/>
  <c r="T180" i="7"/>
  <c r="F185" i="8"/>
  <c r="J185" i="8"/>
  <c r="AB185" i="8"/>
  <c r="T179" i="7"/>
  <c r="F184" i="8"/>
  <c r="J184" i="8"/>
  <c r="AD184" i="8"/>
  <c r="T178" i="7"/>
  <c r="F183" i="8"/>
  <c r="J183" i="8"/>
  <c r="AB183" i="8"/>
  <c r="T177" i="7"/>
  <c r="F182" i="8"/>
  <c r="J182" i="8"/>
  <c r="AB182" i="8"/>
  <c r="T176" i="7"/>
  <c r="F181" i="8"/>
  <c r="J181" i="8"/>
  <c r="AC181" i="8"/>
  <c r="T175" i="7"/>
  <c r="F180" i="8"/>
  <c r="J180" i="8"/>
  <c r="AB180" i="8"/>
  <c r="T174" i="7"/>
  <c r="F179" i="8"/>
  <c r="J179" i="8"/>
  <c r="AB179" i="8"/>
  <c r="Q173" i="7"/>
  <c r="T173" i="7"/>
  <c r="F178" i="8"/>
  <c r="J178" i="8"/>
  <c r="AC178" i="8"/>
  <c r="Q172" i="7"/>
  <c r="T172" i="7"/>
  <c r="F177" i="8"/>
  <c r="J177" i="8"/>
  <c r="AC177" i="8"/>
  <c r="T171" i="7"/>
  <c r="F175" i="8"/>
  <c r="J175" i="8"/>
  <c r="AB175" i="8"/>
  <c r="T170" i="7"/>
  <c r="Q169" i="7"/>
  <c r="T169" i="7"/>
  <c r="F173" i="8"/>
  <c r="J173" i="8"/>
  <c r="AC173" i="8"/>
  <c r="T168" i="7"/>
  <c r="F172" i="8"/>
  <c r="J172" i="8"/>
  <c r="AB172" i="8"/>
  <c r="T167" i="7"/>
  <c r="F171" i="8"/>
  <c r="J171" i="8"/>
  <c r="AC171" i="8"/>
  <c r="T166" i="7"/>
  <c r="F170" i="8"/>
  <c r="J170" i="8"/>
  <c r="AC170" i="8"/>
  <c r="T165" i="7"/>
  <c r="F169" i="8"/>
  <c r="J169" i="8"/>
  <c r="AC169" i="8"/>
  <c r="T164" i="7"/>
  <c r="F167" i="8"/>
  <c r="J167" i="8"/>
  <c r="AB167" i="8"/>
  <c r="T163" i="7"/>
  <c r="F166" i="8"/>
  <c r="J166" i="8"/>
  <c r="AB166" i="8"/>
  <c r="T162" i="7"/>
  <c r="F165" i="8"/>
  <c r="J165" i="8"/>
  <c r="AC165" i="8"/>
  <c r="T161" i="7"/>
  <c r="F164" i="8"/>
  <c r="J164" i="8"/>
  <c r="AB164" i="8"/>
  <c r="T160" i="7"/>
  <c r="F163" i="8"/>
  <c r="J163" i="8"/>
  <c r="AC163" i="8"/>
  <c r="T159" i="7"/>
  <c r="F162" i="8"/>
  <c r="J162" i="8"/>
  <c r="AB162" i="8"/>
  <c r="T158" i="7"/>
  <c r="F161" i="8"/>
  <c r="J161" i="8"/>
  <c r="AB161" i="8"/>
  <c r="T157" i="7"/>
  <c r="F160" i="8"/>
  <c r="J160" i="8"/>
  <c r="AB160" i="8"/>
  <c r="T156" i="7"/>
  <c r="F159" i="8"/>
  <c r="J159" i="8"/>
  <c r="AB159" i="8"/>
  <c r="T155" i="7"/>
  <c r="F158" i="8"/>
  <c r="J158" i="8"/>
  <c r="AB158" i="8"/>
  <c r="T154" i="7"/>
  <c r="F157" i="8"/>
  <c r="J157" i="8"/>
  <c r="AB157" i="8"/>
  <c r="T153" i="7"/>
  <c r="F156" i="8"/>
  <c r="J156" i="8"/>
  <c r="AB156" i="8"/>
  <c r="T152" i="7"/>
  <c r="F155" i="8"/>
  <c r="J155" i="8"/>
  <c r="AB155" i="8"/>
  <c r="T151" i="7"/>
  <c r="F154" i="8"/>
  <c r="J154" i="8"/>
  <c r="AC154" i="8"/>
  <c r="T150" i="7"/>
  <c r="F153" i="8"/>
  <c r="J153" i="8"/>
  <c r="AB153" i="8"/>
  <c r="T143" i="7"/>
  <c r="F146" i="8"/>
  <c r="J146" i="8"/>
  <c r="AB146" i="8"/>
  <c r="T142" i="7"/>
  <c r="F145" i="8"/>
  <c r="J145" i="8"/>
  <c r="AB145" i="8"/>
  <c r="T141" i="7"/>
  <c r="F144" i="8"/>
  <c r="J144" i="8"/>
  <c r="AB144" i="8"/>
  <c r="T140" i="7"/>
  <c r="F143" i="8"/>
  <c r="J143" i="8"/>
  <c r="AB143" i="8"/>
  <c r="T139" i="7"/>
  <c r="F142" i="8"/>
  <c r="J142" i="8"/>
  <c r="AB142" i="8"/>
  <c r="T138" i="7"/>
  <c r="F141" i="8"/>
  <c r="J141" i="8"/>
  <c r="AB141" i="8"/>
  <c r="F136" i="8"/>
  <c r="J136" i="8"/>
  <c r="AC136" i="8"/>
  <c r="T129" i="7"/>
  <c r="F131" i="8"/>
  <c r="J131" i="8"/>
  <c r="AB131" i="8"/>
  <c r="T128" i="7"/>
  <c r="F130" i="8"/>
  <c r="J130" i="8"/>
  <c r="AB130" i="8"/>
  <c r="T127" i="7"/>
  <c r="F129" i="8"/>
  <c r="J129" i="8"/>
  <c r="AB129" i="8"/>
  <c r="T126" i="7"/>
  <c r="F128" i="8"/>
  <c r="J128" i="8"/>
  <c r="AB128" i="8"/>
  <c r="T125" i="7"/>
  <c r="F127" i="8"/>
  <c r="J127" i="8"/>
  <c r="AB127" i="8"/>
  <c r="T124" i="7"/>
  <c r="F126" i="8"/>
  <c r="J126" i="8"/>
  <c r="AB126" i="8"/>
  <c r="T123" i="7"/>
  <c r="F125" i="8"/>
  <c r="J125" i="8"/>
  <c r="AB125" i="8"/>
  <c r="T122" i="7"/>
  <c r="F124" i="8"/>
  <c r="J124" i="8"/>
  <c r="AB124" i="8"/>
  <c r="T121" i="7"/>
  <c r="F123" i="8"/>
  <c r="J123" i="8"/>
  <c r="AB123" i="8"/>
  <c r="T120" i="7"/>
  <c r="F122" i="8"/>
  <c r="J122" i="8"/>
  <c r="AB122" i="8"/>
  <c r="T119" i="7"/>
  <c r="F121" i="8"/>
  <c r="J121" i="8"/>
  <c r="AB121" i="8"/>
  <c r="T118" i="7"/>
  <c r="F120" i="8"/>
  <c r="J120" i="8"/>
  <c r="AB120" i="8"/>
  <c r="T117" i="7"/>
  <c r="F119" i="8"/>
  <c r="J119" i="8"/>
  <c r="AB119" i="8"/>
  <c r="T116" i="7"/>
  <c r="F118" i="8"/>
  <c r="J118" i="8"/>
  <c r="AB118" i="8"/>
  <c r="T115" i="7"/>
  <c r="F117" i="8"/>
  <c r="J117" i="8"/>
  <c r="AB117" i="8"/>
  <c r="Q112" i="7"/>
  <c r="T112" i="7"/>
  <c r="F114" i="8"/>
  <c r="J114" i="8"/>
  <c r="AC114" i="8"/>
  <c r="Q110" i="7"/>
  <c r="T110" i="7"/>
  <c r="F112" i="8"/>
  <c r="J112" i="8"/>
  <c r="AC112" i="8"/>
  <c r="T109" i="7"/>
  <c r="F111" i="8"/>
  <c r="J111" i="8"/>
  <c r="AB111" i="8"/>
  <c r="Q108" i="7"/>
  <c r="T108" i="7"/>
  <c r="F110" i="8"/>
  <c r="J110" i="8"/>
  <c r="AC110" i="8"/>
  <c r="Q107" i="7"/>
  <c r="T107" i="7"/>
  <c r="F109" i="8"/>
  <c r="J109" i="8"/>
  <c r="AC109" i="8"/>
  <c r="T106" i="7"/>
  <c r="F108" i="8"/>
  <c r="J108" i="8"/>
  <c r="AD108" i="8"/>
  <c r="T105" i="7"/>
  <c r="F107" i="8"/>
  <c r="J107" i="8"/>
  <c r="AD107" i="8"/>
  <c r="Q104" i="7"/>
  <c r="T104" i="7"/>
  <c r="F106" i="8"/>
  <c r="J106" i="8"/>
  <c r="AC106" i="8"/>
  <c r="Q103" i="7"/>
  <c r="T103" i="7"/>
  <c r="F105" i="8"/>
  <c r="J105" i="8"/>
  <c r="AC105" i="8"/>
  <c r="Q102" i="7"/>
  <c r="T102" i="7"/>
  <c r="F104" i="8"/>
  <c r="J104" i="8"/>
  <c r="AC104" i="8"/>
  <c r="T101" i="7"/>
  <c r="F103" i="8"/>
  <c r="J103" i="8"/>
  <c r="AB103" i="8"/>
  <c r="T100" i="7"/>
  <c r="F102" i="8"/>
  <c r="J102" i="8"/>
  <c r="AB102" i="8"/>
  <c r="T99" i="7"/>
  <c r="F101" i="8"/>
  <c r="J101" i="8"/>
  <c r="AB101" i="8"/>
  <c r="T98" i="7"/>
  <c r="F100" i="8"/>
  <c r="J100" i="8"/>
  <c r="AB100" i="8"/>
  <c r="T97" i="7"/>
  <c r="F99" i="8"/>
  <c r="J99" i="8"/>
  <c r="AB99" i="8"/>
  <c r="Q93" i="7"/>
  <c r="T93" i="7"/>
  <c r="F94" i="8"/>
  <c r="J94" i="8"/>
  <c r="AC94" i="8"/>
  <c r="Q92" i="7"/>
  <c r="T92" i="7"/>
  <c r="F93" i="8"/>
  <c r="J93" i="8"/>
  <c r="AC93" i="8"/>
  <c r="T91" i="7"/>
  <c r="F92" i="8"/>
  <c r="J92" i="8"/>
  <c r="AB92" i="8"/>
  <c r="J91" i="7"/>
  <c r="AB91" i="7"/>
  <c r="Q90" i="7"/>
  <c r="T90" i="7"/>
  <c r="F91" i="8"/>
  <c r="J91" i="8"/>
  <c r="AC91" i="8"/>
  <c r="Q89" i="7"/>
  <c r="T89" i="7"/>
  <c r="F90" i="8"/>
  <c r="J90" i="8"/>
  <c r="AC90" i="8"/>
  <c r="T87" i="7"/>
  <c r="F88" i="8"/>
  <c r="J88" i="8"/>
  <c r="AB88" i="8"/>
  <c r="Q86" i="7"/>
  <c r="T86" i="7"/>
  <c r="F87" i="8"/>
  <c r="J87" i="8"/>
  <c r="AC87" i="8"/>
  <c r="T85" i="7"/>
  <c r="F86" i="8"/>
  <c r="J86" i="8"/>
  <c r="AB86" i="8"/>
  <c r="Q84" i="7"/>
  <c r="T84" i="7"/>
  <c r="F85" i="8"/>
  <c r="J85" i="8"/>
  <c r="AC85" i="8"/>
  <c r="T83" i="7"/>
  <c r="F84" i="8"/>
  <c r="J84" i="8"/>
  <c r="AB84" i="8"/>
  <c r="T82" i="7"/>
  <c r="F83" i="8"/>
  <c r="J83" i="8"/>
  <c r="AB83" i="8"/>
  <c r="T81" i="7"/>
  <c r="F82" i="8"/>
  <c r="J82" i="8"/>
  <c r="AB82" i="8"/>
  <c r="T80" i="7"/>
  <c r="F81" i="8"/>
  <c r="J81" i="8"/>
  <c r="AB81" i="8"/>
  <c r="T79" i="7"/>
  <c r="F80" i="8"/>
  <c r="J80" i="8"/>
  <c r="AB80" i="8"/>
  <c r="T78" i="7"/>
  <c r="F79" i="8"/>
  <c r="J79" i="8"/>
  <c r="AB79" i="8"/>
  <c r="T77" i="7"/>
  <c r="F78" i="8"/>
  <c r="J78" i="8"/>
  <c r="AB78" i="8"/>
  <c r="T76" i="7"/>
  <c r="F77" i="8"/>
  <c r="J77" i="8"/>
  <c r="AB77" i="8"/>
  <c r="T75" i="7"/>
  <c r="F76" i="8"/>
  <c r="J76" i="8"/>
  <c r="AB76" i="8"/>
  <c r="T74" i="7"/>
  <c r="F75" i="8"/>
  <c r="J75" i="8"/>
  <c r="AB75" i="8"/>
  <c r="T72" i="7"/>
  <c r="F73" i="8"/>
  <c r="J73" i="8"/>
  <c r="AB73" i="8"/>
  <c r="T71" i="7"/>
  <c r="F72" i="8"/>
  <c r="J72" i="8"/>
  <c r="AB72" i="8"/>
  <c r="T70" i="7"/>
  <c r="F71" i="8"/>
  <c r="J71" i="8"/>
  <c r="AB71" i="8"/>
  <c r="T69" i="7"/>
  <c r="F70" i="8"/>
  <c r="J70" i="8"/>
  <c r="AB70" i="8"/>
  <c r="T68" i="7"/>
  <c r="F69" i="8"/>
  <c r="J69" i="8"/>
  <c r="AB69" i="8"/>
  <c r="T67" i="7"/>
  <c r="F68" i="8"/>
  <c r="J68" i="8"/>
  <c r="AB68" i="8"/>
  <c r="Q65" i="7"/>
  <c r="T65" i="7"/>
  <c r="F66" i="8"/>
  <c r="J66" i="8"/>
  <c r="AC66" i="8"/>
  <c r="Q64" i="7"/>
  <c r="T64" i="7"/>
  <c r="Q63" i="7"/>
  <c r="T63" i="7"/>
  <c r="F64" i="8"/>
  <c r="J64" i="8"/>
  <c r="AC64" i="8"/>
  <c r="T62" i="7"/>
  <c r="F63" i="8"/>
  <c r="J63" i="8"/>
  <c r="AD63" i="8"/>
  <c r="Q61" i="7"/>
  <c r="T61" i="7"/>
  <c r="F62" i="8"/>
  <c r="J62" i="8"/>
  <c r="AC62" i="8"/>
  <c r="T60" i="7"/>
  <c r="F61" i="8"/>
  <c r="J61" i="8"/>
  <c r="AB61" i="8"/>
  <c r="Q59" i="7"/>
  <c r="T59" i="7"/>
  <c r="F60" i="8"/>
  <c r="J60" i="8"/>
  <c r="AC60" i="8"/>
  <c r="Q58" i="7"/>
  <c r="T58" i="7"/>
  <c r="F59" i="8"/>
  <c r="J59" i="8"/>
  <c r="AC59" i="8"/>
  <c r="Q57" i="7"/>
  <c r="T57" i="7"/>
  <c r="F58" i="8"/>
  <c r="J58" i="8"/>
  <c r="AC58" i="8"/>
  <c r="Q56" i="7"/>
  <c r="T56" i="7"/>
  <c r="F57" i="8"/>
  <c r="J57" i="8"/>
  <c r="AC57" i="8"/>
  <c r="T55" i="7"/>
  <c r="F56" i="8"/>
  <c r="J56" i="8"/>
  <c r="AB56" i="8"/>
  <c r="T54" i="7"/>
  <c r="F55" i="8"/>
  <c r="J55" i="8"/>
  <c r="AB55" i="8"/>
  <c r="T53" i="7"/>
  <c r="F54" i="8"/>
  <c r="J54" i="8"/>
  <c r="AB54" i="8"/>
  <c r="Q52" i="7"/>
  <c r="T52" i="7"/>
  <c r="F53" i="8"/>
  <c r="J53" i="8"/>
  <c r="AC53" i="8"/>
  <c r="Q51" i="7"/>
  <c r="T51" i="7"/>
  <c r="F52" i="8"/>
  <c r="J52" i="8"/>
  <c r="AC52" i="8"/>
  <c r="Q50" i="7"/>
  <c r="T50" i="7"/>
  <c r="F51" i="8"/>
  <c r="J51" i="8"/>
  <c r="AB51" i="8"/>
  <c r="T49" i="7"/>
  <c r="Q48" i="7"/>
  <c r="T48" i="7"/>
  <c r="F49" i="8"/>
  <c r="J49" i="8"/>
  <c r="AC49" i="8"/>
  <c r="Q47" i="7"/>
  <c r="T47" i="7"/>
  <c r="F48" i="8"/>
  <c r="J48" i="8"/>
  <c r="AC48" i="8"/>
  <c r="Q46" i="7"/>
  <c r="T46" i="7"/>
  <c r="F47" i="8"/>
  <c r="J47" i="8"/>
  <c r="AC47" i="8"/>
  <c r="T45" i="7"/>
  <c r="F46" i="8"/>
  <c r="J46" i="8"/>
  <c r="AB46" i="8"/>
  <c r="T44" i="7"/>
  <c r="F45" i="8"/>
  <c r="J45" i="8"/>
  <c r="AB45" i="8"/>
  <c r="T43" i="7"/>
  <c r="F44" i="8"/>
  <c r="J44" i="8"/>
  <c r="AD44" i="8"/>
  <c r="T42" i="7"/>
  <c r="F42" i="8"/>
  <c r="J42" i="8"/>
  <c r="AB42" i="8"/>
  <c r="T41" i="7"/>
  <c r="F41" i="8"/>
  <c r="J41" i="8"/>
  <c r="AB41" i="8"/>
  <c r="T40" i="7"/>
  <c r="F40" i="8"/>
  <c r="J40" i="8"/>
  <c r="AB40" i="8"/>
  <c r="T39" i="7"/>
  <c r="F39" i="8"/>
  <c r="J39" i="8"/>
  <c r="AB39" i="8"/>
  <c r="T38" i="7"/>
  <c r="F38" i="8"/>
  <c r="J38" i="8"/>
  <c r="AB38" i="8"/>
  <c r="T37" i="7"/>
  <c r="F37" i="8"/>
  <c r="J37" i="8"/>
  <c r="AB37" i="8"/>
  <c r="T36" i="7"/>
  <c r="F36" i="8"/>
  <c r="J36" i="8"/>
  <c r="AB36" i="8"/>
  <c r="T35" i="7"/>
  <c r="F35" i="8"/>
  <c r="J35" i="8"/>
  <c r="AB35" i="8"/>
  <c r="T34" i="7"/>
  <c r="F34" i="8"/>
  <c r="J34" i="8"/>
  <c r="AB34" i="8"/>
  <c r="Q33" i="7"/>
  <c r="T33" i="7"/>
  <c r="F33" i="8"/>
  <c r="J33" i="8"/>
  <c r="AC33" i="8"/>
  <c r="Q29" i="7"/>
  <c r="T29" i="7"/>
  <c r="F29" i="8"/>
  <c r="J29" i="8"/>
  <c r="AC29" i="8"/>
  <c r="Q28" i="7"/>
  <c r="T28" i="7"/>
  <c r="F28" i="8"/>
  <c r="J28" i="8"/>
  <c r="AC28" i="8"/>
  <c r="Q27" i="7"/>
  <c r="T27" i="7"/>
  <c r="F27" i="8"/>
  <c r="J27" i="8"/>
  <c r="AC27" i="8"/>
  <c r="T26" i="7"/>
  <c r="F26" i="8"/>
  <c r="J26" i="8"/>
  <c r="AB26" i="8"/>
  <c r="T25" i="7"/>
  <c r="F25" i="8"/>
  <c r="J25" i="8"/>
  <c r="AB25" i="8"/>
  <c r="T24" i="7"/>
  <c r="F24" i="8"/>
  <c r="J24" i="8"/>
  <c r="AB24" i="8"/>
  <c r="Q23" i="7"/>
  <c r="T23" i="7"/>
  <c r="F23" i="8"/>
  <c r="J23" i="8"/>
  <c r="AC23" i="8"/>
  <c r="Q22" i="7"/>
  <c r="T22" i="7"/>
  <c r="F22" i="8"/>
  <c r="J22" i="8"/>
  <c r="AC22" i="8"/>
  <c r="T21" i="7"/>
  <c r="F21" i="8"/>
  <c r="J21" i="8"/>
  <c r="AB21" i="8"/>
  <c r="Q20" i="7"/>
  <c r="T20" i="7"/>
  <c r="F20" i="8"/>
  <c r="J20" i="8"/>
  <c r="AC20" i="8"/>
  <c r="AG19" i="7"/>
  <c r="AD19" i="7"/>
  <c r="AC19" i="7"/>
  <c r="W19" i="7"/>
  <c r="T19" i="7"/>
  <c r="F19" i="8"/>
  <c r="J19" i="8"/>
  <c r="AB19" i="8"/>
  <c r="AD185" i="8"/>
  <c r="AC51" i="8"/>
  <c r="F50" i="8"/>
  <c r="J50" i="8"/>
  <c r="AB50" i="8"/>
  <c r="F65" i="8"/>
  <c r="J65" i="8"/>
  <c r="AC65" i="8"/>
  <c r="F174" i="8"/>
  <c r="J174" i="8"/>
  <c r="AB174" i="8"/>
  <c r="AB63" i="8"/>
  <c r="W208" i="7"/>
  <c r="AA208" i="7"/>
  <c r="AG208" i="7"/>
  <c r="AG149" i="7"/>
  <c r="W149" i="7"/>
  <c r="AA149" i="7"/>
  <c r="AG192" i="7"/>
  <c r="W192" i="7"/>
  <c r="AA192" i="7"/>
  <c r="AA171" i="7"/>
  <c r="AA78" i="7"/>
  <c r="AA150" i="7"/>
  <c r="AG256" i="7"/>
  <c r="W256" i="7"/>
  <c r="AA256" i="7"/>
  <c r="W244" i="7"/>
  <c r="AA244" i="7"/>
  <c r="AG244" i="7"/>
  <c r="AG231" i="7"/>
  <c r="W231" i="7"/>
  <c r="AA231" i="7"/>
  <c r="AG226" i="7"/>
  <c r="W226" i="7"/>
  <c r="AA226" i="7"/>
  <c r="AA117" i="7"/>
  <c r="AG134" i="7"/>
  <c r="W134" i="7"/>
  <c r="AA134" i="7"/>
  <c r="AA143" i="7"/>
  <c r="AA141" i="7"/>
  <c r="AA157" i="7"/>
  <c r="AA155" i="7"/>
  <c r="AA158" i="7"/>
  <c r="AA153" i="7"/>
  <c r="AA156" i="7"/>
  <c r="AA152" i="7"/>
  <c r="AA154" i="7"/>
  <c r="AA159" i="7"/>
  <c r="AG173" i="7"/>
  <c r="W173" i="7"/>
  <c r="AA173" i="7"/>
  <c r="W172" i="7"/>
  <c r="AA172" i="7"/>
  <c r="AG172" i="7"/>
  <c r="AG183" i="7"/>
  <c r="W183" i="7"/>
  <c r="AA183" i="7"/>
  <c r="AG182" i="7"/>
  <c r="W182" i="7"/>
  <c r="AA182" i="7"/>
  <c r="AG190" i="7"/>
  <c r="W190" i="7"/>
  <c r="AA190" i="7"/>
  <c r="AG206" i="7"/>
  <c r="W206" i="7"/>
  <c r="AA206" i="7"/>
  <c r="AA202" i="7"/>
  <c r="AA201" i="7"/>
  <c r="AA200" i="7"/>
  <c r="AA214" i="7"/>
  <c r="AG213" i="7"/>
  <c r="W213" i="7"/>
  <c r="AA213" i="7"/>
  <c r="AA233" i="7"/>
  <c r="AA232" i="7"/>
  <c r="AG237" i="7"/>
  <c r="W237" i="7"/>
  <c r="AA237" i="7"/>
  <c r="AA248" i="7"/>
  <c r="AA250" i="7"/>
  <c r="AA249" i="7"/>
  <c r="AG261" i="7"/>
  <c r="W261" i="7"/>
  <c r="AA261" i="7"/>
  <c r="AA265" i="7"/>
  <c r="AA266" i="7"/>
  <c r="AA267" i="7"/>
  <c r="AG268" i="7"/>
  <c r="W268" i="7"/>
  <c r="AA268" i="7"/>
  <c r="AA269" i="7"/>
  <c r="W112" i="7"/>
  <c r="AA112" i="7"/>
  <c r="AG112" i="7"/>
  <c r="AG110" i="7"/>
  <c r="W110" i="7"/>
  <c r="AA110" i="7"/>
  <c r="AA109" i="7"/>
  <c r="W108" i="7"/>
  <c r="AA108" i="7"/>
  <c r="AG108" i="7"/>
  <c r="AG107" i="7"/>
  <c r="W107" i="7"/>
  <c r="AA107" i="7"/>
  <c r="AA106" i="7"/>
  <c r="AA105" i="7"/>
  <c r="AG104" i="7"/>
  <c r="W104" i="7"/>
  <c r="AA104" i="7"/>
  <c r="AG103" i="7"/>
  <c r="W103" i="7"/>
  <c r="AA103" i="7"/>
  <c r="AG102" i="7"/>
  <c r="W102" i="7"/>
  <c r="AA102" i="7"/>
  <c r="AA101" i="7"/>
  <c r="AA99" i="7"/>
  <c r="AA100" i="7"/>
  <c r="AA98" i="7"/>
  <c r="AA97" i="7"/>
  <c r="AA96" i="7"/>
  <c r="W92" i="7"/>
  <c r="AA92" i="7"/>
  <c r="AG92" i="7"/>
  <c r="AA91" i="7"/>
  <c r="AG90" i="7"/>
  <c r="W90" i="7"/>
  <c r="AA90" i="7"/>
  <c r="AG89" i="7"/>
  <c r="W89" i="7"/>
  <c r="AA89" i="7"/>
  <c r="AA87" i="7"/>
  <c r="W86" i="7"/>
  <c r="AA86" i="7"/>
  <c r="AG86" i="7"/>
  <c r="AA85" i="7"/>
  <c r="AG84" i="7"/>
  <c r="W84" i="7"/>
  <c r="AA84" i="7"/>
  <c r="AA77" i="7"/>
  <c r="AA76" i="7"/>
  <c r="AA75" i="7"/>
  <c r="AA74" i="7"/>
  <c r="AA72" i="7"/>
  <c r="AA69" i="7"/>
  <c r="AA68" i="7"/>
  <c r="AG65" i="7"/>
  <c r="W65" i="7"/>
  <c r="AA65" i="7"/>
  <c r="W64" i="7"/>
  <c r="AA64" i="7"/>
  <c r="AG64" i="7"/>
  <c r="W63" i="7"/>
  <c r="AA63" i="7"/>
  <c r="AG63" i="7"/>
  <c r="AA62" i="7"/>
  <c r="AG61" i="7"/>
  <c r="W61" i="7"/>
  <c r="AA61" i="7"/>
  <c r="AA60" i="7"/>
  <c r="W59" i="7"/>
  <c r="AA59" i="7"/>
  <c r="AG59" i="7"/>
  <c r="AA54" i="7"/>
  <c r="AA53" i="7"/>
  <c r="W52" i="7"/>
  <c r="AA52" i="7"/>
  <c r="AG52" i="7"/>
  <c r="W51" i="7"/>
  <c r="AA51" i="7"/>
  <c r="AG51" i="7"/>
  <c r="AG50" i="7"/>
  <c r="W50" i="7"/>
  <c r="AA50" i="7"/>
  <c r="AA49" i="7"/>
  <c r="W48" i="7"/>
  <c r="AA48" i="7"/>
  <c r="AG48" i="7"/>
  <c r="AG47" i="7"/>
  <c r="W47" i="7"/>
  <c r="AA47" i="7"/>
  <c r="AG46" i="7"/>
  <c r="W46" i="7"/>
  <c r="AA46" i="7"/>
  <c r="AA45" i="7"/>
  <c r="AA44" i="7"/>
  <c r="AA43" i="7"/>
  <c r="AA42" i="7"/>
  <c r="AA41" i="7"/>
  <c r="AA40" i="7"/>
  <c r="AA36" i="7"/>
  <c r="AA38" i="7"/>
  <c r="AA35" i="7"/>
  <c r="AA37" i="7"/>
  <c r="AA39" i="7"/>
  <c r="AA34" i="7"/>
  <c r="AG33" i="7"/>
  <c r="W33" i="7"/>
  <c r="AA33" i="7"/>
  <c r="W31" i="7"/>
  <c r="AA31" i="7"/>
  <c r="AG31" i="7"/>
  <c r="AA30" i="7"/>
  <c r="W29" i="7"/>
  <c r="AA29" i="7"/>
  <c r="AG29" i="7"/>
  <c r="AG28" i="7"/>
  <c r="W28" i="7"/>
  <c r="AA28" i="7"/>
  <c r="W27" i="7"/>
  <c r="AA27" i="7"/>
  <c r="AG27" i="7"/>
  <c r="W23" i="7"/>
  <c r="AA23" i="7"/>
  <c r="AG23" i="7"/>
  <c r="AA25" i="7"/>
  <c r="AA24" i="7"/>
  <c r="AA26" i="7"/>
  <c r="W22" i="7"/>
  <c r="AA22" i="7"/>
  <c r="AG22" i="7"/>
  <c r="W20" i="7"/>
  <c r="AA20" i="7"/>
  <c r="AG20" i="7"/>
  <c r="Q170" i="5"/>
  <c r="Q171" i="5"/>
  <c r="Q169" i="5"/>
  <c r="AA242" i="7"/>
  <c r="AA55" i="7"/>
  <c r="AA255" i="7"/>
  <c r="AA204" i="7"/>
  <c r="AG191" i="7"/>
  <c r="W191" i="7"/>
  <c r="AA191" i="7"/>
  <c r="AG148" i="7"/>
  <c r="W148" i="7"/>
  <c r="AA148" i="7"/>
  <c r="AA116" i="7"/>
  <c r="W133" i="7"/>
  <c r="AA133" i="7"/>
  <c r="AG133" i="7"/>
  <c r="W169" i="7"/>
  <c r="AA169" i="7"/>
  <c r="AG169" i="7"/>
  <c r="AA178" i="7"/>
  <c r="AA177" i="7"/>
  <c r="AA175" i="7"/>
  <c r="AA174" i="7"/>
  <c r="AA221" i="7"/>
  <c r="W228" i="7"/>
  <c r="AA228" i="7"/>
  <c r="AG228" i="7"/>
  <c r="W236" i="7"/>
  <c r="AA236" i="7"/>
  <c r="AG236" i="7"/>
  <c r="AA247" i="7"/>
  <c r="W93" i="7"/>
  <c r="AA93" i="7"/>
  <c r="AG93" i="7"/>
  <c r="AA70" i="7"/>
  <c r="AA71" i="7"/>
  <c r="AA67" i="7"/>
  <c r="AG57" i="7"/>
  <c r="W57" i="7"/>
  <c r="AA57" i="7"/>
  <c r="AG58" i="7"/>
  <c r="W58" i="7"/>
  <c r="AA58" i="7"/>
  <c r="AG56" i="7"/>
  <c r="W56" i="7"/>
  <c r="AA56" i="7"/>
  <c r="AA19" i="7"/>
  <c r="AA164" i="7"/>
  <c r="AA163" i="7"/>
  <c r="W265" i="6"/>
  <c r="W264" i="6"/>
  <c r="W262" i="6"/>
  <c r="W261" i="6"/>
  <c r="W260" i="6"/>
  <c r="W259" i="6"/>
  <c r="W258" i="6"/>
  <c r="W257" i="6"/>
  <c r="W256" i="6"/>
  <c r="W255" i="6"/>
  <c r="W254" i="6"/>
  <c r="W253" i="6"/>
  <c r="W252" i="6"/>
  <c r="W251" i="6"/>
  <c r="W250" i="6"/>
  <c r="W248" i="6"/>
  <c r="W247" i="6"/>
  <c r="W246" i="6"/>
  <c r="W245" i="6"/>
  <c r="W243" i="6"/>
  <c r="W241" i="6"/>
  <c r="W240" i="6"/>
  <c r="W239" i="6"/>
  <c r="W237" i="6"/>
  <c r="W236" i="6"/>
  <c r="W235" i="6"/>
  <c r="W234" i="6"/>
  <c r="W233" i="6"/>
  <c r="W232" i="6"/>
  <c r="W231" i="6"/>
  <c r="W230" i="6"/>
  <c r="W229" i="6"/>
  <c r="W228" i="6"/>
  <c r="W227" i="6"/>
  <c r="W226" i="6"/>
  <c r="W225" i="6"/>
  <c r="W224" i="6"/>
  <c r="W223" i="6"/>
  <c r="W222" i="6"/>
  <c r="W221" i="6"/>
  <c r="W220" i="6"/>
  <c r="W219" i="6"/>
  <c r="W217" i="6"/>
  <c r="W216" i="6"/>
  <c r="W214" i="6"/>
  <c r="W213" i="6"/>
  <c r="W212" i="6"/>
  <c r="W211" i="6"/>
  <c r="W210" i="6"/>
  <c r="W209" i="6"/>
  <c r="W208" i="6"/>
  <c r="W206" i="6"/>
  <c r="W205" i="6"/>
  <c r="W204" i="6"/>
  <c r="W202" i="6"/>
  <c r="W201" i="6"/>
  <c r="W200" i="6"/>
  <c r="W199" i="6"/>
  <c r="W198" i="6"/>
  <c r="W197" i="6"/>
  <c r="W196" i="6"/>
  <c r="W195" i="6"/>
  <c r="W194" i="6"/>
  <c r="W193" i="6"/>
  <c r="W192" i="6"/>
  <c r="W191" i="6"/>
  <c r="W189" i="6"/>
  <c r="W188" i="6"/>
  <c r="W187" i="6"/>
  <c r="W186" i="6"/>
  <c r="W185" i="6"/>
  <c r="W184" i="6"/>
  <c r="W183" i="6"/>
  <c r="W182" i="6"/>
  <c r="W181" i="6"/>
  <c r="W180" i="6"/>
  <c r="W179" i="6"/>
  <c r="W178" i="6"/>
  <c r="W177" i="6"/>
  <c r="W174" i="6"/>
  <c r="W173" i="6"/>
  <c r="W172" i="6"/>
  <c r="W171" i="6"/>
  <c r="W170" i="6"/>
  <c r="W169" i="6"/>
  <c r="W168" i="6"/>
  <c r="W167" i="6"/>
  <c r="W166" i="6"/>
  <c r="W165" i="6"/>
  <c r="W164" i="6"/>
  <c r="W163" i="6"/>
  <c r="W162" i="6"/>
  <c r="W161" i="6"/>
  <c r="W160" i="6"/>
  <c r="W159" i="6"/>
  <c r="W158" i="6"/>
  <c r="W157" i="6"/>
  <c r="W156" i="6"/>
  <c r="W155" i="6"/>
  <c r="W154" i="6"/>
  <c r="W153" i="6"/>
  <c r="W152" i="6"/>
  <c r="W151" i="6"/>
  <c r="W150" i="6"/>
  <c r="W149" i="6"/>
  <c r="W148" i="6"/>
  <c r="W147" i="6"/>
  <c r="W146" i="6"/>
  <c r="W145" i="6"/>
  <c r="W144" i="6"/>
  <c r="W143" i="6"/>
  <c r="W141" i="6"/>
  <c r="W140" i="6"/>
  <c r="W139" i="6"/>
  <c r="W138" i="6"/>
  <c r="W137" i="6"/>
  <c r="W136" i="6"/>
  <c r="W135" i="6"/>
  <c r="W134" i="6"/>
  <c r="W133" i="6"/>
  <c r="W132" i="6"/>
  <c r="W131" i="6"/>
  <c r="W130" i="6"/>
  <c r="W129" i="6"/>
  <c r="W128" i="6"/>
  <c r="W127" i="6"/>
  <c r="W126" i="6"/>
  <c r="W125" i="6"/>
  <c r="W124" i="6"/>
  <c r="W123" i="6"/>
  <c r="W122" i="6"/>
  <c r="W121" i="6"/>
  <c r="W120" i="6"/>
  <c r="W119" i="6"/>
  <c r="W118" i="6"/>
  <c r="W117" i="6"/>
  <c r="W116" i="6"/>
  <c r="W115" i="6"/>
  <c r="W114" i="6"/>
  <c r="W112" i="6"/>
  <c r="W111" i="6"/>
  <c r="W109" i="6"/>
  <c r="W108" i="6"/>
  <c r="W107" i="6"/>
  <c r="W106" i="6"/>
  <c r="W103" i="6"/>
  <c r="W102" i="6"/>
  <c r="W101" i="6"/>
  <c r="W100" i="6"/>
  <c r="W99" i="6"/>
  <c r="W98" i="6"/>
  <c r="W97" i="6"/>
  <c r="W96" i="6"/>
  <c r="W95" i="6"/>
  <c r="W92" i="6"/>
  <c r="W91" i="6"/>
  <c r="W90" i="6"/>
  <c r="W89" i="6"/>
  <c r="W88" i="6"/>
  <c r="W87" i="6"/>
  <c r="W85" i="6"/>
  <c r="W84" i="6"/>
  <c r="W83" i="6"/>
  <c r="W82" i="6"/>
  <c r="W81" i="6"/>
  <c r="W80" i="6"/>
  <c r="W79" i="6"/>
  <c r="W78" i="6"/>
  <c r="W77" i="6"/>
  <c r="W76" i="6"/>
  <c r="W75" i="6"/>
  <c r="W74" i="6"/>
  <c r="W73" i="6"/>
  <c r="W72" i="6"/>
  <c r="W71" i="6"/>
  <c r="W70" i="6"/>
  <c r="W69" i="6"/>
  <c r="W68" i="6"/>
  <c r="W67" i="6"/>
  <c r="W66" i="6"/>
  <c r="W64" i="6"/>
  <c r="W63" i="6"/>
  <c r="W62" i="6"/>
  <c r="W61" i="6"/>
  <c r="W60" i="6"/>
  <c r="W59" i="6"/>
  <c r="W58" i="6"/>
  <c r="W57" i="6"/>
  <c r="W56" i="6"/>
  <c r="W55" i="6"/>
  <c r="W54" i="6"/>
  <c r="W53" i="6"/>
  <c r="W52" i="6"/>
  <c r="W51" i="6"/>
  <c r="W50" i="6"/>
  <c r="W49" i="6"/>
  <c r="W48" i="6"/>
  <c r="W47" i="6"/>
  <c r="W46" i="6"/>
  <c r="W45" i="6"/>
  <c r="W44" i="6"/>
  <c r="W43" i="6"/>
  <c r="W41" i="6"/>
  <c r="W40" i="6"/>
  <c r="W39" i="6"/>
  <c r="W38" i="6"/>
  <c r="W37" i="6"/>
  <c r="W36" i="6"/>
  <c r="W35" i="6"/>
  <c r="W34" i="6"/>
  <c r="W33" i="6"/>
  <c r="W32" i="6"/>
  <c r="W31" i="6"/>
  <c r="W30" i="6"/>
  <c r="W29" i="6"/>
  <c r="W28" i="6"/>
  <c r="W27" i="6"/>
  <c r="W26" i="6"/>
  <c r="W25" i="6"/>
  <c r="W24" i="6"/>
  <c r="W23" i="6"/>
  <c r="W22" i="6"/>
  <c r="W21" i="6"/>
  <c r="W20" i="6"/>
  <c r="V265" i="6"/>
  <c r="V263" i="6"/>
  <c r="V262" i="6"/>
  <c r="V261" i="6"/>
  <c r="V260" i="6"/>
  <c r="V259" i="6"/>
  <c r="V258" i="6"/>
  <c r="V256" i="6"/>
  <c r="V251" i="6"/>
  <c r="V249" i="6"/>
  <c r="V246" i="6"/>
  <c r="V245" i="6"/>
  <c r="V244" i="6"/>
  <c r="V243" i="6"/>
  <c r="V241" i="6"/>
  <c r="V238" i="6"/>
  <c r="V230" i="6"/>
  <c r="V229" i="6"/>
  <c r="V228" i="6"/>
  <c r="V219" i="6"/>
  <c r="V217" i="6"/>
  <c r="V214" i="6"/>
  <c r="V212" i="6"/>
  <c r="V211" i="6"/>
  <c r="V210" i="6"/>
  <c r="V208" i="6"/>
  <c r="V206" i="6"/>
  <c r="V203" i="6"/>
  <c r="V201" i="6"/>
  <c r="V200" i="6"/>
  <c r="V199" i="6"/>
  <c r="V198" i="6"/>
  <c r="V196" i="6"/>
  <c r="V195" i="6"/>
  <c r="V194" i="6"/>
  <c r="V193" i="6"/>
  <c r="V192" i="6"/>
  <c r="V185" i="6"/>
  <c r="V184" i="6"/>
  <c r="V183" i="6"/>
  <c r="V182" i="6"/>
  <c r="V181" i="6"/>
  <c r="V180" i="6"/>
  <c r="V177" i="6"/>
  <c r="V176" i="6"/>
  <c r="V175" i="6"/>
  <c r="V174" i="6"/>
  <c r="V173" i="6"/>
  <c r="V171" i="6"/>
  <c r="V170" i="6"/>
  <c r="V167" i="6"/>
  <c r="V164" i="6"/>
  <c r="V160" i="6"/>
  <c r="V159" i="6"/>
  <c r="V157" i="6"/>
  <c r="V155" i="6"/>
  <c r="V154" i="6"/>
  <c r="V153" i="6"/>
  <c r="V152" i="6"/>
  <c r="V151" i="6"/>
  <c r="V150" i="6"/>
  <c r="V149" i="6"/>
  <c r="V148" i="6"/>
  <c r="V146" i="6"/>
  <c r="V143" i="6"/>
  <c r="V141" i="6"/>
  <c r="V140" i="6"/>
  <c r="V139" i="6"/>
  <c r="V138" i="6"/>
  <c r="V137" i="6"/>
  <c r="V136" i="6"/>
  <c r="V135" i="6"/>
  <c r="V134" i="6"/>
  <c r="V133" i="6"/>
  <c r="V132" i="6"/>
  <c r="V129" i="6"/>
  <c r="V128" i="6"/>
  <c r="V127" i="6"/>
  <c r="V126" i="6"/>
  <c r="V125" i="6"/>
  <c r="V124" i="6"/>
  <c r="V123" i="6"/>
  <c r="V122" i="6"/>
  <c r="V121" i="6"/>
  <c r="V120" i="6"/>
  <c r="V119" i="6"/>
  <c r="V118" i="6"/>
  <c r="V116" i="6"/>
  <c r="V115" i="6"/>
  <c r="V114" i="6"/>
  <c r="V108" i="6"/>
  <c r="V105" i="6"/>
  <c r="V104" i="6"/>
  <c r="V100" i="6"/>
  <c r="V99" i="6"/>
  <c r="V98" i="6"/>
  <c r="V97" i="6"/>
  <c r="V96" i="6"/>
  <c r="V95" i="6"/>
  <c r="V89" i="6"/>
  <c r="V85" i="6"/>
  <c r="V83" i="6"/>
  <c r="V81" i="6"/>
  <c r="V80" i="6"/>
  <c r="V79" i="6"/>
  <c r="V78" i="6"/>
  <c r="V77" i="6"/>
  <c r="V76" i="6"/>
  <c r="V75" i="6"/>
  <c r="V74" i="6"/>
  <c r="V73" i="6"/>
  <c r="V72" i="6"/>
  <c r="V71" i="6"/>
  <c r="V70" i="6"/>
  <c r="V69" i="6"/>
  <c r="V68" i="6"/>
  <c r="V67" i="6"/>
  <c r="V66" i="6"/>
  <c r="V61" i="6"/>
  <c r="V59" i="6"/>
  <c r="V54" i="6"/>
  <c r="V53" i="6"/>
  <c r="V52" i="6"/>
  <c r="V48" i="6"/>
  <c r="V44" i="6"/>
  <c r="V43" i="6"/>
  <c r="V42" i="6"/>
  <c r="V41" i="6"/>
  <c r="V40" i="6"/>
  <c r="V39" i="6"/>
  <c r="V38" i="6"/>
  <c r="V37" i="6"/>
  <c r="V36" i="6"/>
  <c r="V35" i="6"/>
  <c r="V34" i="6"/>
  <c r="V33" i="6"/>
  <c r="V30" i="6"/>
  <c r="V26" i="6"/>
  <c r="V25" i="6"/>
  <c r="V24" i="6"/>
  <c r="V23" i="6"/>
  <c r="V21" i="6"/>
  <c r="U264" i="6"/>
  <c r="U263" i="6"/>
  <c r="U257" i="6"/>
  <c r="U255" i="6"/>
  <c r="U254" i="6"/>
  <c r="U253" i="6"/>
  <c r="U252" i="6"/>
  <c r="U250" i="6"/>
  <c r="U249" i="6"/>
  <c r="U248" i="6"/>
  <c r="U247" i="6"/>
  <c r="U244" i="6"/>
  <c r="U240" i="6"/>
  <c r="U239" i="6"/>
  <c r="U238" i="6"/>
  <c r="U237" i="6"/>
  <c r="U236" i="6"/>
  <c r="U235" i="6"/>
  <c r="U234" i="6"/>
  <c r="U233" i="6"/>
  <c r="U232" i="6"/>
  <c r="U231" i="6"/>
  <c r="U227" i="6"/>
  <c r="U226" i="6"/>
  <c r="U225" i="6"/>
  <c r="U224" i="6"/>
  <c r="U223" i="6"/>
  <c r="U222" i="6"/>
  <c r="U221" i="6"/>
  <c r="U220" i="6"/>
  <c r="U216" i="6"/>
  <c r="U213" i="6"/>
  <c r="U209" i="6"/>
  <c r="U205" i="6"/>
  <c r="U204" i="6"/>
  <c r="U203" i="6"/>
  <c r="U202" i="6"/>
  <c r="U197" i="6"/>
  <c r="U191" i="6"/>
  <c r="U189" i="6"/>
  <c r="U188" i="6"/>
  <c r="U187" i="6"/>
  <c r="U186" i="6"/>
  <c r="U179" i="6"/>
  <c r="U178" i="6"/>
  <c r="U176" i="6"/>
  <c r="U175" i="6"/>
  <c r="U172" i="6"/>
  <c r="U169" i="6"/>
  <c r="U168" i="6"/>
  <c r="U166" i="6"/>
  <c r="U165" i="6"/>
  <c r="U163" i="6"/>
  <c r="U162" i="6"/>
  <c r="U161" i="6"/>
  <c r="U158" i="6"/>
  <c r="U156" i="6"/>
  <c r="U147" i="6"/>
  <c r="U145" i="6"/>
  <c r="U144" i="6"/>
  <c r="U131" i="6"/>
  <c r="U130" i="6"/>
  <c r="U117" i="6"/>
  <c r="U112" i="6"/>
  <c r="U111" i="6"/>
  <c r="U109" i="6"/>
  <c r="U107" i="6"/>
  <c r="U106" i="6"/>
  <c r="U105" i="6"/>
  <c r="U104" i="6"/>
  <c r="U103" i="6"/>
  <c r="U102" i="6"/>
  <c r="U101" i="6"/>
  <c r="U92" i="6"/>
  <c r="U91" i="6"/>
  <c r="U90" i="6"/>
  <c r="U88" i="6"/>
  <c r="U87" i="6"/>
  <c r="U84" i="6"/>
  <c r="U82" i="6"/>
  <c r="U64" i="6"/>
  <c r="U63" i="6"/>
  <c r="U62" i="6"/>
  <c r="U60" i="6"/>
  <c r="U58" i="6"/>
  <c r="U57" i="6"/>
  <c r="U56" i="6"/>
  <c r="U55" i="6"/>
  <c r="U51" i="6"/>
  <c r="U50" i="6"/>
  <c r="U49" i="6"/>
  <c r="U47" i="6"/>
  <c r="U46" i="6"/>
  <c r="U45" i="6"/>
  <c r="U42" i="6"/>
  <c r="U32" i="6"/>
  <c r="U31" i="6"/>
  <c r="U29" i="6"/>
  <c r="U28" i="6"/>
  <c r="U27" i="6"/>
  <c r="U22" i="6"/>
  <c r="U20" i="6"/>
  <c r="N27" i="6"/>
  <c r="N50" i="6"/>
  <c r="N85" i="6"/>
  <c r="N111" i="6"/>
  <c r="N120" i="6"/>
  <c r="N140" i="6"/>
  <c r="N162" i="6"/>
  <c r="N170" i="6"/>
  <c r="N178" i="6"/>
  <c r="N200" i="6"/>
  <c r="N222" i="6"/>
  <c r="N238" i="6"/>
  <c r="N266" i="6"/>
  <c r="AA21" i="7"/>
  <c r="P270" i="5"/>
  <c r="S270" i="5"/>
  <c r="P269" i="5"/>
  <c r="S269" i="5"/>
  <c r="P268" i="5"/>
  <c r="S268" i="5"/>
  <c r="P267" i="5"/>
  <c r="S267" i="5"/>
  <c r="P266" i="5"/>
  <c r="S266" i="5"/>
  <c r="P265" i="5"/>
  <c r="S265" i="5"/>
  <c r="P264" i="5"/>
  <c r="S264" i="5"/>
  <c r="P263" i="5"/>
  <c r="S263" i="5"/>
  <c r="P262" i="5"/>
  <c r="S262" i="5"/>
  <c r="P261" i="5"/>
  <c r="S261" i="5"/>
  <c r="L260" i="5"/>
  <c r="P260" i="5"/>
  <c r="S260" i="5"/>
  <c r="P259" i="5"/>
  <c r="S259" i="5"/>
  <c r="P257" i="5"/>
  <c r="S257" i="5"/>
  <c r="P255" i="5"/>
  <c r="S255" i="5"/>
  <c r="P253" i="5"/>
  <c r="S253" i="5"/>
  <c r="P252" i="5"/>
  <c r="S252" i="5"/>
  <c r="P251" i="5"/>
  <c r="S251" i="5"/>
  <c r="P250" i="5"/>
  <c r="S250" i="5"/>
  <c r="P246" i="5"/>
  <c r="S246" i="5"/>
  <c r="P244" i="5"/>
  <c r="S244" i="5"/>
  <c r="P239" i="5"/>
  <c r="S239" i="5"/>
  <c r="P238" i="5"/>
  <c r="S238" i="5"/>
  <c r="P237" i="5"/>
  <c r="S237" i="5"/>
  <c r="P235" i="5"/>
  <c r="S235" i="5"/>
  <c r="P234" i="5"/>
  <c r="S234" i="5"/>
  <c r="P231" i="5"/>
  <c r="S231" i="5"/>
  <c r="P230" i="5"/>
  <c r="S230" i="5"/>
  <c r="P229" i="5"/>
  <c r="S229" i="5"/>
  <c r="P228" i="5"/>
  <c r="S228" i="5"/>
  <c r="P227" i="5"/>
  <c r="S227" i="5"/>
  <c r="F223" i="5"/>
  <c r="L223" i="5"/>
  <c r="P223" i="5"/>
  <c r="S223" i="5"/>
  <c r="P221" i="5"/>
  <c r="S221" i="5"/>
  <c r="P218" i="5"/>
  <c r="S218" i="5"/>
  <c r="P214" i="5"/>
  <c r="S214" i="5"/>
  <c r="P213" i="5"/>
  <c r="S213" i="5"/>
  <c r="P212" i="5"/>
  <c r="S212" i="5"/>
  <c r="P208" i="5"/>
  <c r="S208" i="5"/>
  <c r="P207" i="5"/>
  <c r="S207" i="5"/>
  <c r="P206" i="5"/>
  <c r="S206" i="5"/>
  <c r="P205" i="5"/>
  <c r="S205" i="5"/>
  <c r="P204" i="5"/>
  <c r="S204" i="5"/>
  <c r="P202" i="5"/>
  <c r="S202" i="5"/>
  <c r="P200" i="5"/>
  <c r="S200" i="5"/>
  <c r="P198" i="5"/>
  <c r="S198" i="5"/>
  <c r="P192" i="5"/>
  <c r="S192" i="5"/>
  <c r="L191" i="5"/>
  <c r="P191" i="5"/>
  <c r="S191" i="5"/>
  <c r="P187" i="5"/>
  <c r="S187" i="5"/>
  <c r="P186" i="5"/>
  <c r="S186" i="5"/>
  <c r="P185" i="5"/>
  <c r="S185" i="5"/>
  <c r="P184" i="5"/>
  <c r="S184" i="5"/>
  <c r="P183" i="5"/>
  <c r="S183" i="5"/>
  <c r="P182" i="5"/>
  <c r="S182" i="5"/>
  <c r="P181" i="5"/>
  <c r="S181" i="5"/>
  <c r="P180" i="5"/>
  <c r="S180" i="5"/>
  <c r="P176" i="5"/>
  <c r="S176" i="5"/>
  <c r="P174" i="5"/>
  <c r="S174" i="5"/>
  <c r="P173" i="5"/>
  <c r="S173" i="5"/>
  <c r="P172" i="5"/>
  <c r="S172" i="5"/>
  <c r="P165" i="5"/>
  <c r="S165" i="5"/>
  <c r="P160" i="5"/>
  <c r="S160" i="5"/>
  <c r="L155" i="5"/>
  <c r="P155" i="5"/>
  <c r="S155" i="5"/>
  <c r="P154" i="5"/>
  <c r="S154" i="5"/>
  <c r="P153" i="5"/>
  <c r="S153" i="5"/>
  <c r="P152" i="5"/>
  <c r="S152" i="5"/>
  <c r="P151" i="5"/>
  <c r="S151" i="5"/>
  <c r="P150" i="5"/>
  <c r="S150" i="5"/>
  <c r="P149" i="5"/>
  <c r="S149" i="5"/>
  <c r="P148" i="5"/>
  <c r="S148" i="5"/>
  <c r="P147" i="5"/>
  <c r="S147" i="5"/>
  <c r="P146" i="5"/>
  <c r="S146" i="5"/>
  <c r="P145" i="5"/>
  <c r="S145" i="5"/>
  <c r="P144" i="5"/>
  <c r="S144" i="5"/>
  <c r="P140" i="5"/>
  <c r="S140" i="5"/>
  <c r="L138" i="5"/>
  <c r="P138" i="5"/>
  <c r="S138" i="5"/>
  <c r="P137" i="5"/>
  <c r="S137" i="5"/>
  <c r="P136" i="5"/>
  <c r="S136" i="5"/>
  <c r="P134" i="5"/>
  <c r="S134" i="5"/>
  <c r="P133" i="5"/>
  <c r="S133" i="5"/>
  <c r="P132" i="5"/>
  <c r="S132" i="5"/>
  <c r="L131" i="5"/>
  <c r="P131" i="5"/>
  <c r="S131" i="5"/>
  <c r="P130" i="5"/>
  <c r="S130" i="5"/>
  <c r="L129" i="5"/>
  <c r="P129" i="5"/>
  <c r="S129" i="5"/>
  <c r="P127" i="5"/>
  <c r="S127" i="5"/>
  <c r="P126" i="5"/>
  <c r="S126" i="5"/>
  <c r="P125" i="5"/>
  <c r="S125" i="5"/>
  <c r="P124" i="5"/>
  <c r="S124" i="5"/>
  <c r="P123" i="5"/>
  <c r="S123" i="5"/>
  <c r="P122" i="5"/>
  <c r="S122" i="5"/>
  <c r="P121" i="5"/>
  <c r="S121" i="5"/>
  <c r="P120" i="5"/>
  <c r="S120" i="5"/>
  <c r="P119" i="5"/>
  <c r="S119" i="5"/>
  <c r="P118" i="5"/>
  <c r="S118" i="5"/>
  <c r="P117" i="5"/>
  <c r="S117" i="5"/>
  <c r="P115" i="5"/>
  <c r="S115" i="5"/>
  <c r="P113" i="5"/>
  <c r="S113" i="5"/>
  <c r="P112" i="5"/>
  <c r="S112" i="5"/>
  <c r="P108" i="5"/>
  <c r="S108" i="5"/>
  <c r="L106" i="5"/>
  <c r="P106" i="5"/>
  <c r="S106" i="5"/>
  <c r="P105" i="5"/>
  <c r="S105" i="5"/>
  <c r="L103" i="5"/>
  <c r="P103" i="5"/>
  <c r="S103" i="5"/>
  <c r="L102" i="5"/>
  <c r="P102" i="5"/>
  <c r="S102" i="5"/>
  <c r="P100" i="5"/>
  <c r="S100" i="5"/>
  <c r="P99" i="5"/>
  <c r="S99" i="5"/>
  <c r="P98" i="5"/>
  <c r="S98" i="5"/>
  <c r="P97" i="5"/>
  <c r="S97" i="5"/>
  <c r="P95" i="5"/>
  <c r="S95" i="5"/>
  <c r="P94" i="5"/>
  <c r="S94" i="5"/>
  <c r="P93" i="5"/>
  <c r="S93" i="5"/>
  <c r="P92" i="5"/>
  <c r="S92" i="5"/>
  <c r="P91" i="5"/>
  <c r="S91" i="5"/>
  <c r="P25" i="5"/>
  <c r="S25" i="5"/>
  <c r="P23" i="5"/>
  <c r="S23" i="5"/>
  <c r="E92" i="6"/>
  <c r="I92" i="6"/>
  <c r="AB92" i="6"/>
  <c r="V177" i="5"/>
  <c r="W177" i="5"/>
  <c r="AF177" i="5"/>
  <c r="AG177" i="5"/>
  <c r="U105" i="5"/>
  <c r="V105" i="5"/>
  <c r="AA105" i="5"/>
  <c r="AB105" i="5"/>
  <c r="AE105" i="5"/>
  <c r="AF105" i="5"/>
  <c r="P254" i="5"/>
  <c r="Q254" i="5"/>
  <c r="S254" i="5"/>
  <c r="P247" i="5"/>
  <c r="S247" i="5"/>
  <c r="P245" i="5"/>
  <c r="S245" i="5"/>
  <c r="P226" i="5"/>
  <c r="Q226" i="5"/>
  <c r="S226" i="5"/>
  <c r="P217" i="5"/>
  <c r="Q217" i="5"/>
  <c r="S217" i="5"/>
  <c r="P215" i="5"/>
  <c r="S215" i="5"/>
  <c r="P211" i="5"/>
  <c r="Q211" i="5"/>
  <c r="S211" i="5"/>
  <c r="P209" i="5"/>
  <c r="S209" i="5"/>
  <c r="P203" i="5"/>
  <c r="S203" i="5"/>
  <c r="P197" i="5"/>
  <c r="Q197" i="5"/>
  <c r="S197" i="5"/>
  <c r="P196" i="5"/>
  <c r="S196" i="5"/>
  <c r="P193" i="5"/>
  <c r="S193" i="5"/>
  <c r="P190" i="5"/>
  <c r="Q190" i="5"/>
  <c r="S190" i="5"/>
  <c r="P178" i="5"/>
  <c r="Q178" i="5"/>
  <c r="S178" i="5"/>
  <c r="P177" i="5"/>
  <c r="Q177" i="5"/>
  <c r="S177" i="5"/>
  <c r="P175" i="5"/>
  <c r="S175" i="5"/>
  <c r="P164" i="5"/>
  <c r="Q164" i="5"/>
  <c r="S164" i="5"/>
  <c r="P163" i="5"/>
  <c r="S163" i="5"/>
  <c r="P159" i="5"/>
  <c r="Q159" i="5"/>
  <c r="S159" i="5"/>
  <c r="P158" i="5"/>
  <c r="Q158" i="5"/>
  <c r="S158" i="5"/>
  <c r="L143" i="5"/>
  <c r="P143" i="5"/>
  <c r="S143" i="5"/>
  <c r="P135" i="5"/>
  <c r="Q135" i="5"/>
  <c r="S135" i="5"/>
  <c r="P116" i="5"/>
  <c r="Q116" i="5"/>
  <c r="S116" i="5"/>
  <c r="P111" i="5"/>
  <c r="S111" i="5"/>
  <c r="P110" i="5"/>
  <c r="S110" i="5"/>
  <c r="P109" i="5"/>
  <c r="Q109" i="5"/>
  <c r="S109" i="5"/>
  <c r="P107" i="5"/>
  <c r="Q107" i="5"/>
  <c r="S107" i="5"/>
  <c r="W105" i="5"/>
  <c r="P104" i="5"/>
  <c r="S104" i="5"/>
  <c r="P101" i="5"/>
  <c r="S101" i="5"/>
  <c r="AA269" i="6"/>
  <c r="AC269" i="6"/>
  <c r="AG265" i="6"/>
  <c r="AF265" i="6"/>
  <c r="AC265" i="6"/>
  <c r="AB265" i="6"/>
  <c r="AG264" i="6"/>
  <c r="AE264" i="6"/>
  <c r="AC264" i="6"/>
  <c r="AA264" i="6"/>
  <c r="AF263" i="6"/>
  <c r="AE263" i="6"/>
  <c r="AB263" i="6"/>
  <c r="AA263" i="6"/>
  <c r="AG262" i="6"/>
  <c r="AF262" i="6"/>
  <c r="AC262" i="6"/>
  <c r="AB262" i="6"/>
  <c r="AG261" i="6"/>
  <c r="AF261" i="6"/>
  <c r="AC261" i="6"/>
  <c r="AB261" i="6"/>
  <c r="AG260" i="6"/>
  <c r="AF260" i="6"/>
  <c r="AC260" i="6"/>
  <c r="AB260" i="6"/>
  <c r="AG259" i="6"/>
  <c r="AF259" i="6"/>
  <c r="AC259" i="6"/>
  <c r="AB259" i="6"/>
  <c r="AG258" i="6"/>
  <c r="AF258" i="6"/>
  <c r="AC258" i="6"/>
  <c r="AB258" i="6"/>
  <c r="AG257" i="6"/>
  <c r="AE257" i="6"/>
  <c r="AC257" i="6"/>
  <c r="AA257" i="6"/>
  <c r="AG256" i="6"/>
  <c r="AF256" i="6"/>
  <c r="AC256" i="6"/>
  <c r="AB256" i="6"/>
  <c r="AG255" i="6"/>
  <c r="AE255" i="6"/>
  <c r="AC255" i="6"/>
  <c r="AA255" i="6"/>
  <c r="AG254" i="6"/>
  <c r="AE254" i="6"/>
  <c r="AC254" i="6"/>
  <c r="AA254" i="6"/>
  <c r="AG253" i="6"/>
  <c r="AE253" i="6"/>
  <c r="AC253" i="6"/>
  <c r="AA253" i="6"/>
  <c r="AG252" i="6"/>
  <c r="AE252" i="6"/>
  <c r="AC252" i="6"/>
  <c r="AA252" i="6"/>
  <c r="AG251" i="6"/>
  <c r="AF251" i="6"/>
  <c r="AC251" i="6"/>
  <c r="AB251" i="6"/>
  <c r="AG250" i="6"/>
  <c r="AE250" i="6"/>
  <c r="AC250" i="6"/>
  <c r="AA250" i="6"/>
  <c r="AF249" i="6"/>
  <c r="AE249" i="6"/>
  <c r="AB249" i="6"/>
  <c r="AA249" i="6"/>
  <c r="AG248" i="6"/>
  <c r="AE248" i="6"/>
  <c r="AC248" i="6"/>
  <c r="AA248" i="6"/>
  <c r="AG247" i="6"/>
  <c r="AE247" i="6"/>
  <c r="AC247" i="6"/>
  <c r="AA247" i="6"/>
  <c r="AG246" i="6"/>
  <c r="AF246" i="6"/>
  <c r="AC246" i="6"/>
  <c r="AB246" i="6"/>
  <c r="AG245" i="6"/>
  <c r="AF245" i="6"/>
  <c r="AC245" i="6"/>
  <c r="AB245" i="6"/>
  <c r="AF244" i="6"/>
  <c r="AE244" i="6"/>
  <c r="AB244" i="6"/>
  <c r="AA244" i="6"/>
  <c r="AG243" i="6"/>
  <c r="AF243" i="6"/>
  <c r="AC243" i="6"/>
  <c r="AB243" i="6"/>
  <c r="AG241" i="6"/>
  <c r="AF241" i="6"/>
  <c r="AC241" i="6"/>
  <c r="AB241" i="6"/>
  <c r="AG240" i="6"/>
  <c r="AE240" i="6"/>
  <c r="AC240" i="6"/>
  <c r="AA240" i="6"/>
  <c r="AG239" i="6"/>
  <c r="AE239" i="6"/>
  <c r="AC239" i="6"/>
  <c r="AA239" i="6"/>
  <c r="AF238" i="6"/>
  <c r="AE238" i="6"/>
  <c r="AB238" i="6"/>
  <c r="AA238" i="6"/>
  <c r="AG237" i="6"/>
  <c r="AE237" i="6"/>
  <c r="AC237" i="6"/>
  <c r="AA237" i="6"/>
  <c r="AG236" i="6"/>
  <c r="AE236" i="6"/>
  <c r="AC236" i="6"/>
  <c r="AA236" i="6"/>
  <c r="AG235" i="6"/>
  <c r="AE235" i="6"/>
  <c r="AC235" i="6"/>
  <c r="AA235" i="6"/>
  <c r="AG234" i="6"/>
  <c r="AE234" i="6"/>
  <c r="AC234" i="6"/>
  <c r="AA234" i="6"/>
  <c r="AG233" i="6"/>
  <c r="AE233" i="6"/>
  <c r="AC233" i="6"/>
  <c r="AA233" i="6"/>
  <c r="AG232" i="6"/>
  <c r="AE232" i="6"/>
  <c r="AC232" i="6"/>
  <c r="AA232" i="6"/>
  <c r="AG231" i="6"/>
  <c r="AE231" i="6"/>
  <c r="AC231" i="6"/>
  <c r="AA231" i="6"/>
  <c r="AG230" i="6"/>
  <c r="AF230" i="6"/>
  <c r="AC230" i="6"/>
  <c r="AB230" i="6"/>
  <c r="AG229" i="6"/>
  <c r="AF229" i="6"/>
  <c r="AC229" i="6"/>
  <c r="AB229" i="6"/>
  <c r="AG228" i="6"/>
  <c r="AF228" i="6"/>
  <c r="AC228" i="6"/>
  <c r="AB228" i="6"/>
  <c r="AG227" i="6"/>
  <c r="AE227" i="6"/>
  <c r="AC227" i="6"/>
  <c r="AA227" i="6"/>
  <c r="AG226" i="6"/>
  <c r="AE226" i="6"/>
  <c r="AC226" i="6"/>
  <c r="AA226" i="6"/>
  <c r="AG225" i="6"/>
  <c r="AE225" i="6"/>
  <c r="AC225" i="6"/>
  <c r="AA225" i="6"/>
  <c r="AG224" i="6"/>
  <c r="AE224" i="6"/>
  <c r="AC224" i="6"/>
  <c r="AA224" i="6"/>
  <c r="AG223" i="6"/>
  <c r="AE223" i="6"/>
  <c r="AC223" i="6"/>
  <c r="AA223" i="6"/>
  <c r="AG222" i="6"/>
  <c r="AE222" i="6"/>
  <c r="AC222" i="6"/>
  <c r="AA222" i="6"/>
  <c r="AG221" i="6"/>
  <c r="AE221" i="6"/>
  <c r="AC221" i="6"/>
  <c r="AA221" i="6"/>
  <c r="AG220" i="6"/>
  <c r="AE220" i="6"/>
  <c r="AC220" i="6"/>
  <c r="AA220" i="6"/>
  <c r="AG219" i="6"/>
  <c r="AF219" i="6"/>
  <c r="AC219" i="6"/>
  <c r="AB219" i="6"/>
  <c r="AG217" i="6"/>
  <c r="AF217" i="6"/>
  <c r="AC217" i="6"/>
  <c r="AB217" i="6"/>
  <c r="AG216" i="6"/>
  <c r="AE216" i="6"/>
  <c r="AC216" i="6"/>
  <c r="AA216" i="6"/>
  <c r="AG214" i="6"/>
  <c r="AF214" i="6"/>
  <c r="AC214" i="6"/>
  <c r="AB214" i="6"/>
  <c r="AG213" i="6"/>
  <c r="AE213" i="6"/>
  <c r="AC213" i="6"/>
  <c r="AA213" i="6"/>
  <c r="AG212" i="6"/>
  <c r="AF212" i="6"/>
  <c r="AC212" i="6"/>
  <c r="AB212" i="6"/>
  <c r="AG211" i="6"/>
  <c r="AF211" i="6"/>
  <c r="AC211" i="6"/>
  <c r="AB211" i="6"/>
  <c r="AG210" i="6"/>
  <c r="AF210" i="6"/>
  <c r="AC210" i="6"/>
  <c r="AB210" i="6"/>
  <c r="AG209" i="6"/>
  <c r="AE209" i="6"/>
  <c r="AC209" i="6"/>
  <c r="AA209" i="6"/>
  <c r="AG208" i="6"/>
  <c r="AF208" i="6"/>
  <c r="AC208" i="6"/>
  <c r="AB208" i="6"/>
  <c r="AG206" i="6"/>
  <c r="AF206" i="6"/>
  <c r="AC206" i="6"/>
  <c r="AB206" i="6"/>
  <c r="AG205" i="6"/>
  <c r="AE205" i="6"/>
  <c r="AC205" i="6"/>
  <c r="AA205" i="6"/>
  <c r="AG204" i="6"/>
  <c r="AE204" i="6"/>
  <c r="AC204" i="6"/>
  <c r="AA204" i="6"/>
  <c r="AF203" i="6"/>
  <c r="AE203" i="6"/>
  <c r="AB203" i="6"/>
  <c r="AA203" i="6"/>
  <c r="AG202" i="6"/>
  <c r="AE202" i="6"/>
  <c r="AC202" i="6"/>
  <c r="AA202" i="6"/>
  <c r="AG201" i="6"/>
  <c r="AF201" i="6"/>
  <c r="AC201" i="6"/>
  <c r="AB201" i="6"/>
  <c r="AG200" i="6"/>
  <c r="AF200" i="6"/>
  <c r="AC200" i="6"/>
  <c r="AB200" i="6"/>
  <c r="AG199" i="6"/>
  <c r="AF199" i="6"/>
  <c r="AC199" i="6"/>
  <c r="AG198" i="6"/>
  <c r="AF198" i="6"/>
  <c r="AC198" i="6"/>
  <c r="AG197" i="6"/>
  <c r="AE197" i="6"/>
  <c r="AC197" i="6"/>
  <c r="AA197" i="6"/>
  <c r="AG196" i="6"/>
  <c r="AF196" i="6"/>
  <c r="AC196" i="6"/>
  <c r="AB196" i="6"/>
  <c r="AG195" i="6"/>
  <c r="AF195" i="6"/>
  <c r="AC195" i="6"/>
  <c r="AB195" i="6"/>
  <c r="AG194" i="6"/>
  <c r="AF194" i="6"/>
  <c r="AC194" i="6"/>
  <c r="AB194" i="6"/>
  <c r="AG193" i="6"/>
  <c r="AF193" i="6"/>
  <c r="AC193" i="6"/>
  <c r="AB193" i="6"/>
  <c r="AG192" i="6"/>
  <c r="AF192" i="6"/>
  <c r="AC192" i="6"/>
  <c r="AG191" i="6"/>
  <c r="AE191" i="6"/>
  <c r="AC191" i="6"/>
  <c r="AA191" i="6"/>
  <c r="AG189" i="6"/>
  <c r="AE189" i="6"/>
  <c r="AC189" i="6"/>
  <c r="AA189" i="6"/>
  <c r="AG188" i="6"/>
  <c r="AE188" i="6"/>
  <c r="AC188" i="6"/>
  <c r="AA188" i="6"/>
  <c r="AG187" i="6"/>
  <c r="AE187" i="6"/>
  <c r="AC187" i="6"/>
  <c r="AA187" i="6"/>
  <c r="AG186" i="6"/>
  <c r="AE186" i="6"/>
  <c r="AC186" i="6"/>
  <c r="AA186" i="6"/>
  <c r="AG185" i="6"/>
  <c r="AF185" i="6"/>
  <c r="AC185" i="6"/>
  <c r="AB185" i="6"/>
  <c r="AG184" i="6"/>
  <c r="AF184" i="6"/>
  <c r="AC184" i="6"/>
  <c r="AB184" i="6"/>
  <c r="AG183" i="6"/>
  <c r="AF183" i="6"/>
  <c r="AC183" i="6"/>
  <c r="AB183" i="6"/>
  <c r="AG182" i="6"/>
  <c r="AF182" i="6"/>
  <c r="AC182" i="6"/>
  <c r="AB182" i="6"/>
  <c r="AG181" i="6"/>
  <c r="AF181" i="6"/>
  <c r="AC181" i="6"/>
  <c r="AB181" i="6"/>
  <c r="AG180" i="6"/>
  <c r="AF180" i="6"/>
  <c r="AC180" i="6"/>
  <c r="AB180" i="6"/>
  <c r="AG179" i="6"/>
  <c r="AE179" i="6"/>
  <c r="AC179" i="6"/>
  <c r="AA179" i="6"/>
  <c r="AG178" i="6"/>
  <c r="AE178" i="6"/>
  <c r="AC178" i="6"/>
  <c r="AA178" i="6"/>
  <c r="AG177" i="6"/>
  <c r="AF177" i="6"/>
  <c r="AC177" i="6"/>
  <c r="AB177" i="6"/>
  <c r="AF176" i="6"/>
  <c r="AE176" i="6"/>
  <c r="AB176" i="6"/>
  <c r="AA176" i="6"/>
  <c r="AF175" i="6"/>
  <c r="AE175" i="6"/>
  <c r="AB175" i="6"/>
  <c r="AA175" i="6"/>
  <c r="AG174" i="6"/>
  <c r="AF174" i="6"/>
  <c r="AC174" i="6"/>
  <c r="AB174" i="6"/>
  <c r="AG173" i="6"/>
  <c r="AF173" i="6"/>
  <c r="AC173" i="6"/>
  <c r="AB173" i="6"/>
  <c r="AG172" i="6"/>
  <c r="AE172" i="6"/>
  <c r="AC172" i="6"/>
  <c r="AA172" i="6"/>
  <c r="AG171" i="6"/>
  <c r="AF171" i="6"/>
  <c r="AC171" i="6"/>
  <c r="AB171" i="6"/>
  <c r="AG170" i="6"/>
  <c r="AF170" i="6"/>
  <c r="AC170" i="6"/>
  <c r="AB170" i="6"/>
  <c r="AG169" i="6"/>
  <c r="AE169" i="6"/>
  <c r="AC169" i="6"/>
  <c r="AA169" i="6"/>
  <c r="AG168" i="6"/>
  <c r="AE168" i="6"/>
  <c r="AC168" i="6"/>
  <c r="AA168" i="6"/>
  <c r="AG167" i="6"/>
  <c r="AF167" i="6"/>
  <c r="AC167" i="6"/>
  <c r="AB167" i="6"/>
  <c r="AG166" i="6"/>
  <c r="AE166" i="6"/>
  <c r="AC166" i="6"/>
  <c r="AG165" i="6"/>
  <c r="AE165" i="6"/>
  <c r="AC165" i="6"/>
  <c r="AA165" i="6"/>
  <c r="AG164" i="6"/>
  <c r="AF164" i="6"/>
  <c r="AC164" i="6"/>
  <c r="AB164" i="6"/>
  <c r="AG163" i="6"/>
  <c r="AE163" i="6"/>
  <c r="AC163" i="6"/>
  <c r="AA163" i="6"/>
  <c r="AG162" i="6"/>
  <c r="AE162" i="6"/>
  <c r="AC162" i="6"/>
  <c r="AA162" i="6"/>
  <c r="AG161" i="6"/>
  <c r="AE161" i="6"/>
  <c r="AC161" i="6"/>
  <c r="AA161" i="6"/>
  <c r="AG160" i="6"/>
  <c r="AF160" i="6"/>
  <c r="AC160" i="6"/>
  <c r="AB160" i="6"/>
  <c r="AG159" i="6"/>
  <c r="AF159" i="6"/>
  <c r="AC159" i="6"/>
  <c r="AB159" i="6"/>
  <c r="AG158" i="6"/>
  <c r="AE158" i="6"/>
  <c r="AC158" i="6"/>
  <c r="AA158" i="6"/>
  <c r="AG157" i="6"/>
  <c r="AF157" i="6"/>
  <c r="AC157" i="6"/>
  <c r="AB157" i="6"/>
  <c r="AG156" i="6"/>
  <c r="AE156" i="6"/>
  <c r="AC156" i="6"/>
  <c r="AA156" i="6"/>
  <c r="AG155" i="6"/>
  <c r="AF155" i="6"/>
  <c r="AC155" i="6"/>
  <c r="AB155" i="6"/>
  <c r="AG154" i="6"/>
  <c r="AF154" i="6"/>
  <c r="AC154" i="6"/>
  <c r="AB154" i="6"/>
  <c r="AG153" i="6"/>
  <c r="AF153" i="6"/>
  <c r="AC153" i="6"/>
  <c r="AB153" i="6"/>
  <c r="AG152" i="6"/>
  <c r="AF152" i="6"/>
  <c r="AC152" i="6"/>
  <c r="AB152" i="6"/>
  <c r="AG151" i="6"/>
  <c r="AF151" i="6"/>
  <c r="AC151" i="6"/>
  <c r="AB151" i="6"/>
  <c r="AG150" i="6"/>
  <c r="AF150" i="6"/>
  <c r="AC150" i="6"/>
  <c r="AB150" i="6"/>
  <c r="AG149" i="6"/>
  <c r="AF149" i="6"/>
  <c r="AC149" i="6"/>
  <c r="AB149" i="6"/>
  <c r="AG148" i="6"/>
  <c r="AF148" i="6"/>
  <c r="AC148" i="6"/>
  <c r="AB148" i="6"/>
  <c r="AG147" i="6"/>
  <c r="AE147" i="6"/>
  <c r="AC147" i="6"/>
  <c r="AA147" i="6"/>
  <c r="AG146" i="6"/>
  <c r="AF146" i="6"/>
  <c r="AC146" i="6"/>
  <c r="AB146" i="6"/>
  <c r="AG145" i="6"/>
  <c r="AE145" i="6"/>
  <c r="AC145" i="6"/>
  <c r="AA145" i="6"/>
  <c r="AG144" i="6"/>
  <c r="AE144" i="6"/>
  <c r="AC144" i="6"/>
  <c r="AA144" i="6"/>
  <c r="AG143" i="6"/>
  <c r="AF143" i="6"/>
  <c r="AC143" i="6"/>
  <c r="AB143" i="6"/>
  <c r="AG141" i="6"/>
  <c r="AF141" i="6"/>
  <c r="AC141" i="6"/>
  <c r="AB141" i="6"/>
  <c r="AG140" i="6"/>
  <c r="AF140" i="6"/>
  <c r="AC140" i="6"/>
  <c r="AB140" i="6"/>
  <c r="AG139" i="6"/>
  <c r="AF139" i="6"/>
  <c r="AC139" i="6"/>
  <c r="AB139" i="6"/>
  <c r="AG138" i="6"/>
  <c r="AF138" i="6"/>
  <c r="AC138" i="6"/>
  <c r="AB138" i="6"/>
  <c r="AG137" i="6"/>
  <c r="AF137" i="6"/>
  <c r="AC137" i="6"/>
  <c r="AB137" i="6"/>
  <c r="AG136" i="6"/>
  <c r="AF136" i="6"/>
  <c r="AC136" i="6"/>
  <c r="AB136" i="6"/>
  <c r="AG135" i="6"/>
  <c r="AF135" i="6"/>
  <c r="AC135" i="6"/>
  <c r="AB135" i="6"/>
  <c r="AG134" i="6"/>
  <c r="AF134" i="6"/>
  <c r="AC134" i="6"/>
  <c r="AB134" i="6"/>
  <c r="AG133" i="6"/>
  <c r="AF133" i="6"/>
  <c r="AC133" i="6"/>
  <c r="AB133" i="6"/>
  <c r="AG132" i="6"/>
  <c r="AF132" i="6"/>
  <c r="AC132" i="6"/>
  <c r="AB132" i="6"/>
  <c r="AG131" i="6"/>
  <c r="AE131" i="6"/>
  <c r="AC131" i="6"/>
  <c r="AA131" i="6"/>
  <c r="AG130" i="6"/>
  <c r="AE130" i="6"/>
  <c r="AC130" i="6"/>
  <c r="AA130" i="6"/>
  <c r="AG129" i="6"/>
  <c r="AF129" i="6"/>
  <c r="AC129" i="6"/>
  <c r="AB129" i="6"/>
  <c r="AG128" i="6"/>
  <c r="AF128" i="6"/>
  <c r="AC128" i="6"/>
  <c r="AB128" i="6"/>
  <c r="AG127" i="6"/>
  <c r="AF127" i="6"/>
  <c r="AC127" i="6"/>
  <c r="AB127" i="6"/>
  <c r="AG126" i="6"/>
  <c r="AF126" i="6"/>
  <c r="AC126" i="6"/>
  <c r="AB126" i="6"/>
  <c r="AG125" i="6"/>
  <c r="AF125" i="6"/>
  <c r="AC125" i="6"/>
  <c r="AB125" i="6"/>
  <c r="AG124" i="6"/>
  <c r="AF124" i="6"/>
  <c r="AC124" i="6"/>
  <c r="AB124" i="6"/>
  <c r="AG123" i="6"/>
  <c r="AF123" i="6"/>
  <c r="AC123" i="6"/>
  <c r="AB123" i="6"/>
  <c r="AG122" i="6"/>
  <c r="AF122" i="6"/>
  <c r="AC122" i="6"/>
  <c r="AB122" i="6"/>
  <c r="AG121" i="6"/>
  <c r="AF121" i="6"/>
  <c r="AC121" i="6"/>
  <c r="AB121" i="6"/>
  <c r="AG120" i="6"/>
  <c r="AF120" i="6"/>
  <c r="AC120" i="6"/>
  <c r="AB120" i="6"/>
  <c r="AG119" i="6"/>
  <c r="AF119" i="6"/>
  <c r="AC119" i="6"/>
  <c r="AB119" i="6"/>
  <c r="AG118" i="6"/>
  <c r="AF118" i="6"/>
  <c r="AC118" i="6"/>
  <c r="AB118" i="6"/>
  <c r="AG117" i="6"/>
  <c r="AE117" i="6"/>
  <c r="AC117" i="6"/>
  <c r="AG116" i="6"/>
  <c r="AF116" i="6"/>
  <c r="AC116" i="6"/>
  <c r="AB116" i="6"/>
  <c r="AG115" i="6"/>
  <c r="AF115" i="6"/>
  <c r="AC115" i="6"/>
  <c r="AB115" i="6"/>
  <c r="AG114" i="6"/>
  <c r="AF114" i="6"/>
  <c r="AC114" i="6"/>
  <c r="AB114" i="6"/>
  <c r="AG112" i="6"/>
  <c r="AE112" i="6"/>
  <c r="AC112" i="6"/>
  <c r="AA112" i="6"/>
  <c r="AG111" i="6"/>
  <c r="AE111" i="6"/>
  <c r="AC111" i="6"/>
  <c r="AA111" i="6"/>
  <c r="AG109" i="6"/>
  <c r="AE109" i="6"/>
  <c r="AC109" i="6"/>
  <c r="AA109" i="6"/>
  <c r="AG108" i="6"/>
  <c r="AF108" i="6"/>
  <c r="AC108" i="6"/>
  <c r="AB108" i="6"/>
  <c r="AG107" i="6"/>
  <c r="AE107" i="6"/>
  <c r="AC107" i="6"/>
  <c r="AA107" i="6"/>
  <c r="AG106" i="6"/>
  <c r="AE106" i="6"/>
  <c r="AC106" i="6"/>
  <c r="AA106" i="6"/>
  <c r="AF105" i="6"/>
  <c r="AE105" i="6"/>
  <c r="AC105" i="6"/>
  <c r="AB105" i="6"/>
  <c r="AA105" i="6"/>
  <c r="AF104" i="6"/>
  <c r="AE104" i="6"/>
  <c r="AB104" i="6"/>
  <c r="AA104" i="6"/>
  <c r="AG103" i="6"/>
  <c r="AE103" i="6"/>
  <c r="AC103" i="6"/>
  <c r="AA103" i="6"/>
  <c r="AG102" i="6"/>
  <c r="AE102" i="6"/>
  <c r="AC102" i="6"/>
  <c r="AA102" i="6"/>
  <c r="AG101" i="6"/>
  <c r="AE101" i="6"/>
  <c r="AC101" i="6"/>
  <c r="AA101" i="6"/>
  <c r="AG100" i="6"/>
  <c r="AF100" i="6"/>
  <c r="AC100" i="6"/>
  <c r="AB100" i="6"/>
  <c r="AG99" i="6"/>
  <c r="AF99" i="6"/>
  <c r="AC99" i="6"/>
  <c r="AB99" i="6"/>
  <c r="AG98" i="6"/>
  <c r="AF98" i="6"/>
  <c r="AC98" i="6"/>
  <c r="AB98" i="6"/>
  <c r="AG97" i="6"/>
  <c r="AF97" i="6"/>
  <c r="AC97" i="6"/>
  <c r="AB97" i="6"/>
  <c r="AG96" i="6"/>
  <c r="AF96" i="6"/>
  <c r="AC96" i="6"/>
  <c r="AB96" i="6"/>
  <c r="AG95" i="6"/>
  <c r="AF95" i="6"/>
  <c r="AC95" i="6"/>
  <c r="AB95" i="6"/>
  <c r="AG92" i="6"/>
  <c r="AE92" i="6"/>
  <c r="AC92" i="6"/>
  <c r="AA92" i="6"/>
  <c r="AG91" i="6"/>
  <c r="AE91" i="6"/>
  <c r="AC91" i="6"/>
  <c r="AA91" i="6"/>
  <c r="AG90" i="6"/>
  <c r="AE90" i="6"/>
  <c r="AC90" i="6"/>
  <c r="AA90" i="6"/>
  <c r="AG89" i="6"/>
  <c r="AF89" i="6"/>
  <c r="AC89" i="6"/>
  <c r="AB89" i="6"/>
  <c r="AG88" i="6"/>
  <c r="AE88" i="6"/>
  <c r="AC88" i="6"/>
  <c r="AA88" i="6"/>
  <c r="AG87" i="6"/>
  <c r="AE87" i="6"/>
  <c r="AC87" i="6"/>
  <c r="AA87" i="6"/>
  <c r="AG85" i="6"/>
  <c r="AF85" i="6"/>
  <c r="AC85" i="6"/>
  <c r="AB85" i="6"/>
  <c r="AG84" i="6"/>
  <c r="AE84" i="6"/>
  <c r="AC84" i="6"/>
  <c r="AA84" i="6"/>
  <c r="AG83" i="6"/>
  <c r="AF83" i="6"/>
  <c r="AC83" i="6"/>
  <c r="AB83" i="6"/>
  <c r="AG82" i="6"/>
  <c r="AE82" i="6"/>
  <c r="AC82" i="6"/>
  <c r="AA82" i="6"/>
  <c r="AG81" i="6"/>
  <c r="AF81" i="6"/>
  <c r="AC81" i="6"/>
  <c r="AB81" i="6"/>
  <c r="AG80" i="6"/>
  <c r="AF80" i="6"/>
  <c r="AC80" i="6"/>
  <c r="AB80" i="6"/>
  <c r="AG79" i="6"/>
  <c r="AF79" i="6"/>
  <c r="AC79" i="6"/>
  <c r="AB79" i="6"/>
  <c r="AG78" i="6"/>
  <c r="AF78" i="6"/>
  <c r="AC78" i="6"/>
  <c r="AB78" i="6"/>
  <c r="AG77" i="6"/>
  <c r="AF77" i="6"/>
  <c r="AC77" i="6"/>
  <c r="AB77" i="6"/>
  <c r="AG76" i="6"/>
  <c r="AF76" i="6"/>
  <c r="AC76" i="6"/>
  <c r="AB76" i="6"/>
  <c r="AG75" i="6"/>
  <c r="AF75" i="6"/>
  <c r="AC75" i="6"/>
  <c r="AB75" i="6"/>
  <c r="AG74" i="6"/>
  <c r="AF74" i="6"/>
  <c r="AC74" i="6"/>
  <c r="AB74" i="6"/>
  <c r="AG73" i="6"/>
  <c r="AF73" i="6"/>
  <c r="AC73" i="6"/>
  <c r="AB73" i="6"/>
  <c r="AG72" i="6"/>
  <c r="AF72" i="6"/>
  <c r="AC72" i="6"/>
  <c r="AG71" i="6"/>
  <c r="AF71" i="6"/>
  <c r="AC71" i="6"/>
  <c r="AB71" i="6"/>
  <c r="AG70" i="6"/>
  <c r="AF70" i="6"/>
  <c r="AC70" i="6"/>
  <c r="AB70" i="6"/>
  <c r="AG69" i="6"/>
  <c r="AF69" i="6"/>
  <c r="AC69" i="6"/>
  <c r="AB69" i="6"/>
  <c r="AG68" i="6"/>
  <c r="AF68" i="6"/>
  <c r="AC68" i="6"/>
  <c r="AB68" i="6"/>
  <c r="AG67" i="6"/>
  <c r="AF67" i="6"/>
  <c r="AC67" i="6"/>
  <c r="AB67" i="6"/>
  <c r="AG66" i="6"/>
  <c r="AF66" i="6"/>
  <c r="AC66" i="6"/>
  <c r="AB66" i="6"/>
  <c r="AG64" i="6"/>
  <c r="AE64" i="6"/>
  <c r="AC64" i="6"/>
  <c r="AA64" i="6"/>
  <c r="AG63" i="6"/>
  <c r="AE63" i="6"/>
  <c r="AC63" i="6"/>
  <c r="AA63" i="6"/>
  <c r="AG62" i="6"/>
  <c r="AE62" i="6"/>
  <c r="AC62" i="6"/>
  <c r="AA62" i="6"/>
  <c r="AG61" i="6"/>
  <c r="AF61" i="6"/>
  <c r="AC61" i="6"/>
  <c r="AB61" i="6"/>
  <c r="AG60" i="6"/>
  <c r="AE60" i="6"/>
  <c r="AC60" i="6"/>
  <c r="AA60" i="6"/>
  <c r="AG59" i="6"/>
  <c r="AF59" i="6"/>
  <c r="AC59" i="6"/>
  <c r="AB59" i="6"/>
  <c r="AG58" i="6"/>
  <c r="AE58" i="6"/>
  <c r="AC58" i="6"/>
  <c r="AA58" i="6"/>
  <c r="AG57" i="6"/>
  <c r="AE57" i="6"/>
  <c r="AC57" i="6"/>
  <c r="AA57" i="6"/>
  <c r="AG56" i="6"/>
  <c r="AE56" i="6"/>
  <c r="AC56" i="6"/>
  <c r="AA56" i="6"/>
  <c r="AG55" i="6"/>
  <c r="AE55" i="6"/>
  <c r="AC55" i="6"/>
  <c r="AA55" i="6"/>
  <c r="AG54" i="6"/>
  <c r="AF54" i="6"/>
  <c r="AC54" i="6"/>
  <c r="AB54" i="6"/>
  <c r="AG53" i="6"/>
  <c r="AF53" i="6"/>
  <c r="AC53" i="6"/>
  <c r="AB53" i="6"/>
  <c r="AG52" i="6"/>
  <c r="AF52" i="6"/>
  <c r="AC52" i="6"/>
  <c r="AB52" i="6"/>
  <c r="AG51" i="6"/>
  <c r="AE51" i="6"/>
  <c r="AC51" i="6"/>
  <c r="AA51" i="6"/>
  <c r="AG50" i="6"/>
  <c r="AE50" i="6"/>
  <c r="AC50" i="6"/>
  <c r="AA50" i="6"/>
  <c r="AG49" i="6"/>
  <c r="AE49" i="6"/>
  <c r="AC49" i="6"/>
  <c r="AA49" i="6"/>
  <c r="AG48" i="6"/>
  <c r="AF48" i="6"/>
  <c r="AC48" i="6"/>
  <c r="AB48" i="6"/>
  <c r="AG47" i="6"/>
  <c r="AE47" i="6"/>
  <c r="AC47" i="6"/>
  <c r="AA47" i="6"/>
  <c r="AG46" i="6"/>
  <c r="AE46" i="6"/>
  <c r="AC46" i="6"/>
  <c r="AA46" i="6"/>
  <c r="AG45" i="6"/>
  <c r="AE45" i="6"/>
  <c r="AC45" i="6"/>
  <c r="AA45" i="6"/>
  <c r="AG44" i="6"/>
  <c r="AF44" i="6"/>
  <c r="AC44" i="6"/>
  <c r="AB44" i="6"/>
  <c r="AG43" i="6"/>
  <c r="AF43" i="6"/>
  <c r="AC43" i="6"/>
  <c r="AB43" i="6"/>
  <c r="AF42" i="6"/>
  <c r="AE42" i="6"/>
  <c r="AB42" i="6"/>
  <c r="AA42" i="6"/>
  <c r="AG41" i="6"/>
  <c r="AF41" i="6"/>
  <c r="AC41" i="6"/>
  <c r="AB41" i="6"/>
  <c r="AG40" i="6"/>
  <c r="AF40" i="6"/>
  <c r="AC40" i="6"/>
  <c r="AB40" i="6"/>
  <c r="AG39" i="6"/>
  <c r="AF39" i="6"/>
  <c r="AC39" i="6"/>
  <c r="AB39" i="6"/>
  <c r="AG38" i="6"/>
  <c r="AF38" i="6"/>
  <c r="AC38" i="6"/>
  <c r="AB38" i="6"/>
  <c r="AG37" i="6"/>
  <c r="AF37" i="6"/>
  <c r="AC37" i="6"/>
  <c r="AB37" i="6"/>
  <c r="AG36" i="6"/>
  <c r="AF36" i="6"/>
  <c r="AC36" i="6"/>
  <c r="AB36" i="6"/>
  <c r="AG35" i="6"/>
  <c r="AF35" i="6"/>
  <c r="AC35" i="6"/>
  <c r="AB35" i="6"/>
  <c r="AG34" i="6"/>
  <c r="AF34" i="6"/>
  <c r="AC34" i="6"/>
  <c r="AB34" i="6"/>
  <c r="AG33" i="6"/>
  <c r="AF33" i="6"/>
  <c r="AC33" i="6"/>
  <c r="AB33" i="6"/>
  <c r="AG32" i="6"/>
  <c r="AE32" i="6"/>
  <c r="AC32" i="6"/>
  <c r="AA32" i="6"/>
  <c r="AG31" i="6"/>
  <c r="AE31" i="6"/>
  <c r="AC31" i="6"/>
  <c r="AA31" i="6"/>
  <c r="AG30" i="6"/>
  <c r="AF30" i="6"/>
  <c r="AC30" i="6"/>
  <c r="AB30" i="6"/>
  <c r="AG29" i="6"/>
  <c r="AE29" i="6"/>
  <c r="AC29" i="6"/>
  <c r="AA29" i="6"/>
  <c r="AG28" i="6"/>
  <c r="AE28" i="6"/>
  <c r="AC28" i="6"/>
  <c r="AA28" i="6"/>
  <c r="AG27" i="6"/>
  <c r="AE27" i="6"/>
  <c r="AC27" i="6"/>
  <c r="AA27" i="6"/>
  <c r="AG26" i="6"/>
  <c r="AF26" i="6"/>
  <c r="AC26" i="6"/>
  <c r="AB26" i="6"/>
  <c r="AG25" i="6"/>
  <c r="AF25" i="6"/>
  <c r="AC25" i="6"/>
  <c r="AB25" i="6"/>
  <c r="AG24" i="6"/>
  <c r="AF24" i="6"/>
  <c r="AC24" i="6"/>
  <c r="AB24" i="6"/>
  <c r="AG23" i="6"/>
  <c r="AF23" i="6"/>
  <c r="AC23" i="6"/>
  <c r="AB23" i="6"/>
  <c r="AG22" i="6"/>
  <c r="AE22" i="6"/>
  <c r="AC22" i="6"/>
  <c r="AA22" i="6"/>
  <c r="AG21" i="6"/>
  <c r="AF21" i="6"/>
  <c r="AC21" i="6"/>
  <c r="AB21" i="6"/>
  <c r="AG20" i="6"/>
  <c r="AE20" i="6"/>
  <c r="AC20" i="6"/>
  <c r="AA20" i="6"/>
  <c r="J47" i="7"/>
  <c r="AC47" i="7"/>
  <c r="Q266" i="6"/>
  <c r="U265" i="6"/>
  <c r="Z265" i="6"/>
  <c r="V264" i="6"/>
  <c r="Z264" i="6"/>
  <c r="W263" i="6"/>
  <c r="Z263" i="6"/>
  <c r="U262" i="6"/>
  <c r="Z262" i="6"/>
  <c r="U260" i="6"/>
  <c r="Z260" i="6"/>
  <c r="U259" i="6"/>
  <c r="Z259" i="6"/>
  <c r="U258" i="6"/>
  <c r="Z258" i="6"/>
  <c r="V257" i="6"/>
  <c r="Z257" i="6"/>
  <c r="U256" i="6"/>
  <c r="Z256" i="6"/>
  <c r="V255" i="6"/>
  <c r="Z255" i="6"/>
  <c r="V254" i="6"/>
  <c r="Z254" i="6"/>
  <c r="V253" i="6"/>
  <c r="Z253" i="6"/>
  <c r="V252" i="6"/>
  <c r="Z252" i="6"/>
  <c r="U251" i="6"/>
  <c r="Z251" i="6"/>
  <c r="V250" i="6"/>
  <c r="Z250" i="6"/>
  <c r="W249" i="6"/>
  <c r="Z249" i="6"/>
  <c r="V247" i="6"/>
  <c r="Z247" i="6"/>
  <c r="U245" i="6"/>
  <c r="Z245" i="6"/>
  <c r="U243" i="6"/>
  <c r="Z243" i="6"/>
  <c r="V240" i="6"/>
  <c r="Z240" i="6"/>
  <c r="V236" i="6"/>
  <c r="Z236" i="6"/>
  <c r="U230" i="6"/>
  <c r="Z230" i="6"/>
  <c r="U228" i="6"/>
  <c r="Z228" i="6"/>
  <c r="V220" i="6"/>
  <c r="Z220" i="6"/>
  <c r="U214" i="6"/>
  <c r="Z214" i="6"/>
  <c r="U212" i="6"/>
  <c r="Z212" i="6"/>
  <c r="V205" i="6"/>
  <c r="Z205" i="6"/>
  <c r="W203" i="6"/>
  <c r="Z203" i="6"/>
  <c r="U201" i="6"/>
  <c r="Z201" i="6"/>
  <c r="U199" i="6"/>
  <c r="Z199" i="6"/>
  <c r="V197" i="6"/>
  <c r="Z197" i="6"/>
  <c r="V188" i="6"/>
  <c r="Z188" i="6"/>
  <c r="W176" i="6"/>
  <c r="Z176" i="6"/>
  <c r="V168" i="6"/>
  <c r="Z168" i="6"/>
  <c r="V166" i="6"/>
  <c r="Z166" i="6"/>
  <c r="U164" i="6"/>
  <c r="Z164" i="6"/>
  <c r="V162" i="6"/>
  <c r="Z162" i="6"/>
  <c r="V158" i="6"/>
  <c r="Z158" i="6"/>
  <c r="V156" i="6"/>
  <c r="Z156" i="6"/>
  <c r="U154" i="6"/>
  <c r="Z154" i="6"/>
  <c r="U152" i="6"/>
  <c r="Z152" i="6"/>
  <c r="U150" i="6"/>
  <c r="Z150" i="6"/>
  <c r="U148" i="6"/>
  <c r="Z148" i="6"/>
  <c r="U146" i="6"/>
  <c r="Z146" i="6"/>
  <c r="U141" i="6"/>
  <c r="Z141" i="6"/>
  <c r="U139" i="6"/>
  <c r="Z139" i="6"/>
  <c r="U135" i="6"/>
  <c r="Z135" i="6"/>
  <c r="U133" i="6"/>
  <c r="Z133" i="6"/>
  <c r="V131" i="6"/>
  <c r="Z131" i="6"/>
  <c r="U129" i="6"/>
  <c r="Z129" i="6"/>
  <c r="U127" i="6"/>
  <c r="Z127" i="6"/>
  <c r="U125" i="6"/>
  <c r="Z125" i="6"/>
  <c r="U123" i="6"/>
  <c r="Z123" i="6"/>
  <c r="U121" i="6"/>
  <c r="Z121" i="6"/>
  <c r="U119" i="6"/>
  <c r="Z119" i="6"/>
  <c r="V112" i="6"/>
  <c r="Z112" i="6"/>
  <c r="V109" i="6"/>
  <c r="Z109" i="6"/>
  <c r="V107" i="6"/>
  <c r="Z107" i="6"/>
  <c r="W105" i="6"/>
  <c r="Z105" i="6"/>
  <c r="V103" i="6"/>
  <c r="Z103" i="6"/>
  <c r="V101" i="6"/>
  <c r="Z101" i="6"/>
  <c r="U99" i="6"/>
  <c r="Z99" i="6"/>
  <c r="U97" i="6"/>
  <c r="Z97" i="6"/>
  <c r="U95" i="6"/>
  <c r="Z95" i="6"/>
  <c r="V91" i="6"/>
  <c r="Z91" i="6"/>
  <c r="U89" i="6"/>
  <c r="Z89" i="6"/>
  <c r="V87" i="6"/>
  <c r="Z87" i="6"/>
  <c r="V84" i="6"/>
  <c r="Z84" i="6"/>
  <c r="V82" i="6"/>
  <c r="Z82" i="6"/>
  <c r="U80" i="6"/>
  <c r="Z80" i="6"/>
  <c r="U78" i="6"/>
  <c r="Z78" i="6"/>
  <c r="U76" i="6"/>
  <c r="Z76" i="6"/>
  <c r="U74" i="6"/>
  <c r="Z74" i="6"/>
  <c r="M266" i="6"/>
  <c r="K266" i="6"/>
  <c r="H114" i="6"/>
  <c r="H120" i="6"/>
  <c r="H154" i="6"/>
  <c r="H197" i="6"/>
  <c r="H266" i="6"/>
  <c r="D98" i="6"/>
  <c r="D107" i="6"/>
  <c r="D186" i="6"/>
  <c r="D216" i="6"/>
  <c r="D266" i="6"/>
  <c r="V27" i="6"/>
  <c r="Z27" i="6"/>
  <c r="AF27" i="6"/>
  <c r="V29" i="6"/>
  <c r="Z29" i="6"/>
  <c r="AF29" i="6"/>
  <c r="V31" i="6"/>
  <c r="Z31" i="6"/>
  <c r="AF31" i="6"/>
  <c r="U41" i="6"/>
  <c r="Z41" i="6"/>
  <c r="AE41" i="6"/>
  <c r="U43" i="6"/>
  <c r="Z43" i="6"/>
  <c r="AE43" i="6"/>
  <c r="V45" i="6"/>
  <c r="Z45" i="6"/>
  <c r="AF45" i="6"/>
  <c r="V47" i="6"/>
  <c r="Z47" i="6"/>
  <c r="AF47" i="6"/>
  <c r="V49" i="6"/>
  <c r="Z49" i="6"/>
  <c r="AF49" i="6"/>
  <c r="V51" i="6"/>
  <c r="Z51" i="6"/>
  <c r="AF51" i="6"/>
  <c r="U59" i="6"/>
  <c r="Z59" i="6"/>
  <c r="AE59" i="6"/>
  <c r="U61" i="6"/>
  <c r="Z61" i="6"/>
  <c r="AE61" i="6"/>
  <c r="V63" i="6"/>
  <c r="Z63" i="6"/>
  <c r="AF63" i="6"/>
  <c r="U143" i="6"/>
  <c r="Z143" i="6"/>
  <c r="AE143" i="6"/>
  <c r="V163" i="6"/>
  <c r="Z163" i="6"/>
  <c r="AF163" i="6"/>
  <c r="U167" i="6"/>
  <c r="Z167" i="6"/>
  <c r="AE167" i="6"/>
  <c r="V179" i="6"/>
  <c r="Z179" i="6"/>
  <c r="AF179" i="6"/>
  <c r="V223" i="6"/>
  <c r="Z223" i="6"/>
  <c r="AF223" i="6"/>
  <c r="V227" i="6"/>
  <c r="Z227" i="6"/>
  <c r="AF227" i="6"/>
  <c r="U229" i="6"/>
  <c r="Z229" i="6"/>
  <c r="AE229" i="6"/>
  <c r="V231" i="6"/>
  <c r="Z231" i="6"/>
  <c r="AF231" i="6"/>
  <c r="V237" i="6"/>
  <c r="Z237" i="6"/>
  <c r="AF237" i="6"/>
  <c r="V20" i="6"/>
  <c r="Z20" i="6"/>
  <c r="AF20" i="6"/>
  <c r="V28" i="6"/>
  <c r="Z28" i="6"/>
  <c r="AF28" i="6"/>
  <c r="U30" i="6"/>
  <c r="Z30" i="6"/>
  <c r="AE30" i="6"/>
  <c r="U34" i="6"/>
  <c r="Z34" i="6"/>
  <c r="AE34" i="6"/>
  <c r="U44" i="6"/>
  <c r="Z44" i="6"/>
  <c r="AE44" i="6"/>
  <c r="V50" i="6"/>
  <c r="Z50" i="6"/>
  <c r="AF50" i="6"/>
  <c r="U54" i="6"/>
  <c r="Z54" i="6"/>
  <c r="AE54" i="6"/>
  <c r="V60" i="6"/>
  <c r="Z60" i="6"/>
  <c r="AF60" i="6"/>
  <c r="V62" i="6"/>
  <c r="Z62" i="6"/>
  <c r="AF62" i="6"/>
  <c r="V64" i="6"/>
  <c r="Z64" i="6"/>
  <c r="AF64" i="6"/>
  <c r="U73" i="6"/>
  <c r="Z73" i="6"/>
  <c r="AE73" i="6"/>
  <c r="U77" i="6"/>
  <c r="Z77" i="6"/>
  <c r="AE77" i="6"/>
  <c r="U79" i="6"/>
  <c r="Z79" i="6"/>
  <c r="AE79" i="6"/>
  <c r="U81" i="6"/>
  <c r="Z81" i="6"/>
  <c r="AE81" i="6"/>
  <c r="U83" i="6"/>
  <c r="Z83" i="6"/>
  <c r="AE83" i="6"/>
  <c r="U85" i="6"/>
  <c r="Z85" i="6"/>
  <c r="AE85" i="6"/>
  <c r="V88" i="6"/>
  <c r="Z88" i="6"/>
  <c r="AF88" i="6"/>
  <c r="U98" i="6"/>
  <c r="Z98" i="6"/>
  <c r="AE98" i="6"/>
  <c r="V102" i="6"/>
  <c r="Z102" i="6"/>
  <c r="AF102" i="6"/>
  <c r="W104" i="6"/>
  <c r="Z104" i="6"/>
  <c r="AG104" i="6"/>
  <c r="V106" i="6"/>
  <c r="Z106" i="6"/>
  <c r="AF106" i="6"/>
  <c r="U108" i="6"/>
  <c r="Z108" i="6"/>
  <c r="AE108" i="6"/>
  <c r="V111" i="6"/>
  <c r="Z111" i="6"/>
  <c r="AF111" i="6"/>
  <c r="U114" i="6"/>
  <c r="Z114" i="6"/>
  <c r="AE114" i="6"/>
  <c r="U118" i="6"/>
  <c r="Z118" i="6"/>
  <c r="AE118" i="6"/>
  <c r="U120" i="6"/>
  <c r="Z120" i="6"/>
  <c r="AE120" i="6"/>
  <c r="U122" i="6"/>
  <c r="Z122" i="6"/>
  <c r="AE122" i="6"/>
  <c r="U124" i="6"/>
  <c r="Z124" i="6"/>
  <c r="AE124" i="6"/>
  <c r="U126" i="6"/>
  <c r="Z126" i="6"/>
  <c r="AE126" i="6"/>
  <c r="U128" i="6"/>
  <c r="Z128" i="6"/>
  <c r="AE128" i="6"/>
  <c r="U132" i="6"/>
  <c r="Z132" i="6"/>
  <c r="AE132" i="6"/>
  <c r="U136" i="6"/>
  <c r="Z136" i="6"/>
  <c r="AE136" i="6"/>
  <c r="V145" i="6"/>
  <c r="Z145" i="6"/>
  <c r="AF145" i="6"/>
  <c r="V147" i="6"/>
  <c r="Z147" i="6"/>
  <c r="AF147" i="6"/>
  <c r="U149" i="6"/>
  <c r="Z149" i="6"/>
  <c r="AE149" i="6"/>
  <c r="U151" i="6"/>
  <c r="Z151" i="6"/>
  <c r="AE151" i="6"/>
  <c r="U153" i="6"/>
  <c r="Z153" i="6"/>
  <c r="AE153" i="6"/>
  <c r="U155" i="6"/>
  <c r="Z155" i="6"/>
  <c r="AE155" i="6"/>
  <c r="U157" i="6"/>
  <c r="Z157" i="6"/>
  <c r="AE157" i="6"/>
  <c r="W175" i="6"/>
  <c r="Z175" i="6"/>
  <c r="AG175" i="6"/>
  <c r="U177" i="6"/>
  <c r="Z177" i="6"/>
  <c r="AE177" i="6"/>
  <c r="U192" i="6"/>
  <c r="Z192" i="6"/>
  <c r="AE192" i="6"/>
  <c r="U198" i="6"/>
  <c r="Z198" i="6"/>
  <c r="AE198" i="6"/>
  <c r="V204" i="6"/>
  <c r="Z204" i="6"/>
  <c r="AF204" i="6"/>
  <c r="U206" i="6"/>
  <c r="Z206" i="6"/>
  <c r="AE206" i="6"/>
  <c r="V213" i="6"/>
  <c r="Z213" i="6"/>
  <c r="AF213" i="6"/>
  <c r="V216" i="6"/>
  <c r="Z216" i="6"/>
  <c r="AF216" i="6"/>
  <c r="U219" i="6"/>
  <c r="Z219" i="6"/>
  <c r="AE219" i="6"/>
  <c r="V225" i="6"/>
  <c r="Z225" i="6"/>
  <c r="AF225" i="6"/>
  <c r="V239" i="6"/>
  <c r="Z239" i="6"/>
  <c r="AF239" i="6"/>
  <c r="U241" i="6"/>
  <c r="Z241" i="6"/>
  <c r="AE241" i="6"/>
  <c r="W244" i="6"/>
  <c r="Z244" i="6"/>
  <c r="AG244" i="6"/>
  <c r="U246" i="6"/>
  <c r="Z246" i="6"/>
  <c r="AE246" i="6"/>
  <c r="V248" i="6"/>
  <c r="Z248" i="6"/>
  <c r="AF248" i="6"/>
  <c r="AF82" i="6"/>
  <c r="AF84" i="6"/>
  <c r="AF87" i="6"/>
  <c r="AF91" i="6"/>
  <c r="AF101" i="6"/>
  <c r="AF103" i="6"/>
  <c r="AG105" i="6"/>
  <c r="AE119" i="6"/>
  <c r="AE121" i="6"/>
  <c r="AE123" i="6"/>
  <c r="AE125" i="6"/>
  <c r="AE127" i="6"/>
  <c r="AE129" i="6"/>
  <c r="AE133" i="6"/>
  <c r="AE135" i="6"/>
  <c r="AE139" i="6"/>
  <c r="AE141" i="6"/>
  <c r="AE146" i="6"/>
  <c r="AE148" i="6"/>
  <c r="AE150" i="6"/>
  <c r="AE152" i="6"/>
  <c r="AE154" i="6"/>
  <c r="AE164" i="6"/>
  <c r="AG176" i="6"/>
  <c r="AF197" i="6"/>
  <c r="AF205" i="6"/>
  <c r="AE228" i="6"/>
  <c r="AE230" i="6"/>
  <c r="AE243" i="6"/>
  <c r="AE245" i="6"/>
  <c r="AG249" i="6"/>
  <c r="AF250" i="6"/>
  <c r="AE251" i="6"/>
  <c r="AF252" i="6"/>
  <c r="AF254" i="6"/>
  <c r="AE259" i="6"/>
  <c r="AE262" i="6"/>
  <c r="AE74" i="6"/>
  <c r="AE76" i="6"/>
  <c r="AE78" i="6"/>
  <c r="AE80" i="6"/>
  <c r="AE89" i="6"/>
  <c r="AE95" i="6"/>
  <c r="AE97" i="6"/>
  <c r="AE99" i="6"/>
  <c r="AF107" i="6"/>
  <c r="AF109" i="6"/>
  <c r="AF112" i="6"/>
  <c r="AF131" i="6"/>
  <c r="AF156" i="6"/>
  <c r="AF158" i="6"/>
  <c r="AF162" i="6"/>
  <c r="AF166" i="6"/>
  <c r="AF168" i="6"/>
  <c r="AF188" i="6"/>
  <c r="AE199" i="6"/>
  <c r="AE201" i="6"/>
  <c r="AG203" i="6"/>
  <c r="AE212" i="6"/>
  <c r="AE214" i="6"/>
  <c r="AF220" i="6"/>
  <c r="AF236" i="6"/>
  <c r="AF240" i="6"/>
  <c r="AF247" i="6"/>
  <c r="AF253" i="6"/>
  <c r="AF255" i="6"/>
  <c r="AE256" i="6"/>
  <c r="AF257" i="6"/>
  <c r="AE258" i="6"/>
  <c r="AE260" i="6"/>
  <c r="AG263" i="6"/>
  <c r="AF264" i="6"/>
  <c r="AE265" i="6"/>
  <c r="AE217" i="6"/>
  <c r="U217" i="6"/>
  <c r="Z217" i="6"/>
  <c r="AG105" i="5"/>
  <c r="U177" i="5"/>
  <c r="AE177" i="5"/>
  <c r="AC72" i="5"/>
  <c r="AB72" i="5"/>
  <c r="U261" i="6"/>
  <c r="N106" i="5"/>
  <c r="U36" i="6"/>
  <c r="Z36" i="6"/>
  <c r="AE36" i="6"/>
  <c r="U40" i="6"/>
  <c r="Z40" i="6"/>
  <c r="AE40" i="6"/>
  <c r="V232" i="6"/>
  <c r="Z232" i="6"/>
  <c r="AF232" i="6"/>
  <c r="V221" i="6"/>
  <c r="Z221" i="6"/>
  <c r="AF221" i="6"/>
  <c r="V209" i="6"/>
  <c r="Z209" i="6"/>
  <c r="AF209" i="6"/>
  <c r="V189" i="6"/>
  <c r="Z189" i="6"/>
  <c r="AF189" i="6"/>
  <c r="U39" i="6"/>
  <c r="Z39" i="6"/>
  <c r="AE39" i="6"/>
  <c r="V235" i="6"/>
  <c r="Z235" i="6"/>
  <c r="AF235" i="6"/>
  <c r="V226" i="6"/>
  <c r="Z226" i="6"/>
  <c r="AF226" i="6"/>
  <c r="U211" i="6"/>
  <c r="Z211" i="6"/>
  <c r="AE211" i="6"/>
  <c r="U196" i="6"/>
  <c r="Z196" i="6"/>
  <c r="AE196" i="6"/>
  <c r="V191" i="6"/>
  <c r="Z191" i="6"/>
  <c r="AF191" i="6"/>
  <c r="U185" i="6"/>
  <c r="Z185" i="6"/>
  <c r="AE185" i="6"/>
  <c r="U181" i="6"/>
  <c r="Z181" i="6"/>
  <c r="AE181" i="6"/>
  <c r="U173" i="6"/>
  <c r="Z173" i="6"/>
  <c r="AE173" i="6"/>
  <c r="V169" i="6"/>
  <c r="Z169" i="6"/>
  <c r="AF169" i="6"/>
  <c r="V144" i="6"/>
  <c r="Z144" i="6"/>
  <c r="AF144" i="6"/>
  <c r="U134" i="6"/>
  <c r="Z134" i="6"/>
  <c r="AE134" i="6"/>
  <c r="U116" i="6"/>
  <c r="Z116" i="6"/>
  <c r="AE116" i="6"/>
  <c r="V90" i="6"/>
  <c r="Z90" i="6"/>
  <c r="AF90" i="6"/>
  <c r="U70" i="6"/>
  <c r="Z70" i="6"/>
  <c r="AE70" i="6"/>
  <c r="U66" i="6"/>
  <c r="Z66" i="6"/>
  <c r="AE66" i="6"/>
  <c r="V55" i="6"/>
  <c r="Z55" i="6"/>
  <c r="AF55" i="6"/>
  <c r="U25" i="6"/>
  <c r="Z25" i="6"/>
  <c r="AE25" i="6"/>
  <c r="U21" i="6"/>
  <c r="Z21" i="6"/>
  <c r="AE21" i="6"/>
  <c r="W42" i="6"/>
  <c r="Z42" i="6"/>
  <c r="AG42" i="6"/>
  <c r="U38" i="6"/>
  <c r="Z38" i="6"/>
  <c r="AE38" i="6"/>
  <c r="V32" i="6"/>
  <c r="Z32" i="6"/>
  <c r="AF32" i="6"/>
  <c r="V234" i="6"/>
  <c r="Z234" i="6"/>
  <c r="AF234" i="6"/>
  <c r="V224" i="6"/>
  <c r="Z224" i="6"/>
  <c r="AF224" i="6"/>
  <c r="U208" i="6"/>
  <c r="Z208" i="6"/>
  <c r="AE208" i="6"/>
  <c r="U200" i="6"/>
  <c r="Z200" i="6"/>
  <c r="AE200" i="6"/>
  <c r="U195" i="6"/>
  <c r="Z195" i="6"/>
  <c r="AE195" i="6"/>
  <c r="U193" i="6"/>
  <c r="Z193" i="6"/>
  <c r="AE193" i="6"/>
  <c r="V186" i="6"/>
  <c r="Z186" i="6"/>
  <c r="AF186" i="6"/>
  <c r="U184" i="6"/>
  <c r="Z184" i="6"/>
  <c r="AE184" i="6"/>
  <c r="U182" i="6"/>
  <c r="Z182" i="6"/>
  <c r="AE182" i="6"/>
  <c r="U180" i="6"/>
  <c r="Z180" i="6"/>
  <c r="AE180" i="6"/>
  <c r="U174" i="6"/>
  <c r="Z174" i="6"/>
  <c r="AE174" i="6"/>
  <c r="V172" i="6"/>
  <c r="Z172" i="6"/>
  <c r="AF172" i="6"/>
  <c r="U170" i="6"/>
  <c r="Z170" i="6"/>
  <c r="AE170" i="6"/>
  <c r="V165" i="6"/>
  <c r="Z165" i="6"/>
  <c r="AF165" i="6"/>
  <c r="U160" i="6"/>
  <c r="Z160" i="6"/>
  <c r="AE160" i="6"/>
  <c r="U140" i="6"/>
  <c r="Z140" i="6"/>
  <c r="AE140" i="6"/>
  <c r="U137" i="6"/>
  <c r="Z137" i="6"/>
  <c r="AE137" i="6"/>
  <c r="W238" i="6"/>
  <c r="Z238" i="6"/>
  <c r="AG238" i="6"/>
  <c r="V117" i="6"/>
  <c r="Z117" i="6"/>
  <c r="AF117" i="6"/>
  <c r="U115" i="6"/>
  <c r="Z115" i="6"/>
  <c r="AE115" i="6"/>
  <c r="U100" i="6"/>
  <c r="Z100" i="6"/>
  <c r="AE100" i="6"/>
  <c r="V92" i="6"/>
  <c r="Z92" i="6"/>
  <c r="AF92" i="6"/>
  <c r="U75" i="6"/>
  <c r="Z75" i="6"/>
  <c r="AE75" i="6"/>
  <c r="U71" i="6"/>
  <c r="Z71" i="6"/>
  <c r="AE71" i="6"/>
  <c r="U69" i="6"/>
  <c r="Z69" i="6"/>
  <c r="AE69" i="6"/>
  <c r="U67" i="6"/>
  <c r="Z67" i="6"/>
  <c r="AE67" i="6"/>
  <c r="V58" i="6"/>
  <c r="Z58" i="6"/>
  <c r="AF58" i="6"/>
  <c r="V56" i="6"/>
  <c r="Z56" i="6"/>
  <c r="AF56" i="6"/>
  <c r="U53" i="6"/>
  <c r="Z53" i="6"/>
  <c r="AE53" i="6"/>
  <c r="U48" i="6"/>
  <c r="Z48" i="6"/>
  <c r="AE48" i="6"/>
  <c r="U26" i="6"/>
  <c r="Z26" i="6"/>
  <c r="AE26" i="6"/>
  <c r="U24" i="6"/>
  <c r="Z24" i="6"/>
  <c r="AE24" i="6"/>
  <c r="V22" i="6"/>
  <c r="Z22" i="6"/>
  <c r="AF22" i="6"/>
  <c r="U37" i="6"/>
  <c r="Z37" i="6"/>
  <c r="AE37" i="6"/>
  <c r="U35" i="6"/>
  <c r="Z35" i="6"/>
  <c r="AE35" i="6"/>
  <c r="U33" i="6"/>
  <c r="Z33" i="6"/>
  <c r="AE33" i="6"/>
  <c r="V233" i="6"/>
  <c r="Z233" i="6"/>
  <c r="AF233" i="6"/>
  <c r="V222" i="6"/>
  <c r="Z222" i="6"/>
  <c r="AF222" i="6"/>
  <c r="U210" i="6"/>
  <c r="Z210" i="6"/>
  <c r="AE210" i="6"/>
  <c r="V202" i="6"/>
  <c r="Z202" i="6"/>
  <c r="AF202" i="6"/>
  <c r="U194" i="6"/>
  <c r="Z194" i="6"/>
  <c r="AE194" i="6"/>
  <c r="V187" i="6"/>
  <c r="Z187" i="6"/>
  <c r="AF187" i="6"/>
  <c r="U183" i="6"/>
  <c r="Z183" i="6"/>
  <c r="AE183" i="6"/>
  <c r="V178" i="6"/>
  <c r="Z178" i="6"/>
  <c r="AF178" i="6"/>
  <c r="U171" i="6"/>
  <c r="Z171" i="6"/>
  <c r="AE171" i="6"/>
  <c r="V161" i="6"/>
  <c r="Z161" i="6"/>
  <c r="AF161" i="6"/>
  <c r="U138" i="6"/>
  <c r="Z138" i="6"/>
  <c r="AE138" i="6"/>
  <c r="V130" i="6"/>
  <c r="Z130" i="6"/>
  <c r="AF130" i="6"/>
  <c r="U96" i="6"/>
  <c r="Z96" i="6"/>
  <c r="AE96" i="6"/>
  <c r="U72" i="6"/>
  <c r="Z72" i="6"/>
  <c r="AE72" i="6"/>
  <c r="U68" i="6"/>
  <c r="Z68" i="6"/>
  <c r="AE68" i="6"/>
  <c r="V57" i="6"/>
  <c r="Z57" i="6"/>
  <c r="AF57" i="6"/>
  <c r="U52" i="6"/>
  <c r="Z52" i="6"/>
  <c r="AE52" i="6"/>
  <c r="V46" i="6"/>
  <c r="Z46" i="6"/>
  <c r="AF46" i="6"/>
  <c r="U23" i="6"/>
  <c r="Z23" i="6"/>
  <c r="AE23" i="6"/>
  <c r="AE261" i="6"/>
  <c r="Z261" i="6"/>
  <c r="G114" i="6"/>
  <c r="F114" i="6"/>
  <c r="G120" i="6"/>
  <c r="G154" i="6"/>
  <c r="G197" i="6"/>
  <c r="G266" i="6"/>
  <c r="I177" i="6"/>
  <c r="AA177" i="6"/>
  <c r="I146" i="6"/>
  <c r="AA146" i="6"/>
  <c r="Q188" i="5"/>
  <c r="F118" i="6"/>
  <c r="Q162" i="5"/>
  <c r="I188" i="6"/>
  <c r="AB188" i="6"/>
  <c r="I190" i="5"/>
  <c r="AB190" i="5"/>
  <c r="AG190" i="5"/>
  <c r="AE190" i="5"/>
  <c r="AC190" i="5"/>
  <c r="AA190" i="5"/>
  <c r="W190" i="5"/>
  <c r="U190" i="5"/>
  <c r="V190" i="5"/>
  <c r="Z190" i="5"/>
  <c r="AF190" i="5"/>
  <c r="Q225" i="5"/>
  <c r="F192" i="6"/>
  <c r="F120" i="6"/>
  <c r="F154" i="6"/>
  <c r="F197" i="6"/>
  <c r="F266" i="6"/>
  <c r="H267" i="6"/>
  <c r="Q236" i="5"/>
  <c r="Q256" i="5"/>
  <c r="L266" i="6"/>
  <c r="L267" i="6"/>
  <c r="I272" i="6"/>
  <c r="AG193" i="5"/>
  <c r="AE193" i="5"/>
  <c r="AC193" i="5"/>
  <c r="I193" i="5"/>
  <c r="AA193" i="5"/>
  <c r="W193" i="5"/>
  <c r="U193" i="5"/>
  <c r="AF193" i="5"/>
  <c r="AB193" i="5"/>
  <c r="U159" i="6"/>
  <c r="Z159" i="6"/>
  <c r="AE159" i="6"/>
  <c r="I192" i="6"/>
  <c r="V193" i="5"/>
  <c r="Z193" i="5"/>
  <c r="AB192" i="6"/>
  <c r="AA192" i="6"/>
  <c r="I72" i="5"/>
  <c r="AA72" i="5"/>
  <c r="Q168" i="5"/>
  <c r="Q167" i="5"/>
  <c r="Q156" i="5"/>
  <c r="Q189" i="5"/>
  <c r="I105" i="5"/>
  <c r="AC105" i="5"/>
  <c r="Q85" i="4"/>
  <c r="Q84" i="4"/>
  <c r="D88" i="5"/>
  <c r="D87" i="5"/>
  <c r="AE178" i="5"/>
  <c r="AA178" i="5"/>
  <c r="U178" i="5"/>
  <c r="W178" i="5"/>
  <c r="I178" i="5"/>
  <c r="AC178" i="5"/>
  <c r="AC263" i="6"/>
  <c r="I253" i="6"/>
  <c r="AB253" i="6"/>
  <c r="I212" i="6"/>
  <c r="AA212" i="6"/>
  <c r="I208" i="6"/>
  <c r="AA208" i="6"/>
  <c r="I206" i="6"/>
  <c r="AA206" i="6"/>
  <c r="I176" i="6"/>
  <c r="AC176" i="6"/>
  <c r="I155" i="6"/>
  <c r="AA155" i="6"/>
  <c r="I95" i="6"/>
  <c r="AA95" i="6"/>
  <c r="Y266" i="6"/>
  <c r="X277" i="6"/>
  <c r="X266" i="6"/>
  <c r="X274" i="6"/>
  <c r="T266" i="6"/>
  <c r="O266" i="6"/>
  <c r="J266" i="6"/>
  <c r="AG19" i="6"/>
  <c r="AF19" i="6"/>
  <c r="AC19" i="6"/>
  <c r="AB19" i="6"/>
  <c r="W19" i="6"/>
  <c r="W266" i="6"/>
  <c r="V19" i="6"/>
  <c r="V266" i="6"/>
  <c r="AE19" i="6"/>
  <c r="N37" i="5"/>
  <c r="I49" i="5"/>
  <c r="I53" i="5"/>
  <c r="L96" i="5"/>
  <c r="I103" i="5"/>
  <c r="D109" i="5"/>
  <c r="G112" i="5"/>
  <c r="H112" i="5"/>
  <c r="L114" i="5"/>
  <c r="P114" i="5"/>
  <c r="S114" i="5"/>
  <c r="I115" i="5"/>
  <c r="F118" i="5"/>
  <c r="G118" i="5"/>
  <c r="H118" i="5"/>
  <c r="N118" i="5"/>
  <c r="I128" i="5"/>
  <c r="L128" i="5"/>
  <c r="P128" i="5"/>
  <c r="S128" i="5"/>
  <c r="L139" i="5"/>
  <c r="P139" i="5"/>
  <c r="S139" i="5"/>
  <c r="L141" i="5"/>
  <c r="P141" i="5"/>
  <c r="S141" i="5"/>
  <c r="L142" i="5"/>
  <c r="F151" i="5"/>
  <c r="G151" i="5"/>
  <c r="H151" i="5"/>
  <c r="I154" i="5"/>
  <c r="F156" i="5"/>
  <c r="G156" i="5"/>
  <c r="L157" i="5"/>
  <c r="P157" i="5"/>
  <c r="S157" i="5"/>
  <c r="L161" i="5"/>
  <c r="P161" i="5"/>
  <c r="S161" i="5"/>
  <c r="L162" i="5"/>
  <c r="P162" i="5"/>
  <c r="S162" i="5"/>
  <c r="D164" i="5"/>
  <c r="L166" i="5"/>
  <c r="P166" i="5"/>
  <c r="S166" i="5"/>
  <c r="G167" i="5"/>
  <c r="L167" i="5"/>
  <c r="P167" i="5"/>
  <c r="S167" i="5"/>
  <c r="G168" i="5"/>
  <c r="L168" i="5"/>
  <c r="P168" i="5"/>
  <c r="S168" i="5"/>
  <c r="L169" i="5"/>
  <c r="P169" i="5"/>
  <c r="S169" i="5"/>
  <c r="I172" i="6"/>
  <c r="AB172" i="6"/>
  <c r="F170" i="5"/>
  <c r="G170" i="5"/>
  <c r="L170" i="5"/>
  <c r="P170" i="5"/>
  <c r="S170" i="5"/>
  <c r="G171" i="5"/>
  <c r="L171" i="5"/>
  <c r="P171" i="5"/>
  <c r="S171" i="5"/>
  <c r="U19" i="6"/>
  <c r="P266" i="6"/>
  <c r="P96" i="5"/>
  <c r="S96" i="5"/>
  <c r="I96" i="6"/>
  <c r="AA96" i="6"/>
  <c r="P142" i="5"/>
  <c r="S142" i="5"/>
  <c r="I144" i="6"/>
  <c r="AB144" i="6"/>
  <c r="AB178" i="5"/>
  <c r="L156" i="5"/>
  <c r="P156" i="5"/>
  <c r="S156" i="5"/>
  <c r="I178" i="6"/>
  <c r="AB178" i="6"/>
  <c r="V178" i="5"/>
  <c r="AF178" i="5"/>
  <c r="Z178" i="5"/>
  <c r="AG178" i="5"/>
  <c r="Q157" i="4"/>
  <c r="I168" i="6"/>
  <c r="AB168" i="6"/>
  <c r="I165" i="6"/>
  <c r="AB165" i="6"/>
  <c r="I163" i="6"/>
  <c r="AB163" i="6"/>
  <c r="I162" i="6"/>
  <c r="AB162" i="6"/>
  <c r="Q185" i="4"/>
  <c r="Z19" i="6"/>
  <c r="U266" i="6"/>
  <c r="K241" i="5"/>
  <c r="K242" i="5"/>
  <c r="K243" i="5"/>
  <c r="K271" i="5"/>
  <c r="W271" i="6"/>
  <c r="X273" i="6"/>
  <c r="AG266" i="6"/>
  <c r="X279" i="6"/>
  <c r="AF266" i="6"/>
  <c r="X276" i="6"/>
  <c r="AE266" i="6"/>
  <c r="G240" i="5"/>
  <c r="AG240" i="5"/>
  <c r="AF240" i="5"/>
  <c r="AC240" i="5"/>
  <c r="AB240" i="5"/>
  <c r="W240" i="5"/>
  <c r="V240" i="5"/>
  <c r="L240" i="5"/>
  <c r="I240" i="5"/>
  <c r="AA240" i="5"/>
  <c r="I267" i="5"/>
  <c r="I266" i="5"/>
  <c r="I265" i="5"/>
  <c r="I264" i="5"/>
  <c r="I263" i="5"/>
  <c r="I262" i="5"/>
  <c r="I224" i="5"/>
  <c r="E268" i="5"/>
  <c r="D268" i="5"/>
  <c r="I268" i="5"/>
  <c r="AB268" i="5"/>
  <c r="S247" i="4"/>
  <c r="E260" i="5"/>
  <c r="I260" i="5"/>
  <c r="AC260" i="5"/>
  <c r="P240" i="5"/>
  <c r="S240" i="5"/>
  <c r="I243" i="6"/>
  <c r="AA243" i="6"/>
  <c r="X280" i="6"/>
  <c r="W280" i="6"/>
  <c r="U240" i="5"/>
  <c r="Z240" i="5"/>
  <c r="AE240" i="5"/>
  <c r="L256" i="5"/>
  <c r="P256" i="5"/>
  <c r="S256" i="5"/>
  <c r="L232" i="5"/>
  <c r="P232" i="5"/>
  <c r="S232" i="5"/>
  <c r="L241" i="5"/>
  <c r="P241" i="5"/>
  <c r="S241" i="5"/>
  <c r="Q243" i="4"/>
  <c r="L199" i="5"/>
  <c r="P199" i="5"/>
  <c r="S199" i="5"/>
  <c r="L179" i="5"/>
  <c r="P179" i="5"/>
  <c r="S179" i="5"/>
  <c r="L243" i="5"/>
  <c r="P243" i="5"/>
  <c r="S243" i="5"/>
  <c r="L242" i="5"/>
  <c r="P242" i="5"/>
  <c r="S242" i="5"/>
  <c r="L233" i="5"/>
  <c r="P233" i="5"/>
  <c r="S233" i="5"/>
  <c r="L216" i="5"/>
  <c r="P216" i="5"/>
  <c r="S216" i="5"/>
  <c r="L201" i="5"/>
  <c r="P201" i="5"/>
  <c r="S201" i="5"/>
  <c r="AG270" i="5"/>
  <c r="AF270" i="5"/>
  <c r="AE270" i="5"/>
  <c r="AC270" i="5"/>
  <c r="AB270" i="5"/>
  <c r="AA270" i="5"/>
  <c r="AG269" i="5"/>
  <c r="AF269" i="5"/>
  <c r="AC269" i="5"/>
  <c r="AB269" i="5"/>
  <c r="AG268" i="5"/>
  <c r="AE268" i="5"/>
  <c r="AC268" i="5"/>
  <c r="AA268" i="5"/>
  <c r="AG267" i="5"/>
  <c r="AF267" i="5"/>
  <c r="AE267" i="5"/>
  <c r="AC267" i="5"/>
  <c r="AB267" i="5"/>
  <c r="AA267" i="5"/>
  <c r="AG266" i="5"/>
  <c r="AF266" i="5"/>
  <c r="AE266" i="5"/>
  <c r="AC266" i="5"/>
  <c r="AB266" i="5"/>
  <c r="AA266" i="5"/>
  <c r="AG265" i="5"/>
  <c r="AF265" i="5"/>
  <c r="AE265" i="5"/>
  <c r="AC265" i="5"/>
  <c r="AB265" i="5"/>
  <c r="AA265" i="5"/>
  <c r="AG264" i="5"/>
  <c r="AF264" i="5"/>
  <c r="AE264" i="5"/>
  <c r="AC264" i="5"/>
  <c r="AB264" i="5"/>
  <c r="AA264" i="5"/>
  <c r="AG263" i="5"/>
  <c r="AF263" i="5"/>
  <c r="AE263" i="5"/>
  <c r="AC263" i="5"/>
  <c r="AB263" i="5"/>
  <c r="AA263" i="5"/>
  <c r="AG262" i="5"/>
  <c r="AF262" i="5"/>
  <c r="AC262" i="5"/>
  <c r="AB262" i="5"/>
  <c r="AA262" i="5"/>
  <c r="AG261" i="5"/>
  <c r="AF261" i="5"/>
  <c r="AC261" i="5"/>
  <c r="AB261" i="5"/>
  <c r="AA261" i="5"/>
  <c r="AF260" i="5"/>
  <c r="AE260" i="5"/>
  <c r="AB260" i="5"/>
  <c r="AA260" i="5"/>
  <c r="AG259" i="5"/>
  <c r="AF259" i="5"/>
  <c r="AC259" i="5"/>
  <c r="AB259" i="5"/>
  <c r="AG258" i="5"/>
  <c r="AF258" i="5"/>
  <c r="AC258" i="5"/>
  <c r="AB258" i="5"/>
  <c r="AG257" i="5"/>
  <c r="AF257" i="5"/>
  <c r="AC257" i="5"/>
  <c r="AB257" i="5"/>
  <c r="AG256" i="5"/>
  <c r="AF256" i="5"/>
  <c r="AC256" i="5"/>
  <c r="AB256" i="5"/>
  <c r="AG255" i="5"/>
  <c r="AF255" i="5"/>
  <c r="AC255" i="5"/>
  <c r="AB255" i="5"/>
  <c r="AG254" i="5"/>
  <c r="AE254" i="5"/>
  <c r="AC254" i="5"/>
  <c r="AA254" i="5"/>
  <c r="AG253" i="5"/>
  <c r="AF253" i="5"/>
  <c r="AC253" i="5"/>
  <c r="AB253" i="5"/>
  <c r="AG252" i="5"/>
  <c r="AE252" i="5"/>
  <c r="AC252" i="5"/>
  <c r="AA252" i="5"/>
  <c r="AG251" i="5"/>
  <c r="AE251" i="5"/>
  <c r="AC251" i="5"/>
  <c r="AA251" i="5"/>
  <c r="AG250" i="5"/>
  <c r="AE250" i="5"/>
  <c r="AC250" i="5"/>
  <c r="AA250" i="5"/>
  <c r="AG249" i="5"/>
  <c r="AE249" i="5"/>
  <c r="AC249" i="5"/>
  <c r="AA249" i="5"/>
  <c r="AG248" i="5"/>
  <c r="AF248" i="5"/>
  <c r="AC248" i="5"/>
  <c r="AB248" i="5"/>
  <c r="AG247" i="5"/>
  <c r="AE247" i="5"/>
  <c r="AC247" i="5"/>
  <c r="AA247" i="5"/>
  <c r="AF246" i="5"/>
  <c r="AE246" i="5"/>
  <c r="AB246" i="5"/>
  <c r="AA246" i="5"/>
  <c r="AG245" i="5"/>
  <c r="AE245" i="5"/>
  <c r="AC245" i="5"/>
  <c r="AA245" i="5"/>
  <c r="AG244" i="5"/>
  <c r="AE244" i="5"/>
  <c r="AC244" i="5"/>
  <c r="AA244" i="5"/>
  <c r="AG243" i="5"/>
  <c r="AF243" i="5"/>
  <c r="AC243" i="5"/>
  <c r="AB243" i="5"/>
  <c r="AG242" i="5"/>
  <c r="AF242" i="5"/>
  <c r="AC242" i="5"/>
  <c r="AB242" i="5"/>
  <c r="AF241" i="5"/>
  <c r="AE241" i="5"/>
  <c r="AB241" i="5"/>
  <c r="AA241" i="5"/>
  <c r="AG239" i="5"/>
  <c r="AF239" i="5"/>
  <c r="AC239" i="5"/>
  <c r="AB239" i="5"/>
  <c r="AG238" i="5"/>
  <c r="AE238" i="5"/>
  <c r="AC238" i="5"/>
  <c r="AA238" i="5"/>
  <c r="AG237" i="5"/>
  <c r="AE237" i="5"/>
  <c r="AC237" i="5"/>
  <c r="AA237" i="5"/>
  <c r="AF236" i="5"/>
  <c r="AE236" i="5"/>
  <c r="AB236" i="5"/>
  <c r="AA236" i="5"/>
  <c r="AG235" i="5"/>
  <c r="AE235" i="5"/>
  <c r="AC235" i="5"/>
  <c r="AA235" i="5"/>
  <c r="AG234" i="5"/>
  <c r="AE234" i="5"/>
  <c r="AC234" i="5"/>
  <c r="AA234" i="5"/>
  <c r="AG233" i="5"/>
  <c r="AE233" i="5"/>
  <c r="AC233" i="5"/>
  <c r="AA233" i="5"/>
  <c r="AG232" i="5"/>
  <c r="AE232" i="5"/>
  <c r="AC232" i="5"/>
  <c r="AA232" i="5"/>
  <c r="AG231" i="5"/>
  <c r="AE231" i="5"/>
  <c r="AC231" i="5"/>
  <c r="AA231" i="5"/>
  <c r="AG230" i="5"/>
  <c r="AE230" i="5"/>
  <c r="AC230" i="5"/>
  <c r="AA230" i="5"/>
  <c r="AG229" i="5"/>
  <c r="AE229" i="5"/>
  <c r="AC229" i="5"/>
  <c r="AA229" i="5"/>
  <c r="AG228" i="5"/>
  <c r="AF228" i="5"/>
  <c r="AC228" i="5"/>
  <c r="AB228" i="5"/>
  <c r="AG227" i="5"/>
  <c r="AF227" i="5"/>
  <c r="AC227" i="5"/>
  <c r="AB227" i="5"/>
  <c r="AG226" i="5"/>
  <c r="AF226" i="5"/>
  <c r="AC226" i="5"/>
  <c r="AB226" i="5"/>
  <c r="AG225" i="5"/>
  <c r="AE225" i="5"/>
  <c r="AC225" i="5"/>
  <c r="AA225" i="5"/>
  <c r="AG224" i="5"/>
  <c r="AE224" i="5"/>
  <c r="AC224" i="5"/>
  <c r="AA224" i="5"/>
  <c r="AG223" i="5"/>
  <c r="AE223" i="5"/>
  <c r="AC223" i="5"/>
  <c r="AA223" i="5"/>
  <c r="AG222" i="5"/>
  <c r="AE222" i="5"/>
  <c r="AC222" i="5"/>
  <c r="AA222" i="5"/>
  <c r="AG221" i="5"/>
  <c r="AE221" i="5"/>
  <c r="AC221" i="5"/>
  <c r="AA221" i="5"/>
  <c r="AG220" i="5"/>
  <c r="AE220" i="5"/>
  <c r="AC220" i="5"/>
  <c r="AA220" i="5"/>
  <c r="AG219" i="5"/>
  <c r="AE219" i="5"/>
  <c r="AC219" i="5"/>
  <c r="AA219" i="5"/>
  <c r="AG218" i="5"/>
  <c r="AE218" i="5"/>
  <c r="AC218" i="5"/>
  <c r="AA218" i="5"/>
  <c r="AG217" i="5"/>
  <c r="AF217" i="5"/>
  <c r="AC217" i="5"/>
  <c r="AB217" i="5"/>
  <c r="AG216" i="5"/>
  <c r="AF216" i="5"/>
  <c r="AC216" i="5"/>
  <c r="AB216" i="5"/>
  <c r="AG215" i="5"/>
  <c r="AE215" i="5"/>
  <c r="AC215" i="5"/>
  <c r="AA215" i="5"/>
  <c r="AG214" i="5"/>
  <c r="AF214" i="5"/>
  <c r="AC214" i="5"/>
  <c r="AB214" i="5"/>
  <c r="AG213" i="5"/>
  <c r="AE213" i="5"/>
  <c r="AC213" i="5"/>
  <c r="AA213" i="5"/>
  <c r="AG212" i="5"/>
  <c r="AF212" i="5"/>
  <c r="AC212" i="5"/>
  <c r="AB212" i="5"/>
  <c r="AG211" i="5"/>
  <c r="AF211" i="5"/>
  <c r="AC211" i="5"/>
  <c r="AB211" i="5"/>
  <c r="AG210" i="5"/>
  <c r="AF210" i="5"/>
  <c r="AC210" i="5"/>
  <c r="AB210" i="5"/>
  <c r="AG209" i="5"/>
  <c r="AE209" i="5"/>
  <c r="AC209" i="5"/>
  <c r="AA209" i="5"/>
  <c r="AG208" i="5"/>
  <c r="AF208" i="5"/>
  <c r="AC208" i="5"/>
  <c r="AB208" i="5"/>
  <c r="AG207" i="5"/>
  <c r="AF207" i="5"/>
  <c r="AC207" i="5"/>
  <c r="AB207" i="5"/>
  <c r="AG206" i="5"/>
  <c r="AE206" i="5"/>
  <c r="AC206" i="5"/>
  <c r="AA206" i="5"/>
  <c r="AG205" i="5"/>
  <c r="AE205" i="5"/>
  <c r="AC205" i="5"/>
  <c r="AA205" i="5"/>
  <c r="AF204" i="5"/>
  <c r="AE204" i="5"/>
  <c r="AB204" i="5"/>
  <c r="AA204" i="5"/>
  <c r="AG203" i="5"/>
  <c r="AC203" i="5"/>
  <c r="AG202" i="5"/>
  <c r="AF202" i="5"/>
  <c r="AC202" i="5"/>
  <c r="AB202" i="5"/>
  <c r="AG201" i="5"/>
  <c r="AF201" i="5"/>
  <c r="AC201" i="5"/>
  <c r="AB201" i="5"/>
  <c r="AG200" i="5"/>
  <c r="AE200" i="5"/>
  <c r="AC200" i="5"/>
  <c r="AG199" i="5"/>
  <c r="AE199" i="5"/>
  <c r="AC199" i="5"/>
  <c r="AG198" i="5"/>
  <c r="AE198" i="5"/>
  <c r="AC198" i="5"/>
  <c r="AA198" i="5"/>
  <c r="AG197" i="5"/>
  <c r="AF197" i="5"/>
  <c r="AC197" i="5"/>
  <c r="AB197" i="5"/>
  <c r="AG196" i="5"/>
  <c r="AF196" i="5"/>
  <c r="AC196" i="5"/>
  <c r="AB196" i="5"/>
  <c r="AG195" i="5"/>
  <c r="AF195" i="5"/>
  <c r="AC195" i="5"/>
  <c r="AB195" i="5"/>
  <c r="AG194" i="5"/>
  <c r="AF194" i="5"/>
  <c r="AC194" i="5"/>
  <c r="AB194" i="5"/>
  <c r="AG192" i="5"/>
  <c r="AE192" i="5"/>
  <c r="AC192" i="5"/>
  <c r="AA192" i="5"/>
  <c r="AG191" i="5"/>
  <c r="AE191" i="5"/>
  <c r="AC191" i="5"/>
  <c r="AA191" i="5"/>
  <c r="AG189" i="5"/>
  <c r="AE189" i="5"/>
  <c r="AC189" i="5"/>
  <c r="AA189" i="5"/>
  <c r="AG188" i="5"/>
  <c r="AE188" i="5"/>
  <c r="AC188" i="5"/>
  <c r="AA188" i="5"/>
  <c r="AG187" i="5"/>
  <c r="AF187" i="5"/>
  <c r="AC187" i="5"/>
  <c r="AB187" i="5"/>
  <c r="AG186" i="5"/>
  <c r="AF186" i="5"/>
  <c r="AC186" i="5"/>
  <c r="AB186" i="5"/>
  <c r="AG185" i="5"/>
  <c r="AF185" i="5"/>
  <c r="AC185" i="5"/>
  <c r="AB185" i="5"/>
  <c r="AG184" i="5"/>
  <c r="AF184" i="5"/>
  <c r="AC184" i="5"/>
  <c r="AB184" i="5"/>
  <c r="AG183" i="5"/>
  <c r="AF183" i="5"/>
  <c r="AC183" i="5"/>
  <c r="AB183" i="5"/>
  <c r="AG182" i="5"/>
  <c r="AF182" i="5"/>
  <c r="AC182" i="5"/>
  <c r="AB182" i="5"/>
  <c r="AG181" i="5"/>
  <c r="AE181" i="5"/>
  <c r="AC181" i="5"/>
  <c r="AB181" i="5"/>
  <c r="AA181" i="5"/>
  <c r="AG180" i="5"/>
  <c r="AE180" i="5"/>
  <c r="AC180" i="5"/>
  <c r="AB180" i="5"/>
  <c r="AA180" i="5"/>
  <c r="AG179" i="5"/>
  <c r="AE179" i="5"/>
  <c r="AC179" i="5"/>
  <c r="AA179" i="5"/>
  <c r="AF176" i="5"/>
  <c r="AE176" i="5"/>
  <c r="AB176" i="5"/>
  <c r="AA176" i="5"/>
  <c r="AF175" i="5"/>
  <c r="AE175" i="5"/>
  <c r="AB175" i="5"/>
  <c r="AA175" i="5"/>
  <c r="AG174" i="5"/>
  <c r="AE174" i="5"/>
  <c r="AC174" i="5"/>
  <c r="AB174" i="5"/>
  <c r="AA174" i="5"/>
  <c r="AG173" i="5"/>
  <c r="AE173" i="5"/>
  <c r="AC173" i="5"/>
  <c r="AB173" i="5"/>
  <c r="AA173" i="5"/>
  <c r="AG172" i="5"/>
  <c r="AE172" i="5"/>
  <c r="AC172" i="5"/>
  <c r="AB172" i="5"/>
  <c r="AA172" i="5"/>
  <c r="AG171" i="5"/>
  <c r="AF171" i="5"/>
  <c r="AC171" i="5"/>
  <c r="AB171" i="5"/>
  <c r="AG170" i="5"/>
  <c r="AF170" i="5"/>
  <c r="AC170" i="5"/>
  <c r="AB170" i="5"/>
  <c r="AG169" i="5"/>
  <c r="AE169" i="5"/>
  <c r="AC169" i="5"/>
  <c r="AA169" i="5"/>
  <c r="AG168" i="5"/>
  <c r="AF168" i="5"/>
  <c r="AC168" i="5"/>
  <c r="AB168" i="5"/>
  <c r="AG167" i="5"/>
  <c r="AF167" i="5"/>
  <c r="AC167" i="5"/>
  <c r="AB167" i="5"/>
  <c r="AG166" i="5"/>
  <c r="AE166" i="5"/>
  <c r="AC166" i="5"/>
  <c r="AA166" i="5"/>
  <c r="AG165" i="5"/>
  <c r="AE165" i="5"/>
  <c r="AC165" i="5"/>
  <c r="AA165" i="5"/>
  <c r="AG164" i="5"/>
  <c r="AF164" i="5"/>
  <c r="AC164" i="5"/>
  <c r="AB164" i="5"/>
  <c r="AG163" i="5"/>
  <c r="AE163" i="5"/>
  <c r="AC163" i="5"/>
  <c r="AA163" i="5"/>
  <c r="AG162" i="5"/>
  <c r="AE162" i="5"/>
  <c r="AC162" i="5"/>
  <c r="AA162" i="5"/>
  <c r="AG161" i="5"/>
  <c r="AF161" i="5"/>
  <c r="AC161" i="5"/>
  <c r="AB161" i="5"/>
  <c r="AG160" i="5"/>
  <c r="AE160" i="5"/>
  <c r="AC160" i="5"/>
  <c r="AA160" i="5"/>
  <c r="AG159" i="5"/>
  <c r="AE159" i="5"/>
  <c r="AC159" i="5"/>
  <c r="AA159" i="5"/>
  <c r="AG158" i="5"/>
  <c r="AE158" i="5"/>
  <c r="AC158" i="5"/>
  <c r="AA158" i="5"/>
  <c r="AG157" i="5"/>
  <c r="AF157" i="5"/>
  <c r="AC157" i="5"/>
  <c r="AB157" i="5"/>
  <c r="AG156" i="5"/>
  <c r="AF156" i="5"/>
  <c r="AC156" i="5"/>
  <c r="AB156" i="5"/>
  <c r="AG155" i="5"/>
  <c r="AE155" i="5"/>
  <c r="AC155" i="5"/>
  <c r="AA155" i="5"/>
  <c r="AG154" i="5"/>
  <c r="AF154" i="5"/>
  <c r="AC154" i="5"/>
  <c r="AB154" i="5"/>
  <c r="AG153" i="5"/>
  <c r="AE153" i="5"/>
  <c r="AC153" i="5"/>
  <c r="AA153" i="5"/>
  <c r="AG152" i="5"/>
  <c r="AF152" i="5"/>
  <c r="AC152" i="5"/>
  <c r="AB152" i="5"/>
  <c r="AG151" i="5"/>
  <c r="AF151" i="5"/>
  <c r="AC151" i="5"/>
  <c r="AB151" i="5"/>
  <c r="AG150" i="5"/>
  <c r="AF150" i="5"/>
  <c r="AC150" i="5"/>
  <c r="AB150" i="5"/>
  <c r="AG149" i="5"/>
  <c r="AF149" i="5"/>
  <c r="AC149" i="5"/>
  <c r="AB149" i="5"/>
  <c r="AG148" i="5"/>
  <c r="AF148" i="5"/>
  <c r="AC148" i="5"/>
  <c r="AB148" i="5"/>
  <c r="AG147" i="5"/>
  <c r="AF147" i="5"/>
  <c r="AC147" i="5"/>
  <c r="AB147" i="5"/>
  <c r="AG146" i="5"/>
  <c r="AF146" i="5"/>
  <c r="AC146" i="5"/>
  <c r="AB146" i="5"/>
  <c r="AG145" i="5"/>
  <c r="AF145" i="5"/>
  <c r="AC145" i="5"/>
  <c r="AB145" i="5"/>
  <c r="AG144" i="5"/>
  <c r="AE144" i="5"/>
  <c r="AC144" i="5"/>
  <c r="AA144" i="5"/>
  <c r="AG143" i="5"/>
  <c r="AE143" i="5"/>
  <c r="AC143" i="5"/>
  <c r="AA143" i="5"/>
  <c r="AG142" i="5"/>
  <c r="AE142" i="5"/>
  <c r="AC142" i="5"/>
  <c r="AA142" i="5"/>
  <c r="AG141" i="5"/>
  <c r="AF141" i="5"/>
  <c r="AC141" i="5"/>
  <c r="AB141" i="5"/>
  <c r="AG140" i="5"/>
  <c r="AF140" i="5"/>
  <c r="AC140" i="5"/>
  <c r="AB140" i="5"/>
  <c r="AG139" i="5"/>
  <c r="AF139" i="5"/>
  <c r="AC139" i="5"/>
  <c r="AB139" i="5"/>
  <c r="AG138" i="5"/>
  <c r="AF138" i="5"/>
  <c r="AC138" i="5"/>
  <c r="AB138" i="5"/>
  <c r="AG137" i="5"/>
  <c r="AF137" i="5"/>
  <c r="AC137" i="5"/>
  <c r="AB137" i="5"/>
  <c r="AG136" i="5"/>
  <c r="AF136" i="5"/>
  <c r="AC136" i="5"/>
  <c r="AB136" i="5"/>
  <c r="AG135" i="5"/>
  <c r="AF135" i="5"/>
  <c r="AC135" i="5"/>
  <c r="AB135" i="5"/>
  <c r="AG134" i="5"/>
  <c r="AF134" i="5"/>
  <c r="AC134" i="5"/>
  <c r="AB134" i="5"/>
  <c r="AG133" i="5"/>
  <c r="AF133" i="5"/>
  <c r="AC133" i="5"/>
  <c r="AB133" i="5"/>
  <c r="AG132" i="5"/>
  <c r="AF132" i="5"/>
  <c r="AC132" i="5"/>
  <c r="AB132" i="5"/>
  <c r="AG131" i="5"/>
  <c r="AF131" i="5"/>
  <c r="AC131" i="5"/>
  <c r="AB131" i="5"/>
  <c r="AG130" i="5"/>
  <c r="AF130" i="5"/>
  <c r="AC130" i="5"/>
  <c r="AB130" i="5"/>
  <c r="AG129" i="5"/>
  <c r="AE129" i="5"/>
  <c r="AC129" i="5"/>
  <c r="AA129" i="5"/>
  <c r="AG128" i="5"/>
  <c r="AE128" i="5"/>
  <c r="AC128" i="5"/>
  <c r="AA128" i="5"/>
  <c r="AG127" i="5"/>
  <c r="AF127" i="5"/>
  <c r="AC127" i="5"/>
  <c r="AB127" i="5"/>
  <c r="AG126" i="5"/>
  <c r="AF126" i="5"/>
  <c r="AC126" i="5"/>
  <c r="AB126" i="5"/>
  <c r="AG125" i="5"/>
  <c r="AF125" i="5"/>
  <c r="AC125" i="5"/>
  <c r="AB125" i="5"/>
  <c r="AG124" i="5"/>
  <c r="AF124" i="5"/>
  <c r="AC124" i="5"/>
  <c r="AB124" i="5"/>
  <c r="AG123" i="5"/>
  <c r="AF123" i="5"/>
  <c r="AC123" i="5"/>
  <c r="AB123" i="5"/>
  <c r="AG122" i="5"/>
  <c r="AF122" i="5"/>
  <c r="AC122" i="5"/>
  <c r="AB122" i="5"/>
  <c r="AG121" i="5"/>
  <c r="AF121" i="5"/>
  <c r="AC121" i="5"/>
  <c r="AB121" i="5"/>
  <c r="AG120" i="5"/>
  <c r="AF120" i="5"/>
  <c r="AC120" i="5"/>
  <c r="AB120" i="5"/>
  <c r="AG119" i="5"/>
  <c r="AF119" i="5"/>
  <c r="AC119" i="5"/>
  <c r="AB119" i="5"/>
  <c r="AG118" i="5"/>
  <c r="AF118" i="5"/>
  <c r="AC118" i="5"/>
  <c r="AB118" i="5"/>
  <c r="AG117" i="5"/>
  <c r="AF117" i="5"/>
  <c r="AC117" i="5"/>
  <c r="AB117" i="5"/>
  <c r="AG116" i="5"/>
  <c r="AF116" i="5"/>
  <c r="AC116" i="5"/>
  <c r="AB116" i="5"/>
  <c r="AG115" i="5"/>
  <c r="AE115" i="5"/>
  <c r="AC115" i="5"/>
  <c r="AA115" i="5"/>
  <c r="AG114" i="5"/>
  <c r="AF114" i="5"/>
  <c r="AC114" i="5"/>
  <c r="AB114" i="5"/>
  <c r="AG113" i="5"/>
  <c r="AF113" i="5"/>
  <c r="AC113" i="5"/>
  <c r="AB113" i="5"/>
  <c r="AG112" i="5"/>
  <c r="AF112" i="5"/>
  <c r="AC112" i="5"/>
  <c r="AB112" i="5"/>
  <c r="AG111" i="5"/>
  <c r="AE111" i="5"/>
  <c r="AC111" i="5"/>
  <c r="AA111" i="5"/>
  <c r="AG110" i="5"/>
  <c r="AE110" i="5"/>
  <c r="AC110" i="5"/>
  <c r="AA110" i="5"/>
  <c r="AG109" i="5"/>
  <c r="AE109" i="5"/>
  <c r="AC109" i="5"/>
  <c r="AA109" i="5"/>
  <c r="AG108" i="5"/>
  <c r="AF108" i="5"/>
  <c r="AC108" i="5"/>
  <c r="AB108" i="5"/>
  <c r="AG107" i="5"/>
  <c r="AE107" i="5"/>
  <c r="AC107" i="5"/>
  <c r="AA107" i="5"/>
  <c r="AG106" i="5"/>
  <c r="AE106" i="5"/>
  <c r="AC106" i="5"/>
  <c r="AA106" i="5"/>
  <c r="AF104" i="5"/>
  <c r="AE104" i="5"/>
  <c r="AB104" i="5"/>
  <c r="AA104" i="5"/>
  <c r="AG103" i="5"/>
  <c r="AE103" i="5"/>
  <c r="AC103" i="5"/>
  <c r="AA103" i="5"/>
  <c r="AG102" i="5"/>
  <c r="AE102" i="5"/>
  <c r="AC102" i="5"/>
  <c r="AA102" i="5"/>
  <c r="AG101" i="5"/>
  <c r="AE101" i="5"/>
  <c r="AC101" i="5"/>
  <c r="AA101" i="5"/>
  <c r="AG100" i="5"/>
  <c r="AF100" i="5"/>
  <c r="AC100" i="5"/>
  <c r="AB100" i="5"/>
  <c r="AG99" i="5"/>
  <c r="AF99" i="5"/>
  <c r="AC99" i="5"/>
  <c r="AB99" i="5"/>
  <c r="AG98" i="5"/>
  <c r="AF98" i="5"/>
  <c r="AC98" i="5"/>
  <c r="AB98" i="5"/>
  <c r="AG97" i="5"/>
  <c r="AF97" i="5"/>
  <c r="AC97" i="5"/>
  <c r="AB97" i="5"/>
  <c r="AG96" i="5"/>
  <c r="AF96" i="5"/>
  <c r="AC96" i="5"/>
  <c r="AB96" i="5"/>
  <c r="AG95" i="5"/>
  <c r="AF95" i="5"/>
  <c r="AC95" i="5"/>
  <c r="AB95" i="5"/>
  <c r="AG94" i="5"/>
  <c r="AE94" i="5"/>
  <c r="AC94" i="5"/>
  <c r="AB94" i="5"/>
  <c r="AA94" i="5"/>
  <c r="AG93" i="5"/>
  <c r="AE93" i="5"/>
  <c r="AC93" i="5"/>
  <c r="AA93" i="5"/>
  <c r="AG92" i="5"/>
  <c r="AE92" i="5"/>
  <c r="AC92" i="5"/>
  <c r="AA92" i="5"/>
  <c r="AG91" i="5"/>
  <c r="AE91" i="5"/>
  <c r="AC91" i="5"/>
  <c r="AB91" i="5"/>
  <c r="AA91" i="5"/>
  <c r="AG90" i="5"/>
  <c r="AE90" i="5"/>
  <c r="AC90" i="5"/>
  <c r="AA90" i="5"/>
  <c r="AG89" i="5"/>
  <c r="AF89" i="5"/>
  <c r="AC89" i="5"/>
  <c r="AB89" i="5"/>
  <c r="AG88" i="5"/>
  <c r="AE88" i="5"/>
  <c r="AC88" i="5"/>
  <c r="AA88" i="5"/>
  <c r="AG87" i="5"/>
  <c r="AE87" i="5"/>
  <c r="AC87" i="5"/>
  <c r="AA87" i="5"/>
  <c r="AG86" i="5"/>
  <c r="AF86" i="5"/>
  <c r="AC86" i="5"/>
  <c r="AB86" i="5"/>
  <c r="AG85" i="5"/>
  <c r="AE85" i="5"/>
  <c r="AC85" i="5"/>
  <c r="AA85" i="5"/>
  <c r="AG84" i="5"/>
  <c r="AF84" i="5"/>
  <c r="AC84" i="5"/>
  <c r="AB84" i="5"/>
  <c r="AG83" i="5"/>
  <c r="AE83" i="5"/>
  <c r="AC83" i="5"/>
  <c r="AA83" i="5"/>
  <c r="AG82" i="5"/>
  <c r="AF82" i="5"/>
  <c r="AC82" i="5"/>
  <c r="AB82" i="5"/>
  <c r="AG81" i="5"/>
  <c r="AF81" i="5"/>
  <c r="AC81" i="5"/>
  <c r="AB81" i="5"/>
  <c r="AG80" i="5"/>
  <c r="AF80" i="5"/>
  <c r="AC80" i="5"/>
  <c r="AB80" i="5"/>
  <c r="AG79" i="5"/>
  <c r="AF79" i="5"/>
  <c r="AC79" i="5"/>
  <c r="AB79" i="5"/>
  <c r="AG78" i="5"/>
  <c r="AF78" i="5"/>
  <c r="AC78" i="5"/>
  <c r="AB78" i="5"/>
  <c r="AG77" i="5"/>
  <c r="AF77" i="5"/>
  <c r="AC77" i="5"/>
  <c r="AB77" i="5"/>
  <c r="AG76" i="5"/>
  <c r="AF76" i="5"/>
  <c r="AC76" i="5"/>
  <c r="AB76" i="5"/>
  <c r="AG75" i="5"/>
  <c r="AF75" i="5"/>
  <c r="AC75" i="5"/>
  <c r="AB75" i="5"/>
  <c r="AG74" i="5"/>
  <c r="AF74" i="5"/>
  <c r="AC74" i="5"/>
  <c r="AB74" i="5"/>
  <c r="AG73" i="5"/>
  <c r="AE73" i="5"/>
  <c r="AC73" i="5"/>
  <c r="AG71" i="5"/>
  <c r="AF71" i="5"/>
  <c r="AC71" i="5"/>
  <c r="AB71" i="5"/>
  <c r="AG70" i="5"/>
  <c r="AF70" i="5"/>
  <c r="AC70" i="5"/>
  <c r="AB70" i="5"/>
  <c r="AG69" i="5"/>
  <c r="AF69" i="5"/>
  <c r="AC69" i="5"/>
  <c r="AB69" i="5"/>
  <c r="AG68" i="5"/>
  <c r="AF68" i="5"/>
  <c r="AC68" i="5"/>
  <c r="AB68" i="5"/>
  <c r="AG67" i="5"/>
  <c r="AF67" i="5"/>
  <c r="AC67" i="5"/>
  <c r="AB67" i="5"/>
  <c r="AG66" i="5"/>
  <c r="AE66" i="5"/>
  <c r="AC66" i="5"/>
  <c r="AA66" i="5"/>
  <c r="AG65" i="5"/>
  <c r="AE65" i="5"/>
  <c r="AC65" i="5"/>
  <c r="AA65" i="5"/>
  <c r="AG64" i="5"/>
  <c r="AE64" i="5"/>
  <c r="AC64" i="5"/>
  <c r="AA64" i="5"/>
  <c r="AG63" i="5"/>
  <c r="AE63" i="5"/>
  <c r="AC63" i="5"/>
  <c r="AA63" i="5"/>
  <c r="AG62" i="5"/>
  <c r="AE62" i="5"/>
  <c r="AC62" i="5"/>
  <c r="AA62" i="5"/>
  <c r="AG61" i="5"/>
  <c r="AF61" i="5"/>
  <c r="AC61" i="5"/>
  <c r="AB61" i="5"/>
  <c r="AG60" i="5"/>
  <c r="AE60" i="5"/>
  <c r="AC60" i="5"/>
  <c r="AA60" i="5"/>
  <c r="AG59" i="5"/>
  <c r="AE59" i="5"/>
  <c r="AC59" i="5"/>
  <c r="AA59" i="5"/>
  <c r="AG58" i="5"/>
  <c r="AE58" i="5"/>
  <c r="AC58" i="5"/>
  <c r="AA58" i="5"/>
  <c r="AG57" i="5"/>
  <c r="AE57" i="5"/>
  <c r="AC57" i="5"/>
  <c r="AA57" i="5"/>
  <c r="AG56" i="5"/>
  <c r="AF56" i="5"/>
  <c r="AC56" i="5"/>
  <c r="AB56" i="5"/>
  <c r="AG55" i="5"/>
  <c r="AF55" i="5"/>
  <c r="AC55" i="5"/>
  <c r="AB55" i="5"/>
  <c r="AG54" i="5"/>
  <c r="AF54" i="5"/>
  <c r="AC54" i="5"/>
  <c r="AB54" i="5"/>
  <c r="AG53" i="5"/>
  <c r="AE53" i="5"/>
  <c r="AC53" i="5"/>
  <c r="AA53" i="5"/>
  <c r="AG52" i="5"/>
  <c r="AE52" i="5"/>
  <c r="AC52" i="5"/>
  <c r="AA52" i="5"/>
  <c r="AG51" i="5"/>
  <c r="AE51" i="5"/>
  <c r="AC51" i="5"/>
  <c r="AA51" i="5"/>
  <c r="AG50" i="5"/>
  <c r="AF50" i="5"/>
  <c r="AC50" i="5"/>
  <c r="AB50" i="5"/>
  <c r="AG49" i="5"/>
  <c r="AE49" i="5"/>
  <c r="AC49" i="5"/>
  <c r="AA49" i="5"/>
  <c r="AG48" i="5"/>
  <c r="AE48" i="5"/>
  <c r="AC48" i="5"/>
  <c r="AA48" i="5"/>
  <c r="AG47" i="5"/>
  <c r="AE47" i="5"/>
  <c r="AC47" i="5"/>
  <c r="AA47" i="5"/>
  <c r="AG46" i="5"/>
  <c r="AF46" i="5"/>
  <c r="AC46" i="5"/>
  <c r="AB46" i="5"/>
  <c r="AG45" i="5"/>
  <c r="AF45" i="5"/>
  <c r="AC45" i="5"/>
  <c r="AB45" i="5"/>
  <c r="AF44" i="5"/>
  <c r="AE44" i="5"/>
  <c r="AB44" i="5"/>
  <c r="AA44" i="5"/>
  <c r="AG43" i="5"/>
  <c r="AF43" i="5"/>
  <c r="AC43" i="5"/>
  <c r="AB43" i="5"/>
  <c r="AG42" i="5"/>
  <c r="AF42" i="5"/>
  <c r="AC42" i="5"/>
  <c r="AB42" i="5"/>
  <c r="AG41" i="5"/>
  <c r="AF41" i="5"/>
  <c r="AC41" i="5"/>
  <c r="AB41" i="5"/>
  <c r="AG40" i="5"/>
  <c r="AF40" i="5"/>
  <c r="AC40" i="5"/>
  <c r="AB40" i="5"/>
  <c r="AG39" i="5"/>
  <c r="AF39" i="5"/>
  <c r="AC39" i="5"/>
  <c r="AB39" i="5"/>
  <c r="AG38" i="5"/>
  <c r="AF38" i="5"/>
  <c r="AC38" i="5"/>
  <c r="AB38" i="5"/>
  <c r="AG37" i="5"/>
  <c r="AF37" i="5"/>
  <c r="AC37" i="5"/>
  <c r="AB37" i="5"/>
  <c r="AG36" i="5"/>
  <c r="AF36" i="5"/>
  <c r="AC36" i="5"/>
  <c r="AB36" i="5"/>
  <c r="AG35" i="5"/>
  <c r="AF35" i="5"/>
  <c r="AC35" i="5"/>
  <c r="AB35" i="5"/>
  <c r="AG34" i="5"/>
  <c r="AE34" i="5"/>
  <c r="AC34" i="5"/>
  <c r="AA34" i="5"/>
  <c r="AG33" i="5"/>
  <c r="AE33" i="5"/>
  <c r="AC33" i="5"/>
  <c r="AA33" i="5"/>
  <c r="AG32" i="5"/>
  <c r="AF32" i="5"/>
  <c r="AC32" i="5"/>
  <c r="AB32" i="5"/>
  <c r="AG31" i="5"/>
  <c r="AE31" i="5"/>
  <c r="AC31" i="5"/>
  <c r="AA31" i="5"/>
  <c r="AG30" i="5"/>
  <c r="AE30" i="5"/>
  <c r="AC30" i="5"/>
  <c r="AA30" i="5"/>
  <c r="AG29" i="5"/>
  <c r="AE29" i="5"/>
  <c r="AC29" i="5"/>
  <c r="AA29" i="5"/>
  <c r="AG28" i="5"/>
  <c r="AF28" i="5"/>
  <c r="AC28" i="5"/>
  <c r="AB28" i="5"/>
  <c r="AG27" i="5"/>
  <c r="AF27" i="5"/>
  <c r="AC27" i="5"/>
  <c r="AB27" i="5"/>
  <c r="AG26" i="5"/>
  <c r="AF26" i="5"/>
  <c r="AC26" i="5"/>
  <c r="AB26" i="5"/>
  <c r="AG25" i="5"/>
  <c r="AF25" i="5"/>
  <c r="AC25" i="5"/>
  <c r="AB25" i="5"/>
  <c r="AA25" i="5"/>
  <c r="AG24" i="5"/>
  <c r="AF24" i="5"/>
  <c r="AC24" i="5"/>
  <c r="AB24" i="5"/>
  <c r="AG23" i="5"/>
  <c r="AF23" i="5"/>
  <c r="AC23" i="5"/>
  <c r="AB23" i="5"/>
  <c r="AA23" i="5"/>
  <c r="AG22" i="5"/>
  <c r="AE22" i="5"/>
  <c r="AC22" i="5"/>
  <c r="AA22" i="5"/>
  <c r="AG21" i="5"/>
  <c r="AF21" i="5"/>
  <c r="AC21" i="5"/>
  <c r="AB21" i="5"/>
  <c r="AG20" i="5"/>
  <c r="AE20" i="5"/>
  <c r="AC20" i="5"/>
  <c r="AA20" i="5"/>
  <c r="W270" i="5"/>
  <c r="V270" i="5"/>
  <c r="U270" i="5"/>
  <c r="W269" i="5"/>
  <c r="V269" i="5"/>
  <c r="W268" i="5"/>
  <c r="U268" i="5"/>
  <c r="W267" i="5"/>
  <c r="V267" i="5"/>
  <c r="U267" i="5"/>
  <c r="W266" i="5"/>
  <c r="V266" i="5"/>
  <c r="U266" i="5"/>
  <c r="W265" i="5"/>
  <c r="V265" i="5"/>
  <c r="U265" i="5"/>
  <c r="W264" i="5"/>
  <c r="V264" i="5"/>
  <c r="U264" i="5"/>
  <c r="W263" i="5"/>
  <c r="V263" i="5"/>
  <c r="U263" i="5"/>
  <c r="W262" i="5"/>
  <c r="V262" i="5"/>
  <c r="W261" i="5"/>
  <c r="V261" i="5"/>
  <c r="V260" i="5"/>
  <c r="U260" i="5"/>
  <c r="W259" i="5"/>
  <c r="V259" i="5"/>
  <c r="W258" i="5"/>
  <c r="V258" i="5"/>
  <c r="W257" i="5"/>
  <c r="V257" i="5"/>
  <c r="W256" i="5"/>
  <c r="V256" i="5"/>
  <c r="W255" i="5"/>
  <c r="V255" i="5"/>
  <c r="W254" i="5"/>
  <c r="U254" i="5"/>
  <c r="W253" i="5"/>
  <c r="V253" i="5"/>
  <c r="W252" i="5"/>
  <c r="U252" i="5"/>
  <c r="W251" i="5"/>
  <c r="U251" i="5"/>
  <c r="W250" i="5"/>
  <c r="U250" i="5"/>
  <c r="W249" i="5"/>
  <c r="U249" i="5"/>
  <c r="W248" i="5"/>
  <c r="V248" i="5"/>
  <c r="W247" i="5"/>
  <c r="U247" i="5"/>
  <c r="V246" i="5"/>
  <c r="U246" i="5"/>
  <c r="W245" i="5"/>
  <c r="U245" i="5"/>
  <c r="W244" i="5"/>
  <c r="U244" i="5"/>
  <c r="W243" i="5"/>
  <c r="V243" i="5"/>
  <c r="W242" i="5"/>
  <c r="V242" i="5"/>
  <c r="V241" i="5"/>
  <c r="U241" i="5"/>
  <c r="W239" i="5"/>
  <c r="V239" i="5"/>
  <c r="W238" i="5"/>
  <c r="U238" i="5"/>
  <c r="W237" i="5"/>
  <c r="U237" i="5"/>
  <c r="V236" i="5"/>
  <c r="U236" i="5"/>
  <c r="W235" i="5"/>
  <c r="U235" i="5"/>
  <c r="W234" i="5"/>
  <c r="U234" i="5"/>
  <c r="W233" i="5"/>
  <c r="U233" i="5"/>
  <c r="W232" i="5"/>
  <c r="U232" i="5"/>
  <c r="W231" i="5"/>
  <c r="U231" i="5"/>
  <c r="W230" i="5"/>
  <c r="U230" i="5"/>
  <c r="W229" i="5"/>
  <c r="U229" i="5"/>
  <c r="W228" i="5"/>
  <c r="V228" i="5"/>
  <c r="W227" i="5"/>
  <c r="V227" i="5"/>
  <c r="W226" i="5"/>
  <c r="V226" i="5"/>
  <c r="W225" i="5"/>
  <c r="U225" i="5"/>
  <c r="W224" i="5"/>
  <c r="U224" i="5"/>
  <c r="W223" i="5"/>
  <c r="U223" i="5"/>
  <c r="W222" i="5"/>
  <c r="U222" i="5"/>
  <c r="W221" i="5"/>
  <c r="U221" i="5"/>
  <c r="W220" i="5"/>
  <c r="U220" i="5"/>
  <c r="W219" i="5"/>
  <c r="U219" i="5"/>
  <c r="W218" i="5"/>
  <c r="U218" i="5"/>
  <c r="W217" i="5"/>
  <c r="V217" i="5"/>
  <c r="W216" i="5"/>
  <c r="V216" i="5"/>
  <c r="W215" i="5"/>
  <c r="U215" i="5"/>
  <c r="W214" i="5"/>
  <c r="V214" i="5"/>
  <c r="W213" i="5"/>
  <c r="U213" i="5"/>
  <c r="W212" i="5"/>
  <c r="V212" i="5"/>
  <c r="W211" i="5"/>
  <c r="V211" i="5"/>
  <c r="W210" i="5"/>
  <c r="V210" i="5"/>
  <c r="W209" i="5"/>
  <c r="U209" i="5"/>
  <c r="W208" i="5"/>
  <c r="V208" i="5"/>
  <c r="W207" i="5"/>
  <c r="V207" i="5"/>
  <c r="W206" i="5"/>
  <c r="U206" i="5"/>
  <c r="W205" i="5"/>
  <c r="U205" i="5"/>
  <c r="V204" i="5"/>
  <c r="U204" i="5"/>
  <c r="W203" i="5"/>
  <c r="W202" i="5"/>
  <c r="V202" i="5"/>
  <c r="W201" i="5"/>
  <c r="V201" i="5"/>
  <c r="W200" i="5"/>
  <c r="U200" i="5"/>
  <c r="W199" i="5"/>
  <c r="U199" i="5"/>
  <c r="W198" i="5"/>
  <c r="U198" i="5"/>
  <c r="W197" i="5"/>
  <c r="V197" i="5"/>
  <c r="W196" i="5"/>
  <c r="V196" i="5"/>
  <c r="W195" i="5"/>
  <c r="V195" i="5"/>
  <c r="W194" i="5"/>
  <c r="V194" i="5"/>
  <c r="W192" i="5"/>
  <c r="U192" i="5"/>
  <c r="W191" i="5"/>
  <c r="U191" i="5"/>
  <c r="W189" i="5"/>
  <c r="U189" i="5"/>
  <c r="W188" i="5"/>
  <c r="U188" i="5"/>
  <c r="W187" i="5"/>
  <c r="V187" i="5"/>
  <c r="W186" i="5"/>
  <c r="V186" i="5"/>
  <c r="W185" i="5"/>
  <c r="V185" i="5"/>
  <c r="W184" i="5"/>
  <c r="V184" i="5"/>
  <c r="W183" i="5"/>
  <c r="V183" i="5"/>
  <c r="W182" i="5"/>
  <c r="V182" i="5"/>
  <c r="W181" i="5"/>
  <c r="U181" i="5"/>
  <c r="W180" i="5"/>
  <c r="U180" i="5"/>
  <c r="W179" i="5"/>
  <c r="U179" i="5"/>
  <c r="V176" i="5"/>
  <c r="U176" i="5"/>
  <c r="V175" i="5"/>
  <c r="U175" i="5"/>
  <c r="W174" i="5"/>
  <c r="U174" i="5"/>
  <c r="W173" i="5"/>
  <c r="U173" i="5"/>
  <c r="W172" i="5"/>
  <c r="U172" i="5"/>
  <c r="W171" i="5"/>
  <c r="V171" i="5"/>
  <c r="W170" i="5"/>
  <c r="V170" i="5"/>
  <c r="W169" i="5"/>
  <c r="U169" i="5"/>
  <c r="W168" i="5"/>
  <c r="V168" i="5"/>
  <c r="W167" i="5"/>
  <c r="V167" i="5"/>
  <c r="W166" i="5"/>
  <c r="U166" i="5"/>
  <c r="W165" i="5"/>
  <c r="U165" i="5"/>
  <c r="W164" i="5"/>
  <c r="V164" i="5"/>
  <c r="W163" i="5"/>
  <c r="U163" i="5"/>
  <c r="W162" i="5"/>
  <c r="U162" i="5"/>
  <c r="W161" i="5"/>
  <c r="V161" i="5"/>
  <c r="W160" i="5"/>
  <c r="U160" i="5"/>
  <c r="W159" i="5"/>
  <c r="U159" i="5"/>
  <c r="W158" i="5"/>
  <c r="U158" i="5"/>
  <c r="W157" i="5"/>
  <c r="V157" i="5"/>
  <c r="W156" i="5"/>
  <c r="V156" i="5"/>
  <c r="W155" i="5"/>
  <c r="U155" i="5"/>
  <c r="W154" i="5"/>
  <c r="V154" i="5"/>
  <c r="W153" i="5"/>
  <c r="U153" i="5"/>
  <c r="W152" i="5"/>
  <c r="V152" i="5"/>
  <c r="W151" i="5"/>
  <c r="V151" i="5"/>
  <c r="W150" i="5"/>
  <c r="V150" i="5"/>
  <c r="W149" i="5"/>
  <c r="V149" i="5"/>
  <c r="W148" i="5"/>
  <c r="V148" i="5"/>
  <c r="W147" i="5"/>
  <c r="V147" i="5"/>
  <c r="W146" i="5"/>
  <c r="V146" i="5"/>
  <c r="W145" i="5"/>
  <c r="V145" i="5"/>
  <c r="W144" i="5"/>
  <c r="U144" i="5"/>
  <c r="W143" i="5"/>
  <c r="U143" i="5"/>
  <c r="W142" i="5"/>
  <c r="U142" i="5"/>
  <c r="W141" i="5"/>
  <c r="V141" i="5"/>
  <c r="W140" i="5"/>
  <c r="V140" i="5"/>
  <c r="W139" i="5"/>
  <c r="V139" i="5"/>
  <c r="W138" i="5"/>
  <c r="V138" i="5"/>
  <c r="W137" i="5"/>
  <c r="V137" i="5"/>
  <c r="W136" i="5"/>
  <c r="V136" i="5"/>
  <c r="W135" i="5"/>
  <c r="V135" i="5"/>
  <c r="W134" i="5"/>
  <c r="V134" i="5"/>
  <c r="W133" i="5"/>
  <c r="V133" i="5"/>
  <c r="W132" i="5"/>
  <c r="V132" i="5"/>
  <c r="W131" i="5"/>
  <c r="V131" i="5"/>
  <c r="W130" i="5"/>
  <c r="V130" i="5"/>
  <c r="W129" i="5"/>
  <c r="U129" i="5"/>
  <c r="W128" i="5"/>
  <c r="U128" i="5"/>
  <c r="W127" i="5"/>
  <c r="V127" i="5"/>
  <c r="W126" i="5"/>
  <c r="V126" i="5"/>
  <c r="W125" i="5"/>
  <c r="V125" i="5"/>
  <c r="W124" i="5"/>
  <c r="V124" i="5"/>
  <c r="W123" i="5"/>
  <c r="V123" i="5"/>
  <c r="W122" i="5"/>
  <c r="V122" i="5"/>
  <c r="W121" i="5"/>
  <c r="V121" i="5"/>
  <c r="W120" i="5"/>
  <c r="V120" i="5"/>
  <c r="W119" i="5"/>
  <c r="V119" i="5"/>
  <c r="W118" i="5"/>
  <c r="V118" i="5"/>
  <c r="W117" i="5"/>
  <c r="V117" i="5"/>
  <c r="W116" i="5"/>
  <c r="V116" i="5"/>
  <c r="W115" i="5"/>
  <c r="U115" i="5"/>
  <c r="W114" i="5"/>
  <c r="V114" i="5"/>
  <c r="W113" i="5"/>
  <c r="V113" i="5"/>
  <c r="W112" i="5"/>
  <c r="V112" i="5"/>
  <c r="W111" i="5"/>
  <c r="U111" i="5"/>
  <c r="W110" i="5"/>
  <c r="U110" i="5"/>
  <c r="W109" i="5"/>
  <c r="U109" i="5"/>
  <c r="W108" i="5"/>
  <c r="V108" i="5"/>
  <c r="W107" i="5"/>
  <c r="U107" i="5"/>
  <c r="W106" i="5"/>
  <c r="U106" i="5"/>
  <c r="V104" i="5"/>
  <c r="U104" i="5"/>
  <c r="W103" i="5"/>
  <c r="U103" i="5"/>
  <c r="W102" i="5"/>
  <c r="U102" i="5"/>
  <c r="W101" i="5"/>
  <c r="U101" i="5"/>
  <c r="W100" i="5"/>
  <c r="V100" i="5"/>
  <c r="W99" i="5"/>
  <c r="V99" i="5"/>
  <c r="W98" i="5"/>
  <c r="V98" i="5"/>
  <c r="W97" i="5"/>
  <c r="V97" i="5"/>
  <c r="W96" i="5"/>
  <c r="V96" i="5"/>
  <c r="W95" i="5"/>
  <c r="V95" i="5"/>
  <c r="W94" i="5"/>
  <c r="U94" i="5"/>
  <c r="W93" i="5"/>
  <c r="U93" i="5"/>
  <c r="W92" i="5"/>
  <c r="U92" i="5"/>
  <c r="W91" i="5"/>
  <c r="U91" i="5"/>
  <c r="W90" i="5"/>
  <c r="U90" i="5"/>
  <c r="W89" i="5"/>
  <c r="V89" i="5"/>
  <c r="W88" i="5"/>
  <c r="U88" i="5"/>
  <c r="W87" i="5"/>
  <c r="U87" i="5"/>
  <c r="W86" i="5"/>
  <c r="V86" i="5"/>
  <c r="W85" i="5"/>
  <c r="U85" i="5"/>
  <c r="W84" i="5"/>
  <c r="V84" i="5"/>
  <c r="W83" i="5"/>
  <c r="U83" i="5"/>
  <c r="W82" i="5"/>
  <c r="V82" i="5"/>
  <c r="W81" i="5"/>
  <c r="V81" i="5"/>
  <c r="W80" i="5"/>
  <c r="V80" i="5"/>
  <c r="W79" i="5"/>
  <c r="V79" i="5"/>
  <c r="W78" i="5"/>
  <c r="V78" i="5"/>
  <c r="W77" i="5"/>
  <c r="V77" i="5"/>
  <c r="W76" i="5"/>
  <c r="V76" i="5"/>
  <c r="W75" i="5"/>
  <c r="V75" i="5"/>
  <c r="W74" i="5"/>
  <c r="V74" i="5"/>
  <c r="W73" i="5"/>
  <c r="U73" i="5"/>
  <c r="W71" i="5"/>
  <c r="V71" i="5"/>
  <c r="W70" i="5"/>
  <c r="V70" i="5"/>
  <c r="W69" i="5"/>
  <c r="V69" i="5"/>
  <c r="W68" i="5"/>
  <c r="V68" i="5"/>
  <c r="W67" i="5"/>
  <c r="V67" i="5"/>
  <c r="W66" i="5"/>
  <c r="U66" i="5"/>
  <c r="W65" i="5"/>
  <c r="U65" i="5"/>
  <c r="W64" i="5"/>
  <c r="U64" i="5"/>
  <c r="W63" i="5"/>
  <c r="U63" i="5"/>
  <c r="W62" i="5"/>
  <c r="U62" i="5"/>
  <c r="W61" i="5"/>
  <c r="V61" i="5"/>
  <c r="W60" i="5"/>
  <c r="U60" i="5"/>
  <c r="W59" i="5"/>
  <c r="U59" i="5"/>
  <c r="W58" i="5"/>
  <c r="U58" i="5"/>
  <c r="W57" i="5"/>
  <c r="U57" i="5"/>
  <c r="W56" i="5"/>
  <c r="V56" i="5"/>
  <c r="W55" i="5"/>
  <c r="V55" i="5"/>
  <c r="W54" i="5"/>
  <c r="V54" i="5"/>
  <c r="W53" i="5"/>
  <c r="U53" i="5"/>
  <c r="W52" i="5"/>
  <c r="U52" i="5"/>
  <c r="W51" i="5"/>
  <c r="U51" i="5"/>
  <c r="W50" i="5"/>
  <c r="V50" i="5"/>
  <c r="W49" i="5"/>
  <c r="U49" i="5"/>
  <c r="W48" i="5"/>
  <c r="U48" i="5"/>
  <c r="W47" i="5"/>
  <c r="U47" i="5"/>
  <c r="W46" i="5"/>
  <c r="V46" i="5"/>
  <c r="W45" i="5"/>
  <c r="V45" i="5"/>
  <c r="V44" i="5"/>
  <c r="U44" i="5"/>
  <c r="W43" i="5"/>
  <c r="V43" i="5"/>
  <c r="W42" i="5"/>
  <c r="V42" i="5"/>
  <c r="W41" i="5"/>
  <c r="V41" i="5"/>
  <c r="W40" i="5"/>
  <c r="V40" i="5"/>
  <c r="W39" i="5"/>
  <c r="V39" i="5"/>
  <c r="W38" i="5"/>
  <c r="V38" i="5"/>
  <c r="W37" i="5"/>
  <c r="V37" i="5"/>
  <c r="W36" i="5"/>
  <c r="V36" i="5"/>
  <c r="W35" i="5"/>
  <c r="V35" i="5"/>
  <c r="W34" i="5"/>
  <c r="U34" i="5"/>
  <c r="W33" i="5"/>
  <c r="U33" i="5"/>
  <c r="W32" i="5"/>
  <c r="V32" i="5"/>
  <c r="W31" i="5"/>
  <c r="U31" i="5"/>
  <c r="W30" i="5"/>
  <c r="U30" i="5"/>
  <c r="W29" i="5"/>
  <c r="U29" i="5"/>
  <c r="W28" i="5"/>
  <c r="V28" i="5"/>
  <c r="W27" i="5"/>
  <c r="V27" i="5"/>
  <c r="W26" i="5"/>
  <c r="V26" i="5"/>
  <c r="W25" i="5"/>
  <c r="V25" i="5"/>
  <c r="W24" i="5"/>
  <c r="V24" i="5"/>
  <c r="W23" i="5"/>
  <c r="V23" i="5"/>
  <c r="W22" i="5"/>
  <c r="U22" i="5"/>
  <c r="W21" i="5"/>
  <c r="V21" i="5"/>
  <c r="W20" i="5"/>
  <c r="U20" i="5"/>
  <c r="AE269" i="5"/>
  <c r="AF268" i="5"/>
  <c r="AE262" i="5"/>
  <c r="AE261" i="5"/>
  <c r="AG260" i="5"/>
  <c r="AE259" i="5"/>
  <c r="AE257" i="5"/>
  <c r="AE255" i="5"/>
  <c r="AF254" i="5"/>
  <c r="AE253" i="5"/>
  <c r="AF252" i="5"/>
  <c r="AF251" i="5"/>
  <c r="AF250" i="5"/>
  <c r="AF247" i="5"/>
  <c r="AG246" i="5"/>
  <c r="AF245" i="5"/>
  <c r="AF244" i="5"/>
  <c r="AE243" i="5"/>
  <c r="AE242" i="5"/>
  <c r="AE239" i="5"/>
  <c r="AF238" i="5"/>
  <c r="AF237" i="5"/>
  <c r="AF235" i="5"/>
  <c r="AF234" i="5"/>
  <c r="AF233" i="5"/>
  <c r="AF232" i="5"/>
  <c r="AF231" i="5"/>
  <c r="AF230" i="5"/>
  <c r="AF229" i="5"/>
  <c r="AE228" i="5"/>
  <c r="AE227" i="5"/>
  <c r="AE226" i="5"/>
  <c r="AF221" i="5"/>
  <c r="AF218" i="5"/>
  <c r="AE217" i="5"/>
  <c r="AE216" i="5"/>
  <c r="AF215" i="5"/>
  <c r="AE214" i="5"/>
  <c r="AF213" i="5"/>
  <c r="AE212" i="5"/>
  <c r="I209" i="6"/>
  <c r="AB209" i="6"/>
  <c r="AE208" i="5"/>
  <c r="AE207" i="5"/>
  <c r="AF206" i="5"/>
  <c r="AF205" i="5"/>
  <c r="AG204" i="5"/>
  <c r="AE203" i="5"/>
  <c r="AE202" i="5"/>
  <c r="AE201" i="5"/>
  <c r="AF200" i="5"/>
  <c r="AF199" i="5"/>
  <c r="AF198" i="5"/>
  <c r="AE197" i="5"/>
  <c r="AE196" i="5"/>
  <c r="AF192" i="5"/>
  <c r="AE187" i="5"/>
  <c r="AE186" i="5"/>
  <c r="AE185" i="5"/>
  <c r="AE184" i="5"/>
  <c r="AE183" i="5"/>
  <c r="AE182" i="5"/>
  <c r="AF181" i="5"/>
  <c r="AF180" i="5"/>
  <c r="AF179" i="5"/>
  <c r="AG176" i="5"/>
  <c r="AF174" i="5"/>
  <c r="AF173" i="5"/>
  <c r="AF172" i="5"/>
  <c r="AF169" i="5"/>
  <c r="AF165" i="5"/>
  <c r="AF160" i="5"/>
  <c r="AF159" i="5"/>
  <c r="AF158" i="5"/>
  <c r="AE157" i="5"/>
  <c r="AE154" i="5"/>
  <c r="AF153" i="5"/>
  <c r="AE152" i="5"/>
  <c r="AE151" i="5"/>
  <c r="AE150" i="5"/>
  <c r="AE149" i="5"/>
  <c r="AE148" i="5"/>
  <c r="AE147" i="5"/>
  <c r="AE146" i="5"/>
  <c r="AE145" i="5"/>
  <c r="AF144" i="5"/>
  <c r="AF143" i="5"/>
  <c r="AE140" i="5"/>
  <c r="AE137" i="5"/>
  <c r="AE136" i="5"/>
  <c r="AE135" i="5"/>
  <c r="AE134" i="5"/>
  <c r="AE133" i="5"/>
  <c r="AE132" i="5"/>
  <c r="AE130" i="5"/>
  <c r="AE127" i="5"/>
  <c r="AE126" i="5"/>
  <c r="AE125" i="5"/>
  <c r="AE124" i="5"/>
  <c r="AE123" i="5"/>
  <c r="AE122" i="5"/>
  <c r="AE121" i="5"/>
  <c r="AE120" i="5"/>
  <c r="AE119" i="5"/>
  <c r="AE118" i="5"/>
  <c r="AE117" i="5"/>
  <c r="AE116" i="5"/>
  <c r="AF115" i="5"/>
  <c r="AE113" i="5"/>
  <c r="AE112" i="5"/>
  <c r="AF111" i="5"/>
  <c r="AF110" i="5"/>
  <c r="AF109" i="5"/>
  <c r="AE108" i="5"/>
  <c r="AF107" i="5"/>
  <c r="AG104" i="5"/>
  <c r="AF101" i="5"/>
  <c r="AE100" i="5"/>
  <c r="AE99" i="5"/>
  <c r="AE98" i="5"/>
  <c r="AE97" i="5"/>
  <c r="AE95" i="5"/>
  <c r="AF94" i="5"/>
  <c r="AF93" i="5"/>
  <c r="AF92" i="5"/>
  <c r="AF91" i="5"/>
  <c r="AF90" i="5"/>
  <c r="AE89" i="5"/>
  <c r="AF88" i="5"/>
  <c r="AF87" i="5"/>
  <c r="AE86" i="5"/>
  <c r="AF85" i="5"/>
  <c r="AE84" i="5"/>
  <c r="AF83" i="5"/>
  <c r="AE82" i="5"/>
  <c r="AE81" i="5"/>
  <c r="AE80" i="5"/>
  <c r="AE79" i="5"/>
  <c r="AE78" i="5"/>
  <c r="AE77" i="5"/>
  <c r="AE75" i="5"/>
  <c r="AE74" i="5"/>
  <c r="AF73" i="5"/>
  <c r="AF66" i="5"/>
  <c r="AF64" i="5"/>
  <c r="AF63" i="5"/>
  <c r="AE61" i="5"/>
  <c r="AE56" i="5"/>
  <c r="AF53" i="5"/>
  <c r="AF52" i="5"/>
  <c r="AF51" i="5"/>
  <c r="AE50" i="5"/>
  <c r="AF49" i="5"/>
  <c r="AF48" i="5"/>
  <c r="AF47" i="5"/>
  <c r="AE46" i="5"/>
  <c r="AE45" i="5"/>
  <c r="AG44" i="5"/>
  <c r="AE43" i="5"/>
  <c r="AE42" i="5"/>
  <c r="AE41" i="5"/>
  <c r="AE40" i="5"/>
  <c r="AE39" i="5"/>
  <c r="AE38" i="5"/>
  <c r="AE37" i="5"/>
  <c r="AE36" i="5"/>
  <c r="AE35" i="5"/>
  <c r="AF34" i="5"/>
  <c r="AF33" i="5"/>
  <c r="AE32" i="5"/>
  <c r="AF31" i="5"/>
  <c r="AF30" i="5"/>
  <c r="AF29" i="5"/>
  <c r="AE28" i="5"/>
  <c r="AE27" i="5"/>
  <c r="AE26" i="5"/>
  <c r="AE25" i="5"/>
  <c r="AE23" i="5"/>
  <c r="AF20" i="5"/>
  <c r="AB224" i="5"/>
  <c r="AA136" i="5"/>
  <c r="L236" i="5"/>
  <c r="P236" i="5"/>
  <c r="S236" i="5"/>
  <c r="Q271" i="5"/>
  <c r="L258" i="5"/>
  <c r="AE256" i="5"/>
  <c r="L225" i="5"/>
  <c r="L224" i="5"/>
  <c r="L222" i="5"/>
  <c r="L220" i="5"/>
  <c r="L219" i="5"/>
  <c r="L210" i="5"/>
  <c r="P210" i="5"/>
  <c r="S210" i="5"/>
  <c r="L195" i="5"/>
  <c r="L194" i="5"/>
  <c r="AF166" i="5"/>
  <c r="AF162" i="5"/>
  <c r="AF155" i="5"/>
  <c r="AF142" i="5"/>
  <c r="AE141" i="5"/>
  <c r="AE139" i="5"/>
  <c r="AE138" i="5"/>
  <c r="AE131" i="5"/>
  <c r="AF129" i="5"/>
  <c r="AF128" i="5"/>
  <c r="AE114" i="5"/>
  <c r="AF106" i="5"/>
  <c r="AF103" i="5"/>
  <c r="AF102" i="5"/>
  <c r="AE96" i="5"/>
  <c r="AE76" i="5"/>
  <c r="AE69" i="5"/>
  <c r="AE68" i="5"/>
  <c r="AE67" i="5"/>
  <c r="AF65" i="5"/>
  <c r="AF62" i="5"/>
  <c r="AF60" i="5"/>
  <c r="AF59" i="5"/>
  <c r="AF58" i="5"/>
  <c r="AE55" i="5"/>
  <c r="AE54" i="5"/>
  <c r="AE24" i="5"/>
  <c r="AF22" i="5"/>
  <c r="Q232" i="4"/>
  <c r="Q180" i="4"/>
  <c r="D191" i="5"/>
  <c r="AG51" i="4"/>
  <c r="AE51" i="4"/>
  <c r="AC51" i="4"/>
  <c r="AA51" i="4"/>
  <c r="W51" i="4"/>
  <c r="U51" i="4"/>
  <c r="P51" i="4"/>
  <c r="S51" i="4"/>
  <c r="E52" i="5"/>
  <c r="I52" i="5"/>
  <c r="AB52" i="5"/>
  <c r="I51" i="4"/>
  <c r="AB51" i="4"/>
  <c r="G248" i="5"/>
  <c r="G249" i="5"/>
  <c r="F248" i="5"/>
  <c r="F249" i="5"/>
  <c r="Q224" i="4"/>
  <c r="D236" i="5"/>
  <c r="H198" i="5"/>
  <c r="D189" i="5"/>
  <c r="Q191" i="4"/>
  <c r="AF191" i="5"/>
  <c r="P195" i="5"/>
  <c r="S195" i="5"/>
  <c r="P219" i="5"/>
  <c r="S219" i="5"/>
  <c r="P222" i="5"/>
  <c r="S222" i="5"/>
  <c r="P225" i="5"/>
  <c r="S225" i="5"/>
  <c r="P258" i="5"/>
  <c r="S258" i="5"/>
  <c r="P194" i="5"/>
  <c r="S194" i="5"/>
  <c r="P220" i="5"/>
  <c r="S220" i="5"/>
  <c r="P224" i="5"/>
  <c r="S224" i="5"/>
  <c r="AE211" i="5"/>
  <c r="I211" i="6"/>
  <c r="AA211" i="6"/>
  <c r="V203" i="5"/>
  <c r="AF203" i="5"/>
  <c r="AB49" i="5"/>
  <c r="AE210" i="5"/>
  <c r="AG175" i="5"/>
  <c r="I175" i="6"/>
  <c r="AC175" i="6"/>
  <c r="AE70" i="5"/>
  <c r="AE161" i="5"/>
  <c r="I164" i="6"/>
  <c r="AA164" i="6"/>
  <c r="AF163" i="5"/>
  <c r="I166" i="6"/>
  <c r="AF209" i="5"/>
  <c r="AE71" i="5"/>
  <c r="AE164" i="5"/>
  <c r="I167" i="6"/>
  <c r="AA167" i="6"/>
  <c r="L248" i="5"/>
  <c r="Z264" i="5"/>
  <c r="Z266" i="5"/>
  <c r="Z270" i="5"/>
  <c r="AE171" i="5"/>
  <c r="N271" i="5"/>
  <c r="L249" i="5"/>
  <c r="AE168" i="5"/>
  <c r="AE167" i="5"/>
  <c r="V20" i="5"/>
  <c r="Z20" i="5"/>
  <c r="V22" i="5"/>
  <c r="Z22" i="5"/>
  <c r="U23" i="5"/>
  <c r="Z23" i="5"/>
  <c r="U25" i="5"/>
  <c r="Z25" i="5"/>
  <c r="U27" i="5"/>
  <c r="Z27" i="5"/>
  <c r="V30" i="5"/>
  <c r="Z30" i="5"/>
  <c r="V34" i="5"/>
  <c r="Z34" i="5"/>
  <c r="U35" i="5"/>
  <c r="Z35" i="5"/>
  <c r="U37" i="5"/>
  <c r="Z37" i="5"/>
  <c r="U39" i="5"/>
  <c r="Z39" i="5"/>
  <c r="U41" i="5"/>
  <c r="Z41" i="5"/>
  <c r="U43" i="5"/>
  <c r="Z43" i="5"/>
  <c r="U45" i="5"/>
  <c r="Z45" i="5"/>
  <c r="V48" i="5"/>
  <c r="Z48" i="5"/>
  <c r="V52" i="5"/>
  <c r="Z52" i="5"/>
  <c r="U55" i="5"/>
  <c r="Z55" i="5"/>
  <c r="V58" i="5"/>
  <c r="Z58" i="5"/>
  <c r="V60" i="5"/>
  <c r="Z60" i="5"/>
  <c r="U61" i="5"/>
  <c r="Z61" i="5"/>
  <c r="V62" i="5"/>
  <c r="Z62" i="5"/>
  <c r="V64" i="5"/>
  <c r="Z64" i="5"/>
  <c r="V66" i="5"/>
  <c r="Z66" i="5"/>
  <c r="U67" i="5"/>
  <c r="Z67" i="5"/>
  <c r="U69" i="5"/>
  <c r="Z69" i="5"/>
  <c r="U71" i="5"/>
  <c r="Z71" i="5"/>
  <c r="V73" i="5"/>
  <c r="Z73" i="5"/>
  <c r="U74" i="5"/>
  <c r="Z74" i="5"/>
  <c r="U76" i="5"/>
  <c r="Z76" i="5"/>
  <c r="U78" i="5"/>
  <c r="Z78" i="5"/>
  <c r="U80" i="5"/>
  <c r="Z80" i="5"/>
  <c r="U82" i="5"/>
  <c r="Z82" i="5"/>
  <c r="V83" i="5"/>
  <c r="Z83" i="5"/>
  <c r="U84" i="5"/>
  <c r="Z84" i="5"/>
  <c r="V85" i="5"/>
  <c r="Z85" i="5"/>
  <c r="U86" i="5"/>
  <c r="Z86" i="5"/>
  <c r="V87" i="5"/>
  <c r="Z87" i="5"/>
  <c r="V91" i="5"/>
  <c r="Z91" i="5"/>
  <c r="V93" i="5"/>
  <c r="Z93" i="5"/>
  <c r="U96" i="5"/>
  <c r="Z96" i="5"/>
  <c r="U98" i="5"/>
  <c r="Z98" i="5"/>
  <c r="U100" i="5"/>
  <c r="Z100" i="5"/>
  <c r="V101" i="5"/>
  <c r="Z101" i="5"/>
  <c r="V103" i="5"/>
  <c r="Z103" i="5"/>
  <c r="W104" i="5"/>
  <c r="Z104" i="5"/>
  <c r="V106" i="5"/>
  <c r="Z106" i="5"/>
  <c r="V110" i="5"/>
  <c r="Z110" i="5"/>
  <c r="U113" i="5"/>
  <c r="Z113" i="5"/>
  <c r="U117" i="5"/>
  <c r="Z117" i="5"/>
  <c r="U119" i="5"/>
  <c r="Z119" i="5"/>
  <c r="U121" i="5"/>
  <c r="Z121" i="5"/>
  <c r="U123" i="5"/>
  <c r="Z123" i="5"/>
  <c r="U125" i="5"/>
  <c r="Z125" i="5"/>
  <c r="U127" i="5"/>
  <c r="Z127" i="5"/>
  <c r="V128" i="5"/>
  <c r="Z128" i="5"/>
  <c r="U131" i="5"/>
  <c r="Z131" i="5"/>
  <c r="U133" i="5"/>
  <c r="Z133" i="5"/>
  <c r="U135" i="5"/>
  <c r="Z135" i="5"/>
  <c r="U137" i="5"/>
  <c r="Z137" i="5"/>
  <c r="U139" i="5"/>
  <c r="Z139" i="5"/>
  <c r="U141" i="5"/>
  <c r="Z141" i="5"/>
  <c r="V142" i="5"/>
  <c r="Z142" i="5"/>
  <c r="V144" i="5"/>
  <c r="Z144" i="5"/>
  <c r="U145" i="5"/>
  <c r="Z145" i="5"/>
  <c r="U147" i="5"/>
  <c r="Z147" i="5"/>
  <c r="U149" i="5"/>
  <c r="Z149" i="5"/>
  <c r="U151" i="5"/>
  <c r="Z151" i="5"/>
  <c r="U157" i="5"/>
  <c r="Z157" i="5"/>
  <c r="V158" i="5"/>
  <c r="Z158" i="5"/>
  <c r="V160" i="5"/>
  <c r="Z160" i="5"/>
  <c r="U161" i="5"/>
  <c r="Z161" i="5"/>
  <c r="V162" i="5"/>
  <c r="Z162" i="5"/>
  <c r="V166" i="5"/>
  <c r="Z166" i="5"/>
  <c r="U167" i="5"/>
  <c r="Z167" i="5"/>
  <c r="U171" i="5"/>
  <c r="Z171" i="5"/>
  <c r="V172" i="5"/>
  <c r="Z172" i="5"/>
  <c r="V174" i="5"/>
  <c r="Z174" i="5"/>
  <c r="W175" i="5"/>
  <c r="Z175" i="5"/>
  <c r="V180" i="5"/>
  <c r="Z180" i="5"/>
  <c r="U183" i="5"/>
  <c r="Z183" i="5"/>
  <c r="U185" i="5"/>
  <c r="Z185" i="5"/>
  <c r="U187" i="5"/>
  <c r="Z187" i="5"/>
  <c r="V191" i="5"/>
  <c r="Z191" i="5"/>
  <c r="U195" i="5"/>
  <c r="Z195" i="5"/>
  <c r="U197" i="5"/>
  <c r="Z197" i="5"/>
  <c r="V198" i="5"/>
  <c r="Z198" i="5"/>
  <c r="V200" i="5"/>
  <c r="Z200" i="5"/>
  <c r="U201" i="5"/>
  <c r="Z201" i="5"/>
  <c r="U203" i="5"/>
  <c r="Z203" i="5"/>
  <c r="V206" i="5"/>
  <c r="Z206" i="5"/>
  <c r="U207" i="5"/>
  <c r="Z207" i="5"/>
  <c r="U211" i="5"/>
  <c r="Z211" i="5"/>
  <c r="U217" i="5"/>
  <c r="Z217" i="5"/>
  <c r="V218" i="5"/>
  <c r="Z218" i="5"/>
  <c r="V220" i="5"/>
  <c r="Z220" i="5"/>
  <c r="V222" i="5"/>
  <c r="Z222" i="5"/>
  <c r="V224" i="5"/>
  <c r="Z224" i="5"/>
  <c r="U227" i="5"/>
  <c r="Z227" i="5"/>
  <c r="V230" i="5"/>
  <c r="V232" i="5"/>
  <c r="V234" i="5"/>
  <c r="V238" i="5"/>
  <c r="U239" i="5"/>
  <c r="Z239" i="5"/>
  <c r="U242" i="5"/>
  <c r="Z242" i="5"/>
  <c r="V245" i="5"/>
  <c r="W246" i="5"/>
  <c r="Z246" i="5"/>
  <c r="V247" i="5"/>
  <c r="Z247" i="5"/>
  <c r="V251" i="5"/>
  <c r="U256" i="5"/>
  <c r="Z256" i="5"/>
  <c r="W260" i="5"/>
  <c r="Z260" i="5"/>
  <c r="U262" i="5"/>
  <c r="Z262" i="5"/>
  <c r="U24" i="5"/>
  <c r="Z24" i="5"/>
  <c r="U26" i="5"/>
  <c r="Z26" i="5"/>
  <c r="U28" i="5"/>
  <c r="Z28" i="5"/>
  <c r="V29" i="5"/>
  <c r="Z29" i="5"/>
  <c r="V31" i="5"/>
  <c r="Z31" i="5"/>
  <c r="U32" i="5"/>
  <c r="Z32" i="5"/>
  <c r="V33" i="5"/>
  <c r="Z33" i="5"/>
  <c r="U36" i="5"/>
  <c r="Z36" i="5"/>
  <c r="U38" i="5"/>
  <c r="Z38" i="5"/>
  <c r="U40" i="5"/>
  <c r="Z40" i="5"/>
  <c r="U42" i="5"/>
  <c r="Z42" i="5"/>
  <c r="W44" i="5"/>
  <c r="Z44" i="5"/>
  <c r="U46" i="5"/>
  <c r="Z46" i="5"/>
  <c r="V47" i="5"/>
  <c r="Z47" i="5"/>
  <c r="V49" i="5"/>
  <c r="Z49" i="5"/>
  <c r="U50" i="5"/>
  <c r="Z50" i="5"/>
  <c r="V51" i="5"/>
  <c r="Z51" i="5"/>
  <c r="V53" i="5"/>
  <c r="Z53" i="5"/>
  <c r="U54" i="5"/>
  <c r="Z54" i="5"/>
  <c r="U56" i="5"/>
  <c r="Z56" i="5"/>
  <c r="V59" i="5"/>
  <c r="Z59" i="5"/>
  <c r="V63" i="5"/>
  <c r="Z63" i="5"/>
  <c r="V65" i="5"/>
  <c r="Z65" i="5"/>
  <c r="U68" i="5"/>
  <c r="Z68" i="5"/>
  <c r="U70" i="5"/>
  <c r="Z70" i="5"/>
  <c r="U75" i="5"/>
  <c r="Z75" i="5"/>
  <c r="U77" i="5"/>
  <c r="Z77" i="5"/>
  <c r="U79" i="5"/>
  <c r="Z79" i="5"/>
  <c r="U81" i="5"/>
  <c r="Z81" i="5"/>
  <c r="V88" i="5"/>
  <c r="Z88" i="5"/>
  <c r="U89" i="5"/>
  <c r="Z89" i="5"/>
  <c r="V90" i="5"/>
  <c r="Z90" i="5"/>
  <c r="V92" i="5"/>
  <c r="Z92" i="5"/>
  <c r="V94" i="5"/>
  <c r="Z94" i="5"/>
  <c r="U95" i="5"/>
  <c r="Z95" i="5"/>
  <c r="U97" i="5"/>
  <c r="Z97" i="5"/>
  <c r="U99" i="5"/>
  <c r="Z99" i="5"/>
  <c r="V102" i="5"/>
  <c r="Z102" i="5"/>
  <c r="V107" i="5"/>
  <c r="Z107" i="5"/>
  <c r="U108" i="5"/>
  <c r="Z108" i="5"/>
  <c r="V109" i="5"/>
  <c r="Z109" i="5"/>
  <c r="V111" i="5"/>
  <c r="Z111" i="5"/>
  <c r="U112" i="5"/>
  <c r="Z112" i="5"/>
  <c r="U114" i="5"/>
  <c r="Z114" i="5"/>
  <c r="V115" i="5"/>
  <c r="Z115" i="5"/>
  <c r="U116" i="5"/>
  <c r="Z116" i="5"/>
  <c r="U118" i="5"/>
  <c r="Z118" i="5"/>
  <c r="U120" i="5"/>
  <c r="Z120" i="5"/>
  <c r="U122" i="5"/>
  <c r="Z122" i="5"/>
  <c r="U124" i="5"/>
  <c r="Z124" i="5"/>
  <c r="U126" i="5"/>
  <c r="Z126" i="5"/>
  <c r="V129" i="5"/>
  <c r="Z129" i="5"/>
  <c r="U130" i="5"/>
  <c r="Z130" i="5"/>
  <c r="U132" i="5"/>
  <c r="Z132" i="5"/>
  <c r="U134" i="5"/>
  <c r="Z134" i="5"/>
  <c r="U136" i="5"/>
  <c r="Z136" i="5"/>
  <c r="U138" i="5"/>
  <c r="Z138" i="5"/>
  <c r="U140" i="5"/>
  <c r="Z140" i="5"/>
  <c r="V143" i="5"/>
  <c r="Z143" i="5"/>
  <c r="U146" i="5"/>
  <c r="Z146" i="5"/>
  <c r="U148" i="5"/>
  <c r="Z148" i="5"/>
  <c r="U150" i="5"/>
  <c r="Z150" i="5"/>
  <c r="U152" i="5"/>
  <c r="Z152" i="5"/>
  <c r="V153" i="5"/>
  <c r="Z153" i="5"/>
  <c r="U154" i="5"/>
  <c r="Z154" i="5"/>
  <c r="V155" i="5"/>
  <c r="Z155" i="5"/>
  <c r="V159" i="5"/>
  <c r="Z159" i="5"/>
  <c r="V163" i="5"/>
  <c r="Z163" i="5"/>
  <c r="U164" i="5"/>
  <c r="Z164" i="5"/>
  <c r="V165" i="5"/>
  <c r="Z165" i="5"/>
  <c r="U168" i="5"/>
  <c r="Z168" i="5"/>
  <c r="V169" i="5"/>
  <c r="Z169" i="5"/>
  <c r="V173" i="5"/>
  <c r="Z173" i="5"/>
  <c r="W176" i="5"/>
  <c r="Z176" i="5"/>
  <c r="V179" i="5"/>
  <c r="Z179" i="5"/>
  <c r="V181" i="5"/>
  <c r="Z181" i="5"/>
  <c r="U182" i="5"/>
  <c r="Z182" i="5"/>
  <c r="U184" i="5"/>
  <c r="Z184" i="5"/>
  <c r="U186" i="5"/>
  <c r="Z186" i="5"/>
  <c r="V192" i="5"/>
  <c r="Z192" i="5"/>
  <c r="U194" i="5"/>
  <c r="Z194" i="5"/>
  <c r="U196" i="5"/>
  <c r="Z196" i="5"/>
  <c r="V199" i="5"/>
  <c r="Z199" i="5"/>
  <c r="U202" i="5"/>
  <c r="Z202" i="5"/>
  <c r="W204" i="5"/>
  <c r="Z204" i="5"/>
  <c r="V205" i="5"/>
  <c r="Z205" i="5"/>
  <c r="U208" i="5"/>
  <c r="Z208" i="5"/>
  <c r="V209" i="5"/>
  <c r="Z209" i="5"/>
  <c r="U210" i="5"/>
  <c r="Z210" i="5"/>
  <c r="U212" i="5"/>
  <c r="Z212" i="5"/>
  <c r="V213" i="5"/>
  <c r="Z213" i="5"/>
  <c r="U214" i="5"/>
  <c r="Z214" i="5"/>
  <c r="V215" i="5"/>
  <c r="Z215" i="5"/>
  <c r="U216" i="5"/>
  <c r="Z216" i="5"/>
  <c r="V219" i="5"/>
  <c r="Z219" i="5"/>
  <c r="V221" i="5"/>
  <c r="Z221" i="5"/>
  <c r="V225" i="5"/>
  <c r="Z225" i="5"/>
  <c r="U226" i="5"/>
  <c r="Z226" i="5"/>
  <c r="U228" i="5"/>
  <c r="Z228" i="5"/>
  <c r="V229" i="5"/>
  <c r="Z229" i="5"/>
  <c r="Z230" i="5"/>
  <c r="V231" i="5"/>
  <c r="Z231" i="5"/>
  <c r="Z232" i="5"/>
  <c r="V233" i="5"/>
  <c r="Z233" i="5"/>
  <c r="Z234" i="5"/>
  <c r="V235" i="5"/>
  <c r="Z235" i="5"/>
  <c r="V237" i="5"/>
  <c r="Z237" i="5"/>
  <c r="Z238" i="5"/>
  <c r="U243" i="5"/>
  <c r="Z243" i="5"/>
  <c r="V244" i="5"/>
  <c r="Z244" i="5"/>
  <c r="Z245" i="5"/>
  <c r="V250" i="5"/>
  <c r="Z250" i="5"/>
  <c r="Z251" i="5"/>
  <c r="V252" i="5"/>
  <c r="Z252" i="5"/>
  <c r="U253" i="5"/>
  <c r="Z253" i="5"/>
  <c r="V254" i="5"/>
  <c r="Z254" i="5"/>
  <c r="U255" i="5"/>
  <c r="Z255" i="5"/>
  <c r="U257" i="5"/>
  <c r="Z257" i="5"/>
  <c r="U259" i="5"/>
  <c r="Z259" i="5"/>
  <c r="U261" i="5"/>
  <c r="Z261" i="5"/>
  <c r="Z263" i="5"/>
  <c r="Z265" i="5"/>
  <c r="Z267" i="5"/>
  <c r="V268" i="5"/>
  <c r="Z268" i="5"/>
  <c r="U269" i="5"/>
  <c r="Z269" i="5"/>
  <c r="AB166" i="6"/>
  <c r="AA166" i="6"/>
  <c r="P249" i="5"/>
  <c r="P248" i="5"/>
  <c r="U258" i="5"/>
  <c r="Z258" i="5"/>
  <c r="AF224" i="5"/>
  <c r="AF220" i="5"/>
  <c r="AE194" i="5"/>
  <c r="AE258" i="5"/>
  <c r="AF225" i="5"/>
  <c r="AF222" i="5"/>
  <c r="AF219" i="5"/>
  <c r="AE195" i="5"/>
  <c r="AG241" i="5"/>
  <c r="W241" i="5"/>
  <c r="Z241" i="5"/>
  <c r="AG236" i="5"/>
  <c r="W236" i="5"/>
  <c r="Z236" i="5"/>
  <c r="S248" i="5"/>
  <c r="U248" i="5"/>
  <c r="Z248" i="5"/>
  <c r="S249" i="5"/>
  <c r="V249" i="5"/>
  <c r="Z249" i="5"/>
  <c r="AE248" i="5"/>
  <c r="AF249" i="5"/>
  <c r="AB115" i="5"/>
  <c r="I117" i="6"/>
  <c r="Q136" i="4"/>
  <c r="Q213" i="4"/>
  <c r="Q255" i="4"/>
  <c r="AB117" i="6"/>
  <c r="AA117" i="6"/>
  <c r="D243" i="5"/>
  <c r="I156" i="6"/>
  <c r="AB156" i="6"/>
  <c r="H182" i="5"/>
  <c r="I180" i="6"/>
  <c r="AA180" i="6"/>
  <c r="Q230" i="4"/>
  <c r="I182" i="5"/>
  <c r="AA182" i="5"/>
  <c r="H271" i="5"/>
  <c r="G198" i="5"/>
  <c r="Q155" i="4"/>
  <c r="AE156" i="5"/>
  <c r="U156" i="5"/>
  <c r="Z156" i="5"/>
  <c r="G189" i="5"/>
  <c r="G188" i="5"/>
  <c r="F189" i="5"/>
  <c r="F188" i="5"/>
  <c r="L188" i="5"/>
  <c r="P188" i="5"/>
  <c r="S188" i="5"/>
  <c r="L189" i="5"/>
  <c r="G271" i="5"/>
  <c r="Q104" i="4"/>
  <c r="P189" i="5"/>
  <c r="S189" i="5"/>
  <c r="I187" i="6"/>
  <c r="AB187" i="6"/>
  <c r="AB103" i="5"/>
  <c r="I103" i="6"/>
  <c r="AB103" i="6"/>
  <c r="V189" i="5"/>
  <c r="Z189" i="5"/>
  <c r="AF188" i="5"/>
  <c r="V188" i="5"/>
  <c r="Z188" i="5"/>
  <c r="F198" i="5"/>
  <c r="D244" i="5"/>
  <c r="AF189" i="5"/>
  <c r="AB53" i="5"/>
  <c r="AE170" i="5"/>
  <c r="U170" i="5"/>
  <c r="Z170" i="5"/>
  <c r="D271" i="5"/>
  <c r="AF57" i="5"/>
  <c r="V57" i="5"/>
  <c r="Z57" i="5"/>
  <c r="AG43" i="4"/>
  <c r="AF43" i="4"/>
  <c r="AC43" i="4"/>
  <c r="AB43" i="4"/>
  <c r="W43" i="4"/>
  <c r="V43" i="4"/>
  <c r="P43" i="4"/>
  <c r="AE43" i="4"/>
  <c r="I43" i="4"/>
  <c r="AA43" i="4"/>
  <c r="S43" i="4"/>
  <c r="E43" i="5"/>
  <c r="I43" i="5"/>
  <c r="AA43" i="5"/>
  <c r="AE21" i="5"/>
  <c r="U21" i="5"/>
  <c r="Z21" i="5"/>
  <c r="F23" i="5"/>
  <c r="F271" i="5"/>
  <c r="H272" i="5"/>
  <c r="Y271" i="5"/>
  <c r="X282" i="5"/>
  <c r="X271" i="5"/>
  <c r="X279" i="5"/>
  <c r="T271" i="5"/>
  <c r="O271" i="5"/>
  <c r="M271" i="5"/>
  <c r="J271" i="5"/>
  <c r="I265" i="6"/>
  <c r="AA265" i="6"/>
  <c r="I264" i="6"/>
  <c r="AB264" i="6"/>
  <c r="I262" i="6"/>
  <c r="AA262" i="6"/>
  <c r="I261" i="6"/>
  <c r="AA261" i="6"/>
  <c r="I260" i="6"/>
  <c r="AA260" i="6"/>
  <c r="I259" i="6"/>
  <c r="AA259" i="6"/>
  <c r="I258" i="6"/>
  <c r="AA258" i="6"/>
  <c r="I257" i="6"/>
  <c r="AB257" i="6"/>
  <c r="I256" i="6"/>
  <c r="AA256" i="6"/>
  <c r="I255" i="6"/>
  <c r="AB255" i="6"/>
  <c r="I254" i="6"/>
  <c r="AB254" i="6"/>
  <c r="I252" i="6"/>
  <c r="AB252" i="6"/>
  <c r="I251" i="6"/>
  <c r="AA251" i="6"/>
  <c r="I250" i="6"/>
  <c r="AB250" i="6"/>
  <c r="I249" i="6"/>
  <c r="AC249" i="6"/>
  <c r="I248" i="6"/>
  <c r="AB248" i="6"/>
  <c r="I247" i="6"/>
  <c r="AB247" i="6"/>
  <c r="I246" i="6"/>
  <c r="AA246" i="6"/>
  <c r="I245" i="6"/>
  <c r="AA245" i="6"/>
  <c r="I244" i="6"/>
  <c r="AC244" i="6"/>
  <c r="I241" i="6"/>
  <c r="AA241" i="6"/>
  <c r="I240" i="6"/>
  <c r="AB240" i="6"/>
  <c r="I239" i="6"/>
  <c r="AB239" i="6"/>
  <c r="I238" i="6"/>
  <c r="AC238" i="6"/>
  <c r="I237" i="6"/>
  <c r="AB237" i="6"/>
  <c r="I236" i="6"/>
  <c r="AB236" i="6"/>
  <c r="I235" i="6"/>
  <c r="AB235" i="6"/>
  <c r="I234" i="6"/>
  <c r="AB234" i="6"/>
  <c r="I233" i="6"/>
  <c r="AB233" i="6"/>
  <c r="I232" i="6"/>
  <c r="AB232" i="6"/>
  <c r="I231" i="6"/>
  <c r="AB231" i="6"/>
  <c r="I230" i="6"/>
  <c r="AA230" i="6"/>
  <c r="I229" i="6"/>
  <c r="AA229" i="6"/>
  <c r="I228" i="6"/>
  <c r="AA228" i="6"/>
  <c r="I227" i="6"/>
  <c r="AB227" i="6"/>
  <c r="I226" i="6"/>
  <c r="AB226" i="6"/>
  <c r="I225" i="6"/>
  <c r="AB225" i="6"/>
  <c r="I224" i="6"/>
  <c r="AB224" i="6"/>
  <c r="I223" i="6"/>
  <c r="AB223" i="6"/>
  <c r="I222" i="6"/>
  <c r="AB222" i="6"/>
  <c r="I221" i="6"/>
  <c r="AB221" i="6"/>
  <c r="I220" i="6"/>
  <c r="AB220" i="6"/>
  <c r="I219" i="6"/>
  <c r="AA219" i="6"/>
  <c r="I217" i="6"/>
  <c r="AA217" i="6"/>
  <c r="I216" i="6"/>
  <c r="AB216" i="6"/>
  <c r="I214" i="6"/>
  <c r="AA214" i="6"/>
  <c r="I213" i="6"/>
  <c r="AB213" i="6"/>
  <c r="I210" i="6"/>
  <c r="AA210" i="6"/>
  <c r="I205" i="6"/>
  <c r="AB205" i="6"/>
  <c r="I204" i="6"/>
  <c r="AB204" i="6"/>
  <c r="I203" i="6"/>
  <c r="AC203" i="6"/>
  <c r="I202" i="6"/>
  <c r="AB202" i="6"/>
  <c r="I201" i="6"/>
  <c r="AA201" i="6"/>
  <c r="I200" i="6"/>
  <c r="AA200" i="6"/>
  <c r="I199" i="6"/>
  <c r="I198" i="6"/>
  <c r="I197" i="6"/>
  <c r="AB197" i="6"/>
  <c r="I196" i="6"/>
  <c r="AA196" i="6"/>
  <c r="I195" i="6"/>
  <c r="AA195" i="6"/>
  <c r="I194" i="6"/>
  <c r="AA194" i="6"/>
  <c r="I193" i="6"/>
  <c r="AA193" i="6"/>
  <c r="I191" i="6"/>
  <c r="AB191" i="6"/>
  <c r="I189" i="6"/>
  <c r="AB189" i="6"/>
  <c r="I186" i="6"/>
  <c r="AB186" i="6"/>
  <c r="I185" i="6"/>
  <c r="AA185" i="6"/>
  <c r="I184" i="6"/>
  <c r="AA184" i="6"/>
  <c r="I183" i="6"/>
  <c r="AA183" i="6"/>
  <c r="I182" i="6"/>
  <c r="AA182" i="6"/>
  <c r="I181" i="6"/>
  <c r="AA181" i="6"/>
  <c r="I179" i="6"/>
  <c r="AB179" i="6"/>
  <c r="I174" i="6"/>
  <c r="AA174" i="6"/>
  <c r="I173" i="6"/>
  <c r="AA173" i="6"/>
  <c r="I171" i="6"/>
  <c r="AA171" i="6"/>
  <c r="I170" i="6"/>
  <c r="AA170" i="6"/>
  <c r="I169" i="6"/>
  <c r="AB169" i="6"/>
  <c r="I161" i="6"/>
  <c r="AB161" i="6"/>
  <c r="I159" i="6"/>
  <c r="AA159" i="6"/>
  <c r="I158" i="6"/>
  <c r="AB158" i="6"/>
  <c r="I154" i="6"/>
  <c r="AA154" i="6"/>
  <c r="I153" i="6"/>
  <c r="AA153" i="6"/>
  <c r="I152" i="6"/>
  <c r="AA152" i="6"/>
  <c r="I151" i="6"/>
  <c r="AA151" i="6"/>
  <c r="I150" i="6"/>
  <c r="AA150" i="6"/>
  <c r="I149" i="6"/>
  <c r="AA149" i="6"/>
  <c r="I148" i="6"/>
  <c r="AA148" i="6"/>
  <c r="I147" i="6"/>
  <c r="AB147" i="6"/>
  <c r="I145" i="6"/>
  <c r="AB145" i="6"/>
  <c r="I143" i="6"/>
  <c r="AA143" i="6"/>
  <c r="I141" i="6"/>
  <c r="AA141" i="6"/>
  <c r="I140" i="6"/>
  <c r="AA140" i="6"/>
  <c r="I139" i="6"/>
  <c r="AA139" i="6"/>
  <c r="I138" i="6"/>
  <c r="AA138" i="6"/>
  <c r="I137" i="6"/>
  <c r="AA137" i="6"/>
  <c r="I136" i="6"/>
  <c r="AA136" i="6"/>
  <c r="I135" i="6"/>
  <c r="AA135" i="6"/>
  <c r="I134" i="6"/>
  <c r="AA134" i="6"/>
  <c r="I133" i="6"/>
  <c r="AA133" i="6"/>
  <c r="I132" i="6"/>
  <c r="AA132" i="6"/>
  <c r="I131" i="6"/>
  <c r="AB131" i="6"/>
  <c r="I129" i="6"/>
  <c r="AA129" i="6"/>
  <c r="I128" i="6"/>
  <c r="AA128" i="6"/>
  <c r="I127" i="6"/>
  <c r="AA127" i="6"/>
  <c r="I126" i="6"/>
  <c r="AA126" i="6"/>
  <c r="I125" i="6"/>
  <c r="AA125" i="6"/>
  <c r="I124" i="6"/>
  <c r="AA124" i="6"/>
  <c r="I123" i="6"/>
  <c r="AA123" i="6"/>
  <c r="I122" i="6"/>
  <c r="AA122" i="6"/>
  <c r="I121" i="6"/>
  <c r="AA121" i="6"/>
  <c r="I120" i="6"/>
  <c r="AA120" i="6"/>
  <c r="I119" i="6"/>
  <c r="AA119" i="6"/>
  <c r="I118" i="6"/>
  <c r="AA118" i="6"/>
  <c r="I116" i="6"/>
  <c r="AA116" i="6"/>
  <c r="I115" i="6"/>
  <c r="AA115" i="6"/>
  <c r="I114" i="6"/>
  <c r="AA114" i="6"/>
  <c r="I112" i="6"/>
  <c r="AB112" i="6"/>
  <c r="I109" i="6"/>
  <c r="AB109" i="6"/>
  <c r="I108" i="6"/>
  <c r="AA108" i="6"/>
  <c r="I107" i="6"/>
  <c r="AB107" i="6"/>
  <c r="I106" i="6"/>
  <c r="AB106" i="6"/>
  <c r="I104" i="6"/>
  <c r="AC104" i="6"/>
  <c r="I102" i="6"/>
  <c r="AB102" i="6"/>
  <c r="I101" i="6"/>
  <c r="AB101" i="6"/>
  <c r="I100" i="6"/>
  <c r="AA100" i="6"/>
  <c r="I99" i="6"/>
  <c r="AA99" i="6"/>
  <c r="I98" i="6"/>
  <c r="AA98" i="6"/>
  <c r="AG19" i="5"/>
  <c r="AG271" i="5"/>
  <c r="AF19" i="5"/>
  <c r="AC19" i="5"/>
  <c r="AB19" i="5"/>
  <c r="W19" i="5"/>
  <c r="V19" i="5"/>
  <c r="L264" i="4"/>
  <c r="AD260" i="4"/>
  <c r="Y258" i="4"/>
  <c r="X269" i="4"/>
  <c r="X258" i="4"/>
  <c r="X266" i="4"/>
  <c r="Q258" i="4"/>
  <c r="J258" i="4"/>
  <c r="L267" i="4"/>
  <c r="AB198" i="6"/>
  <c r="AA198" i="6"/>
  <c r="AB72" i="6"/>
  <c r="AB199" i="6"/>
  <c r="AA199" i="6"/>
  <c r="L271" i="5"/>
  <c r="I111" i="6"/>
  <c r="AB111" i="6"/>
  <c r="I91" i="6"/>
  <c r="AB91" i="6"/>
  <c r="I97" i="6"/>
  <c r="AA97" i="6"/>
  <c r="AB128" i="5"/>
  <c r="I130" i="6"/>
  <c r="AB130" i="6"/>
  <c r="AA154" i="5"/>
  <c r="I157" i="6"/>
  <c r="AA157" i="6"/>
  <c r="I160" i="6"/>
  <c r="AA160" i="6"/>
  <c r="S271" i="5"/>
  <c r="AE19" i="5"/>
  <c r="AE271" i="5"/>
  <c r="P271" i="5"/>
  <c r="L278" i="5"/>
  <c r="L272" i="5"/>
  <c r="U19" i="5"/>
  <c r="Z19" i="5"/>
  <c r="L148" i="4"/>
  <c r="P148" i="4"/>
  <c r="AF223" i="5"/>
  <c r="AF271" i="5"/>
  <c r="V223" i="5"/>
  <c r="Z223" i="5"/>
  <c r="H179" i="4"/>
  <c r="W271" i="5"/>
  <c r="X284" i="5"/>
  <c r="V271" i="5"/>
  <c r="X281" i="5"/>
  <c r="U271" i="5"/>
  <c r="K100" i="4"/>
  <c r="K228" i="4"/>
  <c r="K230" i="4"/>
  <c r="K235" i="4"/>
  <c r="K236" i="4"/>
  <c r="K258" i="4"/>
  <c r="I247" i="4"/>
  <c r="AC247" i="4"/>
  <c r="I169" i="4"/>
  <c r="AC169" i="4"/>
  <c r="F156" i="4"/>
  <c r="G156" i="4"/>
  <c r="H156" i="4"/>
  <c r="I156" i="4"/>
  <c r="AB156" i="4"/>
  <c r="I121" i="4"/>
  <c r="I71" i="4"/>
  <c r="AA71" i="4"/>
  <c r="I42" i="4"/>
  <c r="AA42" i="4"/>
  <c r="D33" i="4"/>
  <c r="D50" i="4"/>
  <c r="D123" i="4"/>
  <c r="D152" i="4"/>
  <c r="D155" i="4"/>
  <c r="D179" i="4"/>
  <c r="D180" i="4"/>
  <c r="D186" i="4"/>
  <c r="D207" i="4"/>
  <c r="D224" i="4"/>
  <c r="D235" i="4"/>
  <c r="D236" i="4"/>
  <c r="D255" i="4"/>
  <c r="D258" i="4"/>
  <c r="X278" i="5"/>
  <c r="X285" i="5"/>
  <c r="W276" i="5"/>
  <c r="W285" i="5"/>
  <c r="F104" i="4"/>
  <c r="G104" i="4"/>
  <c r="L104" i="4"/>
  <c r="P104" i="4"/>
  <c r="W257" i="4"/>
  <c r="V257" i="4"/>
  <c r="U257" i="4"/>
  <c r="W256" i="4"/>
  <c r="V256" i="4"/>
  <c r="W255" i="4"/>
  <c r="W254" i="4"/>
  <c r="V254" i="4"/>
  <c r="U254" i="4"/>
  <c r="W253" i="4"/>
  <c r="V253" i="4"/>
  <c r="U253" i="4"/>
  <c r="W252" i="4"/>
  <c r="V252" i="4"/>
  <c r="U252" i="4"/>
  <c r="W251" i="4"/>
  <c r="V251" i="4"/>
  <c r="U251" i="4"/>
  <c r="W250" i="4"/>
  <c r="V250" i="4"/>
  <c r="U250" i="4"/>
  <c r="W249" i="4"/>
  <c r="V249" i="4"/>
  <c r="W248" i="4"/>
  <c r="V248" i="4"/>
  <c r="W247" i="4"/>
  <c r="V247" i="4"/>
  <c r="U247" i="4"/>
  <c r="W246" i="4"/>
  <c r="V246" i="4"/>
  <c r="W245" i="4"/>
  <c r="V245" i="4"/>
  <c r="W244" i="4"/>
  <c r="V244" i="4"/>
  <c r="W243" i="4"/>
  <c r="V243" i="4"/>
  <c r="W242" i="4"/>
  <c r="V242" i="4"/>
  <c r="W241" i="4"/>
  <c r="U241" i="4"/>
  <c r="W240" i="4"/>
  <c r="V240" i="4"/>
  <c r="W239" i="4"/>
  <c r="W238" i="4"/>
  <c r="W237" i="4"/>
  <c r="U237" i="4"/>
  <c r="W236" i="4"/>
  <c r="U236" i="4"/>
  <c r="W235" i="4"/>
  <c r="V235" i="4"/>
  <c r="W234" i="4"/>
  <c r="U234" i="4"/>
  <c r="V233" i="4"/>
  <c r="U233" i="4"/>
  <c r="W232" i="4"/>
  <c r="U232" i="4"/>
  <c r="W231" i="4"/>
  <c r="U231" i="4"/>
  <c r="W230" i="4"/>
  <c r="V230" i="4"/>
  <c r="W229" i="4"/>
  <c r="V229" i="4"/>
  <c r="V228" i="4"/>
  <c r="U228" i="4"/>
  <c r="W227" i="4"/>
  <c r="V227" i="4"/>
  <c r="W226" i="4"/>
  <c r="U226" i="4"/>
  <c r="W225" i="4"/>
  <c r="U225" i="4"/>
  <c r="V224" i="4"/>
  <c r="W223" i="4"/>
  <c r="W222" i="4"/>
  <c r="W221" i="4"/>
  <c r="U221" i="4"/>
  <c r="W220" i="4"/>
  <c r="U220" i="4"/>
  <c r="W219" i="4"/>
  <c r="U219" i="4"/>
  <c r="W218" i="4"/>
  <c r="U218" i="4"/>
  <c r="W217" i="4"/>
  <c r="U217" i="4"/>
  <c r="W216" i="4"/>
  <c r="V216" i="4"/>
  <c r="W215" i="4"/>
  <c r="V215" i="4"/>
  <c r="W214" i="4"/>
  <c r="V214" i="4"/>
  <c r="W213" i="4"/>
  <c r="U213" i="4"/>
  <c r="W212" i="4"/>
  <c r="U212" i="4"/>
  <c r="W211" i="4"/>
  <c r="U211" i="4"/>
  <c r="W210" i="4"/>
  <c r="U210" i="4"/>
  <c r="W209" i="4"/>
  <c r="U209" i="4"/>
  <c r="W208" i="4"/>
  <c r="U208" i="4"/>
  <c r="W207" i="4"/>
  <c r="U207" i="4"/>
  <c r="W206" i="4"/>
  <c r="U206" i="4"/>
  <c r="W205" i="4"/>
  <c r="V205" i="4"/>
  <c r="W204" i="4"/>
  <c r="V204" i="4"/>
  <c r="W203" i="4"/>
  <c r="U203" i="4"/>
  <c r="W202" i="4"/>
  <c r="V202" i="4"/>
  <c r="W201" i="4"/>
  <c r="U201" i="4"/>
  <c r="W200" i="4"/>
  <c r="V200" i="4"/>
  <c r="W199" i="4"/>
  <c r="V199" i="4"/>
  <c r="W198" i="4"/>
  <c r="V198" i="4"/>
  <c r="W197" i="4"/>
  <c r="U197" i="4"/>
  <c r="W196" i="4"/>
  <c r="V196" i="4"/>
  <c r="W195" i="4"/>
  <c r="V195" i="4"/>
  <c r="W194" i="4"/>
  <c r="U194" i="4"/>
  <c r="W193" i="4"/>
  <c r="U193" i="4"/>
  <c r="V192" i="4"/>
  <c r="U192" i="4"/>
  <c r="W191" i="4"/>
  <c r="V191" i="4"/>
  <c r="W190" i="4"/>
  <c r="V190" i="4"/>
  <c r="W189" i="4"/>
  <c r="V189" i="4"/>
  <c r="W188" i="4"/>
  <c r="U188" i="4"/>
  <c r="W187" i="4"/>
  <c r="U187" i="4"/>
  <c r="W186" i="4"/>
  <c r="U186" i="4"/>
  <c r="W185" i="4"/>
  <c r="V185" i="4"/>
  <c r="W184" i="4"/>
  <c r="V184" i="4"/>
  <c r="W183" i="4"/>
  <c r="V183" i="4"/>
  <c r="W182" i="4"/>
  <c r="V182" i="4"/>
  <c r="W181" i="4"/>
  <c r="U181" i="4"/>
  <c r="W180" i="4"/>
  <c r="U180" i="4"/>
  <c r="W179" i="4"/>
  <c r="U179" i="4"/>
  <c r="W178" i="4"/>
  <c r="U178" i="4"/>
  <c r="W177" i="4"/>
  <c r="V177" i="4"/>
  <c r="W176" i="4"/>
  <c r="V176" i="4"/>
  <c r="W175" i="4"/>
  <c r="V175" i="4"/>
  <c r="W174" i="4"/>
  <c r="V174" i="4"/>
  <c r="W173" i="4"/>
  <c r="V173" i="4"/>
  <c r="W172" i="4"/>
  <c r="U172" i="4"/>
  <c r="W171" i="4"/>
  <c r="U171" i="4"/>
  <c r="W170" i="4"/>
  <c r="U170" i="4"/>
  <c r="V169" i="4"/>
  <c r="U169" i="4"/>
  <c r="V168" i="4"/>
  <c r="U168" i="4"/>
  <c r="W167" i="4"/>
  <c r="U167" i="4"/>
  <c r="W166" i="4"/>
  <c r="U166" i="4"/>
  <c r="W165" i="4"/>
  <c r="U165" i="4"/>
  <c r="W164" i="4"/>
  <c r="V164" i="4"/>
  <c r="W163" i="4"/>
  <c r="V163" i="4"/>
  <c r="W162" i="4"/>
  <c r="W161" i="4"/>
  <c r="V161" i="4"/>
  <c r="W160" i="4"/>
  <c r="V160" i="4"/>
  <c r="W159" i="4"/>
  <c r="U159" i="4"/>
  <c r="W158" i="4"/>
  <c r="U158" i="4"/>
  <c r="W157" i="4"/>
  <c r="V157" i="4"/>
  <c r="W156" i="4"/>
  <c r="U156" i="4"/>
  <c r="W155" i="4"/>
  <c r="U155" i="4"/>
  <c r="W154" i="4"/>
  <c r="V154" i="4"/>
  <c r="W153" i="4"/>
  <c r="U153" i="4"/>
  <c r="W152" i="4"/>
  <c r="U152" i="4"/>
  <c r="W151" i="4"/>
  <c r="U151" i="4"/>
  <c r="W150" i="4"/>
  <c r="V150" i="4"/>
  <c r="W149" i="4"/>
  <c r="V149" i="4"/>
  <c r="W148" i="4"/>
  <c r="U148" i="4"/>
  <c r="W147" i="4"/>
  <c r="U147" i="4"/>
  <c r="W146" i="4"/>
  <c r="V146" i="4"/>
  <c r="W145" i="4"/>
  <c r="V145" i="4"/>
  <c r="W144" i="4"/>
  <c r="V144" i="4"/>
  <c r="W143" i="4"/>
  <c r="V143" i="4"/>
  <c r="W142" i="4"/>
  <c r="V142" i="4"/>
  <c r="W141" i="4"/>
  <c r="V141" i="4"/>
  <c r="W140" i="4"/>
  <c r="V140" i="4"/>
  <c r="W139" i="4"/>
  <c r="V139" i="4"/>
  <c r="W138" i="4"/>
  <c r="U138" i="4"/>
  <c r="W137" i="4"/>
  <c r="U137" i="4"/>
  <c r="W136" i="4"/>
  <c r="U136" i="4"/>
  <c r="W135" i="4"/>
  <c r="V135" i="4"/>
  <c r="W134" i="4"/>
  <c r="V134" i="4"/>
  <c r="W133" i="4"/>
  <c r="V133" i="4"/>
  <c r="W132" i="4"/>
  <c r="V132" i="4"/>
  <c r="W131" i="4"/>
  <c r="V131" i="4"/>
  <c r="W130" i="4"/>
  <c r="V130" i="4"/>
  <c r="W129" i="4"/>
  <c r="V129" i="4"/>
  <c r="W128" i="4"/>
  <c r="V128" i="4"/>
  <c r="W127" i="4"/>
  <c r="V127" i="4"/>
  <c r="W126" i="4"/>
  <c r="V126" i="4"/>
  <c r="W125" i="4"/>
  <c r="V125" i="4"/>
  <c r="W124" i="4"/>
  <c r="V124" i="4"/>
  <c r="W123" i="4"/>
  <c r="U123" i="4"/>
  <c r="W122" i="4"/>
  <c r="U122" i="4"/>
  <c r="W121" i="4"/>
  <c r="V121" i="4"/>
  <c r="W120" i="4"/>
  <c r="V120" i="4"/>
  <c r="W119" i="4"/>
  <c r="V119" i="4"/>
  <c r="W118" i="4"/>
  <c r="V118" i="4"/>
  <c r="W117" i="4"/>
  <c r="V117" i="4"/>
  <c r="W116" i="4"/>
  <c r="V116" i="4"/>
  <c r="W115" i="4"/>
  <c r="V115" i="4"/>
  <c r="W114" i="4"/>
  <c r="V114" i="4"/>
  <c r="W113" i="4"/>
  <c r="V113" i="4"/>
  <c r="W112" i="4"/>
  <c r="V112" i="4"/>
  <c r="W111" i="4"/>
  <c r="V111" i="4"/>
  <c r="W110" i="4"/>
  <c r="V110" i="4"/>
  <c r="W109" i="4"/>
  <c r="V109" i="4"/>
  <c r="W108" i="4"/>
  <c r="V108" i="4"/>
  <c r="W107" i="4"/>
  <c r="V107" i="4"/>
  <c r="W106" i="4"/>
  <c r="U106" i="4"/>
  <c r="W105" i="4"/>
  <c r="U105" i="4"/>
  <c r="W104" i="4"/>
  <c r="U104" i="4"/>
  <c r="W103" i="4"/>
  <c r="V103" i="4"/>
  <c r="W102" i="4"/>
  <c r="U102" i="4"/>
  <c r="W101" i="4"/>
  <c r="U101" i="4"/>
  <c r="V100" i="4"/>
  <c r="U100" i="4"/>
  <c r="W99" i="4"/>
  <c r="U99" i="4"/>
  <c r="W98" i="4"/>
  <c r="U98" i="4"/>
  <c r="W97" i="4"/>
  <c r="V97" i="4"/>
  <c r="W96" i="4"/>
  <c r="V96" i="4"/>
  <c r="W95" i="4"/>
  <c r="V95" i="4"/>
  <c r="W94" i="4"/>
  <c r="V94" i="4"/>
  <c r="W93" i="4"/>
  <c r="V93" i="4"/>
  <c r="W92" i="4"/>
  <c r="V92" i="4"/>
  <c r="W91" i="4"/>
  <c r="U91" i="4"/>
  <c r="W90" i="4"/>
  <c r="U90" i="4"/>
  <c r="W89" i="4"/>
  <c r="U89" i="4"/>
  <c r="W88" i="4"/>
  <c r="U88" i="4"/>
  <c r="W87" i="4"/>
  <c r="U87" i="4"/>
  <c r="W86" i="4"/>
  <c r="V86" i="4"/>
  <c r="W85" i="4"/>
  <c r="U85" i="4"/>
  <c r="W84" i="4"/>
  <c r="U84" i="4"/>
  <c r="W83" i="4"/>
  <c r="V83" i="4"/>
  <c r="W82" i="4"/>
  <c r="U82" i="4"/>
  <c r="W81" i="4"/>
  <c r="V81" i="4"/>
  <c r="W80" i="4"/>
  <c r="U80" i="4"/>
  <c r="W79" i="4"/>
  <c r="V79" i="4"/>
  <c r="W78" i="4"/>
  <c r="V78" i="4"/>
  <c r="W77" i="4"/>
  <c r="V77" i="4"/>
  <c r="W76" i="4"/>
  <c r="V76" i="4"/>
  <c r="W75" i="4"/>
  <c r="V75" i="4"/>
  <c r="W74" i="4"/>
  <c r="V74" i="4"/>
  <c r="W73" i="4"/>
  <c r="V73" i="4"/>
  <c r="W72" i="4"/>
  <c r="V72" i="4"/>
  <c r="W71" i="4"/>
  <c r="V71" i="4"/>
  <c r="W70" i="4"/>
  <c r="U70" i="4"/>
  <c r="W69" i="4"/>
  <c r="V69" i="4"/>
  <c r="W68" i="4"/>
  <c r="V68" i="4"/>
  <c r="W67" i="4"/>
  <c r="V67" i="4"/>
  <c r="W66" i="4"/>
  <c r="V66" i="4"/>
  <c r="W65" i="4"/>
  <c r="V65" i="4"/>
  <c r="W64" i="4"/>
  <c r="U64" i="4"/>
  <c r="W63" i="4"/>
  <c r="U63" i="4"/>
  <c r="W62" i="4"/>
  <c r="U62" i="4"/>
  <c r="W61" i="4"/>
  <c r="U61" i="4"/>
  <c r="W60" i="4"/>
  <c r="U60" i="4"/>
  <c r="W59" i="4"/>
  <c r="V59" i="4"/>
  <c r="W58" i="4"/>
  <c r="U58" i="4"/>
  <c r="W57" i="4"/>
  <c r="U57" i="4"/>
  <c r="W56" i="4"/>
  <c r="U56" i="4"/>
  <c r="W55" i="4"/>
  <c r="U55" i="4"/>
  <c r="W54" i="4"/>
  <c r="V54" i="4"/>
  <c r="W53" i="4"/>
  <c r="V53" i="4"/>
  <c r="W52" i="4"/>
  <c r="V52" i="4"/>
  <c r="W50" i="4"/>
  <c r="U50" i="4"/>
  <c r="W49" i="4"/>
  <c r="V49" i="4"/>
  <c r="W48" i="4"/>
  <c r="U48" i="4"/>
  <c r="W47" i="4"/>
  <c r="U47" i="4"/>
  <c r="W46" i="4"/>
  <c r="V46" i="4"/>
  <c r="W45" i="4"/>
  <c r="V45" i="4"/>
  <c r="V44" i="4"/>
  <c r="U44" i="4"/>
  <c r="W42" i="4"/>
  <c r="V42" i="4"/>
  <c r="W41" i="4"/>
  <c r="V41" i="4"/>
  <c r="W40" i="4"/>
  <c r="V40" i="4"/>
  <c r="W39" i="4"/>
  <c r="V39" i="4"/>
  <c r="W38" i="4"/>
  <c r="V38" i="4"/>
  <c r="W37" i="4"/>
  <c r="V37" i="4"/>
  <c r="W36" i="4"/>
  <c r="V36" i="4"/>
  <c r="W35" i="4"/>
  <c r="V35" i="4"/>
  <c r="W34" i="4"/>
  <c r="U34" i="4"/>
  <c r="W33" i="4"/>
  <c r="U33" i="4"/>
  <c r="W32" i="4"/>
  <c r="V32" i="4"/>
  <c r="W31" i="4"/>
  <c r="U31" i="4"/>
  <c r="W30" i="4"/>
  <c r="U30" i="4"/>
  <c r="W29" i="4"/>
  <c r="U29" i="4"/>
  <c r="W28" i="4"/>
  <c r="V28" i="4"/>
  <c r="W27" i="4"/>
  <c r="V27" i="4"/>
  <c r="W26" i="4"/>
  <c r="V26" i="4"/>
  <c r="W25" i="4"/>
  <c r="V25" i="4"/>
  <c r="W24" i="4"/>
  <c r="V24" i="4"/>
  <c r="W23" i="4"/>
  <c r="V23" i="4"/>
  <c r="W22" i="4"/>
  <c r="U22" i="4"/>
  <c r="W21" i="4"/>
  <c r="V21" i="4"/>
  <c r="W20" i="4"/>
  <c r="U20" i="4"/>
  <c r="AC257" i="4"/>
  <c r="AB257" i="4"/>
  <c r="AA257" i="4"/>
  <c r="AC256" i="4"/>
  <c r="AB256" i="4"/>
  <c r="AC255" i="4"/>
  <c r="AC254" i="4"/>
  <c r="AB254" i="4"/>
  <c r="AA254" i="4"/>
  <c r="AC253" i="4"/>
  <c r="AB253" i="4"/>
  <c r="AA253" i="4"/>
  <c r="AC252" i="4"/>
  <c r="AB252" i="4"/>
  <c r="AA252" i="4"/>
  <c r="AC251" i="4"/>
  <c r="AB251" i="4"/>
  <c r="AA251" i="4"/>
  <c r="AC250" i="4"/>
  <c r="AB250" i="4"/>
  <c r="AA250" i="4"/>
  <c r="AC249" i="4"/>
  <c r="AB249" i="4"/>
  <c r="AC248" i="4"/>
  <c r="AB248" i="4"/>
  <c r="AB247" i="4"/>
  <c r="AA247" i="4"/>
  <c r="AC246" i="4"/>
  <c r="AB246" i="4"/>
  <c r="AC245" i="4"/>
  <c r="AB245" i="4"/>
  <c r="AC244" i="4"/>
  <c r="AB244" i="4"/>
  <c r="AC243" i="4"/>
  <c r="AB243" i="4"/>
  <c r="AC242" i="4"/>
  <c r="AB242" i="4"/>
  <c r="AC241" i="4"/>
  <c r="AA241" i="4"/>
  <c r="AC240" i="4"/>
  <c r="AB240" i="4"/>
  <c r="AC239" i="4"/>
  <c r="AC238" i="4"/>
  <c r="AC237" i="4"/>
  <c r="AA237" i="4"/>
  <c r="AC236" i="4"/>
  <c r="AA236" i="4"/>
  <c r="AC235" i="4"/>
  <c r="AB235" i="4"/>
  <c r="AC234" i="4"/>
  <c r="AA234" i="4"/>
  <c r="AB233" i="4"/>
  <c r="AA233" i="4"/>
  <c r="AC232" i="4"/>
  <c r="AA232" i="4"/>
  <c r="AC231" i="4"/>
  <c r="AA231" i="4"/>
  <c r="AC230" i="4"/>
  <c r="AB230" i="4"/>
  <c r="AC229" i="4"/>
  <c r="AB229" i="4"/>
  <c r="AB228" i="4"/>
  <c r="AA228" i="4"/>
  <c r="AC227" i="4"/>
  <c r="AB227" i="4"/>
  <c r="AC226" i="4"/>
  <c r="AA226" i="4"/>
  <c r="AC225" i="4"/>
  <c r="AA225" i="4"/>
  <c r="AB224" i="4"/>
  <c r="AC223" i="4"/>
  <c r="AC222" i="4"/>
  <c r="AC221" i="4"/>
  <c r="AA221" i="4"/>
  <c r="AC220" i="4"/>
  <c r="AA220" i="4"/>
  <c r="AC219" i="4"/>
  <c r="AA219" i="4"/>
  <c r="AC218" i="4"/>
  <c r="AA218" i="4"/>
  <c r="AC217" i="4"/>
  <c r="AA217" i="4"/>
  <c r="AC216" i="4"/>
  <c r="AB216" i="4"/>
  <c r="AC215" i="4"/>
  <c r="AB215" i="4"/>
  <c r="AC214" i="4"/>
  <c r="AB214" i="4"/>
  <c r="AC213" i="4"/>
  <c r="AA213" i="4"/>
  <c r="AC212" i="4"/>
  <c r="AA212" i="4"/>
  <c r="AC211" i="4"/>
  <c r="AA211" i="4"/>
  <c r="AC210" i="4"/>
  <c r="AA210" i="4"/>
  <c r="AC209" i="4"/>
  <c r="AA209" i="4"/>
  <c r="AC208" i="4"/>
  <c r="AA208" i="4"/>
  <c r="AC207" i="4"/>
  <c r="AA207" i="4"/>
  <c r="AC206" i="4"/>
  <c r="AA206" i="4"/>
  <c r="AC205" i="4"/>
  <c r="AB205" i="4"/>
  <c r="AC204" i="4"/>
  <c r="AB204" i="4"/>
  <c r="AC203" i="4"/>
  <c r="AA203" i="4"/>
  <c r="AC202" i="4"/>
  <c r="AB202" i="4"/>
  <c r="AC201" i="4"/>
  <c r="AA201" i="4"/>
  <c r="AC200" i="4"/>
  <c r="AB200" i="4"/>
  <c r="AC199" i="4"/>
  <c r="AB199" i="4"/>
  <c r="AC198" i="4"/>
  <c r="AB198" i="4"/>
  <c r="AC197" i="4"/>
  <c r="AA197" i="4"/>
  <c r="AC196" i="4"/>
  <c r="AB196" i="4"/>
  <c r="AC195" i="4"/>
  <c r="AB195" i="4"/>
  <c r="AC194" i="4"/>
  <c r="AA194" i="4"/>
  <c r="AC193" i="4"/>
  <c r="AA193" i="4"/>
  <c r="AB192" i="4"/>
  <c r="AA192" i="4"/>
  <c r="AC191" i="4"/>
  <c r="AB191" i="4"/>
  <c r="AC190" i="4"/>
  <c r="AB190" i="4"/>
  <c r="AC189" i="4"/>
  <c r="AB189" i="4"/>
  <c r="AC188" i="4"/>
  <c r="AA188" i="4"/>
  <c r="AC187" i="4"/>
  <c r="AA187" i="4"/>
  <c r="AC186" i="4"/>
  <c r="AA186" i="4"/>
  <c r="AC185" i="4"/>
  <c r="AB185" i="4"/>
  <c r="AC184" i="4"/>
  <c r="AB184" i="4"/>
  <c r="AC183" i="4"/>
  <c r="AB183" i="4"/>
  <c r="AC182" i="4"/>
  <c r="AB182" i="4"/>
  <c r="AC181" i="4"/>
  <c r="AA181" i="4"/>
  <c r="AC180" i="4"/>
  <c r="AA180" i="4"/>
  <c r="AC179" i="4"/>
  <c r="AA179" i="4"/>
  <c r="AC178" i="4"/>
  <c r="AA178" i="4"/>
  <c r="AC177" i="4"/>
  <c r="AB177" i="4"/>
  <c r="AC176" i="4"/>
  <c r="AB176" i="4"/>
  <c r="AC175" i="4"/>
  <c r="AB175" i="4"/>
  <c r="AC174" i="4"/>
  <c r="AB174" i="4"/>
  <c r="AC173" i="4"/>
  <c r="AB173" i="4"/>
  <c r="AC172" i="4"/>
  <c r="AA172" i="4"/>
  <c r="AC171" i="4"/>
  <c r="AA171" i="4"/>
  <c r="AC170" i="4"/>
  <c r="AA170" i="4"/>
  <c r="AB169" i="4"/>
  <c r="AA169" i="4"/>
  <c r="AB168" i="4"/>
  <c r="AA168" i="4"/>
  <c r="AC167" i="4"/>
  <c r="AA167" i="4"/>
  <c r="AC166" i="4"/>
  <c r="AA166" i="4"/>
  <c r="AC165" i="4"/>
  <c r="AA165" i="4"/>
  <c r="AC164" i="4"/>
  <c r="AB164" i="4"/>
  <c r="AC163" i="4"/>
  <c r="AB163" i="4"/>
  <c r="AC162" i="4"/>
  <c r="AC161" i="4"/>
  <c r="AB161" i="4"/>
  <c r="AC160" i="4"/>
  <c r="AB160" i="4"/>
  <c r="AC159" i="4"/>
  <c r="AA159" i="4"/>
  <c r="AC158" i="4"/>
  <c r="AA158" i="4"/>
  <c r="AC157" i="4"/>
  <c r="AB157" i="4"/>
  <c r="AC156" i="4"/>
  <c r="AA156" i="4"/>
  <c r="AC155" i="4"/>
  <c r="AA155" i="4"/>
  <c r="AC154" i="4"/>
  <c r="AB154" i="4"/>
  <c r="AC153" i="4"/>
  <c r="AA153" i="4"/>
  <c r="AC152" i="4"/>
  <c r="AA152" i="4"/>
  <c r="AC151" i="4"/>
  <c r="AA151" i="4"/>
  <c r="AC150" i="4"/>
  <c r="AB150" i="4"/>
  <c r="AC149" i="4"/>
  <c r="AB149" i="4"/>
  <c r="AC148" i="4"/>
  <c r="AA148" i="4"/>
  <c r="AC147" i="4"/>
  <c r="AA147" i="4"/>
  <c r="AC146" i="4"/>
  <c r="AB146" i="4"/>
  <c r="AC145" i="4"/>
  <c r="AB145" i="4"/>
  <c r="AC144" i="4"/>
  <c r="AB144" i="4"/>
  <c r="AC143" i="4"/>
  <c r="AB143" i="4"/>
  <c r="AC142" i="4"/>
  <c r="AB142" i="4"/>
  <c r="AC141" i="4"/>
  <c r="AB141" i="4"/>
  <c r="AC140" i="4"/>
  <c r="AB140" i="4"/>
  <c r="AC139" i="4"/>
  <c r="AB139" i="4"/>
  <c r="AC138" i="4"/>
  <c r="AA138" i="4"/>
  <c r="AC137" i="4"/>
  <c r="AA137" i="4"/>
  <c r="AC136" i="4"/>
  <c r="AA136" i="4"/>
  <c r="AC135" i="4"/>
  <c r="AB135" i="4"/>
  <c r="AC134" i="4"/>
  <c r="AB134" i="4"/>
  <c r="AC133" i="4"/>
  <c r="AB133" i="4"/>
  <c r="AC132" i="4"/>
  <c r="AB132" i="4"/>
  <c r="AC131" i="4"/>
  <c r="AB131" i="4"/>
  <c r="AC130" i="4"/>
  <c r="AB130" i="4"/>
  <c r="AC129" i="4"/>
  <c r="AB129" i="4"/>
  <c r="AC128" i="4"/>
  <c r="AB128" i="4"/>
  <c r="AC127" i="4"/>
  <c r="AB127" i="4"/>
  <c r="AC126" i="4"/>
  <c r="AB126" i="4"/>
  <c r="AC125" i="4"/>
  <c r="AB125" i="4"/>
  <c r="AC124" i="4"/>
  <c r="AB124" i="4"/>
  <c r="AC123" i="4"/>
  <c r="AA123" i="4"/>
  <c r="AC122" i="4"/>
  <c r="AA122" i="4"/>
  <c r="AC121" i="4"/>
  <c r="AB121" i="4"/>
  <c r="AC120" i="4"/>
  <c r="AB120" i="4"/>
  <c r="AC119" i="4"/>
  <c r="AB119" i="4"/>
  <c r="AC118" i="4"/>
  <c r="AB118" i="4"/>
  <c r="AC117" i="4"/>
  <c r="AB117" i="4"/>
  <c r="AC116" i="4"/>
  <c r="AB116" i="4"/>
  <c r="AC115" i="4"/>
  <c r="AB115" i="4"/>
  <c r="AC114" i="4"/>
  <c r="AB114" i="4"/>
  <c r="AC113" i="4"/>
  <c r="AB113" i="4"/>
  <c r="AC112" i="4"/>
  <c r="AB112" i="4"/>
  <c r="AC111" i="4"/>
  <c r="AB111" i="4"/>
  <c r="AC110" i="4"/>
  <c r="AB110" i="4"/>
  <c r="AC109" i="4"/>
  <c r="AB109" i="4"/>
  <c r="AC108" i="4"/>
  <c r="AB108" i="4"/>
  <c r="AC107" i="4"/>
  <c r="AB107" i="4"/>
  <c r="AC106" i="4"/>
  <c r="AA106" i="4"/>
  <c r="AC105" i="4"/>
  <c r="AA105" i="4"/>
  <c r="AC104" i="4"/>
  <c r="AA104" i="4"/>
  <c r="AC103" i="4"/>
  <c r="AB103" i="4"/>
  <c r="AC102" i="4"/>
  <c r="AA102" i="4"/>
  <c r="AC101" i="4"/>
  <c r="AA101" i="4"/>
  <c r="AB100" i="4"/>
  <c r="AA100" i="4"/>
  <c r="AC99" i="4"/>
  <c r="AA99" i="4"/>
  <c r="AC98" i="4"/>
  <c r="AA98" i="4"/>
  <c r="AC97" i="4"/>
  <c r="AB97" i="4"/>
  <c r="AC96" i="4"/>
  <c r="AB96" i="4"/>
  <c r="AC95" i="4"/>
  <c r="AB95" i="4"/>
  <c r="AC94" i="4"/>
  <c r="AB94" i="4"/>
  <c r="AC93" i="4"/>
  <c r="AB93" i="4"/>
  <c r="AC92" i="4"/>
  <c r="AB92" i="4"/>
  <c r="AC91" i="4"/>
  <c r="AA91" i="4"/>
  <c r="AC90" i="4"/>
  <c r="AA90" i="4"/>
  <c r="AC89" i="4"/>
  <c r="AA89" i="4"/>
  <c r="AC88" i="4"/>
  <c r="AA88" i="4"/>
  <c r="AC87" i="4"/>
  <c r="AA87" i="4"/>
  <c r="AC86" i="4"/>
  <c r="AB86" i="4"/>
  <c r="AC85" i="4"/>
  <c r="AA85" i="4"/>
  <c r="AC84" i="4"/>
  <c r="AA84" i="4"/>
  <c r="AC83" i="4"/>
  <c r="AB83" i="4"/>
  <c r="AC82" i="4"/>
  <c r="AA82" i="4"/>
  <c r="AC81" i="4"/>
  <c r="AB81" i="4"/>
  <c r="AC80" i="4"/>
  <c r="AA80" i="4"/>
  <c r="AC79" i="4"/>
  <c r="AB79" i="4"/>
  <c r="AC78" i="4"/>
  <c r="AB78" i="4"/>
  <c r="AC77" i="4"/>
  <c r="AB77" i="4"/>
  <c r="AC76" i="4"/>
  <c r="AB76" i="4"/>
  <c r="AC75" i="4"/>
  <c r="AB75" i="4"/>
  <c r="AC74" i="4"/>
  <c r="AB74" i="4"/>
  <c r="AC73" i="4"/>
  <c r="AB73" i="4"/>
  <c r="AC72" i="4"/>
  <c r="AB72" i="4"/>
  <c r="AC71" i="4"/>
  <c r="AB71" i="4"/>
  <c r="AC70" i="4"/>
  <c r="AA70" i="4"/>
  <c r="AC69" i="4"/>
  <c r="AB69" i="4"/>
  <c r="AC68" i="4"/>
  <c r="AB68" i="4"/>
  <c r="AC67" i="4"/>
  <c r="AB67" i="4"/>
  <c r="AC66" i="4"/>
  <c r="AB66" i="4"/>
  <c r="AC65" i="4"/>
  <c r="AB65" i="4"/>
  <c r="AC64" i="4"/>
  <c r="AA64" i="4"/>
  <c r="AC63" i="4"/>
  <c r="AA63" i="4"/>
  <c r="AC62" i="4"/>
  <c r="AA62" i="4"/>
  <c r="AC61" i="4"/>
  <c r="AA61" i="4"/>
  <c r="AC60" i="4"/>
  <c r="AA60" i="4"/>
  <c r="AC59" i="4"/>
  <c r="AB59" i="4"/>
  <c r="AC58" i="4"/>
  <c r="AA58" i="4"/>
  <c r="AC57" i="4"/>
  <c r="AA57" i="4"/>
  <c r="AC56" i="4"/>
  <c r="AA56" i="4"/>
  <c r="AC55" i="4"/>
  <c r="AA55" i="4"/>
  <c r="AC54" i="4"/>
  <c r="AB54" i="4"/>
  <c r="AC53" i="4"/>
  <c r="AB53" i="4"/>
  <c r="AC52" i="4"/>
  <c r="AB52" i="4"/>
  <c r="AC50" i="4"/>
  <c r="AA50" i="4"/>
  <c r="AC49" i="4"/>
  <c r="AB49" i="4"/>
  <c r="AC48" i="4"/>
  <c r="AA48" i="4"/>
  <c r="AC47" i="4"/>
  <c r="AA47" i="4"/>
  <c r="AC46" i="4"/>
  <c r="AB46" i="4"/>
  <c r="AC45" i="4"/>
  <c r="AB45" i="4"/>
  <c r="AB44" i="4"/>
  <c r="AA44" i="4"/>
  <c r="AC42" i="4"/>
  <c r="AB42" i="4"/>
  <c r="AC41" i="4"/>
  <c r="AB41" i="4"/>
  <c r="AC40" i="4"/>
  <c r="AB40" i="4"/>
  <c r="AC39" i="4"/>
  <c r="AB39" i="4"/>
  <c r="AC38" i="4"/>
  <c r="AB38" i="4"/>
  <c r="AC37" i="4"/>
  <c r="AB37" i="4"/>
  <c r="AC36" i="4"/>
  <c r="AB36" i="4"/>
  <c r="AC35" i="4"/>
  <c r="AB35" i="4"/>
  <c r="AC34" i="4"/>
  <c r="AA34" i="4"/>
  <c r="AC33" i="4"/>
  <c r="AA33" i="4"/>
  <c r="AC32" i="4"/>
  <c r="AB32" i="4"/>
  <c r="AC31" i="4"/>
  <c r="AA31" i="4"/>
  <c r="AC30" i="4"/>
  <c r="AA30" i="4"/>
  <c r="AC29" i="4"/>
  <c r="AA29" i="4"/>
  <c r="AC28" i="4"/>
  <c r="AB28" i="4"/>
  <c r="AC27" i="4"/>
  <c r="AB27" i="4"/>
  <c r="AC26" i="4"/>
  <c r="AB26" i="4"/>
  <c r="AC25" i="4"/>
  <c r="AB25" i="4"/>
  <c r="AA25" i="4"/>
  <c r="AC24" i="4"/>
  <c r="AB24" i="4"/>
  <c r="AC23" i="4"/>
  <c r="AB23" i="4"/>
  <c r="AA23" i="4"/>
  <c r="AC22" i="4"/>
  <c r="AA22" i="4"/>
  <c r="AC21" i="4"/>
  <c r="AB21" i="4"/>
  <c r="AC20" i="4"/>
  <c r="AA20" i="4"/>
  <c r="AG257" i="4"/>
  <c r="AF257" i="4"/>
  <c r="AE257" i="4"/>
  <c r="AG256" i="4"/>
  <c r="AF256" i="4"/>
  <c r="AG255" i="4"/>
  <c r="AG254" i="4"/>
  <c r="AF254" i="4"/>
  <c r="AE254" i="4"/>
  <c r="AG253" i="4"/>
  <c r="AF253" i="4"/>
  <c r="AE253" i="4"/>
  <c r="AG252" i="4"/>
  <c r="AF252" i="4"/>
  <c r="AE252" i="4"/>
  <c r="AG251" i="4"/>
  <c r="AF251" i="4"/>
  <c r="AE251" i="4"/>
  <c r="AG250" i="4"/>
  <c r="AF250" i="4"/>
  <c r="AE250" i="4"/>
  <c r="AG249" i="4"/>
  <c r="AF249" i="4"/>
  <c r="AG248" i="4"/>
  <c r="AF248" i="4"/>
  <c r="AG247" i="4"/>
  <c r="AF247" i="4"/>
  <c r="AE247" i="4"/>
  <c r="AG246" i="4"/>
  <c r="AF246" i="4"/>
  <c r="AG245" i="4"/>
  <c r="AF245" i="4"/>
  <c r="AG244" i="4"/>
  <c r="AF244" i="4"/>
  <c r="AG243" i="4"/>
  <c r="AF243" i="4"/>
  <c r="AG242" i="4"/>
  <c r="AF242" i="4"/>
  <c r="AG241" i="4"/>
  <c r="AE241" i="4"/>
  <c r="AG240" i="4"/>
  <c r="AF240" i="4"/>
  <c r="AG239" i="4"/>
  <c r="AG238" i="4"/>
  <c r="AG237" i="4"/>
  <c r="AE237" i="4"/>
  <c r="AG236" i="4"/>
  <c r="AE236" i="4"/>
  <c r="AG235" i="4"/>
  <c r="AF235" i="4"/>
  <c r="AG234" i="4"/>
  <c r="AE234" i="4"/>
  <c r="AF233" i="4"/>
  <c r="AE233" i="4"/>
  <c r="AG232" i="4"/>
  <c r="AE232" i="4"/>
  <c r="AG231" i="4"/>
  <c r="AE231" i="4"/>
  <c r="AG230" i="4"/>
  <c r="AF230" i="4"/>
  <c r="AG229" i="4"/>
  <c r="AF229" i="4"/>
  <c r="AF228" i="4"/>
  <c r="AE228" i="4"/>
  <c r="AG227" i="4"/>
  <c r="AF227" i="4"/>
  <c r="AG226" i="4"/>
  <c r="AE226" i="4"/>
  <c r="AG225" i="4"/>
  <c r="AE225" i="4"/>
  <c r="AF224" i="4"/>
  <c r="AG223" i="4"/>
  <c r="AG222" i="4"/>
  <c r="AG221" i="4"/>
  <c r="AE221" i="4"/>
  <c r="AG220" i="4"/>
  <c r="AE220" i="4"/>
  <c r="AG219" i="4"/>
  <c r="AE219" i="4"/>
  <c r="AG218" i="4"/>
  <c r="AE218" i="4"/>
  <c r="AG217" i="4"/>
  <c r="AE217" i="4"/>
  <c r="AG216" i="4"/>
  <c r="AF216" i="4"/>
  <c r="AG215" i="4"/>
  <c r="AF215" i="4"/>
  <c r="AG214" i="4"/>
  <c r="AF214" i="4"/>
  <c r="AG213" i="4"/>
  <c r="AE213" i="4"/>
  <c r="AG212" i="4"/>
  <c r="AE212" i="4"/>
  <c r="AG211" i="4"/>
  <c r="AE211" i="4"/>
  <c r="AG210" i="4"/>
  <c r="AE210" i="4"/>
  <c r="AG209" i="4"/>
  <c r="AE209" i="4"/>
  <c r="AG208" i="4"/>
  <c r="AE208" i="4"/>
  <c r="AG207" i="4"/>
  <c r="AE207" i="4"/>
  <c r="AG206" i="4"/>
  <c r="AE206" i="4"/>
  <c r="AG205" i="4"/>
  <c r="AF205" i="4"/>
  <c r="AG204" i="4"/>
  <c r="AF204" i="4"/>
  <c r="AG203" i="4"/>
  <c r="AE203" i="4"/>
  <c r="AG202" i="4"/>
  <c r="AF202" i="4"/>
  <c r="AG201" i="4"/>
  <c r="AE201" i="4"/>
  <c r="AG200" i="4"/>
  <c r="AF200" i="4"/>
  <c r="AG199" i="4"/>
  <c r="AF199" i="4"/>
  <c r="AG198" i="4"/>
  <c r="AF198" i="4"/>
  <c r="AG197" i="4"/>
  <c r="AE197" i="4"/>
  <c r="AG196" i="4"/>
  <c r="AF196" i="4"/>
  <c r="AG195" i="4"/>
  <c r="AF195" i="4"/>
  <c r="AG194" i="4"/>
  <c r="AE194" i="4"/>
  <c r="AG193" i="4"/>
  <c r="AE193" i="4"/>
  <c r="AF192" i="4"/>
  <c r="AE192" i="4"/>
  <c r="AG191" i="4"/>
  <c r="AF191" i="4"/>
  <c r="AG190" i="4"/>
  <c r="AF190" i="4"/>
  <c r="AG189" i="4"/>
  <c r="AF189" i="4"/>
  <c r="AG188" i="4"/>
  <c r="AE188" i="4"/>
  <c r="AG187" i="4"/>
  <c r="AE187" i="4"/>
  <c r="AG186" i="4"/>
  <c r="AE186" i="4"/>
  <c r="AG185" i="4"/>
  <c r="AF185" i="4"/>
  <c r="AG184" i="4"/>
  <c r="AF184" i="4"/>
  <c r="AG183" i="4"/>
  <c r="AF183" i="4"/>
  <c r="AG182" i="4"/>
  <c r="AF182" i="4"/>
  <c r="AG181" i="4"/>
  <c r="AE181" i="4"/>
  <c r="AG180" i="4"/>
  <c r="AE180" i="4"/>
  <c r="AG179" i="4"/>
  <c r="AE179" i="4"/>
  <c r="AG178" i="4"/>
  <c r="AE178" i="4"/>
  <c r="AG177" i="4"/>
  <c r="AF177" i="4"/>
  <c r="AG176" i="4"/>
  <c r="AF176" i="4"/>
  <c r="AG175" i="4"/>
  <c r="AF175" i="4"/>
  <c r="AG174" i="4"/>
  <c r="AF174" i="4"/>
  <c r="AG173" i="4"/>
  <c r="AF173" i="4"/>
  <c r="AG172" i="4"/>
  <c r="AE172" i="4"/>
  <c r="AG171" i="4"/>
  <c r="AE171" i="4"/>
  <c r="AG170" i="4"/>
  <c r="AE170" i="4"/>
  <c r="AF169" i="4"/>
  <c r="AE169" i="4"/>
  <c r="AF168" i="4"/>
  <c r="AE168" i="4"/>
  <c r="AG167" i="4"/>
  <c r="AE167" i="4"/>
  <c r="AG166" i="4"/>
  <c r="AE166" i="4"/>
  <c r="AG165" i="4"/>
  <c r="AE165" i="4"/>
  <c r="AG164" i="4"/>
  <c r="AF164" i="4"/>
  <c r="AG163" i="4"/>
  <c r="AF163" i="4"/>
  <c r="AG162" i="4"/>
  <c r="AG161" i="4"/>
  <c r="AF161" i="4"/>
  <c r="AG160" i="4"/>
  <c r="AF160" i="4"/>
  <c r="AG159" i="4"/>
  <c r="AE159" i="4"/>
  <c r="AG158" i="4"/>
  <c r="AE158" i="4"/>
  <c r="AG157" i="4"/>
  <c r="AF157" i="4"/>
  <c r="AG156" i="4"/>
  <c r="AE156" i="4"/>
  <c r="AG155" i="4"/>
  <c r="AE155" i="4"/>
  <c r="AG154" i="4"/>
  <c r="AF154" i="4"/>
  <c r="AG153" i="4"/>
  <c r="AE153" i="4"/>
  <c r="AG152" i="4"/>
  <c r="AE152" i="4"/>
  <c r="AG151" i="4"/>
  <c r="AE151" i="4"/>
  <c r="AG150" i="4"/>
  <c r="AF150" i="4"/>
  <c r="AG149" i="4"/>
  <c r="AF149" i="4"/>
  <c r="AG148" i="4"/>
  <c r="AE148" i="4"/>
  <c r="AG147" i="4"/>
  <c r="AE147" i="4"/>
  <c r="AG146" i="4"/>
  <c r="AF146" i="4"/>
  <c r="AG145" i="4"/>
  <c r="AF145" i="4"/>
  <c r="AG144" i="4"/>
  <c r="AF144" i="4"/>
  <c r="AG143" i="4"/>
  <c r="AF143" i="4"/>
  <c r="AG142" i="4"/>
  <c r="AF142" i="4"/>
  <c r="AG141" i="4"/>
  <c r="AF141" i="4"/>
  <c r="AG140" i="4"/>
  <c r="AF140" i="4"/>
  <c r="AG139" i="4"/>
  <c r="AF139" i="4"/>
  <c r="AG138" i="4"/>
  <c r="AE138" i="4"/>
  <c r="AG137" i="4"/>
  <c r="AE137" i="4"/>
  <c r="AG136" i="4"/>
  <c r="AE136" i="4"/>
  <c r="AG135" i="4"/>
  <c r="AF135" i="4"/>
  <c r="AG134" i="4"/>
  <c r="AF134" i="4"/>
  <c r="AG133" i="4"/>
  <c r="AF133" i="4"/>
  <c r="AG132" i="4"/>
  <c r="AF132" i="4"/>
  <c r="AG131" i="4"/>
  <c r="AF131" i="4"/>
  <c r="AG130" i="4"/>
  <c r="AF130" i="4"/>
  <c r="AG129" i="4"/>
  <c r="AF129" i="4"/>
  <c r="AG128" i="4"/>
  <c r="AF128" i="4"/>
  <c r="AG127" i="4"/>
  <c r="AF127" i="4"/>
  <c r="AG126" i="4"/>
  <c r="AF126" i="4"/>
  <c r="AG125" i="4"/>
  <c r="AF125" i="4"/>
  <c r="AG124" i="4"/>
  <c r="AF124" i="4"/>
  <c r="AG123" i="4"/>
  <c r="AE123" i="4"/>
  <c r="AG122" i="4"/>
  <c r="AE122" i="4"/>
  <c r="AG121" i="4"/>
  <c r="AF121" i="4"/>
  <c r="AG120" i="4"/>
  <c r="AF120" i="4"/>
  <c r="AG119" i="4"/>
  <c r="AF119" i="4"/>
  <c r="AG118" i="4"/>
  <c r="AF118" i="4"/>
  <c r="AG117" i="4"/>
  <c r="AF117" i="4"/>
  <c r="AG116" i="4"/>
  <c r="AF116" i="4"/>
  <c r="AG115" i="4"/>
  <c r="AF115" i="4"/>
  <c r="AG114" i="4"/>
  <c r="AF114" i="4"/>
  <c r="AG113" i="4"/>
  <c r="AF113" i="4"/>
  <c r="AG112" i="4"/>
  <c r="AF112" i="4"/>
  <c r="AG111" i="4"/>
  <c r="AF111" i="4"/>
  <c r="AG110" i="4"/>
  <c r="AF110" i="4"/>
  <c r="AG109" i="4"/>
  <c r="AF109" i="4"/>
  <c r="AG108" i="4"/>
  <c r="AF108" i="4"/>
  <c r="AG107" i="4"/>
  <c r="AF107" i="4"/>
  <c r="AG106" i="4"/>
  <c r="AE106" i="4"/>
  <c r="AG105" i="4"/>
  <c r="AE105" i="4"/>
  <c r="AG104" i="4"/>
  <c r="AE104" i="4"/>
  <c r="AG103" i="4"/>
  <c r="AF103" i="4"/>
  <c r="AG102" i="4"/>
  <c r="AE102" i="4"/>
  <c r="AG101" i="4"/>
  <c r="AE101" i="4"/>
  <c r="AF100" i="4"/>
  <c r="AE100" i="4"/>
  <c r="AG99" i="4"/>
  <c r="AE99" i="4"/>
  <c r="AG98" i="4"/>
  <c r="AE98" i="4"/>
  <c r="AG97" i="4"/>
  <c r="AF97" i="4"/>
  <c r="AG96" i="4"/>
  <c r="AF96" i="4"/>
  <c r="AG95" i="4"/>
  <c r="AF95" i="4"/>
  <c r="AG94" i="4"/>
  <c r="AF94" i="4"/>
  <c r="AG93" i="4"/>
  <c r="AF93" i="4"/>
  <c r="AG92" i="4"/>
  <c r="AF92" i="4"/>
  <c r="AG91" i="4"/>
  <c r="AE91" i="4"/>
  <c r="AG90" i="4"/>
  <c r="AE90" i="4"/>
  <c r="AG89" i="4"/>
  <c r="AE89" i="4"/>
  <c r="AG88" i="4"/>
  <c r="AE88" i="4"/>
  <c r="AG87" i="4"/>
  <c r="AE87" i="4"/>
  <c r="AG86" i="4"/>
  <c r="AF86" i="4"/>
  <c r="AG85" i="4"/>
  <c r="AE85" i="4"/>
  <c r="AG84" i="4"/>
  <c r="AE84" i="4"/>
  <c r="AG83" i="4"/>
  <c r="AF83" i="4"/>
  <c r="AG82" i="4"/>
  <c r="AE82" i="4"/>
  <c r="AG81" i="4"/>
  <c r="AF81" i="4"/>
  <c r="AG80" i="4"/>
  <c r="AE80" i="4"/>
  <c r="AG79" i="4"/>
  <c r="AF79" i="4"/>
  <c r="AG78" i="4"/>
  <c r="AF78" i="4"/>
  <c r="AG77" i="4"/>
  <c r="AF77" i="4"/>
  <c r="AG76" i="4"/>
  <c r="AF76" i="4"/>
  <c r="AG75" i="4"/>
  <c r="AF75" i="4"/>
  <c r="AG74" i="4"/>
  <c r="AF74" i="4"/>
  <c r="AG73" i="4"/>
  <c r="AF73" i="4"/>
  <c r="AG72" i="4"/>
  <c r="AF72" i="4"/>
  <c r="AG71" i="4"/>
  <c r="AF71" i="4"/>
  <c r="AG70" i="4"/>
  <c r="AE70" i="4"/>
  <c r="AG69" i="4"/>
  <c r="AF69" i="4"/>
  <c r="AG68" i="4"/>
  <c r="AF68" i="4"/>
  <c r="AG67" i="4"/>
  <c r="AF67" i="4"/>
  <c r="AG66" i="4"/>
  <c r="AF66" i="4"/>
  <c r="AG65" i="4"/>
  <c r="AF65" i="4"/>
  <c r="AG64" i="4"/>
  <c r="AE64" i="4"/>
  <c r="AG63" i="4"/>
  <c r="AE63" i="4"/>
  <c r="AG62" i="4"/>
  <c r="AE62" i="4"/>
  <c r="AG61" i="4"/>
  <c r="AE61" i="4"/>
  <c r="AG60" i="4"/>
  <c r="AE60" i="4"/>
  <c r="AG59" i="4"/>
  <c r="AF59" i="4"/>
  <c r="AG58" i="4"/>
  <c r="AE58" i="4"/>
  <c r="AG57" i="4"/>
  <c r="AE57" i="4"/>
  <c r="AG56" i="4"/>
  <c r="AE56" i="4"/>
  <c r="AG55" i="4"/>
  <c r="AE55" i="4"/>
  <c r="AG54" i="4"/>
  <c r="AF54" i="4"/>
  <c r="AG53" i="4"/>
  <c r="AF53" i="4"/>
  <c r="AG52" i="4"/>
  <c r="AF52" i="4"/>
  <c r="AG50" i="4"/>
  <c r="AE50" i="4"/>
  <c r="AG49" i="4"/>
  <c r="AF49" i="4"/>
  <c r="AG48" i="4"/>
  <c r="AE48" i="4"/>
  <c r="AG47" i="4"/>
  <c r="AE47" i="4"/>
  <c r="AG46" i="4"/>
  <c r="AF46" i="4"/>
  <c r="AG45" i="4"/>
  <c r="AF45" i="4"/>
  <c r="AF44" i="4"/>
  <c r="AE44" i="4"/>
  <c r="AG42" i="4"/>
  <c r="AF42" i="4"/>
  <c r="AG41" i="4"/>
  <c r="AF41" i="4"/>
  <c r="AG40" i="4"/>
  <c r="AF40" i="4"/>
  <c r="AG39" i="4"/>
  <c r="AF39" i="4"/>
  <c r="AG38" i="4"/>
  <c r="AF38" i="4"/>
  <c r="AG37" i="4"/>
  <c r="AF37" i="4"/>
  <c r="AG36" i="4"/>
  <c r="AF36" i="4"/>
  <c r="AG35" i="4"/>
  <c r="AF35" i="4"/>
  <c r="AG34" i="4"/>
  <c r="AE34" i="4"/>
  <c r="AG33" i="4"/>
  <c r="AE33" i="4"/>
  <c r="AG32" i="4"/>
  <c r="AF32" i="4"/>
  <c r="AG31" i="4"/>
  <c r="AE31" i="4"/>
  <c r="AG30" i="4"/>
  <c r="AE30" i="4"/>
  <c r="AG29" i="4"/>
  <c r="AE29" i="4"/>
  <c r="AG28" i="4"/>
  <c r="AF28" i="4"/>
  <c r="AG27" i="4"/>
  <c r="AF27" i="4"/>
  <c r="AG26" i="4"/>
  <c r="AF26" i="4"/>
  <c r="AG25" i="4"/>
  <c r="AF25" i="4"/>
  <c r="AG24" i="4"/>
  <c r="AF24" i="4"/>
  <c r="AG23" i="4"/>
  <c r="AF23" i="4"/>
  <c r="AG22" i="4"/>
  <c r="AE22" i="4"/>
  <c r="AG21" i="4"/>
  <c r="AF21" i="4"/>
  <c r="AG20" i="4"/>
  <c r="AE20" i="4"/>
  <c r="H33" i="4"/>
  <c r="F33" i="4"/>
  <c r="Q33" i="1"/>
  <c r="Q116" i="1"/>
  <c r="L214" i="4"/>
  <c r="P214" i="4"/>
  <c r="L147" i="4"/>
  <c r="P147" i="4"/>
  <c r="S147" i="4"/>
  <c r="E153" i="5"/>
  <c r="I153" i="5"/>
  <c r="AB153" i="5"/>
  <c r="L146" i="4"/>
  <c r="P146" i="4"/>
  <c r="U146" i="4"/>
  <c r="G236" i="4"/>
  <c r="G235" i="4"/>
  <c r="F235" i="4"/>
  <c r="F236" i="4"/>
  <c r="Q223" i="1"/>
  <c r="N160" i="4"/>
  <c r="N53" i="4"/>
  <c r="N74" i="4"/>
  <c r="N258" i="4"/>
  <c r="Q151" i="1"/>
  <c r="Q224" i="1"/>
  <c r="N224" i="1"/>
  <c r="F164" i="4"/>
  <c r="F163" i="4"/>
  <c r="F161" i="4"/>
  <c r="F160" i="4"/>
  <c r="G160" i="4"/>
  <c r="G161" i="4"/>
  <c r="G164" i="4"/>
  <c r="G163" i="4"/>
  <c r="H163" i="4"/>
  <c r="H164" i="4"/>
  <c r="H160" i="4"/>
  <c r="H161" i="4"/>
  <c r="L170" i="4"/>
  <c r="P170" i="4"/>
  <c r="E50" i="4"/>
  <c r="I50" i="4"/>
  <c r="AB50" i="4"/>
  <c r="P50" i="4"/>
  <c r="S50" i="4"/>
  <c r="E51" i="5"/>
  <c r="I51" i="5"/>
  <c r="AB51" i="5"/>
  <c r="H80" i="4"/>
  <c r="AF50" i="4"/>
  <c r="E70" i="4"/>
  <c r="I70" i="4"/>
  <c r="AB70" i="4"/>
  <c r="P70" i="4"/>
  <c r="S70" i="4"/>
  <c r="E73" i="5"/>
  <c r="I73" i="5"/>
  <c r="AA73" i="5"/>
  <c r="H108" i="4"/>
  <c r="AB73" i="5"/>
  <c r="P184" i="4"/>
  <c r="S184" i="4"/>
  <c r="E196" i="5"/>
  <c r="I196" i="5"/>
  <c r="AA196" i="5"/>
  <c r="H54" i="4"/>
  <c r="G54" i="4"/>
  <c r="F54" i="4"/>
  <c r="F213" i="4"/>
  <c r="L213" i="4"/>
  <c r="P213" i="4"/>
  <c r="S213" i="4"/>
  <c r="E225" i="5"/>
  <c r="I225" i="5"/>
  <c r="AB225" i="5"/>
  <c r="Q202" i="1"/>
  <c r="AE184" i="4"/>
  <c r="H106" i="4"/>
  <c r="G106" i="4"/>
  <c r="F106" i="4"/>
  <c r="H105" i="4"/>
  <c r="G105" i="4"/>
  <c r="F105" i="4"/>
  <c r="H149" i="4"/>
  <c r="H55" i="4"/>
  <c r="H110" i="4"/>
  <c r="H112" i="4"/>
  <c r="H145" i="4"/>
  <c r="H152" i="4"/>
  <c r="H178" i="4"/>
  <c r="H186" i="4"/>
  <c r="H258" i="4"/>
  <c r="G149" i="4"/>
  <c r="G21" i="4"/>
  <c r="G55" i="4"/>
  <c r="G80" i="4"/>
  <c r="G101" i="4"/>
  <c r="G108" i="4"/>
  <c r="G112" i="4"/>
  <c r="G152" i="4"/>
  <c r="G178" i="4"/>
  <c r="G179" i="4"/>
  <c r="G186" i="4"/>
  <c r="G219" i="4"/>
  <c r="G258" i="4"/>
  <c r="P156" i="4"/>
  <c r="S156" i="4"/>
  <c r="E163" i="5"/>
  <c r="I163" i="5"/>
  <c r="AB163" i="5"/>
  <c r="Q147" i="1"/>
  <c r="F155" i="4"/>
  <c r="P42" i="4"/>
  <c r="S42" i="4"/>
  <c r="E42" i="5"/>
  <c r="I42" i="5"/>
  <c r="AA42" i="5"/>
  <c r="Q98" i="1"/>
  <c r="AF156" i="4"/>
  <c r="P169" i="4"/>
  <c r="S169" i="4"/>
  <c r="E176" i="5"/>
  <c r="I176" i="5"/>
  <c r="AC176" i="5"/>
  <c r="E239" i="4"/>
  <c r="I239" i="4"/>
  <c r="AB239" i="4"/>
  <c r="E238" i="4"/>
  <c r="I238" i="4"/>
  <c r="AB238" i="4"/>
  <c r="Q228" i="1"/>
  <c r="Q74" i="1"/>
  <c r="F80" i="4"/>
  <c r="F152" i="4"/>
  <c r="Q144" i="1"/>
  <c r="AA239" i="4"/>
  <c r="AG19" i="4"/>
  <c r="AC19" i="4"/>
  <c r="AF19" i="4"/>
  <c r="AB19" i="4"/>
  <c r="L158" i="4"/>
  <c r="P158" i="4"/>
  <c r="V158" i="4"/>
  <c r="K151" i="1"/>
  <c r="K217" i="1"/>
  <c r="K218" i="1"/>
  <c r="K243" i="1"/>
  <c r="D34" i="1"/>
  <c r="D44" i="1"/>
  <c r="D47" i="1"/>
  <c r="D59" i="1"/>
  <c r="D60" i="1"/>
  <c r="D74" i="1"/>
  <c r="D91" i="1"/>
  <c r="D94" i="1"/>
  <c r="D95" i="1"/>
  <c r="D96" i="1"/>
  <c r="D98" i="1"/>
  <c r="D106" i="1"/>
  <c r="D145" i="1"/>
  <c r="D170" i="1"/>
  <c r="D173" i="1"/>
  <c r="D177" i="1"/>
  <c r="D202" i="1"/>
  <c r="D214" i="1"/>
  <c r="D216" i="1"/>
  <c r="D217" i="1"/>
  <c r="D218" i="1"/>
  <c r="D219" i="1"/>
  <c r="D241" i="1"/>
  <c r="D243" i="1"/>
  <c r="G21" i="1"/>
  <c r="G99" i="1"/>
  <c r="G100" i="1"/>
  <c r="G101" i="1"/>
  <c r="G106" i="1"/>
  <c r="G143" i="1"/>
  <c r="G151" i="1"/>
  <c r="G152" i="1"/>
  <c r="G154" i="1"/>
  <c r="G155" i="1"/>
  <c r="G168" i="1"/>
  <c r="G243" i="1"/>
  <c r="H99" i="1"/>
  <c r="H100" i="1"/>
  <c r="H101" i="1"/>
  <c r="H106" i="1"/>
  <c r="H243" i="1"/>
  <c r="P230" i="4"/>
  <c r="S230" i="4"/>
  <c r="E243" i="5"/>
  <c r="I243" i="5"/>
  <c r="AA243" i="5"/>
  <c r="L211" i="4"/>
  <c r="P211" i="4"/>
  <c r="L201" i="4"/>
  <c r="P201" i="4"/>
  <c r="L155" i="4"/>
  <c r="P155" i="4"/>
  <c r="L92" i="4"/>
  <c r="L86" i="4"/>
  <c r="L85" i="4"/>
  <c r="L84" i="4"/>
  <c r="L237" i="4"/>
  <c r="P237" i="4"/>
  <c r="L132" i="4"/>
  <c r="P132" i="4"/>
  <c r="L73" i="4"/>
  <c r="P73" i="4"/>
  <c r="L71" i="4"/>
  <c r="P71" i="4"/>
  <c r="S71" i="4"/>
  <c r="E74" i="5"/>
  <c r="I74" i="5"/>
  <c r="AA74" i="5"/>
  <c r="L63" i="4"/>
  <c r="P63" i="4"/>
  <c r="S63" i="4"/>
  <c r="E65" i="5"/>
  <c r="I65" i="5"/>
  <c r="AB65" i="5"/>
  <c r="L49" i="4"/>
  <c r="L47" i="4"/>
  <c r="P47" i="4"/>
  <c r="AF47" i="4"/>
  <c r="P238" i="4"/>
  <c r="S238" i="4"/>
  <c r="E251" i="5"/>
  <c r="I251" i="5"/>
  <c r="AB251" i="5"/>
  <c r="Q140" i="1"/>
  <c r="AE238" i="4"/>
  <c r="U238" i="4"/>
  <c r="AA238" i="4"/>
  <c r="Q203" i="1"/>
  <c r="Q129" i="1"/>
  <c r="Q95" i="1"/>
  <c r="F101" i="4"/>
  <c r="Q220" i="1"/>
  <c r="P121" i="4"/>
  <c r="S121" i="4"/>
  <c r="E127" i="5"/>
  <c r="I127" i="5"/>
  <c r="AA127" i="5"/>
  <c r="AA121" i="4"/>
  <c r="P145" i="4"/>
  <c r="S145" i="4"/>
  <c r="E151" i="5"/>
  <c r="I151" i="5"/>
  <c r="AA151" i="5"/>
  <c r="Q196" i="1"/>
  <c r="F108" i="4"/>
  <c r="Q213" i="1"/>
  <c r="F179" i="4"/>
  <c r="Q170" i="1"/>
  <c r="F219" i="4"/>
  <c r="Q208" i="1"/>
  <c r="F149" i="4"/>
  <c r="Q149" i="1"/>
  <c r="Q230" i="1"/>
  <c r="Q47" i="1"/>
  <c r="F186" i="4"/>
  <c r="F23" i="4"/>
  <c r="F21" i="4"/>
  <c r="F55" i="4"/>
  <c r="F112" i="4"/>
  <c r="F178" i="4"/>
  <c r="F258" i="4"/>
  <c r="H259" i="4"/>
  <c r="Q48" i="1"/>
  <c r="Q241" i="1"/>
  <c r="Q92" i="1"/>
  <c r="P256" i="4"/>
  <c r="S256" i="4"/>
  <c r="E269" i="5"/>
  <c r="I269" i="5"/>
  <c r="AA269" i="5"/>
  <c r="Q44" i="1"/>
  <c r="Q103" i="1"/>
  <c r="Q169" i="1"/>
  <c r="Q173" i="1"/>
  <c r="Q87" i="1"/>
  <c r="Q142" i="1"/>
  <c r="Q178" i="1"/>
  <c r="Q179" i="1"/>
  <c r="Q218" i="1"/>
  <c r="Q217" i="1"/>
  <c r="Q165" i="1"/>
  <c r="Q168" i="1"/>
  <c r="Q21" i="1"/>
  <c r="Q102" i="1"/>
  <c r="Q175" i="1"/>
  <c r="Q186" i="1"/>
  <c r="T258" i="4"/>
  <c r="O258" i="4"/>
  <c r="M258" i="4"/>
  <c r="P257" i="4"/>
  <c r="S257" i="4"/>
  <c r="P255" i="4"/>
  <c r="S255" i="4"/>
  <c r="P254" i="4"/>
  <c r="S254" i="4"/>
  <c r="P253" i="4"/>
  <c r="S253" i="4"/>
  <c r="P252" i="4"/>
  <c r="S252" i="4"/>
  <c r="P251" i="4"/>
  <c r="S251" i="4"/>
  <c r="P250" i="4"/>
  <c r="S250" i="4"/>
  <c r="P249" i="4"/>
  <c r="S249" i="4"/>
  <c r="P248" i="4"/>
  <c r="S248" i="4"/>
  <c r="P246" i="4"/>
  <c r="S246" i="4"/>
  <c r="E259" i="5"/>
  <c r="I259" i="5"/>
  <c r="AA259" i="5"/>
  <c r="P245" i="4"/>
  <c r="S245" i="4"/>
  <c r="E258" i="5"/>
  <c r="I258" i="5"/>
  <c r="AA258" i="5"/>
  <c r="P244" i="4"/>
  <c r="S244" i="4"/>
  <c r="E257" i="5"/>
  <c r="I257" i="5"/>
  <c r="AA257" i="5"/>
  <c r="P243" i="4"/>
  <c r="S243" i="4"/>
  <c r="E256" i="5"/>
  <c r="I256" i="5"/>
  <c r="AA256" i="5"/>
  <c r="P242" i="4"/>
  <c r="S242" i="4"/>
  <c r="E255" i="5"/>
  <c r="I255" i="5"/>
  <c r="AA255" i="5"/>
  <c r="P241" i="4"/>
  <c r="S241" i="4"/>
  <c r="E254" i="5"/>
  <c r="I254" i="5"/>
  <c r="AB254" i="5"/>
  <c r="P240" i="4"/>
  <c r="S240" i="4"/>
  <c r="E253" i="5"/>
  <c r="I253" i="5"/>
  <c r="AA253" i="5"/>
  <c r="P239" i="4"/>
  <c r="S239" i="4"/>
  <c r="E252" i="5"/>
  <c r="I252" i="5"/>
  <c r="AB252" i="5"/>
  <c r="P235" i="4"/>
  <c r="S235" i="4"/>
  <c r="E248" i="5"/>
  <c r="I248" i="5"/>
  <c r="AA248" i="5"/>
  <c r="P234" i="4"/>
  <c r="S234" i="4"/>
  <c r="E247" i="5"/>
  <c r="I247" i="5"/>
  <c r="AB247" i="5"/>
  <c r="P233" i="4"/>
  <c r="S233" i="4"/>
  <c r="E246" i="5"/>
  <c r="I246" i="5"/>
  <c r="AC246" i="5"/>
  <c r="P232" i="4"/>
  <c r="S232" i="4"/>
  <c r="E245" i="5"/>
  <c r="I245" i="5"/>
  <c r="AB245" i="5"/>
  <c r="P231" i="4"/>
  <c r="S231" i="4"/>
  <c r="E244" i="5"/>
  <c r="I244" i="5"/>
  <c r="AB244" i="5"/>
  <c r="P229" i="4"/>
  <c r="S229" i="4"/>
  <c r="E242" i="5"/>
  <c r="I242" i="5"/>
  <c r="AA242" i="5"/>
  <c r="P228" i="4"/>
  <c r="S228" i="4"/>
  <c r="E241" i="5"/>
  <c r="I241" i="5"/>
  <c r="AC241" i="5"/>
  <c r="P227" i="4"/>
  <c r="S227" i="4"/>
  <c r="E239" i="5"/>
  <c r="I239" i="5"/>
  <c r="AA239" i="5"/>
  <c r="P226" i="4"/>
  <c r="S226" i="4"/>
  <c r="E238" i="5"/>
  <c r="I238" i="5"/>
  <c r="AB238" i="5"/>
  <c r="P225" i="4"/>
  <c r="S225" i="4"/>
  <c r="E237" i="5"/>
  <c r="I237" i="5"/>
  <c r="AB237" i="5"/>
  <c r="P224" i="4"/>
  <c r="W224" i="4"/>
  <c r="P223" i="4"/>
  <c r="S223" i="4"/>
  <c r="E235" i="5"/>
  <c r="I235" i="5"/>
  <c r="AB235" i="5"/>
  <c r="P222" i="4"/>
  <c r="S222" i="4"/>
  <c r="E234" i="5"/>
  <c r="I234" i="5"/>
  <c r="AB234" i="5"/>
  <c r="P221" i="4"/>
  <c r="S221" i="4"/>
  <c r="E233" i="5"/>
  <c r="I233" i="5"/>
  <c r="AB233" i="5"/>
  <c r="P220" i="4"/>
  <c r="S220" i="4"/>
  <c r="E232" i="5"/>
  <c r="I232" i="5"/>
  <c r="AB232" i="5"/>
  <c r="P219" i="4"/>
  <c r="S219" i="4"/>
  <c r="E231" i="5"/>
  <c r="I231" i="5"/>
  <c r="AB231" i="5"/>
  <c r="P218" i="4"/>
  <c r="S218" i="4"/>
  <c r="E230" i="5"/>
  <c r="I230" i="5"/>
  <c r="AB230" i="5"/>
  <c r="P217" i="4"/>
  <c r="S217" i="4"/>
  <c r="E229" i="5"/>
  <c r="I229" i="5"/>
  <c r="AB229" i="5"/>
  <c r="P216" i="4"/>
  <c r="S216" i="4"/>
  <c r="E228" i="5"/>
  <c r="I228" i="5"/>
  <c r="AA228" i="5"/>
  <c r="P215" i="4"/>
  <c r="S215" i="4"/>
  <c r="E227" i="5"/>
  <c r="I227" i="5"/>
  <c r="AA227" i="5"/>
  <c r="P209" i="4"/>
  <c r="S209" i="4"/>
  <c r="E221" i="5"/>
  <c r="I221" i="5"/>
  <c r="AB221" i="5"/>
  <c r="P207" i="4"/>
  <c r="S207" i="4"/>
  <c r="E219" i="5"/>
  <c r="I219" i="5"/>
  <c r="AB219" i="5"/>
  <c r="P206" i="4"/>
  <c r="S206" i="4"/>
  <c r="E218" i="5"/>
  <c r="I218" i="5"/>
  <c r="AB218" i="5"/>
  <c r="P205" i="4"/>
  <c r="S205" i="4"/>
  <c r="E217" i="5"/>
  <c r="I217" i="5"/>
  <c r="AA217" i="5"/>
  <c r="P204" i="4"/>
  <c r="S204" i="4"/>
  <c r="E216" i="5"/>
  <c r="I216" i="5"/>
  <c r="AA216" i="5"/>
  <c r="P203" i="4"/>
  <c r="S203" i="4"/>
  <c r="E215" i="5"/>
  <c r="I215" i="5"/>
  <c r="AB215" i="5"/>
  <c r="P202" i="4"/>
  <c r="S202" i="4"/>
  <c r="E214" i="5"/>
  <c r="I214" i="5"/>
  <c r="AA214" i="5"/>
  <c r="P200" i="4"/>
  <c r="U200" i="4"/>
  <c r="P198" i="4"/>
  <c r="AE198" i="4"/>
  <c r="P197" i="4"/>
  <c r="AF197" i="4"/>
  <c r="P196" i="4"/>
  <c r="S196" i="4"/>
  <c r="E208" i="5"/>
  <c r="I208" i="5"/>
  <c r="AA208" i="5"/>
  <c r="P195" i="4"/>
  <c r="S195" i="4"/>
  <c r="E207" i="5"/>
  <c r="I207" i="5"/>
  <c r="AA207" i="5"/>
  <c r="P194" i="4"/>
  <c r="AF194" i="4"/>
  <c r="P193" i="4"/>
  <c r="V193" i="4"/>
  <c r="P192" i="4"/>
  <c r="S192" i="4"/>
  <c r="E204" i="5"/>
  <c r="I204" i="5"/>
  <c r="AC204" i="5"/>
  <c r="P191" i="4"/>
  <c r="S191" i="4"/>
  <c r="E203" i="5"/>
  <c r="I203" i="5"/>
  <c r="AB203" i="5"/>
  <c r="P189" i="4"/>
  <c r="AE189" i="4"/>
  <c r="P188" i="4"/>
  <c r="AF188" i="4"/>
  <c r="P186" i="4"/>
  <c r="S186" i="4"/>
  <c r="E198" i="5"/>
  <c r="I198" i="5"/>
  <c r="AB198" i="5"/>
  <c r="P185" i="4"/>
  <c r="S185" i="4"/>
  <c r="E197" i="5"/>
  <c r="I197" i="5"/>
  <c r="AA197" i="5"/>
  <c r="P183" i="4"/>
  <c r="P182" i="4"/>
  <c r="U182" i="4"/>
  <c r="P181" i="4"/>
  <c r="S181" i="4"/>
  <c r="E192" i="5"/>
  <c r="I192" i="5"/>
  <c r="AB192" i="5"/>
  <c r="P180" i="4"/>
  <c r="S180" i="4"/>
  <c r="E191" i="5"/>
  <c r="I191" i="5"/>
  <c r="AB191" i="5"/>
  <c r="P177" i="4"/>
  <c r="AE177" i="4"/>
  <c r="P176" i="4"/>
  <c r="S176" i="4"/>
  <c r="E186" i="5"/>
  <c r="I186" i="5"/>
  <c r="AA186" i="5"/>
  <c r="P175" i="4"/>
  <c r="S175" i="4"/>
  <c r="E185" i="5"/>
  <c r="I185" i="5"/>
  <c r="AA185" i="5"/>
  <c r="P174" i="4"/>
  <c r="S174" i="4"/>
  <c r="E184" i="5"/>
  <c r="I184" i="5"/>
  <c r="AA184" i="5"/>
  <c r="P173" i="4"/>
  <c r="U173" i="4"/>
  <c r="P172" i="4"/>
  <c r="V172" i="4"/>
  <c r="P167" i="4"/>
  <c r="S167" i="4"/>
  <c r="P166" i="4"/>
  <c r="V166" i="4"/>
  <c r="P165" i="4"/>
  <c r="S165" i="4"/>
  <c r="P164" i="4"/>
  <c r="U164" i="4"/>
  <c r="P163" i="4"/>
  <c r="S163" i="4"/>
  <c r="E170" i="5"/>
  <c r="I170" i="5"/>
  <c r="AA170" i="5"/>
  <c r="P162" i="4"/>
  <c r="S162" i="4"/>
  <c r="E169" i="5"/>
  <c r="I169" i="5"/>
  <c r="AB169" i="5"/>
  <c r="P161" i="4"/>
  <c r="AE161" i="4"/>
  <c r="P159" i="4"/>
  <c r="S159" i="4"/>
  <c r="E166" i="5"/>
  <c r="I166" i="5"/>
  <c r="AB166" i="5"/>
  <c r="P157" i="4"/>
  <c r="S157" i="4"/>
  <c r="E164" i="5"/>
  <c r="I164" i="5"/>
  <c r="AA164" i="5"/>
  <c r="P152" i="4"/>
  <c r="P144" i="4"/>
  <c r="S144" i="4"/>
  <c r="E150" i="5"/>
  <c r="I150" i="5"/>
  <c r="AA150" i="5"/>
  <c r="P143" i="4"/>
  <c r="S143" i="4"/>
  <c r="E149" i="5"/>
  <c r="I149" i="5"/>
  <c r="AA149" i="5"/>
  <c r="P142" i="4"/>
  <c r="U142" i="4"/>
  <c r="P141" i="4"/>
  <c r="S141" i="4"/>
  <c r="E147" i="5"/>
  <c r="I147" i="5"/>
  <c r="AA147" i="5"/>
  <c r="P140" i="4"/>
  <c r="S140" i="4"/>
  <c r="E146" i="5"/>
  <c r="I146" i="5"/>
  <c r="AA146" i="5"/>
  <c r="P139" i="4"/>
  <c r="S139" i="4"/>
  <c r="E145" i="5"/>
  <c r="I145" i="5"/>
  <c r="AA145" i="5"/>
  <c r="P138" i="4"/>
  <c r="S138" i="4"/>
  <c r="E144" i="5"/>
  <c r="I144" i="5"/>
  <c r="AB144" i="5"/>
  <c r="P137" i="4"/>
  <c r="V137" i="4"/>
  <c r="P136" i="4"/>
  <c r="S136" i="4"/>
  <c r="E142" i="5"/>
  <c r="I142" i="5"/>
  <c r="AB142" i="5"/>
  <c r="P135" i="4"/>
  <c r="S135" i="4"/>
  <c r="E141" i="5"/>
  <c r="I141" i="5"/>
  <c r="AA141" i="5"/>
  <c r="P134" i="4"/>
  <c r="S134" i="4"/>
  <c r="E140" i="5"/>
  <c r="I140" i="5"/>
  <c r="AA140" i="5"/>
  <c r="P133" i="4"/>
  <c r="AE133" i="4"/>
  <c r="P131" i="4"/>
  <c r="AE131" i="4"/>
  <c r="P129" i="4"/>
  <c r="P128" i="4"/>
  <c r="S128" i="4"/>
  <c r="E134" i="5"/>
  <c r="I134" i="5"/>
  <c r="AA134" i="5"/>
  <c r="P127" i="4"/>
  <c r="P126" i="4"/>
  <c r="S126" i="4"/>
  <c r="E132" i="5"/>
  <c r="I132" i="5"/>
  <c r="AA132" i="5"/>
  <c r="P124" i="4"/>
  <c r="S124" i="4"/>
  <c r="E130" i="5"/>
  <c r="I130" i="5"/>
  <c r="AA130" i="5"/>
  <c r="P123" i="4"/>
  <c r="S123" i="4"/>
  <c r="E129" i="5"/>
  <c r="I129" i="5"/>
  <c r="AB129" i="5"/>
  <c r="P122" i="4"/>
  <c r="S122" i="4"/>
  <c r="P120" i="4"/>
  <c r="S120" i="4"/>
  <c r="E126" i="5"/>
  <c r="I126" i="5"/>
  <c r="AA126" i="5"/>
  <c r="P119" i="4"/>
  <c r="S119" i="4"/>
  <c r="E125" i="5"/>
  <c r="I125" i="5"/>
  <c r="AA125" i="5"/>
  <c r="P118" i="4"/>
  <c r="U118" i="4"/>
  <c r="P117" i="4"/>
  <c r="S117" i="4"/>
  <c r="E123" i="5"/>
  <c r="I123" i="5"/>
  <c r="AA123" i="5"/>
  <c r="P116" i="4"/>
  <c r="S116" i="4"/>
  <c r="E122" i="5"/>
  <c r="I122" i="5"/>
  <c r="AA122" i="5"/>
  <c r="P115" i="4"/>
  <c r="AE115" i="4"/>
  <c r="P114" i="4"/>
  <c r="S114" i="4"/>
  <c r="E120" i="5"/>
  <c r="I120" i="5"/>
  <c r="AA120" i="5"/>
  <c r="P113" i="4"/>
  <c r="S113" i="4"/>
  <c r="E119" i="5"/>
  <c r="I119" i="5"/>
  <c r="AA119" i="5"/>
  <c r="P112" i="4"/>
  <c r="P111" i="4"/>
  <c r="S111" i="4"/>
  <c r="E117" i="5"/>
  <c r="I117" i="5"/>
  <c r="AA117" i="5"/>
  <c r="P110" i="4"/>
  <c r="S110" i="4"/>
  <c r="E116" i="5"/>
  <c r="I116" i="5"/>
  <c r="AA116" i="5"/>
  <c r="P107" i="4"/>
  <c r="S107" i="4"/>
  <c r="E112" i="5"/>
  <c r="I112" i="5"/>
  <c r="AA112" i="5"/>
  <c r="P106" i="4"/>
  <c r="AF106" i="4"/>
  <c r="P105" i="4"/>
  <c r="P103" i="4"/>
  <c r="S103" i="4"/>
  <c r="E108" i="5"/>
  <c r="I108" i="5"/>
  <c r="AA108" i="5"/>
  <c r="P102" i="4"/>
  <c r="S102" i="4"/>
  <c r="E107" i="5"/>
  <c r="I107" i="5"/>
  <c r="AB107" i="5"/>
  <c r="P101" i="4"/>
  <c r="AF101" i="4"/>
  <c r="P100" i="4"/>
  <c r="AG100" i="4"/>
  <c r="P99" i="4"/>
  <c r="S99" i="4"/>
  <c r="E102" i="5"/>
  <c r="I102" i="5"/>
  <c r="AB102" i="5"/>
  <c r="P98" i="4"/>
  <c r="S98" i="4"/>
  <c r="E101" i="5"/>
  <c r="I101" i="5"/>
  <c r="AB101" i="5"/>
  <c r="P97" i="4"/>
  <c r="U97" i="4"/>
  <c r="P96" i="4"/>
  <c r="S96" i="4"/>
  <c r="E99" i="5"/>
  <c r="I99" i="5"/>
  <c r="AA99" i="5"/>
  <c r="P95" i="4"/>
  <c r="S95" i="4"/>
  <c r="E98" i="5"/>
  <c r="I98" i="5"/>
  <c r="AA98" i="5"/>
  <c r="P94" i="4"/>
  <c r="U94" i="4"/>
  <c r="P92" i="4"/>
  <c r="U92" i="4"/>
  <c r="P91" i="4"/>
  <c r="S91" i="4"/>
  <c r="P90" i="4"/>
  <c r="S90" i="4"/>
  <c r="E93" i="5"/>
  <c r="I93" i="5"/>
  <c r="AB93" i="5"/>
  <c r="P88" i="4"/>
  <c r="S88" i="4"/>
  <c r="P87" i="4"/>
  <c r="S87" i="4"/>
  <c r="E90" i="5"/>
  <c r="I90" i="5"/>
  <c r="AB90" i="5"/>
  <c r="P86" i="4"/>
  <c r="S86" i="4"/>
  <c r="E89" i="5"/>
  <c r="I89" i="5"/>
  <c r="AA89" i="5"/>
  <c r="P84" i="4"/>
  <c r="S84" i="4"/>
  <c r="E87" i="5"/>
  <c r="I87" i="5"/>
  <c r="AB87" i="5"/>
  <c r="P83" i="4"/>
  <c r="P82" i="4"/>
  <c r="AF82" i="4"/>
  <c r="P81" i="4"/>
  <c r="S81" i="4"/>
  <c r="E84" i="5"/>
  <c r="I84" i="5"/>
  <c r="AA84" i="5"/>
  <c r="P80" i="4"/>
  <c r="S80" i="4"/>
  <c r="E83" i="5"/>
  <c r="I83" i="5"/>
  <c r="AB83" i="5"/>
  <c r="P79" i="4"/>
  <c r="S79" i="4"/>
  <c r="E82" i="5"/>
  <c r="I82" i="5"/>
  <c r="AA82" i="5"/>
  <c r="P78" i="4"/>
  <c r="AE78" i="4"/>
  <c r="P77" i="4"/>
  <c r="AE77" i="4"/>
  <c r="P76" i="4"/>
  <c r="S76" i="4"/>
  <c r="E79" i="5"/>
  <c r="I79" i="5"/>
  <c r="AA79" i="5"/>
  <c r="P75" i="4"/>
  <c r="S75" i="4"/>
  <c r="E78" i="5"/>
  <c r="I78" i="5"/>
  <c r="AA78" i="5"/>
  <c r="P74" i="4"/>
  <c r="AE74" i="4"/>
  <c r="P72" i="4"/>
  <c r="S72" i="4"/>
  <c r="E75" i="5"/>
  <c r="I75" i="5"/>
  <c r="AA75" i="5"/>
  <c r="P69" i="4"/>
  <c r="S69" i="4"/>
  <c r="E71" i="5"/>
  <c r="I71" i="5"/>
  <c r="AA71" i="5"/>
  <c r="P67" i="4"/>
  <c r="AE67" i="4"/>
  <c r="P66" i="4"/>
  <c r="P65" i="4"/>
  <c r="S65" i="4"/>
  <c r="E67" i="5"/>
  <c r="I67" i="5"/>
  <c r="AA67" i="5"/>
  <c r="P64" i="4"/>
  <c r="S64" i="4"/>
  <c r="E66" i="5"/>
  <c r="I66" i="5"/>
  <c r="AB66" i="5"/>
  <c r="P62" i="4"/>
  <c r="V62" i="4"/>
  <c r="P61" i="4"/>
  <c r="S61" i="4"/>
  <c r="P60" i="4"/>
  <c r="S60" i="4"/>
  <c r="E62" i="5"/>
  <c r="I62" i="5"/>
  <c r="AB62" i="5"/>
  <c r="P59" i="4"/>
  <c r="U59" i="4"/>
  <c r="P58" i="4"/>
  <c r="P56" i="4"/>
  <c r="S56" i="4"/>
  <c r="E58" i="5"/>
  <c r="I58" i="5"/>
  <c r="AB58" i="5"/>
  <c r="P54" i="4"/>
  <c r="S54" i="4"/>
  <c r="E56" i="5"/>
  <c r="I56" i="5"/>
  <c r="AA56" i="5"/>
  <c r="P53" i="4"/>
  <c r="S53" i="4"/>
  <c r="E55" i="5"/>
  <c r="I55" i="5"/>
  <c r="AA55" i="5"/>
  <c r="P46" i="4"/>
  <c r="S46" i="4"/>
  <c r="E46" i="5"/>
  <c r="I46" i="5"/>
  <c r="AA46" i="5"/>
  <c r="P44" i="4"/>
  <c r="S44" i="4"/>
  <c r="E44" i="5"/>
  <c r="I44" i="5"/>
  <c r="AC44" i="5"/>
  <c r="P41" i="4"/>
  <c r="U41" i="4"/>
  <c r="P39" i="4"/>
  <c r="P37" i="4"/>
  <c r="S37" i="4"/>
  <c r="E37" i="5"/>
  <c r="I37" i="5"/>
  <c r="AA37" i="5"/>
  <c r="P35" i="4"/>
  <c r="S35" i="4"/>
  <c r="E35" i="5"/>
  <c r="I35" i="5"/>
  <c r="AA35" i="5"/>
  <c r="P34" i="4"/>
  <c r="P33" i="4"/>
  <c r="S33" i="4"/>
  <c r="E33" i="5"/>
  <c r="I33" i="5"/>
  <c r="AB33" i="5"/>
  <c r="P32" i="4"/>
  <c r="S32" i="4"/>
  <c r="E32" i="5"/>
  <c r="I32" i="5"/>
  <c r="AA32" i="5"/>
  <c r="P31" i="4"/>
  <c r="S31" i="4"/>
  <c r="E31" i="5"/>
  <c r="I31" i="5"/>
  <c r="AB31" i="5"/>
  <c r="P30" i="4"/>
  <c r="P29" i="4"/>
  <c r="S29" i="4"/>
  <c r="E29" i="5"/>
  <c r="I29" i="5"/>
  <c r="AB29" i="5"/>
  <c r="P28" i="4"/>
  <c r="S28" i="4"/>
  <c r="E28" i="5"/>
  <c r="I28" i="5"/>
  <c r="AA28" i="5"/>
  <c r="P27" i="4"/>
  <c r="S27" i="4"/>
  <c r="E27" i="5"/>
  <c r="I27" i="5"/>
  <c r="AA27" i="5"/>
  <c r="P26" i="4"/>
  <c r="AE26" i="4"/>
  <c r="P25" i="4"/>
  <c r="AE25" i="4"/>
  <c r="P24" i="4"/>
  <c r="S24" i="4"/>
  <c r="E24" i="5"/>
  <c r="I24" i="5"/>
  <c r="AA24" i="5"/>
  <c r="P23" i="4"/>
  <c r="S23" i="4"/>
  <c r="P22" i="4"/>
  <c r="V22" i="4"/>
  <c r="P21" i="4"/>
  <c r="U21" i="4"/>
  <c r="P20" i="4"/>
  <c r="S20" i="4"/>
  <c r="E20" i="5"/>
  <c r="I20" i="5"/>
  <c r="AB20" i="5"/>
  <c r="W19" i="4"/>
  <c r="V19" i="4"/>
  <c r="P19" i="4"/>
  <c r="S19" i="4"/>
  <c r="P153" i="1"/>
  <c r="S153" i="1"/>
  <c r="E162" i="4"/>
  <c r="I162" i="4"/>
  <c r="AB162" i="4"/>
  <c r="I153" i="1"/>
  <c r="V159" i="1"/>
  <c r="U159" i="1"/>
  <c r="AA203" i="5"/>
  <c r="I63" i="5"/>
  <c r="AB63" i="5"/>
  <c r="I135" i="5"/>
  <c r="AA135" i="5"/>
  <c r="AA162" i="4"/>
  <c r="U223" i="4"/>
  <c r="AE162" i="4"/>
  <c r="U162" i="4"/>
  <c r="V206" i="4"/>
  <c r="U239" i="4"/>
  <c r="AE239" i="4"/>
  <c r="AE245" i="4"/>
  <c r="U255" i="4"/>
  <c r="AE255" i="4"/>
  <c r="AE134" i="4"/>
  <c r="AE222" i="4"/>
  <c r="U222" i="4"/>
  <c r="AE223" i="4"/>
  <c r="AE224" i="4"/>
  <c r="U224" i="4"/>
  <c r="P45" i="4"/>
  <c r="U45" i="4"/>
  <c r="P48" i="4"/>
  <c r="S48" i="4"/>
  <c r="E48" i="5"/>
  <c r="I48" i="5"/>
  <c r="AB48" i="5"/>
  <c r="P108" i="4"/>
  <c r="U108" i="4"/>
  <c r="P151" i="4"/>
  <c r="P36" i="4"/>
  <c r="S36" i="4"/>
  <c r="E36" i="5"/>
  <c r="I36" i="5"/>
  <c r="AA36" i="5"/>
  <c r="P38" i="4"/>
  <c r="S38" i="4"/>
  <c r="E38" i="5"/>
  <c r="I38" i="5"/>
  <c r="AA38" i="5"/>
  <c r="P40" i="4"/>
  <c r="U40" i="4"/>
  <c r="P49" i="4"/>
  <c r="S49" i="4"/>
  <c r="E50" i="5"/>
  <c r="I50" i="5"/>
  <c r="AA50" i="5"/>
  <c r="P52" i="4"/>
  <c r="U52" i="4"/>
  <c r="P55" i="4"/>
  <c r="P57" i="4"/>
  <c r="S57" i="4"/>
  <c r="E59" i="5"/>
  <c r="I59" i="5"/>
  <c r="AB59" i="5"/>
  <c r="P68" i="4"/>
  <c r="S68" i="4"/>
  <c r="E70" i="5"/>
  <c r="I70" i="5"/>
  <c r="AA70" i="5"/>
  <c r="P85" i="4"/>
  <c r="P89" i="4"/>
  <c r="AF89" i="4"/>
  <c r="P149" i="4"/>
  <c r="S149" i="4"/>
  <c r="E156" i="5"/>
  <c r="I156" i="5"/>
  <c r="AA156" i="5"/>
  <c r="P178" i="4"/>
  <c r="S178" i="4"/>
  <c r="E188" i="5"/>
  <c r="I188" i="5"/>
  <c r="AB188" i="5"/>
  <c r="P93" i="4"/>
  <c r="S93" i="4"/>
  <c r="E96" i="5"/>
  <c r="I96" i="5"/>
  <c r="AA96" i="5"/>
  <c r="P109" i="4"/>
  <c r="S109" i="4"/>
  <c r="E114" i="5"/>
  <c r="I114" i="5"/>
  <c r="AA114" i="5"/>
  <c r="P125" i="4"/>
  <c r="P130" i="4"/>
  <c r="AE130" i="4"/>
  <c r="P150" i="4"/>
  <c r="S150" i="4"/>
  <c r="E157" i="5"/>
  <c r="I157" i="5"/>
  <c r="AA157" i="5"/>
  <c r="P160" i="4"/>
  <c r="AE160" i="4"/>
  <c r="P171" i="4"/>
  <c r="S171" i="4"/>
  <c r="P179" i="4"/>
  <c r="S179" i="4"/>
  <c r="E189" i="5"/>
  <c r="I189" i="5"/>
  <c r="AB189" i="5"/>
  <c r="P187" i="4"/>
  <c r="AF187" i="4"/>
  <c r="P190" i="4"/>
  <c r="AE190" i="4"/>
  <c r="P199" i="4"/>
  <c r="S199" i="4"/>
  <c r="E211" i="5"/>
  <c r="I211" i="5"/>
  <c r="AA211" i="5"/>
  <c r="P208" i="4"/>
  <c r="S208" i="4"/>
  <c r="E220" i="5"/>
  <c r="I220" i="5"/>
  <c r="AB220" i="5"/>
  <c r="P210" i="4"/>
  <c r="AF210" i="4"/>
  <c r="P212" i="4"/>
  <c r="AF212" i="4"/>
  <c r="P236" i="4"/>
  <c r="S236" i="4"/>
  <c r="E249" i="5"/>
  <c r="I249" i="5"/>
  <c r="AB249" i="5"/>
  <c r="P153" i="4"/>
  <c r="V153" i="4"/>
  <c r="P154" i="4"/>
  <c r="S154" i="4"/>
  <c r="E161" i="5"/>
  <c r="I161" i="5"/>
  <c r="AA161" i="5"/>
  <c r="P168" i="4"/>
  <c r="S168" i="4"/>
  <c r="E175" i="5"/>
  <c r="I175" i="5"/>
  <c r="AC175" i="5"/>
  <c r="W160" i="1"/>
  <c r="W158" i="1"/>
  <c r="U162" i="1"/>
  <c r="U161" i="1"/>
  <c r="U160" i="1"/>
  <c r="U158" i="1"/>
  <c r="AB200" i="5"/>
  <c r="AG168" i="4"/>
  <c r="AB199" i="5"/>
  <c r="L179" i="1"/>
  <c r="L178" i="1"/>
  <c r="L224" i="1"/>
  <c r="P224" i="1"/>
  <c r="L223" i="1"/>
  <c r="P223" i="1"/>
  <c r="U223" i="1"/>
  <c r="L216" i="1"/>
  <c r="P216" i="1"/>
  <c r="N185" i="1"/>
  <c r="N93" i="1"/>
  <c r="N139" i="1"/>
  <c r="N84" i="1"/>
  <c r="N68" i="1"/>
  <c r="L201" i="1"/>
  <c r="P201" i="1"/>
  <c r="V201" i="1"/>
  <c r="L200" i="1"/>
  <c r="L199" i="1"/>
  <c r="P199" i="1"/>
  <c r="L198" i="1"/>
  <c r="P198" i="1"/>
  <c r="L197" i="1"/>
  <c r="P197" i="1"/>
  <c r="V197" i="1"/>
  <c r="L191" i="1"/>
  <c r="P191" i="1"/>
  <c r="L188" i="1"/>
  <c r="P188" i="1"/>
  <c r="U188" i="1"/>
  <c r="L176" i="1"/>
  <c r="P176" i="1"/>
  <c r="L173" i="1"/>
  <c r="P173" i="1"/>
  <c r="L172" i="1"/>
  <c r="P172" i="1"/>
  <c r="S172" i="1"/>
  <c r="E182" i="4"/>
  <c r="I182" i="4"/>
  <c r="AA182" i="4"/>
  <c r="L169" i="1"/>
  <c r="P169" i="1"/>
  <c r="S169" i="1"/>
  <c r="E179" i="4"/>
  <c r="I179" i="4"/>
  <c r="AB179" i="4"/>
  <c r="F168" i="1"/>
  <c r="L168" i="1"/>
  <c r="L162" i="1"/>
  <c r="P162" i="1"/>
  <c r="L161" i="1"/>
  <c r="P161" i="1"/>
  <c r="L160" i="1"/>
  <c r="P160" i="1"/>
  <c r="V160" i="1"/>
  <c r="L159" i="1"/>
  <c r="P159" i="1"/>
  <c r="L150" i="1"/>
  <c r="P150" i="1"/>
  <c r="L149" i="1"/>
  <c r="P149" i="1"/>
  <c r="L147" i="1"/>
  <c r="P147" i="1"/>
  <c r="L146" i="1"/>
  <c r="P146" i="1"/>
  <c r="S146" i="1"/>
  <c r="E154" i="4"/>
  <c r="I154" i="4"/>
  <c r="AA154" i="4"/>
  <c r="L145" i="1"/>
  <c r="P145" i="1"/>
  <c r="S145" i="1"/>
  <c r="E153" i="4"/>
  <c r="I153" i="4"/>
  <c r="AB153" i="4"/>
  <c r="F143" i="1"/>
  <c r="L143" i="1"/>
  <c r="P143" i="1"/>
  <c r="V143" i="1"/>
  <c r="L142" i="1"/>
  <c r="P142" i="1"/>
  <c r="L125" i="1"/>
  <c r="P125" i="1"/>
  <c r="L123" i="1"/>
  <c r="P123" i="1"/>
  <c r="U123" i="1"/>
  <c r="L119" i="1"/>
  <c r="P119" i="1"/>
  <c r="S119" i="1"/>
  <c r="E126" i="4"/>
  <c r="I126" i="4"/>
  <c r="AA126" i="4"/>
  <c r="L118" i="1"/>
  <c r="P118" i="1"/>
  <c r="S118" i="1"/>
  <c r="E125" i="4"/>
  <c r="I125" i="4"/>
  <c r="AA125" i="4"/>
  <c r="L115" i="1"/>
  <c r="P115" i="1"/>
  <c r="L103" i="1"/>
  <c r="P103" i="1"/>
  <c r="F102" i="1"/>
  <c r="L102" i="1"/>
  <c r="P102" i="1"/>
  <c r="L98" i="1"/>
  <c r="P98" i="1"/>
  <c r="L96" i="1"/>
  <c r="P96" i="1"/>
  <c r="L95" i="1"/>
  <c r="P95" i="1"/>
  <c r="V95" i="1"/>
  <c r="L87" i="1"/>
  <c r="P87" i="1"/>
  <c r="S87" i="1"/>
  <c r="E93" i="4"/>
  <c r="I93" i="4"/>
  <c r="AA93" i="4"/>
  <c r="L86" i="1"/>
  <c r="P86" i="1"/>
  <c r="S86" i="1"/>
  <c r="E92" i="4"/>
  <c r="I92" i="4"/>
  <c r="AA92" i="4"/>
  <c r="L84" i="1"/>
  <c r="P84" i="1"/>
  <c r="S84" i="1"/>
  <c r="E90" i="4"/>
  <c r="I90" i="4"/>
  <c r="AB90" i="4"/>
  <c r="L83" i="1"/>
  <c r="P83" i="1"/>
  <c r="S83" i="1"/>
  <c r="E89" i="4"/>
  <c r="I89" i="4"/>
  <c r="AB89" i="4"/>
  <c r="L81" i="1"/>
  <c r="P81" i="1"/>
  <c r="L79" i="1"/>
  <c r="P79" i="1"/>
  <c r="L78" i="1"/>
  <c r="P78" i="1"/>
  <c r="L65" i="1"/>
  <c r="P65" i="1"/>
  <c r="U65" i="1"/>
  <c r="L64" i="1"/>
  <c r="P64" i="1"/>
  <c r="U64" i="1"/>
  <c r="L59" i="1"/>
  <c r="L54" i="1"/>
  <c r="L53" i="1"/>
  <c r="P53" i="1"/>
  <c r="V53" i="1"/>
  <c r="L52" i="1"/>
  <c r="L51" i="1"/>
  <c r="L49" i="1"/>
  <c r="P49" i="1"/>
  <c r="S49" i="1"/>
  <c r="E53" i="4"/>
  <c r="I53" i="4"/>
  <c r="AA53" i="4"/>
  <c r="L48" i="1"/>
  <c r="L47" i="1"/>
  <c r="W86" i="1"/>
  <c r="V86" i="1"/>
  <c r="L41" i="1"/>
  <c r="P41" i="1"/>
  <c r="S41" i="1"/>
  <c r="E41" i="4"/>
  <c r="I41" i="4"/>
  <c r="AA41" i="4"/>
  <c r="L40" i="1"/>
  <c r="L39" i="1"/>
  <c r="P39" i="1"/>
  <c r="L38" i="1"/>
  <c r="P38" i="1"/>
  <c r="S38" i="1"/>
  <c r="E38" i="4"/>
  <c r="I38" i="4"/>
  <c r="AA38" i="4"/>
  <c r="L37" i="1"/>
  <c r="P37" i="1"/>
  <c r="U37" i="1"/>
  <c r="L36" i="1"/>
  <c r="L35" i="1"/>
  <c r="P35" i="1"/>
  <c r="L34" i="1"/>
  <c r="I34" i="2"/>
  <c r="O34" i="2"/>
  <c r="Q34" i="2"/>
  <c r="T34" i="2"/>
  <c r="E35" i="1"/>
  <c r="I35" i="1"/>
  <c r="N169" i="1"/>
  <c r="N106" i="1"/>
  <c r="T243" i="1"/>
  <c r="O243" i="1"/>
  <c r="P19" i="1"/>
  <c r="S19" i="1"/>
  <c r="E19" i="4"/>
  <c r="I19" i="4"/>
  <c r="AA19" i="4"/>
  <c r="P242" i="1"/>
  <c r="S242" i="1"/>
  <c r="E256" i="4"/>
  <c r="I256" i="4"/>
  <c r="AA256" i="4"/>
  <c r="P241" i="1"/>
  <c r="U241" i="1"/>
  <c r="V241" i="1"/>
  <c r="W241" i="1"/>
  <c r="P240" i="1"/>
  <c r="S240" i="1"/>
  <c r="P239" i="1"/>
  <c r="S239" i="1"/>
  <c r="P238" i="1"/>
  <c r="S238" i="1"/>
  <c r="P237" i="1"/>
  <c r="S237" i="1"/>
  <c r="P236" i="1"/>
  <c r="S236" i="1"/>
  <c r="P235" i="1"/>
  <c r="P234" i="1"/>
  <c r="S234" i="1"/>
  <c r="P233" i="1"/>
  <c r="S233" i="1"/>
  <c r="P232" i="1"/>
  <c r="U232" i="1"/>
  <c r="P231" i="1"/>
  <c r="U231" i="1"/>
  <c r="P230" i="1"/>
  <c r="U230" i="1"/>
  <c r="P229" i="1"/>
  <c r="S229" i="1"/>
  <c r="E242" i="4"/>
  <c r="I242" i="4"/>
  <c r="AA242" i="4"/>
  <c r="P228" i="1"/>
  <c r="P227" i="1"/>
  <c r="S227" i="1"/>
  <c r="E240" i="4"/>
  <c r="I240" i="4"/>
  <c r="AA240" i="4"/>
  <c r="P226" i="1"/>
  <c r="S226" i="1"/>
  <c r="P225" i="1"/>
  <c r="V225" i="1"/>
  <c r="P222" i="1"/>
  <c r="S222" i="1"/>
  <c r="E234" i="4"/>
  <c r="I234" i="4"/>
  <c r="AB234" i="4"/>
  <c r="P221" i="1"/>
  <c r="P220" i="1"/>
  <c r="S220" i="1"/>
  <c r="E232" i="4"/>
  <c r="I232" i="4"/>
  <c r="AB232" i="4"/>
  <c r="P219" i="1"/>
  <c r="P218" i="1"/>
  <c r="U218" i="1"/>
  <c r="V218" i="1"/>
  <c r="W218" i="1"/>
  <c r="P217" i="1"/>
  <c r="S217" i="1"/>
  <c r="E228" i="4"/>
  <c r="I228" i="4"/>
  <c r="AC228" i="4"/>
  <c r="P215" i="1"/>
  <c r="S215" i="1"/>
  <c r="E226" i="4"/>
  <c r="I226" i="4"/>
  <c r="AB226" i="4"/>
  <c r="P214" i="1"/>
  <c r="V214" i="1"/>
  <c r="P213" i="1"/>
  <c r="U213" i="1"/>
  <c r="P212" i="1"/>
  <c r="U212" i="1"/>
  <c r="P211" i="1"/>
  <c r="U211" i="1"/>
  <c r="P210" i="1"/>
  <c r="P209" i="1"/>
  <c r="P208" i="1"/>
  <c r="P207" i="1"/>
  <c r="S207" i="1"/>
  <c r="E218" i="4"/>
  <c r="I218" i="4"/>
  <c r="AB218" i="4"/>
  <c r="P206" i="1"/>
  <c r="S206" i="1"/>
  <c r="E217" i="4"/>
  <c r="I217" i="4"/>
  <c r="AB217" i="4"/>
  <c r="P205" i="1"/>
  <c r="S205" i="1"/>
  <c r="E216" i="4"/>
  <c r="I216" i="4"/>
  <c r="AA216" i="4"/>
  <c r="P204" i="1"/>
  <c r="S204" i="1"/>
  <c r="E215" i="4"/>
  <c r="I215" i="4"/>
  <c r="AA215" i="4"/>
  <c r="P203" i="1"/>
  <c r="S203" i="1"/>
  <c r="E214" i="4"/>
  <c r="I214" i="4"/>
  <c r="AA214" i="4"/>
  <c r="P202" i="1"/>
  <c r="P196" i="1"/>
  <c r="S196" i="1"/>
  <c r="E207" i="4"/>
  <c r="I207" i="4"/>
  <c r="AB207" i="4"/>
  <c r="P195" i="1"/>
  <c r="V195" i="1"/>
  <c r="P194" i="1"/>
  <c r="U194" i="1"/>
  <c r="P193" i="1"/>
  <c r="S193" i="1"/>
  <c r="E204" i="4"/>
  <c r="I204" i="4"/>
  <c r="AA204" i="4"/>
  <c r="P192" i="1"/>
  <c r="S192" i="1"/>
  <c r="E203" i="4"/>
  <c r="I203" i="4"/>
  <c r="AB203" i="4"/>
  <c r="P190" i="1"/>
  <c r="V190" i="1"/>
  <c r="P189" i="1"/>
  <c r="U189" i="1"/>
  <c r="P187" i="1"/>
  <c r="P186" i="1"/>
  <c r="S186" i="1"/>
  <c r="E197" i="4"/>
  <c r="I197" i="4"/>
  <c r="AB197" i="4"/>
  <c r="P185" i="1"/>
  <c r="S185" i="1"/>
  <c r="E196" i="4"/>
  <c r="I196" i="4"/>
  <c r="AA196" i="4"/>
  <c r="P184" i="1"/>
  <c r="S184" i="1"/>
  <c r="E195" i="4"/>
  <c r="I195" i="4"/>
  <c r="AA195" i="4"/>
  <c r="P183" i="1"/>
  <c r="V183" i="1"/>
  <c r="P182" i="1"/>
  <c r="S182" i="1"/>
  <c r="E193" i="4"/>
  <c r="I193" i="4"/>
  <c r="AB193" i="4"/>
  <c r="P181" i="1"/>
  <c r="P180" i="1"/>
  <c r="S180" i="1"/>
  <c r="E191" i="4"/>
  <c r="I191" i="4"/>
  <c r="AA191" i="4"/>
  <c r="P179" i="1"/>
  <c r="S179" i="1"/>
  <c r="E190" i="4"/>
  <c r="I190" i="4"/>
  <c r="AA190" i="4"/>
  <c r="P178" i="1"/>
  <c r="S178" i="1"/>
  <c r="E189" i="4"/>
  <c r="I189" i="4"/>
  <c r="AA189" i="4"/>
  <c r="P177" i="1"/>
  <c r="P175" i="1"/>
  <c r="S175" i="1"/>
  <c r="E186" i="4"/>
  <c r="I186" i="4"/>
  <c r="AB186" i="4"/>
  <c r="P174" i="1"/>
  <c r="P171" i="1"/>
  <c r="V171" i="1"/>
  <c r="P170" i="1"/>
  <c r="P167" i="1"/>
  <c r="S167" i="1"/>
  <c r="E177" i="4"/>
  <c r="I177" i="4"/>
  <c r="AA177" i="4"/>
  <c r="P166" i="1"/>
  <c r="S166" i="1"/>
  <c r="E176" i="4"/>
  <c r="I176" i="4"/>
  <c r="AA176" i="4"/>
  <c r="P165" i="1"/>
  <c r="S165" i="1"/>
  <c r="E175" i="4"/>
  <c r="I175" i="4"/>
  <c r="AA175" i="4"/>
  <c r="P164" i="1"/>
  <c r="P163" i="1"/>
  <c r="U163" i="1"/>
  <c r="P158" i="1"/>
  <c r="V158" i="1"/>
  <c r="P157" i="1"/>
  <c r="S157" i="1"/>
  <c r="P156" i="1"/>
  <c r="V156" i="1"/>
  <c r="P155" i="1"/>
  <c r="U155" i="1"/>
  <c r="P154" i="1"/>
  <c r="S154" i="1"/>
  <c r="E163" i="4"/>
  <c r="I163" i="4"/>
  <c r="AA163" i="4"/>
  <c r="P152" i="1"/>
  <c r="S152" i="1"/>
  <c r="E161" i="4"/>
  <c r="I161" i="4"/>
  <c r="AA161" i="4"/>
  <c r="P151" i="1"/>
  <c r="U151" i="1"/>
  <c r="P148" i="1"/>
  <c r="S148" i="1"/>
  <c r="E157" i="4"/>
  <c r="I157" i="4"/>
  <c r="AA157" i="4"/>
  <c r="P144" i="1"/>
  <c r="S144" i="1"/>
  <c r="E152" i="4"/>
  <c r="I152" i="4"/>
  <c r="AB152" i="4"/>
  <c r="P140" i="1"/>
  <c r="S140" i="1"/>
  <c r="E148" i="4"/>
  <c r="I148" i="4"/>
  <c r="AB148" i="4"/>
  <c r="P139" i="1"/>
  <c r="S139" i="1"/>
  <c r="E147" i="4"/>
  <c r="I147" i="4"/>
  <c r="AB147" i="4"/>
  <c r="P138" i="1"/>
  <c r="P137" i="1"/>
  <c r="U137" i="1"/>
  <c r="P136" i="1"/>
  <c r="U136" i="1"/>
  <c r="P135" i="1"/>
  <c r="U135" i="1"/>
  <c r="P134" i="1"/>
  <c r="S134" i="1"/>
  <c r="E141" i="4"/>
  <c r="I141" i="4"/>
  <c r="AA141" i="4"/>
  <c r="P133" i="1"/>
  <c r="S133" i="1"/>
  <c r="E140" i="4"/>
  <c r="I140" i="4"/>
  <c r="AA140" i="4"/>
  <c r="P132" i="1"/>
  <c r="U132" i="1"/>
  <c r="P131" i="1"/>
  <c r="S131" i="1"/>
  <c r="E138" i="4"/>
  <c r="I138" i="4"/>
  <c r="AB138" i="4"/>
  <c r="P130" i="1"/>
  <c r="S130" i="1"/>
  <c r="E137" i="4"/>
  <c r="I137" i="4"/>
  <c r="AB137" i="4"/>
  <c r="P129" i="1"/>
  <c r="S129" i="1"/>
  <c r="E136" i="4"/>
  <c r="I136" i="4"/>
  <c r="AB136" i="4"/>
  <c r="P128" i="1"/>
  <c r="P127" i="1"/>
  <c r="P126" i="1"/>
  <c r="P124" i="1"/>
  <c r="U124" i="1"/>
  <c r="P122" i="1"/>
  <c r="P121" i="1"/>
  <c r="S121" i="1"/>
  <c r="E128" i="4"/>
  <c r="I128" i="4"/>
  <c r="AA128" i="4"/>
  <c r="P120" i="1"/>
  <c r="U120" i="1"/>
  <c r="P117" i="1"/>
  <c r="P116" i="1"/>
  <c r="P114" i="1"/>
  <c r="U114" i="1"/>
  <c r="P113" i="1"/>
  <c r="S113" i="1"/>
  <c r="E119" i="4"/>
  <c r="I119" i="4"/>
  <c r="AA119" i="4"/>
  <c r="P112" i="1"/>
  <c r="S112" i="1"/>
  <c r="E118" i="4"/>
  <c r="I118" i="4"/>
  <c r="AA118" i="4"/>
  <c r="P111" i="1"/>
  <c r="U111" i="1"/>
  <c r="V111" i="1"/>
  <c r="W111" i="1"/>
  <c r="P110" i="1"/>
  <c r="U110" i="1"/>
  <c r="P109" i="1"/>
  <c r="S109" i="1"/>
  <c r="E115" i="4"/>
  <c r="I115" i="4"/>
  <c r="AA115" i="4"/>
  <c r="P108" i="1"/>
  <c r="S108" i="1"/>
  <c r="E114" i="4"/>
  <c r="I114" i="4"/>
  <c r="AA114" i="4"/>
  <c r="P107" i="1"/>
  <c r="U107" i="1"/>
  <c r="P106" i="1"/>
  <c r="U106" i="1"/>
  <c r="P105" i="1"/>
  <c r="S105" i="1"/>
  <c r="E111" i="4"/>
  <c r="I111" i="4"/>
  <c r="AA111" i="4"/>
  <c r="P104" i="1"/>
  <c r="S104" i="1"/>
  <c r="E110" i="4"/>
  <c r="I110" i="4"/>
  <c r="AA110" i="4"/>
  <c r="P101" i="1"/>
  <c r="P100" i="1"/>
  <c r="P99" i="1"/>
  <c r="P97" i="1"/>
  <c r="S97" i="1"/>
  <c r="E103" i="4"/>
  <c r="I103" i="4"/>
  <c r="AA103" i="4"/>
  <c r="P94" i="1"/>
  <c r="W94" i="1"/>
  <c r="P93" i="1"/>
  <c r="S93" i="1"/>
  <c r="E99" i="4"/>
  <c r="I99" i="4"/>
  <c r="AB99" i="4"/>
  <c r="P92" i="1"/>
  <c r="V92" i="1"/>
  <c r="P91" i="1"/>
  <c r="U91" i="1"/>
  <c r="P90" i="1"/>
  <c r="U90" i="1"/>
  <c r="P89" i="1"/>
  <c r="U89" i="1"/>
  <c r="P88" i="1"/>
  <c r="S88" i="1"/>
  <c r="E94" i="4"/>
  <c r="I94" i="4"/>
  <c r="AA94" i="4"/>
  <c r="P85" i="1"/>
  <c r="S85" i="1"/>
  <c r="P82" i="1"/>
  <c r="P80" i="1"/>
  <c r="U80" i="1"/>
  <c r="P77" i="1"/>
  <c r="P76" i="1"/>
  <c r="V76" i="1"/>
  <c r="P75" i="1"/>
  <c r="P74" i="1"/>
  <c r="V74" i="1"/>
  <c r="P73" i="1"/>
  <c r="S73" i="1"/>
  <c r="E79" i="4"/>
  <c r="I79" i="4"/>
  <c r="AA79" i="4"/>
  <c r="P72" i="1"/>
  <c r="S72" i="1"/>
  <c r="E78" i="4"/>
  <c r="I78" i="4"/>
  <c r="AA78" i="4"/>
  <c r="P71" i="1"/>
  <c r="P70" i="1"/>
  <c r="U70" i="1"/>
  <c r="P69" i="1"/>
  <c r="S69" i="1"/>
  <c r="E75" i="4"/>
  <c r="I75" i="4"/>
  <c r="AA75" i="4"/>
  <c r="P68" i="1"/>
  <c r="U68" i="1"/>
  <c r="P67" i="1"/>
  <c r="P66" i="1"/>
  <c r="U66" i="1"/>
  <c r="P63" i="1"/>
  <c r="P62" i="1"/>
  <c r="S62" i="1"/>
  <c r="E66" i="4"/>
  <c r="I66" i="4"/>
  <c r="AA66" i="4"/>
  <c r="P61" i="1"/>
  <c r="S61" i="1"/>
  <c r="E65" i="4"/>
  <c r="I65" i="4"/>
  <c r="AA65" i="4"/>
  <c r="P60" i="1"/>
  <c r="V60" i="1"/>
  <c r="P58" i="1"/>
  <c r="V58" i="1"/>
  <c r="P57" i="1"/>
  <c r="P56" i="1"/>
  <c r="S56" i="1"/>
  <c r="E60" i="4"/>
  <c r="I60" i="4"/>
  <c r="AB60" i="4"/>
  <c r="P55" i="1"/>
  <c r="S55" i="1"/>
  <c r="E59" i="4"/>
  <c r="I59" i="4"/>
  <c r="AA59" i="4"/>
  <c r="P50" i="1"/>
  <c r="S50" i="1"/>
  <c r="E54" i="4"/>
  <c r="I54" i="4"/>
  <c r="AA54" i="4"/>
  <c r="P45" i="1"/>
  <c r="P44" i="1"/>
  <c r="P42" i="1"/>
  <c r="W42" i="1"/>
  <c r="P33" i="1"/>
  <c r="P32" i="1"/>
  <c r="S32" i="1"/>
  <c r="E32" i="4"/>
  <c r="I32" i="4"/>
  <c r="AA32" i="4"/>
  <c r="P31" i="1"/>
  <c r="S31" i="1"/>
  <c r="E31" i="4"/>
  <c r="I31" i="4"/>
  <c r="AB31" i="4"/>
  <c r="P30" i="1"/>
  <c r="V30" i="1"/>
  <c r="U30" i="1"/>
  <c r="W30" i="1"/>
  <c r="P29" i="1"/>
  <c r="S29" i="1"/>
  <c r="E29" i="4"/>
  <c r="I29" i="4"/>
  <c r="AB29" i="4"/>
  <c r="P28" i="1"/>
  <c r="S28" i="1"/>
  <c r="E28" i="4"/>
  <c r="I28" i="4"/>
  <c r="AA28" i="4"/>
  <c r="P27" i="1"/>
  <c r="S27" i="1"/>
  <c r="E27" i="4"/>
  <c r="I27" i="4"/>
  <c r="AA27" i="4"/>
  <c r="P26" i="1"/>
  <c r="S26" i="1"/>
  <c r="E26" i="4"/>
  <c r="I26" i="4"/>
  <c r="AA26" i="4"/>
  <c r="P25" i="1"/>
  <c r="S25" i="1"/>
  <c r="P24" i="1"/>
  <c r="S24" i="1"/>
  <c r="E24" i="4"/>
  <c r="I24" i="4"/>
  <c r="AA24" i="4"/>
  <c r="P23" i="1"/>
  <c r="S23" i="1"/>
  <c r="P22" i="1"/>
  <c r="V22" i="1"/>
  <c r="P21" i="1"/>
  <c r="S21" i="1"/>
  <c r="E21" i="4"/>
  <c r="I21" i="4"/>
  <c r="AA21" i="4"/>
  <c r="P20" i="1"/>
  <c r="S20" i="1"/>
  <c r="E20" i="4"/>
  <c r="I20" i="4"/>
  <c r="AB20" i="4"/>
  <c r="W242" i="1"/>
  <c r="W240" i="1"/>
  <c r="W239" i="1"/>
  <c r="W238" i="1"/>
  <c r="W237" i="1"/>
  <c r="W236" i="1"/>
  <c r="W235" i="1"/>
  <c r="W234" i="1"/>
  <c r="W233" i="1"/>
  <c r="W232" i="1"/>
  <c r="W231" i="1"/>
  <c r="W230" i="1"/>
  <c r="W229" i="1"/>
  <c r="W228" i="1"/>
  <c r="W227" i="1"/>
  <c r="W226" i="1"/>
  <c r="W225" i="1"/>
  <c r="W224" i="1"/>
  <c r="W223" i="1"/>
  <c r="W222" i="1"/>
  <c r="W220" i="1"/>
  <c r="W219" i="1"/>
  <c r="W216" i="1"/>
  <c r="W215" i="1"/>
  <c r="W214" i="1"/>
  <c r="W213" i="1"/>
  <c r="W212" i="1"/>
  <c r="W211" i="1"/>
  <c r="W210" i="1"/>
  <c r="W209" i="1"/>
  <c r="W208" i="1"/>
  <c r="W207" i="1"/>
  <c r="W206" i="1"/>
  <c r="W205" i="1"/>
  <c r="W204" i="1"/>
  <c r="W203" i="1"/>
  <c r="W202" i="1"/>
  <c r="W201" i="1"/>
  <c r="W200" i="1"/>
  <c r="W199" i="1"/>
  <c r="W198" i="1"/>
  <c r="W197" i="1"/>
  <c r="W196" i="1"/>
  <c r="W195" i="1"/>
  <c r="W194" i="1"/>
  <c r="W193" i="1"/>
  <c r="W192" i="1"/>
  <c r="W191" i="1"/>
  <c r="W190" i="1"/>
  <c r="W189" i="1"/>
  <c r="W188" i="1"/>
  <c r="W187" i="1"/>
  <c r="W186" i="1"/>
  <c r="W185" i="1"/>
  <c r="W184" i="1"/>
  <c r="W183" i="1"/>
  <c r="W182" i="1"/>
  <c r="W180" i="1"/>
  <c r="W179" i="1"/>
  <c r="W178" i="1"/>
  <c r="W177" i="1"/>
  <c r="W176" i="1"/>
  <c r="W175" i="1"/>
  <c r="W174" i="1"/>
  <c r="W173" i="1"/>
  <c r="W172" i="1"/>
  <c r="W171" i="1"/>
  <c r="W170" i="1"/>
  <c r="W169" i="1"/>
  <c r="W168" i="1"/>
  <c r="W167" i="1"/>
  <c r="W166" i="1"/>
  <c r="W165" i="1"/>
  <c r="W164" i="1"/>
  <c r="W163" i="1"/>
  <c r="W162" i="1"/>
  <c r="W161" i="1"/>
  <c r="W157" i="1"/>
  <c r="W156" i="1"/>
  <c r="W155" i="1"/>
  <c r="W154" i="1"/>
  <c r="W152" i="1"/>
  <c r="W151" i="1"/>
  <c r="W150" i="1"/>
  <c r="W149" i="1"/>
  <c r="W148" i="1"/>
  <c r="W147" i="1"/>
  <c r="W146" i="1"/>
  <c r="W145" i="1"/>
  <c r="W144" i="1"/>
  <c r="W143" i="1"/>
  <c r="W142" i="1"/>
  <c r="W141" i="1"/>
  <c r="W140" i="1"/>
  <c r="W139" i="1"/>
  <c r="W138" i="1"/>
  <c r="W137" i="1"/>
  <c r="W136" i="1"/>
  <c r="W135" i="1"/>
  <c r="W134" i="1"/>
  <c r="W133" i="1"/>
  <c r="W132" i="1"/>
  <c r="W131" i="1"/>
  <c r="W130" i="1"/>
  <c r="W129" i="1"/>
  <c r="W128" i="1"/>
  <c r="W127" i="1"/>
  <c r="W126" i="1"/>
  <c r="W125" i="1"/>
  <c r="W124" i="1"/>
  <c r="W123" i="1"/>
  <c r="W122" i="1"/>
  <c r="W121" i="1"/>
  <c r="W120" i="1"/>
  <c r="W119" i="1"/>
  <c r="W118" i="1"/>
  <c r="W117" i="1"/>
  <c r="W116" i="1"/>
  <c r="W115" i="1"/>
  <c r="W114" i="1"/>
  <c r="W113" i="1"/>
  <c r="W112" i="1"/>
  <c r="W110" i="1"/>
  <c r="W109" i="1"/>
  <c r="W108" i="1"/>
  <c r="W107" i="1"/>
  <c r="W106" i="1"/>
  <c r="W105" i="1"/>
  <c r="W104" i="1"/>
  <c r="W103" i="1"/>
  <c r="W102" i="1"/>
  <c r="W101" i="1"/>
  <c r="W100" i="1"/>
  <c r="W99" i="1"/>
  <c r="W98" i="1"/>
  <c r="W97" i="1"/>
  <c r="W96" i="1"/>
  <c r="W95" i="1"/>
  <c r="W93" i="1"/>
  <c r="W92" i="1"/>
  <c r="W91" i="1"/>
  <c r="W90" i="1"/>
  <c r="W89" i="1"/>
  <c r="W88" i="1"/>
  <c r="W87" i="1"/>
  <c r="W85" i="1"/>
  <c r="W84" i="1"/>
  <c r="W83" i="1"/>
  <c r="W82" i="1"/>
  <c r="W81" i="1"/>
  <c r="W80" i="1"/>
  <c r="W79" i="1"/>
  <c r="W78" i="1"/>
  <c r="W77" i="1"/>
  <c r="W76" i="1"/>
  <c r="W75" i="1"/>
  <c r="W74" i="1"/>
  <c r="W73" i="1"/>
  <c r="W72" i="1"/>
  <c r="W71" i="1"/>
  <c r="W70" i="1"/>
  <c r="W69" i="1"/>
  <c r="W68" i="1"/>
  <c r="W67" i="1"/>
  <c r="W66" i="1"/>
  <c r="W65" i="1"/>
  <c r="W64" i="1"/>
  <c r="W63" i="1"/>
  <c r="W62" i="1"/>
  <c r="W61" i="1"/>
  <c r="W60" i="1"/>
  <c r="W59" i="1"/>
  <c r="W58" i="1"/>
  <c r="W57" i="1"/>
  <c r="W56" i="1"/>
  <c r="W55" i="1"/>
  <c r="W54" i="1"/>
  <c r="W53" i="1"/>
  <c r="W52" i="1"/>
  <c r="W51" i="1"/>
  <c r="W50" i="1"/>
  <c r="W49" i="1"/>
  <c r="W48" i="1"/>
  <c r="W47" i="1"/>
  <c r="W46" i="1"/>
  <c r="W45" i="1"/>
  <c r="W44" i="1"/>
  <c r="W43" i="1"/>
  <c r="W41" i="1"/>
  <c r="W40" i="1"/>
  <c r="W39" i="1"/>
  <c r="W38" i="1"/>
  <c r="W37" i="1"/>
  <c r="W36" i="1"/>
  <c r="W35" i="1"/>
  <c r="W34" i="1"/>
  <c r="W33" i="1"/>
  <c r="W32" i="1"/>
  <c r="W31" i="1"/>
  <c r="W29" i="1"/>
  <c r="W28" i="1"/>
  <c r="W27" i="1"/>
  <c r="W26" i="1"/>
  <c r="W25" i="1"/>
  <c r="W24" i="1"/>
  <c r="W23" i="1"/>
  <c r="W22" i="1"/>
  <c r="W21" i="1"/>
  <c r="W20" i="1"/>
  <c r="W19" i="1"/>
  <c r="V242" i="1"/>
  <c r="V240" i="1"/>
  <c r="V239" i="1"/>
  <c r="V238" i="1"/>
  <c r="V237" i="1"/>
  <c r="V236" i="1"/>
  <c r="V235" i="1"/>
  <c r="V234" i="1"/>
  <c r="V233" i="1"/>
  <c r="V232" i="1"/>
  <c r="V231" i="1"/>
  <c r="V230" i="1"/>
  <c r="V229" i="1"/>
  <c r="V227" i="1"/>
  <c r="V226" i="1"/>
  <c r="V223" i="1"/>
  <c r="V221" i="1"/>
  <c r="V217" i="1"/>
  <c r="V216" i="1"/>
  <c r="V213" i="1"/>
  <c r="V212" i="1"/>
  <c r="V211" i="1"/>
  <c r="V205" i="1"/>
  <c r="V204" i="1"/>
  <c r="V203" i="1"/>
  <c r="V194" i="1"/>
  <c r="V193" i="1"/>
  <c r="V191" i="1"/>
  <c r="V189" i="1"/>
  <c r="V188" i="1"/>
  <c r="V187" i="1"/>
  <c r="V185" i="1"/>
  <c r="V184" i="1"/>
  <c r="V181" i="1"/>
  <c r="V180" i="1"/>
  <c r="V179" i="1"/>
  <c r="V178" i="1"/>
  <c r="V174" i="1"/>
  <c r="V173" i="1"/>
  <c r="V172" i="1"/>
  <c r="V167" i="1"/>
  <c r="V166" i="1"/>
  <c r="V165" i="1"/>
  <c r="V164" i="1"/>
  <c r="V163" i="1"/>
  <c r="V155" i="1"/>
  <c r="V154" i="1"/>
  <c r="V152" i="1"/>
  <c r="V151" i="1"/>
  <c r="V148" i="1"/>
  <c r="V146" i="1"/>
  <c r="V142" i="1"/>
  <c r="V141" i="1"/>
  <c r="V138" i="1"/>
  <c r="V137" i="1"/>
  <c r="V136" i="1"/>
  <c r="V135" i="1"/>
  <c r="V134" i="1"/>
  <c r="V133" i="1"/>
  <c r="V132" i="1"/>
  <c r="V128" i="1"/>
  <c r="V127" i="1"/>
  <c r="V126" i="1"/>
  <c r="V125" i="1"/>
  <c r="V124" i="1"/>
  <c r="V123" i="1"/>
  <c r="V122" i="1"/>
  <c r="V121" i="1"/>
  <c r="V120" i="1"/>
  <c r="V119" i="1"/>
  <c r="V118" i="1"/>
  <c r="V117" i="1"/>
  <c r="V114" i="1"/>
  <c r="V113" i="1"/>
  <c r="V112" i="1"/>
  <c r="V110" i="1"/>
  <c r="V109" i="1"/>
  <c r="V108" i="1"/>
  <c r="V107" i="1"/>
  <c r="V106" i="1"/>
  <c r="V105" i="1"/>
  <c r="V104" i="1"/>
  <c r="V103" i="1"/>
  <c r="V102" i="1"/>
  <c r="V101" i="1"/>
  <c r="V97" i="1"/>
  <c r="V94" i="1"/>
  <c r="V91" i="1"/>
  <c r="V90" i="1"/>
  <c r="V89" i="1"/>
  <c r="V88" i="1"/>
  <c r="V87" i="1"/>
  <c r="V80" i="1"/>
  <c r="V77" i="1"/>
  <c r="V75" i="1"/>
  <c r="V73" i="1"/>
  <c r="V72" i="1"/>
  <c r="V71" i="1"/>
  <c r="V70" i="1"/>
  <c r="V69" i="1"/>
  <c r="V68" i="1"/>
  <c r="V67" i="1"/>
  <c r="V66" i="1"/>
  <c r="V65" i="1"/>
  <c r="V64" i="1"/>
  <c r="V63" i="1"/>
  <c r="V62" i="1"/>
  <c r="V61" i="1"/>
  <c r="V55" i="1"/>
  <c r="V50" i="1"/>
  <c r="V49" i="1"/>
  <c r="V48" i="1"/>
  <c r="V47" i="1"/>
  <c r="V44" i="1"/>
  <c r="V43" i="1"/>
  <c r="V42" i="1"/>
  <c r="V41" i="1"/>
  <c r="V40" i="1"/>
  <c r="V39" i="1"/>
  <c r="V38" i="1"/>
  <c r="V37" i="1"/>
  <c r="V36" i="1"/>
  <c r="V35" i="1"/>
  <c r="V32" i="1"/>
  <c r="V28" i="1"/>
  <c r="V27" i="1"/>
  <c r="V26" i="1"/>
  <c r="V25" i="1"/>
  <c r="V24" i="1"/>
  <c r="V23" i="1"/>
  <c r="V21" i="1"/>
  <c r="V19" i="1"/>
  <c r="U242" i="1"/>
  <c r="Z242" i="1"/>
  <c r="U240" i="1"/>
  <c r="Z240" i="1"/>
  <c r="U239" i="1"/>
  <c r="Z239" i="1"/>
  <c r="U238" i="1"/>
  <c r="Z238" i="1"/>
  <c r="U237" i="1"/>
  <c r="Z237" i="1"/>
  <c r="U236" i="1"/>
  <c r="Z236" i="1"/>
  <c r="U228" i="1"/>
  <c r="U225" i="1"/>
  <c r="U224" i="1"/>
  <c r="U222" i="1"/>
  <c r="U221" i="1"/>
  <c r="U220" i="1"/>
  <c r="U219" i="1"/>
  <c r="U217" i="1"/>
  <c r="U215" i="1"/>
  <c r="U214" i="1"/>
  <c r="U210" i="1"/>
  <c r="U209" i="1"/>
  <c r="U208" i="1"/>
  <c r="U207" i="1"/>
  <c r="U206" i="1"/>
  <c r="U202" i="1"/>
  <c r="U201" i="1"/>
  <c r="U200" i="1"/>
  <c r="U199" i="1"/>
  <c r="U198" i="1"/>
  <c r="U197" i="1"/>
  <c r="U196" i="1"/>
  <c r="U195" i="1"/>
  <c r="U192" i="1"/>
  <c r="U190" i="1"/>
  <c r="U186" i="1"/>
  <c r="U183" i="1"/>
  <c r="U182" i="1"/>
  <c r="U181" i="1"/>
  <c r="U177" i="1"/>
  <c r="U176" i="1"/>
  <c r="U175" i="1"/>
  <c r="U171" i="1"/>
  <c r="U170" i="1"/>
  <c r="U169" i="1"/>
  <c r="U168" i="1"/>
  <c r="U157" i="1"/>
  <c r="U156" i="1"/>
  <c r="U150" i="1"/>
  <c r="U149" i="1"/>
  <c r="U147" i="1"/>
  <c r="U145" i="1"/>
  <c r="U144" i="1"/>
  <c r="U143" i="1"/>
  <c r="U140" i="1"/>
  <c r="U139" i="1"/>
  <c r="U131" i="1"/>
  <c r="U130" i="1"/>
  <c r="U129" i="1"/>
  <c r="U116" i="1"/>
  <c r="U115" i="1"/>
  <c r="U100" i="1"/>
  <c r="U99" i="1"/>
  <c r="U98" i="1"/>
  <c r="U96" i="1"/>
  <c r="U95" i="1"/>
  <c r="U94" i="1"/>
  <c r="U93" i="1"/>
  <c r="U92" i="1"/>
  <c r="U85" i="1"/>
  <c r="U84" i="1"/>
  <c r="U83" i="1"/>
  <c r="U82" i="1"/>
  <c r="U81" i="1"/>
  <c r="U79" i="1"/>
  <c r="U78" i="1"/>
  <c r="U76" i="1"/>
  <c r="U74" i="1"/>
  <c r="U60" i="1"/>
  <c r="U59" i="1"/>
  <c r="U58" i="1"/>
  <c r="U57" i="1"/>
  <c r="U56" i="1"/>
  <c r="U54" i="1"/>
  <c r="U53" i="1"/>
  <c r="U52" i="1"/>
  <c r="U51" i="1"/>
  <c r="U46" i="1"/>
  <c r="U45" i="1"/>
  <c r="U42" i="1"/>
  <c r="U34" i="1"/>
  <c r="U33" i="1"/>
  <c r="U31" i="1"/>
  <c r="U29" i="1"/>
  <c r="U22" i="1"/>
  <c r="U20" i="1"/>
  <c r="E216" i="1"/>
  <c r="I216" i="1"/>
  <c r="F100" i="1"/>
  <c r="F99" i="1"/>
  <c r="F155" i="1"/>
  <c r="F154" i="1"/>
  <c r="F151" i="1"/>
  <c r="F152" i="1"/>
  <c r="R136" i="2"/>
  <c r="R159" i="2"/>
  <c r="E59" i="1"/>
  <c r="I59" i="1"/>
  <c r="R89" i="2"/>
  <c r="R157" i="2"/>
  <c r="R122" i="2"/>
  <c r="E145" i="1"/>
  <c r="I145" i="1"/>
  <c r="F141" i="1"/>
  <c r="F21" i="1"/>
  <c r="F104" i="1"/>
  <c r="F106" i="1"/>
  <c r="F243" i="1"/>
  <c r="E96" i="1"/>
  <c r="I96" i="1"/>
  <c r="R188" i="2"/>
  <c r="I65" i="1"/>
  <c r="I64" i="1"/>
  <c r="R165" i="2"/>
  <c r="R91" i="2"/>
  <c r="T88" i="2"/>
  <c r="E94" i="1"/>
  <c r="I94" i="1"/>
  <c r="G46" i="2"/>
  <c r="G73" i="2"/>
  <c r="G74" i="2"/>
  <c r="G81" i="2"/>
  <c r="G86" i="2"/>
  <c r="G120" i="2"/>
  <c r="G122" i="2"/>
  <c r="G136" i="2"/>
  <c r="G139" i="2"/>
  <c r="G153" i="2"/>
  <c r="G188" i="2"/>
  <c r="G202" i="2"/>
  <c r="G205" i="2"/>
  <c r="G210" i="2"/>
  <c r="G226" i="2"/>
  <c r="G228" i="2"/>
  <c r="R206" i="2"/>
  <c r="R138" i="2"/>
  <c r="R69" i="2"/>
  <c r="R46" i="2"/>
  <c r="R201" i="2"/>
  <c r="R175" i="2"/>
  <c r="Q175" i="2"/>
  <c r="T175" i="2"/>
  <c r="E187" i="1"/>
  <c r="I187" i="1"/>
  <c r="L175" i="2"/>
  <c r="R205" i="2"/>
  <c r="R161" i="2"/>
  <c r="R162" i="2"/>
  <c r="I20" i="1"/>
  <c r="R215" i="2"/>
  <c r="R85" i="2"/>
  <c r="R158" i="2"/>
  <c r="R181" i="2"/>
  <c r="R204" i="2"/>
  <c r="R203" i="2"/>
  <c r="R145" i="2"/>
  <c r="R144" i="2"/>
  <c r="R143" i="2"/>
  <c r="R142" i="2"/>
  <c r="T19" i="2"/>
  <c r="E19" i="1"/>
  <c r="I19" i="1"/>
  <c r="R74" i="2"/>
  <c r="R73" i="2"/>
  <c r="T72" i="2"/>
  <c r="E77" i="1"/>
  <c r="I77" i="1"/>
  <c r="T71" i="2"/>
  <c r="E76" i="1"/>
  <c r="I76" i="1"/>
  <c r="T70" i="2"/>
  <c r="E75" i="1"/>
  <c r="I75" i="1"/>
  <c r="R41" i="2"/>
  <c r="R86" i="2"/>
  <c r="R184" i="2"/>
  <c r="R133" i="2"/>
  <c r="R139" i="2"/>
  <c r="T22" i="2"/>
  <c r="E23" i="1"/>
  <c r="Q22" i="2"/>
  <c r="V22" i="2"/>
  <c r="T24" i="2"/>
  <c r="E25" i="4"/>
  <c r="Q24" i="2"/>
  <c r="V24" i="2"/>
  <c r="T33" i="2"/>
  <c r="E34" i="1"/>
  <c r="I34" i="1"/>
  <c r="Q33" i="2"/>
  <c r="V33" i="2"/>
  <c r="R20" i="2"/>
  <c r="R99" i="2"/>
  <c r="J63" i="3"/>
  <c r="K63" i="3"/>
  <c r="I63" i="3"/>
  <c r="M63" i="3"/>
  <c r="K62" i="3"/>
  <c r="J62" i="3"/>
  <c r="I62" i="3"/>
  <c r="M62" i="3"/>
  <c r="K61" i="3"/>
  <c r="J61" i="3"/>
  <c r="I61" i="3"/>
  <c r="M61" i="3"/>
  <c r="U34" i="2"/>
  <c r="E225" i="1"/>
  <c r="I225" i="1"/>
  <c r="E169" i="1"/>
  <c r="I169" i="1"/>
  <c r="E87" i="1"/>
  <c r="I87" i="1"/>
  <c r="Q243" i="1"/>
  <c r="M243" i="1"/>
  <c r="J243" i="1"/>
  <c r="Y243" i="1"/>
  <c r="X254" i="1"/>
  <c r="AA223" i="4"/>
  <c r="AA222" i="4"/>
  <c r="AA224" i="4"/>
  <c r="AA255" i="4"/>
  <c r="J143" i="2"/>
  <c r="J99" i="2"/>
  <c r="X227" i="2"/>
  <c r="X226" i="2"/>
  <c r="X225" i="2"/>
  <c r="X224" i="2"/>
  <c r="X223" i="2"/>
  <c r="X222" i="2"/>
  <c r="X221" i="2"/>
  <c r="X220" i="2"/>
  <c r="X219" i="2"/>
  <c r="X218" i="2"/>
  <c r="X217" i="2"/>
  <c r="X216" i="2"/>
  <c r="X215" i="2"/>
  <c r="X214" i="2"/>
  <c r="X213" i="2"/>
  <c r="X212" i="2"/>
  <c r="X211" i="2"/>
  <c r="X210" i="2"/>
  <c r="X209" i="2"/>
  <c r="X208" i="2"/>
  <c r="X207" i="2"/>
  <c r="X206" i="2"/>
  <c r="X205" i="2"/>
  <c r="X204" i="2"/>
  <c r="X202" i="2"/>
  <c r="X201" i="2"/>
  <c r="X200" i="2"/>
  <c r="X199" i="2"/>
  <c r="X198" i="2"/>
  <c r="X197" i="2"/>
  <c r="X196" i="2"/>
  <c r="X195" i="2"/>
  <c r="X194" i="2"/>
  <c r="X193" i="2"/>
  <c r="X192" i="2"/>
  <c r="X191" i="2"/>
  <c r="X190" i="2"/>
  <c r="X189" i="2"/>
  <c r="X188" i="2"/>
  <c r="X187" i="2"/>
  <c r="X186" i="2"/>
  <c r="X185" i="2"/>
  <c r="X184" i="2"/>
  <c r="X183" i="2"/>
  <c r="X182" i="2"/>
  <c r="X181" i="2"/>
  <c r="X180" i="2"/>
  <c r="X179" i="2"/>
  <c r="X178" i="2"/>
  <c r="X177" i="2"/>
  <c r="X176" i="2"/>
  <c r="X174" i="2"/>
  <c r="X173" i="2"/>
  <c r="X172" i="2"/>
  <c r="X171" i="2"/>
  <c r="X170" i="2"/>
  <c r="X168" i="2"/>
  <c r="X167" i="2"/>
  <c r="X166" i="2"/>
  <c r="X165" i="2"/>
  <c r="X164" i="2"/>
  <c r="X163" i="2"/>
  <c r="X162" i="2"/>
  <c r="X161" i="2"/>
  <c r="X160" i="2"/>
  <c r="X159" i="2"/>
  <c r="X158" i="2"/>
  <c r="X157" i="2"/>
  <c r="X156" i="2"/>
  <c r="X155" i="2"/>
  <c r="X154" i="2"/>
  <c r="X153" i="2"/>
  <c r="X152" i="2"/>
  <c r="X151" i="2"/>
  <c r="X150" i="2"/>
  <c r="X149" i="2"/>
  <c r="X148" i="2"/>
  <c r="X147" i="2"/>
  <c r="X146" i="2"/>
  <c r="X145" i="2"/>
  <c r="X144" i="2"/>
  <c r="X143" i="2"/>
  <c r="X142" i="2"/>
  <c r="X141" i="2"/>
  <c r="X140" i="2"/>
  <c r="X139" i="2"/>
  <c r="X138" i="2"/>
  <c r="X137" i="2"/>
  <c r="X136" i="2"/>
  <c r="X135" i="2"/>
  <c r="X134" i="2"/>
  <c r="X133" i="2"/>
  <c r="X132" i="2"/>
  <c r="X131" i="2"/>
  <c r="X130" i="2"/>
  <c r="X129" i="2"/>
  <c r="X128" i="2"/>
  <c r="X127" i="2"/>
  <c r="X126" i="2"/>
  <c r="X125" i="2"/>
  <c r="X124" i="2"/>
  <c r="X123" i="2"/>
  <c r="X122" i="2"/>
  <c r="X121" i="2"/>
  <c r="X120" i="2"/>
  <c r="X119" i="2"/>
  <c r="X118" i="2"/>
  <c r="X117" i="2"/>
  <c r="X116" i="2"/>
  <c r="X115" i="2"/>
  <c r="X114" i="2"/>
  <c r="X113" i="2"/>
  <c r="X112" i="2"/>
  <c r="X111" i="2"/>
  <c r="X110" i="2"/>
  <c r="X109" i="2"/>
  <c r="X108" i="2"/>
  <c r="X107" i="2"/>
  <c r="X106" i="2"/>
  <c r="X105" i="2"/>
  <c r="X104" i="2"/>
  <c r="X103" i="2"/>
  <c r="X102" i="2"/>
  <c r="X101" i="2"/>
  <c r="X100" i="2"/>
  <c r="X99" i="2"/>
  <c r="X98" i="2"/>
  <c r="X97" i="2"/>
  <c r="X96" i="2"/>
  <c r="X95" i="2"/>
  <c r="X94" i="2"/>
  <c r="X93" i="2"/>
  <c r="X92" i="2"/>
  <c r="X91" i="2"/>
  <c r="X90" i="2"/>
  <c r="X89" i="2"/>
  <c r="X87" i="2"/>
  <c r="X86" i="2"/>
  <c r="X19" i="2"/>
  <c r="X20" i="2"/>
  <c r="X21" i="2"/>
  <c r="X22" i="2"/>
  <c r="X23" i="2"/>
  <c r="X24" i="2"/>
  <c r="X25" i="2"/>
  <c r="X26" i="2"/>
  <c r="X27" i="2"/>
  <c r="X28" i="2"/>
  <c r="X29" i="2"/>
  <c r="X30" i="2"/>
  <c r="X31" i="2"/>
  <c r="X32" i="2"/>
  <c r="X33" i="2"/>
  <c r="X34" i="2"/>
  <c r="X35" i="2"/>
  <c r="X36" i="2"/>
  <c r="X37" i="2"/>
  <c r="X38" i="2"/>
  <c r="X39" i="2"/>
  <c r="X40" i="2"/>
  <c r="O41" i="2"/>
  <c r="Q41"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O169" i="2"/>
  <c r="Q169" i="2"/>
  <c r="X169" i="2"/>
  <c r="O203" i="2"/>
  <c r="Q203" i="2"/>
  <c r="X203" i="2"/>
  <c r="X228" i="2"/>
  <c r="Y238" i="2"/>
  <c r="W227" i="2"/>
  <c r="W226" i="2"/>
  <c r="W225" i="2"/>
  <c r="W224" i="2"/>
  <c r="W223" i="2"/>
  <c r="W222" i="2"/>
  <c r="W221" i="2"/>
  <c r="W220" i="2"/>
  <c r="W219" i="2"/>
  <c r="W218" i="2"/>
  <c r="W217" i="2"/>
  <c r="W216" i="2"/>
  <c r="W215" i="2"/>
  <c r="W214" i="2"/>
  <c r="W212" i="2"/>
  <c r="W211" i="2"/>
  <c r="W208" i="2"/>
  <c r="W204" i="2"/>
  <c r="W203" i="2"/>
  <c r="W200" i="2"/>
  <c r="W199" i="2"/>
  <c r="W198" i="2"/>
  <c r="W192" i="2"/>
  <c r="W191" i="2"/>
  <c r="W182" i="2"/>
  <c r="W181" i="2"/>
  <c r="W177" i="2"/>
  <c r="W176" i="2"/>
  <c r="W173" i="2"/>
  <c r="W172" i="2"/>
  <c r="W169" i="2"/>
  <c r="W168" i="2"/>
  <c r="W167" i="2"/>
  <c r="W166" i="2"/>
  <c r="W163" i="2"/>
  <c r="W162" i="2"/>
  <c r="W161" i="2"/>
  <c r="W158" i="2"/>
  <c r="W155" i="2"/>
  <c r="W154" i="2"/>
  <c r="W153" i="2"/>
  <c r="W152" i="2"/>
  <c r="W145" i="2"/>
  <c r="W144" i="2"/>
  <c r="W143" i="2"/>
  <c r="W142" i="2"/>
  <c r="W140" i="2"/>
  <c r="W138" i="2"/>
  <c r="W135" i="2"/>
  <c r="W134" i="2"/>
  <c r="W131" i="2"/>
  <c r="W130" i="2"/>
  <c r="W129" i="2"/>
  <c r="W128" i="2"/>
  <c r="W127" i="2"/>
  <c r="W126" i="2"/>
  <c r="W125" i="2"/>
  <c r="W121" i="2"/>
  <c r="W120" i="2"/>
  <c r="W119" i="2"/>
  <c r="W118" i="2"/>
  <c r="W117" i="2"/>
  <c r="W116" i="2"/>
  <c r="W115" i="2"/>
  <c r="W114" i="2"/>
  <c r="W113" i="2"/>
  <c r="W112" i="2"/>
  <c r="W111" i="2"/>
  <c r="W110" i="2"/>
  <c r="W107" i="2"/>
  <c r="W106" i="2"/>
  <c r="W105" i="2"/>
  <c r="W104" i="2"/>
  <c r="W103" i="2"/>
  <c r="W102" i="2"/>
  <c r="W101" i="2"/>
  <c r="W100" i="2"/>
  <c r="W99" i="2"/>
  <c r="W98" i="2"/>
  <c r="W97" i="2"/>
  <c r="W96" i="2"/>
  <c r="W95" i="2"/>
  <c r="W94" i="2"/>
  <c r="W90" i="2"/>
  <c r="W85" i="2"/>
  <c r="W84" i="2"/>
  <c r="W83" i="2"/>
  <c r="W82" i="2"/>
  <c r="W81" i="2"/>
  <c r="W75" i="2"/>
  <c r="W72" i="2"/>
  <c r="W70" i="2"/>
  <c r="W68" i="2"/>
  <c r="W67" i="2"/>
  <c r="W66" i="2"/>
  <c r="W65" i="2"/>
  <c r="W64" i="2"/>
  <c r="W63" i="2"/>
  <c r="W62" i="2"/>
  <c r="W61" i="2"/>
  <c r="W60" i="2"/>
  <c r="W59" i="2"/>
  <c r="W58" i="2"/>
  <c r="W54" i="2"/>
  <c r="W49" i="2"/>
  <c r="W48" i="2"/>
  <c r="W47" i="2"/>
  <c r="W46" i="2"/>
  <c r="W43" i="2"/>
  <c r="W42" i="2"/>
  <c r="W41" i="2"/>
  <c r="W40" i="2"/>
  <c r="W39" i="2"/>
  <c r="W38" i="2"/>
  <c r="W37" i="2"/>
  <c r="W36" i="2"/>
  <c r="W35" i="2"/>
  <c r="W34" i="2"/>
  <c r="W33" i="2"/>
  <c r="W31" i="2"/>
  <c r="W27" i="2"/>
  <c r="W26" i="2"/>
  <c r="W25" i="2"/>
  <c r="W24" i="2"/>
  <c r="W23" i="2"/>
  <c r="W22" i="2"/>
  <c r="W20" i="2"/>
  <c r="W19" i="2"/>
  <c r="V227" i="2"/>
  <c r="V226" i="2"/>
  <c r="V225" i="2"/>
  <c r="V224" i="2"/>
  <c r="V223" i="2"/>
  <c r="V222" i="2"/>
  <c r="V221" i="2"/>
  <c r="V213" i="2"/>
  <c r="V210" i="2"/>
  <c r="V209" i="2"/>
  <c r="V207" i="2"/>
  <c r="V206" i="2"/>
  <c r="V205" i="2"/>
  <c r="V203" i="2"/>
  <c r="V202" i="2"/>
  <c r="V201" i="2"/>
  <c r="V197" i="2"/>
  <c r="V196" i="2"/>
  <c r="V195" i="2"/>
  <c r="V194" i="2"/>
  <c r="V193" i="2"/>
  <c r="V190" i="2"/>
  <c r="V189" i="2"/>
  <c r="V188" i="2"/>
  <c r="V187" i="2"/>
  <c r="V186" i="2"/>
  <c r="V185" i="2"/>
  <c r="V184" i="2"/>
  <c r="V183" i="2"/>
  <c r="V180" i="2"/>
  <c r="V179" i="2"/>
  <c r="V178" i="2"/>
  <c r="V174" i="2"/>
  <c r="V171" i="2"/>
  <c r="V170" i="2"/>
  <c r="V169" i="2"/>
  <c r="V165" i="2"/>
  <c r="V164" i="2"/>
  <c r="V160" i="2"/>
  <c r="V159" i="2"/>
  <c r="V157" i="2"/>
  <c r="V156" i="2"/>
  <c r="V151" i="2"/>
  <c r="V150" i="2"/>
  <c r="V149" i="2"/>
  <c r="V148" i="2"/>
  <c r="V147" i="2"/>
  <c r="V146" i="2"/>
  <c r="V141" i="2"/>
  <c r="V139" i="2"/>
  <c r="V137" i="2"/>
  <c r="V136" i="2"/>
  <c r="V133" i="2"/>
  <c r="V132" i="2"/>
  <c r="V124" i="2"/>
  <c r="V123" i="2"/>
  <c r="V122" i="2"/>
  <c r="V109" i="2"/>
  <c r="V108" i="2"/>
  <c r="V93" i="2"/>
  <c r="V92" i="2"/>
  <c r="V91" i="2"/>
  <c r="V89" i="2"/>
  <c r="V87" i="2"/>
  <c r="V86" i="2"/>
  <c r="O19" i="2"/>
  <c r="Q19" i="2"/>
  <c r="V19" i="2"/>
  <c r="N20" i="2"/>
  <c r="Q20" i="2"/>
  <c r="V20" i="2"/>
  <c r="V21" i="2"/>
  <c r="Q23" i="2"/>
  <c r="V23" i="2"/>
  <c r="Q25" i="2"/>
  <c r="V25" i="2"/>
  <c r="Q26" i="2"/>
  <c r="V26" i="2"/>
  <c r="Q27" i="2"/>
  <c r="V27" i="2"/>
  <c r="V28" i="2"/>
  <c r="V29" i="2"/>
  <c r="V30" i="2"/>
  <c r="O31" i="2"/>
  <c r="Q31" i="2"/>
  <c r="V31" i="2"/>
  <c r="V32" i="2"/>
  <c r="V34" i="2"/>
  <c r="O35" i="2"/>
  <c r="Q35" i="2"/>
  <c r="Y35" i="2"/>
  <c r="V35" i="2"/>
  <c r="O36" i="2"/>
  <c r="Q36" i="2"/>
  <c r="V36" i="2"/>
  <c r="O37" i="2"/>
  <c r="Q37" i="2"/>
  <c r="V37" i="2"/>
  <c r="O38" i="2"/>
  <c r="Q38" i="2"/>
  <c r="V38" i="2"/>
  <c r="O39" i="2"/>
  <c r="Q39" i="2"/>
  <c r="V39" i="2"/>
  <c r="O40" i="2"/>
  <c r="Q40" i="2"/>
  <c r="V40" i="2"/>
  <c r="V41" i="2"/>
  <c r="Q42" i="2"/>
  <c r="V42" i="2"/>
  <c r="O43" i="2"/>
  <c r="Q43" i="2"/>
  <c r="V43" i="2"/>
  <c r="V44" i="2"/>
  <c r="V45" i="2"/>
  <c r="Q46" i="2"/>
  <c r="V46" i="2"/>
  <c r="K47" i="2"/>
  <c r="O47" i="2"/>
  <c r="Q47" i="2"/>
  <c r="V47" i="2"/>
  <c r="Q48" i="2"/>
  <c r="V48" i="2"/>
  <c r="Q49" i="2"/>
  <c r="V49" i="2"/>
  <c r="V50" i="2"/>
  <c r="V51" i="2"/>
  <c r="V52" i="2"/>
  <c r="V53" i="2"/>
  <c r="Q54" i="2"/>
  <c r="V54" i="2"/>
  <c r="V55" i="2"/>
  <c r="V56" i="2"/>
  <c r="V57" i="2"/>
  <c r="Q58" i="2"/>
  <c r="V58" i="2"/>
  <c r="Q59" i="2"/>
  <c r="V59" i="2"/>
  <c r="Q60" i="2"/>
  <c r="V60" i="2"/>
  <c r="Q61" i="2"/>
  <c r="V61" i="2"/>
  <c r="O62" i="2"/>
  <c r="Q62" i="2"/>
  <c r="V62" i="2"/>
  <c r="Q63" i="2"/>
  <c r="V63" i="2"/>
  <c r="Q64" i="2"/>
  <c r="V64" i="2"/>
  <c r="Q65" i="2"/>
  <c r="V65" i="2"/>
  <c r="Q66" i="2"/>
  <c r="V66" i="2"/>
  <c r="Q67" i="2"/>
  <c r="V67" i="2"/>
  <c r="Q68" i="2"/>
  <c r="V68" i="2"/>
  <c r="V69" i="2"/>
  <c r="Q70" i="2"/>
  <c r="V70" i="2"/>
  <c r="V71" i="2"/>
  <c r="Q72" i="2"/>
  <c r="V72" i="2"/>
  <c r="V73" i="2"/>
  <c r="V74" i="2"/>
  <c r="Q75" i="2"/>
  <c r="V75" i="2"/>
  <c r="V76" i="2"/>
  <c r="V77" i="2"/>
  <c r="V78" i="2"/>
  <c r="V79" i="2"/>
  <c r="V80" i="2"/>
  <c r="Q81" i="2"/>
  <c r="V81" i="2"/>
  <c r="Q82" i="2"/>
  <c r="V82" i="2"/>
  <c r="Q83" i="2"/>
  <c r="V83" i="2"/>
  <c r="Q84" i="2"/>
  <c r="V84" i="2"/>
  <c r="Q85" i="2"/>
  <c r="V85" i="2"/>
  <c r="Q90" i="2"/>
  <c r="V90" i="2"/>
  <c r="O94" i="2"/>
  <c r="Q94" i="2"/>
  <c r="V94" i="2"/>
  <c r="Q95" i="2"/>
  <c r="V95" i="2"/>
  <c r="O96" i="2"/>
  <c r="Q96" i="2"/>
  <c r="V96" i="2"/>
  <c r="Q97" i="2"/>
  <c r="V97" i="2"/>
  <c r="Q98" i="2"/>
  <c r="V98" i="2"/>
  <c r="N99" i="2"/>
  <c r="Q99" i="2"/>
  <c r="V99" i="2"/>
  <c r="Q100" i="2"/>
  <c r="V100" i="2"/>
  <c r="Q101" i="2"/>
  <c r="V101" i="2"/>
  <c r="Q102" i="2"/>
  <c r="V102" i="2"/>
  <c r="Q103" i="2"/>
  <c r="V103" i="2"/>
  <c r="Q104" i="2"/>
  <c r="V104" i="2"/>
  <c r="Q105" i="2"/>
  <c r="V105" i="2"/>
  <c r="Q106" i="2"/>
  <c r="V106" i="2"/>
  <c r="Q107" i="2"/>
  <c r="V107" i="2"/>
  <c r="Q110" i="2"/>
  <c r="V110" i="2"/>
  <c r="Q111" i="2"/>
  <c r="V111" i="2"/>
  <c r="Q112" i="2"/>
  <c r="V112" i="2"/>
  <c r="Q113" i="2"/>
  <c r="V113" i="2"/>
  <c r="Q114" i="2"/>
  <c r="V114" i="2"/>
  <c r="Q115" i="2"/>
  <c r="V115" i="2"/>
  <c r="O116" i="2"/>
  <c r="Q116" i="2"/>
  <c r="V116" i="2"/>
  <c r="O117" i="2"/>
  <c r="Q117" i="2"/>
  <c r="V117" i="2"/>
  <c r="O118" i="2"/>
  <c r="Q118" i="2"/>
  <c r="V118" i="2"/>
  <c r="O119" i="2"/>
  <c r="Q119" i="2"/>
  <c r="V119" i="2"/>
  <c r="Q120" i="2"/>
  <c r="V120" i="2"/>
  <c r="O121" i="2"/>
  <c r="Q121" i="2"/>
  <c r="V121" i="2"/>
  <c r="Q125" i="2"/>
  <c r="V125" i="2"/>
  <c r="Q126" i="2"/>
  <c r="V126" i="2"/>
  <c r="Q127" i="2"/>
  <c r="V127" i="2"/>
  <c r="Q128" i="2"/>
  <c r="V128" i="2"/>
  <c r="Q129" i="2"/>
  <c r="V129" i="2"/>
  <c r="Q130" i="2"/>
  <c r="V130" i="2"/>
  <c r="Q131" i="2"/>
  <c r="V131" i="2"/>
  <c r="I134" i="2"/>
  <c r="J134" i="2"/>
  <c r="O134" i="2"/>
  <c r="Q134" i="2"/>
  <c r="V134" i="2"/>
  <c r="O135" i="2"/>
  <c r="Q135" i="2"/>
  <c r="V135" i="2"/>
  <c r="Q138" i="2"/>
  <c r="V138" i="2"/>
  <c r="Q140" i="2"/>
  <c r="V140" i="2"/>
  <c r="Q142" i="2"/>
  <c r="V142" i="2"/>
  <c r="Q143" i="2"/>
  <c r="V143" i="2"/>
  <c r="Q144" i="2"/>
  <c r="V144" i="2"/>
  <c r="Q145" i="2"/>
  <c r="V145" i="2"/>
  <c r="Q152" i="2"/>
  <c r="V152" i="2"/>
  <c r="Q153" i="2"/>
  <c r="V153" i="2"/>
  <c r="O154" i="2"/>
  <c r="Q154" i="2"/>
  <c r="V154" i="2"/>
  <c r="Q155" i="2"/>
  <c r="V155" i="2"/>
  <c r="Q158" i="2"/>
  <c r="V158" i="2"/>
  <c r="O161" i="2"/>
  <c r="Q161" i="2"/>
  <c r="V161" i="2"/>
  <c r="O162" i="2"/>
  <c r="Q162" i="2"/>
  <c r="V162" i="2"/>
  <c r="Q163" i="2"/>
  <c r="V163" i="2"/>
  <c r="J166" i="2"/>
  <c r="O166" i="2"/>
  <c r="Q166" i="2"/>
  <c r="V166" i="2"/>
  <c r="I167" i="2"/>
  <c r="J167" i="2"/>
  <c r="O167" i="2"/>
  <c r="Q167" i="2"/>
  <c r="Y167" i="2"/>
  <c r="V167" i="2"/>
  <c r="O168" i="2"/>
  <c r="Q168" i="2"/>
  <c r="V168" i="2"/>
  <c r="O172" i="2"/>
  <c r="Q172" i="2"/>
  <c r="V172" i="2"/>
  <c r="Q173" i="2"/>
  <c r="V173" i="2"/>
  <c r="O176" i="2"/>
  <c r="Q176" i="2"/>
  <c r="V176" i="2"/>
  <c r="Q177" i="2"/>
  <c r="V177" i="2"/>
  <c r="N181" i="2"/>
  <c r="Q181" i="2"/>
  <c r="V181" i="2"/>
  <c r="Q182" i="2"/>
  <c r="V182" i="2"/>
  <c r="Q191" i="2"/>
  <c r="V191" i="2"/>
  <c r="O192" i="2"/>
  <c r="Q192" i="2"/>
  <c r="V192" i="2"/>
  <c r="J198" i="2"/>
  <c r="O198" i="2"/>
  <c r="Q198" i="2"/>
  <c r="V198" i="2"/>
  <c r="O199" i="2"/>
  <c r="Q199" i="2"/>
  <c r="V199" i="2"/>
  <c r="Q200" i="2"/>
  <c r="V200" i="2"/>
  <c r="O204" i="2"/>
  <c r="Q204" i="2"/>
  <c r="V204" i="2"/>
  <c r="O208" i="2"/>
  <c r="Q208" i="2"/>
  <c r="V208" i="2"/>
  <c r="Q211" i="2"/>
  <c r="V211" i="2"/>
  <c r="Q212" i="2"/>
  <c r="V212" i="2"/>
  <c r="Q214" i="2"/>
  <c r="V214" i="2"/>
  <c r="Q215" i="2"/>
  <c r="V215" i="2"/>
  <c r="O216" i="2"/>
  <c r="Q216" i="2"/>
  <c r="V216" i="2"/>
  <c r="Q217" i="2"/>
  <c r="V217" i="2"/>
  <c r="Q218" i="2"/>
  <c r="V218" i="2"/>
  <c r="Q219" i="2"/>
  <c r="V219" i="2"/>
  <c r="Q220" i="2"/>
  <c r="V220" i="2"/>
  <c r="V228" i="2"/>
  <c r="Y234" i="2"/>
  <c r="Q227" i="2"/>
  <c r="Q226" i="2"/>
  <c r="Q225" i="2"/>
  <c r="Q224" i="2"/>
  <c r="Q223" i="2"/>
  <c r="Q222" i="2"/>
  <c r="Q221" i="2"/>
  <c r="Q210" i="2"/>
  <c r="W210" i="2"/>
  <c r="Q207" i="2"/>
  <c r="W207" i="2"/>
  <c r="Q206" i="2"/>
  <c r="W206" i="2"/>
  <c r="Q205" i="2"/>
  <c r="W205" i="2"/>
  <c r="Q202" i="2"/>
  <c r="W202" i="2"/>
  <c r="Q201" i="2"/>
  <c r="W201" i="2"/>
  <c r="Q197" i="2"/>
  <c r="W197" i="2"/>
  <c r="Q196" i="2"/>
  <c r="W196" i="2"/>
  <c r="Q195" i="2"/>
  <c r="W195" i="2"/>
  <c r="Q194" i="2"/>
  <c r="W194" i="2"/>
  <c r="Q193" i="2"/>
  <c r="W193" i="2"/>
  <c r="Q190" i="2"/>
  <c r="W190" i="2"/>
  <c r="Q189" i="2"/>
  <c r="W189" i="2"/>
  <c r="Q187" i="2"/>
  <c r="W187" i="2"/>
  <c r="Q186" i="2"/>
  <c r="W186" i="2"/>
  <c r="Q185" i="2"/>
  <c r="W185" i="2"/>
  <c r="Q184" i="2"/>
  <c r="W184" i="2"/>
  <c r="Q183" i="2"/>
  <c r="W183" i="2"/>
  <c r="Q180" i="2"/>
  <c r="W180" i="2"/>
  <c r="Q179" i="2"/>
  <c r="W179" i="2"/>
  <c r="Q178" i="2"/>
  <c r="W178" i="2"/>
  <c r="Q174" i="2"/>
  <c r="W174" i="2"/>
  <c r="Q171" i="2"/>
  <c r="W171" i="2"/>
  <c r="Q170" i="2"/>
  <c r="W170" i="2"/>
  <c r="Q165" i="2"/>
  <c r="W165" i="2"/>
  <c r="Q164" i="2"/>
  <c r="W164" i="2"/>
  <c r="Q160" i="2"/>
  <c r="W160" i="2"/>
  <c r="Q151" i="2"/>
  <c r="W151" i="2"/>
  <c r="Q150" i="2"/>
  <c r="W150" i="2"/>
  <c r="Q149" i="2"/>
  <c r="W149" i="2"/>
  <c r="Q148" i="2"/>
  <c r="W148" i="2"/>
  <c r="Q147" i="2"/>
  <c r="W147" i="2"/>
  <c r="Q146" i="2"/>
  <c r="W146" i="2"/>
  <c r="Q141" i="2"/>
  <c r="W141" i="2"/>
  <c r="Q139" i="2"/>
  <c r="W139" i="2"/>
  <c r="Q137" i="2"/>
  <c r="W137" i="2"/>
  <c r="Q132" i="2"/>
  <c r="W132" i="2"/>
  <c r="Q123" i="2"/>
  <c r="W123" i="2"/>
  <c r="T101" i="2"/>
  <c r="E108" i="1"/>
  <c r="I108" i="1"/>
  <c r="Q93" i="2"/>
  <c r="W93" i="2"/>
  <c r="Q92" i="2"/>
  <c r="W92" i="2"/>
  <c r="Q91" i="2"/>
  <c r="W91" i="2"/>
  <c r="Q89" i="2"/>
  <c r="W89" i="2"/>
  <c r="Q87" i="2"/>
  <c r="W87" i="2"/>
  <c r="Q80" i="2"/>
  <c r="W80" i="2"/>
  <c r="Q71" i="2"/>
  <c r="W71" i="2"/>
  <c r="Q69" i="2"/>
  <c r="W69" i="2"/>
  <c r="Q57" i="2"/>
  <c r="W57" i="2"/>
  <c r="Q56" i="2"/>
  <c r="W56" i="2"/>
  <c r="Q53" i="2"/>
  <c r="W53" i="2"/>
  <c r="Q52" i="2"/>
  <c r="W52" i="2"/>
  <c r="Q51" i="2"/>
  <c r="W51" i="2"/>
  <c r="Q50" i="2"/>
  <c r="W50" i="2"/>
  <c r="Q45" i="2"/>
  <c r="W45" i="2"/>
  <c r="Q44" i="2"/>
  <c r="W44" i="2"/>
  <c r="Q32" i="2"/>
  <c r="W32" i="2"/>
  <c r="Q21" i="2"/>
  <c r="W21" i="2"/>
  <c r="L138" i="2"/>
  <c r="O159" i="2"/>
  <c r="Q159" i="2"/>
  <c r="W159" i="2"/>
  <c r="X243" i="1"/>
  <c r="X251" i="1"/>
  <c r="O157" i="2"/>
  <c r="Q157" i="2"/>
  <c r="W157" i="2"/>
  <c r="R196" i="3"/>
  <c r="T196" i="3"/>
  <c r="H206" i="2"/>
  <c r="L206" i="2"/>
  <c r="R19" i="3"/>
  <c r="R34" i="3"/>
  <c r="R70" i="3"/>
  <c r="R71" i="3"/>
  <c r="R78" i="3"/>
  <c r="R79" i="3"/>
  <c r="R80" i="3"/>
  <c r="R82" i="3"/>
  <c r="R113" i="3"/>
  <c r="R116" i="3"/>
  <c r="R126" i="3"/>
  <c r="R129" i="3"/>
  <c r="R131" i="3"/>
  <c r="R134" i="3"/>
  <c r="R135" i="3"/>
  <c r="R136" i="3"/>
  <c r="R137" i="3"/>
  <c r="R138" i="3"/>
  <c r="R139" i="3"/>
  <c r="R146" i="3"/>
  <c r="R149" i="3"/>
  <c r="R157" i="3"/>
  <c r="R161" i="3"/>
  <c r="R162" i="3"/>
  <c r="R166" i="3"/>
  <c r="R170" i="3"/>
  <c r="R175" i="3"/>
  <c r="R179" i="3"/>
  <c r="R192" i="3"/>
  <c r="R198" i="3"/>
  <c r="R199" i="3"/>
  <c r="R202" i="3"/>
  <c r="R204" i="3"/>
  <c r="R215" i="3"/>
  <c r="R217" i="3"/>
  <c r="AH216" i="3"/>
  <c r="AI216" i="3"/>
  <c r="T216" i="3"/>
  <c r="E270" i="5"/>
  <c r="I270" i="5"/>
  <c r="AH215" i="3"/>
  <c r="AI215" i="3"/>
  <c r="T215" i="3"/>
  <c r="E241" i="1"/>
  <c r="I241" i="1"/>
  <c r="AH214" i="3"/>
  <c r="AI214" i="3"/>
  <c r="T214" i="3"/>
  <c r="E240" i="1"/>
  <c r="I240" i="1"/>
  <c r="AH213" i="3"/>
  <c r="AI213" i="3"/>
  <c r="T213" i="3"/>
  <c r="H224" i="2"/>
  <c r="L224" i="2"/>
  <c r="AH212" i="3"/>
  <c r="AI212" i="3"/>
  <c r="T212" i="3"/>
  <c r="E252" i="4"/>
  <c r="I252" i="4"/>
  <c r="AH211" i="3"/>
  <c r="AI211" i="3"/>
  <c r="T211" i="3"/>
  <c r="E237" i="1"/>
  <c r="I237" i="1"/>
  <c r="AH210" i="3"/>
  <c r="AI210" i="3"/>
  <c r="T210" i="3"/>
  <c r="E236" i="1"/>
  <c r="I236" i="1"/>
  <c r="AH209" i="3"/>
  <c r="AI209" i="3"/>
  <c r="T209" i="3"/>
  <c r="H220" i="2"/>
  <c r="L220" i="2"/>
  <c r="AH208" i="3"/>
  <c r="AI208" i="3"/>
  <c r="T208" i="3"/>
  <c r="E248" i="4"/>
  <c r="I248" i="4"/>
  <c r="AA248" i="4"/>
  <c r="AH207" i="3"/>
  <c r="AI207" i="3"/>
  <c r="T207" i="3"/>
  <c r="H218" i="2"/>
  <c r="L218" i="2"/>
  <c r="AH206" i="3"/>
  <c r="AI206" i="3"/>
  <c r="T206" i="3"/>
  <c r="H217" i="2"/>
  <c r="L217" i="2"/>
  <c r="AH205" i="3"/>
  <c r="AI205" i="3"/>
  <c r="T205" i="3"/>
  <c r="H216" i="2"/>
  <c r="L216" i="2"/>
  <c r="AH204" i="3"/>
  <c r="AI204" i="3"/>
  <c r="T204" i="3"/>
  <c r="H215" i="2"/>
  <c r="L215" i="2"/>
  <c r="AH203" i="3"/>
  <c r="AI203" i="3"/>
  <c r="T203" i="3"/>
  <c r="H214" i="2"/>
  <c r="L214" i="2"/>
  <c r="AH202" i="3"/>
  <c r="AI202" i="3"/>
  <c r="T202" i="3"/>
  <c r="H213" i="2"/>
  <c r="L213" i="2"/>
  <c r="AH201" i="3"/>
  <c r="AI201" i="3"/>
  <c r="T201" i="3"/>
  <c r="H212" i="2"/>
  <c r="L212" i="2"/>
  <c r="AH200" i="3"/>
  <c r="AI200" i="3"/>
  <c r="T200" i="3"/>
  <c r="H211" i="2"/>
  <c r="L211" i="2"/>
  <c r="AH199" i="3"/>
  <c r="AI199" i="3"/>
  <c r="T199" i="3"/>
  <c r="H209" i="2"/>
  <c r="L209" i="2"/>
  <c r="AH198" i="3"/>
  <c r="AI198" i="3"/>
  <c r="T198" i="3"/>
  <c r="H208" i="2"/>
  <c r="L208" i="2"/>
  <c r="AH197" i="3"/>
  <c r="AI197" i="3"/>
  <c r="T197" i="3"/>
  <c r="H207" i="2"/>
  <c r="L207" i="2"/>
  <c r="AH196" i="3"/>
  <c r="AI196" i="3"/>
  <c r="AH195" i="3"/>
  <c r="AI195" i="3"/>
  <c r="T195" i="3"/>
  <c r="H205" i="2"/>
  <c r="L205" i="2"/>
  <c r="AH194" i="3"/>
  <c r="AI194" i="3"/>
  <c r="T194" i="3"/>
  <c r="AH193" i="3"/>
  <c r="AI193" i="3"/>
  <c r="T193" i="3"/>
  <c r="H202" i="2"/>
  <c r="L202" i="2"/>
  <c r="AH192" i="3"/>
  <c r="AI192" i="3"/>
  <c r="T192" i="3"/>
  <c r="H201" i="2"/>
  <c r="L201" i="2"/>
  <c r="AH191" i="3"/>
  <c r="AI191" i="3"/>
  <c r="T191" i="3"/>
  <c r="H200" i="2"/>
  <c r="L200" i="2"/>
  <c r="AH190" i="3"/>
  <c r="AI190" i="3"/>
  <c r="T190" i="3"/>
  <c r="H199" i="2"/>
  <c r="L199" i="2"/>
  <c r="AH189" i="3"/>
  <c r="AI189" i="3"/>
  <c r="T189" i="3"/>
  <c r="H198" i="2"/>
  <c r="L198" i="2"/>
  <c r="AH188" i="3"/>
  <c r="AI188" i="3"/>
  <c r="T188" i="3"/>
  <c r="H197" i="2"/>
  <c r="L197" i="2"/>
  <c r="AH187" i="3"/>
  <c r="AI187" i="3"/>
  <c r="T187" i="3"/>
  <c r="H196" i="2"/>
  <c r="L196" i="2"/>
  <c r="AH186" i="3"/>
  <c r="AI186" i="3"/>
  <c r="T186" i="3"/>
  <c r="H195" i="2"/>
  <c r="L195" i="2"/>
  <c r="AH185" i="3"/>
  <c r="AI185" i="3"/>
  <c r="T185" i="3"/>
  <c r="H194" i="2"/>
  <c r="L194" i="2"/>
  <c r="AH184" i="3"/>
  <c r="AI184" i="3"/>
  <c r="T184" i="3"/>
  <c r="H193" i="2"/>
  <c r="L193" i="2"/>
  <c r="AH183" i="3"/>
  <c r="AI183" i="3"/>
  <c r="T183" i="3"/>
  <c r="H192" i="2"/>
  <c r="L192" i="2"/>
  <c r="AH182" i="3"/>
  <c r="AI182" i="3"/>
  <c r="T182" i="3"/>
  <c r="H191" i="2"/>
  <c r="L191" i="2"/>
  <c r="AH181" i="3"/>
  <c r="AI181" i="3"/>
  <c r="T181" i="3"/>
  <c r="H190" i="2"/>
  <c r="L190" i="2"/>
  <c r="AH180" i="3"/>
  <c r="AI180" i="3"/>
  <c r="T180" i="3"/>
  <c r="H189" i="2"/>
  <c r="L189" i="2"/>
  <c r="AH179" i="3"/>
  <c r="AI179" i="3"/>
  <c r="T179" i="3"/>
  <c r="H188" i="2"/>
  <c r="L188" i="2"/>
  <c r="AH178" i="3"/>
  <c r="AI178" i="3"/>
  <c r="T178" i="3"/>
  <c r="H187" i="2"/>
  <c r="L187" i="2"/>
  <c r="AH177" i="3"/>
  <c r="AI177" i="3"/>
  <c r="T177" i="3"/>
  <c r="H186" i="2"/>
  <c r="L186" i="2"/>
  <c r="AH176" i="3"/>
  <c r="AI176" i="3"/>
  <c r="T176" i="3"/>
  <c r="H185" i="2"/>
  <c r="L185" i="2"/>
  <c r="AH175" i="3"/>
  <c r="AI175" i="3"/>
  <c r="T175" i="3"/>
  <c r="H184" i="2"/>
  <c r="L184" i="2"/>
  <c r="AH174" i="3"/>
  <c r="AI174" i="3"/>
  <c r="T174" i="3"/>
  <c r="AH173" i="3"/>
  <c r="AI173" i="3"/>
  <c r="T173" i="3"/>
  <c r="H182" i="2"/>
  <c r="L182" i="2"/>
  <c r="AH172" i="3"/>
  <c r="AI172" i="3"/>
  <c r="T172" i="3"/>
  <c r="H181" i="2"/>
  <c r="L181" i="2"/>
  <c r="AH171" i="3"/>
  <c r="AI171" i="3"/>
  <c r="T171" i="3"/>
  <c r="H180" i="2"/>
  <c r="L180" i="2"/>
  <c r="AH170" i="3"/>
  <c r="AI170" i="3"/>
  <c r="T170" i="3"/>
  <c r="AH169" i="3"/>
  <c r="AI169" i="3"/>
  <c r="T169" i="3"/>
  <c r="H179" i="2"/>
  <c r="L179" i="2"/>
  <c r="AH168" i="3"/>
  <c r="AI168" i="3"/>
  <c r="T168" i="3"/>
  <c r="H178" i="2"/>
  <c r="L178" i="2"/>
  <c r="AH167" i="3"/>
  <c r="AI167" i="3"/>
  <c r="T167" i="3"/>
  <c r="H177" i="2"/>
  <c r="L177" i="2"/>
  <c r="AH166" i="3"/>
  <c r="AI166" i="3"/>
  <c r="T166" i="3"/>
  <c r="H176" i="2"/>
  <c r="L176" i="2"/>
  <c r="AH165" i="3"/>
  <c r="AI165" i="3"/>
  <c r="T165" i="3"/>
  <c r="H174" i="2"/>
  <c r="L174" i="2"/>
  <c r="AH164" i="3"/>
  <c r="AI164" i="3"/>
  <c r="T164" i="3"/>
  <c r="H173" i="2"/>
  <c r="L173" i="2"/>
  <c r="AH163" i="3"/>
  <c r="AI163" i="3"/>
  <c r="T163" i="3"/>
  <c r="H172" i="2"/>
  <c r="L172" i="2"/>
  <c r="AH162" i="3"/>
  <c r="AI162" i="3"/>
  <c r="T162" i="3"/>
  <c r="H171" i="2"/>
  <c r="L171" i="2"/>
  <c r="AH161" i="3"/>
  <c r="AI161" i="3"/>
  <c r="T161" i="3"/>
  <c r="H170" i="2"/>
  <c r="L170" i="2"/>
  <c r="AH160" i="3"/>
  <c r="AI160" i="3"/>
  <c r="T160" i="3"/>
  <c r="AH159" i="3"/>
  <c r="AI159" i="3"/>
  <c r="T159" i="3"/>
  <c r="H168" i="2"/>
  <c r="L168" i="2"/>
  <c r="AH158" i="3"/>
  <c r="AI158" i="3"/>
  <c r="T158" i="3"/>
  <c r="H167" i="2"/>
  <c r="L167" i="2"/>
  <c r="AH157" i="3"/>
  <c r="AI157" i="3"/>
  <c r="T157" i="3"/>
  <c r="H166" i="2"/>
  <c r="L166" i="2"/>
  <c r="AH156" i="3"/>
  <c r="AI156" i="3"/>
  <c r="T156" i="3"/>
  <c r="AH155" i="3"/>
  <c r="AI155" i="3"/>
  <c r="T155" i="3"/>
  <c r="H164" i="2"/>
  <c r="L164" i="2"/>
  <c r="AH154" i="3"/>
  <c r="AI154" i="3"/>
  <c r="T154" i="3"/>
  <c r="H163" i="2"/>
  <c r="L163" i="2"/>
  <c r="AH153" i="3"/>
  <c r="AI153" i="3"/>
  <c r="T153" i="3"/>
  <c r="H162" i="2"/>
  <c r="L162" i="2"/>
  <c r="AH152" i="3"/>
  <c r="AI152" i="3"/>
  <c r="T152" i="3"/>
  <c r="H161" i="2"/>
  <c r="L161" i="2"/>
  <c r="AH151" i="3"/>
  <c r="AI151" i="3"/>
  <c r="T151" i="3"/>
  <c r="H160" i="2"/>
  <c r="L160" i="2"/>
  <c r="AH150" i="3"/>
  <c r="AI150" i="3"/>
  <c r="T150" i="3"/>
  <c r="AH149" i="3"/>
  <c r="AI149" i="3"/>
  <c r="T149" i="3"/>
  <c r="H157" i="2"/>
  <c r="L157" i="2"/>
  <c r="AH148" i="3"/>
  <c r="AI148" i="3"/>
  <c r="T148" i="3"/>
  <c r="H156" i="2"/>
  <c r="L156" i="2"/>
  <c r="AH147" i="3"/>
  <c r="AI147" i="3"/>
  <c r="T147" i="3"/>
  <c r="H155" i="2"/>
  <c r="L155" i="2"/>
  <c r="AH146" i="3"/>
  <c r="AI146" i="3"/>
  <c r="T146" i="3"/>
  <c r="H154" i="2"/>
  <c r="L154" i="2"/>
  <c r="AH145" i="3"/>
  <c r="AI145" i="3"/>
  <c r="T145" i="3"/>
  <c r="AH144" i="3"/>
  <c r="AI144" i="3"/>
  <c r="T144" i="3"/>
  <c r="H152" i="2"/>
  <c r="L152" i="2"/>
  <c r="AH143" i="3"/>
  <c r="AI143" i="3"/>
  <c r="T143" i="3"/>
  <c r="H151" i="2"/>
  <c r="L151" i="2"/>
  <c r="AH142" i="3"/>
  <c r="AI142" i="3"/>
  <c r="T142" i="3"/>
  <c r="H150" i="2"/>
  <c r="L150" i="2"/>
  <c r="AH141" i="3"/>
  <c r="AI141" i="3"/>
  <c r="T141" i="3"/>
  <c r="H149" i="2"/>
  <c r="L149" i="2"/>
  <c r="AH140" i="3"/>
  <c r="AI140" i="3"/>
  <c r="T140" i="3"/>
  <c r="H148" i="2"/>
  <c r="L148" i="2"/>
  <c r="AH139" i="3"/>
  <c r="AI139" i="3"/>
  <c r="T139" i="3"/>
  <c r="H147" i="2"/>
  <c r="J147" i="2"/>
  <c r="L147" i="2"/>
  <c r="AH138" i="3"/>
  <c r="AI138" i="3"/>
  <c r="T138" i="3"/>
  <c r="H146" i="2"/>
  <c r="I146" i="2"/>
  <c r="J146" i="2"/>
  <c r="L146" i="2"/>
  <c r="AH137" i="3"/>
  <c r="AI137" i="3"/>
  <c r="T137" i="3"/>
  <c r="H145" i="2"/>
  <c r="I145" i="2"/>
  <c r="J145" i="2"/>
  <c r="L145" i="2"/>
  <c r="AH136" i="3"/>
  <c r="AI136" i="3"/>
  <c r="T136" i="3"/>
  <c r="H144" i="2"/>
  <c r="I144" i="2"/>
  <c r="J144" i="2"/>
  <c r="L144" i="2"/>
  <c r="AH135" i="3"/>
  <c r="AI135" i="3"/>
  <c r="T135" i="3"/>
  <c r="H143" i="2"/>
  <c r="I143" i="2"/>
  <c r="L143" i="2"/>
  <c r="AH134" i="3"/>
  <c r="AI134" i="3"/>
  <c r="T134" i="3"/>
  <c r="H142" i="2"/>
  <c r="I142" i="2"/>
  <c r="J142" i="2"/>
  <c r="L142" i="2"/>
  <c r="AH133" i="3"/>
  <c r="AI133" i="3"/>
  <c r="T133" i="3"/>
  <c r="H141" i="2"/>
  <c r="L141" i="2"/>
  <c r="AH132" i="3"/>
  <c r="AI132" i="3"/>
  <c r="T132" i="3"/>
  <c r="AH131" i="3"/>
  <c r="AI131" i="3"/>
  <c r="T131" i="3"/>
  <c r="H139" i="2"/>
  <c r="L139" i="2"/>
  <c r="AH130" i="3"/>
  <c r="AI130" i="3"/>
  <c r="T130" i="3"/>
  <c r="H137" i="2"/>
  <c r="L137" i="2"/>
  <c r="AH129" i="3"/>
  <c r="AI129" i="3"/>
  <c r="T129" i="3"/>
  <c r="H136" i="2"/>
  <c r="L136" i="2"/>
  <c r="AH128" i="3"/>
  <c r="AI128" i="3"/>
  <c r="T128" i="3"/>
  <c r="H135" i="2"/>
  <c r="L135" i="2"/>
  <c r="AH127" i="3"/>
  <c r="AI127" i="3"/>
  <c r="Q127" i="3"/>
  <c r="T127" i="3"/>
  <c r="H134" i="2"/>
  <c r="L134" i="2"/>
  <c r="K127" i="3"/>
  <c r="AH126" i="3"/>
  <c r="AI126" i="3"/>
  <c r="T126" i="3"/>
  <c r="H133" i="2"/>
  <c r="L133" i="2"/>
  <c r="AH125" i="3"/>
  <c r="AI125" i="3"/>
  <c r="Q125" i="3"/>
  <c r="T125" i="3"/>
  <c r="H132" i="2"/>
  <c r="L132" i="2"/>
  <c r="AH124" i="3"/>
  <c r="AI124" i="3"/>
  <c r="T124" i="3"/>
  <c r="H131" i="2"/>
  <c r="L131" i="2"/>
  <c r="AH123" i="3"/>
  <c r="AI123" i="3"/>
  <c r="T123" i="3"/>
  <c r="H130" i="2"/>
  <c r="L130" i="2"/>
  <c r="AH122" i="3"/>
  <c r="AI122" i="3"/>
  <c r="T122" i="3"/>
  <c r="H129" i="2"/>
  <c r="L129" i="2"/>
  <c r="AH121" i="3"/>
  <c r="AI121" i="3"/>
  <c r="T121" i="3"/>
  <c r="H128" i="2"/>
  <c r="L128" i="2"/>
  <c r="AH120" i="3"/>
  <c r="AI120" i="3"/>
  <c r="T120" i="3"/>
  <c r="H127" i="2"/>
  <c r="L127" i="2"/>
  <c r="AH119" i="3"/>
  <c r="AI119" i="3"/>
  <c r="T119" i="3"/>
  <c r="H126" i="2"/>
  <c r="L126" i="2"/>
  <c r="AH118" i="3"/>
  <c r="AI118" i="3"/>
  <c r="T118" i="3"/>
  <c r="H125" i="2"/>
  <c r="L125" i="2"/>
  <c r="AH117" i="3"/>
  <c r="AI117" i="3"/>
  <c r="T117" i="3"/>
  <c r="H124" i="2"/>
  <c r="L124" i="2"/>
  <c r="AH116" i="3"/>
  <c r="AI116" i="3"/>
  <c r="T116" i="3"/>
  <c r="H123" i="2"/>
  <c r="L123" i="2"/>
  <c r="AH115" i="3"/>
  <c r="AI115" i="3"/>
  <c r="T115" i="3"/>
  <c r="H121" i="2"/>
  <c r="L121" i="2"/>
  <c r="AH114" i="3"/>
  <c r="AI114" i="3"/>
  <c r="T114" i="3"/>
  <c r="H120" i="2"/>
  <c r="L120" i="2"/>
  <c r="AH113" i="3"/>
  <c r="AI113" i="3"/>
  <c r="T113" i="3"/>
  <c r="H119" i="2"/>
  <c r="L119" i="2"/>
  <c r="AH112" i="3"/>
  <c r="AI112" i="3"/>
  <c r="T112" i="3"/>
  <c r="H118" i="2"/>
  <c r="L118" i="2"/>
  <c r="AH111" i="3"/>
  <c r="AI111" i="3"/>
  <c r="T111" i="3"/>
  <c r="H117" i="2"/>
  <c r="L117" i="2"/>
  <c r="AH110" i="3"/>
  <c r="AI110" i="3"/>
  <c r="T110" i="3"/>
  <c r="H116" i="2"/>
  <c r="L116" i="2"/>
  <c r="AH109" i="3"/>
  <c r="AI109" i="3"/>
  <c r="T109" i="3"/>
  <c r="H115" i="2"/>
  <c r="L115" i="2"/>
  <c r="AH108" i="3"/>
  <c r="AI108" i="3"/>
  <c r="T108" i="3"/>
  <c r="H114" i="2"/>
  <c r="L114" i="2"/>
  <c r="AH107" i="3"/>
  <c r="AI107" i="3"/>
  <c r="T107" i="3"/>
  <c r="H113" i="2"/>
  <c r="L113" i="2"/>
  <c r="AH106" i="3"/>
  <c r="AI106" i="3"/>
  <c r="T106" i="3"/>
  <c r="H112" i="2"/>
  <c r="L112" i="2"/>
  <c r="AH105" i="3"/>
  <c r="AI105" i="3"/>
  <c r="T105" i="3"/>
  <c r="H110" i="2"/>
  <c r="L110" i="2"/>
  <c r="AH104" i="3"/>
  <c r="AI104" i="3"/>
  <c r="T104" i="3"/>
  <c r="H109" i="2"/>
  <c r="L109" i="2"/>
  <c r="AH103" i="3"/>
  <c r="AI103" i="3"/>
  <c r="T103" i="3"/>
  <c r="H108" i="2"/>
  <c r="L108" i="2"/>
  <c r="AH102" i="3"/>
  <c r="AI102" i="3"/>
  <c r="T102" i="3"/>
  <c r="H107" i="2"/>
  <c r="L107" i="2"/>
  <c r="AH101" i="3"/>
  <c r="AI101" i="3"/>
  <c r="T101" i="3"/>
  <c r="H106" i="2"/>
  <c r="L106" i="2"/>
  <c r="AH100" i="3"/>
  <c r="AI100" i="3"/>
  <c r="T100" i="3"/>
  <c r="H105" i="2"/>
  <c r="L105" i="2"/>
  <c r="AH99" i="3"/>
  <c r="AI99" i="3"/>
  <c r="T99" i="3"/>
  <c r="H104" i="2"/>
  <c r="J104" i="2"/>
  <c r="L104" i="2"/>
  <c r="AH98" i="3"/>
  <c r="AI98" i="3"/>
  <c r="T98" i="3"/>
  <c r="H103" i="2"/>
  <c r="J103" i="2"/>
  <c r="L103" i="2"/>
  <c r="AH97" i="3"/>
  <c r="AI97" i="3"/>
  <c r="T97" i="3"/>
  <c r="H102" i="2"/>
  <c r="L102" i="2"/>
  <c r="AH96" i="3"/>
  <c r="AI96" i="3"/>
  <c r="T96" i="3"/>
  <c r="H101" i="2"/>
  <c r="L101" i="2"/>
  <c r="AH95" i="3"/>
  <c r="AI95" i="3"/>
  <c r="T95" i="3"/>
  <c r="H100" i="2"/>
  <c r="L100" i="2"/>
  <c r="AH94" i="3"/>
  <c r="AI94" i="3"/>
  <c r="T94" i="3"/>
  <c r="H99" i="2"/>
  <c r="I99" i="2"/>
  <c r="L99" i="2"/>
  <c r="AH93" i="3"/>
  <c r="AI93" i="3"/>
  <c r="T93" i="3"/>
  <c r="H98" i="2"/>
  <c r="L98" i="2"/>
  <c r="AH92" i="3"/>
  <c r="AI92" i="3"/>
  <c r="Q92" i="3"/>
  <c r="T92" i="3"/>
  <c r="H97" i="2"/>
  <c r="L97" i="2"/>
  <c r="AH91" i="3"/>
  <c r="AI91" i="3"/>
  <c r="T91" i="3"/>
  <c r="H96" i="2"/>
  <c r="L96" i="2"/>
  <c r="AH90" i="3"/>
  <c r="AI90" i="3"/>
  <c r="T90" i="3"/>
  <c r="H95" i="2"/>
  <c r="L95" i="2"/>
  <c r="AH89" i="3"/>
  <c r="AI89" i="3"/>
  <c r="T89" i="3"/>
  <c r="H94" i="2"/>
  <c r="L94" i="2"/>
  <c r="AH88" i="3"/>
  <c r="AI88" i="3"/>
  <c r="T88" i="3"/>
  <c r="H93" i="2"/>
  <c r="L93" i="2"/>
  <c r="AH87" i="3"/>
  <c r="AI87" i="3"/>
  <c r="T87" i="3"/>
  <c r="H92" i="2"/>
  <c r="L92" i="2"/>
  <c r="AH86" i="3"/>
  <c r="AI86" i="3"/>
  <c r="T86" i="3"/>
  <c r="H91" i="2"/>
  <c r="L91" i="2"/>
  <c r="AH85" i="3"/>
  <c r="AI85" i="3"/>
  <c r="T85" i="3"/>
  <c r="H90" i="2"/>
  <c r="L90" i="2"/>
  <c r="AH84" i="3"/>
  <c r="AI84" i="3"/>
  <c r="T84" i="3"/>
  <c r="H88" i="2"/>
  <c r="AH83" i="3"/>
  <c r="AI83" i="3"/>
  <c r="T83" i="3"/>
  <c r="H87" i="2"/>
  <c r="L87" i="2"/>
  <c r="AH82" i="3"/>
  <c r="AI82" i="3"/>
  <c r="T82" i="3"/>
  <c r="H86" i="2"/>
  <c r="AH81" i="3"/>
  <c r="AI81" i="3"/>
  <c r="T81" i="3"/>
  <c r="H85" i="2"/>
  <c r="L85" i="2"/>
  <c r="AH80" i="3"/>
  <c r="AI80" i="3"/>
  <c r="T80" i="3"/>
  <c r="H84" i="2"/>
  <c r="L84" i="2"/>
  <c r="AH79" i="3"/>
  <c r="AI79" i="3"/>
  <c r="T79" i="3"/>
  <c r="H83" i="2"/>
  <c r="L83" i="2"/>
  <c r="AH78" i="3"/>
  <c r="AI78" i="3"/>
  <c r="T78" i="3"/>
  <c r="H82" i="2"/>
  <c r="L82" i="2"/>
  <c r="AH77" i="3"/>
  <c r="AI77" i="3"/>
  <c r="T77" i="3"/>
  <c r="H80" i="2"/>
  <c r="L80" i="2"/>
  <c r="AH76" i="3"/>
  <c r="AI76" i="3"/>
  <c r="T76" i="3"/>
  <c r="H79" i="2"/>
  <c r="L79" i="2"/>
  <c r="AH75" i="3"/>
  <c r="AI75" i="3"/>
  <c r="T75" i="3"/>
  <c r="H78" i="2"/>
  <c r="L78" i="2"/>
  <c r="AH74" i="3"/>
  <c r="AI74" i="3"/>
  <c r="T74" i="3"/>
  <c r="H77" i="2"/>
  <c r="L77" i="2"/>
  <c r="AH73" i="3"/>
  <c r="AI73" i="3"/>
  <c r="T73" i="3"/>
  <c r="H76" i="2"/>
  <c r="L76" i="2"/>
  <c r="AH72" i="3"/>
  <c r="AI72" i="3"/>
  <c r="T72" i="3"/>
  <c r="H75" i="2"/>
  <c r="L75" i="2"/>
  <c r="AH71" i="3"/>
  <c r="AI71" i="3"/>
  <c r="T71" i="3"/>
  <c r="H74" i="2"/>
  <c r="L74" i="2"/>
  <c r="AH70" i="3"/>
  <c r="AI70" i="3"/>
  <c r="T70" i="3"/>
  <c r="H73" i="2"/>
  <c r="L73" i="2"/>
  <c r="AH69" i="3"/>
  <c r="AI69" i="3"/>
  <c r="T69" i="3"/>
  <c r="H72" i="2"/>
  <c r="L72" i="2"/>
  <c r="AH68" i="3"/>
  <c r="AI68" i="3"/>
  <c r="T68" i="3"/>
  <c r="AH67" i="3"/>
  <c r="AI67" i="3"/>
  <c r="T67" i="3"/>
  <c r="H70" i="2"/>
  <c r="L70" i="2"/>
  <c r="AH66" i="3"/>
  <c r="AI66" i="3"/>
  <c r="T66" i="3"/>
  <c r="H68" i="2"/>
  <c r="L68" i="2"/>
  <c r="AH65" i="3"/>
  <c r="AI65" i="3"/>
  <c r="T65" i="3"/>
  <c r="H67" i="2"/>
  <c r="L67" i="2"/>
  <c r="AH64" i="3"/>
  <c r="AI64" i="3"/>
  <c r="T64" i="3"/>
  <c r="H66" i="2"/>
  <c r="L66" i="2"/>
  <c r="AH63" i="3"/>
  <c r="AI63" i="3"/>
  <c r="T63" i="3"/>
  <c r="H65" i="2"/>
  <c r="L65" i="2"/>
  <c r="AH62" i="3"/>
  <c r="AI62" i="3"/>
  <c r="T62" i="3"/>
  <c r="H64" i="2"/>
  <c r="L64" i="2"/>
  <c r="AH61" i="3"/>
  <c r="AI61" i="3"/>
  <c r="T61" i="3"/>
  <c r="H63" i="2"/>
  <c r="L63" i="2"/>
  <c r="AH60" i="3"/>
  <c r="AI60" i="3"/>
  <c r="T60" i="3"/>
  <c r="H62" i="2"/>
  <c r="L62" i="2"/>
  <c r="AH59" i="3"/>
  <c r="AI59" i="3"/>
  <c r="T59" i="3"/>
  <c r="H61" i="2"/>
  <c r="L61" i="2"/>
  <c r="AH58" i="3"/>
  <c r="AI58" i="3"/>
  <c r="T58" i="3"/>
  <c r="H60" i="2"/>
  <c r="L60" i="2"/>
  <c r="AH57" i="3"/>
  <c r="AI57" i="3"/>
  <c r="T57" i="3"/>
  <c r="H59" i="2"/>
  <c r="L59" i="2"/>
  <c r="AH56" i="3"/>
  <c r="AI56" i="3"/>
  <c r="T56" i="3"/>
  <c r="H58" i="2"/>
  <c r="L58" i="2"/>
  <c r="AH55" i="3"/>
  <c r="AI55" i="3"/>
  <c r="T55" i="3"/>
  <c r="H57" i="2"/>
  <c r="L57" i="2"/>
  <c r="AH54" i="3"/>
  <c r="AI54" i="3"/>
  <c r="T54" i="3"/>
  <c r="H56" i="2"/>
  <c r="I56" i="2"/>
  <c r="J56" i="2"/>
  <c r="K56" i="2"/>
  <c r="L56" i="2"/>
  <c r="AH53" i="3"/>
  <c r="AI53" i="3"/>
  <c r="T53" i="3"/>
  <c r="H55" i="2"/>
  <c r="L55" i="2"/>
  <c r="AH52" i="3"/>
  <c r="AI52" i="3"/>
  <c r="T52" i="3"/>
  <c r="H54" i="2"/>
  <c r="L54" i="2"/>
  <c r="AH51" i="3"/>
  <c r="AI51" i="3"/>
  <c r="T51" i="3"/>
  <c r="H53" i="2"/>
  <c r="L53" i="2"/>
  <c r="AH50" i="3"/>
  <c r="AI50" i="3"/>
  <c r="T50" i="3"/>
  <c r="H52" i="2"/>
  <c r="L52" i="2"/>
  <c r="AH49" i="3"/>
  <c r="AI49" i="3"/>
  <c r="T49" i="3"/>
  <c r="H51" i="2"/>
  <c r="L51" i="2"/>
  <c r="AH48" i="3"/>
  <c r="AI48" i="3"/>
  <c r="T48" i="3"/>
  <c r="H50" i="2"/>
  <c r="L50" i="2"/>
  <c r="AH47" i="3"/>
  <c r="AI47" i="3"/>
  <c r="T47" i="3"/>
  <c r="H49" i="2"/>
  <c r="I49" i="2"/>
  <c r="J49" i="2"/>
  <c r="K49" i="2"/>
  <c r="L49" i="2"/>
  <c r="AH46" i="3"/>
  <c r="AI46" i="3"/>
  <c r="T46" i="3"/>
  <c r="H48" i="2"/>
  <c r="L48" i="2"/>
  <c r="AH45" i="3"/>
  <c r="AI45" i="3"/>
  <c r="T45" i="3"/>
  <c r="H47" i="2"/>
  <c r="L47" i="2"/>
  <c r="AH44" i="3"/>
  <c r="AI44" i="3"/>
  <c r="T44" i="3"/>
  <c r="H45" i="2"/>
  <c r="L45" i="2"/>
  <c r="AH43" i="3"/>
  <c r="AI43" i="3"/>
  <c r="T43" i="3"/>
  <c r="H44" i="2"/>
  <c r="L44" i="2"/>
  <c r="AH42" i="3"/>
  <c r="AI42" i="3"/>
  <c r="T42" i="3"/>
  <c r="H43" i="2"/>
  <c r="L43" i="2"/>
  <c r="AH41" i="3"/>
  <c r="AI41" i="3"/>
  <c r="T41" i="3"/>
  <c r="H42" i="2"/>
  <c r="L42" i="2"/>
  <c r="K41" i="3"/>
  <c r="J41" i="3"/>
  <c r="I41" i="3"/>
  <c r="AH40" i="3"/>
  <c r="AI40" i="3"/>
  <c r="T40" i="3"/>
  <c r="H41" i="2"/>
  <c r="L41" i="2"/>
  <c r="AH39" i="3"/>
  <c r="AI39" i="3"/>
  <c r="T39" i="3"/>
  <c r="H40" i="2"/>
  <c r="L40" i="2"/>
  <c r="AH38" i="3"/>
  <c r="AI38" i="3"/>
  <c r="T38" i="3"/>
  <c r="H39" i="2"/>
  <c r="L39" i="2"/>
  <c r="AH37" i="3"/>
  <c r="AI37" i="3"/>
  <c r="T37" i="3"/>
  <c r="H38" i="2"/>
  <c r="L38" i="2"/>
  <c r="AH36" i="3"/>
  <c r="AI36" i="3"/>
  <c r="T36" i="3"/>
  <c r="H37" i="2"/>
  <c r="L37" i="2"/>
  <c r="AH35" i="3"/>
  <c r="AI35" i="3"/>
  <c r="T35" i="3"/>
  <c r="H36" i="2"/>
  <c r="L36" i="2"/>
  <c r="AH34" i="3"/>
  <c r="AI34" i="3"/>
  <c r="T34" i="3"/>
  <c r="H35" i="2"/>
  <c r="L35" i="2"/>
  <c r="AH33" i="3"/>
  <c r="AI33" i="3"/>
  <c r="T33" i="3"/>
  <c r="H34" i="2"/>
  <c r="L34" i="2"/>
  <c r="AH32" i="3"/>
  <c r="AI32" i="3"/>
  <c r="T32" i="3"/>
  <c r="H33" i="2"/>
  <c r="AH31" i="3"/>
  <c r="AI31" i="3"/>
  <c r="T31" i="3"/>
  <c r="H32" i="2"/>
  <c r="L32" i="2"/>
  <c r="AH30" i="3"/>
  <c r="AI30" i="3"/>
  <c r="T30" i="3"/>
  <c r="H31" i="2"/>
  <c r="L31" i="2"/>
  <c r="AH29" i="3"/>
  <c r="AI29" i="3"/>
  <c r="T29" i="3"/>
  <c r="H30" i="2"/>
  <c r="L30" i="2"/>
  <c r="AH28" i="3"/>
  <c r="AI28" i="3"/>
  <c r="T28" i="3"/>
  <c r="H29" i="2"/>
  <c r="L29" i="2"/>
  <c r="AH27" i="3"/>
  <c r="AI27" i="3"/>
  <c r="T27" i="3"/>
  <c r="H28" i="2"/>
  <c r="L28" i="2"/>
  <c r="AH26" i="3"/>
  <c r="AI26" i="3"/>
  <c r="T26" i="3"/>
  <c r="H27" i="2"/>
  <c r="L27" i="2"/>
  <c r="AH25" i="3"/>
  <c r="AI25" i="3"/>
  <c r="T25" i="3"/>
  <c r="H26" i="2"/>
  <c r="L26" i="2"/>
  <c r="AH24" i="3"/>
  <c r="AI24" i="3"/>
  <c r="T24" i="3"/>
  <c r="H25" i="2"/>
  <c r="L25" i="2"/>
  <c r="AH23" i="3"/>
  <c r="AI23" i="3"/>
  <c r="T23" i="3"/>
  <c r="H24" i="2"/>
  <c r="AH22" i="3"/>
  <c r="AI22" i="3"/>
  <c r="T22" i="3"/>
  <c r="H23" i="2"/>
  <c r="L23" i="2"/>
  <c r="AH21" i="3"/>
  <c r="AI21" i="3"/>
  <c r="T21" i="3"/>
  <c r="H22" i="2"/>
  <c r="AH20" i="3"/>
  <c r="AI20" i="3"/>
  <c r="T20" i="3"/>
  <c r="H21" i="2"/>
  <c r="L21" i="2"/>
  <c r="AH19" i="3"/>
  <c r="AI19" i="3"/>
  <c r="T19" i="3"/>
  <c r="H20" i="2"/>
  <c r="I20" i="2"/>
  <c r="J20" i="2"/>
  <c r="L20" i="2"/>
  <c r="R228" i="2"/>
  <c r="P228" i="2"/>
  <c r="M228" i="2"/>
  <c r="T227" i="2"/>
  <c r="T226" i="2"/>
  <c r="T225" i="2"/>
  <c r="T224" i="2"/>
  <c r="T223" i="2"/>
  <c r="T222" i="2"/>
  <c r="T221" i="2"/>
  <c r="T220" i="2"/>
  <c r="T219" i="2"/>
  <c r="T218" i="2"/>
  <c r="E233" i="1"/>
  <c r="I233" i="1"/>
  <c r="T217" i="2"/>
  <c r="E232" i="1"/>
  <c r="I232" i="1"/>
  <c r="T216" i="2"/>
  <c r="E231" i="1"/>
  <c r="I231" i="1"/>
  <c r="T214" i="2"/>
  <c r="E229" i="1"/>
  <c r="I229" i="1"/>
  <c r="T213" i="2"/>
  <c r="E228" i="1"/>
  <c r="I228" i="1"/>
  <c r="O213" i="2"/>
  <c r="Q213" i="2"/>
  <c r="W213" i="2"/>
  <c r="T212" i="2"/>
  <c r="E227" i="1"/>
  <c r="I227" i="1"/>
  <c r="T211" i="2"/>
  <c r="E226" i="1"/>
  <c r="I226" i="1"/>
  <c r="O209" i="2"/>
  <c r="Q209" i="2"/>
  <c r="T209" i="2"/>
  <c r="E224" i="1"/>
  <c r="I224" i="1"/>
  <c r="L204" i="2"/>
  <c r="L203" i="2"/>
  <c r="T202" i="2"/>
  <c r="E215" i="1"/>
  <c r="I215" i="1"/>
  <c r="T200" i="2"/>
  <c r="E213" i="1"/>
  <c r="I213" i="1"/>
  <c r="T197" i="2"/>
  <c r="E209" i="1"/>
  <c r="I209" i="1"/>
  <c r="T196" i="2"/>
  <c r="E208" i="1"/>
  <c r="I208" i="1"/>
  <c r="T195" i="2"/>
  <c r="E207" i="1"/>
  <c r="I207" i="1"/>
  <c r="T194" i="2"/>
  <c r="E206" i="1"/>
  <c r="I206" i="1"/>
  <c r="T193" i="2"/>
  <c r="E205" i="1"/>
  <c r="I205" i="1"/>
  <c r="T192" i="2"/>
  <c r="E204" i="1"/>
  <c r="I204" i="1"/>
  <c r="T191" i="2"/>
  <c r="E203" i="1"/>
  <c r="I203" i="1"/>
  <c r="T189" i="2"/>
  <c r="E201" i="1"/>
  <c r="I201" i="1"/>
  <c r="O188" i="2"/>
  <c r="Q188" i="2"/>
  <c r="T187" i="2"/>
  <c r="E199" i="1"/>
  <c r="I199" i="1"/>
  <c r="T186" i="2"/>
  <c r="E198" i="1"/>
  <c r="I198" i="1"/>
  <c r="T185" i="2"/>
  <c r="E197" i="1"/>
  <c r="I197" i="1"/>
  <c r="T183" i="2"/>
  <c r="E195" i="1"/>
  <c r="I195" i="1"/>
  <c r="L183" i="2"/>
  <c r="T182" i="2"/>
  <c r="E194" i="1"/>
  <c r="I194" i="1"/>
  <c r="T180" i="2"/>
  <c r="E192" i="1"/>
  <c r="I192" i="1"/>
  <c r="T179" i="2"/>
  <c r="E191" i="1"/>
  <c r="I191" i="1"/>
  <c r="T178" i="2"/>
  <c r="E190" i="1"/>
  <c r="I190" i="1"/>
  <c r="T177" i="2"/>
  <c r="E189" i="1"/>
  <c r="I189" i="1"/>
  <c r="T173" i="2"/>
  <c r="E185" i="1"/>
  <c r="I185" i="1"/>
  <c r="T171" i="2"/>
  <c r="E183" i="1"/>
  <c r="I183" i="1"/>
  <c r="T170" i="2"/>
  <c r="E182" i="1"/>
  <c r="I182" i="1"/>
  <c r="L169" i="2"/>
  <c r="L165" i="2"/>
  <c r="T164" i="2"/>
  <c r="E175" i="1"/>
  <c r="I175" i="1"/>
  <c r="T163" i="2"/>
  <c r="E174" i="1"/>
  <c r="I174" i="1"/>
  <c r="T160" i="2"/>
  <c r="E171" i="1"/>
  <c r="I171" i="1"/>
  <c r="L159" i="2"/>
  <c r="T156" i="2"/>
  <c r="E167" i="1"/>
  <c r="I167" i="1"/>
  <c r="O156" i="2"/>
  <c r="Q156" i="2"/>
  <c r="W156" i="2"/>
  <c r="T155" i="2"/>
  <c r="E166" i="1"/>
  <c r="I166" i="1"/>
  <c r="L153" i="2"/>
  <c r="T152" i="2"/>
  <c r="E163" i="1"/>
  <c r="I163" i="1"/>
  <c r="T151" i="2"/>
  <c r="E162" i="1"/>
  <c r="I162" i="1"/>
  <c r="T150" i="2"/>
  <c r="E161" i="1"/>
  <c r="I161" i="1"/>
  <c r="T149" i="2"/>
  <c r="E160" i="1"/>
  <c r="I160" i="1"/>
  <c r="T148" i="2"/>
  <c r="E159" i="1"/>
  <c r="I159" i="1"/>
  <c r="T147" i="2"/>
  <c r="E157" i="1"/>
  <c r="I157" i="1"/>
  <c r="T146" i="2"/>
  <c r="E156" i="1"/>
  <c r="I156" i="1"/>
  <c r="T141" i="2"/>
  <c r="E150" i="1"/>
  <c r="I150" i="1"/>
  <c r="L140" i="2"/>
  <c r="T137" i="2"/>
  <c r="E144" i="1"/>
  <c r="I144" i="1"/>
  <c r="O136" i="2"/>
  <c r="Q136" i="2"/>
  <c r="J228" i="2"/>
  <c r="I228" i="2"/>
  <c r="N133" i="2"/>
  <c r="Q133" i="2"/>
  <c r="W133" i="2"/>
  <c r="T132" i="2"/>
  <c r="E139" i="1"/>
  <c r="I139" i="1"/>
  <c r="T131" i="2"/>
  <c r="E138" i="1"/>
  <c r="I138" i="1"/>
  <c r="T130" i="2"/>
  <c r="E137" i="1"/>
  <c r="I137" i="1"/>
  <c r="T129" i="2"/>
  <c r="E136" i="1"/>
  <c r="I136" i="1"/>
  <c r="T128" i="2"/>
  <c r="E135" i="1"/>
  <c r="I135" i="1"/>
  <c r="T127" i="2"/>
  <c r="E134" i="1"/>
  <c r="I134" i="1"/>
  <c r="T126" i="2"/>
  <c r="E133" i="1"/>
  <c r="I133" i="1"/>
  <c r="T125" i="2"/>
  <c r="E132" i="1"/>
  <c r="I132" i="1"/>
  <c r="T124" i="2"/>
  <c r="E131" i="1"/>
  <c r="I131" i="1"/>
  <c r="O124" i="2"/>
  <c r="Q124" i="2"/>
  <c r="W124" i="2"/>
  <c r="O122" i="2"/>
  <c r="Q122" i="2"/>
  <c r="W122" i="2"/>
  <c r="T120" i="2"/>
  <c r="E127" i="1"/>
  <c r="I127" i="1"/>
  <c r="T115" i="2"/>
  <c r="E122" i="1"/>
  <c r="I122" i="1"/>
  <c r="T114" i="2"/>
  <c r="E121" i="1"/>
  <c r="I121" i="1"/>
  <c r="T111" i="2"/>
  <c r="E118" i="1"/>
  <c r="I118" i="1"/>
  <c r="H111" i="2"/>
  <c r="L111" i="2"/>
  <c r="T110" i="2"/>
  <c r="E117" i="1"/>
  <c r="I117" i="1"/>
  <c r="T109" i="2"/>
  <c r="E116" i="1"/>
  <c r="I116" i="1"/>
  <c r="O109" i="2"/>
  <c r="Q109" i="2"/>
  <c r="W109" i="2"/>
  <c r="O108" i="2"/>
  <c r="Q108" i="2"/>
  <c r="T90" i="2"/>
  <c r="E97" i="1"/>
  <c r="I97" i="1"/>
  <c r="T87" i="2"/>
  <c r="T84" i="2"/>
  <c r="E90" i="1"/>
  <c r="I90" i="1"/>
  <c r="T83" i="2"/>
  <c r="E89" i="1"/>
  <c r="I89" i="1"/>
  <c r="T82" i="2"/>
  <c r="E88" i="1"/>
  <c r="I88" i="1"/>
  <c r="T80" i="2"/>
  <c r="E85" i="1"/>
  <c r="I85" i="1"/>
  <c r="O79" i="2"/>
  <c r="Q79" i="2"/>
  <c r="W79" i="2"/>
  <c r="O78" i="2"/>
  <c r="Q78" i="2"/>
  <c r="T77" i="2"/>
  <c r="E82" i="1"/>
  <c r="I82" i="1"/>
  <c r="O77" i="2"/>
  <c r="Q77" i="2"/>
  <c r="W77" i="2"/>
  <c r="O76" i="2"/>
  <c r="Q76" i="2"/>
  <c r="O74" i="2"/>
  <c r="Q74" i="2"/>
  <c r="O73" i="2"/>
  <c r="Q73" i="2"/>
  <c r="L71" i="2"/>
  <c r="T61" i="2"/>
  <c r="E66" i="1"/>
  <c r="I66" i="1"/>
  <c r="T60" i="2"/>
  <c r="E63" i="1"/>
  <c r="I63" i="1"/>
  <c r="T59" i="2"/>
  <c r="E62" i="1"/>
  <c r="I62" i="1"/>
  <c r="T58" i="2"/>
  <c r="E61" i="1"/>
  <c r="I61" i="1"/>
  <c r="T57" i="2"/>
  <c r="E60" i="1"/>
  <c r="I60" i="1"/>
  <c r="T56" i="2"/>
  <c r="E57" i="1"/>
  <c r="I57" i="1"/>
  <c r="O55" i="2"/>
  <c r="Q55" i="2"/>
  <c r="W55" i="2"/>
  <c r="T54" i="2"/>
  <c r="E55" i="1"/>
  <c r="I55" i="1"/>
  <c r="T53" i="2"/>
  <c r="E54" i="1"/>
  <c r="I54" i="1"/>
  <c r="T52" i="2"/>
  <c r="E53" i="1"/>
  <c r="I53" i="1"/>
  <c r="T51" i="2"/>
  <c r="E52" i="1"/>
  <c r="I52" i="1"/>
  <c r="T50" i="2"/>
  <c r="E51" i="1"/>
  <c r="I51" i="1"/>
  <c r="T49" i="2"/>
  <c r="E50" i="1"/>
  <c r="I50" i="1"/>
  <c r="T48" i="2"/>
  <c r="E49" i="1"/>
  <c r="I49" i="1"/>
  <c r="T47" i="2"/>
  <c r="E48" i="1"/>
  <c r="I48" i="1"/>
  <c r="K228" i="2"/>
  <c r="T44" i="2"/>
  <c r="E45" i="1"/>
  <c r="I45" i="1"/>
  <c r="T32" i="2"/>
  <c r="E33" i="1"/>
  <c r="I33" i="1"/>
  <c r="N30" i="2"/>
  <c r="Q30" i="2"/>
  <c r="W30" i="2"/>
  <c r="N29" i="2"/>
  <c r="Q29" i="2"/>
  <c r="T29" i="2"/>
  <c r="N28" i="2"/>
  <c r="Q28" i="2"/>
  <c r="W28" i="2"/>
  <c r="T27" i="2"/>
  <c r="E28" i="1"/>
  <c r="I28" i="1"/>
  <c r="T26" i="2"/>
  <c r="E27" i="1"/>
  <c r="I27" i="1"/>
  <c r="T25" i="2"/>
  <c r="E26" i="1"/>
  <c r="I26" i="1"/>
  <c r="L19" i="2"/>
  <c r="I178" i="1"/>
  <c r="N228" i="2"/>
  <c r="T99" i="2"/>
  <c r="E106" i="1"/>
  <c r="I106" i="1"/>
  <c r="I92" i="1"/>
  <c r="W170" i="18"/>
  <c r="AB252" i="14"/>
  <c r="AF66" i="18"/>
  <c r="T199" i="14"/>
  <c r="F177" i="18"/>
  <c r="J177" i="18"/>
  <c r="AC177" i="18"/>
  <c r="W199" i="14"/>
  <c r="AA199" i="14"/>
  <c r="W177" i="18"/>
  <c r="AH247" i="11"/>
  <c r="AG231" i="11"/>
  <c r="V234" i="11"/>
  <c r="W173" i="11"/>
  <c r="AA173" i="11"/>
  <c r="X128" i="11"/>
  <c r="W121" i="11"/>
  <c r="AF105" i="11"/>
  <c r="W96" i="11"/>
  <c r="AG237" i="11"/>
  <c r="AF226" i="11"/>
  <c r="W55" i="11"/>
  <c r="AA55" i="11"/>
  <c r="W42" i="11"/>
  <c r="AF139" i="11"/>
  <c r="AF117" i="11"/>
  <c r="AF115" i="11"/>
  <c r="AF113" i="11"/>
  <c r="AF111" i="11"/>
  <c r="AF109" i="11"/>
  <c r="AF43" i="11"/>
  <c r="W130" i="11"/>
  <c r="AA130" i="11"/>
  <c r="T234" i="11"/>
  <c r="F235" i="15"/>
  <c r="J235" i="15"/>
  <c r="AB235" i="15"/>
  <c r="T228" i="11"/>
  <c r="F229" i="15"/>
  <c r="J229" i="15"/>
  <c r="AB229" i="15"/>
  <c r="T171" i="11"/>
  <c r="F172" i="15"/>
  <c r="J172" i="15"/>
  <c r="AC172" i="15"/>
  <c r="T146" i="11"/>
  <c r="F147" i="15"/>
  <c r="J147" i="15"/>
  <c r="AB147" i="15"/>
  <c r="T130" i="11"/>
  <c r="F131" i="15"/>
  <c r="J131" i="15"/>
  <c r="AC131" i="15"/>
  <c r="T119" i="11"/>
  <c r="F120" i="15"/>
  <c r="J120" i="15"/>
  <c r="AB120" i="15"/>
  <c r="T113" i="11"/>
  <c r="F114" i="15"/>
  <c r="J114" i="15"/>
  <c r="AB114" i="15"/>
  <c r="T109" i="11"/>
  <c r="F110" i="15"/>
  <c r="J110" i="15"/>
  <c r="AB110" i="15"/>
  <c r="T107" i="11"/>
  <c r="F108" i="15"/>
  <c r="J108" i="15"/>
  <c r="AB108" i="15"/>
  <c r="T103" i="11"/>
  <c r="F104" i="15"/>
  <c r="J104" i="15"/>
  <c r="AB104" i="15"/>
  <c r="T60" i="11"/>
  <c r="F61" i="15"/>
  <c r="J61" i="15"/>
  <c r="AB61" i="15"/>
  <c r="T247" i="11"/>
  <c r="F248" i="15"/>
  <c r="J248" i="15"/>
  <c r="AD248" i="15"/>
  <c r="T135" i="11"/>
  <c r="F136" i="15"/>
  <c r="J136" i="15"/>
  <c r="AB136" i="15"/>
  <c r="T26" i="11"/>
  <c r="F26" i="15"/>
  <c r="J26" i="15"/>
  <c r="AB26" i="15"/>
  <c r="T177" i="11"/>
  <c r="F178" i="15"/>
  <c r="J178" i="15"/>
  <c r="AB178" i="15"/>
  <c r="T48" i="11"/>
  <c r="F48" i="15"/>
  <c r="J48" i="15"/>
  <c r="AB48" i="15"/>
  <c r="AA34" i="11"/>
  <c r="AA109" i="11"/>
  <c r="AA198" i="11"/>
  <c r="AA229" i="11"/>
  <c r="M252" i="11"/>
  <c r="F258" i="15"/>
  <c r="T74" i="15"/>
  <c r="F76" i="14"/>
  <c r="J76" i="14"/>
  <c r="AB76" i="14"/>
  <c r="W52" i="15"/>
  <c r="AA52" i="15"/>
  <c r="AA153" i="18"/>
  <c r="AH246" i="11"/>
  <c r="W240" i="11"/>
  <c r="AG218" i="11"/>
  <c r="X192" i="11"/>
  <c r="AG207" i="11"/>
  <c r="AF169" i="11"/>
  <c r="W166" i="11"/>
  <c r="AF153" i="11"/>
  <c r="AF141" i="11"/>
  <c r="AF106" i="11"/>
  <c r="AF97" i="11"/>
  <c r="W56" i="11"/>
  <c r="AA56" i="11"/>
  <c r="AF135" i="11"/>
  <c r="AH38" i="11"/>
  <c r="AF34" i="11"/>
  <c r="AF30" i="11"/>
  <c r="T124" i="11"/>
  <c r="F125" i="15"/>
  <c r="J125" i="15"/>
  <c r="AB125" i="15"/>
  <c r="T34" i="11"/>
  <c r="F34" i="15"/>
  <c r="J34" i="15"/>
  <c r="AB34" i="15"/>
  <c r="T167" i="11"/>
  <c r="F168" i="15"/>
  <c r="J168" i="15"/>
  <c r="AB168" i="15"/>
  <c r="T139" i="11"/>
  <c r="F140" i="15"/>
  <c r="J140" i="15"/>
  <c r="AB140" i="15"/>
  <c r="T27" i="11"/>
  <c r="F27" i="15"/>
  <c r="J27" i="15"/>
  <c r="AB27" i="15"/>
  <c r="T243" i="11"/>
  <c r="F244" i="15"/>
  <c r="J244" i="15"/>
  <c r="AB244" i="15"/>
  <c r="T196" i="11"/>
  <c r="F197" i="15"/>
  <c r="J197" i="15"/>
  <c r="AB197" i="15"/>
  <c r="T164" i="11"/>
  <c r="F165" i="15"/>
  <c r="J165" i="15"/>
  <c r="AB165" i="15"/>
  <c r="AA35" i="11"/>
  <c r="AA158" i="11"/>
  <c r="AA239" i="11"/>
  <c r="AA234" i="15"/>
  <c r="V43" i="15"/>
  <c r="V44" i="15"/>
  <c r="AF60" i="15"/>
  <c r="W19" i="14"/>
  <c r="AA19" i="14"/>
  <c r="V21" i="14"/>
  <c r="AA21" i="14"/>
  <c r="V79" i="14"/>
  <c r="AF75" i="14"/>
  <c r="AF70" i="14"/>
  <c r="AF38" i="14"/>
  <c r="V32" i="14"/>
  <c r="V98" i="14"/>
  <c r="AA98" i="14"/>
  <c r="AH55" i="14"/>
  <c r="W46" i="14"/>
  <c r="V27" i="14"/>
  <c r="AA27" i="14"/>
  <c r="AG19" i="14"/>
  <c r="AF44" i="14"/>
  <c r="AG57" i="14"/>
  <c r="AG101" i="14"/>
  <c r="AG102" i="14"/>
  <c r="AG103" i="14"/>
  <c r="AG129" i="14"/>
  <c r="W147" i="14"/>
  <c r="AG151" i="14"/>
  <c r="AG152" i="14"/>
  <c r="AG153" i="14"/>
  <c r="AG154" i="14"/>
  <c r="AH189" i="14"/>
  <c r="AF193" i="14"/>
  <c r="AF194" i="14"/>
  <c r="AG195" i="14"/>
  <c r="AH196" i="14"/>
  <c r="AF202" i="14"/>
  <c r="AA190" i="18"/>
  <c r="AA181" i="18"/>
  <c r="AA127" i="18"/>
  <c r="W74" i="18"/>
  <c r="I252" i="11"/>
  <c r="AH245" i="11"/>
  <c r="AF243" i="11"/>
  <c r="AF241" i="11"/>
  <c r="AG198" i="11"/>
  <c r="X232" i="11"/>
  <c r="AA232" i="11"/>
  <c r="AF168" i="11"/>
  <c r="AH147" i="11"/>
  <c r="W122" i="11"/>
  <c r="W82" i="11"/>
  <c r="AA82" i="11"/>
  <c r="W23" i="11"/>
  <c r="AA23" i="11"/>
  <c r="AF22" i="11"/>
  <c r="AH92" i="11"/>
  <c r="AF48" i="11"/>
  <c r="AF46" i="11"/>
  <c r="AF31" i="11"/>
  <c r="AF20" i="11"/>
  <c r="AG203" i="11"/>
  <c r="T246" i="11"/>
  <c r="F247" i="15"/>
  <c r="J247" i="15"/>
  <c r="AD247" i="15"/>
  <c r="T235" i="11"/>
  <c r="F236" i="15"/>
  <c r="J236" i="15"/>
  <c r="AC236" i="15"/>
  <c r="T188" i="11"/>
  <c r="F189" i="15"/>
  <c r="J189" i="15"/>
  <c r="AC189" i="15"/>
  <c r="T162" i="11"/>
  <c r="F163" i="15"/>
  <c r="J163" i="15"/>
  <c r="AD163" i="15"/>
  <c r="T158" i="11"/>
  <c r="F159" i="15"/>
  <c r="J159" i="15"/>
  <c r="AB159" i="15"/>
  <c r="T151" i="11"/>
  <c r="F152" i="15"/>
  <c r="J152" i="15"/>
  <c r="AC152" i="15"/>
  <c r="T125" i="11"/>
  <c r="F126" i="15"/>
  <c r="J126" i="15"/>
  <c r="AB126" i="15"/>
  <c r="T112" i="11"/>
  <c r="F113" i="15"/>
  <c r="J113" i="15"/>
  <c r="AB113" i="15"/>
  <c r="T92" i="11"/>
  <c r="F93" i="15"/>
  <c r="J93" i="15"/>
  <c r="AD93" i="15"/>
  <c r="T81" i="11"/>
  <c r="F82" i="15"/>
  <c r="J82" i="15"/>
  <c r="AB82" i="15"/>
  <c r="T36" i="11"/>
  <c r="F36" i="15"/>
  <c r="J36" i="15"/>
  <c r="AB36" i="15"/>
  <c r="T32" i="11"/>
  <c r="F32" i="15"/>
  <c r="J32" i="15"/>
  <c r="AB32" i="15"/>
  <c r="T23" i="11"/>
  <c r="F23" i="15"/>
  <c r="J23" i="15"/>
  <c r="AC23" i="15"/>
  <c r="T20" i="11"/>
  <c r="F20" i="15"/>
  <c r="J20" i="15"/>
  <c r="AB20" i="15"/>
  <c r="T170" i="11"/>
  <c r="F171" i="15"/>
  <c r="J171" i="15"/>
  <c r="AC171" i="15"/>
  <c r="T90" i="11"/>
  <c r="F91" i="15"/>
  <c r="J91" i="15"/>
  <c r="AB91" i="15"/>
  <c r="T245" i="11"/>
  <c r="F246" i="15"/>
  <c r="J246" i="15"/>
  <c r="AD246" i="15"/>
  <c r="T244" i="11"/>
  <c r="F245" i="15"/>
  <c r="J245" i="15"/>
  <c r="AB245" i="15"/>
  <c r="T241" i="11"/>
  <c r="F242" i="15"/>
  <c r="J242" i="15"/>
  <c r="AB242" i="15"/>
  <c r="T203" i="11"/>
  <c r="F204" i="15"/>
  <c r="J204" i="15"/>
  <c r="AC204" i="15"/>
  <c r="T198" i="11"/>
  <c r="F199" i="15"/>
  <c r="J199" i="15"/>
  <c r="AC199" i="15"/>
  <c r="T197" i="11"/>
  <c r="F198" i="15"/>
  <c r="J198" i="15"/>
  <c r="AB198" i="15"/>
  <c r="T185" i="11"/>
  <c r="F186" i="15"/>
  <c r="J186" i="15"/>
  <c r="AC186" i="15"/>
  <c r="T93" i="11"/>
  <c r="F94" i="15"/>
  <c r="J94" i="15"/>
  <c r="AC94" i="15"/>
  <c r="T122" i="11"/>
  <c r="F123" i="15"/>
  <c r="J123" i="15"/>
  <c r="AC123" i="15"/>
  <c r="T57" i="11"/>
  <c r="F58" i="15"/>
  <c r="J58" i="15"/>
  <c r="AC58" i="15"/>
  <c r="T35" i="15"/>
  <c r="F36" i="14"/>
  <c r="J36" i="14"/>
  <c r="AB36" i="14"/>
  <c r="T31" i="15"/>
  <c r="F32" i="14"/>
  <c r="J32" i="14"/>
  <c r="AB32" i="14"/>
  <c r="T27" i="15"/>
  <c r="F27" i="14"/>
  <c r="J27" i="14"/>
  <c r="AB27" i="14"/>
  <c r="T96" i="15"/>
  <c r="F98" i="14"/>
  <c r="J98" i="14"/>
  <c r="AB98" i="14"/>
  <c r="T88" i="15"/>
  <c r="F90" i="14"/>
  <c r="J90" i="14"/>
  <c r="AB90" i="14"/>
  <c r="T80" i="15"/>
  <c r="F82" i="14"/>
  <c r="J82" i="14"/>
  <c r="AC82" i="14"/>
  <c r="V72" i="15"/>
  <c r="V47" i="15"/>
  <c r="AF64" i="15"/>
  <c r="AG55" i="15"/>
  <c r="AG169" i="14"/>
  <c r="AG16" i="14"/>
  <c r="V62" i="14"/>
  <c r="AA62" i="14"/>
  <c r="V22" i="14"/>
  <c r="AA22" i="14"/>
  <c r="V76" i="14"/>
  <c r="AA76" i="14"/>
  <c r="V68" i="14"/>
  <c r="AA68" i="14"/>
  <c r="V33" i="14"/>
  <c r="AF64" i="14"/>
  <c r="W58" i="14"/>
  <c r="AA58" i="14"/>
  <c r="V26" i="14"/>
  <c r="AA26" i="14"/>
  <c r="AG87" i="14"/>
  <c r="AG96" i="14"/>
  <c r="AG97" i="14"/>
  <c r="AG164" i="14"/>
  <c r="AF205" i="14"/>
  <c r="AF215" i="14"/>
  <c r="AF217" i="14"/>
  <c r="AF230" i="14"/>
  <c r="AF231" i="14"/>
  <c r="AG240" i="14"/>
  <c r="AG241" i="14"/>
  <c r="AG242" i="14"/>
  <c r="AG243" i="14"/>
  <c r="AA151" i="18"/>
  <c r="AA161" i="18"/>
  <c r="AA209" i="18"/>
  <c r="AA121" i="18"/>
  <c r="AA215" i="18"/>
  <c r="AA135" i="18"/>
  <c r="S137" i="1"/>
  <c r="E145" i="4"/>
  <c r="I145" i="4"/>
  <c r="AA145" i="4"/>
  <c r="T66" i="11"/>
  <c r="F67" i="15"/>
  <c r="J67" i="15"/>
  <c r="AB67" i="15"/>
  <c r="T74" i="11"/>
  <c r="F75" i="15"/>
  <c r="J75" i="15"/>
  <c r="AC75" i="15"/>
  <c r="AG78" i="11"/>
  <c r="T78" i="11"/>
  <c r="F79" i="15"/>
  <c r="J79" i="15"/>
  <c r="AC79" i="15"/>
  <c r="V88" i="11"/>
  <c r="T88" i="11"/>
  <c r="F89" i="15"/>
  <c r="J89" i="15"/>
  <c r="AB89" i="15"/>
  <c r="AG129" i="11"/>
  <c r="T129" i="11"/>
  <c r="F130" i="15"/>
  <c r="J130" i="15"/>
  <c r="AC130" i="15"/>
  <c r="T138" i="11"/>
  <c r="F139" i="15"/>
  <c r="J139" i="15"/>
  <c r="AB139" i="15"/>
  <c r="V163" i="11"/>
  <c r="T163" i="11"/>
  <c r="F164" i="15"/>
  <c r="J164" i="15"/>
  <c r="AB164" i="15"/>
  <c r="AF179" i="11"/>
  <c r="T179" i="11"/>
  <c r="F180" i="15"/>
  <c r="J180" i="15"/>
  <c r="AB180" i="15"/>
  <c r="AF183" i="11"/>
  <c r="T183" i="11"/>
  <c r="F184" i="15"/>
  <c r="J184" i="15"/>
  <c r="AB184" i="15"/>
  <c r="AF189" i="11"/>
  <c r="T189" i="11"/>
  <c r="F190" i="15"/>
  <c r="J190" i="15"/>
  <c r="AB190" i="15"/>
  <c r="AG19" i="11"/>
  <c r="T19" i="11"/>
  <c r="F19" i="15"/>
  <c r="J19" i="15"/>
  <c r="AC19" i="15"/>
  <c r="T28" i="11"/>
  <c r="F28" i="15"/>
  <c r="J28" i="15"/>
  <c r="AC28" i="15"/>
  <c r="V65" i="11"/>
  <c r="T65" i="11"/>
  <c r="F66" i="15"/>
  <c r="J66" i="15"/>
  <c r="AB66" i="15"/>
  <c r="V69" i="11"/>
  <c r="T69" i="11"/>
  <c r="F70" i="15"/>
  <c r="J70" i="15"/>
  <c r="AB70" i="15"/>
  <c r="AF73" i="11"/>
  <c r="T73" i="11"/>
  <c r="F74" i="15"/>
  <c r="J74" i="15"/>
  <c r="AB74" i="15"/>
  <c r="T87" i="11"/>
  <c r="F88" i="15"/>
  <c r="J88" i="15"/>
  <c r="AB88" i="15"/>
  <c r="T95" i="11"/>
  <c r="F96" i="15"/>
  <c r="J96" i="15"/>
  <c r="AB96" i="15"/>
  <c r="V133" i="11"/>
  <c r="T133" i="11"/>
  <c r="F134" i="15"/>
  <c r="J134" i="15"/>
  <c r="AB134" i="15"/>
  <c r="V137" i="11"/>
  <c r="T137" i="11"/>
  <c r="F138" i="15"/>
  <c r="J138" i="15"/>
  <c r="AB138" i="15"/>
  <c r="T156" i="11"/>
  <c r="F157" i="15"/>
  <c r="J157" i="15"/>
  <c r="AC157" i="15"/>
  <c r="T176" i="11"/>
  <c r="F177" i="15"/>
  <c r="J177" i="15"/>
  <c r="AB177" i="15"/>
  <c r="T184" i="11"/>
  <c r="F185" i="15"/>
  <c r="J185" i="15"/>
  <c r="AB185" i="15"/>
  <c r="AG185" i="11"/>
  <c r="X223" i="11"/>
  <c r="V201" i="11"/>
  <c r="V199" i="11"/>
  <c r="V183" i="11"/>
  <c r="V181" i="11"/>
  <c r="V179" i="11"/>
  <c r="AF177" i="11"/>
  <c r="W165" i="11"/>
  <c r="AF163" i="11"/>
  <c r="W142" i="11"/>
  <c r="AA142" i="11"/>
  <c r="AF125" i="11"/>
  <c r="AF123" i="11"/>
  <c r="AG16" i="11"/>
  <c r="W93" i="11"/>
  <c r="AA93" i="11"/>
  <c r="V39" i="11"/>
  <c r="W24" i="11"/>
  <c r="AA24" i="11"/>
  <c r="AF90" i="11"/>
  <c r="AF88" i="11"/>
  <c r="AF86" i="11"/>
  <c r="AF58" i="11"/>
  <c r="T223" i="11"/>
  <c r="F224" i="15"/>
  <c r="J224" i="15"/>
  <c r="AD224" i="15"/>
  <c r="T204" i="11"/>
  <c r="F205" i="15"/>
  <c r="J205" i="15"/>
  <c r="AC205" i="15"/>
  <c r="T201" i="11"/>
  <c r="F202" i="15"/>
  <c r="J202" i="15"/>
  <c r="AB202" i="15"/>
  <c r="T199" i="11"/>
  <c r="F200" i="15"/>
  <c r="J200" i="15"/>
  <c r="AB200" i="15"/>
  <c r="T191" i="11"/>
  <c r="F193" i="15"/>
  <c r="J193" i="15"/>
  <c r="AD193" i="15"/>
  <c r="T123" i="11"/>
  <c r="F124" i="15"/>
  <c r="J124" i="15"/>
  <c r="AB124" i="15"/>
  <c r="T110" i="11"/>
  <c r="F111" i="15"/>
  <c r="J111" i="15"/>
  <c r="AB111" i="15"/>
  <c r="T58" i="11"/>
  <c r="F59" i="15"/>
  <c r="J59" i="15"/>
  <c r="AB59" i="15"/>
  <c r="T41" i="11"/>
  <c r="F41" i="15"/>
  <c r="J41" i="15"/>
  <c r="AC41" i="15"/>
  <c r="T168" i="11"/>
  <c r="F169" i="15"/>
  <c r="J169" i="15"/>
  <c r="AB169" i="15"/>
  <c r="T86" i="11"/>
  <c r="F87" i="15"/>
  <c r="J87" i="15"/>
  <c r="AB87" i="15"/>
  <c r="T181" i="11"/>
  <c r="F182" i="15"/>
  <c r="J182" i="15"/>
  <c r="AB182" i="15"/>
  <c r="T68" i="11"/>
  <c r="F69" i="15"/>
  <c r="J69" i="15"/>
  <c r="AB69" i="15"/>
  <c r="T165" i="11"/>
  <c r="F166" i="15"/>
  <c r="J166" i="15"/>
  <c r="AC166" i="15"/>
  <c r="F18" i="14"/>
  <c r="J18" i="14"/>
  <c r="AC18" i="14"/>
  <c r="V70" i="15"/>
  <c r="AG45" i="15"/>
  <c r="W53" i="15"/>
  <c r="AF62" i="15"/>
  <c r="W51" i="14"/>
  <c r="AA51" i="14"/>
  <c r="W25" i="14"/>
  <c r="W77" i="14"/>
  <c r="AA77" i="14"/>
  <c r="AG50" i="14"/>
  <c r="AF22" i="14"/>
  <c r="V80" i="14"/>
  <c r="V74" i="14"/>
  <c r="X39" i="14"/>
  <c r="AA39" i="14"/>
  <c r="V35" i="14"/>
  <c r="V31" i="14"/>
  <c r="AF65" i="14"/>
  <c r="AF61" i="14"/>
  <c r="AG54" i="14"/>
  <c r="AF45" i="14"/>
  <c r="AG24" i="14"/>
  <c r="AF41" i="14"/>
  <c r="AF48" i="14"/>
  <c r="AG51" i="14"/>
  <c r="AG59" i="14"/>
  <c r="AG78" i="14"/>
  <c r="W85" i="14"/>
  <c r="AA85" i="14"/>
  <c r="AG99" i="14"/>
  <c r="AG124" i="14"/>
  <c r="AG132" i="14"/>
  <c r="AF134" i="14"/>
  <c r="AG146" i="14"/>
  <c r="AG158" i="14"/>
  <c r="AG159" i="14"/>
  <c r="AG162" i="14"/>
  <c r="AG168" i="14"/>
  <c r="AF171" i="14"/>
  <c r="AF179" i="14"/>
  <c r="AF181" i="14"/>
  <c r="AF183" i="14"/>
  <c r="AF185" i="14"/>
  <c r="AF197" i="14"/>
  <c r="AF201" i="14"/>
  <c r="AG235" i="14"/>
  <c r="AG236" i="14"/>
  <c r="AG245" i="14"/>
  <c r="AG254" i="14"/>
  <c r="AG56" i="14"/>
  <c r="AH225" i="14"/>
  <c r="AF204" i="14"/>
  <c r="AF71" i="14"/>
  <c r="AF186" i="14"/>
  <c r="S197" i="1"/>
  <c r="E208" i="4"/>
  <c r="I208" i="4"/>
  <c r="AB208" i="4"/>
  <c r="AA53" i="15"/>
  <c r="AA70" i="15"/>
  <c r="AA47" i="15"/>
  <c r="Q252" i="15"/>
  <c r="AF61" i="15"/>
  <c r="AG42" i="15"/>
  <c r="X233" i="15"/>
  <c r="AA233" i="15"/>
  <c r="W231" i="15"/>
  <c r="AF229" i="15"/>
  <c r="AA19" i="11"/>
  <c r="AA29" i="11"/>
  <c r="AA30" i="11"/>
  <c r="AA31" i="11"/>
  <c r="AA32" i="11"/>
  <c r="AA33" i="11"/>
  <c r="AA37" i="11"/>
  <c r="AA38" i="11"/>
  <c r="AA47" i="11"/>
  <c r="AA48" i="11"/>
  <c r="AA53" i="11"/>
  <c r="AA106" i="11"/>
  <c r="AA107" i="11"/>
  <c r="AA111" i="11"/>
  <c r="AA113" i="11"/>
  <c r="AA127" i="11"/>
  <c r="AA129" i="11"/>
  <c r="AA134" i="11"/>
  <c r="AA138" i="11"/>
  <c r="AA189" i="11"/>
  <c r="AA203" i="11"/>
  <c r="AA205" i="11"/>
  <c r="AA217" i="11"/>
  <c r="AA219" i="11"/>
  <c r="AA225" i="11"/>
  <c r="AA226" i="11"/>
  <c r="AA235" i="11"/>
  <c r="AA237" i="11"/>
  <c r="AA248" i="11"/>
  <c r="AA77" i="11"/>
  <c r="AA72" i="15"/>
  <c r="AA43" i="15"/>
  <c r="W57" i="15"/>
  <c r="AA57" i="15"/>
  <c r="W50" i="15"/>
  <c r="AA50" i="15"/>
  <c r="W239" i="15"/>
  <c r="AA239" i="15"/>
  <c r="AF235" i="15"/>
  <c r="AA236" i="15"/>
  <c r="AH247" i="15"/>
  <c r="AF243" i="15"/>
  <c r="AG239" i="15"/>
  <c r="V235" i="15"/>
  <c r="AA235" i="15"/>
  <c r="V229" i="15"/>
  <c r="AA229" i="15"/>
  <c r="S89" i="1"/>
  <c r="E95" i="4"/>
  <c r="I95" i="4"/>
  <c r="AA95" i="4"/>
  <c r="U193" i="1"/>
  <c r="AE68" i="4"/>
  <c r="Z97" i="4"/>
  <c r="T142" i="11"/>
  <c r="F143" i="15"/>
  <c r="J143" i="15"/>
  <c r="AC143" i="15"/>
  <c r="T102" i="11"/>
  <c r="F103" i="15"/>
  <c r="T118" i="11"/>
  <c r="F119" i="15"/>
  <c r="J119" i="15"/>
  <c r="AB119" i="15"/>
  <c r="T216" i="11"/>
  <c r="F217" i="15"/>
  <c r="J217" i="15"/>
  <c r="AC217" i="15"/>
  <c r="T229" i="11"/>
  <c r="F230" i="15"/>
  <c r="J230" i="15"/>
  <c r="AB230" i="15"/>
  <c r="AF62" i="11"/>
  <c r="AF134" i="11"/>
  <c r="V68" i="11"/>
  <c r="AA68" i="11"/>
  <c r="AF101" i="11"/>
  <c r="AA181" i="11"/>
  <c r="AA199" i="11"/>
  <c r="X220" i="11"/>
  <c r="AA220" i="11"/>
  <c r="AF225" i="11"/>
  <c r="V233" i="11"/>
  <c r="AA233" i="11"/>
  <c r="T180" i="11"/>
  <c r="F181" i="15"/>
  <c r="J181" i="15"/>
  <c r="AB181" i="15"/>
  <c r="T172" i="11"/>
  <c r="F173" i="15"/>
  <c r="J173" i="15"/>
  <c r="AC173" i="15"/>
  <c r="T150" i="11"/>
  <c r="F151" i="15"/>
  <c r="J151" i="15"/>
  <c r="AC151" i="15"/>
  <c r="T91" i="11"/>
  <c r="F92" i="15"/>
  <c r="J92" i="15"/>
  <c r="AD92" i="15"/>
  <c r="T76" i="11"/>
  <c r="F77" i="15"/>
  <c r="J77" i="15"/>
  <c r="AB77" i="15"/>
  <c r="T77" i="11"/>
  <c r="F78" i="15"/>
  <c r="J78" i="15"/>
  <c r="AB78" i="15"/>
  <c r="T134" i="11"/>
  <c r="F135" i="15"/>
  <c r="J135" i="15"/>
  <c r="AB135" i="15"/>
  <c r="T70" i="11"/>
  <c r="F71" i="15"/>
  <c r="J71" i="15"/>
  <c r="AB71" i="15"/>
  <c r="T24" i="11"/>
  <c r="F24" i="15"/>
  <c r="J24" i="15"/>
  <c r="AC24" i="15"/>
  <c r="T140" i="11"/>
  <c r="F141" i="15"/>
  <c r="J141" i="15"/>
  <c r="AB141" i="15"/>
  <c r="T31" i="11"/>
  <c r="F31" i="15"/>
  <c r="J31" i="15"/>
  <c r="AB31" i="15"/>
  <c r="T33" i="11"/>
  <c r="F33" i="15"/>
  <c r="J33" i="15"/>
  <c r="AB33" i="15"/>
  <c r="T104" i="11"/>
  <c r="F105" i="15"/>
  <c r="J105" i="15"/>
  <c r="AB105" i="15"/>
  <c r="T120" i="11"/>
  <c r="F121" i="15"/>
  <c r="J121" i="15"/>
  <c r="AB121" i="15"/>
  <c r="T145" i="11"/>
  <c r="F146" i="15"/>
  <c r="J146" i="15"/>
  <c r="AB146" i="15"/>
  <c r="AF35" i="11"/>
  <c r="W16" i="11"/>
  <c r="AA16" i="11"/>
  <c r="AF127" i="11"/>
  <c r="AF157" i="11"/>
  <c r="W174" i="11"/>
  <c r="AA174" i="11"/>
  <c r="V194" i="11"/>
  <c r="AA194" i="11"/>
  <c r="T49" i="11"/>
  <c r="F49" i="15"/>
  <c r="J49" i="15"/>
  <c r="AC49" i="15"/>
  <c r="T99" i="11"/>
  <c r="F100" i="15"/>
  <c r="J100" i="15"/>
  <c r="AC100" i="15"/>
  <c r="T148" i="11"/>
  <c r="F149" i="15"/>
  <c r="J149" i="15"/>
  <c r="AC149" i="15"/>
  <c r="T217" i="11"/>
  <c r="F218" i="15"/>
  <c r="J218" i="15"/>
  <c r="AC218" i="15"/>
  <c r="T56" i="11"/>
  <c r="F57" i="15"/>
  <c r="J57" i="15"/>
  <c r="AC57" i="15"/>
  <c r="T155" i="11"/>
  <c r="F156" i="15"/>
  <c r="J156" i="15"/>
  <c r="AC156" i="15"/>
  <c r="AF44" i="11"/>
  <c r="Q251" i="11"/>
  <c r="AF102" i="11"/>
  <c r="W126" i="11"/>
  <c r="AA126" i="11"/>
  <c r="W148" i="11"/>
  <c r="AA148" i="11"/>
  <c r="W155" i="11"/>
  <c r="AA155" i="11"/>
  <c r="T25" i="11"/>
  <c r="F25" i="15"/>
  <c r="J25" i="15"/>
  <c r="AC25" i="15"/>
  <c r="T222" i="11"/>
  <c r="F223" i="15"/>
  <c r="J223" i="15"/>
  <c r="AB223" i="15"/>
  <c r="AF17" i="11"/>
  <c r="AA42" i="11"/>
  <c r="AA96" i="11"/>
  <c r="AA121" i="11"/>
  <c r="W149" i="11"/>
  <c r="AA149" i="11"/>
  <c r="AA234" i="11"/>
  <c r="AA227" i="11"/>
  <c r="AG231" i="15"/>
  <c r="AG214" i="15"/>
  <c r="T83" i="11"/>
  <c r="F84" i="15"/>
  <c r="J84" i="15"/>
  <c r="AC84" i="15"/>
  <c r="T154" i="11"/>
  <c r="F155" i="15"/>
  <c r="J155" i="15"/>
  <c r="AD155" i="15"/>
  <c r="T174" i="11"/>
  <c r="F175" i="15"/>
  <c r="J175" i="15"/>
  <c r="AC175" i="15"/>
  <c r="T50" i="11"/>
  <c r="F50" i="15"/>
  <c r="J50" i="15"/>
  <c r="AC50" i="15"/>
  <c r="T62" i="11"/>
  <c r="F63" i="15"/>
  <c r="J63" i="15"/>
  <c r="AB63" i="15"/>
  <c r="T106" i="11"/>
  <c r="F107" i="15"/>
  <c r="J107" i="15"/>
  <c r="AB107" i="15"/>
  <c r="T114" i="11"/>
  <c r="F115" i="15"/>
  <c r="J115" i="15"/>
  <c r="AB115" i="15"/>
  <c r="T194" i="11"/>
  <c r="F195" i="15"/>
  <c r="J195" i="15"/>
  <c r="AB195" i="15"/>
  <c r="T208" i="11"/>
  <c r="F209" i="15"/>
  <c r="J209" i="15"/>
  <c r="AC209" i="15"/>
  <c r="T220" i="11"/>
  <c r="F221" i="15"/>
  <c r="J221" i="15"/>
  <c r="AD221" i="15"/>
  <c r="T227" i="11"/>
  <c r="F228" i="15"/>
  <c r="J228" i="15"/>
  <c r="AF77" i="11"/>
  <c r="AF60" i="11"/>
  <c r="AF138" i="11"/>
  <c r="AA39" i="11"/>
  <c r="V66" i="11"/>
  <c r="AA66" i="11"/>
  <c r="V70" i="11"/>
  <c r="AA70" i="11"/>
  <c r="AF72" i="11"/>
  <c r="AF140" i="11"/>
  <c r="AF160" i="11"/>
  <c r="AA165" i="11"/>
  <c r="AA179" i="11"/>
  <c r="AA183" i="11"/>
  <c r="AA201" i="11"/>
  <c r="AA223" i="11"/>
  <c r="W249" i="11"/>
  <c r="AA249" i="11"/>
  <c r="AF184" i="11"/>
  <c r="AF180" i="11"/>
  <c r="V176" i="11"/>
  <c r="AA176" i="11"/>
  <c r="AG172" i="11"/>
  <c r="AG156" i="11"/>
  <c r="AG150" i="11"/>
  <c r="AA137" i="11"/>
  <c r="AA133" i="11"/>
  <c r="V95" i="11"/>
  <c r="AA95" i="11"/>
  <c r="X91" i="11"/>
  <c r="AA91" i="11"/>
  <c r="V87" i="11"/>
  <c r="AA87" i="11"/>
  <c r="V76" i="11"/>
  <c r="AA76" i="11"/>
  <c r="AA69" i="11"/>
  <c r="AA65" i="11"/>
  <c r="AG28" i="11"/>
  <c r="AA163" i="11"/>
  <c r="AA88" i="11"/>
  <c r="AG74" i="11"/>
  <c r="T47" i="11"/>
  <c r="F47" i="15"/>
  <c r="J47" i="15"/>
  <c r="AB47" i="15"/>
  <c r="T219" i="11"/>
  <c r="F220" i="15"/>
  <c r="J220" i="15"/>
  <c r="AC220" i="15"/>
  <c r="T238" i="11"/>
  <c r="F239" i="15"/>
  <c r="J239" i="15"/>
  <c r="AC239" i="15"/>
  <c r="T242" i="11"/>
  <c r="F243" i="15"/>
  <c r="J243" i="15"/>
  <c r="AB243" i="15"/>
  <c r="T136" i="11"/>
  <c r="F137" i="15"/>
  <c r="J137" i="15"/>
  <c r="AB137" i="15"/>
  <c r="T152" i="11"/>
  <c r="F153" i="15"/>
  <c r="J153" i="15"/>
  <c r="AB153" i="15"/>
  <c r="T225" i="11"/>
  <c r="F226" i="15"/>
  <c r="J226" i="15"/>
  <c r="AB226" i="15"/>
  <c r="T21" i="11"/>
  <c r="F21" i="15"/>
  <c r="J21" i="15"/>
  <c r="AB21" i="15"/>
  <c r="T29" i="11"/>
  <c r="F29" i="15"/>
  <c r="J29" i="15"/>
  <c r="AB29" i="15"/>
  <c r="T35" i="11"/>
  <c r="F35" i="15"/>
  <c r="J35" i="15"/>
  <c r="AB35" i="15"/>
  <c r="T37" i="11"/>
  <c r="F37" i="15"/>
  <c r="J37" i="15"/>
  <c r="AB37" i="15"/>
  <c r="T82" i="11"/>
  <c r="F83" i="15"/>
  <c r="J83" i="15"/>
  <c r="AC83" i="15"/>
  <c r="T100" i="11"/>
  <c r="F101" i="15"/>
  <c r="J101" i="15"/>
  <c r="AC101" i="15"/>
  <c r="T116" i="11"/>
  <c r="F117" i="15"/>
  <c r="J117" i="15"/>
  <c r="AB117" i="15"/>
  <c r="T147" i="11"/>
  <c r="F148" i="15"/>
  <c r="J148" i="15"/>
  <c r="AD148" i="15"/>
  <c r="T157" i="11"/>
  <c r="F158" i="15"/>
  <c r="J158" i="15"/>
  <c r="AB158" i="15"/>
  <c r="T159" i="11"/>
  <c r="F160" i="15"/>
  <c r="J160" i="15"/>
  <c r="AC160" i="15"/>
  <c r="T173" i="11"/>
  <c r="F174" i="15"/>
  <c r="J174" i="15"/>
  <c r="AC174" i="15"/>
  <c r="T233" i="11"/>
  <c r="F234" i="15"/>
  <c r="J234" i="15"/>
  <c r="AB234" i="15"/>
  <c r="T239" i="11"/>
  <c r="F240" i="15"/>
  <c r="J240" i="15"/>
  <c r="AB240" i="15"/>
  <c r="T249" i="11"/>
  <c r="F250" i="15"/>
  <c r="J250" i="15"/>
  <c r="AC250" i="15"/>
  <c r="AF29" i="11"/>
  <c r="AF33" i="11"/>
  <c r="AF37" i="11"/>
  <c r="W49" i="11"/>
  <c r="AA49" i="11"/>
  <c r="V64" i="11"/>
  <c r="AA64" i="11"/>
  <c r="AG235" i="11"/>
  <c r="AA122" i="11"/>
  <c r="AF145" i="11"/>
  <c r="W151" i="11"/>
  <c r="AA151" i="11"/>
  <c r="W159" i="11"/>
  <c r="AA159" i="11"/>
  <c r="W170" i="11"/>
  <c r="AA170" i="11"/>
  <c r="AG208" i="11"/>
  <c r="AG238" i="11"/>
  <c r="V197" i="11"/>
  <c r="AA197" i="11"/>
  <c r="AG219" i="11"/>
  <c r="T72" i="11"/>
  <c r="F73" i="15"/>
  <c r="J73" i="15"/>
  <c r="AB73" i="15"/>
  <c r="T127" i="11"/>
  <c r="F128" i="15"/>
  <c r="J128" i="15"/>
  <c r="AB128" i="15"/>
  <c r="T55" i="11"/>
  <c r="F56" i="15"/>
  <c r="J56" i="15"/>
  <c r="AC56" i="15"/>
  <c r="T160" i="11"/>
  <c r="F161" i="15"/>
  <c r="J161" i="15"/>
  <c r="AB161" i="15"/>
  <c r="T205" i="11"/>
  <c r="F206" i="15"/>
  <c r="J206" i="15"/>
  <c r="AC206" i="15"/>
  <c r="T126" i="11"/>
  <c r="F127" i="15"/>
  <c r="J127" i="15"/>
  <c r="AC127" i="15"/>
  <c r="W50" i="11"/>
  <c r="AA50" i="11"/>
  <c r="W83" i="11"/>
  <c r="AA83" i="11"/>
  <c r="W94" i="11"/>
  <c r="AA94" i="11"/>
  <c r="W99" i="11"/>
  <c r="AA99" i="11"/>
  <c r="AF104" i="11"/>
  <c r="AF120" i="11"/>
  <c r="AA166" i="11"/>
  <c r="AG205" i="11"/>
  <c r="AA192" i="11"/>
  <c r="AA240" i="11"/>
  <c r="T51" i="11"/>
  <c r="F51" i="15"/>
  <c r="J51" i="15"/>
  <c r="AC51" i="15"/>
  <c r="T17" i="11"/>
  <c r="F17" i="15"/>
  <c r="J17" i="15"/>
  <c r="AB17" i="15"/>
  <c r="T54" i="11"/>
  <c r="F54" i="15"/>
  <c r="J54" i="15"/>
  <c r="AD54" i="15"/>
  <c r="T202" i="11"/>
  <c r="F203" i="15"/>
  <c r="J203" i="15"/>
  <c r="AC203" i="15"/>
  <c r="T190" i="11"/>
  <c r="F191" i="15"/>
  <c r="J191" i="15"/>
  <c r="AB191" i="15"/>
  <c r="AG204" i="11"/>
  <c r="AF26" i="11"/>
  <c r="AH54" i="11"/>
  <c r="W51" i="11"/>
  <c r="AA51" i="11"/>
  <c r="AF40" i="11"/>
  <c r="AA128" i="11"/>
  <c r="AF152" i="11"/>
  <c r="AG206" i="11"/>
  <c r="V222" i="11"/>
  <c r="AA222" i="11"/>
  <c r="AF242" i="11"/>
  <c r="AF250" i="11"/>
  <c r="AG122" i="15"/>
  <c r="AH219" i="18"/>
  <c r="AH146" i="18"/>
  <c r="AH89" i="18"/>
  <c r="AG197" i="18"/>
  <c r="AG195" i="18"/>
  <c r="AG193" i="18"/>
  <c r="AG191" i="18"/>
  <c r="AG186" i="18"/>
  <c r="AG184" i="18"/>
  <c r="AG158" i="18"/>
  <c r="AG156" i="18"/>
  <c r="AG152" i="18"/>
  <c r="AG148" i="18"/>
  <c r="AG142" i="18"/>
  <c r="AG138" i="18"/>
  <c r="AG124" i="18"/>
  <c r="AG118" i="18"/>
  <c r="AG95" i="18"/>
  <c r="AG91" i="18"/>
  <c r="AF168" i="18"/>
  <c r="AF166" i="18"/>
  <c r="AF164" i="18"/>
  <c r="AF162" i="18"/>
  <c r="AF160" i="18"/>
  <c r="AF154" i="18"/>
  <c r="AF150" i="18"/>
  <c r="AF144" i="18"/>
  <c r="AF140" i="18"/>
  <c r="AF136" i="18"/>
  <c r="AF134" i="18"/>
  <c r="AF132" i="18"/>
  <c r="AF130" i="18"/>
  <c r="AF128" i="18"/>
  <c r="AF126" i="18"/>
  <c r="AF122" i="18"/>
  <c r="AF120" i="18"/>
  <c r="AF116" i="18"/>
  <c r="AF105" i="18"/>
  <c r="AF97" i="18"/>
  <c r="AF93" i="18"/>
  <c r="AF71" i="18"/>
  <c r="AF32" i="18"/>
  <c r="AF26" i="18"/>
  <c r="AF22" i="18"/>
  <c r="X89" i="18"/>
  <c r="W174" i="18"/>
  <c r="W172" i="18"/>
  <c r="W95" i="18"/>
  <c r="W91" i="18"/>
  <c r="V207" i="18"/>
  <c r="V176" i="18"/>
  <c r="V99" i="18"/>
  <c r="V83" i="18"/>
  <c r="AA83" i="18"/>
  <c r="V79" i="18"/>
  <c r="AF170" i="18"/>
  <c r="V180" i="15"/>
  <c r="AA180" i="15"/>
  <c r="V145" i="1"/>
  <c r="S132" i="1"/>
  <c r="E139" i="4"/>
  <c r="I139" i="4"/>
  <c r="AA139" i="4"/>
  <c r="U73" i="1"/>
  <c r="AE242" i="4"/>
  <c r="V89" i="15"/>
  <c r="AA89" i="15"/>
  <c r="AF190" i="15"/>
  <c r="V198" i="15"/>
  <c r="AA198" i="15"/>
  <c r="AH148" i="15"/>
  <c r="S37" i="1"/>
  <c r="E37" i="4"/>
  <c r="I37" i="4"/>
  <c r="AA37" i="4"/>
  <c r="L141" i="1"/>
  <c r="P141" i="1"/>
  <c r="U141" i="1"/>
  <c r="S53" i="1"/>
  <c r="E57" i="4"/>
  <c r="I57" i="4"/>
  <c r="AB57" i="4"/>
  <c r="U145" i="4"/>
  <c r="W216" i="15"/>
  <c r="AA216" i="15"/>
  <c r="V134" i="15"/>
  <c r="AA134" i="15"/>
  <c r="AG97" i="15"/>
  <c r="AG156" i="15"/>
  <c r="AF108" i="15"/>
  <c r="AG222" i="15"/>
  <c r="AG206" i="15"/>
  <c r="V190" i="15"/>
  <c r="AA190" i="15"/>
  <c r="AF164" i="15"/>
  <c r="T116" i="15"/>
  <c r="F118" i="14"/>
  <c r="J118" i="14"/>
  <c r="AB118" i="14"/>
  <c r="U71" i="4"/>
  <c r="Z71" i="4"/>
  <c r="V238" i="4"/>
  <c r="AF231" i="4"/>
  <c r="U246" i="4"/>
  <c r="W220" i="15"/>
  <c r="AA220" i="15"/>
  <c r="AF202" i="15"/>
  <c r="V146" i="15"/>
  <c r="AA146" i="15"/>
  <c r="V126" i="15"/>
  <c r="AA126" i="15"/>
  <c r="AG101" i="15"/>
  <c r="X93" i="15"/>
  <c r="AA93" i="15"/>
  <c r="W208" i="15"/>
  <c r="AA208" i="15"/>
  <c r="AF48" i="15"/>
  <c r="AF44" i="15"/>
  <c r="V40" i="15"/>
  <c r="AA40" i="15"/>
  <c r="T32" i="15"/>
  <c r="F33" i="14"/>
  <c r="J33" i="14"/>
  <c r="AB33" i="14"/>
  <c r="AF226" i="15"/>
  <c r="AG218" i="15"/>
  <c r="AG210" i="15"/>
  <c r="V202" i="15"/>
  <c r="AA202" i="15"/>
  <c r="V194" i="15"/>
  <c r="AA194" i="15"/>
  <c r="AG186" i="15"/>
  <c r="AG172" i="15"/>
  <c r="W156" i="15"/>
  <c r="AA156" i="15"/>
  <c r="T132" i="15"/>
  <c r="F134" i="14"/>
  <c r="J134" i="14"/>
  <c r="AB134" i="14"/>
  <c r="W99" i="15"/>
  <c r="V186" i="1"/>
  <c r="V207" i="1"/>
  <c r="S120" i="1"/>
  <c r="E127" i="4"/>
  <c r="I127" i="4"/>
  <c r="AA127" i="4"/>
  <c r="U113" i="1"/>
  <c r="AE71" i="4"/>
  <c r="U121" i="4"/>
  <c r="Z121" i="4"/>
  <c r="AE240" i="4"/>
  <c r="V226" i="4"/>
  <c r="AE235" i="4"/>
  <c r="U242" i="4"/>
  <c r="V231" i="4"/>
  <c r="W218" i="15"/>
  <c r="AA218" i="15"/>
  <c r="W214" i="15"/>
  <c r="AA214" i="15"/>
  <c r="V136" i="15"/>
  <c r="AA136" i="15"/>
  <c r="AG130" i="15"/>
  <c r="V124" i="15"/>
  <c r="AA124" i="15"/>
  <c r="V120" i="15"/>
  <c r="AA120" i="15"/>
  <c r="AG99" i="15"/>
  <c r="AG95" i="15"/>
  <c r="V91" i="15"/>
  <c r="AA91" i="15"/>
  <c r="V87" i="15"/>
  <c r="AA87" i="15"/>
  <c r="V21" i="15"/>
  <c r="V226" i="15"/>
  <c r="AA226" i="15"/>
  <c r="W204" i="15"/>
  <c r="W188" i="15"/>
  <c r="AA188" i="15"/>
  <c r="W186" i="15"/>
  <c r="AF73" i="15"/>
  <c r="AF32" i="15"/>
  <c r="AF182" i="15"/>
  <c r="AF140" i="15"/>
  <c r="AH224" i="15"/>
  <c r="AA209" i="15"/>
  <c r="T25" i="15"/>
  <c r="F25" i="14"/>
  <c r="J25" i="14"/>
  <c r="AC25" i="14"/>
  <c r="T23" i="15"/>
  <c r="F23" i="14"/>
  <c r="J23" i="14"/>
  <c r="AC23" i="14"/>
  <c r="T21" i="15"/>
  <c r="F21" i="14"/>
  <c r="J21" i="14"/>
  <c r="AB21" i="14"/>
  <c r="T19" i="15"/>
  <c r="F19" i="14"/>
  <c r="J19" i="14"/>
  <c r="AC19" i="14"/>
  <c r="T17" i="15"/>
  <c r="F17" i="14"/>
  <c r="J17" i="14"/>
  <c r="AB17" i="14"/>
  <c r="X228" i="15"/>
  <c r="X224" i="15"/>
  <c r="AA224" i="15"/>
  <c r="AG220" i="15"/>
  <c r="AG216" i="15"/>
  <c r="V212" i="15"/>
  <c r="AG208" i="15"/>
  <c r="AG204" i="15"/>
  <c r="V200" i="15"/>
  <c r="AA200" i="15"/>
  <c r="AG196" i="15"/>
  <c r="AG192" i="15"/>
  <c r="AG188" i="15"/>
  <c r="V184" i="15"/>
  <c r="AA184" i="15"/>
  <c r="AG176" i="15"/>
  <c r="V168" i="15"/>
  <c r="AA168" i="15"/>
  <c r="W160" i="15"/>
  <c r="AG152" i="15"/>
  <c r="T140" i="15"/>
  <c r="F142" i="14"/>
  <c r="J142" i="14"/>
  <c r="AB142" i="14"/>
  <c r="T124" i="15"/>
  <c r="F126" i="14"/>
  <c r="J126" i="14"/>
  <c r="AB126" i="14"/>
  <c r="T108" i="15"/>
  <c r="F110" i="14"/>
  <c r="J110" i="14"/>
  <c r="AB110" i="14"/>
  <c r="T89" i="15"/>
  <c r="F91" i="14"/>
  <c r="J91" i="14"/>
  <c r="AB91" i="14"/>
  <c r="AA155" i="15"/>
  <c r="AA221" i="15"/>
  <c r="AA230" i="15"/>
  <c r="AA242" i="15"/>
  <c r="I222" i="18"/>
  <c r="AA95" i="18"/>
  <c r="AA91" i="18"/>
  <c r="AA216" i="18"/>
  <c r="AA212" i="18"/>
  <c r="AA194" i="18"/>
  <c r="AA176" i="18"/>
  <c r="AA165" i="18"/>
  <c r="AA131" i="18"/>
  <c r="AA183" i="18"/>
  <c r="AA157" i="18"/>
  <c r="AA137" i="18"/>
  <c r="AA86" i="18"/>
  <c r="AG233" i="4"/>
  <c r="V218" i="4"/>
  <c r="W58" i="15"/>
  <c r="AA58" i="15"/>
  <c r="W49" i="15"/>
  <c r="AA49" i="15"/>
  <c r="AG41" i="15"/>
  <c r="W56" i="15"/>
  <c r="AA56" i="15"/>
  <c r="T66" i="15"/>
  <c r="F67" i="14"/>
  <c r="J67" i="14"/>
  <c r="AB67" i="14"/>
  <c r="T76" i="15"/>
  <c r="F78" i="14"/>
  <c r="J78" i="14"/>
  <c r="AC78" i="14"/>
  <c r="T84" i="15"/>
  <c r="F86" i="14"/>
  <c r="J86" i="14"/>
  <c r="AC86" i="14"/>
  <c r="T92" i="15"/>
  <c r="F94" i="14"/>
  <c r="J94" i="14"/>
  <c r="AD94" i="14"/>
  <c r="T100" i="15"/>
  <c r="F102" i="14"/>
  <c r="J102" i="14"/>
  <c r="AC102" i="14"/>
  <c r="T29" i="15"/>
  <c r="F30" i="14"/>
  <c r="J30" i="14"/>
  <c r="AB30" i="14"/>
  <c r="T33" i="15"/>
  <c r="F34" i="14"/>
  <c r="J34" i="14"/>
  <c r="AB34" i="14"/>
  <c r="T37" i="15"/>
  <c r="F38" i="14"/>
  <c r="J38" i="14"/>
  <c r="AB38" i="14"/>
  <c r="AA44" i="15"/>
  <c r="W51" i="15"/>
  <c r="AA51" i="15"/>
  <c r="T82" i="15"/>
  <c r="F84" i="14"/>
  <c r="J84" i="14"/>
  <c r="AB84" i="14"/>
  <c r="AA251" i="15"/>
  <c r="AA249" i="15"/>
  <c r="AA247" i="15"/>
  <c r="AA245" i="15"/>
  <c r="AA243" i="15"/>
  <c r="AA231" i="15"/>
  <c r="W219" i="15"/>
  <c r="AA219" i="15"/>
  <c r="W217" i="15"/>
  <c r="AA217" i="15"/>
  <c r="W215" i="15"/>
  <c r="AA215" i="15"/>
  <c r="W203" i="15"/>
  <c r="W199" i="15"/>
  <c r="AA199" i="15"/>
  <c r="AF195" i="15"/>
  <c r="V165" i="15"/>
  <c r="AA165" i="15"/>
  <c r="V161" i="15"/>
  <c r="AA161" i="15"/>
  <c r="V147" i="15"/>
  <c r="AA147" i="15"/>
  <c r="W16" i="15"/>
  <c r="AA16" i="15"/>
  <c r="AG18" i="15"/>
  <c r="AG149" i="15"/>
  <c r="V141" i="15"/>
  <c r="AA141" i="15"/>
  <c r="V135" i="15"/>
  <c r="AG131" i="15"/>
  <c r="AG127" i="15"/>
  <c r="V125" i="15"/>
  <c r="AA125" i="15"/>
  <c r="AG123" i="15"/>
  <c r="V121" i="15"/>
  <c r="AA121" i="15"/>
  <c r="AF115" i="15"/>
  <c r="AF111" i="15"/>
  <c r="V102" i="15"/>
  <c r="AA102" i="15"/>
  <c r="AG100" i="15"/>
  <c r="V98" i="15"/>
  <c r="V96" i="15"/>
  <c r="AA96" i="15"/>
  <c r="AG94" i="15"/>
  <c r="X92" i="15"/>
  <c r="AA92" i="15"/>
  <c r="V90" i="15"/>
  <c r="AA90" i="15"/>
  <c r="V88" i="15"/>
  <c r="AA88" i="15"/>
  <c r="V82" i="15"/>
  <c r="AA82" i="15"/>
  <c r="V78" i="15"/>
  <c r="AA78" i="15"/>
  <c r="V62" i="15"/>
  <c r="AA62" i="15"/>
  <c r="AG58" i="15"/>
  <c r="AG53" i="15"/>
  <c r="AG49" i="15"/>
  <c r="AF242" i="15"/>
  <c r="AA204" i="15"/>
  <c r="AA186" i="15"/>
  <c r="AF183" i="15"/>
  <c r="AF179" i="15"/>
  <c r="AF169" i="15"/>
  <c r="AF153" i="15"/>
  <c r="AF137" i="15"/>
  <c r="AF201" i="15"/>
  <c r="W173" i="15"/>
  <c r="AA173" i="15"/>
  <c r="W167" i="15"/>
  <c r="AA167" i="15"/>
  <c r="AF119" i="15"/>
  <c r="AF107" i="15"/>
  <c r="AF103" i="15"/>
  <c r="W84" i="15"/>
  <c r="AA84" i="15"/>
  <c r="AF72" i="15"/>
  <c r="AF68" i="15"/>
  <c r="AF47" i="15"/>
  <c r="AF37" i="15"/>
  <c r="AF29" i="15"/>
  <c r="AF240" i="15"/>
  <c r="AF230" i="15"/>
  <c r="AF227" i="15"/>
  <c r="AF223" i="15"/>
  <c r="AF213" i="15"/>
  <c r="W238" i="15"/>
  <c r="AA238" i="15"/>
  <c r="W205" i="15"/>
  <c r="AA205" i="15"/>
  <c r="AG143" i="15"/>
  <c r="W207" i="15"/>
  <c r="W189" i="15"/>
  <c r="AA189" i="15"/>
  <c r="T250" i="15"/>
  <c r="F254" i="14"/>
  <c r="J254" i="14"/>
  <c r="AC254" i="14"/>
  <c r="AA212" i="15"/>
  <c r="AA160" i="15"/>
  <c r="T248" i="15"/>
  <c r="F252" i="14"/>
  <c r="J252" i="14"/>
  <c r="AD252" i="14"/>
  <c r="T244" i="15"/>
  <c r="F248" i="14"/>
  <c r="J248" i="14"/>
  <c r="AB248" i="14"/>
  <c r="T240" i="15"/>
  <c r="F244" i="14"/>
  <c r="J244" i="14"/>
  <c r="AB244" i="14"/>
  <c r="T236" i="15"/>
  <c r="F240" i="14"/>
  <c r="J240" i="14"/>
  <c r="AC240" i="14"/>
  <c r="T232" i="15"/>
  <c r="F236" i="14"/>
  <c r="J236" i="14"/>
  <c r="AC236" i="14"/>
  <c r="T227" i="15"/>
  <c r="F231" i="14"/>
  <c r="J231" i="14"/>
  <c r="AB231" i="14"/>
  <c r="T219" i="15"/>
  <c r="F223" i="14"/>
  <c r="J223" i="14"/>
  <c r="AC223" i="14"/>
  <c r="T211" i="15"/>
  <c r="F215" i="14"/>
  <c r="J215" i="14"/>
  <c r="AB215" i="14"/>
  <c r="T203" i="15"/>
  <c r="F207" i="14"/>
  <c r="J207" i="14"/>
  <c r="AC207" i="14"/>
  <c r="T195" i="15"/>
  <c r="F198" i="14"/>
  <c r="J198" i="14"/>
  <c r="AB198" i="14"/>
  <c r="T191" i="15"/>
  <c r="F194" i="14"/>
  <c r="J194" i="14"/>
  <c r="AB194" i="14"/>
  <c r="T181" i="15"/>
  <c r="F183" i="14"/>
  <c r="J183" i="14"/>
  <c r="AB183" i="14"/>
  <c r="T147" i="15"/>
  <c r="F149" i="14"/>
  <c r="J149" i="14"/>
  <c r="AB149" i="14"/>
  <c r="T123" i="15"/>
  <c r="F125" i="14"/>
  <c r="J125" i="14"/>
  <c r="AC125" i="14"/>
  <c r="T102" i="15"/>
  <c r="F104" i="14"/>
  <c r="J104" i="14"/>
  <c r="AB104" i="14"/>
  <c r="AA65" i="15"/>
  <c r="AA67" i="15"/>
  <c r="AA182" i="14"/>
  <c r="V171" i="14"/>
  <c r="AA171" i="14"/>
  <c r="W168" i="14"/>
  <c r="AF160" i="14"/>
  <c r="V148" i="14"/>
  <c r="AA177" i="18"/>
  <c r="AH206" i="18"/>
  <c r="AH202" i="18"/>
  <c r="AG174" i="18"/>
  <c r="AG172" i="18"/>
  <c r="AG81" i="18"/>
  <c r="AF176" i="18"/>
  <c r="AF113" i="18"/>
  <c r="AF111" i="18"/>
  <c r="AF109" i="18"/>
  <c r="AF107" i="18"/>
  <c r="AF103" i="18"/>
  <c r="AF99" i="18"/>
  <c r="AF87" i="18"/>
  <c r="AF83" i="18"/>
  <c r="AF79" i="18"/>
  <c r="AF73" i="18"/>
  <c r="AF69" i="18"/>
  <c r="AF65" i="18"/>
  <c r="AF61" i="18"/>
  <c r="AF36" i="18"/>
  <c r="X219" i="18"/>
  <c r="X146" i="18"/>
  <c r="W197" i="18"/>
  <c r="AA197" i="18"/>
  <c r="W195" i="18"/>
  <c r="AA195" i="18"/>
  <c r="W193" i="18"/>
  <c r="W191" i="18"/>
  <c r="AA191" i="18"/>
  <c r="W186" i="18"/>
  <c r="W184" i="18"/>
  <c r="AA184" i="18"/>
  <c r="W158" i="18"/>
  <c r="AA158" i="18"/>
  <c r="W156" i="18"/>
  <c r="W152" i="18"/>
  <c r="AA152" i="18"/>
  <c r="W148" i="18"/>
  <c r="W142" i="18"/>
  <c r="AA142" i="18"/>
  <c r="W138" i="18"/>
  <c r="AA138" i="18"/>
  <c r="W124" i="18"/>
  <c r="W118" i="18"/>
  <c r="AA118" i="18"/>
  <c r="W81" i="18"/>
  <c r="AA81" i="18"/>
  <c r="W77" i="18"/>
  <c r="V201" i="18"/>
  <c r="AA201" i="18"/>
  <c r="V199" i="18"/>
  <c r="AA199" i="18"/>
  <c r="V188" i="18"/>
  <c r="AA188" i="18"/>
  <c r="V182" i="18"/>
  <c r="AA182" i="18"/>
  <c r="V180" i="18"/>
  <c r="AA180" i="18"/>
  <c r="V178" i="18"/>
  <c r="AA178" i="18"/>
  <c r="V168" i="18"/>
  <c r="AA168" i="18"/>
  <c r="V166" i="18"/>
  <c r="V164" i="18"/>
  <c r="AA164" i="18"/>
  <c r="V162" i="18"/>
  <c r="V160" i="18"/>
  <c r="AA160" i="18"/>
  <c r="V154" i="18"/>
  <c r="V150" i="18"/>
  <c r="AA150" i="18"/>
  <c r="V144" i="18"/>
  <c r="V140" i="18"/>
  <c r="V136" i="18"/>
  <c r="AA136" i="18"/>
  <c r="V134" i="18"/>
  <c r="AA134" i="18"/>
  <c r="V132" i="18"/>
  <c r="AA132" i="18"/>
  <c r="V130" i="18"/>
  <c r="V128" i="18"/>
  <c r="AA128" i="18"/>
  <c r="V126" i="18"/>
  <c r="AA126" i="18"/>
  <c r="V122" i="18"/>
  <c r="AA122" i="18"/>
  <c r="V120" i="18"/>
  <c r="V116" i="18"/>
  <c r="V107" i="18"/>
  <c r="V105" i="18"/>
  <c r="V103" i="18"/>
  <c r="V101" i="18"/>
  <c r="V97" i="18"/>
  <c r="AA97" i="18"/>
  <c r="V93" i="18"/>
  <c r="V87" i="18"/>
  <c r="AA87" i="18"/>
  <c r="V85" i="18"/>
  <c r="AA85" i="18"/>
  <c r="V75" i="18"/>
  <c r="AA75" i="18"/>
  <c r="V65" i="18"/>
  <c r="AA65" i="18"/>
  <c r="V42" i="18"/>
  <c r="V170" i="18"/>
  <c r="T139" i="18"/>
  <c r="F140" i="19"/>
  <c r="J140" i="19"/>
  <c r="AB140" i="19"/>
  <c r="AF140" i="19"/>
  <c r="AJ140" i="19"/>
  <c r="S141" i="1"/>
  <c r="E149" i="4"/>
  <c r="I149" i="4"/>
  <c r="AA149" i="4"/>
  <c r="U41" i="1"/>
  <c r="S230" i="1"/>
  <c r="E243" i="4"/>
  <c r="I243" i="4"/>
  <c r="AA243" i="4"/>
  <c r="U152" i="1"/>
  <c r="Z152" i="1"/>
  <c r="V130" i="1"/>
  <c r="Z130" i="1"/>
  <c r="Z193" i="1"/>
  <c r="S58" i="1"/>
  <c r="E62" i="4"/>
  <c r="I62" i="4"/>
  <c r="AB62" i="4"/>
  <c r="U165" i="1"/>
  <c r="Z165" i="1"/>
  <c r="S194" i="1"/>
  <c r="E205" i="4"/>
  <c r="I205" i="4"/>
  <c r="AA205" i="4"/>
  <c r="V31" i="1"/>
  <c r="Z31" i="1"/>
  <c r="S224" i="4"/>
  <c r="E236" i="5"/>
  <c r="I236" i="5"/>
  <c r="AC236" i="5"/>
  <c r="U196" i="4"/>
  <c r="AG166" i="15"/>
  <c r="V164" i="15"/>
  <c r="AA164" i="15"/>
  <c r="AG162" i="15"/>
  <c r="AG160" i="15"/>
  <c r="V142" i="15"/>
  <c r="AA142" i="15"/>
  <c r="AG83" i="15"/>
  <c r="AG81" i="15"/>
  <c r="AG79" i="15"/>
  <c r="AF65" i="15"/>
  <c r="V63" i="15"/>
  <c r="AA63" i="15"/>
  <c r="V61" i="15"/>
  <c r="AA61" i="15"/>
  <c r="V59" i="15"/>
  <c r="AA59" i="15"/>
  <c r="AG57" i="15"/>
  <c r="X54" i="15"/>
  <c r="AA54" i="15"/>
  <c r="AG52" i="15"/>
  <c r="AG50" i="15"/>
  <c r="AG25" i="15"/>
  <c r="V17" i="15"/>
  <c r="AA17" i="15"/>
  <c r="AF104" i="15"/>
  <c r="AF69" i="15"/>
  <c r="AF36" i="15"/>
  <c r="AF26" i="15"/>
  <c r="AF178" i="15"/>
  <c r="AF170" i="15"/>
  <c r="V132" i="15"/>
  <c r="AA132" i="15"/>
  <c r="AF128" i="15"/>
  <c r="W75" i="15"/>
  <c r="AA75" i="15"/>
  <c r="W42" i="15"/>
  <c r="AA42" i="15"/>
  <c r="W28" i="15"/>
  <c r="AA28" i="15"/>
  <c r="AA76" i="15"/>
  <c r="AA228" i="15"/>
  <c r="T36" i="15"/>
  <c r="F37" i="14"/>
  <c r="J37" i="14"/>
  <c r="AB37" i="14"/>
  <c r="T28" i="15"/>
  <c r="F29" i="14"/>
  <c r="J29" i="14"/>
  <c r="AC29" i="14"/>
  <c r="V182" i="15"/>
  <c r="AA182" i="15"/>
  <c r="V178" i="15"/>
  <c r="AA178" i="15"/>
  <c r="AG174" i="15"/>
  <c r="V170" i="15"/>
  <c r="AA170" i="15"/>
  <c r="W166" i="15"/>
  <c r="AA166" i="15"/>
  <c r="W162" i="15"/>
  <c r="AA162" i="15"/>
  <c r="AF158" i="15"/>
  <c r="V154" i="15"/>
  <c r="AA154" i="15"/>
  <c r="W150" i="15"/>
  <c r="AA150" i="15"/>
  <c r="T144" i="15"/>
  <c r="F146" i="14"/>
  <c r="J146" i="14"/>
  <c r="AC146" i="14"/>
  <c r="T136" i="15"/>
  <c r="F138" i="14"/>
  <c r="J138" i="14"/>
  <c r="AB138" i="14"/>
  <c r="T128" i="15"/>
  <c r="F130" i="14"/>
  <c r="J130" i="14"/>
  <c r="AB130" i="14"/>
  <c r="T120" i="15"/>
  <c r="F122" i="14"/>
  <c r="J122" i="14"/>
  <c r="AB122" i="14"/>
  <c r="T112" i="15"/>
  <c r="F114" i="14"/>
  <c r="J114" i="14"/>
  <c r="AB114" i="14"/>
  <c r="T104" i="15"/>
  <c r="F106" i="14"/>
  <c r="J106" i="14"/>
  <c r="AB106" i="14"/>
  <c r="T93" i="15"/>
  <c r="F95" i="14"/>
  <c r="J95" i="14"/>
  <c r="AD95" i="14"/>
  <c r="V77" i="15"/>
  <c r="AA77" i="15"/>
  <c r="T65" i="15"/>
  <c r="F66" i="14"/>
  <c r="J66" i="14"/>
  <c r="AB66" i="14"/>
  <c r="AA207" i="15"/>
  <c r="M253" i="15"/>
  <c r="J260" i="15"/>
  <c r="F195" i="14"/>
  <c r="J195" i="14"/>
  <c r="AC195" i="14"/>
  <c r="F196" i="14"/>
  <c r="J196" i="14"/>
  <c r="AD196" i="14"/>
  <c r="AA248" i="15"/>
  <c r="AA246" i="15"/>
  <c r="AA244" i="15"/>
  <c r="AA232" i="15"/>
  <c r="W222" i="15"/>
  <c r="AA222" i="15"/>
  <c r="AA203" i="15"/>
  <c r="AF200" i="15"/>
  <c r="AF198" i="15"/>
  <c r="W196" i="15"/>
  <c r="AA196" i="15"/>
  <c r="AF194" i="15"/>
  <c r="W192" i="15"/>
  <c r="AA192" i="15"/>
  <c r="AA163" i="15"/>
  <c r="AA159" i="15"/>
  <c r="I253" i="15"/>
  <c r="AA22" i="15"/>
  <c r="V158" i="15"/>
  <c r="AA158" i="15"/>
  <c r="AG150" i="15"/>
  <c r="X148" i="15"/>
  <c r="AA148" i="15"/>
  <c r="AA135" i="15"/>
  <c r="AF116" i="15"/>
  <c r="AF114" i="15"/>
  <c r="AF112" i="15"/>
  <c r="AF110" i="15"/>
  <c r="AA98" i="15"/>
  <c r="AG85" i="15"/>
  <c r="AA64" i="15"/>
  <c r="AA60" i="15"/>
  <c r="AG23" i="15"/>
  <c r="AG19" i="15"/>
  <c r="W241" i="15"/>
  <c r="AA241" i="15"/>
  <c r="W237" i="15"/>
  <c r="AA237" i="15"/>
  <c r="W210" i="15"/>
  <c r="AA210" i="15"/>
  <c r="W206" i="15"/>
  <c r="AA206" i="15"/>
  <c r="W152" i="15"/>
  <c r="AA152" i="15"/>
  <c r="AF118" i="15"/>
  <c r="AF106" i="15"/>
  <c r="AF77" i="15"/>
  <c r="AF71" i="15"/>
  <c r="AF67" i="15"/>
  <c r="AA45" i="15"/>
  <c r="AA41" i="15"/>
  <c r="AH38" i="15"/>
  <c r="AF34" i="15"/>
  <c r="AF30" i="15"/>
  <c r="AF184" i="15"/>
  <c r="AF180" i="15"/>
  <c r="AA175" i="15"/>
  <c r="AA171" i="15"/>
  <c r="AF168" i="15"/>
  <c r="AF154" i="15"/>
  <c r="AG144" i="15"/>
  <c r="AF138" i="15"/>
  <c r="AA129" i="15"/>
  <c r="AH228" i="15"/>
  <c r="AF212" i="15"/>
  <c r="AH233" i="15"/>
  <c r="W174" i="15"/>
  <c r="AA174" i="15"/>
  <c r="W176" i="15"/>
  <c r="AA176" i="15"/>
  <c r="AA39" i="15"/>
  <c r="W172" i="15"/>
  <c r="AA172" i="15"/>
  <c r="T251" i="15"/>
  <c r="F255" i="14"/>
  <c r="J255" i="14"/>
  <c r="AB255" i="14"/>
  <c r="T38" i="15"/>
  <c r="F39" i="14"/>
  <c r="J39" i="14"/>
  <c r="AD39" i="14"/>
  <c r="T34" i="15"/>
  <c r="F35" i="14"/>
  <c r="J35" i="14"/>
  <c r="AB35" i="14"/>
  <c r="T30" i="15"/>
  <c r="F31" i="14"/>
  <c r="J31" i="14"/>
  <c r="AB31" i="14"/>
  <c r="T26" i="15"/>
  <c r="F26" i="14"/>
  <c r="J26" i="14"/>
  <c r="AB26" i="14"/>
  <c r="T146" i="15"/>
  <c r="F148" i="14"/>
  <c r="J148" i="14"/>
  <c r="AB148" i="14"/>
  <c r="T142" i="15"/>
  <c r="F144" i="14"/>
  <c r="J144" i="14"/>
  <c r="AB144" i="14"/>
  <c r="T138" i="15"/>
  <c r="F140" i="14"/>
  <c r="J140" i="14"/>
  <c r="AB140" i="14"/>
  <c r="T134" i="15"/>
  <c r="F136" i="14"/>
  <c r="J136" i="14"/>
  <c r="AB136" i="14"/>
  <c r="T130" i="15"/>
  <c r="F132" i="14"/>
  <c r="J132" i="14"/>
  <c r="AC132" i="14"/>
  <c r="T126" i="15"/>
  <c r="F128" i="14"/>
  <c r="J128" i="14"/>
  <c r="AB128" i="14"/>
  <c r="T122" i="15"/>
  <c r="F124" i="14"/>
  <c r="J124" i="14"/>
  <c r="AC124" i="14"/>
  <c r="T118" i="15"/>
  <c r="F120" i="14"/>
  <c r="J120" i="14"/>
  <c r="AB120" i="14"/>
  <c r="T114" i="15"/>
  <c r="F116" i="14"/>
  <c r="J116" i="14"/>
  <c r="AB116" i="14"/>
  <c r="T110" i="15"/>
  <c r="F112" i="14"/>
  <c r="J112" i="14"/>
  <c r="AB112" i="14"/>
  <c r="T106" i="15"/>
  <c r="F108" i="14"/>
  <c r="J108" i="14"/>
  <c r="AB108" i="14"/>
  <c r="W101" i="15"/>
  <c r="AA101" i="15"/>
  <c r="W97" i="15"/>
  <c r="AA97" i="15"/>
  <c r="T91" i="15"/>
  <c r="F93" i="14"/>
  <c r="J93" i="14"/>
  <c r="AB93" i="14"/>
  <c r="T85" i="15"/>
  <c r="F87" i="14"/>
  <c r="J87" i="14"/>
  <c r="AC87" i="14"/>
  <c r="V73" i="15"/>
  <c r="AA73" i="15"/>
  <c r="W82" i="14"/>
  <c r="AA82" i="14"/>
  <c r="AF163" i="14"/>
  <c r="X157" i="14"/>
  <c r="AA157" i="14"/>
  <c r="AF106" i="14"/>
  <c r="AF127" i="14"/>
  <c r="AF111" i="14"/>
  <c r="U109" i="4"/>
  <c r="U143" i="4"/>
  <c r="AE143" i="4"/>
  <c r="T123" i="2"/>
  <c r="E130" i="1"/>
  <c r="I130" i="1"/>
  <c r="T201" i="2"/>
  <c r="E214" i="1"/>
  <c r="I214" i="1"/>
  <c r="AF48" i="4"/>
  <c r="AF136" i="4"/>
  <c r="AF181" i="4"/>
  <c r="V222" i="4"/>
  <c r="AF32" i="11"/>
  <c r="H225" i="2"/>
  <c r="L225" i="2"/>
  <c r="S124" i="1"/>
  <c r="E131" i="4"/>
  <c r="I131" i="4"/>
  <c r="AA131" i="4"/>
  <c r="U62" i="1"/>
  <c r="Z62" i="1"/>
  <c r="S42" i="1"/>
  <c r="E44" i="4"/>
  <c r="I44" i="4"/>
  <c r="AC44" i="4"/>
  <c r="S135" i="1"/>
  <c r="E142" i="4"/>
  <c r="I142" i="4"/>
  <c r="AA142" i="4"/>
  <c r="W18" i="11"/>
  <c r="AA18" i="11"/>
  <c r="T38" i="11"/>
  <c r="F38" i="15"/>
  <c r="J38" i="15"/>
  <c r="AD38" i="15"/>
  <c r="S76" i="1"/>
  <c r="E82" i="4"/>
  <c r="I82" i="4"/>
  <c r="AB82" i="4"/>
  <c r="U28" i="1"/>
  <c r="Z28" i="1"/>
  <c r="Z207" i="1"/>
  <c r="S156" i="1"/>
  <c r="S225" i="1"/>
  <c r="E237" i="4"/>
  <c r="I237" i="4"/>
  <c r="AB237" i="4"/>
  <c r="S91" i="1"/>
  <c r="E97" i="4"/>
  <c r="I97" i="4"/>
  <c r="AA97" i="4"/>
  <c r="S52" i="4"/>
  <c r="E54" i="5"/>
  <c r="I54" i="5"/>
  <c r="AA54" i="5"/>
  <c r="U65" i="4"/>
  <c r="Z65" i="4"/>
  <c r="AE86" i="4"/>
  <c r="AE195" i="4"/>
  <c r="AF147" i="4"/>
  <c r="U149" i="4"/>
  <c r="Z149" i="4"/>
  <c r="AF60" i="4"/>
  <c r="V207" i="4"/>
  <c r="W41" i="11"/>
  <c r="AF63" i="11"/>
  <c r="T248" i="11"/>
  <c r="F249" i="15"/>
  <c r="J249" i="15"/>
  <c r="AB249" i="15"/>
  <c r="T231" i="11"/>
  <c r="F232" i="15"/>
  <c r="J232" i="15"/>
  <c r="AC232" i="15"/>
  <c r="AA54" i="11"/>
  <c r="AA75" i="11"/>
  <c r="AA85" i="11"/>
  <c r="AA89" i="11"/>
  <c r="AA92" i="11"/>
  <c r="AA150" i="11"/>
  <c r="T78" i="15"/>
  <c r="F80" i="14"/>
  <c r="J80" i="14"/>
  <c r="AB80" i="14"/>
  <c r="AF89" i="14"/>
  <c r="E253" i="4"/>
  <c r="I253" i="4"/>
  <c r="Z160" i="1"/>
  <c r="Z158" i="1"/>
  <c r="Z42" i="1"/>
  <c r="Z247" i="4"/>
  <c r="AE54" i="4"/>
  <c r="AF179" i="4"/>
  <c r="U113" i="4"/>
  <c r="AA41" i="11"/>
  <c r="AF89" i="11"/>
  <c r="T75" i="11"/>
  <c r="F76" i="15"/>
  <c r="J76" i="15"/>
  <c r="AC76" i="15"/>
  <c r="T236" i="11"/>
  <c r="F237" i="15"/>
  <c r="J237" i="15"/>
  <c r="AC237" i="15"/>
  <c r="AF131" i="11"/>
  <c r="AA221" i="19"/>
  <c r="E251" i="4"/>
  <c r="I251" i="4"/>
  <c r="E234" i="1"/>
  <c r="I234" i="1"/>
  <c r="T207" i="2"/>
  <c r="E222" i="1"/>
  <c r="I222" i="1"/>
  <c r="Z65" i="1"/>
  <c r="Z186" i="1"/>
  <c r="Z73" i="1"/>
  <c r="S143" i="1"/>
  <c r="E151" i="4"/>
  <c r="I151" i="4"/>
  <c r="AB151" i="4"/>
  <c r="U204" i="1"/>
  <c r="Z204" i="1"/>
  <c r="S190" i="1"/>
  <c r="E201" i="4"/>
  <c r="I201" i="4"/>
  <c r="AB201" i="4"/>
  <c r="U72" i="1"/>
  <c r="Z72" i="1"/>
  <c r="U172" i="1"/>
  <c r="Z172" i="1"/>
  <c r="U121" i="1"/>
  <c r="U166" i="1"/>
  <c r="Z166" i="1"/>
  <c r="Z66" i="1"/>
  <c r="Z110" i="1"/>
  <c r="AF178" i="4"/>
  <c r="S187" i="4"/>
  <c r="E199" i="5"/>
  <c r="I199" i="5"/>
  <c r="AA199" i="5"/>
  <c r="AE81" i="4"/>
  <c r="AE176" i="4"/>
  <c r="U54" i="4"/>
  <c r="AE111" i="4"/>
  <c r="AF122" i="4"/>
  <c r="U191" i="4"/>
  <c r="U139" i="4"/>
  <c r="Z246" i="4"/>
  <c r="V60" i="4"/>
  <c r="U96" i="4"/>
  <c r="Z96" i="4"/>
  <c r="V159" i="4"/>
  <c r="Z159" i="4"/>
  <c r="V122" i="4"/>
  <c r="AF98" i="4"/>
  <c r="U32" i="4"/>
  <c r="V20" i="4"/>
  <c r="U243" i="4"/>
  <c r="U176" i="4"/>
  <c r="U72" i="4"/>
  <c r="Z72" i="4"/>
  <c r="V223" i="4"/>
  <c r="F192" i="15"/>
  <c r="J192" i="15"/>
  <c r="AC192" i="15"/>
  <c r="V211" i="11"/>
  <c r="AA211" i="11"/>
  <c r="AF124" i="11"/>
  <c r="AG75" i="11"/>
  <c r="W57" i="11"/>
  <c r="AA57" i="11"/>
  <c r="W25" i="11"/>
  <c r="AA25" i="11"/>
  <c r="AF116" i="11"/>
  <c r="AG214" i="11"/>
  <c r="T200" i="11"/>
  <c r="F201" i="15"/>
  <c r="J201" i="15"/>
  <c r="AB201" i="15"/>
  <c r="T85" i="11"/>
  <c r="F86" i="15"/>
  <c r="J86" i="15"/>
  <c r="AB86" i="15"/>
  <c r="AA61" i="11"/>
  <c r="AA73" i="11"/>
  <c r="AA78" i="11"/>
  <c r="AA86" i="11"/>
  <c r="AA90" i="11"/>
  <c r="W162" i="14"/>
  <c r="AA162" i="14"/>
  <c r="W99" i="14"/>
  <c r="AA99" i="14"/>
  <c r="W152" i="14"/>
  <c r="AA152" i="14"/>
  <c r="AG175" i="14"/>
  <c r="X150" i="14"/>
  <c r="AA150" i="14"/>
  <c r="V130" i="14"/>
  <c r="AA130" i="14"/>
  <c r="V122" i="14"/>
  <c r="AA122" i="14"/>
  <c r="AF107" i="14"/>
  <c r="S39" i="1"/>
  <c r="E39" i="4"/>
  <c r="I39" i="4"/>
  <c r="AA39" i="4"/>
  <c r="U39" i="1"/>
  <c r="Z39" i="1"/>
  <c r="V79" i="1"/>
  <c r="S79" i="1"/>
  <c r="E85" i="4"/>
  <c r="I85" i="4"/>
  <c r="AB85" i="4"/>
  <c r="S98" i="1"/>
  <c r="E104" i="4"/>
  <c r="I104" i="4"/>
  <c r="AB104" i="4"/>
  <c r="V98" i="1"/>
  <c r="Z98" i="1"/>
  <c r="S173" i="1"/>
  <c r="E183" i="4"/>
  <c r="I183" i="4"/>
  <c r="AA183" i="4"/>
  <c r="U173" i="1"/>
  <c r="Z173" i="1"/>
  <c r="U38" i="1"/>
  <c r="S65" i="1"/>
  <c r="E69" i="4"/>
  <c r="I69" i="4"/>
  <c r="AA69" i="4"/>
  <c r="U86" i="1"/>
  <c r="Z86" i="1"/>
  <c r="S211" i="1"/>
  <c r="E222" i="4"/>
  <c r="I222" i="4"/>
  <c r="AB222" i="4"/>
  <c r="V157" i="1"/>
  <c r="Z157" i="1"/>
  <c r="S92" i="1"/>
  <c r="E98" i="4"/>
  <c r="I98" i="4"/>
  <c r="AB98" i="4"/>
  <c r="U134" i="1"/>
  <c r="Z134" i="1"/>
  <c r="V196" i="1"/>
  <c r="Z196" i="1"/>
  <c r="U203" i="1"/>
  <c r="Z203" i="1"/>
  <c r="U105" i="1"/>
  <c r="Z105" i="1"/>
  <c r="U50" i="1"/>
  <c r="U43" i="4"/>
  <c r="Z43" i="4"/>
  <c r="V187" i="4"/>
  <c r="S158" i="4"/>
  <c r="E165" i="5"/>
  <c r="I165" i="5"/>
  <c r="AB165" i="5"/>
  <c r="S210" i="4"/>
  <c r="E222" i="5"/>
  <c r="I222" i="5"/>
  <c r="AB222" i="5"/>
  <c r="Z41" i="4"/>
  <c r="V147" i="4"/>
  <c r="Z147" i="4"/>
  <c r="V165" i="4"/>
  <c r="V80" i="4"/>
  <c r="Z80" i="4"/>
  <c r="AE116" i="4"/>
  <c r="Z166" i="4"/>
  <c r="V232" i="4"/>
  <c r="Z232" i="4"/>
  <c r="AF219" i="4"/>
  <c r="AF217" i="4"/>
  <c r="AF186" i="4"/>
  <c r="AF87" i="4"/>
  <c r="AE53" i="4"/>
  <c r="U248" i="4"/>
  <c r="AE243" i="4"/>
  <c r="Z207" i="4"/>
  <c r="AE126" i="4"/>
  <c r="W175" i="11"/>
  <c r="AA175" i="11"/>
  <c r="W144" i="11"/>
  <c r="AA144" i="11"/>
  <c r="AF71" i="11"/>
  <c r="W79" i="11"/>
  <c r="AA79" i="11"/>
  <c r="AF229" i="11"/>
  <c r="AF110" i="11"/>
  <c r="AF85" i="11"/>
  <c r="AF61" i="11"/>
  <c r="AF27" i="11"/>
  <c r="T149" i="11"/>
  <c r="F150" i="15"/>
  <c r="J150" i="15"/>
  <c r="AC150" i="15"/>
  <c r="T61" i="11"/>
  <c r="F62" i="15"/>
  <c r="J62" i="15"/>
  <c r="AB62" i="15"/>
  <c r="T22" i="11"/>
  <c r="F22" i="15"/>
  <c r="J22" i="15"/>
  <c r="AB22" i="15"/>
  <c r="T89" i="11"/>
  <c r="F90" i="15"/>
  <c r="J90" i="15"/>
  <c r="AB90" i="15"/>
  <c r="AA17" i="11"/>
  <c r="AA21" i="11"/>
  <c r="AA26" i="11"/>
  <c r="AA28" i="11"/>
  <c r="AA40" i="11"/>
  <c r="AA44" i="11"/>
  <c r="AA59" i="11"/>
  <c r="AA62" i="11"/>
  <c r="AA72" i="11"/>
  <c r="AA74" i="11"/>
  <c r="AA103" i="11"/>
  <c r="AA105" i="11"/>
  <c r="AA115" i="11"/>
  <c r="AA117" i="11"/>
  <c r="AA119" i="11"/>
  <c r="AA135" i="11"/>
  <c r="AA139" i="11"/>
  <c r="V217" i="14"/>
  <c r="AA217" i="14"/>
  <c r="V202" i="14"/>
  <c r="AA202" i="14"/>
  <c r="V193" i="14"/>
  <c r="AA193" i="14"/>
  <c r="V183" i="14"/>
  <c r="AA183" i="14"/>
  <c r="W164" i="14"/>
  <c r="AA164" i="14"/>
  <c r="W158" i="14"/>
  <c r="AA158" i="14"/>
  <c r="W103" i="14"/>
  <c r="AA103" i="14"/>
  <c r="V230" i="14"/>
  <c r="AA230" i="14"/>
  <c r="W154" i="14"/>
  <c r="AA154" i="14"/>
  <c r="W146" i="14"/>
  <c r="AA146" i="14"/>
  <c r="W241" i="14"/>
  <c r="AA241" i="14"/>
  <c r="W87" i="14"/>
  <c r="V233" i="14"/>
  <c r="AA233" i="14"/>
  <c r="W224" i="14"/>
  <c r="AA224" i="14"/>
  <c r="W223" i="14"/>
  <c r="AA223" i="14"/>
  <c r="W221" i="14"/>
  <c r="AA221" i="14"/>
  <c r="AG219" i="14"/>
  <c r="W213" i="14"/>
  <c r="AA213" i="14"/>
  <c r="W211" i="14"/>
  <c r="AA211" i="14"/>
  <c r="AG209" i="14"/>
  <c r="AA208" i="14"/>
  <c r="W207" i="14"/>
  <c r="AA207" i="14"/>
  <c r="W200" i="14"/>
  <c r="AA200" i="14"/>
  <c r="AG191" i="14"/>
  <c r="AG188" i="14"/>
  <c r="AG177" i="14"/>
  <c r="W173" i="14"/>
  <c r="AA173" i="14"/>
  <c r="V160" i="14"/>
  <c r="AA160" i="14"/>
  <c r="V156" i="14"/>
  <c r="AA156" i="14"/>
  <c r="AH150" i="14"/>
  <c r="W50" i="14"/>
  <c r="AF255" i="14"/>
  <c r="AH251" i="14"/>
  <c r="AF247" i="14"/>
  <c r="V239" i="14"/>
  <c r="AA239" i="14"/>
  <c r="AH237" i="14"/>
  <c r="AH228" i="14"/>
  <c r="AF144" i="14"/>
  <c r="AF138" i="14"/>
  <c r="V128" i="14"/>
  <c r="AA128" i="14"/>
  <c r="AF126" i="14"/>
  <c r="AF118" i="14"/>
  <c r="AF114" i="14"/>
  <c r="V73" i="14"/>
  <c r="AF36" i="14"/>
  <c r="AH95" i="14"/>
  <c r="AH90" i="18"/>
  <c r="AH53" i="18"/>
  <c r="AG96" i="18"/>
  <c r="AG94" i="18"/>
  <c r="AG92" i="18"/>
  <c r="AG82" i="18"/>
  <c r="AG80" i="18"/>
  <c r="AG78" i="18"/>
  <c r="AG49" i="18"/>
  <c r="AG41" i="18"/>
  <c r="AG29" i="18"/>
  <c r="AG25" i="18"/>
  <c r="AF106" i="18"/>
  <c r="AF104" i="18"/>
  <c r="AF102" i="18"/>
  <c r="AF100" i="18"/>
  <c r="AF98" i="18"/>
  <c r="AF88" i="18"/>
  <c r="AF86" i="18"/>
  <c r="AF84" i="18"/>
  <c r="AF76" i="18"/>
  <c r="AF47" i="18"/>
  <c r="X90" i="18"/>
  <c r="AA90" i="18"/>
  <c r="X53" i="18"/>
  <c r="AA53" i="18"/>
  <c r="W205" i="18"/>
  <c r="AA205" i="18"/>
  <c r="W82" i="18"/>
  <c r="AA82" i="18"/>
  <c r="W80" i="18"/>
  <c r="AA80" i="18"/>
  <c r="W78" i="18"/>
  <c r="W55" i="18"/>
  <c r="AA55" i="18"/>
  <c r="W51" i="18"/>
  <c r="AA51" i="18"/>
  <c r="W41" i="18"/>
  <c r="AA41" i="18"/>
  <c r="W29" i="18"/>
  <c r="AA29" i="18"/>
  <c r="V208" i="18"/>
  <c r="AA208" i="18"/>
  <c r="V204" i="18"/>
  <c r="V113" i="18"/>
  <c r="V111" i="18"/>
  <c r="V109" i="18"/>
  <c r="V68" i="18"/>
  <c r="AA68" i="18"/>
  <c r="U234" i="1"/>
  <c r="Z234" i="1"/>
  <c r="U69" i="1"/>
  <c r="Z90" i="1"/>
  <c r="AE32" i="4"/>
  <c r="U36" i="4"/>
  <c r="U93" i="4"/>
  <c r="Z93" i="4"/>
  <c r="U119" i="4"/>
  <c r="Z119" i="4"/>
  <c r="U28" i="4"/>
  <c r="AF20" i="4"/>
  <c r="AE139" i="4"/>
  <c r="AE75" i="4"/>
  <c r="AE37" i="4"/>
  <c r="AE145" i="4"/>
  <c r="Z146" i="4"/>
  <c r="AF34" i="14"/>
  <c r="AA203" i="18"/>
  <c r="AA88" i="18"/>
  <c r="AA58" i="18"/>
  <c r="E239" i="1"/>
  <c r="I239" i="1"/>
  <c r="E58" i="1"/>
  <c r="I58" i="1"/>
  <c r="T133" i="2"/>
  <c r="E140" i="1"/>
  <c r="I140" i="1"/>
  <c r="S110" i="1"/>
  <c r="E116" i="4"/>
  <c r="I116" i="4"/>
  <c r="AA116" i="4"/>
  <c r="U112" i="1"/>
  <c r="Z112" i="1"/>
  <c r="Z252" i="4"/>
  <c r="AF248" i="11"/>
  <c r="V210" i="11"/>
  <c r="AA210" i="11"/>
  <c r="T226" i="11"/>
  <c r="F227" i="15"/>
  <c r="J227" i="15"/>
  <c r="AB227" i="15"/>
  <c r="T117" i="11"/>
  <c r="F118" i="15"/>
  <c r="J118" i="15"/>
  <c r="AB118" i="15"/>
  <c r="T210" i="11"/>
  <c r="F211" i="15"/>
  <c r="J211" i="15"/>
  <c r="AB211" i="15"/>
  <c r="AF59" i="15"/>
  <c r="AA68" i="15"/>
  <c r="AA74" i="15"/>
  <c r="AA169" i="15"/>
  <c r="AA177" i="15"/>
  <c r="AA179" i="15"/>
  <c r="AA181" i="15"/>
  <c r="AA183" i="15"/>
  <c r="AA185" i="15"/>
  <c r="AA187" i="15"/>
  <c r="AF184" i="14"/>
  <c r="AF182" i="14"/>
  <c r="AF180" i="14"/>
  <c r="AF172" i="14"/>
  <c r="AF170" i="14"/>
  <c r="AG145" i="14"/>
  <c r="AG133" i="14"/>
  <c r="AG125" i="14"/>
  <c r="AG82" i="14"/>
  <c r="AG29" i="14"/>
  <c r="W16" i="14"/>
  <c r="AA16" i="14"/>
  <c r="AF47" i="14"/>
  <c r="AG58" i="14"/>
  <c r="AF33" i="14"/>
  <c r="AF37" i="14"/>
  <c r="AF68" i="14"/>
  <c r="AF74" i="14"/>
  <c r="AF20" i="14"/>
  <c r="AA25" i="14"/>
  <c r="V66" i="14"/>
  <c r="AA66" i="14"/>
  <c r="W226" i="14"/>
  <c r="AA226" i="14"/>
  <c r="AF216" i="14"/>
  <c r="AF206" i="14"/>
  <c r="AF187" i="14"/>
  <c r="V47" i="14"/>
  <c r="AA47" i="14"/>
  <c r="AF60" i="14"/>
  <c r="AF31" i="14"/>
  <c r="AH39" i="14"/>
  <c r="V72" i="14"/>
  <c r="AA72" i="14"/>
  <c r="AF80" i="14"/>
  <c r="AF49" i="14"/>
  <c r="W24" i="14"/>
  <c r="AA24" i="14"/>
  <c r="AF198" i="14"/>
  <c r="AA147" i="14"/>
  <c r="AG53" i="14"/>
  <c r="AG43" i="14"/>
  <c r="AG18" i="14"/>
  <c r="AA46" i="14"/>
  <c r="V92" i="14"/>
  <c r="AA92" i="14"/>
  <c r="AA32" i="14"/>
  <c r="AA79" i="14"/>
  <c r="AF88" i="14"/>
  <c r="W53" i="14"/>
  <c r="AA53" i="14"/>
  <c r="AA231" i="14"/>
  <c r="AA205" i="14"/>
  <c r="V198" i="14"/>
  <c r="AA198" i="14"/>
  <c r="AA186" i="14"/>
  <c r="V206" i="14"/>
  <c r="AA206" i="14"/>
  <c r="AA197" i="14"/>
  <c r="AA169" i="14"/>
  <c r="W159" i="14"/>
  <c r="AA159" i="14"/>
  <c r="AA134" i="14"/>
  <c r="W102" i="14"/>
  <c r="AA102" i="14"/>
  <c r="AA254" i="14"/>
  <c r="AA240" i="14"/>
  <c r="W96" i="14"/>
  <c r="AA96" i="14"/>
  <c r="W245" i="14"/>
  <c r="AA245" i="14"/>
  <c r="W151" i="14"/>
  <c r="AA151" i="14"/>
  <c r="W56" i="14"/>
  <c r="AA56" i="14"/>
  <c r="AA28" i="14"/>
  <c r="V234" i="14"/>
  <c r="AA234" i="14"/>
  <c r="X232" i="14"/>
  <c r="AA232" i="14"/>
  <c r="AG222" i="14"/>
  <c r="AG218" i="14"/>
  <c r="AG212" i="14"/>
  <c r="W210" i="14"/>
  <c r="AA210" i="14"/>
  <c r="W203" i="14"/>
  <c r="AA203" i="14"/>
  <c r="W178" i="14"/>
  <c r="AA178" i="14"/>
  <c r="AG176" i="14"/>
  <c r="AG174" i="14"/>
  <c r="V167" i="14"/>
  <c r="AA167" i="14"/>
  <c r="AH165" i="14"/>
  <c r="AF161" i="14"/>
  <c r="AF149" i="14"/>
  <c r="AF110" i="14"/>
  <c r="V104" i="14"/>
  <c r="AA104" i="14"/>
  <c r="AA235" i="14"/>
  <c r="V255" i="14"/>
  <c r="AA255" i="14"/>
  <c r="V253" i="14"/>
  <c r="AA253" i="14"/>
  <c r="AA252" i="14"/>
  <c r="X251" i="14"/>
  <c r="AA251" i="14"/>
  <c r="AA250" i="14"/>
  <c r="V249" i="14"/>
  <c r="AA249" i="14"/>
  <c r="AA248" i="14"/>
  <c r="V247" i="14"/>
  <c r="AA247" i="14"/>
  <c r="AA246" i="14"/>
  <c r="AA244" i="14"/>
  <c r="V238" i="14"/>
  <c r="AA238" i="14"/>
  <c r="AA237" i="14"/>
  <c r="AF227" i="14"/>
  <c r="V143" i="14"/>
  <c r="AA143" i="14"/>
  <c r="V127" i="14"/>
  <c r="AA127" i="14"/>
  <c r="AF123" i="14"/>
  <c r="V121" i="14"/>
  <c r="AA121" i="14"/>
  <c r="V117" i="14"/>
  <c r="AA117" i="14"/>
  <c r="V115" i="14"/>
  <c r="AA115" i="14"/>
  <c r="AF113" i="14"/>
  <c r="V71" i="14"/>
  <c r="AA71" i="14"/>
  <c r="V60" i="14"/>
  <c r="AA60" i="14"/>
  <c r="I257" i="14"/>
  <c r="T148" i="14"/>
  <c r="F139" i="18"/>
  <c r="J139" i="18"/>
  <c r="AB139" i="18"/>
  <c r="AA217" i="18"/>
  <c r="AA211" i="18"/>
  <c r="AA193" i="18"/>
  <c r="AA186" i="18"/>
  <c r="AA173" i="18"/>
  <c r="AA166" i="18"/>
  <c r="AA162" i="18"/>
  <c r="AA156" i="18"/>
  <c r="AA154" i="18"/>
  <c r="AA148" i="18"/>
  <c r="AA144" i="18"/>
  <c r="AA140" i="18"/>
  <c r="AA130" i="18"/>
  <c r="AA124" i="18"/>
  <c r="AA79" i="18"/>
  <c r="AA77" i="18"/>
  <c r="AA72" i="18"/>
  <c r="AA42" i="18"/>
  <c r="AA220" i="18"/>
  <c r="AA210" i="18"/>
  <c r="AA200" i="18"/>
  <c r="AA192" i="18"/>
  <c r="AA187" i="18"/>
  <c r="AA185" i="18"/>
  <c r="AA179" i="18"/>
  <c r="AA174" i="18"/>
  <c r="AA167" i="18"/>
  <c r="AA163" i="18"/>
  <c r="AA159" i="18"/>
  <c r="AA155" i="18"/>
  <c r="AA147" i="18"/>
  <c r="AA145" i="18"/>
  <c r="AA143" i="18"/>
  <c r="AA139" i="18"/>
  <c r="AA133" i="18"/>
  <c r="AA129" i="18"/>
  <c r="AA125" i="18"/>
  <c r="AA117" i="18"/>
  <c r="AA171" i="18"/>
  <c r="AA93" i="18"/>
  <c r="AA78" i="18"/>
  <c r="AA63" i="18"/>
  <c r="H221" i="2"/>
  <c r="L221" i="2"/>
  <c r="E249" i="4"/>
  <c r="I249" i="4"/>
  <c r="AA249" i="4"/>
  <c r="E235" i="1"/>
  <c r="I235" i="1"/>
  <c r="H222" i="2"/>
  <c r="L222" i="2"/>
  <c r="T104" i="2"/>
  <c r="E111" i="1"/>
  <c r="I111" i="1"/>
  <c r="T85" i="2"/>
  <c r="E91" i="1"/>
  <c r="I91" i="1"/>
  <c r="V115" i="1"/>
  <c r="Z115" i="1"/>
  <c r="S115" i="1"/>
  <c r="E122" i="4"/>
  <c r="I122" i="4"/>
  <c r="AB122" i="4"/>
  <c r="U103" i="1"/>
  <c r="Z103" i="1"/>
  <c r="S103" i="1"/>
  <c r="E109" i="4"/>
  <c r="I109" i="4"/>
  <c r="AA109" i="4"/>
  <c r="V192" i="1"/>
  <c r="Z192" i="1"/>
  <c r="V85" i="1"/>
  <c r="Z85" i="1"/>
  <c r="U108" i="1"/>
  <c r="V129" i="1"/>
  <c r="S232" i="1"/>
  <c r="E245" i="4"/>
  <c r="I245" i="4"/>
  <c r="AA245" i="4"/>
  <c r="U185" i="1"/>
  <c r="Z185" i="1"/>
  <c r="S218" i="1"/>
  <c r="E229" i="4"/>
  <c r="I229" i="4"/>
  <c r="AA229" i="4"/>
  <c r="S183" i="1"/>
  <c r="E194" i="4"/>
  <c r="I194" i="4"/>
  <c r="AB194" i="4"/>
  <c r="S22" i="1"/>
  <c r="E22" i="4"/>
  <c r="I22" i="4"/>
  <c r="AB22" i="4"/>
  <c r="U226" i="1"/>
  <c r="V131" i="1"/>
  <c r="Z131" i="1"/>
  <c r="S106" i="1"/>
  <c r="E112" i="4"/>
  <c r="I112" i="4"/>
  <c r="AA112" i="4"/>
  <c r="U97" i="1"/>
  <c r="Z97" i="1"/>
  <c r="V93" i="1"/>
  <c r="U32" i="1"/>
  <c r="Z32" i="1"/>
  <c r="V222" i="1"/>
  <c r="Z222" i="1"/>
  <c r="U104" i="1"/>
  <c r="U26" i="1"/>
  <c r="Z190" i="1"/>
  <c r="Z163" i="1"/>
  <c r="N243" i="1"/>
  <c r="U42" i="4"/>
  <c r="Z42" i="4"/>
  <c r="AF171" i="4"/>
  <c r="AE52" i="4"/>
  <c r="S45" i="4"/>
  <c r="E45" i="5"/>
  <c r="I45" i="5"/>
  <c r="AA45" i="5"/>
  <c r="AE154" i="4"/>
  <c r="AF51" i="4"/>
  <c r="AE76" i="4"/>
  <c r="AF138" i="4"/>
  <c r="AE244" i="4"/>
  <c r="AF33" i="4"/>
  <c r="U95" i="4"/>
  <c r="Z95" i="4"/>
  <c r="U134" i="4"/>
  <c r="Z134" i="4"/>
  <c r="AF180" i="4"/>
  <c r="V162" i="4"/>
  <c r="U126" i="4"/>
  <c r="Z126" i="4"/>
  <c r="AE141" i="4"/>
  <c r="V29" i="4"/>
  <c r="V64" i="4"/>
  <c r="AE120" i="4"/>
  <c r="AF159" i="4"/>
  <c r="AE109" i="4"/>
  <c r="AE36" i="4"/>
  <c r="AE93" i="4"/>
  <c r="V225" i="4"/>
  <c r="Z225" i="4"/>
  <c r="V221" i="4"/>
  <c r="Z221" i="4"/>
  <c r="AF209" i="4"/>
  <c r="W192" i="4"/>
  <c r="V181" i="4"/>
  <c r="Z181" i="4"/>
  <c r="V180" i="4"/>
  <c r="Z180" i="4"/>
  <c r="V136" i="4"/>
  <c r="AF123" i="4"/>
  <c r="U120" i="4"/>
  <c r="AE35" i="4"/>
  <c r="AE23" i="4"/>
  <c r="Z20" i="4"/>
  <c r="AF206" i="4"/>
  <c r="Z200" i="4"/>
  <c r="Z173" i="4"/>
  <c r="U141" i="4"/>
  <c r="V138" i="4"/>
  <c r="V84" i="4"/>
  <c r="Z84" i="4"/>
  <c r="Z137" i="4"/>
  <c r="Z142" i="4"/>
  <c r="Z182" i="4"/>
  <c r="V51" i="4"/>
  <c r="V196" i="11"/>
  <c r="AA196" i="11"/>
  <c r="T240" i="11"/>
  <c r="F241" i="15"/>
  <c r="J241" i="15"/>
  <c r="AC241" i="15"/>
  <c r="T52" i="11"/>
  <c r="F52" i="15"/>
  <c r="J52" i="15"/>
  <c r="AC52" i="15"/>
  <c r="T212" i="11"/>
  <c r="F213" i="15"/>
  <c r="J213" i="15"/>
  <c r="AB213" i="15"/>
  <c r="T192" i="11"/>
  <c r="AA238" i="11"/>
  <c r="AA242" i="11"/>
  <c r="AA244" i="11"/>
  <c r="AG24" i="15"/>
  <c r="V20" i="15"/>
  <c r="AA20" i="15"/>
  <c r="AG16" i="15"/>
  <c r="AA21" i="15"/>
  <c r="AF46" i="15"/>
  <c r="AF35" i="15"/>
  <c r="AF31" i="15"/>
  <c r="AA99" i="15"/>
  <c r="T187" i="15"/>
  <c r="F189" i="14"/>
  <c r="J189" i="14"/>
  <c r="AD189" i="14"/>
  <c r="T173" i="15"/>
  <c r="F175" i="14"/>
  <c r="J175" i="14"/>
  <c r="AC175" i="14"/>
  <c r="T155" i="15"/>
  <c r="F157" i="14"/>
  <c r="J157" i="14"/>
  <c r="AD157" i="14"/>
  <c r="T143" i="15"/>
  <c r="F145" i="14"/>
  <c r="J145" i="14"/>
  <c r="AC145" i="14"/>
  <c r="T129" i="15"/>
  <c r="F131" i="14"/>
  <c r="J131" i="14"/>
  <c r="AD131" i="14"/>
  <c r="T117" i="15"/>
  <c r="F119" i="14"/>
  <c r="J119" i="14"/>
  <c r="AB119" i="14"/>
  <c r="T107" i="15"/>
  <c r="F109" i="14"/>
  <c r="J109" i="14"/>
  <c r="AB109" i="14"/>
  <c r="T94" i="15"/>
  <c r="F96" i="14"/>
  <c r="J96" i="14"/>
  <c r="AC96" i="14"/>
  <c r="T68" i="15"/>
  <c r="F70" i="14"/>
  <c r="J70" i="14"/>
  <c r="AB70" i="14"/>
  <c r="V46" i="15"/>
  <c r="AA46" i="15"/>
  <c r="W18" i="14"/>
  <c r="V45" i="14"/>
  <c r="AA45" i="14"/>
  <c r="AA18" i="14"/>
  <c r="F221" i="19"/>
  <c r="J221" i="19"/>
  <c r="AB221" i="19"/>
  <c r="F224" i="20"/>
  <c r="J224" i="20"/>
  <c r="AB224" i="20"/>
  <c r="AJ224" i="20"/>
  <c r="AA74" i="18"/>
  <c r="AA170" i="18"/>
  <c r="AG55" i="18"/>
  <c r="AG51" i="18"/>
  <c r="AF72" i="18"/>
  <c r="AF70" i="18"/>
  <c r="AF68" i="18"/>
  <c r="AF58" i="18"/>
  <c r="AF45" i="18"/>
  <c r="AF43" i="18"/>
  <c r="AF38" i="18"/>
  <c r="AF34" i="18"/>
  <c r="AF30" i="18"/>
  <c r="AF28" i="18"/>
  <c r="W49" i="18"/>
  <c r="AA49" i="18"/>
  <c r="AA214" i="18"/>
  <c r="V70" i="18"/>
  <c r="AA70" i="18"/>
  <c r="V60" i="18"/>
  <c r="AA60" i="18"/>
  <c r="V45" i="18"/>
  <c r="AA45" i="18"/>
  <c r="V43" i="18"/>
  <c r="AA43" i="18"/>
  <c r="AG74" i="18"/>
  <c r="AG187" i="19"/>
  <c r="T187" i="19"/>
  <c r="F190" i="20"/>
  <c r="J190" i="20"/>
  <c r="AC190" i="20"/>
  <c r="AG185" i="19"/>
  <c r="T185" i="19"/>
  <c r="F188" i="20"/>
  <c r="J188" i="20"/>
  <c r="AC188" i="20"/>
  <c r="AG173" i="19"/>
  <c r="T173" i="19"/>
  <c r="F176" i="20"/>
  <c r="J176" i="20"/>
  <c r="AC176" i="20"/>
  <c r="AJ176" i="20"/>
  <c r="AG124" i="19"/>
  <c r="T124" i="19"/>
  <c r="F126" i="20"/>
  <c r="J126" i="20"/>
  <c r="AC126" i="20"/>
  <c r="AG118" i="19"/>
  <c r="T118" i="19"/>
  <c r="F120" i="20"/>
  <c r="J120" i="20"/>
  <c r="AC120" i="20"/>
  <c r="AG96" i="19"/>
  <c r="T96" i="19"/>
  <c r="F98" i="20"/>
  <c r="J98" i="20"/>
  <c r="AC98" i="20"/>
  <c r="AG94" i="19"/>
  <c r="T94" i="19"/>
  <c r="F96" i="20"/>
  <c r="J96" i="20"/>
  <c r="AC96" i="20"/>
  <c r="AJ96" i="20"/>
  <c r="AG19" i="19"/>
  <c r="T19" i="19"/>
  <c r="F19" i="20"/>
  <c r="J19" i="20"/>
  <c r="AC19" i="20"/>
  <c r="AF189" i="19"/>
  <c r="T189" i="19"/>
  <c r="F192" i="20"/>
  <c r="J192" i="20"/>
  <c r="AB192" i="20"/>
  <c r="AF183" i="19"/>
  <c r="T183" i="19"/>
  <c r="F186" i="20"/>
  <c r="J186" i="20"/>
  <c r="AB186" i="20"/>
  <c r="AF181" i="19"/>
  <c r="T181" i="19"/>
  <c r="F184" i="20"/>
  <c r="J184" i="20"/>
  <c r="AB184" i="20"/>
  <c r="AJ184" i="20"/>
  <c r="AF179" i="19"/>
  <c r="T179" i="19"/>
  <c r="F182" i="20"/>
  <c r="J182" i="20"/>
  <c r="AB182" i="20"/>
  <c r="V169" i="19"/>
  <c r="T169" i="19"/>
  <c r="F172" i="20"/>
  <c r="J172" i="20"/>
  <c r="AB172" i="20"/>
  <c r="V167" i="19"/>
  <c r="T167" i="19"/>
  <c r="F170" i="20"/>
  <c r="J170" i="20"/>
  <c r="AB170" i="20"/>
  <c r="V165" i="19"/>
  <c r="T165" i="19"/>
  <c r="F168" i="20"/>
  <c r="J168" i="20"/>
  <c r="AB168" i="20"/>
  <c r="AJ168" i="20"/>
  <c r="V163" i="19"/>
  <c r="T163" i="19"/>
  <c r="F166" i="20"/>
  <c r="J166" i="20"/>
  <c r="AB166" i="20"/>
  <c r="V161" i="19"/>
  <c r="T161" i="19"/>
  <c r="F164" i="20"/>
  <c r="J164" i="20"/>
  <c r="AB164" i="20"/>
  <c r="V155" i="19"/>
  <c r="AA155" i="19"/>
  <c r="T155" i="19"/>
  <c r="F158" i="20"/>
  <c r="J158" i="20"/>
  <c r="AB158" i="20"/>
  <c r="V151" i="19"/>
  <c r="AA151" i="19"/>
  <c r="T151" i="19"/>
  <c r="F154" i="20"/>
  <c r="J154" i="20"/>
  <c r="AB154" i="20"/>
  <c r="V145" i="19"/>
  <c r="AA145" i="19"/>
  <c r="T145" i="19"/>
  <c r="F147" i="20"/>
  <c r="J147" i="20"/>
  <c r="AB147" i="20"/>
  <c r="V37" i="19"/>
  <c r="AA37" i="19"/>
  <c r="T37" i="19"/>
  <c r="F39" i="20"/>
  <c r="J39" i="20"/>
  <c r="AB39" i="20"/>
  <c r="V35" i="19"/>
  <c r="AA35" i="19"/>
  <c r="T35" i="19"/>
  <c r="F35" i="20"/>
  <c r="J35" i="20"/>
  <c r="AB35" i="20"/>
  <c r="V33" i="19"/>
  <c r="AA33" i="19"/>
  <c r="T33" i="19"/>
  <c r="F33" i="20"/>
  <c r="J33" i="20"/>
  <c r="AB33" i="20"/>
  <c r="V31" i="19"/>
  <c r="AA31" i="19"/>
  <c r="T31" i="19"/>
  <c r="F31" i="20"/>
  <c r="J31" i="20"/>
  <c r="AB31" i="20"/>
  <c r="V27" i="19"/>
  <c r="T27" i="19"/>
  <c r="F27" i="20"/>
  <c r="J27" i="20"/>
  <c r="AB27" i="20"/>
  <c r="V21" i="19"/>
  <c r="AA21" i="19"/>
  <c r="T21" i="19"/>
  <c r="F21" i="20"/>
  <c r="J21" i="20"/>
  <c r="AB21" i="20"/>
  <c r="V17" i="19"/>
  <c r="AA17" i="19"/>
  <c r="T17" i="19"/>
  <c r="F17" i="20"/>
  <c r="J17" i="20"/>
  <c r="AB17" i="20"/>
  <c r="AG194" i="19"/>
  <c r="T194" i="19"/>
  <c r="F197" i="20"/>
  <c r="J197" i="20"/>
  <c r="AC197" i="20"/>
  <c r="AJ197" i="20"/>
  <c r="AG196" i="19"/>
  <c r="T196" i="19"/>
  <c r="F199" i="20"/>
  <c r="J199" i="20"/>
  <c r="AC199" i="20"/>
  <c r="AG198" i="19"/>
  <c r="T198" i="19"/>
  <c r="F201" i="20"/>
  <c r="J201" i="20"/>
  <c r="AC201" i="20"/>
  <c r="AF200" i="19"/>
  <c r="T200" i="19"/>
  <c r="F203" i="20"/>
  <c r="J203" i="20"/>
  <c r="AB203" i="20"/>
  <c r="AF202" i="19"/>
  <c r="T202" i="19"/>
  <c r="F205" i="20"/>
  <c r="J205" i="20"/>
  <c r="AB205" i="20"/>
  <c r="AJ205" i="20"/>
  <c r="AH203" i="19"/>
  <c r="T203" i="19"/>
  <c r="F206" i="20"/>
  <c r="J206" i="20"/>
  <c r="AD206" i="20"/>
  <c r="AH207" i="19"/>
  <c r="T207" i="19"/>
  <c r="F210" i="20"/>
  <c r="J210" i="20"/>
  <c r="AD210" i="20"/>
  <c r="AF208" i="19"/>
  <c r="T208" i="19"/>
  <c r="F211" i="20"/>
  <c r="J211" i="20"/>
  <c r="AB211" i="20"/>
  <c r="AH220" i="19"/>
  <c r="T220" i="19"/>
  <c r="F223" i="20"/>
  <c r="J223" i="20"/>
  <c r="AF221" i="19"/>
  <c r="T221" i="19"/>
  <c r="V190" i="19"/>
  <c r="T190" i="19"/>
  <c r="F193" i="20"/>
  <c r="J193" i="20"/>
  <c r="AB193" i="20"/>
  <c r="AH176" i="19"/>
  <c r="T176" i="19"/>
  <c r="AG191" i="19"/>
  <c r="T191" i="19"/>
  <c r="F194" i="20"/>
  <c r="J194" i="20"/>
  <c r="AC194" i="20"/>
  <c r="AG186" i="19"/>
  <c r="T186" i="19"/>
  <c r="F189" i="20"/>
  <c r="J189" i="20"/>
  <c r="AC189" i="20"/>
  <c r="AG184" i="19"/>
  <c r="T184" i="19"/>
  <c r="F187" i="20"/>
  <c r="J187" i="20"/>
  <c r="AC187" i="20"/>
  <c r="AJ187" i="20"/>
  <c r="AG172" i="19"/>
  <c r="T172" i="19"/>
  <c r="F175" i="20"/>
  <c r="J175" i="20"/>
  <c r="AC175" i="20"/>
  <c r="AG125" i="19"/>
  <c r="T125" i="19"/>
  <c r="F127" i="20"/>
  <c r="J127" i="20"/>
  <c r="AC127" i="20"/>
  <c r="AG121" i="19"/>
  <c r="T121" i="19"/>
  <c r="F123" i="20"/>
  <c r="J123" i="20"/>
  <c r="AC123" i="20"/>
  <c r="AG117" i="19"/>
  <c r="T117" i="19"/>
  <c r="F119" i="20"/>
  <c r="J119" i="20"/>
  <c r="AC119" i="20"/>
  <c r="AJ119" i="20"/>
  <c r="AG95" i="19"/>
  <c r="T95" i="19"/>
  <c r="F97" i="20"/>
  <c r="J97" i="20"/>
  <c r="AC97" i="20"/>
  <c r="AG18" i="19"/>
  <c r="T18" i="19"/>
  <c r="F18" i="20"/>
  <c r="J18" i="20"/>
  <c r="AC18" i="20"/>
  <c r="AF188" i="19"/>
  <c r="T188" i="19"/>
  <c r="F191" i="20"/>
  <c r="J191" i="20"/>
  <c r="AB191" i="20"/>
  <c r="AF182" i="19"/>
  <c r="T182" i="19"/>
  <c r="F185" i="20"/>
  <c r="J185" i="20"/>
  <c r="AB185" i="20"/>
  <c r="AJ185" i="20"/>
  <c r="AF180" i="19"/>
  <c r="T180" i="19"/>
  <c r="F183" i="20"/>
  <c r="J183" i="20"/>
  <c r="AB183" i="20"/>
  <c r="V119" i="19"/>
  <c r="T119" i="19"/>
  <c r="F121" i="20"/>
  <c r="J121" i="20"/>
  <c r="AB121" i="20"/>
  <c r="V115" i="19"/>
  <c r="AA115" i="19"/>
  <c r="T115" i="19"/>
  <c r="F117" i="20"/>
  <c r="J117" i="20"/>
  <c r="AB117" i="20"/>
  <c r="V113" i="19"/>
  <c r="T113" i="19"/>
  <c r="F115" i="20"/>
  <c r="J115" i="20"/>
  <c r="AB115" i="20"/>
  <c r="V111" i="19"/>
  <c r="AA111" i="19"/>
  <c r="T111" i="19"/>
  <c r="F113" i="20"/>
  <c r="J113" i="20"/>
  <c r="AB113" i="20"/>
  <c r="V109" i="19"/>
  <c r="T109" i="19"/>
  <c r="F111" i="20"/>
  <c r="J111" i="20"/>
  <c r="AB111" i="20"/>
  <c r="V107" i="19"/>
  <c r="AA107" i="19"/>
  <c r="T107" i="19"/>
  <c r="F109" i="20"/>
  <c r="J109" i="20"/>
  <c r="AB109" i="20"/>
  <c r="V105" i="19"/>
  <c r="T105" i="19"/>
  <c r="F107" i="20"/>
  <c r="J107" i="20"/>
  <c r="AB107" i="20"/>
  <c r="V103" i="19"/>
  <c r="AA103" i="19"/>
  <c r="T103" i="19"/>
  <c r="F105" i="20"/>
  <c r="J105" i="20"/>
  <c r="AB105" i="20"/>
  <c r="V101" i="19"/>
  <c r="T101" i="19"/>
  <c r="F103" i="20"/>
  <c r="J103" i="20"/>
  <c r="AB103" i="20"/>
  <c r="V99" i="19"/>
  <c r="AA99" i="19"/>
  <c r="T99" i="19"/>
  <c r="F101" i="20"/>
  <c r="J101" i="20"/>
  <c r="AB101" i="20"/>
  <c r="V97" i="19"/>
  <c r="T97" i="19"/>
  <c r="F99" i="20"/>
  <c r="J99" i="20"/>
  <c r="AB99" i="20"/>
  <c r="V93" i="19"/>
  <c r="T93" i="19"/>
  <c r="F95" i="20"/>
  <c r="J95" i="20"/>
  <c r="AB95" i="20"/>
  <c r="V87" i="19"/>
  <c r="T87" i="19"/>
  <c r="F89" i="20"/>
  <c r="J89" i="20"/>
  <c r="AB89" i="20"/>
  <c r="V85" i="19"/>
  <c r="T85" i="19"/>
  <c r="F87" i="20"/>
  <c r="J87" i="20"/>
  <c r="AB87" i="20"/>
  <c r="V83" i="19"/>
  <c r="T83" i="19"/>
  <c r="F85" i="20"/>
  <c r="J85" i="20"/>
  <c r="AB85" i="20"/>
  <c r="V79" i="19"/>
  <c r="AA79" i="19"/>
  <c r="T79" i="19"/>
  <c r="F81" i="20"/>
  <c r="J81" i="20"/>
  <c r="AB81" i="20"/>
  <c r="V75" i="19"/>
  <c r="T75" i="19"/>
  <c r="F77" i="20"/>
  <c r="J77" i="20"/>
  <c r="AB77" i="20"/>
  <c r="V42" i="19"/>
  <c r="AA42" i="19"/>
  <c r="T42" i="19"/>
  <c r="F44" i="20"/>
  <c r="J44" i="20"/>
  <c r="AB44" i="20"/>
  <c r="AG192" i="19"/>
  <c r="T192" i="19"/>
  <c r="F195" i="20"/>
  <c r="J195" i="20"/>
  <c r="AC195" i="20"/>
  <c r="AG193" i="19"/>
  <c r="T193" i="19"/>
  <c r="F196" i="20"/>
  <c r="J196" i="20"/>
  <c r="AC196" i="20"/>
  <c r="AG195" i="19"/>
  <c r="T195" i="19"/>
  <c r="F198" i="20"/>
  <c r="J198" i="20"/>
  <c r="AC198" i="20"/>
  <c r="AH197" i="19"/>
  <c r="T197" i="19"/>
  <c r="F200" i="20"/>
  <c r="J200" i="20"/>
  <c r="AD200" i="20"/>
  <c r="AH199" i="19"/>
  <c r="T199" i="19"/>
  <c r="F202" i="20"/>
  <c r="J202" i="20"/>
  <c r="AD202" i="20"/>
  <c r="AF201" i="19"/>
  <c r="T201" i="19"/>
  <c r="F204" i="20"/>
  <c r="J204" i="20"/>
  <c r="AB204" i="20"/>
  <c r="AF204" i="19"/>
  <c r="T204" i="19"/>
  <c r="F207" i="20"/>
  <c r="J207" i="20"/>
  <c r="AB207" i="20"/>
  <c r="AF205" i="19"/>
  <c r="T205" i="19"/>
  <c r="F208" i="20"/>
  <c r="J208" i="20"/>
  <c r="AB208" i="20"/>
  <c r="AG206" i="19"/>
  <c r="T206" i="19"/>
  <c r="F209" i="20"/>
  <c r="J209" i="20"/>
  <c r="AC209" i="20"/>
  <c r="AF209" i="19"/>
  <c r="T209" i="19"/>
  <c r="F212" i="20"/>
  <c r="J212" i="20"/>
  <c r="AB212" i="20"/>
  <c r="AG210" i="19"/>
  <c r="T210" i="19"/>
  <c r="F213" i="20"/>
  <c r="J213" i="20"/>
  <c r="AC213" i="20"/>
  <c r="AG211" i="19"/>
  <c r="T211" i="19"/>
  <c r="F214" i="20"/>
  <c r="J214" i="20"/>
  <c r="AC214" i="20"/>
  <c r="AG212" i="19"/>
  <c r="T212" i="19"/>
  <c r="F215" i="20"/>
  <c r="J215" i="20"/>
  <c r="AC215" i="20"/>
  <c r="AG213" i="19"/>
  <c r="T213" i="19"/>
  <c r="F216" i="20"/>
  <c r="J216" i="20"/>
  <c r="AC216" i="20"/>
  <c r="AF214" i="19"/>
  <c r="T214" i="19"/>
  <c r="F217" i="20"/>
  <c r="J217" i="20"/>
  <c r="AB217" i="20"/>
  <c r="AG215" i="19"/>
  <c r="T215" i="19"/>
  <c r="F218" i="20"/>
  <c r="J218" i="20"/>
  <c r="AC218" i="20"/>
  <c r="AF216" i="19"/>
  <c r="T216" i="19"/>
  <c r="F219" i="20"/>
  <c r="J219" i="20"/>
  <c r="AB219" i="20"/>
  <c r="AF217" i="19"/>
  <c r="T217" i="19"/>
  <c r="F220" i="20"/>
  <c r="J220" i="20"/>
  <c r="AB220" i="20"/>
  <c r="AF218" i="19"/>
  <c r="T218" i="19"/>
  <c r="F221" i="20"/>
  <c r="J221" i="20"/>
  <c r="AB221" i="20"/>
  <c r="AH219" i="19"/>
  <c r="T219" i="19"/>
  <c r="F222" i="20"/>
  <c r="J222" i="20"/>
  <c r="AD222" i="20"/>
  <c r="V56" i="19"/>
  <c r="T56" i="19"/>
  <c r="F58" i="20"/>
  <c r="J58" i="20"/>
  <c r="AD58" i="20"/>
  <c r="F178" i="20"/>
  <c r="J178" i="20"/>
  <c r="AC178" i="20"/>
  <c r="F179" i="20"/>
  <c r="J179" i="20"/>
  <c r="AD179" i="20"/>
  <c r="T98" i="2"/>
  <c r="E105" i="1"/>
  <c r="I105" i="1"/>
  <c r="E25" i="5"/>
  <c r="T140" i="2"/>
  <c r="E148" i="1"/>
  <c r="I148" i="1"/>
  <c r="T20" i="2"/>
  <c r="E21" i="1"/>
  <c r="I21" i="1"/>
  <c r="T21" i="2"/>
  <c r="E22" i="1"/>
  <c r="I22" i="1"/>
  <c r="T55" i="2"/>
  <c r="E56" i="1"/>
  <c r="I56" i="1"/>
  <c r="S96" i="1"/>
  <c r="E102" i="4"/>
  <c r="I102" i="4"/>
  <c r="AB102" i="4"/>
  <c r="V96" i="1"/>
  <c r="Z96" i="1"/>
  <c r="Z225" i="1"/>
  <c r="U87" i="1"/>
  <c r="Z87" i="1"/>
  <c r="U146" i="1"/>
  <c r="Z146" i="1"/>
  <c r="S201" i="1"/>
  <c r="E212" i="4"/>
  <c r="I212" i="4"/>
  <c r="AB212" i="4"/>
  <c r="S188" i="1"/>
  <c r="E199" i="4"/>
  <c r="I199" i="4"/>
  <c r="AA199" i="4"/>
  <c r="U119" i="1"/>
  <c r="Z119" i="1"/>
  <c r="S95" i="1"/>
  <c r="E101" i="4"/>
  <c r="I101" i="4"/>
  <c r="AB101" i="4"/>
  <c r="V83" i="1"/>
  <c r="Z83" i="1"/>
  <c r="Z41" i="1"/>
  <c r="S189" i="1"/>
  <c r="E200" i="4"/>
  <c r="I200" i="4"/>
  <c r="AA200" i="4"/>
  <c r="V169" i="1"/>
  <c r="Z169" i="1"/>
  <c r="Z145" i="1"/>
  <c r="S107" i="1"/>
  <c r="E113" i="4"/>
  <c r="I113" i="4"/>
  <c r="AA113" i="4"/>
  <c r="S68" i="1"/>
  <c r="E74" i="4"/>
  <c r="I74" i="4"/>
  <c r="AA74" i="4"/>
  <c r="V84" i="1"/>
  <c r="S214" i="1"/>
  <c r="E225" i="4"/>
  <c r="I225" i="4"/>
  <c r="AB225" i="4"/>
  <c r="Z156" i="1"/>
  <c r="Z124" i="1"/>
  <c r="Z141" i="1"/>
  <c r="Z108" i="1"/>
  <c r="S136" i="1"/>
  <c r="E143" i="4"/>
  <c r="I143" i="4"/>
  <c r="AA143" i="4"/>
  <c r="S241" i="1"/>
  <c r="E255" i="4"/>
  <c r="I255" i="4"/>
  <c r="AB255" i="4"/>
  <c r="Z93" i="1"/>
  <c r="S74" i="1"/>
  <c r="E80" i="4"/>
  <c r="I80" i="4"/>
  <c r="AB80" i="4"/>
  <c r="Z135" i="1"/>
  <c r="S214" i="4"/>
  <c r="E226" i="5"/>
  <c r="I226" i="5"/>
  <c r="AA226" i="5"/>
  <c r="AE214" i="4"/>
  <c r="AE42" i="4"/>
  <c r="V50" i="4"/>
  <c r="Z50" i="4"/>
  <c r="U230" i="4"/>
  <c r="Z230" i="4"/>
  <c r="V89" i="4"/>
  <c r="Z89" i="4"/>
  <c r="Z187" i="4"/>
  <c r="AE38" i="4"/>
  <c r="S89" i="4"/>
  <c r="E92" i="5"/>
  <c r="I92" i="5"/>
  <c r="AB92" i="5"/>
  <c r="V56" i="4"/>
  <c r="Z56" i="4"/>
  <c r="AE140" i="4"/>
  <c r="AE157" i="4"/>
  <c r="AE249" i="4"/>
  <c r="U27" i="4"/>
  <c r="Z27" i="4"/>
  <c r="U35" i="4"/>
  <c r="Z35" i="4"/>
  <c r="V61" i="4"/>
  <c r="Z61" i="4"/>
  <c r="AE65" i="4"/>
  <c r="V87" i="4"/>
  <c r="Z87" i="4"/>
  <c r="AE95" i="4"/>
  <c r="V99" i="4"/>
  <c r="Z99" i="4"/>
  <c r="AE103" i="4"/>
  <c r="AE113" i="4"/>
  <c r="AE119" i="4"/>
  <c r="U124" i="4"/>
  <c r="Z124" i="4"/>
  <c r="AE163" i="4"/>
  <c r="V167" i="4"/>
  <c r="Z167" i="4"/>
  <c r="AE185" i="4"/>
  <c r="Z226" i="4"/>
  <c r="V156" i="4"/>
  <c r="Z156" i="4"/>
  <c r="U37" i="4"/>
  <c r="Z37" i="4"/>
  <c r="AF84" i="4"/>
  <c r="Z172" i="4"/>
  <c r="Z60" i="4"/>
  <c r="V98" i="4"/>
  <c r="Z98" i="4"/>
  <c r="AE191" i="4"/>
  <c r="U150" i="4"/>
  <c r="Z150" i="4"/>
  <c r="W168" i="4"/>
  <c r="Z168" i="4"/>
  <c r="Z52" i="4"/>
  <c r="Z40" i="4"/>
  <c r="AF232" i="4"/>
  <c r="AE227" i="4"/>
  <c r="V219" i="4"/>
  <c r="Z219" i="4"/>
  <c r="AF218" i="4"/>
  <c r="V217" i="4"/>
  <c r="Z217" i="4"/>
  <c r="U215" i="4"/>
  <c r="Z215" i="4"/>
  <c r="AF213" i="4"/>
  <c r="Z196" i="4"/>
  <c r="AF165" i="4"/>
  <c r="Z136" i="4"/>
  <c r="U117" i="4"/>
  <c r="Z117" i="4"/>
  <c r="U111" i="4"/>
  <c r="Z111" i="4"/>
  <c r="AF99" i="4"/>
  <c r="AE96" i="4"/>
  <c r="AF64" i="4"/>
  <c r="AE46" i="4"/>
  <c r="V33" i="4"/>
  <c r="Z33" i="4"/>
  <c r="AF29" i="4"/>
  <c r="U249" i="4"/>
  <c r="Z249" i="4"/>
  <c r="Z243" i="4"/>
  <c r="V203" i="4"/>
  <c r="Z203" i="4"/>
  <c r="U144" i="4"/>
  <c r="Z144" i="4"/>
  <c r="U140" i="4"/>
  <c r="Z140" i="4"/>
  <c r="Z138" i="4"/>
  <c r="U76" i="4"/>
  <c r="Z76" i="4"/>
  <c r="U75" i="4"/>
  <c r="Z75" i="4"/>
  <c r="AF56" i="4"/>
  <c r="AF223" i="4"/>
  <c r="V239" i="4"/>
  <c r="Z239" i="4"/>
  <c r="Z22" i="4"/>
  <c r="Z62" i="4"/>
  <c r="Z94" i="4"/>
  <c r="Z164" i="4"/>
  <c r="AA209" i="11"/>
  <c r="AA24" i="15"/>
  <c r="AA27" i="15"/>
  <c r="AA29" i="15"/>
  <c r="AA31" i="15"/>
  <c r="AA33" i="15"/>
  <c r="AA35" i="15"/>
  <c r="AA37" i="15"/>
  <c r="V48" i="15"/>
  <c r="AA48" i="15"/>
  <c r="AH54" i="15"/>
  <c r="AH252" i="15"/>
  <c r="AH256" i="15"/>
  <c r="AF63" i="15"/>
  <c r="AA66" i="15"/>
  <c r="AA79" i="15"/>
  <c r="AA81" i="15"/>
  <c r="AA83" i="15"/>
  <c r="AA85" i="15"/>
  <c r="AA250" i="15"/>
  <c r="AG85" i="14"/>
  <c r="AG83" i="14"/>
  <c r="AG81" i="14"/>
  <c r="AG77" i="14"/>
  <c r="AG25" i="14"/>
  <c r="AG23" i="14"/>
  <c r="AF27" i="14"/>
  <c r="AF63" i="14"/>
  <c r="AA31" i="14"/>
  <c r="AA35" i="14"/>
  <c r="AA74" i="14"/>
  <c r="AA80" i="14"/>
  <c r="W81" i="14"/>
  <c r="AA81" i="14"/>
  <c r="W23" i="14"/>
  <c r="AA23" i="14"/>
  <c r="V40" i="14"/>
  <c r="AA40" i="14"/>
  <c r="W59" i="14"/>
  <c r="AA59" i="14"/>
  <c r="AG86" i="14"/>
  <c r="AA33" i="14"/>
  <c r="AF17" i="14"/>
  <c r="AG42" i="14"/>
  <c r="V61" i="14"/>
  <c r="AA61" i="14"/>
  <c r="X94" i="14"/>
  <c r="AA94" i="14"/>
  <c r="V30" i="14"/>
  <c r="AA30" i="14"/>
  <c r="V34" i="14"/>
  <c r="AA34" i="14"/>
  <c r="AF67" i="14"/>
  <c r="AF73" i="14"/>
  <c r="W52" i="14"/>
  <c r="AA52" i="14"/>
  <c r="W83" i="14"/>
  <c r="AA83" i="14"/>
  <c r="V44" i="14"/>
  <c r="AA44" i="14"/>
  <c r="AA215" i="14"/>
  <c r="X196" i="14"/>
  <c r="AA196" i="14"/>
  <c r="X189" i="14"/>
  <c r="AA189" i="14"/>
  <c r="V184" i="14"/>
  <c r="AA184" i="14"/>
  <c r="V172" i="14"/>
  <c r="AA172" i="14"/>
  <c r="V216" i="14"/>
  <c r="AA216" i="14"/>
  <c r="AA204" i="14"/>
  <c r="V201" i="14"/>
  <c r="AA201" i="14"/>
  <c r="V187" i="14"/>
  <c r="AA187" i="14"/>
  <c r="V181" i="14"/>
  <c r="AA181" i="14"/>
  <c r="V179" i="14"/>
  <c r="AA179" i="14"/>
  <c r="W57" i="14"/>
  <c r="AA57" i="14"/>
  <c r="W129" i="14"/>
  <c r="AA129" i="14"/>
  <c r="W125" i="14"/>
  <c r="AA125" i="14"/>
  <c r="W145" i="14"/>
  <c r="AA145" i="14"/>
  <c r="AA225" i="14"/>
  <c r="W222" i="14"/>
  <c r="AA222" i="14"/>
  <c r="W220" i="14"/>
  <c r="AA220" i="14"/>
  <c r="AA219" i="14"/>
  <c r="W218" i="14"/>
  <c r="AA218" i="14"/>
  <c r="W214" i="14"/>
  <c r="AA214" i="14"/>
  <c r="W212" i="14"/>
  <c r="AA212" i="14"/>
  <c r="AG208" i="14"/>
  <c r="AG203" i="14"/>
  <c r="AG192" i="14"/>
  <c r="AG178" i="14"/>
  <c r="W176" i="14"/>
  <c r="AA176" i="14"/>
  <c r="W175" i="14"/>
  <c r="AA175" i="14"/>
  <c r="W174" i="14"/>
  <c r="AA174" i="14"/>
  <c r="AF167" i="14"/>
  <c r="X165" i="14"/>
  <c r="AA165" i="14"/>
  <c r="V163" i="14"/>
  <c r="AA163" i="14"/>
  <c r="V161" i="14"/>
  <c r="AA161" i="14"/>
  <c r="V155" i="14"/>
  <c r="AA155" i="14"/>
  <c r="V149" i="14"/>
  <c r="AA149" i="14"/>
  <c r="W135" i="14"/>
  <c r="AA135" i="14"/>
  <c r="V110" i="14"/>
  <c r="AA110" i="14"/>
  <c r="AF104" i="14"/>
  <c r="V100" i="14"/>
  <c r="AA100" i="14"/>
  <c r="V90" i="14"/>
  <c r="AA90" i="14"/>
  <c r="V88" i="14"/>
  <c r="AA88" i="14"/>
  <c r="AF21" i="14"/>
  <c r="AA228" i="14"/>
  <c r="V227" i="14"/>
  <c r="AA227" i="14"/>
  <c r="AF143" i="14"/>
  <c r="AF141" i="14"/>
  <c r="V139" i="14"/>
  <c r="AA139" i="14"/>
  <c r="V137" i="14"/>
  <c r="AA137" i="14"/>
  <c r="V123" i="14"/>
  <c r="AA123" i="14"/>
  <c r="AF121" i="14"/>
  <c r="AF119" i="14"/>
  <c r="AF117" i="14"/>
  <c r="AA116" i="14"/>
  <c r="V113" i="14"/>
  <c r="AA113" i="14"/>
  <c r="AF79" i="14"/>
  <c r="V38" i="14"/>
  <c r="AA38" i="14"/>
  <c r="V36" i="14"/>
  <c r="AA36" i="14"/>
  <c r="AF30" i="14"/>
  <c r="V65" i="14"/>
  <c r="AA65" i="14"/>
  <c r="W54" i="14"/>
  <c r="AA54" i="14"/>
  <c r="Q221" i="18"/>
  <c r="AG23" i="18"/>
  <c r="AG19" i="18"/>
  <c r="W54" i="18"/>
  <c r="AA54" i="18"/>
  <c r="V84" i="18"/>
  <c r="AA84" i="18"/>
  <c r="V76" i="18"/>
  <c r="AA76" i="18"/>
  <c r="V73" i="18"/>
  <c r="AA73" i="18"/>
  <c r="V71" i="18"/>
  <c r="AA71" i="18"/>
  <c r="V69" i="18"/>
  <c r="AA69" i="18"/>
  <c r="V67" i="18"/>
  <c r="AA67" i="18"/>
  <c r="V33" i="18"/>
  <c r="AA33" i="18"/>
  <c r="V27" i="18"/>
  <c r="AA27" i="18"/>
  <c r="V17" i="18"/>
  <c r="AA17" i="18"/>
  <c r="M222" i="18"/>
  <c r="J229" i="18"/>
  <c r="AA198" i="18"/>
  <c r="AA119" i="19"/>
  <c r="AA113" i="19"/>
  <c r="AA109" i="19"/>
  <c r="AA105" i="19"/>
  <c r="AA101" i="19"/>
  <c r="AA97" i="19"/>
  <c r="AA75" i="19"/>
  <c r="AA16" i="19"/>
  <c r="T46" i="2"/>
  <c r="E47" i="1"/>
  <c r="I47" i="1"/>
  <c r="T28" i="2"/>
  <c r="E29" i="1"/>
  <c r="I29" i="1"/>
  <c r="T112" i="2"/>
  <c r="E119" i="1"/>
  <c r="I119" i="1"/>
  <c r="T23" i="2"/>
  <c r="E24" i="1"/>
  <c r="I24" i="1"/>
  <c r="T203" i="2"/>
  <c r="E217" i="1"/>
  <c r="I217" i="1"/>
  <c r="E165" i="4"/>
  <c r="I165" i="4"/>
  <c r="AB165" i="4"/>
  <c r="Z68" i="1"/>
  <c r="Z76" i="1"/>
  <c r="Z80" i="1"/>
  <c r="Z94" i="1"/>
  <c r="Z171" i="1"/>
  <c r="E144" i="4"/>
  <c r="I144" i="4"/>
  <c r="AA144" i="4"/>
  <c r="S160" i="1"/>
  <c r="E170" i="4"/>
  <c r="I170" i="4"/>
  <c r="AB170" i="4"/>
  <c r="W217" i="1"/>
  <c r="Z217" i="1"/>
  <c r="U23" i="1"/>
  <c r="Z23" i="1"/>
  <c r="U49" i="1"/>
  <c r="Z49" i="1"/>
  <c r="S163" i="1"/>
  <c r="E173" i="4"/>
  <c r="I173" i="4"/>
  <c r="AA173" i="4"/>
  <c r="U229" i="1"/>
  <c r="Z229" i="1"/>
  <c r="U88" i="1"/>
  <c r="Z88" i="1"/>
  <c r="S223" i="1"/>
  <c r="E235" i="4"/>
  <c r="I235" i="4"/>
  <c r="AA235" i="4"/>
  <c r="S195" i="1"/>
  <c r="E206" i="4"/>
  <c r="I206" i="4"/>
  <c r="AB206" i="4"/>
  <c r="S80" i="1"/>
  <c r="E86" i="4"/>
  <c r="I86" i="4"/>
  <c r="AA86" i="4"/>
  <c r="S155" i="1"/>
  <c r="E164" i="4"/>
  <c r="I164" i="4"/>
  <c r="AA164" i="4"/>
  <c r="U133" i="1"/>
  <c r="Z133" i="1"/>
  <c r="S66" i="1"/>
  <c r="E72" i="4"/>
  <c r="I72" i="4"/>
  <c r="AA72" i="4"/>
  <c r="V140" i="1"/>
  <c r="Z140" i="1"/>
  <c r="U233" i="1"/>
  <c r="Z233" i="1"/>
  <c r="Z22" i="1"/>
  <c r="Z137" i="1"/>
  <c r="Z238" i="4"/>
  <c r="U23" i="4"/>
  <c r="Z23" i="4"/>
  <c r="AE28" i="4"/>
  <c r="U38" i="4"/>
  <c r="Z38" i="4"/>
  <c r="U110" i="4"/>
  <c r="Z110" i="4"/>
  <c r="V123" i="4"/>
  <c r="Z123" i="4"/>
  <c r="U49" i="4"/>
  <c r="Z49" i="4"/>
  <c r="AE45" i="4"/>
  <c r="V179" i="4"/>
  <c r="Z179" i="4"/>
  <c r="AE49" i="4"/>
  <c r="AE19" i="4"/>
  <c r="AG192" i="4"/>
  <c r="U185" i="4"/>
  <c r="Z185" i="4"/>
  <c r="AF167" i="4"/>
  <c r="U163" i="4"/>
  <c r="Z163" i="4"/>
  <c r="AE124" i="4"/>
  <c r="AE114" i="4"/>
  <c r="U204" i="4"/>
  <c r="Z204" i="4"/>
  <c r="U202" i="4"/>
  <c r="Z202" i="4"/>
  <c r="AE175" i="4"/>
  <c r="U157" i="4"/>
  <c r="Z157" i="4"/>
  <c r="V91" i="4"/>
  <c r="Z91" i="4"/>
  <c r="AE79" i="4"/>
  <c r="AF162" i="4"/>
  <c r="Z120" i="4"/>
  <c r="Z145" i="4"/>
  <c r="Z218" i="4"/>
  <c r="Z250" i="4"/>
  <c r="Z251" i="4"/>
  <c r="Z254" i="4"/>
  <c r="Z257" i="4"/>
  <c r="V212" i="11"/>
  <c r="AA212" i="11"/>
  <c r="AA184" i="11"/>
  <c r="AG209" i="11"/>
  <c r="AG188" i="11"/>
  <c r="AF158" i="11"/>
  <c r="AF119" i="11"/>
  <c r="AF107" i="11"/>
  <c r="W191" i="11"/>
  <c r="AA191" i="11"/>
  <c r="AF47" i="11"/>
  <c r="AG213" i="11"/>
  <c r="T214" i="11"/>
  <c r="F215" i="15"/>
  <c r="J215" i="15"/>
  <c r="AC215" i="15"/>
  <c r="T193" i="11"/>
  <c r="F194" i="15"/>
  <c r="J194" i="15"/>
  <c r="AB194" i="15"/>
  <c r="T111" i="11"/>
  <c r="F112" i="15"/>
  <c r="J112" i="15"/>
  <c r="AB112" i="15"/>
  <c r="T40" i="11"/>
  <c r="F40" i="15"/>
  <c r="J40" i="15"/>
  <c r="AB40" i="15"/>
  <c r="T213" i="11"/>
  <c r="F214" i="15"/>
  <c r="J214" i="15"/>
  <c r="AC214" i="15"/>
  <c r="T211" i="11"/>
  <c r="F212" i="15"/>
  <c r="J212" i="15"/>
  <c r="AB212" i="15"/>
  <c r="T209" i="11"/>
  <c r="F210" i="15"/>
  <c r="J210" i="15"/>
  <c r="AC210" i="15"/>
  <c r="T153" i="11"/>
  <c r="F154" i="15"/>
  <c r="J154" i="15"/>
  <c r="AB154" i="15"/>
  <c r="AA102" i="11"/>
  <c r="AA104" i="11"/>
  <c r="AA114" i="11"/>
  <c r="AA116" i="11"/>
  <c r="AA118" i="11"/>
  <c r="AA120" i="11"/>
  <c r="AA157" i="11"/>
  <c r="AA164" i="11"/>
  <c r="AA172" i="11"/>
  <c r="AA178" i="11"/>
  <c r="AA180" i="11"/>
  <c r="AA190" i="11"/>
  <c r="AA202" i="11"/>
  <c r="AA206" i="11"/>
  <c r="AA208" i="11"/>
  <c r="AA231" i="11"/>
  <c r="W95" i="15"/>
  <c r="AA95" i="15"/>
  <c r="T87" i="15"/>
  <c r="F89" i="14"/>
  <c r="J89" i="14"/>
  <c r="AB89" i="14"/>
  <c r="T81" i="15"/>
  <c r="F83" i="14"/>
  <c r="J83" i="14"/>
  <c r="AC83" i="14"/>
  <c r="AG75" i="15"/>
  <c r="AG252" i="15"/>
  <c r="AG256" i="15"/>
  <c r="V71" i="15"/>
  <c r="AA71" i="15"/>
  <c r="T225" i="15"/>
  <c r="F229" i="14"/>
  <c r="J229" i="14"/>
  <c r="AB229" i="14"/>
  <c r="T221" i="15"/>
  <c r="F225" i="14"/>
  <c r="J225" i="14"/>
  <c r="AD225" i="14"/>
  <c r="T183" i="15"/>
  <c r="F185" i="14"/>
  <c r="J185" i="14"/>
  <c r="AB185" i="14"/>
  <c r="T177" i="15"/>
  <c r="F179" i="14"/>
  <c r="J179" i="14"/>
  <c r="AB179" i="14"/>
  <c r="T169" i="15"/>
  <c r="F171" i="14"/>
  <c r="J171" i="14"/>
  <c r="AB171" i="14"/>
  <c r="T161" i="15"/>
  <c r="F163" i="14"/>
  <c r="J163" i="14"/>
  <c r="AB163" i="14"/>
  <c r="T157" i="15"/>
  <c r="F159" i="14"/>
  <c r="J159" i="14"/>
  <c r="AC159" i="14"/>
  <c r="T153" i="15"/>
  <c r="F155" i="14"/>
  <c r="J155" i="14"/>
  <c r="AB155" i="14"/>
  <c r="T149" i="15"/>
  <c r="F151" i="14"/>
  <c r="J151" i="14"/>
  <c r="AC151" i="14"/>
  <c r="AA100" i="15"/>
  <c r="AA103" i="15"/>
  <c r="AA107" i="15"/>
  <c r="AA111" i="15"/>
  <c r="AA115" i="15"/>
  <c r="AA119" i="15"/>
  <c r="AA139" i="15"/>
  <c r="AA197" i="15"/>
  <c r="W132" i="14"/>
  <c r="AA132" i="14"/>
  <c r="W43" i="14"/>
  <c r="AA43" i="14"/>
  <c r="W124" i="14"/>
  <c r="AA124" i="14"/>
  <c r="V109" i="14"/>
  <c r="AA109" i="14"/>
  <c r="AF105" i="14"/>
  <c r="V93" i="14"/>
  <c r="AA93" i="14"/>
  <c r="AF62" i="14"/>
  <c r="V49" i="14"/>
  <c r="AA49" i="14"/>
  <c r="V144" i="14"/>
  <c r="AA144" i="14"/>
  <c r="AF140" i="14"/>
  <c r="V138" i="14"/>
  <c r="AA138" i="14"/>
  <c r="V136" i="14"/>
  <c r="AA136" i="14"/>
  <c r="AF128" i="14"/>
  <c r="AF122" i="14"/>
  <c r="AF116" i="14"/>
  <c r="V114" i="14"/>
  <c r="AA114" i="14"/>
  <c r="AF84" i="14"/>
  <c r="V75" i="14"/>
  <c r="AA75" i="14"/>
  <c r="V107" i="14"/>
  <c r="AA107" i="14"/>
  <c r="X95" i="14"/>
  <c r="AA95" i="14"/>
  <c r="V91" i="14"/>
  <c r="AA91" i="14"/>
  <c r="V63" i="14"/>
  <c r="AA63" i="14"/>
  <c r="X55" i="14"/>
  <c r="AA55" i="14"/>
  <c r="AG46" i="14"/>
  <c r="AF26" i="14"/>
  <c r="AH39" i="18"/>
  <c r="AG77" i="18"/>
  <c r="AG54" i="18"/>
  <c r="AG52" i="18"/>
  <c r="AG50" i="18"/>
  <c r="AG48" i="18"/>
  <c r="AG44" i="18"/>
  <c r="AG24" i="18"/>
  <c r="AG18" i="18"/>
  <c r="AG16" i="18"/>
  <c r="AF64" i="18"/>
  <c r="AF59" i="18"/>
  <c r="AF57" i="18"/>
  <c r="AF46" i="18"/>
  <c r="AF37" i="18"/>
  <c r="AF35" i="18"/>
  <c r="AF33" i="18"/>
  <c r="AF31" i="18"/>
  <c r="AF27" i="18"/>
  <c r="AF20" i="18"/>
  <c r="X39" i="18"/>
  <c r="W96" i="18"/>
  <c r="AA96" i="18"/>
  <c r="W94" i="18"/>
  <c r="AA94" i="18"/>
  <c r="W92" i="18"/>
  <c r="AA92" i="18"/>
  <c r="W50" i="18"/>
  <c r="AA50" i="18"/>
  <c r="V100" i="18"/>
  <c r="AA100" i="18"/>
  <c r="V98" i="18"/>
  <c r="AA98" i="18"/>
  <c r="V64" i="18"/>
  <c r="AA64" i="18"/>
  <c r="V62" i="18"/>
  <c r="AA62" i="18"/>
  <c r="V59" i="18"/>
  <c r="AA59" i="18"/>
  <c r="V46" i="18"/>
  <c r="AA46" i="18"/>
  <c r="V35" i="18"/>
  <c r="AA35" i="18"/>
  <c r="V26" i="18"/>
  <c r="AA26" i="18"/>
  <c r="V22" i="18"/>
  <c r="AA22" i="18"/>
  <c r="V200" i="19"/>
  <c r="AA200" i="19"/>
  <c r="X56" i="19"/>
  <c r="AA56" i="19"/>
  <c r="AH56" i="19"/>
  <c r="V200" i="11"/>
  <c r="AA200" i="11"/>
  <c r="AF164" i="11"/>
  <c r="AH154" i="11"/>
  <c r="AF146" i="11"/>
  <c r="AF103" i="11"/>
  <c r="AG236" i="11"/>
  <c r="W84" i="11"/>
  <c r="AA84" i="11"/>
  <c r="AF118" i="11"/>
  <c r="AF114" i="11"/>
  <c r="AF59" i="11"/>
  <c r="AF21" i="11"/>
  <c r="AG202" i="11"/>
  <c r="T237" i="11"/>
  <c r="F238" i="15"/>
  <c r="J238" i="15"/>
  <c r="AC238" i="15"/>
  <c r="T175" i="11"/>
  <c r="F176" i="15"/>
  <c r="J176" i="15"/>
  <c r="AC176" i="15"/>
  <c r="T121" i="11"/>
  <c r="F122" i="15"/>
  <c r="J122" i="15"/>
  <c r="AC122" i="15"/>
  <c r="T115" i="11"/>
  <c r="F116" i="15"/>
  <c r="J116" i="15"/>
  <c r="AB116" i="15"/>
  <c r="T105" i="11"/>
  <c r="F106" i="15"/>
  <c r="J106" i="15"/>
  <c r="AB106" i="15"/>
  <c r="T44" i="11"/>
  <c r="F44" i="15"/>
  <c r="J44" i="15"/>
  <c r="AB44" i="15"/>
  <c r="T250" i="11"/>
  <c r="F251" i="15"/>
  <c r="J251" i="15"/>
  <c r="AB251" i="15"/>
  <c r="T232" i="11"/>
  <c r="F233" i="15"/>
  <c r="J233" i="15"/>
  <c r="AD233" i="15"/>
  <c r="AA20" i="11"/>
  <c r="AA22" i="11"/>
  <c r="AA43" i="11"/>
  <c r="AA81" i="11"/>
  <c r="AA101" i="11"/>
  <c r="AA110" i="11"/>
  <c r="AA124" i="11"/>
  <c r="AA136" i="11"/>
  <c r="AA145" i="11"/>
  <c r="AA147" i="11"/>
  <c r="AA153" i="11"/>
  <c r="AA162" i="11"/>
  <c r="AA167" i="11"/>
  <c r="AA169" i="11"/>
  <c r="AA188" i="11"/>
  <c r="AA195" i="11"/>
  <c r="AA216" i="11"/>
  <c r="AA218" i="11"/>
  <c r="AA241" i="11"/>
  <c r="AA243" i="11"/>
  <c r="AA245" i="11"/>
  <c r="AA247" i="11"/>
  <c r="AA213" i="11"/>
  <c r="T83" i="15"/>
  <c r="F85" i="14"/>
  <c r="J85" i="14"/>
  <c r="AC85" i="14"/>
  <c r="T79" i="15"/>
  <c r="F81" i="14"/>
  <c r="J81" i="14"/>
  <c r="AC81" i="14"/>
  <c r="V69" i="15"/>
  <c r="AA69" i="15"/>
  <c r="T217" i="15"/>
  <c r="F221" i="14"/>
  <c r="J221" i="14"/>
  <c r="AC221" i="14"/>
  <c r="T213" i="15"/>
  <c r="F217" i="14"/>
  <c r="J217" i="14"/>
  <c r="AB217" i="14"/>
  <c r="T209" i="15"/>
  <c r="F213" i="14"/>
  <c r="J213" i="14"/>
  <c r="AC213" i="14"/>
  <c r="T205" i="15"/>
  <c r="F209" i="14"/>
  <c r="J209" i="14"/>
  <c r="AC209" i="14"/>
  <c r="T201" i="15"/>
  <c r="F205" i="14"/>
  <c r="J205" i="14"/>
  <c r="AB205" i="14"/>
  <c r="T197" i="15"/>
  <c r="F201" i="14"/>
  <c r="J201" i="14"/>
  <c r="AB201" i="14"/>
  <c r="T185" i="15"/>
  <c r="F187" i="14"/>
  <c r="J187" i="14"/>
  <c r="AB187" i="14"/>
  <c r="T179" i="15"/>
  <c r="F181" i="14"/>
  <c r="J181" i="14"/>
  <c r="AB181" i="14"/>
  <c r="T175" i="15"/>
  <c r="F177" i="14"/>
  <c r="J177" i="14"/>
  <c r="AC177" i="14"/>
  <c r="T171" i="15"/>
  <c r="F173" i="14"/>
  <c r="J173" i="14"/>
  <c r="AC173" i="14"/>
  <c r="T167" i="15"/>
  <c r="F169" i="14"/>
  <c r="J169" i="14"/>
  <c r="AC169" i="14"/>
  <c r="T165" i="15"/>
  <c r="F167" i="14"/>
  <c r="J167" i="14"/>
  <c r="AB167" i="14"/>
  <c r="T145" i="15"/>
  <c r="F147" i="14"/>
  <c r="J147" i="14"/>
  <c r="AC147" i="14"/>
  <c r="T139" i="15"/>
  <c r="F141" i="14"/>
  <c r="J141" i="14"/>
  <c r="AB141" i="14"/>
  <c r="T131" i="15"/>
  <c r="F133" i="14"/>
  <c r="J133" i="14"/>
  <c r="AC133" i="14"/>
  <c r="T125" i="15"/>
  <c r="F127" i="14"/>
  <c r="J127" i="14"/>
  <c r="AB127" i="14"/>
  <c r="T121" i="15"/>
  <c r="F123" i="14"/>
  <c r="J123" i="14"/>
  <c r="AB123" i="14"/>
  <c r="T115" i="15"/>
  <c r="F117" i="14"/>
  <c r="J117" i="14"/>
  <c r="AB117" i="14"/>
  <c r="T109" i="15"/>
  <c r="F111" i="14"/>
  <c r="J111" i="14"/>
  <c r="AB111" i="14"/>
  <c r="T105" i="15"/>
  <c r="F107" i="14"/>
  <c r="J107" i="14"/>
  <c r="AB107" i="14"/>
  <c r="T98" i="15"/>
  <c r="F100" i="14"/>
  <c r="J100" i="14"/>
  <c r="AB100" i="14"/>
  <c r="T90" i="15"/>
  <c r="F92" i="14"/>
  <c r="J92" i="14"/>
  <c r="AB92" i="14"/>
  <c r="AA86" i="15"/>
  <c r="AA153" i="15"/>
  <c r="AA195" i="15"/>
  <c r="AA227" i="15"/>
  <c r="W19" i="18"/>
  <c r="AA19" i="18"/>
  <c r="V37" i="18"/>
  <c r="AA37" i="18"/>
  <c r="V21" i="18"/>
  <c r="AA21" i="18"/>
  <c r="W191" i="19"/>
  <c r="AA191" i="19"/>
  <c r="W187" i="19"/>
  <c r="AA187" i="19"/>
  <c r="W186" i="19"/>
  <c r="AA186" i="19"/>
  <c r="W185" i="19"/>
  <c r="AA185" i="19"/>
  <c r="W184" i="19"/>
  <c r="AA184" i="19"/>
  <c r="W173" i="19"/>
  <c r="AA173" i="19"/>
  <c r="W172" i="19"/>
  <c r="AA172" i="19"/>
  <c r="W19" i="19"/>
  <c r="AA19" i="19"/>
  <c r="W18" i="19"/>
  <c r="AA18" i="19"/>
  <c r="AA193" i="19"/>
  <c r="V189" i="19"/>
  <c r="AA189" i="19"/>
  <c r="V188" i="19"/>
  <c r="AA188" i="19"/>
  <c r="V183" i="19"/>
  <c r="AA183" i="19"/>
  <c r="V182" i="19"/>
  <c r="AA182" i="19"/>
  <c r="V181" i="19"/>
  <c r="AA181" i="19"/>
  <c r="V180" i="19"/>
  <c r="AA180" i="19"/>
  <c r="V179" i="19"/>
  <c r="AA179" i="19"/>
  <c r="AF190" i="19"/>
  <c r="Q222" i="19"/>
  <c r="H89" i="2"/>
  <c r="L89" i="2"/>
  <c r="T89" i="2"/>
  <c r="E95" i="1"/>
  <c r="I95" i="1"/>
  <c r="T204" i="2"/>
  <c r="E218" i="1"/>
  <c r="I218" i="1"/>
  <c r="T106" i="2"/>
  <c r="E113" i="1"/>
  <c r="I113" i="1"/>
  <c r="T102" i="2"/>
  <c r="E109" i="1"/>
  <c r="I109" i="1"/>
  <c r="T100" i="2"/>
  <c r="E107" i="1"/>
  <c r="I107" i="1"/>
  <c r="T93" i="2"/>
  <c r="E100" i="1"/>
  <c r="I100" i="1"/>
  <c r="T153" i="2"/>
  <c r="E164" i="1"/>
  <c r="I164" i="1"/>
  <c r="T69" i="2"/>
  <c r="E74" i="1"/>
  <c r="I74" i="1"/>
  <c r="T143" i="2"/>
  <c r="E152" i="1"/>
  <c r="I152" i="1"/>
  <c r="T65" i="2"/>
  <c r="E70" i="1"/>
  <c r="I70" i="1"/>
  <c r="T190" i="2"/>
  <c r="E202" i="1"/>
  <c r="I202" i="1"/>
  <c r="T208" i="2"/>
  <c r="E223" i="1"/>
  <c r="I223" i="1"/>
  <c r="E166" i="4"/>
  <c r="I166" i="4"/>
  <c r="AB166" i="4"/>
  <c r="T165" i="2"/>
  <c r="E176" i="1"/>
  <c r="I176" i="1"/>
  <c r="T139" i="2"/>
  <c r="E147" i="1"/>
  <c r="I147" i="1"/>
  <c r="T75" i="2"/>
  <c r="E80" i="1"/>
  <c r="I80" i="1"/>
  <c r="T215" i="2"/>
  <c r="E230" i="1"/>
  <c r="I230" i="1"/>
  <c r="T206" i="2"/>
  <c r="E221" i="1"/>
  <c r="I221" i="1"/>
  <c r="T145" i="2"/>
  <c r="E155" i="1"/>
  <c r="I155" i="1"/>
  <c r="T91" i="2"/>
  <c r="E98" i="1"/>
  <c r="I98" i="1"/>
  <c r="X233" i="2"/>
  <c r="Z74" i="1"/>
  <c r="Z92" i="1"/>
  <c r="Z107" i="1"/>
  <c r="Z132" i="1"/>
  <c r="Z136" i="1"/>
  <c r="Z189" i="1"/>
  <c r="Z211" i="1"/>
  <c r="Z213" i="1"/>
  <c r="Z218" i="1"/>
  <c r="Z230" i="1"/>
  <c r="Z232" i="1"/>
  <c r="Z95" i="1"/>
  <c r="Z123" i="1"/>
  <c r="Z188" i="1"/>
  <c r="Z197" i="1"/>
  <c r="Z201" i="1"/>
  <c r="U167" i="1"/>
  <c r="Z167" i="1"/>
  <c r="U27" i="1"/>
  <c r="Z27" i="1"/>
  <c r="S64" i="1"/>
  <c r="E68" i="4"/>
  <c r="I68" i="4"/>
  <c r="AA68" i="4"/>
  <c r="S123" i="1"/>
  <c r="E130" i="4"/>
  <c r="I130" i="4"/>
  <c r="AA130" i="4"/>
  <c r="U21" i="1"/>
  <c r="Z21" i="1"/>
  <c r="U24" i="1"/>
  <c r="Z24" i="1"/>
  <c r="U19" i="1"/>
  <c r="Z19" i="1"/>
  <c r="V215" i="1"/>
  <c r="Z215" i="1"/>
  <c r="S151" i="1"/>
  <c r="E160" i="4"/>
  <c r="I160" i="4"/>
  <c r="AA160" i="4"/>
  <c r="S111" i="1"/>
  <c r="E117" i="4"/>
  <c r="I117" i="4"/>
  <c r="AA117" i="4"/>
  <c r="S60" i="1"/>
  <c r="E64" i="4"/>
  <c r="I64" i="4"/>
  <c r="AB64" i="4"/>
  <c r="V139" i="1"/>
  <c r="Z139" i="1"/>
  <c r="S70" i="1"/>
  <c r="E76" i="4"/>
  <c r="I76" i="4"/>
  <c r="AA76" i="4"/>
  <c r="V182" i="1"/>
  <c r="Z182" i="1"/>
  <c r="Z69" i="1"/>
  <c r="U180" i="1"/>
  <c r="Z180" i="1"/>
  <c r="Z53" i="1"/>
  <c r="Z58" i="1"/>
  <c r="Z195" i="1"/>
  <c r="Z26" i="1"/>
  <c r="Z50" i="1"/>
  <c r="Z91" i="1"/>
  <c r="Z104" i="1"/>
  <c r="Z214" i="1"/>
  <c r="Z30" i="1"/>
  <c r="Z155" i="1"/>
  <c r="Z183" i="1"/>
  <c r="S73" i="4"/>
  <c r="E76" i="5"/>
  <c r="I76" i="5"/>
  <c r="AA76" i="5"/>
  <c r="U73" i="4"/>
  <c r="Z73" i="4"/>
  <c r="AE73" i="4"/>
  <c r="Z193" i="4"/>
  <c r="U184" i="4"/>
  <c r="Z184" i="4"/>
  <c r="U256" i="4"/>
  <c r="Z256" i="4"/>
  <c r="AE121" i="4"/>
  <c r="Z109" i="4"/>
  <c r="V48" i="4"/>
  <c r="Z48" i="4"/>
  <c r="U154" i="4"/>
  <c r="Z154" i="4"/>
  <c r="V178" i="4"/>
  <c r="Z178" i="4"/>
  <c r="AF158" i="4"/>
  <c r="V171" i="4"/>
  <c r="Z171" i="4"/>
  <c r="V210" i="4"/>
  <c r="Z210" i="4"/>
  <c r="AF236" i="4"/>
  <c r="V236" i="4"/>
  <c r="Z236" i="4"/>
  <c r="L258" i="4"/>
  <c r="L259" i="4"/>
  <c r="V255" i="4"/>
  <c r="Z255" i="4"/>
  <c r="U79" i="4"/>
  <c r="Z79" i="4"/>
  <c r="V90" i="4"/>
  <c r="Z90" i="4"/>
  <c r="AE144" i="4"/>
  <c r="AE174" i="4"/>
  <c r="AE246" i="4"/>
  <c r="Z21" i="4"/>
  <c r="Z54" i="4"/>
  <c r="AE69" i="4"/>
  <c r="U103" i="4"/>
  <c r="Z103" i="4"/>
  <c r="AE107" i="4"/>
  <c r="AE117" i="4"/>
  <c r="Z165" i="4"/>
  <c r="Z191" i="4"/>
  <c r="U195" i="4"/>
  <c r="Z195" i="4"/>
  <c r="W233" i="4"/>
  <c r="Z233" i="4"/>
  <c r="AF57" i="4"/>
  <c r="U68" i="4"/>
  <c r="Z68" i="4"/>
  <c r="AF80" i="4"/>
  <c r="AF91" i="4"/>
  <c r="AE128" i="4"/>
  <c r="Z143" i="4"/>
  <c r="U174" i="4"/>
  <c r="Z174" i="4"/>
  <c r="Z242" i="4"/>
  <c r="AF31" i="4"/>
  <c r="Z64" i="4"/>
  <c r="AF102" i="4"/>
  <c r="U114" i="4"/>
  <c r="Z114" i="4"/>
  <c r="Z118" i="4"/>
  <c r="U135" i="4"/>
  <c r="Z135" i="4"/>
  <c r="AF226" i="4"/>
  <c r="V57" i="4"/>
  <c r="Z57" i="4"/>
  <c r="AE150" i="4"/>
  <c r="AF208" i="4"/>
  <c r="V208" i="4"/>
  <c r="Z208" i="4"/>
  <c r="Z153" i="4"/>
  <c r="Z108" i="4"/>
  <c r="Z45" i="4"/>
  <c r="U235" i="4"/>
  <c r="Z235" i="4"/>
  <c r="U229" i="4"/>
  <c r="Z229" i="4"/>
  <c r="U227" i="4"/>
  <c r="Z227" i="4"/>
  <c r="AF220" i="4"/>
  <c r="AE216" i="4"/>
  <c r="U214" i="4"/>
  <c r="Z214" i="4"/>
  <c r="V213" i="4"/>
  <c r="Z213" i="4"/>
  <c r="AE196" i="4"/>
  <c r="V186" i="4"/>
  <c r="Z186" i="4"/>
  <c r="AE135" i="4"/>
  <c r="U116" i="4"/>
  <c r="Z116" i="4"/>
  <c r="Z113" i="4"/>
  <c r="AE110" i="4"/>
  <c r="U107" i="4"/>
  <c r="Z107" i="4"/>
  <c r="V102" i="4"/>
  <c r="Z102" i="4"/>
  <c r="AF88" i="4"/>
  <c r="V88" i="4"/>
  <c r="Z88" i="4"/>
  <c r="U86" i="4"/>
  <c r="Z86" i="4"/>
  <c r="U69" i="4"/>
  <c r="Z69" i="4"/>
  <c r="Z59" i="4"/>
  <c r="U53" i="4"/>
  <c r="Z53" i="4"/>
  <c r="U46" i="4"/>
  <c r="Z46" i="4"/>
  <c r="V31" i="4"/>
  <c r="Z31" i="4"/>
  <c r="U24" i="4"/>
  <c r="Z24" i="4"/>
  <c r="Z248" i="4"/>
  <c r="U244" i="4"/>
  <c r="Z244" i="4"/>
  <c r="AF241" i="4"/>
  <c r="AE205" i="4"/>
  <c r="AF203" i="4"/>
  <c r="AE202" i="4"/>
  <c r="Z176" i="4"/>
  <c r="U175" i="4"/>
  <c r="Z175" i="4"/>
  <c r="AE146" i="4"/>
  <c r="Z141" i="4"/>
  <c r="U128" i="4"/>
  <c r="Z128" i="4"/>
  <c r="Z92" i="4"/>
  <c r="AF90" i="4"/>
  <c r="AE72" i="4"/>
  <c r="AG44" i="4"/>
  <c r="AF255" i="4"/>
  <c r="AF239" i="4"/>
  <c r="S146" i="4"/>
  <c r="E152" i="5"/>
  <c r="I152" i="5"/>
  <c r="AA152" i="5"/>
  <c r="AE256" i="4"/>
  <c r="AE230" i="4"/>
  <c r="Z253" i="4"/>
  <c r="Z51" i="4"/>
  <c r="AF244" i="11"/>
  <c r="AG217" i="11"/>
  <c r="AG195" i="11"/>
  <c r="V182" i="11"/>
  <c r="AA182" i="11"/>
  <c r="V193" i="11"/>
  <c r="AA193" i="11"/>
  <c r="AF178" i="11"/>
  <c r="AF167" i="11"/>
  <c r="AH162" i="11"/>
  <c r="W143" i="11"/>
  <c r="AA143" i="11"/>
  <c r="W100" i="11"/>
  <c r="AA100" i="11"/>
  <c r="AF136" i="11"/>
  <c r="W52" i="11"/>
  <c r="AA52" i="11"/>
  <c r="W45" i="11"/>
  <c r="AA45" i="11"/>
  <c r="AF81" i="11"/>
  <c r="AG216" i="11"/>
  <c r="T218" i="11"/>
  <c r="F219" i="15"/>
  <c r="J219" i="15"/>
  <c r="AC219" i="15"/>
  <c r="T206" i="11"/>
  <c r="F207" i="15"/>
  <c r="J207" i="15"/>
  <c r="AC207" i="15"/>
  <c r="T195" i="11"/>
  <c r="F196" i="15"/>
  <c r="J196" i="15"/>
  <c r="AC196" i="15"/>
  <c r="T166" i="11"/>
  <c r="F167" i="15"/>
  <c r="J167" i="15"/>
  <c r="AC167" i="15"/>
  <c r="T143" i="11"/>
  <c r="F144" i="15"/>
  <c r="J144" i="15"/>
  <c r="AC144" i="15"/>
  <c r="T84" i="11"/>
  <c r="F85" i="15"/>
  <c r="J85" i="15"/>
  <c r="AC85" i="15"/>
  <c r="T45" i="11"/>
  <c r="F45" i="15"/>
  <c r="J45" i="15"/>
  <c r="AC45" i="15"/>
  <c r="T43" i="11"/>
  <c r="F43" i="15"/>
  <c r="J43" i="15"/>
  <c r="AB43" i="15"/>
  <c r="T169" i="11"/>
  <c r="F170" i="15"/>
  <c r="J170" i="15"/>
  <c r="AB170" i="15"/>
  <c r="T178" i="11"/>
  <c r="F179" i="15"/>
  <c r="J179" i="15"/>
  <c r="AB179" i="15"/>
  <c r="AA27" i="11"/>
  <c r="AA58" i="11"/>
  <c r="AA63" i="11"/>
  <c r="AA71" i="11"/>
  <c r="AA123" i="11"/>
  <c r="AA125" i="11"/>
  <c r="AA140" i="11"/>
  <c r="AA146" i="11"/>
  <c r="AA152" i="11"/>
  <c r="AA154" i="11"/>
  <c r="AA156" i="11"/>
  <c r="AA168" i="11"/>
  <c r="AA177" i="11"/>
  <c r="AA204" i="11"/>
  <c r="AA236" i="11"/>
  <c r="AA250" i="11"/>
  <c r="AA131" i="11"/>
  <c r="AA30" i="15"/>
  <c r="AA32" i="15"/>
  <c r="AA34" i="15"/>
  <c r="AA36" i="15"/>
  <c r="AA80" i="15"/>
  <c r="AA94" i="15"/>
  <c r="AA104" i="15"/>
  <c r="AA106" i="15"/>
  <c r="AA108" i="15"/>
  <c r="AA110" i="15"/>
  <c r="AA112" i="15"/>
  <c r="AA114" i="15"/>
  <c r="AA116" i="15"/>
  <c r="AA118" i="15"/>
  <c r="AA122" i="15"/>
  <c r="AA128" i="15"/>
  <c r="AA130" i="15"/>
  <c r="AA138" i="15"/>
  <c r="AA140" i="15"/>
  <c r="AA144" i="15"/>
  <c r="AA191" i="15"/>
  <c r="AA223" i="15"/>
  <c r="AA240" i="15"/>
  <c r="F175" i="18"/>
  <c r="J175" i="18"/>
  <c r="AD175" i="18"/>
  <c r="F174" i="18"/>
  <c r="J174" i="18"/>
  <c r="AC174" i="18"/>
  <c r="W86" i="14"/>
  <c r="AA86" i="14"/>
  <c r="W78" i="14"/>
  <c r="AA78" i="14"/>
  <c r="AG52" i="14"/>
  <c r="V20" i="14"/>
  <c r="AA20" i="14"/>
  <c r="W29" i="14"/>
  <c r="AA29" i="14"/>
  <c r="V70" i="14"/>
  <c r="AA70" i="14"/>
  <c r="V37" i="14"/>
  <c r="AA37" i="14"/>
  <c r="AF32" i="14"/>
  <c r="AH94" i="14"/>
  <c r="W42" i="14"/>
  <c r="AA42" i="14"/>
  <c r="AA40" i="18"/>
  <c r="AF189" i="18"/>
  <c r="AF56" i="18"/>
  <c r="AF40" i="18"/>
  <c r="AA206" i="18"/>
  <c r="AA204" i="18"/>
  <c r="AA172" i="18"/>
  <c r="AA169" i="18"/>
  <c r="AA123" i="18"/>
  <c r="W23" i="18"/>
  <c r="AA23" i="18"/>
  <c r="V47" i="18"/>
  <c r="AA47" i="18"/>
  <c r="V31" i="18"/>
  <c r="AA31" i="18"/>
  <c r="V189" i="18"/>
  <c r="AA189" i="18"/>
  <c r="V56" i="18"/>
  <c r="X150" i="19"/>
  <c r="AA150" i="19"/>
  <c r="AH150" i="19"/>
  <c r="X142" i="19"/>
  <c r="AA142" i="19"/>
  <c r="AH142" i="19"/>
  <c r="X123" i="19"/>
  <c r="AA123" i="19"/>
  <c r="AH123" i="19"/>
  <c r="X89" i="19"/>
  <c r="AA89" i="19"/>
  <c r="AH89" i="19"/>
  <c r="W175" i="19"/>
  <c r="AA175" i="19"/>
  <c r="AG175" i="19"/>
  <c r="W159" i="19"/>
  <c r="AA159" i="19"/>
  <c r="AG159" i="19"/>
  <c r="W157" i="19"/>
  <c r="AA157" i="19"/>
  <c r="AG157" i="19"/>
  <c r="W153" i="19"/>
  <c r="AA153" i="19"/>
  <c r="AG153" i="19"/>
  <c r="W149" i="19"/>
  <c r="AA149" i="19"/>
  <c r="AG149" i="19"/>
  <c r="W143" i="19"/>
  <c r="AA143" i="19"/>
  <c r="AG143" i="19"/>
  <c r="W139" i="19"/>
  <c r="AA139" i="19"/>
  <c r="AG139" i="19"/>
  <c r="W92" i="19"/>
  <c r="AA92" i="19"/>
  <c r="AG92" i="19"/>
  <c r="W82" i="19"/>
  <c r="AA82" i="19"/>
  <c r="AG82" i="19"/>
  <c r="W80" i="19"/>
  <c r="AA80" i="19"/>
  <c r="AG80" i="19"/>
  <c r="W78" i="19"/>
  <c r="AA78" i="19"/>
  <c r="AG78" i="19"/>
  <c r="W74" i="19"/>
  <c r="AA74" i="19"/>
  <c r="AG74" i="19"/>
  <c r="W55" i="19"/>
  <c r="AA55" i="19"/>
  <c r="AG55" i="19"/>
  <c r="W51" i="19"/>
  <c r="AA51" i="19"/>
  <c r="AG51" i="19"/>
  <c r="W49" i="19"/>
  <c r="AA49" i="19"/>
  <c r="AG49" i="19"/>
  <c r="W41" i="19"/>
  <c r="AA41" i="19"/>
  <c r="AG41" i="19"/>
  <c r="W29" i="19"/>
  <c r="AA29" i="19"/>
  <c r="AG29" i="19"/>
  <c r="W25" i="19"/>
  <c r="AA25" i="19"/>
  <c r="AG25" i="19"/>
  <c r="W23" i="19"/>
  <c r="AA23" i="19"/>
  <c r="AG23" i="19"/>
  <c r="V174" i="19"/>
  <c r="AA174" i="19"/>
  <c r="AF174" i="19"/>
  <c r="V168" i="19"/>
  <c r="AA168" i="19"/>
  <c r="AF168" i="19"/>
  <c r="V166" i="19"/>
  <c r="AA166" i="19"/>
  <c r="AF166" i="19"/>
  <c r="V164" i="19"/>
  <c r="AA164" i="19"/>
  <c r="AF164" i="19"/>
  <c r="V162" i="19"/>
  <c r="AA162" i="19"/>
  <c r="AF162" i="19"/>
  <c r="V154" i="19"/>
  <c r="AA154" i="19"/>
  <c r="AF154" i="19"/>
  <c r="V146" i="19"/>
  <c r="AA146" i="19"/>
  <c r="AF146" i="19"/>
  <c r="V140" i="19"/>
  <c r="AA140" i="19"/>
  <c r="AF136" i="19"/>
  <c r="V136" i="19"/>
  <c r="AA136" i="19"/>
  <c r="AF134" i="19"/>
  <c r="V134" i="19"/>
  <c r="AA134" i="19"/>
  <c r="AF132" i="19"/>
  <c r="V132" i="19"/>
  <c r="AA132" i="19"/>
  <c r="AF130" i="19"/>
  <c r="V130" i="19"/>
  <c r="AA130" i="19"/>
  <c r="AF73" i="19"/>
  <c r="V73" i="19"/>
  <c r="AA73" i="19"/>
  <c r="AF71" i="19"/>
  <c r="V71" i="19"/>
  <c r="AA71" i="19"/>
  <c r="AF69" i="19"/>
  <c r="V69" i="19"/>
  <c r="AA69" i="19"/>
  <c r="AF67" i="19"/>
  <c r="V67" i="19"/>
  <c r="AA67" i="19"/>
  <c r="AF65" i="19"/>
  <c r="V65" i="19"/>
  <c r="AA65" i="19"/>
  <c r="AF63" i="19"/>
  <c r="V63" i="19"/>
  <c r="AA63" i="19"/>
  <c r="AF61" i="19"/>
  <c r="V61" i="19"/>
  <c r="AA61" i="19"/>
  <c r="AF59" i="19"/>
  <c r="V59" i="19"/>
  <c r="AA59" i="19"/>
  <c r="AF57" i="19"/>
  <c r="V57" i="19"/>
  <c r="AA57" i="19"/>
  <c r="AF46" i="19"/>
  <c r="V46" i="19"/>
  <c r="AA46" i="19"/>
  <c r="AF40" i="19"/>
  <c r="V40" i="19"/>
  <c r="AA40" i="19"/>
  <c r="V38" i="19"/>
  <c r="AA38" i="19"/>
  <c r="AF38" i="19"/>
  <c r="V36" i="19"/>
  <c r="AA36" i="19"/>
  <c r="AF36" i="19"/>
  <c r="V34" i="19"/>
  <c r="AA34" i="19"/>
  <c r="AF34" i="19"/>
  <c r="V32" i="19"/>
  <c r="AA32" i="19"/>
  <c r="AF32" i="19"/>
  <c r="V30" i="19"/>
  <c r="AA30" i="19"/>
  <c r="AF30" i="19"/>
  <c r="V28" i="19"/>
  <c r="AA28" i="19"/>
  <c r="AF28" i="19"/>
  <c r="V26" i="19"/>
  <c r="AA26" i="19"/>
  <c r="AF26" i="19"/>
  <c r="V22" i="19"/>
  <c r="AA22" i="19"/>
  <c r="AF22" i="19"/>
  <c r="V20" i="19"/>
  <c r="AA20" i="19"/>
  <c r="AF20" i="19"/>
  <c r="X147" i="19"/>
  <c r="AA147" i="19"/>
  <c r="AH147" i="19"/>
  <c r="X90" i="19"/>
  <c r="AA90" i="19"/>
  <c r="AH90" i="19"/>
  <c r="X53" i="19"/>
  <c r="AA53" i="19"/>
  <c r="AH53" i="19"/>
  <c r="X39" i="19"/>
  <c r="AA39" i="19"/>
  <c r="AH39" i="19"/>
  <c r="W178" i="19"/>
  <c r="AA178" i="19"/>
  <c r="AG178" i="19"/>
  <c r="W170" i="19"/>
  <c r="AA170" i="19"/>
  <c r="AG170" i="19"/>
  <c r="W160" i="19"/>
  <c r="AA160" i="19"/>
  <c r="AG160" i="19"/>
  <c r="W158" i="19"/>
  <c r="AA158" i="19"/>
  <c r="AG158" i="19"/>
  <c r="W156" i="19"/>
  <c r="AA156" i="19"/>
  <c r="AG156" i="19"/>
  <c r="W152" i="19"/>
  <c r="AA152" i="19"/>
  <c r="AG152" i="19"/>
  <c r="W148" i="19"/>
  <c r="AA148" i="19"/>
  <c r="AG148" i="19"/>
  <c r="W144" i="19"/>
  <c r="AA144" i="19"/>
  <c r="AG144" i="19"/>
  <c r="W138" i="19"/>
  <c r="AA138" i="19"/>
  <c r="AG138" i="19"/>
  <c r="W127" i="19"/>
  <c r="AA127" i="19"/>
  <c r="AG127" i="19"/>
  <c r="W91" i="19"/>
  <c r="AA91" i="19"/>
  <c r="AG91" i="19"/>
  <c r="W81" i="19"/>
  <c r="AA81" i="19"/>
  <c r="AG81" i="19"/>
  <c r="W77" i="19"/>
  <c r="AA77" i="19"/>
  <c r="AG77" i="19"/>
  <c r="W54" i="19"/>
  <c r="AA54" i="19"/>
  <c r="AG54" i="19"/>
  <c r="W52" i="19"/>
  <c r="AA52" i="19"/>
  <c r="AG52" i="19"/>
  <c r="W50" i="19"/>
  <c r="AA50" i="19"/>
  <c r="AG50" i="19"/>
  <c r="W48" i="19"/>
  <c r="AA48" i="19"/>
  <c r="AG48" i="19"/>
  <c r="W44" i="19"/>
  <c r="AA44" i="19"/>
  <c r="AG44" i="19"/>
  <c r="W24" i="19"/>
  <c r="AA24" i="19"/>
  <c r="AG24" i="19"/>
  <c r="V177" i="19"/>
  <c r="AA177" i="19"/>
  <c r="AF177" i="19"/>
  <c r="V171" i="19"/>
  <c r="AA171" i="19"/>
  <c r="AF171" i="19"/>
  <c r="AF141" i="19"/>
  <c r="V141" i="19"/>
  <c r="AA141" i="19"/>
  <c r="AF137" i="19"/>
  <c r="V137" i="19"/>
  <c r="AA137" i="19"/>
  <c r="AF135" i="19"/>
  <c r="V135" i="19"/>
  <c r="AA135" i="19"/>
  <c r="AF133" i="19"/>
  <c r="V133" i="19"/>
  <c r="AA133" i="19"/>
  <c r="AF131" i="19"/>
  <c r="V131" i="19"/>
  <c r="AA131" i="19"/>
  <c r="AF129" i="19"/>
  <c r="V129" i="19"/>
  <c r="AA129" i="19"/>
  <c r="V126" i="19"/>
  <c r="AA126" i="19"/>
  <c r="AF126" i="19"/>
  <c r="V122" i="19"/>
  <c r="AA122" i="19"/>
  <c r="AF122" i="19"/>
  <c r="V120" i="19"/>
  <c r="AA120" i="19"/>
  <c r="AF120" i="19"/>
  <c r="V116" i="19"/>
  <c r="AA116" i="19"/>
  <c r="AF116" i="19"/>
  <c r="V114" i="19"/>
  <c r="AA114" i="19"/>
  <c r="AF114" i="19"/>
  <c r="V112" i="19"/>
  <c r="AA112" i="19"/>
  <c r="AF112" i="19"/>
  <c r="V110" i="19"/>
  <c r="AA110" i="19"/>
  <c r="AF110" i="19"/>
  <c r="V108" i="19"/>
  <c r="AA108" i="19"/>
  <c r="AF108" i="19"/>
  <c r="V106" i="19"/>
  <c r="AA106" i="19"/>
  <c r="AF106" i="19"/>
  <c r="V104" i="19"/>
  <c r="AA104" i="19"/>
  <c r="AF104" i="19"/>
  <c r="V102" i="19"/>
  <c r="AA102" i="19"/>
  <c r="AF102" i="19"/>
  <c r="V100" i="19"/>
  <c r="AA100" i="19"/>
  <c r="AF100" i="19"/>
  <c r="V98" i="19"/>
  <c r="AA98" i="19"/>
  <c r="AF98" i="19"/>
  <c r="V88" i="19"/>
  <c r="AA88" i="19"/>
  <c r="AF88" i="19"/>
  <c r="V86" i="19"/>
  <c r="AA86" i="19"/>
  <c r="AF86" i="19"/>
  <c r="V84" i="19"/>
  <c r="AA84" i="19"/>
  <c r="AF84" i="19"/>
  <c r="V76" i="19"/>
  <c r="AA76" i="19"/>
  <c r="AF76" i="19"/>
  <c r="AF72" i="19"/>
  <c r="V72" i="19"/>
  <c r="AA72" i="19"/>
  <c r="AF70" i="19"/>
  <c r="V70" i="19"/>
  <c r="AA70" i="19"/>
  <c r="AF68" i="19"/>
  <c r="V68" i="19"/>
  <c r="AA68" i="19"/>
  <c r="AF66" i="19"/>
  <c r="V66" i="19"/>
  <c r="AA66" i="19"/>
  <c r="AF64" i="19"/>
  <c r="V64" i="19"/>
  <c r="AA64" i="19"/>
  <c r="AF62" i="19"/>
  <c r="V62" i="19"/>
  <c r="AA62" i="19"/>
  <c r="AF60" i="19"/>
  <c r="V60" i="19"/>
  <c r="AA60" i="19"/>
  <c r="AF58" i="19"/>
  <c r="V58" i="19"/>
  <c r="AA58" i="19"/>
  <c r="AF47" i="19"/>
  <c r="V47" i="19"/>
  <c r="AA47" i="19"/>
  <c r="AF45" i="19"/>
  <c r="V45" i="19"/>
  <c r="AA45" i="19"/>
  <c r="V43" i="19"/>
  <c r="AA43" i="19"/>
  <c r="AF43" i="19"/>
  <c r="X176" i="19"/>
  <c r="AA176" i="19"/>
  <c r="W125" i="19"/>
  <c r="AA125" i="19"/>
  <c r="W124" i="19"/>
  <c r="AA124" i="19"/>
  <c r="W121" i="19"/>
  <c r="AA121" i="19"/>
  <c r="W118" i="19"/>
  <c r="AA118" i="19"/>
  <c r="W117" i="19"/>
  <c r="AA117" i="19"/>
  <c r="W96" i="19"/>
  <c r="AA96" i="19"/>
  <c r="W95" i="19"/>
  <c r="AA95" i="19"/>
  <c r="W94" i="19"/>
  <c r="AA94" i="19"/>
  <c r="AA169" i="19"/>
  <c r="AA167" i="19"/>
  <c r="AA165" i="19"/>
  <c r="AA163" i="19"/>
  <c r="AA161" i="19"/>
  <c r="AA93" i="19"/>
  <c r="AA87" i="19"/>
  <c r="AA85" i="19"/>
  <c r="AA83" i="19"/>
  <c r="AA27" i="19"/>
  <c r="V202" i="19"/>
  <c r="AA202" i="19"/>
  <c r="W206" i="19"/>
  <c r="AA206" i="19"/>
  <c r="W210" i="19"/>
  <c r="W212" i="19"/>
  <c r="AA212" i="19"/>
  <c r="V216" i="19"/>
  <c r="AA216" i="19"/>
  <c r="V218" i="19"/>
  <c r="AA218" i="19"/>
  <c r="AA190" i="19"/>
  <c r="AF17" i="19"/>
  <c r="AF21" i="19"/>
  <c r="AF27" i="19"/>
  <c r="AF31" i="19"/>
  <c r="AF33" i="19"/>
  <c r="AF35" i="19"/>
  <c r="AF37" i="19"/>
  <c r="AF145" i="19"/>
  <c r="AF151" i="19"/>
  <c r="AF155" i="19"/>
  <c r="AF161" i="19"/>
  <c r="AF163" i="19"/>
  <c r="AF165" i="19"/>
  <c r="AF167" i="19"/>
  <c r="AF169" i="19"/>
  <c r="AA210" i="19"/>
  <c r="AF42" i="19"/>
  <c r="AF75" i="19"/>
  <c r="AF79" i="19"/>
  <c r="AF83" i="19"/>
  <c r="AF85" i="19"/>
  <c r="AF87" i="19"/>
  <c r="AF93" i="19"/>
  <c r="AF97" i="19"/>
  <c r="AF99" i="19"/>
  <c r="AF101" i="19"/>
  <c r="AF103" i="19"/>
  <c r="AF105" i="19"/>
  <c r="AF107" i="19"/>
  <c r="AF109" i="19"/>
  <c r="AF111" i="19"/>
  <c r="AF113" i="19"/>
  <c r="AF115" i="19"/>
  <c r="AF119" i="19"/>
  <c r="AB56" i="18"/>
  <c r="T56" i="18"/>
  <c r="F56" i="19"/>
  <c r="J56" i="19"/>
  <c r="W56" i="18"/>
  <c r="AF56" i="19"/>
  <c r="E257" i="4"/>
  <c r="I257" i="4"/>
  <c r="E254" i="4"/>
  <c r="I254" i="4"/>
  <c r="Q217" i="3"/>
  <c r="E242" i="1"/>
  <c r="I242" i="1"/>
  <c r="H227" i="2"/>
  <c r="L227" i="2"/>
  <c r="E238" i="1"/>
  <c r="I238" i="1"/>
  <c r="H223" i="2"/>
  <c r="L223" i="2"/>
  <c r="T138" i="2"/>
  <c r="E146" i="1"/>
  <c r="I146" i="1"/>
  <c r="Z29" i="2"/>
  <c r="Z228" i="2"/>
  <c r="Y237" i="2"/>
  <c r="W209" i="2"/>
  <c r="T107" i="2"/>
  <c r="E114" i="1"/>
  <c r="I114" i="1"/>
  <c r="T42" i="2"/>
  <c r="E43" i="1"/>
  <c r="T40" i="2"/>
  <c r="E41" i="1"/>
  <c r="I41" i="1"/>
  <c r="T43" i="2"/>
  <c r="E44" i="1"/>
  <c r="I44" i="1"/>
  <c r="T41" i="2"/>
  <c r="E42" i="1"/>
  <c r="I42" i="1"/>
  <c r="T121" i="2"/>
  <c r="E128" i="1"/>
  <c r="I128" i="1"/>
  <c r="T172" i="2"/>
  <c r="E184" i="1"/>
  <c r="I184" i="1"/>
  <c r="T95" i="2"/>
  <c r="E102" i="1"/>
  <c r="I102" i="1"/>
  <c r="T92" i="2"/>
  <c r="E99" i="1"/>
  <c r="I99" i="1"/>
  <c r="T45" i="2"/>
  <c r="E46" i="1"/>
  <c r="I46" i="1"/>
  <c r="E246" i="4"/>
  <c r="I246" i="4"/>
  <c r="AA246" i="4"/>
  <c r="T181" i="2"/>
  <c r="E193" i="1"/>
  <c r="I193" i="1"/>
  <c r="T184" i="2"/>
  <c r="E196" i="1"/>
  <c r="I196" i="1"/>
  <c r="T105" i="2"/>
  <c r="E112" i="1"/>
  <c r="I112" i="1"/>
  <c r="T159" i="2"/>
  <c r="E170" i="1"/>
  <c r="I170" i="1"/>
  <c r="T30" i="2"/>
  <c r="E31" i="1"/>
  <c r="I31" i="1"/>
  <c r="K229" i="2"/>
  <c r="T64" i="2"/>
  <c r="E69" i="1"/>
  <c r="I69" i="1"/>
  <c r="T68" i="2"/>
  <c r="E73" i="1"/>
  <c r="I73" i="1"/>
  <c r="T113" i="2"/>
  <c r="E120" i="1"/>
  <c r="I120" i="1"/>
  <c r="V78" i="1"/>
  <c r="Z78" i="1"/>
  <c r="S78" i="1"/>
  <c r="E84" i="4"/>
  <c r="I84" i="4"/>
  <c r="AB84" i="4"/>
  <c r="U142" i="1"/>
  <c r="Z142" i="1"/>
  <c r="S142" i="1"/>
  <c r="E150" i="4"/>
  <c r="I150" i="4"/>
  <c r="AA150" i="4"/>
  <c r="S147" i="1"/>
  <c r="E155" i="4"/>
  <c r="I155" i="4"/>
  <c r="AB155" i="4"/>
  <c r="V147" i="1"/>
  <c r="Z147" i="1"/>
  <c r="V150" i="1"/>
  <c r="Z150" i="1"/>
  <c r="S150" i="1"/>
  <c r="E159" i="4"/>
  <c r="I159" i="4"/>
  <c r="AB159" i="4"/>
  <c r="S162" i="1"/>
  <c r="E172" i="4"/>
  <c r="I172" i="4"/>
  <c r="AB172" i="4"/>
  <c r="V162" i="1"/>
  <c r="Z162" i="1"/>
  <c r="V199" i="1"/>
  <c r="Z199" i="1"/>
  <c r="S199" i="1"/>
  <c r="E210" i="4"/>
  <c r="I210" i="4"/>
  <c r="AB210" i="4"/>
  <c r="S224" i="1"/>
  <c r="E236" i="4"/>
  <c r="I236" i="4"/>
  <c r="AB236" i="4"/>
  <c r="V224" i="1"/>
  <c r="Z224" i="1"/>
  <c r="Z38" i="1"/>
  <c r="W159" i="1"/>
  <c r="Z159" i="1"/>
  <c r="S159" i="1"/>
  <c r="E168" i="4"/>
  <c r="I168" i="4"/>
  <c r="AC168" i="4"/>
  <c r="V176" i="1"/>
  <c r="Z176" i="1"/>
  <c r="S176" i="1"/>
  <c r="E187" i="4"/>
  <c r="I187" i="4"/>
  <c r="AB187" i="4"/>
  <c r="S191" i="1"/>
  <c r="E202" i="4"/>
  <c r="I202" i="4"/>
  <c r="AA202" i="4"/>
  <c r="U191" i="1"/>
  <c r="Z191" i="1"/>
  <c r="S198" i="1"/>
  <c r="E209" i="4"/>
  <c r="I209" i="4"/>
  <c r="AB209" i="4"/>
  <c r="V198" i="1"/>
  <c r="Z198" i="1"/>
  <c r="Z79" i="1"/>
  <c r="Z60" i="1"/>
  <c r="Z37" i="1"/>
  <c r="Z89" i="1"/>
  <c r="U154" i="1"/>
  <c r="Z154" i="1"/>
  <c r="Z120" i="1"/>
  <c r="S94" i="1"/>
  <c r="E100" i="4"/>
  <c r="I100" i="4"/>
  <c r="AC100" i="4"/>
  <c r="U184" i="1"/>
  <c r="Z184" i="1"/>
  <c r="V144" i="1"/>
  <c r="Z144" i="1"/>
  <c r="U55" i="1"/>
  <c r="Z55" i="1"/>
  <c r="U227" i="1"/>
  <c r="Z227" i="1"/>
  <c r="V29" i="1"/>
  <c r="Z29" i="1"/>
  <c r="S231" i="1"/>
  <c r="E244" i="4"/>
  <c r="I244" i="4"/>
  <c r="AA244" i="4"/>
  <c r="Z64" i="1"/>
  <c r="U118" i="1"/>
  <c r="Z118" i="1"/>
  <c r="U179" i="1"/>
  <c r="Z179" i="1"/>
  <c r="S114" i="1"/>
  <c r="E120" i="4"/>
  <c r="I120" i="4"/>
  <c r="AA120" i="4"/>
  <c r="S90" i="1"/>
  <c r="E96" i="4"/>
  <c r="I96" i="4"/>
  <c r="AA96" i="4"/>
  <c r="V175" i="1"/>
  <c r="Z175" i="1"/>
  <c r="V20" i="1"/>
  <c r="Z20" i="1"/>
  <c r="S30" i="1"/>
  <c r="E30" i="4"/>
  <c r="I30" i="4"/>
  <c r="AB30" i="4"/>
  <c r="S158" i="1"/>
  <c r="U205" i="1"/>
  <c r="Z205" i="1"/>
  <c r="S213" i="1"/>
  <c r="E224" i="4"/>
  <c r="I224" i="4"/>
  <c r="AC224" i="4"/>
  <c r="S171" i="1"/>
  <c r="E181" i="4"/>
  <c r="I181" i="4"/>
  <c r="AB181" i="4"/>
  <c r="U109" i="1"/>
  <c r="Z109" i="1"/>
  <c r="Z226" i="1"/>
  <c r="S212" i="1"/>
  <c r="E223" i="4"/>
  <c r="I223" i="4"/>
  <c r="AB223" i="4"/>
  <c r="U148" i="1"/>
  <c r="Z148" i="1"/>
  <c r="V56" i="1"/>
  <c r="Z56" i="1"/>
  <c r="U178" i="1"/>
  <c r="Z178" i="1"/>
  <c r="Z111" i="1"/>
  <c r="S190" i="4"/>
  <c r="E202" i="5"/>
  <c r="I202" i="5"/>
  <c r="AA202" i="5"/>
  <c r="U190" i="4"/>
  <c r="Z190" i="4"/>
  <c r="S125" i="4"/>
  <c r="E131" i="5"/>
  <c r="I131" i="5"/>
  <c r="AA131" i="5"/>
  <c r="U125" i="4"/>
  <c r="Z125" i="4"/>
  <c r="AE125" i="4"/>
  <c r="S40" i="4"/>
  <c r="E40" i="5"/>
  <c r="I40" i="5"/>
  <c r="AA40" i="5"/>
  <c r="AE40" i="4"/>
  <c r="S151" i="4"/>
  <c r="E158" i="5"/>
  <c r="I158" i="5"/>
  <c r="AB158" i="5"/>
  <c r="V151" i="4"/>
  <c r="Z151" i="4"/>
  <c r="S22" i="4"/>
  <c r="E22" i="5"/>
  <c r="I22" i="5"/>
  <c r="AB22" i="5"/>
  <c r="AF22" i="4"/>
  <c r="S26" i="4"/>
  <c r="E26" i="5"/>
  <c r="I26" i="5"/>
  <c r="AA26" i="5"/>
  <c r="U26" i="4"/>
  <c r="Z26" i="4"/>
  <c r="S34" i="4"/>
  <c r="E34" i="5"/>
  <c r="I34" i="5"/>
  <c r="AB34" i="5"/>
  <c r="V34" i="4"/>
  <c r="Z34" i="4"/>
  <c r="AF34" i="4"/>
  <c r="S39" i="4"/>
  <c r="E39" i="5"/>
  <c r="I39" i="5"/>
  <c r="AA39" i="5"/>
  <c r="AE39" i="4"/>
  <c r="S58" i="4"/>
  <c r="E60" i="5"/>
  <c r="I60" i="5"/>
  <c r="AB60" i="5"/>
  <c r="V58" i="4"/>
  <c r="Z58" i="4"/>
  <c r="AF58" i="4"/>
  <c r="S62" i="4"/>
  <c r="E64" i="5"/>
  <c r="I64" i="5"/>
  <c r="AB64" i="5"/>
  <c r="AF62" i="4"/>
  <c r="S66" i="4"/>
  <c r="E68" i="5"/>
  <c r="I68" i="5"/>
  <c r="AA68" i="5"/>
  <c r="U66" i="4"/>
  <c r="Z66" i="4"/>
  <c r="AE66" i="4"/>
  <c r="S74" i="4"/>
  <c r="E77" i="5"/>
  <c r="I77" i="5"/>
  <c r="AA77" i="5"/>
  <c r="U74" i="4"/>
  <c r="Z74" i="4"/>
  <c r="S77" i="4"/>
  <c r="E80" i="5"/>
  <c r="I80" i="5"/>
  <c r="AA80" i="5"/>
  <c r="U77" i="4"/>
  <c r="Z77" i="4"/>
  <c r="S82" i="4"/>
  <c r="E85" i="5"/>
  <c r="I85" i="5"/>
  <c r="AB85" i="5"/>
  <c r="V82" i="4"/>
  <c r="Z82" i="4"/>
  <c r="S94" i="4"/>
  <c r="E97" i="5"/>
  <c r="I97" i="5"/>
  <c r="AA97" i="5"/>
  <c r="AE94" i="4"/>
  <c r="S97" i="4"/>
  <c r="E100" i="5"/>
  <c r="I100" i="5"/>
  <c r="AA100" i="5"/>
  <c r="AE97" i="4"/>
  <c r="S100" i="4"/>
  <c r="E104" i="5"/>
  <c r="I104" i="5"/>
  <c r="AC104" i="5"/>
  <c r="W100" i="4"/>
  <c r="Z100" i="4"/>
  <c r="S105" i="4"/>
  <c r="E110" i="5"/>
  <c r="I110" i="5"/>
  <c r="AB110" i="5"/>
  <c r="AF105" i="4"/>
  <c r="V105" i="4"/>
  <c r="Z105" i="4"/>
  <c r="S112" i="4"/>
  <c r="E118" i="5"/>
  <c r="I118" i="5"/>
  <c r="AA118" i="5"/>
  <c r="U112" i="4"/>
  <c r="Z112" i="4"/>
  <c r="AE112" i="4"/>
  <c r="S131" i="4"/>
  <c r="E137" i="5"/>
  <c r="I137" i="5"/>
  <c r="AA137" i="5"/>
  <c r="U131" i="4"/>
  <c r="Z131" i="4"/>
  <c r="S137" i="4"/>
  <c r="E143" i="5"/>
  <c r="I143" i="5"/>
  <c r="AB143" i="5"/>
  <c r="AF137" i="4"/>
  <c r="S142" i="4"/>
  <c r="E148" i="5"/>
  <c r="I148" i="5"/>
  <c r="AA148" i="5"/>
  <c r="AE142" i="4"/>
  <c r="S152" i="4"/>
  <c r="E159" i="5"/>
  <c r="I159" i="5"/>
  <c r="AB159" i="5"/>
  <c r="V152" i="4"/>
  <c r="Z152" i="4"/>
  <c r="AF152" i="4"/>
  <c r="S161" i="4"/>
  <c r="E168" i="5"/>
  <c r="I168" i="5"/>
  <c r="AA168" i="5"/>
  <c r="U161" i="4"/>
  <c r="Z161" i="4"/>
  <c r="S164" i="4"/>
  <c r="E171" i="5"/>
  <c r="I171" i="5"/>
  <c r="AA171" i="5"/>
  <c r="AE164" i="4"/>
  <c r="S166" i="4"/>
  <c r="AF166" i="4"/>
  <c r="S172" i="4"/>
  <c r="AF172" i="4"/>
  <c r="S177" i="4"/>
  <c r="E187" i="5"/>
  <c r="I187" i="5"/>
  <c r="AA187" i="5"/>
  <c r="U177" i="4"/>
  <c r="Z177" i="4"/>
  <c r="S182" i="4"/>
  <c r="E194" i="5"/>
  <c r="I194" i="5"/>
  <c r="AA194" i="5"/>
  <c r="AE182" i="4"/>
  <c r="S189" i="4"/>
  <c r="E201" i="5"/>
  <c r="I201" i="5"/>
  <c r="AA201" i="5"/>
  <c r="U189" i="4"/>
  <c r="Z189" i="4"/>
  <c r="S193" i="4"/>
  <c r="E205" i="5"/>
  <c r="I205" i="5"/>
  <c r="AB205" i="5"/>
  <c r="AF193" i="4"/>
  <c r="S198" i="4"/>
  <c r="E210" i="5"/>
  <c r="I210" i="5"/>
  <c r="AA210" i="5"/>
  <c r="U198" i="4"/>
  <c r="Z198" i="4"/>
  <c r="V63" i="4"/>
  <c r="Z63" i="4"/>
  <c r="AF63" i="4"/>
  <c r="AE149" i="4"/>
  <c r="U81" i="4"/>
  <c r="Z81" i="4"/>
  <c r="S153" i="4"/>
  <c r="E160" i="5"/>
  <c r="I160" i="5"/>
  <c r="AB160" i="5"/>
  <c r="AF153" i="4"/>
  <c r="S212" i="4"/>
  <c r="V212" i="4"/>
  <c r="Z212" i="4"/>
  <c r="U199" i="4"/>
  <c r="Z199" i="4"/>
  <c r="AE199" i="4"/>
  <c r="S160" i="4"/>
  <c r="E167" i="5"/>
  <c r="I167" i="5"/>
  <c r="AA167" i="5"/>
  <c r="U160" i="4"/>
  <c r="Z160" i="4"/>
  <c r="U130" i="4"/>
  <c r="Z130" i="4"/>
  <c r="S130" i="4"/>
  <c r="V85" i="4"/>
  <c r="Z85" i="4"/>
  <c r="S85" i="4"/>
  <c r="E88" i="5"/>
  <c r="I88" i="5"/>
  <c r="AB88" i="5"/>
  <c r="AF85" i="4"/>
  <c r="S55" i="4"/>
  <c r="E57" i="5"/>
  <c r="I57" i="5"/>
  <c r="AB57" i="5"/>
  <c r="AF55" i="4"/>
  <c r="S108" i="4"/>
  <c r="E113" i="5"/>
  <c r="I113" i="5"/>
  <c r="AA113" i="5"/>
  <c r="AE108" i="4"/>
  <c r="S21" i="4"/>
  <c r="E21" i="5"/>
  <c r="I21" i="5"/>
  <c r="AA21" i="5"/>
  <c r="AE21" i="4"/>
  <c r="S25" i="4"/>
  <c r="U25" i="4"/>
  <c r="Z25" i="4"/>
  <c r="S30" i="4"/>
  <c r="E30" i="5"/>
  <c r="I30" i="5"/>
  <c r="AB30" i="5"/>
  <c r="AF30" i="4"/>
  <c r="V30" i="4"/>
  <c r="Z30" i="4"/>
  <c r="S41" i="4"/>
  <c r="E41" i="5"/>
  <c r="I41" i="5"/>
  <c r="AA41" i="5"/>
  <c r="AE41" i="4"/>
  <c r="S47" i="4"/>
  <c r="E47" i="5"/>
  <c r="I47" i="5"/>
  <c r="AB47" i="5"/>
  <c r="V47" i="4"/>
  <c r="Z47" i="4"/>
  <c r="S59" i="4"/>
  <c r="E61" i="5"/>
  <c r="I61" i="5"/>
  <c r="AA61" i="5"/>
  <c r="AE59" i="4"/>
  <c r="S67" i="4"/>
  <c r="E69" i="5"/>
  <c r="I69" i="5"/>
  <c r="AA69" i="5"/>
  <c r="U67" i="4"/>
  <c r="Z67" i="4"/>
  <c r="S78" i="4"/>
  <c r="E81" i="5"/>
  <c r="I81" i="5"/>
  <c r="AA81" i="5"/>
  <c r="U78" i="4"/>
  <c r="Z78" i="4"/>
  <c r="AE83" i="4"/>
  <c r="S83" i="4"/>
  <c r="E86" i="5"/>
  <c r="I86" i="5"/>
  <c r="AA86" i="5"/>
  <c r="U83" i="4"/>
  <c r="Z83" i="4"/>
  <c r="S92" i="4"/>
  <c r="E95" i="5"/>
  <c r="I95" i="5"/>
  <c r="AA95" i="5"/>
  <c r="AE92" i="4"/>
  <c r="S101" i="4"/>
  <c r="E106" i="5"/>
  <c r="I106" i="5"/>
  <c r="AB106" i="5"/>
  <c r="V101" i="4"/>
  <c r="Z101" i="4"/>
  <c r="S104" i="4"/>
  <c r="E109" i="5"/>
  <c r="I109" i="5"/>
  <c r="AB109" i="5"/>
  <c r="V104" i="4"/>
  <c r="Z104" i="4"/>
  <c r="AF104" i="4"/>
  <c r="S106" i="4"/>
  <c r="E111" i="5"/>
  <c r="I111" i="5"/>
  <c r="AB111" i="5"/>
  <c r="V106" i="4"/>
  <c r="Z106" i="4"/>
  <c r="S115" i="4"/>
  <c r="E121" i="5"/>
  <c r="I121" i="5"/>
  <c r="AA121" i="5"/>
  <c r="U115" i="4"/>
  <c r="Z115" i="4"/>
  <c r="S118" i="4"/>
  <c r="E124" i="5"/>
  <c r="I124" i="5"/>
  <c r="AA124" i="5"/>
  <c r="AE118" i="4"/>
  <c r="S127" i="4"/>
  <c r="E133" i="5"/>
  <c r="I133" i="5"/>
  <c r="AA133" i="5"/>
  <c r="U127" i="4"/>
  <c r="Z127" i="4"/>
  <c r="AE127" i="4"/>
  <c r="S129" i="4"/>
  <c r="U129" i="4"/>
  <c r="Z129" i="4"/>
  <c r="AE129" i="4"/>
  <c r="S133" i="4"/>
  <c r="E139" i="5"/>
  <c r="I139" i="5"/>
  <c r="AA139" i="5"/>
  <c r="U133" i="4"/>
  <c r="Z133" i="4"/>
  <c r="S173" i="4"/>
  <c r="E183" i="5"/>
  <c r="I183" i="5"/>
  <c r="AA183" i="5"/>
  <c r="AE173" i="4"/>
  <c r="S183" i="4"/>
  <c r="E195" i="5"/>
  <c r="I195" i="5"/>
  <c r="AA195" i="5"/>
  <c r="U183" i="4"/>
  <c r="Z183" i="4"/>
  <c r="AE183" i="4"/>
  <c r="S188" i="4"/>
  <c r="E200" i="5"/>
  <c r="I200" i="5"/>
  <c r="AA200" i="5"/>
  <c r="V188" i="4"/>
  <c r="Z188" i="4"/>
  <c r="S194" i="4"/>
  <c r="E206" i="5"/>
  <c r="I206" i="5"/>
  <c r="AB206" i="5"/>
  <c r="V194" i="4"/>
  <c r="Z194" i="4"/>
  <c r="S197" i="4"/>
  <c r="E209" i="5"/>
  <c r="I209" i="5"/>
  <c r="AB209" i="5"/>
  <c r="V197" i="4"/>
  <c r="Z197" i="4"/>
  <c r="S200" i="4"/>
  <c r="E212" i="5"/>
  <c r="I212" i="5"/>
  <c r="AA212" i="5"/>
  <c r="AE200" i="4"/>
  <c r="Z29" i="4"/>
  <c r="Z122" i="4"/>
  <c r="Z192" i="4"/>
  <c r="Z231" i="4"/>
  <c r="AG228" i="4"/>
  <c r="AG169" i="4"/>
  <c r="Z162" i="4"/>
  <c r="Z139" i="4"/>
  <c r="Z36" i="4"/>
  <c r="Z158" i="4"/>
  <c r="AF234" i="4"/>
  <c r="V234" i="4"/>
  <c r="Z234" i="4"/>
  <c r="AE229" i="4"/>
  <c r="W228" i="4"/>
  <c r="Z228" i="4"/>
  <c r="AF225" i="4"/>
  <c r="Z222" i="4"/>
  <c r="AF221" i="4"/>
  <c r="V220" i="4"/>
  <c r="Z220" i="4"/>
  <c r="U216" i="4"/>
  <c r="Z216" i="4"/>
  <c r="AE215" i="4"/>
  <c r="V209" i="4"/>
  <c r="Z209" i="4"/>
  <c r="Z32" i="4"/>
  <c r="Z28" i="4"/>
  <c r="AE248" i="4"/>
  <c r="U245" i="4"/>
  <c r="Z245" i="4"/>
  <c r="V241" i="4"/>
  <c r="Z241" i="4"/>
  <c r="U240" i="4"/>
  <c r="Z240" i="4"/>
  <c r="AF207" i="4"/>
  <c r="Z206" i="4"/>
  <c r="U205" i="4"/>
  <c r="Z205" i="4"/>
  <c r="AE204" i="4"/>
  <c r="Z223" i="4"/>
  <c r="AF222" i="4"/>
  <c r="AG224" i="4"/>
  <c r="AF238" i="4"/>
  <c r="Z224" i="4"/>
  <c r="J259" i="11"/>
  <c r="T94" i="11"/>
  <c r="F95" i="15"/>
  <c r="J95" i="15"/>
  <c r="AC95" i="15"/>
  <c r="T79" i="11"/>
  <c r="F80" i="15"/>
  <c r="J80" i="15"/>
  <c r="AC80" i="15"/>
  <c r="T63" i="11"/>
  <c r="F64" i="15"/>
  <c r="J64" i="15"/>
  <c r="AB64" i="15"/>
  <c r="T59" i="11"/>
  <c r="F60" i="15"/>
  <c r="J60" i="15"/>
  <c r="AB60" i="15"/>
  <c r="T18" i="11"/>
  <c r="F18" i="15"/>
  <c r="J18" i="15"/>
  <c r="T182" i="11"/>
  <c r="F183" i="15"/>
  <c r="J183" i="15"/>
  <c r="AB183" i="15"/>
  <c r="T101" i="11"/>
  <c r="F102" i="15"/>
  <c r="J102" i="15"/>
  <c r="AB102" i="15"/>
  <c r="T71" i="11"/>
  <c r="F72" i="15"/>
  <c r="J72" i="15"/>
  <c r="AB72" i="15"/>
  <c r="AA60" i="11"/>
  <c r="AA97" i="11"/>
  <c r="AA160" i="11"/>
  <c r="AA26" i="15"/>
  <c r="AA38" i="15"/>
  <c r="X252" i="15"/>
  <c r="Y265" i="15"/>
  <c r="AA18" i="15"/>
  <c r="T159" i="15"/>
  <c r="F161" i="14"/>
  <c r="J161" i="14"/>
  <c r="AB161" i="14"/>
  <c r="T151" i="15"/>
  <c r="F153" i="14"/>
  <c r="J153" i="14"/>
  <c r="AC153" i="14"/>
  <c r="T141" i="15"/>
  <c r="F143" i="14"/>
  <c r="J143" i="14"/>
  <c r="AB143" i="14"/>
  <c r="T135" i="15"/>
  <c r="F137" i="14"/>
  <c r="J137" i="14"/>
  <c r="AB137" i="14"/>
  <c r="T133" i="15"/>
  <c r="F135" i="14"/>
  <c r="J135" i="14"/>
  <c r="AC135" i="14"/>
  <c r="T127" i="15"/>
  <c r="F129" i="14"/>
  <c r="J129" i="14"/>
  <c r="AC129" i="14"/>
  <c r="T119" i="15"/>
  <c r="F121" i="14"/>
  <c r="J121" i="14"/>
  <c r="AB121" i="14"/>
  <c r="T111" i="15"/>
  <c r="F113" i="14"/>
  <c r="J113" i="14"/>
  <c r="AB113" i="14"/>
  <c r="T103" i="15"/>
  <c r="F105" i="14"/>
  <c r="J105" i="14"/>
  <c r="AB105" i="14"/>
  <c r="T86" i="15"/>
  <c r="F88" i="14"/>
  <c r="J88" i="14"/>
  <c r="AB88" i="14"/>
  <c r="AA19" i="15"/>
  <c r="AA23" i="15"/>
  <c r="AA25" i="15"/>
  <c r="AF40" i="15"/>
  <c r="AA105" i="15"/>
  <c r="AA109" i="15"/>
  <c r="AA113" i="15"/>
  <c r="AA117" i="15"/>
  <c r="AA123" i="15"/>
  <c r="AA127" i="15"/>
  <c r="AA131" i="15"/>
  <c r="AA133" i="15"/>
  <c r="AA137" i="15"/>
  <c r="AA143" i="15"/>
  <c r="AA145" i="15"/>
  <c r="AA151" i="15"/>
  <c r="AA157" i="15"/>
  <c r="AA201" i="15"/>
  <c r="AA211" i="15"/>
  <c r="AA213" i="15"/>
  <c r="AA149" i="15"/>
  <c r="AA193" i="15"/>
  <c r="F18" i="18"/>
  <c r="J18" i="18"/>
  <c r="V180" i="14"/>
  <c r="AA180" i="14"/>
  <c r="V170" i="14"/>
  <c r="AA170" i="14"/>
  <c r="AA168" i="14"/>
  <c r="W133" i="14"/>
  <c r="AA133" i="14"/>
  <c r="W101" i="14"/>
  <c r="AA101" i="14"/>
  <c r="V48" i="14"/>
  <c r="AA48" i="14"/>
  <c r="V41" i="14"/>
  <c r="AA41" i="14"/>
  <c r="Q256" i="14"/>
  <c r="AA131" i="14"/>
  <c r="AA87" i="14"/>
  <c r="W153" i="14"/>
  <c r="AA153" i="14"/>
  <c r="W97" i="14"/>
  <c r="AA97" i="14"/>
  <c r="W177" i="14"/>
  <c r="AA177" i="14"/>
  <c r="AG173" i="14"/>
  <c r="V166" i="14"/>
  <c r="AA166" i="14"/>
  <c r="AH157" i="14"/>
  <c r="AF156" i="14"/>
  <c r="AA148" i="14"/>
  <c r="AF109" i="14"/>
  <c r="AF108" i="14"/>
  <c r="V108" i="14"/>
  <c r="AA108" i="14"/>
  <c r="V106" i="14"/>
  <c r="AA106" i="14"/>
  <c r="V105" i="14"/>
  <c r="AA105" i="14"/>
  <c r="AF100" i="14"/>
  <c r="AF93" i="14"/>
  <c r="V89" i="14"/>
  <c r="AA89" i="14"/>
  <c r="AA50" i="14"/>
  <c r="AF142" i="14"/>
  <c r="V142" i="14"/>
  <c r="AA142" i="14"/>
  <c r="V141" i="14"/>
  <c r="AA141" i="14"/>
  <c r="V140" i="14"/>
  <c r="AA140" i="14"/>
  <c r="AF137" i="14"/>
  <c r="AF136" i="14"/>
  <c r="AF130" i="14"/>
  <c r="V126" i="14"/>
  <c r="AA126" i="14"/>
  <c r="AF120" i="14"/>
  <c r="V120" i="14"/>
  <c r="AA120" i="14"/>
  <c r="V119" i="14"/>
  <c r="AA119" i="14"/>
  <c r="V118" i="14"/>
  <c r="AA118" i="14"/>
  <c r="AF115" i="14"/>
  <c r="AF112" i="14"/>
  <c r="V112" i="14"/>
  <c r="AA112" i="14"/>
  <c r="V111" i="14"/>
  <c r="AA111" i="14"/>
  <c r="V84" i="14"/>
  <c r="AA84" i="14"/>
  <c r="AF76" i="14"/>
  <c r="AA73" i="14"/>
  <c r="V67" i="14"/>
  <c r="AA67" i="14"/>
  <c r="AF35" i="14"/>
  <c r="AF98" i="14"/>
  <c r="AF92" i="14"/>
  <c r="V64" i="14"/>
  <c r="AA64" i="14"/>
  <c r="V17" i="14"/>
  <c r="AA17" i="14"/>
  <c r="F176" i="19"/>
  <c r="J176" i="19"/>
  <c r="AD176" i="19"/>
  <c r="F175" i="19"/>
  <c r="J175" i="19"/>
  <c r="AC175" i="19"/>
  <c r="AA120" i="18"/>
  <c r="AA116" i="18"/>
  <c r="AA114" i="18"/>
  <c r="AA112" i="18"/>
  <c r="AA110" i="18"/>
  <c r="AA108" i="18"/>
  <c r="AA106" i="18"/>
  <c r="AA104" i="18"/>
  <c r="AA102" i="18"/>
  <c r="AF21" i="18"/>
  <c r="AF17" i="18"/>
  <c r="AA219" i="18"/>
  <c r="AA213" i="18"/>
  <c r="AA207" i="18"/>
  <c r="AA175" i="18"/>
  <c r="AA146" i="18"/>
  <c r="AA89" i="18"/>
  <c r="W52" i="18"/>
  <c r="AA52" i="18"/>
  <c r="W48" i="18"/>
  <c r="AA48" i="18"/>
  <c r="W44" i="18"/>
  <c r="AA44" i="18"/>
  <c r="W25" i="18"/>
  <c r="AA25" i="18"/>
  <c r="AA218" i="18"/>
  <c r="AA202" i="18"/>
  <c r="AA196" i="18"/>
  <c r="AA149" i="18"/>
  <c r="AA141" i="18"/>
  <c r="AA119" i="18"/>
  <c r="AA115" i="18"/>
  <c r="AA113" i="18"/>
  <c r="AA111" i="18"/>
  <c r="AA109" i="18"/>
  <c r="AA107" i="18"/>
  <c r="AA105" i="18"/>
  <c r="AA103" i="18"/>
  <c r="AA101" i="18"/>
  <c r="AA99" i="18"/>
  <c r="V61" i="18"/>
  <c r="AA61" i="18"/>
  <c r="V57" i="18"/>
  <c r="AA57" i="18"/>
  <c r="V28" i="18"/>
  <c r="AA28" i="18"/>
  <c r="V20" i="18"/>
  <c r="AA20" i="18"/>
  <c r="V66" i="18"/>
  <c r="AA66" i="18"/>
  <c r="M223" i="19"/>
  <c r="J230" i="19"/>
  <c r="AA207" i="19"/>
  <c r="AA209" i="19"/>
  <c r="AA220" i="19"/>
  <c r="W195" i="19"/>
  <c r="AA195" i="19"/>
  <c r="AA204" i="19"/>
  <c r="F190" i="19"/>
  <c r="J190" i="19"/>
  <c r="AB190" i="19"/>
  <c r="H226" i="2"/>
  <c r="L226" i="2"/>
  <c r="E250" i="4"/>
  <c r="I250" i="4"/>
  <c r="T217" i="3"/>
  <c r="H69" i="2"/>
  <c r="L69" i="2"/>
  <c r="H219" i="2"/>
  <c r="L219" i="2"/>
  <c r="AI217" i="3"/>
  <c r="T154" i="2"/>
  <c r="E165" i="1"/>
  <c r="I165" i="1"/>
  <c r="T162" i="2"/>
  <c r="E173" i="1"/>
  <c r="I173" i="1"/>
  <c r="T168" i="2"/>
  <c r="E180" i="1"/>
  <c r="I180" i="1"/>
  <c r="T198" i="2"/>
  <c r="T36" i="2"/>
  <c r="E37" i="1"/>
  <c r="I37" i="1"/>
  <c r="W108" i="2"/>
  <c r="T108" i="2"/>
  <c r="E115" i="1"/>
  <c r="I115" i="1"/>
  <c r="W136" i="2"/>
  <c r="T136" i="2"/>
  <c r="E143" i="1"/>
  <c r="I143" i="1"/>
  <c r="T161" i="2"/>
  <c r="E172" i="1"/>
  <c r="I172" i="1"/>
  <c r="T166" i="2"/>
  <c r="E177" i="1"/>
  <c r="I177" i="1"/>
  <c r="T103" i="2"/>
  <c r="E110" i="1"/>
  <c r="I110" i="1"/>
  <c r="T63" i="2"/>
  <c r="E68" i="1"/>
  <c r="I68" i="1"/>
  <c r="T66" i="2"/>
  <c r="E71" i="1"/>
  <c r="I71" i="1"/>
  <c r="T67" i="2"/>
  <c r="E72" i="1"/>
  <c r="I72" i="1"/>
  <c r="T174" i="2"/>
  <c r="E186" i="1"/>
  <c r="I186" i="1"/>
  <c r="T97" i="2"/>
  <c r="E104" i="1"/>
  <c r="I104" i="1"/>
  <c r="T31" i="2"/>
  <c r="E32" i="1"/>
  <c r="I32" i="1"/>
  <c r="T37" i="2"/>
  <c r="E38" i="1"/>
  <c r="I38" i="1"/>
  <c r="T39" i="2"/>
  <c r="E40" i="1"/>
  <c r="I40" i="1"/>
  <c r="T62" i="2"/>
  <c r="E67" i="1"/>
  <c r="I67" i="1"/>
  <c r="T73" i="2"/>
  <c r="E78" i="1"/>
  <c r="I78" i="1"/>
  <c r="W73" i="2"/>
  <c r="T74" i="2"/>
  <c r="E79" i="1"/>
  <c r="I79" i="1"/>
  <c r="W74" i="2"/>
  <c r="T96" i="2"/>
  <c r="E103" i="1"/>
  <c r="I103" i="1"/>
  <c r="T117" i="2"/>
  <c r="E124" i="1"/>
  <c r="I124" i="1"/>
  <c r="T119" i="2"/>
  <c r="E126" i="1"/>
  <c r="I126" i="1"/>
  <c r="T135" i="2"/>
  <c r="E142" i="1"/>
  <c r="I142" i="1"/>
  <c r="W188" i="2"/>
  <c r="T188" i="2"/>
  <c r="E200" i="1"/>
  <c r="I200" i="1"/>
  <c r="E30" i="1"/>
  <c r="I30" i="1"/>
  <c r="T38" i="2"/>
  <c r="E39" i="1"/>
  <c r="I39" i="1"/>
  <c r="W76" i="2"/>
  <c r="T76" i="2"/>
  <c r="E81" i="1"/>
  <c r="I81" i="1"/>
  <c r="T78" i="2"/>
  <c r="E83" i="1"/>
  <c r="I83" i="1"/>
  <c r="W78" i="2"/>
  <c r="T116" i="2"/>
  <c r="E123" i="1"/>
  <c r="I123" i="1"/>
  <c r="T118" i="2"/>
  <c r="E125" i="1"/>
  <c r="I125" i="1"/>
  <c r="T167" i="2"/>
  <c r="E179" i="1"/>
  <c r="I179" i="1"/>
  <c r="E25" i="1"/>
  <c r="E23" i="4"/>
  <c r="T205" i="2"/>
  <c r="T142" i="2"/>
  <c r="E151" i="1"/>
  <c r="I151" i="1"/>
  <c r="T199" i="2"/>
  <c r="E212" i="1"/>
  <c r="I212" i="1"/>
  <c r="T176" i="2"/>
  <c r="E188" i="1"/>
  <c r="I188" i="1"/>
  <c r="T79" i="2"/>
  <c r="E84" i="1"/>
  <c r="I84" i="1"/>
  <c r="T157" i="2"/>
  <c r="E168" i="1"/>
  <c r="I168" i="1"/>
  <c r="T94" i="2"/>
  <c r="E101" i="1"/>
  <c r="I101" i="1"/>
  <c r="T35" i="2"/>
  <c r="E36" i="1"/>
  <c r="I36" i="1"/>
  <c r="E158" i="1"/>
  <c r="I158" i="1"/>
  <c r="T122" i="2"/>
  <c r="E129" i="1"/>
  <c r="I129" i="1"/>
  <c r="T144" i="2"/>
  <c r="E154" i="1"/>
  <c r="I154" i="1"/>
  <c r="T169" i="2"/>
  <c r="E181" i="1"/>
  <c r="I181" i="1"/>
  <c r="E86" i="1"/>
  <c r="I86" i="1"/>
  <c r="E167" i="4"/>
  <c r="I167" i="4"/>
  <c r="AB167" i="4"/>
  <c r="V45" i="1"/>
  <c r="Z45" i="1"/>
  <c r="S45" i="1"/>
  <c r="E47" i="4"/>
  <c r="I47" i="4"/>
  <c r="AB47" i="4"/>
  <c r="S67" i="1"/>
  <c r="E73" i="4"/>
  <c r="I73" i="4"/>
  <c r="AA73" i="4"/>
  <c r="U67" i="1"/>
  <c r="Z67" i="1"/>
  <c r="S75" i="1"/>
  <c r="E81" i="4"/>
  <c r="I81" i="4"/>
  <c r="AA81" i="4"/>
  <c r="U75" i="1"/>
  <c r="Z75" i="1"/>
  <c r="S77" i="1"/>
  <c r="E83" i="4"/>
  <c r="I83" i="4"/>
  <c r="AA83" i="4"/>
  <c r="U77" i="1"/>
  <c r="Z77" i="1"/>
  <c r="V82" i="1"/>
  <c r="Z82" i="1"/>
  <c r="S82" i="1"/>
  <c r="S100" i="1"/>
  <c r="E106" i="4"/>
  <c r="I106" i="4"/>
  <c r="AB106" i="4"/>
  <c r="V100" i="1"/>
  <c r="Z100" i="1"/>
  <c r="S116" i="1"/>
  <c r="E123" i="4"/>
  <c r="I123" i="4"/>
  <c r="AB123" i="4"/>
  <c r="V116" i="1"/>
  <c r="Z116" i="1"/>
  <c r="S117" i="1"/>
  <c r="E124" i="4"/>
  <c r="I124" i="4"/>
  <c r="AA124" i="4"/>
  <c r="U117" i="1"/>
  <c r="Z117" i="1"/>
  <c r="U127" i="1"/>
  <c r="Z127" i="1"/>
  <c r="S127" i="1"/>
  <c r="E134" i="4"/>
  <c r="I134" i="4"/>
  <c r="AA134" i="4"/>
  <c r="S138" i="1"/>
  <c r="E146" i="4"/>
  <c r="I146" i="4"/>
  <c r="AA146" i="4"/>
  <c r="U138" i="1"/>
  <c r="Z138" i="1"/>
  <c r="S164" i="1"/>
  <c r="E174" i="4"/>
  <c r="I174" i="4"/>
  <c r="AA174" i="4"/>
  <c r="U164" i="1"/>
  <c r="Z164" i="1"/>
  <c r="V177" i="1"/>
  <c r="Z177" i="1"/>
  <c r="S177" i="1"/>
  <c r="E188" i="4"/>
  <c r="I188" i="4"/>
  <c r="AB188" i="4"/>
  <c r="S181" i="1"/>
  <c r="E192" i="4"/>
  <c r="I192" i="4"/>
  <c r="AC192" i="4"/>
  <c r="W181" i="1"/>
  <c r="Z181" i="1"/>
  <c r="S187" i="1"/>
  <c r="E198" i="4"/>
  <c r="I198" i="4"/>
  <c r="AA198" i="4"/>
  <c r="U187" i="1"/>
  <c r="Z187" i="1"/>
  <c r="S202" i="1"/>
  <c r="E213" i="4"/>
  <c r="I213" i="4"/>
  <c r="AB213" i="4"/>
  <c r="V202" i="1"/>
  <c r="Z202" i="1"/>
  <c r="V209" i="1"/>
  <c r="Z209" i="1"/>
  <c r="S209" i="1"/>
  <c r="E220" i="4"/>
  <c r="I220" i="4"/>
  <c r="AB220" i="4"/>
  <c r="S210" i="1"/>
  <c r="E221" i="4"/>
  <c r="I221" i="4"/>
  <c r="AB221" i="4"/>
  <c r="V210" i="1"/>
  <c r="Z210" i="1"/>
  <c r="S228" i="1"/>
  <c r="E241" i="4"/>
  <c r="I241" i="4"/>
  <c r="AB241" i="4"/>
  <c r="V228" i="1"/>
  <c r="Z228" i="1"/>
  <c r="U35" i="1"/>
  <c r="Z35" i="1"/>
  <c r="S35" i="1"/>
  <c r="E35" i="4"/>
  <c r="I35" i="4"/>
  <c r="AA35" i="4"/>
  <c r="P48" i="1"/>
  <c r="P51" i="1"/>
  <c r="P59" i="1"/>
  <c r="V149" i="1"/>
  <c r="Z149" i="1"/>
  <c r="S149" i="1"/>
  <c r="E158" i="4"/>
  <c r="I158" i="4"/>
  <c r="AB158" i="4"/>
  <c r="U216" i="1"/>
  <c r="Z216" i="1"/>
  <c r="S216" i="1"/>
  <c r="E227" i="4"/>
  <c r="I227" i="4"/>
  <c r="AA227" i="4"/>
  <c r="Z113" i="1"/>
  <c r="Z121" i="1"/>
  <c r="U25" i="1"/>
  <c r="V206" i="1"/>
  <c r="Z206" i="1"/>
  <c r="U61" i="1"/>
  <c r="Z61" i="1"/>
  <c r="V220" i="1"/>
  <c r="Z220" i="1"/>
  <c r="Z114" i="1"/>
  <c r="Z194" i="1"/>
  <c r="Z212" i="1"/>
  <c r="Z231" i="1"/>
  <c r="Z143" i="1"/>
  <c r="Z223" i="1"/>
  <c r="S33" i="1"/>
  <c r="V33" i="1"/>
  <c r="S44" i="1"/>
  <c r="E46" i="4"/>
  <c r="I46" i="4"/>
  <c r="AA46" i="4"/>
  <c r="U44" i="1"/>
  <c r="Z44" i="1"/>
  <c r="S57" i="1"/>
  <c r="E61" i="4"/>
  <c r="I61" i="4"/>
  <c r="AB61" i="4"/>
  <c r="V57" i="1"/>
  <c r="Z57" i="1"/>
  <c r="S63" i="1"/>
  <c r="E67" i="4"/>
  <c r="I67" i="4"/>
  <c r="AA67" i="4"/>
  <c r="U63" i="1"/>
  <c r="Z63" i="1"/>
  <c r="S71" i="1"/>
  <c r="E77" i="4"/>
  <c r="I77" i="4"/>
  <c r="AA77" i="4"/>
  <c r="U71" i="1"/>
  <c r="Z71" i="1"/>
  <c r="E94" i="5"/>
  <c r="E91" i="4"/>
  <c r="I91" i="4"/>
  <c r="AB91" i="4"/>
  <c r="V99" i="1"/>
  <c r="Z99" i="1"/>
  <c r="S99" i="1"/>
  <c r="E105" i="4"/>
  <c r="I105" i="4"/>
  <c r="AB105" i="4"/>
  <c r="U101" i="1"/>
  <c r="Z101" i="1"/>
  <c r="S101" i="1"/>
  <c r="E107" i="4"/>
  <c r="I107" i="4"/>
  <c r="AA107" i="4"/>
  <c r="S122" i="1"/>
  <c r="E129" i="4"/>
  <c r="I129" i="4"/>
  <c r="AA129" i="4"/>
  <c r="U122" i="1"/>
  <c r="Z122" i="1"/>
  <c r="S126" i="1"/>
  <c r="E133" i="4"/>
  <c r="I133" i="4"/>
  <c r="AA133" i="4"/>
  <c r="U126" i="1"/>
  <c r="Z126" i="1"/>
  <c r="U128" i="1"/>
  <c r="Z128" i="1"/>
  <c r="S128" i="1"/>
  <c r="E135" i="4"/>
  <c r="I135" i="4"/>
  <c r="AA135" i="4"/>
  <c r="S170" i="1"/>
  <c r="E180" i="4"/>
  <c r="I180" i="4"/>
  <c r="AB180" i="4"/>
  <c r="V170" i="1"/>
  <c r="Z170" i="1"/>
  <c r="S174" i="1"/>
  <c r="U174" i="1"/>
  <c r="Z174" i="1"/>
  <c r="S208" i="1"/>
  <c r="E219" i="4"/>
  <c r="I219" i="4"/>
  <c r="AB219" i="4"/>
  <c r="V208" i="1"/>
  <c r="Z208" i="1"/>
  <c r="S219" i="1"/>
  <c r="V219" i="1"/>
  <c r="Z219" i="1"/>
  <c r="S221" i="1"/>
  <c r="E233" i="4"/>
  <c r="I233" i="4"/>
  <c r="AC233" i="4"/>
  <c r="W221" i="1"/>
  <c r="Z221" i="1"/>
  <c r="S235" i="1"/>
  <c r="U235" i="1"/>
  <c r="Z235" i="1"/>
  <c r="P34" i="1"/>
  <c r="P36" i="1"/>
  <c r="P40" i="1"/>
  <c r="P47" i="1"/>
  <c r="P52" i="1"/>
  <c r="P54" i="1"/>
  <c r="V81" i="1"/>
  <c r="Z81" i="1"/>
  <c r="S81" i="1"/>
  <c r="E87" i="4"/>
  <c r="I87" i="4"/>
  <c r="AB87" i="4"/>
  <c r="U102" i="1"/>
  <c r="Z102" i="1"/>
  <c r="S102" i="1"/>
  <c r="E108" i="4"/>
  <c r="I108" i="4"/>
  <c r="AA108" i="4"/>
  <c r="U125" i="1"/>
  <c r="Z125" i="1"/>
  <c r="S125" i="1"/>
  <c r="E132" i="4"/>
  <c r="I132" i="4"/>
  <c r="AA132" i="4"/>
  <c r="V161" i="1"/>
  <c r="Z161" i="1"/>
  <c r="S161" i="1"/>
  <c r="E171" i="4"/>
  <c r="I171" i="4"/>
  <c r="AB171" i="4"/>
  <c r="P168" i="1"/>
  <c r="P200" i="1"/>
  <c r="Z84" i="1"/>
  <c r="Z129" i="1"/>
  <c r="Z70" i="1"/>
  <c r="Z106" i="1"/>
  <c r="Z151" i="1"/>
  <c r="Z241" i="1"/>
  <c r="H244" i="1"/>
  <c r="E19" i="5"/>
  <c r="S237" i="4"/>
  <c r="E250" i="5"/>
  <c r="I250" i="5"/>
  <c r="AB250" i="5"/>
  <c r="V237" i="4"/>
  <c r="Z237" i="4"/>
  <c r="AF237" i="4"/>
  <c r="V201" i="4"/>
  <c r="Z201" i="4"/>
  <c r="AF201" i="4"/>
  <c r="S201" i="4"/>
  <c r="E213" i="5"/>
  <c r="I213" i="5"/>
  <c r="AB213" i="5"/>
  <c r="S170" i="4"/>
  <c r="E179" i="5"/>
  <c r="I179" i="5"/>
  <c r="AB179" i="5"/>
  <c r="AF170" i="4"/>
  <c r="V170" i="4"/>
  <c r="Z170" i="4"/>
  <c r="P258" i="4"/>
  <c r="L265" i="4"/>
  <c r="S132" i="4"/>
  <c r="E138" i="5"/>
  <c r="I138" i="5"/>
  <c r="AA138" i="5"/>
  <c r="AE132" i="4"/>
  <c r="U132" i="4"/>
  <c r="Z132" i="4"/>
  <c r="S155" i="4"/>
  <c r="E162" i="5"/>
  <c r="I162" i="5"/>
  <c r="AB162" i="5"/>
  <c r="V155" i="4"/>
  <c r="Z155" i="4"/>
  <c r="AF155" i="4"/>
  <c r="V211" i="4"/>
  <c r="Z211" i="4"/>
  <c r="S211" i="4"/>
  <c r="E223" i="5"/>
  <c r="I223" i="5"/>
  <c r="AB223" i="5"/>
  <c r="AF211" i="4"/>
  <c r="V148" i="4"/>
  <c r="Z148" i="4"/>
  <c r="S148" i="4"/>
  <c r="E155" i="5"/>
  <c r="I155" i="5"/>
  <c r="AB155" i="5"/>
  <c r="AF148" i="4"/>
  <c r="V55" i="4"/>
  <c r="AF151" i="4"/>
  <c r="U19" i="4"/>
  <c r="AF61" i="4"/>
  <c r="U39" i="4"/>
  <c r="Z39" i="4"/>
  <c r="AE27" i="4"/>
  <c r="AE24" i="4"/>
  <c r="W44" i="4"/>
  <c r="W169" i="4"/>
  <c r="Z169" i="4"/>
  <c r="AF70" i="4"/>
  <c r="V70" i="4"/>
  <c r="Z70" i="4"/>
  <c r="V36" i="11"/>
  <c r="AF36" i="11"/>
  <c r="V46" i="11"/>
  <c r="AA46" i="11"/>
  <c r="T46" i="11"/>
  <c r="F46" i="15"/>
  <c r="J46" i="15"/>
  <c r="AB46" i="15"/>
  <c r="V67" i="11"/>
  <c r="AA67" i="11"/>
  <c r="T67" i="11"/>
  <c r="F68" i="15"/>
  <c r="J68" i="15"/>
  <c r="AB68" i="15"/>
  <c r="AF67" i="11"/>
  <c r="AG80" i="11"/>
  <c r="W80" i="11"/>
  <c r="V108" i="11"/>
  <c r="AA108" i="11"/>
  <c r="AF108" i="11"/>
  <c r="V112" i="11"/>
  <c r="AA112" i="11"/>
  <c r="AF112" i="11"/>
  <c r="V141" i="11"/>
  <c r="AA141" i="11"/>
  <c r="T141" i="11"/>
  <c r="F142" i="15"/>
  <c r="J142" i="15"/>
  <c r="AB142" i="15"/>
  <c r="W187" i="11"/>
  <c r="AA187" i="11"/>
  <c r="T187" i="11"/>
  <c r="F188" i="15"/>
  <c r="J188" i="15"/>
  <c r="AC188" i="15"/>
  <c r="AG187" i="11"/>
  <c r="W207" i="11"/>
  <c r="AA207" i="11"/>
  <c r="T207" i="11"/>
  <c r="F208" i="15"/>
  <c r="J208" i="15"/>
  <c r="AC208" i="15"/>
  <c r="W221" i="11"/>
  <c r="AA221" i="11"/>
  <c r="AG221" i="11"/>
  <c r="AA185" i="11"/>
  <c r="AA214" i="11"/>
  <c r="AA246" i="11"/>
  <c r="AG42" i="11"/>
  <c r="T42" i="11"/>
  <c r="F42" i="15"/>
  <c r="J42" i="15"/>
  <c r="AC42" i="15"/>
  <c r="AG53" i="11"/>
  <c r="T53" i="11"/>
  <c r="F53" i="15"/>
  <c r="J53" i="15"/>
  <c r="AC53" i="15"/>
  <c r="AG96" i="11"/>
  <c r="T96" i="11"/>
  <c r="F97" i="15"/>
  <c r="J97" i="15"/>
  <c r="AC97" i="15"/>
  <c r="AG98" i="11"/>
  <c r="W98" i="11"/>
  <c r="AA98" i="11"/>
  <c r="AG161" i="11"/>
  <c r="W161" i="11"/>
  <c r="AA161" i="11"/>
  <c r="AG171" i="11"/>
  <c r="W171" i="11"/>
  <c r="AA171" i="11"/>
  <c r="AH186" i="11"/>
  <c r="X186" i="11"/>
  <c r="W215" i="11"/>
  <c r="AA215" i="11"/>
  <c r="T215" i="11"/>
  <c r="F216" i="15"/>
  <c r="J216" i="15"/>
  <c r="AC216" i="15"/>
  <c r="AF224" i="11"/>
  <c r="V224" i="11"/>
  <c r="AA224" i="11"/>
  <c r="V228" i="11"/>
  <c r="AA228" i="11"/>
  <c r="AF228" i="11"/>
  <c r="AG230" i="11"/>
  <c r="W230" i="11"/>
  <c r="AA230" i="11"/>
  <c r="T97" i="11"/>
  <c r="F98" i="15"/>
  <c r="J98" i="15"/>
  <c r="AB98" i="15"/>
  <c r="T30" i="11"/>
  <c r="T144" i="11"/>
  <c r="F145" i="15"/>
  <c r="J145" i="15"/>
  <c r="AC145" i="15"/>
  <c r="T55" i="15"/>
  <c r="AG147" i="14"/>
  <c r="AF63" i="18"/>
  <c r="W24" i="18"/>
  <c r="AA24" i="18"/>
  <c r="W18" i="18"/>
  <c r="AA18" i="18"/>
  <c r="W16" i="18"/>
  <c r="V38" i="18"/>
  <c r="AA38" i="18"/>
  <c r="V36" i="18"/>
  <c r="AA36" i="18"/>
  <c r="V34" i="18"/>
  <c r="AA34" i="18"/>
  <c r="V32" i="18"/>
  <c r="AA32" i="18"/>
  <c r="V30" i="18"/>
  <c r="I223" i="19"/>
  <c r="V208" i="19"/>
  <c r="AA208" i="19"/>
  <c r="W211" i="19"/>
  <c r="AA211" i="19"/>
  <c r="W213" i="19"/>
  <c r="AA213" i="19"/>
  <c r="V214" i="19"/>
  <c r="AA214" i="19"/>
  <c r="W215" i="19"/>
  <c r="AA215" i="19"/>
  <c r="W192" i="19"/>
  <c r="W194" i="19"/>
  <c r="AA194" i="19"/>
  <c r="W196" i="19"/>
  <c r="AA196" i="19"/>
  <c r="X197" i="19"/>
  <c r="AA197" i="19"/>
  <c r="W198" i="19"/>
  <c r="AA198" i="19"/>
  <c r="X199" i="19"/>
  <c r="AA199" i="19"/>
  <c r="V201" i="19"/>
  <c r="AA201" i="19"/>
  <c r="X203" i="19"/>
  <c r="AA203" i="19"/>
  <c r="V205" i="19"/>
  <c r="AA205" i="19"/>
  <c r="V217" i="19"/>
  <c r="AA217" i="19"/>
  <c r="X219" i="19"/>
  <c r="AA219" i="19"/>
  <c r="T256" i="14"/>
  <c r="T221" i="18"/>
  <c r="AH251" i="11"/>
  <c r="AH255" i="11"/>
  <c r="AG221" i="18"/>
  <c r="AG225" i="18"/>
  <c r="AH221" i="18"/>
  <c r="AH225" i="18"/>
  <c r="AG256" i="14"/>
  <c r="AG260" i="14"/>
  <c r="V256" i="14"/>
  <c r="AA56" i="18"/>
  <c r="AH222" i="19"/>
  <c r="AH226" i="19"/>
  <c r="AF252" i="15"/>
  <c r="AF256" i="15"/>
  <c r="W252" i="15"/>
  <c r="Y262" i="15"/>
  <c r="V252" i="15"/>
  <c r="AG222" i="19"/>
  <c r="AG226" i="19"/>
  <c r="W29" i="2"/>
  <c r="E149" i="1"/>
  <c r="I149" i="1"/>
  <c r="AH256" i="14"/>
  <c r="AH260" i="14"/>
  <c r="X256" i="14"/>
  <c r="Y269" i="14"/>
  <c r="T222" i="19"/>
  <c r="AA39" i="18"/>
  <c r="X221" i="18"/>
  <c r="Y234" i="18"/>
  <c r="AF256" i="14"/>
  <c r="AF260" i="14"/>
  <c r="AB56" i="19"/>
  <c r="AF221" i="18"/>
  <c r="AF225" i="18"/>
  <c r="AF222" i="19"/>
  <c r="AF226" i="19"/>
  <c r="AG258" i="4"/>
  <c r="AG251" i="11"/>
  <c r="AG255" i="11"/>
  <c r="W256" i="14"/>
  <c r="Y266" i="14"/>
  <c r="W222" i="19"/>
  <c r="Y232" i="19"/>
  <c r="E211" i="1"/>
  <c r="I211" i="1"/>
  <c r="E210" i="1"/>
  <c r="I210" i="1"/>
  <c r="T134" i="2"/>
  <c r="E141" i="1"/>
  <c r="I141" i="1"/>
  <c r="E219" i="1"/>
  <c r="I219" i="1"/>
  <c r="E220" i="1"/>
  <c r="I220" i="1"/>
  <c r="Y228" i="2"/>
  <c r="Y235" i="2"/>
  <c r="S200" i="1"/>
  <c r="E211" i="4"/>
  <c r="I211" i="4"/>
  <c r="AB211" i="4"/>
  <c r="V200" i="1"/>
  <c r="Z200" i="1"/>
  <c r="V168" i="1"/>
  <c r="Z168" i="1"/>
  <c r="S168" i="1"/>
  <c r="E178" i="4"/>
  <c r="I178" i="4"/>
  <c r="AB178" i="4"/>
  <c r="S54" i="1"/>
  <c r="E58" i="4"/>
  <c r="I58" i="4"/>
  <c r="AB58" i="4"/>
  <c r="V54" i="1"/>
  <c r="Z54" i="1"/>
  <c r="V52" i="1"/>
  <c r="Z52" i="1"/>
  <c r="S52" i="1"/>
  <c r="E56" i="4"/>
  <c r="I56" i="4"/>
  <c r="AB56" i="4"/>
  <c r="S47" i="1"/>
  <c r="E49" i="4"/>
  <c r="I49" i="4"/>
  <c r="AA49" i="4"/>
  <c r="U47" i="1"/>
  <c r="Z47" i="1"/>
  <c r="U40" i="1"/>
  <c r="Z40" i="1"/>
  <c r="S40" i="1"/>
  <c r="E40" i="4"/>
  <c r="I40" i="4"/>
  <c r="AA40" i="4"/>
  <c r="S36" i="1"/>
  <c r="E36" i="4"/>
  <c r="I36" i="4"/>
  <c r="AA36" i="4"/>
  <c r="U36" i="1"/>
  <c r="Z36" i="1"/>
  <c r="S34" i="1"/>
  <c r="E34" i="4"/>
  <c r="I34" i="4"/>
  <c r="AB34" i="4"/>
  <c r="V34" i="1"/>
  <c r="Z34" i="1"/>
  <c r="E230" i="4"/>
  <c r="I230" i="4"/>
  <c r="AA230" i="4"/>
  <c r="E231" i="4"/>
  <c r="I231" i="4"/>
  <c r="AB231" i="4"/>
  <c r="E184" i="4"/>
  <c r="I184" i="4"/>
  <c r="AA184" i="4"/>
  <c r="E185" i="4"/>
  <c r="I185" i="4"/>
  <c r="AA185" i="4"/>
  <c r="E33" i="4"/>
  <c r="I33" i="4"/>
  <c r="AB33" i="4"/>
  <c r="V59" i="1"/>
  <c r="Z59" i="1"/>
  <c r="S59" i="1"/>
  <c r="E63" i="4"/>
  <c r="I63" i="4"/>
  <c r="AB63" i="4"/>
  <c r="S51" i="1"/>
  <c r="E55" i="4"/>
  <c r="I55" i="4"/>
  <c r="AB55" i="4"/>
  <c r="V51" i="1"/>
  <c r="Z51" i="1"/>
  <c r="S48" i="1"/>
  <c r="E52" i="4"/>
  <c r="I52" i="4"/>
  <c r="AA52" i="4"/>
  <c r="U48" i="1"/>
  <c r="Z48" i="1"/>
  <c r="Z33" i="1"/>
  <c r="Z25" i="1"/>
  <c r="E88" i="4"/>
  <c r="I88" i="4"/>
  <c r="AB88" i="4"/>
  <c r="E91" i="5"/>
  <c r="Z44" i="4"/>
  <c r="W258" i="4"/>
  <c r="X271" i="4"/>
  <c r="Z19" i="4"/>
  <c r="U258" i="4"/>
  <c r="X265" i="4"/>
  <c r="V258" i="4"/>
  <c r="X268" i="4"/>
  <c r="Z55" i="4"/>
  <c r="AF258" i="4"/>
  <c r="S258" i="4"/>
  <c r="AE258" i="4"/>
  <c r="F30" i="15"/>
  <c r="J30" i="15"/>
  <c r="AB30" i="15"/>
  <c r="T251" i="11"/>
  <c r="AA186" i="11"/>
  <c r="X251" i="11"/>
  <c r="Y264" i="11"/>
  <c r="AA80" i="11"/>
  <c r="W251" i="11"/>
  <c r="Y261" i="11"/>
  <c r="AA36" i="11"/>
  <c r="V251" i="11"/>
  <c r="AF251" i="11"/>
  <c r="AF255" i="11"/>
  <c r="F56" i="14"/>
  <c r="J56" i="14"/>
  <c r="T252" i="15"/>
  <c r="Y263" i="14"/>
  <c r="W221" i="18"/>
  <c r="Y231" i="18"/>
  <c r="AA16" i="18"/>
  <c r="AA30" i="18"/>
  <c r="V221" i="18"/>
  <c r="V222" i="19"/>
  <c r="AA192" i="19"/>
  <c r="X222" i="19"/>
  <c r="Y235" i="19"/>
  <c r="X261" i="14"/>
  <c r="X270" i="14"/>
  <c r="Y259" i="15"/>
  <c r="Y266" i="15"/>
  <c r="X257" i="15"/>
  <c r="X266" i="15"/>
  <c r="Y270" i="14"/>
  <c r="W263" i="4"/>
  <c r="W272" i="4"/>
  <c r="X272" i="4"/>
  <c r="Y258" i="11"/>
  <c r="Y265" i="11"/>
  <c r="X256" i="11"/>
  <c r="X265" i="11"/>
  <c r="Y228" i="18"/>
  <c r="Y235" i="18"/>
  <c r="X226" i="18"/>
  <c r="X235" i="18"/>
  <c r="Y229" i="19"/>
  <c r="Y236" i="19"/>
  <c r="X227" i="19"/>
  <c r="X236" i="19"/>
  <c r="X165" i="26"/>
  <c r="AC165" i="26"/>
  <c r="AD114" i="27"/>
  <c r="AE162" i="27"/>
  <c r="AL162" i="27"/>
  <c r="AH168" i="26"/>
  <c r="AH49" i="26"/>
  <c r="AH222" i="26"/>
  <c r="AH226" i="26"/>
  <c r="AC152" i="26"/>
  <c r="X113" i="26"/>
  <c r="AC113" i="26"/>
  <c r="AC64" i="26"/>
  <c r="I223" i="26"/>
  <c r="V222" i="26"/>
  <c r="Q222" i="26"/>
  <c r="AJ222" i="26"/>
  <c r="AJ226" i="26"/>
  <c r="Z222" i="26"/>
  <c r="AA235" i="26"/>
  <c r="AI222" i="26"/>
  <c r="AI226" i="26"/>
  <c r="X219" i="25"/>
  <c r="Y232" i="25"/>
  <c r="AF219" i="25"/>
  <c r="AF223" i="25"/>
  <c r="AH219" i="25"/>
  <c r="AH223" i="25"/>
  <c r="AG219" i="25"/>
  <c r="AG223" i="25"/>
  <c r="V219" i="25"/>
  <c r="AC17" i="26"/>
  <c r="AC56" i="26"/>
  <c r="Y222" i="26"/>
  <c r="AA232" i="26"/>
  <c r="J227" i="26"/>
  <c r="J224" i="25"/>
  <c r="J224" i="24"/>
  <c r="Y226" i="25"/>
  <c r="Y233" i="25"/>
  <c r="X224" i="25"/>
  <c r="X233" i="25"/>
  <c r="AC181" i="27"/>
  <c r="X222" i="27"/>
  <c r="Q222" i="27"/>
  <c r="X222" i="26"/>
  <c r="AA229" i="27"/>
  <c r="AA236" i="27"/>
  <c r="Z227" i="27"/>
  <c r="Z236" i="27"/>
  <c r="AA229" i="26"/>
  <c r="AA236" i="26"/>
  <c r="Z227" i="26"/>
  <c r="Z236" i="26"/>
  <c r="V223" i="28"/>
  <c r="Z223" i="28"/>
  <c r="AA236" i="28"/>
  <c r="Y223" i="28"/>
  <c r="AA233" i="28"/>
  <c r="AJ223" i="28"/>
  <c r="AJ227" i="28"/>
  <c r="AI223" i="28"/>
  <c r="AI227" i="28"/>
  <c r="AC45" i="28"/>
  <c r="AH223" i="28"/>
  <c r="AH227" i="28"/>
  <c r="X223" i="28"/>
  <c r="Z228" i="28"/>
  <c r="Z237" i="28"/>
  <c r="AA230" i="28"/>
  <c r="AA237" i="28"/>
  <c r="AJ195" i="19"/>
  <c r="F181" i="31"/>
  <c r="J181" i="31"/>
  <c r="AE181" i="31"/>
  <c r="AI181" i="31"/>
  <c r="AL181" i="31"/>
  <c r="J182" i="31"/>
  <c r="AF182" i="31"/>
  <c r="AJ40" i="30"/>
  <c r="AC140" i="30"/>
  <c r="AC117" i="30"/>
  <c r="AC116" i="30"/>
  <c r="AC58" i="30"/>
  <c r="AC43" i="30"/>
  <c r="AC16" i="30"/>
  <c r="AC86" i="30"/>
  <c r="AC79" i="30"/>
  <c r="AC195" i="30"/>
  <c r="AC30" i="30"/>
  <c r="E224" i="30"/>
  <c r="AC220" i="30"/>
  <c r="Y125" i="30"/>
  <c r="AC125" i="30"/>
  <c r="Y89" i="30"/>
  <c r="AC89" i="30"/>
  <c r="Y74" i="30"/>
  <c r="AC74" i="30"/>
  <c r="Y53" i="30"/>
  <c r="AC53" i="30"/>
  <c r="Y20" i="30"/>
  <c r="AC20" i="30"/>
  <c r="X137" i="30"/>
  <c r="AC137" i="30"/>
  <c r="X131" i="30"/>
  <c r="AC131" i="30"/>
  <c r="X120" i="30"/>
  <c r="AC120" i="30"/>
  <c r="X83" i="30"/>
  <c r="AC83" i="30"/>
  <c r="X68" i="30"/>
  <c r="AC68" i="30"/>
  <c r="X48" i="30"/>
  <c r="AC48" i="30"/>
  <c r="X27" i="30"/>
  <c r="AC27" i="30"/>
  <c r="AJ123" i="30"/>
  <c r="AJ58" i="30"/>
  <c r="AL220" i="30"/>
  <c r="AC221" i="30"/>
  <c r="AC55" i="30"/>
  <c r="Y46" i="30"/>
  <c r="AC46" i="30"/>
  <c r="AC173" i="30"/>
  <c r="X113" i="30"/>
  <c r="AC113" i="30"/>
  <c r="X109" i="30"/>
  <c r="AC109" i="30"/>
  <c r="X105" i="30"/>
  <c r="AC105" i="30"/>
  <c r="X101" i="30"/>
  <c r="AC101" i="30"/>
  <c r="X97" i="30"/>
  <c r="AC97" i="30"/>
  <c r="X73" i="30"/>
  <c r="AC73" i="30"/>
  <c r="X64" i="30"/>
  <c r="AC64" i="30"/>
  <c r="X59" i="30"/>
  <c r="AC59" i="30"/>
  <c r="X41" i="30"/>
  <c r="AC41" i="30"/>
  <c r="AC34" i="30"/>
  <c r="X31" i="30"/>
  <c r="AC31" i="30"/>
  <c r="AC45" i="30"/>
  <c r="AC35" i="30"/>
  <c r="X135" i="30"/>
  <c r="AC135" i="30"/>
  <c r="X118" i="30"/>
  <c r="AC118" i="30"/>
  <c r="X85" i="30"/>
  <c r="AC85" i="30"/>
  <c r="X81" i="30"/>
  <c r="AC81" i="30"/>
  <c r="I225" i="30"/>
  <c r="AC76" i="30"/>
  <c r="AC197" i="30"/>
  <c r="AC127" i="30"/>
  <c r="AC114" i="30"/>
  <c r="AC57" i="30"/>
  <c r="X49" i="30"/>
  <c r="AC49" i="30"/>
  <c r="AC29" i="30"/>
  <c r="AC26" i="30"/>
  <c r="AC203" i="30"/>
  <c r="AC209" i="30"/>
  <c r="AC148" i="30"/>
  <c r="AC215" i="30"/>
  <c r="AC213" i="30"/>
  <c r="AC143" i="30"/>
  <c r="AC214" i="30"/>
  <c r="X211" i="30"/>
  <c r="AC211" i="30"/>
  <c r="AC223" i="30"/>
  <c r="AC212" i="30"/>
  <c r="AC178" i="30"/>
  <c r="AC174" i="30"/>
  <c r="AC159" i="30"/>
  <c r="AC185" i="30"/>
  <c r="AJ201" i="30"/>
  <c r="AC188" i="30"/>
  <c r="AC157" i="30"/>
  <c r="AC145" i="30"/>
  <c r="AC208" i="30"/>
  <c r="AC142" i="30"/>
  <c r="AC151" i="30"/>
  <c r="AC181" i="30"/>
  <c r="AC171" i="30"/>
  <c r="AC193" i="30"/>
  <c r="AC182" i="30"/>
  <c r="AC206" i="30"/>
  <c r="AC146" i="30"/>
  <c r="AC196" i="30"/>
  <c r="AC180" i="30"/>
  <c r="AC207" i="30"/>
  <c r="AC190" i="30"/>
  <c r="AC164" i="30"/>
  <c r="AJ205" i="30"/>
  <c r="AJ152" i="30"/>
  <c r="Y172" i="30"/>
  <c r="AC172" i="30"/>
  <c r="AC165" i="30"/>
  <c r="AC154" i="30"/>
  <c r="AC150" i="30"/>
  <c r="AC202" i="30"/>
  <c r="AC184" i="30"/>
  <c r="AC177" i="30"/>
  <c r="AC147" i="30"/>
  <c r="AC144" i="30"/>
  <c r="AC200" i="30"/>
  <c r="AC191" i="30"/>
  <c r="AJ146" i="30"/>
  <c r="AC176" i="30"/>
  <c r="AC201" i="30"/>
  <c r="AC192" i="30"/>
  <c r="AC163" i="30"/>
  <c r="AC156" i="30"/>
  <c r="AC152" i="30"/>
  <c r="AC161" i="30"/>
  <c r="AC205" i="30"/>
  <c r="AC189" i="30"/>
  <c r="AC222" i="30"/>
  <c r="AC199" i="30"/>
  <c r="Y198" i="30"/>
  <c r="AC198" i="30"/>
  <c r="Y194" i="30"/>
  <c r="AC194" i="30"/>
  <c r="Y162" i="30"/>
  <c r="AC162" i="30"/>
  <c r="X216" i="30"/>
  <c r="AC216" i="30"/>
  <c r="X210" i="30"/>
  <c r="AC210" i="30"/>
  <c r="X204" i="30"/>
  <c r="AC204" i="30"/>
  <c r="Y187" i="30"/>
  <c r="AC187" i="30"/>
  <c r="AC167" i="30"/>
  <c r="Y158" i="30"/>
  <c r="AC158" i="30"/>
  <c r="X153" i="30"/>
  <c r="AC153" i="30"/>
  <c r="Y175" i="30"/>
  <c r="AC175" i="30"/>
  <c r="X219" i="30"/>
  <c r="AC219" i="30"/>
  <c r="AC179" i="30"/>
  <c r="AC56" i="30"/>
  <c r="AC18" i="30"/>
  <c r="AL178" i="30"/>
  <c r="AL61" i="30"/>
  <c r="AC170" i="30"/>
  <c r="AC218" i="30"/>
  <c r="AC183" i="30"/>
  <c r="AC169" i="30"/>
  <c r="X168" i="30"/>
  <c r="AC168" i="30"/>
  <c r="X166" i="30"/>
  <c r="AC166" i="30"/>
  <c r="Y160" i="30"/>
  <c r="AC160" i="30"/>
  <c r="AC155" i="30"/>
  <c r="Y139" i="30"/>
  <c r="AC139" i="30"/>
  <c r="AC123" i="30"/>
  <c r="AC77" i="30"/>
  <c r="X65" i="30"/>
  <c r="AC65" i="30"/>
  <c r="X42" i="30"/>
  <c r="AC42" i="30"/>
  <c r="X36" i="30"/>
  <c r="AC36" i="30"/>
  <c r="X32" i="30"/>
  <c r="AC32" i="30"/>
  <c r="Q224" i="30"/>
  <c r="Y24" i="30"/>
  <c r="V223" i="29"/>
  <c r="AJ224" i="30"/>
  <c r="AJ228" i="30"/>
  <c r="Y224" i="30"/>
  <c r="AA234" i="30"/>
  <c r="AC24" i="30"/>
  <c r="J183" i="32"/>
  <c r="AF183" i="32"/>
  <c r="AL183" i="32"/>
  <c r="J229" i="32"/>
  <c r="AD229" i="32"/>
  <c r="AL229" i="32"/>
  <c r="Y198" i="31"/>
  <c r="AC198" i="31"/>
  <c r="AC172" i="31"/>
  <c r="AH171" i="31"/>
  <c r="AC161" i="31"/>
  <c r="AI94" i="31"/>
  <c r="AC212" i="31"/>
  <c r="AH174" i="31"/>
  <c r="AC174" i="31"/>
  <c r="AI60" i="31"/>
  <c r="X42" i="31"/>
  <c r="AC42" i="31"/>
  <c r="AC57" i="31"/>
  <c r="AC60" i="31"/>
  <c r="AC97" i="31"/>
  <c r="X120" i="31"/>
  <c r="AC120" i="31"/>
  <c r="AC149" i="31"/>
  <c r="X118" i="31"/>
  <c r="AC118" i="31"/>
  <c r="X74" i="31"/>
  <c r="AC74" i="31"/>
  <c r="AC16" i="31"/>
  <c r="X33" i="31"/>
  <c r="AC33" i="31"/>
  <c r="Y53" i="31"/>
  <c r="AC99" i="31"/>
  <c r="AC106" i="31"/>
  <c r="AH135" i="31"/>
  <c r="AC21" i="31"/>
  <c r="AC53" i="31"/>
  <c r="AI79" i="31"/>
  <c r="AC90" i="31"/>
  <c r="AC44" i="31"/>
  <c r="AC51" i="31"/>
  <c r="AC61" i="31"/>
  <c r="AC85" i="31"/>
  <c r="AC86" i="31"/>
  <c r="AC94" i="31"/>
  <c r="AC100" i="31"/>
  <c r="Y128" i="31"/>
  <c r="AC128" i="31"/>
  <c r="X144" i="31"/>
  <c r="AC144" i="31"/>
  <c r="Y143" i="31"/>
  <c r="X124" i="31"/>
  <c r="AC124" i="31"/>
  <c r="X115" i="31"/>
  <c r="AC115" i="31"/>
  <c r="X224" i="30"/>
  <c r="AI82" i="31"/>
  <c r="AC82" i="31"/>
  <c r="AH81" i="31"/>
  <c r="AI59" i="31"/>
  <c r="AH34" i="31"/>
  <c r="AC37" i="31"/>
  <c r="AC38" i="31"/>
  <c r="AC23" i="31"/>
  <c r="X17" i="31"/>
  <c r="AC17" i="31"/>
  <c r="AC92" i="31"/>
  <c r="AC166" i="31"/>
  <c r="AC181" i="31"/>
  <c r="AL182" i="31"/>
  <c r="Y179" i="31"/>
  <c r="AC179" i="31"/>
  <c r="AL56" i="31"/>
  <c r="AH175" i="31"/>
  <c r="AJ153" i="31"/>
  <c r="AC108" i="31"/>
  <c r="AH132" i="31"/>
  <c r="AI19" i="31"/>
  <c r="AJ127" i="31"/>
  <c r="AH221" i="31"/>
  <c r="Y190" i="31"/>
  <c r="AC190" i="31"/>
  <c r="X26" i="31"/>
  <c r="AC26" i="31"/>
  <c r="X31" i="31"/>
  <c r="AC31" i="31"/>
  <c r="AH36" i="31"/>
  <c r="Z41" i="31"/>
  <c r="AC41" i="31"/>
  <c r="AH43" i="31"/>
  <c r="AH49" i="31"/>
  <c r="AI57" i="31"/>
  <c r="AH62" i="31"/>
  <c r="X69" i="31"/>
  <c r="AC69" i="31"/>
  <c r="Y75" i="31"/>
  <c r="AC75" i="31"/>
  <c r="Y84" i="31"/>
  <c r="AC84" i="31"/>
  <c r="AJ92" i="31"/>
  <c r="Y117" i="31"/>
  <c r="AC117" i="31"/>
  <c r="AH126" i="31"/>
  <c r="X130" i="31"/>
  <c r="AC130" i="31"/>
  <c r="X138" i="31"/>
  <c r="AC138" i="31"/>
  <c r="AH140" i="31"/>
  <c r="Y147" i="31"/>
  <c r="AC147" i="31"/>
  <c r="AH160" i="31"/>
  <c r="X170" i="31"/>
  <c r="AC170" i="31"/>
  <c r="X183" i="31"/>
  <c r="AC183" i="31"/>
  <c r="AH188" i="31"/>
  <c r="Y200" i="31"/>
  <c r="AC200" i="31"/>
  <c r="Z204" i="31"/>
  <c r="AC204" i="31"/>
  <c r="Z210" i="31"/>
  <c r="AC210" i="31"/>
  <c r="AJ227" i="31"/>
  <c r="AH216" i="31"/>
  <c r="AI154" i="31"/>
  <c r="AI96" i="31"/>
  <c r="AH137" i="31"/>
  <c r="AH68" i="31"/>
  <c r="AH121" i="31"/>
  <c r="X67" i="31"/>
  <c r="AC67" i="31"/>
  <c r="Y25" i="31"/>
  <c r="AC25" i="31"/>
  <c r="AH48" i="31"/>
  <c r="Y52" i="31"/>
  <c r="AC52" i="31"/>
  <c r="X63" i="31"/>
  <c r="AC63" i="31"/>
  <c r="AH71" i="31"/>
  <c r="X88" i="31"/>
  <c r="AC88" i="31"/>
  <c r="AH106" i="31"/>
  <c r="AL106" i="31"/>
  <c r="X134" i="31"/>
  <c r="AC134" i="31"/>
  <c r="AH167" i="31"/>
  <c r="AH172" i="31"/>
  <c r="X187" i="31"/>
  <c r="AC187" i="31"/>
  <c r="AI194" i="31"/>
  <c r="X197" i="31"/>
  <c r="AC197" i="31"/>
  <c r="AH207" i="31"/>
  <c r="AI219" i="31"/>
  <c r="AH223" i="31"/>
  <c r="X64" i="31"/>
  <c r="AC64" i="31"/>
  <c r="AC105" i="31"/>
  <c r="AC107" i="31"/>
  <c r="X78" i="31"/>
  <c r="AC78" i="31"/>
  <c r="Q229" i="31"/>
  <c r="AH107" i="31"/>
  <c r="AL107" i="31"/>
  <c r="X113" i="31"/>
  <c r="AC113" i="31"/>
  <c r="X114" i="31"/>
  <c r="AC114" i="31"/>
  <c r="AC16" i="19"/>
  <c r="AL113" i="31"/>
  <c r="AL111" i="31"/>
  <c r="AL105" i="31"/>
  <c r="AL110" i="31"/>
  <c r="AL108" i="31"/>
  <c r="V224" i="30"/>
  <c r="AA231" i="30"/>
  <c r="AA238" i="30"/>
  <c r="Z229" i="30"/>
  <c r="Z238" i="30"/>
  <c r="F185" i="34"/>
  <c r="J185" i="34"/>
  <c r="AE185" i="34"/>
  <c r="F186" i="34"/>
  <c r="J186" i="34"/>
  <c r="AF186" i="34"/>
  <c r="AH179" i="33"/>
  <c r="AC81" i="33"/>
  <c r="I231" i="32"/>
  <c r="AC224" i="33"/>
  <c r="AH224" i="33"/>
  <c r="AC213" i="33"/>
  <c r="Y193" i="32"/>
  <c r="AC193" i="32"/>
  <c r="V41" i="32"/>
  <c r="F41" i="33"/>
  <c r="J41" i="33"/>
  <c r="AF41" i="33"/>
  <c r="AJ41" i="32"/>
  <c r="AH74" i="32"/>
  <c r="V74" i="32"/>
  <c r="F74" i="33"/>
  <c r="J74" i="33"/>
  <c r="AD74" i="33"/>
  <c r="X74" i="32"/>
  <c r="AC74" i="32"/>
  <c r="V24" i="32"/>
  <c r="F24" i="33"/>
  <c r="J24" i="33"/>
  <c r="AD24" i="33"/>
  <c r="X24" i="32"/>
  <c r="AC24" i="32"/>
  <c r="V31" i="32"/>
  <c r="F31" i="33"/>
  <c r="J31" i="33"/>
  <c r="AD31" i="33"/>
  <c r="X31" i="32"/>
  <c r="AC31" i="32"/>
  <c r="AH31" i="32"/>
  <c r="V35" i="32"/>
  <c r="F35" i="33"/>
  <c r="J35" i="33"/>
  <c r="AD35" i="33"/>
  <c r="X35" i="32"/>
  <c r="AC35" i="32"/>
  <c r="AH35" i="32"/>
  <c r="V39" i="32"/>
  <c r="F39" i="33"/>
  <c r="J39" i="33"/>
  <c r="AD39" i="33"/>
  <c r="X39" i="32"/>
  <c r="AC39" i="32"/>
  <c r="V53" i="32"/>
  <c r="F53" i="33"/>
  <c r="J53" i="33"/>
  <c r="AE53" i="33"/>
  <c r="Y53" i="32"/>
  <c r="AC53" i="32"/>
  <c r="V85" i="32"/>
  <c r="F85" i="33"/>
  <c r="J85" i="33"/>
  <c r="AD85" i="33"/>
  <c r="X85" i="32"/>
  <c r="AC85" i="32"/>
  <c r="V106" i="32"/>
  <c r="F106" i="33"/>
  <c r="J106" i="33"/>
  <c r="AD106" i="33"/>
  <c r="AH106" i="32"/>
  <c r="V122" i="32"/>
  <c r="F122" i="33"/>
  <c r="J122" i="33"/>
  <c r="AD122" i="33"/>
  <c r="X122" i="32"/>
  <c r="AC122" i="32"/>
  <c r="V126" i="32"/>
  <c r="F126" i="33"/>
  <c r="J126" i="33"/>
  <c r="AE126" i="33"/>
  <c r="Y126" i="32"/>
  <c r="AC126" i="32"/>
  <c r="X127" i="32"/>
  <c r="AC127" i="32"/>
  <c r="V127" i="32"/>
  <c r="F127" i="33"/>
  <c r="J127" i="33"/>
  <c r="AD127" i="33"/>
  <c r="X139" i="32"/>
  <c r="AC139" i="32"/>
  <c r="AH139" i="32"/>
  <c r="Y143" i="32"/>
  <c r="AC143" i="32"/>
  <c r="AI143" i="32"/>
  <c r="X150" i="32"/>
  <c r="AC150" i="32"/>
  <c r="V150" i="32"/>
  <c r="F150" i="33"/>
  <c r="J150" i="33"/>
  <c r="AD150" i="33"/>
  <c r="AJ154" i="32"/>
  <c r="V154" i="32"/>
  <c r="F154" i="33"/>
  <c r="J154" i="33"/>
  <c r="AF154" i="33"/>
  <c r="V157" i="32"/>
  <c r="F157" i="33"/>
  <c r="J157" i="33"/>
  <c r="AF157" i="33"/>
  <c r="AJ157" i="32"/>
  <c r="X158" i="32"/>
  <c r="AC158" i="32"/>
  <c r="V158" i="32"/>
  <c r="F158" i="33"/>
  <c r="J158" i="33"/>
  <c r="AD158" i="33"/>
  <c r="V169" i="32"/>
  <c r="F169" i="33"/>
  <c r="J169" i="33"/>
  <c r="AD169" i="33"/>
  <c r="X169" i="32"/>
  <c r="AC169" i="32"/>
  <c r="V175" i="32"/>
  <c r="F175" i="33"/>
  <c r="J175" i="33"/>
  <c r="AD175" i="33"/>
  <c r="AH175" i="32"/>
  <c r="V176" i="32"/>
  <c r="F176" i="33"/>
  <c r="J176" i="33"/>
  <c r="AD176" i="33"/>
  <c r="X176" i="32"/>
  <c r="AC176" i="32"/>
  <c r="V193" i="32"/>
  <c r="F193" i="33"/>
  <c r="J193" i="33"/>
  <c r="AE193" i="33"/>
  <c r="V219" i="32"/>
  <c r="F219" i="33"/>
  <c r="J219" i="33"/>
  <c r="AE219" i="33"/>
  <c r="AI219" i="32"/>
  <c r="V99" i="32"/>
  <c r="F99" i="33"/>
  <c r="J99" i="33"/>
  <c r="AE99" i="33"/>
  <c r="AI99" i="32"/>
  <c r="V145" i="32"/>
  <c r="F145" i="33"/>
  <c r="J145" i="33"/>
  <c r="AD145" i="33"/>
  <c r="T230" i="32"/>
  <c r="V28" i="32"/>
  <c r="F28" i="33"/>
  <c r="J28" i="33"/>
  <c r="AD28" i="33"/>
  <c r="X28" i="32"/>
  <c r="AC28" i="32"/>
  <c r="X32" i="32"/>
  <c r="AC32" i="32"/>
  <c r="AH32" i="32"/>
  <c r="AH36" i="32"/>
  <c r="X36" i="32"/>
  <c r="AC36" i="32"/>
  <c r="Y54" i="32"/>
  <c r="AC54" i="32"/>
  <c r="AI54" i="32"/>
  <c r="V65" i="32"/>
  <c r="F65" i="33"/>
  <c r="J65" i="33"/>
  <c r="AD65" i="33"/>
  <c r="X65" i="32"/>
  <c r="AC65" i="32"/>
  <c r="AH65" i="32"/>
  <c r="V66" i="32"/>
  <c r="F66" i="33"/>
  <c r="J66" i="33"/>
  <c r="AD66" i="33"/>
  <c r="AH66" i="32"/>
  <c r="AH76" i="32"/>
  <c r="X76" i="32"/>
  <c r="AC76" i="32"/>
  <c r="V118" i="32"/>
  <c r="F118" i="33"/>
  <c r="J118" i="33"/>
  <c r="AE118" i="33"/>
  <c r="Y118" i="32"/>
  <c r="V123" i="32"/>
  <c r="F123" i="33"/>
  <c r="J123" i="33"/>
  <c r="AD123" i="33"/>
  <c r="AH123" i="32"/>
  <c r="V140" i="32"/>
  <c r="F140" i="33"/>
  <c r="J140" i="33"/>
  <c r="AD140" i="33"/>
  <c r="X140" i="32"/>
  <c r="AC140" i="32"/>
  <c r="AH140" i="32"/>
  <c r="V195" i="32"/>
  <c r="F195" i="33"/>
  <c r="J195" i="33"/>
  <c r="AE195" i="33"/>
  <c r="Y195" i="32"/>
  <c r="AC195" i="32"/>
  <c r="AI195" i="32"/>
  <c r="V199" i="32"/>
  <c r="F199" i="33"/>
  <c r="J199" i="33"/>
  <c r="AE199" i="33"/>
  <c r="AI199" i="32"/>
  <c r="V203" i="32"/>
  <c r="F203" i="33"/>
  <c r="J203" i="33"/>
  <c r="AE203" i="33"/>
  <c r="AI203" i="32"/>
  <c r="Y204" i="32"/>
  <c r="AC204" i="32"/>
  <c r="V204" i="32"/>
  <c r="F204" i="33"/>
  <c r="J204" i="33"/>
  <c r="AE204" i="33"/>
  <c r="V227" i="32"/>
  <c r="F227" i="33"/>
  <c r="J227" i="33"/>
  <c r="AF227" i="33"/>
  <c r="Z227" i="32"/>
  <c r="AC227" i="32"/>
  <c r="AJ227" i="32"/>
  <c r="V38" i="32"/>
  <c r="F38" i="33"/>
  <c r="J38" i="33"/>
  <c r="AD38" i="33"/>
  <c r="X38" i="32"/>
  <c r="AC38" i="32"/>
  <c r="AC17" i="32"/>
  <c r="AC26" i="32"/>
  <c r="AH40" i="32"/>
  <c r="Z41" i="32"/>
  <c r="AC41" i="32"/>
  <c r="AC46" i="32"/>
  <c r="AC63" i="32"/>
  <c r="AC64" i="32"/>
  <c r="AC71" i="32"/>
  <c r="AH86" i="32"/>
  <c r="AH87" i="32"/>
  <c r="AC93" i="32"/>
  <c r="AC102" i="32"/>
  <c r="AC118" i="32"/>
  <c r="AH24" i="32"/>
  <c r="V40" i="32"/>
  <c r="F40" i="33"/>
  <c r="J40" i="33"/>
  <c r="AD40" i="33"/>
  <c r="V108" i="32"/>
  <c r="F108" i="33"/>
  <c r="J108" i="33"/>
  <c r="AD108" i="33"/>
  <c r="V142" i="32"/>
  <c r="F142" i="33"/>
  <c r="J142" i="33"/>
  <c r="AD142" i="33"/>
  <c r="V151" i="32"/>
  <c r="F151" i="33"/>
  <c r="J151" i="33"/>
  <c r="AF151" i="33"/>
  <c r="V173" i="32"/>
  <c r="F173" i="33"/>
  <c r="J173" i="33"/>
  <c r="AD173" i="33"/>
  <c r="V194" i="32"/>
  <c r="F194" i="33"/>
  <c r="J194" i="33"/>
  <c r="AD194" i="33"/>
  <c r="AH125" i="32"/>
  <c r="AC73" i="32"/>
  <c r="AH171" i="32"/>
  <c r="AH172" i="32"/>
  <c r="AC56" i="32"/>
  <c r="AC68" i="32"/>
  <c r="AC82" i="32"/>
  <c r="X104" i="32"/>
  <c r="AC104" i="32"/>
  <c r="X105" i="32"/>
  <c r="AC105" i="32"/>
  <c r="X106" i="32"/>
  <c r="AC106" i="32"/>
  <c r="X107" i="32"/>
  <c r="AC107" i="32"/>
  <c r="X108" i="32"/>
  <c r="AC108" i="32"/>
  <c r="AH109" i="32"/>
  <c r="AC110" i="32"/>
  <c r="AC111" i="32"/>
  <c r="AC114" i="32"/>
  <c r="AI126" i="32"/>
  <c r="AH127" i="32"/>
  <c r="AC135" i="32"/>
  <c r="AC136" i="32"/>
  <c r="X152" i="32"/>
  <c r="AC152" i="32"/>
  <c r="AH153" i="32"/>
  <c r="Z154" i="32"/>
  <c r="AC154" i="32"/>
  <c r="AI155" i="32"/>
  <c r="AI156" i="32"/>
  <c r="Z157" i="32"/>
  <c r="AC157" i="32"/>
  <c r="AH158" i="32"/>
  <c r="AC161" i="32"/>
  <c r="AC170" i="32"/>
  <c r="X171" i="32"/>
  <c r="AC171" i="32"/>
  <c r="X172" i="32"/>
  <c r="AC172" i="32"/>
  <c r="X173" i="32"/>
  <c r="AC173" i="32"/>
  <c r="X174" i="32"/>
  <c r="AC174" i="32"/>
  <c r="X175" i="32"/>
  <c r="AC175" i="32"/>
  <c r="AC190" i="32"/>
  <c r="AC191" i="32"/>
  <c r="Y219" i="32"/>
  <c r="AC219" i="32"/>
  <c r="AH194" i="32"/>
  <c r="V68" i="32"/>
  <c r="F68" i="33"/>
  <c r="J68" i="33"/>
  <c r="AD68" i="33"/>
  <c r="V76" i="32"/>
  <c r="F76" i="33"/>
  <c r="J76" i="33"/>
  <c r="AD76" i="33"/>
  <c r="V84" i="32"/>
  <c r="F84" i="33"/>
  <c r="J84" i="33"/>
  <c r="AE84" i="33"/>
  <c r="V105" i="32"/>
  <c r="F105" i="33"/>
  <c r="J105" i="33"/>
  <c r="AD105" i="33"/>
  <c r="V121" i="32"/>
  <c r="F121" i="33"/>
  <c r="J121" i="33"/>
  <c r="AD121" i="33"/>
  <c r="V139" i="32"/>
  <c r="F139" i="33"/>
  <c r="J139" i="33"/>
  <c r="AD139" i="33"/>
  <c r="V191" i="32"/>
  <c r="F191" i="33"/>
  <c r="J191" i="33"/>
  <c r="AE191" i="33"/>
  <c r="V198" i="32"/>
  <c r="F198" i="33"/>
  <c r="J198" i="33"/>
  <c r="AD198" i="33"/>
  <c r="V32" i="32"/>
  <c r="F32" i="33"/>
  <c r="J32" i="33"/>
  <c r="AD32" i="33"/>
  <c r="V36" i="32"/>
  <c r="F36" i="33"/>
  <c r="J36" i="33"/>
  <c r="AD36" i="33"/>
  <c r="V17" i="32"/>
  <c r="F17" i="33"/>
  <c r="J17" i="33"/>
  <c r="Q230" i="32"/>
  <c r="V30" i="32"/>
  <c r="F30" i="33"/>
  <c r="J30" i="33"/>
  <c r="AD30" i="33"/>
  <c r="AH30" i="32"/>
  <c r="AH34" i="32"/>
  <c r="X34" i="32"/>
  <c r="AC34" i="32"/>
  <c r="V52" i="32"/>
  <c r="F52" i="33"/>
  <c r="J52" i="33"/>
  <c r="AE52" i="33"/>
  <c r="AI52" i="32"/>
  <c r="Y52" i="32"/>
  <c r="AC52" i="32"/>
  <c r="V88" i="32"/>
  <c r="F88" i="33"/>
  <c r="J88" i="33"/>
  <c r="AD88" i="33"/>
  <c r="X88" i="32"/>
  <c r="AC88" i="32"/>
  <c r="AH138" i="32"/>
  <c r="X138" i="32"/>
  <c r="AC138" i="32"/>
  <c r="V192" i="32"/>
  <c r="F192" i="33"/>
  <c r="J192" i="33"/>
  <c r="AE192" i="33"/>
  <c r="AI192" i="32"/>
  <c r="AI29" i="32"/>
  <c r="Y29" i="32"/>
  <c r="Y117" i="32"/>
  <c r="Y192" i="32"/>
  <c r="Y230" i="32"/>
  <c r="AA240" i="32"/>
  <c r="X33" i="32"/>
  <c r="AC33" i="32"/>
  <c r="V33" i="32"/>
  <c r="F33" i="33"/>
  <c r="J33" i="33"/>
  <c r="AD33" i="33"/>
  <c r="AH33" i="32"/>
  <c r="AH37" i="32"/>
  <c r="V37" i="32"/>
  <c r="F37" i="33"/>
  <c r="J37" i="33"/>
  <c r="AD37" i="33"/>
  <c r="X37" i="32"/>
  <c r="AC37" i="32"/>
  <c r="AH119" i="32"/>
  <c r="V119" i="32"/>
  <c r="F119" i="33"/>
  <c r="J119" i="33"/>
  <c r="AD119" i="33"/>
  <c r="X119" i="32"/>
  <c r="AC119" i="32"/>
  <c r="V137" i="32"/>
  <c r="F137" i="33"/>
  <c r="J137" i="33"/>
  <c r="AD137" i="33"/>
  <c r="X137" i="32"/>
  <c r="AC137" i="32"/>
  <c r="V141" i="32"/>
  <c r="F141" i="33"/>
  <c r="J141" i="33"/>
  <c r="AD141" i="33"/>
  <c r="AH141" i="32"/>
  <c r="V196" i="32"/>
  <c r="F196" i="33"/>
  <c r="J196" i="33"/>
  <c r="AD196" i="33"/>
  <c r="V225" i="32"/>
  <c r="F225" i="33"/>
  <c r="J225" i="33"/>
  <c r="AD225" i="33"/>
  <c r="X225" i="32"/>
  <c r="AC225" i="32"/>
  <c r="X124" i="32"/>
  <c r="AC124" i="32"/>
  <c r="AH124" i="32"/>
  <c r="AC192" i="32"/>
  <c r="X229" i="32"/>
  <c r="AC229" i="32"/>
  <c r="AI193" i="32"/>
  <c r="X30" i="32"/>
  <c r="AC30" i="32"/>
  <c r="AJ215" i="32"/>
  <c r="X86" i="32"/>
  <c r="AC86" i="32"/>
  <c r="X153" i="32"/>
  <c r="AC153" i="32"/>
  <c r="AC113" i="32"/>
  <c r="AC72" i="32"/>
  <c r="AH107" i="32"/>
  <c r="AC51" i="32"/>
  <c r="AC70" i="32"/>
  <c r="AC79" i="32"/>
  <c r="AC84" i="32"/>
  <c r="AC128" i="32"/>
  <c r="V215" i="32"/>
  <c r="F215" i="33"/>
  <c r="J215" i="33"/>
  <c r="AF215" i="33"/>
  <c r="AC226" i="32"/>
  <c r="V75" i="32"/>
  <c r="F75" i="33"/>
  <c r="J75" i="33"/>
  <c r="AE75" i="33"/>
  <c r="V138" i="32"/>
  <c r="F138" i="33"/>
  <c r="J138" i="33"/>
  <c r="AD138" i="33"/>
  <c r="V170" i="32"/>
  <c r="F170" i="33"/>
  <c r="J170" i="33"/>
  <c r="AD170" i="33"/>
  <c r="V190" i="32"/>
  <c r="F190" i="33"/>
  <c r="J190" i="33"/>
  <c r="AD190" i="33"/>
  <c r="V197" i="32"/>
  <c r="F197" i="33"/>
  <c r="J197" i="33"/>
  <c r="AD197" i="33"/>
  <c r="V205" i="32"/>
  <c r="F205" i="33"/>
  <c r="J205" i="33"/>
  <c r="AF205" i="33"/>
  <c r="AC91" i="32"/>
  <c r="AH111" i="32"/>
  <c r="AH161" i="32"/>
  <c r="V115" i="32"/>
  <c r="F115" i="33"/>
  <c r="J115" i="33"/>
  <c r="AD115" i="33"/>
  <c r="AH27" i="32"/>
  <c r="AH114" i="32"/>
  <c r="AC117" i="32"/>
  <c r="AH136" i="32"/>
  <c r="AI200" i="33"/>
  <c r="AC200" i="33"/>
  <c r="Z211" i="33"/>
  <c r="AC211" i="33"/>
  <c r="Z205" i="33"/>
  <c r="AC205" i="33"/>
  <c r="Y199" i="33"/>
  <c r="AC199" i="33"/>
  <c r="AH188" i="33"/>
  <c r="AC184" i="33"/>
  <c r="Y164" i="33"/>
  <c r="AC164" i="33"/>
  <c r="Y230" i="33"/>
  <c r="AA240" i="33"/>
  <c r="AI165" i="33"/>
  <c r="AH162" i="33"/>
  <c r="AC146" i="33"/>
  <c r="AH131" i="33"/>
  <c r="AH122" i="33"/>
  <c r="AI60" i="33"/>
  <c r="AH46" i="33"/>
  <c r="AJ230" i="33"/>
  <c r="AJ234" i="33"/>
  <c r="AC38" i="33"/>
  <c r="AH33" i="33"/>
  <c r="AC30" i="33"/>
  <c r="AC34" i="33"/>
  <c r="AC32" i="33"/>
  <c r="AC33" i="33"/>
  <c r="AC31" i="33"/>
  <c r="AH32" i="33"/>
  <c r="AC36" i="33"/>
  <c r="AH31" i="33"/>
  <c r="AC37" i="33"/>
  <c r="AC25" i="33"/>
  <c r="AI25" i="33"/>
  <c r="AH22" i="33"/>
  <c r="AI230" i="33"/>
  <c r="AI234" i="33"/>
  <c r="AC17" i="33"/>
  <c r="Q230" i="33"/>
  <c r="AH17" i="33"/>
  <c r="AE19" i="31"/>
  <c r="F188" i="33"/>
  <c r="J188" i="33"/>
  <c r="AD188" i="33"/>
  <c r="V230" i="32"/>
  <c r="AJ230" i="32"/>
  <c r="AJ234" i="32"/>
  <c r="AC29" i="32"/>
  <c r="AH230" i="32"/>
  <c r="AH234" i="32"/>
  <c r="Z230" i="32"/>
  <c r="AA243" i="32"/>
  <c r="X230" i="32"/>
  <c r="AI230" i="32"/>
  <c r="AI234" i="32"/>
  <c r="Z230" i="33"/>
  <c r="AA243" i="33"/>
  <c r="AH230" i="33"/>
  <c r="AH234" i="33"/>
  <c r="Z235" i="32"/>
  <c r="Z244" i="32"/>
  <c r="AA237" i="32"/>
  <c r="AA244" i="32"/>
  <c r="J227" i="27"/>
  <c r="J235" i="32"/>
  <c r="J228" i="28"/>
  <c r="J234" i="31"/>
  <c r="J229" i="30"/>
  <c r="J235" i="33"/>
  <c r="AL64" i="29"/>
  <c r="AJ186" i="19"/>
  <c r="AJ94" i="19"/>
  <c r="AL157" i="27"/>
  <c r="AL118" i="30"/>
  <c r="AL198" i="30"/>
  <c r="AJ151" i="20"/>
  <c r="AJ183" i="20"/>
  <c r="AJ32" i="19"/>
  <c r="AJ89" i="19"/>
  <c r="AL153" i="29"/>
  <c r="AJ64" i="20"/>
  <c r="AL221" i="30"/>
  <c r="AL113" i="27"/>
  <c r="AE169" i="35"/>
  <c r="AD169" i="35"/>
  <c r="AJ70" i="19"/>
  <c r="AJ135" i="19"/>
  <c r="AL150" i="30"/>
  <c r="AL209" i="28"/>
  <c r="AL108" i="29"/>
  <c r="AL152" i="30"/>
  <c r="AJ46" i="19"/>
  <c r="AL174" i="30"/>
  <c r="AJ156" i="25"/>
  <c r="AL23" i="31"/>
  <c r="AL129" i="29"/>
  <c r="AJ89" i="25"/>
  <c r="AL53" i="31"/>
  <c r="Y20" i="34"/>
  <c r="AC20" i="34"/>
  <c r="AC220" i="34"/>
  <c r="AC99" i="34"/>
  <c r="AC126" i="34"/>
  <c r="AI180" i="34"/>
  <c r="X137" i="34"/>
  <c r="AC137" i="34"/>
  <c r="X73" i="34"/>
  <c r="AC73" i="34"/>
  <c r="Y52" i="34"/>
  <c r="AI16" i="34"/>
  <c r="AH192" i="34"/>
  <c r="AC222" i="34"/>
  <c r="AH91" i="34"/>
  <c r="Y198" i="34"/>
  <c r="AC198" i="34"/>
  <c r="AH163" i="34"/>
  <c r="AH78" i="34"/>
  <c r="AI29" i="34"/>
  <c r="AH123" i="34"/>
  <c r="AI150" i="34"/>
  <c r="AH214" i="34"/>
  <c r="AC215" i="34"/>
  <c r="AC231" i="34"/>
  <c r="AI169" i="34"/>
  <c r="AI131" i="34"/>
  <c r="X75" i="34"/>
  <c r="AC75" i="34"/>
  <c r="AH68" i="34"/>
  <c r="Y29" i="34"/>
  <c r="AC157" i="34"/>
  <c r="AC158" i="34"/>
  <c r="Y169" i="34"/>
  <c r="AC169" i="34"/>
  <c r="AI190" i="34"/>
  <c r="X214" i="34"/>
  <c r="Y150" i="34"/>
  <c r="AC150" i="34"/>
  <c r="AC90" i="34"/>
  <c r="X69" i="34"/>
  <c r="AC69" i="34"/>
  <c r="X120" i="34"/>
  <c r="AC120" i="34"/>
  <c r="AH179" i="34"/>
  <c r="AH87" i="34"/>
  <c r="AC147" i="34"/>
  <c r="AI166" i="34"/>
  <c r="Y205" i="34"/>
  <c r="AC205" i="34"/>
  <c r="Y209" i="34"/>
  <c r="AC209" i="34"/>
  <c r="AC232" i="34"/>
  <c r="Y134" i="34"/>
  <c r="AC134" i="34"/>
  <c r="AC202" i="34"/>
  <c r="AC214" i="34"/>
  <c r="X141" i="34"/>
  <c r="AC141" i="34"/>
  <c r="AH133" i="34"/>
  <c r="X65" i="34"/>
  <c r="AC65" i="34"/>
  <c r="AC30" i="34"/>
  <c r="X129" i="34"/>
  <c r="AC129" i="34"/>
  <c r="AH139" i="34"/>
  <c r="AC104" i="34"/>
  <c r="AH22" i="34"/>
  <c r="X22" i="34"/>
  <c r="AC22" i="34"/>
  <c r="X26" i="34"/>
  <c r="AC26" i="34"/>
  <c r="AC29" i="34"/>
  <c r="AH59" i="34"/>
  <c r="X64" i="34"/>
  <c r="AC64" i="34"/>
  <c r="X68" i="34"/>
  <c r="AC68" i="34"/>
  <c r="Y81" i="34"/>
  <c r="AI95" i="34"/>
  <c r="X121" i="34"/>
  <c r="AC121" i="34"/>
  <c r="X125" i="34"/>
  <c r="AC125" i="34"/>
  <c r="AH129" i="34"/>
  <c r="Y131" i="34"/>
  <c r="AC153" i="34"/>
  <c r="AC155" i="34"/>
  <c r="AC166" i="34"/>
  <c r="X176" i="34"/>
  <c r="AC176" i="34"/>
  <c r="AH216" i="34"/>
  <c r="Y229" i="34"/>
  <c r="AC229" i="34"/>
  <c r="AC182" i="34"/>
  <c r="Y227" i="34"/>
  <c r="AC227" i="34"/>
  <c r="AI145" i="34"/>
  <c r="AI81" i="34"/>
  <c r="X39" i="34"/>
  <c r="AC39" i="34"/>
  <c r="Y48" i="34"/>
  <c r="AC48" i="34"/>
  <c r="AH64" i="34"/>
  <c r="AH171" i="34"/>
  <c r="AH66" i="34"/>
  <c r="X71" i="34"/>
  <c r="AC71" i="34"/>
  <c r="AH21" i="34"/>
  <c r="AI20" i="34"/>
  <c r="AH26" i="34"/>
  <c r="AH39" i="34"/>
  <c r="AI48" i="34"/>
  <c r="AH51" i="34"/>
  <c r="Y55" i="34"/>
  <c r="AC55" i="34"/>
  <c r="AH73" i="34"/>
  <c r="X78" i="34"/>
  <c r="AC78" i="34"/>
  <c r="AC81" i="34"/>
  <c r="X87" i="34"/>
  <c r="AC87" i="34"/>
  <c r="AC131" i="34"/>
  <c r="AH176" i="34"/>
  <c r="Y180" i="34"/>
  <c r="AC180" i="34"/>
  <c r="AI188" i="34"/>
  <c r="X192" i="34"/>
  <c r="AC192" i="34"/>
  <c r="AI196" i="34"/>
  <c r="Z94" i="34"/>
  <c r="AC94" i="34"/>
  <c r="X175" i="34"/>
  <c r="AC175" i="34"/>
  <c r="Y146" i="34"/>
  <c r="AC146" i="34"/>
  <c r="X82" i="34"/>
  <c r="AC82" i="34"/>
  <c r="Y45" i="34"/>
  <c r="AC45" i="34"/>
  <c r="X23" i="34"/>
  <c r="AC23" i="34"/>
  <c r="Y16" i="34"/>
  <c r="AC16" i="34"/>
  <c r="AI53" i="34"/>
  <c r="AH69" i="34"/>
  <c r="X67" i="34"/>
  <c r="AC67" i="34"/>
  <c r="AJ62" i="34"/>
  <c r="X74" i="34"/>
  <c r="AC74" i="34"/>
  <c r="AI229" i="34"/>
  <c r="AH40" i="34"/>
  <c r="AC52" i="34"/>
  <c r="X79" i="34"/>
  <c r="AC79" i="34"/>
  <c r="AC107" i="34"/>
  <c r="AH173" i="34"/>
  <c r="AC188" i="34"/>
  <c r="AC196" i="34"/>
  <c r="J17" i="21"/>
  <c r="AB17" i="21"/>
  <c r="AJ19" i="23"/>
  <c r="AJ97" i="24"/>
  <c r="AH38" i="34"/>
  <c r="V38" i="34"/>
  <c r="F38" i="35"/>
  <c r="J38" i="35"/>
  <c r="AD38" i="35"/>
  <c r="X115" i="34"/>
  <c r="AC115" i="34"/>
  <c r="V115" i="34"/>
  <c r="F115" i="35"/>
  <c r="J115" i="35"/>
  <c r="AD115" i="35"/>
  <c r="AI25" i="34"/>
  <c r="V25" i="34"/>
  <c r="F25" i="35"/>
  <c r="J25" i="35"/>
  <c r="AE25" i="35"/>
  <c r="AH63" i="34"/>
  <c r="V63" i="34"/>
  <c r="F63" i="35"/>
  <c r="J63" i="35"/>
  <c r="AD63" i="35"/>
  <c r="AH147" i="34"/>
  <c r="V147" i="34"/>
  <c r="F147" i="35"/>
  <c r="J147" i="35"/>
  <c r="AD147" i="35"/>
  <c r="AH148" i="34"/>
  <c r="V148" i="34"/>
  <c r="F148" i="35"/>
  <c r="J148" i="35"/>
  <c r="AD148" i="35"/>
  <c r="AJ217" i="34"/>
  <c r="V217" i="34"/>
  <c r="F217" i="35"/>
  <c r="J217" i="35"/>
  <c r="AF217" i="35"/>
  <c r="AH27" i="34"/>
  <c r="V27" i="34"/>
  <c r="F27" i="35"/>
  <c r="J27" i="35"/>
  <c r="AD27" i="35"/>
  <c r="AH30" i="34"/>
  <c r="V30" i="34"/>
  <c r="F30" i="35"/>
  <c r="J30" i="35"/>
  <c r="AD30" i="35"/>
  <c r="AH31" i="34"/>
  <c r="V31" i="34"/>
  <c r="F31" i="35"/>
  <c r="J31" i="35"/>
  <c r="AD31" i="35"/>
  <c r="X32" i="34"/>
  <c r="AC32" i="34"/>
  <c r="V32" i="34"/>
  <c r="F32" i="35"/>
  <c r="J32" i="35"/>
  <c r="AD32" i="35"/>
  <c r="X33" i="34"/>
  <c r="AC33" i="34"/>
  <c r="V33" i="34"/>
  <c r="F33" i="35"/>
  <c r="J33" i="35"/>
  <c r="AD33" i="35"/>
  <c r="AH34" i="34"/>
  <c r="V34" i="34"/>
  <c r="F34" i="35"/>
  <c r="J34" i="35"/>
  <c r="AD34" i="35"/>
  <c r="Z42" i="34"/>
  <c r="AC42" i="34"/>
  <c r="V42" i="34"/>
  <c r="F42" i="35"/>
  <c r="J42" i="35"/>
  <c r="AF42" i="35"/>
  <c r="AH43" i="34"/>
  <c r="V43" i="34"/>
  <c r="F43" i="35"/>
  <c r="J43" i="35"/>
  <c r="AD43" i="35"/>
  <c r="AH44" i="34"/>
  <c r="V44" i="34"/>
  <c r="F44" i="35"/>
  <c r="J44" i="35"/>
  <c r="AD44" i="35"/>
  <c r="Y83" i="34"/>
  <c r="AC83" i="34"/>
  <c r="V83" i="34"/>
  <c r="F83" i="35"/>
  <c r="J83" i="35"/>
  <c r="AE83" i="35"/>
  <c r="AH164" i="34"/>
  <c r="V164" i="34"/>
  <c r="F164" i="35"/>
  <c r="J164" i="35"/>
  <c r="AD164" i="35"/>
  <c r="AH177" i="34"/>
  <c r="V177" i="34"/>
  <c r="F177" i="35"/>
  <c r="J177" i="35"/>
  <c r="AD177" i="35"/>
  <c r="AH178" i="34"/>
  <c r="V178" i="34"/>
  <c r="F178" i="35"/>
  <c r="J178" i="35"/>
  <c r="AD178" i="35"/>
  <c r="Z210" i="34"/>
  <c r="AC210" i="34"/>
  <c r="V210" i="34"/>
  <c r="F210" i="35"/>
  <c r="J210" i="35"/>
  <c r="AF210" i="35"/>
  <c r="X219" i="34"/>
  <c r="AC219" i="34"/>
  <c r="V219" i="34"/>
  <c r="F219" i="35"/>
  <c r="J219" i="35"/>
  <c r="AD219" i="35"/>
  <c r="AJ233" i="34"/>
  <c r="V233" i="34"/>
  <c r="F233" i="35"/>
  <c r="J233" i="35"/>
  <c r="AF233" i="35"/>
  <c r="Y85" i="34"/>
  <c r="AC85" i="34"/>
  <c r="X199" i="34"/>
  <c r="AC199" i="34"/>
  <c r="X57" i="34"/>
  <c r="AC57" i="34"/>
  <c r="X50" i="34"/>
  <c r="AC50" i="34"/>
  <c r="AH67" i="34"/>
  <c r="AI76" i="34"/>
  <c r="X103" i="34"/>
  <c r="AC103" i="34"/>
  <c r="AH124" i="34"/>
  <c r="AH136" i="34"/>
  <c r="X136" i="34"/>
  <c r="AC136" i="34"/>
  <c r="X138" i="34"/>
  <c r="AC138" i="34"/>
  <c r="AJ149" i="34"/>
  <c r="X154" i="34"/>
  <c r="AC154" i="34"/>
  <c r="Z156" i="34"/>
  <c r="AC156" i="34"/>
  <c r="X170" i="34"/>
  <c r="AC170" i="34"/>
  <c r="AH172" i="34"/>
  <c r="X179" i="34"/>
  <c r="AC179" i="34"/>
  <c r="AI183" i="34"/>
  <c r="Y195" i="34"/>
  <c r="AC195" i="34"/>
  <c r="AI208" i="34"/>
  <c r="X218" i="34"/>
  <c r="AC218" i="34"/>
  <c r="Y225" i="34"/>
  <c r="AC225" i="34"/>
  <c r="Y226" i="34"/>
  <c r="AC226" i="34"/>
  <c r="Z217" i="34"/>
  <c r="AC217" i="34"/>
  <c r="Y183" i="34"/>
  <c r="AC183" i="34"/>
  <c r="Y162" i="34"/>
  <c r="AC162" i="34"/>
  <c r="AI98" i="34"/>
  <c r="X86" i="34"/>
  <c r="AC86" i="34"/>
  <c r="X77" i="34"/>
  <c r="AC77" i="34"/>
  <c r="Y19" i="34"/>
  <c r="AC19" i="34"/>
  <c r="AH89" i="34"/>
  <c r="AH56" i="34"/>
  <c r="Y80" i="34"/>
  <c r="AC80" i="34"/>
  <c r="AH46" i="34"/>
  <c r="AH228" i="34"/>
  <c r="AJ186" i="34"/>
  <c r="AH154" i="34"/>
  <c r="AH50" i="34"/>
  <c r="AI204" i="34"/>
  <c r="Y185" i="34"/>
  <c r="AC185" i="34"/>
  <c r="AI18" i="34"/>
  <c r="X21" i="34"/>
  <c r="AC21" i="34"/>
  <c r="X24" i="34"/>
  <c r="AC24" i="34"/>
  <c r="X28" i="34"/>
  <c r="AC28" i="34"/>
  <c r="AH35" i="34"/>
  <c r="AC35" i="34"/>
  <c r="Y53" i="34"/>
  <c r="AC53" i="34"/>
  <c r="X56" i="34"/>
  <c r="AC56" i="34"/>
  <c r="AI60" i="34"/>
  <c r="X66" i="34"/>
  <c r="AC66" i="34"/>
  <c r="AH75" i="34"/>
  <c r="AH77" i="34"/>
  <c r="Y84" i="34"/>
  <c r="AC84" i="34"/>
  <c r="AH86" i="34"/>
  <c r="X89" i="34"/>
  <c r="AC89" i="34"/>
  <c r="AH92" i="34"/>
  <c r="X92" i="34"/>
  <c r="AC92" i="34"/>
  <c r="AJ94" i="34"/>
  <c r="Y96" i="34"/>
  <c r="AC96" i="34"/>
  <c r="AI96" i="34"/>
  <c r="Y98" i="34"/>
  <c r="AC98" i="34"/>
  <c r="AI101" i="34"/>
  <c r="X105" i="34"/>
  <c r="AC105" i="34"/>
  <c r="Y118" i="34"/>
  <c r="AC118" i="34"/>
  <c r="Y119" i="34"/>
  <c r="AC119" i="34"/>
  <c r="AH120" i="34"/>
  <c r="Y127" i="34"/>
  <c r="AC127" i="34"/>
  <c r="Y132" i="34"/>
  <c r="AC132" i="34"/>
  <c r="X135" i="34"/>
  <c r="AC135" i="34"/>
  <c r="AH137" i="34"/>
  <c r="AH138" i="34"/>
  <c r="AH140" i="34"/>
  <c r="X142" i="34"/>
  <c r="AC142" i="34"/>
  <c r="AH144" i="34"/>
  <c r="X144" i="34"/>
  <c r="AC144" i="34"/>
  <c r="AI146" i="34"/>
  <c r="AH152" i="34"/>
  <c r="AJ159" i="34"/>
  <c r="Y161" i="34"/>
  <c r="AC161" i="34"/>
  <c r="Y165" i="34"/>
  <c r="AC165" i="34"/>
  <c r="Y168" i="34"/>
  <c r="AC168" i="34"/>
  <c r="AH170" i="34"/>
  <c r="X171" i="34"/>
  <c r="AC171" i="34"/>
  <c r="X172" i="34"/>
  <c r="AC172" i="34"/>
  <c r="X181" i="34"/>
  <c r="AC181" i="34"/>
  <c r="AH182" i="34"/>
  <c r="AI185" i="34"/>
  <c r="Y194" i="34"/>
  <c r="AC194" i="34"/>
  <c r="AI198" i="34"/>
  <c r="AH202" i="34"/>
  <c r="AI207" i="34"/>
  <c r="AI211" i="34"/>
  <c r="AH218" i="34"/>
  <c r="AI220" i="34"/>
  <c r="AI224" i="34"/>
  <c r="AI226" i="34"/>
  <c r="AJ234" i="34"/>
  <c r="E236" i="34"/>
  <c r="AH47" i="34"/>
  <c r="V47" i="34"/>
  <c r="F47" i="35"/>
  <c r="J47" i="35"/>
  <c r="AD47" i="35"/>
  <c r="AH191" i="34"/>
  <c r="V191" i="34"/>
  <c r="F191" i="35"/>
  <c r="J191" i="35"/>
  <c r="AD191" i="35"/>
  <c r="X36" i="34"/>
  <c r="AC36" i="34"/>
  <c r="V36" i="34"/>
  <c r="F36" i="35"/>
  <c r="J36" i="35"/>
  <c r="AD36" i="35"/>
  <c r="X37" i="34"/>
  <c r="AC37" i="34"/>
  <c r="V37" i="34"/>
  <c r="F37" i="35"/>
  <c r="J37" i="35"/>
  <c r="AD37" i="35"/>
  <c r="Y61" i="34"/>
  <c r="AC61" i="34"/>
  <c r="V61" i="34"/>
  <c r="F61" i="35"/>
  <c r="J61" i="35"/>
  <c r="AE61" i="35"/>
  <c r="AH70" i="34"/>
  <c r="V70" i="34"/>
  <c r="F70" i="35"/>
  <c r="J70" i="35"/>
  <c r="AD70" i="35"/>
  <c r="X88" i="34"/>
  <c r="AC88" i="34"/>
  <c r="V88" i="34"/>
  <c r="F88" i="35"/>
  <c r="J88" i="35"/>
  <c r="AD88" i="35"/>
  <c r="X108" i="34"/>
  <c r="AC108" i="34"/>
  <c r="V108" i="34"/>
  <c r="F110" i="35"/>
  <c r="J110" i="35"/>
  <c r="AD110" i="35"/>
  <c r="AH109" i="34"/>
  <c r="V109" i="34"/>
  <c r="F108" i="35"/>
  <c r="J108" i="35"/>
  <c r="AD108" i="35"/>
  <c r="AH110" i="34"/>
  <c r="V110" i="34"/>
  <c r="F109" i="35"/>
  <c r="J109" i="35"/>
  <c r="AD109" i="35"/>
  <c r="AH111" i="34"/>
  <c r="V111" i="34"/>
  <c r="F111" i="35"/>
  <c r="J111" i="35"/>
  <c r="AD111" i="35"/>
  <c r="X112" i="34"/>
  <c r="AC112" i="34"/>
  <c r="V112" i="34"/>
  <c r="F112" i="35"/>
  <c r="J112" i="35"/>
  <c r="AD112" i="35"/>
  <c r="X113" i="34"/>
  <c r="AC113" i="34"/>
  <c r="V113" i="34"/>
  <c r="F113" i="35"/>
  <c r="J113" i="35"/>
  <c r="AD113" i="35"/>
  <c r="AH122" i="34"/>
  <c r="V122" i="34"/>
  <c r="F122" i="35"/>
  <c r="J122" i="35"/>
  <c r="AD122" i="35"/>
  <c r="AH126" i="34"/>
  <c r="V126" i="34"/>
  <c r="F126" i="35"/>
  <c r="J126" i="35"/>
  <c r="AD126" i="35"/>
  <c r="AJ130" i="34"/>
  <c r="V130" i="34"/>
  <c r="F130" i="35"/>
  <c r="J130" i="35"/>
  <c r="AF130" i="35"/>
  <c r="AI167" i="34"/>
  <c r="V167" i="34"/>
  <c r="F167" i="35"/>
  <c r="J167" i="35"/>
  <c r="AE167" i="35"/>
  <c r="X189" i="34"/>
  <c r="AC189" i="34"/>
  <c r="V189" i="34"/>
  <c r="F189" i="35"/>
  <c r="J189" i="35"/>
  <c r="AD189" i="35"/>
  <c r="AH215" i="34"/>
  <c r="V215" i="34"/>
  <c r="F215" i="35"/>
  <c r="J215" i="35"/>
  <c r="AD215" i="35"/>
  <c r="AI174" i="34"/>
  <c r="AL174" i="34"/>
  <c r="V174" i="34"/>
  <c r="F174" i="35"/>
  <c r="J174" i="35"/>
  <c r="AE174" i="35"/>
  <c r="Y76" i="34"/>
  <c r="AC76" i="34"/>
  <c r="X106" i="34"/>
  <c r="AC106" i="34"/>
  <c r="AC44" i="34"/>
  <c r="AC51" i="34"/>
  <c r="AC116" i="34"/>
  <c r="AH72" i="34"/>
  <c r="Y208" i="34"/>
  <c r="AC208" i="34"/>
  <c r="Y54" i="34"/>
  <c r="AC54" i="34"/>
  <c r="AI19" i="34"/>
  <c r="X46" i="34"/>
  <c r="AC46" i="34"/>
  <c r="AI54" i="34"/>
  <c r="AH57" i="34"/>
  <c r="Y60" i="34"/>
  <c r="AC60" i="34"/>
  <c r="X72" i="34"/>
  <c r="AC72" i="34"/>
  <c r="AI80" i="34"/>
  <c r="AI85" i="34"/>
  <c r="AH90" i="34"/>
  <c r="Y95" i="34"/>
  <c r="AC95" i="34"/>
  <c r="Y101" i="34"/>
  <c r="AC101" i="34"/>
  <c r="AH106" i="34"/>
  <c r="X152" i="34"/>
  <c r="AC152" i="34"/>
  <c r="AH160" i="34"/>
  <c r="AL160" i="34"/>
  <c r="AI162" i="34"/>
  <c r="AH175" i="34"/>
  <c r="Z186" i="34"/>
  <c r="AC186" i="34"/>
  <c r="AH187" i="34"/>
  <c r="AH199" i="34"/>
  <c r="Y204" i="34"/>
  <c r="AC204" i="34"/>
  <c r="Z213" i="34"/>
  <c r="AC213" i="34"/>
  <c r="Z221" i="34"/>
  <c r="AC221" i="34"/>
  <c r="X228" i="34"/>
  <c r="AC228" i="34"/>
  <c r="AC178" i="34"/>
  <c r="Z149" i="34"/>
  <c r="AC149" i="34"/>
  <c r="Y211" i="34"/>
  <c r="AC211" i="34"/>
  <c r="X191" i="34"/>
  <c r="AC191" i="34"/>
  <c r="X187" i="34"/>
  <c r="AC187" i="34"/>
  <c r="Z159" i="34"/>
  <c r="AC159" i="34"/>
  <c r="AI118" i="34"/>
  <c r="X27" i="34"/>
  <c r="AC27" i="34"/>
  <c r="X49" i="34"/>
  <c r="AC49" i="34"/>
  <c r="AH135" i="34"/>
  <c r="AH105" i="34"/>
  <c r="AJ213" i="34"/>
  <c r="AH24" i="34"/>
  <c r="AJ221" i="34"/>
  <c r="AC177" i="34"/>
  <c r="AJ156" i="34"/>
  <c r="X124" i="34"/>
  <c r="AC124" i="34"/>
  <c r="AH97" i="34"/>
  <c r="AI58" i="34"/>
  <c r="AI100" i="34"/>
  <c r="AI84" i="34"/>
  <c r="AC70" i="34"/>
  <c r="X38" i="34"/>
  <c r="Y18" i="34"/>
  <c r="X17" i="34"/>
  <c r="AC17" i="34"/>
  <c r="AC18" i="34"/>
  <c r="AH23" i="34"/>
  <c r="AH28" i="34"/>
  <c r="AH37" i="34"/>
  <c r="X40" i="34"/>
  <c r="AC40" i="34"/>
  <c r="AI45" i="34"/>
  <c r="AH49" i="34"/>
  <c r="AI52" i="34"/>
  <c r="Y58" i="34"/>
  <c r="AC58" i="34"/>
  <c r="X59" i="34"/>
  <c r="AC59" i="34"/>
  <c r="Z62" i="34"/>
  <c r="AC62" i="34"/>
  <c r="AH71" i="34"/>
  <c r="AH74" i="34"/>
  <c r="AH79" i="34"/>
  <c r="AH82" i="34"/>
  <c r="X91" i="34"/>
  <c r="AC91" i="34"/>
  <c r="Z93" i="34"/>
  <c r="AC93" i="34"/>
  <c r="X97" i="34"/>
  <c r="AC97" i="34"/>
  <c r="Y100" i="34"/>
  <c r="AC100" i="34"/>
  <c r="AH102" i="34"/>
  <c r="X117" i="34"/>
  <c r="AC117" i="34"/>
  <c r="X123" i="34"/>
  <c r="AC123" i="34"/>
  <c r="AI127" i="34"/>
  <c r="AI132" i="34"/>
  <c r="X133" i="34"/>
  <c r="AC133" i="34"/>
  <c r="AI134" i="34"/>
  <c r="X139" i="34"/>
  <c r="AC139" i="34"/>
  <c r="X140" i="34"/>
  <c r="AC140" i="34"/>
  <c r="AH141" i="34"/>
  <c r="AH142" i="34"/>
  <c r="X143" i="34"/>
  <c r="AC143" i="34"/>
  <c r="Y145" i="34"/>
  <c r="AC145" i="34"/>
  <c r="Y151" i="34"/>
  <c r="AC151" i="34"/>
  <c r="AI151" i="34"/>
  <c r="AJ153" i="34"/>
  <c r="AI158" i="34"/>
  <c r="X160" i="34"/>
  <c r="AC160" i="34"/>
  <c r="X163" i="34"/>
  <c r="AC163" i="34"/>
  <c r="AI168" i="34"/>
  <c r="X173" i="34"/>
  <c r="AC173" i="34"/>
  <c r="X184" i="34"/>
  <c r="AC184" i="34"/>
  <c r="Y190" i="34"/>
  <c r="AC190" i="34"/>
  <c r="AH193" i="34"/>
  <c r="AH197" i="34"/>
  <c r="X200" i="34"/>
  <c r="AC200" i="34"/>
  <c r="AI206" i="34"/>
  <c r="X216" i="34"/>
  <c r="AC216" i="34"/>
  <c r="AH223" i="34"/>
  <c r="AI227" i="34"/>
  <c r="AH230" i="34"/>
  <c r="X230" i="34"/>
  <c r="AC230" i="34"/>
  <c r="AH232" i="34"/>
  <c r="AB183" i="11"/>
  <c r="AC21" i="10"/>
  <c r="AL32" i="31"/>
  <c r="F186" i="35"/>
  <c r="J186" i="35"/>
  <c r="AF186" i="35"/>
  <c r="F185" i="35"/>
  <c r="J185" i="35"/>
  <c r="AE185" i="35"/>
  <c r="AL226" i="31"/>
  <c r="AL222" i="31"/>
  <c r="X63" i="34"/>
  <c r="AC63" i="34"/>
  <c r="AH33" i="34"/>
  <c r="AC38" i="34"/>
  <c r="AH219" i="34"/>
  <c r="Z233" i="34"/>
  <c r="AC233" i="34"/>
  <c r="Y167" i="34"/>
  <c r="AC167" i="34"/>
  <c r="X164" i="34"/>
  <c r="AC164" i="34"/>
  <c r="X148" i="34"/>
  <c r="AC148" i="34"/>
  <c r="Z130" i="34"/>
  <c r="AC130" i="34"/>
  <c r="X122" i="34"/>
  <c r="AC122" i="34"/>
  <c r="AH88" i="34"/>
  <c r="AI83" i="34"/>
  <c r="X47" i="34"/>
  <c r="AC47" i="34"/>
  <c r="X43" i="34"/>
  <c r="AC43" i="34"/>
  <c r="AJ42" i="34"/>
  <c r="X34" i="34"/>
  <c r="AC34" i="34"/>
  <c r="Y25" i="34"/>
  <c r="AC25" i="34"/>
  <c r="AA237" i="33"/>
  <c r="AA244" i="33"/>
  <c r="Z235" i="33"/>
  <c r="Z244" i="33"/>
  <c r="AC58" i="33"/>
  <c r="V145" i="33"/>
  <c r="V230" i="33"/>
  <c r="F147" i="34"/>
  <c r="J147" i="34"/>
  <c r="AD147" i="34"/>
  <c r="F148" i="34"/>
  <c r="J148" i="34"/>
  <c r="AD148" i="34"/>
  <c r="Y174" i="34"/>
  <c r="AC174" i="34"/>
  <c r="I237" i="34"/>
  <c r="J244" i="34"/>
  <c r="X45" i="31"/>
  <c r="AC45" i="31"/>
  <c r="AH45" i="31"/>
  <c r="V47" i="31"/>
  <c r="F47" i="32"/>
  <c r="J47" i="32"/>
  <c r="AE47" i="32"/>
  <c r="AI47" i="31"/>
  <c r="V103" i="31"/>
  <c r="F104" i="32"/>
  <c r="J104" i="32"/>
  <c r="AD104" i="32"/>
  <c r="AH103" i="31"/>
  <c r="V180" i="31"/>
  <c r="F181" i="32"/>
  <c r="J181" i="32"/>
  <c r="AD181" i="32"/>
  <c r="X180" i="31"/>
  <c r="AC180" i="31"/>
  <c r="V184" i="31"/>
  <c r="F185" i="32"/>
  <c r="J185" i="32"/>
  <c r="AE185" i="32"/>
  <c r="Y184" i="31"/>
  <c r="AC184" i="31"/>
  <c r="AI184" i="31"/>
  <c r="Y186" i="31"/>
  <c r="AC186" i="31"/>
  <c r="AI186" i="31"/>
  <c r="V191" i="31"/>
  <c r="F192" i="32"/>
  <c r="J192" i="32"/>
  <c r="AE192" i="32"/>
  <c r="Y191" i="31"/>
  <c r="AC191" i="31"/>
  <c r="AI191" i="31"/>
  <c r="V197" i="31"/>
  <c r="F198" i="32"/>
  <c r="J198" i="32"/>
  <c r="AD198" i="32"/>
  <c r="AH197" i="31"/>
  <c r="X208" i="31"/>
  <c r="AC208" i="31"/>
  <c r="V208" i="31"/>
  <c r="F209" i="32"/>
  <c r="J209" i="32"/>
  <c r="AD209" i="32"/>
  <c r="AH208" i="31"/>
  <c r="V22" i="31"/>
  <c r="F22" i="32"/>
  <c r="J22" i="32"/>
  <c r="X22" i="31"/>
  <c r="V52" i="31"/>
  <c r="F52" i="32"/>
  <c r="J52" i="32"/>
  <c r="AE52" i="32"/>
  <c r="AL52" i="32"/>
  <c r="X73" i="31"/>
  <c r="AC73" i="31"/>
  <c r="AH73" i="31"/>
  <c r="V95" i="31"/>
  <c r="F96" i="32"/>
  <c r="J96" i="32"/>
  <c r="AD96" i="32"/>
  <c r="AH95" i="31"/>
  <c r="X95" i="31"/>
  <c r="AC95" i="31"/>
  <c r="V104" i="31"/>
  <c r="F105" i="32"/>
  <c r="J105" i="32"/>
  <c r="AD105" i="32"/>
  <c r="AL105" i="32"/>
  <c r="X104" i="31"/>
  <c r="AC104" i="31"/>
  <c r="AH104" i="31"/>
  <c r="V121" i="31"/>
  <c r="F122" i="32"/>
  <c r="J122" i="32"/>
  <c r="AD122" i="32"/>
  <c r="X121" i="31"/>
  <c r="AC121" i="31"/>
  <c r="Y158" i="31"/>
  <c r="AC158" i="31"/>
  <c r="AI158" i="31"/>
  <c r="V203" i="31"/>
  <c r="F204" i="32"/>
  <c r="J204" i="32"/>
  <c r="AE204" i="32"/>
  <c r="AI203" i="31"/>
  <c r="AH209" i="31"/>
  <c r="X209" i="31"/>
  <c r="AC209" i="31"/>
  <c r="V227" i="31"/>
  <c r="F228" i="32"/>
  <c r="J228" i="32"/>
  <c r="AF228" i="32"/>
  <c r="Z227" i="31"/>
  <c r="V186" i="31"/>
  <c r="F187" i="32"/>
  <c r="J187" i="32"/>
  <c r="AE187" i="32"/>
  <c r="Y18" i="31"/>
  <c r="AC18" i="31"/>
  <c r="AL62" i="31"/>
  <c r="AC83" i="31"/>
  <c r="AC43" i="31"/>
  <c r="AC55" i="31"/>
  <c r="AL122" i="31"/>
  <c r="V49" i="31"/>
  <c r="F49" i="32"/>
  <c r="J49" i="32"/>
  <c r="AD49" i="32"/>
  <c r="AL49" i="32"/>
  <c r="V82" i="31"/>
  <c r="F82" i="32"/>
  <c r="J82" i="32"/>
  <c r="AE82" i="32"/>
  <c r="AL82" i="32"/>
  <c r="V39" i="31"/>
  <c r="F39" i="32"/>
  <c r="J39" i="32"/>
  <c r="AD39" i="32"/>
  <c r="X39" i="31"/>
  <c r="AC39" i="31"/>
  <c r="V91" i="31"/>
  <c r="F92" i="32"/>
  <c r="J92" i="32"/>
  <c r="AF92" i="32"/>
  <c r="AJ91" i="31"/>
  <c r="AL91" i="31"/>
  <c r="Y116" i="31"/>
  <c r="AC116" i="31"/>
  <c r="V116" i="31"/>
  <c r="F117" i="32"/>
  <c r="J117" i="32"/>
  <c r="AE117" i="32"/>
  <c r="AL117" i="32"/>
  <c r="AI116" i="31"/>
  <c r="Z146" i="31"/>
  <c r="AC146" i="31"/>
  <c r="AJ146" i="31"/>
  <c r="AH161" i="31"/>
  <c r="V161" i="31"/>
  <c r="F162" i="32"/>
  <c r="J162" i="32"/>
  <c r="AD162" i="32"/>
  <c r="AL162" i="32"/>
  <c r="V199" i="31"/>
  <c r="F200" i="32"/>
  <c r="J200" i="32"/>
  <c r="AE200" i="32"/>
  <c r="Y199" i="31"/>
  <c r="AC199" i="31"/>
  <c r="V27" i="31"/>
  <c r="F27" i="32"/>
  <c r="J27" i="32"/>
  <c r="AD27" i="32"/>
  <c r="X27" i="31"/>
  <c r="AC27" i="31"/>
  <c r="AH27" i="31"/>
  <c r="V58" i="31"/>
  <c r="F58" i="32"/>
  <c r="J58" i="32"/>
  <c r="AF58" i="32"/>
  <c r="AJ58" i="31"/>
  <c r="AJ150" i="31"/>
  <c r="AJ210" i="31"/>
  <c r="AJ229" i="31"/>
  <c r="AJ233" i="31"/>
  <c r="V79" i="31"/>
  <c r="F79" i="32"/>
  <c r="J79" i="32"/>
  <c r="AE79" i="32"/>
  <c r="Y79" i="31"/>
  <c r="AC79" i="31"/>
  <c r="AH101" i="31"/>
  <c r="V101" i="31"/>
  <c r="F102" i="32"/>
  <c r="J102" i="32"/>
  <c r="AD102" i="32"/>
  <c r="AL102" i="32"/>
  <c r="X101" i="31"/>
  <c r="AC101" i="31"/>
  <c r="V109" i="31"/>
  <c r="F110" i="32"/>
  <c r="J110" i="32"/>
  <c r="AD110" i="32"/>
  <c r="AL110" i="32"/>
  <c r="X109" i="31"/>
  <c r="AC109" i="31"/>
  <c r="V129" i="31"/>
  <c r="F130" i="32"/>
  <c r="J130" i="32"/>
  <c r="AE130" i="32"/>
  <c r="AL130" i="32"/>
  <c r="AI129" i="31"/>
  <c r="Y129" i="31"/>
  <c r="AC129" i="31"/>
  <c r="AH133" i="31"/>
  <c r="X133" i="31"/>
  <c r="AC133" i="31"/>
  <c r="V136" i="31"/>
  <c r="F137" i="32"/>
  <c r="J137" i="32"/>
  <c r="AD137" i="32"/>
  <c r="X136" i="31"/>
  <c r="AC136" i="31"/>
  <c r="AH136" i="31"/>
  <c r="V138" i="31"/>
  <c r="F139" i="32"/>
  <c r="J139" i="32"/>
  <c r="AD139" i="32"/>
  <c r="AH138" i="31"/>
  <c r="V140" i="31"/>
  <c r="F141" i="32"/>
  <c r="J141" i="32"/>
  <c r="AD141" i="32"/>
  <c r="X140" i="31"/>
  <c r="AC140" i="31"/>
  <c r="Z150" i="31"/>
  <c r="AC150" i="31"/>
  <c r="V188" i="31"/>
  <c r="F189" i="32"/>
  <c r="J189" i="32"/>
  <c r="AD189" i="32"/>
  <c r="X188" i="31"/>
  <c r="AC188" i="31"/>
  <c r="AI220" i="31"/>
  <c r="V220" i="31"/>
  <c r="F221" i="32"/>
  <c r="J221" i="32"/>
  <c r="AE221" i="32"/>
  <c r="Y220" i="31"/>
  <c r="AC220" i="31"/>
  <c r="V193" i="31"/>
  <c r="F194" i="32"/>
  <c r="J194" i="32"/>
  <c r="AD194" i="32"/>
  <c r="AH193" i="31"/>
  <c r="AL193" i="31"/>
  <c r="X193" i="31"/>
  <c r="AC193" i="31"/>
  <c r="X123" i="31"/>
  <c r="AC123" i="31"/>
  <c r="AH123" i="31"/>
  <c r="V123" i="31"/>
  <c r="F124" i="32"/>
  <c r="J124" i="32"/>
  <c r="AD124" i="32"/>
  <c r="AI199" i="31"/>
  <c r="Z91" i="31"/>
  <c r="AL175" i="31"/>
  <c r="Y162" i="31"/>
  <c r="AC162" i="31"/>
  <c r="AH180" i="31"/>
  <c r="AL180" i="31"/>
  <c r="AC110" i="31"/>
  <c r="AC178" i="31"/>
  <c r="AC219" i="31"/>
  <c r="AC223" i="31"/>
  <c r="E229" i="31"/>
  <c r="V45" i="31"/>
  <c r="F45" i="32"/>
  <c r="J45" i="32"/>
  <c r="AD45" i="32"/>
  <c r="V146" i="31"/>
  <c r="F147" i="32"/>
  <c r="J147" i="32"/>
  <c r="AF147" i="32"/>
  <c r="V162" i="31"/>
  <c r="F163" i="32"/>
  <c r="J163" i="32"/>
  <c r="AE163" i="32"/>
  <c r="V196" i="31"/>
  <c r="F197" i="32"/>
  <c r="J197" i="32"/>
  <c r="AD197" i="32"/>
  <c r="V30" i="31"/>
  <c r="F30" i="32"/>
  <c r="J30" i="32"/>
  <c r="AD30" i="32"/>
  <c r="AH30" i="31"/>
  <c r="V173" i="31"/>
  <c r="F174" i="32"/>
  <c r="J174" i="32"/>
  <c r="AD174" i="32"/>
  <c r="AL174" i="32"/>
  <c r="X173" i="31"/>
  <c r="AC173" i="31"/>
  <c r="V205" i="31"/>
  <c r="F206" i="32"/>
  <c r="J206" i="32"/>
  <c r="AE206" i="32"/>
  <c r="AI205" i="31"/>
  <c r="Y205" i="31"/>
  <c r="AC205" i="31"/>
  <c r="V17" i="31"/>
  <c r="F17" i="32"/>
  <c r="J17" i="32"/>
  <c r="AD17" i="32"/>
  <c r="AH17" i="31"/>
  <c r="V62" i="31"/>
  <c r="F62" i="32"/>
  <c r="J62" i="32"/>
  <c r="AD62" i="32"/>
  <c r="X62" i="31"/>
  <c r="AC62" i="31"/>
  <c r="V66" i="31"/>
  <c r="F66" i="32"/>
  <c r="J66" i="32"/>
  <c r="AD66" i="32"/>
  <c r="X66" i="31"/>
  <c r="AC66" i="31"/>
  <c r="V87" i="31"/>
  <c r="F87" i="32"/>
  <c r="J87" i="32"/>
  <c r="AD87" i="32"/>
  <c r="AH87" i="31"/>
  <c r="X87" i="31"/>
  <c r="AC87" i="31"/>
  <c r="X102" i="31"/>
  <c r="AC102" i="31"/>
  <c r="V112" i="31"/>
  <c r="F113" i="32"/>
  <c r="J113" i="32"/>
  <c r="AD113" i="32"/>
  <c r="X112" i="31"/>
  <c r="AC112" i="31"/>
  <c r="V160" i="31"/>
  <c r="F161" i="32"/>
  <c r="J161" i="32"/>
  <c r="AD161" i="32"/>
  <c r="X160" i="31"/>
  <c r="AC160" i="31"/>
  <c r="V167" i="31"/>
  <c r="F168" i="32"/>
  <c r="J168" i="32"/>
  <c r="AD168" i="32"/>
  <c r="X167" i="31"/>
  <c r="AC167" i="31"/>
  <c r="X169" i="31"/>
  <c r="AC169" i="31"/>
  <c r="V169" i="31"/>
  <c r="F170" i="32"/>
  <c r="J170" i="32"/>
  <c r="AD170" i="32"/>
  <c r="AH169" i="31"/>
  <c r="Y213" i="31"/>
  <c r="AC213" i="31"/>
  <c r="AI213" i="31"/>
  <c r="V224" i="31"/>
  <c r="F225" i="32"/>
  <c r="J225" i="32"/>
  <c r="AD225" i="32"/>
  <c r="X224" i="31"/>
  <c r="AC224" i="31"/>
  <c r="AH224" i="31"/>
  <c r="V64" i="31"/>
  <c r="F64" i="32"/>
  <c r="J64" i="32"/>
  <c r="AD64" i="32"/>
  <c r="AH64" i="31"/>
  <c r="AL64" i="31"/>
  <c r="V187" i="31"/>
  <c r="F188" i="32"/>
  <c r="J188" i="32"/>
  <c r="AD188" i="32"/>
  <c r="T229" i="31"/>
  <c r="AL220" i="31"/>
  <c r="X103" i="31"/>
  <c r="AC103" i="31"/>
  <c r="AI18" i="31"/>
  <c r="Y47" i="31"/>
  <c r="AC47" i="31"/>
  <c r="AC126" i="31"/>
  <c r="AC141" i="31"/>
  <c r="AC143" i="31"/>
  <c r="AC151" i="31"/>
  <c r="AC226" i="31"/>
  <c r="AC227" i="31"/>
  <c r="V209" i="31"/>
  <c r="F210" i="32"/>
  <c r="J210" i="32"/>
  <c r="AD210" i="32"/>
  <c r="V41" i="31"/>
  <c r="F41" i="32"/>
  <c r="J41" i="32"/>
  <c r="AF41" i="32"/>
  <c r="V73" i="31"/>
  <c r="F73" i="32"/>
  <c r="J73" i="32"/>
  <c r="AD73" i="32"/>
  <c r="AL73" i="32"/>
  <c r="V158" i="31"/>
  <c r="F159" i="32"/>
  <c r="J159" i="32"/>
  <c r="AE159" i="32"/>
  <c r="AL123" i="31"/>
  <c r="V212" i="31"/>
  <c r="F213" i="32"/>
  <c r="J213" i="32"/>
  <c r="AD213" i="32"/>
  <c r="AL38" i="31"/>
  <c r="Z206" i="31"/>
  <c r="AC206" i="31"/>
  <c r="Y142" i="31"/>
  <c r="AC142" i="31"/>
  <c r="X32" i="31"/>
  <c r="AC32" i="31"/>
  <c r="AH72" i="31"/>
  <c r="AI176" i="31"/>
  <c r="Y201" i="31"/>
  <c r="AC201" i="31"/>
  <c r="X70" i="31"/>
  <c r="AC70" i="31"/>
  <c r="Y20" i="31"/>
  <c r="AC20" i="31"/>
  <c r="AL77" i="31"/>
  <c r="X139" i="31"/>
  <c r="AC139" i="31"/>
  <c r="Y164" i="31"/>
  <c r="AC164" i="31"/>
  <c r="AH215" i="31"/>
  <c r="Y98" i="31"/>
  <c r="AC98" i="31"/>
  <c r="V32" i="31"/>
  <c r="F32" i="32"/>
  <c r="J32" i="32"/>
  <c r="AD32" i="32"/>
  <c r="V48" i="31"/>
  <c r="F48" i="32"/>
  <c r="J48" i="32"/>
  <c r="AD48" i="32"/>
  <c r="V60" i="31"/>
  <c r="F60" i="32"/>
  <c r="J60" i="32"/>
  <c r="AE60" i="32"/>
  <c r="V68" i="31"/>
  <c r="F68" i="32"/>
  <c r="J68" i="32"/>
  <c r="AD68" i="32"/>
  <c r="V89" i="31"/>
  <c r="F89" i="32"/>
  <c r="J89" i="32"/>
  <c r="AD89" i="32"/>
  <c r="V93" i="31"/>
  <c r="F94" i="32"/>
  <c r="J94" i="32"/>
  <c r="AE94" i="32"/>
  <c r="V122" i="31"/>
  <c r="F123" i="32"/>
  <c r="J123" i="32"/>
  <c r="AD123" i="32"/>
  <c r="V165" i="31"/>
  <c r="F166" i="32"/>
  <c r="J166" i="32"/>
  <c r="AE166" i="32"/>
  <c r="V177" i="31"/>
  <c r="F178" i="32"/>
  <c r="J178" i="32"/>
  <c r="AD178" i="32"/>
  <c r="AL178" i="32"/>
  <c r="AL34" i="31"/>
  <c r="X215" i="31"/>
  <c r="AC215" i="31"/>
  <c r="V223" i="31"/>
  <c r="F224" i="32"/>
  <c r="J224" i="32"/>
  <c r="AD224" i="32"/>
  <c r="V43" i="31"/>
  <c r="F43" i="32"/>
  <c r="J43" i="32"/>
  <c r="AD43" i="32"/>
  <c r="V75" i="31"/>
  <c r="F75" i="32"/>
  <c r="J75" i="32"/>
  <c r="AE75" i="32"/>
  <c r="AL75" i="32"/>
  <c r="V84" i="31"/>
  <c r="F84" i="32"/>
  <c r="J84" i="32"/>
  <c r="AE84" i="32"/>
  <c r="V143" i="31"/>
  <c r="F144" i="32"/>
  <c r="J144" i="32"/>
  <c r="AE144" i="32"/>
  <c r="V148" i="31"/>
  <c r="F149" i="32"/>
  <c r="J149" i="32"/>
  <c r="AE149" i="32"/>
  <c r="V156" i="31"/>
  <c r="F157" i="32"/>
  <c r="J157" i="32"/>
  <c r="AF157" i="32"/>
  <c r="V192" i="31"/>
  <c r="F193" i="32"/>
  <c r="J193" i="32"/>
  <c r="AE193" i="32"/>
  <c r="V226" i="31"/>
  <c r="F227" i="32"/>
  <c r="J227" i="32"/>
  <c r="AF227" i="32"/>
  <c r="AL101" i="31"/>
  <c r="AL47" i="31"/>
  <c r="AI16" i="31"/>
  <c r="Y29" i="31"/>
  <c r="AC29" i="31"/>
  <c r="X50" i="31"/>
  <c r="AC50" i="31"/>
  <c r="Y54" i="31"/>
  <c r="AC54" i="31"/>
  <c r="X111" i="31"/>
  <c r="AC111" i="31"/>
  <c r="Y125" i="31"/>
  <c r="AC125" i="31"/>
  <c r="AI125" i="31"/>
  <c r="Y159" i="31"/>
  <c r="AC159" i="31"/>
  <c r="X171" i="31"/>
  <c r="AC171" i="31"/>
  <c r="AI179" i="31"/>
  <c r="I230" i="31"/>
  <c r="AI201" i="31"/>
  <c r="Y218" i="31"/>
  <c r="AC218" i="31"/>
  <c r="AI218" i="31"/>
  <c r="M230" i="31"/>
  <c r="J237" i="31"/>
  <c r="AH78" i="31"/>
  <c r="AL78" i="31"/>
  <c r="AL223" i="33"/>
  <c r="AL158" i="32"/>
  <c r="AL57" i="32"/>
  <c r="AL23" i="32"/>
  <c r="AL222" i="32"/>
  <c r="AL126" i="32"/>
  <c r="AL58" i="33"/>
  <c r="AL51" i="32"/>
  <c r="AL29" i="32"/>
  <c r="AL56" i="32"/>
  <c r="Y229" i="31"/>
  <c r="AA239" i="31"/>
  <c r="AL69" i="32"/>
  <c r="AI229" i="31"/>
  <c r="AI233" i="31"/>
  <c r="AH112" i="34"/>
  <c r="X110" i="34"/>
  <c r="AC110" i="34"/>
  <c r="AH113" i="34"/>
  <c r="AH115" i="34"/>
  <c r="X109" i="34"/>
  <c r="AC109" i="34"/>
  <c r="X111" i="34"/>
  <c r="AC111" i="34"/>
  <c r="AH108" i="34"/>
  <c r="Q114" i="34"/>
  <c r="V114" i="34"/>
  <c r="F114" i="35"/>
  <c r="J114" i="35"/>
  <c r="AD114" i="35"/>
  <c r="AL169" i="35"/>
  <c r="V236" i="34"/>
  <c r="AJ236" i="34"/>
  <c r="AJ240" i="34"/>
  <c r="AI236" i="34"/>
  <c r="AI240" i="34"/>
  <c r="Z236" i="34"/>
  <c r="AA249" i="34"/>
  <c r="Y236" i="34"/>
  <c r="AA246" i="34"/>
  <c r="X229" i="31"/>
  <c r="AA236" i="31"/>
  <c r="Z229" i="31"/>
  <c r="AA242" i="31"/>
  <c r="AA243" i="31"/>
  <c r="AC22" i="31"/>
  <c r="V229" i="31"/>
  <c r="AC91" i="31"/>
  <c r="AH229" i="31"/>
  <c r="AH233" i="31"/>
  <c r="AH114" i="34"/>
  <c r="X114" i="34"/>
  <c r="Q236" i="34"/>
  <c r="Z234" i="31"/>
  <c r="Z243" i="31"/>
  <c r="AH236" i="34"/>
  <c r="AH240" i="34"/>
  <c r="AC114" i="34"/>
  <c r="X236" i="34"/>
  <c r="Z241" i="34"/>
  <c r="Z250" i="34"/>
  <c r="AA243" i="34"/>
  <c r="AA250" i="34"/>
  <c r="AJ30" i="19"/>
  <c r="AJ57" i="19"/>
  <c r="AJ99" i="19"/>
  <c r="AJ174" i="20"/>
  <c r="AJ171" i="20"/>
  <c r="AJ162" i="20"/>
  <c r="AJ155" i="20"/>
  <c r="AJ104" i="20"/>
  <c r="AJ71" i="20"/>
  <c r="AJ68" i="20"/>
  <c r="AJ62" i="20"/>
  <c r="AJ42" i="20"/>
  <c r="AJ22" i="20"/>
  <c r="AL157" i="30"/>
  <c r="AL137" i="30"/>
  <c r="AL129" i="30"/>
  <c r="AL40" i="30"/>
  <c r="AL182" i="30"/>
  <c r="AL175" i="30"/>
  <c r="AL86" i="30"/>
  <c r="AL40" i="32"/>
  <c r="AL53" i="32"/>
  <c r="AL55" i="32"/>
  <c r="AL93" i="32"/>
  <c r="AL114" i="32"/>
  <c r="AL129" i="32"/>
  <c r="AL136" i="32"/>
  <c r="AL218" i="32"/>
  <c r="AL115" i="32"/>
  <c r="AL87" i="33"/>
  <c r="AL132" i="33"/>
  <c r="AL153" i="33"/>
  <c r="AJ88" i="19"/>
  <c r="AJ163" i="19"/>
  <c r="AJ177" i="21"/>
  <c r="AJ43" i="22"/>
  <c r="AJ28" i="22"/>
  <c r="AJ185" i="21"/>
  <c r="AJ101" i="22"/>
  <c r="AJ105" i="22"/>
  <c r="AJ151" i="23"/>
  <c r="AJ153" i="23"/>
  <c r="AJ204" i="23"/>
  <c r="AJ17" i="23"/>
  <c r="AJ24" i="24"/>
  <c r="AJ87" i="24"/>
  <c r="AJ178" i="23"/>
  <c r="AJ197" i="23"/>
  <c r="AJ201" i="24"/>
  <c r="AJ111" i="24"/>
  <c r="AJ210" i="24"/>
  <c r="AL167" i="26"/>
  <c r="AL212" i="26"/>
  <c r="AL132" i="26"/>
  <c r="AL68" i="28"/>
  <c r="AL78" i="28"/>
  <c r="AL172" i="29"/>
  <c r="AL140" i="29"/>
  <c r="AL220" i="29"/>
  <c r="AL133" i="29"/>
  <c r="AL81" i="29"/>
  <c r="AL38" i="29"/>
  <c r="AL211" i="29"/>
  <c r="AL185" i="29"/>
  <c r="AL73" i="29"/>
  <c r="AL102" i="29"/>
  <c r="AL125" i="29"/>
  <c r="AL190" i="30"/>
  <c r="AL114" i="30"/>
  <c r="AL106" i="30"/>
  <c r="AL186" i="30"/>
  <c r="AL41" i="30"/>
  <c r="AL59" i="30"/>
  <c r="AL68" i="30"/>
  <c r="AL144" i="30"/>
  <c r="AL57" i="31"/>
  <c r="AL73" i="31"/>
  <c r="AL86" i="31"/>
  <c r="AL92" i="31"/>
  <c r="AL96" i="31"/>
  <c r="AL47" i="33"/>
  <c r="AL130" i="33"/>
  <c r="AL156" i="33"/>
  <c r="AL179" i="33"/>
  <c r="AL186" i="33"/>
  <c r="AJ21" i="19"/>
  <c r="AJ98" i="19"/>
  <c r="AJ168" i="21"/>
  <c r="AJ129" i="23"/>
  <c r="AJ133" i="23"/>
  <c r="AJ136" i="24"/>
  <c r="AL43" i="27"/>
  <c r="AL47" i="27"/>
  <c r="AJ159" i="20"/>
  <c r="AJ74" i="20"/>
  <c r="AJ28" i="20"/>
  <c r="AJ48" i="25"/>
  <c r="AJ207" i="24"/>
  <c r="AJ114" i="25"/>
  <c r="AL203" i="26"/>
  <c r="AL37" i="26"/>
  <c r="AL220" i="27"/>
  <c r="AL208" i="29"/>
  <c r="AL147" i="31"/>
  <c r="AL24" i="32"/>
  <c r="AL165" i="33"/>
  <c r="AL216" i="29"/>
  <c r="AL114" i="29"/>
  <c r="AL193" i="30"/>
  <c r="AL121" i="30"/>
  <c r="AL19" i="30"/>
  <c r="AL22" i="33"/>
  <c r="AL212" i="27"/>
  <c r="AL30" i="32"/>
  <c r="AJ123" i="20"/>
  <c r="AL227" i="32"/>
  <c r="AL17" i="32"/>
  <c r="AL19" i="31"/>
  <c r="AL175" i="33"/>
  <c r="AL169" i="33"/>
  <c r="AC266" i="6"/>
  <c r="AC270" i="6"/>
  <c r="AJ209" i="25"/>
  <c r="AL210" i="33"/>
  <c r="AJ36" i="19"/>
  <c r="AJ109" i="19"/>
  <c r="AJ144" i="19"/>
  <c r="AJ221" i="20"/>
  <c r="AJ213" i="20"/>
  <c r="AJ198" i="20"/>
  <c r="AJ81" i="20"/>
  <c r="AJ99" i="20"/>
  <c r="AJ115" i="20"/>
  <c r="AJ193" i="20"/>
  <c r="AJ203" i="20"/>
  <c r="AJ21" i="20"/>
  <c r="AJ27" i="20"/>
  <c r="AJ186" i="20"/>
  <c r="AL154" i="28"/>
  <c r="AL176" i="30"/>
  <c r="AJ217" i="20"/>
  <c r="AJ207" i="20"/>
  <c r="AJ85" i="20"/>
  <c r="AJ113" i="20"/>
  <c r="AJ191" i="20"/>
  <c r="AJ189" i="20"/>
  <c r="AJ211" i="20"/>
  <c r="AJ170" i="20"/>
  <c r="AJ98" i="20"/>
  <c r="AJ188" i="20"/>
  <c r="AL90" i="32"/>
  <c r="AJ47" i="20"/>
  <c r="AJ38" i="19"/>
  <c r="AJ127" i="19"/>
  <c r="AJ211" i="19"/>
  <c r="AJ165" i="20"/>
  <c r="AJ129" i="20"/>
  <c r="AJ114" i="20"/>
  <c r="AJ112" i="20"/>
  <c r="AJ80" i="20"/>
  <c r="AJ67" i="20"/>
  <c r="AJ51" i="20"/>
  <c r="AJ43" i="20"/>
  <c r="AJ38" i="20"/>
  <c r="AJ26" i="20"/>
  <c r="AJ25" i="20"/>
  <c r="AJ32" i="21"/>
  <c r="AJ51" i="21"/>
  <c r="AJ190" i="21"/>
  <c r="AJ132" i="21"/>
  <c r="AJ215" i="22"/>
  <c r="AJ103" i="22"/>
  <c r="AJ116" i="22"/>
  <c r="AJ194" i="21"/>
  <c r="AJ199" i="21"/>
  <c r="AJ203" i="21"/>
  <c r="AJ210" i="21"/>
  <c r="AJ27" i="23"/>
  <c r="AJ70" i="22"/>
  <c r="AJ99" i="23"/>
  <c r="AJ128" i="22"/>
  <c r="AJ173" i="22"/>
  <c r="AJ207" i="23"/>
  <c r="AJ215" i="23"/>
  <c r="AJ222" i="22"/>
  <c r="AJ21" i="24"/>
  <c r="AJ102" i="24"/>
  <c r="AJ127" i="24"/>
  <c r="AJ158" i="23"/>
  <c r="AJ202" i="24"/>
  <c r="AJ208" i="23"/>
  <c r="AJ22" i="24"/>
  <c r="AJ35" i="24"/>
  <c r="AJ81" i="24"/>
  <c r="AJ99" i="24"/>
  <c r="AJ179" i="25"/>
  <c r="AJ55" i="25"/>
  <c r="AJ134" i="25"/>
  <c r="AJ158" i="25"/>
  <c r="AJ197" i="25"/>
  <c r="AL85" i="26"/>
  <c r="AL211" i="26"/>
  <c r="AL180" i="26"/>
  <c r="AL173" i="26"/>
  <c r="AL19" i="26"/>
  <c r="AL25" i="26"/>
  <c r="AL69" i="26"/>
  <c r="AL75" i="26"/>
  <c r="AL79" i="26"/>
  <c r="AL20" i="27"/>
  <c r="AL25" i="27"/>
  <c r="AL30" i="27"/>
  <c r="AL78" i="27"/>
  <c r="AL141" i="27"/>
  <c r="AL176" i="27"/>
  <c r="AL204" i="27"/>
  <c r="AL208" i="27"/>
  <c r="AL23" i="27"/>
  <c r="AL142" i="27"/>
  <c r="AL154" i="27"/>
  <c r="AL158" i="27"/>
  <c r="AL179" i="27"/>
  <c r="AL187" i="27"/>
  <c r="AL215" i="27"/>
  <c r="AL117" i="28"/>
  <c r="AL97" i="28"/>
  <c r="AL179" i="28"/>
  <c r="AL124" i="28"/>
  <c r="AL57" i="28"/>
  <c r="AL206" i="28"/>
  <c r="AL20" i="29"/>
  <c r="AL188" i="29"/>
  <c r="AL42" i="29"/>
  <c r="AL56" i="29"/>
  <c r="AL72" i="29"/>
  <c r="AL95" i="29"/>
  <c r="AL196" i="29"/>
  <c r="AL217" i="31"/>
  <c r="AL215" i="31"/>
  <c r="AL196" i="31"/>
  <c r="AL183" i="31"/>
  <c r="AL104" i="31"/>
  <c r="AL95" i="31"/>
  <c r="AL93" i="31"/>
  <c r="AL85" i="31"/>
  <c r="AL81" i="31"/>
  <c r="AL72" i="31"/>
  <c r="AL68" i="31"/>
  <c r="AL46" i="31"/>
  <c r="AL33" i="31"/>
  <c r="AL29" i="31"/>
  <c r="AL27" i="31"/>
  <c r="AL20" i="31"/>
  <c r="AL177" i="30"/>
  <c r="AL161" i="30"/>
  <c r="AL108" i="30"/>
  <c r="AL92" i="30"/>
  <c r="AL82" i="30"/>
  <c r="AL78" i="30"/>
  <c r="AL18" i="30"/>
  <c r="AL222" i="30"/>
  <c r="AL218" i="30"/>
  <c r="AL199" i="30"/>
  <c r="AL185" i="30"/>
  <c r="AL179" i="30"/>
  <c r="AL168" i="30"/>
  <c r="AL109" i="30"/>
  <c r="AL105" i="30"/>
  <c r="AL101" i="30"/>
  <c r="AL84" i="30"/>
  <c r="AL27" i="30"/>
  <c r="AL189" i="30"/>
  <c r="AL53" i="30"/>
  <c r="AL24" i="30"/>
  <c r="AL217" i="30"/>
  <c r="AL213" i="30"/>
  <c r="AL171" i="30"/>
  <c r="AL167" i="30"/>
  <c r="AL151" i="30"/>
  <c r="AL143" i="30"/>
  <c r="AL127" i="30"/>
  <c r="AL123" i="30"/>
  <c r="AL111" i="30"/>
  <c r="AL103" i="30"/>
  <c r="AL83" i="30"/>
  <c r="AL17" i="31"/>
  <c r="AL30" i="31"/>
  <c r="AL40" i="31"/>
  <c r="AL41" i="31"/>
  <c r="AL45" i="31"/>
  <c r="AL49" i="31"/>
  <c r="AL63" i="31"/>
  <c r="AL69" i="31"/>
  <c r="AL71" i="31"/>
  <c r="AL75" i="31"/>
  <c r="AL80" i="31"/>
  <c r="AL82" i="31"/>
  <c r="AL88" i="31"/>
  <c r="AL94" i="31"/>
  <c r="AL99" i="31"/>
  <c r="AL103" i="31"/>
  <c r="AL115" i="31"/>
  <c r="AL128" i="31"/>
  <c r="AL131" i="31"/>
  <c r="AL135" i="32"/>
  <c r="AL135" i="31"/>
  <c r="AL142" i="31"/>
  <c r="AL143" i="31"/>
  <c r="AL150" i="31"/>
  <c r="AL156" i="31"/>
  <c r="AL158" i="31"/>
  <c r="AL164" i="31"/>
  <c r="AL176" i="31"/>
  <c r="AL177" i="31"/>
  <c r="AL199" i="31"/>
  <c r="AL218" i="31"/>
  <c r="AL224" i="31"/>
  <c r="AL78" i="32"/>
  <c r="AL59" i="32"/>
  <c r="AL61" i="32"/>
  <c r="AL100" i="32"/>
  <c r="AL103" i="32"/>
  <c r="AL182" i="32"/>
  <c r="AL190" i="32"/>
  <c r="AL214" i="32"/>
  <c r="AL217" i="32"/>
  <c r="AL72" i="33"/>
  <c r="AJ212" i="25"/>
  <c r="AL189" i="26"/>
  <c r="AL216" i="26"/>
  <c r="AL69" i="27"/>
  <c r="AL195" i="28"/>
  <c r="AL156" i="28"/>
  <c r="AL191" i="28"/>
  <c r="AL202" i="29"/>
  <c r="AL151" i="29"/>
  <c r="AL25" i="29"/>
  <c r="AL94" i="29"/>
  <c r="AL106" i="29"/>
  <c r="AL110" i="29"/>
  <c r="AL223" i="30"/>
  <c r="AL136" i="30"/>
  <c r="AL128" i="30"/>
  <c r="AL171" i="32"/>
  <c r="AJ136" i="20"/>
  <c r="AJ25" i="19"/>
  <c r="AJ29" i="19"/>
  <c r="AJ82" i="19"/>
  <c r="AJ157" i="19"/>
  <c r="AJ172" i="20"/>
  <c r="AJ146" i="20"/>
  <c r="AJ138" i="20"/>
  <c r="AJ125" i="20"/>
  <c r="AJ106" i="20"/>
  <c r="AJ53" i="20"/>
  <c r="AJ112" i="25"/>
  <c r="AJ217" i="25"/>
  <c r="AL78" i="26"/>
  <c r="AL29" i="26"/>
  <c r="AL63" i="26"/>
  <c r="AL111" i="26"/>
  <c r="AL124" i="27"/>
  <c r="AL100" i="28"/>
  <c r="AL214" i="28"/>
  <c r="AL109" i="29"/>
  <c r="AL206" i="29"/>
  <c r="AL209" i="30"/>
  <c r="AL131" i="30"/>
  <c r="AL160" i="32"/>
  <c r="J16" i="31"/>
  <c r="AE16" i="31"/>
  <c r="AE229" i="31"/>
  <c r="AE233" i="31"/>
  <c r="AI235" i="31"/>
  <c r="F229" i="31"/>
  <c r="F230" i="31"/>
  <c r="AL33" i="26"/>
  <c r="AL41" i="26"/>
  <c r="AL105" i="26"/>
  <c r="AL166" i="26"/>
  <c r="AL53" i="27"/>
  <c r="AL177" i="27"/>
  <c r="AL79" i="28"/>
  <c r="AL159" i="28"/>
  <c r="AL219" i="29"/>
  <c r="AL195" i="29"/>
  <c r="AL173" i="30"/>
  <c r="AL153" i="30"/>
  <c r="AL204" i="30"/>
  <c r="AL192" i="30"/>
  <c r="AL184" i="30"/>
  <c r="AL18" i="31"/>
  <c r="AL44" i="32"/>
  <c r="AL195" i="32"/>
  <c r="AL94" i="32"/>
  <c r="AJ197" i="22"/>
  <c r="AJ32" i="23"/>
  <c r="AL97" i="27"/>
  <c r="AL186" i="27"/>
  <c r="AL167" i="31"/>
  <c r="AL169" i="30"/>
  <c r="AL45" i="30"/>
  <c r="AL80" i="30"/>
  <c r="AL207" i="31"/>
  <c r="AL226" i="32"/>
  <c r="AL210" i="32"/>
  <c r="AL186" i="26"/>
  <c r="AL205" i="28"/>
  <c r="AL89" i="28"/>
  <c r="AL53" i="28"/>
  <c r="AL45" i="28"/>
  <c r="AL141" i="30"/>
  <c r="AL22" i="30"/>
  <c r="AL196" i="30"/>
  <c r="AL125" i="30"/>
  <c r="AL147" i="30"/>
  <c r="AL83" i="32"/>
  <c r="AL185" i="32"/>
  <c r="AJ204" i="21"/>
  <c r="AJ202" i="22"/>
  <c r="AJ39" i="24"/>
  <c r="AJ50" i="24"/>
  <c r="AL203" i="27"/>
  <c r="AL190" i="27"/>
  <c r="AL144" i="28"/>
  <c r="AL171" i="31"/>
  <c r="AL139" i="31"/>
  <c r="AL165" i="30"/>
  <c r="AL51" i="30"/>
  <c r="AL164" i="30"/>
  <c r="AL120" i="30"/>
  <c r="AL150" i="32"/>
  <c r="AL220" i="32"/>
  <c r="AL144" i="33"/>
  <c r="AL66" i="32"/>
  <c r="AL206" i="32"/>
  <c r="AJ58" i="24"/>
  <c r="AJ137" i="25"/>
  <c r="AJ172" i="24"/>
  <c r="AL87" i="32"/>
  <c r="AL187" i="32"/>
  <c r="AL33" i="33"/>
  <c r="AL127" i="33"/>
  <c r="AJ59" i="21"/>
  <c r="AJ195" i="21"/>
  <c r="AJ77" i="22"/>
  <c r="AJ206" i="25"/>
  <c r="AJ174" i="25"/>
  <c r="AL188" i="32"/>
  <c r="AL64" i="32"/>
  <c r="E226" i="22"/>
  <c r="AJ141" i="21"/>
  <c r="AJ133" i="21"/>
  <c r="AJ147" i="21"/>
  <c r="AJ184" i="21"/>
  <c r="AJ192" i="21"/>
  <c r="AJ220" i="21"/>
  <c r="AJ129" i="22"/>
  <c r="AJ125" i="22"/>
  <c r="AJ61" i="22"/>
  <c r="AJ48" i="22"/>
  <c r="AJ66" i="21"/>
  <c r="AJ69" i="21"/>
  <c r="AJ74" i="21"/>
  <c r="AJ79" i="21"/>
  <c r="AJ83" i="21"/>
  <c r="AJ90" i="21"/>
  <c r="AJ108" i="21"/>
  <c r="AJ116" i="21"/>
  <c r="AJ128" i="21"/>
  <c r="AJ136" i="21"/>
  <c r="AJ168" i="22"/>
  <c r="AJ170" i="21"/>
  <c r="AJ209" i="21"/>
  <c r="AJ223" i="21"/>
  <c r="AJ224" i="21"/>
  <c r="AJ29" i="22"/>
  <c r="AJ64" i="23"/>
  <c r="AJ119" i="22"/>
  <c r="AJ132" i="22"/>
  <c r="AJ134" i="22"/>
  <c r="AJ140" i="22"/>
  <c r="AJ157" i="23"/>
  <c r="AJ165" i="23"/>
  <c r="AJ174" i="22"/>
  <c r="AJ175" i="22"/>
  <c r="AJ177" i="22"/>
  <c r="AJ180" i="22"/>
  <c r="AJ187" i="23"/>
  <c r="AJ198" i="22"/>
  <c r="AJ51" i="24"/>
  <c r="AJ56" i="24"/>
  <c r="AJ64" i="24"/>
  <c r="AJ104" i="23"/>
  <c r="AJ110" i="24"/>
  <c r="AJ111" i="23"/>
  <c r="AJ117" i="24"/>
  <c r="AJ128" i="24"/>
  <c r="AJ144" i="23"/>
  <c r="AJ164" i="23"/>
  <c r="AJ170" i="24"/>
  <c r="AJ182" i="24"/>
  <c r="AJ17" i="25"/>
  <c r="AJ49" i="25"/>
  <c r="AJ70" i="24"/>
  <c r="AJ105" i="25"/>
  <c r="AJ113" i="24"/>
  <c r="AJ118" i="24"/>
  <c r="AJ126" i="24"/>
  <c r="AJ129" i="25"/>
  <c r="AJ141" i="25"/>
  <c r="AJ156" i="24"/>
  <c r="AJ192" i="24"/>
  <c r="AJ200" i="24"/>
  <c r="AJ213" i="25"/>
  <c r="AJ215" i="24"/>
  <c r="AJ113" i="25"/>
  <c r="AJ167" i="25"/>
  <c r="AJ127" i="25"/>
  <c r="AJ131" i="25"/>
  <c r="AJ169" i="25"/>
  <c r="AL193" i="26"/>
  <c r="AL162" i="26"/>
  <c r="AL138" i="26"/>
  <c r="AL95" i="26"/>
  <c r="AL91" i="26"/>
  <c r="AL197" i="26"/>
  <c r="AL169" i="26"/>
  <c r="AL140" i="26"/>
  <c r="AL67" i="26"/>
  <c r="AL36" i="26"/>
  <c r="AL27" i="26"/>
  <c r="AL195" i="26"/>
  <c r="AL178" i="26"/>
  <c r="AL142" i="26"/>
  <c r="AL46" i="26"/>
  <c r="AL22" i="26"/>
  <c r="AL38" i="26"/>
  <c r="AL42" i="26"/>
  <c r="AL54" i="26"/>
  <c r="AL64" i="26"/>
  <c r="AL122" i="26"/>
  <c r="AL130" i="26"/>
  <c r="AL153" i="26"/>
  <c r="AL163" i="26"/>
  <c r="AL187" i="26"/>
  <c r="AL206" i="26"/>
  <c r="AL38" i="27"/>
  <c r="AL86" i="27"/>
  <c r="AL93" i="27"/>
  <c r="AL100" i="27"/>
  <c r="AL172" i="27"/>
  <c r="AL28" i="27"/>
  <c r="AL46" i="27"/>
  <c r="AL67" i="27"/>
  <c r="AL95" i="27"/>
  <c r="AL121" i="27"/>
  <c r="AL127" i="27"/>
  <c r="AL135" i="27"/>
  <c r="AL108" i="28"/>
  <c r="AL152" i="28"/>
  <c r="AL134" i="28"/>
  <c r="AL75" i="28"/>
  <c r="AL49" i="28"/>
  <c r="AL186" i="28"/>
  <c r="AL171" i="28"/>
  <c r="AL123" i="28"/>
  <c r="AL114" i="28"/>
  <c r="AL76" i="28"/>
  <c r="AL20" i="28"/>
  <c r="AL39" i="28"/>
  <c r="AL41" i="28"/>
  <c r="AL66" i="28"/>
  <c r="AL80" i="28"/>
  <c r="AL84" i="28"/>
  <c r="AL88" i="28"/>
  <c r="AL127" i="28"/>
  <c r="AL131" i="28"/>
  <c r="AL135" i="28"/>
  <c r="AL141" i="28"/>
  <c r="AL155" i="28"/>
  <c r="AL175" i="28"/>
  <c r="AL182" i="28"/>
  <c r="AL138" i="29"/>
  <c r="AL134" i="29"/>
  <c r="AL88" i="29"/>
  <c r="AL74" i="29"/>
  <c r="AL160" i="29"/>
  <c r="AL142" i="29"/>
  <c r="AL120" i="29"/>
  <c r="AL17" i="29"/>
  <c r="AL43" i="29"/>
  <c r="AL115" i="29"/>
  <c r="AL128" i="29"/>
  <c r="AL132" i="29"/>
  <c r="AL162" i="31"/>
  <c r="AL154" i="31"/>
  <c r="AL152" i="31"/>
  <c r="AL160" i="30"/>
  <c r="AL156" i="30"/>
  <c r="AL132" i="30"/>
  <c r="AL119" i="30"/>
  <c r="AL95" i="30"/>
  <c r="AL37" i="30"/>
  <c r="AL33" i="30"/>
  <c r="AL29" i="30"/>
  <c r="AL134" i="30"/>
  <c r="AL112" i="30"/>
  <c r="AL96" i="30"/>
  <c r="AL87" i="30"/>
  <c r="AL76" i="30"/>
  <c r="AL39" i="30"/>
  <c r="AL35" i="30"/>
  <c r="AL31" i="30"/>
  <c r="AL208" i="30"/>
  <c r="AL188" i="30"/>
  <c r="AL180" i="30"/>
  <c r="AL79" i="30"/>
  <c r="AL74" i="30"/>
  <c r="AL56" i="30"/>
  <c r="AL43" i="30"/>
  <c r="AL30" i="30"/>
  <c r="AL71" i="30"/>
  <c r="AL170" i="30"/>
  <c r="AJ135" i="25"/>
  <c r="AL210" i="26"/>
  <c r="AL150" i="26"/>
  <c r="AJ75" i="21"/>
  <c r="AJ194" i="22"/>
  <c r="AJ172" i="23"/>
  <c r="AJ53" i="24"/>
  <c r="AJ92" i="24"/>
  <c r="AJ173" i="24"/>
  <c r="AJ182" i="25"/>
  <c r="AL88" i="26"/>
  <c r="AL136" i="26"/>
  <c r="AL200" i="26"/>
  <c r="AL85" i="27"/>
  <c r="AL111" i="27"/>
  <c r="AL147" i="27"/>
  <c r="AL116" i="27"/>
  <c r="AL112" i="28"/>
  <c r="AJ63" i="22"/>
  <c r="AJ38" i="25"/>
  <c r="AJ152" i="25"/>
  <c r="AJ209" i="24"/>
  <c r="AL181" i="26"/>
  <c r="AL220" i="26"/>
  <c r="AL165" i="27"/>
  <c r="AL120" i="26"/>
  <c r="AJ19" i="21"/>
  <c r="AJ80" i="22"/>
  <c r="AJ210" i="25"/>
  <c r="AJ67" i="22"/>
  <c r="AJ58" i="21"/>
  <c r="AJ99" i="21"/>
  <c r="AJ135" i="21"/>
  <c r="AJ44" i="22"/>
  <c r="AJ160" i="23"/>
  <c r="AJ214" i="22"/>
  <c r="AJ51" i="23"/>
  <c r="AJ96" i="25"/>
  <c r="AJ100" i="24"/>
  <c r="AJ164" i="24"/>
  <c r="AJ40" i="25"/>
  <c r="AJ194" i="25"/>
  <c r="AL45" i="26"/>
  <c r="AL91" i="27"/>
  <c r="AL99" i="27"/>
  <c r="AL35" i="27"/>
  <c r="AL170" i="27"/>
  <c r="AL213" i="28"/>
  <c r="AL104" i="28"/>
  <c r="AJ204" i="25"/>
  <c r="AL87" i="26"/>
  <c r="AL106" i="26"/>
  <c r="AL118" i="26"/>
  <c r="AL126" i="26"/>
  <c r="AL134" i="26"/>
  <c r="AL175" i="26"/>
  <c r="AL183" i="26"/>
  <c r="AL59" i="27"/>
  <c r="AL83" i="27"/>
  <c r="AL204" i="28"/>
  <c r="AL197" i="28"/>
  <c r="AL193" i="28"/>
  <c r="AL23" i="28"/>
  <c r="AL31" i="28"/>
  <c r="AL35" i="28"/>
  <c r="AL96" i="28"/>
  <c r="AL163" i="28"/>
  <c r="AL112" i="29"/>
  <c r="AL146" i="30"/>
  <c r="AL124" i="30"/>
  <c r="AL21" i="30"/>
  <c r="AL26" i="30"/>
  <c r="AL44" i="30"/>
  <c r="AL46" i="30"/>
  <c r="AL60" i="30"/>
  <c r="AL65" i="30"/>
  <c r="AL69" i="30"/>
  <c r="AL81" i="30"/>
  <c r="AL203" i="30"/>
  <c r="AL187" i="30"/>
  <c r="AJ33" i="22"/>
  <c r="AJ37" i="23"/>
  <c r="AJ39" i="22"/>
  <c r="AJ184" i="22"/>
  <c r="AJ182" i="23"/>
  <c r="AJ196" i="22"/>
  <c r="AJ52" i="22"/>
  <c r="AJ103" i="23"/>
  <c r="AJ154" i="22"/>
  <c r="AJ216" i="22"/>
  <c r="AJ140" i="23"/>
  <c r="AL92" i="32"/>
  <c r="AJ190" i="23"/>
  <c r="AJ130" i="24"/>
  <c r="AJ146" i="24"/>
  <c r="AJ175" i="24"/>
  <c r="AJ109" i="25"/>
  <c r="AJ173" i="21"/>
  <c r="AJ18" i="23"/>
  <c r="AJ20" i="22"/>
  <c r="AJ46" i="22"/>
  <c r="AJ90" i="22"/>
  <c r="AJ124" i="23"/>
  <c r="AJ186" i="22"/>
  <c r="AJ209" i="22"/>
  <c r="AJ212" i="22"/>
  <c r="AJ218" i="22"/>
  <c r="AJ43" i="23"/>
  <c r="AJ127" i="23"/>
  <c r="AJ188" i="24"/>
  <c r="AL58" i="32"/>
  <c r="AL198" i="32"/>
  <c r="AL149" i="32"/>
  <c r="AL84" i="32"/>
  <c r="AL43" i="32"/>
  <c r="AL123" i="32"/>
  <c r="AL209" i="32"/>
  <c r="AL203" i="33"/>
  <c r="AL123" i="33"/>
  <c r="AL74" i="33"/>
  <c r="AJ120" i="25"/>
  <c r="AJ159" i="25"/>
  <c r="AJ161" i="25"/>
  <c r="AL179" i="26"/>
  <c r="AL219" i="26"/>
  <c r="AL190" i="26"/>
  <c r="AL207" i="28"/>
  <c r="AL173" i="28"/>
  <c r="AL153" i="28"/>
  <c r="AL147" i="28"/>
  <c r="AL115" i="28"/>
  <c r="AL61" i="28"/>
  <c r="AL221" i="28"/>
  <c r="AL198" i="28"/>
  <c r="AL178" i="28"/>
  <c r="AL139" i="28"/>
  <c r="AL59" i="28"/>
  <c r="AL55" i="28"/>
  <c r="AL36" i="32"/>
  <c r="AL65" i="32"/>
  <c r="AL72" i="32"/>
  <c r="AL146" i="32"/>
  <c r="AL201" i="32"/>
  <c r="AD239" i="40"/>
  <c r="AD243" i="40"/>
  <c r="AL238" i="40"/>
  <c r="AL243" i="40"/>
  <c r="J249" i="40"/>
  <c r="J248" i="40"/>
  <c r="AJ175" i="19"/>
  <c r="AJ202" i="20"/>
  <c r="F259" i="15"/>
  <c r="AJ66" i="20"/>
  <c r="AJ60" i="20"/>
  <c r="AJ58" i="19"/>
  <c r="AJ48" i="23"/>
  <c r="AJ52" i="23"/>
  <c r="AL98" i="26"/>
  <c r="AJ40" i="20"/>
  <c r="AJ58" i="22"/>
  <c r="AJ27" i="22"/>
  <c r="AJ106" i="23"/>
  <c r="AL119" i="29"/>
  <c r="AL76" i="29"/>
  <c r="AJ18" i="20"/>
  <c r="AJ163" i="20"/>
  <c r="AJ107" i="19"/>
  <c r="AJ132" i="19"/>
  <c r="AJ25" i="21"/>
  <c r="AJ164" i="21"/>
  <c r="AJ140" i="21"/>
  <c r="AJ196" i="21"/>
  <c r="AJ47" i="21"/>
  <c r="AJ70" i="21"/>
  <c r="AJ138" i="21"/>
  <c r="AJ167" i="21"/>
  <c r="AJ130" i="20"/>
  <c r="AJ223" i="22"/>
  <c r="AJ79" i="22"/>
  <c r="AJ108" i="22"/>
  <c r="AJ56" i="22"/>
  <c r="AJ128" i="23"/>
  <c r="AJ136" i="23"/>
  <c r="AJ192" i="22"/>
  <c r="AJ150" i="25"/>
  <c r="AJ207" i="25"/>
  <c r="AJ20" i="25"/>
  <c r="AJ73" i="25"/>
  <c r="AJ98" i="25"/>
  <c r="AJ100" i="25"/>
  <c r="AJ102" i="25"/>
  <c r="AJ110" i="25"/>
  <c r="AJ115" i="25"/>
  <c r="AL205" i="26"/>
  <c r="AL165" i="26"/>
  <c r="AL110" i="26"/>
  <c r="AL23" i="26"/>
  <c r="AL73" i="26"/>
  <c r="AL77" i="26"/>
  <c r="AL81" i="26"/>
  <c r="AL93" i="26"/>
  <c r="AL97" i="26"/>
  <c r="AL154" i="26"/>
  <c r="AL215" i="26"/>
  <c r="AL221" i="26"/>
  <c r="AL52" i="27"/>
  <c r="AL66" i="27"/>
  <c r="AL103" i="27"/>
  <c r="AL105" i="27"/>
  <c r="AL107" i="27"/>
  <c r="AL108" i="27"/>
  <c r="AL109" i="27"/>
  <c r="AL112" i="27"/>
  <c r="AL119" i="27"/>
  <c r="AL120" i="27"/>
  <c r="AL122" i="27"/>
  <c r="AL129" i="27"/>
  <c r="AL130" i="27"/>
  <c r="AL131" i="27"/>
  <c r="AL155" i="27"/>
  <c r="AL159" i="27"/>
  <c r="AL173" i="27"/>
  <c r="AL174" i="27"/>
  <c r="AL198" i="27"/>
  <c r="AL199" i="27"/>
  <c r="AL216" i="27"/>
  <c r="AL219" i="27"/>
  <c r="AL166" i="27"/>
  <c r="AL21" i="27"/>
  <c r="AL29" i="27"/>
  <c r="AL33" i="27"/>
  <c r="AL84" i="27"/>
  <c r="AL88" i="27"/>
  <c r="AL180" i="28"/>
  <c r="AL111" i="28"/>
  <c r="AL107" i="28"/>
  <c r="AL103" i="28"/>
  <c r="AL99" i="28"/>
  <c r="AL56" i="28"/>
  <c r="AL43" i="28"/>
  <c r="AL217" i="28"/>
  <c r="AL203" i="28"/>
  <c r="AL151" i="28"/>
  <c r="AL145" i="28"/>
  <c r="AL116" i="28"/>
  <c r="AL48" i="28"/>
  <c r="AL200" i="28"/>
  <c r="AL19" i="28"/>
  <c r="AL44" i="28"/>
  <c r="AL52" i="28"/>
  <c r="AL101" i="28"/>
  <c r="AL105" i="28"/>
  <c r="AL25" i="31"/>
  <c r="AL48" i="31"/>
  <c r="AL54" i="31"/>
  <c r="AL58" i="31"/>
  <c r="AL60" i="31"/>
  <c r="AL79" i="31"/>
  <c r="AL87" i="31"/>
  <c r="AL97" i="31"/>
  <c r="AL100" i="31"/>
  <c r="AL126" i="31"/>
  <c r="AL130" i="31"/>
  <c r="AL46" i="32"/>
  <c r="AL86" i="32"/>
  <c r="AL116" i="32"/>
  <c r="AL172" i="32"/>
  <c r="AL46" i="33"/>
  <c r="AL56" i="33"/>
  <c r="AL93" i="33"/>
  <c r="AL103" i="33"/>
  <c r="AL129" i="33"/>
  <c r="AL148" i="33"/>
  <c r="AL163" i="33"/>
  <c r="AL167" i="33"/>
  <c r="AL190" i="28"/>
  <c r="AL194" i="28"/>
  <c r="AL63" i="29"/>
  <c r="AL75" i="30"/>
  <c r="AL154" i="30"/>
  <c r="AJ155" i="21"/>
  <c r="AJ178" i="21"/>
  <c r="AJ181" i="21"/>
  <c r="AJ183" i="21"/>
  <c r="AJ187" i="21"/>
  <c r="AJ149" i="20"/>
  <c r="AJ100" i="20"/>
  <c r="AJ82" i="20"/>
  <c r="AJ75" i="20"/>
  <c r="AJ65" i="20"/>
  <c r="AJ45" i="20"/>
  <c r="AJ30" i="20"/>
  <c r="AJ21" i="22"/>
  <c r="AJ120" i="21"/>
  <c r="AJ152" i="22"/>
  <c r="AJ197" i="21"/>
  <c r="AJ202" i="21"/>
  <c r="AJ149" i="21"/>
  <c r="AJ37" i="21"/>
  <c r="AJ114" i="22"/>
  <c r="AJ126" i="22"/>
  <c r="AJ199" i="22"/>
  <c r="AJ201" i="22"/>
  <c r="AJ87" i="23"/>
  <c r="AJ108" i="23"/>
  <c r="AJ195" i="23"/>
  <c r="AJ142" i="25"/>
  <c r="AJ147" i="24"/>
  <c r="AJ152" i="24"/>
  <c r="AJ171" i="24"/>
  <c r="AJ174" i="24"/>
  <c r="AJ186" i="25"/>
  <c r="AJ201" i="25"/>
  <c r="AJ206" i="24"/>
  <c r="AJ208" i="24"/>
  <c r="AJ214" i="24"/>
  <c r="AJ24" i="25"/>
  <c r="AJ121" i="25"/>
  <c r="AJ145" i="25"/>
  <c r="AJ188" i="25"/>
  <c r="AJ192" i="25"/>
  <c r="AJ83" i="25"/>
  <c r="AJ183" i="25"/>
  <c r="AJ214" i="25"/>
  <c r="AL76" i="26"/>
  <c r="AL21" i="26"/>
  <c r="AL61" i="26"/>
  <c r="AL17" i="27"/>
  <c r="AL37" i="27"/>
  <c r="AL28" i="31"/>
  <c r="AL42" i="31"/>
  <c r="AL51" i="31"/>
  <c r="AL59" i="31"/>
  <c r="AL61" i="31"/>
  <c r="AL67" i="31"/>
  <c r="AL84" i="31"/>
  <c r="AL90" i="31"/>
  <c r="AL228" i="31"/>
  <c r="AL209" i="29"/>
  <c r="AL206" i="30"/>
  <c r="AL25" i="30"/>
  <c r="AL17" i="30"/>
  <c r="AL163" i="30"/>
  <c r="AL214" i="30"/>
  <c r="AL159" i="30"/>
  <c r="AL28" i="30"/>
  <c r="AL32" i="30"/>
  <c r="AL34" i="30"/>
  <c r="AL36" i="30"/>
  <c r="AL38" i="30"/>
  <c r="AL48" i="30"/>
  <c r="F258" i="11"/>
  <c r="AJ177" i="20"/>
  <c r="AJ167" i="20"/>
  <c r="AJ142" i="20"/>
  <c r="AJ134" i="20"/>
  <c r="AJ79" i="20"/>
  <c r="AJ69" i="20"/>
  <c r="AJ59" i="20"/>
  <c r="AJ52" i="20"/>
  <c r="AJ32" i="20"/>
  <c r="AJ24" i="20"/>
  <c r="AJ141" i="20"/>
  <c r="AJ84" i="20"/>
  <c r="AJ76" i="20"/>
  <c r="AJ57" i="20"/>
  <c r="AJ180" i="20"/>
  <c r="AJ135" i="20"/>
  <c r="AJ124" i="20"/>
  <c r="AJ122" i="20"/>
  <c r="AJ203" i="25"/>
  <c r="AL145" i="29"/>
  <c r="AL206" i="31"/>
  <c r="AL99" i="30"/>
  <c r="AJ129" i="21"/>
  <c r="AJ181" i="20"/>
  <c r="AJ160" i="20"/>
  <c r="AJ150" i="20"/>
  <c r="AJ145" i="20"/>
  <c r="AJ144" i="20"/>
  <c r="AJ139" i="20"/>
  <c r="AJ131" i="20"/>
  <c r="AJ110" i="20"/>
  <c r="AJ108" i="20"/>
  <c r="AJ94" i="20"/>
  <c r="AJ93" i="20"/>
  <c r="AJ61" i="20"/>
  <c r="AJ55" i="20"/>
  <c r="AJ48" i="20"/>
  <c r="AJ41" i="20"/>
  <c r="AJ23" i="20"/>
  <c r="AJ20" i="20"/>
  <c r="AJ145" i="21"/>
  <c r="AJ174" i="21"/>
  <c r="AJ182" i="21"/>
  <c r="AJ189" i="21"/>
  <c r="AJ19" i="22"/>
  <c r="AJ107" i="22"/>
  <c r="AJ21" i="23"/>
  <c r="AJ146" i="23"/>
  <c r="AJ201" i="23"/>
  <c r="AL189" i="28"/>
  <c r="AL64" i="30"/>
  <c r="AL43" i="26"/>
  <c r="AL51" i="26"/>
  <c r="AL38" i="28"/>
  <c r="AL154" i="32"/>
  <c r="AL215" i="32"/>
  <c r="AL20" i="33"/>
  <c r="AL124" i="26"/>
  <c r="AL31" i="26"/>
  <c r="AL154" i="29"/>
  <c r="AL19" i="29"/>
  <c r="AL166" i="31"/>
  <c r="AL172" i="30"/>
  <c r="AL115" i="30"/>
  <c r="AL89" i="30"/>
  <c r="AL73" i="30"/>
  <c r="AL77" i="30"/>
  <c r="AL207" i="30"/>
  <c r="AL216" i="30"/>
  <c r="AL130" i="30"/>
  <c r="AJ91" i="20"/>
  <c r="AJ161" i="24"/>
  <c r="AJ218" i="24"/>
  <c r="AJ46" i="20"/>
  <c r="AJ54" i="23"/>
  <c r="AJ80" i="23"/>
  <c r="AJ82" i="23"/>
  <c r="AJ84" i="23"/>
  <c r="AJ185" i="25"/>
  <c r="AL122" i="29"/>
  <c r="AL223" i="31"/>
  <c r="AL221" i="31"/>
  <c r="AL219" i="31"/>
  <c r="AL209" i="31"/>
  <c r="AL194" i="31"/>
  <c r="AL115" i="33"/>
  <c r="AJ216" i="20"/>
  <c r="AJ204" i="20"/>
  <c r="AJ101" i="20"/>
  <c r="AJ117" i="20"/>
  <c r="AJ201" i="20"/>
  <c r="AJ33" i="20"/>
  <c r="AJ154" i="20"/>
  <c r="AJ120" i="20"/>
  <c r="AJ73" i="20"/>
  <c r="AJ63" i="20"/>
  <c r="AJ54" i="20"/>
  <c r="AJ128" i="20"/>
  <c r="AJ118" i="20"/>
  <c r="AJ116" i="20"/>
  <c r="AJ176" i="21"/>
  <c r="AJ131" i="23"/>
  <c r="AJ75" i="23"/>
  <c r="AJ213" i="24"/>
  <c r="AJ42" i="24"/>
  <c r="AJ60" i="25"/>
  <c r="AJ68" i="25"/>
  <c r="AJ74" i="25"/>
  <c r="AJ163" i="25"/>
  <c r="AJ75" i="25"/>
  <c r="AL70" i="30"/>
  <c r="AL196" i="33"/>
  <c r="AL88" i="33"/>
  <c r="AL198" i="33"/>
  <c r="AJ220" i="20"/>
  <c r="AJ212" i="20"/>
  <c r="AJ196" i="20"/>
  <c r="AJ87" i="20"/>
  <c r="AJ103" i="20"/>
  <c r="AJ121" i="20"/>
  <c r="AJ194" i="20"/>
  <c r="AJ210" i="20"/>
  <c r="AJ31" i="20"/>
  <c r="AJ35" i="20"/>
  <c r="AJ39" i="20"/>
  <c r="AJ147" i="20"/>
  <c r="AJ158" i="20"/>
  <c r="AJ164" i="20"/>
  <c r="AJ192" i="20"/>
  <c r="AJ190" i="20"/>
  <c r="AL139" i="32"/>
  <c r="AL27" i="32"/>
  <c r="AL228" i="32"/>
  <c r="AL173" i="33"/>
  <c r="AL142" i="33"/>
  <c r="AL40" i="33"/>
  <c r="AL38" i="33"/>
  <c r="AL118" i="33"/>
  <c r="AL28" i="33"/>
  <c r="AL31" i="33"/>
  <c r="AL24" i="33"/>
  <c r="AJ58" i="20"/>
  <c r="AJ219" i="20"/>
  <c r="AJ215" i="20"/>
  <c r="AJ209" i="20"/>
  <c r="AJ195" i="20"/>
  <c r="AJ89" i="20"/>
  <c r="AJ105" i="20"/>
  <c r="AJ107" i="20"/>
  <c r="AJ97" i="20"/>
  <c r="AJ175" i="20"/>
  <c r="AJ50" i="20"/>
  <c r="AJ102" i="20"/>
  <c r="AJ90" i="20"/>
  <c r="AJ88" i="20"/>
  <c r="AJ86" i="20"/>
  <c r="AJ70" i="20"/>
  <c r="AJ49" i="20"/>
  <c r="AC222" i="19"/>
  <c r="AC226" i="19"/>
  <c r="AG228" i="19"/>
  <c r="AJ93" i="23"/>
  <c r="AJ120" i="23"/>
  <c r="AJ149" i="23"/>
  <c r="AJ185" i="23"/>
  <c r="AJ148" i="24"/>
  <c r="AJ138" i="25"/>
  <c r="AJ165" i="24"/>
  <c r="AJ178" i="25"/>
  <c r="AL75" i="27"/>
  <c r="AL77" i="27"/>
  <c r="AL133" i="27"/>
  <c r="AL180" i="27"/>
  <c r="AL214" i="27"/>
  <c r="AL138" i="28"/>
  <c r="AL158" i="28"/>
  <c r="AL91" i="29"/>
  <c r="AL139" i="30"/>
  <c r="AL211" i="30"/>
  <c r="AL145" i="30"/>
  <c r="AL165" i="32"/>
  <c r="AL208" i="31"/>
  <c r="AL219" i="32"/>
  <c r="AL42" i="32"/>
  <c r="AL67" i="32"/>
  <c r="AL88" i="32"/>
  <c r="AL110" i="33"/>
  <c r="AL133" i="33"/>
  <c r="AL134" i="32"/>
  <c r="AL173" i="32"/>
  <c r="AL180" i="32"/>
  <c r="AJ154" i="19"/>
  <c r="AJ170" i="19"/>
  <c r="AJ188" i="19"/>
  <c r="AJ201" i="19"/>
  <c r="AJ91" i="22"/>
  <c r="AJ83" i="22"/>
  <c r="AJ75" i="22"/>
  <c r="AJ40" i="22"/>
  <c r="AJ34" i="22"/>
  <c r="AJ124" i="22"/>
  <c r="AJ64" i="22"/>
  <c r="AJ26" i="21"/>
  <c r="AJ31" i="21"/>
  <c r="AJ35" i="21"/>
  <c r="AJ55" i="21"/>
  <c r="AJ63" i="21"/>
  <c r="AJ64" i="21"/>
  <c r="AJ67" i="21"/>
  <c r="AJ76" i="21"/>
  <c r="AJ80" i="21"/>
  <c r="AJ84" i="21"/>
  <c r="AJ92" i="21"/>
  <c r="AJ104" i="21"/>
  <c r="AJ113" i="21"/>
  <c r="AJ118" i="21"/>
  <c r="AJ42" i="22"/>
  <c r="AJ45" i="22"/>
  <c r="AJ47" i="22"/>
  <c r="AJ53" i="22"/>
  <c r="AJ58" i="23"/>
  <c r="AJ93" i="22"/>
  <c r="AJ95" i="22"/>
  <c r="AJ90" i="23"/>
  <c r="AJ97" i="22"/>
  <c r="AJ99" i="22"/>
  <c r="AJ126" i="23"/>
  <c r="AJ130" i="23"/>
  <c r="AJ139" i="22"/>
  <c r="AJ134" i="23"/>
  <c r="AJ141" i="22"/>
  <c r="AJ155" i="22"/>
  <c r="AJ159" i="22"/>
  <c r="AJ183" i="23"/>
  <c r="AJ190" i="22"/>
  <c r="AJ35" i="23"/>
  <c r="AJ44" i="24"/>
  <c r="AJ57" i="23"/>
  <c r="AJ60" i="23"/>
  <c r="AJ69" i="24"/>
  <c r="AJ81" i="23"/>
  <c r="AJ85" i="23"/>
  <c r="AJ86" i="23"/>
  <c r="AJ95" i="23"/>
  <c r="AJ98" i="23"/>
  <c r="AJ214" i="23"/>
  <c r="AJ217" i="23"/>
  <c r="AJ26" i="24"/>
  <c r="AJ27" i="24"/>
  <c r="AJ32" i="25"/>
  <c r="AJ36" i="25"/>
  <c r="AJ40" i="24"/>
  <c r="AJ46" i="24"/>
  <c r="AJ54" i="24"/>
  <c r="AJ56" i="25"/>
  <c r="AJ65" i="24"/>
  <c r="AJ68" i="24"/>
  <c r="AJ77" i="24"/>
  <c r="AJ79" i="24"/>
  <c r="AJ155" i="25"/>
  <c r="AJ167" i="24"/>
  <c r="AJ171" i="25"/>
  <c r="AJ183" i="24"/>
  <c r="AJ189" i="24"/>
  <c r="AL40" i="26"/>
  <c r="AL48" i="26"/>
  <c r="AL66" i="26"/>
  <c r="AL72" i="26"/>
  <c r="AL74" i="26"/>
  <c r="AL82" i="26"/>
  <c r="AL109" i="26"/>
  <c r="AL127" i="26"/>
  <c r="AL131" i="26"/>
  <c r="AL135" i="26"/>
  <c r="AL145" i="26"/>
  <c r="AL148" i="26"/>
  <c r="AL152" i="26"/>
  <c r="AL172" i="26"/>
  <c r="AL176" i="26"/>
  <c r="AL192" i="26"/>
  <c r="AL51" i="27"/>
  <c r="AL68" i="27"/>
  <c r="AL72" i="27"/>
  <c r="AL76" i="27"/>
  <c r="AL106" i="27"/>
  <c r="AL110" i="27"/>
  <c r="AL126" i="27"/>
  <c r="AL128" i="27"/>
  <c r="AL140" i="27"/>
  <c r="AL144" i="27"/>
  <c r="AL152" i="27"/>
  <c r="AL156" i="27"/>
  <c r="AL160" i="27"/>
  <c r="AL181" i="27"/>
  <c r="AL185" i="27"/>
  <c r="AL197" i="27"/>
  <c r="AL201" i="27"/>
  <c r="AL209" i="27"/>
  <c r="AL213" i="27"/>
  <c r="AL217" i="27"/>
  <c r="AL125" i="28"/>
  <c r="AL120" i="28"/>
  <c r="AL91" i="28"/>
  <c r="AL69" i="28"/>
  <c r="AL65" i="28"/>
  <c r="AL47" i="28"/>
  <c r="AL26" i="28"/>
  <c r="AL22" i="28"/>
  <c r="AL208" i="28"/>
  <c r="AL162" i="28"/>
  <c r="AL110" i="28"/>
  <c r="AL106" i="28"/>
  <c r="AL67" i="28"/>
  <c r="AL42" i="28"/>
  <c r="AL17" i="28"/>
  <c r="AL211" i="28"/>
  <c r="AL196" i="28"/>
  <c r="AL185" i="28"/>
  <c r="AL176" i="28"/>
  <c r="AL161" i="28"/>
  <c r="AL150" i="28"/>
  <c r="AL40" i="28"/>
  <c r="AL54" i="28"/>
  <c r="AL107" i="29"/>
  <c r="AL141" i="29"/>
  <c r="AL162" i="29"/>
  <c r="AL213" i="29"/>
  <c r="AL55" i="30"/>
  <c r="AL57" i="30"/>
  <c r="AL62" i="30"/>
  <c r="AL66" i="30"/>
  <c r="AL219" i="30"/>
  <c r="AL215" i="30"/>
  <c r="AL149" i="30"/>
  <c r="AF229" i="31"/>
  <c r="AF233" i="31"/>
  <c r="AJ235" i="31"/>
  <c r="AL125" i="31"/>
  <c r="AL127" i="31"/>
  <c r="AL129" i="31"/>
  <c r="AL136" i="31"/>
  <c r="AL137" i="31"/>
  <c r="AL140" i="32"/>
  <c r="AL140" i="31"/>
  <c r="AL141" i="31"/>
  <c r="AL144" i="31"/>
  <c r="AL145" i="31"/>
  <c r="AL146" i="31"/>
  <c r="AL149" i="31"/>
  <c r="AL153" i="31"/>
  <c r="AL155" i="31"/>
  <c r="AL161" i="31"/>
  <c r="AL163" i="31"/>
  <c r="AL168" i="31"/>
  <c r="AL169" i="31"/>
  <c r="AL170" i="31"/>
  <c r="AL172" i="31"/>
  <c r="AL173" i="31"/>
  <c r="AL174" i="31"/>
  <c r="AL179" i="31"/>
  <c r="AL187" i="31"/>
  <c r="AL188" i="31"/>
  <c r="AL195" i="31"/>
  <c r="AL197" i="31"/>
  <c r="AL203" i="31"/>
  <c r="AL204" i="31"/>
  <c r="AL205" i="31"/>
  <c r="AL210" i="31"/>
  <c r="AL216" i="31"/>
  <c r="AL18" i="32"/>
  <c r="AL20" i="32"/>
  <c r="AL34" i="32"/>
  <c r="AL38" i="32"/>
  <c r="AL63" i="32"/>
  <c r="AL70" i="32"/>
  <c r="AL81" i="33"/>
  <c r="AL85" i="32"/>
  <c r="AL95" i="32"/>
  <c r="AL109" i="32"/>
  <c r="AL127" i="32"/>
  <c r="AL128" i="32"/>
  <c r="AL131" i="32"/>
  <c r="AL138" i="32"/>
  <c r="AL156" i="32"/>
  <c r="AL160" i="33"/>
  <c r="AL164" i="32"/>
  <c r="AL169" i="32"/>
  <c r="AL179" i="32"/>
  <c r="AL186" i="32"/>
  <c r="AL203" i="32"/>
  <c r="AL208" i="32"/>
  <c r="AL37" i="32"/>
  <c r="AL111" i="32"/>
  <c r="AL119" i="32"/>
  <c r="AL99" i="32"/>
  <c r="AL44" i="33"/>
  <c r="AL60" i="33"/>
  <c r="AL90" i="33"/>
  <c r="AL152" i="33"/>
  <c r="AL161" i="33"/>
  <c r="AL164" i="33"/>
  <c r="AL171" i="33"/>
  <c r="AL177" i="33"/>
  <c r="AL180" i="33"/>
  <c r="AL202" i="33"/>
  <c r="AL213" i="33"/>
  <c r="AL218" i="33"/>
  <c r="AL43" i="33"/>
  <c r="AL79" i="33"/>
  <c r="AL174" i="33"/>
  <c r="AL182" i="33"/>
  <c r="AL49" i="33"/>
  <c r="AL131" i="33"/>
  <c r="AJ78" i="22"/>
  <c r="AJ131" i="24"/>
  <c r="AJ88" i="25"/>
  <c r="AJ140" i="25"/>
  <c r="AJ143" i="25"/>
  <c r="AJ39" i="25"/>
  <c r="AJ108" i="25"/>
  <c r="AL86" i="28"/>
  <c r="AL179" i="29"/>
  <c r="AL67" i="29"/>
  <c r="AL59" i="29"/>
  <c r="AL28" i="29"/>
  <c r="AL205" i="29"/>
  <c r="AL156" i="29"/>
  <c r="AL136" i="29"/>
  <c r="AL84" i="29"/>
  <c r="AL80" i="29"/>
  <c r="AL58" i="29"/>
  <c r="AL210" i="30"/>
  <c r="AL72" i="30"/>
  <c r="AL202" i="30"/>
  <c r="AL117" i="30"/>
  <c r="AL42" i="30"/>
  <c r="AL205" i="30"/>
  <c r="AJ23" i="22"/>
  <c r="AJ17" i="22"/>
  <c r="AJ77" i="23"/>
  <c r="AJ121" i="23"/>
  <c r="AJ147" i="22"/>
  <c r="AJ45" i="24"/>
  <c r="AJ190" i="25"/>
  <c r="AJ196" i="25"/>
  <c r="AL146" i="26"/>
  <c r="AL92" i="28"/>
  <c r="AL58" i="30"/>
  <c r="AJ156" i="20"/>
  <c r="AJ153" i="20"/>
  <c r="AJ34" i="20"/>
  <c r="AJ26" i="22"/>
  <c r="AL172" i="28"/>
  <c r="AL174" i="28"/>
  <c r="AL161" i="32"/>
  <c r="AL163" i="32"/>
  <c r="AL137" i="32"/>
  <c r="AL47" i="32"/>
  <c r="AJ34" i="19"/>
  <c r="AJ62" i="19"/>
  <c r="AJ64" i="19"/>
  <c r="AJ72" i="19"/>
  <c r="AJ76" i="19"/>
  <c r="AJ104" i="19"/>
  <c r="AJ162" i="24"/>
  <c r="AJ179" i="24"/>
  <c r="AL167" i="28"/>
  <c r="AL210" i="28"/>
  <c r="AL215" i="29"/>
  <c r="AL155" i="29"/>
  <c r="AL89" i="29"/>
  <c r="AL83" i="29"/>
  <c r="AL66" i="29"/>
  <c r="AL62" i="29"/>
  <c r="AL124" i="31"/>
  <c r="AL183" i="30"/>
  <c r="AL122" i="30"/>
  <c r="AL102" i="30"/>
  <c r="AL19" i="32"/>
  <c r="AL80" i="32"/>
  <c r="AL89" i="32"/>
  <c r="AL60" i="32"/>
  <c r="AL32" i="32"/>
  <c r="AL168" i="32"/>
  <c r="AL113" i="32"/>
  <c r="AL62" i="32"/>
  <c r="AL45" i="32"/>
  <c r="AL200" i="32"/>
  <c r="AL75" i="33"/>
  <c r="AL141" i="33"/>
  <c r="AL119" i="33"/>
  <c r="AL30" i="33"/>
  <c r="AL84" i="33"/>
  <c r="AL199" i="33"/>
  <c r="AL65" i="33"/>
  <c r="AL114" i="27"/>
  <c r="AL157" i="32"/>
  <c r="AL144" i="32"/>
  <c r="AL224" i="32"/>
  <c r="AL159" i="32"/>
  <c r="AL225" i="32"/>
  <c r="AL189" i="32"/>
  <c r="AL141" i="32"/>
  <c r="AL39" i="32"/>
  <c r="AL204" i="32"/>
  <c r="F224" i="30"/>
  <c r="F225" i="30"/>
  <c r="AJ41" i="21"/>
  <c r="AJ148" i="21"/>
  <c r="AJ36" i="24"/>
  <c r="AL100" i="26"/>
  <c r="AL153" i="32"/>
  <c r="AL212" i="32"/>
  <c r="AL166" i="32"/>
  <c r="AL68" i="32"/>
  <c r="AL48" i="32"/>
  <c r="AL170" i="32"/>
  <c r="AL197" i="32"/>
  <c r="AL194" i="32"/>
  <c r="AL221" i="32"/>
  <c r="AL79" i="32"/>
  <c r="AL122" i="32"/>
  <c r="AL96" i="32"/>
  <c r="AL181" i="32"/>
  <c r="AJ17" i="21"/>
  <c r="AF224" i="30"/>
  <c r="AF228" i="30"/>
  <c r="AJ230" i="30"/>
  <c r="AL225" i="33"/>
  <c r="AL192" i="33"/>
  <c r="AL76" i="33"/>
  <c r="AL227" i="33"/>
  <c r="AJ205" i="19"/>
  <c r="AJ45" i="21"/>
  <c r="AJ152" i="20"/>
  <c r="AJ160" i="22"/>
  <c r="AJ164" i="22"/>
  <c r="AJ38" i="21"/>
  <c r="AJ192" i="23"/>
  <c r="AJ129" i="24"/>
  <c r="AJ190" i="24"/>
  <c r="AJ139" i="24"/>
  <c r="AL59" i="26"/>
  <c r="AL116" i="31"/>
  <c r="AL135" i="30"/>
  <c r="AL116" i="30"/>
  <c r="AJ157" i="20"/>
  <c r="AJ140" i="20"/>
  <c r="AJ132" i="20"/>
  <c r="AJ92" i="20"/>
  <c r="AJ29" i="20"/>
  <c r="AJ143" i="20"/>
  <c r="AJ157" i="21"/>
  <c r="AJ188" i="21"/>
  <c r="AJ62" i="21"/>
  <c r="AJ130" i="21"/>
  <c r="AJ40" i="21"/>
  <c r="AJ134" i="21"/>
  <c r="AJ154" i="21"/>
  <c r="AJ206" i="21"/>
  <c r="AJ131" i="21"/>
  <c r="AJ191" i="22"/>
  <c r="AJ187" i="22"/>
  <c r="AJ185" i="22"/>
  <c r="AJ183" i="22"/>
  <c r="AJ181" i="22"/>
  <c r="AJ178" i="22"/>
  <c r="AJ176" i="22"/>
  <c r="AJ70" i="23"/>
  <c r="AJ141" i="23"/>
  <c r="AJ143" i="23"/>
  <c r="AJ152" i="23"/>
  <c r="AJ76" i="24"/>
  <c r="AJ89" i="24"/>
  <c r="AJ98" i="24"/>
  <c r="AJ132" i="24"/>
  <c r="AJ153" i="24"/>
  <c r="AJ155" i="24"/>
  <c r="AJ159" i="24"/>
  <c r="AJ180" i="24"/>
  <c r="AJ193" i="24"/>
  <c r="AJ196" i="24"/>
  <c r="AJ199" i="24"/>
  <c r="AJ205" i="23"/>
  <c r="AJ216" i="24"/>
  <c r="AJ29" i="25"/>
  <c r="AJ37" i="25"/>
  <c r="AJ125" i="25"/>
  <c r="AJ149" i="25"/>
  <c r="AJ154" i="25"/>
  <c r="AL115" i="26"/>
  <c r="AL34" i="29"/>
  <c r="AL218" i="29"/>
  <c r="AL33" i="32"/>
  <c r="AL35" i="32"/>
  <c r="AL74" i="32"/>
  <c r="AL76" i="32"/>
  <c r="AL212" i="33"/>
  <c r="AL191" i="32"/>
  <c r="AL197" i="33"/>
  <c r="AL170" i="33"/>
  <c r="AL32" i="33"/>
  <c r="AL191" i="33"/>
  <c r="AJ178" i="20"/>
  <c r="AJ222" i="20"/>
  <c r="AJ218" i="20"/>
  <c r="AJ214" i="20"/>
  <c r="AJ208" i="20"/>
  <c r="AJ200" i="20"/>
  <c r="AJ44" i="20"/>
  <c r="AJ77" i="20"/>
  <c r="AJ95" i="20"/>
  <c r="AJ109" i="20"/>
  <c r="AJ111" i="20"/>
  <c r="AJ127" i="20"/>
  <c r="AJ206" i="20"/>
  <c r="AJ199" i="20"/>
  <c r="AJ166" i="20"/>
  <c r="AJ182" i="20"/>
  <c r="AJ126" i="20"/>
  <c r="AJ169" i="20"/>
  <c r="AJ161" i="20"/>
  <c r="AJ133" i="20"/>
  <c r="AJ200" i="19"/>
  <c r="AJ17" i="19"/>
  <c r="AJ19" i="19"/>
  <c r="AJ23" i="19"/>
  <c r="AJ31" i="19"/>
  <c r="AJ33" i="19"/>
  <c r="AJ37" i="19"/>
  <c r="AJ39" i="19"/>
  <c r="AJ41" i="19"/>
  <c r="AJ43" i="19"/>
  <c r="AJ45" i="19"/>
  <c r="AJ48" i="19"/>
  <c r="AJ51" i="19"/>
  <c r="AJ53" i="19"/>
  <c r="AJ65" i="19"/>
  <c r="AJ67" i="19"/>
  <c r="AJ71" i="19"/>
  <c r="AJ73" i="19"/>
  <c r="AJ75" i="19"/>
  <c r="AJ77" i="19"/>
  <c r="AJ79" i="19"/>
  <c r="AJ81" i="19"/>
  <c r="AJ83" i="19"/>
  <c r="AJ87" i="19"/>
  <c r="AJ91" i="19"/>
  <c r="AJ95" i="19"/>
  <c r="AJ97" i="19"/>
  <c r="AJ103" i="19"/>
  <c r="AJ105" i="19"/>
  <c r="AJ113" i="19"/>
  <c r="AJ117" i="19"/>
  <c r="AJ119" i="19"/>
  <c r="AJ122" i="19"/>
  <c r="AJ125" i="19"/>
  <c r="AJ131" i="19"/>
  <c r="AJ137" i="19"/>
  <c r="AJ139" i="19"/>
  <c r="AJ143" i="19"/>
  <c r="AJ145" i="19"/>
  <c r="AJ148" i="19"/>
  <c r="AJ151" i="19"/>
  <c r="AJ153" i="19"/>
  <c r="AJ156" i="19"/>
  <c r="AJ159" i="19"/>
  <c r="AJ161" i="19"/>
  <c r="AJ164" i="19"/>
  <c r="AJ167" i="19"/>
  <c r="AJ169" i="19"/>
  <c r="AJ172" i="19"/>
  <c r="AJ177" i="19"/>
  <c r="AJ179" i="19"/>
  <c r="AJ182" i="19"/>
  <c r="AJ185" i="19"/>
  <c r="AJ187" i="19"/>
  <c r="AJ191" i="19"/>
  <c r="AJ197" i="19"/>
  <c r="AJ199" i="19"/>
  <c r="AJ203" i="19"/>
  <c r="AJ207" i="19"/>
  <c r="AJ209" i="19"/>
  <c r="AJ210" i="19"/>
  <c r="AJ212" i="19"/>
  <c r="AJ213" i="19"/>
  <c r="AJ214" i="19"/>
  <c r="AJ215" i="19"/>
  <c r="AJ216" i="19"/>
  <c r="AJ217" i="19"/>
  <c r="AJ218" i="19"/>
  <c r="AJ219" i="19"/>
  <c r="AJ175" i="21"/>
  <c r="AJ94" i="21"/>
  <c r="AJ121" i="21"/>
  <c r="AJ29" i="21"/>
  <c r="AJ54" i="21"/>
  <c r="AJ100" i="21"/>
  <c r="AJ112" i="21"/>
  <c r="AJ144" i="21"/>
  <c r="AJ152" i="21"/>
  <c r="AJ72" i="22"/>
  <c r="AJ68" i="22"/>
  <c r="AJ41" i="22"/>
  <c r="AJ208" i="22"/>
  <c r="AJ206" i="22"/>
  <c r="AJ145" i="22"/>
  <c r="AJ173" i="23"/>
  <c r="AJ34" i="23"/>
  <c r="AJ73" i="22"/>
  <c r="AJ69" i="23"/>
  <c r="AJ81" i="22"/>
  <c r="AJ100" i="23"/>
  <c r="AJ23" i="24"/>
  <c r="AJ33" i="24"/>
  <c r="AJ61" i="24"/>
  <c r="AJ88" i="24"/>
  <c r="AJ96" i="24"/>
  <c r="AJ101" i="24"/>
  <c r="AJ105" i="24"/>
  <c r="AJ105" i="23"/>
  <c r="AJ108" i="24"/>
  <c r="AJ112" i="24"/>
  <c r="AJ115" i="24"/>
  <c r="AJ142" i="24"/>
  <c r="AJ157" i="24"/>
  <c r="AJ186" i="24"/>
  <c r="AJ123" i="23"/>
  <c r="AJ147" i="25"/>
  <c r="AJ199" i="25"/>
  <c r="AJ218" i="25"/>
  <c r="AJ119" i="25"/>
  <c r="AJ91" i="25"/>
  <c r="AJ123" i="25"/>
  <c r="AJ139" i="25"/>
  <c r="AJ181" i="25"/>
  <c r="AJ193" i="25"/>
  <c r="AJ200" i="25"/>
  <c r="AJ30" i="25"/>
  <c r="AJ42" i="25"/>
  <c r="AJ107" i="25"/>
  <c r="AJ122" i="25"/>
  <c r="AL42" i="27"/>
  <c r="AL36" i="28"/>
  <c r="AJ18" i="19"/>
  <c r="AJ20" i="19"/>
  <c r="AJ22" i="19"/>
  <c r="AJ24" i="19"/>
  <c r="AJ26" i="19"/>
  <c r="AJ28" i="19"/>
  <c r="AJ40" i="19"/>
  <c r="AJ42" i="19"/>
  <c r="AJ44" i="19"/>
  <c r="AJ47" i="19"/>
  <c r="AJ49" i="19"/>
  <c r="AJ50" i="19"/>
  <c r="AJ52" i="19"/>
  <c r="AJ55" i="19"/>
  <c r="AJ59" i="19"/>
  <c r="AJ60" i="19"/>
  <c r="AJ66" i="19"/>
  <c r="AJ68" i="19"/>
  <c r="AJ74" i="19"/>
  <c r="AJ78" i="19"/>
  <c r="AJ80" i="19"/>
  <c r="AJ84" i="19"/>
  <c r="AJ86" i="19"/>
  <c r="AJ90" i="19"/>
  <c r="AJ100" i="19"/>
  <c r="AJ102" i="19"/>
  <c r="AJ106" i="19"/>
  <c r="AJ108" i="19"/>
  <c r="AJ111" i="19"/>
  <c r="AJ112" i="19"/>
  <c r="AJ114" i="19"/>
  <c r="AJ115" i="19"/>
  <c r="AJ116" i="19"/>
  <c r="AJ118" i="19"/>
  <c r="AJ120" i="19"/>
  <c r="AJ121" i="19"/>
  <c r="AJ123" i="19"/>
  <c r="AJ124" i="19"/>
  <c r="AJ126" i="19"/>
  <c r="AJ129" i="19"/>
  <c r="AJ130" i="19"/>
  <c r="AJ133" i="19"/>
  <c r="AJ136" i="19"/>
  <c r="AJ142" i="19"/>
  <c r="AJ146" i="19"/>
  <c r="AJ147" i="19"/>
  <c r="AJ149" i="19"/>
  <c r="AJ150" i="19"/>
  <c r="AJ152" i="19"/>
  <c r="AJ155" i="19"/>
  <c r="AJ160" i="19"/>
  <c r="AJ162" i="19"/>
  <c r="AJ165" i="19"/>
  <c r="AJ166" i="19"/>
  <c r="AJ168" i="19"/>
  <c r="AJ171" i="19"/>
  <c r="AJ173" i="19"/>
  <c r="AJ178" i="19"/>
  <c r="AJ183" i="19"/>
  <c r="AJ184" i="19"/>
  <c r="AJ189" i="19"/>
  <c r="AJ192" i="19"/>
  <c r="AJ194" i="19"/>
  <c r="AJ196" i="19"/>
  <c r="AJ198" i="19"/>
  <c r="AJ202" i="19"/>
  <c r="AJ204" i="19"/>
  <c r="AJ206" i="19"/>
  <c r="AJ208" i="19"/>
  <c r="AJ220" i="19"/>
  <c r="AJ160" i="21"/>
  <c r="AJ162" i="21"/>
  <c r="AJ120" i="22"/>
  <c r="AJ127" i="22"/>
  <c r="AJ130" i="22"/>
  <c r="AJ131" i="22"/>
  <c r="AJ23" i="23"/>
  <c r="AJ25" i="23"/>
  <c r="AJ26" i="23"/>
  <c r="AJ29" i="23"/>
  <c r="AJ30" i="23"/>
  <c r="AJ31" i="23"/>
  <c r="AJ33" i="23"/>
  <c r="AJ88" i="23"/>
  <c r="AJ92" i="23"/>
  <c r="AJ96" i="23"/>
  <c r="AJ101" i="23"/>
  <c r="AJ102" i="23"/>
  <c r="AJ196" i="23"/>
  <c r="AJ199" i="23"/>
  <c r="AJ200" i="23"/>
  <c r="AJ203" i="23"/>
  <c r="AJ210" i="23"/>
  <c r="AJ218" i="23"/>
  <c r="AJ135" i="24"/>
  <c r="AJ138" i="24"/>
  <c r="AJ140" i="24"/>
  <c r="AJ141" i="24"/>
  <c r="AJ163" i="24"/>
  <c r="AJ178" i="24"/>
  <c r="AJ122" i="24"/>
  <c r="AJ54" i="25"/>
  <c r="AJ76" i="25"/>
  <c r="AJ117" i="25"/>
  <c r="AJ172" i="25"/>
  <c r="AJ189" i="25"/>
  <c r="AJ208" i="25"/>
  <c r="AJ21" i="25"/>
  <c r="AJ23" i="25"/>
  <c r="AJ25" i="25"/>
  <c r="AJ46" i="25"/>
  <c r="AJ51" i="25"/>
  <c r="AJ63" i="25"/>
  <c r="AJ67" i="25"/>
  <c r="AJ82" i="25"/>
  <c r="AJ87" i="25"/>
  <c r="AJ95" i="25"/>
  <c r="AJ101" i="25"/>
  <c r="AJ103" i="25"/>
  <c r="AJ111" i="25"/>
  <c r="AJ124" i="25"/>
  <c r="AJ126" i="25"/>
  <c r="AJ128" i="25"/>
  <c r="AL92" i="26"/>
  <c r="AL102" i="26"/>
  <c r="AL158" i="26"/>
  <c r="AL160" i="26"/>
  <c r="AL164" i="26"/>
  <c r="AL199" i="26"/>
  <c r="AL31" i="27"/>
  <c r="AL61" i="27"/>
  <c r="AL65" i="27"/>
  <c r="AL118" i="27"/>
  <c r="AL132" i="27"/>
  <c r="AL148" i="27"/>
  <c r="AL164" i="27"/>
  <c r="AL169" i="27"/>
  <c r="AL171" i="27"/>
  <c r="AL175" i="27"/>
  <c r="AL129" i="28"/>
  <c r="AL192" i="28"/>
  <c r="AL157" i="28"/>
  <c r="AL51" i="28"/>
  <c r="AL70" i="28"/>
  <c r="AL187" i="28"/>
  <c r="AL49" i="29"/>
  <c r="AL198" i="29"/>
  <c r="AL207" i="29"/>
  <c r="AL194" i="30"/>
  <c r="AL140" i="30"/>
  <c r="AL88" i="30"/>
  <c r="AL36" i="31"/>
  <c r="AL37" i="31"/>
  <c r="AL76" i="31"/>
  <c r="W243" i="1"/>
  <c r="X255" i="1"/>
  <c r="AC234" i="10"/>
  <c r="AC254" i="10"/>
  <c r="AC258" i="10"/>
  <c r="AJ35" i="19"/>
  <c r="AJ63" i="19"/>
  <c r="AJ85" i="19"/>
  <c r="AJ101" i="19"/>
  <c r="AJ110" i="19"/>
  <c r="AJ141" i="19"/>
  <c r="AJ78" i="21"/>
  <c r="AJ107" i="21"/>
  <c r="AJ111" i="21"/>
  <c r="AJ110" i="22"/>
  <c r="AJ18" i="21"/>
  <c r="AJ24" i="21"/>
  <c r="AJ39" i="21"/>
  <c r="AJ42" i="21"/>
  <c r="AJ43" i="21"/>
  <c r="AJ49" i="21"/>
  <c r="AJ53" i="21"/>
  <c r="AJ60" i="21"/>
  <c r="AJ61" i="21"/>
  <c r="AJ72" i="21"/>
  <c r="AJ73" i="21"/>
  <c r="AJ77" i="21"/>
  <c r="AJ82" i="21"/>
  <c r="AJ86" i="21"/>
  <c r="AJ93" i="21"/>
  <c r="AJ97" i="21"/>
  <c r="AJ98" i="21"/>
  <c r="AJ101" i="21"/>
  <c r="AJ105" i="21"/>
  <c r="AJ106" i="21"/>
  <c r="AJ110" i="21"/>
  <c r="AJ114" i="21"/>
  <c r="AJ115" i="21"/>
  <c r="AJ119" i="21"/>
  <c r="AJ142" i="22"/>
  <c r="AJ142" i="21"/>
  <c r="AJ144" i="22"/>
  <c r="AJ165" i="22"/>
  <c r="AJ165" i="21"/>
  <c r="AJ87" i="22"/>
  <c r="AJ96" i="22"/>
  <c r="AJ150" i="22"/>
  <c r="AJ151" i="22"/>
  <c r="AJ39" i="23"/>
  <c r="AJ40" i="23"/>
  <c r="AJ138" i="23"/>
  <c r="AJ155" i="23"/>
  <c r="AJ156" i="23"/>
  <c r="AJ19" i="24"/>
  <c r="AJ20" i="24"/>
  <c r="AJ48" i="24"/>
  <c r="AJ62" i="25"/>
  <c r="AJ62" i="24"/>
  <c r="AJ66" i="25"/>
  <c r="AJ66" i="24"/>
  <c r="AJ67" i="24"/>
  <c r="AJ70" i="25"/>
  <c r="AJ72" i="25"/>
  <c r="AJ75" i="24"/>
  <c r="AJ78" i="25"/>
  <c r="AJ83" i="24"/>
  <c r="AJ85" i="25"/>
  <c r="AJ205" i="25"/>
  <c r="AJ205" i="24"/>
  <c r="AJ130" i="25"/>
  <c r="AJ133" i="25"/>
  <c r="AJ148" i="25"/>
  <c r="AJ160" i="25"/>
  <c r="AJ164" i="25"/>
  <c r="AJ166" i="25"/>
  <c r="AJ168" i="25"/>
  <c r="AJ170" i="25"/>
  <c r="AJ173" i="25"/>
  <c r="AJ176" i="25"/>
  <c r="AJ180" i="25"/>
  <c r="AJ187" i="25"/>
  <c r="AJ191" i="25"/>
  <c r="AJ195" i="25"/>
  <c r="AJ198" i="25"/>
  <c r="AJ202" i="25"/>
  <c r="AL217" i="26"/>
  <c r="AL209" i="26"/>
  <c r="AL204" i="26"/>
  <c r="AL188" i="26"/>
  <c r="AL174" i="26"/>
  <c r="AL156" i="26"/>
  <c r="AL137" i="26"/>
  <c r="AL114" i="26"/>
  <c r="AL103" i="26"/>
  <c r="AL94" i="26"/>
  <c r="AL90" i="26"/>
  <c r="AL80" i="26"/>
  <c r="AL56" i="26"/>
  <c r="AL47" i="26"/>
  <c r="AL34" i="26"/>
  <c r="AL30" i="26"/>
  <c r="AL214" i="26"/>
  <c r="AL201" i="26"/>
  <c r="AL168" i="26"/>
  <c r="AL155" i="26"/>
  <c r="AL147" i="26"/>
  <c r="AL139" i="26"/>
  <c r="AL133" i="26"/>
  <c r="AL129" i="26"/>
  <c r="AL89" i="26"/>
  <c r="AL83" i="26"/>
  <c r="AL71" i="26"/>
  <c r="AL49" i="26"/>
  <c r="AL44" i="26"/>
  <c r="AL39" i="26"/>
  <c r="AL35" i="26"/>
  <c r="AL207" i="26"/>
  <c r="AL191" i="26"/>
  <c r="AL170" i="26"/>
  <c r="AL157" i="26"/>
  <c r="AL149" i="26"/>
  <c r="AL125" i="26"/>
  <c r="AL86" i="26"/>
  <c r="AL57" i="26"/>
  <c r="AL52" i="26"/>
  <c r="AL60" i="26"/>
  <c r="AL104" i="26"/>
  <c r="AL123" i="26"/>
  <c r="AL141" i="26"/>
  <c r="AL171" i="26"/>
  <c r="AL182" i="26"/>
  <c r="AL80" i="27"/>
  <c r="AL184" i="27"/>
  <c r="AL188" i="27"/>
  <c r="AL192" i="27"/>
  <c r="AL200" i="27"/>
  <c r="AL29" i="28"/>
  <c r="AL87" i="28"/>
  <c r="AL130" i="28"/>
  <c r="AL132" i="28"/>
  <c r="AL136" i="28"/>
  <c r="AL48" i="29"/>
  <c r="AL176" i="29"/>
  <c r="AL49" i="30"/>
  <c r="AL63" i="30"/>
  <c r="AL191" i="30"/>
  <c r="AL159" i="33"/>
  <c r="AJ47" i="23"/>
  <c r="AJ163" i="23"/>
  <c r="AJ170" i="23"/>
  <c r="AJ176" i="23"/>
  <c r="AJ211" i="23"/>
  <c r="AJ93" i="24"/>
  <c r="AJ150" i="24"/>
  <c r="AJ154" i="24"/>
  <c r="AL96" i="27"/>
  <c r="AL138" i="27"/>
  <c r="AL218" i="28"/>
  <c r="AL159" i="29"/>
  <c r="AL24" i="29"/>
  <c r="AL165" i="29"/>
  <c r="AL47" i="29"/>
  <c r="AL37" i="29"/>
  <c r="AL161" i="29"/>
  <c r="AL137" i="29"/>
  <c r="AL26" i="29"/>
  <c r="AL65" i="29"/>
  <c r="AL69" i="29"/>
  <c r="AL152" i="29"/>
  <c r="AL207" i="32"/>
  <c r="AL18" i="33"/>
  <c r="AL23" i="33"/>
  <c r="AL59" i="33"/>
  <c r="AL63" i="33"/>
  <c r="AL80" i="33"/>
  <c r="AL83" i="33"/>
  <c r="AL98" i="33"/>
  <c r="AL100" i="33"/>
  <c r="AL117" i="33"/>
  <c r="AL166" i="33"/>
  <c r="AL178" i="33"/>
  <c r="AL184" i="33"/>
  <c r="AL201" i="33"/>
  <c r="AL208" i="33"/>
  <c r="AL216" i="33"/>
  <c r="AL226" i="33"/>
  <c r="AJ87" i="21"/>
  <c r="AJ91" i="21"/>
  <c r="AJ109" i="21"/>
  <c r="AJ112" i="22"/>
  <c r="AJ143" i="22"/>
  <c r="AJ59" i="22"/>
  <c r="AJ204" i="22"/>
  <c r="AJ211" i="22"/>
  <c r="AJ213" i="22"/>
  <c r="AJ217" i="22"/>
  <c r="AJ219" i="22"/>
  <c r="AJ221" i="22"/>
  <c r="AJ63" i="23"/>
  <c r="AJ67" i="23"/>
  <c r="AJ73" i="23"/>
  <c r="AJ74" i="23"/>
  <c r="AJ76" i="23"/>
  <c r="AJ79" i="23"/>
  <c r="AJ184" i="23"/>
  <c r="AJ103" i="24"/>
  <c r="AJ104" i="24"/>
  <c r="AJ120" i="24"/>
  <c r="AJ121" i="24"/>
  <c r="AJ123" i="24"/>
  <c r="AJ158" i="24"/>
  <c r="AJ184" i="25"/>
  <c r="AL62" i="26"/>
  <c r="AL68" i="26"/>
  <c r="AL112" i="26"/>
  <c r="AL24" i="28"/>
  <c r="AL32" i="28"/>
  <c r="AL82" i="29"/>
  <c r="AL97" i="30"/>
  <c r="AC18" i="11"/>
  <c r="AC251" i="11"/>
  <c r="AC255" i="11"/>
  <c r="AG257" i="11"/>
  <c r="J251" i="11"/>
  <c r="J255" i="11"/>
  <c r="J261" i="11"/>
  <c r="AJ54" i="19"/>
  <c r="AJ96" i="19"/>
  <c r="AJ116" i="23"/>
  <c r="AJ160" i="24"/>
  <c r="AJ18" i="25"/>
  <c r="AJ86" i="25"/>
  <c r="AL184" i="28"/>
  <c r="AL133" i="28"/>
  <c r="AL216" i="28"/>
  <c r="AL137" i="28"/>
  <c r="AL170" i="28"/>
  <c r="AA266" i="6"/>
  <c r="AA270" i="6"/>
  <c r="AJ93" i="19"/>
  <c r="AJ123" i="22"/>
  <c r="AJ115" i="22"/>
  <c r="AJ137" i="22"/>
  <c r="AJ156" i="22"/>
  <c r="AJ43" i="24"/>
  <c r="AJ80" i="25"/>
  <c r="AJ99" i="25"/>
  <c r="AJ145" i="24"/>
  <c r="AL65" i="26"/>
  <c r="AL213" i="26"/>
  <c r="AL119" i="26"/>
  <c r="AL17" i="26"/>
  <c r="AL194" i="26"/>
  <c r="AL81" i="28"/>
  <c r="AL85" i="28"/>
  <c r="AL95" i="28"/>
  <c r="H228" i="2"/>
  <c r="H229" i="2"/>
  <c r="F283" i="9"/>
  <c r="F284" i="9"/>
  <c r="J224" i="30"/>
  <c r="J228" i="30"/>
  <c r="J234" i="30"/>
  <c r="O86" i="2"/>
  <c r="L86" i="2"/>
  <c r="L228" i="2"/>
  <c r="I43" i="1"/>
  <c r="L43" i="1"/>
  <c r="P43" i="1"/>
  <c r="S43" i="1"/>
  <c r="E45" i="4"/>
  <c r="I45" i="4"/>
  <c r="AA45" i="4"/>
  <c r="AA258" i="4"/>
  <c r="AA261" i="4"/>
  <c r="AA265" i="4"/>
  <c r="AJ92" i="19"/>
  <c r="AJ138" i="19"/>
  <c r="AJ112" i="23"/>
  <c r="AL122" i="28"/>
  <c r="AL72" i="28"/>
  <c r="AL74" i="28"/>
  <c r="AJ27" i="19"/>
  <c r="AJ69" i="19"/>
  <c r="AJ190" i="19"/>
  <c r="AD283" i="9"/>
  <c r="AD287" i="9"/>
  <c r="AD254" i="10"/>
  <c r="AD258" i="10"/>
  <c r="AJ221" i="19"/>
  <c r="F270" i="7"/>
  <c r="F271" i="7"/>
  <c r="AD251" i="11"/>
  <c r="AD255" i="11"/>
  <c r="AH257" i="11"/>
  <c r="AJ158" i="19"/>
  <c r="AJ174" i="19"/>
  <c r="AJ180" i="19"/>
  <c r="AJ181" i="19"/>
  <c r="AJ193" i="19"/>
  <c r="AJ126" i="21"/>
  <c r="AJ48" i="21"/>
  <c r="AJ23" i="21"/>
  <c r="AJ27" i="21"/>
  <c r="AJ91" i="23"/>
  <c r="AJ52" i="24"/>
  <c r="AJ56" i="23"/>
  <c r="AJ166" i="24"/>
  <c r="AJ179" i="23"/>
  <c r="AJ90" i="25"/>
  <c r="AJ93" i="25"/>
  <c r="AJ149" i="24"/>
  <c r="AJ153" i="25"/>
  <c r="AL212" i="28"/>
  <c r="AF223" i="28"/>
  <c r="AF227" i="28"/>
  <c r="AJ229" i="28"/>
  <c r="AL222" i="28"/>
  <c r="AL191" i="29"/>
  <c r="AL187" i="29"/>
  <c r="AL183" i="29"/>
  <c r="AL175" i="29"/>
  <c r="AL113" i="29"/>
  <c r="AL105" i="29"/>
  <c r="AL97" i="29"/>
  <c r="AL93" i="29"/>
  <c r="AL71" i="29"/>
  <c r="AL41" i="29"/>
  <c r="AL33" i="29"/>
  <c r="AL214" i="29"/>
  <c r="AL150" i="29"/>
  <c r="AL29" i="29"/>
  <c r="AL139" i="29"/>
  <c r="AJ176" i="19"/>
  <c r="AD281" i="8"/>
  <c r="AD285" i="8"/>
  <c r="AB254" i="10"/>
  <c r="AB258" i="10"/>
  <c r="AB251" i="11"/>
  <c r="AB255" i="11"/>
  <c r="AF257" i="11"/>
  <c r="AJ127" i="21"/>
  <c r="AJ89" i="22"/>
  <c r="AC226" i="22"/>
  <c r="AC230" i="22"/>
  <c r="AG232" i="22"/>
  <c r="AJ193" i="23"/>
  <c r="AJ203" i="22"/>
  <c r="AJ205" i="22"/>
  <c r="AJ210" i="22"/>
  <c r="AJ224" i="22"/>
  <c r="AJ59" i="24"/>
  <c r="AJ71" i="23"/>
  <c r="AJ73" i="24"/>
  <c r="AJ44" i="25"/>
  <c r="AJ116" i="25"/>
  <c r="AJ125" i="24"/>
  <c r="AJ157" i="25"/>
  <c r="AJ215" i="25"/>
  <c r="AF222" i="26"/>
  <c r="AF226" i="26"/>
  <c r="AJ228" i="26"/>
  <c r="AL143" i="26"/>
  <c r="AL34" i="28"/>
  <c r="AL186" i="31"/>
  <c r="AL117" i="31"/>
  <c r="AL50" i="30"/>
  <c r="AL52" i="30"/>
  <c r="AL54" i="30"/>
  <c r="AL104" i="30"/>
  <c r="AL100" i="30"/>
  <c r="AL94" i="30"/>
  <c r="AL90" i="30"/>
  <c r="AL31" i="32"/>
  <c r="AL157" i="31"/>
  <c r="AL160" i="31"/>
  <c r="AL125" i="32"/>
  <c r="AL155" i="33"/>
  <c r="AL199" i="32"/>
  <c r="AL200" i="33"/>
  <c r="AL202" i="32"/>
  <c r="AL205" i="32"/>
  <c r="AL206" i="33"/>
  <c r="AL25" i="32"/>
  <c r="AL142" i="32"/>
  <c r="AL167" i="32"/>
  <c r="AL175" i="32"/>
  <c r="AL29" i="33"/>
  <c r="AL42" i="33"/>
  <c r="AL45" i="33"/>
  <c r="AL50" i="33"/>
  <c r="AL51" i="33"/>
  <c r="AL55" i="33"/>
  <c r="AL57" i="33"/>
  <c r="AL61" i="33"/>
  <c r="AL69" i="33"/>
  <c r="AL77" i="33"/>
  <c r="AL82" i="33"/>
  <c r="AL86" i="33"/>
  <c r="AL92" i="33"/>
  <c r="AL95" i="33"/>
  <c r="AL97" i="33"/>
  <c r="AL102" i="33"/>
  <c r="AL107" i="33"/>
  <c r="AL109" i="33"/>
  <c r="AL111" i="33"/>
  <c r="AL120" i="33"/>
  <c r="AL136" i="33"/>
  <c r="AL146" i="33"/>
  <c r="AL147" i="33"/>
  <c r="AL162" i="33"/>
  <c r="AL172" i="33"/>
  <c r="AL187" i="33"/>
  <c r="AL207" i="33"/>
  <c r="AL211" i="33"/>
  <c r="AL222" i="33"/>
  <c r="AL21" i="33"/>
  <c r="AL26" i="33"/>
  <c r="AL48" i="33"/>
  <c r="AL89" i="33"/>
  <c r="AL101" i="33"/>
  <c r="AL112" i="33"/>
  <c r="AL116" i="33"/>
  <c r="AJ36" i="21"/>
  <c r="AJ163" i="21"/>
  <c r="AJ156" i="21"/>
  <c r="AJ85" i="21"/>
  <c r="AJ50" i="21"/>
  <c r="AJ124" i="21"/>
  <c r="AJ21" i="21"/>
  <c r="AJ30" i="21"/>
  <c r="AJ44" i="21"/>
  <c r="AJ65" i="21"/>
  <c r="AJ103" i="21"/>
  <c r="AJ117" i="21"/>
  <c r="AJ123" i="21"/>
  <c r="AJ125" i="21"/>
  <c r="AJ139" i="21"/>
  <c r="AJ159" i="21"/>
  <c r="AJ88" i="22"/>
  <c r="AJ84" i="22"/>
  <c r="AJ76" i="22"/>
  <c r="AJ71" i="22"/>
  <c r="AJ118" i="22"/>
  <c r="AJ55" i="22"/>
  <c r="AJ153" i="22"/>
  <c r="AJ153" i="21"/>
  <c r="AJ158" i="22"/>
  <c r="AJ166" i="22"/>
  <c r="AJ166" i="21"/>
  <c r="AJ169" i="21"/>
  <c r="AJ20" i="23"/>
  <c r="AJ22" i="23"/>
  <c r="AJ24" i="22"/>
  <c r="AJ44" i="23"/>
  <c r="AJ50" i="23"/>
  <c r="AJ72" i="23"/>
  <c r="AJ94" i="22"/>
  <c r="AJ89" i="23"/>
  <c r="AJ94" i="23"/>
  <c r="AJ137" i="23"/>
  <c r="AJ139" i="23"/>
  <c r="AJ82" i="24"/>
  <c r="AJ107" i="24"/>
  <c r="AJ195" i="24"/>
  <c r="AJ28" i="25"/>
  <c r="AJ61" i="25"/>
  <c r="AJ65" i="25"/>
  <c r="AJ69" i="25"/>
  <c r="AJ77" i="25"/>
  <c r="AJ181" i="24"/>
  <c r="AJ211" i="25"/>
  <c r="AL20" i="26"/>
  <c r="AL84" i="26"/>
  <c r="AL101" i="26"/>
  <c r="AL107" i="26"/>
  <c r="AL177" i="26"/>
  <c r="AL185" i="26"/>
  <c r="AL218" i="26"/>
  <c r="AL60" i="27"/>
  <c r="AL64" i="27"/>
  <c r="AL77" i="28"/>
  <c r="AL143" i="28"/>
  <c r="AL166" i="28"/>
  <c r="AL134" i="33"/>
  <c r="AJ134" i="19"/>
  <c r="AJ46" i="21"/>
  <c r="AJ52" i="21"/>
  <c r="AJ68" i="21"/>
  <c r="AJ89" i="21"/>
  <c r="AJ102" i="21"/>
  <c r="AJ122" i="21"/>
  <c r="AJ31" i="22"/>
  <c r="AJ121" i="22"/>
  <c r="AJ117" i="22"/>
  <c r="AJ25" i="22"/>
  <c r="AJ36" i="22"/>
  <c r="AJ125" i="23"/>
  <c r="AJ142" i="23"/>
  <c r="AJ32" i="24"/>
  <c r="AJ185" i="24"/>
  <c r="AJ197" i="24"/>
  <c r="AJ27" i="25"/>
  <c r="AJ33" i="25"/>
  <c r="AJ50" i="25"/>
  <c r="AJ84" i="25"/>
  <c r="AJ151" i="25"/>
  <c r="AJ187" i="24"/>
  <c r="AJ41" i="24"/>
  <c r="AL121" i="26"/>
  <c r="AL62" i="27"/>
  <c r="AL79" i="27"/>
  <c r="AL82" i="27"/>
  <c r="AL89" i="27"/>
  <c r="AL92" i="27"/>
  <c r="AL101" i="27"/>
  <c r="AL102" i="27"/>
  <c r="AL182" i="27"/>
  <c r="AL183" i="27"/>
  <c r="AL134" i="27"/>
  <c r="AL145" i="27"/>
  <c r="AL151" i="27"/>
  <c r="AL82" i="28"/>
  <c r="AL192" i="29"/>
  <c r="AL121" i="31"/>
  <c r="AL20" i="30"/>
  <c r="AL195" i="30"/>
  <c r="AL133" i="30"/>
  <c r="AL85" i="30"/>
  <c r="AL21" i="32"/>
  <c r="AL21" i="31"/>
  <c r="AL97" i="32"/>
  <c r="AL106" i="32"/>
  <c r="AL107" i="32"/>
  <c r="AL108" i="32"/>
  <c r="AJ61" i="19"/>
  <c r="AJ34" i="21"/>
  <c r="AJ28" i="21"/>
  <c r="AJ22" i="21"/>
  <c r="AJ137" i="21"/>
  <c r="AJ95" i="21"/>
  <c r="AJ81" i="21"/>
  <c r="AJ56" i="21"/>
  <c r="AJ33" i="21"/>
  <c r="AJ71" i="21"/>
  <c r="AJ88" i="21"/>
  <c r="AJ96" i="21"/>
  <c r="AJ100" i="22"/>
  <c r="AJ86" i="22"/>
  <c r="AJ74" i="22"/>
  <c r="AJ35" i="22"/>
  <c r="AJ57" i="22"/>
  <c r="AJ49" i="22"/>
  <c r="AJ135" i="22"/>
  <c r="AJ208" i="21"/>
  <c r="AJ225" i="22"/>
  <c r="AJ37" i="22"/>
  <c r="AJ107" i="23"/>
  <c r="AJ145" i="23"/>
  <c r="AJ150" i="23"/>
  <c r="AJ154" i="23"/>
  <c r="AJ172" i="22"/>
  <c r="AJ37" i="24"/>
  <c r="AJ47" i="24"/>
  <c r="AJ74" i="24"/>
  <c r="AJ83" i="23"/>
  <c r="AJ109" i="24"/>
  <c r="AJ114" i="23"/>
  <c r="AJ203" i="24"/>
  <c r="AJ59" i="25"/>
  <c r="AL32" i="27"/>
  <c r="AL36" i="27"/>
  <c r="AL81" i="27"/>
  <c r="AL117" i="27"/>
  <c r="AL219" i="28"/>
  <c r="AL201" i="28"/>
  <c r="AL164" i="28"/>
  <c r="AL140" i="28"/>
  <c r="AL94" i="28"/>
  <c r="AL64" i="28"/>
  <c r="AL60" i="28"/>
  <c r="AL46" i="28"/>
  <c r="AL21" i="28"/>
  <c r="AL202" i="28"/>
  <c r="AL169" i="28"/>
  <c r="AL165" i="28"/>
  <c r="AL113" i="28"/>
  <c r="AL109" i="28"/>
  <c r="AL93" i="28"/>
  <c r="AL71" i="28"/>
  <c r="AL62" i="28"/>
  <c r="AL188" i="28"/>
  <c r="AL181" i="28"/>
  <c r="AL149" i="28"/>
  <c r="AL126" i="28"/>
  <c r="AL73" i="28"/>
  <c r="AL28" i="28"/>
  <c r="AL18" i="28"/>
  <c r="AL170" i="29"/>
  <c r="AL166" i="29"/>
  <c r="AL78" i="29"/>
  <c r="AL52" i="29"/>
  <c r="AL222" i="29"/>
  <c r="AL200" i="29"/>
  <c r="AL221" i="29"/>
  <c r="AL86" i="29"/>
  <c r="AL54" i="29"/>
  <c r="AL18" i="29"/>
  <c r="AL155" i="30"/>
  <c r="AL126" i="30"/>
  <c r="AL107" i="30"/>
  <c r="AL26" i="32"/>
  <c r="AL54" i="32"/>
  <c r="AL91" i="33"/>
  <c r="J257" i="11"/>
  <c r="AC283" i="9"/>
  <c r="AC287" i="9"/>
  <c r="AD270" i="7"/>
  <c r="AD274" i="7"/>
  <c r="AL79" i="29"/>
  <c r="AL213" i="32"/>
  <c r="E266" i="6"/>
  <c r="E267" i="6"/>
  <c r="AD256" i="14"/>
  <c r="AD260" i="14"/>
  <c r="AH262" i="14"/>
  <c r="AB221" i="18"/>
  <c r="AB225" i="18"/>
  <c r="AB281" i="8"/>
  <c r="AB285" i="8"/>
  <c r="AB266" i="6"/>
  <c r="AB270" i="6"/>
  <c r="J24" i="7"/>
  <c r="AB24" i="7"/>
  <c r="M113" i="7"/>
  <c r="AD252" i="15"/>
  <c r="AD256" i="15"/>
  <c r="AH258" i="15"/>
  <c r="AL201" i="29"/>
  <c r="AL192" i="32"/>
  <c r="F221" i="18"/>
  <c r="F222" i="18"/>
  <c r="AJ60" i="22"/>
  <c r="F254" i="10"/>
  <c r="F255" i="10"/>
  <c r="AD219" i="25"/>
  <c r="AD223" i="25"/>
  <c r="AH225" i="25"/>
  <c r="AL220" i="28"/>
  <c r="AL58" i="26"/>
  <c r="AE224" i="30"/>
  <c r="AE228" i="30"/>
  <c r="AI230" i="30"/>
  <c r="AL145" i="33"/>
  <c r="AL122" i="33"/>
  <c r="AL35" i="33"/>
  <c r="J219" i="24"/>
  <c r="J223" i="24"/>
  <c r="J229" i="24"/>
  <c r="AF230" i="32"/>
  <c r="AF234" i="32"/>
  <c r="AJ236" i="32"/>
  <c r="I266" i="6"/>
  <c r="I271" i="6"/>
  <c r="I273" i="6"/>
  <c r="I276" i="6"/>
  <c r="I278" i="6"/>
  <c r="F251" i="11"/>
  <c r="F252" i="11"/>
  <c r="AL190" i="33"/>
  <c r="AL137" i="33"/>
  <c r="AL139" i="33"/>
  <c r="AL105" i="33"/>
  <c r="AL150" i="33"/>
  <c r="AL39" i="33"/>
  <c r="AD221" i="18"/>
  <c r="AD225" i="18"/>
  <c r="AH227" i="18"/>
  <c r="AC270" i="7"/>
  <c r="AC274" i="7"/>
  <c r="AB283" i="9"/>
  <c r="AB287" i="9"/>
  <c r="E271" i="5"/>
  <c r="E272" i="5"/>
  <c r="AL193" i="32"/>
  <c r="F256" i="14"/>
  <c r="F257" i="14"/>
  <c r="L46" i="1"/>
  <c r="F222" i="19"/>
  <c r="F223" i="19"/>
  <c r="AL68" i="33"/>
  <c r="AL194" i="33"/>
  <c r="AL140" i="33"/>
  <c r="AL219" i="33"/>
  <c r="AL193" i="33"/>
  <c r="AC271" i="5"/>
  <c r="AC275" i="5"/>
  <c r="J222" i="19"/>
  <c r="J226" i="19"/>
  <c r="J228" i="19"/>
  <c r="AB270" i="7"/>
  <c r="AB274" i="7"/>
  <c r="J282" i="7"/>
  <c r="AJ24" i="23"/>
  <c r="AJ113" i="23"/>
  <c r="AL215" i="33"/>
  <c r="AL36" i="33"/>
  <c r="AL204" i="33"/>
  <c r="AL66" i="33"/>
  <c r="AJ106" i="22"/>
  <c r="AJ36" i="23"/>
  <c r="AL24" i="26"/>
  <c r="AL28" i="26"/>
  <c r="AL32" i="26"/>
  <c r="AL70" i="26"/>
  <c r="AJ49" i="23"/>
  <c r="AJ167" i="23"/>
  <c r="AL114" i="33"/>
  <c r="AJ200" i="22"/>
  <c r="AJ85" i="22"/>
  <c r="AJ32" i="22"/>
  <c r="AJ50" i="22"/>
  <c r="AJ138" i="22"/>
  <c r="AJ136" i="22"/>
  <c r="AJ146" i="21"/>
  <c r="AJ30" i="22"/>
  <c r="AJ65" i="23"/>
  <c r="AJ117" i="23"/>
  <c r="AJ133" i="22"/>
  <c r="AJ146" i="22"/>
  <c r="AJ179" i="22"/>
  <c r="AJ182" i="22"/>
  <c r="AJ186" i="23"/>
  <c r="AJ188" i="23"/>
  <c r="AJ207" i="22"/>
  <c r="AJ202" i="23"/>
  <c r="AJ212" i="23"/>
  <c r="AJ72" i="24"/>
  <c r="AJ80" i="24"/>
  <c r="AJ90" i="24"/>
  <c r="AJ132" i="23"/>
  <c r="AJ135" i="23"/>
  <c r="AJ198" i="23"/>
  <c r="AJ26" i="25"/>
  <c r="AJ30" i="24"/>
  <c r="AJ35" i="25"/>
  <c r="AJ43" i="25"/>
  <c r="AJ55" i="24"/>
  <c r="AJ71" i="25"/>
  <c r="AJ95" i="24"/>
  <c r="AJ97" i="25"/>
  <c r="AJ118" i="25"/>
  <c r="AJ132" i="25"/>
  <c r="AJ165" i="25"/>
  <c r="AL18" i="26"/>
  <c r="AL53" i="26"/>
  <c r="AL55" i="26"/>
  <c r="AL108" i="26"/>
  <c r="AL116" i="26"/>
  <c r="AL128" i="26"/>
  <c r="AL151" i="26"/>
  <c r="AL159" i="26"/>
  <c r="AL19" i="27"/>
  <c r="AL24" i="27"/>
  <c r="AL27" i="27"/>
  <c r="AL34" i="27"/>
  <c r="AL45" i="27"/>
  <c r="AL54" i="27"/>
  <c r="AL55" i="27"/>
  <c r="AL56" i="27"/>
  <c r="AL57" i="27"/>
  <c r="AL58" i="27"/>
  <c r="AL71" i="27"/>
  <c r="AL87" i="27"/>
  <c r="AL94" i="27"/>
  <c r="AL98" i="27"/>
  <c r="AL125" i="27"/>
  <c r="AL136" i="27"/>
  <c r="AL137" i="27"/>
  <c r="AL139" i="27"/>
  <c r="AL143" i="27"/>
  <c r="AL146" i="27"/>
  <c r="AL149" i="27"/>
  <c r="AL150" i="27"/>
  <c r="AL163" i="27"/>
  <c r="AL189" i="27"/>
  <c r="AL191" i="27"/>
  <c r="AL193" i="27"/>
  <c r="AL194" i="27"/>
  <c r="AL202" i="27"/>
  <c r="AL206" i="27"/>
  <c r="AL207" i="27"/>
  <c r="AL210" i="27"/>
  <c r="AL211" i="27"/>
  <c r="AL221" i="27"/>
  <c r="AL22" i="27"/>
  <c r="AL26" i="27"/>
  <c r="AL123" i="27"/>
  <c r="AD223" i="28"/>
  <c r="AD227" i="28"/>
  <c r="AH229" i="28"/>
  <c r="AL144" i="29"/>
  <c r="AL158" i="29"/>
  <c r="AL212" i="30"/>
  <c r="AL200" i="30"/>
  <c r="AL98" i="30"/>
  <c r="AL91" i="30"/>
  <c r="AL26" i="31"/>
  <c r="AL43" i="31"/>
  <c r="AL112" i="32"/>
  <c r="AL132" i="32"/>
  <c r="AL128" i="33"/>
  <c r="AJ217" i="21"/>
  <c r="AJ216" i="21"/>
  <c r="AC226" i="21"/>
  <c r="AC230" i="21"/>
  <c r="AG232" i="21"/>
  <c r="AJ195" i="22"/>
  <c r="AJ193" i="22"/>
  <c r="AJ189" i="22"/>
  <c r="AJ104" i="22"/>
  <c r="AJ113" i="22"/>
  <c r="AJ148" i="22"/>
  <c r="AJ172" i="21"/>
  <c r="AJ205" i="21"/>
  <c r="AJ207" i="21"/>
  <c r="AJ225" i="21"/>
  <c r="AJ59" i="23"/>
  <c r="AJ51" i="22"/>
  <c r="AJ62" i="22"/>
  <c r="AJ65" i="22"/>
  <c r="AJ66" i="22"/>
  <c r="AJ61" i="23"/>
  <c r="AJ82" i="22"/>
  <c r="AJ109" i="22"/>
  <c r="AJ162" i="22"/>
  <c r="AJ159" i="23"/>
  <c r="AJ167" i="22"/>
  <c r="AJ206" i="23"/>
  <c r="AJ28" i="23"/>
  <c r="AJ38" i="24"/>
  <c r="AD219" i="23"/>
  <c r="AD223" i="23"/>
  <c r="AH225" i="23"/>
  <c r="AJ144" i="24"/>
  <c r="AJ148" i="23"/>
  <c r="AJ151" i="24"/>
  <c r="AJ169" i="24"/>
  <c r="AJ175" i="23"/>
  <c r="AJ189" i="23"/>
  <c r="AJ211" i="24"/>
  <c r="AJ122" i="23"/>
  <c r="AJ57" i="25"/>
  <c r="AJ64" i="25"/>
  <c r="AJ79" i="25"/>
  <c r="AJ81" i="25"/>
  <c r="AJ84" i="24"/>
  <c r="AJ124" i="24"/>
  <c r="AJ136" i="25"/>
  <c r="AJ146" i="25"/>
  <c r="AL70" i="27"/>
  <c r="AL205" i="27"/>
  <c r="AL168" i="28"/>
  <c r="AL189" i="29"/>
  <c r="AF223" i="29"/>
  <c r="AF227" i="29"/>
  <c r="AJ229" i="29"/>
  <c r="AL180" i="29"/>
  <c r="AL114" i="31"/>
  <c r="AL201" i="30"/>
  <c r="AL197" i="30"/>
  <c r="AL142" i="30"/>
  <c r="AL113" i="30"/>
  <c r="AL125" i="33"/>
  <c r="AJ151" i="21"/>
  <c r="AJ122" i="22"/>
  <c r="AJ168" i="23"/>
  <c r="AB219" i="23"/>
  <c r="AB223" i="23"/>
  <c r="AF225" i="23"/>
  <c r="AJ38" i="22"/>
  <c r="AJ98" i="22"/>
  <c r="AJ162" i="23"/>
  <c r="AJ170" i="22"/>
  <c r="AJ166" i="23"/>
  <c r="AJ45" i="23"/>
  <c r="AJ49" i="24"/>
  <c r="AJ63" i="24"/>
  <c r="AJ116" i="24"/>
  <c r="AJ143" i="24"/>
  <c r="AJ168" i="24"/>
  <c r="AJ176" i="24"/>
  <c r="AJ180" i="23"/>
  <c r="AJ191" i="24"/>
  <c r="AJ19" i="25"/>
  <c r="AJ22" i="25"/>
  <c r="AJ31" i="24"/>
  <c r="AJ34" i="25"/>
  <c r="AJ34" i="24"/>
  <c r="AJ47" i="25"/>
  <c r="AJ52" i="25"/>
  <c r="AJ53" i="25"/>
  <c r="AD219" i="24"/>
  <c r="AD223" i="24"/>
  <c r="AH225" i="24"/>
  <c r="AJ86" i="24"/>
  <c r="AJ94" i="25"/>
  <c r="AJ104" i="25"/>
  <c r="AJ106" i="25"/>
  <c r="AJ106" i="24"/>
  <c r="AJ144" i="25"/>
  <c r="AJ175" i="25"/>
  <c r="AJ177" i="25"/>
  <c r="AJ194" i="24"/>
  <c r="AJ212" i="24"/>
  <c r="AD222" i="26"/>
  <c r="AD226" i="26"/>
  <c r="AL96" i="26"/>
  <c r="AL146" i="28"/>
  <c r="AL119" i="28"/>
  <c r="AL102" i="28"/>
  <c r="AL148" i="28"/>
  <c r="AL121" i="28"/>
  <c r="AL142" i="28"/>
  <c r="AL210" i="29"/>
  <c r="AL199" i="29"/>
  <c r="AL190" i="29"/>
  <c r="AL182" i="29"/>
  <c r="AL174" i="29"/>
  <c r="AL143" i="29"/>
  <c r="AL92" i="29"/>
  <c r="AL23" i="29"/>
  <c r="AL135" i="29"/>
  <c r="AL131" i="29"/>
  <c r="AL127" i="29"/>
  <c r="AL104" i="29"/>
  <c r="AL100" i="29"/>
  <c r="AL96" i="29"/>
  <c r="AL55" i="29"/>
  <c r="AL45" i="29"/>
  <c r="AL40" i="29"/>
  <c r="AL36" i="29"/>
  <c r="AL32" i="29"/>
  <c r="AL27" i="29"/>
  <c r="AL22" i="29"/>
  <c r="AL194" i="29"/>
  <c r="AL149" i="29"/>
  <c r="AL126" i="29"/>
  <c r="AE223" i="29"/>
  <c r="AE227" i="29"/>
  <c r="AI229" i="29"/>
  <c r="AL192" i="31"/>
  <c r="AL47" i="30"/>
  <c r="AL181" i="30"/>
  <c r="AL166" i="30"/>
  <c r="AL110" i="30"/>
  <c r="AL124" i="33"/>
  <c r="AL161" i="27"/>
  <c r="AL178" i="27"/>
  <c r="AL27" i="28"/>
  <c r="AL30" i="28"/>
  <c r="AL83" i="28"/>
  <c r="AL98" i="29"/>
  <c r="AL116" i="29"/>
  <c r="AL123" i="29"/>
  <c r="AL118" i="29"/>
  <c r="AL148" i="30"/>
  <c r="AL101" i="32"/>
  <c r="AL133" i="32"/>
  <c r="AL132" i="31"/>
  <c r="AL133" i="31"/>
  <c r="AL138" i="31"/>
  <c r="AL177" i="32"/>
  <c r="AL178" i="31"/>
  <c r="AL184" i="32"/>
  <c r="AL184" i="31"/>
  <c r="AL190" i="31"/>
  <c r="AL191" i="31"/>
  <c r="AL198" i="31"/>
  <c r="AL200" i="31"/>
  <c r="AL201" i="31"/>
  <c r="AL202" i="31"/>
  <c r="AL211" i="32"/>
  <c r="AL212" i="31"/>
  <c r="AL213" i="31"/>
  <c r="AL214" i="31"/>
  <c r="AL223" i="32"/>
  <c r="AL227" i="31"/>
  <c r="AL143" i="32"/>
  <c r="AL148" i="32"/>
  <c r="AL151" i="32"/>
  <c r="AL152" i="32"/>
  <c r="AL98" i="31"/>
  <c r="AJ193" i="21"/>
  <c r="AJ212" i="21"/>
  <c r="AJ22" i="22"/>
  <c r="AJ161" i="22"/>
  <c r="AJ161" i="21"/>
  <c r="AJ163" i="22"/>
  <c r="AJ169" i="22"/>
  <c r="AJ171" i="21"/>
  <c r="AJ179" i="21"/>
  <c r="AJ180" i="21"/>
  <c r="AJ186" i="21"/>
  <c r="AJ191" i="21"/>
  <c r="AJ198" i="21"/>
  <c r="AJ200" i="21"/>
  <c r="AJ201" i="21"/>
  <c r="AJ213" i="21"/>
  <c r="AJ215" i="21"/>
  <c r="AJ218" i="21"/>
  <c r="AJ46" i="23"/>
  <c r="AJ53" i="23"/>
  <c r="AJ54" i="22"/>
  <c r="AJ55" i="23"/>
  <c r="AJ62" i="23"/>
  <c r="AJ69" i="22"/>
  <c r="AJ102" i="22"/>
  <c r="AJ97" i="23"/>
  <c r="AJ115" i="23"/>
  <c r="AJ147" i="23"/>
  <c r="AJ171" i="23"/>
  <c r="AJ188" i="22"/>
  <c r="AJ209" i="23"/>
  <c r="AJ213" i="23"/>
  <c r="AJ220" i="22"/>
  <c r="AJ18" i="24"/>
  <c r="AJ28" i="24"/>
  <c r="AJ66" i="23"/>
  <c r="AJ68" i="23"/>
  <c r="AJ85" i="24"/>
  <c r="AJ91" i="24"/>
  <c r="AJ118" i="23"/>
  <c r="AJ119" i="23"/>
  <c r="AJ161" i="23"/>
  <c r="AJ191" i="23"/>
  <c r="AJ194" i="23"/>
  <c r="AJ204" i="24"/>
  <c r="AJ29" i="24"/>
  <c r="AJ31" i="25"/>
  <c r="AJ60" i="24"/>
  <c r="AJ92" i="25"/>
  <c r="AJ133" i="24"/>
  <c r="AJ134" i="24"/>
  <c r="AJ162" i="25"/>
  <c r="AJ216" i="25"/>
  <c r="AJ198" i="24"/>
  <c r="AJ41" i="25"/>
  <c r="AJ45" i="25"/>
  <c r="AL26" i="26"/>
  <c r="AL161" i="26"/>
  <c r="AL196" i="26"/>
  <c r="AL202" i="26"/>
  <c r="AL208" i="26"/>
  <c r="AF222" i="27"/>
  <c r="AF226" i="27"/>
  <c r="AJ228" i="27"/>
  <c r="AL39" i="27"/>
  <c r="AL40" i="27"/>
  <c r="AL41" i="27"/>
  <c r="AL48" i="27"/>
  <c r="AL49" i="27"/>
  <c r="AL50" i="27"/>
  <c r="AL63" i="27"/>
  <c r="AL73" i="27"/>
  <c r="AL90" i="27"/>
  <c r="AL115" i="27"/>
  <c r="AL153" i="27"/>
  <c r="AL167" i="27"/>
  <c r="AL195" i="27"/>
  <c r="AL196" i="27"/>
  <c r="AL157" i="29"/>
  <c r="AL77" i="29"/>
  <c r="AL61" i="29"/>
  <c r="AL30" i="29"/>
  <c r="AL184" i="29"/>
  <c r="AL178" i="29"/>
  <c r="AL163" i="29"/>
  <c r="AL146" i="29"/>
  <c r="AL130" i="29"/>
  <c r="AL75" i="29"/>
  <c r="AL68" i="29"/>
  <c r="AL60" i="29"/>
  <c r="AL44" i="29"/>
  <c r="AL39" i="29"/>
  <c r="AL35" i="29"/>
  <c r="AL31" i="29"/>
  <c r="AL21" i="29"/>
  <c r="AL171" i="29"/>
  <c r="AL148" i="29"/>
  <c r="AL124" i="29"/>
  <c r="AL90" i="29"/>
  <c r="AL85" i="29"/>
  <c r="AL57" i="29"/>
  <c r="AL53" i="29"/>
  <c r="AL46" i="29"/>
  <c r="AL101" i="29"/>
  <c r="AL164" i="29"/>
  <c r="AL120" i="31"/>
  <c r="AL67" i="30"/>
  <c r="AL71" i="32"/>
  <c r="AL155" i="32"/>
  <c r="AL120" i="32"/>
  <c r="AL19" i="33"/>
  <c r="AL25" i="33"/>
  <c r="AL27" i="33"/>
  <c r="AL34" i="33"/>
  <c r="AL62" i="33"/>
  <c r="AL64" i="33"/>
  <c r="AL67" i="33"/>
  <c r="AL70" i="33"/>
  <c r="AL71" i="33"/>
  <c r="AL73" i="33"/>
  <c r="AL78" i="33"/>
  <c r="AL94" i="33"/>
  <c r="AL96" i="33"/>
  <c r="AL104" i="33"/>
  <c r="AL113" i="33"/>
  <c r="AL135" i="33"/>
  <c r="AL149" i="33"/>
  <c r="AL168" i="33"/>
  <c r="AL181" i="33"/>
  <c r="AL185" i="33"/>
  <c r="AL189" i="33"/>
  <c r="AL209" i="33"/>
  <c r="AL214" i="33"/>
  <c r="AL217" i="33"/>
  <c r="AL220" i="33"/>
  <c r="AL221" i="33"/>
  <c r="AL224" i="33"/>
  <c r="AL228" i="33"/>
  <c r="AL143" i="33"/>
  <c r="AL145" i="34"/>
  <c r="AL55" i="36"/>
  <c r="AL70" i="36"/>
  <c r="AL77" i="37"/>
  <c r="AL186" i="37"/>
  <c r="AL112" i="35"/>
  <c r="AL58" i="35"/>
  <c r="AL172" i="35"/>
  <c r="AL178" i="35"/>
  <c r="AC99" i="38"/>
  <c r="X193" i="38"/>
  <c r="X239" i="38"/>
  <c r="AA246" i="38"/>
  <c r="V193" i="38"/>
  <c r="F193" i="39"/>
  <c r="J193" i="39"/>
  <c r="AD193" i="39"/>
  <c r="AL193" i="39"/>
  <c r="AL71" i="34"/>
  <c r="AL75" i="34"/>
  <c r="AL20" i="37"/>
  <c r="AL181" i="34"/>
  <c r="AL111" i="37"/>
  <c r="AL238" i="37"/>
  <c r="AL122" i="35"/>
  <c r="AL55" i="35"/>
  <c r="AL128" i="35"/>
  <c r="AL194" i="37"/>
  <c r="AL25" i="35"/>
  <c r="AL18" i="34"/>
  <c r="AL214" i="34"/>
  <c r="AL20" i="35"/>
  <c r="AL68" i="35"/>
  <c r="AL144" i="36"/>
  <c r="AL191" i="35"/>
  <c r="AL150" i="34"/>
  <c r="AL35" i="34"/>
  <c r="AL205" i="34"/>
  <c r="AL46" i="35"/>
  <c r="AL59" i="35"/>
  <c r="AL162" i="35"/>
  <c r="AL194" i="35"/>
  <c r="AL204" i="35"/>
  <c r="AL21" i="36"/>
  <c r="AL23" i="36"/>
  <c r="AL50" i="36"/>
  <c r="AL66" i="36"/>
  <c r="AL152" i="36"/>
  <c r="AL212" i="35"/>
  <c r="AL158" i="34"/>
  <c r="AL228" i="35"/>
  <c r="AL28" i="36"/>
  <c r="AL48" i="36"/>
  <c r="AL186" i="35"/>
  <c r="AL185" i="35"/>
  <c r="AL215" i="35"/>
  <c r="AL110" i="35"/>
  <c r="AL88" i="35"/>
  <c r="AL70" i="35"/>
  <c r="AL233" i="35"/>
  <c r="AL67" i="34"/>
  <c r="AL72" i="34"/>
  <c r="AL86" i="34"/>
  <c r="AL220" i="34"/>
  <c r="AL166" i="35"/>
  <c r="AL168" i="35"/>
  <c r="AL182" i="35"/>
  <c r="AL106" i="36"/>
  <c r="AL137" i="36"/>
  <c r="AL149" i="36"/>
  <c r="AL196" i="36"/>
  <c r="AL197" i="36"/>
  <c r="AL199" i="36"/>
  <c r="AL226" i="36"/>
  <c r="AL183" i="37"/>
  <c r="AL145" i="37"/>
  <c r="AL104" i="34"/>
  <c r="AL223" i="34"/>
  <c r="AL202" i="35"/>
  <c r="AL38" i="36"/>
  <c r="AL158" i="36"/>
  <c r="AL177" i="36"/>
  <c r="J16" i="28"/>
  <c r="F223" i="28"/>
  <c r="F224" i="28"/>
  <c r="J225" i="24"/>
  <c r="AD226" i="22"/>
  <c r="AD230" i="22"/>
  <c r="AH232" i="22"/>
  <c r="AD222" i="27"/>
  <c r="AD226" i="27"/>
  <c r="J222" i="27"/>
  <c r="J226" i="27"/>
  <c r="J232" i="27"/>
  <c r="J219" i="25"/>
  <c r="J223" i="25"/>
  <c r="J225" i="25"/>
  <c r="AJ18" i="22"/>
  <c r="AB226" i="22"/>
  <c r="AB230" i="22"/>
  <c r="AJ38" i="23"/>
  <c r="AJ111" i="22"/>
  <c r="AJ110" i="23"/>
  <c r="AJ137" i="24"/>
  <c r="AJ94" i="24"/>
  <c r="AJ114" i="24"/>
  <c r="AL215" i="28"/>
  <c r="AL183" i="28"/>
  <c r="AL128" i="28"/>
  <c r="AL33" i="28"/>
  <c r="AL160" i="28"/>
  <c r="AL58" i="28"/>
  <c r="AL50" i="28"/>
  <c r="AL87" i="29"/>
  <c r="AL117" i="29"/>
  <c r="AL203" i="29"/>
  <c r="AC219" i="23"/>
  <c r="AC223" i="23"/>
  <c r="AG225" i="23"/>
  <c r="J226" i="21"/>
  <c r="J230" i="21"/>
  <c r="AL43" i="35"/>
  <c r="J222" i="26"/>
  <c r="J226" i="26"/>
  <c r="F219" i="24"/>
  <c r="F220" i="24"/>
  <c r="F226" i="24"/>
  <c r="AD226" i="21"/>
  <c r="AD230" i="21"/>
  <c r="AH232" i="21"/>
  <c r="AD224" i="30"/>
  <c r="AD228" i="30"/>
  <c r="AH230" i="30"/>
  <c r="AD229" i="31"/>
  <c r="AD233" i="31"/>
  <c r="AH235" i="31"/>
  <c r="AJ221" i="21"/>
  <c r="AJ143" i="21"/>
  <c r="AJ150" i="21"/>
  <c r="AJ158" i="21"/>
  <c r="AJ149" i="22"/>
  <c r="AJ92" i="22"/>
  <c r="AJ157" i="22"/>
  <c r="AJ177" i="23"/>
  <c r="AJ78" i="23"/>
  <c r="AJ42" i="23"/>
  <c r="AJ71" i="24"/>
  <c r="AJ119" i="24"/>
  <c r="AL168" i="27"/>
  <c r="AL25" i="28"/>
  <c r="AL37" i="28"/>
  <c r="AL90" i="28"/>
  <c r="AL147" i="29"/>
  <c r="AL167" i="29"/>
  <c r="AL217" i="29"/>
  <c r="AL181" i="29"/>
  <c r="AL145" i="32"/>
  <c r="AJ184" i="24"/>
  <c r="AE222" i="26"/>
  <c r="AE226" i="26"/>
  <c r="AI228" i="26"/>
  <c r="F226" i="22"/>
  <c r="F222" i="27"/>
  <c r="F223" i="27"/>
  <c r="F226" i="21"/>
  <c r="F227" i="21"/>
  <c r="F233" i="21"/>
  <c r="AJ57" i="21"/>
  <c r="AE222" i="27"/>
  <c r="AE226" i="27"/>
  <c r="AI228" i="27"/>
  <c r="AJ171" i="22"/>
  <c r="AJ211" i="21"/>
  <c r="AJ219" i="21"/>
  <c r="AJ109" i="23"/>
  <c r="AJ174" i="23"/>
  <c r="AJ181" i="23"/>
  <c r="AJ169" i="23"/>
  <c r="AJ216" i="23"/>
  <c r="AB219" i="25"/>
  <c r="AB223" i="25"/>
  <c r="AC219" i="25"/>
  <c r="AC223" i="25"/>
  <c r="AG225" i="25"/>
  <c r="AJ57" i="24"/>
  <c r="AJ78" i="24"/>
  <c r="AL74" i="27"/>
  <c r="AL104" i="27"/>
  <c r="AL111" i="29"/>
  <c r="AL103" i="29"/>
  <c r="AL99" i="29"/>
  <c r="AL212" i="29"/>
  <c r="AL204" i="29"/>
  <c r="AL197" i="29"/>
  <c r="AL193" i="29"/>
  <c r="AL186" i="29"/>
  <c r="AD223" i="29"/>
  <c r="AD227" i="29"/>
  <c r="AH229" i="29"/>
  <c r="AL51" i="29"/>
  <c r="AL169" i="29"/>
  <c r="AL70" i="29"/>
  <c r="J223" i="29"/>
  <c r="J227" i="29"/>
  <c r="J229" i="29"/>
  <c r="F219" i="25"/>
  <c r="F220" i="25"/>
  <c r="F223" i="29"/>
  <c r="F224" i="29"/>
  <c r="F222" i="26"/>
  <c r="F223" i="26"/>
  <c r="J226" i="22"/>
  <c r="J230" i="22"/>
  <c r="J232" i="22"/>
  <c r="AL18" i="27"/>
  <c r="AL188" i="33"/>
  <c r="AL37" i="33"/>
  <c r="AL195" i="33"/>
  <c r="AL176" i="33"/>
  <c r="AJ214" i="21"/>
  <c r="AL147" i="32"/>
  <c r="AL124" i="32"/>
  <c r="AL104" i="32"/>
  <c r="AL33" i="35"/>
  <c r="AL32" i="35"/>
  <c r="J219" i="23"/>
  <c r="J223" i="23"/>
  <c r="J229" i="23"/>
  <c r="AC219" i="24"/>
  <c r="AC223" i="24"/>
  <c r="AG225" i="24"/>
  <c r="F219" i="23"/>
  <c r="F220" i="23"/>
  <c r="F226" i="23"/>
  <c r="AL205" i="33"/>
  <c r="AL138" i="33"/>
  <c r="AL121" i="33"/>
  <c r="AL151" i="33"/>
  <c r="AL108" i="33"/>
  <c r="AL158" i="33"/>
  <c r="AL154" i="33"/>
  <c r="AL126" i="33"/>
  <c r="AL185" i="34"/>
  <c r="AL121" i="29"/>
  <c r="AL172" i="34"/>
  <c r="AL75" i="35"/>
  <c r="AL77" i="35"/>
  <c r="AL125" i="35"/>
  <c r="AL231" i="36"/>
  <c r="AL233" i="36"/>
  <c r="AL52" i="37"/>
  <c r="AL66" i="37"/>
  <c r="AL68" i="37"/>
  <c r="AL71" i="37"/>
  <c r="AL73" i="37"/>
  <c r="AL91" i="37"/>
  <c r="AL98" i="37"/>
  <c r="AL118" i="37"/>
  <c r="AL119" i="37"/>
  <c r="AL156" i="37"/>
  <c r="AL157" i="37"/>
  <c r="AL159" i="37"/>
  <c r="AL161" i="37"/>
  <c r="AL177" i="37"/>
  <c r="AL179" i="37"/>
  <c r="AL180" i="37"/>
  <c r="AL99" i="33"/>
  <c r="AL157" i="33"/>
  <c r="AL106" i="33"/>
  <c r="AL85" i="33"/>
  <c r="AL53" i="33"/>
  <c r="AL50" i="26"/>
  <c r="AL93" i="30"/>
  <c r="AL25" i="37"/>
  <c r="AL39" i="37"/>
  <c r="AL51" i="37"/>
  <c r="AL74" i="37"/>
  <c r="AL101" i="37"/>
  <c r="AL116" i="37"/>
  <c r="AL119" i="36"/>
  <c r="AL154" i="37"/>
  <c r="AL225" i="37"/>
  <c r="AL99" i="26"/>
  <c r="AL158" i="30"/>
  <c r="AL26" i="34"/>
  <c r="AL46" i="34"/>
  <c r="AL69" i="34"/>
  <c r="AL73" i="34"/>
  <c r="AL90" i="34"/>
  <c r="AL98" i="34"/>
  <c r="AL196" i="34"/>
  <c r="AL28" i="35"/>
  <c r="AL99" i="35"/>
  <c r="AL117" i="35"/>
  <c r="AL120" i="35"/>
  <c r="AL136" i="35"/>
  <c r="AL140" i="35"/>
  <c r="AL144" i="35"/>
  <c r="AL163" i="35"/>
  <c r="AL195" i="35"/>
  <c r="AL210" i="34"/>
  <c r="AL27" i="36"/>
  <c r="AL127" i="36"/>
  <c r="AL141" i="36"/>
  <c r="AL165" i="36"/>
  <c r="AL191" i="36"/>
  <c r="AL31" i="37"/>
  <c r="AL48" i="37"/>
  <c r="AL50" i="37"/>
  <c r="AL54" i="37"/>
  <c r="AL57" i="37"/>
  <c r="AL92" i="37"/>
  <c r="AL106" i="37"/>
  <c r="AL139" i="37"/>
  <c r="AL149" i="37"/>
  <c r="AL165" i="37"/>
  <c r="AL204" i="37"/>
  <c r="AL184" i="26"/>
  <c r="AL198" i="26"/>
  <c r="AL44" i="27"/>
  <c r="AL23" i="30"/>
  <c r="AL132" i="34"/>
  <c r="AL144" i="34"/>
  <c r="AL184" i="34"/>
  <c r="AL227" i="34"/>
  <c r="AL17" i="35"/>
  <c r="AL48" i="35"/>
  <c r="AL97" i="35"/>
  <c r="AL26" i="36"/>
  <c r="AL160" i="36"/>
  <c r="AL173" i="36"/>
  <c r="AL190" i="36"/>
  <c r="AL201" i="37"/>
  <c r="AL24" i="37"/>
  <c r="AL49" i="37"/>
  <c r="AL61" i="37"/>
  <c r="AL75" i="37"/>
  <c r="AL96" i="37"/>
  <c r="AL128" i="37"/>
  <c r="AL155" i="37"/>
  <c r="AL211" i="37"/>
  <c r="AL212" i="37"/>
  <c r="AL113" i="35"/>
  <c r="AL77" i="34"/>
  <c r="AL40" i="35"/>
  <c r="AL123" i="35"/>
  <c r="AL225" i="35"/>
  <c r="AL230" i="35"/>
  <c r="AL91" i="36"/>
  <c r="AL107" i="36"/>
  <c r="AL114" i="36"/>
  <c r="AL156" i="36"/>
  <c r="AL112" i="37"/>
  <c r="AL171" i="37"/>
  <c r="AL192" i="37"/>
  <c r="AL130" i="35"/>
  <c r="AL19" i="34"/>
  <c r="AL30" i="34"/>
  <c r="AL40" i="34"/>
  <c r="AL47" i="34"/>
  <c r="AL68" i="34"/>
  <c r="AL74" i="34"/>
  <c r="AL76" i="34"/>
  <c r="AL89" i="34"/>
  <c r="AL97" i="34"/>
  <c r="AL123" i="34"/>
  <c r="AL170" i="34"/>
  <c r="AL177" i="34"/>
  <c r="AL182" i="34"/>
  <c r="AL228" i="34"/>
  <c r="AL18" i="35"/>
  <c r="AL39" i="35"/>
  <c r="AL79" i="35"/>
  <c r="AL81" i="35"/>
  <c r="AL138" i="35"/>
  <c r="AL142" i="35"/>
  <c r="AL175" i="35"/>
  <c r="AL180" i="35"/>
  <c r="AL208" i="35"/>
  <c r="AL218" i="35"/>
  <c r="AL229" i="35"/>
  <c r="AL203" i="35"/>
  <c r="AL51" i="36"/>
  <c r="AL22" i="36"/>
  <c r="AL43" i="36"/>
  <c r="AL57" i="36"/>
  <c r="AL83" i="36"/>
  <c r="AL105" i="36"/>
  <c r="AL109" i="36"/>
  <c r="AL111" i="36"/>
  <c r="AL124" i="36"/>
  <c r="AL155" i="36"/>
  <c r="AL172" i="36"/>
  <c r="AL184" i="36"/>
  <c r="AL201" i="36"/>
  <c r="AL205" i="36"/>
  <c r="AL217" i="36"/>
  <c r="AL236" i="36"/>
  <c r="AL37" i="37"/>
  <c r="AL40" i="37"/>
  <c r="AL56" i="37"/>
  <c r="AL60" i="37"/>
  <c r="AL104" i="37"/>
  <c r="AL108" i="37"/>
  <c r="AL117" i="37"/>
  <c r="AL203" i="37"/>
  <c r="AL207" i="37"/>
  <c r="AL45" i="34"/>
  <c r="AL108" i="34"/>
  <c r="AL109" i="34"/>
  <c r="AL139" i="34"/>
  <c r="AL164" i="34"/>
  <c r="AL190" i="34"/>
  <c r="AL129" i="35"/>
  <c r="AL226" i="35"/>
  <c r="AL231" i="35"/>
  <c r="AL35" i="36"/>
  <c r="AL95" i="36"/>
  <c r="AL120" i="36"/>
  <c r="AL195" i="36"/>
  <c r="AL41" i="37"/>
  <c r="AL151" i="37"/>
  <c r="AL167" i="37"/>
  <c r="AL173" i="37"/>
  <c r="AL114" i="35"/>
  <c r="AL126" i="35"/>
  <c r="AL108" i="35"/>
  <c r="AL164" i="35"/>
  <c r="AL30" i="35"/>
  <c r="AL147" i="35"/>
  <c r="AL49" i="34"/>
  <c r="AL52" i="34"/>
  <c r="AL60" i="34"/>
  <c r="AL78" i="34"/>
  <c r="AL81" i="34"/>
  <c r="AL84" i="34"/>
  <c r="AL88" i="34"/>
  <c r="AL99" i="34"/>
  <c r="AL110" i="34"/>
  <c r="AL146" i="34"/>
  <c r="AL169" i="34"/>
  <c r="AL176" i="34"/>
  <c r="AL179" i="34"/>
  <c r="AL197" i="34"/>
  <c r="AL216" i="34"/>
  <c r="AL235" i="34"/>
  <c r="AL21" i="35"/>
  <c r="AL84" i="35"/>
  <c r="AL91" i="35"/>
  <c r="AL235" i="35"/>
  <c r="AL32" i="36"/>
  <c r="AL73" i="36"/>
  <c r="AL98" i="36"/>
  <c r="AL99" i="36"/>
  <c r="AL220" i="36"/>
  <c r="AL227" i="36"/>
  <c r="AL202" i="36"/>
  <c r="AL18" i="37"/>
  <c r="AL21" i="37"/>
  <c r="AL23" i="37"/>
  <c r="AL26" i="37"/>
  <c r="AL33" i="37"/>
  <c r="AL43" i="37"/>
  <c r="AL69" i="37"/>
  <c r="AL82" i="37"/>
  <c r="AL114" i="37"/>
  <c r="AL124" i="37"/>
  <c r="AL127" i="37"/>
  <c r="AL150" i="37"/>
  <c r="AL184" i="37"/>
  <c r="AL219" i="37"/>
  <c r="AL41" i="39"/>
  <c r="F188" i="39"/>
  <c r="J188" i="39"/>
  <c r="AF188" i="39"/>
  <c r="AL188" i="39"/>
  <c r="F187" i="39"/>
  <c r="J187" i="39"/>
  <c r="AE187" i="39"/>
  <c r="AL187" i="39"/>
  <c r="J238" i="39"/>
  <c r="AF230" i="33"/>
  <c r="AF234" i="33"/>
  <c r="AJ236" i="33"/>
  <c r="AL41" i="33"/>
  <c r="AC56" i="14"/>
  <c r="AC256" i="14"/>
  <c r="AC260" i="14"/>
  <c r="AG262" i="14"/>
  <c r="J256" i="14"/>
  <c r="J260" i="14"/>
  <c r="AC18" i="18"/>
  <c r="AC221" i="18"/>
  <c r="AC225" i="18"/>
  <c r="AG227" i="18"/>
  <c r="J221" i="18"/>
  <c r="J225" i="18"/>
  <c r="AB225" i="20"/>
  <c r="AB229" i="20"/>
  <c r="AJ17" i="20"/>
  <c r="AB271" i="5"/>
  <c r="AB275" i="5"/>
  <c r="AJ17" i="24"/>
  <c r="AB219" i="24"/>
  <c r="AB223" i="24"/>
  <c r="AD22" i="32"/>
  <c r="J230" i="32"/>
  <c r="J234" i="32"/>
  <c r="AE230" i="33"/>
  <c r="AE234" i="33"/>
  <c r="AI236" i="33"/>
  <c r="AL52" i="33"/>
  <c r="J252" i="15"/>
  <c r="J256" i="15"/>
  <c r="AC18" i="15"/>
  <c r="AC252" i="15"/>
  <c r="AC256" i="15"/>
  <c r="AG258" i="15"/>
  <c r="AJ179" i="20"/>
  <c r="AD225" i="20"/>
  <c r="AD229" i="20"/>
  <c r="AH231" i="20"/>
  <c r="AF227" i="18"/>
  <c r="AC258" i="4"/>
  <c r="AC261" i="4"/>
  <c r="AC265" i="4"/>
  <c r="AJ19" i="20"/>
  <c r="AC225" i="20"/>
  <c r="AC229" i="20"/>
  <c r="AG231" i="20"/>
  <c r="J230" i="33"/>
  <c r="J234" i="33"/>
  <c r="J240" i="33"/>
  <c r="AB256" i="14"/>
  <c r="AB260" i="14"/>
  <c r="AB222" i="19"/>
  <c r="AB226" i="19"/>
  <c r="AB252" i="15"/>
  <c r="AB256" i="15"/>
  <c r="AB226" i="21"/>
  <c r="AB230" i="21"/>
  <c r="AE230" i="32"/>
  <c r="AE234" i="32"/>
  <c r="AI236" i="32"/>
  <c r="F252" i="15"/>
  <c r="F253" i="15"/>
  <c r="F230" i="32"/>
  <c r="F231" i="32"/>
  <c r="F230" i="33"/>
  <c r="F231" i="33"/>
  <c r="AL41" i="32"/>
  <c r="J225" i="20"/>
  <c r="J229" i="20"/>
  <c r="J254" i="10"/>
  <c r="J258" i="10"/>
  <c r="J283" i="9"/>
  <c r="J287" i="9"/>
  <c r="J289" i="9"/>
  <c r="F225" i="20"/>
  <c r="F226" i="20"/>
  <c r="F232" i="20"/>
  <c r="I19" i="5"/>
  <c r="AD56" i="19"/>
  <c r="AD17" i="33"/>
  <c r="AJ58" i="25"/>
  <c r="AL50" i="29"/>
  <c r="AL105" i="34"/>
  <c r="AL116" i="34"/>
  <c r="AL231" i="34"/>
  <c r="AL127" i="35"/>
  <c r="AL225" i="36"/>
  <c r="AL72" i="37"/>
  <c r="AL93" i="37"/>
  <c r="AL181" i="37"/>
  <c r="AL96" i="38"/>
  <c r="AL178" i="34"/>
  <c r="AL215" i="34"/>
  <c r="AL134" i="34"/>
  <c r="AL217" i="34"/>
  <c r="AL46" i="36"/>
  <c r="AL175" i="36"/>
  <c r="AL44" i="37"/>
  <c r="AL201" i="35"/>
  <c r="AL118" i="36"/>
  <c r="AL133" i="36"/>
  <c r="AL126" i="34"/>
  <c r="AL162" i="34"/>
  <c r="AL207" i="34"/>
  <c r="AL44" i="34"/>
  <c r="AL44" i="36"/>
  <c r="Z244" i="39"/>
  <c r="Z253" i="39"/>
  <c r="AA246" i="39"/>
  <c r="AA253" i="39"/>
  <c r="AC30" i="38"/>
  <c r="AC193" i="38"/>
  <c r="AC168" i="38"/>
  <c r="AI168" i="38"/>
  <c r="AL168" i="38"/>
  <c r="AL174" i="35"/>
  <c r="AL109" i="35"/>
  <c r="AL210" i="35"/>
  <c r="AL177" i="35"/>
  <c r="AL83" i="35"/>
  <c r="AL44" i="35"/>
  <c r="AL27" i="35"/>
  <c r="AL22" i="34"/>
  <c r="AL29" i="34"/>
  <c r="AL31" i="34"/>
  <c r="AL38" i="34"/>
  <c r="AL51" i="34"/>
  <c r="AL56" i="34"/>
  <c r="AL80" i="34"/>
  <c r="AL83" i="34"/>
  <c r="AL87" i="34"/>
  <c r="AL111" i="34"/>
  <c r="AL113" i="34"/>
  <c r="AL131" i="34"/>
  <c r="AL135" i="34"/>
  <c r="AL143" i="34"/>
  <c r="AL157" i="34"/>
  <c r="AL159" i="34"/>
  <c r="AL166" i="34"/>
  <c r="AL180" i="34"/>
  <c r="AL187" i="34"/>
  <c r="AL192" i="34"/>
  <c r="AL225" i="34"/>
  <c r="AL230" i="34"/>
  <c r="AL92" i="34"/>
  <c r="AL24" i="35"/>
  <c r="AL26" i="35"/>
  <c r="AL35" i="35"/>
  <c r="AL56" i="35"/>
  <c r="AL65" i="35"/>
  <c r="AL69" i="35"/>
  <c r="AL80" i="35"/>
  <c r="AL87" i="35"/>
  <c r="AL96" i="35"/>
  <c r="AL102" i="35"/>
  <c r="AL105" i="35"/>
  <c r="AL121" i="35"/>
  <c r="AL133" i="35"/>
  <c r="AL137" i="35"/>
  <c r="AL143" i="35"/>
  <c r="AL153" i="35"/>
  <c r="AL165" i="35"/>
  <c r="AL171" i="35"/>
  <c r="AL181" i="35"/>
  <c r="AL193" i="35"/>
  <c r="AL198" i="35"/>
  <c r="AL221" i="35"/>
  <c r="AL222" i="34"/>
  <c r="AL232" i="35"/>
  <c r="AL185" i="36"/>
  <c r="AL17" i="36"/>
  <c r="AL19" i="36"/>
  <c r="AL30" i="36"/>
  <c r="AL59" i="36"/>
  <c r="AL60" i="36"/>
  <c r="AL74" i="36"/>
  <c r="AL80" i="36"/>
  <c r="AL92" i="36"/>
  <c r="AL115" i="36"/>
  <c r="AL117" i="36"/>
  <c r="AL122" i="36"/>
  <c r="AL154" i="36"/>
  <c r="AL167" i="36"/>
  <c r="AL180" i="36"/>
  <c r="AL206" i="36"/>
  <c r="AL223" i="36"/>
  <c r="AL224" i="36"/>
  <c r="AL224" i="35"/>
  <c r="AL228" i="36"/>
  <c r="AL229" i="36"/>
  <c r="AL204" i="36"/>
  <c r="AL34" i="37"/>
  <c r="AL42" i="37"/>
  <c r="AL45" i="37"/>
  <c r="AL47" i="37"/>
  <c r="AL53" i="37"/>
  <c r="AL59" i="37"/>
  <c r="AL70" i="37"/>
  <c r="AL76" i="37"/>
  <c r="AL90" i="37"/>
  <c r="AL94" i="37"/>
  <c r="AL95" i="37"/>
  <c r="AL97" i="37"/>
  <c r="AL100" i="37"/>
  <c r="AL110" i="37"/>
  <c r="AL120" i="37"/>
  <c r="AL121" i="37"/>
  <c r="AL123" i="37"/>
  <c r="AL129" i="37"/>
  <c r="AL142" i="37"/>
  <c r="AL144" i="37"/>
  <c r="AL160" i="37"/>
  <c r="AL176" i="37"/>
  <c r="AL198" i="37"/>
  <c r="AL202" i="37"/>
  <c r="AL222" i="37"/>
  <c r="AL226" i="37"/>
  <c r="AL227" i="37"/>
  <c r="AL216" i="36"/>
  <c r="AL24" i="34"/>
  <c r="AL34" i="34"/>
  <c r="AL48" i="34"/>
  <c r="AL57" i="34"/>
  <c r="AL62" i="34"/>
  <c r="AL64" i="34"/>
  <c r="AL103" i="34"/>
  <c r="AL112" i="34"/>
  <c r="AL117" i="34"/>
  <c r="AL125" i="34"/>
  <c r="AL127" i="34"/>
  <c r="AL137" i="34"/>
  <c r="AL142" i="34"/>
  <c r="AL152" i="34"/>
  <c r="AL62" i="35"/>
  <c r="AL71" i="35"/>
  <c r="AL86" i="35"/>
  <c r="AL90" i="35"/>
  <c r="AL93" i="35"/>
  <c r="AL98" i="35"/>
  <c r="AL103" i="35"/>
  <c r="AL104" i="35"/>
  <c r="AL151" i="35"/>
  <c r="AL170" i="35"/>
  <c r="AL184" i="35"/>
  <c r="AL199" i="35"/>
  <c r="AL216" i="35"/>
  <c r="AL25" i="36"/>
  <c r="AL40" i="36"/>
  <c r="AL64" i="36"/>
  <c r="AL68" i="36"/>
  <c r="AL79" i="36"/>
  <c r="AL96" i="36"/>
  <c r="AL131" i="36"/>
  <c r="AL139" i="36"/>
  <c r="AL148" i="36"/>
  <c r="AL159" i="36"/>
  <c r="AL163" i="36"/>
  <c r="AL171" i="36"/>
  <c r="AL203" i="36"/>
  <c r="AL205" i="35"/>
  <c r="AL215" i="36"/>
  <c r="AL222" i="36"/>
  <c r="AL213" i="36"/>
  <c r="AL55" i="37"/>
  <c r="AL99" i="37"/>
  <c r="AL105" i="37"/>
  <c r="AL107" i="37"/>
  <c r="AL140" i="37"/>
  <c r="AL164" i="37"/>
  <c r="AL191" i="37"/>
  <c r="AL189" i="36"/>
  <c r="AL230" i="37"/>
  <c r="AL148" i="34"/>
  <c r="AL189" i="35"/>
  <c r="AL61" i="35"/>
  <c r="AL37" i="35"/>
  <c r="AL36" i="35"/>
  <c r="AL47" i="35"/>
  <c r="AL34" i="35"/>
  <c r="AL31" i="35"/>
  <c r="AL148" i="35"/>
  <c r="AL115" i="35"/>
  <c r="AL38" i="35"/>
  <c r="AL186" i="34"/>
  <c r="AL21" i="34"/>
  <c r="AL23" i="34"/>
  <c r="AL36" i="34"/>
  <c r="AL39" i="34"/>
  <c r="AL50" i="34"/>
  <c r="AL61" i="34"/>
  <c r="AL63" i="34"/>
  <c r="AL65" i="34"/>
  <c r="AL70" i="34"/>
  <c r="AL82" i="34"/>
  <c r="AL85" i="34"/>
  <c r="AL119" i="34"/>
  <c r="AL124" i="34"/>
  <c r="AL141" i="34"/>
  <c r="AL151" i="34"/>
  <c r="AL163" i="34"/>
  <c r="AL165" i="34"/>
  <c r="AL168" i="34"/>
  <c r="AL171" i="34"/>
  <c r="AL183" i="34"/>
  <c r="AL193" i="34"/>
  <c r="AL199" i="34"/>
  <c r="AL204" i="34"/>
  <c r="AL232" i="34"/>
  <c r="AL22" i="35"/>
  <c r="AL49" i="35"/>
  <c r="AL51" i="35"/>
  <c r="AL53" i="35"/>
  <c r="AL55" i="34"/>
  <c r="AL67" i="35"/>
  <c r="AL124" i="35"/>
  <c r="AL130" i="34"/>
  <c r="AL138" i="34"/>
  <c r="AL140" i="34"/>
  <c r="AL157" i="35"/>
  <c r="AL161" i="35"/>
  <c r="AL176" i="35"/>
  <c r="AL179" i="35"/>
  <c r="AL183" i="35"/>
  <c r="AL196" i="35"/>
  <c r="AL200" i="35"/>
  <c r="AL214" i="35"/>
  <c r="AL227" i="35"/>
  <c r="AL53" i="36"/>
  <c r="AL20" i="36"/>
  <c r="AL24" i="36"/>
  <c r="AL36" i="36"/>
  <c r="AL49" i="36"/>
  <c r="AL67" i="36"/>
  <c r="AL71" i="36"/>
  <c r="AL77" i="36"/>
  <c r="AL110" i="36"/>
  <c r="AL128" i="36"/>
  <c r="AL142" i="36"/>
  <c r="AL150" i="36"/>
  <c r="AL151" i="36"/>
  <c r="AL162" i="36"/>
  <c r="AL188" i="36"/>
  <c r="AL192" i="36"/>
  <c r="AL193" i="36"/>
  <c r="AL194" i="36"/>
  <c r="AL208" i="36"/>
  <c r="AL214" i="36"/>
  <c r="AL221" i="36"/>
  <c r="AL28" i="37"/>
  <c r="AL35" i="37"/>
  <c r="AL46" i="37"/>
  <c r="AL52" i="36"/>
  <c r="AL58" i="37"/>
  <c r="AL64" i="37"/>
  <c r="AL67" i="37"/>
  <c r="AL79" i="37"/>
  <c r="AL86" i="37"/>
  <c r="AL89" i="37"/>
  <c r="AL102" i="37"/>
  <c r="AL115" i="37"/>
  <c r="AL136" i="36"/>
  <c r="AL141" i="37"/>
  <c r="AL143" i="37"/>
  <c r="AL153" i="37"/>
  <c r="AL217" i="37"/>
  <c r="AL231" i="37"/>
  <c r="AL233" i="37"/>
  <c r="AC61" i="38"/>
  <c r="AL102" i="38"/>
  <c r="AL220" i="38"/>
  <c r="AL79" i="38"/>
  <c r="AL145" i="38"/>
  <c r="AL126" i="38"/>
  <c r="AL182" i="38"/>
  <c r="AL43" i="38"/>
  <c r="AL186" i="38"/>
  <c r="AL212" i="38"/>
  <c r="AL87" i="38"/>
  <c r="AL211" i="38"/>
  <c r="AL21" i="38"/>
  <c r="AL24" i="38"/>
  <c r="AL35" i="38"/>
  <c r="AL45" i="38"/>
  <c r="AL62" i="38"/>
  <c r="AL94" i="38"/>
  <c r="AL157" i="38"/>
  <c r="AL169" i="38"/>
  <c r="AL71" i="38"/>
  <c r="AL34" i="38"/>
  <c r="AL59" i="38"/>
  <c r="AL65" i="38"/>
  <c r="AL93" i="38"/>
  <c r="AL103" i="38"/>
  <c r="AL130" i="38"/>
  <c r="AL135" i="38"/>
  <c r="AL144" i="38"/>
  <c r="AL160" i="38"/>
  <c r="AL185" i="38"/>
  <c r="AH193" i="38"/>
  <c r="AL193" i="38"/>
  <c r="AL39" i="38"/>
  <c r="AL120" i="38"/>
  <c r="AL44" i="38"/>
  <c r="AL195" i="38"/>
  <c r="AL28" i="34"/>
  <c r="AL106" i="34"/>
  <c r="AL118" i="34"/>
  <c r="AL218" i="34"/>
  <c r="AL229" i="34"/>
  <c r="AL121" i="36"/>
  <c r="AL174" i="36"/>
  <c r="AL179" i="36"/>
  <c r="AL76" i="38"/>
  <c r="AL117" i="38"/>
  <c r="AL161" i="38"/>
  <c r="AL207" i="38"/>
  <c r="AL115" i="34"/>
  <c r="AL54" i="38"/>
  <c r="AL64" i="38"/>
  <c r="AL175" i="38"/>
  <c r="AL231" i="38"/>
  <c r="AL27" i="34"/>
  <c r="AL42" i="34"/>
  <c r="AL78" i="35"/>
  <c r="AL92" i="35"/>
  <c r="AL139" i="35"/>
  <c r="AL223" i="35"/>
  <c r="AL209" i="35"/>
  <c r="AL82" i="38"/>
  <c r="AL85" i="38"/>
  <c r="AL91" i="38"/>
  <c r="AL105" i="38"/>
  <c r="AL143" i="38"/>
  <c r="AL153" i="38"/>
  <c r="AL233" i="38"/>
  <c r="AL167" i="34"/>
  <c r="AL64" i="35"/>
  <c r="AL37" i="36"/>
  <c r="AL63" i="36"/>
  <c r="AL82" i="36"/>
  <c r="AL85" i="36"/>
  <c r="AL85" i="35"/>
  <c r="AL178" i="36"/>
  <c r="AL45" i="36"/>
  <c r="AL62" i="36"/>
  <c r="AL127" i="38"/>
  <c r="AL222" i="38"/>
  <c r="AL132" i="38"/>
  <c r="AL147" i="38"/>
  <c r="AL167" i="35"/>
  <c r="AL111" i="35"/>
  <c r="AL219" i="35"/>
  <c r="AL63" i="35"/>
  <c r="AL20" i="34"/>
  <c r="AL173" i="34"/>
  <c r="AL202" i="34"/>
  <c r="AL209" i="34"/>
  <c r="AL45" i="35"/>
  <c r="AL95" i="35"/>
  <c r="AL131" i="35"/>
  <c r="AL149" i="34"/>
  <c r="AL152" i="35"/>
  <c r="AL155" i="35"/>
  <c r="AL213" i="34"/>
  <c r="AL33" i="36"/>
  <c r="AL34" i="36"/>
  <c r="AL39" i="36"/>
  <c r="AL72" i="36"/>
  <c r="AL87" i="36"/>
  <c r="AL89" i="36"/>
  <c r="AL102" i="36"/>
  <c r="AL146" i="36"/>
  <c r="AL176" i="36"/>
  <c r="AL182" i="36"/>
  <c r="AL183" i="36"/>
  <c r="AL211" i="36"/>
  <c r="AL207" i="36"/>
  <c r="AL199" i="38"/>
  <c r="AL57" i="38"/>
  <c r="AL66" i="38"/>
  <c r="AL111" i="38"/>
  <c r="AL172" i="38"/>
  <c r="AL234" i="38"/>
  <c r="AL224" i="34"/>
  <c r="AL173" i="35"/>
  <c r="AL43" i="34"/>
  <c r="AL69" i="36"/>
  <c r="AL222" i="35"/>
  <c r="AL147" i="34"/>
  <c r="AL32" i="34"/>
  <c r="AL59" i="34"/>
  <c r="AL66" i="34"/>
  <c r="AL79" i="34"/>
  <c r="AL120" i="34"/>
  <c r="AL136" i="34"/>
  <c r="AL198" i="34"/>
  <c r="AL200" i="34"/>
  <c r="AL211" i="34"/>
  <c r="AL54" i="35"/>
  <c r="AL60" i="35"/>
  <c r="AL74" i="35"/>
  <c r="AL89" i="35"/>
  <c r="AL118" i="35"/>
  <c r="AL154" i="34"/>
  <c r="AL160" i="35"/>
  <c r="AL206" i="35"/>
  <c r="AL206" i="34"/>
  <c r="AL42" i="36"/>
  <c r="AL42" i="35"/>
  <c r="AL65" i="36"/>
  <c r="AL75" i="36"/>
  <c r="AL88" i="36"/>
  <c r="AL97" i="36"/>
  <c r="AL108" i="36"/>
  <c r="AL112" i="36"/>
  <c r="AL140" i="36"/>
  <c r="AL153" i="36"/>
  <c r="AL164" i="36"/>
  <c r="AL188" i="35"/>
  <c r="AL219" i="36"/>
  <c r="AL78" i="37"/>
  <c r="AL78" i="36"/>
  <c r="AL109" i="37"/>
  <c r="AL113" i="37"/>
  <c r="AL116" i="36"/>
  <c r="AL136" i="37"/>
  <c r="AL146" i="37"/>
  <c r="AL168" i="37"/>
  <c r="AL170" i="37"/>
  <c r="AL172" i="37"/>
  <c r="AL174" i="37"/>
  <c r="AL193" i="37"/>
  <c r="AL205" i="37"/>
  <c r="AL206" i="37"/>
  <c r="AL209" i="36"/>
  <c r="AL234" i="37"/>
  <c r="AL234" i="36"/>
  <c r="AL132" i="37"/>
  <c r="AL135" i="37"/>
  <c r="AL175" i="37"/>
  <c r="AL25" i="38"/>
  <c r="AL55" i="38"/>
  <c r="AL61" i="38"/>
  <c r="AL67" i="38"/>
  <c r="AL69" i="38"/>
  <c r="AL84" i="38"/>
  <c r="AL106" i="38"/>
  <c r="AL122" i="38"/>
  <c r="AL125" i="38"/>
  <c r="AL150" i="38"/>
  <c r="AL173" i="38"/>
  <c r="AL189" i="38"/>
  <c r="AL190" i="38"/>
  <c r="AL213" i="38"/>
  <c r="AL235" i="38"/>
  <c r="AL18" i="38"/>
  <c r="AL88" i="38"/>
  <c r="AL119" i="38"/>
  <c r="AL146" i="38"/>
  <c r="AL203" i="38"/>
  <c r="AL189" i="34"/>
  <c r="AL226" i="34"/>
  <c r="AL66" i="35"/>
  <c r="AL73" i="35"/>
  <c r="AL116" i="35"/>
  <c r="AL141" i="35"/>
  <c r="AL154" i="35"/>
  <c r="AL159" i="35"/>
  <c r="AL191" i="34"/>
  <c r="AL195" i="34"/>
  <c r="AL133" i="34"/>
  <c r="AL181" i="36"/>
  <c r="AL56" i="36"/>
  <c r="AL29" i="35"/>
  <c r="AL90" i="36"/>
  <c r="AL94" i="36"/>
  <c r="AL94" i="35"/>
  <c r="AL104" i="36"/>
  <c r="AL123" i="36"/>
  <c r="AL126" i="36"/>
  <c r="AL143" i="36"/>
  <c r="AL147" i="36"/>
  <c r="AL149" i="35"/>
  <c r="AL157" i="36"/>
  <c r="AL161" i="36"/>
  <c r="AL166" i="36"/>
  <c r="AL187" i="36"/>
  <c r="AL27" i="37"/>
  <c r="AL30" i="37"/>
  <c r="AL84" i="37"/>
  <c r="AL84" i="36"/>
  <c r="AL88" i="37"/>
  <c r="AL125" i="37"/>
  <c r="AL130" i="37"/>
  <c r="AL135" i="36"/>
  <c r="AL178" i="37"/>
  <c r="AL215" i="37"/>
  <c r="AL237" i="37"/>
  <c r="AL134" i="36"/>
  <c r="AL27" i="38"/>
  <c r="AL48" i="38"/>
  <c r="AL63" i="38"/>
  <c r="AL68" i="38"/>
  <c r="AL200" i="38"/>
  <c r="AL188" i="34"/>
  <c r="AL194" i="34"/>
  <c r="AL23" i="35"/>
  <c r="AL50" i="35"/>
  <c r="AL57" i="35"/>
  <c r="AL72" i="35"/>
  <c r="AL76" i="35"/>
  <c r="AL82" i="35"/>
  <c r="AL95" i="34"/>
  <c r="AL106" i="35"/>
  <c r="AL107" i="35"/>
  <c r="AL119" i="35"/>
  <c r="AL135" i="35"/>
  <c r="AL158" i="35"/>
  <c r="AL197" i="35"/>
  <c r="AL168" i="36"/>
  <c r="AL31" i="36"/>
  <c r="AL76" i="36"/>
  <c r="AL125" i="36"/>
  <c r="AL138" i="36"/>
  <c r="AL170" i="36"/>
  <c r="AL190" i="35"/>
  <c r="AL19" i="37"/>
  <c r="AL103" i="37"/>
  <c r="AL22" i="37"/>
  <c r="AL29" i="37"/>
  <c r="AL32" i="37"/>
  <c r="AL36" i="37"/>
  <c r="AL38" i="37"/>
  <c r="AL63" i="37"/>
  <c r="AL65" i="37"/>
  <c r="AL87" i="37"/>
  <c r="AL122" i="37"/>
  <c r="AL137" i="37"/>
  <c r="AL148" i="37"/>
  <c r="AL162" i="37"/>
  <c r="AL189" i="37"/>
  <c r="AL199" i="37"/>
  <c r="AL208" i="37"/>
  <c r="AL214" i="37"/>
  <c r="AL221" i="37"/>
  <c r="AL228" i="37"/>
  <c r="AL235" i="37"/>
  <c r="AL130" i="36"/>
  <c r="AL134" i="37"/>
  <c r="AL204" i="38"/>
  <c r="AL183" i="38"/>
  <c r="AL38" i="38"/>
  <c r="AL42" i="38"/>
  <c r="AL49" i="38"/>
  <c r="AL70" i="38"/>
  <c r="AL73" i="38"/>
  <c r="AL86" i="38"/>
  <c r="AL90" i="38"/>
  <c r="AL99" i="38"/>
  <c r="AL116" i="38"/>
  <c r="AL131" i="38"/>
  <c r="AL142" i="38"/>
  <c r="AL166" i="38"/>
  <c r="AL167" i="38"/>
  <c r="AL181" i="38"/>
  <c r="AL184" i="38"/>
  <c r="AL188" i="38"/>
  <c r="AL197" i="38"/>
  <c r="AL198" i="38"/>
  <c r="AL224" i="38"/>
  <c r="AL226" i="38"/>
  <c r="AL31" i="38"/>
  <c r="AL50" i="38"/>
  <c r="AL100" i="38"/>
  <c r="AL138" i="38"/>
  <c r="AL165" i="38"/>
  <c r="AL176" i="38"/>
  <c r="AL227" i="38"/>
  <c r="AL94" i="34"/>
  <c r="AF236" i="34"/>
  <c r="AF240" i="34"/>
  <c r="AJ242" i="34"/>
  <c r="AL101" i="34"/>
  <c r="AF236" i="35"/>
  <c r="AF240" i="35"/>
  <c r="AJ242" i="35"/>
  <c r="AL186" i="36"/>
  <c r="AF237" i="36"/>
  <c r="AF241" i="36"/>
  <c r="AJ243" i="36"/>
  <c r="F236" i="35"/>
  <c r="F237" i="35"/>
  <c r="J16" i="35"/>
  <c r="AL58" i="34"/>
  <c r="AL233" i="34"/>
  <c r="AL101" i="35"/>
  <c r="AL107" i="34"/>
  <c r="AL155" i="34"/>
  <c r="AL53" i="34"/>
  <c r="AL156" i="34"/>
  <c r="AL234" i="34"/>
  <c r="AL19" i="35"/>
  <c r="AL47" i="36"/>
  <c r="AL145" i="35"/>
  <c r="AL145" i="36"/>
  <c r="AL235" i="36"/>
  <c r="AL53" i="38"/>
  <c r="AL236" i="38"/>
  <c r="AL17" i="38"/>
  <c r="AL148" i="38"/>
  <c r="AL215" i="38"/>
  <c r="AL121" i="38"/>
  <c r="AD236" i="35"/>
  <c r="AD240" i="35"/>
  <c r="AL91" i="34"/>
  <c r="AL102" i="34"/>
  <c r="AL93" i="34"/>
  <c r="AL96" i="34"/>
  <c r="AL208" i="34"/>
  <c r="AL221" i="34"/>
  <c r="AL219" i="34"/>
  <c r="AL100" i="35"/>
  <c r="AL129" i="36"/>
  <c r="AL150" i="35"/>
  <c r="AL220" i="35"/>
  <c r="AL41" i="35"/>
  <c r="AL54" i="36"/>
  <c r="AL61" i="36"/>
  <c r="AL212" i="36"/>
  <c r="AL20" i="38"/>
  <c r="AL22" i="38"/>
  <c r="AL29" i="38"/>
  <c r="AL41" i="38"/>
  <c r="AL58" i="38"/>
  <c r="AL81" i="38"/>
  <c r="AL98" i="38"/>
  <c r="AL118" i="38"/>
  <c r="AL133" i="38"/>
  <c r="AL152" i="38"/>
  <c r="AL154" i="38"/>
  <c r="AL159" i="38"/>
  <c r="AL162" i="38"/>
  <c r="AL163" i="38"/>
  <c r="AL179" i="38"/>
  <c r="AL187" i="38"/>
  <c r="AL196" i="38"/>
  <c r="AL202" i="38"/>
  <c r="AL209" i="38"/>
  <c r="AL210" i="38"/>
  <c r="AL214" i="38"/>
  <c r="AL216" i="38"/>
  <c r="AL223" i="38"/>
  <c r="AL229" i="38"/>
  <c r="AL230" i="38"/>
  <c r="AL232" i="38"/>
  <c r="AL30" i="38"/>
  <c r="AL32" i="38"/>
  <c r="AL23" i="38"/>
  <c r="AL37" i="38"/>
  <c r="AL46" i="38"/>
  <c r="AL56" i="38"/>
  <c r="AL89" i="38"/>
  <c r="AL95" i="38"/>
  <c r="AL97" i="38"/>
  <c r="AL101" i="38"/>
  <c r="AL124" i="38"/>
  <c r="AL139" i="38"/>
  <c r="AL17" i="34"/>
  <c r="AD236" i="34"/>
  <c r="AD240" i="34"/>
  <c r="J16" i="34"/>
  <c r="F236" i="34"/>
  <c r="F237" i="34"/>
  <c r="J18" i="36"/>
  <c r="F237" i="36"/>
  <c r="F238" i="36"/>
  <c r="AD237" i="36"/>
  <c r="AD241" i="36"/>
  <c r="AL207" i="35"/>
  <c r="AL213" i="35"/>
  <c r="AL234" i="35"/>
  <c r="AL81" i="36"/>
  <c r="AL114" i="34"/>
  <c r="AL33" i="34"/>
  <c r="AL37" i="34"/>
  <c r="AL121" i="34"/>
  <c r="AL122" i="34"/>
  <c r="AL129" i="34"/>
  <c r="AL175" i="34"/>
  <c r="AL25" i="34"/>
  <c r="AL54" i="34"/>
  <c r="AL100" i="34"/>
  <c r="AL153" i="34"/>
  <c r="AL161" i="34"/>
  <c r="AL187" i="35"/>
  <c r="AL169" i="36"/>
  <c r="AL86" i="36"/>
  <c r="AL100" i="36"/>
  <c r="AL113" i="36"/>
  <c r="AL132" i="35"/>
  <c r="AL134" i="35"/>
  <c r="AL146" i="35"/>
  <c r="AL156" i="35"/>
  <c r="AL211" i="35"/>
  <c r="AL217" i="35"/>
  <c r="AL58" i="36"/>
  <c r="AL93" i="36"/>
  <c r="AL210" i="36"/>
  <c r="AL218" i="36"/>
  <c r="AL75" i="38"/>
  <c r="AL180" i="38"/>
  <c r="AL205" i="38"/>
  <c r="AL225" i="38"/>
  <c r="AL228" i="38"/>
  <c r="AL77" i="38"/>
  <c r="AL206" i="38"/>
  <c r="AL232" i="36"/>
  <c r="F239" i="37"/>
  <c r="F240" i="37"/>
  <c r="AL132" i="36"/>
  <c r="AL230" i="36"/>
  <c r="AL33" i="38"/>
  <c r="AL36" i="38"/>
  <c r="AL177" i="38"/>
  <c r="AL19" i="38"/>
  <c r="AL72" i="38"/>
  <c r="AL107" i="38"/>
  <c r="AL170" i="38"/>
  <c r="AL104" i="38"/>
  <c r="AL110" i="38"/>
  <c r="AL112" i="38"/>
  <c r="AL115" i="38"/>
  <c r="AL123" i="38"/>
  <c r="AL136" i="38"/>
  <c r="AL141" i="38"/>
  <c r="AL151" i="38"/>
  <c r="AL155" i="38"/>
  <c r="AL158" i="38"/>
  <c r="AL164" i="38"/>
  <c r="AL171" i="38"/>
  <c r="AL218" i="38"/>
  <c r="J17" i="37"/>
  <c r="AL29" i="36"/>
  <c r="AL101" i="36"/>
  <c r="AF239" i="37"/>
  <c r="AF243" i="37"/>
  <c r="AJ245" i="37"/>
  <c r="AL62" i="37"/>
  <c r="AL80" i="37"/>
  <c r="AL81" i="37"/>
  <c r="AL83" i="37"/>
  <c r="AL85" i="37"/>
  <c r="AL133" i="37"/>
  <c r="AL166" i="37"/>
  <c r="AL169" i="37"/>
  <c r="AL187" i="37"/>
  <c r="AL188" i="37"/>
  <c r="AL190" i="37"/>
  <c r="AL196" i="37"/>
  <c r="AL197" i="37"/>
  <c r="AL209" i="37"/>
  <c r="AL213" i="37"/>
  <c r="AL216" i="37"/>
  <c r="AL220" i="37"/>
  <c r="AL236" i="37"/>
  <c r="AL218" i="37"/>
  <c r="AL40" i="38"/>
  <c r="AL74" i="38"/>
  <c r="AL92" i="38"/>
  <c r="AL109" i="38"/>
  <c r="AL129" i="38"/>
  <c r="AL191" i="38"/>
  <c r="AL194" i="38"/>
  <c r="AL156" i="38"/>
  <c r="AL134" i="38"/>
  <c r="AL26" i="38"/>
  <c r="AL178" i="38"/>
  <c r="AL208" i="38"/>
  <c r="AE239" i="37"/>
  <c r="AE243" i="37"/>
  <c r="AI245" i="37"/>
  <c r="AL41" i="36"/>
  <c r="AL138" i="37"/>
  <c r="AL195" i="37"/>
  <c r="AL210" i="37"/>
  <c r="AL131" i="37"/>
  <c r="AL47" i="38"/>
  <c r="AL114" i="38"/>
  <c r="AL217" i="38"/>
  <c r="AL219" i="38"/>
  <c r="J16" i="38"/>
  <c r="F239" i="38"/>
  <c r="F240" i="38"/>
  <c r="AL158" i="37"/>
  <c r="AL223" i="37"/>
  <c r="AL224" i="37"/>
  <c r="AL232" i="37"/>
  <c r="AD239" i="38"/>
  <c r="AD243" i="38"/>
  <c r="AL60" i="38"/>
  <c r="AL80" i="38"/>
  <c r="AL83" i="38"/>
  <c r="AL128" i="38"/>
  <c r="AL201" i="38"/>
  <c r="AL237" i="38"/>
  <c r="AL147" i="37"/>
  <c r="AL152" i="37"/>
  <c r="AL163" i="37"/>
  <c r="AL185" i="37"/>
  <c r="AL229" i="37"/>
  <c r="AL149" i="38"/>
  <c r="AL28" i="38"/>
  <c r="AL51" i="38"/>
  <c r="AL52" i="38"/>
  <c r="AL78" i="38"/>
  <c r="AL108" i="38"/>
  <c r="AL113" i="38"/>
  <c r="AL137" i="38"/>
  <c r="AL140" i="38"/>
  <c r="AL238" i="38"/>
  <c r="AL221" i="38"/>
  <c r="AC216" i="38"/>
  <c r="AH239" i="38"/>
  <c r="AH243" i="38"/>
  <c r="Q239" i="38"/>
  <c r="AI192" i="38"/>
  <c r="AL192" i="38"/>
  <c r="Y192" i="38"/>
  <c r="AC192" i="38"/>
  <c r="Z239" i="38"/>
  <c r="AA252" i="38"/>
  <c r="AJ239" i="38"/>
  <c r="AJ243" i="38"/>
  <c r="Y239" i="38"/>
  <c r="AA249" i="38"/>
  <c r="AC174" i="38"/>
  <c r="AL174" i="38"/>
  <c r="AI239" i="38"/>
  <c r="AI243" i="38"/>
  <c r="AF239" i="38"/>
  <c r="AF243" i="38"/>
  <c r="F227" i="22"/>
  <c r="F233" i="22"/>
  <c r="J229" i="31"/>
  <c r="J233" i="31"/>
  <c r="J239" i="31"/>
  <c r="J225" i="23"/>
  <c r="J251" i="40"/>
  <c r="AH245" i="40"/>
  <c r="AI247" i="40"/>
  <c r="AI249" i="40"/>
  <c r="AI253" i="40"/>
  <c r="J233" i="18"/>
  <c r="AI231" i="29"/>
  <c r="AI233" i="29"/>
  <c r="U43" i="1"/>
  <c r="U243" i="1"/>
  <c r="X250" i="1"/>
  <c r="J230" i="30"/>
  <c r="J229" i="25"/>
  <c r="J270" i="7"/>
  <c r="J274" i="7"/>
  <c r="J276" i="7"/>
  <c r="J233" i="29"/>
  <c r="AG227" i="23"/>
  <c r="AG229" i="23"/>
  <c r="AL233" i="31"/>
  <c r="J236" i="33"/>
  <c r="J266" i="10"/>
  <c r="J231" i="25"/>
  <c r="J236" i="30"/>
  <c r="AF225" i="25"/>
  <c r="AG227" i="25"/>
  <c r="AG229" i="25"/>
  <c r="J232" i="19"/>
  <c r="AI232" i="30"/>
  <c r="AI234" i="30"/>
  <c r="J295" i="9"/>
  <c r="J296" i="9"/>
  <c r="J297" i="9"/>
  <c r="AG259" i="11"/>
  <c r="J263" i="11"/>
  <c r="O228" i="2"/>
  <c r="O229" i="2"/>
  <c r="O232" i="2"/>
  <c r="O236" i="2"/>
  <c r="Q86" i="2"/>
  <c r="J231" i="23"/>
  <c r="J234" i="26"/>
  <c r="AJ223" i="25"/>
  <c r="AG229" i="18"/>
  <c r="AG231" i="18"/>
  <c r="AH228" i="26"/>
  <c r="AI230" i="26"/>
  <c r="AI232" i="26"/>
  <c r="AL226" i="26"/>
  <c r="AL226" i="27"/>
  <c r="P46" i="1"/>
  <c r="Q113" i="7"/>
  <c r="M270" i="7"/>
  <c r="M271" i="7"/>
  <c r="J278" i="7"/>
  <c r="J280" i="7"/>
  <c r="J283" i="7"/>
  <c r="J284" i="7"/>
  <c r="J236" i="22"/>
  <c r="AI237" i="31"/>
  <c r="AI239" i="31"/>
  <c r="AI243" i="31"/>
  <c r="AL228" i="30"/>
  <c r="AL227" i="28"/>
  <c r="AJ223" i="23"/>
  <c r="AJ230" i="22"/>
  <c r="J235" i="29"/>
  <c r="AJ230" i="21"/>
  <c r="L243" i="1"/>
  <c r="L244" i="1"/>
  <c r="V239" i="38"/>
  <c r="J234" i="27"/>
  <c r="AH228" i="27"/>
  <c r="AI230" i="27"/>
  <c r="AI232" i="27"/>
  <c r="AE16" i="28"/>
  <c r="AE223" i="28"/>
  <c r="AE227" i="28"/>
  <c r="J223" i="28"/>
  <c r="J227" i="28"/>
  <c r="AL227" i="29"/>
  <c r="J228" i="27"/>
  <c r="J236" i="21"/>
  <c r="J232" i="21"/>
  <c r="J238" i="22"/>
  <c r="AF232" i="22"/>
  <c r="AG234" i="22"/>
  <c r="AG236" i="22"/>
  <c r="J228" i="26"/>
  <c r="J232" i="26"/>
  <c r="AJ223" i="24"/>
  <c r="AE239" i="39"/>
  <c r="AE243" i="39"/>
  <c r="AI245" i="39"/>
  <c r="AF239" i="39"/>
  <c r="AF243" i="39"/>
  <c r="AJ245" i="39"/>
  <c r="F239" i="39"/>
  <c r="F240" i="39"/>
  <c r="AD238" i="39"/>
  <c r="J239" i="39"/>
  <c r="J243" i="39"/>
  <c r="AF258" i="15"/>
  <c r="AG260" i="15"/>
  <c r="J264" i="15"/>
  <c r="AD230" i="33"/>
  <c r="AD234" i="33"/>
  <c r="AL17" i="33"/>
  <c r="AL234" i="33"/>
  <c r="AA19" i="5"/>
  <c r="AA271" i="5"/>
  <c r="AA275" i="5"/>
  <c r="I271" i="5"/>
  <c r="J234" i="19"/>
  <c r="AF228" i="19"/>
  <c r="AG230" i="19"/>
  <c r="J262" i="15"/>
  <c r="J258" i="15"/>
  <c r="AD230" i="32"/>
  <c r="AD234" i="32"/>
  <c r="AL22" i="32"/>
  <c r="AL234" i="32"/>
  <c r="J235" i="20"/>
  <c r="J231" i="20"/>
  <c r="J236" i="32"/>
  <c r="J240" i="32"/>
  <c r="J262" i="14"/>
  <c r="J266" i="14"/>
  <c r="J264" i="10"/>
  <c r="J260" i="10"/>
  <c r="AF231" i="20"/>
  <c r="AG233" i="20"/>
  <c r="AG235" i="20"/>
  <c r="J237" i="20"/>
  <c r="J241" i="31"/>
  <c r="AD222" i="19"/>
  <c r="AD226" i="19"/>
  <c r="AH228" i="19"/>
  <c r="AJ56" i="19"/>
  <c r="AJ226" i="19"/>
  <c r="AF232" i="21"/>
  <c r="AG234" i="21"/>
  <c r="AG236" i="21"/>
  <c r="J238" i="21"/>
  <c r="AF262" i="14"/>
  <c r="AG264" i="14"/>
  <c r="AG266" i="14"/>
  <c r="J268" i="14"/>
  <c r="AF225" i="24"/>
  <c r="AG227" i="24"/>
  <c r="AG229" i="24"/>
  <c r="J231" i="24"/>
  <c r="J231" i="18"/>
  <c r="J227" i="18"/>
  <c r="AJ229" i="20"/>
  <c r="AH245" i="38"/>
  <c r="AL243" i="38"/>
  <c r="AL240" i="35"/>
  <c r="AE16" i="38"/>
  <c r="AE239" i="38"/>
  <c r="AE243" i="38"/>
  <c r="AI245" i="38"/>
  <c r="J239" i="38"/>
  <c r="J243" i="38"/>
  <c r="AH243" i="36"/>
  <c r="J236" i="35"/>
  <c r="J240" i="35"/>
  <c r="AE16" i="35"/>
  <c r="AE236" i="35"/>
  <c r="AE240" i="35"/>
  <c r="AI242" i="35"/>
  <c r="AD17" i="37"/>
  <c r="J239" i="37"/>
  <c r="J243" i="37"/>
  <c r="AE18" i="36"/>
  <c r="J237" i="36"/>
  <c r="J241" i="36"/>
  <c r="AL240" i="34"/>
  <c r="AH242" i="34"/>
  <c r="AE16" i="34"/>
  <c r="AE236" i="34"/>
  <c r="AE240" i="34"/>
  <c r="AI242" i="34"/>
  <c r="J236" i="34"/>
  <c r="J240" i="34"/>
  <c r="AH242" i="35"/>
  <c r="AJ245" i="38"/>
  <c r="Z244" i="38"/>
  <c r="Z253" i="38"/>
  <c r="AA253" i="38"/>
  <c r="J235" i="31"/>
  <c r="Z43" i="1"/>
  <c r="W86" i="2"/>
  <c r="W228" i="2"/>
  <c r="Y236" i="2"/>
  <c r="T86" i="2"/>
  <c r="Q228" i="2"/>
  <c r="S46" i="1"/>
  <c r="V46" i="1"/>
  <c r="P243" i="1"/>
  <c r="L250" i="1"/>
  <c r="AG232" i="19"/>
  <c r="Q270" i="7"/>
  <c r="W113" i="7"/>
  <c r="T113" i="7"/>
  <c r="AG113" i="7"/>
  <c r="AG270" i="7"/>
  <c r="AG274" i="7"/>
  <c r="AI229" i="28"/>
  <c r="AI231" i="28"/>
  <c r="AI233" i="28"/>
  <c r="J235" i="28"/>
  <c r="J229" i="28"/>
  <c r="J233" i="28"/>
  <c r="AD239" i="39"/>
  <c r="AD243" i="39"/>
  <c r="AL238" i="39"/>
  <c r="AL243" i="39"/>
  <c r="J249" i="39"/>
  <c r="J245" i="39"/>
  <c r="J248" i="39"/>
  <c r="AH236" i="32"/>
  <c r="AI238" i="32"/>
  <c r="AI240" i="32"/>
  <c r="AI244" i="32"/>
  <c r="J242" i="32"/>
  <c r="L276" i="5"/>
  <c r="L281" i="5"/>
  <c r="L283" i="5"/>
  <c r="N272" i="5"/>
  <c r="N273" i="5"/>
  <c r="AH236" i="33"/>
  <c r="AI238" i="33"/>
  <c r="AI240" i="33"/>
  <c r="AI244" i="33"/>
  <c r="J242" i="33"/>
  <c r="J248" i="34"/>
  <c r="J251" i="38"/>
  <c r="J249" i="38"/>
  <c r="J245" i="38"/>
  <c r="J248" i="38"/>
  <c r="AE237" i="36"/>
  <c r="AE241" i="36"/>
  <c r="AL18" i="36"/>
  <c r="AL241" i="36"/>
  <c r="J246" i="35"/>
  <c r="J242" i="35"/>
  <c r="J245" i="35"/>
  <c r="J248" i="35"/>
  <c r="AI244" i="35"/>
  <c r="AI246" i="35"/>
  <c r="AI250" i="35"/>
  <c r="AI244" i="34"/>
  <c r="AI246" i="34"/>
  <c r="AI250" i="34"/>
  <c r="AL17" i="37"/>
  <c r="AL243" i="37"/>
  <c r="AD239" i="37"/>
  <c r="AD243" i="37"/>
  <c r="J247" i="36"/>
  <c r="J243" i="36"/>
  <c r="J246" i="36"/>
  <c r="J246" i="34"/>
  <c r="J242" i="34"/>
  <c r="O242" i="34"/>
  <c r="J249" i="37"/>
  <c r="J245" i="37"/>
  <c r="J248" i="37"/>
  <c r="AI247" i="38"/>
  <c r="AI249" i="38"/>
  <c r="AI253" i="38"/>
  <c r="X232" i="2"/>
  <c r="X239" i="2"/>
  <c r="Y239" i="2"/>
  <c r="T228" i="2"/>
  <c r="E93" i="1"/>
  <c r="E48" i="4"/>
  <c r="S243" i="1"/>
  <c r="AA113" i="7"/>
  <c r="W270" i="7"/>
  <c r="V243" i="1"/>
  <c r="X253" i="1"/>
  <c r="Z46" i="1"/>
  <c r="F115" i="8"/>
  <c r="T270" i="7"/>
  <c r="AH245" i="39"/>
  <c r="AI247" i="39"/>
  <c r="AI249" i="39"/>
  <c r="AI253" i="39"/>
  <c r="J251" i="39"/>
  <c r="AI243" i="36"/>
  <c r="J249" i="36"/>
  <c r="AH245" i="37"/>
  <c r="AI247" i="37"/>
  <c r="AI249" i="37"/>
  <c r="AI253" i="37"/>
  <c r="J251" i="37"/>
  <c r="E243" i="1"/>
  <c r="E244" i="1"/>
  <c r="I93" i="1"/>
  <c r="I243" i="1"/>
  <c r="X256" i="1"/>
  <c r="W248" i="1"/>
  <c r="W256" i="1"/>
  <c r="I48" i="4"/>
  <c r="E258" i="4"/>
  <c r="E259" i="4"/>
  <c r="J115" i="8"/>
  <c r="F281" i="8"/>
  <c r="F282" i="8"/>
  <c r="Y280" i="7"/>
  <c r="Y284" i="7"/>
  <c r="X275" i="7"/>
  <c r="X284" i="7"/>
  <c r="AI245" i="36"/>
  <c r="AI247" i="36"/>
  <c r="AI251" i="36"/>
  <c r="N244" i="1"/>
  <c r="N245" i="1"/>
  <c r="L248" i="1"/>
  <c r="L253" i="1"/>
  <c r="AC115" i="8"/>
  <c r="AC281" i="8"/>
  <c r="AC285" i="8"/>
  <c r="J293" i="8"/>
  <c r="J294" i="8"/>
  <c r="J281" i="8"/>
  <c r="J285" i="8"/>
  <c r="J287" i="8"/>
  <c r="AB48" i="4"/>
  <c r="AB258" i="4"/>
  <c r="AB261" i="4"/>
  <c r="AB265" i="4"/>
  <c r="AD265" i="4"/>
  <c r="I258" i="4"/>
  <c r="J295" i="8"/>
  <c r="L263" i="4"/>
  <c r="L268" i="4"/>
  <c r="L271" i="4"/>
  <c r="N259" i="4"/>
  <c r="N260" i="4"/>
</calcChain>
</file>

<file path=xl/comments1.xml><?xml version="1.0" encoding="utf-8"?>
<comments xmlns="http://schemas.openxmlformats.org/spreadsheetml/2006/main">
  <authors>
    <author>mbeauchamp</author>
    <author>Anastasia Lekkas</author>
  </authors>
  <commentList>
    <comment ref="D187" authorId="0">
      <text>
        <r>
          <rPr>
            <b/>
            <sz val="8"/>
            <color indexed="81"/>
            <rFont val="Tahoma"/>
            <family val="2"/>
          </rPr>
          <t>mbeauchamp:</t>
        </r>
        <r>
          <rPr>
            <sz val="8"/>
            <color indexed="81"/>
            <rFont val="Tahoma"/>
            <family val="2"/>
          </rPr>
          <t xml:space="preserve">
now owns fmr. Thumbplay Tones
</t>
        </r>
      </text>
    </comment>
    <comment ref="AM187" authorId="0">
      <text>
        <r>
          <rPr>
            <b/>
            <sz val="8"/>
            <color indexed="81"/>
            <rFont val="Tahoma"/>
            <family val="2"/>
          </rPr>
          <t>mbeauchamp:</t>
        </r>
        <r>
          <rPr>
            <sz val="8"/>
            <color indexed="81"/>
            <rFont val="Tahoma"/>
            <family val="2"/>
          </rPr>
          <t xml:space="preserve">
now owns fmr. Thumbplay Tones
</t>
        </r>
      </text>
    </comment>
    <comment ref="D188" authorId="0">
      <text>
        <r>
          <rPr>
            <b/>
            <sz val="8"/>
            <color indexed="81"/>
            <rFont val="Tahoma"/>
            <family val="2"/>
          </rPr>
          <t>mbeauchamp:</t>
        </r>
        <r>
          <rPr>
            <sz val="8"/>
            <color indexed="81"/>
            <rFont val="Tahoma"/>
            <family val="2"/>
          </rPr>
          <t xml:space="preserve">
now owns fmr. Thumbplay Tones
</t>
        </r>
      </text>
    </comment>
    <comment ref="AM188" authorId="0">
      <text>
        <r>
          <rPr>
            <b/>
            <sz val="8"/>
            <color indexed="81"/>
            <rFont val="Tahoma"/>
            <family val="2"/>
          </rPr>
          <t>mbeauchamp:</t>
        </r>
        <r>
          <rPr>
            <sz val="8"/>
            <color indexed="81"/>
            <rFont val="Tahoma"/>
            <family val="2"/>
          </rPr>
          <t xml:space="preserve">
now owns fmr. Thumbplay Tones
</t>
        </r>
      </text>
    </comment>
    <comment ref="I237" authorId="0">
      <text>
        <r>
          <rPr>
            <b/>
            <sz val="9"/>
            <color indexed="81"/>
            <rFont val="Tahoma"/>
            <family val="2"/>
          </rPr>
          <t>mbeauchamp:</t>
        </r>
        <r>
          <rPr>
            <sz val="9"/>
            <color indexed="81"/>
            <rFont val="Tahoma"/>
            <family val="2"/>
          </rPr>
          <t xml:space="preserve">
XM/Bloom/ZVOOQ/Verve/B1 Recordings/Wormee/imobilize/ibizabal/88TC/Pulser
</t>
        </r>
      </text>
    </comment>
    <comment ref="I238" authorId="0">
      <text>
        <r>
          <rPr>
            <b/>
            <sz val="9"/>
            <color indexed="81"/>
            <rFont val="Tahoma"/>
            <family val="2"/>
          </rPr>
          <t>mbeauchamp:</t>
        </r>
        <r>
          <rPr>
            <sz val="9"/>
            <color indexed="81"/>
            <rFont val="Tahoma"/>
            <family val="2"/>
          </rPr>
          <t xml:space="preserve">
May TrueUp &amp; Compilations reclass</t>
        </r>
      </text>
    </comment>
    <comment ref="AC241" authorId="1">
      <text>
        <r>
          <rPr>
            <b/>
            <sz val="8"/>
            <color indexed="81"/>
            <rFont val="Tahoma"/>
            <family val="2"/>
          </rPr>
          <t>Anastasia Lekkas:</t>
        </r>
        <r>
          <rPr>
            <sz val="8"/>
            <color indexed="81"/>
            <rFont val="Tahoma"/>
            <family val="2"/>
          </rPr>
          <t xml:space="preserve">
Reclass YouTube to Video
</t>
        </r>
      </text>
    </comment>
    <comment ref="AC242" authorId="1">
      <text>
        <r>
          <rPr>
            <b/>
            <sz val="8"/>
            <color indexed="81"/>
            <rFont val="Tahoma"/>
            <family val="2"/>
          </rPr>
          <t>Anastasia Lekkas:</t>
        </r>
        <r>
          <rPr>
            <sz val="8"/>
            <color indexed="81"/>
            <rFont val="Tahoma"/>
            <family val="2"/>
          </rPr>
          <t xml:space="preserve">
Reclass Itunes to Video
</t>
        </r>
      </text>
    </comment>
  </commentList>
</comments>
</file>

<file path=xl/comments10.xml><?xml version="1.0" encoding="utf-8"?>
<comments xmlns="http://schemas.openxmlformats.org/spreadsheetml/2006/main">
  <authors>
    <author>mbeauchamp</author>
    <author>Anastasia Lekkas</author>
  </authors>
  <commentList>
    <comment ref="D181" authorId="0">
      <text>
        <r>
          <rPr>
            <b/>
            <sz val="8"/>
            <color indexed="81"/>
            <rFont val="Tahoma"/>
            <family val="2"/>
          </rPr>
          <t>mbeauchamp:</t>
        </r>
        <r>
          <rPr>
            <sz val="8"/>
            <color indexed="81"/>
            <rFont val="Tahoma"/>
            <family val="2"/>
          </rPr>
          <t xml:space="preserve">
now owns fmr. Thumbplay Tones
</t>
        </r>
      </text>
    </comment>
    <comment ref="D182" authorId="0">
      <text>
        <r>
          <rPr>
            <b/>
            <sz val="8"/>
            <color indexed="81"/>
            <rFont val="Tahoma"/>
            <family val="2"/>
          </rPr>
          <t>mbeauchamp:</t>
        </r>
        <r>
          <rPr>
            <sz val="8"/>
            <color indexed="81"/>
            <rFont val="Tahoma"/>
            <family val="2"/>
          </rPr>
          <t xml:space="preserve">
now owns fmr. Thumbplay Tones
</t>
        </r>
      </text>
    </comment>
    <comment ref="AC231" authorId="1">
      <text>
        <r>
          <rPr>
            <b/>
            <sz val="8"/>
            <color indexed="81"/>
            <rFont val="Tahoma"/>
            <family val="2"/>
          </rPr>
          <t>Anastasia Lekkas:</t>
        </r>
        <r>
          <rPr>
            <sz val="8"/>
            <color indexed="81"/>
            <rFont val="Tahoma"/>
            <family val="2"/>
          </rPr>
          <t xml:space="preserve">
Reclass YouTube to Video
</t>
        </r>
      </text>
    </comment>
    <comment ref="AC232" authorId="1">
      <text>
        <r>
          <rPr>
            <b/>
            <sz val="8"/>
            <color indexed="81"/>
            <rFont val="Tahoma"/>
            <family val="2"/>
          </rPr>
          <t>Anastasia Lekkas:</t>
        </r>
        <r>
          <rPr>
            <sz val="8"/>
            <color indexed="81"/>
            <rFont val="Tahoma"/>
            <family val="2"/>
          </rPr>
          <t xml:space="preserve">
Reclass Itunes to Video
</t>
        </r>
      </text>
    </comment>
  </commentList>
</comments>
</file>

<file path=xl/comments11.xml><?xml version="1.0" encoding="utf-8"?>
<comments xmlns="http://schemas.openxmlformats.org/spreadsheetml/2006/main">
  <authors>
    <author>mbeauchamp</author>
    <author>Anastasia Lekkas</author>
  </authors>
  <commentList>
    <comment ref="E65" authorId="0">
      <text>
        <r>
          <rPr>
            <b/>
            <sz val="8"/>
            <color indexed="81"/>
            <rFont val="Tahoma"/>
            <family val="2"/>
          </rPr>
          <t>mbeauchamp:</t>
        </r>
        <r>
          <rPr>
            <sz val="8"/>
            <color indexed="81"/>
            <rFont val="Tahoma"/>
            <family val="2"/>
          </rPr>
          <t xml:space="preserve">
IODA 1Q2013 paid to Orchard (IODA accrual was $435,000 for 1Q13)</t>
        </r>
      </text>
    </comment>
    <comment ref="E119" authorId="0">
      <text>
        <r>
          <rPr>
            <b/>
            <sz val="8"/>
            <color indexed="81"/>
            <rFont val="Tahoma"/>
            <family val="2"/>
          </rPr>
          <t>mbeauchamp:</t>
        </r>
        <r>
          <rPr>
            <sz val="8"/>
            <color indexed="81"/>
            <rFont val="Tahoma"/>
            <family val="2"/>
          </rPr>
          <t xml:space="preserve">
1Q13 IODA (was accrued for in IODA)</t>
        </r>
      </text>
    </comment>
    <comment ref="D177" authorId="0">
      <text>
        <r>
          <rPr>
            <b/>
            <sz val="8"/>
            <color indexed="81"/>
            <rFont val="Tahoma"/>
            <family val="2"/>
          </rPr>
          <t>mbeauchamp:</t>
        </r>
        <r>
          <rPr>
            <sz val="8"/>
            <color indexed="81"/>
            <rFont val="Tahoma"/>
            <family val="2"/>
          </rPr>
          <t xml:space="preserve">
now owns fmr. Thumbplay Tones
</t>
        </r>
      </text>
    </comment>
    <comment ref="D178" authorId="0">
      <text>
        <r>
          <rPr>
            <b/>
            <sz val="8"/>
            <color indexed="81"/>
            <rFont val="Tahoma"/>
            <family val="2"/>
          </rPr>
          <t>mbeauchamp:</t>
        </r>
        <r>
          <rPr>
            <sz val="8"/>
            <color indexed="81"/>
            <rFont val="Tahoma"/>
            <family val="2"/>
          </rPr>
          <t xml:space="preserve">
now owns fmr. Thumbplay Tones
</t>
        </r>
      </text>
    </comment>
    <comment ref="AC226" authorId="1">
      <text>
        <r>
          <rPr>
            <b/>
            <sz val="8"/>
            <color indexed="81"/>
            <rFont val="Tahoma"/>
            <family val="2"/>
          </rPr>
          <t>Anastasia Lekkas:</t>
        </r>
        <r>
          <rPr>
            <sz val="8"/>
            <color indexed="81"/>
            <rFont val="Tahoma"/>
            <family val="2"/>
          </rPr>
          <t xml:space="preserve">
Reclass YouTube to Video
</t>
        </r>
      </text>
    </comment>
    <comment ref="AC227" authorId="1">
      <text>
        <r>
          <rPr>
            <b/>
            <sz val="8"/>
            <color indexed="81"/>
            <rFont val="Tahoma"/>
            <family val="2"/>
          </rPr>
          <t>Anastasia Lekkas:</t>
        </r>
        <r>
          <rPr>
            <sz val="8"/>
            <color indexed="81"/>
            <rFont val="Tahoma"/>
            <family val="2"/>
          </rPr>
          <t xml:space="preserve">
Reclass Itunes to Video
</t>
        </r>
      </text>
    </comment>
  </commentList>
</comments>
</file>

<file path=xl/comments12.xml><?xml version="1.0" encoding="utf-8"?>
<comments xmlns="http://schemas.openxmlformats.org/spreadsheetml/2006/main">
  <authors>
    <author>mbeauchamp</author>
    <author>Anastasia Lekkas</author>
  </authors>
  <commentList>
    <comment ref="E64" authorId="0">
      <text>
        <r>
          <rPr>
            <b/>
            <sz val="8"/>
            <color indexed="81"/>
            <rFont val="Tahoma"/>
            <family val="2"/>
          </rPr>
          <t>mbeauchamp:</t>
        </r>
        <r>
          <rPr>
            <sz val="8"/>
            <color indexed="81"/>
            <rFont val="Tahoma"/>
            <family val="2"/>
          </rPr>
          <t xml:space="preserve">
IODA 1Q2013 paid to Orchard (IODA accrual was $435,000 for 1Q13)</t>
        </r>
      </text>
    </comment>
    <comment ref="E118" authorId="0">
      <text>
        <r>
          <rPr>
            <b/>
            <sz val="8"/>
            <color indexed="81"/>
            <rFont val="Tahoma"/>
            <family val="2"/>
          </rPr>
          <t>mbeauchamp:</t>
        </r>
        <r>
          <rPr>
            <sz val="8"/>
            <color indexed="81"/>
            <rFont val="Tahoma"/>
            <family val="2"/>
          </rPr>
          <t xml:space="preserve">
1Q13 IODA (was accrued for in IODA)</t>
        </r>
      </text>
    </comment>
    <comment ref="F118" authorId="0">
      <text>
        <r>
          <rPr>
            <b/>
            <sz val="8"/>
            <color indexed="81"/>
            <rFont val="Tahoma"/>
            <family val="2"/>
          </rPr>
          <t>mbeauchamp:</t>
        </r>
        <r>
          <rPr>
            <sz val="8"/>
            <color indexed="81"/>
            <rFont val="Tahoma"/>
            <family val="2"/>
          </rPr>
          <t xml:space="preserve">
2Q13 IODA (was accrued for in IODA)</t>
        </r>
      </text>
    </comment>
    <comment ref="D176" authorId="0">
      <text>
        <r>
          <rPr>
            <b/>
            <sz val="8"/>
            <color indexed="81"/>
            <rFont val="Tahoma"/>
            <family val="2"/>
          </rPr>
          <t>mbeauchamp:</t>
        </r>
        <r>
          <rPr>
            <sz val="8"/>
            <color indexed="81"/>
            <rFont val="Tahoma"/>
            <family val="2"/>
          </rPr>
          <t xml:space="preserve">
now owns fmr. Thumbplay Tones
</t>
        </r>
      </text>
    </comment>
    <comment ref="D177" authorId="0">
      <text>
        <r>
          <rPr>
            <b/>
            <sz val="8"/>
            <color indexed="81"/>
            <rFont val="Tahoma"/>
            <family val="2"/>
          </rPr>
          <t>mbeauchamp:</t>
        </r>
        <r>
          <rPr>
            <sz val="8"/>
            <color indexed="81"/>
            <rFont val="Tahoma"/>
            <family val="2"/>
          </rPr>
          <t xml:space="preserve">
now owns fmr. Thumbplay Tones
</t>
        </r>
      </text>
    </comment>
    <comment ref="AC225" authorId="1">
      <text>
        <r>
          <rPr>
            <b/>
            <sz val="8"/>
            <color indexed="81"/>
            <rFont val="Tahoma"/>
            <family val="2"/>
          </rPr>
          <t>Anastasia Lekkas:</t>
        </r>
        <r>
          <rPr>
            <sz val="8"/>
            <color indexed="81"/>
            <rFont val="Tahoma"/>
            <family val="2"/>
          </rPr>
          <t xml:space="preserve">
Reclass YouTube to Video
</t>
        </r>
      </text>
    </comment>
    <comment ref="AC226" authorId="1">
      <text>
        <r>
          <rPr>
            <b/>
            <sz val="8"/>
            <color indexed="81"/>
            <rFont val="Tahoma"/>
            <family val="2"/>
          </rPr>
          <t>Anastasia Lekkas:</t>
        </r>
        <r>
          <rPr>
            <sz val="8"/>
            <color indexed="81"/>
            <rFont val="Tahoma"/>
            <family val="2"/>
          </rPr>
          <t xml:space="preserve">
Reclass Itunes to Video
</t>
        </r>
      </text>
    </comment>
  </commentList>
</comments>
</file>

<file path=xl/comments13.xml><?xml version="1.0" encoding="utf-8"?>
<comments xmlns="http://schemas.openxmlformats.org/spreadsheetml/2006/main">
  <authors>
    <author>mbeauchamp</author>
    <author>Anastasia Lekkas</author>
  </authors>
  <commentList>
    <comment ref="D176" authorId="0">
      <text>
        <r>
          <rPr>
            <b/>
            <sz val="8"/>
            <color indexed="81"/>
            <rFont val="Tahoma"/>
            <family val="2"/>
          </rPr>
          <t>mbeauchamp:</t>
        </r>
        <r>
          <rPr>
            <sz val="8"/>
            <color indexed="81"/>
            <rFont val="Tahoma"/>
            <family val="2"/>
          </rPr>
          <t xml:space="preserve">
now owns fmr. Thumbplay Tones
</t>
        </r>
      </text>
    </comment>
    <comment ref="D177" authorId="0">
      <text>
        <r>
          <rPr>
            <b/>
            <sz val="8"/>
            <color indexed="81"/>
            <rFont val="Tahoma"/>
            <family val="2"/>
          </rPr>
          <t>mbeauchamp:</t>
        </r>
        <r>
          <rPr>
            <sz val="8"/>
            <color indexed="81"/>
            <rFont val="Tahoma"/>
            <family val="2"/>
          </rPr>
          <t xml:space="preserve">
now owns fmr. Thumbplay Tones
</t>
        </r>
      </text>
    </comment>
    <comment ref="AC225" authorId="1">
      <text>
        <r>
          <rPr>
            <b/>
            <sz val="8"/>
            <color indexed="81"/>
            <rFont val="Tahoma"/>
            <family val="2"/>
          </rPr>
          <t>Anastasia Lekkas:</t>
        </r>
        <r>
          <rPr>
            <sz val="8"/>
            <color indexed="81"/>
            <rFont val="Tahoma"/>
            <family val="2"/>
          </rPr>
          <t xml:space="preserve">
Reclass YouTube to Video
</t>
        </r>
      </text>
    </comment>
    <comment ref="AC226" authorId="1">
      <text>
        <r>
          <rPr>
            <b/>
            <sz val="8"/>
            <color indexed="81"/>
            <rFont val="Tahoma"/>
            <family val="2"/>
          </rPr>
          <t>Anastasia Lekkas:</t>
        </r>
        <r>
          <rPr>
            <sz val="8"/>
            <color indexed="81"/>
            <rFont val="Tahoma"/>
            <family val="2"/>
          </rPr>
          <t xml:space="preserve">
Reclass Itunes to Video
</t>
        </r>
      </text>
    </comment>
  </commentList>
</comments>
</file>

<file path=xl/comments14.xml><?xml version="1.0" encoding="utf-8"?>
<comments xmlns="http://schemas.openxmlformats.org/spreadsheetml/2006/main">
  <authors>
    <author>mbeauchamp</author>
    <author>Anastasia Lekkas</author>
  </authors>
  <commentList>
    <comment ref="D175" authorId="0">
      <text>
        <r>
          <rPr>
            <b/>
            <sz val="8"/>
            <color indexed="81"/>
            <rFont val="Tahoma"/>
            <family val="2"/>
          </rPr>
          <t>mbeauchamp:</t>
        </r>
        <r>
          <rPr>
            <sz val="8"/>
            <color indexed="81"/>
            <rFont val="Tahoma"/>
            <family val="2"/>
          </rPr>
          <t xml:space="preserve">
now owns fmr. Thumbplay Tones
</t>
        </r>
      </text>
    </comment>
    <comment ref="D176" authorId="0">
      <text>
        <r>
          <rPr>
            <b/>
            <sz val="8"/>
            <color indexed="81"/>
            <rFont val="Tahoma"/>
            <family val="2"/>
          </rPr>
          <t>mbeauchamp:</t>
        </r>
        <r>
          <rPr>
            <sz val="8"/>
            <color indexed="81"/>
            <rFont val="Tahoma"/>
            <family val="2"/>
          </rPr>
          <t xml:space="preserve">
now owns fmr. Thumbplay Tones
</t>
        </r>
      </text>
    </comment>
    <comment ref="AC224" authorId="1">
      <text>
        <r>
          <rPr>
            <b/>
            <sz val="8"/>
            <color indexed="81"/>
            <rFont val="Tahoma"/>
            <family val="2"/>
          </rPr>
          <t>Anastasia Lekkas:</t>
        </r>
        <r>
          <rPr>
            <sz val="8"/>
            <color indexed="81"/>
            <rFont val="Tahoma"/>
            <family val="2"/>
          </rPr>
          <t xml:space="preserve">
Reclass YouTube to Video
</t>
        </r>
      </text>
    </comment>
    <comment ref="AC225" authorId="1">
      <text>
        <r>
          <rPr>
            <b/>
            <sz val="8"/>
            <color indexed="81"/>
            <rFont val="Tahoma"/>
            <family val="2"/>
          </rPr>
          <t>Anastasia Lekkas:</t>
        </r>
        <r>
          <rPr>
            <sz val="8"/>
            <color indexed="81"/>
            <rFont val="Tahoma"/>
            <family val="2"/>
          </rPr>
          <t xml:space="preserve">
Reclass Itunes to Video
</t>
        </r>
      </text>
    </comment>
  </commentList>
</comments>
</file>

<file path=xl/comments15.xml><?xml version="1.0" encoding="utf-8"?>
<comments xmlns="http://schemas.openxmlformats.org/spreadsheetml/2006/main">
  <authors>
    <author>mbeauchamp</author>
    <author>Anastasia Lekkas</author>
  </authors>
  <commentList>
    <comment ref="D175" authorId="0">
      <text>
        <r>
          <rPr>
            <b/>
            <sz val="8"/>
            <color indexed="81"/>
            <rFont val="Tahoma"/>
            <family val="2"/>
          </rPr>
          <t>mbeauchamp:</t>
        </r>
        <r>
          <rPr>
            <sz val="8"/>
            <color indexed="81"/>
            <rFont val="Tahoma"/>
            <family val="2"/>
          </rPr>
          <t xml:space="preserve">
now owns fmr. Thumbplay Tones
</t>
        </r>
      </text>
    </comment>
    <comment ref="D176" authorId="0">
      <text>
        <r>
          <rPr>
            <b/>
            <sz val="8"/>
            <color indexed="81"/>
            <rFont val="Tahoma"/>
            <family val="2"/>
          </rPr>
          <t>mbeauchamp:</t>
        </r>
        <r>
          <rPr>
            <sz val="8"/>
            <color indexed="81"/>
            <rFont val="Tahoma"/>
            <family val="2"/>
          </rPr>
          <t xml:space="preserve">
now owns fmr. Thumbplay Tones
</t>
        </r>
      </text>
    </comment>
    <comment ref="AC224" authorId="1">
      <text>
        <r>
          <rPr>
            <b/>
            <sz val="8"/>
            <color indexed="81"/>
            <rFont val="Tahoma"/>
            <family val="2"/>
          </rPr>
          <t>Anastasia Lekkas:</t>
        </r>
        <r>
          <rPr>
            <sz val="8"/>
            <color indexed="81"/>
            <rFont val="Tahoma"/>
            <family val="2"/>
          </rPr>
          <t xml:space="preserve">
Reclass YouTube to Video
</t>
        </r>
      </text>
    </comment>
    <comment ref="AC225" authorId="1">
      <text>
        <r>
          <rPr>
            <b/>
            <sz val="8"/>
            <color indexed="81"/>
            <rFont val="Tahoma"/>
            <family val="2"/>
          </rPr>
          <t>Anastasia Lekkas:</t>
        </r>
        <r>
          <rPr>
            <sz val="8"/>
            <color indexed="81"/>
            <rFont val="Tahoma"/>
            <family val="2"/>
          </rPr>
          <t xml:space="preserve">
Reclass Itunes to Video
</t>
        </r>
      </text>
    </comment>
  </commentList>
</comments>
</file>

<file path=xl/comments16.xml><?xml version="1.0" encoding="utf-8"?>
<comments xmlns="http://schemas.openxmlformats.org/spreadsheetml/2006/main">
  <authors>
    <author>mbeauchamp</author>
    <author>Anastasia Lekkas</author>
  </authors>
  <commentList>
    <comment ref="D172" authorId="0">
      <text>
        <r>
          <rPr>
            <b/>
            <sz val="8"/>
            <color indexed="81"/>
            <rFont val="Tahoma"/>
            <family val="2"/>
          </rPr>
          <t>mbeauchamp:</t>
        </r>
        <r>
          <rPr>
            <sz val="8"/>
            <color indexed="81"/>
            <rFont val="Tahoma"/>
            <family val="2"/>
          </rPr>
          <t xml:space="preserve">
now owns fmr. Thumbplay Tones
</t>
        </r>
      </text>
    </comment>
    <comment ref="D173" authorId="0">
      <text>
        <r>
          <rPr>
            <b/>
            <sz val="8"/>
            <color indexed="81"/>
            <rFont val="Tahoma"/>
            <family val="2"/>
          </rPr>
          <t>mbeauchamp:</t>
        </r>
        <r>
          <rPr>
            <sz val="8"/>
            <color indexed="81"/>
            <rFont val="Tahoma"/>
            <family val="2"/>
          </rPr>
          <t xml:space="preserve">
now owns fmr. Thumbplay Tones
</t>
        </r>
      </text>
    </comment>
    <comment ref="AA221" authorId="1">
      <text>
        <r>
          <rPr>
            <b/>
            <sz val="8"/>
            <color indexed="81"/>
            <rFont val="Tahoma"/>
            <family val="2"/>
          </rPr>
          <t>Anastasia Lekkas:</t>
        </r>
        <r>
          <rPr>
            <sz val="8"/>
            <color indexed="81"/>
            <rFont val="Tahoma"/>
            <family val="2"/>
          </rPr>
          <t xml:space="preserve">
Reclass YouTube to Video
</t>
        </r>
      </text>
    </comment>
    <comment ref="AA222" authorId="1">
      <text>
        <r>
          <rPr>
            <b/>
            <sz val="8"/>
            <color indexed="81"/>
            <rFont val="Tahoma"/>
            <family val="2"/>
          </rPr>
          <t>Anastasia Lekkas:</t>
        </r>
        <r>
          <rPr>
            <sz val="8"/>
            <color indexed="81"/>
            <rFont val="Tahoma"/>
            <family val="2"/>
          </rPr>
          <t xml:space="preserve">
Reclass Itunes to Video
</t>
        </r>
      </text>
    </comment>
  </commentList>
</comments>
</file>

<file path=xl/comments17.xml><?xml version="1.0" encoding="utf-8"?>
<comments xmlns="http://schemas.openxmlformats.org/spreadsheetml/2006/main">
  <authors>
    <author>mbeauchamp</author>
    <author>Anastasia Lekkas</author>
  </authors>
  <commentList>
    <comment ref="D172" authorId="0">
      <text>
        <r>
          <rPr>
            <b/>
            <sz val="8"/>
            <color indexed="81"/>
            <rFont val="Tahoma"/>
            <family val="2"/>
          </rPr>
          <t>mbeauchamp:</t>
        </r>
        <r>
          <rPr>
            <sz val="8"/>
            <color indexed="81"/>
            <rFont val="Tahoma"/>
            <family val="2"/>
          </rPr>
          <t xml:space="preserve">
now owns fmr. Thumbplay Tones
</t>
        </r>
      </text>
    </comment>
    <comment ref="D173" authorId="0">
      <text>
        <r>
          <rPr>
            <b/>
            <sz val="8"/>
            <color indexed="81"/>
            <rFont val="Tahoma"/>
            <family val="2"/>
          </rPr>
          <t>mbeauchamp:</t>
        </r>
        <r>
          <rPr>
            <sz val="8"/>
            <color indexed="81"/>
            <rFont val="Tahoma"/>
            <family val="2"/>
          </rPr>
          <t xml:space="preserve">
now owns fmr. Thumbplay Tones
</t>
        </r>
      </text>
    </comment>
    <comment ref="AA221" authorId="1">
      <text>
        <r>
          <rPr>
            <b/>
            <sz val="8"/>
            <color indexed="81"/>
            <rFont val="Tahoma"/>
            <family val="2"/>
          </rPr>
          <t>Anastasia Lekkas:</t>
        </r>
        <r>
          <rPr>
            <sz val="8"/>
            <color indexed="81"/>
            <rFont val="Tahoma"/>
            <family val="2"/>
          </rPr>
          <t xml:space="preserve">
Reclass YouTube to Video
</t>
        </r>
      </text>
    </comment>
    <comment ref="AA222" authorId="1">
      <text>
        <r>
          <rPr>
            <b/>
            <sz val="8"/>
            <color indexed="81"/>
            <rFont val="Tahoma"/>
            <family val="2"/>
          </rPr>
          <t>Anastasia Lekkas:</t>
        </r>
        <r>
          <rPr>
            <sz val="8"/>
            <color indexed="81"/>
            <rFont val="Tahoma"/>
            <family val="2"/>
          </rPr>
          <t xml:space="preserve">
Reclass Itunes to Video
</t>
        </r>
      </text>
    </comment>
  </commentList>
</comments>
</file>

<file path=xl/comments18.xml><?xml version="1.0" encoding="utf-8"?>
<comments xmlns="http://schemas.openxmlformats.org/spreadsheetml/2006/main">
  <authors>
    <author>mbeauchamp</author>
    <author>Anastasia Lekkas</author>
  </authors>
  <commentList>
    <comment ref="D172" authorId="0">
      <text>
        <r>
          <rPr>
            <b/>
            <sz val="8"/>
            <color indexed="81"/>
            <rFont val="Tahoma"/>
            <family val="2"/>
          </rPr>
          <t>mbeauchamp:</t>
        </r>
        <r>
          <rPr>
            <sz val="8"/>
            <color indexed="81"/>
            <rFont val="Tahoma"/>
            <family val="2"/>
          </rPr>
          <t xml:space="preserve">
now owns fmr. Thumbplay Tones
</t>
        </r>
      </text>
    </comment>
    <comment ref="D173" authorId="0">
      <text>
        <r>
          <rPr>
            <b/>
            <sz val="8"/>
            <color indexed="81"/>
            <rFont val="Tahoma"/>
            <family val="2"/>
          </rPr>
          <t>mbeauchamp:</t>
        </r>
        <r>
          <rPr>
            <sz val="8"/>
            <color indexed="81"/>
            <rFont val="Tahoma"/>
            <family val="2"/>
          </rPr>
          <t xml:space="preserve">
now owns fmr. Thumbplay Tones
</t>
        </r>
      </text>
    </comment>
    <comment ref="AA221" authorId="1">
      <text>
        <r>
          <rPr>
            <b/>
            <sz val="8"/>
            <color indexed="81"/>
            <rFont val="Tahoma"/>
            <family val="2"/>
          </rPr>
          <t>Anastasia Lekkas:</t>
        </r>
        <r>
          <rPr>
            <sz val="8"/>
            <color indexed="81"/>
            <rFont val="Tahoma"/>
            <family val="2"/>
          </rPr>
          <t xml:space="preserve">
Reclass YouTube to Video
</t>
        </r>
      </text>
    </comment>
    <comment ref="AA222" authorId="1">
      <text>
        <r>
          <rPr>
            <b/>
            <sz val="8"/>
            <color indexed="81"/>
            <rFont val="Tahoma"/>
            <family val="2"/>
          </rPr>
          <t>Anastasia Lekkas:</t>
        </r>
        <r>
          <rPr>
            <sz val="8"/>
            <color indexed="81"/>
            <rFont val="Tahoma"/>
            <family val="2"/>
          </rPr>
          <t xml:space="preserve">
Reclass Itunes to Video
</t>
        </r>
      </text>
    </comment>
  </commentList>
</comments>
</file>

<file path=xl/comments19.xml><?xml version="1.0" encoding="utf-8"?>
<comments xmlns="http://schemas.openxmlformats.org/spreadsheetml/2006/main">
  <authors>
    <author>mbeauchamp</author>
    <author>Anastasia Lekkas</author>
  </authors>
  <commentList>
    <comment ref="D179" authorId="0">
      <text>
        <r>
          <rPr>
            <b/>
            <sz val="8"/>
            <color indexed="81"/>
            <rFont val="Tahoma"/>
            <family val="2"/>
          </rPr>
          <t>mbeauchamp:</t>
        </r>
        <r>
          <rPr>
            <sz val="8"/>
            <color indexed="81"/>
            <rFont val="Tahoma"/>
            <family val="2"/>
          </rPr>
          <t xml:space="preserve">
now owns fmr. Thumbplay Tones
</t>
        </r>
      </text>
    </comment>
    <comment ref="D180" authorId="0">
      <text>
        <r>
          <rPr>
            <b/>
            <sz val="8"/>
            <color indexed="81"/>
            <rFont val="Tahoma"/>
            <family val="2"/>
          </rPr>
          <t>mbeauchamp:</t>
        </r>
        <r>
          <rPr>
            <sz val="8"/>
            <color indexed="81"/>
            <rFont val="Tahoma"/>
            <family val="2"/>
          </rPr>
          <t xml:space="preserve">
now owns fmr. Thumbplay Tones
</t>
        </r>
      </text>
    </comment>
    <comment ref="AA228" authorId="1">
      <text>
        <r>
          <rPr>
            <b/>
            <sz val="8"/>
            <color indexed="81"/>
            <rFont val="Tahoma"/>
            <family val="2"/>
          </rPr>
          <t>Anastasia Lekkas:</t>
        </r>
        <r>
          <rPr>
            <sz val="8"/>
            <color indexed="81"/>
            <rFont val="Tahoma"/>
            <family val="2"/>
          </rPr>
          <t xml:space="preserve">
Reclass YouTube to Video
</t>
        </r>
      </text>
    </comment>
    <comment ref="AA229" authorId="1">
      <text>
        <r>
          <rPr>
            <b/>
            <sz val="8"/>
            <color indexed="81"/>
            <rFont val="Tahoma"/>
            <family val="2"/>
          </rPr>
          <t>Anastasia Lekkas:</t>
        </r>
        <r>
          <rPr>
            <sz val="8"/>
            <color indexed="81"/>
            <rFont val="Tahoma"/>
            <family val="2"/>
          </rPr>
          <t xml:space="preserve">
Reclass Itunes to Video
</t>
        </r>
      </text>
    </comment>
  </commentList>
</comments>
</file>

<file path=xl/comments2.xml><?xml version="1.0" encoding="utf-8"?>
<comments xmlns="http://schemas.openxmlformats.org/spreadsheetml/2006/main">
  <authors>
    <author>mbeauchamp</author>
    <author>Anastasia Lekkas</author>
  </authors>
  <commentList>
    <comment ref="D187" authorId="0">
      <text>
        <r>
          <rPr>
            <b/>
            <sz val="8"/>
            <color indexed="81"/>
            <rFont val="Tahoma"/>
            <family val="2"/>
          </rPr>
          <t>mbeauchamp:</t>
        </r>
        <r>
          <rPr>
            <sz val="8"/>
            <color indexed="81"/>
            <rFont val="Tahoma"/>
            <family val="2"/>
          </rPr>
          <t xml:space="preserve">
now owns fmr. Thumbplay Tones
</t>
        </r>
      </text>
    </comment>
    <comment ref="AM187" authorId="0">
      <text>
        <r>
          <rPr>
            <b/>
            <sz val="8"/>
            <color indexed="81"/>
            <rFont val="Tahoma"/>
            <family val="2"/>
          </rPr>
          <t>mbeauchamp:</t>
        </r>
        <r>
          <rPr>
            <sz val="8"/>
            <color indexed="81"/>
            <rFont val="Tahoma"/>
            <family val="2"/>
          </rPr>
          <t xml:space="preserve">
now owns fmr. Thumbplay Tones
</t>
        </r>
      </text>
    </comment>
    <comment ref="D188" authorId="0">
      <text>
        <r>
          <rPr>
            <b/>
            <sz val="8"/>
            <color indexed="81"/>
            <rFont val="Tahoma"/>
            <family val="2"/>
          </rPr>
          <t>mbeauchamp:</t>
        </r>
        <r>
          <rPr>
            <sz val="8"/>
            <color indexed="81"/>
            <rFont val="Tahoma"/>
            <family val="2"/>
          </rPr>
          <t xml:space="preserve">
now owns fmr. Thumbplay Tones
</t>
        </r>
      </text>
    </comment>
    <comment ref="AM188" authorId="0">
      <text>
        <r>
          <rPr>
            <b/>
            <sz val="8"/>
            <color indexed="81"/>
            <rFont val="Tahoma"/>
            <family val="2"/>
          </rPr>
          <t>mbeauchamp:</t>
        </r>
        <r>
          <rPr>
            <sz val="8"/>
            <color indexed="81"/>
            <rFont val="Tahoma"/>
            <family val="2"/>
          </rPr>
          <t xml:space="preserve">
now owns fmr. Thumbplay Tones
</t>
        </r>
      </text>
    </comment>
    <comment ref="AC241" authorId="1">
      <text>
        <r>
          <rPr>
            <b/>
            <sz val="8"/>
            <color indexed="81"/>
            <rFont val="Tahoma"/>
            <family val="2"/>
          </rPr>
          <t>Anastasia Lekkas:</t>
        </r>
        <r>
          <rPr>
            <sz val="8"/>
            <color indexed="81"/>
            <rFont val="Tahoma"/>
            <family val="2"/>
          </rPr>
          <t xml:space="preserve">
Reclass YouTube to Video
</t>
        </r>
      </text>
    </comment>
    <comment ref="AC242" authorId="1">
      <text>
        <r>
          <rPr>
            <b/>
            <sz val="8"/>
            <color indexed="81"/>
            <rFont val="Tahoma"/>
            <family val="2"/>
          </rPr>
          <t>Anastasia Lekkas:</t>
        </r>
        <r>
          <rPr>
            <sz val="8"/>
            <color indexed="81"/>
            <rFont val="Tahoma"/>
            <family val="2"/>
          </rPr>
          <t xml:space="preserve">
Reclass Itunes to Video
</t>
        </r>
      </text>
    </comment>
  </commentList>
</comments>
</file>

<file path=xl/comments20.xml><?xml version="1.0" encoding="utf-8"?>
<comments xmlns="http://schemas.openxmlformats.org/spreadsheetml/2006/main">
  <authors>
    <author>mbeauchamp</author>
    <author>Anastasia Lekkas</author>
  </authors>
  <commentList>
    <comment ref="E20" authorId="0">
      <text>
        <r>
          <rPr>
            <b/>
            <sz val="8"/>
            <color indexed="81"/>
            <rFont val="Tahoma"/>
            <family val="2"/>
          </rPr>
          <t>mbeauchamp:</t>
        </r>
        <r>
          <rPr>
            <sz val="8"/>
            <color indexed="81"/>
            <rFont val="Tahoma"/>
            <family val="2"/>
          </rPr>
          <t xml:space="preserve">
Sept 2011 - Sept 2012 (Juke Service)</t>
        </r>
      </text>
    </comment>
    <comment ref="D179" authorId="0">
      <text>
        <r>
          <rPr>
            <b/>
            <sz val="8"/>
            <color indexed="81"/>
            <rFont val="Tahoma"/>
            <family val="2"/>
          </rPr>
          <t>mbeauchamp:</t>
        </r>
        <r>
          <rPr>
            <sz val="8"/>
            <color indexed="81"/>
            <rFont val="Tahoma"/>
            <family val="2"/>
          </rPr>
          <t xml:space="preserve">
now owns fmr. Thumbplay Tones
</t>
        </r>
      </text>
    </comment>
    <comment ref="D180" authorId="0">
      <text>
        <r>
          <rPr>
            <b/>
            <sz val="8"/>
            <color indexed="81"/>
            <rFont val="Tahoma"/>
            <family val="2"/>
          </rPr>
          <t>mbeauchamp:</t>
        </r>
        <r>
          <rPr>
            <sz val="8"/>
            <color indexed="81"/>
            <rFont val="Tahoma"/>
            <family val="2"/>
          </rPr>
          <t xml:space="preserve">
now owns fmr. Thumbplay Tones
</t>
        </r>
      </text>
    </comment>
    <comment ref="AA228" authorId="1">
      <text>
        <r>
          <rPr>
            <b/>
            <sz val="8"/>
            <color indexed="81"/>
            <rFont val="Tahoma"/>
            <family val="2"/>
          </rPr>
          <t>Anastasia Lekkas:</t>
        </r>
        <r>
          <rPr>
            <sz val="8"/>
            <color indexed="81"/>
            <rFont val="Tahoma"/>
            <family val="2"/>
          </rPr>
          <t xml:space="preserve">
Reclass YouTube to Video
</t>
        </r>
      </text>
    </comment>
    <comment ref="AA229" authorId="1">
      <text>
        <r>
          <rPr>
            <b/>
            <sz val="8"/>
            <color indexed="81"/>
            <rFont val="Tahoma"/>
            <family val="2"/>
          </rPr>
          <t>Anastasia Lekkas:</t>
        </r>
        <r>
          <rPr>
            <sz val="8"/>
            <color indexed="81"/>
            <rFont val="Tahoma"/>
            <family val="2"/>
          </rPr>
          <t xml:space="preserve">
Reclass Itunes to Video
</t>
        </r>
      </text>
    </comment>
  </commentList>
</comments>
</file>

<file path=xl/comments21.xml><?xml version="1.0" encoding="utf-8"?>
<comments xmlns="http://schemas.openxmlformats.org/spreadsheetml/2006/main">
  <authors>
    <author>mbeauchamp</author>
    <author>Anastasia Lekkas</author>
  </authors>
  <commentList>
    <comment ref="Q83" authorId="0">
      <text>
        <r>
          <rPr>
            <b/>
            <sz val="8"/>
            <color indexed="81"/>
            <rFont val="Tahoma"/>
            <family val="2"/>
          </rPr>
          <t>mbeauchamp:</t>
        </r>
        <r>
          <rPr>
            <sz val="8"/>
            <color indexed="81"/>
            <rFont val="Tahoma"/>
            <family val="2"/>
          </rPr>
          <t xml:space="preserve">
Real PCS
</t>
        </r>
      </text>
    </comment>
    <comment ref="M173" authorId="0">
      <text>
        <r>
          <rPr>
            <b/>
            <sz val="8"/>
            <color indexed="81"/>
            <rFont val="Tahoma"/>
            <family val="2"/>
          </rPr>
          <t>mbeauchamp:</t>
        </r>
        <r>
          <rPr>
            <sz val="8"/>
            <color indexed="81"/>
            <rFont val="Tahoma"/>
            <family val="2"/>
          </rPr>
          <t xml:space="preserve">
Livewire
</t>
        </r>
      </text>
    </comment>
    <comment ref="D178" authorId="0">
      <text>
        <r>
          <rPr>
            <b/>
            <sz val="8"/>
            <color indexed="81"/>
            <rFont val="Tahoma"/>
            <family val="2"/>
          </rPr>
          <t>mbeauchamp:</t>
        </r>
        <r>
          <rPr>
            <sz val="8"/>
            <color indexed="81"/>
            <rFont val="Tahoma"/>
            <family val="2"/>
          </rPr>
          <t xml:space="preserve">
now owns fmr. Thumbplay Tones
</t>
        </r>
      </text>
    </comment>
    <comment ref="D179" authorId="0">
      <text>
        <r>
          <rPr>
            <b/>
            <sz val="8"/>
            <color indexed="81"/>
            <rFont val="Tahoma"/>
            <family val="2"/>
          </rPr>
          <t>mbeauchamp:</t>
        </r>
        <r>
          <rPr>
            <sz val="8"/>
            <color indexed="81"/>
            <rFont val="Tahoma"/>
            <family val="2"/>
          </rPr>
          <t xml:space="preserve">
now owns fmr. Thumbplay Tones
</t>
        </r>
      </text>
    </comment>
    <comment ref="AA227" authorId="1">
      <text>
        <r>
          <rPr>
            <b/>
            <sz val="8"/>
            <color indexed="81"/>
            <rFont val="Tahoma"/>
            <family val="2"/>
          </rPr>
          <t>Anastasia Lekkas:</t>
        </r>
        <r>
          <rPr>
            <sz val="8"/>
            <color indexed="81"/>
            <rFont val="Tahoma"/>
            <family val="2"/>
          </rPr>
          <t xml:space="preserve">
Reclass YouTube to Video
</t>
        </r>
      </text>
    </comment>
    <comment ref="AA228" authorId="1">
      <text>
        <r>
          <rPr>
            <b/>
            <sz val="8"/>
            <color indexed="81"/>
            <rFont val="Tahoma"/>
            <family val="2"/>
          </rPr>
          <t>Anastasia Lekkas:</t>
        </r>
        <r>
          <rPr>
            <sz val="8"/>
            <color indexed="81"/>
            <rFont val="Tahoma"/>
            <family val="2"/>
          </rPr>
          <t xml:space="preserve">
Reclass Itunes to Video
</t>
        </r>
      </text>
    </comment>
  </commentList>
</comments>
</file>

<file path=xl/comments22.xml><?xml version="1.0" encoding="utf-8"?>
<comments xmlns="http://schemas.openxmlformats.org/spreadsheetml/2006/main">
  <authors>
    <author>mbeauchamp</author>
    <author>Anastasia Lekkas</author>
  </authors>
  <commentList>
    <comment ref="D175" authorId="0">
      <text>
        <r>
          <rPr>
            <b/>
            <sz val="8"/>
            <color indexed="81"/>
            <rFont val="Tahoma"/>
            <family val="2"/>
          </rPr>
          <t>mbeauchamp:</t>
        </r>
        <r>
          <rPr>
            <sz val="8"/>
            <color indexed="81"/>
            <rFont val="Tahoma"/>
            <family val="2"/>
          </rPr>
          <t xml:space="preserve">
now owns fmr. Thumbplay Tones
</t>
        </r>
      </text>
    </comment>
    <comment ref="D176" authorId="0">
      <text>
        <r>
          <rPr>
            <b/>
            <sz val="8"/>
            <color indexed="81"/>
            <rFont val="Tahoma"/>
            <family val="2"/>
          </rPr>
          <t>mbeauchamp:</t>
        </r>
        <r>
          <rPr>
            <sz val="8"/>
            <color indexed="81"/>
            <rFont val="Tahoma"/>
            <family val="2"/>
          </rPr>
          <t xml:space="preserve">
now owns fmr. Thumbplay Tones
</t>
        </r>
      </text>
    </comment>
    <comment ref="AA224" authorId="1">
      <text>
        <r>
          <rPr>
            <b/>
            <sz val="8"/>
            <color indexed="81"/>
            <rFont val="Tahoma"/>
            <family val="2"/>
          </rPr>
          <t>Anastasia Lekkas:</t>
        </r>
        <r>
          <rPr>
            <sz val="8"/>
            <color indexed="81"/>
            <rFont val="Tahoma"/>
            <family val="2"/>
          </rPr>
          <t xml:space="preserve">
Reclass YouTube to Video
</t>
        </r>
      </text>
    </comment>
    <comment ref="AA225" authorId="1">
      <text>
        <r>
          <rPr>
            <b/>
            <sz val="8"/>
            <color indexed="81"/>
            <rFont val="Tahoma"/>
            <family val="2"/>
          </rPr>
          <t>Anastasia Lekkas:</t>
        </r>
        <r>
          <rPr>
            <sz val="8"/>
            <color indexed="81"/>
            <rFont val="Tahoma"/>
            <family val="2"/>
          </rPr>
          <t xml:space="preserve">
Reclass Itunes to Video
</t>
        </r>
      </text>
    </comment>
  </commentList>
</comments>
</file>

<file path=xl/comments23.xml><?xml version="1.0" encoding="utf-8"?>
<comments xmlns="http://schemas.openxmlformats.org/spreadsheetml/2006/main">
  <authors>
    <author>mbeauchamp</author>
    <author>Anastasia Lekkas</author>
  </authors>
  <commentList>
    <comment ref="D174" authorId="0">
      <text>
        <r>
          <rPr>
            <b/>
            <sz val="8"/>
            <color indexed="81"/>
            <rFont val="Tahoma"/>
            <family val="2"/>
          </rPr>
          <t>mbeauchamp:</t>
        </r>
        <r>
          <rPr>
            <sz val="8"/>
            <color indexed="81"/>
            <rFont val="Tahoma"/>
            <family val="2"/>
          </rPr>
          <t xml:space="preserve">
now owns fmr. Thumbplay Tones
</t>
        </r>
      </text>
    </comment>
    <comment ref="D175" authorId="0">
      <text>
        <r>
          <rPr>
            <b/>
            <sz val="8"/>
            <color indexed="81"/>
            <rFont val="Tahoma"/>
            <family val="2"/>
          </rPr>
          <t>mbeauchamp:</t>
        </r>
        <r>
          <rPr>
            <sz val="8"/>
            <color indexed="81"/>
            <rFont val="Tahoma"/>
            <family val="2"/>
          </rPr>
          <t xml:space="preserve">
now owns fmr. Thumbplay Tones
</t>
        </r>
      </text>
    </comment>
    <comment ref="AA223" authorId="1">
      <text>
        <r>
          <rPr>
            <b/>
            <sz val="8"/>
            <color indexed="81"/>
            <rFont val="Tahoma"/>
            <family val="2"/>
          </rPr>
          <t>Anastasia Lekkas:</t>
        </r>
        <r>
          <rPr>
            <sz val="8"/>
            <color indexed="81"/>
            <rFont val="Tahoma"/>
            <family val="2"/>
          </rPr>
          <t xml:space="preserve">
Reclass YouTube to Video
</t>
        </r>
      </text>
    </comment>
    <comment ref="AA224" authorId="1">
      <text>
        <r>
          <rPr>
            <b/>
            <sz val="8"/>
            <color indexed="81"/>
            <rFont val="Tahoma"/>
            <family val="2"/>
          </rPr>
          <t>Anastasia Lekkas:</t>
        </r>
        <r>
          <rPr>
            <sz val="8"/>
            <color indexed="81"/>
            <rFont val="Tahoma"/>
            <family val="2"/>
          </rPr>
          <t xml:space="preserve">
Reclass Itunes to Video
</t>
        </r>
      </text>
    </comment>
  </commentList>
</comments>
</file>

<file path=xl/comments24.xml><?xml version="1.0" encoding="utf-8"?>
<comments xmlns="http://schemas.openxmlformats.org/spreadsheetml/2006/main">
  <authors>
    <author>mbeauchamp</author>
    <author>Anastasia Lekkas</author>
  </authors>
  <commentList>
    <comment ref="D195" authorId="0">
      <text>
        <r>
          <rPr>
            <b/>
            <sz val="8"/>
            <color indexed="81"/>
            <rFont val="Tahoma"/>
            <family val="2"/>
          </rPr>
          <t>mbeauchamp:</t>
        </r>
        <r>
          <rPr>
            <sz val="8"/>
            <color indexed="81"/>
            <rFont val="Tahoma"/>
            <family val="2"/>
          </rPr>
          <t xml:space="preserve">
now owns fmr. Thumbplay Tones
</t>
        </r>
      </text>
    </comment>
    <comment ref="D196" authorId="0">
      <text>
        <r>
          <rPr>
            <b/>
            <sz val="8"/>
            <color indexed="81"/>
            <rFont val="Tahoma"/>
            <family val="2"/>
          </rPr>
          <t>mbeauchamp:</t>
        </r>
        <r>
          <rPr>
            <sz val="8"/>
            <color indexed="81"/>
            <rFont val="Tahoma"/>
            <family val="2"/>
          </rPr>
          <t xml:space="preserve">
now owns fmr. Thumbplay Tones
</t>
        </r>
      </text>
    </comment>
    <comment ref="AA258" authorId="1">
      <text>
        <r>
          <rPr>
            <b/>
            <sz val="8"/>
            <color indexed="81"/>
            <rFont val="Tahoma"/>
            <family val="2"/>
          </rPr>
          <t>Anastasia Lekkas:</t>
        </r>
        <r>
          <rPr>
            <sz val="8"/>
            <color indexed="81"/>
            <rFont val="Tahoma"/>
            <family val="2"/>
          </rPr>
          <t xml:space="preserve">
Reclass YouTube to Video
</t>
        </r>
      </text>
    </comment>
    <comment ref="AA259" authorId="1">
      <text>
        <r>
          <rPr>
            <b/>
            <sz val="8"/>
            <color indexed="81"/>
            <rFont val="Tahoma"/>
            <family val="2"/>
          </rPr>
          <t>Anastasia Lekkas:</t>
        </r>
        <r>
          <rPr>
            <sz val="8"/>
            <color indexed="81"/>
            <rFont val="Tahoma"/>
            <family val="2"/>
          </rPr>
          <t xml:space="preserve">
Reclass Itunes to Video
</t>
        </r>
      </text>
    </comment>
  </commentList>
</comments>
</file>

<file path=xl/comments25.xml><?xml version="1.0" encoding="utf-8"?>
<comments xmlns="http://schemas.openxmlformats.org/spreadsheetml/2006/main">
  <authors>
    <author>mbeauchamp</author>
    <author>Anastasia Lekkas</author>
  </authors>
  <commentList>
    <comment ref="D192" authorId="0">
      <text>
        <r>
          <rPr>
            <b/>
            <sz val="8"/>
            <color indexed="81"/>
            <rFont val="Tahoma"/>
            <family val="2"/>
          </rPr>
          <t>mbeauchamp:</t>
        </r>
        <r>
          <rPr>
            <sz val="8"/>
            <color indexed="81"/>
            <rFont val="Tahoma"/>
            <family val="2"/>
          </rPr>
          <t xml:space="preserve">
now owns fmr. Thumbplay Tones
</t>
        </r>
      </text>
    </comment>
    <comment ref="D193" authorId="0">
      <text>
        <r>
          <rPr>
            <b/>
            <sz val="8"/>
            <color indexed="81"/>
            <rFont val="Tahoma"/>
            <family val="2"/>
          </rPr>
          <t>mbeauchamp:</t>
        </r>
        <r>
          <rPr>
            <sz val="8"/>
            <color indexed="81"/>
            <rFont val="Tahoma"/>
            <family val="2"/>
          </rPr>
          <t xml:space="preserve">
now owns fmr. Thumbplay Tones
</t>
        </r>
      </text>
    </comment>
    <comment ref="AA254" authorId="1">
      <text>
        <r>
          <rPr>
            <b/>
            <sz val="8"/>
            <color indexed="81"/>
            <rFont val="Tahoma"/>
            <family val="2"/>
          </rPr>
          <t>Anastasia Lekkas:</t>
        </r>
        <r>
          <rPr>
            <sz val="8"/>
            <color indexed="81"/>
            <rFont val="Tahoma"/>
            <family val="2"/>
          </rPr>
          <t xml:space="preserve">
Reclass YouTube to Video
</t>
        </r>
      </text>
    </comment>
    <comment ref="AA255" authorId="1">
      <text>
        <r>
          <rPr>
            <b/>
            <sz val="8"/>
            <color indexed="81"/>
            <rFont val="Tahoma"/>
            <family val="2"/>
          </rPr>
          <t>Anastasia Lekkas:</t>
        </r>
        <r>
          <rPr>
            <sz val="8"/>
            <color indexed="81"/>
            <rFont val="Tahoma"/>
            <family val="2"/>
          </rPr>
          <t xml:space="preserve">
Reclass Itunes to Video
</t>
        </r>
      </text>
    </comment>
  </commentList>
</comments>
</file>

<file path=xl/comments26.xml><?xml version="1.0" encoding="utf-8"?>
<comments xmlns="http://schemas.openxmlformats.org/spreadsheetml/2006/main">
  <authors>
    <author>mbeauchamp</author>
    <author>Anastasia Lekkas</author>
  </authors>
  <commentList>
    <comment ref="D191" authorId="0">
      <text>
        <r>
          <rPr>
            <b/>
            <sz val="8"/>
            <color indexed="81"/>
            <rFont val="Tahoma"/>
            <family val="2"/>
          </rPr>
          <t>mbeauchamp:</t>
        </r>
        <r>
          <rPr>
            <sz val="8"/>
            <color indexed="81"/>
            <rFont val="Tahoma"/>
            <family val="2"/>
          </rPr>
          <t xml:space="preserve">
now owns fmr. Thumbplay Tones
</t>
        </r>
      </text>
    </comment>
    <comment ref="D192" authorId="0">
      <text>
        <r>
          <rPr>
            <b/>
            <sz val="8"/>
            <color indexed="81"/>
            <rFont val="Tahoma"/>
            <family val="2"/>
          </rPr>
          <t>mbeauchamp:</t>
        </r>
        <r>
          <rPr>
            <sz val="8"/>
            <color indexed="81"/>
            <rFont val="Tahoma"/>
            <family val="2"/>
          </rPr>
          <t xml:space="preserve">
now owns fmr. Thumbplay Tones
</t>
        </r>
      </text>
    </comment>
    <comment ref="AA253" authorId="1">
      <text>
        <r>
          <rPr>
            <b/>
            <sz val="8"/>
            <color indexed="81"/>
            <rFont val="Tahoma"/>
            <family val="2"/>
          </rPr>
          <t>Anastasia Lekkas:</t>
        </r>
        <r>
          <rPr>
            <sz val="8"/>
            <color indexed="81"/>
            <rFont val="Tahoma"/>
            <family val="2"/>
          </rPr>
          <t xml:space="preserve">
Reclass YouTube to Video
</t>
        </r>
      </text>
    </comment>
    <comment ref="AA254" authorId="1">
      <text>
        <r>
          <rPr>
            <b/>
            <sz val="8"/>
            <color indexed="81"/>
            <rFont val="Tahoma"/>
            <family val="2"/>
          </rPr>
          <t>Anastasia Lekkas:</t>
        </r>
        <r>
          <rPr>
            <sz val="8"/>
            <color indexed="81"/>
            <rFont val="Tahoma"/>
            <family val="2"/>
          </rPr>
          <t xml:space="preserve">
Reclass Itunes to Video
</t>
        </r>
      </text>
    </comment>
  </commentList>
</comments>
</file>

<file path=xl/comments27.xml><?xml version="1.0" encoding="utf-8"?>
<comments xmlns="http://schemas.openxmlformats.org/spreadsheetml/2006/main">
  <authors>
    <author>mbeauchamp</author>
    <author>Anastasia Lekkas</author>
  </authors>
  <commentList>
    <comment ref="D194" authorId="0">
      <text>
        <r>
          <rPr>
            <b/>
            <sz val="8"/>
            <color indexed="81"/>
            <rFont val="Tahoma"/>
            <family val="2"/>
          </rPr>
          <t>mbeauchamp:</t>
        </r>
        <r>
          <rPr>
            <sz val="8"/>
            <color indexed="81"/>
            <rFont val="Tahoma"/>
            <family val="2"/>
          </rPr>
          <t xml:space="preserve">
now owns fmr. Thumbplay Tones
</t>
        </r>
      </text>
    </comment>
    <comment ref="AJ194" authorId="0">
      <text>
        <r>
          <rPr>
            <b/>
            <sz val="8"/>
            <color indexed="81"/>
            <rFont val="Tahoma"/>
            <family val="2"/>
          </rPr>
          <t>mbeauchamp:</t>
        </r>
        <r>
          <rPr>
            <sz val="8"/>
            <color indexed="81"/>
            <rFont val="Tahoma"/>
            <family val="2"/>
          </rPr>
          <t xml:space="preserve">
now owns fmr. Thumbplay Tones
</t>
        </r>
      </text>
    </comment>
    <comment ref="D195" authorId="0">
      <text>
        <r>
          <rPr>
            <b/>
            <sz val="8"/>
            <color indexed="81"/>
            <rFont val="Tahoma"/>
            <family val="2"/>
          </rPr>
          <t>mbeauchamp:</t>
        </r>
        <r>
          <rPr>
            <sz val="8"/>
            <color indexed="81"/>
            <rFont val="Tahoma"/>
            <family val="2"/>
          </rPr>
          <t xml:space="preserve">
now owns fmr. Thumbplay Tones
</t>
        </r>
      </text>
    </comment>
    <comment ref="AJ195" authorId="0">
      <text>
        <r>
          <rPr>
            <b/>
            <sz val="8"/>
            <color indexed="81"/>
            <rFont val="Tahoma"/>
            <family val="2"/>
          </rPr>
          <t>mbeauchamp:</t>
        </r>
        <r>
          <rPr>
            <sz val="8"/>
            <color indexed="81"/>
            <rFont val="Tahoma"/>
            <family val="2"/>
          </rPr>
          <t xml:space="preserve">
now owns fmr. Thumbplay Tones
</t>
        </r>
      </text>
    </comment>
    <comment ref="AA256" authorId="1">
      <text>
        <r>
          <rPr>
            <b/>
            <sz val="8"/>
            <color indexed="81"/>
            <rFont val="Tahoma"/>
            <family val="2"/>
          </rPr>
          <t>Anastasia Lekkas:</t>
        </r>
        <r>
          <rPr>
            <sz val="8"/>
            <color indexed="81"/>
            <rFont val="Tahoma"/>
            <family val="2"/>
          </rPr>
          <t xml:space="preserve">
Reclass YouTube to Video
</t>
        </r>
      </text>
    </comment>
    <comment ref="AA257" authorId="1">
      <text>
        <r>
          <rPr>
            <b/>
            <sz val="8"/>
            <color indexed="81"/>
            <rFont val="Tahoma"/>
            <family val="2"/>
          </rPr>
          <t>Anastasia Lekkas:</t>
        </r>
        <r>
          <rPr>
            <sz val="8"/>
            <color indexed="81"/>
            <rFont val="Tahoma"/>
            <family val="2"/>
          </rPr>
          <t xml:space="preserve">
Reclass Itunes to Video
</t>
        </r>
      </text>
    </comment>
  </commentList>
</comments>
</file>

<file path=xl/comments28.xml><?xml version="1.0" encoding="utf-8"?>
<comments xmlns="http://schemas.openxmlformats.org/spreadsheetml/2006/main">
  <authors>
    <author>mbeauchamp</author>
    <author>alekkas</author>
    <author>Anastasia Lekkas</author>
  </authors>
  <commentList>
    <comment ref="D35" authorId="0">
      <text>
        <r>
          <rPr>
            <b/>
            <sz val="8"/>
            <color indexed="81"/>
            <rFont val="Tahoma"/>
            <family val="2"/>
          </rPr>
          <t>mbeauchamp:</t>
        </r>
        <r>
          <rPr>
            <sz val="8"/>
            <color indexed="81"/>
            <rFont val="Tahoma"/>
            <family val="2"/>
          </rPr>
          <t xml:space="preserve">
content pulled from TVT May 2011
</t>
        </r>
      </text>
    </comment>
    <comment ref="I149" authorId="1">
      <text>
        <r>
          <rPr>
            <b/>
            <sz val="9"/>
            <color indexed="81"/>
            <rFont val="Tahoma"/>
            <family val="2"/>
          </rPr>
          <t>alekkas:</t>
        </r>
        <r>
          <rPr>
            <sz val="9"/>
            <color indexed="81"/>
            <rFont val="Tahoma"/>
            <family val="2"/>
          </rPr>
          <t xml:space="preserve">
Termination Letter Sept-2011
</t>
        </r>
      </text>
    </comment>
    <comment ref="D220" authorId="0">
      <text>
        <r>
          <rPr>
            <b/>
            <sz val="8"/>
            <color indexed="81"/>
            <rFont val="Tahoma"/>
            <family val="2"/>
          </rPr>
          <t>mbeauchamp:</t>
        </r>
        <r>
          <rPr>
            <sz val="8"/>
            <color indexed="81"/>
            <rFont val="Tahoma"/>
            <family val="2"/>
          </rPr>
          <t xml:space="preserve">
now owns fmr. Thumbplay Tones
</t>
        </r>
      </text>
    </comment>
    <comment ref="D221" authorId="0">
      <text>
        <r>
          <rPr>
            <b/>
            <sz val="8"/>
            <color indexed="81"/>
            <rFont val="Tahoma"/>
            <family val="2"/>
          </rPr>
          <t>mbeauchamp:</t>
        </r>
        <r>
          <rPr>
            <sz val="8"/>
            <color indexed="81"/>
            <rFont val="Tahoma"/>
            <family val="2"/>
          </rPr>
          <t xml:space="preserve">
now owns fmr. Thumbplay Tones
</t>
        </r>
      </text>
    </comment>
    <comment ref="F241" authorId="0">
      <text>
        <r>
          <rPr>
            <b/>
            <sz val="8"/>
            <color indexed="81"/>
            <rFont val="Tahoma"/>
            <family val="2"/>
          </rPr>
          <t>mbeauchamp:</t>
        </r>
        <r>
          <rPr>
            <sz val="8"/>
            <color indexed="81"/>
            <rFont val="Tahoma"/>
            <family val="2"/>
          </rPr>
          <t xml:space="preserve">
4Q11 accrual entered into GL mistakenly here instead of customer Touchtunes.
</t>
        </r>
      </text>
    </comment>
    <comment ref="AA285" authorId="2">
      <text>
        <r>
          <rPr>
            <b/>
            <sz val="8"/>
            <color indexed="81"/>
            <rFont val="Tahoma"/>
            <family val="2"/>
          </rPr>
          <t>Anastasia Lekkas:</t>
        </r>
        <r>
          <rPr>
            <sz val="8"/>
            <color indexed="81"/>
            <rFont val="Tahoma"/>
            <family val="2"/>
          </rPr>
          <t xml:space="preserve">
Reclass YouTube to Video
</t>
        </r>
      </text>
    </comment>
    <comment ref="AA286" authorId="2">
      <text>
        <r>
          <rPr>
            <b/>
            <sz val="8"/>
            <color indexed="81"/>
            <rFont val="Tahoma"/>
            <family val="2"/>
          </rPr>
          <t>Anastasia Lekkas:</t>
        </r>
        <r>
          <rPr>
            <sz val="8"/>
            <color indexed="81"/>
            <rFont val="Tahoma"/>
            <family val="2"/>
          </rPr>
          <t xml:space="preserve">
Reclass Itunes to Video
</t>
        </r>
      </text>
    </comment>
  </commentList>
</comments>
</file>

<file path=xl/comments29.xml><?xml version="1.0" encoding="utf-8"?>
<comments xmlns="http://schemas.openxmlformats.org/spreadsheetml/2006/main">
  <authors>
    <author>mbeauchamp</author>
    <author>alekkas</author>
    <author>Anastasia Lekkas</author>
  </authors>
  <commentList>
    <comment ref="D35" authorId="0">
      <text>
        <r>
          <rPr>
            <b/>
            <sz val="8"/>
            <color indexed="81"/>
            <rFont val="Tahoma"/>
            <family val="2"/>
          </rPr>
          <t>mbeauchamp:</t>
        </r>
        <r>
          <rPr>
            <sz val="8"/>
            <color indexed="81"/>
            <rFont val="Tahoma"/>
            <family val="2"/>
          </rPr>
          <t xml:space="preserve">
content pulled from TVT May 2011
</t>
        </r>
      </text>
    </comment>
    <comment ref="I147" authorId="1">
      <text>
        <r>
          <rPr>
            <b/>
            <sz val="9"/>
            <color indexed="81"/>
            <rFont val="Tahoma"/>
            <family val="2"/>
          </rPr>
          <t>alekkas:</t>
        </r>
        <r>
          <rPr>
            <sz val="9"/>
            <color indexed="81"/>
            <rFont val="Tahoma"/>
            <family val="2"/>
          </rPr>
          <t xml:space="preserve">
Termination Letter Sept-2011
</t>
        </r>
      </text>
    </comment>
    <comment ref="D218" authorId="0">
      <text>
        <r>
          <rPr>
            <b/>
            <sz val="8"/>
            <color indexed="81"/>
            <rFont val="Tahoma"/>
            <family val="2"/>
          </rPr>
          <t>mbeauchamp:</t>
        </r>
        <r>
          <rPr>
            <sz val="8"/>
            <color indexed="81"/>
            <rFont val="Tahoma"/>
            <family val="2"/>
          </rPr>
          <t xml:space="preserve">
now owns fmr. Thumbplay Tones
</t>
        </r>
      </text>
    </comment>
    <comment ref="D219" authorId="0">
      <text>
        <r>
          <rPr>
            <b/>
            <sz val="8"/>
            <color indexed="81"/>
            <rFont val="Tahoma"/>
            <family val="2"/>
          </rPr>
          <t>mbeauchamp:</t>
        </r>
        <r>
          <rPr>
            <sz val="8"/>
            <color indexed="81"/>
            <rFont val="Tahoma"/>
            <family val="2"/>
          </rPr>
          <t xml:space="preserve">
now owns fmr. Thumbplay Tones
</t>
        </r>
      </text>
    </comment>
    <comment ref="Q239" authorId="0">
      <text>
        <r>
          <rPr>
            <b/>
            <sz val="8"/>
            <color indexed="81"/>
            <rFont val="Tahoma"/>
            <family val="2"/>
          </rPr>
          <t>mbeauchamp:</t>
        </r>
        <r>
          <rPr>
            <sz val="8"/>
            <color indexed="81"/>
            <rFont val="Tahoma"/>
            <family val="2"/>
          </rPr>
          <t xml:space="preserve">
4Q11 accrual entered into GL mistakenly here instead of customer Touchtunes.
</t>
        </r>
      </text>
    </comment>
    <comment ref="AA284" authorId="2">
      <text>
        <r>
          <rPr>
            <b/>
            <sz val="8"/>
            <color indexed="81"/>
            <rFont val="Tahoma"/>
            <family val="2"/>
          </rPr>
          <t>Anastasia Lekkas:</t>
        </r>
        <r>
          <rPr>
            <sz val="8"/>
            <color indexed="81"/>
            <rFont val="Tahoma"/>
            <family val="2"/>
          </rPr>
          <t xml:space="preserve">
Reclass Itunes to Video
</t>
        </r>
      </text>
    </comment>
  </commentList>
</comments>
</file>

<file path=xl/comments3.xml><?xml version="1.0" encoding="utf-8"?>
<comments xmlns="http://schemas.openxmlformats.org/spreadsheetml/2006/main">
  <authors>
    <author>mbeauchamp</author>
    <author>Anastasia Lekkas</author>
  </authors>
  <commentList>
    <comment ref="D187" authorId="0">
      <text>
        <r>
          <rPr>
            <b/>
            <sz val="8"/>
            <color indexed="81"/>
            <rFont val="Tahoma"/>
            <family val="2"/>
          </rPr>
          <t>mbeauchamp:</t>
        </r>
        <r>
          <rPr>
            <sz val="8"/>
            <color indexed="81"/>
            <rFont val="Tahoma"/>
            <family val="2"/>
          </rPr>
          <t xml:space="preserve">
now owns fmr. Thumbplay Tones
</t>
        </r>
      </text>
    </comment>
    <comment ref="AM187" authorId="0">
      <text>
        <r>
          <rPr>
            <b/>
            <sz val="8"/>
            <color indexed="81"/>
            <rFont val="Tahoma"/>
            <family val="2"/>
          </rPr>
          <t>mbeauchamp:</t>
        </r>
        <r>
          <rPr>
            <sz val="8"/>
            <color indexed="81"/>
            <rFont val="Tahoma"/>
            <family val="2"/>
          </rPr>
          <t xml:space="preserve">
now owns fmr. Thumbplay Tones
</t>
        </r>
      </text>
    </comment>
    <comment ref="D188" authorId="0">
      <text>
        <r>
          <rPr>
            <b/>
            <sz val="8"/>
            <color indexed="81"/>
            <rFont val="Tahoma"/>
            <family val="2"/>
          </rPr>
          <t>mbeauchamp:</t>
        </r>
        <r>
          <rPr>
            <sz val="8"/>
            <color indexed="81"/>
            <rFont val="Tahoma"/>
            <family val="2"/>
          </rPr>
          <t xml:space="preserve">
now owns fmr. Thumbplay Tones
</t>
        </r>
      </text>
    </comment>
    <comment ref="AM188" authorId="0">
      <text>
        <r>
          <rPr>
            <b/>
            <sz val="8"/>
            <color indexed="81"/>
            <rFont val="Tahoma"/>
            <family val="2"/>
          </rPr>
          <t>mbeauchamp:</t>
        </r>
        <r>
          <rPr>
            <sz val="8"/>
            <color indexed="81"/>
            <rFont val="Tahoma"/>
            <family val="2"/>
          </rPr>
          <t xml:space="preserve">
now owns fmr. Thumbplay Tones
</t>
        </r>
      </text>
    </comment>
    <comment ref="I238" authorId="0">
      <text>
        <r>
          <rPr>
            <b/>
            <sz val="9"/>
            <color indexed="81"/>
            <rFont val="Tahoma"/>
            <family val="2"/>
          </rPr>
          <t>mbeauchamp:</t>
        </r>
        <r>
          <rPr>
            <sz val="9"/>
            <color indexed="81"/>
            <rFont val="Tahoma"/>
            <family val="2"/>
          </rPr>
          <t xml:space="preserve">
Musicland TVT Breakage
+ 88TC88 Breakage</t>
        </r>
      </text>
    </comment>
    <comment ref="AC241" authorId="1">
      <text>
        <r>
          <rPr>
            <b/>
            <sz val="8"/>
            <color indexed="81"/>
            <rFont val="Tahoma"/>
            <family val="2"/>
          </rPr>
          <t>Anastasia Lekkas:</t>
        </r>
        <r>
          <rPr>
            <sz val="8"/>
            <color indexed="81"/>
            <rFont val="Tahoma"/>
            <family val="2"/>
          </rPr>
          <t xml:space="preserve">
Reclass YouTube to Video
</t>
        </r>
      </text>
    </comment>
    <comment ref="AC242" authorId="1">
      <text>
        <r>
          <rPr>
            <b/>
            <sz val="8"/>
            <color indexed="81"/>
            <rFont val="Tahoma"/>
            <family val="2"/>
          </rPr>
          <t>Anastasia Lekkas:</t>
        </r>
        <r>
          <rPr>
            <sz val="8"/>
            <color indexed="81"/>
            <rFont val="Tahoma"/>
            <family val="2"/>
          </rPr>
          <t xml:space="preserve">
Reclass Itunes to Video
</t>
        </r>
      </text>
    </comment>
  </commentList>
</comments>
</file>

<file path=xl/comments30.xml><?xml version="1.0" encoding="utf-8"?>
<comments xmlns="http://schemas.openxmlformats.org/spreadsheetml/2006/main">
  <authors>
    <author>mbeauchamp</author>
    <author>alekkas</author>
    <author>Anastasia Lekkas</author>
  </authors>
  <commentList>
    <comment ref="D35" authorId="0">
      <text>
        <r>
          <rPr>
            <b/>
            <sz val="8"/>
            <color indexed="81"/>
            <rFont val="Tahoma"/>
            <family val="2"/>
          </rPr>
          <t>mbeauchamp:</t>
        </r>
        <r>
          <rPr>
            <sz val="8"/>
            <color indexed="81"/>
            <rFont val="Tahoma"/>
            <family val="2"/>
          </rPr>
          <t xml:space="preserve">
content pulled from TVT May 2011
</t>
        </r>
      </text>
    </comment>
    <comment ref="E112" authorId="1">
      <text>
        <r>
          <rPr>
            <b/>
            <sz val="9"/>
            <color indexed="81"/>
            <rFont val="Tahoma"/>
            <family val="2"/>
          </rPr>
          <t>alekkas:</t>
        </r>
        <r>
          <rPr>
            <sz val="9"/>
            <color indexed="81"/>
            <rFont val="Tahoma"/>
            <family val="2"/>
          </rPr>
          <t xml:space="preserve">
Invoice Processed Twice for Q410
</t>
        </r>
      </text>
    </comment>
    <comment ref="E113" authorId="1">
      <text>
        <r>
          <rPr>
            <b/>
            <sz val="9"/>
            <color indexed="81"/>
            <rFont val="Tahoma"/>
            <family val="2"/>
          </rPr>
          <t>alekkas:</t>
        </r>
        <r>
          <rPr>
            <sz val="9"/>
            <color indexed="81"/>
            <rFont val="Tahoma"/>
            <family val="2"/>
          </rPr>
          <t xml:space="preserve">
Invoice Processed Twice for Q410
</t>
        </r>
      </text>
    </comment>
    <comment ref="I144" authorId="1">
      <text>
        <r>
          <rPr>
            <b/>
            <sz val="9"/>
            <color indexed="81"/>
            <rFont val="Tahoma"/>
            <family val="2"/>
          </rPr>
          <t>alekkas:</t>
        </r>
        <r>
          <rPr>
            <sz val="9"/>
            <color indexed="81"/>
            <rFont val="Tahoma"/>
            <family val="2"/>
          </rPr>
          <t xml:space="preserve">
Termination Letter Sept-2011
</t>
        </r>
      </text>
    </comment>
    <comment ref="G145" authorId="1">
      <text>
        <r>
          <rPr>
            <b/>
            <sz val="9"/>
            <color indexed="81"/>
            <rFont val="Tahoma"/>
            <family val="2"/>
          </rPr>
          <t>alekkas:</t>
        </r>
        <r>
          <rPr>
            <sz val="9"/>
            <color indexed="81"/>
            <rFont val="Tahoma"/>
            <family val="2"/>
          </rPr>
          <t xml:space="preserve">
contract between Mercury Mobility and The Orchard has expired.Your email of June 23rd assured us there would be no further sales, and yet we are seeing our content being sold in July 2011. James Kass has followed up to request content be taken down.</t>
        </r>
      </text>
    </comment>
    <comment ref="H212" authorId="1">
      <text>
        <r>
          <rPr>
            <b/>
            <sz val="9"/>
            <color indexed="81"/>
            <rFont val="Tahoma"/>
            <family val="2"/>
          </rPr>
          <t xml:space="preserve">alekkas:
Terminated July 2011
</t>
        </r>
      </text>
    </comment>
    <comment ref="D213" authorId="0">
      <text>
        <r>
          <rPr>
            <b/>
            <sz val="8"/>
            <color indexed="81"/>
            <rFont val="Tahoma"/>
            <family val="2"/>
          </rPr>
          <t>mbeauchamp:</t>
        </r>
        <r>
          <rPr>
            <sz val="8"/>
            <color indexed="81"/>
            <rFont val="Tahoma"/>
            <family val="2"/>
          </rPr>
          <t xml:space="preserve">
now owns fmr. Thumbplay Tones
</t>
        </r>
      </text>
    </comment>
    <comment ref="R242" authorId="0">
      <text>
        <r>
          <rPr>
            <b/>
            <sz val="8"/>
            <color indexed="81"/>
            <rFont val="Tahoma"/>
            <family val="2"/>
          </rPr>
          <t>mbeauchamp:</t>
        </r>
        <r>
          <rPr>
            <sz val="8"/>
            <color indexed="81"/>
            <rFont val="Tahoma"/>
            <family val="2"/>
          </rPr>
          <t xml:space="preserve">
$17,925 - July
</t>
        </r>
      </text>
    </comment>
    <comment ref="L255" authorId="0">
      <text>
        <r>
          <rPr>
            <b/>
            <sz val="8"/>
            <color indexed="81"/>
            <rFont val="Tahoma"/>
            <family val="2"/>
          </rPr>
          <t>mbeauchamp:</t>
        </r>
        <r>
          <rPr>
            <sz val="8"/>
            <color indexed="81"/>
            <rFont val="Tahoma"/>
            <family val="2"/>
          </rPr>
          <t xml:space="preserve">
July/Aug Prelim</t>
        </r>
      </text>
    </comment>
    <comment ref="L256" authorId="0">
      <text>
        <r>
          <rPr>
            <b/>
            <sz val="8"/>
            <color indexed="81"/>
            <rFont val="Tahoma"/>
            <family val="2"/>
          </rPr>
          <t>mbeauchamp:</t>
        </r>
        <r>
          <rPr>
            <sz val="8"/>
            <color indexed="81"/>
            <rFont val="Tahoma"/>
            <family val="2"/>
          </rPr>
          <t xml:space="preserve">
July/Aug Prelim</t>
        </r>
      </text>
    </comment>
    <comment ref="E268" authorId="2">
      <text>
        <r>
          <rPr>
            <b/>
            <sz val="8"/>
            <color indexed="81"/>
            <rFont val="Tahoma"/>
            <family val="2"/>
          </rPr>
          <t>Anastasia Lekkas:</t>
        </r>
        <r>
          <rPr>
            <sz val="8"/>
            <color indexed="81"/>
            <rFont val="Tahoma"/>
            <family val="2"/>
          </rPr>
          <t xml:space="preserve">
January/February/March 2011
</t>
        </r>
      </text>
    </comment>
    <comment ref="AA273" authorId="2">
      <text>
        <r>
          <rPr>
            <b/>
            <sz val="8"/>
            <color indexed="81"/>
            <rFont val="Tahoma"/>
            <family val="2"/>
          </rPr>
          <t>Anastasia Lekkas:</t>
        </r>
        <r>
          <rPr>
            <sz val="8"/>
            <color indexed="81"/>
            <rFont val="Tahoma"/>
            <family val="2"/>
          </rPr>
          <t xml:space="preserve">
Reclass Itunes to Video
</t>
        </r>
      </text>
    </comment>
  </commentList>
</comments>
</file>

<file path=xl/comments31.xml><?xml version="1.0" encoding="utf-8"?>
<comments xmlns="http://schemas.openxmlformats.org/spreadsheetml/2006/main">
  <authors>
    <author>mbeauchamp</author>
    <author>Anastasia Lekkas</author>
  </authors>
  <commentList>
    <comment ref="C34" authorId="0">
      <text>
        <r>
          <rPr>
            <b/>
            <sz val="8"/>
            <color indexed="81"/>
            <rFont val="Tahoma"/>
            <family val="2"/>
          </rPr>
          <t>mbeauchamp:</t>
        </r>
        <r>
          <rPr>
            <sz val="8"/>
            <color indexed="81"/>
            <rFont val="Tahoma"/>
            <family val="2"/>
          </rPr>
          <t xml:space="preserve">
content pulled from TVT May 2011
</t>
        </r>
      </text>
    </comment>
    <comment ref="Q109" authorId="0">
      <text>
        <r>
          <rPr>
            <b/>
            <sz val="8"/>
            <color indexed="81"/>
            <rFont val="Tahoma"/>
            <family val="2"/>
          </rPr>
          <t>mbeauchamp:</t>
        </r>
        <r>
          <rPr>
            <sz val="8"/>
            <color indexed="81"/>
            <rFont val="Tahoma"/>
            <family val="2"/>
          </rPr>
          <t xml:space="preserve">
$1,851 Apr/May BR
</t>
        </r>
      </text>
    </comment>
    <comment ref="K111" authorId="1">
      <text>
        <r>
          <rPr>
            <b/>
            <sz val="8"/>
            <color indexed="81"/>
            <rFont val="Tahoma"/>
            <family val="2"/>
          </rPr>
          <t>Anastasia Lekkas:</t>
        </r>
        <r>
          <rPr>
            <sz val="8"/>
            <color indexed="81"/>
            <rFont val="Tahoma"/>
            <family val="2"/>
          </rPr>
          <t xml:space="preserve">
April &amp; May Prelim Report
</t>
        </r>
      </text>
    </comment>
    <comment ref="C115" authorId="1">
      <text>
        <r>
          <rPr>
            <b/>
            <sz val="8"/>
            <color indexed="81"/>
            <rFont val="Tahoma"/>
            <family val="2"/>
          </rPr>
          <t>Anastasia Lekkas:</t>
        </r>
        <r>
          <rPr>
            <sz val="8"/>
            <color indexed="81"/>
            <rFont val="Tahoma"/>
            <family val="2"/>
          </rPr>
          <t xml:space="preserve">
Booked to contra revenue not 4000.
</t>
        </r>
      </text>
    </comment>
    <comment ref="D206" authorId="1">
      <text>
        <r>
          <rPr>
            <b/>
            <sz val="8"/>
            <color indexed="81"/>
            <rFont val="Tahoma"/>
            <family val="2"/>
          </rPr>
          <t>Anastasia Lekkas:</t>
        </r>
        <r>
          <rPr>
            <sz val="8"/>
            <color indexed="81"/>
            <rFont val="Tahoma"/>
            <family val="2"/>
          </rPr>
          <t xml:space="preserve">
Credit for older invoices.
</t>
        </r>
      </text>
    </comment>
    <comment ref="C209" authorId="0">
      <text>
        <r>
          <rPr>
            <b/>
            <sz val="8"/>
            <color indexed="81"/>
            <rFont val="Tahoma"/>
            <family val="2"/>
          </rPr>
          <t>mbeauchamp:</t>
        </r>
        <r>
          <rPr>
            <sz val="8"/>
            <color indexed="81"/>
            <rFont val="Tahoma"/>
            <family val="2"/>
          </rPr>
          <t xml:space="preserve">
now owns fmr. Thumbplay Tones
</t>
        </r>
      </text>
    </comment>
    <comment ref="Q217" authorId="1">
      <text>
        <r>
          <rPr>
            <b/>
            <sz val="8"/>
            <color indexed="81"/>
            <rFont val="Tahoma"/>
            <family val="2"/>
          </rPr>
          <t>Anastasia Lekkas:</t>
        </r>
        <r>
          <rPr>
            <sz val="8"/>
            <color indexed="81"/>
            <rFont val="Tahoma"/>
            <family val="2"/>
          </rPr>
          <t xml:space="preserve">
May, 385K
</t>
        </r>
      </text>
    </comment>
    <comment ref="Q218" authorId="1">
      <text>
        <r>
          <rPr>
            <b/>
            <sz val="8"/>
            <color indexed="81"/>
            <rFont val="Tahoma"/>
            <family val="2"/>
          </rPr>
          <t>Anastasia Lekkas:</t>
        </r>
        <r>
          <rPr>
            <sz val="8"/>
            <color indexed="81"/>
            <rFont val="Tahoma"/>
            <family val="2"/>
          </rPr>
          <t xml:space="preserve">
May, 385K
</t>
        </r>
      </text>
    </comment>
    <comment ref="K251" authorId="1">
      <text>
        <r>
          <rPr>
            <b/>
            <sz val="8"/>
            <color indexed="81"/>
            <rFont val="Tahoma"/>
            <family val="2"/>
          </rPr>
          <t>Anastasia Lekkas:</t>
        </r>
        <r>
          <rPr>
            <sz val="8"/>
            <color indexed="81"/>
            <rFont val="Tahoma"/>
            <family val="2"/>
          </rPr>
          <t xml:space="preserve">
April &amp; March
</t>
        </r>
      </text>
    </comment>
    <comment ref="K252" authorId="1">
      <text>
        <r>
          <rPr>
            <b/>
            <sz val="8"/>
            <color indexed="81"/>
            <rFont val="Tahoma"/>
            <family val="2"/>
          </rPr>
          <t>Anastasia Lekkas:</t>
        </r>
        <r>
          <rPr>
            <sz val="8"/>
            <color indexed="81"/>
            <rFont val="Tahoma"/>
            <family val="2"/>
          </rPr>
          <t xml:space="preserve">
April &amp; March
</t>
        </r>
      </text>
    </comment>
    <comment ref="Q264" authorId="1">
      <text>
        <r>
          <rPr>
            <b/>
            <sz val="8"/>
            <color indexed="81"/>
            <rFont val="Tahoma"/>
            <family val="2"/>
          </rPr>
          <t>Anastasia Lekkas:</t>
        </r>
        <r>
          <rPr>
            <sz val="8"/>
            <color indexed="81"/>
            <rFont val="Tahoma"/>
            <family val="2"/>
          </rPr>
          <t xml:space="preserve">
April/May 2011
</t>
        </r>
      </text>
    </comment>
    <comment ref="Z269" authorId="1">
      <text>
        <r>
          <rPr>
            <b/>
            <sz val="8"/>
            <color indexed="81"/>
            <rFont val="Tahoma"/>
            <family val="2"/>
          </rPr>
          <t>Anastasia Lekkas:</t>
        </r>
        <r>
          <rPr>
            <sz val="8"/>
            <color indexed="81"/>
            <rFont val="Tahoma"/>
            <family val="2"/>
          </rPr>
          <t xml:space="preserve">
Reclass Itunes to Video
</t>
        </r>
      </text>
    </comment>
  </commentList>
</comments>
</file>

<file path=xl/comments32.xml><?xml version="1.0" encoding="utf-8"?>
<comments xmlns="http://schemas.openxmlformats.org/spreadsheetml/2006/main">
  <authors>
    <author>mbeauchamp</author>
    <author>Anastasia Lekkas</author>
  </authors>
  <commentList>
    <comment ref="Q29" authorId="0">
      <text>
        <r>
          <rPr>
            <b/>
            <sz val="8"/>
            <color indexed="81"/>
            <rFont val="Tahoma"/>
            <family val="2"/>
          </rPr>
          <t xml:space="preserve">mbeauchamp:
$41,161 4Q 2010
Anastasia Lekkas:
$40,388  1Q 2011
</t>
        </r>
      </text>
    </comment>
    <comment ref="L35" authorId="1">
      <text>
        <r>
          <rPr>
            <b/>
            <sz val="8"/>
            <color indexed="81"/>
            <rFont val="Tahoma"/>
            <family val="2"/>
          </rPr>
          <t>Anastasia Lekkas:</t>
        </r>
        <r>
          <rPr>
            <sz val="8"/>
            <color indexed="81"/>
            <rFont val="Tahoma"/>
            <family val="2"/>
          </rPr>
          <t xml:space="preserve">
Seasonaly a bit too high to use average we are going with February numbers.
</t>
        </r>
      </text>
    </comment>
    <comment ref="L53" authorId="1">
      <text>
        <r>
          <rPr>
            <b/>
            <sz val="8"/>
            <color indexed="81"/>
            <rFont val="Tahoma"/>
            <family val="2"/>
          </rPr>
          <t>Anastasia Lekkas:</t>
        </r>
        <r>
          <rPr>
            <sz val="8"/>
            <color indexed="81"/>
            <rFont val="Tahoma"/>
            <family val="2"/>
          </rPr>
          <t xml:space="preserve">
6 mos =$1500
</t>
        </r>
      </text>
    </comment>
    <comment ref="L78" authorId="1">
      <text>
        <r>
          <rPr>
            <b/>
            <sz val="8"/>
            <color indexed="81"/>
            <rFont val="Tahoma"/>
            <family val="2"/>
          </rPr>
          <t>Anastasia Lekkas:</t>
        </r>
        <r>
          <rPr>
            <sz val="8"/>
            <color indexed="81"/>
            <rFont val="Tahoma"/>
            <family val="2"/>
          </rPr>
          <t xml:space="preserve">
Emusic q111 expected to be .25% lower than q410 due to market positioning &amp; planned direction.
</t>
        </r>
      </text>
    </comment>
    <comment ref="L79" authorId="1">
      <text>
        <r>
          <rPr>
            <b/>
            <sz val="8"/>
            <color indexed="81"/>
            <rFont val="Tahoma"/>
            <family val="2"/>
          </rPr>
          <t>Anastasia Lekkas:</t>
        </r>
        <r>
          <rPr>
            <sz val="8"/>
            <color indexed="81"/>
            <rFont val="Tahoma"/>
            <family val="2"/>
          </rPr>
          <t xml:space="preserve">
Emusic q111 expected to be .25% lower than q410 due to market positioning &amp; planned direction.
</t>
        </r>
      </text>
    </comment>
    <comment ref="L80" authorId="1">
      <text>
        <r>
          <rPr>
            <b/>
            <sz val="8"/>
            <color indexed="81"/>
            <rFont val="Tahoma"/>
            <family val="2"/>
          </rPr>
          <t>Anastasia Lekkas:</t>
        </r>
        <r>
          <rPr>
            <sz val="8"/>
            <color indexed="81"/>
            <rFont val="Tahoma"/>
            <family val="2"/>
          </rPr>
          <t xml:space="preserve">
Emusic q111 expected to be .25% lower than q410 due to market positioning &amp; planned direction.
</t>
        </r>
      </text>
    </comment>
    <comment ref="L81" authorId="1">
      <text>
        <r>
          <rPr>
            <b/>
            <sz val="8"/>
            <color indexed="81"/>
            <rFont val="Tahoma"/>
            <family val="2"/>
          </rPr>
          <t>Anastasia Lekkas:</t>
        </r>
        <r>
          <rPr>
            <sz val="8"/>
            <color indexed="81"/>
            <rFont val="Tahoma"/>
            <family val="2"/>
          </rPr>
          <t xml:space="preserve">
Emusic q111 expected to be .25% lower than q410 due to market positioning &amp; planned direction.
</t>
        </r>
      </text>
    </comment>
    <comment ref="L82" authorId="1">
      <text>
        <r>
          <rPr>
            <b/>
            <sz val="8"/>
            <color indexed="81"/>
            <rFont val="Tahoma"/>
            <family val="2"/>
          </rPr>
          <t>Anastasia Lekkas:</t>
        </r>
        <r>
          <rPr>
            <sz val="8"/>
            <color indexed="81"/>
            <rFont val="Tahoma"/>
            <family val="2"/>
          </rPr>
          <t xml:space="preserve">
Emusic q111 expected to be .25% lower than q410 due to market positioning &amp; planned direction.
</t>
        </r>
      </text>
    </comment>
    <comment ref="L110" authorId="0">
      <text>
        <r>
          <rPr>
            <b/>
            <sz val="8"/>
            <color indexed="81"/>
            <rFont val="Tahoma"/>
            <family val="2"/>
          </rPr>
          <t>mbeauchamp:</t>
        </r>
        <r>
          <rPr>
            <sz val="8"/>
            <color indexed="81"/>
            <rFont val="Tahoma"/>
            <family val="2"/>
          </rPr>
          <t xml:space="preserve">
Jan 11 est only
</t>
        </r>
      </text>
    </comment>
    <comment ref="L175" authorId="1">
      <text>
        <r>
          <rPr>
            <b/>
            <sz val="8"/>
            <color indexed="81"/>
            <rFont val="Tahoma"/>
            <family val="2"/>
          </rPr>
          <t>Anastasia Lekkas:</t>
        </r>
        <r>
          <rPr>
            <sz val="8"/>
            <color indexed="81"/>
            <rFont val="Tahoma"/>
            <family val="2"/>
          </rPr>
          <t xml:space="preserve">
11K was paid in Dec.2010 does not include Dec. Sales hence 5K accrual estimate.
</t>
        </r>
      </text>
    </comment>
    <comment ref="C209" authorId="0">
      <text>
        <r>
          <rPr>
            <b/>
            <sz val="8"/>
            <color indexed="81"/>
            <rFont val="Tahoma"/>
            <family val="2"/>
          </rPr>
          <t>mbeauchamp:</t>
        </r>
        <r>
          <rPr>
            <sz val="8"/>
            <color indexed="81"/>
            <rFont val="Tahoma"/>
            <family val="2"/>
          </rPr>
          <t xml:space="preserve">
now owns fmr. Thumbplay Tones
</t>
        </r>
      </text>
    </comment>
    <comment ref="L232" authorId="1">
      <text>
        <r>
          <rPr>
            <b/>
            <sz val="8"/>
            <color indexed="81"/>
            <rFont val="Tahoma"/>
            <family val="2"/>
          </rPr>
          <t>Anastasia Lekkas:</t>
        </r>
        <r>
          <rPr>
            <sz val="8"/>
            <color indexed="81"/>
            <rFont val="Tahoma"/>
            <family val="2"/>
          </rPr>
          <t xml:space="preserve">
Seasonaly a bit too high to use average we are going with February numbers.
</t>
        </r>
      </text>
    </comment>
    <comment ref="L233" authorId="1">
      <text>
        <r>
          <rPr>
            <b/>
            <sz val="8"/>
            <color indexed="81"/>
            <rFont val="Tahoma"/>
            <family val="2"/>
          </rPr>
          <t>Anastasia Lekkas:</t>
        </r>
        <r>
          <rPr>
            <sz val="8"/>
            <color indexed="81"/>
            <rFont val="Tahoma"/>
            <family val="2"/>
          </rPr>
          <t xml:space="preserve">
Seasonaly a bit too high to use average we are going with February numbers.
</t>
        </r>
      </text>
    </comment>
    <comment ref="Z274" authorId="1">
      <text>
        <r>
          <rPr>
            <b/>
            <sz val="8"/>
            <color indexed="81"/>
            <rFont val="Tahoma"/>
            <family val="2"/>
          </rPr>
          <t>Anastasia Lekkas:</t>
        </r>
        <r>
          <rPr>
            <sz val="8"/>
            <color indexed="81"/>
            <rFont val="Tahoma"/>
            <family val="2"/>
          </rPr>
          <t xml:space="preserve">
Reclass Itunes to Video
</t>
        </r>
      </text>
    </comment>
  </commentList>
</comments>
</file>

<file path=xl/comments33.xml><?xml version="1.0" encoding="utf-8"?>
<comments xmlns="http://schemas.openxmlformats.org/spreadsheetml/2006/main">
  <authors>
    <author>mbeauchamp</author>
    <author>Anastasia Lekkas</author>
  </authors>
  <commentList>
    <comment ref="N21" authorId="0">
      <text>
        <r>
          <rPr>
            <b/>
            <sz val="8"/>
            <color indexed="81"/>
            <rFont val="Tahoma"/>
            <family val="2"/>
          </rPr>
          <t>mbeauchamp:</t>
        </r>
        <r>
          <rPr>
            <sz val="8"/>
            <color indexed="81"/>
            <rFont val="Tahoma"/>
            <family val="2"/>
          </rPr>
          <t xml:space="preserve">
Includes Sept $35k invoiced in Oct.</t>
        </r>
      </text>
    </comment>
    <comment ref="C29" authorId="1">
      <text>
        <r>
          <rPr>
            <b/>
            <sz val="8"/>
            <color indexed="81"/>
            <rFont val="Tahoma"/>
            <family val="2"/>
          </rPr>
          <t>Anastasia Lekkas:</t>
        </r>
        <r>
          <rPr>
            <sz val="8"/>
            <color indexed="81"/>
            <rFont val="Tahoma"/>
            <family val="2"/>
          </rPr>
          <t xml:space="preserve">
Requesting Estimates for Q410
</t>
        </r>
      </text>
    </comment>
    <comment ref="N35" authorId="0">
      <text>
        <r>
          <rPr>
            <b/>
            <sz val="8"/>
            <color indexed="81"/>
            <rFont val="Tahoma"/>
            <family val="2"/>
          </rPr>
          <t>mbeauchamp:</t>
        </r>
        <r>
          <rPr>
            <sz val="8"/>
            <color indexed="81"/>
            <rFont val="Tahoma"/>
            <family val="2"/>
          </rPr>
          <t xml:space="preserve">
Includes $237k for Sept invoiced Oct.
</t>
        </r>
      </text>
    </comment>
    <comment ref="N37" authorId="0">
      <text>
        <r>
          <rPr>
            <b/>
            <sz val="8"/>
            <color indexed="81"/>
            <rFont val="Tahoma"/>
            <family val="2"/>
          </rPr>
          <t>mbeauchamp:</t>
        </r>
        <r>
          <rPr>
            <sz val="8"/>
            <color indexed="81"/>
            <rFont val="Tahoma"/>
            <family val="2"/>
          </rPr>
          <t xml:space="preserve">
Includes $113k for Sep invoiced Oct.
</t>
        </r>
      </text>
    </comment>
    <comment ref="N53" authorId="0">
      <text>
        <r>
          <rPr>
            <b/>
            <sz val="8"/>
            <color indexed="81"/>
            <rFont val="Tahoma"/>
            <family val="2"/>
          </rPr>
          <t>mbeauchamp:</t>
        </r>
        <r>
          <rPr>
            <sz val="8"/>
            <color indexed="81"/>
            <rFont val="Tahoma"/>
            <family val="2"/>
          </rPr>
          <t xml:space="preserve">
Includes $13k for Sept invoiced in Oct
</t>
        </r>
      </text>
    </comment>
    <comment ref="N65" authorId="0">
      <text>
        <r>
          <rPr>
            <b/>
            <sz val="8"/>
            <color indexed="81"/>
            <rFont val="Tahoma"/>
            <family val="2"/>
          </rPr>
          <t>mbeauchamp:</t>
        </r>
        <r>
          <rPr>
            <sz val="8"/>
            <color indexed="81"/>
            <rFont val="Tahoma"/>
            <family val="2"/>
          </rPr>
          <t xml:space="preserve">
Includes $7k for Sept invoiced in Oct
</t>
        </r>
      </text>
    </comment>
    <comment ref="N87" authorId="0">
      <text>
        <r>
          <rPr>
            <b/>
            <sz val="8"/>
            <color indexed="81"/>
            <rFont val="Tahoma"/>
            <family val="2"/>
          </rPr>
          <t>mbeauchamp:</t>
        </r>
        <r>
          <rPr>
            <sz val="8"/>
            <color indexed="81"/>
            <rFont val="Tahoma"/>
            <family val="2"/>
          </rPr>
          <t xml:space="preserve">
Includes $28k for Sept invoiced in Oct
</t>
        </r>
      </text>
    </comment>
    <comment ref="N112" authorId="0">
      <text>
        <r>
          <rPr>
            <b/>
            <sz val="8"/>
            <color indexed="81"/>
            <rFont val="Tahoma"/>
            <family val="2"/>
          </rPr>
          <t>mbeauchamp:</t>
        </r>
        <r>
          <rPr>
            <sz val="8"/>
            <color indexed="81"/>
            <rFont val="Tahoma"/>
            <family val="2"/>
          </rPr>
          <t xml:space="preserve">
Approx. $12k difference between Tax/fX
</t>
        </r>
      </text>
    </comment>
    <comment ref="N133" authorId="0">
      <text>
        <r>
          <rPr>
            <b/>
            <sz val="8"/>
            <color indexed="81"/>
            <rFont val="Tahoma"/>
            <family val="2"/>
          </rPr>
          <t>mbeauchamp:</t>
        </r>
        <r>
          <rPr>
            <sz val="8"/>
            <color indexed="81"/>
            <rFont val="Tahoma"/>
            <family val="2"/>
          </rPr>
          <t xml:space="preserve">
Approx $21k for Sept invoiced in Oct
</t>
        </r>
      </text>
    </comment>
    <comment ref="C137" authorId="1">
      <text>
        <r>
          <rPr>
            <b/>
            <sz val="8"/>
            <color indexed="81"/>
            <rFont val="Tahoma"/>
            <family val="2"/>
          </rPr>
          <t>Anastasia Lekkas:</t>
        </r>
        <r>
          <rPr>
            <sz val="8"/>
            <color indexed="81"/>
            <rFont val="Tahoma"/>
            <family val="2"/>
          </rPr>
          <t xml:space="preserve">
Requesting Estimates for Q410
</t>
        </r>
      </text>
    </comment>
    <comment ref="K137" authorId="1">
      <text>
        <r>
          <rPr>
            <b/>
            <sz val="8"/>
            <color indexed="81"/>
            <rFont val="Tahoma"/>
            <family val="2"/>
          </rPr>
          <t>Anastasia Lekkas:</t>
        </r>
        <r>
          <rPr>
            <sz val="8"/>
            <color indexed="81"/>
            <rFont val="Tahoma"/>
            <family val="2"/>
          </rPr>
          <t xml:space="preserve">
Number provided by Renee 02.08.11
</t>
        </r>
      </text>
    </comment>
    <comment ref="N149" authorId="0">
      <text>
        <r>
          <rPr>
            <b/>
            <sz val="8"/>
            <color indexed="81"/>
            <rFont val="Tahoma"/>
            <family val="2"/>
          </rPr>
          <t>mbeauchamp:</t>
        </r>
        <r>
          <rPr>
            <sz val="8"/>
            <color indexed="81"/>
            <rFont val="Tahoma"/>
            <family val="2"/>
          </rPr>
          <t xml:space="preserve">
Includes $88k for Aug &amp; Sept invoiced in Oct
</t>
        </r>
      </text>
    </comment>
    <comment ref="C157" authorId="1">
      <text>
        <r>
          <rPr>
            <b/>
            <sz val="8"/>
            <color indexed="81"/>
            <rFont val="Tahoma"/>
            <family val="2"/>
          </rPr>
          <t>Anastasia Lekkas:</t>
        </r>
        <r>
          <rPr>
            <sz val="8"/>
            <color indexed="81"/>
            <rFont val="Tahoma"/>
            <family val="2"/>
          </rPr>
          <t xml:space="preserve">
Requesting Estimates for Q410
</t>
        </r>
      </text>
    </comment>
    <comment ref="K157" authorId="1">
      <text>
        <r>
          <rPr>
            <b/>
            <sz val="8"/>
            <color indexed="81"/>
            <rFont val="Tahoma"/>
            <family val="2"/>
          </rPr>
          <t xml:space="preserve">Anastasia Lekkas: </t>
        </r>
        <r>
          <rPr>
            <sz val="8"/>
            <color indexed="81"/>
            <rFont val="Tahoma"/>
            <family val="2"/>
          </rPr>
          <t xml:space="preserve">Sent by Marina Myspace
</t>
        </r>
        <r>
          <rPr>
            <b/>
            <sz val="8"/>
            <color indexed="81"/>
            <rFont val="Tahoma"/>
            <family val="2"/>
          </rPr>
          <t>Anastasia Lekkas:</t>
        </r>
        <r>
          <rPr>
            <sz val="8"/>
            <color indexed="81"/>
            <rFont val="Tahoma"/>
            <family val="2"/>
          </rPr>
          <t xml:space="preserve">
02.11.11
</t>
        </r>
      </text>
    </comment>
    <comment ref="D160" authorId="1">
      <text>
        <r>
          <rPr>
            <b/>
            <sz val="8"/>
            <color indexed="81"/>
            <rFont val="Tahoma"/>
            <family val="2"/>
          </rPr>
          <t>Anastasia Lekkas:</t>
        </r>
        <r>
          <rPr>
            <sz val="8"/>
            <color indexed="81"/>
            <rFont val="Tahoma"/>
            <family val="2"/>
          </rPr>
          <t xml:space="preserve">
Bundle May 2009 - April 2010 (As of May 2010 bundle is included in Napster Monthly Statements with all other reported revenue to us)
Total Bundle $233 (126K was booked in May 2010).
</t>
        </r>
      </text>
    </comment>
    <comment ref="N160" authorId="0">
      <text>
        <r>
          <rPr>
            <b/>
            <sz val="8"/>
            <color indexed="81"/>
            <rFont val="Tahoma"/>
            <family val="2"/>
          </rPr>
          <t>mbeauchamp:</t>
        </r>
        <r>
          <rPr>
            <sz val="8"/>
            <color indexed="81"/>
            <rFont val="Tahoma"/>
            <family val="2"/>
          </rPr>
          <t xml:space="preserve">
Includes $100K for Sept and $145k in old bundle royalties invoiced in Oct.
</t>
        </r>
      </text>
    </comment>
    <comment ref="L168" authorId="1">
      <text>
        <r>
          <rPr>
            <b/>
            <sz val="8"/>
            <color indexed="81"/>
            <rFont val="Tahoma"/>
            <family val="2"/>
          </rPr>
          <t>Anastasia Lekkas:</t>
        </r>
        <r>
          <rPr>
            <sz val="8"/>
            <color indexed="81"/>
            <rFont val="Tahoma"/>
            <family val="2"/>
          </rPr>
          <t xml:space="preserve">
11K was paid in Dec.2010 does not include Dec. Sales hence 5K accrual estimate.
</t>
        </r>
      </text>
    </comment>
    <comment ref="E170" authorId="1">
      <text>
        <r>
          <rPr>
            <b/>
            <sz val="8"/>
            <color indexed="81"/>
            <rFont val="Tahoma"/>
            <family val="2"/>
          </rPr>
          <t>Anastasia Lekkas:</t>
        </r>
        <r>
          <rPr>
            <sz val="8"/>
            <color indexed="81"/>
            <rFont val="Tahoma"/>
            <family val="2"/>
          </rPr>
          <t xml:space="preserve">
Increase between August 2010 - November 2010 (Added Territories)
Prior to September = 45K
Post September = 90K-125K
</t>
        </r>
      </text>
    </comment>
    <comment ref="D188" authorId="1">
      <text>
        <r>
          <rPr>
            <b/>
            <sz val="8"/>
            <color indexed="81"/>
            <rFont val="Tahoma"/>
            <family val="2"/>
          </rPr>
          <t>Anastasia Lekkas:</t>
        </r>
        <r>
          <rPr>
            <sz val="8"/>
            <color indexed="81"/>
            <rFont val="Tahoma"/>
            <family val="2"/>
          </rPr>
          <t xml:space="preserve">
May - September 2009 AYCE - ES
</t>
        </r>
      </text>
    </comment>
    <comment ref="N188" authorId="0">
      <text>
        <r>
          <rPr>
            <b/>
            <sz val="8"/>
            <color indexed="81"/>
            <rFont val="Tahoma"/>
            <family val="2"/>
          </rPr>
          <t>mbeauchamp:</t>
        </r>
        <r>
          <rPr>
            <sz val="8"/>
            <color indexed="81"/>
            <rFont val="Tahoma"/>
            <family val="2"/>
          </rPr>
          <t xml:space="preserve">
Includes $15k for Sept invoiced in Oct
</t>
        </r>
      </text>
    </comment>
    <comment ref="N189" authorId="0">
      <text>
        <r>
          <rPr>
            <b/>
            <sz val="8"/>
            <color indexed="81"/>
            <rFont val="Tahoma"/>
            <family val="2"/>
          </rPr>
          <t>mbeauchamp:</t>
        </r>
        <r>
          <rPr>
            <sz val="8"/>
            <color indexed="81"/>
            <rFont val="Tahoma"/>
            <family val="2"/>
          </rPr>
          <t xml:space="preserve">
Includes $167k for Aug &amp; Sept invoice in Oct.</t>
        </r>
      </text>
    </comment>
    <comment ref="N204" authorId="0">
      <text>
        <r>
          <rPr>
            <b/>
            <sz val="8"/>
            <color indexed="81"/>
            <rFont val="Tahoma"/>
            <family val="2"/>
          </rPr>
          <t>mbeauchamp:</t>
        </r>
        <r>
          <rPr>
            <sz val="8"/>
            <color indexed="81"/>
            <rFont val="Tahoma"/>
            <family val="2"/>
          </rPr>
          <t xml:space="preserve">
Includes $210k from Sept invoiced in Oct.
</t>
        </r>
      </text>
    </comment>
    <comment ref="N218" authorId="0">
      <text>
        <r>
          <rPr>
            <b/>
            <sz val="8"/>
            <color indexed="81"/>
            <rFont val="Tahoma"/>
            <family val="2"/>
          </rPr>
          <t>mbeauchamp:</t>
        </r>
        <r>
          <rPr>
            <sz val="8"/>
            <color indexed="81"/>
            <rFont val="Tahoma"/>
            <family val="2"/>
          </rPr>
          <t xml:space="preserve">
Difference due to revised Sept #s reported (lower than 3Q booking)
</t>
        </r>
      </text>
    </comment>
    <comment ref="N228" authorId="0">
      <text>
        <r>
          <rPr>
            <b/>
            <sz val="8"/>
            <color indexed="81"/>
            <rFont val="Tahoma"/>
            <family val="2"/>
          </rPr>
          <t>mbeauchamp:</t>
        </r>
        <r>
          <rPr>
            <sz val="8"/>
            <color indexed="81"/>
            <rFont val="Tahoma"/>
            <family val="2"/>
          </rPr>
          <t xml:space="preserve">
Includes $140k for 3Q invoiced in Oct</t>
        </r>
      </text>
    </comment>
    <comment ref="D235" authorId="1">
      <text>
        <r>
          <rPr>
            <b/>
            <sz val="8"/>
            <color indexed="81"/>
            <rFont val="Tahoma"/>
            <family val="2"/>
          </rPr>
          <t>Anastasia Lekkas:</t>
        </r>
        <r>
          <rPr>
            <sz val="8"/>
            <color indexed="81"/>
            <rFont val="Tahoma"/>
            <family val="2"/>
          </rPr>
          <t xml:space="preserve">
Pertains to Mix &amp; Collection : September 2009 - September 2010
</t>
        </r>
      </text>
    </comment>
    <comment ref="D236" authorId="1">
      <text>
        <r>
          <rPr>
            <b/>
            <sz val="8"/>
            <color indexed="81"/>
            <rFont val="Tahoma"/>
            <family val="2"/>
          </rPr>
          <t>Anastasia Lekkas:</t>
        </r>
        <r>
          <rPr>
            <sz val="8"/>
            <color indexed="81"/>
            <rFont val="Tahoma"/>
            <family val="2"/>
          </rPr>
          <t xml:space="preserve">
Pertains to Mix &amp; Collection : September 2009 - September 2010
</t>
        </r>
      </text>
    </comment>
    <comment ref="AA259" authorId="1">
      <text>
        <r>
          <rPr>
            <b/>
            <sz val="8"/>
            <color indexed="81"/>
            <rFont val="Tahoma"/>
            <family val="2"/>
          </rPr>
          <t>Anastasia Lekkas:</t>
        </r>
        <r>
          <rPr>
            <sz val="8"/>
            <color indexed="81"/>
            <rFont val="Tahoma"/>
            <family val="2"/>
          </rPr>
          <t xml:space="preserve">
Itunes to Video (Reclass)
</t>
        </r>
      </text>
    </comment>
    <comment ref="AB259" authorId="1">
      <text>
        <r>
          <rPr>
            <b/>
            <sz val="8"/>
            <color indexed="81"/>
            <rFont val="Tahoma"/>
            <family val="2"/>
          </rPr>
          <t>Anastasia Lekkas:</t>
        </r>
        <r>
          <rPr>
            <sz val="8"/>
            <color indexed="81"/>
            <rFont val="Tahoma"/>
            <family val="2"/>
          </rPr>
          <t xml:space="preserve">
Expired Advances (Taken into Revenue
</t>
        </r>
      </text>
    </comment>
    <comment ref="Z261" authorId="1">
      <text>
        <r>
          <rPr>
            <b/>
            <sz val="8"/>
            <color indexed="81"/>
            <rFont val="Tahoma"/>
            <family val="2"/>
          </rPr>
          <t>Anastasia Lekkas:</t>
        </r>
        <r>
          <rPr>
            <sz val="8"/>
            <color indexed="81"/>
            <rFont val="Tahoma"/>
            <family val="2"/>
          </rPr>
          <t xml:space="preserve">
Total Revenue Spreadsheet
</t>
        </r>
      </text>
    </comment>
    <comment ref="Z264" authorId="1">
      <text>
        <r>
          <rPr>
            <b/>
            <sz val="8"/>
            <color indexed="81"/>
            <rFont val="Tahoma"/>
            <family val="2"/>
          </rPr>
          <t>Anastasia Lekkas:</t>
        </r>
        <r>
          <rPr>
            <sz val="8"/>
            <color indexed="81"/>
            <rFont val="Tahoma"/>
            <family val="2"/>
          </rPr>
          <t xml:space="preserve">
Total General Ledger
</t>
        </r>
      </text>
    </comment>
    <comment ref="AA264" authorId="1">
      <text>
        <r>
          <rPr>
            <b/>
            <sz val="8"/>
            <color indexed="81"/>
            <rFont val="Tahoma"/>
            <family val="2"/>
          </rPr>
          <t>Anastasia Lekkas:</t>
        </r>
        <r>
          <rPr>
            <sz val="8"/>
            <color indexed="81"/>
            <rFont val="Tahoma"/>
            <family val="2"/>
          </rPr>
          <t xml:space="preserve">
GL Balance
</t>
        </r>
      </text>
    </comment>
  </commentList>
</comments>
</file>

<file path=xl/comments34.xml><?xml version="1.0" encoding="utf-8"?>
<comments xmlns="http://schemas.openxmlformats.org/spreadsheetml/2006/main">
  <authors>
    <author>Anastasia Lekkas</author>
    <author>Michael Beauchamp</author>
    <author>Jim McCarthy</author>
  </authors>
  <commentList>
    <comment ref="D20" authorId="0">
      <text>
        <r>
          <rPr>
            <b/>
            <sz val="8"/>
            <color indexed="81"/>
            <rFont val="Tahoma"/>
            <family val="2"/>
          </rPr>
          <t>Anastasia Lekkas:</t>
        </r>
        <r>
          <rPr>
            <sz val="8"/>
            <color indexed="81"/>
            <rFont val="Tahoma"/>
            <family val="2"/>
          </rPr>
          <t xml:space="preserve">
October 2008-June 2010
</t>
        </r>
      </text>
    </comment>
    <comment ref="F22" authorId="1">
      <text>
        <r>
          <rPr>
            <b/>
            <sz val="8"/>
            <color indexed="81"/>
            <rFont val="Tahoma"/>
            <family val="2"/>
          </rPr>
          <t>Michael Beauchamp:</t>
        </r>
        <r>
          <rPr>
            <sz val="8"/>
            <color indexed="81"/>
            <rFont val="Tahoma"/>
            <family val="2"/>
          </rPr>
          <t xml:space="preserve">
Includes $200.15 for new Play10 service (Jan-Jul 10)
</t>
        </r>
      </text>
    </comment>
    <comment ref="AA104" authorId="2">
      <text>
        <r>
          <rPr>
            <b/>
            <sz val="8"/>
            <color indexed="81"/>
            <rFont val="Tahoma"/>
            <family val="2"/>
          </rPr>
          <t xml:space="preserve">adjusted for video reclass
</t>
        </r>
      </text>
    </comment>
    <comment ref="AC104" authorId="2">
      <text>
        <r>
          <rPr>
            <b/>
            <sz val="8"/>
            <color indexed="81"/>
            <rFont val="Tahoma"/>
            <family val="2"/>
          </rPr>
          <t xml:space="preserve">video reclass
</t>
        </r>
      </text>
    </comment>
    <comment ref="K151" authorId="2">
      <text>
        <r>
          <rPr>
            <b/>
            <sz val="8"/>
            <color indexed="81"/>
            <rFont val="Tahoma"/>
            <family val="2"/>
          </rPr>
          <t>Jim McCarthy:</t>
        </r>
        <r>
          <rPr>
            <sz val="8"/>
            <color indexed="81"/>
            <rFont val="Tahoma"/>
            <family val="2"/>
          </rPr>
          <t xml:space="preserve">
reaccrual of $110k of py accrual, $14k true up relating to the $110k and $100k accrual for june
</t>
        </r>
        <r>
          <rPr>
            <b/>
            <sz val="8"/>
            <color indexed="81"/>
            <rFont val="Tahoma"/>
            <family val="2"/>
          </rPr>
          <t>Jim McCarthy:
also $39 for april</t>
        </r>
        <r>
          <rPr>
            <sz val="8"/>
            <color indexed="81"/>
            <rFont val="Tahoma"/>
            <family val="2"/>
          </rPr>
          <t xml:space="preserve">
</t>
        </r>
      </text>
    </comment>
  </commentList>
</comments>
</file>

<file path=xl/comments35.xml><?xml version="1.0" encoding="utf-8"?>
<comments xmlns="http://schemas.openxmlformats.org/spreadsheetml/2006/main">
  <authors>
    <author>Jim McCarthy</author>
    <author>Anastasia Lekkas</author>
    <author>Michael Beauchamp</author>
    <author xml:space="preserve"> Michael Nolan</author>
  </authors>
  <commentList>
    <comment ref="O71" authorId="0">
      <text>
        <r>
          <rPr>
            <b/>
            <sz val="8"/>
            <color indexed="81"/>
            <rFont val="Tahoma"/>
            <family val="2"/>
          </rPr>
          <t xml:space="preserve">approx $1k/q for 2 quarters, based on Q4
</t>
        </r>
      </text>
    </comment>
    <comment ref="A85" authorId="1">
      <text>
        <r>
          <rPr>
            <b/>
            <sz val="8"/>
            <color indexed="81"/>
            <rFont val="Tahoma"/>
            <family val="2"/>
          </rPr>
          <t>Anastasia Lekkas:</t>
        </r>
        <r>
          <rPr>
            <sz val="8"/>
            <color indexed="81"/>
            <rFont val="Tahoma"/>
            <family val="2"/>
          </rPr>
          <t xml:space="preserve">
Feb-May Statements bad
</t>
        </r>
      </text>
    </comment>
    <comment ref="AB97" authorId="0">
      <text>
        <r>
          <rPr>
            <b/>
            <sz val="8"/>
            <color indexed="81"/>
            <rFont val="Tahoma"/>
            <family val="2"/>
          </rPr>
          <t xml:space="preserve">adjusted for video reclass
</t>
        </r>
      </text>
    </comment>
    <comment ref="AD97" authorId="0">
      <text>
        <r>
          <rPr>
            <b/>
            <sz val="8"/>
            <color indexed="81"/>
            <rFont val="Tahoma"/>
            <family val="2"/>
          </rPr>
          <t xml:space="preserve">video reclass
</t>
        </r>
      </text>
    </comment>
    <comment ref="J118" authorId="2">
      <text>
        <r>
          <rPr>
            <b/>
            <sz val="8"/>
            <color indexed="81"/>
            <rFont val="Tahoma"/>
            <family val="2"/>
          </rPr>
          <t>Michael Beauchamp:</t>
        </r>
        <r>
          <rPr>
            <sz val="8"/>
            <color indexed="81"/>
            <rFont val="Tahoma"/>
            <family val="2"/>
          </rPr>
          <t xml:space="preserve">
partial reporting in
</t>
        </r>
      </text>
    </comment>
    <comment ref="G133" authorId="1">
      <text>
        <r>
          <rPr>
            <b/>
            <sz val="8"/>
            <color indexed="81"/>
            <rFont val="Tahoma"/>
            <family val="2"/>
          </rPr>
          <t>Anastasia Lekkas:</t>
        </r>
        <r>
          <rPr>
            <sz val="8"/>
            <color indexed="81"/>
            <rFont val="Tahoma"/>
            <family val="2"/>
          </rPr>
          <t xml:space="preserve">
Revised Statement
</t>
        </r>
      </text>
    </comment>
    <comment ref="O138" authorId="0">
      <text>
        <r>
          <rPr>
            <b/>
            <sz val="8"/>
            <color indexed="81"/>
            <rFont val="Tahoma"/>
            <family val="2"/>
          </rPr>
          <t xml:space="preserve">$8k actual statements to apr 2010 plus $2k month for may and june
</t>
        </r>
      </text>
    </comment>
    <comment ref="O140" authorId="0">
      <text>
        <r>
          <rPr>
            <b/>
            <sz val="8"/>
            <color indexed="81"/>
            <rFont val="Tahoma"/>
            <family val="2"/>
          </rPr>
          <t>Jim McCarthy:</t>
        </r>
        <r>
          <rPr>
            <sz val="8"/>
            <color indexed="81"/>
            <rFont val="Tahoma"/>
            <family val="2"/>
          </rPr>
          <t xml:space="preserve">
20k reaccrual, 20k Q2
</t>
        </r>
      </text>
    </comment>
    <comment ref="N142" authorId="0">
      <text>
        <r>
          <rPr>
            <b/>
            <sz val="8"/>
            <color indexed="81"/>
            <rFont val="Tahoma"/>
            <family val="2"/>
          </rPr>
          <t>Jim McCarthy:</t>
        </r>
        <r>
          <rPr>
            <sz val="8"/>
            <color indexed="81"/>
            <rFont val="Tahoma"/>
            <family val="2"/>
          </rPr>
          <t xml:space="preserve">
reaccrual of $110k of py accrual, $14k true up relating to the $110k and $100k accrual for june
</t>
        </r>
        <r>
          <rPr>
            <b/>
            <sz val="8"/>
            <color indexed="81"/>
            <rFont val="Tahoma"/>
            <family val="2"/>
          </rPr>
          <t>Jim McCarthy:
also $39 for april</t>
        </r>
        <r>
          <rPr>
            <sz val="8"/>
            <color indexed="81"/>
            <rFont val="Tahoma"/>
            <family val="2"/>
          </rPr>
          <t xml:space="preserve">
</t>
        </r>
      </text>
    </comment>
    <comment ref="H143" authorId="0">
      <text>
        <r>
          <rPr>
            <sz val="11"/>
            <color indexed="81"/>
            <rFont val="Tahoma"/>
            <family val="2"/>
          </rPr>
          <t xml:space="preserve">Q4 included $215k bundle service May 2009-Mar 2010. March actual came in at 40K creating the variance seen.
</t>
        </r>
      </text>
    </comment>
    <comment ref="O153" authorId="0">
      <text>
        <r>
          <rPr>
            <b/>
            <sz val="8"/>
            <color indexed="81"/>
            <rFont val="Tahoma"/>
            <family val="2"/>
          </rPr>
          <t xml:space="preserve">2,500/q for 2 q's based on Q4 actual
</t>
        </r>
      </text>
    </comment>
    <comment ref="J156" authorId="2">
      <text>
        <r>
          <rPr>
            <b/>
            <sz val="8"/>
            <color indexed="81"/>
            <rFont val="Tahoma"/>
            <family val="2"/>
          </rPr>
          <t>Michael Beauchamp:</t>
        </r>
        <r>
          <rPr>
            <sz val="8"/>
            <color indexed="81"/>
            <rFont val="Tahoma"/>
            <family val="2"/>
          </rPr>
          <t xml:space="preserve">
not invoiced yet due to amt.
</t>
        </r>
      </text>
    </comment>
    <comment ref="O157" authorId="1">
      <text>
        <r>
          <rPr>
            <b/>
            <sz val="8"/>
            <color indexed="81"/>
            <rFont val="Tahoma"/>
            <family val="2"/>
          </rPr>
          <t>Anastasia Lekkas:</t>
        </r>
        <r>
          <rPr>
            <sz val="8"/>
            <color indexed="81"/>
            <rFont val="Tahoma"/>
            <family val="2"/>
          </rPr>
          <t xml:space="preserve">
22K Q1 True up
11K May from ALW
10K Additional Q210
</t>
        </r>
      </text>
    </comment>
    <comment ref="O159" authorId="0">
      <text>
        <r>
          <rPr>
            <b/>
            <sz val="8"/>
            <color indexed="81"/>
            <rFont val="Tahoma"/>
            <family val="2"/>
          </rPr>
          <t xml:space="preserve">11k and 3k unapplied payments plus 3k EUR Feb - Jun at 1.288FX
</t>
        </r>
      </text>
    </comment>
    <comment ref="R162" authorId="2">
      <text>
        <r>
          <rPr>
            <b/>
            <sz val="8"/>
            <color indexed="81"/>
            <rFont val="Tahoma"/>
            <family val="2"/>
          </rPr>
          <t>Michael Beauchamp:</t>
        </r>
        <r>
          <rPr>
            <sz val="8"/>
            <color indexed="81"/>
            <rFont val="Tahoma"/>
            <family val="2"/>
          </rPr>
          <t xml:space="preserve">
Includes 2Q10 streams
</t>
        </r>
      </text>
    </comment>
    <comment ref="O165" authorId="0">
      <text>
        <r>
          <rPr>
            <b/>
            <sz val="8"/>
            <color indexed="81"/>
            <rFont val="Tahoma"/>
            <family val="2"/>
          </rPr>
          <t xml:space="preserve">$35k/q for 2 q's based on Q4 actual
</t>
        </r>
      </text>
    </comment>
    <comment ref="R165" authorId="1">
      <text>
        <r>
          <rPr>
            <b/>
            <sz val="8"/>
            <color indexed="81"/>
            <rFont val="Tahoma"/>
            <family val="2"/>
          </rPr>
          <t>Anastasia Lekkas:</t>
        </r>
        <r>
          <rPr>
            <sz val="8"/>
            <color indexed="81"/>
            <rFont val="Tahoma"/>
            <family val="2"/>
          </rPr>
          <t xml:space="preserve">
Includes AYCE 20K
</t>
        </r>
      </text>
    </comment>
    <comment ref="O169" authorId="0">
      <text>
        <r>
          <rPr>
            <b/>
            <sz val="8"/>
            <color indexed="81"/>
            <rFont val="Tahoma"/>
            <family val="2"/>
          </rPr>
          <t xml:space="preserve">50k unpaid/univoiced and portion of $41,667 prorated
</t>
        </r>
      </text>
    </comment>
    <comment ref="O172" authorId="0">
      <text>
        <r>
          <rPr>
            <b/>
            <sz val="8"/>
            <color indexed="81"/>
            <rFont val="Tahoma"/>
            <family val="2"/>
          </rPr>
          <t xml:space="preserve">3,716 actual to apr and 850/mo for may jun
</t>
        </r>
      </text>
    </comment>
    <comment ref="O183" authorId="0">
      <text>
        <r>
          <rPr>
            <b/>
            <sz val="8"/>
            <color indexed="81"/>
            <rFont val="Tahoma"/>
            <family val="2"/>
          </rPr>
          <t>Jim McCarthy:</t>
        </r>
        <r>
          <rPr>
            <sz val="8"/>
            <color indexed="81"/>
            <rFont val="Tahoma"/>
            <family val="2"/>
          </rPr>
          <t xml:space="preserve">
$100 actual for Q1 reaccrue, add'l $100 for Q2</t>
        </r>
      </text>
    </comment>
    <comment ref="E204" authorId="3">
      <text>
        <r>
          <rPr>
            <b/>
            <sz val="8"/>
            <color indexed="81"/>
            <rFont val="Tahoma"/>
            <family val="2"/>
          </rPr>
          <t xml:space="preserve"> Michael Nolan:</t>
        </r>
        <r>
          <rPr>
            <sz val="8"/>
            <color indexed="81"/>
            <rFont val="Tahoma"/>
            <family val="2"/>
          </rPr>
          <t xml:space="preserve">
This is digital rev for master use</t>
        </r>
      </text>
    </comment>
    <comment ref="F204" authorId="0">
      <text>
        <r>
          <rPr>
            <b/>
            <sz val="8"/>
            <color indexed="81"/>
            <rFont val="Tahoma"/>
            <family val="2"/>
          </rPr>
          <t xml:space="preserve">Digital Rev for Master Use
</t>
        </r>
      </text>
    </comment>
  </commentList>
</comments>
</file>

<file path=xl/comments36.xml><?xml version="1.0" encoding="utf-8"?>
<comments xmlns="http://schemas.openxmlformats.org/spreadsheetml/2006/main">
  <authors>
    <author>Anastasia Lekkas</author>
    <author>Jim McCarthy</author>
    <author xml:space="preserve"> Michael Nolan</author>
  </authors>
  <commentList>
    <comment ref="G31" authorId="0">
      <text>
        <r>
          <rPr>
            <b/>
            <sz val="8"/>
            <color indexed="81"/>
            <rFont val="Tahoma"/>
            <family val="2"/>
          </rPr>
          <t>Anastasia Lekkas:</t>
        </r>
        <r>
          <rPr>
            <sz val="8"/>
            <color indexed="81"/>
            <rFont val="Tahoma"/>
            <family val="2"/>
          </rPr>
          <t xml:space="preserve">
March-May 2009
</t>
        </r>
      </text>
    </comment>
    <comment ref="A81" authorId="0">
      <text>
        <r>
          <rPr>
            <b/>
            <sz val="8"/>
            <color indexed="81"/>
            <rFont val="Tahoma"/>
            <family val="2"/>
          </rPr>
          <t>Anastasia Lekkas:</t>
        </r>
        <r>
          <rPr>
            <sz val="8"/>
            <color indexed="81"/>
            <rFont val="Tahoma"/>
            <family val="2"/>
          </rPr>
          <t xml:space="preserve">
Feb-May Statements bad
</t>
        </r>
      </text>
    </comment>
    <comment ref="AA92" authorId="1">
      <text>
        <r>
          <rPr>
            <b/>
            <sz val="8"/>
            <color indexed="81"/>
            <rFont val="Tahoma"/>
            <family val="2"/>
          </rPr>
          <t xml:space="preserve">adjusted for video reclass
</t>
        </r>
      </text>
    </comment>
    <comment ref="AC92" authorId="1">
      <text>
        <r>
          <rPr>
            <b/>
            <sz val="8"/>
            <color indexed="81"/>
            <rFont val="Tahoma"/>
            <family val="2"/>
          </rPr>
          <t xml:space="preserve">video reclass
</t>
        </r>
      </text>
    </comment>
    <comment ref="N135" authorId="1">
      <text>
        <r>
          <rPr>
            <b/>
            <sz val="8"/>
            <color indexed="81"/>
            <rFont val="Tahoma"/>
            <family val="2"/>
          </rPr>
          <t>includes $215k bundle service May 2009-Mar 2010</t>
        </r>
      </text>
    </comment>
    <comment ref="N137" authorId="1">
      <text>
        <r>
          <rPr>
            <b/>
            <sz val="8"/>
            <color indexed="81"/>
            <rFont val="Tahoma"/>
            <family val="2"/>
          </rPr>
          <t>Includes $7k bundle service May 2009 to Mar 2010</t>
        </r>
      </text>
    </comment>
    <comment ref="O157" authorId="1">
      <text>
        <r>
          <rPr>
            <b/>
            <sz val="8"/>
            <color indexed="81"/>
            <rFont val="Tahoma"/>
            <family val="2"/>
          </rPr>
          <t xml:space="preserve">Accrued less than Jan for Feb/Mar due to Real revenue trending down in recent months
</t>
        </r>
      </text>
    </comment>
    <comment ref="E194" authorId="2">
      <text>
        <r>
          <rPr>
            <b/>
            <sz val="8"/>
            <color indexed="81"/>
            <rFont val="Tahoma"/>
            <family val="2"/>
          </rPr>
          <t xml:space="preserve"> Michael Nolan:</t>
        </r>
        <r>
          <rPr>
            <sz val="8"/>
            <color indexed="81"/>
            <rFont val="Tahoma"/>
            <family val="2"/>
          </rPr>
          <t xml:space="preserve">
This is digital rev for master use</t>
        </r>
      </text>
    </comment>
    <comment ref="R223" authorId="1">
      <text>
        <r>
          <rPr>
            <b/>
            <sz val="8"/>
            <color indexed="81"/>
            <rFont val="Tahoma"/>
            <family val="2"/>
          </rPr>
          <t xml:space="preserve">Sound Exchange (Orch) Sound Exchange (TVT) and Real Video.  Both Sound Exchange accruals accrue for both Q409 and Q110
</t>
        </r>
      </text>
    </comment>
    <comment ref="T223" authorId="1">
      <text>
        <r>
          <rPr>
            <b/>
            <sz val="8"/>
            <color indexed="81"/>
            <rFont val="Tahoma"/>
            <family val="2"/>
          </rPr>
          <t>Sound Exchange (Orch) Sound Exchange (TVT) and Real Video.  Both Sound Exchange accruals accrue for both Q409 and Q110</t>
        </r>
      </text>
    </comment>
    <comment ref="R224" authorId="1">
      <text>
        <r>
          <rPr>
            <b/>
            <sz val="8"/>
            <color indexed="81"/>
            <rFont val="Tahoma"/>
            <family val="2"/>
          </rPr>
          <t xml:space="preserve">included in initial accrual entry
</t>
        </r>
      </text>
    </comment>
    <comment ref="T224" authorId="1">
      <text>
        <r>
          <rPr>
            <b/>
            <sz val="8"/>
            <color indexed="81"/>
            <rFont val="Tahoma"/>
            <family val="2"/>
          </rPr>
          <t xml:space="preserve">included in initial accrual entry
</t>
        </r>
      </text>
    </comment>
  </commentList>
</comments>
</file>

<file path=xl/comments4.xml><?xml version="1.0" encoding="utf-8"?>
<comments xmlns="http://schemas.openxmlformats.org/spreadsheetml/2006/main">
  <authors>
    <author>mbeauchamp</author>
    <author>Anastasia Lekkas</author>
  </authors>
  <commentList>
    <comment ref="E82" authorId="0">
      <text>
        <r>
          <rPr>
            <b/>
            <sz val="9"/>
            <color indexed="81"/>
            <rFont val="Tahoma"/>
            <family val="2"/>
          </rPr>
          <t>mbeauchamp:</t>
        </r>
        <r>
          <rPr>
            <sz val="9"/>
            <color indexed="81"/>
            <rFont val="Tahoma"/>
            <family val="2"/>
          </rPr>
          <t xml:space="preserve">
Reversing Journal Entry to recognize Dec trueup in Dec</t>
        </r>
      </text>
    </comment>
    <comment ref="D187" authorId="0">
      <text>
        <r>
          <rPr>
            <b/>
            <sz val="8"/>
            <color indexed="81"/>
            <rFont val="Tahoma"/>
            <family val="2"/>
          </rPr>
          <t>mbeauchamp:</t>
        </r>
        <r>
          <rPr>
            <sz val="8"/>
            <color indexed="81"/>
            <rFont val="Tahoma"/>
            <family val="2"/>
          </rPr>
          <t xml:space="preserve">
now owns fmr. Thumbplay Tones
</t>
        </r>
      </text>
    </comment>
    <comment ref="AM187" authorId="0">
      <text>
        <r>
          <rPr>
            <b/>
            <sz val="8"/>
            <color indexed="81"/>
            <rFont val="Tahoma"/>
            <family val="2"/>
          </rPr>
          <t>mbeauchamp:</t>
        </r>
        <r>
          <rPr>
            <sz val="8"/>
            <color indexed="81"/>
            <rFont val="Tahoma"/>
            <family val="2"/>
          </rPr>
          <t xml:space="preserve">
now owns fmr. Thumbplay Tones
</t>
        </r>
      </text>
    </comment>
    <comment ref="D188" authorId="0">
      <text>
        <r>
          <rPr>
            <b/>
            <sz val="8"/>
            <color indexed="81"/>
            <rFont val="Tahoma"/>
            <family val="2"/>
          </rPr>
          <t>mbeauchamp:</t>
        </r>
        <r>
          <rPr>
            <sz val="8"/>
            <color indexed="81"/>
            <rFont val="Tahoma"/>
            <family val="2"/>
          </rPr>
          <t xml:space="preserve">
now owns fmr. Thumbplay Tones
</t>
        </r>
      </text>
    </comment>
    <comment ref="AM188" authorId="0">
      <text>
        <r>
          <rPr>
            <b/>
            <sz val="8"/>
            <color indexed="81"/>
            <rFont val="Tahoma"/>
            <family val="2"/>
          </rPr>
          <t>mbeauchamp:</t>
        </r>
        <r>
          <rPr>
            <sz val="8"/>
            <color indexed="81"/>
            <rFont val="Tahoma"/>
            <family val="2"/>
          </rPr>
          <t xml:space="preserve">
now owns fmr. Thumbplay Tones
</t>
        </r>
      </text>
    </comment>
    <comment ref="AC241" authorId="1">
      <text>
        <r>
          <rPr>
            <b/>
            <sz val="8"/>
            <color indexed="81"/>
            <rFont val="Tahoma"/>
            <family val="2"/>
          </rPr>
          <t>Anastasia Lekkas:</t>
        </r>
        <r>
          <rPr>
            <sz val="8"/>
            <color indexed="81"/>
            <rFont val="Tahoma"/>
            <family val="2"/>
          </rPr>
          <t xml:space="preserve">
Reclass YouTube to Video
</t>
        </r>
      </text>
    </comment>
    <comment ref="AC242" authorId="1">
      <text>
        <r>
          <rPr>
            <b/>
            <sz val="8"/>
            <color indexed="81"/>
            <rFont val="Tahoma"/>
            <family val="2"/>
          </rPr>
          <t>Anastasia Lekkas:</t>
        </r>
        <r>
          <rPr>
            <sz val="8"/>
            <color indexed="81"/>
            <rFont val="Tahoma"/>
            <family val="2"/>
          </rPr>
          <t xml:space="preserve">
Reclass Itunes to Video
</t>
        </r>
      </text>
    </comment>
  </commentList>
</comments>
</file>

<file path=xl/comments5.xml><?xml version="1.0" encoding="utf-8"?>
<comments xmlns="http://schemas.openxmlformats.org/spreadsheetml/2006/main">
  <authors>
    <author>mbeauchamp</author>
    <author>Anastasia Lekkas</author>
  </authors>
  <commentList>
    <comment ref="E82" authorId="0">
      <text>
        <r>
          <rPr>
            <b/>
            <sz val="9"/>
            <color indexed="81"/>
            <rFont val="Tahoma"/>
            <family val="2"/>
          </rPr>
          <t>mbeauchamp:</t>
        </r>
        <r>
          <rPr>
            <sz val="9"/>
            <color indexed="81"/>
            <rFont val="Tahoma"/>
            <family val="2"/>
          </rPr>
          <t xml:space="preserve">
Reversing Journal Entry to recognize Dec trueup in Dec</t>
        </r>
      </text>
    </comment>
    <comment ref="D185" authorId="0">
      <text>
        <r>
          <rPr>
            <b/>
            <sz val="8"/>
            <color indexed="81"/>
            <rFont val="Tahoma"/>
            <family val="2"/>
          </rPr>
          <t>mbeauchamp:</t>
        </r>
        <r>
          <rPr>
            <sz val="8"/>
            <color indexed="81"/>
            <rFont val="Tahoma"/>
            <family val="2"/>
          </rPr>
          <t xml:space="preserve">
now owns fmr. Thumbplay Tones
</t>
        </r>
      </text>
    </comment>
    <comment ref="AM185" authorId="0">
      <text>
        <r>
          <rPr>
            <b/>
            <sz val="8"/>
            <color indexed="81"/>
            <rFont val="Tahoma"/>
            <family val="2"/>
          </rPr>
          <t>mbeauchamp:</t>
        </r>
        <r>
          <rPr>
            <sz val="8"/>
            <color indexed="81"/>
            <rFont val="Tahoma"/>
            <family val="2"/>
          </rPr>
          <t xml:space="preserve">
now owns fmr. Thumbplay Tones
</t>
        </r>
      </text>
    </comment>
    <comment ref="D186" authorId="0">
      <text>
        <r>
          <rPr>
            <b/>
            <sz val="8"/>
            <color indexed="81"/>
            <rFont val="Tahoma"/>
            <family val="2"/>
          </rPr>
          <t>mbeauchamp:</t>
        </r>
        <r>
          <rPr>
            <sz val="8"/>
            <color indexed="81"/>
            <rFont val="Tahoma"/>
            <family val="2"/>
          </rPr>
          <t xml:space="preserve">
now owns fmr. Thumbplay Tones
</t>
        </r>
      </text>
    </comment>
    <comment ref="AM186" authorId="0">
      <text>
        <r>
          <rPr>
            <b/>
            <sz val="8"/>
            <color indexed="81"/>
            <rFont val="Tahoma"/>
            <family val="2"/>
          </rPr>
          <t>mbeauchamp:</t>
        </r>
        <r>
          <rPr>
            <sz val="8"/>
            <color indexed="81"/>
            <rFont val="Tahoma"/>
            <family val="2"/>
          </rPr>
          <t xml:space="preserve">
now owns fmr. Thumbplay Tones
</t>
        </r>
      </text>
    </comment>
    <comment ref="AC239" authorId="1">
      <text>
        <r>
          <rPr>
            <b/>
            <sz val="8"/>
            <color indexed="81"/>
            <rFont val="Tahoma"/>
            <family val="2"/>
          </rPr>
          <t>Anastasia Lekkas:</t>
        </r>
        <r>
          <rPr>
            <sz val="8"/>
            <color indexed="81"/>
            <rFont val="Tahoma"/>
            <family val="2"/>
          </rPr>
          <t xml:space="preserve">
Reclass YouTube to Video
</t>
        </r>
      </text>
    </comment>
    <comment ref="AC240" authorId="1">
      <text>
        <r>
          <rPr>
            <b/>
            <sz val="8"/>
            <color indexed="81"/>
            <rFont val="Tahoma"/>
            <family val="2"/>
          </rPr>
          <t>Anastasia Lekkas:</t>
        </r>
        <r>
          <rPr>
            <sz val="8"/>
            <color indexed="81"/>
            <rFont val="Tahoma"/>
            <family val="2"/>
          </rPr>
          <t xml:space="preserve">
Reclass Itunes to Video
</t>
        </r>
      </text>
    </comment>
  </commentList>
</comments>
</file>

<file path=xl/comments6.xml><?xml version="1.0" encoding="utf-8"?>
<comments xmlns="http://schemas.openxmlformats.org/spreadsheetml/2006/main">
  <authors>
    <author>mbeauchamp</author>
    <author>Anastasia Lekkas</author>
  </authors>
  <commentList>
    <comment ref="E82" authorId="0">
      <text>
        <r>
          <rPr>
            <b/>
            <sz val="9"/>
            <color indexed="81"/>
            <rFont val="Tahoma"/>
            <family val="2"/>
          </rPr>
          <t>mbeauchamp:</t>
        </r>
        <r>
          <rPr>
            <sz val="9"/>
            <color indexed="81"/>
            <rFont val="Tahoma"/>
            <family val="2"/>
          </rPr>
          <t xml:space="preserve">
Reversing Journal Entry to recognize Dec trueup in Dec</t>
        </r>
      </text>
    </comment>
    <comment ref="D185" authorId="0">
      <text>
        <r>
          <rPr>
            <b/>
            <sz val="8"/>
            <color indexed="81"/>
            <rFont val="Tahoma"/>
            <family val="2"/>
          </rPr>
          <t>mbeauchamp:</t>
        </r>
        <r>
          <rPr>
            <sz val="8"/>
            <color indexed="81"/>
            <rFont val="Tahoma"/>
            <family val="2"/>
          </rPr>
          <t xml:space="preserve">
now owns fmr. Thumbplay Tones
</t>
        </r>
      </text>
    </comment>
    <comment ref="AM185" authorId="0">
      <text>
        <r>
          <rPr>
            <b/>
            <sz val="8"/>
            <color indexed="81"/>
            <rFont val="Tahoma"/>
            <family val="2"/>
          </rPr>
          <t>mbeauchamp:</t>
        </r>
        <r>
          <rPr>
            <sz val="8"/>
            <color indexed="81"/>
            <rFont val="Tahoma"/>
            <family val="2"/>
          </rPr>
          <t xml:space="preserve">
now owns fmr. Thumbplay Tones
</t>
        </r>
      </text>
    </comment>
    <comment ref="D186" authorId="0">
      <text>
        <r>
          <rPr>
            <b/>
            <sz val="8"/>
            <color indexed="81"/>
            <rFont val="Tahoma"/>
            <family val="2"/>
          </rPr>
          <t>mbeauchamp:</t>
        </r>
        <r>
          <rPr>
            <sz val="8"/>
            <color indexed="81"/>
            <rFont val="Tahoma"/>
            <family val="2"/>
          </rPr>
          <t xml:space="preserve">
now owns fmr. Thumbplay Tones
</t>
        </r>
      </text>
    </comment>
    <comment ref="AM186" authorId="0">
      <text>
        <r>
          <rPr>
            <b/>
            <sz val="8"/>
            <color indexed="81"/>
            <rFont val="Tahoma"/>
            <family val="2"/>
          </rPr>
          <t>mbeauchamp:</t>
        </r>
        <r>
          <rPr>
            <sz val="8"/>
            <color indexed="81"/>
            <rFont val="Tahoma"/>
            <family val="2"/>
          </rPr>
          <t xml:space="preserve">
now owns fmr. Thumbplay Tones
</t>
        </r>
      </text>
    </comment>
    <comment ref="AC238" authorId="1">
      <text>
        <r>
          <rPr>
            <b/>
            <sz val="8"/>
            <color indexed="81"/>
            <rFont val="Tahoma"/>
            <family val="2"/>
          </rPr>
          <t>Anastasia Lekkas:</t>
        </r>
        <r>
          <rPr>
            <sz val="8"/>
            <color indexed="81"/>
            <rFont val="Tahoma"/>
            <family val="2"/>
          </rPr>
          <t xml:space="preserve">
Reclass YouTube to Video
</t>
        </r>
      </text>
    </comment>
    <comment ref="AC239" authorId="1">
      <text>
        <r>
          <rPr>
            <b/>
            <sz val="8"/>
            <color indexed="81"/>
            <rFont val="Tahoma"/>
            <family val="2"/>
          </rPr>
          <t>Anastasia Lekkas:</t>
        </r>
        <r>
          <rPr>
            <sz val="8"/>
            <color indexed="81"/>
            <rFont val="Tahoma"/>
            <family val="2"/>
          </rPr>
          <t xml:space="preserve">
Reclass Itunes to Video
</t>
        </r>
      </text>
    </comment>
  </commentList>
</comments>
</file>

<file path=xl/comments7.xml><?xml version="1.0" encoding="utf-8"?>
<comments xmlns="http://schemas.openxmlformats.org/spreadsheetml/2006/main">
  <authors>
    <author>mbeauchamp</author>
    <author>Anastasia Lekkas</author>
  </authors>
  <commentList>
    <comment ref="D185" authorId="0">
      <text>
        <r>
          <rPr>
            <b/>
            <sz val="8"/>
            <color indexed="81"/>
            <rFont val="Tahoma"/>
            <family val="2"/>
          </rPr>
          <t>mbeauchamp:</t>
        </r>
        <r>
          <rPr>
            <sz val="8"/>
            <color indexed="81"/>
            <rFont val="Tahoma"/>
            <family val="2"/>
          </rPr>
          <t xml:space="preserve">
now owns fmr. Thumbplay Tones
</t>
        </r>
      </text>
    </comment>
    <comment ref="AM185" authorId="0">
      <text>
        <r>
          <rPr>
            <b/>
            <sz val="8"/>
            <color indexed="81"/>
            <rFont val="Tahoma"/>
            <family val="2"/>
          </rPr>
          <t>mbeauchamp:</t>
        </r>
        <r>
          <rPr>
            <sz val="8"/>
            <color indexed="81"/>
            <rFont val="Tahoma"/>
            <family val="2"/>
          </rPr>
          <t xml:space="preserve">
now owns fmr. Thumbplay Tones
</t>
        </r>
      </text>
    </comment>
    <comment ref="D186" authorId="0">
      <text>
        <r>
          <rPr>
            <b/>
            <sz val="8"/>
            <color indexed="81"/>
            <rFont val="Tahoma"/>
            <family val="2"/>
          </rPr>
          <t>mbeauchamp:</t>
        </r>
        <r>
          <rPr>
            <sz val="8"/>
            <color indexed="81"/>
            <rFont val="Tahoma"/>
            <family val="2"/>
          </rPr>
          <t xml:space="preserve">
now owns fmr. Thumbplay Tones
</t>
        </r>
      </text>
    </comment>
    <comment ref="AM186" authorId="0">
      <text>
        <r>
          <rPr>
            <b/>
            <sz val="8"/>
            <color indexed="81"/>
            <rFont val="Tahoma"/>
            <family val="2"/>
          </rPr>
          <t>mbeauchamp:</t>
        </r>
        <r>
          <rPr>
            <sz val="8"/>
            <color indexed="81"/>
            <rFont val="Tahoma"/>
            <family val="2"/>
          </rPr>
          <t xml:space="preserve">
now owns fmr. Thumbplay Tones
</t>
        </r>
      </text>
    </comment>
    <comment ref="AC238" authorId="1">
      <text>
        <r>
          <rPr>
            <b/>
            <sz val="8"/>
            <color indexed="81"/>
            <rFont val="Tahoma"/>
            <family val="2"/>
          </rPr>
          <t>Anastasia Lekkas:</t>
        </r>
        <r>
          <rPr>
            <sz val="8"/>
            <color indexed="81"/>
            <rFont val="Tahoma"/>
            <family val="2"/>
          </rPr>
          <t xml:space="preserve">
Reclass YouTube to Video
</t>
        </r>
      </text>
    </comment>
    <comment ref="AC239" authorId="1">
      <text>
        <r>
          <rPr>
            <b/>
            <sz val="8"/>
            <color indexed="81"/>
            <rFont val="Tahoma"/>
            <family val="2"/>
          </rPr>
          <t>Anastasia Lekkas:</t>
        </r>
        <r>
          <rPr>
            <sz val="8"/>
            <color indexed="81"/>
            <rFont val="Tahoma"/>
            <family val="2"/>
          </rPr>
          <t xml:space="preserve">
Reclass Itunes to Video
</t>
        </r>
      </text>
    </comment>
  </commentList>
</comments>
</file>

<file path=xl/comments8.xml><?xml version="1.0" encoding="utf-8"?>
<comments xmlns="http://schemas.openxmlformats.org/spreadsheetml/2006/main">
  <authors>
    <author>mbeauchamp</author>
    <author>Anastasia Lekkas</author>
  </authors>
  <commentList>
    <comment ref="D182" authorId="0">
      <text>
        <r>
          <rPr>
            <b/>
            <sz val="8"/>
            <color indexed="81"/>
            <rFont val="Tahoma"/>
            <family val="2"/>
          </rPr>
          <t>mbeauchamp:</t>
        </r>
        <r>
          <rPr>
            <sz val="8"/>
            <color indexed="81"/>
            <rFont val="Tahoma"/>
            <family val="2"/>
          </rPr>
          <t xml:space="preserve">
now owns fmr. Thumbplay Tones
</t>
        </r>
      </text>
    </comment>
    <comment ref="AM182" authorId="0">
      <text>
        <r>
          <rPr>
            <b/>
            <sz val="8"/>
            <color indexed="81"/>
            <rFont val="Tahoma"/>
            <family val="2"/>
          </rPr>
          <t>mbeauchamp:</t>
        </r>
        <r>
          <rPr>
            <sz val="8"/>
            <color indexed="81"/>
            <rFont val="Tahoma"/>
            <family val="2"/>
          </rPr>
          <t xml:space="preserve">
now owns fmr. Thumbplay Tones
</t>
        </r>
      </text>
    </comment>
    <comment ref="D183" authorId="0">
      <text>
        <r>
          <rPr>
            <b/>
            <sz val="8"/>
            <color indexed="81"/>
            <rFont val="Tahoma"/>
            <family val="2"/>
          </rPr>
          <t>mbeauchamp:</t>
        </r>
        <r>
          <rPr>
            <sz val="8"/>
            <color indexed="81"/>
            <rFont val="Tahoma"/>
            <family val="2"/>
          </rPr>
          <t xml:space="preserve">
now owns fmr. Thumbplay Tones
</t>
        </r>
      </text>
    </comment>
    <comment ref="AM183" authorId="0">
      <text>
        <r>
          <rPr>
            <b/>
            <sz val="8"/>
            <color indexed="81"/>
            <rFont val="Tahoma"/>
            <family val="2"/>
          </rPr>
          <t>mbeauchamp:</t>
        </r>
        <r>
          <rPr>
            <sz val="8"/>
            <color indexed="81"/>
            <rFont val="Tahoma"/>
            <family val="2"/>
          </rPr>
          <t xml:space="preserve">
now owns fmr. Thumbplay Tones
</t>
        </r>
      </text>
    </comment>
    <comment ref="AC232" authorId="1">
      <text>
        <r>
          <rPr>
            <b/>
            <sz val="8"/>
            <color indexed="81"/>
            <rFont val="Tahoma"/>
            <family val="2"/>
          </rPr>
          <t>Anastasia Lekkas:</t>
        </r>
        <r>
          <rPr>
            <sz val="8"/>
            <color indexed="81"/>
            <rFont val="Tahoma"/>
            <family val="2"/>
          </rPr>
          <t xml:space="preserve">
Reclass YouTube to Video
</t>
        </r>
      </text>
    </comment>
    <comment ref="AC233" authorId="1">
      <text>
        <r>
          <rPr>
            <b/>
            <sz val="8"/>
            <color indexed="81"/>
            <rFont val="Tahoma"/>
            <family val="2"/>
          </rPr>
          <t>Anastasia Lekkas:</t>
        </r>
        <r>
          <rPr>
            <sz val="8"/>
            <color indexed="81"/>
            <rFont val="Tahoma"/>
            <family val="2"/>
          </rPr>
          <t xml:space="preserve">
Reclass Itunes to Video
</t>
        </r>
      </text>
    </comment>
  </commentList>
</comments>
</file>

<file path=xl/comments9.xml><?xml version="1.0" encoding="utf-8"?>
<comments xmlns="http://schemas.openxmlformats.org/spreadsheetml/2006/main">
  <authors>
    <author>mbeauchamp</author>
    <author>Anastasia Lekkas</author>
  </authors>
  <commentList>
    <comment ref="D182" authorId="0">
      <text>
        <r>
          <rPr>
            <b/>
            <sz val="8"/>
            <color indexed="81"/>
            <rFont val="Tahoma"/>
            <family val="2"/>
          </rPr>
          <t>mbeauchamp:</t>
        </r>
        <r>
          <rPr>
            <sz val="8"/>
            <color indexed="81"/>
            <rFont val="Tahoma"/>
            <family val="2"/>
          </rPr>
          <t xml:space="preserve">
now owns fmr. Thumbplay Tones
</t>
        </r>
      </text>
    </comment>
    <comment ref="AM182" authorId="0">
      <text>
        <r>
          <rPr>
            <b/>
            <sz val="8"/>
            <color indexed="81"/>
            <rFont val="Tahoma"/>
            <family val="2"/>
          </rPr>
          <t>mbeauchamp:</t>
        </r>
        <r>
          <rPr>
            <sz val="8"/>
            <color indexed="81"/>
            <rFont val="Tahoma"/>
            <family val="2"/>
          </rPr>
          <t xml:space="preserve">
now owns fmr. Thumbplay Tones
</t>
        </r>
      </text>
    </comment>
    <comment ref="D183" authorId="0">
      <text>
        <r>
          <rPr>
            <b/>
            <sz val="8"/>
            <color indexed="81"/>
            <rFont val="Tahoma"/>
            <family val="2"/>
          </rPr>
          <t>mbeauchamp:</t>
        </r>
        <r>
          <rPr>
            <sz val="8"/>
            <color indexed="81"/>
            <rFont val="Tahoma"/>
            <family val="2"/>
          </rPr>
          <t xml:space="preserve">
now owns fmr. Thumbplay Tones
</t>
        </r>
      </text>
    </comment>
    <comment ref="AM183" authorId="0">
      <text>
        <r>
          <rPr>
            <b/>
            <sz val="8"/>
            <color indexed="81"/>
            <rFont val="Tahoma"/>
            <family val="2"/>
          </rPr>
          <t>mbeauchamp:</t>
        </r>
        <r>
          <rPr>
            <sz val="8"/>
            <color indexed="81"/>
            <rFont val="Tahoma"/>
            <family val="2"/>
          </rPr>
          <t xml:space="preserve">
now owns fmr. Thumbplay Tones
</t>
        </r>
      </text>
    </comment>
    <comment ref="AC232" authorId="1">
      <text>
        <r>
          <rPr>
            <b/>
            <sz val="8"/>
            <color indexed="81"/>
            <rFont val="Tahoma"/>
            <family val="2"/>
          </rPr>
          <t>Anastasia Lekkas:</t>
        </r>
        <r>
          <rPr>
            <sz val="8"/>
            <color indexed="81"/>
            <rFont val="Tahoma"/>
            <family val="2"/>
          </rPr>
          <t xml:space="preserve">
Reclass YouTube to Video
</t>
        </r>
      </text>
    </comment>
    <comment ref="AC233" authorId="1">
      <text>
        <r>
          <rPr>
            <b/>
            <sz val="8"/>
            <color indexed="81"/>
            <rFont val="Tahoma"/>
            <family val="2"/>
          </rPr>
          <t>Anastasia Lekkas:</t>
        </r>
        <r>
          <rPr>
            <sz val="8"/>
            <color indexed="81"/>
            <rFont val="Tahoma"/>
            <family val="2"/>
          </rPr>
          <t xml:space="preserve">
Reclass Itunes to Video
</t>
        </r>
      </text>
    </comment>
  </commentList>
</comments>
</file>

<file path=xl/sharedStrings.xml><?xml version="1.0" encoding="utf-8"?>
<sst xmlns="http://schemas.openxmlformats.org/spreadsheetml/2006/main" count="27598" uniqueCount="1271">
  <si>
    <t>24/7</t>
  </si>
  <si>
    <t>Acquamedia Technologies</t>
  </si>
  <si>
    <t>Akuma</t>
  </si>
  <si>
    <t>Amie Street</t>
  </si>
  <si>
    <t>Arena Mobile</t>
  </si>
  <si>
    <t>Arvato</t>
  </si>
  <si>
    <t>Audio Lunchbox</t>
  </si>
  <si>
    <t>Beatport Digital Download Network</t>
  </si>
  <si>
    <t>Bobun Productions</t>
  </si>
  <si>
    <t>Buongiorno Vtimanic SPA</t>
  </si>
  <si>
    <t>Dada S.p.A.</t>
  </si>
  <si>
    <t>Download Punk</t>
  </si>
  <si>
    <t>Ecast</t>
  </si>
  <si>
    <t>emusic EU/UK</t>
  </si>
  <si>
    <t>Flycell</t>
  </si>
  <si>
    <t>FNAC Direct</t>
  </si>
  <si>
    <t>Gigigo, S.L.</t>
  </si>
  <si>
    <t>Global Groove Digital</t>
  </si>
  <si>
    <t>Hudson Entertainment</t>
  </si>
  <si>
    <t>Hutchison 3G UK Ltd.</t>
  </si>
  <si>
    <t>Insound, LLC</t>
  </si>
  <si>
    <t>Jamba</t>
  </si>
  <si>
    <t>Jet Multimedia</t>
  </si>
  <si>
    <t>Joost</t>
  </si>
  <si>
    <t>Juno Records</t>
  </si>
  <si>
    <t>LatinCool.com</t>
  </si>
  <si>
    <t>Limewire</t>
  </si>
  <si>
    <t>Megabop Records Ltd t/a Mbop Digital</t>
  </si>
  <si>
    <t>Mix&amp;Burn</t>
  </si>
  <si>
    <t>Moderati Inc.</t>
  </si>
  <si>
    <t>Mohen, Inc. d.b.a. Spiral Frog</t>
  </si>
  <si>
    <t>Musiwave</t>
  </si>
  <si>
    <t>Muzicall</t>
  </si>
  <si>
    <t>Myxer</t>
  </si>
  <si>
    <t>Nareos UK Limited</t>
  </si>
  <si>
    <t>Nuclear Blast</t>
  </si>
  <si>
    <t>Oasys Mobile</t>
  </si>
  <si>
    <t>PassAlong Networks</t>
  </si>
  <si>
    <t>Pitch Entertainment</t>
  </si>
  <si>
    <t>Qobuz</t>
  </si>
  <si>
    <t>R&amp;D Media</t>
  </si>
  <si>
    <t>Rogers Wireless Partnership</t>
  </si>
  <si>
    <t>Ruckus</t>
  </si>
  <si>
    <t>Secury Cast</t>
  </si>
  <si>
    <t>Send Me Mobile</t>
  </si>
  <si>
    <t>Slacker</t>
  </si>
  <si>
    <t>Snocap, Inc.</t>
  </si>
  <si>
    <t>Sony Ericsson Mobile AB</t>
  </si>
  <si>
    <t>Sprint</t>
  </si>
  <si>
    <t>Starbucks</t>
  </si>
  <si>
    <t>Starzik SARL</t>
  </si>
  <si>
    <t>Telecom Italia S.p.A</t>
  </si>
  <si>
    <t>Theta Music Technologies</t>
  </si>
  <si>
    <t>Thumbplay, Inc.</t>
  </si>
  <si>
    <t>TOTAL TIM, Lda</t>
  </si>
  <si>
    <t>Trackitdown.net</t>
  </si>
  <si>
    <t>Verisign</t>
  </si>
  <si>
    <t>Vitality</t>
  </si>
  <si>
    <t>PocketGroup</t>
  </si>
  <si>
    <t>Homephone</t>
  </si>
  <si>
    <t>Touchtunes</t>
  </si>
  <si>
    <t>Wax Poetics</t>
  </si>
  <si>
    <t>Akado</t>
  </si>
  <si>
    <t>Napster Japan</t>
  </si>
  <si>
    <t>Hot Topic/Shockhound</t>
  </si>
  <si>
    <t>iMusic Italy</t>
  </si>
  <si>
    <t>iMusic Israel</t>
  </si>
  <si>
    <t>LABEL</t>
  </si>
  <si>
    <t>Nugs.net</t>
  </si>
  <si>
    <t>Basepoint Media</t>
  </si>
  <si>
    <t>Albert</t>
  </si>
  <si>
    <t>The Orchard, Inc.</t>
  </si>
  <si>
    <t>Quarterly Royalty Statement and Invoicing Log</t>
  </si>
  <si>
    <t>Statement Received - Invoice not yet generated</t>
  </si>
  <si>
    <t>Statement due but not yet received - Invoice not yet generated</t>
  </si>
  <si>
    <t>Statement not due and not yet received - Invoice not yet generated</t>
  </si>
  <si>
    <t>Statement Received - Invoice generated and sent</t>
  </si>
  <si>
    <t>Red</t>
  </si>
  <si>
    <t>Yellow</t>
  </si>
  <si>
    <t>White</t>
  </si>
  <si>
    <t>Green</t>
  </si>
  <si>
    <t xml:space="preserve">Incorrect Statement - Customer to resend statement </t>
  </si>
  <si>
    <t>Gray</t>
  </si>
  <si>
    <t>Sales temporarily suspended pending discussions with customer</t>
  </si>
  <si>
    <t>Color</t>
  </si>
  <si>
    <t>Legend</t>
  </si>
  <si>
    <t>Totals</t>
  </si>
  <si>
    <t>Lycos</t>
  </si>
  <si>
    <t>Contract Terminated</t>
  </si>
  <si>
    <t>Black</t>
  </si>
  <si>
    <t>May Termination</t>
  </si>
  <si>
    <t>Lala media</t>
  </si>
  <si>
    <t>S.E.07.10.09</t>
  </si>
  <si>
    <t>Starfish</t>
  </si>
  <si>
    <t>Exact Mobile</t>
  </si>
  <si>
    <t>Reporting</t>
  </si>
  <si>
    <t>Contract</t>
  </si>
  <si>
    <t>Monthly</t>
  </si>
  <si>
    <t>Rhythm Records</t>
  </si>
  <si>
    <t>Real  GmbH / Sony Net Services</t>
  </si>
  <si>
    <t>Dig/Mob</t>
  </si>
  <si>
    <t>Orange</t>
  </si>
  <si>
    <t>Spotify</t>
  </si>
  <si>
    <t>Estimate from Customer</t>
  </si>
  <si>
    <t>Cust Prelim</t>
  </si>
  <si>
    <t>Actual Invoiced</t>
  </si>
  <si>
    <t>Estimate</t>
  </si>
  <si>
    <t xml:space="preserve">Telefonica </t>
  </si>
  <si>
    <t>Amazon On Demand (US Video)</t>
  </si>
  <si>
    <t>M</t>
  </si>
  <si>
    <t>D</t>
  </si>
  <si>
    <t>Digital Accrual</t>
  </si>
  <si>
    <t>Mobile Accrual</t>
  </si>
  <si>
    <t>Video Accrual</t>
  </si>
  <si>
    <t>V</t>
  </si>
  <si>
    <t>Blue</t>
  </si>
  <si>
    <t>Estimate based on prior qtr</t>
  </si>
  <si>
    <t>Pink</t>
  </si>
  <si>
    <t>La Mediatheque</t>
  </si>
  <si>
    <t>Prepared/Date</t>
  </si>
  <si>
    <t>Reviewed/Date</t>
  </si>
  <si>
    <t>Orange Romania</t>
  </si>
  <si>
    <t>MySpace</t>
  </si>
  <si>
    <r>
      <rPr>
        <b/>
        <sz val="8"/>
        <color theme="1"/>
        <rFont val="Calibri"/>
        <family val="2"/>
      </rPr>
      <t>BELL MOBILITY INC</t>
    </r>
    <r>
      <rPr>
        <sz val="8"/>
        <color theme="1"/>
        <rFont val="Calibri"/>
        <family val="2"/>
      </rPr>
      <t xml:space="preserve"> - OTA</t>
    </r>
  </si>
  <si>
    <r>
      <rPr>
        <b/>
        <sz val="8"/>
        <color theme="1"/>
        <rFont val="Calibri"/>
        <family val="2"/>
      </rPr>
      <t>BELL MOBILITY INC</t>
    </r>
    <r>
      <rPr>
        <sz val="8"/>
        <color theme="1"/>
        <rFont val="Calibri"/>
        <family val="2"/>
      </rPr>
      <t xml:space="preserve"> - Subscriptions</t>
    </r>
  </si>
  <si>
    <r>
      <rPr>
        <b/>
        <sz val="8"/>
        <color theme="1"/>
        <rFont val="Calibri"/>
        <family val="2"/>
      </rPr>
      <t xml:space="preserve">BELL MOBILITY INC </t>
    </r>
    <r>
      <rPr>
        <sz val="8"/>
        <color theme="1"/>
        <rFont val="Calibri"/>
        <family val="2"/>
      </rPr>
      <t>- Ringtone</t>
    </r>
  </si>
  <si>
    <r>
      <rPr>
        <b/>
        <sz val="8"/>
        <color theme="1"/>
        <rFont val="Calibri"/>
        <family val="2"/>
      </rPr>
      <t>BELL MOBILITY INC</t>
    </r>
    <r>
      <rPr>
        <sz val="8"/>
        <color theme="1"/>
        <rFont val="Calibri"/>
        <family val="2"/>
      </rPr>
      <t xml:space="preserve"> - Ringbacks</t>
    </r>
  </si>
  <si>
    <r>
      <rPr>
        <b/>
        <sz val="8"/>
        <color theme="1"/>
        <rFont val="Calibri"/>
        <family val="2"/>
      </rPr>
      <t>24/7</t>
    </r>
    <r>
      <rPr>
        <sz val="8"/>
        <color theme="1"/>
        <rFont val="Calibri"/>
        <family val="2"/>
      </rPr>
      <t xml:space="preserve"> TDC Play</t>
    </r>
  </si>
  <si>
    <r>
      <rPr>
        <b/>
        <sz val="8"/>
        <color theme="1"/>
        <rFont val="Calibri"/>
        <family val="2"/>
      </rPr>
      <t>24/7</t>
    </r>
    <r>
      <rPr>
        <sz val="8"/>
        <color theme="1"/>
        <rFont val="Calibri"/>
        <family val="2"/>
      </rPr>
      <t xml:space="preserve"> Omnifone</t>
    </r>
  </si>
  <si>
    <r>
      <rPr>
        <b/>
        <sz val="8"/>
        <color theme="1"/>
        <rFont val="Calibri"/>
        <family val="2"/>
      </rPr>
      <t>24/7</t>
    </r>
    <r>
      <rPr>
        <sz val="8"/>
        <color theme="1"/>
        <rFont val="Calibri"/>
        <family val="2"/>
      </rPr>
      <t xml:space="preserve"> 3AT</t>
    </r>
  </si>
  <si>
    <r>
      <rPr>
        <b/>
        <sz val="8"/>
        <color theme="1"/>
        <rFont val="Calibri"/>
        <family val="2"/>
      </rPr>
      <t>24/7</t>
    </r>
    <r>
      <rPr>
        <sz val="8"/>
        <color theme="1"/>
        <rFont val="Calibri"/>
        <family val="2"/>
      </rPr>
      <t xml:space="preserve"> PNP</t>
    </r>
  </si>
  <si>
    <r>
      <t>7 Digital -</t>
    </r>
    <r>
      <rPr>
        <sz val="8"/>
        <color theme="1"/>
        <rFont val="Calibri"/>
        <family val="2"/>
      </rPr>
      <t xml:space="preserve"> EURO</t>
    </r>
  </si>
  <si>
    <r>
      <t xml:space="preserve">7 Digital - </t>
    </r>
    <r>
      <rPr>
        <sz val="8"/>
        <color theme="1"/>
        <rFont val="Calibri"/>
        <family val="2"/>
      </rPr>
      <t>UK</t>
    </r>
  </si>
  <si>
    <r>
      <t xml:space="preserve">7 Digital - </t>
    </r>
    <r>
      <rPr>
        <sz val="8"/>
        <color theme="1"/>
        <rFont val="Calibri"/>
        <family val="2"/>
      </rPr>
      <t>US</t>
    </r>
  </si>
  <si>
    <r>
      <rPr>
        <b/>
        <sz val="8"/>
        <color theme="1"/>
        <rFont val="Calibri"/>
        <family val="2"/>
      </rPr>
      <t>Amazon</t>
    </r>
    <r>
      <rPr>
        <sz val="8"/>
        <color theme="1"/>
        <rFont val="Calibri"/>
        <family val="2"/>
      </rPr>
      <t xml:space="preserve"> - US</t>
    </r>
  </si>
  <si>
    <r>
      <rPr>
        <b/>
        <sz val="8"/>
        <color theme="1"/>
        <rFont val="Calibri"/>
        <family val="2"/>
      </rPr>
      <t>Amazon</t>
    </r>
    <r>
      <rPr>
        <sz val="8"/>
        <color theme="1"/>
        <rFont val="Calibri"/>
        <family val="2"/>
      </rPr>
      <t xml:space="preserve"> - US (TVT)</t>
    </r>
  </si>
  <si>
    <r>
      <rPr>
        <b/>
        <sz val="8"/>
        <color theme="1"/>
        <rFont val="Calibri"/>
        <family val="2"/>
      </rPr>
      <t xml:space="preserve">Amazon </t>
    </r>
    <r>
      <rPr>
        <sz val="8"/>
        <color theme="1"/>
        <rFont val="Calibri"/>
        <family val="2"/>
      </rPr>
      <t>- UK</t>
    </r>
  </si>
  <si>
    <r>
      <rPr>
        <b/>
        <sz val="8"/>
        <color theme="1"/>
        <rFont val="Calibri"/>
        <family val="2"/>
      </rPr>
      <t>Amazon</t>
    </r>
    <r>
      <rPr>
        <sz val="8"/>
        <color theme="1"/>
        <rFont val="Calibri"/>
        <family val="2"/>
      </rPr>
      <t xml:space="preserve"> - Germany</t>
    </r>
  </si>
  <si>
    <r>
      <rPr>
        <b/>
        <sz val="8"/>
        <color theme="1"/>
        <rFont val="Calibri"/>
        <family val="2"/>
      </rPr>
      <t>deezer</t>
    </r>
    <r>
      <rPr>
        <sz val="8"/>
        <color theme="1"/>
        <rFont val="Calibri"/>
        <family val="2"/>
      </rPr>
      <t xml:space="preserve"> - EU</t>
    </r>
  </si>
  <si>
    <r>
      <rPr>
        <b/>
        <sz val="8"/>
        <color theme="1"/>
        <rFont val="Calibri"/>
        <family val="2"/>
      </rPr>
      <t>Groove Mobile</t>
    </r>
    <r>
      <rPr>
        <sz val="8"/>
        <color theme="1"/>
        <rFont val="Calibri"/>
        <family val="2"/>
      </rPr>
      <t xml:space="preserve"> - Orchard</t>
    </r>
  </si>
  <si>
    <r>
      <rPr>
        <b/>
        <sz val="8"/>
        <color theme="1"/>
        <rFont val="Calibri"/>
        <family val="2"/>
      </rPr>
      <t>Groove Mobile</t>
    </r>
    <r>
      <rPr>
        <sz val="8"/>
        <color theme="1"/>
        <rFont val="Calibri"/>
        <family val="2"/>
      </rPr>
      <t xml:space="preserve"> - DRA</t>
    </r>
  </si>
  <si>
    <r>
      <rPr>
        <b/>
        <sz val="8"/>
        <color theme="1"/>
        <rFont val="Calibri"/>
        <family val="2"/>
      </rPr>
      <t>Groove Mobile</t>
    </r>
    <r>
      <rPr>
        <sz val="8"/>
        <color theme="1"/>
        <rFont val="Calibri"/>
        <family val="2"/>
      </rPr>
      <t xml:space="preserve"> - Cricket</t>
    </r>
  </si>
  <si>
    <r>
      <rPr>
        <b/>
        <sz val="8"/>
        <color theme="1"/>
        <rFont val="Calibri"/>
        <family val="2"/>
      </rPr>
      <t>FunMobility</t>
    </r>
    <r>
      <rPr>
        <sz val="8"/>
        <color theme="1"/>
        <rFont val="Calibri"/>
        <family val="2"/>
      </rPr>
      <t xml:space="preserve"> - Orchard</t>
    </r>
  </si>
  <si>
    <r>
      <rPr>
        <b/>
        <sz val="8"/>
        <color theme="1"/>
        <rFont val="Calibri"/>
        <family val="2"/>
      </rPr>
      <t>FunMobility</t>
    </r>
    <r>
      <rPr>
        <sz val="8"/>
        <color theme="1"/>
        <rFont val="Calibri"/>
        <family val="2"/>
      </rPr>
      <t xml:space="preserve"> - DRA</t>
    </r>
  </si>
  <si>
    <r>
      <t>iTunes -</t>
    </r>
    <r>
      <rPr>
        <sz val="8"/>
        <color theme="1"/>
        <rFont val="Calibri"/>
        <family val="2"/>
      </rPr>
      <t xml:space="preserve"> US</t>
    </r>
  </si>
  <si>
    <r>
      <t xml:space="preserve">iTunes - </t>
    </r>
    <r>
      <rPr>
        <sz val="8"/>
        <color theme="1"/>
        <rFont val="Calibri"/>
        <family val="2"/>
      </rPr>
      <t>EU</t>
    </r>
  </si>
  <si>
    <r>
      <t>iTunes -</t>
    </r>
    <r>
      <rPr>
        <sz val="8"/>
        <color theme="1"/>
        <rFont val="Calibri"/>
        <family val="2"/>
      </rPr>
      <t xml:space="preserve"> CA</t>
    </r>
  </si>
  <si>
    <r>
      <t>iTunes -</t>
    </r>
    <r>
      <rPr>
        <sz val="8"/>
        <color theme="1"/>
        <rFont val="Calibri"/>
        <family val="2"/>
      </rPr>
      <t xml:space="preserve"> AU</t>
    </r>
  </si>
  <si>
    <r>
      <t>iTunes</t>
    </r>
    <r>
      <rPr>
        <sz val="8"/>
        <color theme="1"/>
        <rFont val="Calibri"/>
        <family val="2"/>
      </rPr>
      <t xml:space="preserve"> - JP</t>
    </r>
  </si>
  <si>
    <r>
      <t>iTunes -</t>
    </r>
    <r>
      <rPr>
        <sz val="8"/>
        <color theme="1"/>
        <rFont val="Calibri"/>
        <family val="2"/>
      </rPr>
      <t xml:space="preserve"> US TVT</t>
    </r>
  </si>
  <si>
    <r>
      <t>iTunes</t>
    </r>
    <r>
      <rPr>
        <sz val="8"/>
        <color theme="1"/>
        <rFont val="Calibri"/>
        <family val="2"/>
      </rPr>
      <t xml:space="preserve"> - EU TVT</t>
    </r>
  </si>
  <si>
    <r>
      <t>iTunes</t>
    </r>
    <r>
      <rPr>
        <sz val="8"/>
        <color theme="1"/>
        <rFont val="Calibri"/>
        <family val="2"/>
      </rPr>
      <t xml:space="preserve"> - CA TVT</t>
    </r>
  </si>
  <si>
    <r>
      <t xml:space="preserve">iTunes </t>
    </r>
    <r>
      <rPr>
        <sz val="8"/>
        <color theme="1"/>
        <rFont val="Calibri"/>
        <family val="2"/>
      </rPr>
      <t>- AU TVT</t>
    </r>
  </si>
  <si>
    <r>
      <rPr>
        <b/>
        <sz val="8"/>
        <color theme="1"/>
        <rFont val="Calibri"/>
        <family val="2"/>
      </rPr>
      <t>Nokia</t>
    </r>
    <r>
      <rPr>
        <sz val="8"/>
        <color theme="1"/>
        <rFont val="Calibri"/>
        <family val="2"/>
      </rPr>
      <t xml:space="preserve"> Orchard</t>
    </r>
  </si>
  <si>
    <r>
      <rPr>
        <b/>
        <sz val="8"/>
        <color theme="1"/>
        <rFont val="Calibri"/>
        <family val="2"/>
      </rPr>
      <t>Nokia</t>
    </r>
    <r>
      <rPr>
        <sz val="8"/>
        <color theme="1"/>
        <rFont val="Calibri"/>
        <family val="2"/>
      </rPr>
      <t xml:space="preserve"> DRA</t>
    </r>
  </si>
  <si>
    <r>
      <rPr>
        <b/>
        <sz val="8"/>
        <color theme="1"/>
        <rFont val="Calibri"/>
        <family val="2"/>
      </rPr>
      <t>Nokia</t>
    </r>
    <r>
      <rPr>
        <sz val="8"/>
        <color theme="1"/>
        <rFont val="Calibri"/>
        <family val="2"/>
      </rPr>
      <t xml:space="preserve"> Owie</t>
    </r>
  </si>
  <si>
    <r>
      <rPr>
        <b/>
        <sz val="8"/>
        <color theme="1"/>
        <rFont val="Calibri"/>
        <family val="2"/>
      </rPr>
      <t xml:space="preserve">Telus </t>
    </r>
    <r>
      <rPr>
        <sz val="8"/>
        <color theme="1"/>
        <rFont val="Calibri"/>
        <family val="2"/>
      </rPr>
      <t>Subs</t>
    </r>
  </si>
  <si>
    <r>
      <rPr>
        <b/>
        <sz val="8"/>
        <color theme="1"/>
        <rFont val="Calibri"/>
        <family val="2"/>
      </rPr>
      <t>Telus</t>
    </r>
    <r>
      <rPr>
        <sz val="8"/>
        <color theme="1"/>
        <rFont val="Calibri"/>
        <family val="2"/>
      </rPr>
      <t xml:space="preserve"> Ringtones</t>
    </r>
  </si>
  <si>
    <r>
      <rPr>
        <b/>
        <sz val="8"/>
        <color theme="1"/>
        <rFont val="Calibri"/>
        <family val="2"/>
      </rPr>
      <t>Telus</t>
    </r>
    <r>
      <rPr>
        <sz val="8"/>
        <color theme="1"/>
        <rFont val="Calibri"/>
        <family val="2"/>
      </rPr>
      <t xml:space="preserve"> OTA</t>
    </r>
  </si>
  <si>
    <r>
      <rPr>
        <b/>
        <sz val="8"/>
        <color theme="1"/>
        <rFont val="Calibri"/>
        <family val="2"/>
      </rPr>
      <t>Verizon</t>
    </r>
    <r>
      <rPr>
        <sz val="8"/>
        <color theme="1"/>
        <rFont val="Calibri"/>
        <family val="2"/>
      </rPr>
      <t xml:space="preserve"> Ringtones</t>
    </r>
  </si>
  <si>
    <r>
      <rPr>
        <b/>
        <sz val="8"/>
        <color theme="1"/>
        <rFont val="Calibri"/>
        <family val="2"/>
      </rPr>
      <t>Verizon</t>
    </r>
    <r>
      <rPr>
        <sz val="8"/>
        <color theme="1"/>
        <rFont val="Calibri"/>
        <family val="2"/>
      </rPr>
      <t xml:space="preserve"> Ringbacks</t>
    </r>
  </si>
  <si>
    <r>
      <rPr>
        <b/>
        <sz val="8"/>
        <color theme="1"/>
        <rFont val="Calibri"/>
        <family val="2"/>
      </rPr>
      <t>Verizon</t>
    </r>
    <r>
      <rPr>
        <sz val="8"/>
        <color theme="1"/>
        <rFont val="Calibri"/>
        <family val="2"/>
      </rPr>
      <t xml:space="preserve"> OTA ( Over the air) - Orchard</t>
    </r>
  </si>
  <si>
    <r>
      <rPr>
        <b/>
        <sz val="8"/>
        <color theme="1"/>
        <rFont val="Calibri"/>
        <family val="2"/>
      </rPr>
      <t>Verizon</t>
    </r>
    <r>
      <rPr>
        <sz val="8"/>
        <color theme="1"/>
        <rFont val="Calibri"/>
        <family val="2"/>
      </rPr>
      <t xml:space="preserve"> OTA ( Over the air) - DRA</t>
    </r>
  </si>
  <si>
    <r>
      <rPr>
        <b/>
        <sz val="8"/>
        <color theme="1"/>
        <rFont val="Calibri"/>
        <family val="2"/>
      </rPr>
      <t xml:space="preserve">Virgin FR </t>
    </r>
    <r>
      <rPr>
        <sz val="8"/>
        <color theme="1"/>
        <rFont val="Calibri"/>
        <family val="2"/>
      </rPr>
      <t>- Orchard</t>
    </r>
  </si>
  <si>
    <r>
      <rPr>
        <b/>
        <sz val="8"/>
        <color theme="1"/>
        <rFont val="Calibri"/>
        <family val="2"/>
      </rPr>
      <t>Virgin FR</t>
    </r>
    <r>
      <rPr>
        <sz val="8"/>
        <color theme="1"/>
        <rFont val="Calibri"/>
        <family val="2"/>
      </rPr>
      <t xml:space="preserve"> - DRA</t>
    </r>
  </si>
  <si>
    <r>
      <t>Orange France -</t>
    </r>
    <r>
      <rPr>
        <sz val="8"/>
        <color theme="1"/>
        <rFont val="Calibri"/>
        <family val="2"/>
      </rPr>
      <t xml:space="preserve"> Mobile</t>
    </r>
  </si>
  <si>
    <r>
      <t>Orange France -</t>
    </r>
    <r>
      <rPr>
        <sz val="8"/>
        <color theme="1"/>
        <rFont val="Calibri"/>
        <family val="2"/>
      </rPr>
      <t xml:space="preserve"> Digital</t>
    </r>
  </si>
  <si>
    <r>
      <rPr>
        <b/>
        <sz val="8"/>
        <color theme="1"/>
        <rFont val="Calibri"/>
        <family val="2"/>
      </rPr>
      <t xml:space="preserve">Orange Suisse - </t>
    </r>
    <r>
      <rPr>
        <sz val="8"/>
        <color theme="1"/>
        <rFont val="Calibri"/>
        <family val="2"/>
      </rPr>
      <t>Mobile</t>
    </r>
  </si>
  <si>
    <r>
      <rPr>
        <b/>
        <sz val="8"/>
        <color theme="1"/>
        <rFont val="Calibri"/>
        <family val="2"/>
      </rPr>
      <t xml:space="preserve">Orange Suisse - </t>
    </r>
    <r>
      <rPr>
        <sz val="8"/>
        <color theme="1"/>
        <rFont val="Calibri"/>
        <family val="2"/>
      </rPr>
      <t>Digital</t>
    </r>
  </si>
  <si>
    <t>We7</t>
  </si>
  <si>
    <t>eMusic US</t>
  </si>
  <si>
    <t>eMusic US - TVT</t>
  </si>
  <si>
    <t>emusic EU/UK - TVT</t>
  </si>
  <si>
    <t>eMusic CA</t>
  </si>
  <si>
    <t>eMusic CA - TVT</t>
  </si>
  <si>
    <t>Thumbtribe</t>
  </si>
  <si>
    <t>07.04.09</t>
  </si>
  <si>
    <t>01.09.09</t>
  </si>
  <si>
    <t>No Advance</t>
  </si>
  <si>
    <r>
      <rPr>
        <b/>
        <sz val="8"/>
        <color theme="1"/>
        <rFont val="Calibri"/>
        <family val="2"/>
      </rPr>
      <t>Groove Mobile</t>
    </r>
    <r>
      <rPr>
        <sz val="8"/>
        <color theme="1"/>
        <rFont val="Calibri"/>
        <family val="2"/>
      </rPr>
      <t xml:space="preserve"> - Telecom NZ Orchard</t>
    </r>
  </si>
  <si>
    <r>
      <rPr>
        <b/>
        <sz val="8"/>
        <color theme="1"/>
        <rFont val="Calibri"/>
        <family val="2"/>
      </rPr>
      <t>Groove Mobile</t>
    </r>
    <r>
      <rPr>
        <sz val="8"/>
        <color theme="1"/>
        <rFont val="Calibri"/>
        <family val="2"/>
      </rPr>
      <t xml:space="preserve"> - Telecom NZ DRA</t>
    </r>
  </si>
  <si>
    <t>Imusica</t>
  </si>
  <si>
    <t>09.01.08</t>
  </si>
  <si>
    <t>LastFM</t>
  </si>
  <si>
    <r>
      <rPr>
        <b/>
        <sz val="8"/>
        <color theme="1"/>
        <rFont val="Calibri"/>
        <family val="2"/>
      </rPr>
      <t>Amazon</t>
    </r>
    <r>
      <rPr>
        <sz val="8"/>
        <color theme="1"/>
        <rFont val="Calibri"/>
        <family val="2"/>
      </rPr>
      <t xml:space="preserve"> - France</t>
    </r>
  </si>
  <si>
    <t>Pure Tracks US</t>
  </si>
  <si>
    <t>Pure Tracks CA</t>
  </si>
  <si>
    <r>
      <rPr>
        <b/>
        <sz val="8"/>
        <color theme="1"/>
        <rFont val="Calibri"/>
        <family val="2"/>
      </rPr>
      <t>9-Squared / Zed</t>
    </r>
    <r>
      <rPr>
        <sz val="8"/>
        <color theme="1"/>
        <rFont val="Calibri"/>
        <family val="2"/>
      </rPr>
      <t xml:space="preserve"> - Orchard</t>
    </r>
  </si>
  <si>
    <r>
      <rPr>
        <b/>
        <sz val="8"/>
        <color theme="1"/>
        <rFont val="Calibri"/>
        <family val="2"/>
      </rPr>
      <t>9-Squared / Zed</t>
    </r>
    <r>
      <rPr>
        <sz val="8"/>
        <color theme="1"/>
        <rFont val="Calibri"/>
        <family val="2"/>
      </rPr>
      <t xml:space="preserve"> - DRA</t>
    </r>
  </si>
  <si>
    <r>
      <rPr>
        <b/>
        <sz val="8"/>
        <color theme="1"/>
        <rFont val="Calibri"/>
        <family val="2"/>
      </rPr>
      <t xml:space="preserve">9-Squared / Zed </t>
    </r>
    <r>
      <rPr>
        <sz val="8"/>
        <color theme="1"/>
        <rFont val="Calibri"/>
        <family val="2"/>
      </rPr>
      <t>- TVT</t>
    </r>
  </si>
  <si>
    <t>Mobile Money</t>
  </si>
  <si>
    <t>AppliedSB (Groupietunes)</t>
  </si>
  <si>
    <t>MusicLoad DE ALC</t>
  </si>
  <si>
    <t>MusicLoad DE Subs</t>
  </si>
  <si>
    <t>MusicLoad AT ALC</t>
  </si>
  <si>
    <t>MusicLoad AT Subs</t>
  </si>
  <si>
    <t>MusicLoad CH ALC</t>
  </si>
  <si>
    <t>MusicLoad CH Subs</t>
  </si>
  <si>
    <t>Musicload CLW</t>
  </si>
  <si>
    <t>Hip Digital - CA</t>
  </si>
  <si>
    <t>Hip Digital - US</t>
  </si>
  <si>
    <t>Hip Digital - UK</t>
  </si>
  <si>
    <t>InProdicon - Streams</t>
  </si>
  <si>
    <t>InProdicon - PD</t>
  </si>
  <si>
    <t>Current</t>
  </si>
  <si>
    <t>Statements</t>
  </si>
  <si>
    <t>Real/Rhapsody-TVT</t>
  </si>
  <si>
    <t>Real/Rhapsody-eMusic</t>
  </si>
  <si>
    <t>Gigigo (Off Portal)</t>
  </si>
  <si>
    <r>
      <t>iTunes</t>
    </r>
    <r>
      <rPr>
        <sz val="8"/>
        <color theme="1"/>
        <rFont val="Calibri"/>
        <family val="2"/>
      </rPr>
      <t xml:space="preserve"> - MX</t>
    </r>
  </si>
  <si>
    <r>
      <t>iTunes</t>
    </r>
    <r>
      <rPr>
        <sz val="8"/>
        <color theme="1"/>
        <rFont val="Calibri"/>
        <family val="2"/>
      </rPr>
      <t xml:space="preserve"> - MX TVT</t>
    </r>
  </si>
  <si>
    <t>Q</t>
  </si>
  <si>
    <t>OOB</t>
  </si>
  <si>
    <t>? OOB</t>
  </si>
  <si>
    <t>DFS</t>
  </si>
  <si>
    <t>Legal Issues</t>
  </si>
  <si>
    <t>FTPD</t>
  </si>
  <si>
    <t>Legal</t>
  </si>
  <si>
    <t>Quarterly</t>
  </si>
  <si>
    <t>DFWS</t>
  </si>
  <si>
    <t>One Italia</t>
  </si>
  <si>
    <t>Rogers Wireless Partnership - FIDO</t>
  </si>
  <si>
    <t>January</t>
  </si>
  <si>
    <t>TVT Dig. Accrual</t>
  </si>
  <si>
    <t>TVT Mob. Accrual</t>
  </si>
  <si>
    <t>**Total</t>
  </si>
  <si>
    <t/>
  </si>
  <si>
    <t>Q4</t>
  </si>
  <si>
    <t xml:space="preserve">Last Updated: </t>
  </si>
  <si>
    <t>TrueUp</t>
  </si>
  <si>
    <t>Actuals</t>
  </si>
  <si>
    <t>Mobile Streams</t>
  </si>
  <si>
    <t>Neowizbugs</t>
  </si>
  <si>
    <t>Sky (British Sky Broadcasting)</t>
  </si>
  <si>
    <t>AMI - Entertainment</t>
  </si>
  <si>
    <t>Classical World</t>
  </si>
  <si>
    <t>mSolutions</t>
  </si>
  <si>
    <t>Beezik Sarl.</t>
  </si>
  <si>
    <t>Neo Mobile</t>
  </si>
  <si>
    <t>Viva Entertainment</t>
  </si>
  <si>
    <t>TOP100</t>
  </si>
  <si>
    <t>Real Video</t>
  </si>
  <si>
    <t>deezer - HQ Subs</t>
  </si>
  <si>
    <t>deezer - Premium Subs</t>
  </si>
  <si>
    <t>YouTube (Standard)</t>
  </si>
  <si>
    <t>SoundExchange</t>
  </si>
  <si>
    <r>
      <rPr>
        <b/>
        <sz val="8"/>
        <color theme="1"/>
        <rFont val="Calibri"/>
        <family val="2"/>
        <scheme val="minor"/>
      </rPr>
      <t>Amazon</t>
    </r>
    <r>
      <rPr>
        <sz val="8"/>
        <color theme="1"/>
        <rFont val="Calibri"/>
        <family val="2"/>
        <scheme val="minor"/>
      </rPr>
      <t xml:space="preserve"> - Austria</t>
    </r>
  </si>
  <si>
    <r>
      <rPr>
        <b/>
        <sz val="8"/>
        <color theme="1"/>
        <rFont val="Calibri"/>
        <family val="2"/>
        <scheme val="minor"/>
      </rPr>
      <t>Amazon</t>
    </r>
    <r>
      <rPr>
        <sz val="8"/>
        <color theme="1"/>
        <rFont val="Calibri"/>
        <family val="2"/>
        <scheme val="minor"/>
      </rPr>
      <t xml:space="preserve"> - Switzerland</t>
    </r>
  </si>
  <si>
    <t>Musicload Mobile DE Ota</t>
  </si>
  <si>
    <t>.</t>
  </si>
  <si>
    <t>immaterial</t>
  </si>
  <si>
    <t>GL Balance</t>
  </si>
  <si>
    <t>Period: January 1,2010 to March 31, 2010</t>
  </si>
  <si>
    <t>&lt;Q409 Catch Up</t>
  </si>
  <si>
    <t>Q1</t>
  </si>
  <si>
    <t>February</t>
  </si>
  <si>
    <t>March</t>
  </si>
  <si>
    <t>Q110 - Accrual</t>
  </si>
  <si>
    <t xml:space="preserve">Q110-Orchard Actual </t>
  </si>
  <si>
    <t>*Total = Actual Rev, Q4 Tru-up &amp; Catch-up of prior qtr rev</t>
  </si>
  <si>
    <t>**Total = Actual Rev, Estimated Rev, Acrrued Rev, Q4 Tru-up &amp; Catch-up of prior qtr rev</t>
  </si>
  <si>
    <t>Zune</t>
  </si>
  <si>
    <t>Zune - Unredeemed</t>
  </si>
  <si>
    <t>Digital</t>
  </si>
  <si>
    <t>Mobile</t>
  </si>
  <si>
    <t>Video</t>
  </si>
  <si>
    <t>Invoiced</t>
  </si>
  <si>
    <t>Accrual</t>
  </si>
  <si>
    <t>Liquid Digital - Anderson Merchandisers (Walmart)</t>
  </si>
  <si>
    <t>reversal of duplicate Sound Exchange accrual</t>
  </si>
  <si>
    <t>Total Accrual</t>
  </si>
  <si>
    <t>additional accrual entry</t>
  </si>
  <si>
    <t>initial accrual entry</t>
  </si>
  <si>
    <t>JE 170,438</t>
  </si>
  <si>
    <t>JE 170,725</t>
  </si>
  <si>
    <t>check</t>
  </si>
  <si>
    <r>
      <rPr>
        <b/>
        <sz val="8"/>
        <color theme="1"/>
        <rFont val="Calibri"/>
        <family val="2"/>
      </rPr>
      <t>Napster Orchard</t>
    </r>
  </si>
  <si>
    <r>
      <rPr>
        <b/>
        <sz val="8"/>
        <color theme="1"/>
        <rFont val="Calibri"/>
        <family val="2"/>
      </rPr>
      <t>Napster Streams</t>
    </r>
  </si>
  <si>
    <r>
      <rPr>
        <b/>
        <sz val="8"/>
        <color theme="1"/>
        <rFont val="Calibri"/>
        <family val="2"/>
      </rPr>
      <t>Napster TVT</t>
    </r>
  </si>
  <si>
    <r>
      <rPr>
        <b/>
        <sz val="8"/>
        <color theme="1"/>
        <rFont val="Calibri"/>
        <family val="2"/>
      </rPr>
      <t xml:space="preserve">Napster Streams TVT </t>
    </r>
  </si>
  <si>
    <r>
      <rPr>
        <b/>
        <sz val="8"/>
        <color theme="1"/>
        <rFont val="Calibri"/>
        <family val="2"/>
      </rPr>
      <t>Napster Japan Streams</t>
    </r>
  </si>
  <si>
    <t xml:space="preserve">Napster Japan Streams TVT </t>
  </si>
  <si>
    <t>MediaNet / MusicNet</t>
  </si>
  <si>
    <t>JE 170,859</t>
  </si>
  <si>
    <t>&lt;Q110 Catch Up</t>
  </si>
  <si>
    <t>Q2</t>
  </si>
  <si>
    <t>Q210 - Accrual</t>
  </si>
  <si>
    <t>Period: April 1, 2010 to June 30, 2010</t>
  </si>
  <si>
    <t>April</t>
  </si>
  <si>
    <t>May</t>
  </si>
  <si>
    <t>June</t>
  </si>
  <si>
    <t>Q1Accr.VS.Actual</t>
  </si>
  <si>
    <t>Q2/2010 REV</t>
  </si>
  <si>
    <t>*Total</t>
  </si>
  <si>
    <t>*Total = Actual Rev, Q1 Tru-up &amp; Catch-up of prior qtr rev</t>
  </si>
  <si>
    <t>**Total = Actual Rev Invoiced pertaining to Q2-2010</t>
  </si>
  <si>
    <t>***Total</t>
  </si>
  <si>
    <t>***Total = Q2 Estimated &amp; Acrrued Rev</t>
  </si>
  <si>
    <t>SM</t>
  </si>
  <si>
    <t>AL</t>
  </si>
  <si>
    <t>JM</t>
  </si>
  <si>
    <t>Sony Music Entertainment Portugal</t>
  </si>
  <si>
    <t>Sony Entertainment Portugal</t>
  </si>
  <si>
    <t>Real Networks/ Rhapsody - Orchard</t>
  </si>
  <si>
    <t>Shenzhen ZTE Mobile</t>
  </si>
  <si>
    <t>HD Tracks</t>
  </si>
  <si>
    <t>Omnifone - MSC</t>
  </si>
  <si>
    <t>Omnifone - PNP</t>
  </si>
  <si>
    <t>Mobizone</t>
  </si>
  <si>
    <t xml:space="preserve"> </t>
  </si>
  <si>
    <t>Orange Portugal Optimus - Sonaecom</t>
  </si>
  <si>
    <t>Aspiro</t>
  </si>
  <si>
    <r>
      <rPr>
        <b/>
        <sz val="8"/>
        <color theme="1"/>
        <rFont val="Calibri"/>
        <family val="2"/>
      </rPr>
      <t>Groove Mobile (Livewire)</t>
    </r>
    <r>
      <rPr>
        <sz val="8"/>
        <color theme="1"/>
        <rFont val="Calibri"/>
        <family val="2"/>
      </rPr>
      <t xml:space="preserve"> - Orchard</t>
    </r>
  </si>
  <si>
    <r>
      <rPr>
        <b/>
        <sz val="8"/>
        <color theme="1"/>
        <rFont val="Calibri"/>
        <family val="2"/>
      </rPr>
      <t>Groove Mobile (Livewire)</t>
    </r>
    <r>
      <rPr>
        <sz val="8"/>
        <color theme="1"/>
        <rFont val="Calibri"/>
        <family val="2"/>
      </rPr>
      <t xml:space="preserve"> - DRA</t>
    </r>
  </si>
  <si>
    <r>
      <rPr>
        <b/>
        <sz val="8"/>
        <color theme="1"/>
        <rFont val="Calibri"/>
        <family val="2"/>
      </rPr>
      <t>Groove Mobile (Livewire)</t>
    </r>
    <r>
      <rPr>
        <sz val="8"/>
        <color theme="1"/>
        <rFont val="Calibri"/>
        <family val="2"/>
      </rPr>
      <t xml:space="preserve"> - Cricket</t>
    </r>
  </si>
  <si>
    <r>
      <rPr>
        <b/>
        <sz val="8"/>
        <color theme="1"/>
        <rFont val="Calibri"/>
        <family val="2"/>
      </rPr>
      <t>Groove Mobile (Livewire)</t>
    </r>
    <r>
      <rPr>
        <sz val="8"/>
        <color theme="1"/>
        <rFont val="Calibri"/>
        <family val="2"/>
      </rPr>
      <t xml:space="preserve"> - Telecom NZ Orchard</t>
    </r>
  </si>
  <si>
    <r>
      <rPr>
        <b/>
        <sz val="8"/>
        <color theme="1"/>
        <rFont val="Calibri"/>
        <family val="2"/>
      </rPr>
      <t>Groove Mobile (Livewire)</t>
    </r>
    <r>
      <rPr>
        <sz val="8"/>
        <color theme="1"/>
        <rFont val="Calibri"/>
        <family val="2"/>
      </rPr>
      <t xml:space="preserve"> - Telecom NZ DRA</t>
    </r>
  </si>
  <si>
    <t>24/7 PPD</t>
  </si>
  <si>
    <t>VEVO</t>
  </si>
  <si>
    <t>EMI Music Recording</t>
  </si>
  <si>
    <t>Amalgam Digital</t>
  </si>
  <si>
    <t>Junketboy Digital</t>
  </si>
  <si>
    <t>Napster Orchard (Downloads)</t>
  </si>
  <si>
    <t>Napster Orchard (Streams)</t>
  </si>
  <si>
    <r>
      <rPr>
        <b/>
        <sz val="9"/>
        <color theme="1"/>
        <rFont val="Calibri"/>
        <family val="2"/>
      </rPr>
      <t>Napster TVT</t>
    </r>
  </si>
  <si>
    <r>
      <rPr>
        <b/>
        <sz val="9"/>
        <color theme="1"/>
        <rFont val="Calibri"/>
        <family val="2"/>
      </rPr>
      <t xml:space="preserve">Napster Streams TVT </t>
    </r>
  </si>
  <si>
    <r>
      <rPr>
        <b/>
        <sz val="9"/>
        <color theme="1"/>
        <rFont val="Calibri"/>
        <family val="2"/>
      </rPr>
      <t>Napster Japan Streams</t>
    </r>
  </si>
  <si>
    <r>
      <rPr>
        <b/>
        <sz val="9"/>
        <color theme="1"/>
        <rFont val="Calibri"/>
        <family val="2"/>
      </rPr>
      <t>Nokia Orchard</t>
    </r>
  </si>
  <si>
    <r>
      <rPr>
        <b/>
        <sz val="9"/>
        <color theme="1"/>
        <rFont val="Calibri"/>
        <family val="2"/>
      </rPr>
      <t>Nokia DRA</t>
    </r>
  </si>
  <si>
    <r>
      <rPr>
        <b/>
        <sz val="9"/>
        <color theme="1"/>
        <rFont val="Calibri"/>
        <family val="2"/>
      </rPr>
      <t>Nokia Owie</t>
    </r>
  </si>
  <si>
    <r>
      <t>iTunes -</t>
    </r>
    <r>
      <rPr>
        <b/>
        <sz val="9"/>
        <color theme="1"/>
        <rFont val="Calibri"/>
        <family val="2"/>
      </rPr>
      <t xml:space="preserve"> US</t>
    </r>
  </si>
  <si>
    <r>
      <t>iTunes -</t>
    </r>
    <r>
      <rPr>
        <b/>
        <sz val="9"/>
        <color theme="1"/>
        <rFont val="Calibri"/>
        <family val="2"/>
      </rPr>
      <t xml:space="preserve"> US TVT</t>
    </r>
  </si>
  <si>
    <r>
      <t xml:space="preserve">iTunes - </t>
    </r>
    <r>
      <rPr>
        <b/>
        <sz val="9"/>
        <color theme="1"/>
        <rFont val="Calibri"/>
        <family val="2"/>
      </rPr>
      <t>EU</t>
    </r>
  </si>
  <si>
    <r>
      <t>iTunes</t>
    </r>
    <r>
      <rPr>
        <b/>
        <sz val="9"/>
        <color theme="1"/>
        <rFont val="Calibri"/>
        <family val="2"/>
      </rPr>
      <t xml:space="preserve"> - EU TVT</t>
    </r>
  </si>
  <si>
    <r>
      <t>iTunes -</t>
    </r>
    <r>
      <rPr>
        <b/>
        <sz val="9"/>
        <color theme="1"/>
        <rFont val="Calibri"/>
        <family val="2"/>
      </rPr>
      <t xml:space="preserve"> CA</t>
    </r>
  </si>
  <si>
    <r>
      <t>iTunes</t>
    </r>
    <r>
      <rPr>
        <b/>
        <sz val="9"/>
        <color theme="1"/>
        <rFont val="Calibri"/>
        <family val="2"/>
      </rPr>
      <t xml:space="preserve"> - CA TVT</t>
    </r>
  </si>
  <si>
    <r>
      <t>iTunes -</t>
    </r>
    <r>
      <rPr>
        <b/>
        <sz val="9"/>
        <color theme="1"/>
        <rFont val="Calibri"/>
        <family val="2"/>
      </rPr>
      <t xml:space="preserve"> AU</t>
    </r>
  </si>
  <si>
    <r>
      <t xml:space="preserve">iTunes </t>
    </r>
    <r>
      <rPr>
        <b/>
        <sz val="9"/>
        <color theme="1"/>
        <rFont val="Calibri"/>
        <family val="2"/>
      </rPr>
      <t>- AU TVT</t>
    </r>
  </si>
  <si>
    <r>
      <t>iTunes</t>
    </r>
    <r>
      <rPr>
        <b/>
        <sz val="9"/>
        <color theme="1"/>
        <rFont val="Calibri"/>
        <family val="2"/>
      </rPr>
      <t xml:space="preserve"> - JP</t>
    </r>
  </si>
  <si>
    <r>
      <t>iTunes</t>
    </r>
    <r>
      <rPr>
        <b/>
        <sz val="9"/>
        <color theme="1"/>
        <rFont val="Calibri"/>
        <family val="2"/>
      </rPr>
      <t xml:space="preserve"> - MX</t>
    </r>
  </si>
  <si>
    <r>
      <t>iTunes</t>
    </r>
    <r>
      <rPr>
        <b/>
        <sz val="9"/>
        <color theme="1"/>
        <rFont val="Calibri"/>
        <family val="2"/>
      </rPr>
      <t xml:space="preserve"> - MX TVT</t>
    </r>
  </si>
  <si>
    <t>YouTube (DRA - Audio Streaming)</t>
  </si>
  <si>
    <t>MusicMe</t>
  </si>
  <si>
    <t xml:space="preserve">Q210-Orchard Actual </t>
  </si>
  <si>
    <t>Q2Accr.VS.Actual</t>
  </si>
  <si>
    <t>Accrual Entry</t>
  </si>
  <si>
    <t>1111-000-000-00</t>
  </si>
  <si>
    <t>4004-000-000-00</t>
  </si>
  <si>
    <t>4003-000-015-00</t>
  </si>
  <si>
    <t>4003-000-000-00</t>
  </si>
  <si>
    <t>4002-000-015-00</t>
  </si>
  <si>
    <t>4002-000-000-00</t>
  </si>
  <si>
    <t>Accounts Receivable</t>
  </si>
  <si>
    <t>Deferred Revenue</t>
  </si>
  <si>
    <t>2201-000-000-00</t>
  </si>
  <si>
    <t>Digital Revenue</t>
  </si>
  <si>
    <t>Digital Revenue - TVT</t>
  </si>
  <si>
    <t xml:space="preserve">Mobile Revenue </t>
  </si>
  <si>
    <t>Mobile Revenue - TVT</t>
  </si>
  <si>
    <t>Video Revenue</t>
  </si>
  <si>
    <t>Period: July 1, 2010 to September 30, 2010</t>
  </si>
  <si>
    <t>Q3</t>
  </si>
  <si>
    <t>Q310 - Accrual</t>
  </si>
  <si>
    <t xml:space="preserve">Q310-Orchard Actual </t>
  </si>
  <si>
    <t>Q3Accr.VS.Actual</t>
  </si>
  <si>
    <t>&lt;Q210 Catch Up</t>
  </si>
  <si>
    <t>July</t>
  </si>
  <si>
    <t>August</t>
  </si>
  <si>
    <t>September</t>
  </si>
  <si>
    <t>Per Great Plains</t>
  </si>
  <si>
    <t>YouTube (DRA)</t>
  </si>
  <si>
    <t>YouTube (Standard - DMGI Video)</t>
  </si>
  <si>
    <t>GP Invoiced</t>
  </si>
  <si>
    <t xml:space="preserve">Dada Iberia </t>
  </si>
  <si>
    <t>Dada Italy</t>
  </si>
  <si>
    <t>Dada Entertainment</t>
  </si>
  <si>
    <t>PocketGroup Video Downloads</t>
  </si>
  <si>
    <t>MB</t>
  </si>
  <si>
    <t>Real  GmbH (AYCE)</t>
  </si>
  <si>
    <t>Music Airport</t>
  </si>
  <si>
    <r>
      <t>7 Digital -</t>
    </r>
    <r>
      <rPr>
        <sz val="8"/>
        <color theme="1"/>
        <rFont val="Calibri"/>
        <family val="2"/>
      </rPr>
      <t xml:space="preserve"> EU</t>
    </r>
  </si>
  <si>
    <t>PocketGroup (Wireless Information Network)</t>
  </si>
  <si>
    <t>AVEX</t>
  </si>
  <si>
    <t>I.C. Agency Co. Ltd</t>
  </si>
  <si>
    <t>Other Music</t>
  </si>
  <si>
    <t>Apach Network S.A</t>
  </si>
  <si>
    <r>
      <t>iTunes -</t>
    </r>
    <r>
      <rPr>
        <b/>
        <sz val="9"/>
        <color theme="1"/>
        <rFont val="Calibri"/>
        <family val="2"/>
      </rPr>
      <t xml:space="preserve"> US (+ Apps)</t>
    </r>
  </si>
  <si>
    <t>Hulu LLC</t>
  </si>
  <si>
    <t>Simfy</t>
  </si>
  <si>
    <t>Moderati Inc. (now Skyrocktit)</t>
  </si>
  <si>
    <t>Audible</t>
  </si>
  <si>
    <t>deezer - orange standalone (Aug 2010)</t>
  </si>
  <si>
    <t>deezer - orange bundle (Aug 2010)</t>
  </si>
  <si>
    <r>
      <rPr>
        <b/>
        <sz val="8"/>
        <color theme="1"/>
        <rFont val="Calibri"/>
        <family val="2"/>
      </rPr>
      <t>24/7</t>
    </r>
    <r>
      <rPr>
        <sz val="8"/>
        <color theme="1"/>
        <rFont val="Calibri"/>
        <family val="2"/>
      </rPr>
      <t xml:space="preserve"> TDC Play  (Mobile)</t>
    </r>
  </si>
  <si>
    <t xml:space="preserve">TopSpin </t>
  </si>
  <si>
    <t>Wormee</t>
  </si>
  <si>
    <t>MTI, Ltd.  (music.jp)</t>
  </si>
  <si>
    <t>Q310 Actual</t>
  </si>
  <si>
    <t>Q310 Accrual</t>
  </si>
  <si>
    <t>DR</t>
  </si>
  <si>
    <t>CR</t>
  </si>
  <si>
    <r>
      <rPr>
        <b/>
        <sz val="8"/>
        <color theme="1"/>
        <rFont val="Calibri"/>
        <family val="2"/>
      </rPr>
      <t>Amazon - US</t>
    </r>
  </si>
  <si>
    <r>
      <rPr>
        <b/>
        <sz val="8"/>
        <color theme="1"/>
        <rFont val="Calibri"/>
        <family val="2"/>
      </rPr>
      <t>Amazon - US (TVT)</t>
    </r>
  </si>
  <si>
    <r>
      <rPr>
        <b/>
        <sz val="8"/>
        <color theme="1"/>
        <rFont val="Calibri"/>
        <family val="2"/>
      </rPr>
      <t>Amazon - UK</t>
    </r>
  </si>
  <si>
    <r>
      <rPr>
        <b/>
        <sz val="8"/>
        <color theme="1"/>
        <rFont val="Calibri"/>
        <family val="2"/>
      </rPr>
      <t>Amazon - Germany</t>
    </r>
  </si>
  <si>
    <r>
      <rPr>
        <b/>
        <sz val="8"/>
        <color theme="1"/>
        <rFont val="Calibri"/>
        <family val="2"/>
      </rPr>
      <t>Amazon - France</t>
    </r>
  </si>
  <si>
    <t>Amazon - Austria</t>
  </si>
  <si>
    <t>Amazon - Switzerland</t>
  </si>
  <si>
    <t>Netflix</t>
  </si>
  <si>
    <t>Hacienda</t>
  </si>
  <si>
    <t>Groove Mobile (Livewire) - Orchard</t>
  </si>
  <si>
    <t>Groove Mobile (Livewire) - DRA</t>
  </si>
  <si>
    <t>Groove Mobile (Livewire) - Cricket</t>
  </si>
  <si>
    <t>Groove Mobile (Livewire) - Telecom NZ Orchard</t>
  </si>
  <si>
    <t>Groove Mobile (Livewire) - Telecom NZ DRA</t>
  </si>
  <si>
    <r>
      <rPr>
        <b/>
        <sz val="8"/>
        <color theme="1"/>
        <rFont val="Calibri"/>
        <family val="2"/>
      </rPr>
      <t>BELL MOBILITY INC - OTA</t>
    </r>
  </si>
  <si>
    <r>
      <rPr>
        <b/>
        <sz val="8"/>
        <color theme="1"/>
        <rFont val="Calibri"/>
        <family val="2"/>
      </rPr>
      <t>BELL MOBILITY INC - Subscriptions</t>
    </r>
  </si>
  <si>
    <r>
      <rPr>
        <b/>
        <sz val="8"/>
        <color theme="1"/>
        <rFont val="Calibri"/>
        <family val="2"/>
      </rPr>
      <t>BELL MOBILITY INC - Ringtone</t>
    </r>
  </si>
  <si>
    <r>
      <rPr>
        <b/>
        <sz val="8"/>
        <color theme="1"/>
        <rFont val="Calibri"/>
        <family val="2"/>
      </rPr>
      <t>BELL MOBILITY INC - Ringbacks</t>
    </r>
  </si>
  <si>
    <r>
      <rPr>
        <b/>
        <sz val="8"/>
        <color theme="1"/>
        <rFont val="Calibri"/>
        <family val="2"/>
      </rPr>
      <t>9-Squared / Zed - Orchard</t>
    </r>
  </si>
  <si>
    <t>9-Squared / Zed - TVT</t>
  </si>
  <si>
    <t>9-Squared / Zed - DRA</t>
  </si>
  <si>
    <t>YouTube (DRA Audio)</t>
  </si>
  <si>
    <t>Napster Orchard (OTA)</t>
  </si>
  <si>
    <t>Period: October 1, 2010 to December 31, 2010</t>
  </si>
  <si>
    <t>&lt;Q310 Catch Up</t>
  </si>
  <si>
    <t>rDio (Pulse)</t>
  </si>
  <si>
    <t>October</t>
  </si>
  <si>
    <t>November</t>
  </si>
  <si>
    <t>December</t>
  </si>
  <si>
    <t>Q410 - Accrual</t>
  </si>
  <si>
    <t xml:space="preserve">Q410-Orchard Actual </t>
  </si>
  <si>
    <t>Q4Accr.VS.Actual</t>
  </si>
  <si>
    <t>One Screen</t>
  </si>
  <si>
    <t>Cobro Promotions Limited</t>
  </si>
  <si>
    <t>rDio (Pulser)</t>
  </si>
  <si>
    <t>deezer - Premium Plus</t>
  </si>
  <si>
    <t>deezer - HQ Subs (Premium INF)</t>
  </si>
  <si>
    <t>DJ Tunes</t>
  </si>
  <si>
    <r>
      <t xml:space="preserve">iTunes </t>
    </r>
    <r>
      <rPr>
        <b/>
        <sz val="9"/>
        <color theme="1"/>
        <rFont val="Calibri"/>
        <family val="2"/>
      </rPr>
      <t>- NZ</t>
    </r>
  </si>
  <si>
    <t>Musicload ALC_Other</t>
  </si>
  <si>
    <t>Orange Portugal Optimus - Sonaecom (Mobiles)</t>
  </si>
  <si>
    <t>YouTube (Music - Video &amp; Audio)</t>
  </si>
  <si>
    <t>Q410 Actual</t>
  </si>
  <si>
    <t>Q410 Accrual</t>
  </si>
  <si>
    <t>Netville</t>
  </si>
  <si>
    <t>Dk. Blue</t>
  </si>
  <si>
    <t>Amazon - Japan  (Nov 2010)</t>
  </si>
  <si>
    <t>MUZ.RU</t>
  </si>
  <si>
    <t>Pure Tracks CA (Streams)</t>
  </si>
  <si>
    <t>Descarga (elWatusi)</t>
  </si>
  <si>
    <t>Aspiro (WiMP)</t>
  </si>
  <si>
    <t>TRS</t>
  </si>
  <si>
    <t>TGL</t>
  </si>
  <si>
    <t>VARIANCE</t>
  </si>
  <si>
    <t>reclass/recoup</t>
  </si>
  <si>
    <t>Period: January 1, 2011 through March 31, 2011</t>
  </si>
  <si>
    <t>&lt;Q410 Catch Up</t>
  </si>
  <si>
    <t>Q111 - Accrual</t>
  </si>
  <si>
    <t xml:space="preserve">Q111-Orchard Actual </t>
  </si>
  <si>
    <t>Amazon On Demand (DOD)</t>
  </si>
  <si>
    <t>Jamba (Jesta -Jan2011)</t>
  </si>
  <si>
    <t>B1 Recordings</t>
  </si>
  <si>
    <t>Hutchison 3G UK Ltd. (Ireland)</t>
  </si>
  <si>
    <t>Nokia - Preloads</t>
  </si>
  <si>
    <t>Next Music PTY Limited</t>
  </si>
  <si>
    <t>Internet Bookshop Italia</t>
  </si>
  <si>
    <t>Thumbplay, Inc. - Clear Channel</t>
  </si>
  <si>
    <t>Real (New) - Metro PCS/Boost</t>
  </si>
  <si>
    <t>AT&amp;T (Qpass)</t>
  </si>
  <si>
    <t>Arxnet</t>
  </si>
  <si>
    <t>Q111 Accrual</t>
  </si>
  <si>
    <t>Q111 Actual</t>
  </si>
  <si>
    <t>`</t>
  </si>
  <si>
    <t>Itunes</t>
  </si>
  <si>
    <t>Total GL</t>
  </si>
  <si>
    <t>YouTube (Adsense)</t>
  </si>
  <si>
    <t>Period: April 1, 2011 through June 30, 2011</t>
  </si>
  <si>
    <t>Q211 - Accrual</t>
  </si>
  <si>
    <t xml:space="preserve">Q211-Orchard Actual </t>
  </si>
  <si>
    <t>Nmusic</t>
  </si>
  <si>
    <t>Musicload UK</t>
  </si>
  <si>
    <t>I-Mobilize</t>
  </si>
  <si>
    <t>deezer - mix (Oct 2010)</t>
  </si>
  <si>
    <t>Priddis</t>
  </si>
  <si>
    <t>Omnifone - Qriocity</t>
  </si>
  <si>
    <t>Latin Pulse</t>
  </si>
  <si>
    <t>Compass Records</t>
  </si>
  <si>
    <t>Moontoast (D2C - Kina)</t>
  </si>
  <si>
    <t>Nike &amp; Affiliates</t>
  </si>
  <si>
    <t>07.12.11</t>
  </si>
  <si>
    <t>07.13.11</t>
  </si>
  <si>
    <t>Q211 Accrual</t>
  </si>
  <si>
    <t xml:space="preserve">Q211 </t>
  </si>
  <si>
    <t>Q211 Actual Inv.</t>
  </si>
  <si>
    <t>Period: July 1, 2011 through September 30, 2011</t>
  </si>
  <si>
    <t xml:space="preserve">July </t>
  </si>
  <si>
    <t>WayMedia</t>
  </si>
  <si>
    <t>Inform-Mobil</t>
  </si>
  <si>
    <t>Mercury Mobility (Mnet)</t>
  </si>
  <si>
    <t>&lt;Q211 Catch Up</t>
  </si>
  <si>
    <t>&lt;Q111 Catch Up</t>
  </si>
  <si>
    <t>DailyMotion</t>
  </si>
  <si>
    <t>SpaFax</t>
  </si>
  <si>
    <t>Imusica (Digital)</t>
  </si>
  <si>
    <t>Pasaj (Turkey)</t>
  </si>
  <si>
    <t>Guerva (AU)</t>
  </si>
  <si>
    <t>Guerva (US)</t>
  </si>
  <si>
    <t>SanDisk</t>
  </si>
  <si>
    <t>Yandex</t>
  </si>
  <si>
    <t>Genexies Mobile</t>
  </si>
  <si>
    <t>Spotify (Downloads)</t>
  </si>
  <si>
    <t>iTunes - Priddis</t>
  </si>
  <si>
    <t>MobiTV</t>
  </si>
  <si>
    <t>Q311 Actual Inv.</t>
  </si>
  <si>
    <t xml:space="preserve">Q311 Accrual </t>
  </si>
  <si>
    <t>Total Q311</t>
  </si>
  <si>
    <r>
      <rPr>
        <b/>
        <sz val="8"/>
        <color theme="1"/>
        <rFont val="Calibri"/>
        <family val="2"/>
      </rPr>
      <t>deezer - EU</t>
    </r>
  </si>
  <si>
    <t>Total (AA-AG)</t>
  </si>
  <si>
    <t>Calculation Discr.</t>
  </si>
  <si>
    <t>Period: October 1, 2011 through December 31, 2011</t>
  </si>
  <si>
    <t>&lt;Q311 Catch Up</t>
  </si>
  <si>
    <t>Customer ID</t>
  </si>
  <si>
    <t>247E0001</t>
  </si>
  <si>
    <t>7DIG0001</t>
  </si>
  <si>
    <t>9SQU0001</t>
  </si>
  <si>
    <t>MUSI00011</t>
  </si>
  <si>
    <t>AMAZ0001</t>
  </si>
  <si>
    <t>AMAZ0005</t>
  </si>
  <si>
    <t>AMAZ0003</t>
  </si>
  <si>
    <t>BASE0001</t>
  </si>
  <si>
    <t>BEEZ0001</t>
  </si>
  <si>
    <t>BEAT0002</t>
  </si>
  <si>
    <t>BELL0001</t>
  </si>
  <si>
    <t>BUON0001</t>
  </si>
  <si>
    <t>BLOG0001</t>
  </si>
  <si>
    <t>DESC0001</t>
  </si>
  <si>
    <t>ECAS0001</t>
  </si>
  <si>
    <t>EMUS0001</t>
  </si>
  <si>
    <t>GENE0002</t>
  </si>
  <si>
    <t>GROO0001</t>
  </si>
  <si>
    <t>GUVE0001</t>
  </si>
  <si>
    <t>HDTR0001</t>
  </si>
  <si>
    <t>HIPD0001</t>
  </si>
  <si>
    <t>ICAC0001</t>
  </si>
  <si>
    <t>IMUS0002</t>
  </si>
  <si>
    <t>FUNM0001</t>
  </si>
  <si>
    <t>INPR0001</t>
  </si>
  <si>
    <t>JAMS0001</t>
  </si>
  <si>
    <t>JETM0001</t>
  </si>
  <si>
    <t>MUSI0009</t>
  </si>
  <si>
    <t>MNET0001</t>
  </si>
  <si>
    <t>MOBI0004</t>
  </si>
  <si>
    <t>MOBI0005</t>
  </si>
  <si>
    <t>MODE0001</t>
  </si>
  <si>
    <t>MUSI0008</t>
  </si>
  <si>
    <t>MICR0001</t>
  </si>
  <si>
    <t>MUZI0001</t>
  </si>
  <si>
    <t>MYSP0001</t>
  </si>
  <si>
    <t>MYXE0001</t>
  </si>
  <si>
    <t>MUSI0012</t>
  </si>
  <si>
    <t>NAPS0001</t>
  </si>
  <si>
    <t>NMUS0001</t>
  </si>
  <si>
    <t>NOKI0001</t>
  </si>
  <si>
    <t>OMNI0001</t>
  </si>
  <si>
    <t>OMNI000Q</t>
  </si>
  <si>
    <t>QOBU0001</t>
  </si>
  <si>
    <t>PULS0001</t>
  </si>
  <si>
    <t>REAL0001</t>
  </si>
  <si>
    <t>REAL0003</t>
  </si>
  <si>
    <t>ROGE0001</t>
  </si>
  <si>
    <t>SEND0001</t>
  </si>
  <si>
    <t>SIMF0001</t>
  </si>
  <si>
    <t>SPOT0001</t>
  </si>
  <si>
    <t>TELU0001</t>
  </si>
  <si>
    <t>TOTA0001</t>
  </si>
  <si>
    <t>TOPS0001</t>
  </si>
  <si>
    <t>VERI0003</t>
  </si>
  <si>
    <t>VEVO0001</t>
  </si>
  <si>
    <t>VIVA0001</t>
  </si>
  <si>
    <t>YOUT0001</t>
  </si>
  <si>
    <t>ORAN0002</t>
  </si>
  <si>
    <t>ORAN0003</t>
  </si>
  <si>
    <t>WE7L0001</t>
  </si>
  <si>
    <t>REAL0002</t>
  </si>
  <si>
    <t>ORAN0001</t>
  </si>
  <si>
    <t>ORAN0004</t>
  </si>
  <si>
    <t>deezer - UK (Sept 2011)</t>
  </si>
  <si>
    <t>Ibaizabal Denda</t>
  </si>
  <si>
    <t>Alexander Street Press</t>
  </si>
  <si>
    <t>Sony Network Entertainment</t>
  </si>
  <si>
    <t>Sony Network (Video)</t>
  </si>
  <si>
    <r>
      <t>iTunes</t>
    </r>
    <r>
      <rPr>
        <b/>
        <sz val="9"/>
        <color theme="1"/>
        <rFont val="Calibri"/>
        <family val="2"/>
      </rPr>
      <t xml:space="preserve"> - SE (Nov 2011)</t>
    </r>
  </si>
  <si>
    <t>Satellite Records</t>
  </si>
  <si>
    <t>Comercio Mas (Televisa)</t>
  </si>
  <si>
    <t>Urban Jungle</t>
  </si>
  <si>
    <t>Verse Music Group</t>
  </si>
  <si>
    <t>Google</t>
  </si>
  <si>
    <t>Arvato (Mondia)</t>
  </si>
  <si>
    <t>Q411 Actual Inv.</t>
  </si>
  <si>
    <t>4000-01-000-00000</t>
  </si>
  <si>
    <t>4000-02-000-00000</t>
  </si>
  <si>
    <t>4000-06-000-00000</t>
  </si>
  <si>
    <t>JN</t>
  </si>
  <si>
    <t xml:space="preserve">Q411 Accrual </t>
  </si>
  <si>
    <t>Total Q411</t>
  </si>
  <si>
    <t>***Total = Q4 Estimated &amp; Acrrued Rev</t>
  </si>
  <si>
    <t>**Total = Actual Rev Invoiced pertaining to Q4-2010</t>
  </si>
  <si>
    <t>*Total = Actual Rev, Q3 Tru-up &amp; Catch-up of prior qtr rev</t>
  </si>
  <si>
    <t>1100-00-000-00000</t>
  </si>
  <si>
    <t>Period: January 1, 2012 through March 31, 2012</t>
  </si>
  <si>
    <t>&lt;Q411 Catch Up</t>
  </si>
  <si>
    <t>Q112 - Accrual</t>
  </si>
  <si>
    <t xml:space="preserve">Q112-Orchard Actual </t>
  </si>
  <si>
    <t xml:space="preserve">Q112Accrual </t>
  </si>
  <si>
    <t>Q112 Actual Inv.</t>
  </si>
  <si>
    <t>Total Q112</t>
  </si>
  <si>
    <t>Q411 - Accrual</t>
  </si>
  <si>
    <t xml:space="preserve">Q411-Orchard Actual </t>
  </si>
  <si>
    <t>MICROVOD</t>
  </si>
  <si>
    <t>Groove/Livewire (Canada)</t>
  </si>
  <si>
    <t>VUDU0001</t>
  </si>
  <si>
    <t>VUDU</t>
  </si>
  <si>
    <t>Amazon On Demand (DOD Europe)</t>
  </si>
  <si>
    <t>Napster Streams</t>
  </si>
  <si>
    <t>Napster Mobile Streams</t>
  </si>
  <si>
    <t>Microsoft (VOD) (X-Box)</t>
  </si>
  <si>
    <t>Internet Q</t>
  </si>
  <si>
    <t>DMX</t>
  </si>
  <si>
    <t>MySpace (Video)</t>
  </si>
  <si>
    <t>YouTube (Jan)</t>
  </si>
  <si>
    <t>iTunes (1Q12)</t>
  </si>
  <si>
    <t>Not booked</t>
  </si>
  <si>
    <t xml:space="preserve">YouTube </t>
  </si>
  <si>
    <t xml:space="preserve">iTunes </t>
  </si>
  <si>
    <t>&lt;Q112 Catch Up</t>
  </si>
  <si>
    <t>Period: April 1, 2012 through June 30, 2012</t>
  </si>
  <si>
    <t>Nokia - Digital</t>
  </si>
  <si>
    <t>Apr 12 Actual Inv.</t>
  </si>
  <si>
    <t xml:space="preserve">Apr 12Accrual </t>
  </si>
  <si>
    <t>Total Apr 12</t>
  </si>
  <si>
    <t xml:space="preserve">Apr 12-Orchard Actual </t>
  </si>
  <si>
    <t>Apr12 - Accrual</t>
  </si>
  <si>
    <t>&lt;Apr12 Catch Up</t>
  </si>
  <si>
    <t>May 12 Actual Inv.</t>
  </si>
  <si>
    <t xml:space="preserve">Apr12-Orchard Actual </t>
  </si>
  <si>
    <t>Ganxy</t>
  </si>
  <si>
    <t>Period: May 1, 2012 through May 31, 2012</t>
  </si>
  <si>
    <t>Period: April 1, 2012 through April 30, 2012</t>
  </si>
  <si>
    <t>Agog</t>
  </si>
  <si>
    <t>Year</t>
  </si>
  <si>
    <t>Period ID</t>
  </si>
  <si>
    <t>Account Number</t>
  </si>
  <si>
    <t>Account Description</t>
  </si>
  <si>
    <t>Period Balance</t>
  </si>
  <si>
    <t>2012</t>
  </si>
  <si>
    <t>Revenue Digital</t>
  </si>
  <si>
    <t>Revenue Mobile</t>
  </si>
  <si>
    <t>4000-03-000-00000</t>
  </si>
  <si>
    <t>Revenue Physical</t>
  </si>
  <si>
    <t>4000-03-000-06971</t>
  </si>
  <si>
    <t>4000-03-000-08020</t>
  </si>
  <si>
    <t>4000-03-000-09006</t>
  </si>
  <si>
    <t>4000-03-000-10303</t>
  </si>
  <si>
    <t>4000-03-000-10317</t>
  </si>
  <si>
    <t>4000-03-000-10327</t>
  </si>
  <si>
    <t>4000-03-000-11484</t>
  </si>
  <si>
    <t>4000-03-000-12175</t>
  </si>
  <si>
    <t>4000-03-000-12394</t>
  </si>
  <si>
    <t>4000-03-000-12530</t>
  </si>
  <si>
    <t>4000-03-000-13969</t>
  </si>
  <si>
    <t>4000-03-000-14686</t>
  </si>
  <si>
    <t>4000-03-000-15043</t>
  </si>
  <si>
    <t>4000-03-000-15115</t>
  </si>
  <si>
    <t>4000-03-000-15142</t>
  </si>
  <si>
    <t>4000-03-000-15275</t>
  </si>
  <si>
    <t>4000-03-000-15297</t>
  </si>
  <si>
    <t>4000-03-000-15320</t>
  </si>
  <si>
    <t>4000-03-000-15365</t>
  </si>
  <si>
    <t>4000-03-000-15418</t>
  </si>
  <si>
    <t>4000-03-000-15424</t>
  </si>
  <si>
    <t>4000-03-000-15425</t>
  </si>
  <si>
    <t>4000-03-000-15439</t>
  </si>
  <si>
    <t>4000-03-000-15448</t>
  </si>
  <si>
    <t>4000-03-000-15494</t>
  </si>
  <si>
    <t>4000-03-000-15538</t>
  </si>
  <si>
    <t>4000-03-000-15595</t>
  </si>
  <si>
    <t>4000-03-000-15632</t>
  </si>
  <si>
    <t>4000-03-000-15634</t>
  </si>
  <si>
    <t>4000-03-000-15662</t>
  </si>
  <si>
    <t>4000-03-000-15672</t>
  </si>
  <si>
    <t>4000-03-000-15716</t>
  </si>
  <si>
    <t>4000-03-000-15740</t>
  </si>
  <si>
    <t>4000-03-000-15748</t>
  </si>
  <si>
    <t>4000-03-000-15767</t>
  </si>
  <si>
    <t>4000-03-000-15813</t>
  </si>
  <si>
    <t>4000-03-000-15826</t>
  </si>
  <si>
    <t>4000-03-000-15830</t>
  </si>
  <si>
    <t>4000-03-000-15836</t>
  </si>
  <si>
    <t>4000-03-000-15915</t>
  </si>
  <si>
    <t>4000-03-000-15958</t>
  </si>
  <si>
    <t>4000-03-000-15961</t>
  </si>
  <si>
    <t>4000-03-000-16001</t>
  </si>
  <si>
    <t>4000-03-000-16029</t>
  </si>
  <si>
    <t>4000-03-000-16035</t>
  </si>
  <si>
    <t>4000-03-000-16047</t>
  </si>
  <si>
    <t>4000-03-000-16059</t>
  </si>
  <si>
    <t>4000-03-000-16067</t>
  </si>
  <si>
    <t>4000-03-000-16113</t>
  </si>
  <si>
    <t>4000-03-000-16117</t>
  </si>
  <si>
    <t>4000-03-000-16319</t>
  </si>
  <si>
    <t>4000-03-000-16324</t>
  </si>
  <si>
    <t>4000-03-000-16346</t>
  </si>
  <si>
    <t>4000-03-000-16374</t>
  </si>
  <si>
    <t>4000-03-000-16412</t>
  </si>
  <si>
    <t>4000-03-000-16419</t>
  </si>
  <si>
    <t>4000-03-000-16519</t>
  </si>
  <si>
    <t>4000-03-000-16556</t>
  </si>
  <si>
    <t>4000-03-000-16638</t>
  </si>
  <si>
    <t>4000-03-000-16785</t>
  </si>
  <si>
    <t>4000-04-000-00000</t>
  </si>
  <si>
    <t>Revenue Delivery</t>
  </si>
  <si>
    <t>4000-05-000-00000</t>
  </si>
  <si>
    <t>Revenue Film &amp; TV Sync</t>
  </si>
  <si>
    <t>Revenue Video</t>
  </si>
  <si>
    <t>4000-07-000-00000</t>
  </si>
  <si>
    <t>Revenue Performance</t>
  </si>
  <si>
    <t>4000-08-000-00000</t>
  </si>
  <si>
    <t>Revenue Mechanical Admin</t>
  </si>
  <si>
    <t>4000-10-000-00000</t>
  </si>
  <si>
    <t>Revenue-Marketplace</t>
  </si>
  <si>
    <t>4000-12-000-00000</t>
  </si>
  <si>
    <t>Revenue-Digital Streams- -</t>
  </si>
  <si>
    <t>4000-13-000-00000</t>
  </si>
  <si>
    <t>Revenue-Overrides- -</t>
  </si>
  <si>
    <t>4021-03-000-00000</t>
  </si>
  <si>
    <t>4105-03-000-00000</t>
  </si>
  <si>
    <t>Revenue-Physical- -Frenchkiss Records</t>
  </si>
  <si>
    <t>4000-03-000-07373</t>
  </si>
  <si>
    <t>Revenue Physical  Lookout</t>
  </si>
  <si>
    <t>Revenue Physical  Acrobat Label</t>
  </si>
  <si>
    <t>Revenue Physical  Plug Research</t>
  </si>
  <si>
    <t>Revenue Physical  Uprising Communication</t>
  </si>
  <si>
    <t>Revenue Physical  Taang</t>
  </si>
  <si>
    <t>Revenue Physical  Sonic Unyon Records</t>
  </si>
  <si>
    <t>Revenue Physical  Our Secret Record Label</t>
  </si>
  <si>
    <t>Revenue Physical  Definitive Jux</t>
  </si>
  <si>
    <t>Revenue Physical  Gigantic</t>
  </si>
  <si>
    <t>Revenue Physical  Ernest Jennings</t>
  </si>
  <si>
    <t>4000-03-000-12602</t>
  </si>
  <si>
    <t>Revenue Physical  Pete Bernstein</t>
  </si>
  <si>
    <t>Revenue Physical  Narnack</t>
  </si>
  <si>
    <t>Revenue Physical  Raveonettes LLC</t>
  </si>
  <si>
    <t>Revenue Physical  Wu Music Group</t>
  </si>
  <si>
    <t>Revenue Physical  Traffic</t>
  </si>
  <si>
    <t>Revenue-Physical- -Paper Bag Records</t>
  </si>
  <si>
    <t>Revenue Physical  One Records</t>
  </si>
  <si>
    <t>Revenue Physical  Vice Records</t>
  </si>
  <si>
    <t>Revenue Physical  Invasion Music</t>
  </si>
  <si>
    <t>Revenue Physical  Wax Poetic</t>
  </si>
  <si>
    <t>Revenue Physical  Secada Productions</t>
  </si>
  <si>
    <t>Revenue Physical  Seven Grand</t>
  </si>
  <si>
    <t>Revenue Physical  Royal Family Records</t>
  </si>
  <si>
    <t>Revenue Physical  Styles P</t>
  </si>
  <si>
    <t>Revenue Physical  RJD2</t>
  </si>
  <si>
    <t>Revenue Physical  Wynton Marsalis</t>
  </si>
  <si>
    <t>Revenue Physical  Suave House</t>
  </si>
  <si>
    <t>Revenue Physical  Jazz At Lincoln Center</t>
  </si>
  <si>
    <t>Revenue Physical  Dream Big Ventures</t>
  </si>
  <si>
    <t>Revenue Physical  Volcom</t>
  </si>
  <si>
    <t>Revenue Physical  Kanine</t>
  </si>
  <si>
    <t>Revenue Physical  Lefse Records</t>
  </si>
  <si>
    <t>Revenue Physical  Fania</t>
  </si>
  <si>
    <t>Revenue Physical  One Haven Music LLC</t>
  </si>
  <si>
    <t>Revenue Physical  Family Records</t>
  </si>
  <si>
    <t>Revenue Physical  Grain Belt Records</t>
  </si>
  <si>
    <t>Revenue Physical  Consultant In Rock</t>
  </si>
  <si>
    <t>Revenue Physical  Enemy Soil Entertainment</t>
  </si>
  <si>
    <t>Revenue Physical  Gracie Productions &amp; Ent., LLC</t>
  </si>
  <si>
    <t>Revenue Physical  Black Bell Records</t>
  </si>
  <si>
    <t>Revenue Physical  Blue Horizon</t>
  </si>
  <si>
    <t>Revenue Physical  Ammal Records</t>
  </si>
  <si>
    <t>Revenue Physical  Aurora Entertainment LLC</t>
  </si>
  <si>
    <t>Revenue Physical  Shinebox Record. &amp; Mgmnt., LLC</t>
  </si>
  <si>
    <t>Revenue Physical  Pax Am Records aka D R Adams</t>
  </si>
  <si>
    <t>Revenue Physical  Missing Piece Group</t>
  </si>
  <si>
    <t>Revenue Physical  Roky Erickson&amp;The Black Angels</t>
  </si>
  <si>
    <t>Revenue Physical  L Scrawny Records aka Taillights</t>
  </si>
  <si>
    <t>Revenue Physical  Zarathustra Music Inc</t>
  </si>
  <si>
    <t>Revenue Physical  Aesop Rock, Inc.</t>
  </si>
  <si>
    <t>Revenue Physical  Little W Productions</t>
  </si>
  <si>
    <t>Revenue Physical  Tee Pee Records</t>
  </si>
  <si>
    <t>Revenue Physical  Feature Records</t>
  </si>
  <si>
    <t>Revenue Physical  Juwan Prdctns dba Bad Blood</t>
  </si>
  <si>
    <t>Revenue Physical  Elevation dba Tallest Ma</t>
  </si>
  <si>
    <t>Revenue Physical  Uninhabitable Mansions</t>
  </si>
  <si>
    <t>Revenue Physical  Baretrack Records</t>
  </si>
  <si>
    <t>Revenue Physical Mush Records</t>
  </si>
  <si>
    <t>Revenue Physical Maximum Sunshine</t>
  </si>
  <si>
    <t>Revenue-Physical- -Outer Battery Records</t>
  </si>
  <si>
    <t>Revenue-Physical- -Vintage Trouble Records</t>
  </si>
  <si>
    <t>Revenue - Other Physical</t>
  </si>
  <si>
    <t>Discounts Physical</t>
  </si>
  <si>
    <t xml:space="preserve">May 12Accrual </t>
  </si>
  <si>
    <t>Total May 12</t>
  </si>
  <si>
    <t>4024-00-000-00000</t>
  </si>
  <si>
    <t>Revenue - D2C- - -</t>
  </si>
  <si>
    <t>MOG (Digital)</t>
  </si>
  <si>
    <t>MOG (Mobile)</t>
  </si>
  <si>
    <t>Period: June 1, 2012 through June 30, 2012</t>
  </si>
  <si>
    <t>&lt;May12 Catch Up</t>
  </si>
  <si>
    <t>June12 - Accrual</t>
  </si>
  <si>
    <t>June Accr.VS.Actual</t>
  </si>
  <si>
    <t>June 12 Actual Inv.</t>
  </si>
  <si>
    <t xml:space="preserve">June 12Accrual </t>
  </si>
  <si>
    <t>Total June 12</t>
  </si>
  <si>
    <t>May 12 - Accrual</t>
  </si>
  <si>
    <t xml:space="preserve">May 12-Orchard Actual </t>
  </si>
  <si>
    <t>4000-03-000-16467</t>
  </si>
  <si>
    <t>4000-03-000-16941</t>
  </si>
  <si>
    <t>Amazon - Japan</t>
  </si>
  <si>
    <t>Revenue Physical  Benchmark Ent. LLC</t>
  </si>
  <si>
    <t>Revenue-Physical- -Pure Noise Entertainment</t>
  </si>
  <si>
    <t xml:space="preserve">                                                                                                                                                                                                                                                                                                                                                                                                                        </t>
  </si>
  <si>
    <t>4009-04-000-00000</t>
  </si>
  <si>
    <t>Revenue - Artist/Label Delivery</t>
  </si>
  <si>
    <t>&lt;June12 Catch Up</t>
  </si>
  <si>
    <t>July12 - Accrual</t>
  </si>
  <si>
    <t>Period: July 1, 2012 through July 30, 2012</t>
  </si>
  <si>
    <t>Altacom</t>
  </si>
  <si>
    <t>Cricket</t>
  </si>
  <si>
    <t>July 12 Actual Inv.</t>
  </si>
  <si>
    <t xml:space="preserve">July 12 Accrual </t>
  </si>
  <si>
    <t>Total July 12</t>
  </si>
  <si>
    <t>&lt;July12 Catch Up</t>
  </si>
  <si>
    <t>Aug12 - Accrual</t>
  </si>
  <si>
    <t>July Accr.VS.Actual</t>
  </si>
  <si>
    <t xml:space="preserve">July 12-Orchard Actual </t>
  </si>
  <si>
    <t>Period: August 1, 2012 through August 31, 2012</t>
  </si>
  <si>
    <t>GP Inv</t>
  </si>
  <si>
    <t>August 12 Actual Inv.</t>
  </si>
  <si>
    <t xml:space="preserve">August 12 Accrual </t>
  </si>
  <si>
    <t>SIQME</t>
  </si>
  <si>
    <t>RightsCorp</t>
  </si>
  <si>
    <t>RIGH0003</t>
  </si>
  <si>
    <t>Rightscorp</t>
  </si>
  <si>
    <t>Period: September 1, 2012 through September 30, 2012</t>
  </si>
  <si>
    <t>Sept 12 - Accrual</t>
  </si>
  <si>
    <t>&lt;Aug 12 Catch Up</t>
  </si>
  <si>
    <t>September 12 Actual Inv.</t>
  </si>
  <si>
    <t xml:space="preserve">September 12 Accrual </t>
  </si>
  <si>
    <t>Total September 12</t>
  </si>
  <si>
    <t xml:space="preserve">Sep 12-Orchard Actual </t>
  </si>
  <si>
    <t>Sep Accr.VS.Actual</t>
  </si>
  <si>
    <t>TURN0003</t>
  </si>
  <si>
    <t>Turntable.fm</t>
  </si>
  <si>
    <t>Real/Rhapsody-EU</t>
  </si>
  <si>
    <t>D&amp;M</t>
  </si>
  <si>
    <t>Monthly Royalty Statement and Invoicing Log</t>
  </si>
  <si>
    <t>Period: October 1, 2012 through October 31, 2012</t>
  </si>
  <si>
    <t>&lt;Sept 12 Catch Up</t>
  </si>
  <si>
    <t>Oct 12 - Accrual</t>
  </si>
  <si>
    <t xml:space="preserve">Oct 12-Orchard Actual </t>
  </si>
  <si>
    <t>Oct Accr.VS.Actual</t>
  </si>
  <si>
    <t>October 12 Actual Inv.</t>
  </si>
  <si>
    <t xml:space="preserve">October 12 Accrual </t>
  </si>
  <si>
    <t>Total October 12</t>
  </si>
  <si>
    <t>Monstar Labs FM Japan</t>
  </si>
  <si>
    <t>Period: November 1, 2012 through November 30, 2012</t>
  </si>
  <si>
    <t>&lt;Oct 12 Catch Up</t>
  </si>
  <si>
    <t>Nov 12 - Accrual</t>
  </si>
  <si>
    <t xml:space="preserve">Nov 12-Orchard Actual </t>
  </si>
  <si>
    <t>No Accr.VS.Actual</t>
  </si>
  <si>
    <t>November 12 Actual Inv.</t>
  </si>
  <si>
    <t xml:space="preserve">November 12 Accrual </t>
  </si>
  <si>
    <t>Total November 12</t>
  </si>
  <si>
    <t>Omnifone - RIM</t>
  </si>
  <si>
    <t>Muzzia</t>
  </si>
  <si>
    <r>
      <rPr>
        <b/>
        <sz val="8"/>
        <color theme="1"/>
        <rFont val="Calibri"/>
        <family val="2"/>
      </rPr>
      <t>24/7</t>
    </r>
    <r>
      <rPr>
        <sz val="8"/>
        <color theme="1"/>
        <rFont val="Calibri"/>
        <family val="2"/>
      </rPr>
      <t xml:space="preserve"> Juke</t>
    </r>
  </si>
  <si>
    <t>Groove Mobile (Livewire) - Sprint/Metro PCS</t>
  </si>
  <si>
    <t>Amazon - Italy</t>
  </si>
  <si>
    <t>Amazon - Spain</t>
  </si>
  <si>
    <t>estimate</t>
  </si>
  <si>
    <t>Period: December 1, 2012 through December 31, 2012</t>
  </si>
  <si>
    <t>&lt;Nov 12 Catch Up</t>
  </si>
  <si>
    <t>Dec 12 - Accrual</t>
  </si>
  <si>
    <t xml:space="preserve">Dec 12-Orchard Actual </t>
  </si>
  <si>
    <t>December 12 Actual Inv.</t>
  </si>
  <si>
    <t xml:space="preserve">December 12 Accrual </t>
  </si>
  <si>
    <t>Total December 12</t>
  </si>
  <si>
    <t>4000-03-000-16704</t>
  </si>
  <si>
    <t>4000-03-000-16945</t>
  </si>
  <si>
    <t>4000-03-000-16949</t>
  </si>
  <si>
    <t>4000-03-000-17107</t>
  </si>
  <si>
    <t>4000-03-000-17108</t>
  </si>
  <si>
    <t>4000-03-000-17314</t>
  </si>
  <si>
    <t>m</t>
  </si>
  <si>
    <t>Total</t>
  </si>
  <si>
    <t>Period: January 1, 2013 through January 31, 2013</t>
  </si>
  <si>
    <t>&lt;Dec 12 Catch Up</t>
  </si>
  <si>
    <t>Jan 13 - Accrual</t>
  </si>
  <si>
    <t xml:space="preserve">Jan 13 -Orchard Actual </t>
  </si>
  <si>
    <t>January 13 Actual Inv.</t>
  </si>
  <si>
    <t xml:space="preserve">January 13 Accrual </t>
  </si>
  <si>
    <t>Total January 13</t>
  </si>
  <si>
    <t>4000-03-000-17559</t>
  </si>
  <si>
    <t>CRIC0001</t>
  </si>
  <si>
    <t>&lt;Jan 13 Catch Up</t>
  </si>
  <si>
    <t>Feb 13 - Accrual</t>
  </si>
  <si>
    <t xml:space="preserve">Feb 13 -Orchard Actual </t>
  </si>
  <si>
    <t>Period: February 1, 2013 through February 28, 2013</t>
  </si>
  <si>
    <t>Amazon (Cloud)</t>
  </si>
  <si>
    <t>Revenue-Physical- -Frenchkiss Label Group</t>
  </si>
  <si>
    <t>Revenue-Physical- -Fat Cat Records</t>
  </si>
  <si>
    <t>Revenue-Physical- -Blue Corn Music</t>
  </si>
  <si>
    <t>Revenue-Physical- -Lasalle Records, Inc.</t>
  </si>
  <si>
    <t>Revenue-Physical- -Reverberation Appreciation Soc</t>
  </si>
  <si>
    <t>Revenue-Physical- -Rocket Science Ventures, LLC</t>
  </si>
  <si>
    <t>Revenue-Physical- -Slumberland Records, LLC</t>
  </si>
  <si>
    <t>February 13 Actual Inv.</t>
  </si>
  <si>
    <t xml:space="preserve">February 13 Accrual </t>
  </si>
  <si>
    <t>Total February 13</t>
  </si>
  <si>
    <t>AppliedSB (Vervelife))</t>
  </si>
  <si>
    <t>Space Shower Networks</t>
  </si>
  <si>
    <t>Period: March 1, 2013 through March 31, 2013</t>
  </si>
  <si>
    <t>&lt;Feb 13 Catch Up</t>
  </si>
  <si>
    <t>Mar 13 - Accrual</t>
  </si>
  <si>
    <t xml:space="preserve">Mar 13 -Orchard Actual </t>
  </si>
  <si>
    <t>March 13 Actual Inv.</t>
  </si>
  <si>
    <t xml:space="preserve">March 13 Accrual </t>
  </si>
  <si>
    <t>Total March 13</t>
  </si>
  <si>
    <t>Period: April 1, 2013 through April 30, 2013</t>
  </si>
  <si>
    <t>&lt;Mar 13 Catch Up</t>
  </si>
  <si>
    <t>Apr 13 - Accrual</t>
  </si>
  <si>
    <t xml:space="preserve">Apr 13 -Orchard Actual </t>
  </si>
  <si>
    <t>JB HiFi</t>
  </si>
  <si>
    <t>Muzu</t>
  </si>
  <si>
    <t>LeapFrog</t>
  </si>
  <si>
    <t>Period: May 1, 2013 through May 31, 2013</t>
  </si>
  <si>
    <t>&lt;Apr 13 Catch Up</t>
  </si>
  <si>
    <t>May 13 - Accrual</t>
  </si>
  <si>
    <t>4000-03-000-17015</t>
  </si>
  <si>
    <t>Revenue-Physical- -4 Star Records, LLC</t>
  </si>
  <si>
    <t>4026-00-000-00000</t>
  </si>
  <si>
    <t>Revenue - Service Fees-RED- - -</t>
  </si>
  <si>
    <t>IRIS</t>
  </si>
  <si>
    <t>IODA Accrual</t>
  </si>
  <si>
    <t>IRIS Accrual</t>
  </si>
  <si>
    <t>Combined</t>
  </si>
  <si>
    <t>Period: June 1, 2013 through June 30, 2013</t>
  </si>
  <si>
    <t>&lt;May 13 Catch Up</t>
  </si>
  <si>
    <t>June 13 - Accrual</t>
  </si>
  <si>
    <t xml:space="preserve">June 13 -Orchard Actual </t>
  </si>
  <si>
    <t>4000-03-000-09609</t>
  </si>
  <si>
    <t>Revenue-Physical- -Absolutely Kosher Records</t>
  </si>
  <si>
    <t>iTunes (all)</t>
  </si>
  <si>
    <t>eirCom</t>
  </si>
  <si>
    <t>June 13 Actual Inv.</t>
  </si>
  <si>
    <t xml:space="preserve">June 13 Accrual </t>
  </si>
  <si>
    <t>&lt;June 13 Catch Up</t>
  </si>
  <si>
    <t>July 13 - Accrual</t>
  </si>
  <si>
    <t xml:space="preserve">July 13 -Orchard Actual </t>
  </si>
  <si>
    <t>4000-03-000-16855</t>
  </si>
  <si>
    <t>Revenue-Physical- -Sixpence, Inc.</t>
  </si>
  <si>
    <t>4000-03-000-17198</t>
  </si>
  <si>
    <t>Revenue-Physical- -Lawrence Music Group, LLC</t>
  </si>
  <si>
    <t>Real RED Streams</t>
  </si>
  <si>
    <t>Library Ideas</t>
  </si>
  <si>
    <t>Period: July 1, 2013 through July 31, 2013</t>
  </si>
  <si>
    <t>Period: August 1, 2013 through August 31, 2013</t>
  </si>
  <si>
    <t>&lt;July 13 Catch Up</t>
  </si>
  <si>
    <t>August 13 - Accrual</t>
  </si>
  <si>
    <t>Aug 13 Actual Inv.</t>
  </si>
  <si>
    <t xml:space="preserve">Aug 13 Accrual </t>
  </si>
  <si>
    <t>Total Aug 13</t>
  </si>
  <si>
    <t>DIGL0001</t>
  </si>
  <si>
    <t>Digital Life (Traxsource)</t>
  </si>
  <si>
    <t>REDT0001</t>
  </si>
  <si>
    <t>Red Touch Media</t>
  </si>
  <si>
    <t>4000-03-000-22501</t>
  </si>
  <si>
    <t>Revenue-Physical- -Instant Records, Inc.</t>
  </si>
  <si>
    <t>Shamrock</t>
  </si>
  <si>
    <t>Period: September 1, 2013 through September 30, 2013</t>
  </si>
  <si>
    <t>&lt;Aug 13 Catch Up</t>
  </si>
  <si>
    <t>September 13 - Accrual</t>
  </si>
  <si>
    <t>Sainsburys</t>
  </si>
  <si>
    <t>BOOM0001</t>
  </si>
  <si>
    <t>Boomkat</t>
  </si>
  <si>
    <t>Gee Beyond Holdings</t>
  </si>
  <si>
    <t>4000-03-000-15118</t>
  </si>
  <si>
    <t>Revenue-Physical- -Ode Sounds and Visuals, Inc.</t>
  </si>
  <si>
    <t>Digital Distribution Networks</t>
  </si>
  <si>
    <t>Bleep</t>
  </si>
  <si>
    <r>
      <t>iTunes -</t>
    </r>
    <r>
      <rPr>
        <b/>
        <sz val="9"/>
        <color theme="1"/>
        <rFont val="Calibri"/>
        <family val="2"/>
      </rPr>
      <t xml:space="preserve"> IODA</t>
    </r>
  </si>
  <si>
    <r>
      <t>iTunes -</t>
    </r>
    <r>
      <rPr>
        <b/>
        <sz val="9"/>
        <color theme="1"/>
        <rFont val="Calibri"/>
        <family val="2"/>
      </rPr>
      <t xml:space="preserve"> Orchard</t>
    </r>
  </si>
  <si>
    <r>
      <t>iTunes -</t>
    </r>
    <r>
      <rPr>
        <b/>
        <sz val="9"/>
        <color theme="1"/>
        <rFont val="Calibri"/>
        <family val="2"/>
      </rPr>
      <t xml:space="preserve"> TVT</t>
    </r>
  </si>
  <si>
    <r>
      <t>iTunes -</t>
    </r>
    <r>
      <rPr>
        <b/>
        <sz val="9"/>
        <color theme="1"/>
        <rFont val="Calibri"/>
        <family val="2"/>
      </rPr>
      <t xml:space="preserve"> IRIS</t>
    </r>
  </si>
  <si>
    <r>
      <t>iTunes -</t>
    </r>
    <r>
      <rPr>
        <b/>
        <sz val="9"/>
        <color theme="1"/>
        <rFont val="Calibri"/>
        <family val="2"/>
      </rPr>
      <t xml:space="preserve"> Priddis</t>
    </r>
  </si>
  <si>
    <r>
      <t>iTunes -</t>
    </r>
    <r>
      <rPr>
        <b/>
        <sz val="9"/>
        <color theme="1"/>
        <rFont val="Calibri"/>
        <family val="2"/>
      </rPr>
      <t xml:space="preserve"> Relapse</t>
    </r>
  </si>
  <si>
    <r>
      <t>iTunes -</t>
    </r>
    <r>
      <rPr>
        <b/>
        <sz val="9"/>
        <color theme="1"/>
        <rFont val="Calibri"/>
        <family val="2"/>
      </rPr>
      <t xml:space="preserve"> Rotana</t>
    </r>
  </si>
  <si>
    <r>
      <t>iTunes -</t>
    </r>
    <r>
      <rPr>
        <b/>
        <sz val="9"/>
        <color theme="1"/>
        <rFont val="Calibri"/>
        <family val="2"/>
      </rPr>
      <t xml:space="preserve"> Readers Digest</t>
    </r>
  </si>
  <si>
    <r>
      <t>iTunes -</t>
    </r>
    <r>
      <rPr>
        <b/>
        <sz val="9"/>
        <color theme="1"/>
        <rFont val="Calibri"/>
        <family val="2"/>
      </rPr>
      <t xml:space="preserve"> Other</t>
    </r>
  </si>
  <si>
    <t>Liberator Music Pty Ltd.</t>
  </si>
  <si>
    <t>Sept 13 Actual Inv.</t>
  </si>
  <si>
    <t xml:space="preserve">Sept 13 Accrual </t>
  </si>
  <si>
    <t>Total Sept 13</t>
  </si>
  <si>
    <t>Period: October 1, 2013 through October 31, 2013</t>
  </si>
  <si>
    <t>&lt;Sept 13 Catch Up</t>
  </si>
  <si>
    <t>4000-03-000-13929</t>
  </si>
  <si>
    <t>Revenue-Physical- -Daemon Records</t>
  </si>
  <si>
    <t>4000-03-000-22756</t>
  </si>
  <si>
    <t>Revenue-Physical- -Anthony Green Music</t>
  </si>
  <si>
    <t>Telstra</t>
  </si>
  <si>
    <t>Linn Records</t>
  </si>
  <si>
    <t>IC Agency</t>
  </si>
  <si>
    <t>88TC88</t>
  </si>
  <si>
    <t xml:space="preserve">Oct 13 Accrual </t>
  </si>
  <si>
    <t>Total Oct 13</t>
  </si>
  <si>
    <t>Oct 13 Actual Inv.</t>
  </si>
  <si>
    <t>Last.fm</t>
  </si>
  <si>
    <t>J/E Adjustments</t>
  </si>
  <si>
    <t>Period: November 1, 2013 through November 30, 2013</t>
  </si>
  <si>
    <t>&lt;Oct 13 Catch Up</t>
  </si>
  <si>
    <t>4000-03-000-11473</t>
  </si>
  <si>
    <t>Revenue-Physical- -Exit Stencil Recordings LLC</t>
  </si>
  <si>
    <t>4000-03-000-16427</t>
  </si>
  <si>
    <t>Revenue-Physical- -Bananabeat Records</t>
  </si>
  <si>
    <t>2Muse</t>
  </si>
  <si>
    <t>Nov 13 Actual Inv.</t>
  </si>
  <si>
    <t xml:space="preserve">Nov 13 Accrual </t>
  </si>
  <si>
    <t>Total Nov 13</t>
  </si>
  <si>
    <t>IBSI0001</t>
  </si>
  <si>
    <t>Ziggo</t>
  </si>
  <si>
    <t>HMV</t>
  </si>
  <si>
    <t>Period: December 1, 2013 through December 31, 2013</t>
  </si>
  <si>
    <t>&lt;Nov 13 Catch Up</t>
  </si>
  <si>
    <t>Dec 13 Actual Inv.</t>
  </si>
  <si>
    <t xml:space="preserve">Dec 13 Accrual </t>
  </si>
  <si>
    <t>Total Dec 13</t>
  </si>
  <si>
    <t>Rara</t>
  </si>
  <si>
    <t>Midwest Tape (Hoopla)</t>
  </si>
  <si>
    <t>Classical Archives</t>
  </si>
  <si>
    <t>Period: January 1, 2014 through January 31, 2014</t>
  </si>
  <si>
    <t>&lt;Dec 13 Catch Up</t>
  </si>
  <si>
    <t xml:space="preserve">Jan 14 -Orchard Actual </t>
  </si>
  <si>
    <t xml:space="preserve">Jan 14 Accrual </t>
  </si>
  <si>
    <t>Jan 14 Actual Inv.</t>
  </si>
  <si>
    <t>Total Jan 14</t>
  </si>
  <si>
    <t xml:space="preserve">Dec 13 -Orchard Actual </t>
  </si>
  <si>
    <t>Vtech</t>
  </si>
  <si>
    <t>vTech</t>
  </si>
  <si>
    <t>Universal - Australia</t>
  </si>
  <si>
    <t>Turkcell</t>
  </si>
  <si>
    <t>Neurotic Media</t>
  </si>
  <si>
    <t>Amazon Prime</t>
  </si>
  <si>
    <t>2014</t>
  </si>
  <si>
    <t>4000-03-000-19020</t>
  </si>
  <si>
    <t>Revenue-Physical- -Shoot to Kill Music, Inc.</t>
  </si>
  <si>
    <t>Period: February 1, 2014 through February 28, 2014</t>
  </si>
  <si>
    <t>&lt;Jan 14 Catch Up</t>
  </si>
  <si>
    <t xml:space="preserve">Feb 14 -Orchard Actual </t>
  </si>
  <si>
    <t>Spotify (Breakage)</t>
  </si>
  <si>
    <t>Feb 14 Actual Inv.</t>
  </si>
  <si>
    <t xml:space="preserve">Feb 14 Accrual </t>
  </si>
  <si>
    <t>Total Feb 14</t>
  </si>
  <si>
    <t>Pulselocker</t>
  </si>
  <si>
    <t>4000-03-000-07482</t>
  </si>
  <si>
    <t>Revenue-Physical- -Fierce Panda</t>
  </si>
  <si>
    <t>4000-03-000-17023</t>
  </si>
  <si>
    <t>Revenue-Physical- -Sean Hayes</t>
  </si>
  <si>
    <r>
      <rPr>
        <sz val="8"/>
        <color theme="1"/>
        <rFont val="Calibri"/>
        <family val="2"/>
      </rPr>
      <t>BELL MOBILITY INC - OTA</t>
    </r>
  </si>
  <si>
    <t>Beats Music</t>
  </si>
  <si>
    <t>Period: March 1, 2014 through March 31, 2014</t>
  </si>
  <si>
    <t>Mar 14 Actual Inv.</t>
  </si>
  <si>
    <t xml:space="preserve">Mar 14 Accrual </t>
  </si>
  <si>
    <t>Total Mar 14</t>
  </si>
  <si>
    <t>&lt;Feb 14 Catch Up</t>
  </si>
  <si>
    <t>GEEB0001</t>
  </si>
  <si>
    <t>GEEB001</t>
  </si>
  <si>
    <t>4000-03-000-16528</t>
  </si>
  <si>
    <t>4000-03-000-23205</t>
  </si>
  <si>
    <t>Revenue-Physical- -Lab Sounds Limited (V V Brown)</t>
  </si>
  <si>
    <t>Feb</t>
  </si>
  <si>
    <t>In Demand</t>
  </si>
  <si>
    <t>TT Net</t>
  </si>
  <si>
    <t>TIM Muve (Brazil)</t>
  </si>
  <si>
    <t>&lt;Mar 14 Catch Up</t>
  </si>
  <si>
    <t>Period: April 1, 2014 through April 30, 2014</t>
  </si>
  <si>
    <t>MaxSound (Liquid Spins)</t>
  </si>
  <si>
    <t>Revibe AB</t>
  </si>
  <si>
    <t>4000-03-000-16786</t>
  </si>
  <si>
    <t>Revenue-Physical- -Devo Inc. 2</t>
  </si>
  <si>
    <t>4000-03-000-23437</t>
  </si>
  <si>
    <t>Revenue-Physical- -CYHSY Inc.</t>
  </si>
  <si>
    <t>BEAT0003</t>
  </si>
  <si>
    <t>&lt;Apr 14 Catch Up</t>
  </si>
  <si>
    <t>Period: May 1, 2014 through May 31, 2014</t>
  </si>
  <si>
    <t>May 14 Actual Inv.</t>
  </si>
  <si>
    <t xml:space="preserve">May 14 Accrual </t>
  </si>
  <si>
    <t>Total May 14</t>
  </si>
  <si>
    <t>4000-03-000-23537</t>
  </si>
  <si>
    <t>Revenue-Physical- -Queen Diva Music, LLC</t>
  </si>
  <si>
    <t>4025-00-000-00000</t>
  </si>
  <si>
    <t>Revenue - Service Fees</t>
  </si>
  <si>
    <t>Period: June 1, 2014 through June 30, 2014</t>
  </si>
  <si>
    <t>&lt;May 14 Catch Up</t>
  </si>
  <si>
    <t xml:space="preserve">June 14 -Orchard Actual </t>
  </si>
  <si>
    <t>June 14 Actual Inv.</t>
  </si>
  <si>
    <t xml:space="preserve">June 14 Accrual </t>
  </si>
  <si>
    <t>Total June 14</t>
  </si>
  <si>
    <t>MICR0002</t>
  </si>
  <si>
    <t>4000-03-000-16796</t>
  </si>
  <si>
    <t>Revenue-Physical- -Belly Up Records</t>
  </si>
  <si>
    <r>
      <t>iTunes -</t>
    </r>
    <r>
      <rPr>
        <b/>
        <sz val="9"/>
        <color theme="1"/>
        <rFont val="Calibri"/>
        <family val="2"/>
      </rPr>
      <t xml:space="preserve"> Big Fish Media</t>
    </r>
  </si>
  <si>
    <t>MOG (Mobile) AU Only</t>
  </si>
  <si>
    <t>Revenue-Physical- -Rock the Cause, Inc</t>
  </si>
  <si>
    <t>4023-00-000-00000</t>
  </si>
  <si>
    <t>Revenue - Inter. Mktg.- - -</t>
  </si>
  <si>
    <t>4100-03-000-00000</t>
  </si>
  <si>
    <t>Return Provision Physical</t>
  </si>
  <si>
    <t>4100-03-000-07482</t>
  </si>
  <si>
    <t>Return Provision-Physical- -Fierce Panda</t>
  </si>
  <si>
    <t>4100-03-000-09006</t>
  </si>
  <si>
    <t>Return Provision Physical  Plug Research</t>
  </si>
  <si>
    <t>4100-03-000-10303</t>
  </si>
  <si>
    <t>Return Provision Physical  Uprising Communication</t>
  </si>
  <si>
    <t>4100-03-000-12175</t>
  </si>
  <si>
    <t>Return Provision Physical  Definitive Jux</t>
  </si>
  <si>
    <t>4100-03-000-12530</t>
  </si>
  <si>
    <t>Return Provision Physical  Ernest Jennings</t>
  </si>
  <si>
    <t>4100-03-000-12602</t>
  </si>
  <si>
    <t>Return Provision Physical  Pete Bernstein</t>
  </si>
  <si>
    <t>4100-03-000-14686</t>
  </si>
  <si>
    <t>Return Provision Physical  Raveonettes LLC</t>
  </si>
  <si>
    <t>4100-03-000-15043</t>
  </si>
  <si>
    <t>Return Provision Physical  Wu Music Group</t>
  </si>
  <si>
    <t>4100-03-000-15142</t>
  </si>
  <si>
    <t>Return Provision-Physical- -Paper Bag Records</t>
  </si>
  <si>
    <t>4100-03-000-15418</t>
  </si>
  <si>
    <t>Return Provision Physical  Secada Productions</t>
  </si>
  <si>
    <t>4100-03-000-15424</t>
  </si>
  <si>
    <t>Return Provision Physical  Seven Grand</t>
  </si>
  <si>
    <t>4100-03-000-15425</t>
  </si>
  <si>
    <t>Return Provision Physical  Royal Family Records</t>
  </si>
  <si>
    <t>4100-03-000-15494</t>
  </si>
  <si>
    <t>Return Provision Physical  Wynton Marsalis</t>
  </si>
  <si>
    <t>4100-03-000-15595</t>
  </si>
  <si>
    <t>Return Provision Physical  Jazz At Lincoln Center</t>
  </si>
  <si>
    <t>4100-03-000-15634</t>
  </si>
  <si>
    <t>Return Provision Physical  Volcom</t>
  </si>
  <si>
    <t>4100-03-000-15672</t>
  </si>
  <si>
    <t>Return Provision Physical  Lefse Records</t>
  </si>
  <si>
    <t>4100-03-000-15740</t>
  </si>
  <si>
    <t>Return Provision Physical  One Haven Music LLC</t>
  </si>
  <si>
    <t>4100-03-000-15748</t>
  </si>
  <si>
    <t>Return Provision Physical  Family Records</t>
  </si>
  <si>
    <t>4100-03-000-15915</t>
  </si>
  <si>
    <t>Return Provision Physical  Blue Horizon</t>
  </si>
  <si>
    <t>4100-03-000-15958</t>
  </si>
  <si>
    <t>Return Provision Physical  Ammal Records</t>
  </si>
  <si>
    <t>4100-03-000-16001</t>
  </si>
  <si>
    <t>Return Provision Physical  Shinebox Record. &amp; Mgmn</t>
  </si>
  <si>
    <t>4100-03-000-16059</t>
  </si>
  <si>
    <t>Return Provision Physical  L Scrawny Records aka T</t>
  </si>
  <si>
    <t>4100-03-000-16319</t>
  </si>
  <si>
    <t>Return Provision Physical  Tee Pee Records</t>
  </si>
  <si>
    <t>4100-03-000-16419</t>
  </si>
  <si>
    <t>Return Provision Physical  Baretrack Records</t>
  </si>
  <si>
    <t>4100-03-000-16427</t>
  </si>
  <si>
    <t>Return Provision-Physical- -Bananabeat Records</t>
  </si>
  <si>
    <t>4100-03-000-16467</t>
  </si>
  <si>
    <t>Return Provision Physical  Benchmark Ent. LLC</t>
  </si>
  <si>
    <t>4100-03-000-16785</t>
  </si>
  <si>
    <t>Return Provision-Physical- -Vintage Trouble Record</t>
  </si>
  <si>
    <t>4100-03-000-16855</t>
  </si>
  <si>
    <t>Return Provision-Physical- -Sixpence, Inc.</t>
  </si>
  <si>
    <t>4100-03-000-16941</t>
  </si>
  <si>
    <t>Return Provision-Physical- -Pure Noise Entertainme</t>
  </si>
  <si>
    <t>4100-03-000-16945</t>
  </si>
  <si>
    <t>Return Provision-Physical- -Fat Cat Records</t>
  </si>
  <si>
    <t>4100-03-000-16949</t>
  </si>
  <si>
    <t>Return Provision-Physical- -Blue Corn Music</t>
  </si>
  <si>
    <t>4100-03-000-17015</t>
  </si>
  <si>
    <t>Return Provision-Physical- -4 Star Records, LLC</t>
  </si>
  <si>
    <t>4100-03-000-17023</t>
  </si>
  <si>
    <t>Return Provision-Physical- -Sean Hayes</t>
  </si>
  <si>
    <t>4100-03-000-17107</t>
  </si>
  <si>
    <t>Return Provision-Physical- -Lasalle Records, Inc.</t>
  </si>
  <si>
    <t>4100-03-000-17559</t>
  </si>
  <si>
    <t>Return Provision-Physical- -Slumberland Records, L</t>
  </si>
  <si>
    <t>4100-03-000-19020</t>
  </si>
  <si>
    <t>Return Provision-Physical- -Shoot to Kill Music, I</t>
  </si>
  <si>
    <t>4100-03-000-23437</t>
  </si>
  <si>
    <t>Return Provision-Physical- -CYHSY Inc.</t>
  </si>
  <si>
    <t>Breakage</t>
  </si>
  <si>
    <t>4000-17-017-00000</t>
  </si>
  <si>
    <t>Revenue-Compilations-Compilations-</t>
  </si>
  <si>
    <t xml:space="preserve">2014 Orchard Revenues </t>
  </si>
  <si>
    <t>Revenue</t>
  </si>
  <si>
    <t>Orchard Digital &amp; Mobile</t>
  </si>
  <si>
    <t>Physical</t>
  </si>
  <si>
    <t>Delivery</t>
  </si>
  <si>
    <t>Film &amp; TV Sync</t>
  </si>
  <si>
    <t>Orchard Video</t>
  </si>
  <si>
    <t>Orchard Performance</t>
  </si>
  <si>
    <t>IODA Brazil Performance</t>
  </si>
  <si>
    <t>Mechanical Admin &amp; Overrides</t>
  </si>
  <si>
    <t>Other</t>
  </si>
  <si>
    <t>IODA Digital</t>
  </si>
  <si>
    <t>IODA Video</t>
  </si>
  <si>
    <t>RED Service Rev</t>
  </si>
  <si>
    <t>Other Service Rev</t>
  </si>
  <si>
    <t>IRIS Digital</t>
  </si>
  <si>
    <t>IODA Video Network</t>
  </si>
  <si>
    <t>Orch Video Network</t>
  </si>
  <si>
    <t>Compilations</t>
  </si>
  <si>
    <t>Orchard</t>
  </si>
  <si>
    <t>IODA</t>
  </si>
  <si>
    <t>*ties to Sam's Consolidated Statements of Operations</t>
  </si>
  <si>
    <t>GROUPING</t>
  </si>
  <si>
    <t>Music</t>
  </si>
  <si>
    <t>Ancillary</t>
  </si>
  <si>
    <t>RED</t>
  </si>
  <si>
    <t>OSC</t>
  </si>
  <si>
    <t>SUBTOTALS FROM THIS SHEET</t>
  </si>
  <si>
    <t>SUBTOTOAL</t>
  </si>
  <si>
    <t>minus RED</t>
  </si>
  <si>
    <t>plus RED / .06</t>
  </si>
  <si>
    <t>minus OSC</t>
  </si>
  <si>
    <t>plus OSC / .13</t>
  </si>
  <si>
    <t>TOTAL</t>
  </si>
  <si>
    <t>DIFFERENCE FROM SHEET TOTALS</t>
  </si>
  <si>
    <t>5 week iTunes</t>
  </si>
  <si>
    <t>Other Service</t>
  </si>
  <si>
    <t>YouTube RED</t>
  </si>
  <si>
    <t>You Tube Revenue</t>
  </si>
  <si>
    <t>YT RED %</t>
  </si>
  <si>
    <t>Other Services</t>
  </si>
  <si>
    <t>Allegro</t>
  </si>
  <si>
    <t>Selecto Hits</t>
  </si>
  <si>
    <t>Total Supply Chain Including RED</t>
  </si>
  <si>
    <t>Total Supply Chain % Including RED</t>
  </si>
  <si>
    <t>*Only 1 version used</t>
  </si>
  <si>
    <t>This is the total from the monthly revenue worksheets.
The goal is to get from the revenue worksheet total to the revenue summary total</t>
  </si>
  <si>
    <t>GOAL:</t>
  </si>
  <si>
    <t>METHOD 1: Start from the summary total and calculate back up to the gross total</t>
  </si>
  <si>
    <t>GROSS TOTAL FROM SHEETS</t>
  </si>
  <si>
    <t>Monthly Gross</t>
  </si>
  <si>
    <t>METHOD 2: Start from the gross total and calculate down to the net total using the given percentages</t>
  </si>
  <si>
    <t>Percent RED</t>
  </si>
  <si>
    <t>Percent OSC</t>
  </si>
  <si>
    <t>minus RED gross</t>
  </si>
  <si>
    <t>plus RED @ .06</t>
  </si>
  <si>
    <t>DIFFERENCE FROM SUMMARY TOTALS</t>
  </si>
  <si>
    <t>Taking the PERCENTAGE prior months revenue specific to Allegro, and specific to SelectO</t>
  </si>
  <si>
    <t>Prior Month Gross Allegro</t>
  </si>
  <si>
    <t>Margin Allegro</t>
  </si>
  <si>
    <t>Margin SelectO</t>
  </si>
  <si>
    <t>Margin RED</t>
  </si>
  <si>
    <t>plus SelectO (prior m) * margin</t>
  </si>
  <si>
    <t>plus Allegro (prior m) * margin</t>
  </si>
  <si>
    <t>subtotal</t>
  </si>
  <si>
    <t>Prior Month Gross Selecto Digital</t>
  </si>
  <si>
    <t>Prior Month Gross Selecto Ringtone</t>
  </si>
  <si>
    <t>Prior Month Gross Selecto Sum</t>
  </si>
  <si>
    <t>STATEMENT</t>
  </si>
  <si>
    <t>Minus Adjustments To Gross Prior to OSC</t>
  </si>
  <si>
    <t>Plus Adjustments To Gross Prior to OSC</t>
  </si>
  <si>
    <t>Top line Orchard Mobile, Orchard Video, Ioda Dig  + Vid, Iris + Video Netowroks</t>
  </si>
  <si>
    <t>(Monthly Gross, less Compilations)</t>
  </si>
  <si>
    <t>Breakage (Spotify)</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</si>
</sst>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quot;$&quot;* #,##0.0000_);_(&quot;$&quot;* \(#,##0.0000\);_(&quot;$&quot;* &quot;-&quot;??_);_(@_)"/>
  </numFmts>
  <fonts count="218" x14ac:knownFonts="1">
    <font>
      <sz val="9"/>
      <color theme="1"/>
      <name val="Calibri"/>
      <family val="2"/>
    </font>
    <font>
      <sz val="12"/>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theme="1"/>
      <name val="Calibri"/>
      <family val="2"/>
      <scheme val="minor"/>
    </font>
    <font>
      <sz val="9"/>
      <color theme="1"/>
      <name val="Calibri"/>
      <family val="2"/>
    </font>
    <font>
      <b/>
      <sz val="9"/>
      <color theme="1"/>
      <name val="Calibri"/>
      <family val="2"/>
    </font>
    <font>
      <sz val="8"/>
      <color indexed="81"/>
      <name val="Tahoma"/>
      <family val="2"/>
    </font>
    <font>
      <b/>
      <sz val="8"/>
      <color indexed="81"/>
      <name val="Tahoma"/>
      <family val="2"/>
    </font>
    <font>
      <b/>
      <sz val="18"/>
      <color theme="3"/>
      <name val="Cambria"/>
      <family val="2"/>
      <scheme val="major"/>
    </font>
    <font>
      <b/>
      <sz val="9"/>
      <color theme="1"/>
      <name val="Calibri"/>
      <family val="2"/>
      <scheme val="minor"/>
    </font>
    <font>
      <b/>
      <sz val="9"/>
      <color theme="0"/>
      <name val="Calibri"/>
      <family val="2"/>
      <scheme val="minor"/>
    </font>
    <font>
      <b/>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9"/>
      <color theme="1"/>
      <name val="Calibri"/>
      <family val="2"/>
    </font>
    <font>
      <sz val="8"/>
      <color theme="1"/>
      <name val="Calibri"/>
      <family val="2"/>
    </font>
    <font>
      <b/>
      <sz val="8"/>
      <color theme="1"/>
      <name val="Calibri"/>
      <family val="2"/>
      <scheme val="minor"/>
    </font>
    <font>
      <b/>
      <sz val="8"/>
      <color theme="1"/>
      <name val="Calibri"/>
      <family val="2"/>
    </font>
    <font>
      <sz val="9"/>
      <color theme="1"/>
      <name val="Calibri"/>
      <family val="2"/>
    </font>
    <font>
      <b/>
      <sz val="9"/>
      <color theme="1"/>
      <name val="Calibri"/>
      <family val="2"/>
    </font>
    <font>
      <sz val="9"/>
      <name val="Calibri"/>
      <family val="2"/>
    </font>
    <font>
      <sz val="9"/>
      <color theme="1"/>
      <name val="Calibri"/>
      <family val="2"/>
    </font>
    <font>
      <sz val="9"/>
      <color theme="1"/>
      <name val="Calibri"/>
      <family val="2"/>
    </font>
    <font>
      <b/>
      <sz val="9"/>
      <color theme="1"/>
      <name val="Calibri"/>
      <family val="2"/>
    </font>
    <font>
      <b/>
      <sz val="9"/>
      <color rgb="FFFF0000"/>
      <name val="Calibri"/>
      <family val="2"/>
    </font>
    <font>
      <sz val="9"/>
      <color theme="1"/>
      <name val="Calibri"/>
      <family val="2"/>
    </font>
    <font>
      <b/>
      <sz val="9"/>
      <color theme="1"/>
      <name val="Calibri"/>
      <family val="2"/>
    </font>
    <font>
      <u val="double"/>
      <sz val="9"/>
      <color theme="1"/>
      <name val="Calibri"/>
      <family val="2"/>
    </font>
    <font>
      <b/>
      <u val="doubleAccounting"/>
      <sz val="9"/>
      <color theme="1"/>
      <name val="Calibri"/>
      <family val="2"/>
    </font>
    <font>
      <sz val="9"/>
      <color theme="1"/>
      <name val="Calibri"/>
      <family val="2"/>
    </font>
    <font>
      <sz val="11"/>
      <color indexed="81"/>
      <name val="Tahoma"/>
      <family val="2"/>
    </font>
    <font>
      <sz val="9"/>
      <color theme="1"/>
      <name val="Calibri"/>
      <family val="2"/>
    </font>
    <font>
      <sz val="9"/>
      <color rgb="FFFF0000"/>
      <name val="Calibri"/>
      <family val="2"/>
    </font>
    <font>
      <sz val="9"/>
      <color theme="1"/>
      <name val="Calibri"/>
      <family val="2"/>
    </font>
    <font>
      <b/>
      <sz val="10"/>
      <color theme="1"/>
      <name val="Calibri"/>
      <family val="2"/>
    </font>
    <font>
      <sz val="10"/>
      <color theme="1"/>
      <name val="Calibri"/>
      <family val="2"/>
    </font>
    <font>
      <u val="singleAccounting"/>
      <sz val="9"/>
      <color theme="1"/>
      <name val="Calibri"/>
      <family val="2"/>
    </font>
    <font>
      <sz val="9"/>
      <color theme="1"/>
      <name val="Calibri"/>
      <family val="2"/>
    </font>
    <font>
      <b/>
      <sz val="9"/>
      <color theme="1"/>
      <name val="Calibri"/>
      <family val="2"/>
    </font>
    <font>
      <sz val="9"/>
      <color theme="1"/>
      <name val="Calibri"/>
      <family val="2"/>
    </font>
    <font>
      <b/>
      <sz val="9"/>
      <color theme="1"/>
      <name val="Calibri"/>
      <family val="2"/>
    </font>
    <font>
      <sz val="9"/>
      <color theme="1"/>
      <name val="Calibri"/>
      <family val="2"/>
    </font>
    <font>
      <sz val="9"/>
      <color theme="1"/>
      <name val="Calibri"/>
      <family val="2"/>
    </font>
    <font>
      <b/>
      <sz val="9"/>
      <color indexed="81"/>
      <name val="Tahoma"/>
      <family val="2"/>
    </font>
    <font>
      <sz val="9"/>
      <color indexed="81"/>
      <name val="Tahom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color theme="1"/>
      <name val="Calibri"/>
      <family val="2"/>
    </font>
    <font>
      <sz val="9"/>
      <color theme="1"/>
      <name val="Calibri"/>
      <family val="2"/>
    </font>
    <font>
      <sz val="9"/>
      <color theme="1"/>
      <name val="Calibri"/>
      <family val="2"/>
    </font>
    <font>
      <b/>
      <sz val="9"/>
      <name val="Calibri"/>
      <family val="2"/>
    </font>
    <font>
      <sz val="9"/>
      <color theme="0"/>
      <name val="Calibri"/>
      <family val="2"/>
    </font>
    <font>
      <sz val="9"/>
      <color theme="3" tint="0.79998168889431442"/>
      <name val="Calibri"/>
      <family val="2"/>
    </font>
    <font>
      <b/>
      <sz val="8"/>
      <color theme="8" tint="-0.249977111117893"/>
      <name val="Calibri"/>
      <family val="2"/>
      <scheme val="minor"/>
    </font>
    <font>
      <b/>
      <sz val="9"/>
      <color theme="8" tint="-0.249977111117893"/>
      <name val="Calibri"/>
      <family val="2"/>
    </font>
    <font>
      <sz val="8"/>
      <name val="Calibri"/>
      <family val="2"/>
      <scheme val="minor"/>
    </font>
    <font>
      <sz val="8"/>
      <color rgb="FFFF0000"/>
      <name val="Calibri"/>
      <family val="2"/>
      <scheme val="minor"/>
    </font>
    <font>
      <sz val="9"/>
      <color theme="9" tint="0.59999389629810485"/>
      <name val="Calibri"/>
      <family val="2"/>
    </font>
    <font>
      <b/>
      <sz val="10"/>
      <color indexed="9"/>
      <name val="Arial"/>
      <family val="2"/>
    </font>
    <font>
      <i/>
      <sz val="11"/>
      <color theme="1"/>
      <name val="Calibri"/>
      <family val="2"/>
      <scheme val="minor"/>
    </font>
    <font>
      <sz val="10"/>
      <name val="Times New Roman"/>
      <family val="1"/>
    </font>
    <font>
      <sz val="11"/>
      <color indexed="8"/>
      <name val="Times New Roman"/>
      <family val="2"/>
    </font>
    <font>
      <u/>
      <sz val="9"/>
      <color theme="10"/>
      <name val="Calibri"/>
      <family val="2"/>
    </font>
    <font>
      <u/>
      <sz val="9"/>
      <color theme="11"/>
      <name val="Calibri"/>
      <family val="2"/>
    </font>
    <font>
      <b/>
      <sz val="14"/>
      <color theme="1"/>
      <name val="Calibri"/>
      <scheme val="minor"/>
    </font>
    <font>
      <b/>
      <u/>
      <sz val="13"/>
      <color theme="1"/>
      <name val="Calibri"/>
      <scheme val="minor"/>
    </font>
    <font>
      <b/>
      <sz val="13"/>
      <color theme="1"/>
      <name val="Calibri"/>
      <scheme val="minor"/>
    </font>
    <font>
      <sz val="13"/>
      <color theme="1"/>
      <name val="Calibri"/>
      <scheme val="minor"/>
    </font>
    <font>
      <b/>
      <sz val="12"/>
      <color theme="1"/>
      <name val="Calibri"/>
      <scheme val="minor"/>
    </font>
    <font>
      <b/>
      <i/>
      <sz val="11"/>
      <color theme="1"/>
      <name val="Calibri"/>
      <scheme val="minor"/>
    </font>
    <font>
      <i/>
      <sz val="8"/>
      <color theme="1"/>
      <name val="Calibri"/>
      <scheme val="minor"/>
    </font>
  </fonts>
  <fills count="80">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49998474074526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5"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66"/>
        <bgColor indexed="64"/>
      </patternFill>
    </fill>
    <fill>
      <patternFill patternType="solid">
        <fgColor rgb="FFFF5050"/>
        <bgColor indexed="64"/>
      </patternFill>
    </fill>
    <fill>
      <patternFill patternType="solid">
        <fgColor theme="7" tint="0.59999389629810485"/>
        <bgColor indexed="64"/>
      </patternFill>
    </fill>
    <fill>
      <patternFill patternType="solid">
        <fgColor indexed="8"/>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5" tint="0.39997558519241921"/>
        <bgColor indexed="64"/>
      </patternFill>
    </fill>
  </fills>
  <borders count="82">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right/>
      <top style="medium">
        <color auto="1"/>
      </top>
      <bottom style="medium">
        <color auto="1"/>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thin">
        <color auto="1"/>
      </right>
      <top/>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thin">
        <color auto="1"/>
      </top>
      <bottom/>
      <diagonal/>
    </border>
    <border>
      <left/>
      <right style="thin">
        <color auto="1"/>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right/>
      <top/>
      <bottom style="medium">
        <color auto="1"/>
      </bottom>
      <diagonal/>
    </border>
    <border>
      <left/>
      <right/>
      <top style="medium">
        <color auto="1"/>
      </top>
      <bottom/>
      <diagonal/>
    </border>
    <border>
      <left style="thin">
        <color auto="1"/>
      </left>
      <right/>
      <top/>
      <bottom style="thin">
        <color auto="1"/>
      </bottom>
      <diagonal/>
    </border>
    <border>
      <left style="thin">
        <color auto="1"/>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top/>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right/>
      <top/>
      <bottom style="thin">
        <color auto="1"/>
      </bottom>
      <diagonal/>
    </border>
    <border>
      <left/>
      <right style="medium">
        <color auto="1"/>
      </right>
      <top/>
      <bottom style="thin">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top style="thin">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bottom style="medium">
        <color auto="1"/>
      </bottom>
      <diagonal/>
    </border>
    <border>
      <left style="medium">
        <color auto="1"/>
      </left>
      <right/>
      <top/>
      <bottom style="double">
        <color auto="1"/>
      </bottom>
      <diagonal/>
    </border>
    <border>
      <left/>
      <right/>
      <top/>
      <bottom style="double">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top style="thin">
        <color auto="1"/>
      </top>
      <bottom/>
      <diagonal/>
    </border>
  </borders>
  <cellStyleXfs count="569">
    <xf numFmtId="0" fontId="0" fillId="0" borderId="0"/>
    <xf numFmtId="43" fontId="123" fillId="0" borderId="0" applyFont="0" applyFill="0" applyBorder="0" applyAlignment="0" applyProtection="0"/>
    <xf numFmtId="0" fontId="121" fillId="0" borderId="0"/>
    <xf numFmtId="0" fontId="127" fillId="0" borderId="0" applyNumberFormat="0" applyFill="0" applyBorder="0" applyAlignment="0" applyProtection="0"/>
    <xf numFmtId="0" fontId="121" fillId="13" borderId="0" applyNumberFormat="0" applyBorder="0" applyAlignment="0" applyProtection="0"/>
    <xf numFmtId="0" fontId="121" fillId="17" borderId="0" applyNumberFormat="0" applyBorder="0" applyAlignment="0" applyProtection="0"/>
    <xf numFmtId="0" fontId="121" fillId="21" borderId="0" applyNumberFormat="0" applyBorder="0" applyAlignment="0" applyProtection="0"/>
    <xf numFmtId="0" fontId="121" fillId="25" borderId="0" applyNumberFormat="0" applyBorder="0" applyAlignment="0" applyProtection="0"/>
    <xf numFmtId="0" fontId="121" fillId="29" borderId="0" applyNumberFormat="0" applyBorder="0" applyAlignment="0" applyProtection="0"/>
    <xf numFmtId="0" fontId="121" fillId="33" borderId="0" applyNumberFormat="0" applyBorder="0" applyAlignment="0" applyProtection="0"/>
    <xf numFmtId="0" fontId="121" fillId="14" borderId="0" applyNumberFormat="0" applyBorder="0" applyAlignment="0" applyProtection="0"/>
    <xf numFmtId="0" fontId="121" fillId="18" borderId="0" applyNumberFormat="0" applyBorder="0" applyAlignment="0" applyProtection="0"/>
    <xf numFmtId="0" fontId="121" fillId="22" borderId="0" applyNumberFormat="0" applyBorder="0" applyAlignment="0" applyProtection="0"/>
    <xf numFmtId="0" fontId="121" fillId="26" borderId="0" applyNumberFormat="0" applyBorder="0" applyAlignment="0" applyProtection="0"/>
    <xf numFmtId="0" fontId="121" fillId="30" borderId="0" applyNumberFormat="0" applyBorder="0" applyAlignment="0" applyProtection="0"/>
    <xf numFmtId="0" fontId="121" fillId="34" borderId="0" applyNumberFormat="0" applyBorder="0" applyAlignment="0" applyProtection="0"/>
    <xf numFmtId="0" fontId="131" fillId="15" borderId="0" applyNumberFormat="0" applyBorder="0" applyAlignment="0" applyProtection="0"/>
    <xf numFmtId="0" fontId="131" fillId="19" borderId="0" applyNumberFormat="0" applyBorder="0" applyAlignment="0" applyProtection="0"/>
    <xf numFmtId="0" fontId="131" fillId="23" borderId="0" applyNumberFormat="0" applyBorder="0" applyAlignment="0" applyProtection="0"/>
    <xf numFmtId="0" fontId="131" fillId="27" borderId="0" applyNumberFormat="0" applyBorder="0" applyAlignment="0" applyProtection="0"/>
    <xf numFmtId="0" fontId="131" fillId="31" borderId="0" applyNumberFormat="0" applyBorder="0" applyAlignment="0" applyProtection="0"/>
    <xf numFmtId="0" fontId="131" fillId="35" borderId="0" applyNumberFormat="0" applyBorder="0" applyAlignment="0" applyProtection="0"/>
    <xf numFmtId="0" fontId="131" fillId="12" borderId="0" applyNumberFormat="0" applyBorder="0" applyAlignment="0" applyProtection="0"/>
    <xf numFmtId="0" fontId="131" fillId="16" borderId="0" applyNumberFormat="0" applyBorder="0" applyAlignment="0" applyProtection="0"/>
    <xf numFmtId="0" fontId="131" fillId="20" borderId="0" applyNumberFormat="0" applyBorder="0" applyAlignment="0" applyProtection="0"/>
    <xf numFmtId="0" fontId="131" fillId="24" borderId="0" applyNumberFormat="0" applyBorder="0" applyAlignment="0" applyProtection="0"/>
    <xf numFmtId="0" fontId="131" fillId="28" borderId="0" applyNumberFormat="0" applyBorder="0" applyAlignment="0" applyProtection="0"/>
    <xf numFmtId="0" fontId="131" fillId="32" borderId="0" applyNumberFormat="0" applyBorder="0" applyAlignment="0" applyProtection="0"/>
    <xf numFmtId="0" fontId="132" fillId="6" borderId="0" applyNumberFormat="0" applyBorder="0" applyAlignment="0" applyProtection="0"/>
    <xf numFmtId="0" fontId="133" fillId="9" borderId="5" applyNumberFormat="0" applyAlignment="0" applyProtection="0"/>
    <xf numFmtId="0" fontId="134" fillId="10" borderId="8" applyNumberFormat="0" applyAlignment="0" applyProtection="0"/>
    <xf numFmtId="0" fontId="135" fillId="0" borderId="0" applyNumberFormat="0" applyFill="0" applyBorder="0" applyAlignment="0" applyProtection="0"/>
    <xf numFmtId="0" fontId="136" fillId="5" borderId="0" applyNumberFormat="0" applyBorder="0" applyAlignment="0" applyProtection="0"/>
    <xf numFmtId="0" fontId="137" fillId="0" borderId="2" applyNumberFormat="0" applyFill="0" applyAlignment="0" applyProtection="0"/>
    <xf numFmtId="0" fontId="138" fillId="0" borderId="3" applyNumberFormat="0" applyFill="0" applyAlignment="0" applyProtection="0"/>
    <xf numFmtId="0" fontId="139" fillId="0" borderId="4" applyNumberFormat="0" applyFill="0" applyAlignment="0" applyProtection="0"/>
    <xf numFmtId="0" fontId="139" fillId="0" borderId="0" applyNumberFormat="0" applyFill="0" applyBorder="0" applyAlignment="0" applyProtection="0"/>
    <xf numFmtId="0" fontId="140" fillId="8" borderId="5" applyNumberFormat="0" applyAlignment="0" applyProtection="0"/>
    <xf numFmtId="0" fontId="141" fillId="0" borderId="7" applyNumberFormat="0" applyFill="0" applyAlignment="0" applyProtection="0"/>
    <xf numFmtId="0" fontId="142" fillId="7" borderId="0" applyNumberFormat="0" applyBorder="0" applyAlignment="0" applyProtection="0"/>
    <xf numFmtId="0" fontId="121" fillId="11" borderId="9" applyNumberFormat="0" applyFont="0" applyAlignment="0" applyProtection="0"/>
    <xf numFmtId="0" fontId="143" fillId="9" borderId="6" applyNumberFormat="0" applyAlignment="0" applyProtection="0"/>
    <xf numFmtId="0" fontId="130" fillId="0" borderId="10" applyNumberFormat="0" applyFill="0" applyAlignment="0" applyProtection="0"/>
    <xf numFmtId="0" fontId="144" fillId="0" borderId="0" applyNumberFormat="0" applyFill="0" applyBorder="0" applyAlignment="0" applyProtection="0"/>
    <xf numFmtId="44" fontId="123" fillId="0" borderId="0" applyFont="0" applyFill="0" applyBorder="0" applyAlignment="0" applyProtection="0"/>
    <xf numFmtId="0" fontId="121" fillId="0" borderId="0"/>
    <xf numFmtId="0" fontId="120" fillId="13" borderId="0" applyNumberFormat="0" applyBorder="0" applyAlignment="0" applyProtection="0"/>
    <xf numFmtId="0" fontId="120" fillId="34" borderId="0" applyNumberFormat="0" applyBorder="0" applyAlignment="0" applyProtection="0"/>
    <xf numFmtId="0" fontId="120" fillId="0" borderId="0"/>
    <xf numFmtId="0" fontId="120" fillId="0" borderId="0"/>
    <xf numFmtId="0" fontId="120" fillId="13" borderId="0" applyNumberFormat="0" applyBorder="0" applyAlignment="0" applyProtection="0"/>
    <xf numFmtId="0" fontId="120" fillId="17" borderId="0" applyNumberFormat="0" applyBorder="0" applyAlignment="0" applyProtection="0"/>
    <xf numFmtId="0" fontId="120" fillId="21" borderId="0" applyNumberFormat="0" applyBorder="0" applyAlignment="0" applyProtection="0"/>
    <xf numFmtId="0" fontId="120" fillId="25" borderId="0" applyNumberFormat="0" applyBorder="0" applyAlignment="0" applyProtection="0"/>
    <xf numFmtId="0" fontId="120" fillId="29" borderId="0" applyNumberFormat="0" applyBorder="0" applyAlignment="0" applyProtection="0"/>
    <xf numFmtId="0" fontId="120" fillId="33" borderId="0" applyNumberFormat="0" applyBorder="0" applyAlignment="0" applyProtection="0"/>
    <xf numFmtId="0" fontId="120" fillId="14" borderId="0" applyNumberFormat="0" applyBorder="0" applyAlignment="0" applyProtection="0"/>
    <xf numFmtId="0" fontId="120" fillId="18" borderId="0" applyNumberFormat="0" applyBorder="0" applyAlignment="0" applyProtection="0"/>
    <xf numFmtId="0" fontId="120" fillId="22" borderId="0" applyNumberFormat="0" applyBorder="0" applyAlignment="0" applyProtection="0"/>
    <xf numFmtId="0" fontId="120" fillId="26" borderId="0" applyNumberFormat="0" applyBorder="0" applyAlignment="0" applyProtection="0"/>
    <xf numFmtId="0" fontId="120" fillId="30" borderId="0" applyNumberFormat="0" applyBorder="0" applyAlignment="0" applyProtection="0"/>
    <xf numFmtId="0" fontId="120" fillId="34" borderId="0" applyNumberFormat="0" applyBorder="0" applyAlignment="0" applyProtection="0"/>
    <xf numFmtId="0" fontId="120" fillId="26" borderId="0" applyNumberFormat="0" applyBorder="0" applyAlignment="0" applyProtection="0"/>
    <xf numFmtId="0" fontId="120" fillId="22" borderId="0" applyNumberFormat="0" applyBorder="0" applyAlignment="0" applyProtection="0"/>
    <xf numFmtId="0" fontId="120" fillId="18" borderId="0" applyNumberFormat="0" applyBorder="0" applyAlignment="0" applyProtection="0"/>
    <xf numFmtId="0" fontId="120" fillId="14" borderId="0" applyNumberFormat="0" applyBorder="0" applyAlignment="0" applyProtection="0"/>
    <xf numFmtId="0" fontId="120" fillId="33" borderId="0" applyNumberFormat="0" applyBorder="0" applyAlignment="0" applyProtection="0"/>
    <xf numFmtId="0" fontId="120" fillId="29" borderId="0" applyNumberFormat="0" applyBorder="0" applyAlignment="0" applyProtection="0"/>
    <xf numFmtId="0" fontId="120" fillId="25" borderId="0" applyNumberFormat="0" applyBorder="0" applyAlignment="0" applyProtection="0"/>
    <xf numFmtId="0" fontId="120" fillId="21" borderId="0" applyNumberFormat="0" applyBorder="0" applyAlignment="0" applyProtection="0"/>
    <xf numFmtId="0" fontId="120" fillId="17" borderId="0" applyNumberFormat="0" applyBorder="0" applyAlignment="0" applyProtection="0"/>
    <xf numFmtId="0" fontId="120" fillId="11" borderId="9" applyNumberFormat="0" applyFont="0" applyAlignment="0" applyProtection="0"/>
    <xf numFmtId="0" fontId="120" fillId="30" borderId="0" applyNumberFormat="0" applyBorder="0" applyAlignment="0" applyProtection="0"/>
    <xf numFmtId="0" fontId="120" fillId="0" borderId="0"/>
    <xf numFmtId="0" fontId="120" fillId="11" borderId="9" applyNumberFormat="0" applyFont="0" applyAlignment="0" applyProtection="0"/>
    <xf numFmtId="0" fontId="120" fillId="0" borderId="0"/>
    <xf numFmtId="0" fontId="120" fillId="0" borderId="0"/>
    <xf numFmtId="0" fontId="120" fillId="13" borderId="0" applyNumberFormat="0" applyBorder="0" applyAlignment="0" applyProtection="0"/>
    <xf numFmtId="0" fontId="120" fillId="17" borderId="0" applyNumberFormat="0" applyBorder="0" applyAlignment="0" applyProtection="0"/>
    <xf numFmtId="0" fontId="120" fillId="21" borderId="0" applyNumberFormat="0" applyBorder="0" applyAlignment="0" applyProtection="0"/>
    <xf numFmtId="0" fontId="120" fillId="25" borderId="0" applyNumberFormat="0" applyBorder="0" applyAlignment="0" applyProtection="0"/>
    <xf numFmtId="0" fontId="120" fillId="29" borderId="0" applyNumberFormat="0" applyBorder="0" applyAlignment="0" applyProtection="0"/>
    <xf numFmtId="0" fontId="120" fillId="33" borderId="0" applyNumberFormat="0" applyBorder="0" applyAlignment="0" applyProtection="0"/>
    <xf numFmtId="0" fontId="120" fillId="14" borderId="0" applyNumberFormat="0" applyBorder="0" applyAlignment="0" applyProtection="0"/>
    <xf numFmtId="0" fontId="120" fillId="18" borderId="0" applyNumberFormat="0" applyBorder="0" applyAlignment="0" applyProtection="0"/>
    <xf numFmtId="0" fontId="120" fillId="22" borderId="0" applyNumberFormat="0" applyBorder="0" applyAlignment="0" applyProtection="0"/>
    <xf numFmtId="0" fontId="120" fillId="26" borderId="0" applyNumberFormat="0" applyBorder="0" applyAlignment="0" applyProtection="0"/>
    <xf numFmtId="0" fontId="120" fillId="30" borderId="0" applyNumberFormat="0" applyBorder="0" applyAlignment="0" applyProtection="0"/>
    <xf numFmtId="0" fontId="120" fillId="34" borderId="0" applyNumberFormat="0" applyBorder="0" applyAlignment="0" applyProtection="0"/>
    <xf numFmtId="0" fontId="120" fillId="11" borderId="9" applyNumberFormat="0" applyFont="0" applyAlignment="0" applyProtection="0"/>
    <xf numFmtId="0" fontId="120" fillId="0" borderId="0"/>
    <xf numFmtId="0" fontId="137" fillId="0" borderId="2" applyNumberFormat="0" applyFill="0" applyAlignment="0" applyProtection="0"/>
    <xf numFmtId="0" fontId="138" fillId="0" borderId="3" applyNumberFormat="0" applyFill="0" applyAlignment="0" applyProtection="0"/>
    <xf numFmtId="0" fontId="139" fillId="0" borderId="4" applyNumberFormat="0" applyFill="0" applyAlignment="0" applyProtection="0"/>
    <xf numFmtId="0" fontId="139" fillId="0" borderId="0" applyNumberFormat="0" applyFill="0" applyBorder="0" applyAlignment="0" applyProtection="0"/>
    <xf numFmtId="0" fontId="136" fillId="5" borderId="0" applyNumberFormat="0" applyBorder="0" applyAlignment="0" applyProtection="0"/>
    <xf numFmtId="0" fontId="132" fillId="6" borderId="0" applyNumberFormat="0" applyBorder="0" applyAlignment="0" applyProtection="0"/>
    <xf numFmtId="0" fontId="142" fillId="7" borderId="0" applyNumberFormat="0" applyBorder="0" applyAlignment="0" applyProtection="0"/>
    <xf numFmtId="0" fontId="140" fillId="8" borderId="5" applyNumberFormat="0" applyAlignment="0" applyProtection="0"/>
    <xf numFmtId="0" fontId="143" fillId="9" borderId="6" applyNumberFormat="0" applyAlignment="0" applyProtection="0"/>
    <xf numFmtId="0" fontId="133" fillId="9" borderId="5" applyNumberFormat="0" applyAlignment="0" applyProtection="0"/>
    <xf numFmtId="0" fontId="141" fillId="0" borderId="7" applyNumberFormat="0" applyFill="0" applyAlignment="0" applyProtection="0"/>
    <xf numFmtId="0" fontId="134" fillId="10" borderId="8" applyNumberFormat="0" applyAlignment="0" applyProtection="0"/>
    <xf numFmtId="0" fontId="144" fillId="0" borderId="0" applyNumberFormat="0" applyFill="0" applyBorder="0" applyAlignment="0" applyProtection="0"/>
    <xf numFmtId="0" fontId="135" fillId="0" borderId="0" applyNumberFormat="0" applyFill="0" applyBorder="0" applyAlignment="0" applyProtection="0"/>
    <xf numFmtId="0" fontId="130" fillId="0" borderId="10" applyNumberFormat="0" applyFill="0" applyAlignment="0" applyProtection="0"/>
    <xf numFmtId="0" fontId="131" fillId="12" borderId="0" applyNumberFormat="0" applyBorder="0" applyAlignment="0" applyProtection="0"/>
    <xf numFmtId="0" fontId="119" fillId="13" borderId="0" applyNumberFormat="0" applyBorder="0" applyAlignment="0" applyProtection="0"/>
    <xf numFmtId="0" fontId="119" fillId="14" borderId="0" applyNumberFormat="0" applyBorder="0" applyAlignment="0" applyProtection="0"/>
    <xf numFmtId="0" fontId="131" fillId="15" borderId="0" applyNumberFormat="0" applyBorder="0" applyAlignment="0" applyProtection="0"/>
    <xf numFmtId="0" fontId="131" fillId="16" borderId="0" applyNumberFormat="0" applyBorder="0" applyAlignment="0" applyProtection="0"/>
    <xf numFmtId="0" fontId="119" fillId="17" borderId="0" applyNumberFormat="0" applyBorder="0" applyAlignment="0" applyProtection="0"/>
    <xf numFmtId="0" fontId="119" fillId="18" borderId="0" applyNumberFormat="0" applyBorder="0" applyAlignment="0" applyProtection="0"/>
    <xf numFmtId="0" fontId="131" fillId="19" borderId="0" applyNumberFormat="0" applyBorder="0" applyAlignment="0" applyProtection="0"/>
    <xf numFmtId="0" fontId="131" fillId="20" borderId="0" applyNumberFormat="0" applyBorder="0" applyAlignment="0" applyProtection="0"/>
    <xf numFmtId="0" fontId="119" fillId="21" borderId="0" applyNumberFormat="0" applyBorder="0" applyAlignment="0" applyProtection="0"/>
    <xf numFmtId="0" fontId="119" fillId="22" borderId="0" applyNumberFormat="0" applyBorder="0" applyAlignment="0" applyProtection="0"/>
    <xf numFmtId="0" fontId="131" fillId="23" borderId="0" applyNumberFormat="0" applyBorder="0" applyAlignment="0" applyProtection="0"/>
    <xf numFmtId="0" fontId="131" fillId="24" borderId="0" applyNumberFormat="0" applyBorder="0" applyAlignment="0" applyProtection="0"/>
    <xf numFmtId="0" fontId="119" fillId="25" borderId="0" applyNumberFormat="0" applyBorder="0" applyAlignment="0" applyProtection="0"/>
    <xf numFmtId="0" fontId="119" fillId="26" borderId="0" applyNumberFormat="0" applyBorder="0" applyAlignment="0" applyProtection="0"/>
    <xf numFmtId="0" fontId="131" fillId="27" borderId="0" applyNumberFormat="0" applyBorder="0" applyAlignment="0" applyProtection="0"/>
    <xf numFmtId="0" fontId="131" fillId="28" borderId="0" applyNumberFormat="0" applyBorder="0" applyAlignment="0" applyProtection="0"/>
    <xf numFmtId="0" fontId="119" fillId="29" borderId="0" applyNumberFormat="0" applyBorder="0" applyAlignment="0" applyProtection="0"/>
    <xf numFmtId="0" fontId="119" fillId="30" borderId="0" applyNumberFormat="0" applyBorder="0" applyAlignment="0" applyProtection="0"/>
    <xf numFmtId="0" fontId="131" fillId="31" borderId="0" applyNumberFormat="0" applyBorder="0" applyAlignment="0" applyProtection="0"/>
    <xf numFmtId="0" fontId="131" fillId="32" borderId="0" applyNumberFormat="0" applyBorder="0" applyAlignment="0" applyProtection="0"/>
    <xf numFmtId="0" fontId="119" fillId="33" borderId="0" applyNumberFormat="0" applyBorder="0" applyAlignment="0" applyProtection="0"/>
    <xf numFmtId="0" fontId="119" fillId="34" borderId="0" applyNumberFormat="0" applyBorder="0" applyAlignment="0" applyProtection="0"/>
    <xf numFmtId="0" fontId="131" fillId="35" borderId="0" applyNumberFormat="0" applyBorder="0" applyAlignment="0" applyProtection="0"/>
    <xf numFmtId="0" fontId="119" fillId="0" borderId="0"/>
    <xf numFmtId="44" fontId="119" fillId="0" borderId="0" applyFont="0" applyFill="0" applyBorder="0" applyAlignment="0" applyProtection="0"/>
    <xf numFmtId="0" fontId="119" fillId="11" borderId="9" applyNumberFormat="0" applyFont="0" applyAlignment="0" applyProtection="0"/>
    <xf numFmtId="44" fontId="176" fillId="0" borderId="0" applyFont="0" applyFill="0" applyBorder="0" applyAlignment="0" applyProtection="0"/>
    <xf numFmtId="0" fontId="176" fillId="0" borderId="0"/>
    <xf numFmtId="0" fontId="177" fillId="51" borderId="0" applyNumberFormat="0" applyBorder="0" applyAlignment="0" applyProtection="0"/>
    <xf numFmtId="0" fontId="177" fillId="52" borderId="0" applyNumberFormat="0" applyBorder="0" applyAlignment="0" applyProtection="0"/>
    <xf numFmtId="0" fontId="177" fillId="53" borderId="0" applyNumberFormat="0" applyBorder="0" applyAlignment="0" applyProtection="0"/>
    <xf numFmtId="0" fontId="177" fillId="54" borderId="0" applyNumberFormat="0" applyBorder="0" applyAlignment="0" applyProtection="0"/>
    <xf numFmtId="0" fontId="177" fillId="55" borderId="0" applyNumberFormat="0" applyBorder="0" applyAlignment="0" applyProtection="0"/>
    <xf numFmtId="0" fontId="177" fillId="56" borderId="0" applyNumberFormat="0" applyBorder="0" applyAlignment="0" applyProtection="0"/>
    <xf numFmtId="0" fontId="177" fillId="57" borderId="0" applyNumberFormat="0" applyBorder="0" applyAlignment="0" applyProtection="0"/>
    <xf numFmtId="0" fontId="177" fillId="58" borderId="0" applyNumberFormat="0" applyBorder="0" applyAlignment="0" applyProtection="0"/>
    <xf numFmtId="0" fontId="177" fillId="59" borderId="0" applyNumberFormat="0" applyBorder="0" applyAlignment="0" applyProtection="0"/>
    <xf numFmtId="0" fontId="177" fillId="54" borderId="0" applyNumberFormat="0" applyBorder="0" applyAlignment="0" applyProtection="0"/>
    <xf numFmtId="0" fontId="177" fillId="57" borderId="0" applyNumberFormat="0" applyBorder="0" applyAlignment="0" applyProtection="0"/>
    <xf numFmtId="0" fontId="177" fillId="60" borderId="0" applyNumberFormat="0" applyBorder="0" applyAlignment="0" applyProtection="0"/>
    <xf numFmtId="0" fontId="178" fillId="61" borderId="0" applyNumberFormat="0" applyBorder="0" applyAlignment="0" applyProtection="0"/>
    <xf numFmtId="0" fontId="178" fillId="58" borderId="0" applyNumberFormat="0" applyBorder="0" applyAlignment="0" applyProtection="0"/>
    <xf numFmtId="0" fontId="178" fillId="59" borderId="0" applyNumberFormat="0" applyBorder="0" applyAlignment="0" applyProtection="0"/>
    <xf numFmtId="0" fontId="178" fillId="62" borderId="0" applyNumberFormat="0" applyBorder="0" applyAlignment="0" applyProtection="0"/>
    <xf numFmtId="0" fontId="178" fillId="63" borderId="0" applyNumberFormat="0" applyBorder="0" applyAlignment="0" applyProtection="0"/>
    <xf numFmtId="0" fontId="178" fillId="64" borderId="0" applyNumberFormat="0" applyBorder="0" applyAlignment="0" applyProtection="0"/>
    <xf numFmtId="0" fontId="176" fillId="0" borderId="0"/>
    <xf numFmtId="0" fontId="178" fillId="65" borderId="0" applyNumberFormat="0" applyBorder="0" applyAlignment="0" applyProtection="0"/>
    <xf numFmtId="0" fontId="178" fillId="66" borderId="0" applyNumberFormat="0" applyBorder="0" applyAlignment="0" applyProtection="0"/>
    <xf numFmtId="0" fontId="178" fillId="67" borderId="0" applyNumberFormat="0" applyBorder="0" applyAlignment="0" applyProtection="0"/>
    <xf numFmtId="0" fontId="178" fillId="62" borderId="0" applyNumberFormat="0" applyBorder="0" applyAlignment="0" applyProtection="0"/>
    <xf numFmtId="0" fontId="178" fillId="63" borderId="0" applyNumberFormat="0" applyBorder="0" applyAlignment="0" applyProtection="0"/>
    <xf numFmtId="0" fontId="178" fillId="68" borderId="0" applyNumberFormat="0" applyBorder="0" applyAlignment="0" applyProtection="0"/>
    <xf numFmtId="0" fontId="179" fillId="52" borderId="0" applyNumberFormat="0" applyBorder="0" applyAlignment="0" applyProtection="0"/>
    <xf numFmtId="0" fontId="180" fillId="69" borderId="70" applyNumberFormat="0" applyAlignment="0" applyProtection="0"/>
    <xf numFmtId="0" fontId="181" fillId="70" borderId="71" applyNumberFormat="0" applyAlignment="0" applyProtection="0"/>
    <xf numFmtId="43" fontId="176" fillId="0" borderId="0" applyFont="0" applyFill="0" applyBorder="0" applyAlignment="0" applyProtection="0"/>
    <xf numFmtId="44" fontId="176" fillId="0" borderId="0" applyFont="0" applyFill="0" applyBorder="0" applyAlignment="0" applyProtection="0"/>
    <xf numFmtId="0" fontId="182" fillId="0" borderId="0" applyNumberFormat="0" applyFill="0" applyBorder="0" applyAlignment="0" applyProtection="0"/>
    <xf numFmtId="0" fontId="183" fillId="53" borderId="0" applyNumberFormat="0" applyBorder="0" applyAlignment="0" applyProtection="0"/>
    <xf numFmtId="0" fontId="184" fillId="0" borderId="72" applyNumberFormat="0" applyFill="0" applyAlignment="0" applyProtection="0"/>
    <xf numFmtId="0" fontId="185" fillId="0" borderId="73" applyNumberFormat="0" applyFill="0" applyAlignment="0" applyProtection="0"/>
    <xf numFmtId="0" fontId="186" fillId="0" borderId="74" applyNumberFormat="0" applyFill="0" applyAlignment="0" applyProtection="0"/>
    <xf numFmtId="0" fontId="186" fillId="0" borderId="0" applyNumberFormat="0" applyFill="0" applyBorder="0" applyAlignment="0" applyProtection="0"/>
    <xf numFmtId="0" fontId="187" fillId="56" borderId="70" applyNumberFormat="0" applyAlignment="0" applyProtection="0"/>
    <xf numFmtId="0" fontId="188" fillId="0" borderId="75" applyNumberFormat="0" applyFill="0" applyAlignment="0" applyProtection="0"/>
    <xf numFmtId="0" fontId="189" fillId="71" borderId="0" applyNumberFormat="0" applyBorder="0" applyAlignment="0" applyProtection="0"/>
    <xf numFmtId="0" fontId="176" fillId="0" borderId="0"/>
    <xf numFmtId="0" fontId="176" fillId="0" borderId="0"/>
    <xf numFmtId="0" fontId="176" fillId="72" borderId="76" applyNumberFormat="0" applyFont="0" applyAlignment="0" applyProtection="0"/>
    <xf numFmtId="0" fontId="190" fillId="69" borderId="77" applyNumberFormat="0" applyAlignment="0" applyProtection="0"/>
    <xf numFmtId="9" fontId="176" fillId="0" borderId="0" applyFont="0" applyFill="0" applyBorder="0" applyAlignment="0" applyProtection="0"/>
    <xf numFmtId="0" fontId="191" fillId="0" borderId="0" applyNumberFormat="0" applyFill="0" applyBorder="0" applyAlignment="0" applyProtection="0"/>
    <xf numFmtId="0" fontId="192" fillId="0" borderId="78" applyNumberFormat="0" applyFill="0" applyAlignment="0" applyProtection="0"/>
    <xf numFmtId="0" fontId="193" fillId="0" borderId="0" applyNumberFormat="0" applyFill="0" applyBorder="0" applyAlignment="0" applyProtection="0"/>
    <xf numFmtId="0" fontId="123" fillId="0" borderId="0"/>
    <xf numFmtId="0" fontId="123" fillId="0" borderId="0"/>
    <xf numFmtId="0" fontId="123" fillId="0" borderId="0"/>
    <xf numFmtId="0" fontId="123" fillId="0" borderId="0"/>
    <xf numFmtId="43" fontId="176" fillId="0" borderId="0" applyFont="0" applyFill="0" applyBorder="0" applyAlignment="0" applyProtection="0"/>
    <xf numFmtId="44" fontId="176" fillId="0" borderId="0" applyFont="0" applyFill="0" applyBorder="0" applyAlignment="0" applyProtection="0"/>
    <xf numFmtId="0" fontId="176" fillId="72" borderId="76" applyNumberFormat="0" applyFont="0" applyAlignment="0" applyProtection="0"/>
    <xf numFmtId="9" fontId="176" fillId="0" borderId="0" applyFont="0" applyFill="0" applyBorder="0" applyAlignment="0" applyProtection="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18" fillId="0" borderId="0"/>
    <xf numFmtId="0" fontId="118" fillId="13" borderId="0" applyNumberFormat="0" applyBorder="0" applyAlignment="0" applyProtection="0"/>
    <xf numFmtId="0" fontId="118" fillId="17" borderId="0" applyNumberFormat="0" applyBorder="0" applyAlignment="0" applyProtection="0"/>
    <xf numFmtId="0" fontId="118" fillId="21" borderId="0" applyNumberFormat="0" applyBorder="0" applyAlignment="0" applyProtection="0"/>
    <xf numFmtId="0" fontId="118" fillId="25" borderId="0" applyNumberFormat="0" applyBorder="0" applyAlignment="0" applyProtection="0"/>
    <xf numFmtId="0" fontId="118" fillId="29" borderId="0" applyNumberFormat="0" applyBorder="0" applyAlignment="0" applyProtection="0"/>
    <xf numFmtId="0" fontId="118" fillId="33" borderId="0" applyNumberFormat="0" applyBorder="0" applyAlignment="0" applyProtection="0"/>
    <xf numFmtId="0" fontId="118" fillId="14" borderId="0" applyNumberFormat="0" applyBorder="0" applyAlignment="0" applyProtection="0"/>
    <xf numFmtId="0" fontId="118" fillId="18" borderId="0" applyNumberFormat="0" applyBorder="0" applyAlignment="0" applyProtection="0"/>
    <xf numFmtId="0" fontId="118" fillId="22" borderId="0" applyNumberFormat="0" applyBorder="0" applyAlignment="0" applyProtection="0"/>
    <xf numFmtId="0" fontId="118" fillId="26" borderId="0" applyNumberFormat="0" applyBorder="0" applyAlignment="0" applyProtection="0"/>
    <xf numFmtId="0" fontId="118" fillId="30" borderId="0" applyNumberFormat="0" applyBorder="0" applyAlignment="0" applyProtection="0"/>
    <xf numFmtId="0" fontId="118" fillId="34" borderId="0" applyNumberFormat="0" applyBorder="0" applyAlignment="0" applyProtection="0"/>
    <xf numFmtId="0" fontId="118" fillId="11" borderId="9" applyNumberFormat="0" applyFont="0" applyAlignment="0" applyProtection="0"/>
    <xf numFmtId="0" fontId="118" fillId="0" borderId="0"/>
    <xf numFmtId="0" fontId="118" fillId="13" borderId="0" applyNumberFormat="0" applyBorder="0" applyAlignment="0" applyProtection="0"/>
    <xf numFmtId="0" fontId="118" fillId="34" borderId="0" applyNumberFormat="0" applyBorder="0" applyAlignment="0" applyProtection="0"/>
    <xf numFmtId="0" fontId="118" fillId="0" borderId="0"/>
    <xf numFmtId="0" fontId="118" fillId="0" borderId="0"/>
    <xf numFmtId="0" fontId="118" fillId="13" borderId="0" applyNumberFormat="0" applyBorder="0" applyAlignment="0" applyProtection="0"/>
    <xf numFmtId="0" fontId="118" fillId="17" borderId="0" applyNumberFormat="0" applyBorder="0" applyAlignment="0" applyProtection="0"/>
    <xf numFmtId="0" fontId="118" fillId="21" borderId="0" applyNumberFormat="0" applyBorder="0" applyAlignment="0" applyProtection="0"/>
    <xf numFmtId="0" fontId="118" fillId="25" borderId="0" applyNumberFormat="0" applyBorder="0" applyAlignment="0" applyProtection="0"/>
    <xf numFmtId="0" fontId="118" fillId="29" borderId="0" applyNumberFormat="0" applyBorder="0" applyAlignment="0" applyProtection="0"/>
    <xf numFmtId="0" fontId="118" fillId="33" borderId="0" applyNumberFormat="0" applyBorder="0" applyAlignment="0" applyProtection="0"/>
    <xf numFmtId="0" fontId="118" fillId="14" borderId="0" applyNumberFormat="0" applyBorder="0" applyAlignment="0" applyProtection="0"/>
    <xf numFmtId="0" fontId="118" fillId="18" borderId="0" applyNumberFormat="0" applyBorder="0" applyAlignment="0" applyProtection="0"/>
    <xf numFmtId="0" fontId="118" fillId="22" borderId="0" applyNumberFormat="0" applyBorder="0" applyAlignment="0" applyProtection="0"/>
    <xf numFmtId="0" fontId="118" fillId="26" borderId="0" applyNumberFormat="0" applyBorder="0" applyAlignment="0" applyProtection="0"/>
    <xf numFmtId="0" fontId="118" fillId="30" borderId="0" applyNumberFormat="0" applyBorder="0" applyAlignment="0" applyProtection="0"/>
    <xf numFmtId="0" fontId="118" fillId="34" borderId="0" applyNumberFormat="0" applyBorder="0" applyAlignment="0" applyProtection="0"/>
    <xf numFmtId="0" fontId="118" fillId="26" borderId="0" applyNumberFormat="0" applyBorder="0" applyAlignment="0" applyProtection="0"/>
    <xf numFmtId="0" fontId="118" fillId="22" borderId="0" applyNumberFormat="0" applyBorder="0" applyAlignment="0" applyProtection="0"/>
    <xf numFmtId="0" fontId="118" fillId="18" borderId="0" applyNumberFormat="0" applyBorder="0" applyAlignment="0" applyProtection="0"/>
    <xf numFmtId="0" fontId="118" fillId="14" borderId="0" applyNumberFormat="0" applyBorder="0" applyAlignment="0" applyProtection="0"/>
    <xf numFmtId="0" fontId="118" fillId="33" borderId="0" applyNumberFormat="0" applyBorder="0" applyAlignment="0" applyProtection="0"/>
    <xf numFmtId="0" fontId="118" fillId="29" borderId="0" applyNumberFormat="0" applyBorder="0" applyAlignment="0" applyProtection="0"/>
    <xf numFmtId="0" fontId="118" fillId="25" borderId="0" applyNumberFormat="0" applyBorder="0" applyAlignment="0" applyProtection="0"/>
    <xf numFmtId="0" fontId="118" fillId="21" borderId="0" applyNumberFormat="0" applyBorder="0" applyAlignment="0" applyProtection="0"/>
    <xf numFmtId="0" fontId="118" fillId="17" borderId="0" applyNumberFormat="0" applyBorder="0" applyAlignment="0" applyProtection="0"/>
    <xf numFmtId="0" fontId="118" fillId="11" borderId="9" applyNumberFormat="0" applyFont="0" applyAlignment="0" applyProtection="0"/>
    <xf numFmtId="0" fontId="118" fillId="30" borderId="0" applyNumberFormat="0" applyBorder="0" applyAlignment="0" applyProtection="0"/>
    <xf numFmtId="0" fontId="118" fillId="0" borderId="0"/>
    <xf numFmtId="0" fontId="118" fillId="11" borderId="9" applyNumberFormat="0" applyFont="0" applyAlignment="0" applyProtection="0"/>
    <xf numFmtId="0" fontId="118" fillId="0" borderId="0"/>
    <xf numFmtId="0" fontId="118" fillId="0" borderId="0"/>
    <xf numFmtId="0" fontId="118" fillId="13" borderId="0" applyNumberFormat="0" applyBorder="0" applyAlignment="0" applyProtection="0"/>
    <xf numFmtId="0" fontId="118" fillId="17" borderId="0" applyNumberFormat="0" applyBorder="0" applyAlignment="0" applyProtection="0"/>
    <xf numFmtId="0" fontId="118" fillId="21" borderId="0" applyNumberFormat="0" applyBorder="0" applyAlignment="0" applyProtection="0"/>
    <xf numFmtId="0" fontId="118" fillId="25" borderId="0" applyNumberFormat="0" applyBorder="0" applyAlignment="0" applyProtection="0"/>
    <xf numFmtId="0" fontId="118" fillId="29" borderId="0" applyNumberFormat="0" applyBorder="0" applyAlignment="0" applyProtection="0"/>
    <xf numFmtId="0" fontId="118" fillId="33" borderId="0" applyNumberFormat="0" applyBorder="0" applyAlignment="0" applyProtection="0"/>
    <xf numFmtId="0" fontId="118" fillId="14" borderId="0" applyNumberFormat="0" applyBorder="0" applyAlignment="0" applyProtection="0"/>
    <xf numFmtId="0" fontId="118" fillId="18" borderId="0" applyNumberFormat="0" applyBorder="0" applyAlignment="0" applyProtection="0"/>
    <xf numFmtId="0" fontId="118" fillId="22" borderId="0" applyNumberFormat="0" applyBorder="0" applyAlignment="0" applyProtection="0"/>
    <xf numFmtId="0" fontId="118" fillId="26" borderId="0" applyNumberFormat="0" applyBorder="0" applyAlignment="0" applyProtection="0"/>
    <xf numFmtId="0" fontId="118" fillId="30" borderId="0" applyNumberFormat="0" applyBorder="0" applyAlignment="0" applyProtection="0"/>
    <xf numFmtId="0" fontId="118" fillId="34" borderId="0" applyNumberFormat="0" applyBorder="0" applyAlignment="0" applyProtection="0"/>
    <xf numFmtId="0" fontId="118" fillId="11" borderId="9" applyNumberFormat="0" applyFont="0" applyAlignment="0" applyProtection="0"/>
    <xf numFmtId="0" fontId="118" fillId="0" borderId="0"/>
    <xf numFmtId="0" fontId="118" fillId="13" borderId="0" applyNumberFormat="0" applyBorder="0" applyAlignment="0" applyProtection="0"/>
    <xf numFmtId="0" fontId="118" fillId="14" borderId="0" applyNumberFormat="0" applyBorder="0" applyAlignment="0" applyProtection="0"/>
    <xf numFmtId="0" fontId="118" fillId="17" borderId="0" applyNumberFormat="0" applyBorder="0" applyAlignment="0" applyProtection="0"/>
    <xf numFmtId="0" fontId="118" fillId="18" borderId="0" applyNumberFormat="0" applyBorder="0" applyAlignment="0" applyProtection="0"/>
    <xf numFmtId="0" fontId="118" fillId="21" borderId="0" applyNumberFormat="0" applyBorder="0" applyAlignment="0" applyProtection="0"/>
    <xf numFmtId="0" fontId="118" fillId="22" borderId="0" applyNumberFormat="0" applyBorder="0" applyAlignment="0" applyProtection="0"/>
    <xf numFmtId="0" fontId="118" fillId="25" borderId="0" applyNumberFormat="0" applyBorder="0" applyAlignment="0" applyProtection="0"/>
    <xf numFmtId="0" fontId="118" fillId="26" borderId="0" applyNumberFormat="0" applyBorder="0" applyAlignment="0" applyProtection="0"/>
    <xf numFmtId="0" fontId="118" fillId="29" borderId="0" applyNumberFormat="0" applyBorder="0" applyAlignment="0" applyProtection="0"/>
    <xf numFmtId="0" fontId="118" fillId="30" borderId="0" applyNumberFormat="0" applyBorder="0" applyAlignment="0" applyProtection="0"/>
    <xf numFmtId="0" fontId="118" fillId="33" borderId="0" applyNumberFormat="0" applyBorder="0" applyAlignment="0" applyProtection="0"/>
    <xf numFmtId="0" fontId="118" fillId="34" borderId="0" applyNumberFormat="0" applyBorder="0" applyAlignment="0" applyProtection="0"/>
    <xf numFmtId="0" fontId="118" fillId="0" borderId="0"/>
    <xf numFmtId="44" fontId="118" fillId="0" borderId="0" applyFont="0" applyFill="0" applyBorder="0" applyAlignment="0" applyProtection="0"/>
    <xf numFmtId="0" fontId="118" fillId="11" borderId="9" applyNumberFormat="0" applyFont="0" applyAlignment="0" applyProtection="0"/>
    <xf numFmtId="0" fontId="117" fillId="0" borderId="0"/>
    <xf numFmtId="0" fontId="116" fillId="0" borderId="0"/>
    <xf numFmtId="0" fontId="115" fillId="0" borderId="0"/>
    <xf numFmtId="0" fontId="114" fillId="0" borderId="0"/>
    <xf numFmtId="0" fontId="113" fillId="0" borderId="0"/>
    <xf numFmtId="0" fontId="112" fillId="0" borderId="0"/>
    <xf numFmtId="0" fontId="111" fillId="0" borderId="0"/>
    <xf numFmtId="0" fontId="110" fillId="0" borderId="0"/>
    <xf numFmtId="0" fontId="109" fillId="0" borderId="0"/>
    <xf numFmtId="0" fontId="108" fillId="0" borderId="0"/>
    <xf numFmtId="0" fontId="107" fillId="0" borderId="0"/>
    <xf numFmtId="0" fontId="106" fillId="0" borderId="0"/>
    <xf numFmtId="0" fontId="105" fillId="0" borderId="0"/>
    <xf numFmtId="0" fontId="104" fillId="0" borderId="0"/>
    <xf numFmtId="0" fontId="103" fillId="0" borderId="0"/>
    <xf numFmtId="0" fontId="102" fillId="0" borderId="0"/>
    <xf numFmtId="0" fontId="101" fillId="0" borderId="0"/>
    <xf numFmtId="0" fontId="100" fillId="0" borderId="0"/>
    <xf numFmtId="0" fontId="99" fillId="0" borderId="0"/>
    <xf numFmtId="0" fontId="98" fillId="0" borderId="0"/>
    <xf numFmtId="0" fontId="97" fillId="0" borderId="0"/>
    <xf numFmtId="0" fontId="96" fillId="0" borderId="0"/>
    <xf numFmtId="0" fontId="95" fillId="0" borderId="0"/>
    <xf numFmtId="0" fontId="94" fillId="0" borderId="0"/>
    <xf numFmtId="0" fontId="93" fillId="0" borderId="0"/>
    <xf numFmtId="0" fontId="92" fillId="0" borderId="0"/>
    <xf numFmtId="0" fontId="91" fillId="0" borderId="0"/>
    <xf numFmtId="0" fontId="90" fillId="0" borderId="0"/>
    <xf numFmtId="0" fontId="89" fillId="0" borderId="0"/>
    <xf numFmtId="0" fontId="88" fillId="0" borderId="0"/>
    <xf numFmtId="0" fontId="87" fillId="0" borderId="0"/>
    <xf numFmtId="0" fontId="86" fillId="0" borderId="0"/>
    <xf numFmtId="0" fontId="85" fillId="0" borderId="0"/>
    <xf numFmtId="0" fontId="84" fillId="0" borderId="0"/>
    <xf numFmtId="0" fontId="83" fillId="0" borderId="0"/>
    <xf numFmtId="0" fontId="82" fillId="0" borderId="0"/>
    <xf numFmtId="0" fontId="81" fillId="0" borderId="0"/>
    <xf numFmtId="0" fontId="80" fillId="0" borderId="0"/>
    <xf numFmtId="0" fontId="79" fillId="0" borderId="0"/>
    <xf numFmtId="0" fontId="78" fillId="0" borderId="0"/>
    <xf numFmtId="0" fontId="77" fillId="0" borderId="0"/>
    <xf numFmtId="0" fontId="76" fillId="0" borderId="0"/>
    <xf numFmtId="0" fontId="75" fillId="0" borderId="0"/>
    <xf numFmtId="0" fontId="74" fillId="0" borderId="0"/>
    <xf numFmtId="0" fontId="73" fillId="0" borderId="0"/>
    <xf numFmtId="0" fontId="72" fillId="0" borderId="0"/>
    <xf numFmtId="0" fontId="71" fillId="0" borderId="0"/>
    <xf numFmtId="0" fontId="70" fillId="0" borderId="0"/>
    <xf numFmtId="0" fontId="69" fillId="0" borderId="0"/>
    <xf numFmtId="0" fontId="68" fillId="0" borderId="0"/>
    <xf numFmtId="0" fontId="67" fillId="0" borderId="0"/>
    <xf numFmtId="0" fontId="66" fillId="0" borderId="0"/>
    <xf numFmtId="0" fontId="65" fillId="0" borderId="0"/>
    <xf numFmtId="0" fontId="64" fillId="0" borderId="0"/>
    <xf numFmtId="0" fontId="63" fillId="0" borderId="0"/>
    <xf numFmtId="0" fontId="62"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9" fontId="123" fillId="0" borderId="0" applyFont="0" applyFill="0" applyBorder="0" applyAlignment="0" applyProtection="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44" fontId="32" fillId="0" borderId="0" applyFont="0" applyFill="0" applyBorder="0" applyAlignment="0" applyProtection="0"/>
    <xf numFmtId="0" fontId="31" fillId="0" borderId="0"/>
    <xf numFmtId="0" fontId="30" fillId="0" borderId="0"/>
    <xf numFmtId="0" fontId="29" fillId="0" borderId="0"/>
    <xf numFmtId="0" fontId="28" fillId="0" borderId="0"/>
    <xf numFmtId="44" fontId="28" fillId="0" borderId="0" applyFont="0" applyFill="0" applyBorder="0" applyAlignment="0" applyProtection="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44" fontId="14" fillId="0" borderId="0" applyFont="0" applyFill="0" applyBorder="0" applyAlignment="0" applyProtection="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43" fontId="2" fillId="0" borderId="0" applyFont="0" applyFill="0" applyBorder="0" applyAlignment="0" applyProtection="0"/>
    <xf numFmtId="0" fontId="176" fillId="0" borderId="0"/>
    <xf numFmtId="0" fontId="176" fillId="0" borderId="0"/>
    <xf numFmtId="43" fontId="207" fillId="0" borderId="0" applyFont="0" applyFill="0" applyBorder="0" applyAlignment="0" applyProtection="0"/>
    <xf numFmtId="43" fontId="208" fillId="0" borderId="0" applyFont="0" applyFill="0" applyBorder="0" applyAlignment="0" applyProtection="0"/>
    <xf numFmtId="43" fontId="176" fillId="0" borderId="0" applyFont="0" applyFill="0" applyBorder="0" applyAlignment="0" applyProtection="0"/>
    <xf numFmtId="43" fontId="2" fillId="0" borderId="0" applyFont="0" applyFill="0" applyBorder="0" applyAlignment="0" applyProtection="0"/>
    <xf numFmtId="43" fontId="176" fillId="0" borderId="0" applyFont="0" applyFill="0" applyBorder="0" applyAlignment="0" applyProtection="0"/>
    <xf numFmtId="43" fontId="2" fillId="0" borderId="0" applyFont="0" applyFill="0" applyBorder="0" applyAlignment="0" applyProtection="0"/>
    <xf numFmtId="43" fontId="176" fillId="0" borderId="0" applyFont="0" applyFill="0" applyBorder="0" applyAlignment="0" applyProtection="0"/>
    <xf numFmtId="43" fontId="2" fillId="0" borderId="0" applyFont="0" applyFill="0" applyBorder="0" applyAlignment="0" applyProtection="0"/>
    <xf numFmtId="43" fontId="123" fillId="0" borderId="0" applyFont="0" applyFill="0" applyBorder="0" applyAlignment="0" applyProtection="0"/>
    <xf numFmtId="44" fontId="20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7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23"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3" fillId="0" borderId="0"/>
    <xf numFmtId="0" fontId="2" fillId="0" borderId="0"/>
    <xf numFmtId="0" fontId="2" fillId="0" borderId="0"/>
    <xf numFmtId="0" fontId="176" fillId="0" borderId="0"/>
    <xf numFmtId="0" fontId="2" fillId="0" borderId="0"/>
    <xf numFmtId="0" fontId="2" fillId="0" borderId="0"/>
    <xf numFmtId="0" fontId="2" fillId="0" borderId="0"/>
    <xf numFmtId="9" fontId="208" fillId="0" borderId="0" applyFont="0" applyFill="0" applyBorder="0" applyAlignment="0" applyProtection="0"/>
    <xf numFmtId="9" fontId="176" fillId="0" borderId="0" applyFont="0" applyFill="0" applyBorder="0" applyAlignment="0" applyProtection="0"/>
    <xf numFmtId="9" fontId="2" fillId="0" borderId="0" applyFont="0" applyFill="0" applyBorder="0" applyAlignment="0" applyProtection="0"/>
    <xf numFmtId="9" fontId="176" fillId="0" borderId="0" applyFont="0" applyFill="0" applyBorder="0" applyAlignment="0" applyProtection="0"/>
    <xf numFmtId="9" fontId="176" fillId="0" borderId="0" applyFont="0" applyFill="0" applyBorder="0" applyAlignment="0" applyProtection="0"/>
    <xf numFmtId="9" fontId="177" fillId="0" borderId="0" applyFont="0" applyFill="0" applyBorder="0" applyAlignment="0" applyProtection="0"/>
    <xf numFmtId="9" fontId="123" fillId="0" borderId="0" applyFon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cellStyleXfs>
  <cellXfs count="940">
    <xf numFmtId="0" fontId="0" fillId="0" borderId="0" xfId="0"/>
    <xf numFmtId="43" fontId="123" fillId="37" borderId="1" xfId="1" applyFont="1" applyFill="1" applyBorder="1"/>
    <xf numFmtId="43" fontId="150" fillId="36" borderId="0" xfId="1" applyFont="1" applyFill="1" applyBorder="1"/>
    <xf numFmtId="43" fontId="149" fillId="36" borderId="0" xfId="1" applyFont="1" applyFill="1" applyBorder="1"/>
    <xf numFmtId="43" fontId="149" fillId="4" borderId="12" xfId="1" applyFont="1" applyFill="1" applyBorder="1"/>
    <xf numFmtId="43" fontId="149" fillId="40" borderId="39" xfId="1" applyFont="1" applyFill="1" applyBorder="1"/>
    <xf numFmtId="44" fontId="0" fillId="3" borderId="27" xfId="44" applyFont="1" applyFill="1" applyBorder="1"/>
    <xf numFmtId="43" fontId="149" fillId="0" borderId="20" xfId="1" applyFont="1" applyFill="1" applyBorder="1"/>
    <xf numFmtId="43" fontId="149" fillId="3" borderId="1" xfId="1" applyFont="1" applyFill="1" applyBorder="1"/>
    <xf numFmtId="43" fontId="152" fillId="0" borderId="20" xfId="1" applyFont="1" applyFill="1" applyBorder="1"/>
    <xf numFmtId="43" fontId="0" fillId="0" borderId="0" xfId="0" applyNumberFormat="1" applyFont="1" applyAlignment="1">
      <alignment horizontal="center"/>
    </xf>
    <xf numFmtId="43" fontId="154" fillId="36" borderId="0" xfId="1" applyFont="1" applyFill="1" applyBorder="1"/>
    <xf numFmtId="0" fontId="124" fillId="0" borderId="0" xfId="0" applyFont="1" applyFill="1" applyBorder="1"/>
    <xf numFmtId="43" fontId="124" fillId="0" borderId="42" xfId="1" applyFont="1" applyFill="1" applyBorder="1" applyAlignment="1">
      <alignment horizontal="center"/>
    </xf>
    <xf numFmtId="43" fontId="124" fillId="0" borderId="1" xfId="1" applyFont="1" applyFill="1" applyBorder="1"/>
    <xf numFmtId="43" fontId="124" fillId="0" borderId="13" xfId="1" applyFont="1" applyFill="1" applyBorder="1"/>
    <xf numFmtId="0" fontId="0" fillId="0" borderId="0" xfId="0"/>
    <xf numFmtId="43" fontId="0" fillId="0" borderId="0" xfId="1" applyFont="1"/>
    <xf numFmtId="0" fontId="0" fillId="0" borderId="0" xfId="0" applyAlignment="1">
      <alignment horizontal="center"/>
    </xf>
    <xf numFmtId="0" fontId="0" fillId="0" borderId="0" xfId="0" applyFill="1"/>
    <xf numFmtId="0" fontId="0" fillId="0" borderId="1" xfId="0" applyBorder="1" applyAlignment="1">
      <alignment horizontal="center"/>
    </xf>
    <xf numFmtId="0" fontId="0" fillId="0" borderId="1" xfId="0" applyFill="1" applyBorder="1" applyAlignment="1">
      <alignment horizontal="center"/>
    </xf>
    <xf numFmtId="0" fontId="124" fillId="2" borderId="1" xfId="0" applyFont="1" applyFill="1" applyBorder="1" applyAlignment="1">
      <alignment horizontal="center"/>
    </xf>
    <xf numFmtId="0" fontId="0" fillId="0" borderId="0" xfId="0" applyAlignment="1">
      <alignment horizontal="left"/>
    </xf>
    <xf numFmtId="0" fontId="0" fillId="0" borderId="0" xfId="0" applyFont="1"/>
    <xf numFmtId="0" fontId="0" fillId="37" borderId="1" xfId="0" applyFill="1" applyBorder="1" applyAlignment="1">
      <alignment horizontal="center"/>
    </xf>
    <xf numFmtId="43" fontId="124" fillId="37" borderId="1" xfId="1" applyFont="1" applyFill="1" applyBorder="1"/>
    <xf numFmtId="0" fontId="0" fillId="0" borderId="0" xfId="0" applyBorder="1"/>
    <xf numFmtId="0" fontId="145" fillId="0" borderId="0" xfId="0" applyFont="1" applyAlignment="1">
      <alignment horizontal="left"/>
    </xf>
    <xf numFmtId="0" fontId="0" fillId="0" borderId="0" xfId="0" applyFill="1" applyBorder="1" applyAlignment="1">
      <alignment horizontal="center"/>
    </xf>
    <xf numFmtId="43" fontId="124" fillId="36" borderId="1" xfId="1" applyFont="1" applyFill="1" applyBorder="1" applyAlignment="1">
      <alignment horizontal="center"/>
    </xf>
    <xf numFmtId="43" fontId="124" fillId="36" borderId="0" xfId="1" applyFont="1" applyFill="1" applyBorder="1"/>
    <xf numFmtId="0" fontId="0" fillId="0" borderId="1" xfId="0" applyFont="1" applyBorder="1" applyAlignment="1">
      <alignment horizontal="center"/>
    </xf>
    <xf numFmtId="44" fontId="0" fillId="0" borderId="0" xfId="0" applyNumberFormat="1" applyFill="1"/>
    <xf numFmtId="44" fontId="0" fillId="0" borderId="0" xfId="44" applyFont="1" applyFill="1"/>
    <xf numFmtId="44" fontId="0" fillId="0" borderId="0" xfId="44" applyFont="1"/>
    <xf numFmtId="0" fontId="124" fillId="2" borderId="27" xfId="0" applyFont="1" applyFill="1" applyBorder="1" applyAlignment="1">
      <alignment horizontal="center"/>
    </xf>
    <xf numFmtId="43" fontId="0" fillId="0" borderId="0" xfId="0" applyNumberFormat="1" applyFont="1"/>
    <xf numFmtId="44" fontId="0" fillId="0" borderId="0" xfId="0" applyNumberFormat="1"/>
    <xf numFmtId="43" fontId="0" fillId="36" borderId="0" xfId="1" applyFont="1" applyFill="1" applyBorder="1"/>
    <xf numFmtId="0" fontId="0" fillId="0" borderId="0" xfId="0" applyFont="1" applyAlignment="1">
      <alignment horizontal="center" vertical="top"/>
    </xf>
    <xf numFmtId="0" fontId="0" fillId="0" borderId="0" xfId="0" applyNumberFormat="1" applyFont="1"/>
    <xf numFmtId="43" fontId="0" fillId="4" borderId="12" xfId="1" applyFont="1" applyFill="1" applyBorder="1"/>
    <xf numFmtId="43" fontId="0" fillId="37" borderId="22" xfId="1" applyFont="1" applyFill="1" applyBorder="1"/>
    <xf numFmtId="43" fontId="0" fillId="37" borderId="12" xfId="1" applyFont="1" applyFill="1" applyBorder="1"/>
    <xf numFmtId="43" fontId="0" fillId="36" borderId="11" xfId="1" applyFont="1" applyFill="1" applyBorder="1"/>
    <xf numFmtId="0" fontId="0" fillId="0" borderId="0" xfId="0" applyFill="1" applyBorder="1"/>
    <xf numFmtId="43" fontId="124" fillId="0" borderId="0" xfId="0" applyNumberFormat="1" applyFont="1" applyFill="1" applyBorder="1" applyAlignment="1">
      <alignment horizontal="center"/>
    </xf>
    <xf numFmtId="0" fontId="0" fillId="0" borderId="0" xfId="0" applyFill="1" applyAlignment="1">
      <alignment horizontal="center"/>
    </xf>
    <xf numFmtId="43" fontId="0" fillId="0" borderId="0" xfId="1" applyFont="1" applyFill="1"/>
    <xf numFmtId="0" fontId="0" fillId="0" borderId="0" xfId="0" applyFont="1" applyFill="1"/>
    <xf numFmtId="0" fontId="124" fillId="0" borderId="30" xfId="0" applyNumberFormat="1" applyFont="1" applyFill="1" applyBorder="1" applyAlignment="1" applyProtection="1">
      <alignment horizontal="right"/>
    </xf>
    <xf numFmtId="0" fontId="124" fillId="0" borderId="31" xfId="0" applyNumberFormat="1" applyFont="1" applyFill="1" applyBorder="1" applyAlignment="1" applyProtection="1"/>
    <xf numFmtId="0" fontId="0" fillId="0" borderId="32" xfId="0" applyBorder="1" applyAlignment="1">
      <alignment horizontal="right"/>
    </xf>
    <xf numFmtId="0" fontId="0" fillId="0" borderId="0" xfId="0" applyFill="1" applyBorder="1" applyAlignment="1">
      <alignment horizontal="right"/>
    </xf>
    <xf numFmtId="43" fontId="124" fillId="38" borderId="33" xfId="1" applyFont="1" applyFill="1" applyBorder="1" applyAlignment="1">
      <alignment horizontal="center"/>
    </xf>
    <xf numFmtId="43" fontId="124" fillId="3" borderId="34" xfId="1" applyFont="1" applyFill="1" applyBorder="1" applyAlignment="1">
      <alignment horizontal="center"/>
    </xf>
    <xf numFmtId="0" fontId="124" fillId="0" borderId="34" xfId="0" applyFont="1" applyBorder="1" applyAlignment="1">
      <alignment horizontal="center"/>
    </xf>
    <xf numFmtId="43" fontId="124" fillId="39" borderId="34" xfId="1" applyFont="1" applyFill="1" applyBorder="1" applyAlignment="1">
      <alignment horizontal="center"/>
    </xf>
    <xf numFmtId="0" fontId="128" fillId="37" borderId="34" xfId="0" applyFont="1" applyFill="1" applyBorder="1" applyAlignment="1">
      <alignment horizontal="center"/>
    </xf>
    <xf numFmtId="0" fontId="129" fillId="36" borderId="34" xfId="0" applyFont="1" applyFill="1" applyBorder="1" applyAlignment="1">
      <alignment horizontal="center"/>
    </xf>
    <xf numFmtId="43" fontId="124" fillId="40" borderId="35" xfId="1" applyFont="1" applyFill="1" applyBorder="1" applyAlignment="1">
      <alignment horizontal="center"/>
    </xf>
    <xf numFmtId="0" fontId="0" fillId="0" borderId="28" xfId="0" applyBorder="1" applyAlignment="1">
      <alignment horizontal="right"/>
    </xf>
    <xf numFmtId="0" fontId="0" fillId="0" borderId="16" xfId="0" applyBorder="1" applyAlignment="1">
      <alignment horizontal="right"/>
    </xf>
    <xf numFmtId="0" fontId="0" fillId="0" borderId="17" xfId="0" applyBorder="1" applyAlignment="1">
      <alignment horizontal="right"/>
    </xf>
    <xf numFmtId="0" fontId="124" fillId="0" borderId="0" xfId="0" applyFont="1" applyFill="1" applyBorder="1" applyAlignment="1">
      <alignment horizontal="center"/>
    </xf>
    <xf numFmtId="44" fontId="124" fillId="0" borderId="0" xfId="0" applyNumberFormat="1" applyFont="1" applyFill="1" applyBorder="1" applyAlignment="1">
      <alignment horizontal="center"/>
    </xf>
    <xf numFmtId="0" fontId="0" fillId="0" borderId="0" xfId="0" applyFont="1" applyFill="1" applyAlignment="1">
      <alignment horizontal="center"/>
    </xf>
    <xf numFmtId="0" fontId="122" fillId="0" borderId="27" xfId="0" applyFont="1" applyFill="1" applyBorder="1" applyAlignment="1"/>
    <xf numFmtId="0" fontId="0" fillId="37" borderId="36" xfId="0" applyFill="1" applyBorder="1" applyAlignment="1">
      <alignment horizontal="left"/>
    </xf>
    <xf numFmtId="0" fontId="0" fillId="37" borderId="27" xfId="0" applyFill="1" applyBorder="1" applyAlignment="1">
      <alignment horizontal="left"/>
    </xf>
    <xf numFmtId="0" fontId="124" fillId="2" borderId="18" xfId="0" applyFont="1" applyFill="1" applyBorder="1" applyAlignment="1">
      <alignment horizontal="center"/>
    </xf>
    <xf numFmtId="0" fontId="122" fillId="37" borderId="27" xfId="0" applyFont="1" applyFill="1" applyBorder="1" applyAlignment="1"/>
    <xf numFmtId="44" fontId="124" fillId="0" borderId="0" xfId="44" applyFont="1" applyFill="1" applyBorder="1"/>
    <xf numFmtId="44" fontId="124" fillId="2" borderId="29" xfId="0" applyNumberFormat="1" applyFont="1" applyFill="1" applyBorder="1" applyAlignment="1">
      <alignment horizontal="center"/>
    </xf>
    <xf numFmtId="43" fontId="0" fillId="0" borderId="0" xfId="0" applyNumberFormat="1" applyFont="1" applyBorder="1" applyAlignment="1">
      <alignment horizontal="center"/>
    </xf>
    <xf numFmtId="0" fontId="0" fillId="0" borderId="0" xfId="0" applyFont="1" applyBorder="1"/>
    <xf numFmtId="43" fontId="124" fillId="0" borderId="0" xfId="0" applyNumberFormat="1" applyFont="1" applyBorder="1" applyAlignment="1">
      <alignment horizontal="center"/>
    </xf>
    <xf numFmtId="0" fontId="124" fillId="0" borderId="0" xfId="0" applyFont="1" applyBorder="1" applyAlignment="1">
      <alignment horizontal="center"/>
    </xf>
    <xf numFmtId="44" fontId="0" fillId="0" borderId="0" xfId="0" applyNumberFormat="1" applyFont="1" applyBorder="1" applyAlignment="1">
      <alignment horizontal="center"/>
    </xf>
    <xf numFmtId="44" fontId="124" fillId="0" borderId="0" xfId="0" applyNumberFormat="1" applyFont="1" applyBorder="1"/>
    <xf numFmtId="0" fontId="124" fillId="0" borderId="0" xfId="0" applyFont="1" applyBorder="1"/>
    <xf numFmtId="44" fontId="124" fillId="36" borderId="21" xfId="0" applyNumberFormat="1" applyFont="1" applyFill="1" applyBorder="1" applyAlignment="1">
      <alignment horizontal="center"/>
    </xf>
    <xf numFmtId="43" fontId="0" fillId="40" borderId="38" xfId="1" applyFont="1" applyFill="1" applyBorder="1"/>
    <xf numFmtId="43" fontId="0" fillId="40" borderId="39" xfId="1" applyFont="1" applyFill="1" applyBorder="1"/>
    <xf numFmtId="43" fontId="123" fillId="40" borderId="39" xfId="1" applyFont="1" applyFill="1" applyBorder="1"/>
    <xf numFmtId="43" fontId="124" fillId="40" borderId="39" xfId="1" applyFont="1" applyFill="1" applyBorder="1"/>
    <xf numFmtId="43" fontId="0" fillId="37" borderId="40" xfId="1" applyFont="1" applyFill="1" applyBorder="1"/>
    <xf numFmtId="43" fontId="0" fillId="37" borderId="39" xfId="1" applyFont="1" applyFill="1" applyBorder="1"/>
    <xf numFmtId="43" fontId="0" fillId="0" borderId="20" xfId="1" applyFont="1" applyFill="1" applyBorder="1"/>
    <xf numFmtId="44" fontId="124" fillId="2" borderId="15" xfId="0" applyNumberFormat="1" applyFont="1" applyFill="1" applyBorder="1" applyAlignment="1">
      <alignment horizontal="center"/>
    </xf>
    <xf numFmtId="44" fontId="0" fillId="0" borderId="27" xfId="44" applyFont="1" applyBorder="1"/>
    <xf numFmtId="43" fontId="124" fillId="2" borderId="20" xfId="1" applyFont="1" applyFill="1" applyBorder="1" applyAlignment="1">
      <alignment horizontal="center"/>
    </xf>
    <xf numFmtId="43" fontId="124" fillId="36" borderId="42" xfId="1" applyFont="1" applyFill="1" applyBorder="1" applyAlignment="1">
      <alignment horizontal="center"/>
    </xf>
    <xf numFmtId="43" fontId="124" fillId="2" borderId="38" xfId="1" applyFont="1" applyFill="1" applyBorder="1" applyAlignment="1">
      <alignment horizontal="center"/>
    </xf>
    <xf numFmtId="43" fontId="124" fillId="2" borderId="26" xfId="1" applyFont="1" applyFill="1" applyBorder="1" applyAlignment="1">
      <alignment horizontal="center"/>
    </xf>
    <xf numFmtId="43" fontId="124" fillId="0" borderId="18" xfId="1" applyFont="1" applyFill="1" applyBorder="1" applyAlignment="1">
      <alignment horizontal="center"/>
    </xf>
    <xf numFmtId="43" fontId="124" fillId="42" borderId="34" xfId="1" applyFont="1" applyFill="1" applyBorder="1" applyAlignment="1">
      <alignment horizontal="center"/>
    </xf>
    <xf numFmtId="0" fontId="0" fillId="0" borderId="19" xfId="0" applyBorder="1" applyAlignment="1">
      <alignment horizontal="right"/>
    </xf>
    <xf numFmtId="43" fontId="124" fillId="4" borderId="12" xfId="1" applyFont="1" applyFill="1" applyBorder="1" applyAlignment="1">
      <alignment horizontal="center"/>
    </xf>
    <xf numFmtId="44" fontId="124" fillId="0" borderId="15" xfId="0" applyNumberFormat="1" applyFont="1" applyFill="1" applyBorder="1" applyAlignment="1">
      <alignment horizontal="center"/>
    </xf>
    <xf numFmtId="43" fontId="124" fillId="0" borderId="43" xfId="0" applyNumberFormat="1" applyFont="1" applyBorder="1" applyAlignment="1">
      <alignment horizontal="center"/>
    </xf>
    <xf numFmtId="43" fontId="124" fillId="36" borderId="44" xfId="1" applyFont="1" applyFill="1" applyBorder="1" applyAlignment="1">
      <alignment horizontal="center"/>
    </xf>
    <xf numFmtId="44" fontId="124" fillId="2" borderId="28" xfId="0" applyNumberFormat="1" applyFont="1" applyFill="1" applyBorder="1" applyAlignment="1">
      <alignment horizontal="center"/>
    </xf>
    <xf numFmtId="44" fontId="0" fillId="0" borderId="0" xfId="0" applyNumberFormat="1" applyBorder="1"/>
    <xf numFmtId="44" fontId="124" fillId="2" borderId="24" xfId="0" applyNumberFormat="1" applyFont="1" applyFill="1" applyBorder="1" applyAlignment="1">
      <alignment horizontal="center" vertical="top"/>
    </xf>
    <xf numFmtId="0" fontId="0" fillId="37" borderId="13" xfId="0" applyFill="1" applyBorder="1" applyAlignment="1">
      <alignment horizontal="center"/>
    </xf>
    <xf numFmtId="0" fontId="124" fillId="2" borderId="45" xfId="0" applyFont="1" applyFill="1" applyBorder="1" applyAlignment="1">
      <alignment horizontal="center"/>
    </xf>
    <xf numFmtId="0" fontId="124" fillId="2" borderId="25" xfId="0" applyFont="1" applyFill="1" applyBorder="1" applyAlignment="1">
      <alignment horizontal="center"/>
    </xf>
    <xf numFmtId="0" fontId="0" fillId="0" borderId="39" xfId="0" applyBorder="1" applyAlignment="1">
      <alignment horizontal="center"/>
    </xf>
    <xf numFmtId="0" fontId="0" fillId="0" borderId="0" xfId="0" applyBorder="1" applyAlignment="1">
      <alignment horizontal="center"/>
    </xf>
    <xf numFmtId="0" fontId="0" fillId="0" borderId="39" xfId="0" applyFill="1" applyBorder="1" applyAlignment="1">
      <alignment horizontal="center"/>
    </xf>
    <xf numFmtId="0" fontId="124" fillId="2" borderId="39" xfId="0" applyFont="1" applyFill="1" applyBorder="1" applyAlignment="1">
      <alignment horizontal="center"/>
    </xf>
    <xf numFmtId="0" fontId="0" fillId="0" borderId="39" xfId="0" applyFont="1" applyBorder="1" applyAlignment="1">
      <alignment horizontal="center"/>
    </xf>
    <xf numFmtId="0" fontId="0" fillId="37" borderId="39" xfId="0" applyFill="1" applyBorder="1" applyAlignment="1">
      <alignment horizontal="center"/>
    </xf>
    <xf numFmtId="0" fontId="0" fillId="37" borderId="40" xfId="0" applyFill="1" applyBorder="1" applyAlignment="1">
      <alignment horizontal="center"/>
    </xf>
    <xf numFmtId="0" fontId="124" fillId="2" borderId="37" xfId="0" applyFont="1" applyFill="1" applyBorder="1" applyAlignment="1">
      <alignment horizontal="center"/>
    </xf>
    <xf numFmtId="0" fontId="124" fillId="2" borderId="28" xfId="0" applyFont="1" applyFill="1" applyBorder="1" applyAlignment="1">
      <alignment horizontal="center"/>
    </xf>
    <xf numFmtId="0" fontId="0" fillId="0" borderId="16" xfId="0" applyBorder="1" applyAlignment="1">
      <alignment horizontal="center"/>
    </xf>
    <xf numFmtId="0" fontId="0" fillId="0" borderId="16" xfId="0" applyFont="1" applyBorder="1" applyAlignment="1">
      <alignment horizontal="center"/>
    </xf>
    <xf numFmtId="0" fontId="0" fillId="0" borderId="16" xfId="0" applyFill="1" applyBorder="1" applyAlignment="1">
      <alignment horizontal="center"/>
    </xf>
    <xf numFmtId="0" fontId="0" fillId="37" borderId="16" xfId="0" applyFill="1" applyBorder="1" applyAlignment="1">
      <alignment horizontal="center"/>
    </xf>
    <xf numFmtId="0" fontId="124" fillId="2" borderId="46" xfId="0" applyFont="1" applyFill="1" applyBorder="1" applyAlignment="1">
      <alignment horizontal="center"/>
    </xf>
    <xf numFmtId="0" fontId="147" fillId="0" borderId="27" xfId="0" applyFont="1" applyFill="1" applyBorder="1" applyAlignment="1"/>
    <xf numFmtId="0" fontId="146" fillId="0" borderId="27" xfId="0" applyFont="1" applyBorder="1"/>
    <xf numFmtId="0" fontId="148" fillId="0" borderId="27" xfId="0" applyFont="1" applyBorder="1"/>
    <xf numFmtId="0" fontId="0" fillId="0" borderId="0" xfId="0" applyBorder="1" applyAlignment="1"/>
    <xf numFmtId="44" fontId="0" fillId="0" borderId="12" xfId="44" applyFont="1" applyFill="1" applyBorder="1"/>
    <xf numFmtId="0" fontId="124" fillId="0" borderId="0" xfId="0" applyFont="1" applyAlignment="1">
      <alignment horizontal="center"/>
    </xf>
    <xf numFmtId="0" fontId="122" fillId="0" borderId="1" xfId="0" applyFont="1" applyFill="1" applyBorder="1" applyAlignment="1"/>
    <xf numFmtId="0" fontId="0" fillId="37" borderId="36" xfId="0" applyFont="1" applyFill="1" applyBorder="1" applyAlignment="1">
      <alignment horizontal="left"/>
    </xf>
    <xf numFmtId="0" fontId="0" fillId="0" borderId="0" xfId="0" applyFont="1" applyAlignment="1">
      <alignment horizontal="center"/>
    </xf>
    <xf numFmtId="44" fontId="0" fillId="0" borderId="0" xfId="0" applyNumberFormat="1" applyFont="1" applyAlignment="1">
      <alignment horizontal="center"/>
    </xf>
    <xf numFmtId="44" fontId="0" fillId="0" borderId="27" xfId="44" applyFont="1" applyFill="1" applyBorder="1"/>
    <xf numFmtId="43" fontId="0" fillId="0" borderId="0" xfId="1" applyFont="1" applyAlignment="1">
      <alignment horizontal="right"/>
    </xf>
    <xf numFmtId="43" fontId="0" fillId="0" borderId="0" xfId="0" applyNumberFormat="1" applyAlignment="1">
      <alignment horizontal="center"/>
    </xf>
    <xf numFmtId="44" fontId="0" fillId="0" borderId="11" xfId="0" applyNumberFormat="1" applyBorder="1"/>
    <xf numFmtId="44" fontId="0" fillId="0" borderId="11" xfId="0" applyNumberFormat="1" applyFill="1" applyBorder="1"/>
    <xf numFmtId="44" fontId="124" fillId="2" borderId="33" xfId="0" applyNumberFormat="1" applyFont="1" applyFill="1" applyBorder="1" applyAlignment="1">
      <alignment horizontal="center" vertical="top"/>
    </xf>
    <xf numFmtId="44" fontId="0" fillId="0" borderId="0" xfId="0" applyNumberFormat="1" applyFill="1" applyBorder="1"/>
    <xf numFmtId="43" fontId="0" fillId="0" borderId="1" xfId="1" applyFont="1" applyBorder="1" applyAlignment="1">
      <alignment horizontal="center"/>
    </xf>
    <xf numFmtId="44" fontId="124" fillId="0" borderId="0" xfId="0" applyNumberFormat="1" applyFont="1" applyFill="1" applyBorder="1" applyAlignment="1">
      <alignment horizontal="left" wrapText="1"/>
    </xf>
    <xf numFmtId="43" fontId="124" fillId="0" borderId="0" xfId="1" applyFont="1" applyAlignment="1">
      <alignment horizontal="center"/>
    </xf>
    <xf numFmtId="0" fontId="124" fillId="0" borderId="0" xfId="0" applyFont="1" applyFill="1" applyBorder="1" applyAlignment="1">
      <alignment horizontal="left"/>
    </xf>
    <xf numFmtId="43" fontId="0" fillId="0" borderId="14" xfId="1" applyFont="1" applyFill="1" applyBorder="1" applyAlignment="1">
      <alignment horizontal="center" vertical="top"/>
    </xf>
    <xf numFmtId="8" fontId="124" fillId="0" borderId="0" xfId="1" applyNumberFormat="1" applyFont="1" applyBorder="1" applyAlignment="1">
      <alignment horizontal="right"/>
    </xf>
    <xf numFmtId="0" fontId="0" fillId="0" borderId="0" xfId="0" applyFill="1"/>
    <xf numFmtId="0" fontId="0" fillId="0" borderId="0" xfId="0" applyAlignment="1">
      <alignment horizontal="left"/>
    </xf>
    <xf numFmtId="0" fontId="145" fillId="0" borderId="0" xfId="0" applyFont="1" applyAlignment="1">
      <alignment horizontal="left"/>
    </xf>
    <xf numFmtId="43" fontId="124" fillId="36" borderId="1" xfId="1" applyFont="1" applyFill="1" applyBorder="1" applyAlignment="1">
      <alignment horizontal="center"/>
    </xf>
    <xf numFmtId="43" fontId="0" fillId="0" borderId="0" xfId="1" applyFont="1" applyBorder="1"/>
    <xf numFmtId="0" fontId="0" fillId="0" borderId="0" xfId="0" applyFill="1" applyBorder="1"/>
    <xf numFmtId="0" fontId="0" fillId="0" borderId="0" xfId="0" applyFill="1" applyAlignment="1">
      <alignment horizontal="center"/>
    </xf>
    <xf numFmtId="44" fontId="124" fillId="0" borderId="0" xfId="0" applyNumberFormat="1" applyFont="1" applyFill="1" applyBorder="1" applyAlignment="1">
      <alignment horizontal="center"/>
    </xf>
    <xf numFmtId="44" fontId="124" fillId="0" borderId="31" xfId="44" applyFont="1" applyFill="1" applyBorder="1" applyAlignment="1">
      <alignment horizontal="center"/>
    </xf>
    <xf numFmtId="43" fontId="124" fillId="41" borderId="12" xfId="1" applyFont="1" applyFill="1" applyBorder="1" applyAlignment="1">
      <alignment horizontal="center"/>
    </xf>
    <xf numFmtId="43" fontId="124" fillId="38" borderId="34" xfId="1" applyFont="1" applyFill="1" applyBorder="1" applyAlignment="1">
      <alignment horizontal="center"/>
    </xf>
    <xf numFmtId="44" fontId="124" fillId="2" borderId="45" xfId="0" applyNumberFormat="1" applyFont="1" applyFill="1" applyBorder="1" applyAlignment="1">
      <alignment horizontal="center"/>
    </xf>
    <xf numFmtId="44" fontId="0" fillId="0" borderId="48" xfId="0" applyNumberFormat="1" applyBorder="1"/>
    <xf numFmtId="44" fontId="124" fillId="0" borderId="0" xfId="0" applyNumberFormat="1" applyFont="1" applyAlignment="1">
      <alignment horizontal="center"/>
    </xf>
    <xf numFmtId="44" fontId="155" fillId="0" borderId="15" xfId="0" applyNumberFormat="1" applyFont="1" applyBorder="1"/>
    <xf numFmtId="44" fontId="0" fillId="0" borderId="0" xfId="0" applyNumberFormat="1" applyAlignment="1">
      <alignment horizontal="left"/>
    </xf>
    <xf numFmtId="43" fontId="123" fillId="0" borderId="0" xfId="1" applyFont="1" applyAlignment="1">
      <alignment horizontal="center"/>
    </xf>
    <xf numFmtId="43" fontId="0" fillId="0" borderId="0" xfId="1" applyFont="1" applyAlignment="1">
      <alignment horizontal="center"/>
    </xf>
    <xf numFmtId="44" fontId="0" fillId="0" borderId="0" xfId="0" applyNumberFormat="1" applyAlignment="1">
      <alignment horizontal="center"/>
    </xf>
    <xf numFmtId="44" fontId="0" fillId="0" borderId="0" xfId="0" applyNumberFormat="1" applyFill="1" applyBorder="1" applyAlignment="1">
      <alignment horizontal="center"/>
    </xf>
    <xf numFmtId="43" fontId="123" fillId="0" borderId="0" xfId="1" applyFont="1" applyBorder="1" applyAlignment="1">
      <alignment horizontal="center"/>
    </xf>
    <xf numFmtId="43" fontId="123" fillId="0" borderId="0" xfId="1" applyFont="1" applyFill="1" applyBorder="1" applyAlignment="1">
      <alignment horizontal="center"/>
    </xf>
    <xf numFmtId="8" fontId="0" fillId="0" borderId="0" xfId="0" applyNumberFormat="1" applyAlignment="1">
      <alignment horizontal="center"/>
    </xf>
    <xf numFmtId="44" fontId="0" fillId="0" borderId="0" xfId="0" applyNumberFormat="1" applyFont="1"/>
    <xf numFmtId="43" fontId="123" fillId="36" borderId="47" xfId="1" applyFont="1" applyFill="1" applyBorder="1"/>
    <xf numFmtId="43" fontId="124" fillId="37" borderId="27" xfId="1" applyFont="1" applyFill="1" applyBorder="1"/>
    <xf numFmtId="43" fontId="0" fillId="0" borderId="0" xfId="0" applyNumberFormat="1" applyBorder="1"/>
    <xf numFmtId="44" fontId="0" fillId="0" borderId="0" xfId="0" applyNumberFormat="1" applyFont="1" applyBorder="1"/>
    <xf numFmtId="44" fontId="157" fillId="0" borderId="0" xfId="0" applyNumberFormat="1" applyFont="1" applyBorder="1"/>
    <xf numFmtId="44" fontId="124" fillId="0" borderId="0" xfId="0" applyNumberFormat="1" applyFont="1" applyAlignment="1">
      <alignment horizontal="left"/>
    </xf>
    <xf numFmtId="43" fontId="124" fillId="2" borderId="48" xfId="1" applyFont="1" applyFill="1" applyBorder="1" applyAlignment="1">
      <alignment horizontal="center"/>
    </xf>
    <xf numFmtId="43" fontId="124" fillId="2" borderId="41" xfId="1" applyFont="1" applyFill="1" applyBorder="1" applyAlignment="1">
      <alignment horizontal="center"/>
    </xf>
    <xf numFmtId="43" fontId="123" fillId="0" borderId="1" xfId="1" applyFont="1" applyFill="1" applyBorder="1"/>
    <xf numFmtId="43" fontId="123" fillId="36" borderId="1" xfId="1" applyFont="1" applyFill="1" applyBorder="1"/>
    <xf numFmtId="43" fontId="0" fillId="0" borderId="1" xfId="1" applyFont="1" applyFill="1" applyBorder="1" applyAlignment="1">
      <alignment horizontal="center"/>
    </xf>
    <xf numFmtId="43" fontId="0" fillId="42" borderId="1" xfId="1" applyFont="1" applyFill="1" applyBorder="1"/>
    <xf numFmtId="43" fontId="0" fillId="0" borderId="1" xfId="1" applyFont="1" applyFill="1" applyBorder="1"/>
    <xf numFmtId="43" fontId="123" fillId="42" borderId="1" xfId="1" applyFont="1" applyFill="1" applyBorder="1"/>
    <xf numFmtId="43" fontId="149" fillId="42" borderId="1" xfId="1" applyFont="1" applyFill="1" applyBorder="1"/>
    <xf numFmtId="43" fontId="151" fillId="0" borderId="1" xfId="1" applyFont="1" applyFill="1" applyBorder="1"/>
    <xf numFmtId="43" fontId="123" fillId="3" borderId="1" xfId="1" applyFont="1" applyFill="1" applyBorder="1"/>
    <xf numFmtId="43" fontId="0" fillId="42" borderId="1" xfId="1" applyNumberFormat="1" applyFont="1" applyFill="1" applyBorder="1"/>
    <xf numFmtId="43" fontId="0" fillId="42" borderId="1" xfId="1" applyFont="1" applyFill="1" applyBorder="1" applyAlignment="1">
      <alignment horizontal="center" vertical="top"/>
    </xf>
    <xf numFmtId="43" fontId="124" fillId="2" borderId="11" xfId="1" applyFont="1" applyFill="1" applyBorder="1" applyAlignment="1">
      <alignment horizontal="center"/>
    </xf>
    <xf numFmtId="44" fontId="124" fillId="2" borderId="47" xfId="0" applyNumberFormat="1" applyFont="1" applyFill="1" applyBorder="1" applyAlignment="1">
      <alignment horizontal="center"/>
    </xf>
    <xf numFmtId="44" fontId="124" fillId="2" borderId="23" xfId="0" applyNumberFormat="1" applyFont="1" applyFill="1" applyBorder="1" applyAlignment="1">
      <alignment horizontal="center"/>
    </xf>
    <xf numFmtId="44" fontId="124" fillId="2" borderId="42" xfId="0" applyNumberFormat="1" applyFont="1" applyFill="1" applyBorder="1" applyAlignment="1">
      <alignment horizontal="center"/>
    </xf>
    <xf numFmtId="0" fontId="124" fillId="0" borderId="18" xfId="0" applyFont="1" applyFill="1" applyBorder="1" applyAlignment="1">
      <alignment horizontal="center"/>
    </xf>
    <xf numFmtId="43" fontId="124" fillId="2" borderId="44" xfId="1" applyFont="1" applyFill="1" applyBorder="1" applyAlignment="1">
      <alignment horizontal="center"/>
    </xf>
    <xf numFmtId="43" fontId="0" fillId="0" borderId="50" xfId="1" applyFont="1" applyFill="1" applyBorder="1"/>
    <xf numFmtId="43" fontId="0" fillId="0" borderId="12" xfId="1" applyFont="1" applyFill="1" applyBorder="1"/>
    <xf numFmtId="43" fontId="0" fillId="36" borderId="50" xfId="1" applyFont="1" applyFill="1" applyBorder="1"/>
    <xf numFmtId="43" fontId="0" fillId="36" borderId="12" xfId="1" applyFont="1" applyFill="1" applyBorder="1"/>
    <xf numFmtId="43" fontId="0" fillId="0" borderId="12" xfId="1" applyFont="1" applyFill="1" applyBorder="1" applyAlignment="1">
      <alignment horizontal="center"/>
    </xf>
    <xf numFmtId="43" fontId="149" fillId="42" borderId="12" xfId="1" applyFont="1" applyFill="1" applyBorder="1"/>
    <xf numFmtId="43" fontId="0" fillId="42" borderId="12" xfId="1" applyFont="1" applyFill="1" applyBorder="1" applyAlignment="1">
      <alignment horizontal="center"/>
    </xf>
    <xf numFmtId="43" fontId="0" fillId="42" borderId="50" xfId="1" applyFont="1" applyFill="1" applyBorder="1"/>
    <xf numFmtId="43" fontId="0" fillId="36" borderId="12" xfId="1" applyFont="1" applyFill="1" applyBorder="1" applyAlignment="1">
      <alignment horizontal="center"/>
    </xf>
    <xf numFmtId="43" fontId="123" fillId="42" borderId="12" xfId="1" applyFont="1" applyFill="1" applyBorder="1" applyAlignment="1">
      <alignment horizontal="center"/>
    </xf>
    <xf numFmtId="43" fontId="123" fillId="0" borderId="12" xfId="1" applyFont="1" applyFill="1" applyBorder="1" applyAlignment="1">
      <alignment horizontal="center"/>
    </xf>
    <xf numFmtId="43" fontId="0" fillId="38" borderId="50" xfId="1" applyFont="1" applyFill="1" applyBorder="1"/>
    <xf numFmtId="43" fontId="0" fillId="42" borderId="12" xfId="1" applyFont="1" applyFill="1" applyBorder="1"/>
    <xf numFmtId="43" fontId="0" fillId="3" borderId="50" xfId="1" applyFont="1" applyFill="1" applyBorder="1"/>
    <xf numFmtId="43" fontId="153" fillId="42" borderId="12" xfId="1" applyFont="1" applyFill="1" applyBorder="1" applyAlignment="1"/>
    <xf numFmtId="43" fontId="149" fillId="42" borderId="50" xfId="1" applyFont="1" applyFill="1" applyBorder="1"/>
    <xf numFmtId="43" fontId="151" fillId="0" borderId="12" xfId="1" applyFont="1" applyFill="1" applyBorder="1" applyAlignment="1">
      <alignment horizontal="center"/>
    </xf>
    <xf numFmtId="43" fontId="123" fillId="42" borderId="50" xfId="1" applyFont="1" applyFill="1" applyBorder="1"/>
    <xf numFmtId="43" fontId="0" fillId="0" borderId="50" xfId="1" applyFont="1" applyFill="1" applyBorder="1" applyAlignment="1">
      <alignment horizontal="center"/>
    </xf>
    <xf numFmtId="43" fontId="123" fillId="42" borderId="12" xfId="1" applyFont="1" applyFill="1" applyBorder="1" applyAlignment="1"/>
    <xf numFmtId="43" fontId="153" fillId="42" borderId="12" xfId="1" applyFont="1" applyFill="1" applyBorder="1" applyAlignment="1">
      <alignment horizontal="center"/>
    </xf>
    <xf numFmtId="43" fontId="123" fillId="0" borderId="50" xfId="1" applyFont="1" applyFill="1" applyBorder="1"/>
    <xf numFmtId="43" fontId="0" fillId="42" borderId="50" xfId="1" applyNumberFormat="1" applyFont="1" applyFill="1" applyBorder="1"/>
    <xf numFmtId="43" fontId="0" fillId="0" borderId="12" xfId="1" applyFont="1" applyFill="1" applyBorder="1" applyAlignment="1"/>
    <xf numFmtId="43" fontId="0" fillId="42" borderId="12" xfId="1" applyNumberFormat="1" applyFont="1" applyFill="1" applyBorder="1"/>
    <xf numFmtId="43" fontId="0" fillId="42" borderId="50" xfId="1" applyFont="1" applyFill="1" applyBorder="1" applyAlignment="1">
      <alignment horizontal="center" vertical="top"/>
    </xf>
    <xf numFmtId="43" fontId="0" fillId="42" borderId="50" xfId="1" applyNumberFormat="1" applyFont="1" applyFill="1" applyBorder="1" applyAlignment="1"/>
    <xf numFmtId="43" fontId="123" fillId="36" borderId="50" xfId="1" applyFont="1" applyFill="1" applyBorder="1"/>
    <xf numFmtId="43" fontId="124" fillId="37" borderId="50" xfId="1" applyFont="1" applyFill="1" applyBorder="1"/>
    <xf numFmtId="43" fontId="0" fillId="37" borderId="12" xfId="1" applyFont="1" applyFill="1" applyBorder="1" applyAlignment="1">
      <alignment horizontal="center"/>
    </xf>
    <xf numFmtId="43" fontId="0" fillId="37" borderId="50" xfId="1" applyFont="1" applyFill="1" applyBorder="1"/>
    <xf numFmtId="43" fontId="149" fillId="3" borderId="50" xfId="1" applyFont="1" applyFill="1" applyBorder="1"/>
    <xf numFmtId="43" fontId="149" fillId="3" borderId="12" xfId="1" applyFont="1" applyFill="1" applyBorder="1" applyAlignment="1">
      <alignment horizontal="center"/>
    </xf>
    <xf numFmtId="43" fontId="0" fillId="37" borderId="51" xfId="1" applyFont="1" applyFill="1" applyBorder="1"/>
    <xf numFmtId="43" fontId="123" fillId="37" borderId="49" xfId="1" applyFont="1" applyFill="1" applyBorder="1"/>
    <xf numFmtId="43" fontId="0" fillId="37" borderId="52" xfId="1" applyFont="1" applyFill="1" applyBorder="1" applyAlignment="1">
      <alignment horizontal="center"/>
    </xf>
    <xf numFmtId="43" fontId="123" fillId="0" borderId="1" xfId="1" applyFont="1" applyFill="1" applyBorder="1" applyAlignment="1">
      <alignment horizontal="center" vertical="top"/>
    </xf>
    <xf numFmtId="0" fontId="124" fillId="0" borderId="0" xfId="0" applyFont="1"/>
    <xf numFmtId="44" fontId="124" fillId="0" borderId="0" xfId="0" applyNumberFormat="1" applyFont="1"/>
    <xf numFmtId="43" fontId="0" fillId="38" borderId="12" xfId="1" applyFont="1" applyFill="1" applyBorder="1"/>
    <xf numFmtId="44" fontId="124" fillId="2" borderId="0" xfId="0" applyNumberFormat="1" applyFont="1" applyFill="1" applyBorder="1" applyAlignment="1">
      <alignment horizontal="center" vertical="top"/>
    </xf>
    <xf numFmtId="14" fontId="0" fillId="0" borderId="1" xfId="1" applyNumberFormat="1" applyFont="1" applyBorder="1" applyAlignment="1">
      <alignment horizontal="center"/>
    </xf>
    <xf numFmtId="43" fontId="124" fillId="0" borderId="0" xfId="0" applyNumberFormat="1" applyFont="1" applyFill="1"/>
    <xf numFmtId="43" fontId="151" fillId="42" borderId="12" xfId="1" applyFont="1" applyFill="1" applyBorder="1"/>
    <xf numFmtId="43" fontId="123" fillId="42" borderId="1" xfId="1" applyFont="1" applyFill="1" applyBorder="1" applyAlignment="1">
      <alignment horizontal="center" vertical="top"/>
    </xf>
    <xf numFmtId="43" fontId="149" fillId="42" borderId="12" xfId="1" applyFont="1" applyFill="1" applyBorder="1" applyAlignment="1">
      <alignment horizontal="center"/>
    </xf>
    <xf numFmtId="43" fontId="153" fillId="42" borderId="50" xfId="1" applyFont="1" applyFill="1" applyBorder="1"/>
    <xf numFmtId="43" fontId="153" fillId="42" borderId="1" xfId="1" applyFont="1" applyFill="1" applyBorder="1"/>
    <xf numFmtId="43" fontId="0" fillId="42" borderId="50" xfId="1" applyFont="1" applyFill="1" applyBorder="1" applyAlignment="1"/>
    <xf numFmtId="43" fontId="0" fillId="42" borderId="1" xfId="1" applyFont="1" applyFill="1" applyBorder="1" applyAlignment="1"/>
    <xf numFmtId="43" fontId="0" fillId="42" borderId="12" xfId="0" applyNumberFormat="1" applyFont="1" applyFill="1" applyBorder="1" applyAlignment="1">
      <alignment horizontal="center"/>
    </xf>
    <xf numFmtId="43" fontId="123" fillId="42" borderId="50" xfId="1" applyFont="1" applyFill="1" applyBorder="1" applyAlignment="1">
      <alignment horizontal="center" vertical="top"/>
    </xf>
    <xf numFmtId="43" fontId="123" fillId="42" borderId="14" xfId="1" applyFont="1" applyFill="1" applyBorder="1"/>
    <xf numFmtId="43" fontId="123" fillId="42" borderId="39" xfId="1" applyFont="1" applyFill="1" applyBorder="1"/>
    <xf numFmtId="43" fontId="156" fillId="0" borderId="1" xfId="1" applyFont="1" applyFill="1" applyBorder="1"/>
    <xf numFmtId="43" fontId="149" fillId="0" borderId="12" xfId="1" applyFont="1" applyFill="1" applyBorder="1" applyAlignment="1">
      <alignment horizontal="center"/>
    </xf>
    <xf numFmtId="43" fontId="149" fillId="0" borderId="1" xfId="1" applyFont="1" applyFill="1" applyBorder="1"/>
    <xf numFmtId="43" fontId="0" fillId="40" borderId="50" xfId="1" applyFont="1" applyFill="1" applyBorder="1"/>
    <xf numFmtId="43" fontId="0" fillId="40" borderId="1" xfId="1" applyFont="1" applyFill="1" applyBorder="1"/>
    <xf numFmtId="43" fontId="0" fillId="40" borderId="12" xfId="1" applyFont="1" applyFill="1" applyBorder="1" applyAlignment="1">
      <alignment horizontal="center"/>
    </xf>
    <xf numFmtId="43" fontId="0" fillId="40" borderId="50" xfId="1" applyNumberFormat="1" applyFont="1" applyFill="1" applyBorder="1"/>
    <xf numFmtId="43" fontId="0" fillId="40" borderId="1" xfId="1" applyNumberFormat="1" applyFont="1" applyFill="1" applyBorder="1"/>
    <xf numFmtId="43" fontId="0" fillId="40" borderId="12" xfId="1" applyNumberFormat="1" applyFont="1" applyFill="1" applyBorder="1" applyAlignment="1">
      <alignment horizontal="center" vertical="top"/>
    </xf>
    <xf numFmtId="43" fontId="0" fillId="40" borderId="12" xfId="1" applyFont="1" applyFill="1" applyBorder="1"/>
    <xf numFmtId="43" fontId="151" fillId="40" borderId="12" xfId="1" applyFont="1" applyFill="1" applyBorder="1"/>
    <xf numFmtId="43" fontId="123" fillId="40" borderId="12" xfId="1" applyFont="1" applyFill="1" applyBorder="1" applyAlignment="1">
      <alignment horizontal="center"/>
    </xf>
    <xf numFmtId="43" fontId="0" fillId="43" borderId="12" xfId="1" applyFont="1" applyFill="1" applyBorder="1"/>
    <xf numFmtId="43" fontId="0" fillId="39" borderId="12" xfId="1" applyFont="1" applyFill="1" applyBorder="1"/>
    <xf numFmtId="43" fontId="0" fillId="0" borderId="0" xfId="0" applyNumberFormat="1"/>
    <xf numFmtId="44" fontId="124" fillId="2" borderId="53" xfId="0" applyNumberFormat="1" applyFont="1" applyFill="1" applyBorder="1" applyAlignment="1">
      <alignment horizontal="center"/>
    </xf>
    <xf numFmtId="44" fontId="124" fillId="2" borderId="0" xfId="0" applyNumberFormat="1" applyFont="1" applyFill="1" applyBorder="1" applyAlignment="1">
      <alignment horizontal="center"/>
    </xf>
    <xf numFmtId="43" fontId="124" fillId="0" borderId="0" xfId="1" applyFont="1" applyFill="1" applyBorder="1" applyAlignment="1">
      <alignment horizontal="center"/>
    </xf>
    <xf numFmtId="0" fontId="0" fillId="3" borderId="1" xfId="0" applyFill="1" applyBorder="1" applyAlignment="1">
      <alignment horizontal="center"/>
    </xf>
    <xf numFmtId="44" fontId="0" fillId="3" borderId="0" xfId="0" applyNumberFormat="1" applyFill="1"/>
    <xf numFmtId="0" fontId="0" fillId="3" borderId="0" xfId="0" applyFill="1"/>
    <xf numFmtId="44" fontId="0" fillId="0" borderId="54" xfId="0" applyNumberFormat="1" applyBorder="1"/>
    <xf numFmtId="0" fontId="0" fillId="0" borderId="30" xfId="0" applyFill="1" applyBorder="1"/>
    <xf numFmtId="0" fontId="0" fillId="0" borderId="43" xfId="0" applyFill="1" applyBorder="1"/>
    <xf numFmtId="44" fontId="0" fillId="0" borderId="43" xfId="0" applyNumberFormat="1" applyBorder="1"/>
    <xf numFmtId="44" fontId="0" fillId="0" borderId="31" xfId="0" applyNumberFormat="1" applyBorder="1"/>
    <xf numFmtId="0" fontId="0" fillId="0" borderId="48" xfId="0" applyFill="1" applyBorder="1"/>
    <xf numFmtId="44" fontId="0" fillId="0" borderId="55" xfId="0" applyNumberFormat="1" applyBorder="1"/>
    <xf numFmtId="0" fontId="0" fillId="0" borderId="47" xfId="0" applyFill="1" applyBorder="1"/>
    <xf numFmtId="0" fontId="0" fillId="0" borderId="42" xfId="0" applyFill="1" applyBorder="1"/>
    <xf numFmtId="44" fontId="0" fillId="0" borderId="42" xfId="0" applyNumberFormat="1" applyBorder="1"/>
    <xf numFmtId="44" fontId="0" fillId="0" borderId="56" xfId="0" applyNumberFormat="1" applyBorder="1"/>
    <xf numFmtId="0" fontId="124" fillId="0" borderId="16" xfId="0" applyFont="1" applyBorder="1" applyAlignment="1">
      <alignment horizontal="center"/>
    </xf>
    <xf numFmtId="0" fontId="124" fillId="0" borderId="39" xfId="0" applyFont="1" applyBorder="1" applyAlignment="1">
      <alignment horizontal="center"/>
    </xf>
    <xf numFmtId="0" fontId="124" fillId="0" borderId="1" xfId="0" applyFont="1" applyBorder="1" applyAlignment="1">
      <alignment horizontal="center"/>
    </xf>
    <xf numFmtId="44" fontId="124" fillId="0" borderId="27" xfId="44" applyFont="1" applyBorder="1"/>
    <xf numFmtId="43" fontId="124" fillId="0" borderId="14" xfId="1" applyFont="1" applyFill="1" applyBorder="1" applyAlignment="1">
      <alignment horizontal="center" vertical="top"/>
    </xf>
    <xf numFmtId="43" fontId="124" fillId="0" borderId="50" xfId="1" applyFont="1" applyFill="1" applyBorder="1"/>
    <xf numFmtId="43" fontId="124" fillId="42" borderId="12" xfId="1" applyFont="1" applyFill="1" applyBorder="1" applyAlignment="1">
      <alignment horizontal="center"/>
    </xf>
    <xf numFmtId="43" fontId="124" fillId="0" borderId="20" xfId="1" applyFont="1" applyFill="1" applyBorder="1"/>
    <xf numFmtId="43" fontId="124" fillId="40" borderId="12" xfId="1" applyFont="1" applyFill="1" applyBorder="1" applyAlignment="1">
      <alignment horizontal="center"/>
    </xf>
    <xf numFmtId="43" fontId="124" fillId="4" borderId="12" xfId="1" applyFont="1" applyFill="1" applyBorder="1"/>
    <xf numFmtId="44" fontId="124" fillId="0" borderId="48" xfId="0" applyNumberFormat="1" applyFont="1" applyBorder="1"/>
    <xf numFmtId="44" fontId="124" fillId="0" borderId="11" xfId="0" applyNumberFormat="1" applyFont="1" applyBorder="1"/>
    <xf numFmtId="43" fontId="124" fillId="0" borderId="0" xfId="1" applyFont="1" applyFill="1"/>
    <xf numFmtId="0" fontId="0" fillId="0" borderId="0" xfId="0" applyFill="1" applyBorder="1" applyAlignment="1">
      <alignment horizontal="left"/>
    </xf>
    <xf numFmtId="43" fontId="124" fillId="36" borderId="1" xfId="1" applyFont="1" applyFill="1" applyBorder="1"/>
    <xf numFmtId="43" fontId="154" fillId="36" borderId="1" xfId="1" applyFont="1" applyFill="1" applyBorder="1"/>
    <xf numFmtId="43" fontId="124" fillId="36" borderId="47" xfId="1" applyFont="1" applyFill="1" applyBorder="1"/>
    <xf numFmtId="43" fontId="0" fillId="0" borderId="39" xfId="1" applyFont="1" applyFill="1" applyBorder="1"/>
    <xf numFmtId="44" fontId="0" fillId="0" borderId="48" xfId="0" applyNumberFormat="1" applyFill="1" applyBorder="1"/>
    <xf numFmtId="44" fontId="124" fillId="0" borderId="27" xfId="44" applyFont="1" applyFill="1" applyBorder="1"/>
    <xf numFmtId="43" fontId="123" fillId="36" borderId="14" xfId="1" applyFont="1" applyFill="1" applyBorder="1"/>
    <xf numFmtId="43" fontId="124" fillId="37" borderId="14" xfId="1" applyFont="1" applyFill="1" applyBorder="1"/>
    <xf numFmtId="43" fontId="0" fillId="37" borderId="14" xfId="1" applyFont="1" applyFill="1" applyBorder="1"/>
    <xf numFmtId="43" fontId="124" fillId="0" borderId="15" xfId="1" applyFont="1" applyFill="1" applyBorder="1" applyAlignment="1">
      <alignment horizontal="center"/>
    </xf>
    <xf numFmtId="44" fontId="0" fillId="0" borderId="57" xfId="0" applyNumberFormat="1" applyBorder="1"/>
    <xf numFmtId="44" fontId="0" fillId="0" borderId="57" xfId="0" applyNumberFormat="1" applyFill="1" applyBorder="1"/>
    <xf numFmtId="44" fontId="124" fillId="2" borderId="28" xfId="0" applyNumberFormat="1" applyFont="1" applyFill="1" applyBorder="1" applyAlignment="1">
      <alignment horizontal="center" vertical="top"/>
    </xf>
    <xf numFmtId="44" fontId="0" fillId="0" borderId="15" xfId="0" applyNumberFormat="1" applyFont="1" applyBorder="1" applyAlignment="1">
      <alignment horizontal="center"/>
    </xf>
    <xf numFmtId="43" fontId="124" fillId="0" borderId="0" xfId="1" applyFont="1"/>
    <xf numFmtId="44" fontId="124" fillId="0" borderId="0" xfId="44" applyFont="1" applyFill="1" applyBorder="1" applyAlignment="1">
      <alignment horizontal="right"/>
    </xf>
    <xf numFmtId="43" fontId="0" fillId="0" borderId="55" xfId="1" applyFont="1" applyFill="1" applyBorder="1"/>
    <xf numFmtId="43" fontId="0" fillId="37" borderId="58" xfId="1" applyFont="1" applyFill="1" applyBorder="1"/>
    <xf numFmtId="43" fontId="124" fillId="2" borderId="55" xfId="1" applyFont="1" applyFill="1" applyBorder="1" applyAlignment="1">
      <alignment horizontal="center"/>
    </xf>
    <xf numFmtId="44" fontId="124" fillId="2" borderId="21" xfId="0" applyNumberFormat="1" applyFont="1" applyFill="1" applyBorder="1" applyAlignment="1">
      <alignment horizontal="center"/>
    </xf>
    <xf numFmtId="43" fontId="0" fillId="42" borderId="16" xfId="1" applyFont="1" applyFill="1" applyBorder="1" applyAlignment="1">
      <alignment horizontal="center"/>
    </xf>
    <xf numFmtId="43" fontId="123" fillId="42" borderId="12" xfId="1" applyFont="1" applyFill="1" applyBorder="1"/>
    <xf numFmtId="43" fontId="123" fillId="42" borderId="34" xfId="1" applyFont="1" applyFill="1" applyBorder="1"/>
    <xf numFmtId="43" fontId="124" fillId="0" borderId="59" xfId="1" applyFont="1" applyFill="1" applyBorder="1" applyAlignment="1">
      <alignment horizontal="center"/>
    </xf>
    <xf numFmtId="43" fontId="0" fillId="36" borderId="34" xfId="1" applyFont="1" applyFill="1" applyBorder="1" applyAlignment="1">
      <alignment horizontal="center"/>
    </xf>
    <xf numFmtId="43" fontId="0" fillId="37" borderId="34" xfId="1" applyFont="1" applyFill="1" applyBorder="1" applyAlignment="1">
      <alignment horizontal="center"/>
    </xf>
    <xf numFmtId="43" fontId="0" fillId="37" borderId="34" xfId="1" applyFont="1" applyFill="1" applyBorder="1" applyAlignment="1">
      <alignment horizontal="right"/>
    </xf>
    <xf numFmtId="43" fontId="0" fillId="37" borderId="60" xfId="1" applyFont="1" applyFill="1" applyBorder="1" applyAlignment="1">
      <alignment horizontal="center"/>
    </xf>
    <xf numFmtId="44" fontId="155" fillId="0" borderId="0" xfId="0" applyNumberFormat="1" applyFont="1" applyBorder="1"/>
    <xf numFmtId="0" fontId="0" fillId="0" borderId="15" xfId="0" applyFont="1" applyBorder="1"/>
    <xf numFmtId="0" fontId="158" fillId="0" borderId="0" xfId="0" applyFont="1"/>
    <xf numFmtId="44" fontId="159" fillId="44" borderId="0" xfId="0" applyNumberFormat="1" applyFont="1" applyFill="1"/>
    <xf numFmtId="43" fontId="124" fillId="41" borderId="27" xfId="1" applyFont="1" applyFill="1" applyBorder="1" applyAlignment="1">
      <alignment horizontal="center"/>
    </xf>
    <xf numFmtId="43" fontId="124" fillId="0" borderId="27" xfId="1" applyFont="1" applyFill="1" applyBorder="1"/>
    <xf numFmtId="44" fontId="124" fillId="2" borderId="18" xfId="0" applyNumberFormat="1" applyFont="1" applyFill="1" applyBorder="1" applyAlignment="1">
      <alignment horizontal="center" vertical="top"/>
    </xf>
    <xf numFmtId="44" fontId="0" fillId="0" borderId="47" xfId="0" applyNumberFormat="1" applyBorder="1"/>
    <xf numFmtId="44" fontId="124" fillId="0" borderId="0" xfId="0" applyNumberFormat="1" applyFont="1" applyBorder="1" applyAlignment="1"/>
    <xf numFmtId="44" fontId="0" fillId="0" borderId="30" xfId="0" applyNumberFormat="1" applyBorder="1" applyProtection="1">
      <protection locked="0"/>
    </xf>
    <xf numFmtId="44" fontId="0" fillId="0" borderId="43" xfId="0" applyNumberFormat="1" applyBorder="1" applyProtection="1">
      <protection locked="0"/>
    </xf>
    <xf numFmtId="44" fontId="0" fillId="0" borderId="31" xfId="0" applyNumberFormat="1" applyBorder="1" applyProtection="1">
      <protection locked="0"/>
    </xf>
    <xf numFmtId="43" fontId="151" fillId="40" borderId="39" xfId="1" applyFont="1" applyFill="1" applyBorder="1"/>
    <xf numFmtId="43" fontId="160" fillId="40" borderId="39" xfId="1" applyFont="1" applyFill="1" applyBorder="1"/>
    <xf numFmtId="43" fontId="0" fillId="40" borderId="39" xfId="1" applyFont="1" applyFill="1" applyBorder="1" applyAlignment="1"/>
    <xf numFmtId="43" fontId="160" fillId="42" borderId="12" xfId="1" applyFont="1" applyFill="1" applyBorder="1" applyAlignment="1">
      <alignment horizontal="center" vertical="top"/>
    </xf>
    <xf numFmtId="43" fontId="160" fillId="42" borderId="16" xfId="1" applyFont="1" applyFill="1" applyBorder="1" applyAlignment="1">
      <alignment horizontal="center" vertical="top"/>
    </xf>
    <xf numFmtId="43" fontId="160" fillId="42" borderId="16" xfId="1" applyFont="1" applyFill="1" applyBorder="1" applyAlignment="1">
      <alignment horizontal="center"/>
    </xf>
    <xf numFmtId="43" fontId="160" fillId="0" borderId="16" xfId="1" applyFont="1" applyFill="1" applyBorder="1" applyAlignment="1">
      <alignment horizontal="center"/>
    </xf>
    <xf numFmtId="43" fontId="0" fillId="0" borderId="16" xfId="1" applyFont="1" applyFill="1" applyBorder="1" applyAlignment="1">
      <alignment horizontal="center"/>
    </xf>
    <xf numFmtId="9" fontId="0" fillId="0" borderId="0" xfId="0" applyNumberFormat="1"/>
    <xf numFmtId="9" fontId="0" fillId="0" borderId="0" xfId="0" applyNumberFormat="1" applyFill="1"/>
    <xf numFmtId="9" fontId="0" fillId="0" borderId="0" xfId="0" applyNumberFormat="1" applyFont="1"/>
    <xf numFmtId="43" fontId="124" fillId="0" borderId="14" xfId="1" applyFont="1" applyFill="1" applyBorder="1"/>
    <xf numFmtId="43" fontId="0" fillId="0" borderId="34" xfId="1" applyFont="1" applyFill="1" applyBorder="1" applyAlignment="1">
      <alignment horizontal="right"/>
    </xf>
    <xf numFmtId="43" fontId="123" fillId="36" borderId="12" xfId="1" applyFont="1" applyFill="1" applyBorder="1" applyAlignment="1">
      <alignment horizontal="center"/>
    </xf>
    <xf numFmtId="43" fontId="0" fillId="36" borderId="0" xfId="1" applyFont="1" applyFill="1"/>
    <xf numFmtId="43" fontId="0" fillId="0" borderId="16" xfId="1" applyFont="1" applyFill="1" applyBorder="1"/>
    <xf numFmtId="0" fontId="146" fillId="0" borderId="27" xfId="0" applyFont="1" applyFill="1" applyBorder="1" applyAlignment="1"/>
    <xf numFmtId="43" fontId="123" fillId="45" borderId="12" xfId="1" applyFont="1" applyFill="1" applyBorder="1" applyAlignment="1">
      <alignment horizontal="center"/>
    </xf>
    <xf numFmtId="43" fontId="124" fillId="0" borderId="12" xfId="1" applyFont="1" applyFill="1" applyBorder="1" applyAlignment="1">
      <alignment horizontal="center"/>
    </xf>
    <xf numFmtId="43" fontId="160" fillId="45" borderId="16" xfId="1" applyFont="1" applyFill="1" applyBorder="1" applyAlignment="1">
      <alignment horizontal="center"/>
    </xf>
    <xf numFmtId="43" fontId="0" fillId="45" borderId="12" xfId="1" applyFont="1" applyFill="1" applyBorder="1" applyAlignment="1">
      <alignment horizontal="center"/>
    </xf>
    <xf numFmtId="43" fontId="0" fillId="45" borderId="50" xfId="1" applyFont="1" applyFill="1" applyBorder="1"/>
    <xf numFmtId="43" fontId="149" fillId="45" borderId="1" xfId="1" applyFont="1" applyFill="1" applyBorder="1"/>
    <xf numFmtId="43" fontId="0" fillId="45" borderId="12" xfId="1" applyFont="1" applyFill="1" applyBorder="1"/>
    <xf numFmtId="43" fontId="0" fillId="45" borderId="12" xfId="1" applyFont="1" applyFill="1" applyBorder="1" applyAlignment="1">
      <alignment horizontal="center" vertical="top"/>
    </xf>
    <xf numFmtId="43" fontId="0" fillId="45" borderId="1" xfId="1" applyFont="1" applyFill="1" applyBorder="1"/>
    <xf numFmtId="43" fontId="0" fillId="45" borderId="12" xfId="1" applyNumberFormat="1" applyFont="1" applyFill="1" applyBorder="1"/>
    <xf numFmtId="43" fontId="123" fillId="45" borderId="1" xfId="1" applyFont="1" applyFill="1" applyBorder="1"/>
    <xf numFmtId="43" fontId="0" fillId="45" borderId="16" xfId="1" applyFont="1" applyFill="1" applyBorder="1" applyAlignment="1">
      <alignment horizontal="center" vertical="top"/>
    </xf>
    <xf numFmtId="43" fontId="123" fillId="46" borderId="12" xfId="1" applyFont="1" applyFill="1" applyBorder="1" applyAlignment="1">
      <alignment horizontal="center"/>
    </xf>
    <xf numFmtId="43" fontId="151" fillId="45" borderId="50" xfId="1" applyFont="1" applyFill="1" applyBorder="1"/>
    <xf numFmtId="43" fontId="151" fillId="45" borderId="1" xfId="1" applyFont="1" applyFill="1" applyBorder="1"/>
    <xf numFmtId="43" fontId="151" fillId="45" borderId="12" xfId="1" applyFont="1" applyFill="1" applyBorder="1"/>
    <xf numFmtId="43" fontId="162" fillId="0" borderId="12" xfId="1" applyFont="1" applyFill="1" applyBorder="1" applyAlignment="1">
      <alignment horizontal="center"/>
    </xf>
    <xf numFmtId="44" fontId="162" fillId="0" borderId="0" xfId="0" applyNumberFormat="1" applyFont="1"/>
    <xf numFmtId="0" fontId="162" fillId="0" borderId="16" xfId="0" applyFont="1" applyFill="1" applyBorder="1" applyAlignment="1">
      <alignment horizontal="center"/>
    </xf>
    <xf numFmtId="0" fontId="162" fillId="0" borderId="39" xfId="0" applyFont="1" applyFill="1" applyBorder="1" applyAlignment="1">
      <alignment horizontal="center"/>
    </xf>
    <xf numFmtId="0" fontId="162" fillId="0" borderId="1" xfId="0" applyFont="1" applyFill="1" applyBorder="1" applyAlignment="1">
      <alignment horizontal="center"/>
    </xf>
    <xf numFmtId="0" fontId="148" fillId="0" borderId="27" xfId="0" applyFont="1" applyFill="1" applyBorder="1" applyAlignment="1"/>
    <xf numFmtId="44" fontId="162" fillId="0" borderId="0" xfId="0" applyNumberFormat="1" applyFont="1" applyFill="1" applyAlignment="1"/>
    <xf numFmtId="43" fontId="0" fillId="0" borderId="14" xfId="1" applyFont="1" applyFill="1" applyBorder="1" applyAlignment="1">
      <alignment horizontal="center"/>
    </xf>
    <xf numFmtId="43" fontId="0" fillId="0" borderId="16" xfId="1" applyFont="1" applyFill="1" applyBorder="1" applyAlignment="1"/>
    <xf numFmtId="43" fontId="0" fillId="45" borderId="12" xfId="1" applyFont="1" applyFill="1" applyBorder="1" applyAlignment="1"/>
    <xf numFmtId="43" fontId="0" fillId="42" borderId="12" xfId="1" applyFont="1" applyFill="1" applyBorder="1" applyAlignment="1"/>
    <xf numFmtId="43" fontId="0" fillId="0" borderId="55" xfId="1" applyFont="1" applyFill="1" applyBorder="1" applyAlignment="1"/>
    <xf numFmtId="43" fontId="124" fillId="36" borderId="0" xfId="1" applyFont="1" applyFill="1" applyBorder="1" applyAlignment="1"/>
    <xf numFmtId="43" fontId="0" fillId="4" borderId="12" xfId="1" applyFont="1" applyFill="1" applyBorder="1" applyAlignment="1"/>
    <xf numFmtId="43" fontId="124" fillId="0" borderId="1" xfId="1" applyFont="1" applyFill="1" applyBorder="1" applyAlignment="1"/>
    <xf numFmtId="43" fontId="162" fillId="0" borderId="1" xfId="1" applyFont="1" applyFill="1" applyBorder="1" applyAlignment="1"/>
    <xf numFmtId="43" fontId="124" fillId="36" borderId="1" xfId="1" applyFont="1" applyFill="1" applyBorder="1" applyAlignment="1"/>
    <xf numFmtId="43" fontId="124" fillId="0" borderId="27" xfId="1" applyFont="1" applyFill="1" applyBorder="1" applyAlignment="1"/>
    <xf numFmtId="44" fontId="162" fillId="0" borderId="48" xfId="0" applyNumberFormat="1" applyFont="1" applyFill="1" applyBorder="1" applyAlignment="1"/>
    <xf numFmtId="44" fontId="162" fillId="0" borderId="57" xfId="0" applyNumberFormat="1" applyFont="1" applyFill="1" applyBorder="1" applyAlignment="1"/>
    <xf numFmtId="0" fontId="162" fillId="0" borderId="0" xfId="0" applyNumberFormat="1" applyFont="1" applyFill="1" applyBorder="1" applyAlignment="1"/>
    <xf numFmtId="43" fontId="162" fillId="45" borderId="16" xfId="1" applyFont="1" applyFill="1" applyBorder="1" applyAlignment="1">
      <alignment horizontal="center"/>
    </xf>
    <xf numFmtId="43" fontId="162" fillId="42" borderId="16" xfId="1" applyFont="1" applyFill="1" applyBorder="1" applyAlignment="1">
      <alignment horizontal="center" vertical="top"/>
    </xf>
    <xf numFmtId="43" fontId="124" fillId="0" borderId="16" xfId="1" applyFont="1" applyFill="1" applyBorder="1" applyAlignment="1">
      <alignment horizontal="center"/>
    </xf>
    <xf numFmtId="43" fontId="0" fillId="42" borderId="16" xfId="1" applyFont="1" applyFill="1" applyBorder="1" applyAlignment="1">
      <alignment horizontal="center" vertical="top"/>
    </xf>
    <xf numFmtId="43" fontId="151" fillId="42" borderId="16" xfId="1" applyFont="1" applyFill="1" applyBorder="1" applyAlignment="1">
      <alignment horizontal="center" vertical="top"/>
    </xf>
    <xf numFmtId="43" fontId="0" fillId="36" borderId="12" xfId="1" applyFont="1" applyFill="1" applyBorder="1" applyAlignment="1">
      <alignment horizontal="center" vertical="top"/>
    </xf>
    <xf numFmtId="43" fontId="162" fillId="36" borderId="12" xfId="1" applyFont="1" applyFill="1" applyBorder="1" applyAlignment="1">
      <alignment horizontal="center" vertical="top"/>
    </xf>
    <xf numFmtId="43" fontId="163" fillId="42" borderId="16" xfId="1" applyFont="1" applyFill="1" applyBorder="1" applyAlignment="1">
      <alignment horizontal="center"/>
    </xf>
    <xf numFmtId="43" fontId="123" fillId="47" borderId="12" xfId="1" applyFont="1" applyFill="1" applyBorder="1" applyAlignment="1">
      <alignment horizontal="center"/>
    </xf>
    <xf numFmtId="43" fontId="124" fillId="0" borderId="55" xfId="1" applyFont="1" applyFill="1" applyBorder="1"/>
    <xf numFmtId="44" fontId="124" fillId="0" borderId="57" xfId="0" applyNumberFormat="1" applyFont="1" applyBorder="1"/>
    <xf numFmtId="43" fontId="124" fillId="40" borderId="39" xfId="1" applyFont="1" applyFill="1" applyBorder="1" applyAlignment="1"/>
    <xf numFmtId="0" fontId="124" fillId="0" borderId="16" xfId="0" applyFont="1" applyFill="1" applyBorder="1" applyAlignment="1">
      <alignment horizontal="center"/>
    </xf>
    <xf numFmtId="0" fontId="124" fillId="0" borderId="39" xfId="0" applyFont="1" applyFill="1" applyBorder="1" applyAlignment="1">
      <alignment horizontal="center"/>
    </xf>
    <xf numFmtId="0" fontId="124" fillId="0" borderId="1" xfId="0" applyFont="1" applyFill="1" applyBorder="1" applyAlignment="1">
      <alignment horizontal="center"/>
    </xf>
    <xf numFmtId="43" fontId="124" fillId="45" borderId="16" xfId="1" applyFont="1" applyFill="1" applyBorder="1" applyAlignment="1">
      <alignment horizontal="center"/>
    </xf>
    <xf numFmtId="43" fontId="124" fillId="45" borderId="12" xfId="1" applyFont="1" applyFill="1" applyBorder="1" applyAlignment="1">
      <alignment horizontal="center"/>
    </xf>
    <xf numFmtId="44" fontId="124" fillId="0" borderId="57" xfId="0" applyNumberFormat="1" applyFont="1" applyFill="1" applyBorder="1"/>
    <xf numFmtId="43" fontId="162" fillId="47" borderId="16" xfId="1" applyFont="1" applyFill="1" applyBorder="1" applyAlignment="1">
      <alignment horizontal="center"/>
    </xf>
    <xf numFmtId="0" fontId="147" fillId="0" borderId="1" xfId="0" applyFont="1" applyFill="1" applyBorder="1" applyAlignment="1"/>
    <xf numFmtId="43" fontId="123" fillId="3" borderId="12" xfId="1" applyFont="1" applyFill="1" applyBorder="1" applyAlignment="1">
      <alignment horizontal="center"/>
    </xf>
    <xf numFmtId="43" fontId="124" fillId="40" borderId="12" xfId="1" applyFont="1" applyFill="1" applyBorder="1"/>
    <xf numFmtId="43" fontId="124" fillId="40" borderId="12" xfId="1" applyFont="1" applyFill="1" applyBorder="1" applyAlignment="1"/>
    <xf numFmtId="0" fontId="146" fillId="0" borderId="27" xfId="0" applyFont="1" applyFill="1" applyBorder="1"/>
    <xf numFmtId="0" fontId="148" fillId="0" borderId="27" xfId="0" applyFont="1" applyFill="1" applyBorder="1"/>
    <xf numFmtId="44" fontId="0" fillId="0" borderId="11" xfId="0" applyNumberFormat="1" applyBorder="1" applyProtection="1">
      <protection locked="0"/>
    </xf>
    <xf numFmtId="44" fontId="0" fillId="0" borderId="48" xfId="0" applyNumberFormat="1" applyFont="1" applyBorder="1" applyAlignment="1"/>
    <xf numFmtId="44" fontId="0" fillId="0" borderId="48" xfId="0" applyNumberFormat="1" applyFont="1" applyBorder="1"/>
    <xf numFmtId="44" fontId="0" fillId="0" borderId="61" xfId="0" applyNumberFormat="1" applyFont="1" applyBorder="1" applyProtection="1"/>
    <xf numFmtId="44" fontId="0" fillId="0" borderId="62" xfId="0" applyNumberFormat="1" applyBorder="1" applyProtection="1">
      <protection locked="0"/>
    </xf>
    <xf numFmtId="43" fontId="124" fillId="41" borderId="54" xfId="1" applyFont="1" applyFill="1" applyBorder="1" applyAlignment="1">
      <alignment horizontal="center"/>
    </xf>
    <xf numFmtId="43" fontId="124" fillId="0" borderId="0" xfId="1" applyFont="1" applyFill="1" applyBorder="1" applyAlignment="1"/>
    <xf numFmtId="43" fontId="124" fillId="0" borderId="0" xfId="1" applyFont="1" applyFill="1" applyBorder="1"/>
    <xf numFmtId="43" fontId="149" fillId="0" borderId="50" xfId="1" applyFont="1" applyFill="1" applyBorder="1"/>
    <xf numFmtId="43" fontId="149" fillId="0" borderId="50" xfId="1" applyFont="1" applyFill="1" applyBorder="1" applyAlignment="1">
      <alignment horizontal="center"/>
    </xf>
    <xf numFmtId="43" fontId="124" fillId="0" borderId="12" xfId="1" applyFont="1" applyFill="1" applyBorder="1" applyAlignment="1">
      <alignment horizontal="center" vertical="top"/>
    </xf>
    <xf numFmtId="44" fontId="162" fillId="0" borderId="1" xfId="0" applyNumberFormat="1" applyFont="1" applyBorder="1"/>
    <xf numFmtId="43" fontId="124" fillId="0" borderId="39" xfId="1" applyFont="1" applyFill="1" applyBorder="1" applyAlignment="1"/>
    <xf numFmtId="43" fontId="124" fillId="0" borderId="28" xfId="1" applyFont="1" applyFill="1" applyBorder="1" applyAlignment="1">
      <alignment horizontal="center"/>
    </xf>
    <xf numFmtId="43" fontId="124" fillId="0" borderId="57" xfId="1" applyFont="1" applyFill="1" applyBorder="1" applyAlignment="1"/>
    <xf numFmtId="43" fontId="124" fillId="0" borderId="57" xfId="1" applyFont="1" applyFill="1" applyBorder="1"/>
    <xf numFmtId="43" fontId="0" fillId="36" borderId="16" xfId="1" applyFont="1" applyFill="1" applyBorder="1"/>
    <xf numFmtId="43" fontId="0" fillId="0" borderId="12" xfId="1" applyNumberFormat="1" applyFont="1" applyFill="1" applyBorder="1"/>
    <xf numFmtId="43" fontId="0" fillId="0" borderId="16" xfId="1" applyFont="1" applyFill="1" applyBorder="1" applyAlignment="1">
      <alignment horizontal="center" vertical="top"/>
    </xf>
    <xf numFmtId="44" fontId="0" fillId="0" borderId="1" xfId="44" applyFont="1" applyFill="1" applyBorder="1"/>
    <xf numFmtId="43" fontId="164" fillId="42" borderId="12" xfId="1" applyFont="1" applyFill="1" applyBorder="1" applyAlignment="1">
      <alignment horizontal="center"/>
    </xf>
    <xf numFmtId="43" fontId="164" fillId="36" borderId="12" xfId="1" applyFont="1" applyFill="1" applyBorder="1" applyAlignment="1">
      <alignment horizontal="center" vertical="top"/>
    </xf>
    <xf numFmtId="43" fontId="0" fillId="36" borderId="12" xfId="1" applyFont="1" applyFill="1" applyBorder="1" applyAlignment="1"/>
    <xf numFmtId="43" fontId="164" fillId="36" borderId="12" xfId="1" applyFont="1" applyFill="1" applyBorder="1"/>
    <xf numFmtId="43" fontId="162" fillId="0" borderId="16" xfId="1" applyFont="1" applyFill="1" applyBorder="1" applyAlignment="1">
      <alignment horizontal="center" vertical="top"/>
    </xf>
    <xf numFmtId="43" fontId="0" fillId="42" borderId="12" xfId="1" applyFont="1" applyFill="1" applyBorder="1" applyAlignment="1">
      <alignment horizontal="center" vertical="top"/>
    </xf>
    <xf numFmtId="43" fontId="164" fillId="0" borderId="16" xfId="1" applyFont="1" applyFill="1" applyBorder="1" applyAlignment="1">
      <alignment horizontal="center" vertical="top"/>
    </xf>
    <xf numFmtId="0" fontId="124" fillId="0" borderId="63" xfId="0" applyFont="1" applyFill="1" applyBorder="1" applyAlignment="1">
      <alignment horizontal="center"/>
    </xf>
    <xf numFmtId="43" fontId="124" fillId="2" borderId="57" xfId="1" applyFont="1" applyFill="1" applyBorder="1" applyAlignment="1">
      <alignment horizontal="center"/>
    </xf>
    <xf numFmtId="43" fontId="123" fillId="36" borderId="16" xfId="1" applyFont="1" applyFill="1" applyBorder="1"/>
    <xf numFmtId="43" fontId="124" fillId="37" borderId="16" xfId="1" applyFont="1" applyFill="1" applyBorder="1"/>
    <xf numFmtId="43" fontId="0" fillId="37" borderId="16" xfId="1" applyFont="1" applyFill="1" applyBorder="1"/>
    <xf numFmtId="43" fontId="124" fillId="0" borderId="16" xfId="1" applyFont="1" applyFill="1" applyBorder="1"/>
    <xf numFmtId="43" fontId="124" fillId="0" borderId="17" xfId="1" applyFont="1" applyFill="1" applyBorder="1"/>
    <xf numFmtId="44" fontId="124" fillId="0" borderId="63" xfId="44" applyFont="1" applyFill="1" applyBorder="1" applyAlignment="1">
      <alignment horizontal="center"/>
    </xf>
    <xf numFmtId="44" fontId="0" fillId="0" borderId="16" xfId="44" applyFont="1" applyFill="1" applyBorder="1"/>
    <xf numFmtId="0" fontId="124" fillId="2" borderId="16" xfId="0" applyFont="1" applyFill="1" applyBorder="1" applyAlignment="1">
      <alignment horizontal="center"/>
    </xf>
    <xf numFmtId="43" fontId="123" fillId="36" borderId="46" xfId="1" applyFont="1" applyFill="1" applyBorder="1"/>
    <xf numFmtId="44" fontId="0" fillId="0" borderId="12" xfId="1" applyNumberFormat="1" applyFont="1" applyFill="1" applyBorder="1" applyAlignment="1"/>
    <xf numFmtId="43" fontId="0" fillId="37" borderId="17" xfId="1" applyFont="1" applyFill="1" applyBorder="1"/>
    <xf numFmtId="44" fontId="124" fillId="2" borderId="25" xfId="0" applyNumberFormat="1" applyFont="1" applyFill="1" applyBorder="1" applyAlignment="1">
      <alignment horizontal="center"/>
    </xf>
    <xf numFmtId="0" fontId="128" fillId="0" borderId="27" xfId="0" applyFont="1" applyFill="1" applyBorder="1" applyAlignment="1"/>
    <xf numFmtId="0" fontId="124" fillId="0" borderId="27" xfId="0" applyFont="1" applyFill="1" applyBorder="1"/>
    <xf numFmtId="43" fontId="0" fillId="0" borderId="34" xfId="1" applyFont="1" applyFill="1" applyBorder="1" applyAlignment="1">
      <alignment horizontal="center" vertical="top"/>
    </xf>
    <xf numFmtId="0" fontId="0" fillId="0" borderId="1" xfId="0" applyBorder="1" applyAlignment="1">
      <alignment horizontal="right"/>
    </xf>
    <xf numFmtId="0" fontId="0" fillId="0" borderId="50" xfId="0" applyBorder="1" applyAlignment="1">
      <alignment horizontal="center"/>
    </xf>
    <xf numFmtId="0" fontId="0" fillId="0" borderId="64" xfId="0" applyBorder="1" applyAlignment="1">
      <alignment horizontal="center"/>
    </xf>
    <xf numFmtId="0" fontId="124" fillId="0" borderId="65" xfId="0" applyNumberFormat="1" applyFont="1" applyFill="1" applyBorder="1" applyAlignment="1" applyProtection="1">
      <alignment horizontal="right"/>
    </xf>
    <xf numFmtId="0" fontId="124" fillId="0" borderId="29" xfId="0" applyNumberFormat="1" applyFont="1" applyFill="1" applyBorder="1" applyAlignment="1" applyProtection="1"/>
    <xf numFmtId="43" fontId="124" fillId="38" borderId="12" xfId="1" applyFont="1" applyFill="1" applyBorder="1" applyAlignment="1">
      <alignment horizontal="center"/>
    </xf>
    <xf numFmtId="43" fontId="124" fillId="3" borderId="12" xfId="1" applyFont="1" applyFill="1" applyBorder="1" applyAlignment="1">
      <alignment horizontal="center"/>
    </xf>
    <xf numFmtId="0" fontId="124" fillId="0" borderId="12" xfId="0" applyFont="1" applyBorder="1" applyAlignment="1">
      <alignment horizontal="center"/>
    </xf>
    <xf numFmtId="43" fontId="124" fillId="39" borderId="12" xfId="1" applyFont="1" applyFill="1" applyBorder="1" applyAlignment="1">
      <alignment horizontal="center"/>
    </xf>
    <xf numFmtId="0" fontId="128" fillId="37" borderId="12" xfId="0" applyFont="1" applyFill="1" applyBorder="1" applyAlignment="1">
      <alignment horizontal="center"/>
    </xf>
    <xf numFmtId="0" fontId="129" fillId="36" borderId="12" xfId="0" applyFont="1" applyFill="1" applyBorder="1" applyAlignment="1">
      <alignment horizontal="center"/>
    </xf>
    <xf numFmtId="0" fontId="0" fillId="0" borderId="51" xfId="0" applyBorder="1" applyAlignment="1">
      <alignment horizontal="center"/>
    </xf>
    <xf numFmtId="0" fontId="0" fillId="0" borderId="49" xfId="0" applyBorder="1" applyAlignment="1">
      <alignment horizontal="right"/>
    </xf>
    <xf numFmtId="43" fontId="124" fillId="40" borderId="52" xfId="1" applyFont="1" applyFill="1" applyBorder="1" applyAlignment="1">
      <alignment horizontal="center"/>
    </xf>
    <xf numFmtId="0" fontId="0" fillId="0" borderId="1" xfId="0" applyFont="1" applyFill="1" applyBorder="1" applyAlignment="1">
      <alignment horizontal="center"/>
    </xf>
    <xf numFmtId="43" fontId="0" fillId="0" borderId="1" xfId="1" applyFont="1" applyFill="1" applyBorder="1" applyAlignment="1"/>
    <xf numFmtId="44" fontId="0" fillId="0" borderId="48" xfId="0" applyNumberFormat="1" applyFont="1" applyFill="1" applyBorder="1" applyAlignment="1"/>
    <xf numFmtId="44" fontId="0" fillId="0" borderId="57" xfId="0" applyNumberFormat="1" applyFont="1" applyFill="1" applyBorder="1" applyAlignment="1"/>
    <xf numFmtId="44" fontId="0" fillId="0" borderId="57" xfId="0" applyNumberFormat="1" applyFont="1" applyFill="1" applyBorder="1" applyAlignment="1">
      <alignment vertical="top"/>
    </xf>
    <xf numFmtId="0" fontId="0" fillId="0" borderId="0" xfId="0" applyNumberFormat="1" applyFont="1" applyFill="1" applyBorder="1" applyAlignment="1"/>
    <xf numFmtId="43" fontId="0" fillId="0" borderId="0" xfId="0" applyNumberFormat="1" applyAlignment="1"/>
    <xf numFmtId="43" fontId="164" fillId="0" borderId="1" xfId="1" applyFont="1" applyFill="1" applyBorder="1"/>
    <xf numFmtId="44" fontId="0" fillId="0" borderId="1" xfId="44" applyFont="1" applyBorder="1"/>
    <xf numFmtId="44" fontId="124" fillId="0" borderId="1" xfId="44" applyFont="1" applyFill="1" applyBorder="1"/>
    <xf numFmtId="44" fontId="0" fillId="0" borderId="23" xfId="0" applyNumberFormat="1" applyFont="1" applyFill="1" applyBorder="1" applyAlignment="1"/>
    <xf numFmtId="43" fontId="0" fillId="36" borderId="48" xfId="0" applyNumberFormat="1" applyFill="1" applyBorder="1"/>
    <xf numFmtId="43" fontId="0" fillId="36" borderId="50" xfId="1" applyNumberFormat="1" applyFont="1" applyFill="1" applyBorder="1" applyAlignment="1"/>
    <xf numFmtId="44" fontId="123" fillId="0" borderId="1" xfId="44" applyFont="1" applyFill="1" applyBorder="1"/>
    <xf numFmtId="43" fontId="0" fillId="0" borderId="15" xfId="0" applyNumberFormat="1" applyFont="1" applyBorder="1"/>
    <xf numFmtId="44" fontId="0" fillId="0" borderId="48" xfId="0" applyNumberFormat="1" applyBorder="1" applyProtection="1">
      <protection locked="0"/>
    </xf>
    <xf numFmtId="44" fontId="0" fillId="0" borderId="0" xfId="0" applyNumberFormat="1" applyBorder="1" applyProtection="1">
      <protection locked="0"/>
    </xf>
    <xf numFmtId="43" fontId="165" fillId="0" borderId="0" xfId="1" applyFont="1" applyAlignment="1">
      <alignment horizontal="center"/>
    </xf>
    <xf numFmtId="0" fontId="166" fillId="0" borderId="0" xfId="0" applyFont="1"/>
    <xf numFmtId="44" fontId="167" fillId="0" borderId="43" xfId="0" applyNumberFormat="1" applyFont="1" applyBorder="1" applyProtection="1">
      <protection locked="0"/>
    </xf>
    <xf numFmtId="44" fontId="167" fillId="0" borderId="0" xfId="0" applyNumberFormat="1" applyFont="1" applyBorder="1" applyAlignment="1" applyProtection="1">
      <alignment horizontal="center"/>
      <protection locked="0"/>
    </xf>
    <xf numFmtId="44" fontId="165" fillId="0" borderId="0" xfId="0" applyNumberFormat="1" applyFont="1" applyAlignment="1">
      <alignment horizontal="center"/>
    </xf>
    <xf numFmtId="44" fontId="155" fillId="3" borderId="0" xfId="0" applyNumberFormat="1" applyFont="1" applyFill="1" applyBorder="1" applyAlignment="1">
      <alignment horizontal="center"/>
    </xf>
    <xf numFmtId="44" fontId="124" fillId="0" borderId="48" xfId="0" applyNumberFormat="1" applyFont="1" applyFill="1" applyBorder="1" applyAlignment="1"/>
    <xf numFmtId="44" fontId="124" fillId="0" borderId="57" xfId="0" applyNumberFormat="1" applyFont="1" applyFill="1" applyBorder="1" applyAlignment="1"/>
    <xf numFmtId="44" fontId="0" fillId="0" borderId="0" xfId="0" applyNumberFormat="1" applyFont="1" applyFill="1"/>
    <xf numFmtId="43" fontId="162" fillId="42" borderId="16" xfId="1" applyFont="1" applyFill="1" applyBorder="1" applyAlignment="1">
      <alignment horizontal="center"/>
    </xf>
    <xf numFmtId="43" fontId="164" fillId="42" borderId="16" xfId="1" applyFont="1" applyFill="1" applyBorder="1" applyAlignment="1">
      <alignment horizontal="center" vertical="top"/>
    </xf>
    <xf numFmtId="0" fontId="0" fillId="0" borderId="27" xfId="0" applyFont="1" applyFill="1" applyBorder="1"/>
    <xf numFmtId="43" fontId="162" fillId="40" borderId="39" xfId="1" applyFont="1" applyFill="1" applyBorder="1" applyAlignment="1"/>
    <xf numFmtId="43" fontId="162" fillId="4" borderId="12" xfId="1" applyFont="1" applyFill="1" applyBorder="1" applyAlignment="1"/>
    <xf numFmtId="43" fontId="124" fillId="0" borderId="16" xfId="1" applyFont="1" applyFill="1" applyBorder="1" applyAlignment="1">
      <alignment horizontal="center" vertical="top"/>
    </xf>
    <xf numFmtId="43" fontId="124" fillId="42" borderId="16" xfId="1" applyFont="1" applyFill="1" applyBorder="1" applyAlignment="1">
      <alignment horizontal="center" vertical="top"/>
    </xf>
    <xf numFmtId="44" fontId="124" fillId="0" borderId="57" xfId="0" applyNumberFormat="1" applyFont="1" applyFill="1" applyBorder="1" applyAlignment="1">
      <alignment vertical="top"/>
    </xf>
    <xf numFmtId="43" fontId="124" fillId="36" borderId="0" xfId="1" applyFont="1" applyFill="1"/>
    <xf numFmtId="43" fontId="124" fillId="36" borderId="12" xfId="1" applyFont="1" applyFill="1" applyBorder="1" applyAlignment="1">
      <alignment horizontal="center"/>
    </xf>
    <xf numFmtId="43" fontId="124" fillId="36" borderId="12" xfId="1" applyFont="1" applyFill="1" applyBorder="1" applyAlignment="1">
      <alignment horizontal="center" vertical="top"/>
    </xf>
    <xf numFmtId="43" fontId="124" fillId="36" borderId="16" xfId="1" applyFont="1" applyFill="1" applyBorder="1" applyAlignment="1">
      <alignment horizontal="center" vertical="top"/>
    </xf>
    <xf numFmtId="43" fontId="124" fillId="4" borderId="12" xfId="1" applyFont="1" applyFill="1" applyBorder="1" applyAlignment="1"/>
    <xf numFmtId="44" fontId="124" fillId="0" borderId="12" xfId="1" applyNumberFormat="1" applyFont="1" applyFill="1" applyBorder="1" applyAlignment="1"/>
    <xf numFmtId="43" fontId="124" fillId="36" borderId="1" xfId="0" applyNumberFormat="1" applyFont="1" applyFill="1" applyBorder="1"/>
    <xf numFmtId="43" fontId="124" fillId="36" borderId="48" xfId="1" applyFont="1" applyFill="1" applyBorder="1" applyAlignment="1"/>
    <xf numFmtId="44" fontId="124" fillId="0" borderId="16" xfId="44" applyFont="1" applyFill="1" applyBorder="1"/>
    <xf numFmtId="44" fontId="168" fillId="0" borderId="0" xfId="0" applyNumberFormat="1" applyFont="1"/>
    <xf numFmtId="44" fontId="169" fillId="0" borderId="48" xfId="0" applyNumberFormat="1" applyFont="1" applyFill="1" applyBorder="1" applyAlignment="1"/>
    <xf numFmtId="44" fontId="169" fillId="0" borderId="57" xfId="0" applyNumberFormat="1" applyFont="1" applyFill="1" applyBorder="1" applyAlignment="1"/>
    <xf numFmtId="44" fontId="169" fillId="0" borderId="57" xfId="0" applyNumberFormat="1" applyFont="1" applyFill="1" applyBorder="1" applyAlignment="1">
      <alignment vertical="top"/>
    </xf>
    <xf numFmtId="0" fontId="122" fillId="0" borderId="36" xfId="0" applyFont="1" applyFill="1" applyBorder="1" applyAlignment="1"/>
    <xf numFmtId="43" fontId="160" fillId="42" borderId="14" xfId="1" applyFont="1" applyFill="1" applyBorder="1" applyAlignment="1">
      <alignment horizontal="center"/>
    </xf>
    <xf numFmtId="43" fontId="123" fillId="42" borderId="27" xfId="1" applyFont="1" applyFill="1" applyBorder="1" applyAlignment="1">
      <alignment horizontal="center"/>
    </xf>
    <xf numFmtId="43" fontId="0" fillId="36" borderId="34" xfId="1" applyFont="1" applyFill="1" applyBorder="1"/>
    <xf numFmtId="43" fontId="124" fillId="36" borderId="48" xfId="1" applyFont="1" applyFill="1" applyBorder="1"/>
    <xf numFmtId="43" fontId="123" fillId="42" borderId="16" xfId="1" applyFont="1" applyFill="1" applyBorder="1" applyAlignment="1">
      <alignment horizontal="center"/>
    </xf>
    <xf numFmtId="43" fontId="123" fillId="0" borderId="16" xfId="1" applyFont="1" applyFill="1" applyBorder="1" applyAlignment="1">
      <alignment horizontal="center"/>
    </xf>
    <xf numFmtId="0" fontId="0" fillId="0" borderId="0" xfId="0" applyBorder="1" applyAlignment="1">
      <alignment horizontal="right"/>
    </xf>
    <xf numFmtId="0" fontId="124" fillId="0" borderId="43" xfId="0" applyFont="1" applyFill="1" applyBorder="1" applyAlignment="1">
      <alignment horizontal="center"/>
    </xf>
    <xf numFmtId="43" fontId="124" fillId="2" borderId="0" xfId="1" applyFont="1" applyFill="1" applyBorder="1" applyAlignment="1">
      <alignment horizontal="center"/>
    </xf>
    <xf numFmtId="44" fontId="0" fillId="0" borderId="66" xfId="1" applyNumberFormat="1" applyFont="1" applyFill="1" applyBorder="1" applyAlignment="1"/>
    <xf numFmtId="43" fontId="0" fillId="36" borderId="66" xfId="1" applyNumberFormat="1" applyFont="1" applyFill="1" applyBorder="1" applyAlignment="1"/>
    <xf numFmtId="43" fontId="123" fillId="36" borderId="66" xfId="1" applyFont="1" applyFill="1" applyBorder="1"/>
    <xf numFmtId="43" fontId="124" fillId="37" borderId="66" xfId="1" applyFont="1" applyFill="1" applyBorder="1"/>
    <xf numFmtId="43" fontId="0" fillId="37" borderId="66" xfId="1" applyFont="1" applyFill="1" applyBorder="1"/>
    <xf numFmtId="43" fontId="0" fillId="37" borderId="67" xfId="1" applyFont="1" applyFill="1" applyBorder="1"/>
    <xf numFmtId="44" fontId="0" fillId="0" borderId="20" xfId="0" applyNumberFormat="1" applyFont="1" applyFill="1" applyBorder="1" applyAlignment="1"/>
    <xf numFmtId="43" fontId="0" fillId="36" borderId="57" xfId="0" applyNumberFormat="1" applyFill="1" applyBorder="1"/>
    <xf numFmtId="44" fontId="0" fillId="0" borderId="16" xfId="44" applyFont="1" applyBorder="1"/>
    <xf numFmtId="43" fontId="123" fillId="0" borderId="16" xfId="1" applyFont="1" applyFill="1" applyBorder="1"/>
    <xf numFmtId="44" fontId="162" fillId="0" borderId="16" xfId="0" applyNumberFormat="1" applyFont="1" applyBorder="1"/>
    <xf numFmtId="44" fontId="123" fillId="0" borderId="16" xfId="44" applyFont="1" applyFill="1" applyBorder="1"/>
    <xf numFmtId="43" fontId="124" fillId="36" borderId="16" xfId="0" applyNumberFormat="1" applyFont="1" applyFill="1" applyBorder="1"/>
    <xf numFmtId="44" fontId="0" fillId="0" borderId="16" xfId="0" applyNumberFormat="1" applyFont="1" applyFill="1" applyBorder="1"/>
    <xf numFmtId="44" fontId="0" fillId="0" borderId="57" xfId="44" applyFont="1" applyBorder="1"/>
    <xf numFmtId="43" fontId="124" fillId="37" borderId="17" xfId="1" applyFont="1" applyFill="1" applyBorder="1"/>
    <xf numFmtId="43" fontId="124" fillId="2" borderId="53" xfId="1" applyFont="1" applyFill="1" applyBorder="1" applyAlignment="1">
      <alignment horizontal="center"/>
    </xf>
    <xf numFmtId="43" fontId="0" fillId="42" borderId="14" xfId="1" applyFont="1" applyFill="1" applyBorder="1" applyAlignment="1">
      <alignment horizontal="center"/>
    </xf>
    <xf numFmtId="43" fontId="123" fillId="36" borderId="27" xfId="1" applyFont="1" applyFill="1" applyBorder="1"/>
    <xf numFmtId="43" fontId="124" fillId="36" borderId="27" xfId="1" applyFont="1" applyFill="1" applyBorder="1" applyAlignment="1">
      <alignment horizontal="center"/>
    </xf>
    <xf numFmtId="43" fontId="124" fillId="36" borderId="27" xfId="1" applyFont="1" applyFill="1" applyBorder="1" applyAlignment="1">
      <alignment horizontal="center" vertical="top"/>
    </xf>
    <xf numFmtId="43" fontId="123" fillId="37" borderId="27" xfId="1" applyFont="1" applyFill="1" applyBorder="1"/>
    <xf numFmtId="43" fontId="123" fillId="37" borderId="68" xfId="1" applyFont="1" applyFill="1" applyBorder="1"/>
    <xf numFmtId="43" fontId="0" fillId="37" borderId="56" xfId="1" applyFont="1" applyFill="1" applyBorder="1" applyAlignment="1">
      <alignment horizontal="center"/>
    </xf>
    <xf numFmtId="43" fontId="124" fillId="36" borderId="16" xfId="1" applyFont="1" applyFill="1" applyBorder="1" applyAlignment="1">
      <alignment horizontal="center"/>
    </xf>
    <xf numFmtId="44" fontId="0" fillId="0" borderId="16" xfId="1" applyNumberFormat="1" applyFont="1" applyFill="1" applyBorder="1" applyAlignment="1"/>
    <xf numFmtId="43" fontId="0" fillId="36" borderId="16" xfId="1" applyFont="1" applyFill="1" applyBorder="1" applyAlignment="1">
      <alignment horizontal="center"/>
    </xf>
    <xf numFmtId="43" fontId="0" fillId="37" borderId="16" xfId="1" applyFont="1" applyFill="1" applyBorder="1" applyAlignment="1">
      <alignment horizontal="center"/>
    </xf>
    <xf numFmtId="43" fontId="0" fillId="37" borderId="17" xfId="1" applyFont="1" applyFill="1" applyBorder="1" applyAlignment="1">
      <alignment horizontal="center"/>
    </xf>
    <xf numFmtId="43" fontId="0" fillId="4" borderId="1" xfId="1" applyFont="1" applyFill="1" applyBorder="1"/>
    <xf numFmtId="164" fontId="0" fillId="0" borderId="0" xfId="0" applyNumberFormat="1"/>
    <xf numFmtId="164" fontId="124" fillId="0" borderId="0" xfId="1" applyNumberFormat="1" applyFont="1" applyFill="1" applyBorder="1" applyAlignment="1">
      <alignment horizontal="center"/>
    </xf>
    <xf numFmtId="164" fontId="0" fillId="0" borderId="0" xfId="0" applyNumberFormat="1" applyAlignment="1">
      <alignment horizontal="center"/>
    </xf>
    <xf numFmtId="164" fontId="124" fillId="2" borderId="53" xfId="0" applyNumberFormat="1" applyFont="1" applyFill="1" applyBorder="1" applyAlignment="1">
      <alignment horizontal="center"/>
    </xf>
    <xf numFmtId="164" fontId="124" fillId="2" borderId="0" xfId="0" applyNumberFormat="1" applyFont="1" applyFill="1" applyBorder="1" applyAlignment="1">
      <alignment horizontal="center"/>
    </xf>
    <xf numFmtId="164" fontId="0" fillId="0" borderId="0" xfId="0" applyNumberFormat="1" applyFont="1" applyFill="1" applyBorder="1" applyAlignment="1"/>
    <xf numFmtId="164" fontId="170" fillId="0" borderId="0" xfId="0" applyNumberFormat="1" applyFont="1"/>
    <xf numFmtId="164" fontId="0" fillId="0" borderId="0" xfId="0" applyNumberFormat="1" applyFill="1"/>
    <xf numFmtId="0" fontId="0" fillId="0" borderId="27" xfId="0" applyFill="1" applyBorder="1"/>
    <xf numFmtId="0" fontId="0" fillId="0" borderId="27" xfId="0" applyBorder="1" applyAlignment="1">
      <alignment horizontal="right"/>
    </xf>
    <xf numFmtId="44" fontId="124" fillId="49" borderId="16" xfId="44" applyFont="1" applyFill="1" applyBorder="1"/>
    <xf numFmtId="44" fontId="123" fillId="49" borderId="16" xfId="44" applyFont="1" applyFill="1" applyBorder="1"/>
    <xf numFmtId="44" fontId="0" fillId="49" borderId="16" xfId="44" applyFont="1" applyFill="1" applyBorder="1"/>
    <xf numFmtId="43" fontId="124" fillId="48" borderId="16" xfId="1" applyFont="1" applyFill="1" applyBorder="1" applyAlignment="1">
      <alignment horizontal="center"/>
    </xf>
    <xf numFmtId="0" fontId="147" fillId="3" borderId="27" xfId="0" applyFont="1" applyFill="1" applyBorder="1" applyAlignment="1"/>
    <xf numFmtId="0" fontId="148" fillId="3" borderId="27" xfId="0" applyFont="1" applyFill="1" applyBorder="1"/>
    <xf numFmtId="0" fontId="122" fillId="3" borderId="27" xfId="0" applyFont="1" applyFill="1" applyBorder="1" applyAlignment="1"/>
    <xf numFmtId="43" fontId="123" fillId="0" borderId="14" xfId="1" applyFont="1" applyFill="1" applyBorder="1" applyAlignment="1">
      <alignment horizontal="center"/>
    </xf>
    <xf numFmtId="164" fontId="0" fillId="0" borderId="62" xfId="0" applyNumberFormat="1" applyBorder="1"/>
    <xf numFmtId="0" fontId="0" fillId="0" borderId="0" xfId="0" applyAlignment="1">
      <alignment horizontal="right"/>
    </xf>
    <xf numFmtId="43" fontId="123" fillId="42" borderId="14" xfId="1" applyFont="1" applyFill="1" applyBorder="1" applyAlignment="1">
      <alignment horizontal="center"/>
    </xf>
    <xf numFmtId="164" fontId="123" fillId="0" borderId="0" xfId="0" applyNumberFormat="1" applyFont="1"/>
    <xf numFmtId="43" fontId="124" fillId="36" borderId="21" xfId="1" applyFont="1" applyFill="1" applyBorder="1" applyAlignment="1">
      <alignment horizontal="center"/>
    </xf>
    <xf numFmtId="44" fontId="124" fillId="0" borderId="24" xfId="44" applyFont="1" applyFill="1" applyBorder="1" applyAlignment="1">
      <alignment horizontal="center"/>
    </xf>
    <xf numFmtId="0" fontId="124" fillId="0" borderId="69" xfId="0" applyFont="1" applyFill="1" applyBorder="1" applyAlignment="1">
      <alignment horizontal="center"/>
    </xf>
    <xf numFmtId="43" fontId="123" fillId="38" borderId="14" xfId="1" applyFont="1" applyFill="1" applyBorder="1" applyAlignment="1">
      <alignment horizontal="center"/>
    </xf>
    <xf numFmtId="43" fontId="124" fillId="38" borderId="12" xfId="1" applyFont="1" applyFill="1" applyBorder="1"/>
    <xf numFmtId="43" fontId="123" fillId="38" borderId="16" xfId="1" applyFont="1" applyFill="1" applyBorder="1" applyAlignment="1">
      <alignment horizontal="center"/>
    </xf>
    <xf numFmtId="43" fontId="124" fillId="38" borderId="12" xfId="1" applyFont="1" applyFill="1" applyBorder="1" applyAlignment="1"/>
    <xf numFmtId="44" fontId="124" fillId="36" borderId="16" xfId="44" applyFont="1" applyFill="1" applyBorder="1"/>
    <xf numFmtId="44" fontId="0" fillId="36" borderId="66" xfId="1" applyNumberFormat="1" applyFont="1" applyFill="1" applyBorder="1" applyAlignment="1"/>
    <xf numFmtId="43" fontId="123" fillId="36" borderId="14" xfId="1" applyFont="1" applyFill="1" applyBorder="1" applyAlignment="1">
      <alignment horizontal="center"/>
    </xf>
    <xf numFmtId="43" fontId="123" fillId="36" borderId="16" xfId="1" applyFont="1" applyFill="1" applyBorder="1" applyAlignment="1">
      <alignment horizontal="center"/>
    </xf>
    <xf numFmtId="43" fontId="0" fillId="36" borderId="55" xfId="1" applyFont="1" applyFill="1" applyBorder="1" applyAlignment="1"/>
    <xf numFmtId="43" fontId="124" fillId="36" borderId="39" xfId="1" applyFont="1" applyFill="1" applyBorder="1"/>
    <xf numFmtId="43" fontId="124" fillId="36" borderId="57" xfId="1" applyFont="1" applyFill="1" applyBorder="1"/>
    <xf numFmtId="43" fontId="123" fillId="50" borderId="14" xfId="1" applyFont="1" applyFill="1" applyBorder="1" applyAlignment="1">
      <alignment horizontal="center"/>
    </xf>
    <xf numFmtId="43" fontId="0" fillId="50" borderId="12" xfId="1" applyFont="1" applyFill="1" applyBorder="1"/>
    <xf numFmtId="164" fontId="0" fillId="0" borderId="0" xfId="0" applyNumberFormat="1" applyFont="1"/>
    <xf numFmtId="44" fontId="0" fillId="36" borderId="16" xfId="44" applyFont="1" applyFill="1" applyBorder="1"/>
    <xf numFmtId="43" fontId="0" fillId="36" borderId="39" xfId="1" applyFont="1" applyFill="1" applyBorder="1"/>
    <xf numFmtId="43" fontId="0" fillId="3" borderId="12" xfId="1" applyFont="1" applyFill="1" applyBorder="1"/>
    <xf numFmtId="43" fontId="0" fillId="3" borderId="1" xfId="1" applyFont="1" applyFill="1" applyBorder="1"/>
    <xf numFmtId="44" fontId="171" fillId="0" borderId="0" xfId="0" applyNumberFormat="1" applyFont="1" applyFill="1" applyAlignment="1">
      <alignment horizontal="center" vertical="top"/>
    </xf>
    <xf numFmtId="0" fontId="0" fillId="0" borderId="0" xfId="0" applyFont="1" applyAlignment="1">
      <alignment horizontal="right" vertical="top"/>
    </xf>
    <xf numFmtId="43" fontId="172" fillId="0" borderId="0" xfId="0" applyNumberFormat="1" applyFont="1"/>
    <xf numFmtId="0" fontId="124" fillId="0" borderId="21" xfId="0" applyFont="1" applyBorder="1" applyAlignment="1">
      <alignment horizontal="center"/>
    </xf>
    <xf numFmtId="164" fontId="124" fillId="0" borderId="21" xfId="0" applyNumberFormat="1" applyFont="1" applyBorder="1"/>
    <xf numFmtId="164" fontId="124" fillId="0" borderId="59" xfId="0" applyNumberFormat="1" applyFont="1" applyBorder="1"/>
    <xf numFmtId="0" fontId="0" fillId="0" borderId="18" xfId="0" applyFont="1" applyBorder="1" applyAlignment="1">
      <alignment horizontal="right" vertical="top"/>
    </xf>
    <xf numFmtId="43" fontId="172" fillId="0" borderId="59" xfId="0" applyNumberFormat="1" applyFont="1" applyBorder="1"/>
    <xf numFmtId="0" fontId="171" fillId="0" borderId="1" xfId="0" applyFont="1" applyBorder="1" applyAlignment="1">
      <alignment horizontal="center"/>
    </xf>
    <xf numFmtId="43" fontId="171" fillId="0" borderId="1" xfId="1" applyFont="1" applyFill="1" applyBorder="1"/>
    <xf numFmtId="0" fontId="171" fillId="0" borderId="27" xfId="0" applyFont="1" applyFill="1" applyBorder="1" applyAlignment="1"/>
    <xf numFmtId="44" fontId="171" fillId="0" borderId="16" xfId="44" applyFont="1" applyFill="1" applyBorder="1"/>
    <xf numFmtId="43" fontId="171" fillId="42" borderId="16" xfId="1" applyFont="1" applyFill="1" applyBorder="1" applyAlignment="1">
      <alignment horizontal="center"/>
    </xf>
    <xf numFmtId="43" fontId="171" fillId="0" borderId="55" xfId="1" applyFont="1" applyFill="1" applyBorder="1" applyAlignment="1"/>
    <xf numFmtId="43" fontId="171" fillId="36" borderId="0" xfId="1" applyFont="1" applyFill="1" applyBorder="1"/>
    <xf numFmtId="43" fontId="171" fillId="40" borderId="39" xfId="1" applyFont="1" applyFill="1" applyBorder="1"/>
    <xf numFmtId="43" fontId="171" fillId="38" borderId="12" xfId="1" applyFont="1" applyFill="1" applyBorder="1"/>
    <xf numFmtId="43" fontId="171" fillId="0" borderId="57" xfId="1" applyFont="1" applyFill="1" applyBorder="1"/>
    <xf numFmtId="43" fontId="171" fillId="36" borderId="1" xfId="1" applyFont="1" applyFill="1" applyBorder="1"/>
    <xf numFmtId="44" fontId="171" fillId="0" borderId="48" xfId="0" applyNumberFormat="1" applyFont="1" applyFill="1" applyBorder="1" applyAlignment="1"/>
    <xf numFmtId="44" fontId="171" fillId="0" borderId="57" xfId="0" applyNumberFormat="1" applyFont="1" applyFill="1" applyBorder="1" applyAlignment="1"/>
    <xf numFmtId="44" fontId="171" fillId="0" borderId="57" xfId="0" applyNumberFormat="1" applyFont="1" applyFill="1" applyBorder="1" applyAlignment="1">
      <alignment vertical="top"/>
    </xf>
    <xf numFmtId="44" fontId="171" fillId="0" borderId="0" xfId="0" applyNumberFormat="1" applyFont="1"/>
    <xf numFmtId="164" fontId="171" fillId="0" borderId="0" xfId="0" applyNumberFormat="1" applyFont="1" applyFill="1" applyBorder="1" applyAlignment="1"/>
    <xf numFmtId="164" fontId="171" fillId="0" borderId="0" xfId="0" applyNumberFormat="1" applyFont="1"/>
    <xf numFmtId="0" fontId="171" fillId="0" borderId="0" xfId="0" applyFont="1"/>
    <xf numFmtId="43" fontId="171" fillId="0" borderId="14" xfId="1" applyFont="1" applyFill="1" applyBorder="1" applyAlignment="1">
      <alignment horizontal="center"/>
    </xf>
    <xf numFmtId="43" fontId="0" fillId="0" borderId="0" xfId="0" applyNumberFormat="1" applyAlignment="1">
      <alignment horizontal="left"/>
    </xf>
    <xf numFmtId="44" fontId="0" fillId="0" borderId="0" xfId="0" applyNumberFormat="1" applyFont="1" applyAlignment="1">
      <alignment horizontal="left"/>
    </xf>
    <xf numFmtId="43" fontId="173" fillId="42" borderId="14" xfId="1" applyFont="1" applyFill="1" applyBorder="1" applyAlignment="1">
      <alignment horizontal="center"/>
    </xf>
    <xf numFmtId="43" fontId="0" fillId="0" borderId="0" xfId="0" applyNumberFormat="1" applyFont="1" applyBorder="1"/>
    <xf numFmtId="43" fontId="165" fillId="0" borderId="62" xfId="1" applyFont="1" applyBorder="1" applyAlignment="1">
      <alignment horizontal="center"/>
    </xf>
    <xf numFmtId="43" fontId="0" fillId="0" borderId="62" xfId="0" applyNumberFormat="1" applyFont="1" applyBorder="1"/>
    <xf numFmtId="0" fontId="0" fillId="0" borderId="18" xfId="0" applyFont="1" applyFill="1" applyBorder="1" applyAlignment="1">
      <alignment horizontal="right" vertical="top"/>
    </xf>
    <xf numFmtId="0" fontId="0" fillId="0" borderId="0" xfId="0" applyFont="1" applyFill="1" applyBorder="1" applyAlignment="1">
      <alignment horizontal="right" vertical="top"/>
    </xf>
    <xf numFmtId="44" fontId="124" fillId="0" borderId="0" xfId="0" applyNumberFormat="1" applyFont="1" applyFill="1" applyBorder="1"/>
    <xf numFmtId="44" fontId="124" fillId="0" borderId="59" xfId="0" applyNumberFormat="1" applyFont="1" applyFill="1" applyBorder="1"/>
    <xf numFmtId="43" fontId="165" fillId="0" borderId="0" xfId="1" applyFont="1" applyBorder="1" applyAlignment="1">
      <alignment horizontal="center"/>
    </xf>
    <xf numFmtId="0" fontId="158" fillId="0" borderId="0" xfId="0" applyFont="1" applyBorder="1"/>
    <xf numFmtId="44" fontId="155" fillId="0" borderId="0" xfId="0" applyNumberFormat="1" applyFont="1" applyFill="1" applyBorder="1" applyAlignment="1">
      <alignment horizontal="center"/>
    </xf>
    <xf numFmtId="44" fontId="124" fillId="0" borderId="0" xfId="0" applyNumberFormat="1" applyFont="1" applyBorder="1" applyAlignment="1">
      <alignment horizontal="center"/>
    </xf>
    <xf numFmtId="43" fontId="124" fillId="0" borderId="0" xfId="0" applyNumberFormat="1" applyFont="1" applyBorder="1"/>
    <xf numFmtId="43" fontId="0" fillId="0" borderId="0" xfId="0" applyNumberFormat="1" applyFill="1" applyBorder="1"/>
    <xf numFmtId="44" fontId="166" fillId="0" borderId="0" xfId="0" applyNumberFormat="1" applyFont="1" applyBorder="1"/>
    <xf numFmtId="43" fontId="163" fillId="0" borderId="14" xfId="1" applyFont="1" applyFill="1" applyBorder="1" applyAlignment="1">
      <alignment horizontal="center"/>
    </xf>
    <xf numFmtId="43" fontId="0" fillId="0" borderId="1" xfId="0" applyNumberFormat="1" applyFont="1" applyBorder="1"/>
    <xf numFmtId="43" fontId="123" fillId="0" borderId="55" xfId="1" applyFont="1" applyFill="1" applyBorder="1" applyAlignment="1"/>
    <xf numFmtId="43" fontId="123" fillId="36" borderId="0" xfId="1" applyFont="1" applyFill="1" applyBorder="1"/>
    <xf numFmtId="43" fontId="123" fillId="4" borderId="12" xfId="1" applyFont="1" applyFill="1" applyBorder="1"/>
    <xf numFmtId="43" fontId="123" fillId="0" borderId="39" xfId="1" applyFont="1" applyFill="1" applyBorder="1" applyAlignment="1"/>
    <xf numFmtId="43" fontId="123" fillId="0" borderId="27" xfId="1" applyFont="1" applyFill="1" applyBorder="1" applyAlignment="1"/>
    <xf numFmtId="44" fontId="0" fillId="0" borderId="62" xfId="0" applyNumberFormat="1" applyFont="1" applyBorder="1" applyAlignment="1">
      <alignment horizontal="center"/>
    </xf>
    <xf numFmtId="0" fontId="124" fillId="0" borderId="18" xfId="0" applyFont="1" applyBorder="1" applyAlignment="1">
      <alignment horizontal="center"/>
    </xf>
    <xf numFmtId="0" fontId="0" fillId="0" borderId="0" xfId="0" applyFill="1" applyBorder="1" applyAlignment="1">
      <alignment horizontal="right" vertical="top"/>
    </xf>
    <xf numFmtId="0" fontId="165" fillId="3" borderId="18" xfId="0" applyFont="1" applyFill="1" applyBorder="1" applyAlignment="1">
      <alignment horizontal="center"/>
    </xf>
    <xf numFmtId="43" fontId="165" fillId="3" borderId="59" xfId="0" applyNumberFormat="1" applyFont="1" applyFill="1" applyBorder="1"/>
    <xf numFmtId="44" fontId="0" fillId="0" borderId="0" xfId="0" applyNumberFormat="1" applyFont="1" applyFill="1" applyBorder="1"/>
    <xf numFmtId="43" fontId="165" fillId="42" borderId="18" xfId="1" applyFont="1" applyFill="1" applyBorder="1" applyAlignment="1">
      <alignment horizontal="center"/>
    </xf>
    <xf numFmtId="43" fontId="124" fillId="42" borderId="59" xfId="0" applyNumberFormat="1" applyFont="1" applyFill="1" applyBorder="1"/>
    <xf numFmtId="44" fontId="124" fillId="0" borderId="62" xfId="0" applyNumberFormat="1" applyFont="1" applyBorder="1"/>
    <xf numFmtId="43" fontId="166" fillId="0" borderId="0" xfId="1" applyFont="1" applyAlignment="1">
      <alignment horizontal="right"/>
    </xf>
    <xf numFmtId="43" fontId="166" fillId="0" borderId="62" xfId="1" applyFont="1" applyBorder="1" applyAlignment="1">
      <alignment horizontal="right"/>
    </xf>
    <xf numFmtId="43" fontId="165" fillId="0" borderId="0" xfId="1" applyFont="1" applyAlignment="1">
      <alignment horizontal="right"/>
    </xf>
    <xf numFmtId="0" fontId="166" fillId="0" borderId="62" xfId="0" applyFont="1" applyBorder="1" applyAlignment="1">
      <alignment horizontal="right"/>
    </xf>
    <xf numFmtId="0" fontId="0" fillId="0" borderId="27" xfId="0" applyFont="1" applyFill="1" applyBorder="1" applyAlignment="1">
      <alignment horizontal="center"/>
    </xf>
    <xf numFmtId="0" fontId="0" fillId="0" borderId="27" xfId="0" applyFont="1" applyBorder="1" applyAlignment="1">
      <alignment horizontal="center"/>
    </xf>
    <xf numFmtId="0" fontId="0" fillId="0" borderId="79" xfId="0" applyFont="1" applyBorder="1" applyAlignment="1">
      <alignment horizontal="center"/>
    </xf>
    <xf numFmtId="0" fontId="0" fillId="0" borderId="66" xfId="0" applyFont="1" applyBorder="1" applyAlignment="1">
      <alignment horizontal="center"/>
    </xf>
    <xf numFmtId="0" fontId="0" fillId="0" borderId="80" xfId="0" applyFont="1" applyBorder="1" applyAlignment="1">
      <alignment horizontal="center"/>
    </xf>
    <xf numFmtId="11" fontId="0" fillId="0" borderId="27" xfId="0" quotePrefix="1" applyNumberFormat="1" applyFont="1" applyBorder="1" applyAlignment="1">
      <alignment horizontal="center"/>
    </xf>
    <xf numFmtId="0" fontId="0" fillId="0" borderId="36" xfId="0" applyFont="1" applyFill="1" applyBorder="1" applyAlignment="1">
      <alignment horizontal="center"/>
    </xf>
    <xf numFmtId="0" fontId="0" fillId="2" borderId="21" xfId="0" applyFont="1" applyFill="1" applyBorder="1" applyAlignment="1">
      <alignment horizontal="center"/>
    </xf>
    <xf numFmtId="0" fontId="0" fillId="0" borderId="0" xfId="0" applyFont="1" applyFill="1" applyBorder="1" applyAlignment="1">
      <alignment horizontal="center"/>
    </xf>
    <xf numFmtId="0" fontId="0" fillId="0" borderId="27" xfId="0" applyFill="1" applyBorder="1" applyAlignment="1">
      <alignment horizontal="center"/>
    </xf>
    <xf numFmtId="0" fontId="0" fillId="0" borderId="27" xfId="0" applyBorder="1" applyAlignment="1">
      <alignment horizontal="center"/>
    </xf>
    <xf numFmtId="44" fontId="123" fillId="0" borderId="66" xfId="1" applyNumberFormat="1" applyFont="1" applyFill="1" applyBorder="1" applyAlignment="1"/>
    <xf numFmtId="43" fontId="123" fillId="0" borderId="57" xfId="1" applyFont="1" applyFill="1" applyBorder="1"/>
    <xf numFmtId="44" fontId="0" fillId="0" borderId="16" xfId="44" applyNumberFormat="1" applyFont="1" applyFill="1" applyBorder="1"/>
    <xf numFmtId="44" fontId="123" fillId="42" borderId="14" xfId="1" applyNumberFormat="1" applyFont="1" applyFill="1" applyBorder="1" applyAlignment="1">
      <alignment horizontal="center"/>
    </xf>
    <xf numFmtId="44" fontId="123" fillId="42" borderId="16" xfId="1" applyNumberFormat="1" applyFont="1" applyFill="1" applyBorder="1" applyAlignment="1">
      <alignment horizontal="center"/>
    </xf>
    <xf numFmtId="44" fontId="0" fillId="0" borderId="55" xfId="1" applyNumberFormat="1" applyFont="1" applyFill="1" applyBorder="1" applyAlignment="1"/>
    <xf numFmtId="44" fontId="124" fillId="36" borderId="0" xfId="1" applyNumberFormat="1" applyFont="1" applyFill="1" applyBorder="1"/>
    <xf numFmtId="44" fontId="0" fillId="40" borderId="39" xfId="1" applyNumberFormat="1" applyFont="1" applyFill="1" applyBorder="1"/>
    <xf numFmtId="44" fontId="0" fillId="4" borderId="12" xfId="1" applyNumberFormat="1" applyFont="1" applyFill="1" applyBorder="1"/>
    <xf numFmtId="44" fontId="124" fillId="0" borderId="57" xfId="1" applyNumberFormat="1" applyFont="1" applyFill="1" applyBorder="1"/>
    <xf numFmtId="44" fontId="124" fillId="0" borderId="39" xfId="1" applyNumberFormat="1" applyFont="1" applyFill="1" applyBorder="1" applyAlignment="1"/>
    <xf numFmtId="44" fontId="123" fillId="0" borderId="1" xfId="1" applyNumberFormat="1" applyFont="1" applyFill="1" applyBorder="1"/>
    <xf numFmtId="44" fontId="124" fillId="36" borderId="1" xfId="1" applyNumberFormat="1" applyFont="1" applyFill="1" applyBorder="1" applyAlignment="1"/>
    <xf numFmtId="44" fontId="124" fillId="0" borderId="27" xfId="1" applyNumberFormat="1" applyFont="1" applyFill="1" applyBorder="1" applyAlignment="1"/>
    <xf numFmtId="44" fontId="124" fillId="36" borderId="0" xfId="1" applyNumberFormat="1" applyFont="1" applyFill="1" applyBorder="1" applyAlignment="1"/>
    <xf numFmtId="44" fontId="0" fillId="0" borderId="0" xfId="0" applyNumberFormat="1" applyFont="1" applyFill="1" applyBorder="1" applyAlignment="1"/>
    <xf numFmtId="44" fontId="124" fillId="36" borderId="1" xfId="1" applyNumberFormat="1" applyFont="1" applyFill="1" applyBorder="1"/>
    <xf numFmtId="44" fontId="123" fillId="0" borderId="14" xfId="1" applyNumberFormat="1" applyFont="1" applyFill="1" applyBorder="1" applyAlignment="1">
      <alignment horizontal="center"/>
    </xf>
    <xf numFmtId="44" fontId="123" fillId="36" borderId="14" xfId="1" applyNumberFormat="1" applyFont="1" applyFill="1" applyBorder="1" applyAlignment="1">
      <alignment horizontal="center"/>
    </xf>
    <xf numFmtId="44" fontId="123" fillId="36" borderId="16" xfId="1" applyNumberFormat="1" applyFont="1" applyFill="1" applyBorder="1" applyAlignment="1">
      <alignment horizontal="center"/>
    </xf>
    <xf numFmtId="44" fontId="150" fillId="36" borderId="0" xfId="1" applyNumberFormat="1" applyFont="1" applyFill="1" applyBorder="1"/>
    <xf numFmtId="44" fontId="123" fillId="36" borderId="0" xfId="1" applyNumberFormat="1" applyFont="1" applyFill="1" applyBorder="1"/>
    <xf numFmtId="44" fontId="123" fillId="0" borderId="57" xfId="1" applyNumberFormat="1" applyFont="1" applyFill="1" applyBorder="1"/>
    <xf numFmtId="44" fontId="123" fillId="0" borderId="39" xfId="1" applyNumberFormat="1" applyFont="1" applyFill="1" applyBorder="1" applyAlignment="1"/>
    <xf numFmtId="44" fontId="123" fillId="36" borderId="1" xfId="1" applyNumberFormat="1" applyFont="1" applyFill="1" applyBorder="1"/>
    <xf numFmtId="44" fontId="123" fillId="0" borderId="27" xfId="1" applyNumberFormat="1" applyFont="1" applyFill="1" applyBorder="1" applyAlignment="1"/>
    <xf numFmtId="44" fontId="123" fillId="0" borderId="55" xfId="1" applyNumberFormat="1" applyFont="1" applyFill="1" applyBorder="1" applyAlignment="1"/>
    <xf numFmtId="44" fontId="154" fillId="36" borderId="1" xfId="1" applyNumberFormat="1" applyFont="1" applyFill="1" applyBorder="1"/>
    <xf numFmtId="44" fontId="149" fillId="36" borderId="0" xfId="1" applyNumberFormat="1" applyFont="1" applyFill="1" applyBorder="1"/>
    <xf numFmtId="44" fontId="171" fillId="36" borderId="1" xfId="1" applyNumberFormat="1" applyFont="1" applyFill="1" applyBorder="1"/>
    <xf numFmtId="44" fontId="171" fillId="36" borderId="0" xfId="1" applyNumberFormat="1" applyFont="1" applyFill="1" applyBorder="1"/>
    <xf numFmtId="44" fontId="124" fillId="36" borderId="47" xfId="1" applyNumberFormat="1" applyFont="1" applyFill="1" applyBorder="1"/>
    <xf numFmtId="44" fontId="124" fillId="0" borderId="0" xfId="44" applyNumberFormat="1" applyFont="1" applyFill="1" applyBorder="1" applyAlignment="1">
      <alignment horizontal="right"/>
    </xf>
    <xf numFmtId="44" fontId="0" fillId="0" borderId="0" xfId="0" applyNumberFormat="1" applyFont="1" applyFill="1" applyAlignment="1">
      <alignment horizontal="center"/>
    </xf>
    <xf numFmtId="44" fontId="0" fillId="0" borderId="62" xfId="0" applyNumberFormat="1" applyBorder="1"/>
    <xf numFmtId="44" fontId="0" fillId="0" borderId="0" xfId="44" applyNumberFormat="1" applyFont="1"/>
    <xf numFmtId="44" fontId="0" fillId="0" borderId="0" xfId="0" applyNumberFormat="1" applyFill="1" applyAlignment="1">
      <alignment horizontal="center"/>
    </xf>
    <xf numFmtId="44" fontId="0" fillId="0" borderId="0" xfId="1" applyNumberFormat="1" applyFont="1"/>
    <xf numFmtId="44" fontId="124" fillId="0" borderId="0" xfId="1" applyNumberFormat="1" applyFont="1"/>
    <xf numFmtId="44" fontId="166" fillId="0" borderId="0" xfId="1" applyNumberFormat="1" applyFont="1" applyAlignment="1">
      <alignment horizontal="right"/>
    </xf>
    <xf numFmtId="44" fontId="124" fillId="0" borderId="18" xfId="0" applyNumberFormat="1" applyFont="1" applyBorder="1" applyAlignment="1">
      <alignment horizontal="center"/>
    </xf>
    <xf numFmtId="44" fontId="124" fillId="0" borderId="21" xfId="0" applyNumberFormat="1" applyFont="1" applyBorder="1"/>
    <xf numFmtId="44" fontId="124" fillId="0" borderId="59" xfId="0" applyNumberFormat="1" applyFont="1" applyBorder="1"/>
    <xf numFmtId="44" fontId="124" fillId="0" borderId="0" xfId="1" applyNumberFormat="1" applyFont="1" applyAlignment="1">
      <alignment horizontal="center"/>
    </xf>
    <xf numFmtId="44" fontId="166" fillId="0" borderId="62" xfId="1" applyNumberFormat="1" applyFont="1" applyBorder="1" applyAlignment="1">
      <alignment horizontal="right"/>
    </xf>
    <xf numFmtId="44" fontId="165" fillId="0" borderId="0" xfId="1" applyNumberFormat="1" applyFont="1" applyBorder="1" applyAlignment="1">
      <alignment horizontal="center"/>
    </xf>
    <xf numFmtId="44" fontId="0" fillId="0" borderId="0" xfId="0" applyNumberFormat="1" applyAlignment="1">
      <alignment horizontal="right"/>
    </xf>
    <xf numFmtId="44" fontId="165" fillId="0" borderId="0" xfId="1" applyNumberFormat="1" applyFont="1" applyAlignment="1">
      <alignment horizontal="right"/>
    </xf>
    <xf numFmtId="44" fontId="166" fillId="0" borderId="62" xfId="0" applyNumberFormat="1" applyFont="1" applyBorder="1" applyAlignment="1">
      <alignment horizontal="right"/>
    </xf>
    <xf numFmtId="44" fontId="0" fillId="0" borderId="0" xfId="0" applyNumberFormat="1" applyFill="1" applyBorder="1" applyAlignment="1">
      <alignment horizontal="right"/>
    </xf>
    <xf numFmtId="44" fontId="0" fillId="0" borderId="0" xfId="0" applyNumberFormat="1" applyFill="1" applyBorder="1" applyAlignment="1">
      <alignment horizontal="left"/>
    </xf>
    <xf numFmtId="44" fontId="165" fillId="42" borderId="18" xfId="1" applyNumberFormat="1" applyFont="1" applyFill="1" applyBorder="1" applyAlignment="1">
      <alignment horizontal="center"/>
    </xf>
    <xf numFmtId="44" fontId="124" fillId="42" borderId="59" xfId="0" applyNumberFormat="1" applyFont="1" applyFill="1" applyBorder="1"/>
    <xf numFmtId="44" fontId="0" fillId="0" borderId="0" xfId="0" applyNumberFormat="1" applyFill="1" applyBorder="1" applyAlignment="1">
      <alignment horizontal="right" vertical="top"/>
    </xf>
    <xf numFmtId="44" fontId="158" fillId="0" borderId="0" xfId="0" applyNumberFormat="1" applyFont="1" applyBorder="1"/>
    <xf numFmtId="44" fontId="0" fillId="0" borderId="0" xfId="0" applyNumberFormat="1" applyFont="1" applyFill="1" applyBorder="1" applyAlignment="1">
      <alignment horizontal="right" vertical="top"/>
    </xf>
    <xf numFmtId="44" fontId="0" fillId="0" borderId="0" xfId="0" applyNumberFormat="1" applyFont="1" applyAlignment="1">
      <alignment horizontal="right" vertical="top"/>
    </xf>
    <xf numFmtId="44" fontId="172" fillId="0" borderId="0" xfId="0" applyNumberFormat="1" applyFont="1"/>
    <xf numFmtId="44" fontId="165" fillId="3" borderId="18" xfId="0" applyNumberFormat="1" applyFont="1" applyFill="1" applyBorder="1" applyAlignment="1">
      <alignment horizontal="center"/>
    </xf>
    <xf numFmtId="44" fontId="165" fillId="3" borderId="59" xfId="0" applyNumberFormat="1" applyFont="1" applyFill="1" applyBorder="1"/>
    <xf numFmtId="44" fontId="123" fillId="45" borderId="14" xfId="1" applyNumberFormat="1" applyFont="1" applyFill="1" applyBorder="1" applyAlignment="1">
      <alignment horizontal="center"/>
    </xf>
    <xf numFmtId="44" fontId="0" fillId="45" borderId="14" xfId="1" applyNumberFormat="1" applyFont="1" applyFill="1" applyBorder="1" applyAlignment="1">
      <alignment horizontal="center"/>
    </xf>
    <xf numFmtId="44" fontId="0" fillId="0" borderId="14" xfId="1" applyNumberFormat="1" applyFont="1" applyFill="1" applyBorder="1" applyAlignment="1">
      <alignment horizontal="center"/>
    </xf>
    <xf numFmtId="44" fontId="194" fillId="0" borderId="14" xfId="1" applyNumberFormat="1" applyFont="1" applyFill="1" applyBorder="1" applyAlignment="1">
      <alignment horizontal="center"/>
    </xf>
    <xf numFmtId="44" fontId="123" fillId="0" borderId="16" xfId="1" applyNumberFormat="1" applyFont="1" applyFill="1" applyBorder="1" applyAlignment="1">
      <alignment horizontal="center"/>
    </xf>
    <xf numFmtId="44" fontId="195" fillId="0" borderId="14" xfId="1" applyNumberFormat="1" applyFont="1" applyFill="1" applyBorder="1" applyAlignment="1">
      <alignment horizontal="center"/>
    </xf>
    <xf numFmtId="44" fontId="0" fillId="0" borderId="16" xfId="1" applyNumberFormat="1" applyFont="1" applyFill="1" applyBorder="1" applyAlignment="1">
      <alignment horizontal="center"/>
    </xf>
    <xf numFmtId="43" fontId="195" fillId="0" borderId="1" xfId="1" applyFont="1" applyFill="1" applyBorder="1"/>
    <xf numFmtId="0" fontId="124" fillId="0" borderId="0" xfId="0" applyFont="1" applyFill="1" applyAlignment="1">
      <alignment horizontal="center"/>
    </xf>
    <xf numFmtId="44" fontId="123" fillId="42" borderId="17" xfId="1" applyNumberFormat="1" applyFont="1" applyFill="1" applyBorder="1" applyAlignment="1">
      <alignment horizontal="center"/>
    </xf>
    <xf numFmtId="44" fontId="196" fillId="45" borderId="14" xfId="1" applyNumberFormat="1" applyFont="1" applyFill="1" applyBorder="1" applyAlignment="1">
      <alignment horizontal="center"/>
    </xf>
    <xf numFmtId="0" fontId="124" fillId="0" borderId="27" xfId="0" applyFont="1" applyFill="1" applyBorder="1" applyAlignment="1"/>
    <xf numFmtId="44" fontId="0" fillId="0" borderId="1" xfId="1" applyNumberFormat="1" applyFont="1" applyFill="1" applyBorder="1"/>
    <xf numFmtId="8" fontId="0" fillId="0" borderId="62" xfId="0" applyNumberFormat="1" applyFont="1" applyBorder="1" applyAlignment="1">
      <alignment horizontal="center"/>
    </xf>
    <xf numFmtId="44" fontId="0" fillId="46" borderId="0" xfId="0" applyNumberFormat="1" applyFill="1" applyBorder="1"/>
    <xf numFmtId="44" fontId="0" fillId="46" borderId="0" xfId="0" applyNumberFormat="1" applyFill="1"/>
    <xf numFmtId="44" fontId="0" fillId="4" borderId="12" xfId="1" applyNumberFormat="1" applyFont="1" applyFill="1" applyBorder="1"/>
    <xf numFmtId="44" fontId="197" fillId="42" borderId="59" xfId="0" applyNumberFormat="1" applyFont="1" applyFill="1" applyBorder="1"/>
    <xf numFmtId="44" fontId="123" fillId="42" borderId="50" xfId="1" applyNumberFormat="1" applyFont="1" applyFill="1" applyBorder="1" applyAlignment="1">
      <alignment horizontal="center"/>
    </xf>
    <xf numFmtId="44" fontId="123" fillId="42" borderId="51" xfId="1" applyNumberFormat="1" applyFont="1" applyFill="1" applyBorder="1" applyAlignment="1">
      <alignment horizontal="center"/>
    </xf>
    <xf numFmtId="44" fontId="124" fillId="0" borderId="0" xfId="1" applyNumberFormat="1" applyFont="1" applyAlignment="1">
      <alignment horizontal="left"/>
    </xf>
    <xf numFmtId="43" fontId="124" fillId="2" borderId="65" xfId="1" applyFont="1" applyFill="1" applyBorder="1" applyAlignment="1">
      <alignment horizontal="center"/>
    </xf>
    <xf numFmtId="44" fontId="0" fillId="0" borderId="0" xfId="44" applyNumberFormat="1" applyFont="1" applyAlignment="1">
      <alignment horizontal="right"/>
    </xf>
    <xf numFmtId="0" fontId="0" fillId="3" borderId="0" xfId="0" applyFill="1" applyAlignment="1">
      <alignment horizontal="center"/>
    </xf>
    <xf numFmtId="0" fontId="0" fillId="3" borderId="0" xfId="0" applyFill="1" applyBorder="1"/>
    <xf numFmtId="0" fontId="124" fillId="3" borderId="0" xfId="0" applyFont="1" applyFill="1" applyBorder="1"/>
    <xf numFmtId="43" fontId="124" fillId="3" borderId="18" xfId="1" applyFont="1" applyFill="1" applyBorder="1" applyAlignment="1">
      <alignment horizontal="center"/>
    </xf>
    <xf numFmtId="44" fontId="123" fillId="3" borderId="1" xfId="1" applyNumberFormat="1" applyFont="1" applyFill="1" applyBorder="1"/>
    <xf numFmtId="44" fontId="124" fillId="3" borderId="15" xfId="0" applyNumberFormat="1" applyFont="1" applyFill="1" applyBorder="1" applyAlignment="1">
      <alignment horizontal="center"/>
    </xf>
    <xf numFmtId="44" fontId="124" fillId="3" borderId="0" xfId="0" applyNumberFormat="1" applyFont="1" applyFill="1" applyBorder="1" applyAlignment="1">
      <alignment horizontal="center"/>
    </xf>
    <xf numFmtId="44" fontId="0" fillId="3" borderId="0" xfId="0" applyNumberFormat="1" applyFill="1" applyBorder="1"/>
    <xf numFmtId="44" fontId="0" fillId="3" borderId="0" xfId="0" applyNumberFormat="1" applyFill="1" applyBorder="1" applyAlignment="1">
      <alignment horizontal="right"/>
    </xf>
    <xf numFmtId="44" fontId="0" fillId="3" borderId="1" xfId="1" applyNumberFormat="1" applyFont="1" applyFill="1" applyBorder="1"/>
    <xf numFmtId="44" fontId="123" fillId="0" borderId="50" xfId="1" applyNumberFormat="1" applyFont="1" applyFill="1" applyBorder="1" applyAlignment="1">
      <alignment horizontal="center"/>
    </xf>
    <xf numFmtId="8" fontId="0" fillId="0" borderId="0" xfId="0" applyNumberFormat="1"/>
    <xf numFmtId="0" fontId="115" fillId="0" borderId="0" xfId="285"/>
    <xf numFmtId="0" fontId="115" fillId="0" borderId="0" xfId="285" quotePrefix="1"/>
    <xf numFmtId="0" fontId="114" fillId="0" borderId="0" xfId="286"/>
    <xf numFmtId="8" fontId="114" fillId="0" borderId="0" xfId="286" applyNumberFormat="1"/>
    <xf numFmtId="0" fontId="0" fillId="73" borderId="0" xfId="0" applyFill="1"/>
    <xf numFmtId="0" fontId="0" fillId="73" borderId="0" xfId="0" applyFill="1" applyAlignment="1">
      <alignment horizontal="center"/>
    </xf>
    <xf numFmtId="0" fontId="0" fillId="73" borderId="0" xfId="0" applyFill="1" applyBorder="1"/>
    <xf numFmtId="43" fontId="124" fillId="73" borderId="18" xfId="1" applyFont="1" applyFill="1" applyBorder="1" applyAlignment="1">
      <alignment horizontal="center"/>
    </xf>
    <xf numFmtId="43" fontId="124" fillId="73" borderId="34" xfId="1" applyFont="1" applyFill="1" applyBorder="1" applyAlignment="1">
      <alignment horizontal="center"/>
    </xf>
    <xf numFmtId="44" fontId="123" fillId="73" borderId="1" xfId="1" applyNumberFormat="1" applyFont="1" applyFill="1" applyBorder="1"/>
    <xf numFmtId="44" fontId="124" fillId="73" borderId="15" xfId="0" applyNumberFormat="1" applyFont="1" applyFill="1" applyBorder="1" applyAlignment="1">
      <alignment horizontal="center"/>
    </xf>
    <xf numFmtId="44" fontId="124" fillId="73" borderId="0" xfId="0" applyNumberFormat="1" applyFont="1" applyFill="1" applyBorder="1" applyAlignment="1">
      <alignment horizontal="center"/>
    </xf>
    <xf numFmtId="44" fontId="0" fillId="73" borderId="0" xfId="0" applyNumberFormat="1" applyFill="1"/>
    <xf numFmtId="44" fontId="0" fillId="73" borderId="0" xfId="0" applyNumberFormat="1" applyFill="1" applyBorder="1"/>
    <xf numFmtId="44" fontId="0" fillId="73" borderId="0" xfId="0" applyNumberFormat="1" applyFill="1" applyBorder="1" applyAlignment="1">
      <alignment horizontal="right"/>
    </xf>
    <xf numFmtId="0" fontId="110" fillId="0" borderId="0" xfId="290"/>
    <xf numFmtId="0" fontId="110" fillId="0" borderId="0" xfId="290" quotePrefix="1"/>
    <xf numFmtId="0" fontId="110" fillId="0" borderId="0" xfId="290"/>
    <xf numFmtId="8" fontId="110" fillId="0" borderId="0" xfId="290" applyNumberFormat="1"/>
    <xf numFmtId="44" fontId="0" fillId="36" borderId="16" xfId="44" applyNumberFormat="1" applyFont="1" applyFill="1" applyBorder="1"/>
    <xf numFmtId="44" fontId="123" fillId="36" borderId="50" xfId="1" applyNumberFormat="1" applyFont="1" applyFill="1" applyBorder="1" applyAlignment="1">
      <alignment horizontal="center"/>
    </xf>
    <xf numFmtId="44" fontId="0" fillId="36" borderId="55" xfId="1" applyNumberFormat="1" applyFont="1" applyFill="1" applyBorder="1" applyAlignment="1"/>
    <xf numFmtId="0" fontId="124" fillId="0" borderId="27" xfId="0" applyFont="1" applyBorder="1" applyAlignment="1">
      <alignment horizontal="center"/>
    </xf>
    <xf numFmtId="44" fontId="123" fillId="0" borderId="0" xfId="0" applyNumberFormat="1" applyFont="1"/>
    <xf numFmtId="44" fontId="0" fillId="0" borderId="0" xfId="0" applyNumberFormat="1" applyFont="1" applyAlignment="1">
      <alignment horizontal="right"/>
    </xf>
    <xf numFmtId="44" fontId="198" fillId="50" borderId="0" xfId="0" applyNumberFormat="1" applyFont="1" applyFill="1"/>
    <xf numFmtId="44" fontId="151" fillId="0" borderId="0" xfId="0" applyNumberFormat="1" applyFont="1" applyFill="1" applyBorder="1"/>
    <xf numFmtId="164" fontId="124" fillId="0" borderId="27" xfId="0" applyNumberFormat="1" applyFont="1" applyBorder="1" applyAlignment="1">
      <alignment horizontal="right"/>
    </xf>
    <xf numFmtId="44" fontId="124" fillId="0" borderId="39" xfId="0" applyNumberFormat="1" applyFont="1" applyBorder="1"/>
    <xf numFmtId="44" fontId="124" fillId="0" borderId="66" xfId="0" applyNumberFormat="1" applyFont="1" applyBorder="1"/>
    <xf numFmtId="44" fontId="151" fillId="0" borderId="0" xfId="0" applyNumberFormat="1" applyFont="1" applyFill="1"/>
    <xf numFmtId="44" fontId="198" fillId="0" borderId="55" xfId="1" applyNumberFormat="1" applyFont="1" applyFill="1" applyBorder="1" applyAlignment="1"/>
    <xf numFmtId="44" fontId="123" fillId="45" borderId="50" xfId="1" applyNumberFormat="1" applyFont="1" applyFill="1" applyBorder="1" applyAlignment="1">
      <alignment horizontal="center"/>
    </xf>
    <xf numFmtId="44" fontId="199" fillId="42" borderId="50" xfId="1" applyNumberFormat="1" applyFont="1" applyFill="1" applyBorder="1" applyAlignment="1">
      <alignment horizontal="center"/>
    </xf>
    <xf numFmtId="0" fontId="122" fillId="45" borderId="27" xfId="0" applyFont="1" applyFill="1" applyBorder="1" applyAlignment="1"/>
    <xf numFmtId="0" fontId="147" fillId="45" borderId="27" xfId="0" applyFont="1" applyFill="1" applyBorder="1" applyAlignment="1"/>
    <xf numFmtId="0" fontId="64" fillId="0" borderId="0" xfId="336"/>
    <xf numFmtId="8" fontId="64" fillId="0" borderId="0" xfId="336" applyNumberFormat="1"/>
    <xf numFmtId="0" fontId="200" fillId="0" borderId="27" xfId="0" applyFont="1" applyFill="1" applyBorder="1" applyAlignment="1"/>
    <xf numFmtId="44" fontId="201" fillId="0" borderId="66" xfId="1" applyNumberFormat="1" applyFont="1" applyFill="1" applyBorder="1" applyAlignment="1"/>
    <xf numFmtId="44" fontId="124" fillId="0" borderId="66" xfId="1" applyNumberFormat="1" applyFont="1" applyFill="1" applyBorder="1" applyAlignment="1"/>
    <xf numFmtId="0" fontId="147" fillId="74" borderId="27" xfId="0" applyFont="1" applyFill="1" applyBorder="1" applyAlignment="1"/>
    <xf numFmtId="44" fontId="0" fillId="74" borderId="16" xfId="44" applyNumberFormat="1" applyFont="1" applyFill="1" applyBorder="1"/>
    <xf numFmtId="44" fontId="0" fillId="74" borderId="66" xfId="1" applyNumberFormat="1" applyFont="1" applyFill="1" applyBorder="1" applyAlignment="1"/>
    <xf numFmtId="44" fontId="123" fillId="74" borderId="14" xfId="1" applyNumberFormat="1" applyFont="1" applyFill="1" applyBorder="1" applyAlignment="1">
      <alignment horizontal="center"/>
    </xf>
    <xf numFmtId="44" fontId="123" fillId="74" borderId="50" xfId="1" applyNumberFormat="1" applyFont="1" applyFill="1" applyBorder="1" applyAlignment="1">
      <alignment horizontal="center"/>
    </xf>
    <xf numFmtId="44" fontId="0" fillId="74" borderId="55" xfId="1" applyNumberFormat="1" applyFont="1" applyFill="1" applyBorder="1" applyAlignment="1"/>
    <xf numFmtId="44" fontId="0" fillId="74" borderId="12" xfId="1" applyNumberFormat="1" applyFont="1" applyFill="1" applyBorder="1"/>
    <xf numFmtId="44" fontId="0" fillId="75" borderId="16" xfId="44" applyNumberFormat="1" applyFont="1" applyFill="1" applyBorder="1"/>
    <xf numFmtId="0" fontId="202" fillId="0" borderId="27" xfId="0" applyFont="1" applyFill="1" applyBorder="1" applyAlignment="1"/>
    <xf numFmtId="10" fontId="0" fillId="0" borderId="0" xfId="352" applyNumberFormat="1" applyFont="1"/>
    <xf numFmtId="43" fontId="124" fillId="0" borderId="34" xfId="1" applyFont="1" applyFill="1" applyBorder="1" applyAlignment="1">
      <alignment horizontal="center"/>
    </xf>
    <xf numFmtId="8" fontId="0" fillId="0" borderId="0" xfId="0" applyNumberFormat="1" applyFont="1" applyBorder="1"/>
    <xf numFmtId="44" fontId="0" fillId="42" borderId="50" xfId="1" applyNumberFormat="1" applyFont="1" applyFill="1" applyBorder="1" applyAlignment="1">
      <alignment horizontal="center"/>
    </xf>
    <xf numFmtId="8" fontId="0" fillId="0" borderId="0" xfId="0" applyNumberFormat="1" applyFill="1" applyBorder="1"/>
    <xf numFmtId="44" fontId="0" fillId="0" borderId="50" xfId="1" applyNumberFormat="1" applyFont="1" applyFill="1" applyBorder="1" applyAlignment="1">
      <alignment horizontal="center"/>
    </xf>
    <xf numFmtId="0" fontId="203" fillId="45" borderId="27" xfId="0" applyFont="1" applyFill="1" applyBorder="1" applyAlignment="1"/>
    <xf numFmtId="44" fontId="0" fillId="46" borderId="16" xfId="44" applyNumberFormat="1" applyFont="1" applyFill="1" applyBorder="1"/>
    <xf numFmtId="44" fontId="0" fillId="46" borderId="66" xfId="1" applyNumberFormat="1" applyFont="1" applyFill="1" applyBorder="1" applyAlignment="1"/>
    <xf numFmtId="44" fontId="0" fillId="38" borderId="12" xfId="1" applyNumberFormat="1" applyFont="1" applyFill="1" applyBorder="1"/>
    <xf numFmtId="44" fontId="123" fillId="0" borderId="16" xfId="44" applyNumberFormat="1" applyFont="1" applyFill="1" applyBorder="1"/>
    <xf numFmtId="44" fontId="123" fillId="40" borderId="39" xfId="1" applyNumberFormat="1" applyFont="1" applyFill="1" applyBorder="1"/>
    <xf numFmtId="44" fontId="123" fillId="4" borderId="12" xfId="1" applyNumberFormat="1" applyFont="1" applyFill="1" applyBorder="1"/>
    <xf numFmtId="0" fontId="18" fillId="0" borderId="0" xfId="385"/>
    <xf numFmtId="0" fontId="18" fillId="0" borderId="0" xfId="385" quotePrefix="1"/>
    <xf numFmtId="8" fontId="18" fillId="0" borderId="0" xfId="385" applyNumberFormat="1"/>
    <xf numFmtId="0" fontId="202" fillId="45" borderId="27" xfId="0" applyFont="1" applyFill="1" applyBorder="1" applyAlignment="1"/>
    <xf numFmtId="44" fontId="204" fillId="4" borderId="12" xfId="1" applyNumberFormat="1" applyFont="1" applyFill="1" applyBorder="1"/>
    <xf numFmtId="44" fontId="0" fillId="45" borderId="50" xfId="1" applyNumberFormat="1" applyFont="1" applyFill="1" applyBorder="1" applyAlignment="1">
      <alignment horizontal="center"/>
    </xf>
    <xf numFmtId="44" fontId="0" fillId="39" borderId="12" xfId="1" applyNumberFormat="1" applyFont="1" applyFill="1" applyBorder="1"/>
    <xf numFmtId="0" fontId="3" fillId="0" borderId="0" xfId="401"/>
    <xf numFmtId="0" fontId="3" fillId="0" borderId="0" xfId="401" quotePrefix="1"/>
    <xf numFmtId="8" fontId="3" fillId="0" borderId="0" xfId="401" applyNumberFormat="1"/>
    <xf numFmtId="0" fontId="2" fillId="0" borderId="0" xfId="402"/>
    <xf numFmtId="44" fontId="205" fillId="76" borderId="15" xfId="164" applyFont="1" applyFill="1" applyBorder="1"/>
    <xf numFmtId="0" fontId="2" fillId="0" borderId="54" xfId="402" applyFill="1" applyBorder="1" applyAlignment="1">
      <alignment horizontal="center"/>
    </xf>
    <xf numFmtId="44" fontId="176" fillId="0" borderId="48" xfId="164" applyFont="1" applyBorder="1"/>
    <xf numFmtId="165" fontId="0" fillId="0" borderId="0" xfId="403" applyNumberFormat="1" applyFont="1" applyFill="1"/>
    <xf numFmtId="44" fontId="176" fillId="3" borderId="48" xfId="164" applyFont="1" applyFill="1" applyBorder="1"/>
    <xf numFmtId="44" fontId="176" fillId="77" borderId="48" xfId="164" applyFont="1" applyFill="1" applyBorder="1"/>
    <xf numFmtId="165" fontId="0" fillId="0" borderId="54" xfId="403" applyNumberFormat="1" applyFont="1" applyFill="1" applyBorder="1"/>
    <xf numFmtId="165" fontId="0" fillId="0" borderId="0" xfId="403" applyNumberFormat="1" applyFont="1"/>
    <xf numFmtId="165" fontId="2" fillId="0" borderId="0" xfId="402" applyNumberFormat="1"/>
    <xf numFmtId="0" fontId="206" fillId="0" borderId="0" xfId="402" applyFont="1"/>
    <xf numFmtId="0" fontId="2" fillId="36" borderId="0" xfId="402" applyFill="1"/>
    <xf numFmtId="44" fontId="176" fillId="0" borderId="48" xfId="164" applyFont="1" applyFill="1" applyBorder="1"/>
    <xf numFmtId="0" fontId="130" fillId="78" borderId="0" xfId="402" applyFont="1" applyFill="1"/>
    <xf numFmtId="0" fontId="130" fillId="0" borderId="81" xfId="402" applyFont="1" applyBorder="1"/>
    <xf numFmtId="0" fontId="122" fillId="0" borderId="0" xfId="423" applyFont="1"/>
    <xf numFmtId="0" fontId="2" fillId="0" borderId="0" xfId="423"/>
    <xf numFmtId="17" fontId="2" fillId="0" borderId="0" xfId="423" applyNumberFormat="1"/>
    <xf numFmtId="166" fontId="0" fillId="0" borderId="0" xfId="446" applyNumberFormat="1" applyFont="1"/>
    <xf numFmtId="166" fontId="0" fillId="0" borderId="0" xfId="446" applyNumberFormat="1" applyFont="1" applyFill="1"/>
    <xf numFmtId="166" fontId="0" fillId="3" borderId="0" xfId="446" applyNumberFormat="1" applyFont="1" applyFill="1"/>
    <xf numFmtId="166" fontId="2" fillId="0" borderId="0" xfId="423" applyNumberFormat="1" applyFill="1"/>
    <xf numFmtId="166" fontId="2" fillId="3" borderId="0" xfId="423" applyNumberFormat="1" applyFill="1"/>
    <xf numFmtId="164" fontId="0" fillId="0" borderId="0" xfId="416" applyNumberFormat="1" applyFont="1"/>
    <xf numFmtId="164" fontId="2" fillId="0" borderId="0" xfId="423" applyNumberFormat="1"/>
    <xf numFmtId="167" fontId="0" fillId="0" borderId="0" xfId="416" applyNumberFormat="1" applyFont="1" applyAlignment="1">
      <alignment horizontal="left"/>
    </xf>
    <xf numFmtId="167" fontId="0" fillId="0" borderId="0" xfId="416" applyNumberFormat="1" applyFont="1"/>
    <xf numFmtId="0" fontId="2" fillId="0" borderId="36" xfId="423" applyBorder="1"/>
    <xf numFmtId="0" fontId="2" fillId="0" borderId="81" xfId="423" applyBorder="1"/>
    <xf numFmtId="0" fontId="2" fillId="0" borderId="40" xfId="423" applyBorder="1"/>
    <xf numFmtId="17" fontId="2" fillId="0" borderId="53" xfId="423" applyNumberFormat="1" applyBorder="1"/>
    <xf numFmtId="17" fontId="2" fillId="0" borderId="0" xfId="423" applyNumberFormat="1" applyBorder="1"/>
    <xf numFmtId="17" fontId="2" fillId="0" borderId="32" xfId="423" applyNumberFormat="1" applyBorder="1"/>
    <xf numFmtId="0" fontId="2" fillId="0" borderId="53" xfId="423" applyBorder="1"/>
    <xf numFmtId="0" fontId="2" fillId="0" borderId="0" xfId="423" applyBorder="1"/>
    <xf numFmtId="0" fontId="2" fillId="0" borderId="32" xfId="423" applyBorder="1"/>
    <xf numFmtId="166" fontId="0" fillId="0" borderId="53" xfId="446" applyNumberFormat="1" applyFont="1" applyBorder="1"/>
    <xf numFmtId="166" fontId="0" fillId="0" borderId="0" xfId="446" applyNumberFormat="1" applyFont="1" applyBorder="1"/>
    <xf numFmtId="166" fontId="0" fillId="0" borderId="0" xfId="446" applyNumberFormat="1" applyFont="1" applyFill="1" applyBorder="1"/>
    <xf numFmtId="166" fontId="0" fillId="3" borderId="32" xfId="446" applyNumberFormat="1" applyFont="1" applyFill="1" applyBorder="1"/>
    <xf numFmtId="166" fontId="2" fillId="0" borderId="53" xfId="423" applyNumberFormat="1" applyFill="1" applyBorder="1"/>
    <xf numFmtId="166" fontId="2" fillId="0" borderId="0" xfId="423" applyNumberFormat="1" applyFill="1" applyBorder="1"/>
    <xf numFmtId="166" fontId="2" fillId="3" borderId="32" xfId="423" applyNumberFormat="1" applyFill="1" applyBorder="1"/>
    <xf numFmtId="0" fontId="122" fillId="0" borderId="53" xfId="423" applyFont="1" applyBorder="1"/>
    <xf numFmtId="0" fontId="122" fillId="0" borderId="0" xfId="423" applyFont="1" applyBorder="1"/>
    <xf numFmtId="0" fontId="2" fillId="0" borderId="44" xfId="423" applyBorder="1"/>
    <xf numFmtId="0" fontId="2" fillId="0" borderId="54" xfId="423" applyBorder="1"/>
    <xf numFmtId="0" fontId="2" fillId="0" borderId="38" xfId="423" applyBorder="1"/>
    <xf numFmtId="0" fontId="2" fillId="36" borderId="30" xfId="402" applyFill="1" applyBorder="1"/>
    <xf numFmtId="0" fontId="2" fillId="36" borderId="43" xfId="402" applyFill="1" applyBorder="1"/>
    <xf numFmtId="0" fontId="2" fillId="36" borderId="31" xfId="402" applyFill="1" applyBorder="1"/>
    <xf numFmtId="0" fontId="2" fillId="0" borderId="48" xfId="402" applyBorder="1"/>
    <xf numFmtId="0" fontId="2" fillId="0" borderId="0" xfId="402" applyBorder="1"/>
    <xf numFmtId="0" fontId="2" fillId="0" borderId="11" xfId="402" applyBorder="1"/>
    <xf numFmtId="0" fontId="130" fillId="78" borderId="48" xfId="402" applyFont="1" applyFill="1" applyBorder="1"/>
    <xf numFmtId="44" fontId="130" fillId="78" borderId="0" xfId="402" applyNumberFormat="1" applyFont="1" applyFill="1" applyBorder="1"/>
    <xf numFmtId="44" fontId="130" fillId="78" borderId="11" xfId="402" applyNumberFormat="1" applyFont="1" applyFill="1" applyBorder="1"/>
    <xf numFmtId="0" fontId="2" fillId="36" borderId="47" xfId="402" applyFill="1" applyBorder="1"/>
    <xf numFmtId="0" fontId="2" fillId="36" borderId="42" xfId="402" applyFill="1" applyBorder="1"/>
    <xf numFmtId="0" fontId="2" fillId="36" borderId="56" xfId="402" applyFill="1" applyBorder="1"/>
    <xf numFmtId="0" fontId="2" fillId="0" borderId="0" xfId="402" applyFill="1"/>
    <xf numFmtId="0" fontId="2" fillId="0" borderId="0" xfId="402" applyFill="1" applyAlignment="1">
      <alignment horizontal="center"/>
    </xf>
    <xf numFmtId="164" fontId="2" fillId="0" borderId="0" xfId="44" applyNumberFormat="1" applyFont="1"/>
    <xf numFmtId="164" fontId="130" fillId="0" borderId="81" xfId="44" applyNumberFormat="1" applyFont="1" applyBorder="1"/>
    <xf numFmtId="164" fontId="206" fillId="0" borderId="0" xfId="44" applyNumberFormat="1" applyFont="1"/>
    <xf numFmtId="164" fontId="130" fillId="78" borderId="0" xfId="44" applyNumberFormat="1" applyFont="1" applyFill="1"/>
    <xf numFmtId="9" fontId="206" fillId="0" borderId="0" xfId="352" applyFont="1"/>
    <xf numFmtId="0" fontId="2" fillId="45" borderId="0" xfId="402" applyFill="1"/>
    <xf numFmtId="0" fontId="206" fillId="45" borderId="0" xfId="402" applyFont="1" applyFill="1"/>
    <xf numFmtId="0" fontId="212" fillId="45" borderId="0" xfId="402" applyFont="1" applyFill="1" applyAlignment="1">
      <alignment horizontal="center" vertical="center"/>
    </xf>
    <xf numFmtId="0" fontId="213" fillId="79" borderId="0" xfId="402" applyFont="1" applyFill="1" applyAlignment="1">
      <alignment horizontal="center" vertical="center"/>
    </xf>
    <xf numFmtId="165" fontId="213" fillId="79" borderId="0" xfId="402" applyNumberFormat="1" applyFont="1" applyFill="1" applyAlignment="1">
      <alignment horizontal="center" vertical="center"/>
    </xf>
    <xf numFmtId="10" fontId="206" fillId="0" borderId="0" xfId="352" applyNumberFormat="1" applyFont="1"/>
    <xf numFmtId="44" fontId="206" fillId="0" borderId="0" xfId="44" applyNumberFormat="1" applyFont="1"/>
    <xf numFmtId="44" fontId="2" fillId="0" borderId="0" xfId="44" applyNumberFormat="1" applyFont="1"/>
    <xf numFmtId="9" fontId="2" fillId="0" borderId="0" xfId="352" applyFont="1" applyFill="1" applyAlignment="1">
      <alignment horizontal="center"/>
    </xf>
    <xf numFmtId="0" fontId="214" fillId="45" borderId="0" xfId="402" applyFont="1" applyFill="1"/>
    <xf numFmtId="0" fontId="213" fillId="78" borderId="0" xfId="402" applyFont="1" applyFill="1"/>
    <xf numFmtId="164" fontId="213" fillId="78" borderId="0" xfId="44" applyNumberFormat="1" applyFont="1" applyFill="1"/>
    <xf numFmtId="0" fontId="214" fillId="0" borderId="0" xfId="402" applyFont="1"/>
    <xf numFmtId="0" fontId="1" fillId="45" borderId="0" xfId="402" applyFont="1" applyFill="1"/>
    <xf numFmtId="0" fontId="215" fillId="79" borderId="0" xfId="402" applyFont="1" applyFill="1"/>
    <xf numFmtId="164" fontId="215" fillId="79" borderId="0" xfId="44" applyNumberFormat="1" applyFont="1" applyFill="1"/>
    <xf numFmtId="0" fontId="1" fillId="0" borderId="0" xfId="402" applyFont="1"/>
    <xf numFmtId="0" fontId="216" fillId="0" borderId="0" xfId="402" applyFont="1"/>
    <xf numFmtId="164" fontId="216" fillId="0" borderId="0" xfId="44" applyNumberFormat="1" applyFont="1"/>
    <xf numFmtId="0" fontId="122" fillId="45" borderId="0" xfId="402" applyFont="1" applyFill="1"/>
    <xf numFmtId="164" fontId="217" fillId="0" borderId="0" xfId="44" applyNumberFormat="1" applyFont="1"/>
    <xf numFmtId="0" fontId="122" fillId="0" borderId="0" xfId="402" applyFont="1"/>
    <xf numFmtId="0" fontId="2" fillId="0" borderId="0" xfId="402" applyFill="1" applyAlignment="1">
      <alignment horizontal="left"/>
    </xf>
    <xf numFmtId="165" fontId="2" fillId="45" borderId="0" xfId="402" applyNumberFormat="1" applyFill="1"/>
    <xf numFmtId="0" fontId="211" fillId="3" borderId="48" xfId="402" applyFont="1" applyFill="1" applyBorder="1" applyAlignment="1">
      <alignment horizontal="left" wrapText="1" indent="5"/>
    </xf>
    <xf numFmtId="0" fontId="211" fillId="3" borderId="0" xfId="402" applyFont="1" applyFill="1" applyBorder="1" applyAlignment="1">
      <alignment horizontal="left" wrapText="1" indent="5"/>
    </xf>
    <xf numFmtId="0" fontId="211" fillId="3" borderId="11" xfId="402" applyFont="1" applyFill="1" applyBorder="1" applyAlignment="1">
      <alignment horizontal="left" wrapText="1" indent="5"/>
    </xf>
    <xf numFmtId="0" fontId="2" fillId="3" borderId="0" xfId="402" applyFill="1" applyAlignment="1">
      <alignment horizontal="center"/>
    </xf>
  </cellXfs>
  <cellStyles count="569">
    <cellStyle name="20% - Accent1" xfId="107" builtinId="30" customBuiltin="1"/>
    <cellStyle name="20% - Accent1 2" xfId="4"/>
    <cellStyle name="20% - Accent1 2 2" xfId="50"/>
    <cellStyle name="20% - Accent1 2 2 2" xfId="227"/>
    <cellStyle name="20% - Accent1 2 3" xfId="46"/>
    <cellStyle name="20% - Accent1 2 3 2" xfId="223"/>
    <cellStyle name="20% - Accent1 2 4" xfId="77"/>
    <cellStyle name="20% - Accent1 2 4 2" xfId="254"/>
    <cellStyle name="20% - Accent1 2 5" xfId="135"/>
    <cellStyle name="20% - Accent1 2 6" xfId="209"/>
    <cellStyle name="20% - Accent1 3" xfId="268"/>
    <cellStyle name="20% - Accent2" xfId="111" builtinId="34" customBuiltin="1"/>
    <cellStyle name="20% - Accent2 2" xfId="5"/>
    <cellStyle name="20% - Accent2 2 2" xfId="51"/>
    <cellStyle name="20% - Accent2 2 2 2" xfId="228"/>
    <cellStyle name="20% - Accent2 2 3" xfId="70"/>
    <cellStyle name="20% - Accent2 2 3 2" xfId="247"/>
    <cellStyle name="20% - Accent2 2 4" xfId="78"/>
    <cellStyle name="20% - Accent2 2 4 2" xfId="255"/>
    <cellStyle name="20% - Accent2 2 5" xfId="136"/>
    <cellStyle name="20% - Accent2 2 6" xfId="210"/>
    <cellStyle name="20% - Accent2 3" xfId="270"/>
    <cellStyle name="20% - Accent3" xfId="115" builtinId="38" customBuiltin="1"/>
    <cellStyle name="20% - Accent3 2" xfId="6"/>
    <cellStyle name="20% - Accent3 2 2" xfId="52"/>
    <cellStyle name="20% - Accent3 2 2 2" xfId="229"/>
    <cellStyle name="20% - Accent3 2 3" xfId="69"/>
    <cellStyle name="20% - Accent3 2 3 2" xfId="246"/>
    <cellStyle name="20% - Accent3 2 4" xfId="79"/>
    <cellStyle name="20% - Accent3 2 4 2" xfId="256"/>
    <cellStyle name="20% - Accent3 2 5" xfId="137"/>
    <cellStyle name="20% - Accent3 2 6" xfId="211"/>
    <cellStyle name="20% - Accent3 3" xfId="272"/>
    <cellStyle name="20% - Accent4" xfId="119" builtinId="42" customBuiltin="1"/>
    <cellStyle name="20% - Accent4 2" xfId="7"/>
    <cellStyle name="20% - Accent4 2 2" xfId="53"/>
    <cellStyle name="20% - Accent4 2 2 2" xfId="230"/>
    <cellStyle name="20% - Accent4 2 3" xfId="68"/>
    <cellStyle name="20% - Accent4 2 3 2" xfId="245"/>
    <cellStyle name="20% - Accent4 2 4" xfId="80"/>
    <cellStyle name="20% - Accent4 2 4 2" xfId="257"/>
    <cellStyle name="20% - Accent4 2 5" xfId="138"/>
    <cellStyle name="20% - Accent4 2 6" xfId="212"/>
    <cellStyle name="20% - Accent4 3" xfId="274"/>
    <cellStyle name="20% - Accent5" xfId="123" builtinId="46" customBuiltin="1"/>
    <cellStyle name="20% - Accent5 2" xfId="8"/>
    <cellStyle name="20% - Accent5 2 2" xfId="54"/>
    <cellStyle name="20% - Accent5 2 2 2" xfId="231"/>
    <cellStyle name="20% - Accent5 2 3" xfId="67"/>
    <cellStyle name="20% - Accent5 2 3 2" xfId="244"/>
    <cellStyle name="20% - Accent5 2 4" xfId="81"/>
    <cellStyle name="20% - Accent5 2 4 2" xfId="258"/>
    <cellStyle name="20% - Accent5 2 5" xfId="139"/>
    <cellStyle name="20% - Accent5 2 6" xfId="213"/>
    <cellStyle name="20% - Accent5 3" xfId="276"/>
    <cellStyle name="20% - Accent6" xfId="127" builtinId="50" customBuiltin="1"/>
    <cellStyle name="20% - Accent6 2" xfId="9"/>
    <cellStyle name="20% - Accent6 2 2" xfId="55"/>
    <cellStyle name="20% - Accent6 2 2 2" xfId="232"/>
    <cellStyle name="20% - Accent6 2 3" xfId="66"/>
    <cellStyle name="20% - Accent6 2 3 2" xfId="243"/>
    <cellStyle name="20% - Accent6 2 4" xfId="82"/>
    <cellStyle name="20% - Accent6 2 4 2" xfId="259"/>
    <cellStyle name="20% - Accent6 2 5" xfId="140"/>
    <cellStyle name="20% - Accent6 2 6" xfId="214"/>
    <cellStyle name="20% - Accent6 3" xfId="278"/>
    <cellStyle name="40% - Accent1" xfId="108" builtinId="31" customBuiltin="1"/>
    <cellStyle name="40% - Accent1 2" xfId="10"/>
    <cellStyle name="40% - Accent1 2 2" xfId="56"/>
    <cellStyle name="40% - Accent1 2 2 2" xfId="233"/>
    <cellStyle name="40% - Accent1 2 3" xfId="65"/>
    <cellStyle name="40% - Accent1 2 3 2" xfId="242"/>
    <cellStyle name="40% - Accent1 2 4" xfId="83"/>
    <cellStyle name="40% - Accent1 2 4 2" xfId="260"/>
    <cellStyle name="40% - Accent1 2 5" xfId="141"/>
    <cellStyle name="40% - Accent1 2 6" xfId="215"/>
    <cellStyle name="40% - Accent1 3" xfId="269"/>
    <cellStyle name="40% - Accent2" xfId="112" builtinId="35" customBuiltin="1"/>
    <cellStyle name="40% - Accent2 2" xfId="11"/>
    <cellStyle name="40% - Accent2 2 2" xfId="57"/>
    <cellStyle name="40% - Accent2 2 2 2" xfId="234"/>
    <cellStyle name="40% - Accent2 2 3" xfId="64"/>
    <cellStyle name="40% - Accent2 2 3 2" xfId="241"/>
    <cellStyle name="40% - Accent2 2 4" xfId="84"/>
    <cellStyle name="40% - Accent2 2 4 2" xfId="261"/>
    <cellStyle name="40% - Accent2 2 5" xfId="142"/>
    <cellStyle name="40% - Accent2 2 6" xfId="216"/>
    <cellStyle name="40% - Accent2 3" xfId="271"/>
    <cellStyle name="40% - Accent3" xfId="116" builtinId="39" customBuiltin="1"/>
    <cellStyle name="40% - Accent3 2" xfId="12"/>
    <cellStyle name="40% - Accent3 2 2" xfId="58"/>
    <cellStyle name="40% - Accent3 2 2 2" xfId="235"/>
    <cellStyle name="40% - Accent3 2 3" xfId="63"/>
    <cellStyle name="40% - Accent3 2 3 2" xfId="240"/>
    <cellStyle name="40% - Accent3 2 4" xfId="85"/>
    <cellStyle name="40% - Accent3 2 4 2" xfId="262"/>
    <cellStyle name="40% - Accent3 2 5" xfId="143"/>
    <cellStyle name="40% - Accent3 2 6" xfId="217"/>
    <cellStyle name="40% - Accent3 3" xfId="273"/>
    <cellStyle name="40% - Accent4" xfId="120" builtinId="43" customBuiltin="1"/>
    <cellStyle name="40% - Accent4 2" xfId="13"/>
    <cellStyle name="40% - Accent4 2 2" xfId="59"/>
    <cellStyle name="40% - Accent4 2 2 2" xfId="236"/>
    <cellStyle name="40% - Accent4 2 3" xfId="62"/>
    <cellStyle name="40% - Accent4 2 3 2" xfId="239"/>
    <cellStyle name="40% - Accent4 2 4" xfId="86"/>
    <cellStyle name="40% - Accent4 2 4 2" xfId="263"/>
    <cellStyle name="40% - Accent4 2 5" xfId="144"/>
    <cellStyle name="40% - Accent4 2 6" xfId="218"/>
    <cellStyle name="40% - Accent4 3" xfId="275"/>
    <cellStyle name="40% - Accent5" xfId="124" builtinId="47" customBuiltin="1"/>
    <cellStyle name="40% - Accent5 2" xfId="14"/>
    <cellStyle name="40% - Accent5 2 2" xfId="60"/>
    <cellStyle name="40% - Accent5 2 2 2" xfId="237"/>
    <cellStyle name="40% - Accent5 2 3" xfId="72"/>
    <cellStyle name="40% - Accent5 2 3 2" xfId="249"/>
    <cellStyle name="40% - Accent5 2 4" xfId="87"/>
    <cellStyle name="40% - Accent5 2 4 2" xfId="264"/>
    <cellStyle name="40% - Accent5 2 5" xfId="145"/>
    <cellStyle name="40% - Accent5 2 6" xfId="219"/>
    <cellStyle name="40% - Accent5 3" xfId="277"/>
    <cellStyle name="40% - Accent6" xfId="128" builtinId="51" customBuiltin="1"/>
    <cellStyle name="40% - Accent6 2" xfId="15"/>
    <cellStyle name="40% - Accent6 2 2" xfId="61"/>
    <cellStyle name="40% - Accent6 2 2 2" xfId="238"/>
    <cellStyle name="40% - Accent6 2 3" xfId="47"/>
    <cellStyle name="40% - Accent6 2 3 2" xfId="224"/>
    <cellStyle name="40% - Accent6 2 4" xfId="88"/>
    <cellStyle name="40% - Accent6 2 4 2" xfId="265"/>
    <cellStyle name="40% - Accent6 2 5" xfId="146"/>
    <cellStyle name="40% - Accent6 2 6" xfId="220"/>
    <cellStyle name="40% - Accent6 3" xfId="279"/>
    <cellStyle name="60% - Accent1" xfId="109" builtinId="32" customBuiltin="1"/>
    <cellStyle name="60% - Accent1 2" xfId="16"/>
    <cellStyle name="60% - Accent1 2 2" xfId="147"/>
    <cellStyle name="60% - Accent2" xfId="113" builtinId="36" customBuiltin="1"/>
    <cellStyle name="60% - Accent2 2" xfId="17"/>
    <cellStyle name="60% - Accent2 2 2" xfId="148"/>
    <cellStyle name="60% - Accent3" xfId="117" builtinId="40" customBuiltin="1"/>
    <cellStyle name="60% - Accent3 2" xfId="18"/>
    <cellStyle name="60% - Accent3 2 2" xfId="149"/>
    <cellStyle name="60% - Accent4" xfId="121" builtinId="44" customBuiltin="1"/>
    <cellStyle name="60% - Accent4 2" xfId="19"/>
    <cellStyle name="60% - Accent4 2 2" xfId="150"/>
    <cellStyle name="60% - Accent5" xfId="125" builtinId="48" customBuiltin="1"/>
    <cellStyle name="60% - Accent5 2" xfId="20"/>
    <cellStyle name="60% - Accent5 2 2" xfId="151"/>
    <cellStyle name="60% - Accent6" xfId="129" builtinId="52" customBuiltin="1"/>
    <cellStyle name="60% - Accent6 2" xfId="21"/>
    <cellStyle name="60% - Accent6 2 2" xfId="152"/>
    <cellStyle name="A3 297 x 420 mm" xfId="153"/>
    <cellStyle name="A3 297 x 420 mm 2" xfId="404"/>
    <cellStyle name="A3 297 x 420 mm 3" xfId="405"/>
    <cellStyle name="Accent1" xfId="106" builtinId="29" customBuiltin="1"/>
    <cellStyle name="Accent1 2" xfId="22"/>
    <cellStyle name="Accent1 2 2" xfId="154"/>
    <cellStyle name="Accent2" xfId="110" builtinId="33" customBuiltin="1"/>
    <cellStyle name="Accent2 2" xfId="23"/>
    <cellStyle name="Accent2 2 2" xfId="155"/>
    <cellStyle name="Accent3" xfId="114" builtinId="37" customBuiltin="1"/>
    <cellStyle name="Accent3 2" xfId="24"/>
    <cellStyle name="Accent3 2 2" xfId="156"/>
    <cellStyle name="Accent4" xfId="118" builtinId="41" customBuiltin="1"/>
    <cellStyle name="Accent4 2" xfId="25"/>
    <cellStyle name="Accent4 2 2" xfId="157"/>
    <cellStyle name="Accent5" xfId="122" builtinId="45" customBuiltin="1"/>
    <cellStyle name="Accent5 2" xfId="26"/>
    <cellStyle name="Accent5 2 2" xfId="158"/>
    <cellStyle name="Accent6" xfId="126" builtinId="49" customBuiltin="1"/>
    <cellStyle name="Accent6 2" xfId="27"/>
    <cellStyle name="Accent6 2 2" xfId="159"/>
    <cellStyle name="Bad" xfId="96" builtinId="27" customBuiltin="1"/>
    <cellStyle name="Bad 2" xfId="28"/>
    <cellStyle name="Bad 2 2" xfId="160"/>
    <cellStyle name="Calculation" xfId="100" builtinId="22" customBuiltin="1"/>
    <cellStyle name="Calculation 2" xfId="29"/>
    <cellStyle name="Calculation 2 2" xfId="161"/>
    <cellStyle name="Check Cell" xfId="102" builtinId="23" customBuiltin="1"/>
    <cellStyle name="Check Cell 2" xfId="30"/>
    <cellStyle name="Check Cell 2 2" xfId="162"/>
    <cellStyle name="Comma" xfId="1" builtinId="3"/>
    <cellStyle name="Comma 12" xfId="406"/>
    <cellStyle name="Comma 2" xfId="163"/>
    <cellStyle name="Comma 2 2" xfId="186"/>
    <cellStyle name="Comma 2 2 2" xfId="407"/>
    <cellStyle name="Comma 2 3" xfId="408"/>
    <cellStyle name="Comma 2 3 2" xfId="409"/>
    <cellStyle name="Comma 2 4" xfId="410"/>
    <cellStyle name="Comma 2 5" xfId="411"/>
    <cellStyle name="Comma 3" xfId="403"/>
    <cellStyle name="Comma 3 2" xfId="412"/>
    <cellStyle name="Comma 3 3" xfId="413"/>
    <cellStyle name="Comma 4" xfId="414"/>
    <cellStyle name="Currency" xfId="44" builtinId="4"/>
    <cellStyle name="Currency 10" xfId="415"/>
    <cellStyle name="Currency 2" xfId="164"/>
    <cellStyle name="Currency 2 2" xfId="187"/>
    <cellStyle name="Currency 2 2 2" xfId="416"/>
    <cellStyle name="Currency 2 2 3" xfId="417"/>
    <cellStyle name="Currency 2 3" xfId="418"/>
    <cellStyle name="Currency 2 3 2" xfId="419"/>
    <cellStyle name="Currency 2 4" xfId="420"/>
    <cellStyle name="Currency 3" xfId="133"/>
    <cellStyle name="Currency 3 2" xfId="421"/>
    <cellStyle name="Currency 4" xfId="131"/>
    <cellStyle name="Currency 4 2" xfId="281"/>
    <cellStyle name="Currency 4 3" xfId="422"/>
    <cellStyle name="Currency 5" xfId="370"/>
    <cellStyle name="Currency 6" xfId="375"/>
    <cellStyle name="Currency 7" xfId="390"/>
    <cellStyle name="Explanatory Text" xfId="104" builtinId="53" customBuiltin="1"/>
    <cellStyle name="Explanatory Text 2" xfId="31"/>
    <cellStyle name="Explanatory Text 2 2" xfId="165"/>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Good" xfId="95" builtinId="26" customBuiltin="1"/>
    <cellStyle name="Good 2" xfId="32"/>
    <cellStyle name="Good 2 2" xfId="166"/>
    <cellStyle name="Heading 1" xfId="91" builtinId="16" customBuiltin="1"/>
    <cellStyle name="Heading 1 2" xfId="33"/>
    <cellStyle name="Heading 1 2 2" xfId="167"/>
    <cellStyle name="Heading 2" xfId="92" builtinId="17" customBuiltin="1"/>
    <cellStyle name="Heading 2 2" xfId="34"/>
    <cellStyle name="Heading 2 2 2" xfId="168"/>
    <cellStyle name="Heading 3" xfId="93" builtinId="18" customBuiltin="1"/>
    <cellStyle name="Heading 3 2" xfId="35"/>
    <cellStyle name="Heading 3 2 2" xfId="169"/>
    <cellStyle name="Heading 4" xfId="94" builtinId="19" customBuiltin="1"/>
    <cellStyle name="Heading 4 2" xfId="36"/>
    <cellStyle name="Heading 4 2 2" xfId="170"/>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Input" xfId="98" builtinId="20" customBuiltin="1"/>
    <cellStyle name="Input 2" xfId="37"/>
    <cellStyle name="Input 2 2" xfId="171"/>
    <cellStyle name="Linked Cell" xfId="101" builtinId="24" customBuiltin="1"/>
    <cellStyle name="Linked Cell 2" xfId="38"/>
    <cellStyle name="Linked Cell 2 2" xfId="172"/>
    <cellStyle name="Neutral" xfId="97" builtinId="28" customBuiltin="1"/>
    <cellStyle name="Neutral 2" xfId="39"/>
    <cellStyle name="Neutral 2 2" xfId="173"/>
    <cellStyle name="Normal" xfId="0" builtinId="0"/>
    <cellStyle name="Normal 10" xfId="195"/>
    <cellStyle name="Normal 10 2" xfId="423"/>
    <cellStyle name="Normal 100" xfId="360"/>
    <cellStyle name="Normal 101" xfId="361"/>
    <cellStyle name="Normal 102" xfId="362"/>
    <cellStyle name="Normal 103" xfId="363"/>
    <cellStyle name="Normal 104" xfId="364"/>
    <cellStyle name="Normal 105" xfId="365"/>
    <cellStyle name="Normal 106" xfId="366"/>
    <cellStyle name="Normal 107" xfId="367"/>
    <cellStyle name="Normal 108" xfId="368"/>
    <cellStyle name="Normal 109" xfId="369"/>
    <cellStyle name="Normal 11" xfId="196"/>
    <cellStyle name="Normal 11 2" xfId="424"/>
    <cellStyle name="Normal 110" xfId="371"/>
    <cellStyle name="Normal 111" xfId="372"/>
    <cellStyle name="Normal 112" xfId="373"/>
    <cellStyle name="Normal 113" xfId="374"/>
    <cellStyle name="Normal 114" xfId="376"/>
    <cellStyle name="Normal 115" xfId="377"/>
    <cellStyle name="Normal 116" xfId="378"/>
    <cellStyle name="Normal 117" xfId="379"/>
    <cellStyle name="Normal 118" xfId="380"/>
    <cellStyle name="Normal 119" xfId="381"/>
    <cellStyle name="Normal 12" xfId="197"/>
    <cellStyle name="Normal 12 2" xfId="425"/>
    <cellStyle name="Normal 120" xfId="382"/>
    <cellStyle name="Normal 121" xfId="383"/>
    <cellStyle name="Normal 122" xfId="384"/>
    <cellStyle name="Normal 123" xfId="385"/>
    <cellStyle name="Normal 124" xfId="386"/>
    <cellStyle name="Normal 125" xfId="387"/>
    <cellStyle name="Normal 126" xfId="388"/>
    <cellStyle name="Normal 127" xfId="389"/>
    <cellStyle name="Normal 128" xfId="391"/>
    <cellStyle name="Normal 129" xfId="392"/>
    <cellStyle name="Normal 13" xfId="198"/>
    <cellStyle name="Normal 13 2" xfId="426"/>
    <cellStyle name="Normal 130" xfId="393"/>
    <cellStyle name="Normal 131" xfId="394"/>
    <cellStyle name="Normal 132" xfId="395"/>
    <cellStyle name="Normal 133" xfId="396"/>
    <cellStyle name="Normal 134" xfId="397"/>
    <cellStyle name="Normal 135" xfId="398"/>
    <cellStyle name="Normal 136" xfId="399"/>
    <cellStyle name="Normal 137" xfId="400"/>
    <cellStyle name="Normal 138" xfId="401"/>
    <cellStyle name="Normal 139" xfId="402"/>
    <cellStyle name="Normal 14" xfId="199"/>
    <cellStyle name="Normal 14 2" xfId="427"/>
    <cellStyle name="Normal 15" xfId="200"/>
    <cellStyle name="Normal 15 2" xfId="428"/>
    <cellStyle name="Normal 16" xfId="201"/>
    <cellStyle name="Normal 16 2" xfId="429"/>
    <cellStyle name="Normal 17" xfId="202"/>
    <cellStyle name="Normal 17 2" xfId="430"/>
    <cellStyle name="Normal 18" xfId="203"/>
    <cellStyle name="Normal 18 2" xfId="431"/>
    <cellStyle name="Normal 19" xfId="204"/>
    <cellStyle name="Normal 19 2" xfId="432"/>
    <cellStyle name="Normal 2" xfId="2"/>
    <cellStyle name="Normal 2 2" xfId="48"/>
    <cellStyle name="Normal 2 2 2" xfId="174"/>
    <cellStyle name="Normal 2 2 3" xfId="225"/>
    <cellStyle name="Normal 2 3" xfId="49"/>
    <cellStyle name="Normal 2 3 2" xfId="226"/>
    <cellStyle name="Normal 2 4" xfId="76"/>
    <cellStyle name="Normal 2 4 2" xfId="253"/>
    <cellStyle name="Normal 2 5" xfId="134"/>
    <cellStyle name="Normal 2 6" xfId="208"/>
    <cellStyle name="Normal 20" xfId="205"/>
    <cellStyle name="Normal 20 2" xfId="433"/>
    <cellStyle name="Normal 21" xfId="206"/>
    <cellStyle name="Normal 21 2" xfId="434"/>
    <cellStyle name="Normal 22" xfId="207"/>
    <cellStyle name="Normal 22 2" xfId="435"/>
    <cellStyle name="Normal 23" xfId="130"/>
    <cellStyle name="Normal 23 2" xfId="280"/>
    <cellStyle name="Normal 23 3" xfId="436"/>
    <cellStyle name="Normal 24" xfId="283"/>
    <cellStyle name="Normal 25" xfId="284"/>
    <cellStyle name="Normal 26" xfId="285"/>
    <cellStyle name="Normal 27" xfId="286"/>
    <cellStyle name="Normal 28" xfId="287"/>
    <cellStyle name="Normal 29" xfId="288"/>
    <cellStyle name="Normal 3" xfId="45"/>
    <cellStyle name="Normal 3 2" xfId="73"/>
    <cellStyle name="Normal 3 2 2" xfId="250"/>
    <cellStyle name="Normal 3 3" xfId="75"/>
    <cellStyle name="Normal 3 3 2" xfId="252"/>
    <cellStyle name="Normal 3 4" xfId="90"/>
    <cellStyle name="Normal 3 4 2" xfId="267"/>
    <cellStyle name="Normal 3 5" xfId="175"/>
    <cellStyle name="Normal 3 6" xfId="222"/>
    <cellStyle name="Normal 30" xfId="289"/>
    <cellStyle name="Normal 31" xfId="290"/>
    <cellStyle name="Normal 32" xfId="291"/>
    <cellStyle name="Normal 33" xfId="292"/>
    <cellStyle name="Normal 34" xfId="293"/>
    <cellStyle name="Normal 35" xfId="294"/>
    <cellStyle name="Normal 36" xfId="295"/>
    <cellStyle name="Normal 37" xfId="296"/>
    <cellStyle name="Normal 38" xfId="297"/>
    <cellStyle name="Normal 39" xfId="298"/>
    <cellStyle name="Normal 4" xfId="182"/>
    <cellStyle name="Normal 4 2" xfId="190"/>
    <cellStyle name="Normal 4 3" xfId="437"/>
    <cellStyle name="Normal 4 4" xfId="438"/>
    <cellStyle name="Normal 40" xfId="299"/>
    <cellStyle name="Normal 41" xfId="300"/>
    <cellStyle name="Normal 42" xfId="301"/>
    <cellStyle name="Normal 43" xfId="302"/>
    <cellStyle name="Normal 44" xfId="303"/>
    <cellStyle name="Normal 45" xfId="304"/>
    <cellStyle name="Normal 46" xfId="305"/>
    <cellStyle name="Normal 47" xfId="306"/>
    <cellStyle name="Normal 48" xfId="307"/>
    <cellStyle name="Normal 49" xfId="308"/>
    <cellStyle name="Normal 5" xfId="183"/>
    <cellStyle name="Normal 5 2" xfId="191"/>
    <cellStyle name="Normal 5 3" xfId="439"/>
    <cellStyle name="Normal 50" xfId="309"/>
    <cellStyle name="Normal 51" xfId="310"/>
    <cellStyle name="Normal 52" xfId="311"/>
    <cellStyle name="Normal 53" xfId="312"/>
    <cellStyle name="Normal 54" xfId="313"/>
    <cellStyle name="Normal 55" xfId="314"/>
    <cellStyle name="Normal 56" xfId="315"/>
    <cellStyle name="Normal 57" xfId="316"/>
    <cellStyle name="Normal 58" xfId="317"/>
    <cellStyle name="Normal 59" xfId="318"/>
    <cellStyle name="Normal 6" xfId="184"/>
    <cellStyle name="Normal 6 2" xfId="192"/>
    <cellStyle name="Normal 6 3" xfId="440"/>
    <cellStyle name="Normal 60" xfId="319"/>
    <cellStyle name="Normal 61" xfId="320"/>
    <cellStyle name="Normal 62" xfId="321"/>
    <cellStyle name="Normal 63" xfId="322"/>
    <cellStyle name="Normal 64" xfId="323"/>
    <cellStyle name="Normal 65" xfId="324"/>
    <cellStyle name="Normal 66" xfId="325"/>
    <cellStyle name="Normal 67" xfId="326"/>
    <cellStyle name="Normal 68" xfId="327"/>
    <cellStyle name="Normal 69" xfId="328"/>
    <cellStyle name="Normal 7" xfId="185"/>
    <cellStyle name="Normal 7 2" xfId="441"/>
    <cellStyle name="Normal 70" xfId="329"/>
    <cellStyle name="Normal 71" xfId="330"/>
    <cellStyle name="Normal 72" xfId="331"/>
    <cellStyle name="Normal 73" xfId="332"/>
    <cellStyle name="Normal 74" xfId="333"/>
    <cellStyle name="Normal 75" xfId="334"/>
    <cellStyle name="Normal 76" xfId="335"/>
    <cellStyle name="Normal 77" xfId="336"/>
    <cellStyle name="Normal 78" xfId="337"/>
    <cellStyle name="Normal 79" xfId="338"/>
    <cellStyle name="Normal 8" xfId="193"/>
    <cellStyle name="Normal 8 2" xfId="442"/>
    <cellStyle name="Normal 80" xfId="339"/>
    <cellStyle name="Normal 81" xfId="340"/>
    <cellStyle name="Normal 82" xfId="341"/>
    <cellStyle name="Normal 83" xfId="342"/>
    <cellStyle name="Normal 84" xfId="343"/>
    <cellStyle name="Normal 85" xfId="344"/>
    <cellStyle name="Normal 86" xfId="345"/>
    <cellStyle name="Normal 87" xfId="346"/>
    <cellStyle name="Normal 88" xfId="347"/>
    <cellStyle name="Normal 89" xfId="348"/>
    <cellStyle name="Normal 9" xfId="194"/>
    <cellStyle name="Normal 9 2" xfId="443"/>
    <cellStyle name="Normal 90" xfId="349"/>
    <cellStyle name="Normal 91" xfId="350"/>
    <cellStyle name="Normal 92" xfId="351"/>
    <cellStyle name="Normal 93" xfId="353"/>
    <cellStyle name="Normal 94" xfId="354"/>
    <cellStyle name="Normal 95" xfId="355"/>
    <cellStyle name="Normal 96" xfId="356"/>
    <cellStyle name="Normal 97" xfId="357"/>
    <cellStyle name="Normal 98" xfId="358"/>
    <cellStyle name="Normal 99" xfId="359"/>
    <cellStyle name="Note 2" xfId="40"/>
    <cellStyle name="Note 2 2" xfId="71"/>
    <cellStyle name="Note 2 2 2" xfId="188"/>
    <cellStyle name="Note 2 2 3" xfId="248"/>
    <cellStyle name="Note 2 3" xfId="74"/>
    <cellStyle name="Note 2 3 2" xfId="251"/>
    <cellStyle name="Note 2 4" xfId="89"/>
    <cellStyle name="Note 2 4 2" xfId="266"/>
    <cellStyle name="Note 2 5" xfId="176"/>
    <cellStyle name="Note 2 6" xfId="221"/>
    <cellStyle name="Note 3" xfId="132"/>
    <cellStyle name="Note 3 2" xfId="282"/>
    <cellStyle name="Output" xfId="99" builtinId="21" customBuiltin="1"/>
    <cellStyle name="Output 2" xfId="41"/>
    <cellStyle name="Output 2 2" xfId="177"/>
    <cellStyle name="Percent" xfId="352" builtinId="5"/>
    <cellStyle name="Percent 2" xfId="178"/>
    <cellStyle name="Percent 2 2" xfId="189"/>
    <cellStyle name="Percent 2 2 2" xfId="444"/>
    <cellStyle name="Percent 2 3" xfId="445"/>
    <cellStyle name="Percent 2 4" xfId="446"/>
    <cellStyle name="Percent 3" xfId="447"/>
    <cellStyle name="Percent 3 2" xfId="448"/>
    <cellStyle name="Percent 3 3" xfId="449"/>
    <cellStyle name="Percent 4" xfId="450"/>
    <cellStyle name="Title" xfId="3" builtinId="15" customBuiltin="1"/>
    <cellStyle name="Title 2" xfId="179"/>
    <cellStyle name="Total" xfId="105" builtinId="25" customBuiltin="1"/>
    <cellStyle name="Total 2" xfId="42"/>
    <cellStyle name="Total 2 2" xfId="180"/>
    <cellStyle name="Warning Text" xfId="103" builtinId="11" customBuiltin="1"/>
    <cellStyle name="Warning Text 2" xfId="43"/>
    <cellStyle name="Warning Text 2 2" xfId="181"/>
  </cellStyles>
  <dxfs count="0"/>
  <tableStyles count="0" defaultTableStyle="TableStyleMedium9" defaultPivotStyle="PivotStyleLight16"/>
  <colors>
    <mruColors>
      <color rgb="FFA50021"/>
      <color rgb="FFFF5050"/>
      <color rgb="FFFFFF66"/>
    </mruColors>
  </colors>
</styleSheet>
</file>

<file path=xl/_rels/workbook.xml.rels><?xml version="1.0" encoding="UTF-8" standalone="yes"?>
<Relationships xmlns="http://schemas.openxmlformats.org/package/2006/relationships"><Relationship Id="rId46" Type="http://schemas.openxmlformats.org/officeDocument/2006/relationships/calcChain" Target="calcChain.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theme" Target="theme/theme1.xml"/><Relationship Id="rId44" Type="http://schemas.openxmlformats.org/officeDocument/2006/relationships/styles" Target="styles.xml"/><Relationship Id="rId4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7.vml"/><Relationship Id="rId2"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8.vml"/><Relationship Id="rId2"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9.vml"/><Relationship Id="rId2"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10.vml"/><Relationship Id="rId2"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1" Type="http://schemas.openxmlformats.org/officeDocument/2006/relationships/vmlDrawing" Target="../drawings/vmlDrawing11.vml"/><Relationship Id="rId2"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1" Type="http://schemas.openxmlformats.org/officeDocument/2006/relationships/vmlDrawing" Target="../drawings/vmlDrawing12.vml"/><Relationship Id="rId2"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1" Type="http://schemas.openxmlformats.org/officeDocument/2006/relationships/vmlDrawing" Target="../drawings/vmlDrawing13.vml"/><Relationship Id="rId2"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1" Type="http://schemas.openxmlformats.org/officeDocument/2006/relationships/vmlDrawing" Target="../drawings/vmlDrawing14.vml"/><Relationship Id="rId2" Type="http://schemas.openxmlformats.org/officeDocument/2006/relationships/comments" Target="../comments14.xml"/></Relationships>
</file>

<file path=xl/worksheets/_rels/sheet18.xml.rels><?xml version="1.0" encoding="UTF-8" standalone="yes"?>
<Relationships xmlns="http://schemas.openxmlformats.org/package/2006/relationships"><Relationship Id="rId1" Type="http://schemas.openxmlformats.org/officeDocument/2006/relationships/vmlDrawing" Target="../drawings/vmlDrawing15.vml"/><Relationship Id="rId2" Type="http://schemas.openxmlformats.org/officeDocument/2006/relationships/comments" Target="../comments15.xml"/></Relationships>
</file>

<file path=xl/worksheets/_rels/sheet19.xml.rels><?xml version="1.0" encoding="UTF-8" standalone="yes"?>
<Relationships xmlns="http://schemas.openxmlformats.org/package/2006/relationships"><Relationship Id="rId1" Type="http://schemas.openxmlformats.org/officeDocument/2006/relationships/vmlDrawing" Target="../drawings/vmlDrawing16.vml"/><Relationship Id="rId2" Type="http://schemas.openxmlformats.org/officeDocument/2006/relationships/comments" Target="../comments16.xml"/></Relationships>
</file>

<file path=xl/worksheets/_rels/sheet20.xml.rels><?xml version="1.0" encoding="UTF-8" standalone="yes"?>
<Relationships xmlns="http://schemas.openxmlformats.org/package/2006/relationships"><Relationship Id="rId1" Type="http://schemas.openxmlformats.org/officeDocument/2006/relationships/vmlDrawing" Target="../drawings/vmlDrawing17.vml"/><Relationship Id="rId2"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1" Type="http://schemas.openxmlformats.org/officeDocument/2006/relationships/vmlDrawing" Target="../drawings/vmlDrawing18.vml"/><Relationship Id="rId2"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1" Type="http://schemas.openxmlformats.org/officeDocument/2006/relationships/vmlDrawing" Target="../drawings/vmlDrawing19.vml"/><Relationship Id="rId2" Type="http://schemas.openxmlformats.org/officeDocument/2006/relationships/comments" Target="../comments19.xml"/></Relationships>
</file>

<file path=xl/worksheets/_rels/sheet23.xml.rels><?xml version="1.0" encoding="UTF-8" standalone="yes"?>
<Relationships xmlns="http://schemas.openxmlformats.org/package/2006/relationships"><Relationship Id="rId1" Type="http://schemas.openxmlformats.org/officeDocument/2006/relationships/vmlDrawing" Target="../drawings/vmlDrawing20.vml"/><Relationship Id="rId2" Type="http://schemas.openxmlformats.org/officeDocument/2006/relationships/comments" Target="../comments20.xml"/></Relationships>
</file>

<file path=xl/worksheets/_rels/sheet24.xml.rels><?xml version="1.0" encoding="UTF-8" standalone="yes"?>
<Relationships xmlns="http://schemas.openxmlformats.org/package/2006/relationships"><Relationship Id="rId1" Type="http://schemas.openxmlformats.org/officeDocument/2006/relationships/vmlDrawing" Target="../drawings/vmlDrawing21.vml"/><Relationship Id="rId2" Type="http://schemas.openxmlformats.org/officeDocument/2006/relationships/comments" Target="../comments21.xml"/></Relationships>
</file>

<file path=xl/worksheets/_rels/sheet25.xml.rels><?xml version="1.0" encoding="UTF-8" standalone="yes"?>
<Relationships xmlns="http://schemas.openxmlformats.org/package/2006/relationships"><Relationship Id="rId1" Type="http://schemas.openxmlformats.org/officeDocument/2006/relationships/vmlDrawing" Target="../drawings/vmlDrawing22.vml"/><Relationship Id="rId2" Type="http://schemas.openxmlformats.org/officeDocument/2006/relationships/comments" Target="../comments22.xml"/></Relationships>
</file>

<file path=xl/worksheets/_rels/sheet26.xml.rels><?xml version="1.0" encoding="UTF-8" standalone="yes"?>
<Relationships xmlns="http://schemas.openxmlformats.org/package/2006/relationships"><Relationship Id="rId1" Type="http://schemas.openxmlformats.org/officeDocument/2006/relationships/vmlDrawing" Target="../drawings/vmlDrawing23.vml"/><Relationship Id="rId2" Type="http://schemas.openxmlformats.org/officeDocument/2006/relationships/comments" Target="../comments23.xml"/></Relationships>
</file>

<file path=xl/worksheets/_rels/sheet27.xml.rels><?xml version="1.0" encoding="UTF-8" standalone="yes"?>
<Relationships xmlns="http://schemas.openxmlformats.org/package/2006/relationships"><Relationship Id="rId1" Type="http://schemas.openxmlformats.org/officeDocument/2006/relationships/vmlDrawing" Target="../drawings/vmlDrawing24.vml"/><Relationship Id="rId2" Type="http://schemas.openxmlformats.org/officeDocument/2006/relationships/comments" Target="../comments24.xml"/></Relationships>
</file>

<file path=xl/worksheets/_rels/sheet28.xml.rels><?xml version="1.0" encoding="UTF-8" standalone="yes"?>
<Relationships xmlns="http://schemas.openxmlformats.org/package/2006/relationships"><Relationship Id="rId1" Type="http://schemas.openxmlformats.org/officeDocument/2006/relationships/vmlDrawing" Target="../drawings/vmlDrawing25.vml"/><Relationship Id="rId2" Type="http://schemas.openxmlformats.org/officeDocument/2006/relationships/comments" Target="../comments25.xml"/></Relationships>
</file>

<file path=xl/worksheets/_rels/sheet29.xml.rels><?xml version="1.0" encoding="UTF-8" standalone="yes"?>
<Relationships xmlns="http://schemas.openxmlformats.org/package/2006/relationships"><Relationship Id="rId1" Type="http://schemas.openxmlformats.org/officeDocument/2006/relationships/vmlDrawing" Target="../drawings/vmlDrawing26.vml"/><Relationship Id="rId2" Type="http://schemas.openxmlformats.org/officeDocument/2006/relationships/comments" Target="../comments26.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31.xml.rels><?xml version="1.0" encoding="UTF-8" standalone="yes"?>
<Relationships xmlns="http://schemas.openxmlformats.org/package/2006/relationships"><Relationship Id="rId1" Type="http://schemas.openxmlformats.org/officeDocument/2006/relationships/vmlDrawing" Target="../drawings/vmlDrawing27.vml"/><Relationship Id="rId2" Type="http://schemas.openxmlformats.org/officeDocument/2006/relationships/comments" Target="../comments27.xml"/></Relationships>
</file>

<file path=xl/worksheets/_rels/sheet33.xml.rels><?xml version="1.0" encoding="UTF-8" standalone="yes"?>
<Relationships xmlns="http://schemas.openxmlformats.org/package/2006/relationships"><Relationship Id="rId1" Type="http://schemas.openxmlformats.org/officeDocument/2006/relationships/vmlDrawing" Target="../drawings/vmlDrawing28.vml"/><Relationship Id="rId2" Type="http://schemas.openxmlformats.org/officeDocument/2006/relationships/comments" Target="../comments28.xml"/></Relationships>
</file>

<file path=xl/worksheets/_rels/sheet34.xml.rels><?xml version="1.0" encoding="UTF-8" standalone="yes"?>
<Relationships xmlns="http://schemas.openxmlformats.org/package/2006/relationships"><Relationship Id="rId1" Type="http://schemas.openxmlformats.org/officeDocument/2006/relationships/vmlDrawing" Target="../drawings/vmlDrawing29.vml"/><Relationship Id="rId2" Type="http://schemas.openxmlformats.org/officeDocument/2006/relationships/comments" Target="../comments29.xml"/></Relationships>
</file>

<file path=xl/worksheets/_rels/sheet35.xml.rels><?xml version="1.0" encoding="UTF-8" standalone="yes"?>
<Relationships xmlns="http://schemas.openxmlformats.org/package/2006/relationships"><Relationship Id="rId1" Type="http://schemas.openxmlformats.org/officeDocument/2006/relationships/vmlDrawing" Target="../drawings/vmlDrawing30.vml"/><Relationship Id="rId2" Type="http://schemas.openxmlformats.org/officeDocument/2006/relationships/comments" Target="../comments30.xml"/></Relationships>
</file>

<file path=xl/worksheets/_rels/sheet36.xml.rels><?xml version="1.0" encoding="UTF-8" standalone="yes"?>
<Relationships xmlns="http://schemas.openxmlformats.org/package/2006/relationships"><Relationship Id="rId1" Type="http://schemas.openxmlformats.org/officeDocument/2006/relationships/vmlDrawing" Target="../drawings/vmlDrawing31.vml"/><Relationship Id="rId2" Type="http://schemas.openxmlformats.org/officeDocument/2006/relationships/comments" Target="../comments31.xml"/></Relationships>
</file>

<file path=xl/worksheets/_rels/sheet37.xml.rels><?xml version="1.0" encoding="UTF-8" standalone="yes"?>
<Relationships xmlns="http://schemas.openxmlformats.org/package/2006/relationships"><Relationship Id="rId1" Type="http://schemas.openxmlformats.org/officeDocument/2006/relationships/vmlDrawing" Target="../drawings/vmlDrawing32.vml"/><Relationship Id="rId2" Type="http://schemas.openxmlformats.org/officeDocument/2006/relationships/comments" Target="../comments32.xml"/></Relationships>
</file>

<file path=xl/worksheets/_rels/sheet38.xml.rels><?xml version="1.0" encoding="UTF-8" standalone="yes"?>
<Relationships xmlns="http://schemas.openxmlformats.org/package/2006/relationships"><Relationship Id="rId1" Type="http://schemas.openxmlformats.org/officeDocument/2006/relationships/vmlDrawing" Target="../drawings/vmlDrawing33.vml"/><Relationship Id="rId2" Type="http://schemas.openxmlformats.org/officeDocument/2006/relationships/comments" Target="../comments33.xml"/></Relationships>
</file>

<file path=xl/worksheets/_rels/sheet39.xml.rels><?xml version="1.0" encoding="UTF-8" standalone="yes"?>
<Relationships xmlns="http://schemas.openxmlformats.org/package/2006/relationships"><Relationship Id="rId1" Type="http://schemas.openxmlformats.org/officeDocument/2006/relationships/vmlDrawing" Target="../drawings/vmlDrawing34.vml"/><Relationship Id="rId2" Type="http://schemas.openxmlformats.org/officeDocument/2006/relationships/comments" Target="../comments34.xml"/></Relationships>
</file>

<file path=xl/worksheets/_rels/sheet40.xml.rels><?xml version="1.0" encoding="UTF-8" standalone="yes"?>
<Relationships xmlns="http://schemas.openxmlformats.org/package/2006/relationships"><Relationship Id="rId1" Type="http://schemas.openxmlformats.org/officeDocument/2006/relationships/vmlDrawing" Target="../drawings/vmlDrawing35.vml"/><Relationship Id="rId2" Type="http://schemas.openxmlformats.org/officeDocument/2006/relationships/comments" Target="../comments35.xml"/></Relationships>
</file>

<file path=xl/worksheets/_rels/sheet41.xml.rels><?xml version="1.0" encoding="UTF-8" standalone="yes"?>
<Relationships xmlns="http://schemas.openxmlformats.org/package/2006/relationships"><Relationship Id="rId1" Type="http://schemas.openxmlformats.org/officeDocument/2006/relationships/vmlDrawing" Target="../drawings/vmlDrawing36.vml"/><Relationship Id="rId2" Type="http://schemas.openxmlformats.org/officeDocument/2006/relationships/comments" Target="../comments36.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
  <sheetViews>
    <sheetView tabSelected="1" topLeftCell="A3" zoomScale="125" zoomScaleNormal="125" zoomScalePageLayoutView="125" workbookViewId="0">
      <pane ySplit="720" topLeftCell="A60" activePane="bottomLeft"/>
      <selection activeCell="F65" sqref="F65"/>
      <selection pane="bottomLeft" activeCell="H77" sqref="H77"/>
    </sheetView>
  </sheetViews>
  <sheetFormatPr baseColWidth="10" defaultColWidth="0" defaultRowHeight="14" zeroHeight="1" x14ac:dyDescent="0"/>
  <cols>
    <col min="1" max="1" width="10.59765625" style="845" customWidth="1"/>
    <col min="2" max="2" width="36.19921875" style="845" customWidth="1"/>
    <col min="3" max="3" width="17" style="845" bestFit="1" customWidth="1"/>
    <col min="4" max="7" width="16.796875" style="845" bestFit="1" customWidth="1"/>
    <col min="8" max="8" width="13.796875" style="845" bestFit="1" customWidth="1"/>
    <col min="9" max="9" width="10.59765625" style="845" customWidth="1"/>
    <col min="10" max="16384" width="10.59765625" style="845" hidden="1"/>
  </cols>
  <sheetData>
    <row r="1" spans="1:9">
      <c r="A1" s="912"/>
      <c r="B1" s="845" t="s">
        <v>1197</v>
      </c>
      <c r="H1" s="912"/>
      <c r="I1" s="912"/>
    </row>
    <row r="2" spans="1:9" ht="15" thickBot="1">
      <c r="A2" s="912"/>
      <c r="H2" s="912"/>
      <c r="I2" s="912"/>
    </row>
    <row r="3" spans="1:9" ht="15" thickBot="1">
      <c r="A3" s="845" t="s">
        <v>1219</v>
      </c>
      <c r="B3" s="846" t="s">
        <v>1198</v>
      </c>
      <c r="C3" s="847" t="s">
        <v>222</v>
      </c>
      <c r="D3" s="847" t="s">
        <v>255</v>
      </c>
      <c r="E3" s="847" t="s">
        <v>256</v>
      </c>
      <c r="F3" s="847" t="s">
        <v>288</v>
      </c>
      <c r="G3" s="847" t="s">
        <v>289</v>
      </c>
      <c r="H3" s="912"/>
      <c r="I3" s="912"/>
    </row>
    <row r="4" spans="1:9">
      <c r="A4" s="845" t="s">
        <v>1220</v>
      </c>
      <c r="B4" s="848" t="s">
        <v>1199</v>
      </c>
      <c r="C4" s="849">
        <v>-11278674.66</v>
      </c>
      <c r="D4" s="849">
        <v>-9783397.3900000006</v>
      </c>
      <c r="E4" s="849">
        <v>-10147147.9</v>
      </c>
      <c r="F4" s="849">
        <v>-11811589.220000001</v>
      </c>
      <c r="G4" s="849">
        <v>-9366251.8300000001</v>
      </c>
      <c r="H4" s="935">
        <f>SUM(D4,D8,D13:D14,D17:D19)</f>
        <v>-16380319.439999999</v>
      </c>
      <c r="I4" s="912"/>
    </row>
    <row r="5" spans="1:9">
      <c r="A5" s="845" t="s">
        <v>1221</v>
      </c>
      <c r="B5" s="850" t="s">
        <v>1200</v>
      </c>
      <c r="C5" s="849">
        <v>-263950.04000000015</v>
      </c>
      <c r="D5" s="849">
        <v>-273166.07000000007</v>
      </c>
      <c r="E5" s="849">
        <v>-361043.10999999975</v>
      </c>
      <c r="F5" s="849">
        <v>-352034.22000000003</v>
      </c>
      <c r="G5" s="849">
        <v>-333711.99000000005</v>
      </c>
      <c r="H5" s="935">
        <f>H4+D15+D16</f>
        <v>-16639476.449999999</v>
      </c>
      <c r="I5" s="912"/>
    </row>
    <row r="6" spans="1:9">
      <c r="A6" s="845" t="s">
        <v>1221</v>
      </c>
      <c r="B6" s="850" t="s">
        <v>1201</v>
      </c>
      <c r="C6" s="849">
        <v>-12583</v>
      </c>
      <c r="D6" s="849">
        <v>-12583</v>
      </c>
      <c r="E6" s="849">
        <v>-72583</v>
      </c>
      <c r="F6" s="849">
        <v>-12583</v>
      </c>
      <c r="G6" s="849">
        <v>-48583</v>
      </c>
      <c r="H6" s="912"/>
      <c r="I6" s="912"/>
    </row>
    <row r="7" spans="1:9">
      <c r="A7" s="845" t="s">
        <v>1221</v>
      </c>
      <c r="B7" s="850" t="s">
        <v>1202</v>
      </c>
      <c r="C7" s="849">
        <v>-306814.7</v>
      </c>
      <c r="D7" s="849">
        <v>-34607.360000000001</v>
      </c>
      <c r="E7" s="849">
        <v>-41441</v>
      </c>
      <c r="F7" s="849">
        <v>-22795.14</v>
      </c>
      <c r="G7" s="849">
        <v>-37317</v>
      </c>
      <c r="H7" s="912"/>
      <c r="I7" s="912"/>
    </row>
    <row r="8" spans="1:9">
      <c r="A8" s="845" t="s">
        <v>265</v>
      </c>
      <c r="B8" s="848" t="s">
        <v>1203</v>
      </c>
      <c r="C8" s="849">
        <v>-533635.39</v>
      </c>
      <c r="D8" s="849">
        <v>-349342.17</v>
      </c>
      <c r="E8" s="849">
        <v>-221106.19999999995</v>
      </c>
      <c r="F8" s="849">
        <v>-340743.51</v>
      </c>
      <c r="G8" s="849">
        <v>-255717.05</v>
      </c>
      <c r="H8" s="912"/>
      <c r="I8" s="912"/>
    </row>
    <row r="9" spans="1:9">
      <c r="A9" s="845" t="s">
        <v>1221</v>
      </c>
      <c r="B9" s="850" t="s">
        <v>1204</v>
      </c>
      <c r="C9" s="849">
        <v>-571675.37</v>
      </c>
      <c r="D9" s="849">
        <v>-556910.85</v>
      </c>
      <c r="E9" s="849">
        <v>-433528.71</v>
      </c>
      <c r="F9" s="849">
        <v>-515839.52</v>
      </c>
      <c r="G9" s="849">
        <v>-183946.17</v>
      </c>
      <c r="H9" s="912"/>
      <c r="I9" s="912"/>
    </row>
    <row r="10" spans="1:9">
      <c r="A10" s="845" t="s">
        <v>1221</v>
      </c>
      <c r="B10" s="850" t="s">
        <v>1205</v>
      </c>
      <c r="C10" s="849">
        <v>-5205.6228000000001</v>
      </c>
      <c r="D10" s="849">
        <v>-217</v>
      </c>
      <c r="E10" s="849">
        <v>0</v>
      </c>
      <c r="F10" s="849">
        <v>-8205.2044830000013</v>
      </c>
      <c r="G10" s="849">
        <v>-14082.578015999999</v>
      </c>
      <c r="H10" s="912"/>
      <c r="I10" s="912"/>
    </row>
    <row r="11" spans="1:9">
      <c r="A11" s="845" t="s">
        <v>1221</v>
      </c>
      <c r="B11" s="850" t="s">
        <v>1206</v>
      </c>
      <c r="C11" s="849">
        <v>-84854.76999999999</v>
      </c>
      <c r="D11" s="849">
        <v>-81667</v>
      </c>
      <c r="E11" s="849">
        <v>-55785.45</v>
      </c>
      <c r="F11" s="849">
        <v>-92688.31</v>
      </c>
      <c r="G11" s="849">
        <v>-84333</v>
      </c>
      <c r="H11" s="912"/>
      <c r="I11" s="912"/>
    </row>
    <row r="12" spans="1:9">
      <c r="A12" s="845" t="s">
        <v>1221</v>
      </c>
      <c r="B12" s="850" t="s">
        <v>1207</v>
      </c>
      <c r="C12" s="849">
        <v>-576.41000000000008</v>
      </c>
      <c r="D12" s="849">
        <v>-221.2</v>
      </c>
      <c r="E12" s="849">
        <v>1020.7499999999999</v>
      </c>
      <c r="F12" s="849">
        <v>-2973.5</v>
      </c>
      <c r="G12" s="849">
        <v>-1965.65</v>
      </c>
      <c r="H12" s="912"/>
      <c r="I12" s="912"/>
    </row>
    <row r="13" spans="1:9">
      <c r="A13" s="845" t="s">
        <v>1220</v>
      </c>
      <c r="B13" s="848" t="s">
        <v>1208</v>
      </c>
      <c r="C13" s="849">
        <v>-5087636.7925000004</v>
      </c>
      <c r="D13" s="849">
        <v>-4412479.92</v>
      </c>
      <c r="E13" s="849">
        <v>-4683770.2399999993</v>
      </c>
      <c r="F13" s="849">
        <v>-3846185.8200000003</v>
      </c>
      <c r="G13" s="849">
        <v>-4903066.03</v>
      </c>
      <c r="H13" s="912"/>
      <c r="I13" s="912"/>
    </row>
    <row r="14" spans="1:9">
      <c r="A14" s="845" t="s">
        <v>265</v>
      </c>
      <c r="B14" s="848" t="s">
        <v>1209</v>
      </c>
      <c r="C14" s="849">
        <v>-36894.58</v>
      </c>
      <c r="D14" s="849">
        <v>-26603</v>
      </c>
      <c r="E14" s="849">
        <v>-24777.32</v>
      </c>
      <c r="F14" s="849">
        <v>-20000</v>
      </c>
      <c r="G14" s="849">
        <v>-15896.44</v>
      </c>
      <c r="H14" s="912"/>
      <c r="I14" s="912"/>
    </row>
    <row r="15" spans="1:9">
      <c r="A15" s="845" t="s">
        <v>1222</v>
      </c>
      <c r="B15" s="851" t="s">
        <v>1210</v>
      </c>
      <c r="C15" s="849">
        <v>-151071.34</v>
      </c>
      <c r="D15" s="849">
        <v>-213815.01</v>
      </c>
      <c r="E15" s="849">
        <v>-167122.66</v>
      </c>
      <c r="F15" s="849">
        <v>-291570.96999999997</v>
      </c>
      <c r="G15" s="849">
        <v>-173498.2</v>
      </c>
      <c r="H15" s="912"/>
      <c r="I15" s="912"/>
    </row>
    <row r="16" spans="1:9">
      <c r="A16" s="845" t="s">
        <v>1223</v>
      </c>
      <c r="B16" s="851" t="s">
        <v>1211</v>
      </c>
      <c r="C16" s="849">
        <v>-66648</v>
      </c>
      <c r="D16" s="849">
        <v>-45342</v>
      </c>
      <c r="E16" s="849">
        <v>-62014</v>
      </c>
      <c r="F16" s="849">
        <v>-68032</v>
      </c>
      <c r="G16" s="849">
        <v>-54873</v>
      </c>
      <c r="H16" s="912"/>
      <c r="I16" s="912"/>
    </row>
    <row r="17" spans="1:9">
      <c r="A17" s="845" t="s">
        <v>1220</v>
      </c>
      <c r="B17" s="848" t="s">
        <v>1212</v>
      </c>
      <c r="C17" s="849">
        <v>-320643.52999999997</v>
      </c>
      <c r="D17" s="849">
        <v>-280620.51</v>
      </c>
      <c r="E17" s="849">
        <v>-359219.65</v>
      </c>
      <c r="F17" s="849">
        <v>-355706.12</v>
      </c>
      <c r="G17" s="849">
        <v>-345101.43</v>
      </c>
      <c r="H17" s="912"/>
      <c r="I17" s="912"/>
    </row>
    <row r="18" spans="1:9">
      <c r="A18" s="845" t="s">
        <v>265</v>
      </c>
      <c r="B18" s="848" t="s">
        <v>1213</v>
      </c>
      <c r="C18" s="849">
        <v>-225128.6875</v>
      </c>
      <c r="D18" s="849">
        <v>-279506.95</v>
      </c>
      <c r="E18" s="849">
        <v>-280018.7</v>
      </c>
      <c r="F18" s="849">
        <v>-163037</v>
      </c>
      <c r="G18" s="849">
        <v>-166165</v>
      </c>
      <c r="H18" s="912"/>
      <c r="I18" s="912"/>
    </row>
    <row r="19" spans="1:9">
      <c r="A19" s="845" t="s">
        <v>265</v>
      </c>
      <c r="B19" s="848" t="s">
        <v>1214</v>
      </c>
      <c r="C19" s="849">
        <v>-1054333.45</v>
      </c>
      <c r="D19" s="849">
        <v>-1248369.5</v>
      </c>
      <c r="E19" s="849">
        <v>-1400239</v>
      </c>
      <c r="F19" s="849">
        <v>-1399575</v>
      </c>
      <c r="G19" s="849">
        <v>-1670740</v>
      </c>
      <c r="H19" s="912"/>
      <c r="I19" s="912"/>
    </row>
    <row r="20" spans="1:9">
      <c r="A20" s="845" t="s">
        <v>1220</v>
      </c>
      <c r="B20" s="857" t="s">
        <v>1215</v>
      </c>
      <c r="C20" s="852">
        <v>-148133</v>
      </c>
      <c r="D20" s="852">
        <v>-138749</v>
      </c>
      <c r="E20" s="852">
        <v>-139626</v>
      </c>
      <c r="F20" s="852">
        <v>-143438</v>
      </c>
      <c r="G20" s="852">
        <v>-147098</v>
      </c>
      <c r="H20" s="912"/>
      <c r="I20" s="912"/>
    </row>
    <row r="21" spans="1:9">
      <c r="A21" s="912"/>
      <c r="C21" s="853">
        <v>-20148459.342799999</v>
      </c>
      <c r="D21" s="853">
        <v>-17737597.93</v>
      </c>
      <c r="E21" s="853">
        <v>-18448402.190000001</v>
      </c>
      <c r="F21" s="853">
        <v>-19446996.534483004</v>
      </c>
      <c r="G21" s="853">
        <v>-17802346.368015997</v>
      </c>
      <c r="H21" s="912"/>
      <c r="I21" s="912"/>
    </row>
    <row r="22" spans="1:9">
      <c r="A22" s="912"/>
      <c r="H22" s="912"/>
      <c r="I22" s="912"/>
    </row>
    <row r="23" spans="1:9">
      <c r="A23" s="912"/>
      <c r="H23" s="912"/>
      <c r="I23" s="912"/>
    </row>
    <row r="24" spans="1:9">
      <c r="A24" s="912"/>
      <c r="B24" s="845" t="s">
        <v>1216</v>
      </c>
      <c r="C24" s="854">
        <f>SUM(C4,C5,C6,C7,C8,C9,C11,C12,C15,C16,C19,C20)</f>
        <v>-14472950.129999999</v>
      </c>
      <c r="D24" s="854">
        <f>SUM(D4,D5,D6,D7,D8,D9,D11,D12,D15,D16,D19,D20)</f>
        <v>-12738170.549999999</v>
      </c>
      <c r="E24" s="854">
        <f>SUM(E4,E5,E6,E7,E8,E9,E11,E12,E15,E16,E19,E20)</f>
        <v>-13100616.279999999</v>
      </c>
      <c r="F24" s="854">
        <f>SUM(F4,F5,F6,F7,F8,F9,F11,F12,F15,F16,F19,F20)</f>
        <v>-15053862.390000002</v>
      </c>
      <c r="G24" s="854">
        <f>SUM(G4,G5,G6,G7,G8,G9,G11,G12,G15,G16,G19,G20)</f>
        <v>-12358034.890000001</v>
      </c>
      <c r="H24" s="912"/>
      <c r="I24" s="912"/>
    </row>
    <row r="25" spans="1:9">
      <c r="A25" s="912"/>
      <c r="B25" s="845" t="s">
        <v>1217</v>
      </c>
      <c r="C25" s="854">
        <f>SUM(C13,C14,C18+C10)</f>
        <v>-5354865.6828000005</v>
      </c>
      <c r="D25" s="854">
        <f t="shared" ref="D25:G25" si="0">SUM(D13,D14,D18+D10)</f>
        <v>-4718806.87</v>
      </c>
      <c r="E25" s="854">
        <f t="shared" si="0"/>
        <v>-4988566.26</v>
      </c>
      <c r="F25" s="854">
        <f t="shared" si="0"/>
        <v>-4037428.0244830004</v>
      </c>
      <c r="G25" s="854">
        <f t="shared" si="0"/>
        <v>-5099210.0480160005</v>
      </c>
      <c r="H25" s="912"/>
      <c r="I25" s="912"/>
    </row>
    <row r="26" spans="1:9">
      <c r="A26" s="912"/>
      <c r="B26" s="845" t="s">
        <v>945</v>
      </c>
      <c r="C26" s="854">
        <f>SUM(C17)</f>
        <v>-320643.52999999997</v>
      </c>
      <c r="D26" s="854">
        <f t="shared" ref="D26:G26" si="1">SUM(D17)</f>
        <v>-280620.51</v>
      </c>
      <c r="E26" s="854">
        <f t="shared" si="1"/>
        <v>-359219.65</v>
      </c>
      <c r="F26" s="854">
        <f t="shared" si="1"/>
        <v>-355706.12</v>
      </c>
      <c r="G26" s="854">
        <f t="shared" si="1"/>
        <v>-345101.43</v>
      </c>
      <c r="H26" s="912"/>
      <c r="I26" s="912"/>
    </row>
    <row r="27" spans="1:9">
      <c r="A27" s="912"/>
      <c r="H27" s="912"/>
      <c r="I27" s="912"/>
    </row>
    <row r="28" spans="1:9" ht="27" customHeight="1">
      <c r="A28" s="914" t="s">
        <v>1244</v>
      </c>
      <c r="B28" s="915" t="s">
        <v>897</v>
      </c>
      <c r="C28" s="916">
        <f>SUM(C24:C26)</f>
        <v>-20148459.342799999</v>
      </c>
      <c r="D28" s="916">
        <f t="shared" ref="D28:G28" si="2">SUM(D24:D26)</f>
        <v>-17737597.93</v>
      </c>
      <c r="E28" s="916">
        <f t="shared" si="2"/>
        <v>-18448402.189999998</v>
      </c>
      <c r="F28" s="916">
        <f t="shared" si="2"/>
        <v>-19446996.534483004</v>
      </c>
      <c r="G28" s="916">
        <f t="shared" si="2"/>
        <v>-17802346.368016001</v>
      </c>
      <c r="H28" s="912"/>
      <c r="I28" s="912"/>
    </row>
    <row r="29" spans="1:9">
      <c r="A29" s="912"/>
      <c r="B29" s="913" t="s">
        <v>1218</v>
      </c>
      <c r="C29" s="912"/>
      <c r="D29" s="912"/>
      <c r="E29" s="912"/>
      <c r="F29" s="912"/>
      <c r="G29" s="912"/>
      <c r="H29" s="912"/>
      <c r="I29" s="912"/>
    </row>
    <row r="30" spans="1:9">
      <c r="A30" s="912"/>
      <c r="B30" s="913"/>
      <c r="C30" s="912"/>
      <c r="D30" s="912"/>
      <c r="E30" s="912"/>
      <c r="F30" s="912"/>
      <c r="G30" s="912"/>
      <c r="H30" s="912"/>
      <c r="I30" s="912"/>
    </row>
    <row r="31" spans="1:9">
      <c r="A31" s="912"/>
      <c r="B31" s="913"/>
      <c r="C31" s="912"/>
      <c r="D31" s="912"/>
      <c r="E31" s="912"/>
      <c r="F31" s="912"/>
      <c r="G31" s="912"/>
      <c r="H31" s="912"/>
      <c r="I31" s="912"/>
    </row>
    <row r="32" spans="1:9" ht="12" customHeight="1" thickBot="1">
      <c r="A32" s="912"/>
      <c r="B32" s="912"/>
      <c r="C32" s="912"/>
      <c r="D32" s="912"/>
      <c r="E32" s="912"/>
      <c r="F32" s="912"/>
      <c r="G32" s="912"/>
      <c r="H32" s="912"/>
      <c r="I32" s="912"/>
    </row>
    <row r="33" spans="1:9" ht="7" customHeight="1">
      <c r="A33" s="912"/>
      <c r="B33" s="893"/>
      <c r="C33" s="894"/>
      <c r="D33" s="894"/>
      <c r="E33" s="894"/>
      <c r="F33" s="894"/>
      <c r="G33" s="895"/>
      <c r="H33" s="912"/>
      <c r="I33" s="912"/>
    </row>
    <row r="34" spans="1:9">
      <c r="A34" s="912"/>
      <c r="B34" s="896"/>
      <c r="C34" s="897"/>
      <c r="D34" s="897"/>
      <c r="E34" s="897"/>
      <c r="F34" s="897"/>
      <c r="G34" s="898"/>
      <c r="H34" s="912"/>
      <c r="I34" s="912"/>
    </row>
    <row r="35" spans="1:9" ht="38" customHeight="1">
      <c r="A35" s="912"/>
      <c r="B35" s="936" t="s">
        <v>1243</v>
      </c>
      <c r="C35" s="937"/>
      <c r="D35" s="937"/>
      <c r="E35" s="937"/>
      <c r="F35" s="937"/>
      <c r="G35" s="938"/>
      <c r="H35" s="912"/>
      <c r="I35" s="912"/>
    </row>
    <row r="36" spans="1:9">
      <c r="A36" s="912"/>
      <c r="B36" s="896"/>
      <c r="C36" s="897"/>
      <c r="D36" s="897"/>
      <c r="E36" s="897"/>
      <c r="F36" s="897"/>
      <c r="G36" s="898"/>
      <c r="H36" s="912"/>
      <c r="I36" s="912"/>
    </row>
    <row r="37" spans="1:9">
      <c r="A37" s="912"/>
      <c r="B37" s="899" t="s">
        <v>1246</v>
      </c>
      <c r="C37" s="900">
        <f>'Jan14 Revenue'!J246</f>
        <v>23096651.463438999</v>
      </c>
      <c r="D37" s="900">
        <f>'Feb14 Revenue'!J247</f>
        <v>20160422.064636</v>
      </c>
      <c r="E37" s="900">
        <f>'Mar14 Revenue'!J249</f>
        <v>20436422.099010002</v>
      </c>
      <c r="F37" s="900">
        <f>'Apr14 Revenue'!J249</f>
        <v>24456842.220696002</v>
      </c>
      <c r="G37" s="901">
        <f>'May14 Revenue'!J249</f>
        <v>19453412.879999992</v>
      </c>
      <c r="H37" s="912"/>
      <c r="I37" s="912"/>
    </row>
    <row r="38" spans="1:9">
      <c r="A38" s="912"/>
      <c r="B38" s="896"/>
      <c r="C38" s="897"/>
      <c r="D38" s="897"/>
      <c r="E38" s="897"/>
      <c r="F38" s="897"/>
      <c r="G38" s="898"/>
      <c r="H38" s="912"/>
      <c r="I38" s="912"/>
    </row>
    <row r="39" spans="1:9" ht="7" customHeight="1" thickBot="1">
      <c r="A39" s="912"/>
      <c r="B39" s="902"/>
      <c r="C39" s="903"/>
      <c r="D39" s="903"/>
      <c r="E39" s="903"/>
      <c r="F39" s="903"/>
      <c r="G39" s="904"/>
      <c r="H39" s="912"/>
      <c r="I39" s="912"/>
    </row>
    <row r="40" spans="1:9">
      <c r="A40" s="912"/>
      <c r="H40" s="912"/>
      <c r="I40" s="912"/>
    </row>
    <row r="41" spans="1:9">
      <c r="A41" s="912"/>
      <c r="B41" s="939" t="s">
        <v>1245</v>
      </c>
      <c r="C41" s="939"/>
      <c r="D41" s="939"/>
      <c r="E41" s="939"/>
      <c r="F41" s="939"/>
      <c r="G41" s="939"/>
      <c r="H41" s="912"/>
      <c r="I41" s="912"/>
    </row>
    <row r="42" spans="1:9">
      <c r="A42" s="912"/>
      <c r="H42" s="912"/>
      <c r="I42" s="912"/>
    </row>
    <row r="43" spans="1:9">
      <c r="A43" s="912"/>
      <c r="H43" s="912"/>
      <c r="I43" s="912"/>
    </row>
    <row r="44" spans="1:9">
      <c r="A44" s="912"/>
      <c r="B44" s="845" t="s">
        <v>1224</v>
      </c>
      <c r="H44" s="912"/>
      <c r="I44" s="912"/>
    </row>
    <row r="45" spans="1:9">
      <c r="A45" s="912"/>
      <c r="B45" s="845" t="s">
        <v>1221</v>
      </c>
      <c r="C45" s="907">
        <f>ABS(SUMIFS(C$4:C$20,$A$4:$A$20, $B45))</f>
        <v>1245659.9128000003</v>
      </c>
      <c r="D45" s="907">
        <f t="shared" ref="D45:G49" si="3">ABS(SUMIFS(D$4:D$20,$A$4:$A$20, $B45))</f>
        <v>959372.48</v>
      </c>
      <c r="E45" s="907">
        <f t="shared" si="3"/>
        <v>963360.51999999979</v>
      </c>
      <c r="F45" s="907">
        <f t="shared" si="3"/>
        <v>1007118.894483</v>
      </c>
      <c r="G45" s="907">
        <f t="shared" si="3"/>
        <v>703939.38801600004</v>
      </c>
      <c r="H45" s="912"/>
      <c r="I45" s="912"/>
    </row>
    <row r="46" spans="1:9">
      <c r="A46" s="912"/>
      <c r="B46" s="845" t="s">
        <v>1220</v>
      </c>
      <c r="C46" s="907">
        <f t="shared" ref="C46:C49" si="4">ABS(SUMIFS(C$4:C$20,$A$4:$A$20, $B46))</f>
        <v>16835087.982500002</v>
      </c>
      <c r="D46" s="907">
        <f t="shared" si="3"/>
        <v>14615246.82</v>
      </c>
      <c r="E46" s="907">
        <f t="shared" si="3"/>
        <v>15329763.790000001</v>
      </c>
      <c r="F46" s="907">
        <f t="shared" si="3"/>
        <v>16156919.16</v>
      </c>
      <c r="G46" s="907">
        <f t="shared" si="3"/>
        <v>14761517.289999999</v>
      </c>
      <c r="H46" s="912"/>
      <c r="I46" s="912"/>
    </row>
    <row r="47" spans="1:9">
      <c r="A47" s="912"/>
      <c r="B47" s="845" t="s">
        <v>265</v>
      </c>
      <c r="C47" s="907">
        <f t="shared" si="4"/>
        <v>1849992.1074999999</v>
      </c>
      <c r="D47" s="907">
        <f t="shared" si="3"/>
        <v>1903821.62</v>
      </c>
      <c r="E47" s="907">
        <f t="shared" si="3"/>
        <v>1926141.22</v>
      </c>
      <c r="F47" s="907">
        <f t="shared" si="3"/>
        <v>1923355.51</v>
      </c>
      <c r="G47" s="907">
        <f t="shared" si="3"/>
        <v>2108518.4900000002</v>
      </c>
      <c r="H47" s="912"/>
      <c r="I47" s="912"/>
    </row>
    <row r="48" spans="1:9">
      <c r="A48" s="912"/>
      <c r="B48" s="845" t="s">
        <v>1222</v>
      </c>
      <c r="C48" s="907">
        <f t="shared" si="4"/>
        <v>151071.34</v>
      </c>
      <c r="D48" s="907">
        <f t="shared" si="3"/>
        <v>213815.01</v>
      </c>
      <c r="E48" s="907">
        <f t="shared" si="3"/>
        <v>167122.66</v>
      </c>
      <c r="F48" s="907">
        <f t="shared" si="3"/>
        <v>291570.96999999997</v>
      </c>
      <c r="G48" s="907">
        <f t="shared" si="3"/>
        <v>173498.2</v>
      </c>
      <c r="H48" s="912"/>
      <c r="I48" s="912"/>
    </row>
    <row r="49" spans="1:9">
      <c r="A49" s="912"/>
      <c r="B49" s="845" t="s">
        <v>1223</v>
      </c>
      <c r="C49" s="907">
        <f t="shared" si="4"/>
        <v>66648</v>
      </c>
      <c r="D49" s="907">
        <f t="shared" si="3"/>
        <v>45342</v>
      </c>
      <c r="E49" s="907">
        <f t="shared" si="3"/>
        <v>62014</v>
      </c>
      <c r="F49" s="907">
        <f t="shared" si="3"/>
        <v>68032</v>
      </c>
      <c r="G49" s="907">
        <f t="shared" si="3"/>
        <v>54873</v>
      </c>
      <c r="H49" s="912"/>
      <c r="I49" s="912"/>
    </row>
    <row r="50" spans="1:9">
      <c r="A50" s="912"/>
      <c r="B50" s="859" t="s">
        <v>1225</v>
      </c>
      <c r="C50" s="908">
        <f>SUM(C45:C49)</f>
        <v>20148459.342800003</v>
      </c>
      <c r="D50" s="908">
        <f t="shared" ref="D50:G50" si="5">SUM(D45:D49)</f>
        <v>17737597.930000003</v>
      </c>
      <c r="E50" s="908">
        <f t="shared" si="5"/>
        <v>18448402.190000001</v>
      </c>
      <c r="F50" s="908">
        <f t="shared" si="5"/>
        <v>19446996.534483001</v>
      </c>
      <c r="G50" s="908">
        <f t="shared" si="5"/>
        <v>17802346.368016001</v>
      </c>
      <c r="H50" s="912"/>
      <c r="I50" s="912"/>
    </row>
    <row r="51" spans="1:9">
      <c r="A51" s="912"/>
      <c r="B51" s="855" t="s">
        <v>1226</v>
      </c>
      <c r="C51" s="909">
        <f>-C48</f>
        <v>-151071.34</v>
      </c>
      <c r="D51" s="909">
        <f t="shared" ref="D51:G51" si="6">-D48</f>
        <v>-213815.01</v>
      </c>
      <c r="E51" s="909">
        <f t="shared" si="6"/>
        <v>-167122.66</v>
      </c>
      <c r="F51" s="909">
        <f t="shared" si="6"/>
        <v>-291570.96999999997</v>
      </c>
      <c r="G51" s="909">
        <f t="shared" si="6"/>
        <v>-173498.2</v>
      </c>
      <c r="H51" s="912"/>
      <c r="I51" s="912"/>
    </row>
    <row r="52" spans="1:9">
      <c r="A52" s="912"/>
      <c r="B52" s="845" t="s">
        <v>1227</v>
      </c>
      <c r="C52" s="907">
        <f>C48/0.06</f>
        <v>2517855.6666666665</v>
      </c>
      <c r="D52" s="907">
        <f t="shared" ref="D52:G52" si="7">D48/0.06</f>
        <v>3563583.5000000005</v>
      </c>
      <c r="E52" s="907">
        <f t="shared" si="7"/>
        <v>2785377.666666667</v>
      </c>
      <c r="F52" s="907">
        <f t="shared" si="7"/>
        <v>4859516.166666666</v>
      </c>
      <c r="G52" s="907">
        <f t="shared" si="7"/>
        <v>2891636.666666667</v>
      </c>
      <c r="H52" s="912"/>
      <c r="I52" s="912"/>
    </row>
    <row r="53" spans="1:9">
      <c r="A53" s="912"/>
      <c r="B53" s="855" t="s">
        <v>1228</v>
      </c>
      <c r="C53" s="909">
        <f>-C49</f>
        <v>-66648</v>
      </c>
      <c r="D53" s="909">
        <f t="shared" ref="D53:G53" si="8">-D49</f>
        <v>-45342</v>
      </c>
      <c r="E53" s="909">
        <f t="shared" si="8"/>
        <v>-62014</v>
      </c>
      <c r="F53" s="909">
        <f t="shared" si="8"/>
        <v>-68032</v>
      </c>
      <c r="G53" s="909">
        <f t="shared" si="8"/>
        <v>-54873</v>
      </c>
      <c r="H53" s="912"/>
      <c r="I53" s="912"/>
    </row>
    <row r="54" spans="1:9">
      <c r="A54" s="912"/>
      <c r="B54" s="845" t="s">
        <v>1229</v>
      </c>
      <c r="C54" s="907">
        <f>C49/0.13</f>
        <v>512676.92307692306</v>
      </c>
      <c r="D54" s="907">
        <f t="shared" ref="D54:G54" si="9">D49/0.13</f>
        <v>348784.61538461538</v>
      </c>
      <c r="E54" s="907">
        <f t="shared" si="9"/>
        <v>477030.76923076919</v>
      </c>
      <c r="F54" s="907">
        <f t="shared" si="9"/>
        <v>523323.07692307688</v>
      </c>
      <c r="G54" s="907">
        <f t="shared" si="9"/>
        <v>422100</v>
      </c>
      <c r="H54" s="912"/>
      <c r="I54" s="912"/>
    </row>
    <row r="55" spans="1:9">
      <c r="A55" s="912"/>
      <c r="B55" s="858" t="s">
        <v>1230</v>
      </c>
      <c r="C55" s="910">
        <f>SUM(C50:C54)</f>
        <v>22961272.592543595</v>
      </c>
      <c r="D55" s="910">
        <f t="shared" ref="D55:G55" si="10">SUM(D50:D54)</f>
        <v>21390809.035384618</v>
      </c>
      <c r="E55" s="910">
        <f t="shared" si="10"/>
        <v>21481673.965897437</v>
      </c>
      <c r="F55" s="910">
        <f t="shared" si="10"/>
        <v>24470232.808072742</v>
      </c>
      <c r="G55" s="910">
        <f t="shared" si="10"/>
        <v>20887711.834682669</v>
      </c>
      <c r="H55" s="912"/>
      <c r="I55" s="912"/>
    </row>
    <row r="56" spans="1:9">
      <c r="A56" s="912"/>
      <c r="C56" s="907"/>
      <c r="D56" s="907"/>
      <c r="E56" s="907"/>
      <c r="F56" s="907"/>
      <c r="G56" s="907"/>
      <c r="H56" s="912"/>
      <c r="I56" s="912"/>
    </row>
    <row r="57" spans="1:9">
      <c r="A57" s="912"/>
      <c r="B57" s="858" t="s">
        <v>1231</v>
      </c>
      <c r="C57" s="910">
        <f>C55-C37</f>
        <v>-135378.87089540437</v>
      </c>
      <c r="D57" s="910">
        <f>D55-D37</f>
        <v>1230386.9707486182</v>
      </c>
      <c r="E57" s="910">
        <f>E55-E37</f>
        <v>1045251.8668874353</v>
      </c>
      <c r="F57" s="910">
        <f>F55-F37</f>
        <v>13390.58737673983</v>
      </c>
      <c r="G57" s="910">
        <f>G55-G37</f>
        <v>1434298.954682678</v>
      </c>
      <c r="H57" s="912"/>
      <c r="I57" s="912"/>
    </row>
    <row r="58" spans="1:9">
      <c r="A58" s="912"/>
      <c r="H58" s="912"/>
      <c r="I58" s="912"/>
    </row>
    <row r="59" spans="1:9" ht="7" customHeight="1">
      <c r="A59" s="912"/>
      <c r="B59" s="856"/>
      <c r="C59" s="856"/>
      <c r="D59" s="856"/>
      <c r="E59" s="856"/>
      <c r="F59" s="856"/>
      <c r="G59" s="856"/>
      <c r="H59" s="912"/>
      <c r="I59" s="912"/>
    </row>
    <row r="60" spans="1:9">
      <c r="A60" s="912"/>
      <c r="H60" s="912"/>
      <c r="I60" s="912"/>
    </row>
    <row r="61" spans="1:9">
      <c r="A61" s="912"/>
      <c r="B61" s="939" t="s">
        <v>1248</v>
      </c>
      <c r="C61" s="939"/>
      <c r="D61" s="939"/>
      <c r="E61" s="939"/>
      <c r="F61" s="939"/>
      <c r="G61" s="939"/>
      <c r="H61" s="912"/>
      <c r="I61" s="912"/>
    </row>
    <row r="62" spans="1:9" s="905" customFormat="1">
      <c r="A62" s="912"/>
      <c r="B62" s="906"/>
      <c r="C62" s="906"/>
      <c r="D62" s="906"/>
      <c r="E62" s="906"/>
      <c r="F62" s="906"/>
      <c r="G62" s="906"/>
      <c r="H62" s="912"/>
      <c r="I62" s="912"/>
    </row>
    <row r="63" spans="1:9" s="905" customFormat="1">
      <c r="A63" s="912"/>
      <c r="B63" s="934" t="s">
        <v>1258</v>
      </c>
      <c r="C63" s="920">
        <v>0.06</v>
      </c>
      <c r="D63" s="920">
        <v>0.06</v>
      </c>
      <c r="E63" s="920">
        <v>0.06</v>
      </c>
      <c r="F63" s="920">
        <v>0.06</v>
      </c>
      <c r="G63" s="920">
        <v>0.06</v>
      </c>
      <c r="H63" s="920">
        <v>0.06</v>
      </c>
      <c r="I63" s="912"/>
    </row>
    <row r="64" spans="1:9" s="905" customFormat="1">
      <c r="A64" s="912"/>
      <c r="B64" s="934" t="s">
        <v>1256</v>
      </c>
      <c r="C64" s="920">
        <v>0.1</v>
      </c>
      <c r="D64" s="920">
        <v>0.1</v>
      </c>
      <c r="E64" s="920">
        <v>0.1</v>
      </c>
      <c r="F64" s="920">
        <v>0.1</v>
      </c>
      <c r="G64" s="920">
        <v>0.1</v>
      </c>
      <c r="H64" s="920">
        <v>0.1</v>
      </c>
      <c r="I64" s="912"/>
    </row>
    <row r="65" spans="1:9" s="905" customFormat="1">
      <c r="A65" s="912"/>
      <c r="B65" s="934" t="s">
        <v>1257</v>
      </c>
      <c r="C65" s="920">
        <v>0.12</v>
      </c>
      <c r="D65" s="920">
        <v>0.12</v>
      </c>
      <c r="E65" s="920">
        <v>0.14000000000000001</v>
      </c>
      <c r="F65" s="920">
        <v>0.14000000000000001</v>
      </c>
      <c r="G65" s="920">
        <v>0.14000000000000001</v>
      </c>
      <c r="H65" s="920">
        <v>0.14000000000000001</v>
      </c>
      <c r="I65" s="912"/>
    </row>
    <row r="66" spans="1:9" s="905" customFormat="1">
      <c r="A66" s="912"/>
      <c r="B66" s="906"/>
      <c r="C66" s="906"/>
      <c r="D66" s="906"/>
      <c r="E66" s="906"/>
      <c r="F66" s="906"/>
      <c r="G66" s="906"/>
      <c r="H66" s="912"/>
      <c r="I66" s="912"/>
    </row>
    <row r="67" spans="1:9">
      <c r="A67" s="912"/>
      <c r="B67" s="911" t="s">
        <v>1249</v>
      </c>
      <c r="C67" s="917">
        <f>Splits!N25</f>
        <v>0.16700000000000001</v>
      </c>
      <c r="D67" s="917">
        <f>Splits!O25</f>
        <v>0.16500000000000001</v>
      </c>
      <c r="E67" s="917">
        <f>Splits!P25</f>
        <v>0.19600000000000001</v>
      </c>
      <c r="F67" s="917">
        <f>Splits!Q25</f>
        <v>0.21</v>
      </c>
      <c r="G67" s="917">
        <f>Splits!R25</f>
        <v>0.16</v>
      </c>
      <c r="H67" s="912"/>
      <c r="I67" s="912"/>
    </row>
    <row r="68" spans="1:9">
      <c r="A68" s="912"/>
      <c r="B68" s="911" t="s">
        <v>1250</v>
      </c>
      <c r="C68" s="917">
        <f>Splits!N26</f>
        <v>2.7E-2</v>
      </c>
      <c r="D68" s="917">
        <f>Splits!O26</f>
        <v>2.1000000000000001E-2</v>
      </c>
      <c r="E68" s="917">
        <f>Splits!P26</f>
        <v>2.4E-2</v>
      </c>
      <c r="F68" s="917">
        <f>Splits!Q26</f>
        <v>2.5000000000000001E-2</v>
      </c>
      <c r="G68" s="917">
        <f>Splits!R26</f>
        <v>2.5999999999999999E-2</v>
      </c>
      <c r="H68" s="912"/>
      <c r="I68" s="912"/>
    </row>
    <row r="69" spans="1:9">
      <c r="A69" s="912"/>
      <c r="B69" s="909"/>
      <c r="C69" s="909" t="s">
        <v>1265</v>
      </c>
      <c r="D69" s="909"/>
      <c r="E69" s="909"/>
      <c r="F69" s="909" t="s">
        <v>1265</v>
      </c>
      <c r="G69" s="909"/>
      <c r="H69" s="909" t="s">
        <v>1265</v>
      </c>
      <c r="I69" s="912"/>
    </row>
    <row r="70" spans="1:9">
      <c r="A70" s="912"/>
      <c r="B70" s="909" t="s">
        <v>1255</v>
      </c>
      <c r="C70" s="909">
        <v>401732</v>
      </c>
      <c r="D70" s="909">
        <v>401732</v>
      </c>
      <c r="E70" s="909">
        <v>337945.71</v>
      </c>
      <c r="F70" s="909">
        <v>270089</v>
      </c>
      <c r="G70" s="909">
        <v>270089</v>
      </c>
      <c r="H70" s="909">
        <v>266132</v>
      </c>
      <c r="I70" s="912"/>
    </row>
    <row r="71" spans="1:9" s="933" customFormat="1" ht="11">
      <c r="A71" s="931"/>
      <c r="B71" s="932" t="s">
        <v>1262</v>
      </c>
      <c r="C71" s="932">
        <v>257269</v>
      </c>
      <c r="D71" s="932">
        <v>257269</v>
      </c>
      <c r="E71" s="932">
        <v>182096</v>
      </c>
      <c r="F71" s="932">
        <v>186455</v>
      </c>
      <c r="G71" s="932">
        <v>186455</v>
      </c>
      <c r="H71" s="932">
        <v>296138</v>
      </c>
      <c r="I71" s="931"/>
    </row>
    <row r="72" spans="1:9" s="933" customFormat="1" ht="11">
      <c r="A72" s="931"/>
      <c r="B72" s="932" t="s">
        <v>1263</v>
      </c>
      <c r="C72" s="932">
        <v>1139</v>
      </c>
      <c r="D72" s="932">
        <v>1139</v>
      </c>
      <c r="E72" s="932">
        <v>1385</v>
      </c>
      <c r="F72" s="932">
        <v>4492</v>
      </c>
      <c r="G72" s="932">
        <v>4492</v>
      </c>
      <c r="H72" s="932">
        <v>1198</v>
      </c>
      <c r="I72" s="931"/>
    </row>
    <row r="73" spans="1:9">
      <c r="A73" s="912"/>
      <c r="B73" s="909" t="s">
        <v>1264</v>
      </c>
      <c r="C73" s="909">
        <f>SUM(C71:C72)</f>
        <v>258408</v>
      </c>
      <c r="D73" s="909">
        <f>SUM(D71:D72)</f>
        <v>258408</v>
      </c>
      <c r="E73" s="909">
        <f t="shared" ref="E73:H73" si="11">SUM(E71:E72)</f>
        <v>183481</v>
      </c>
      <c r="F73" s="909">
        <f t="shared" si="11"/>
        <v>190947</v>
      </c>
      <c r="G73" s="909">
        <f t="shared" si="11"/>
        <v>190947</v>
      </c>
      <c r="H73" s="909">
        <f t="shared" si="11"/>
        <v>297336</v>
      </c>
      <c r="I73" s="912"/>
    </row>
    <row r="74" spans="1:9">
      <c r="A74" s="912"/>
      <c r="B74" s="909"/>
      <c r="C74" s="909"/>
      <c r="D74" s="909"/>
      <c r="E74" s="909"/>
      <c r="F74" s="909"/>
      <c r="G74" s="909"/>
      <c r="H74" s="909"/>
      <c r="I74" s="912"/>
    </row>
    <row r="75" spans="1:9">
      <c r="A75" s="912"/>
      <c r="B75" s="909" t="s">
        <v>1270</v>
      </c>
      <c r="C75" s="909"/>
      <c r="D75" s="909">
        <v>80975</v>
      </c>
      <c r="E75" s="909"/>
      <c r="F75" s="909"/>
      <c r="G75" s="909"/>
      <c r="H75" s="909"/>
      <c r="I75" s="912"/>
    </row>
    <row r="76" spans="1:9">
      <c r="A76" s="912"/>
      <c r="B76" s="907"/>
      <c r="C76" s="907"/>
      <c r="D76" s="907"/>
      <c r="E76" s="907"/>
      <c r="F76" s="907"/>
      <c r="G76" s="907"/>
      <c r="H76" s="912"/>
      <c r="I76" s="912"/>
    </row>
    <row r="77" spans="1:9">
      <c r="A77" s="912"/>
      <c r="B77" s="907" t="s">
        <v>1269</v>
      </c>
      <c r="C77" s="907"/>
      <c r="D77" s="907"/>
      <c r="E77" s="907"/>
      <c r="F77" s="907"/>
      <c r="G77" s="907"/>
      <c r="H77" s="912"/>
      <c r="I77" s="912"/>
    </row>
    <row r="78" spans="1:9">
      <c r="A78" s="912"/>
      <c r="B78" s="845" t="s">
        <v>1247</v>
      </c>
      <c r="C78" s="907">
        <f>C37</f>
        <v>23096651.463438999</v>
      </c>
      <c r="D78" s="907">
        <v>20104741</v>
      </c>
      <c r="E78" s="907">
        <f>E37</f>
        <v>20436422.099010002</v>
      </c>
      <c r="F78" s="907">
        <f>F37</f>
        <v>24456842.220696002</v>
      </c>
      <c r="G78" s="907">
        <f>G37</f>
        <v>19453412.879999992</v>
      </c>
      <c r="H78" s="912"/>
      <c r="I78" s="912"/>
    </row>
    <row r="79" spans="1:9">
      <c r="A79" s="912"/>
      <c r="B79" s="845" t="s">
        <v>1266</v>
      </c>
      <c r="C79" s="907"/>
      <c r="D79" s="907">
        <f>-D75</f>
        <v>-80975</v>
      </c>
      <c r="E79" s="907"/>
      <c r="F79" s="907"/>
      <c r="G79" s="907"/>
      <c r="H79" s="912"/>
      <c r="I79" s="912"/>
    </row>
    <row r="80" spans="1:9">
      <c r="A80" s="912"/>
      <c r="B80" s="845" t="s">
        <v>1267</v>
      </c>
      <c r="C80" s="907"/>
      <c r="D80" s="907">
        <f>D75</f>
        <v>80975</v>
      </c>
      <c r="E80" s="907"/>
      <c r="F80" s="907"/>
      <c r="G80" s="907"/>
      <c r="H80" s="912"/>
      <c r="I80" s="912"/>
    </row>
    <row r="81" spans="1:9">
      <c r="A81" s="912"/>
      <c r="B81" s="855" t="s">
        <v>1251</v>
      </c>
      <c r="C81" s="909">
        <f>-C$78*C67</f>
        <v>-3857140.7943943129</v>
      </c>
      <c r="D81" s="909">
        <f>-(D$78+D79)*D67</f>
        <v>-3303921.39</v>
      </c>
      <c r="E81" s="909">
        <f>-E$78*E67</f>
        <v>-4005538.7314059604</v>
      </c>
      <c r="F81" s="909">
        <f>-F$78*F67</f>
        <v>-5135936.8663461599</v>
      </c>
      <c r="G81" s="909">
        <f>-G$78*G67</f>
        <v>-3112546.0607999987</v>
      </c>
      <c r="H81" s="912"/>
      <c r="I81" s="912"/>
    </row>
    <row r="82" spans="1:9">
      <c r="A82" s="912"/>
      <c r="B82" s="845" t="s">
        <v>1252</v>
      </c>
      <c r="C82" s="907">
        <f>-C81*0.06</f>
        <v>231428.44766365876</v>
      </c>
      <c r="D82" s="907">
        <f>-D81*0.06</f>
        <v>198235.28340000001</v>
      </c>
      <c r="E82" s="907">
        <f>-E81*0.06</f>
        <v>240332.32388435761</v>
      </c>
      <c r="F82" s="907">
        <f>-F81*0.06</f>
        <v>308156.21198076959</v>
      </c>
      <c r="G82" s="907">
        <f>-G81*0.06</f>
        <v>186752.76364799991</v>
      </c>
      <c r="H82" s="912"/>
      <c r="I82" s="912"/>
    </row>
    <row r="83" spans="1:9">
      <c r="A83" s="912"/>
      <c r="C83" s="907"/>
      <c r="D83" s="907"/>
      <c r="E83" s="907"/>
      <c r="F83" s="907"/>
      <c r="G83" s="907"/>
      <c r="H83" s="912"/>
      <c r="I83" s="912"/>
    </row>
    <row r="84" spans="1:9">
      <c r="A84" s="912"/>
      <c r="B84" s="845" t="s">
        <v>1228</v>
      </c>
      <c r="C84" s="907">
        <f>-C78*C68</f>
        <v>-623609.58951285295</v>
      </c>
      <c r="D84" s="907">
        <f>-(D$78+D79)*D68</f>
        <v>-420499.08600000001</v>
      </c>
      <c r="E84" s="907">
        <f>-E78*E68</f>
        <v>-490474.13037624006</v>
      </c>
      <c r="F84" s="907">
        <f>-F78*F68</f>
        <v>-611421.05551740003</v>
      </c>
      <c r="G84" s="907">
        <f>-G78*G68</f>
        <v>-505788.73487999977</v>
      </c>
      <c r="H84" s="912"/>
      <c r="I84" s="912"/>
    </row>
    <row r="85" spans="1:9">
      <c r="A85" s="912"/>
      <c r="C85" s="907"/>
      <c r="D85" s="907"/>
      <c r="E85" s="907"/>
      <c r="F85" s="907"/>
      <c r="G85" s="907"/>
      <c r="H85" s="912"/>
      <c r="I85" s="912"/>
    </row>
    <row r="86" spans="1:9">
      <c r="A86" s="912"/>
      <c r="B86" s="855" t="s">
        <v>1260</v>
      </c>
      <c r="C86" s="918">
        <f>C70*C64 * -(C84/(C70+C73))</f>
        <v>37950.120825003403</v>
      </c>
      <c r="D86" s="918">
        <f>D70*D64 * -(D84/(D70+D73))</f>
        <v>25589.714123814952</v>
      </c>
      <c r="E86" s="918">
        <f>E70*E64 * -(E84/(E70+E73))</f>
        <v>31788.480537683048</v>
      </c>
      <c r="F86" s="918">
        <f>F70*F64 * -(F84/(F70+F73))</f>
        <v>35818.916844593281</v>
      </c>
      <c r="G86" s="918">
        <f>G70*G64 * -(G84/(G70+G73))</f>
        <v>29630.652186598065</v>
      </c>
      <c r="H86" s="912"/>
      <c r="I86" s="912"/>
    </row>
    <row r="87" spans="1:9">
      <c r="A87" s="912"/>
      <c r="B87" s="845" t="s">
        <v>1259</v>
      </c>
      <c r="C87" s="919">
        <f>C73*C65* -(C84/(C70+C73))</f>
        <v>29293.005751538276</v>
      </c>
      <c r="D87" s="919">
        <f>D73*D65* -(D84/(D70+D73))</f>
        <v>19752.233371422062</v>
      </c>
      <c r="E87" s="919">
        <f>E73*E65* -(E84/(E70+E73))</f>
        <v>24162.505499917348</v>
      </c>
      <c r="F87" s="919">
        <f>F73*F65* -(F84/(F70+F73))</f>
        <v>35452.464190005419</v>
      </c>
      <c r="G87" s="919">
        <f>G73*G65* -(G84/(G70+G73))</f>
        <v>29327.509821962678</v>
      </c>
      <c r="H87" s="912"/>
      <c r="I87" s="912"/>
    </row>
    <row r="88" spans="1:9">
      <c r="A88" s="912"/>
      <c r="B88" s="855"/>
      <c r="C88" s="909"/>
      <c r="D88" s="909"/>
      <c r="E88" s="909"/>
      <c r="F88" s="909"/>
      <c r="G88" s="909"/>
      <c r="H88" s="912"/>
      <c r="I88" s="912"/>
    </row>
    <row r="89" spans="1:9">
      <c r="A89" s="912"/>
      <c r="B89" s="929" t="s">
        <v>1261</v>
      </c>
      <c r="C89" s="930">
        <f t="shared" ref="C89" si="12">SUM(C78:C88)</f>
        <v>18914572.653772034</v>
      </c>
      <c r="D89" s="930">
        <f>SUM(D78:D88)</f>
        <v>16623897.754895236</v>
      </c>
      <c r="E89" s="930">
        <f t="shared" ref="E89:G89" si="13">SUM(E78:E88)</f>
        <v>16236692.547149759</v>
      </c>
      <c r="F89" s="930">
        <f t="shared" si="13"/>
        <v>19088911.891847812</v>
      </c>
      <c r="G89" s="930">
        <f t="shared" si="13"/>
        <v>16080789.009976553</v>
      </c>
      <c r="H89" s="912"/>
      <c r="I89" s="912"/>
    </row>
    <row r="90" spans="1:9">
      <c r="A90" s="912"/>
      <c r="B90" s="929"/>
      <c r="C90" s="930"/>
      <c r="D90" s="930"/>
      <c r="E90" s="930"/>
      <c r="F90" s="930"/>
      <c r="G90" s="930"/>
      <c r="H90" s="912"/>
      <c r="I90" s="912"/>
    </row>
    <row r="91" spans="1:9">
      <c r="A91" s="912"/>
      <c r="B91" s="845" t="s">
        <v>1215</v>
      </c>
      <c r="C91" s="907"/>
      <c r="D91" s="907">
        <f>ABS(D20)</f>
        <v>138749</v>
      </c>
      <c r="E91" s="907"/>
      <c r="F91" s="907"/>
      <c r="G91" s="907"/>
      <c r="H91" s="912"/>
      <c r="I91" s="912"/>
    </row>
    <row r="92" spans="1:9">
      <c r="A92" s="912"/>
      <c r="B92" s="845" t="s">
        <v>1221</v>
      </c>
      <c r="C92" s="907">
        <f>ABS(SUMIFS(C$4:C$20,$A$4:$A$20, $B45))</f>
        <v>1245659.9128000003</v>
      </c>
      <c r="D92" s="907">
        <f>ABS(SUMIFS(D$4:D$20,$A$4:$A$20, $B45))</f>
        <v>959372.48</v>
      </c>
      <c r="E92" s="907">
        <f>ABS(SUMIFS(E$4:E$20,$A$4:$A$20, $B45))</f>
        <v>963360.51999999979</v>
      </c>
      <c r="F92" s="907">
        <f>ABS(SUMIFS(F$4:F$20,$A$4:$A$20, $B45))</f>
        <v>1007118.894483</v>
      </c>
      <c r="G92" s="907">
        <f>ABS(SUMIFS(G$4:G$20,$A$4:$A$20, $B45))</f>
        <v>703939.38801600004</v>
      </c>
      <c r="H92" s="912"/>
      <c r="I92" s="912"/>
    </row>
    <row r="93" spans="1:9" s="924" customFormat="1" ht="16">
      <c r="A93" s="921"/>
      <c r="B93" s="922" t="s">
        <v>897</v>
      </c>
      <c r="C93" s="923">
        <f t="shared" ref="C93" si="14">SUM(C89:C92)</f>
        <v>20160232.566572033</v>
      </c>
      <c r="D93" s="923">
        <f>SUM(D89:D92)</f>
        <v>17722019.234895237</v>
      </c>
      <c r="E93" s="923">
        <f t="shared" ref="E93:G93" si="15">SUM(E89:E92)</f>
        <v>17200053.067149758</v>
      </c>
      <c r="F93" s="923">
        <f t="shared" si="15"/>
        <v>20096030.786330812</v>
      </c>
      <c r="G93" s="923">
        <f t="shared" si="15"/>
        <v>16784728.397992551</v>
      </c>
      <c r="H93" s="921"/>
      <c r="I93" s="921"/>
    </row>
    <row r="94" spans="1:9">
      <c r="A94" s="912"/>
      <c r="C94" s="907"/>
      <c r="D94" s="907"/>
      <c r="E94" s="907"/>
      <c r="F94" s="907"/>
      <c r="G94" s="907"/>
      <c r="H94" s="912"/>
      <c r="I94" s="912"/>
    </row>
    <row r="95" spans="1:9" s="928" customFormat="1" ht="15">
      <c r="A95" s="925"/>
      <c r="B95" s="926" t="s">
        <v>1253</v>
      </c>
      <c r="C95" s="927">
        <f>C93-ABS(C28)</f>
        <v>11773.223772034049</v>
      </c>
      <c r="D95" s="927">
        <f>D93-ABS(D28)</f>
        <v>-15578.695104762912</v>
      </c>
      <c r="E95" s="927">
        <f>E93-ABS(E28)</f>
        <v>-1248349.1228502393</v>
      </c>
      <c r="F95" s="927">
        <f>F93-ABS(F28)</f>
        <v>649034.25184780732</v>
      </c>
      <c r="G95" s="927">
        <f>G93-ABS(G28)</f>
        <v>-1017617.9700234495</v>
      </c>
      <c r="H95" s="925"/>
      <c r="I95" s="925"/>
    </row>
    <row r="96" spans="1:9">
      <c r="A96" s="912"/>
      <c r="B96" s="912"/>
      <c r="C96" s="912"/>
      <c r="D96" s="912"/>
      <c r="E96" s="912"/>
      <c r="F96" s="912"/>
      <c r="G96" s="912"/>
      <c r="H96" s="912"/>
      <c r="I96" s="912"/>
    </row>
    <row r="97" spans="2:4" s="912" customFormat="1">
      <c r="D97" s="912" t="s">
        <v>1254</v>
      </c>
    </row>
    <row r="98" spans="2:4" s="912" customFormat="1">
      <c r="B98" s="912" t="s">
        <v>1268</v>
      </c>
    </row>
    <row r="99" spans="2:4" s="912" customFormat="1"/>
    <row r="100" spans="2:4" s="912" customFormat="1"/>
    <row r="101" spans="2:4" s="912" customFormat="1"/>
    <row r="102" spans="2:4" s="912" customFormat="1"/>
    <row r="103" spans="2:4" s="912" customFormat="1"/>
    <row r="104" spans="2:4" s="912" customFormat="1"/>
    <row r="105" spans="2:4" s="912" customFormat="1"/>
  </sheetData>
  <mergeCells count="3">
    <mergeCell ref="B35:G35"/>
    <mergeCell ref="B41:G41"/>
    <mergeCell ref="B61:G6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259"/>
  <sheetViews>
    <sheetView topLeftCell="A134" zoomScale="90" zoomScaleNormal="90" zoomScalePageLayoutView="90" workbookViewId="0">
      <selection activeCell="T167" sqref="T167"/>
    </sheetView>
  </sheetViews>
  <sheetFormatPr baseColWidth="10" defaultColWidth="9.3984375" defaultRowHeight="12" outlineLevelCol="1" x14ac:dyDescent="0"/>
  <cols>
    <col min="1" max="1" width="9.796875" style="18" customWidth="1" outlineLevel="1"/>
    <col min="2" max="2" width="8.3984375" style="18" bestFit="1" customWidth="1" outlineLevel="1"/>
    <col min="3" max="3" width="11.3984375" style="131" bestFit="1" customWidth="1" outlineLevel="1"/>
    <col min="4" max="4" width="32.3984375" style="147" customWidth="1"/>
    <col min="5" max="5" width="17.3984375" style="35" bestFit="1" customWidth="1"/>
    <col min="6" max="6" width="17" style="152" bestFit="1" customWidth="1"/>
    <col min="7" max="8" width="15.3984375" style="17" hidden="1" customWidth="1"/>
    <col min="9" max="9" width="15.3984375" style="17" customWidth="1"/>
    <col min="10" max="10" width="17" style="24" bestFit="1" customWidth="1"/>
    <col min="11" max="11" width="3" style="24" customWidth="1"/>
    <col min="12" max="12" width="15.3984375" style="24" customWidth="1"/>
    <col min="13" max="13" width="16.3984375" style="24" bestFit="1" customWidth="1"/>
    <col min="14" max="14" width="1.796875" style="16" customWidth="1"/>
    <col min="15" max="15" width="16.3984375" style="146" customWidth="1"/>
    <col min="16" max="16" width="1.796875" style="16" customWidth="1"/>
    <col min="17" max="17" width="15.3984375" style="146" customWidth="1"/>
    <col min="18" max="18" width="15.3984375" style="146" hidden="1" customWidth="1"/>
    <col min="19" max="19" width="12" style="146" hidden="1" customWidth="1"/>
    <col min="20" max="20" width="22.3984375" style="146" bestFit="1"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6.3984375" style="559" bestFit="1" customWidth="1"/>
    <col min="36" max="36" width="14.19921875" style="559" customWidth="1"/>
    <col min="37" max="37" width="9.3984375" style="16"/>
    <col min="38" max="38" width="14.796875" style="16" bestFit="1" customWidth="1"/>
    <col min="39" max="39" width="38.3984375" style="16" bestFit="1" customWidth="1"/>
    <col min="40" max="16384" width="9.398437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1034</v>
      </c>
      <c r="F3" s="29"/>
      <c r="G3" s="18"/>
      <c r="H3" s="168"/>
      <c r="I3" s="168"/>
      <c r="J3" s="169"/>
      <c r="K3" s="169"/>
      <c r="L3" s="169"/>
      <c r="M3" s="169"/>
      <c r="N3" s="169"/>
    </row>
    <row r="4" spans="1:39">
      <c r="D4" s="148"/>
      <c r="G4" s="164"/>
      <c r="H4" s="168"/>
      <c r="I4" s="168"/>
      <c r="J4" s="169"/>
      <c r="K4" s="169"/>
      <c r="L4" s="169"/>
      <c r="M4" s="169"/>
      <c r="N4" s="169"/>
    </row>
    <row r="5" spans="1:39" ht="13"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3" thickBot="1">
      <c r="B12" s="469"/>
      <c r="C12" s="670"/>
      <c r="D12" s="470" t="s">
        <v>103</v>
      </c>
      <c r="E12" s="471" t="s">
        <v>101</v>
      </c>
      <c r="F12" s="29"/>
      <c r="G12" s="166"/>
      <c r="H12" s="150"/>
      <c r="I12" s="150"/>
      <c r="J12" s="76"/>
    </row>
    <row r="13" spans="1:39" ht="13" thickBot="1">
      <c r="A13" s="152"/>
      <c r="B13" s="152"/>
      <c r="C13" s="67"/>
      <c r="D13" s="54"/>
      <c r="E13" s="34"/>
      <c r="G13" s="167"/>
      <c r="H13" s="49"/>
      <c r="I13" s="49"/>
      <c r="J13" s="50"/>
      <c r="K13" s="50"/>
      <c r="L13" s="50"/>
      <c r="M13" s="745"/>
      <c r="N13" s="146"/>
      <c r="P13" s="146"/>
      <c r="W13" s="50"/>
      <c r="X13" s="33"/>
      <c r="Y13" s="33"/>
      <c r="Z13" s="33"/>
      <c r="AA13" s="33"/>
    </row>
    <row r="14" spans="1:39" ht="13" thickBot="1">
      <c r="D14" s="526"/>
      <c r="E14" s="582" t="s">
        <v>1035</v>
      </c>
      <c r="F14" s="583" t="s">
        <v>428</v>
      </c>
      <c r="G14" s="96"/>
      <c r="H14" s="96"/>
      <c r="I14" s="96"/>
      <c r="J14" s="583" t="s">
        <v>429</v>
      </c>
      <c r="K14" s="581"/>
      <c r="L14" s="583" t="s">
        <v>429</v>
      </c>
      <c r="M14" s="583" t="s">
        <v>429</v>
      </c>
      <c r="N14" s="93"/>
      <c r="O14" s="96"/>
      <c r="P14" s="93"/>
      <c r="Q14" s="13"/>
      <c r="R14" s="13"/>
      <c r="S14" s="13"/>
      <c r="T14" s="96"/>
      <c r="U14" s="101"/>
      <c r="V14" s="96"/>
      <c r="W14" s="93"/>
      <c r="X14" s="96"/>
      <c r="Y14" s="96"/>
      <c r="Z14" s="304"/>
      <c r="AA14" s="304"/>
      <c r="AB14" s="304"/>
      <c r="AE14" s="560" t="s">
        <v>266</v>
      </c>
      <c r="AI14" s="561" t="s">
        <v>267</v>
      </c>
    </row>
    <row r="15" spans="1:39" ht="13" thickBot="1">
      <c r="A15" s="22" t="s">
        <v>95</v>
      </c>
      <c r="B15" s="22" t="s">
        <v>100</v>
      </c>
      <c r="C15" s="36" t="s">
        <v>522</v>
      </c>
      <c r="D15" s="36" t="s">
        <v>67</v>
      </c>
      <c r="E15" s="450" t="s">
        <v>230</v>
      </c>
      <c r="F15" s="528" t="s">
        <v>229</v>
      </c>
      <c r="G15" s="176" t="s">
        <v>288</v>
      </c>
      <c r="H15" s="545" t="s">
        <v>289</v>
      </c>
      <c r="I15" s="758" t="s">
        <v>429</v>
      </c>
      <c r="J15" s="313" t="s">
        <v>105</v>
      </c>
      <c r="K15" s="93"/>
      <c r="L15" s="94" t="s">
        <v>104</v>
      </c>
      <c r="M15" s="95" t="s">
        <v>106</v>
      </c>
      <c r="N15" s="102"/>
      <c r="O15" s="427" t="s">
        <v>839</v>
      </c>
      <c r="P15" s="102"/>
      <c r="Q15" s="313" t="s">
        <v>267</v>
      </c>
      <c r="R15" s="313" t="s">
        <v>946</v>
      </c>
      <c r="S15" s="313" t="s">
        <v>947</v>
      </c>
      <c r="T15" s="156" t="s">
        <v>1048</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1027</v>
      </c>
      <c r="E16" s="679"/>
      <c r="F16" s="529">
        <f>VLOOKUP(D16,'Nov13 Revenue'!D:V,19,FALSE)</f>
        <v>0</v>
      </c>
      <c r="G16" s="680"/>
      <c r="H16" s="680"/>
      <c r="I16" s="755"/>
      <c r="J16" s="682">
        <f t="shared" ref="J16:J86" si="0">SUM(E16:I16)</f>
        <v>0</v>
      </c>
      <c r="K16" s="683"/>
      <c r="L16" s="684"/>
      <c r="M16" s="753"/>
      <c r="N16" s="683">
        <v>0</v>
      </c>
      <c r="O16" s="686"/>
      <c r="P16" s="683">
        <v>0</v>
      </c>
      <c r="Q16" s="687">
        <f t="shared" ref="Q16:Q148" si="1">L16+M16</f>
        <v>0</v>
      </c>
      <c r="R16" s="687"/>
      <c r="S16" s="687"/>
      <c r="T16" s="688">
        <v>649.58000000000004</v>
      </c>
      <c r="U16" s="689"/>
      <c r="V16" s="690">
        <f t="shared" ref="V16:V80" si="2">IF(T16="","",T16-Q16)</f>
        <v>649.58000000000004</v>
      </c>
      <c r="W16" s="691"/>
      <c r="X16" s="474">
        <f t="shared" ref="X16:X87" si="3">IF(B16="D",Q16,0)</f>
        <v>0</v>
      </c>
      <c r="Y16" s="474">
        <f t="shared" ref="Y16:Y87" si="4">IF(B16="M",Q16,0)</f>
        <v>0</v>
      </c>
      <c r="Z16" s="475">
        <f t="shared" ref="Z16:Z87" si="5">IF(B16="V",Q16,0)</f>
        <v>0</v>
      </c>
      <c r="AA16" s="475">
        <v>0</v>
      </c>
      <c r="AB16" s="476">
        <v>0</v>
      </c>
      <c r="AC16" s="38">
        <f t="shared" ref="AC16:AC87" si="6">(L16+M16)-(X16+Y16+Z16+AA16+AB16)</f>
        <v>0</v>
      </c>
      <c r="AD16" s="692">
        <f t="shared" ref="AD16:AD86" si="7">IF(B16="D",J16,0)</f>
        <v>0</v>
      </c>
      <c r="AE16" s="692">
        <f t="shared" ref="AE16:AE86" si="8">IF(B16="M",J16,0)</f>
        <v>0</v>
      </c>
      <c r="AF16" s="692">
        <f t="shared" ref="AF16:AF86" si="9">IF(B16="V",J16,0)</f>
        <v>0</v>
      </c>
      <c r="AG16" s="38"/>
      <c r="AH16" s="692">
        <f t="shared" ref="AH16:AH87" si="10">IF(B16="D",Q16,0)</f>
        <v>0</v>
      </c>
      <c r="AI16" s="692">
        <f t="shared" ref="AI16:AI87" si="11">IF(B16="M",Q16,0)</f>
        <v>0</v>
      </c>
      <c r="AJ16" s="692">
        <f t="shared" ref="AJ16:AJ87" si="12">IF(B16="V",Q16,0)</f>
        <v>0</v>
      </c>
      <c r="AM16" s="373" t="s">
        <v>382</v>
      </c>
    </row>
    <row r="17" spans="1:39">
      <c r="A17" s="20" t="s">
        <v>109</v>
      </c>
      <c r="B17" s="20" t="s">
        <v>110</v>
      </c>
      <c r="C17" s="671" t="s">
        <v>523</v>
      </c>
      <c r="D17" s="123" t="s">
        <v>317</v>
      </c>
      <c r="E17" s="679"/>
      <c r="F17" s="529">
        <f>VLOOKUP(D17,'Nov13 Revenue'!D:V,19,FALSE)</f>
        <v>-20000</v>
      </c>
      <c r="G17" s="680"/>
      <c r="H17" s="680"/>
      <c r="I17" s="755"/>
      <c r="J17" s="682">
        <f t="shared" si="0"/>
        <v>-20000</v>
      </c>
      <c r="K17" s="683"/>
      <c r="L17" s="684"/>
      <c r="M17" s="753">
        <v>30000</v>
      </c>
      <c r="N17" s="683">
        <v>0</v>
      </c>
      <c r="O17" s="686"/>
      <c r="P17" s="683">
        <v>0</v>
      </c>
      <c r="Q17" s="687">
        <f t="shared" si="1"/>
        <v>30000</v>
      </c>
      <c r="R17" s="687"/>
      <c r="S17" s="687"/>
      <c r="T17" s="688">
        <v>0</v>
      </c>
      <c r="U17" s="693"/>
      <c r="V17" s="690">
        <f t="shared" si="2"/>
        <v>-30000</v>
      </c>
      <c r="W17" s="683"/>
      <c r="X17" s="474">
        <f t="shared" si="3"/>
        <v>30000</v>
      </c>
      <c r="Y17" s="474">
        <f t="shared" si="4"/>
        <v>0</v>
      </c>
      <c r="Z17" s="475">
        <f t="shared" si="5"/>
        <v>0</v>
      </c>
      <c r="AA17" s="475">
        <v>0</v>
      </c>
      <c r="AB17" s="476">
        <v>0</v>
      </c>
      <c r="AC17" s="38">
        <f t="shared" si="6"/>
        <v>0</v>
      </c>
      <c r="AD17" s="692">
        <f t="shared" si="7"/>
        <v>-20000</v>
      </c>
      <c r="AE17" s="692">
        <f t="shared" si="8"/>
        <v>0</v>
      </c>
      <c r="AF17" s="692">
        <f t="shared" si="9"/>
        <v>0</v>
      </c>
      <c r="AG17" s="38"/>
      <c r="AH17" s="692">
        <f t="shared" si="10"/>
        <v>30000</v>
      </c>
      <c r="AI17" s="692">
        <f t="shared" si="11"/>
        <v>0</v>
      </c>
      <c r="AJ17" s="692">
        <f t="shared" si="12"/>
        <v>0</v>
      </c>
      <c r="AL17" s="38">
        <f>SUM(AD17:AJ17)</f>
        <v>10000</v>
      </c>
      <c r="AM17" s="123" t="s">
        <v>317</v>
      </c>
    </row>
    <row r="18" spans="1:39">
      <c r="A18" s="20" t="s">
        <v>109</v>
      </c>
      <c r="B18" s="20" t="s">
        <v>109</v>
      </c>
      <c r="C18" s="671" t="s">
        <v>523</v>
      </c>
      <c r="D18" s="68" t="s">
        <v>393</v>
      </c>
      <c r="E18" s="679"/>
      <c r="F18" s="529">
        <f>VLOOKUP(D18,'Nov13 Revenue'!D:V,19,FALSE)</f>
        <v>-90000</v>
      </c>
      <c r="G18" s="680"/>
      <c r="H18" s="680"/>
      <c r="I18" s="755"/>
      <c r="J18" s="682">
        <f t="shared" si="0"/>
        <v>-90000</v>
      </c>
      <c r="K18" s="683"/>
      <c r="L18" s="684"/>
      <c r="M18" s="753">
        <v>135000</v>
      </c>
      <c r="N18" s="683">
        <v>0</v>
      </c>
      <c r="O18" s="686"/>
      <c r="P18" s="683">
        <v>0</v>
      </c>
      <c r="Q18" s="687">
        <f t="shared" si="1"/>
        <v>135000</v>
      </c>
      <c r="R18" s="687"/>
      <c r="S18" s="687"/>
      <c r="T18" s="688">
        <v>0</v>
      </c>
      <c r="U18" s="693"/>
      <c r="V18" s="690">
        <f t="shared" si="2"/>
        <v>-135000</v>
      </c>
      <c r="W18" s="683"/>
      <c r="X18" s="474">
        <f t="shared" si="3"/>
        <v>0</v>
      </c>
      <c r="Y18" s="474">
        <f t="shared" si="4"/>
        <v>135000</v>
      </c>
      <c r="Z18" s="475">
        <f t="shared" si="5"/>
        <v>0</v>
      </c>
      <c r="AA18" s="475">
        <v>0</v>
      </c>
      <c r="AB18" s="476">
        <v>0</v>
      </c>
      <c r="AC18" s="38">
        <f t="shared" si="6"/>
        <v>0</v>
      </c>
      <c r="AD18" s="692">
        <f t="shared" si="7"/>
        <v>0</v>
      </c>
      <c r="AE18" s="692">
        <f t="shared" si="8"/>
        <v>-90000</v>
      </c>
      <c r="AF18" s="692">
        <f t="shared" si="9"/>
        <v>0</v>
      </c>
      <c r="AG18" s="38"/>
      <c r="AH18" s="692">
        <f t="shared" si="10"/>
        <v>0</v>
      </c>
      <c r="AI18" s="692">
        <f t="shared" si="11"/>
        <v>135000</v>
      </c>
      <c r="AJ18" s="692">
        <f t="shared" si="12"/>
        <v>0</v>
      </c>
      <c r="AL18" s="38">
        <f t="shared" ref="AL18:AL88" si="13">SUM(AD18:AJ18)</f>
        <v>45000</v>
      </c>
      <c r="AM18" s="68" t="s">
        <v>393</v>
      </c>
    </row>
    <row r="19" spans="1:39">
      <c r="A19" s="20" t="s">
        <v>109</v>
      </c>
      <c r="B19" s="20" t="s">
        <v>109</v>
      </c>
      <c r="C19" s="671" t="s">
        <v>523</v>
      </c>
      <c r="D19" s="68" t="s">
        <v>129</v>
      </c>
      <c r="E19" s="679"/>
      <c r="F19" s="529">
        <f>VLOOKUP(D19,'Nov13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VLOOKUP(D20,'Nov13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c r="F21" s="529">
        <f>VLOOKUP(D21,'Nov13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c r="AM21" s="123" t="s">
        <v>380</v>
      </c>
    </row>
    <row r="22" spans="1:39">
      <c r="A22" s="20"/>
      <c r="B22" s="20" t="s">
        <v>110</v>
      </c>
      <c r="C22" s="667" t="s">
        <v>524</v>
      </c>
      <c r="D22" s="123" t="s">
        <v>132</v>
      </c>
      <c r="E22" s="679">
        <f>5275.01+6878.68+5436.81+3481.8+3456.08-47898.64+34156.54+32246.47</f>
        <v>43032.75</v>
      </c>
      <c r="F22" s="529">
        <f>VLOOKUP(D22,'Nov13 Revenue'!D:V,19,FALSE)</f>
        <v>-48240.28</v>
      </c>
      <c r="G22" s="680"/>
      <c r="H22" s="680"/>
      <c r="I22" s="770">
        <v>37653.360000000001</v>
      </c>
      <c r="J22" s="682">
        <f t="shared" si="0"/>
        <v>32445.83</v>
      </c>
      <c r="K22" s="683"/>
      <c r="L22" s="684"/>
      <c r="M22" s="753"/>
      <c r="N22" s="683">
        <v>0</v>
      </c>
      <c r="O22" s="686"/>
      <c r="P22" s="683">
        <v>0</v>
      </c>
      <c r="Q22" s="687">
        <f t="shared" si="1"/>
        <v>0</v>
      </c>
      <c r="R22" s="687"/>
      <c r="S22" s="687"/>
      <c r="T22" s="688">
        <v>1759.06</v>
      </c>
      <c r="U22" s="693"/>
      <c r="V22" s="690">
        <f t="shared" si="2"/>
        <v>1759.06</v>
      </c>
      <c r="W22" s="683"/>
      <c r="X22" s="474">
        <f t="shared" si="3"/>
        <v>0</v>
      </c>
      <c r="Y22" s="474">
        <f t="shared" si="4"/>
        <v>0</v>
      </c>
      <c r="Z22" s="475">
        <f t="shared" si="5"/>
        <v>0</v>
      </c>
      <c r="AA22" s="475">
        <v>0</v>
      </c>
      <c r="AB22" s="476">
        <v>0</v>
      </c>
      <c r="AC22" s="38">
        <f t="shared" si="6"/>
        <v>0</v>
      </c>
      <c r="AD22" s="692">
        <f t="shared" si="7"/>
        <v>32445.83</v>
      </c>
      <c r="AE22" s="692">
        <f t="shared" si="8"/>
        <v>0</v>
      </c>
      <c r="AF22" s="692">
        <f t="shared" si="9"/>
        <v>0</v>
      </c>
      <c r="AG22" s="38"/>
      <c r="AH22" s="692">
        <f t="shared" si="10"/>
        <v>0</v>
      </c>
      <c r="AI22" s="692">
        <f t="shared" si="11"/>
        <v>0</v>
      </c>
      <c r="AJ22" s="692">
        <f t="shared" si="12"/>
        <v>0</v>
      </c>
      <c r="AL22" s="38">
        <f t="shared" si="13"/>
        <v>32445.83</v>
      </c>
      <c r="AM22" s="123" t="s">
        <v>132</v>
      </c>
    </row>
    <row r="23" spans="1:39">
      <c r="A23" s="20"/>
      <c r="B23" s="20" t="s">
        <v>110</v>
      </c>
      <c r="C23" s="667" t="s">
        <v>524</v>
      </c>
      <c r="D23" s="123" t="s">
        <v>133</v>
      </c>
      <c r="E23" s="679"/>
      <c r="F23" s="529">
        <f>VLOOKUP(D23,'Nov13 Revenue'!D:V,19,FALSE)</f>
        <v>0</v>
      </c>
      <c r="G23" s="680"/>
      <c r="H23" s="680"/>
      <c r="I23" s="755"/>
      <c r="J23" s="682">
        <f t="shared" si="0"/>
        <v>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3"/>
        <v>0</v>
      </c>
      <c r="AM23" s="123" t="s">
        <v>133</v>
      </c>
    </row>
    <row r="24" spans="1:39">
      <c r="A24" s="20"/>
      <c r="B24" s="20" t="s">
        <v>110</v>
      </c>
      <c r="C24" s="667"/>
      <c r="D24" s="123" t="s">
        <v>1015</v>
      </c>
      <c r="E24" s="679"/>
      <c r="F24" s="529">
        <f>VLOOKUP(D24,'Nov13 Revenue'!D:V,19,FALSE)</f>
        <v>0</v>
      </c>
      <c r="G24" s="680"/>
      <c r="H24" s="680"/>
      <c r="I24" s="755"/>
      <c r="J24" s="682">
        <f t="shared" si="0"/>
        <v>0</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3"/>
        <v>0</v>
      </c>
      <c r="AM24" s="123" t="s">
        <v>1015</v>
      </c>
    </row>
    <row r="25" spans="1:39" s="232" customFormat="1">
      <c r="A25" s="283" t="s">
        <v>211</v>
      </c>
      <c r="B25" s="283" t="s">
        <v>109</v>
      </c>
      <c r="C25" s="667" t="s">
        <v>525</v>
      </c>
      <c r="D25" s="123" t="s">
        <v>419</v>
      </c>
      <c r="E25" s="679"/>
      <c r="F25" s="529">
        <f>VLOOKUP(D25,'Nov13 Revenue'!D:V,19,FALSE)</f>
        <v>-30000</v>
      </c>
      <c r="G25" s="680"/>
      <c r="H25" s="680"/>
      <c r="I25" s="755"/>
      <c r="J25" s="682">
        <f t="shared" si="0"/>
        <v>-30000</v>
      </c>
      <c r="K25" s="683"/>
      <c r="L25" s="684"/>
      <c r="M25" s="753">
        <v>30000</v>
      </c>
      <c r="N25" s="683">
        <v>0</v>
      </c>
      <c r="O25" s="686"/>
      <c r="P25" s="683">
        <v>0</v>
      </c>
      <c r="Q25" s="687">
        <f t="shared" si="1"/>
        <v>30000</v>
      </c>
      <c r="R25" s="687"/>
      <c r="S25" s="687"/>
      <c r="T25" s="688">
        <v>0</v>
      </c>
      <c r="U25" s="693"/>
      <c r="V25" s="690">
        <f t="shared" si="2"/>
        <v>-30000</v>
      </c>
      <c r="W25" s="683"/>
      <c r="X25" s="474">
        <f t="shared" si="3"/>
        <v>0</v>
      </c>
      <c r="Y25" s="474">
        <f t="shared" si="4"/>
        <v>30000</v>
      </c>
      <c r="Z25" s="475">
        <f t="shared" si="5"/>
        <v>0</v>
      </c>
      <c r="AA25" s="475">
        <v>0</v>
      </c>
      <c r="AB25" s="476">
        <v>0</v>
      </c>
      <c r="AC25" s="38">
        <f t="shared" si="6"/>
        <v>0</v>
      </c>
      <c r="AD25" s="692">
        <f t="shared" si="7"/>
        <v>0</v>
      </c>
      <c r="AE25" s="692">
        <f t="shared" si="8"/>
        <v>-30000</v>
      </c>
      <c r="AF25" s="692">
        <f t="shared" si="9"/>
        <v>0</v>
      </c>
      <c r="AG25" s="38"/>
      <c r="AH25" s="692">
        <f t="shared" si="10"/>
        <v>0</v>
      </c>
      <c r="AI25" s="692">
        <f t="shared" si="11"/>
        <v>30000</v>
      </c>
      <c r="AJ25" s="692">
        <f t="shared" si="12"/>
        <v>0</v>
      </c>
      <c r="AL25" s="38">
        <f t="shared" si="13"/>
        <v>0</v>
      </c>
      <c r="AM25" s="123" t="s">
        <v>419</v>
      </c>
    </row>
    <row r="26" spans="1:39">
      <c r="A26" s="20"/>
      <c r="B26" s="20" t="s">
        <v>110</v>
      </c>
      <c r="C26" s="667"/>
      <c r="D26" s="68" t="s">
        <v>922</v>
      </c>
      <c r="E26" s="679"/>
      <c r="F26" s="529">
        <f>VLOOKUP(D26,'Nov13 Revenue'!D:V,19,FALSE)</f>
        <v>0</v>
      </c>
      <c r="G26" s="680"/>
      <c r="H26" s="680"/>
      <c r="I26" s="770">
        <v>582.12</v>
      </c>
      <c r="J26" s="682">
        <f t="shared" si="0"/>
        <v>582.12</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582.12</v>
      </c>
      <c r="AE26" s="692">
        <f t="shared" si="8"/>
        <v>0</v>
      </c>
      <c r="AF26" s="692">
        <f t="shared" si="9"/>
        <v>0</v>
      </c>
      <c r="AG26" s="38"/>
      <c r="AH26" s="692">
        <f t="shared" si="10"/>
        <v>0</v>
      </c>
      <c r="AI26" s="692">
        <f t="shared" si="11"/>
        <v>0</v>
      </c>
      <c r="AJ26" s="692">
        <f t="shared" si="12"/>
        <v>0</v>
      </c>
      <c r="AL26" s="38">
        <f t="shared" si="13"/>
        <v>582.12</v>
      </c>
      <c r="AM26" s="68" t="s">
        <v>922</v>
      </c>
    </row>
    <row r="27" spans="1:39">
      <c r="A27" s="20"/>
      <c r="B27" s="20" t="s">
        <v>110</v>
      </c>
      <c r="C27" s="667"/>
      <c r="D27" s="68" t="s">
        <v>589</v>
      </c>
      <c r="E27" s="679"/>
      <c r="F27" s="529">
        <f>VLOOKUP(D27,'Nov13 Revenue'!D:V,19,FALSE)</f>
        <v>-20000</v>
      </c>
      <c r="G27" s="680"/>
      <c r="H27" s="680"/>
      <c r="I27" s="755"/>
      <c r="J27" s="682">
        <f t="shared" si="0"/>
        <v>-20000</v>
      </c>
      <c r="K27" s="683"/>
      <c r="L27" s="684"/>
      <c r="M27" s="753">
        <v>20000</v>
      </c>
      <c r="N27" s="683">
        <v>0</v>
      </c>
      <c r="O27" s="686"/>
      <c r="P27" s="683">
        <v>0</v>
      </c>
      <c r="Q27" s="687">
        <f t="shared" si="1"/>
        <v>20000</v>
      </c>
      <c r="R27" s="687"/>
      <c r="S27" s="687"/>
      <c r="T27" s="688">
        <v>21432.37</v>
      </c>
      <c r="U27" s="693"/>
      <c r="V27" s="690">
        <f t="shared" si="2"/>
        <v>1432.369999999999</v>
      </c>
      <c r="W27" s="683"/>
      <c r="X27" s="474">
        <f t="shared" si="3"/>
        <v>20000</v>
      </c>
      <c r="Y27" s="474">
        <f t="shared" si="4"/>
        <v>0</v>
      </c>
      <c r="Z27" s="475">
        <f t="shared" si="5"/>
        <v>0</v>
      </c>
      <c r="AA27" s="475">
        <v>0</v>
      </c>
      <c r="AB27" s="476">
        <v>0</v>
      </c>
      <c r="AC27" s="38">
        <f t="shared" si="6"/>
        <v>0</v>
      </c>
      <c r="AD27" s="692">
        <f t="shared" si="7"/>
        <v>-20000</v>
      </c>
      <c r="AE27" s="692">
        <f t="shared" si="8"/>
        <v>0</v>
      </c>
      <c r="AF27" s="692">
        <f t="shared" si="9"/>
        <v>0</v>
      </c>
      <c r="AG27" s="38"/>
      <c r="AH27" s="692">
        <f t="shared" si="10"/>
        <v>20000</v>
      </c>
      <c r="AI27" s="692">
        <f t="shared" si="11"/>
        <v>0</v>
      </c>
      <c r="AJ27" s="692">
        <f t="shared" si="12"/>
        <v>0</v>
      </c>
      <c r="AL27" s="38">
        <f t="shared" si="13"/>
        <v>0</v>
      </c>
      <c r="AM27" s="68" t="s">
        <v>589</v>
      </c>
    </row>
    <row r="28" spans="1:39">
      <c r="A28" s="20"/>
      <c r="B28" s="20" t="s">
        <v>110</v>
      </c>
      <c r="C28" s="667"/>
      <c r="D28" s="68" t="s">
        <v>829</v>
      </c>
      <c r="E28" s="679"/>
      <c r="F28" s="529">
        <f>VLOOKUP(D28,'Nov13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c r="F29" s="529">
        <f>VLOOKUP(D29,'Nov13 Revenue'!D:V,19,FALSE)</f>
        <v>0</v>
      </c>
      <c r="G29" s="680"/>
      <c r="H29" s="680"/>
      <c r="I29" s="755"/>
      <c r="J29" s="682">
        <f t="shared" si="0"/>
        <v>0</v>
      </c>
      <c r="K29" s="683"/>
      <c r="L29" s="684"/>
      <c r="M29" s="753"/>
      <c r="N29" s="683">
        <v>0</v>
      </c>
      <c r="O29" s="686"/>
      <c r="P29" s="683">
        <v>0</v>
      </c>
      <c r="Q29" s="687">
        <f t="shared" si="1"/>
        <v>0</v>
      </c>
      <c r="R29" s="687"/>
      <c r="S29" s="687"/>
      <c r="T29" s="688">
        <v>0</v>
      </c>
      <c r="U29" s="693"/>
      <c r="V29" s="690">
        <f t="shared" si="2"/>
        <v>0</v>
      </c>
      <c r="W29" s="691"/>
      <c r="X29" s="474">
        <f t="shared" si="3"/>
        <v>0</v>
      </c>
      <c r="Y29" s="474">
        <f t="shared" si="4"/>
        <v>0</v>
      </c>
      <c r="Z29" s="475">
        <f t="shared" si="5"/>
        <v>0</v>
      </c>
      <c r="AA29" s="475">
        <v>0</v>
      </c>
      <c r="AB29" s="476">
        <v>0</v>
      </c>
      <c r="AC29" s="38">
        <f t="shared" si="6"/>
        <v>0</v>
      </c>
      <c r="AD29" s="692">
        <f t="shared" si="7"/>
        <v>0</v>
      </c>
      <c r="AE29" s="692">
        <f t="shared" si="8"/>
        <v>0</v>
      </c>
      <c r="AF29" s="692">
        <f t="shared" si="9"/>
        <v>0</v>
      </c>
      <c r="AG29" s="38"/>
      <c r="AH29" s="692">
        <f t="shared" si="10"/>
        <v>0</v>
      </c>
      <c r="AI29" s="692">
        <f t="shared" si="11"/>
        <v>0</v>
      </c>
      <c r="AJ29" s="692">
        <f t="shared" si="12"/>
        <v>0</v>
      </c>
      <c r="AL29" s="38">
        <f t="shared" si="13"/>
        <v>0</v>
      </c>
      <c r="AM29" s="68" t="s">
        <v>385</v>
      </c>
    </row>
    <row r="30" spans="1:39" s="232" customFormat="1">
      <c r="A30" s="283"/>
      <c r="B30" s="283" t="s">
        <v>110</v>
      </c>
      <c r="C30" s="667" t="s">
        <v>527</v>
      </c>
      <c r="D30" s="123" t="s">
        <v>401</v>
      </c>
      <c r="E30" s="679"/>
      <c r="F30" s="529">
        <f>VLOOKUP(D30,'Nov13 Revenue'!D:V,19,FALSE)</f>
        <v>-402.19999999995343</v>
      </c>
      <c r="G30" s="680"/>
      <c r="H30" s="680"/>
      <c r="I30" s="755"/>
      <c r="J30" s="682">
        <f t="shared" si="0"/>
        <v>-402.19999999995343</v>
      </c>
      <c r="K30" s="683"/>
      <c r="L30" s="684"/>
      <c r="M30" s="753">
        <v>950000</v>
      </c>
      <c r="N30" s="683">
        <v>0</v>
      </c>
      <c r="O30" s="686"/>
      <c r="P30" s="683">
        <v>0</v>
      </c>
      <c r="Q30" s="687">
        <f t="shared" si="1"/>
        <v>950000</v>
      </c>
      <c r="R30" s="687"/>
      <c r="S30" s="687"/>
      <c r="T30" s="688">
        <v>1090585.1499999999</v>
      </c>
      <c r="U30" s="693"/>
      <c r="V30" s="690">
        <f t="shared" si="2"/>
        <v>140585.14999999991</v>
      </c>
      <c r="W30" s="683"/>
      <c r="X30" s="474">
        <f t="shared" si="3"/>
        <v>950000</v>
      </c>
      <c r="Y30" s="474">
        <f t="shared" si="4"/>
        <v>0</v>
      </c>
      <c r="Z30" s="475">
        <f t="shared" si="5"/>
        <v>0</v>
      </c>
      <c r="AA30" s="475">
        <v>0</v>
      </c>
      <c r="AB30" s="476">
        <v>0</v>
      </c>
      <c r="AC30" s="38">
        <f t="shared" si="6"/>
        <v>0</v>
      </c>
      <c r="AD30" s="692">
        <f t="shared" si="7"/>
        <v>-402.19999999995343</v>
      </c>
      <c r="AE30" s="692">
        <f t="shared" si="8"/>
        <v>0</v>
      </c>
      <c r="AF30" s="692">
        <f t="shared" si="9"/>
        <v>0</v>
      </c>
      <c r="AG30" s="38"/>
      <c r="AH30" s="692">
        <f t="shared" si="10"/>
        <v>950000</v>
      </c>
      <c r="AI30" s="692">
        <f t="shared" si="11"/>
        <v>0</v>
      </c>
      <c r="AJ30" s="692">
        <f t="shared" si="12"/>
        <v>0</v>
      </c>
      <c r="AL30" s="38">
        <f t="shared" si="13"/>
        <v>949597.8</v>
      </c>
      <c r="AM30" s="123" t="s">
        <v>401</v>
      </c>
    </row>
    <row r="31" spans="1:39" s="232" customFormat="1">
      <c r="A31" s="283"/>
      <c r="B31" s="283" t="s">
        <v>110</v>
      </c>
      <c r="C31" s="667" t="s">
        <v>528</v>
      </c>
      <c r="D31" s="123" t="s">
        <v>403</v>
      </c>
      <c r="E31" s="679"/>
      <c r="F31" s="529">
        <f>VLOOKUP(D31,'Nov13 Revenue'!D:V,19,FALSE)</f>
        <v>-8342.9599999999919</v>
      </c>
      <c r="G31" s="680"/>
      <c r="H31" s="680"/>
      <c r="I31" s="755"/>
      <c r="J31" s="682">
        <f t="shared" si="0"/>
        <v>-8342.9599999999919</v>
      </c>
      <c r="K31" s="683"/>
      <c r="L31" s="684"/>
      <c r="M31" s="753">
        <v>165000</v>
      </c>
      <c r="N31" s="683">
        <v>0</v>
      </c>
      <c r="O31" s="686"/>
      <c r="P31" s="683">
        <v>0</v>
      </c>
      <c r="Q31" s="687">
        <f t="shared" si="1"/>
        <v>165000</v>
      </c>
      <c r="R31" s="687"/>
      <c r="S31" s="687"/>
      <c r="T31" s="688">
        <v>231188.09</v>
      </c>
      <c r="U31" s="693"/>
      <c r="V31" s="690">
        <f t="shared" si="2"/>
        <v>66188.09</v>
      </c>
      <c r="W31" s="683"/>
      <c r="X31" s="474">
        <f t="shared" si="3"/>
        <v>165000</v>
      </c>
      <c r="Y31" s="474">
        <f t="shared" si="4"/>
        <v>0</v>
      </c>
      <c r="Z31" s="475">
        <f t="shared" si="5"/>
        <v>0</v>
      </c>
      <c r="AA31" s="475">
        <v>0</v>
      </c>
      <c r="AB31" s="476">
        <v>0</v>
      </c>
      <c r="AC31" s="38">
        <f t="shared" si="6"/>
        <v>0</v>
      </c>
      <c r="AD31" s="692">
        <f t="shared" si="7"/>
        <v>-8342.9599999999919</v>
      </c>
      <c r="AE31" s="692">
        <f t="shared" si="8"/>
        <v>0</v>
      </c>
      <c r="AF31" s="692">
        <f t="shared" si="9"/>
        <v>0</v>
      </c>
      <c r="AG31" s="38"/>
      <c r="AH31" s="692">
        <f t="shared" si="10"/>
        <v>165000</v>
      </c>
      <c r="AI31" s="692">
        <f t="shared" si="11"/>
        <v>0</v>
      </c>
      <c r="AJ31" s="692">
        <f t="shared" si="12"/>
        <v>0</v>
      </c>
      <c r="AL31" s="38">
        <f t="shared" si="13"/>
        <v>156657.04</v>
      </c>
      <c r="AM31" s="123" t="s">
        <v>403</v>
      </c>
    </row>
    <row r="32" spans="1:39" s="232" customFormat="1">
      <c r="A32" s="283"/>
      <c r="B32" s="283" t="s">
        <v>110</v>
      </c>
      <c r="C32" s="667" t="s">
        <v>528</v>
      </c>
      <c r="D32" s="123" t="s">
        <v>404</v>
      </c>
      <c r="E32" s="679"/>
      <c r="F32" s="529">
        <f>VLOOKUP(D32,'Nov13 Revenue'!D:V,19,FALSE)</f>
        <v>15284.739999999991</v>
      </c>
      <c r="G32" s="680"/>
      <c r="H32" s="680"/>
      <c r="I32" s="755"/>
      <c r="J32" s="682">
        <f t="shared" si="0"/>
        <v>15284.739999999991</v>
      </c>
      <c r="K32" s="683"/>
      <c r="L32" s="684"/>
      <c r="M32" s="753">
        <v>165000</v>
      </c>
      <c r="N32" s="683">
        <v>0</v>
      </c>
      <c r="O32" s="686"/>
      <c r="P32" s="683">
        <v>0</v>
      </c>
      <c r="Q32" s="687">
        <f t="shared" si="1"/>
        <v>165000</v>
      </c>
      <c r="R32" s="687"/>
      <c r="S32" s="687"/>
      <c r="T32" s="688">
        <v>197110.82</v>
      </c>
      <c r="U32" s="693"/>
      <c r="V32" s="690">
        <f t="shared" si="2"/>
        <v>32110.820000000007</v>
      </c>
      <c r="W32" s="683"/>
      <c r="X32" s="474">
        <f t="shared" si="3"/>
        <v>165000</v>
      </c>
      <c r="Y32" s="474">
        <f t="shared" si="4"/>
        <v>0</v>
      </c>
      <c r="Z32" s="475">
        <f t="shared" si="5"/>
        <v>0</v>
      </c>
      <c r="AA32" s="475">
        <v>0</v>
      </c>
      <c r="AB32" s="476">
        <v>0</v>
      </c>
      <c r="AC32" s="38">
        <f t="shared" si="6"/>
        <v>0</v>
      </c>
      <c r="AD32" s="692">
        <f t="shared" si="7"/>
        <v>15284.739999999991</v>
      </c>
      <c r="AE32" s="692">
        <f t="shared" si="8"/>
        <v>0</v>
      </c>
      <c r="AF32" s="692">
        <f t="shared" si="9"/>
        <v>0</v>
      </c>
      <c r="AG32" s="38"/>
      <c r="AH32" s="692">
        <f t="shared" si="10"/>
        <v>165000</v>
      </c>
      <c r="AI32" s="692">
        <f t="shared" si="11"/>
        <v>0</v>
      </c>
      <c r="AJ32" s="692">
        <f t="shared" si="12"/>
        <v>0</v>
      </c>
      <c r="AL32" s="38">
        <f t="shared" si="13"/>
        <v>180284.74</v>
      </c>
      <c r="AM32" s="123" t="s">
        <v>404</v>
      </c>
    </row>
    <row r="33" spans="1:39" s="232" customFormat="1">
      <c r="A33" s="283"/>
      <c r="B33" s="283" t="s">
        <v>110</v>
      </c>
      <c r="C33" s="667" t="s">
        <v>528</v>
      </c>
      <c r="D33" s="123" t="s">
        <v>405</v>
      </c>
      <c r="E33" s="679"/>
      <c r="F33" s="529">
        <f>VLOOKUP(D33,'Nov13 Revenue'!D:V,19,FALSE)</f>
        <v>-1737.2900000000009</v>
      </c>
      <c r="G33" s="680"/>
      <c r="H33" s="680"/>
      <c r="I33" s="755"/>
      <c r="J33" s="682">
        <f t="shared" si="0"/>
        <v>-1737.2900000000009</v>
      </c>
      <c r="K33" s="683"/>
      <c r="L33" s="684"/>
      <c r="M33" s="753">
        <v>30000</v>
      </c>
      <c r="N33" s="683">
        <v>0</v>
      </c>
      <c r="O33" s="686"/>
      <c r="P33" s="683">
        <v>0</v>
      </c>
      <c r="Q33" s="687">
        <f t="shared" si="1"/>
        <v>30000</v>
      </c>
      <c r="R33" s="687"/>
      <c r="S33" s="687"/>
      <c r="T33" s="688">
        <v>36639.78</v>
      </c>
      <c r="U33" s="693"/>
      <c r="V33" s="690">
        <f t="shared" si="2"/>
        <v>6639.7799999999988</v>
      </c>
      <c r="W33" s="683"/>
      <c r="X33" s="474">
        <f t="shared" si="3"/>
        <v>30000</v>
      </c>
      <c r="Y33" s="474">
        <f t="shared" si="4"/>
        <v>0</v>
      </c>
      <c r="Z33" s="475">
        <f t="shared" si="5"/>
        <v>0</v>
      </c>
      <c r="AA33" s="475">
        <v>0</v>
      </c>
      <c r="AB33" s="476">
        <v>0</v>
      </c>
      <c r="AC33" s="38">
        <f t="shared" si="6"/>
        <v>0</v>
      </c>
      <c r="AD33" s="692">
        <f t="shared" si="7"/>
        <v>-1737.2900000000009</v>
      </c>
      <c r="AE33" s="692">
        <f t="shared" si="8"/>
        <v>0</v>
      </c>
      <c r="AF33" s="692">
        <f t="shared" si="9"/>
        <v>0</v>
      </c>
      <c r="AG33" s="38"/>
      <c r="AH33" s="692">
        <f t="shared" si="10"/>
        <v>30000</v>
      </c>
      <c r="AI33" s="692">
        <f t="shared" si="11"/>
        <v>0</v>
      </c>
      <c r="AJ33" s="692">
        <f t="shared" si="12"/>
        <v>0</v>
      </c>
      <c r="AL33" s="38">
        <f t="shared" si="13"/>
        <v>28262.71</v>
      </c>
      <c r="AM33" s="123" t="s">
        <v>405</v>
      </c>
    </row>
    <row r="34" spans="1:39" s="232" customFormat="1">
      <c r="A34" s="283"/>
      <c r="B34" s="283" t="s">
        <v>110</v>
      </c>
      <c r="C34" s="667" t="s">
        <v>528</v>
      </c>
      <c r="D34" s="123" t="s">
        <v>406</v>
      </c>
      <c r="E34" s="679"/>
      <c r="F34" s="529">
        <f>VLOOKUP(D34,'Nov13 Revenue'!D:V,19,FALSE)</f>
        <v>-516.03000000000065</v>
      </c>
      <c r="G34" s="680"/>
      <c r="H34" s="680"/>
      <c r="I34" s="755"/>
      <c r="J34" s="682">
        <f t="shared" si="0"/>
        <v>-516.03000000000065</v>
      </c>
      <c r="K34" s="683"/>
      <c r="L34" s="684"/>
      <c r="M34" s="753">
        <v>15000</v>
      </c>
      <c r="N34" s="683">
        <v>0</v>
      </c>
      <c r="O34" s="686"/>
      <c r="P34" s="683">
        <v>0</v>
      </c>
      <c r="Q34" s="687">
        <f t="shared" si="1"/>
        <v>15000</v>
      </c>
      <c r="R34" s="687"/>
      <c r="S34" s="687"/>
      <c r="T34" s="688">
        <v>16775.169999999998</v>
      </c>
      <c r="U34" s="693"/>
      <c r="V34" s="690">
        <f t="shared" si="2"/>
        <v>1775.1699999999983</v>
      </c>
      <c r="W34" s="683"/>
      <c r="X34" s="474">
        <f t="shared" si="3"/>
        <v>15000</v>
      </c>
      <c r="Y34" s="474">
        <f t="shared" si="4"/>
        <v>0</v>
      </c>
      <c r="Z34" s="475">
        <f t="shared" si="5"/>
        <v>0</v>
      </c>
      <c r="AA34" s="475">
        <v>0</v>
      </c>
      <c r="AB34" s="476">
        <v>0</v>
      </c>
      <c r="AC34" s="38">
        <f t="shared" si="6"/>
        <v>0</v>
      </c>
      <c r="AD34" s="692">
        <f t="shared" si="7"/>
        <v>-516.03000000000065</v>
      </c>
      <c r="AE34" s="692">
        <f t="shared" si="8"/>
        <v>0</v>
      </c>
      <c r="AF34" s="692">
        <f t="shared" si="9"/>
        <v>0</v>
      </c>
      <c r="AG34" s="38"/>
      <c r="AH34" s="692">
        <f t="shared" si="10"/>
        <v>15000</v>
      </c>
      <c r="AI34" s="692">
        <f t="shared" si="11"/>
        <v>0</v>
      </c>
      <c r="AJ34" s="692">
        <f t="shared" si="12"/>
        <v>0</v>
      </c>
      <c r="AL34" s="38">
        <f t="shared" si="13"/>
        <v>14483.97</v>
      </c>
      <c r="AM34" s="123" t="s">
        <v>406</v>
      </c>
    </row>
    <row r="35" spans="1:39" s="232" customFormat="1">
      <c r="A35" s="283"/>
      <c r="B35" s="283" t="s">
        <v>110</v>
      </c>
      <c r="C35" s="667" t="s">
        <v>528</v>
      </c>
      <c r="D35" s="123" t="s">
        <v>407</v>
      </c>
      <c r="E35" s="679"/>
      <c r="F35" s="529">
        <f>VLOOKUP(D35,'Nov13 Revenue'!D:V,19,FALSE)</f>
        <v>849.60999999999967</v>
      </c>
      <c r="G35" s="680"/>
      <c r="H35" s="680"/>
      <c r="I35" s="755"/>
      <c r="J35" s="682">
        <f t="shared" si="0"/>
        <v>849.60999999999967</v>
      </c>
      <c r="K35" s="683"/>
      <c r="L35" s="684"/>
      <c r="M35" s="753">
        <v>5000</v>
      </c>
      <c r="N35" s="683">
        <v>0</v>
      </c>
      <c r="O35" s="686"/>
      <c r="P35" s="683">
        <v>0</v>
      </c>
      <c r="Q35" s="687">
        <f t="shared" si="1"/>
        <v>5000</v>
      </c>
      <c r="R35" s="687"/>
      <c r="S35" s="687"/>
      <c r="T35" s="688">
        <v>6670.65</v>
      </c>
      <c r="U35" s="693"/>
      <c r="V35" s="690">
        <f t="shared" si="2"/>
        <v>1670.6499999999996</v>
      </c>
      <c r="W35" s="683"/>
      <c r="X35" s="474">
        <f t="shared" si="3"/>
        <v>5000</v>
      </c>
      <c r="Y35" s="474">
        <f t="shared" si="4"/>
        <v>0</v>
      </c>
      <c r="Z35" s="475">
        <f t="shared" si="5"/>
        <v>0</v>
      </c>
      <c r="AA35" s="475">
        <v>0</v>
      </c>
      <c r="AB35" s="476">
        <v>0</v>
      </c>
      <c r="AC35" s="38">
        <f t="shared" si="6"/>
        <v>0</v>
      </c>
      <c r="AD35" s="692">
        <f t="shared" si="7"/>
        <v>849.60999999999967</v>
      </c>
      <c r="AE35" s="692">
        <f t="shared" si="8"/>
        <v>0</v>
      </c>
      <c r="AF35" s="692">
        <f t="shared" si="9"/>
        <v>0</v>
      </c>
      <c r="AG35" s="38"/>
      <c r="AH35" s="692">
        <f t="shared" si="10"/>
        <v>5000</v>
      </c>
      <c r="AI35" s="692">
        <f t="shared" si="11"/>
        <v>0</v>
      </c>
      <c r="AJ35" s="692">
        <f t="shared" si="12"/>
        <v>0</v>
      </c>
      <c r="AL35" s="38">
        <f t="shared" si="13"/>
        <v>5849.61</v>
      </c>
      <c r="AM35" s="123" t="s">
        <v>407</v>
      </c>
    </row>
    <row r="36" spans="1:39" s="232" customFormat="1">
      <c r="A36" s="283"/>
      <c r="B36" s="283" t="s">
        <v>110</v>
      </c>
      <c r="C36" s="667" t="s">
        <v>528</v>
      </c>
      <c r="D36" s="123" t="s">
        <v>880</v>
      </c>
      <c r="E36" s="679"/>
      <c r="F36" s="529">
        <f>VLOOKUP(D36,'Nov13 Revenue'!D:V,19,FALSE)</f>
        <v>1165.0299999999997</v>
      </c>
      <c r="G36" s="680"/>
      <c r="H36" s="680"/>
      <c r="I36" s="755"/>
      <c r="J36" s="682">
        <f t="shared" si="0"/>
        <v>1165.0299999999997</v>
      </c>
      <c r="K36" s="683"/>
      <c r="L36" s="684"/>
      <c r="M36" s="753">
        <v>5000</v>
      </c>
      <c r="N36" s="683">
        <v>0</v>
      </c>
      <c r="O36" s="686"/>
      <c r="P36" s="683">
        <v>0</v>
      </c>
      <c r="Q36" s="687">
        <f t="shared" si="1"/>
        <v>5000</v>
      </c>
      <c r="R36" s="687"/>
      <c r="S36" s="687"/>
      <c r="T36" s="688">
        <v>7935.22</v>
      </c>
      <c r="U36" s="693"/>
      <c r="V36" s="690">
        <f t="shared" si="2"/>
        <v>2935.2200000000003</v>
      </c>
      <c r="W36" s="683"/>
      <c r="X36" s="474">
        <f t="shared" si="3"/>
        <v>5000</v>
      </c>
      <c r="Y36" s="474">
        <f t="shared" si="4"/>
        <v>0</v>
      </c>
      <c r="Z36" s="475">
        <f t="shared" si="5"/>
        <v>0</v>
      </c>
      <c r="AA36" s="475">
        <v>0</v>
      </c>
      <c r="AB36" s="476">
        <v>0</v>
      </c>
      <c r="AC36" s="38">
        <f t="shared" si="6"/>
        <v>0</v>
      </c>
      <c r="AD36" s="692">
        <f t="shared" si="7"/>
        <v>1165.0299999999997</v>
      </c>
      <c r="AE36" s="692">
        <f t="shared" si="8"/>
        <v>0</v>
      </c>
      <c r="AF36" s="692">
        <f t="shared" si="9"/>
        <v>0</v>
      </c>
      <c r="AG36" s="38"/>
      <c r="AH36" s="692">
        <f t="shared" si="10"/>
        <v>5000</v>
      </c>
      <c r="AI36" s="692">
        <f t="shared" si="11"/>
        <v>0</v>
      </c>
      <c r="AJ36" s="692">
        <f t="shared" si="12"/>
        <v>0</v>
      </c>
      <c r="AL36" s="38">
        <f t="shared" si="13"/>
        <v>6165.03</v>
      </c>
      <c r="AM36" s="123" t="s">
        <v>880</v>
      </c>
    </row>
    <row r="37" spans="1:39" s="232" customFormat="1">
      <c r="A37" s="283"/>
      <c r="B37" s="283" t="s">
        <v>110</v>
      </c>
      <c r="C37" s="667" t="s">
        <v>528</v>
      </c>
      <c r="D37" s="123" t="s">
        <v>881</v>
      </c>
      <c r="E37" s="679"/>
      <c r="F37" s="529">
        <f>VLOOKUP(D37,'Nov13 Revenue'!D:V,19,FALSE)</f>
        <v>-627.84000000000015</v>
      </c>
      <c r="G37" s="680"/>
      <c r="H37" s="680"/>
      <c r="I37" s="755"/>
      <c r="J37" s="682">
        <f t="shared" si="0"/>
        <v>-627.84000000000015</v>
      </c>
      <c r="K37" s="683"/>
      <c r="L37" s="684"/>
      <c r="M37" s="753">
        <v>5000</v>
      </c>
      <c r="N37" s="683">
        <v>0</v>
      </c>
      <c r="O37" s="686"/>
      <c r="P37" s="683">
        <v>0</v>
      </c>
      <c r="Q37" s="687">
        <f t="shared" si="1"/>
        <v>5000</v>
      </c>
      <c r="R37" s="687"/>
      <c r="S37" s="687"/>
      <c r="T37" s="688">
        <v>5704.07</v>
      </c>
      <c r="U37" s="693"/>
      <c r="V37" s="690">
        <f t="shared" si="2"/>
        <v>704.06999999999971</v>
      </c>
      <c r="W37" s="683"/>
      <c r="X37" s="474">
        <f t="shared" si="3"/>
        <v>5000</v>
      </c>
      <c r="Y37" s="474">
        <f t="shared" si="4"/>
        <v>0</v>
      </c>
      <c r="Z37" s="475">
        <f t="shared" si="5"/>
        <v>0</v>
      </c>
      <c r="AA37" s="475">
        <v>0</v>
      </c>
      <c r="AB37" s="476">
        <v>0</v>
      </c>
      <c r="AC37" s="38">
        <f t="shared" si="6"/>
        <v>0</v>
      </c>
      <c r="AD37" s="692">
        <f t="shared" si="7"/>
        <v>-627.84000000000015</v>
      </c>
      <c r="AE37" s="692">
        <f t="shared" si="8"/>
        <v>0</v>
      </c>
      <c r="AF37" s="692">
        <f t="shared" si="9"/>
        <v>0</v>
      </c>
      <c r="AG37" s="38"/>
      <c r="AH37" s="692">
        <f t="shared" si="10"/>
        <v>5000</v>
      </c>
      <c r="AI37" s="692">
        <f t="shared" si="11"/>
        <v>0</v>
      </c>
      <c r="AJ37" s="692">
        <f t="shared" si="12"/>
        <v>0</v>
      </c>
      <c r="AL37" s="38">
        <f t="shared" si="13"/>
        <v>4372.16</v>
      </c>
      <c r="AM37" s="123" t="s">
        <v>881</v>
      </c>
    </row>
    <row r="38" spans="1:39" s="232" customFormat="1">
      <c r="A38" s="283"/>
      <c r="B38" s="283" t="s">
        <v>110</v>
      </c>
      <c r="C38" s="667" t="s">
        <v>528</v>
      </c>
      <c r="D38" s="123" t="s">
        <v>820</v>
      </c>
      <c r="E38" s="679"/>
      <c r="F38" s="529">
        <f>VLOOKUP(D38,'Nov13 Revenue'!D:V,19,FALSE)</f>
        <v>-5843.510000000002</v>
      </c>
      <c r="G38" s="680"/>
      <c r="H38" s="680"/>
      <c r="I38" s="755"/>
      <c r="J38" s="682">
        <f t="shared" si="0"/>
        <v>-5843.510000000002</v>
      </c>
      <c r="K38" s="683"/>
      <c r="L38" s="684"/>
      <c r="M38" s="753">
        <v>45000</v>
      </c>
      <c r="N38" s="683">
        <v>0</v>
      </c>
      <c r="O38" s="686"/>
      <c r="P38" s="683">
        <v>0</v>
      </c>
      <c r="Q38" s="687">
        <f t="shared" si="1"/>
        <v>45000</v>
      </c>
      <c r="R38" s="687"/>
      <c r="S38" s="687"/>
      <c r="T38" s="688">
        <v>32750.77</v>
      </c>
      <c r="U38" s="693"/>
      <c r="V38" s="690">
        <f t="shared" si="2"/>
        <v>-12249.23</v>
      </c>
      <c r="W38" s="683"/>
      <c r="X38" s="474">
        <f t="shared" si="3"/>
        <v>45000</v>
      </c>
      <c r="Y38" s="474">
        <f t="shared" si="4"/>
        <v>0</v>
      </c>
      <c r="Z38" s="475">
        <f t="shared" si="5"/>
        <v>0</v>
      </c>
      <c r="AA38" s="475">
        <v>0</v>
      </c>
      <c r="AB38" s="476">
        <v>0</v>
      </c>
      <c r="AC38" s="38">
        <f t="shared" si="6"/>
        <v>0</v>
      </c>
      <c r="AD38" s="692">
        <f t="shared" si="7"/>
        <v>-5843.510000000002</v>
      </c>
      <c r="AE38" s="692">
        <f t="shared" si="8"/>
        <v>0</v>
      </c>
      <c r="AF38" s="692">
        <f t="shared" si="9"/>
        <v>0</v>
      </c>
      <c r="AG38" s="38"/>
      <c r="AH38" s="692">
        <f t="shared" si="10"/>
        <v>45000</v>
      </c>
      <c r="AI38" s="692">
        <f t="shared" si="11"/>
        <v>0</v>
      </c>
      <c r="AJ38" s="692">
        <f t="shared" si="12"/>
        <v>0</v>
      </c>
      <c r="AL38" s="38">
        <f t="shared" si="13"/>
        <v>39156.49</v>
      </c>
      <c r="AM38" s="123" t="s">
        <v>820</v>
      </c>
    </row>
    <row r="39" spans="1:39" s="232" customFormat="1">
      <c r="A39" s="283"/>
      <c r="B39" s="283" t="s">
        <v>110</v>
      </c>
      <c r="C39" s="667" t="s">
        <v>527</v>
      </c>
      <c r="D39" s="123" t="s">
        <v>460</v>
      </c>
      <c r="E39" s="679"/>
      <c r="F39" s="529">
        <f>VLOOKUP(D39,'Nov13 Revenue'!D:V,19,FALSE)</f>
        <v>0</v>
      </c>
      <c r="G39" s="680"/>
      <c r="H39" s="680"/>
      <c r="I39" s="770">
        <v>84601.22</v>
      </c>
      <c r="J39" s="682">
        <f t="shared" si="0"/>
        <v>84601.22</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84601.22</v>
      </c>
      <c r="AE39" s="692">
        <f t="shared" si="8"/>
        <v>0</v>
      </c>
      <c r="AF39" s="692">
        <f t="shared" si="9"/>
        <v>0</v>
      </c>
      <c r="AG39" s="38"/>
      <c r="AH39" s="692">
        <f t="shared" si="10"/>
        <v>0</v>
      </c>
      <c r="AI39" s="692">
        <f t="shared" si="11"/>
        <v>0</v>
      </c>
      <c r="AJ39" s="692">
        <f t="shared" si="12"/>
        <v>0</v>
      </c>
      <c r="AL39" s="38">
        <f t="shared" si="13"/>
        <v>84601.22</v>
      </c>
      <c r="AM39" s="123" t="s">
        <v>460</v>
      </c>
    </row>
    <row r="40" spans="1:39" s="232" customFormat="1">
      <c r="A40" s="283"/>
      <c r="B40" s="283" t="s">
        <v>110</v>
      </c>
      <c r="C40" s="676" t="s">
        <v>528</v>
      </c>
      <c r="D40" s="123" t="s">
        <v>623</v>
      </c>
      <c r="E40" s="679"/>
      <c r="F40" s="529">
        <f>VLOOKUP(D40,'Nov13 Revenue'!D:V,19,FALSE)</f>
        <v>0</v>
      </c>
      <c r="G40" s="680"/>
      <c r="H40" s="680"/>
      <c r="I40" s="770">
        <v>9526.5300000000007</v>
      </c>
      <c r="J40" s="682">
        <f t="shared" si="0"/>
        <v>9526.5300000000007</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9526.5300000000007</v>
      </c>
      <c r="AE40" s="692">
        <f t="shared" si="8"/>
        <v>0</v>
      </c>
      <c r="AF40" s="692">
        <f t="shared" si="9"/>
        <v>0</v>
      </c>
      <c r="AG40" s="38"/>
      <c r="AH40" s="692">
        <f t="shared" si="10"/>
        <v>0</v>
      </c>
      <c r="AI40" s="692">
        <f t="shared" si="11"/>
        <v>0</v>
      </c>
      <c r="AJ40" s="692">
        <f t="shared" si="12"/>
        <v>0</v>
      </c>
      <c r="AL40" s="38">
        <f t="shared" si="13"/>
        <v>9526.5300000000007</v>
      </c>
      <c r="AM40" s="123" t="s">
        <v>623</v>
      </c>
    </row>
    <row r="41" spans="1:39" s="232" customFormat="1">
      <c r="A41" s="403"/>
      <c r="B41" s="403" t="s">
        <v>114</v>
      </c>
      <c r="C41" s="675" t="s">
        <v>527</v>
      </c>
      <c r="D41" s="123" t="s">
        <v>1054</v>
      </c>
      <c r="E41" s="679"/>
      <c r="F41" s="529">
        <v>0</v>
      </c>
      <c r="G41" s="680"/>
      <c r="H41" s="680"/>
      <c r="I41" s="755"/>
      <c r="J41" s="682">
        <f t="shared" ref="J41" si="14">SUM(E41:I41)</f>
        <v>0</v>
      </c>
      <c r="K41" s="683"/>
      <c r="L41" s="684"/>
      <c r="M41" s="753"/>
      <c r="N41" s="683">
        <v>0</v>
      </c>
      <c r="O41" s="686"/>
      <c r="P41" s="683">
        <v>0</v>
      </c>
      <c r="Q41" s="687">
        <f t="shared" ref="Q41" si="15">L41+M41</f>
        <v>0</v>
      </c>
      <c r="R41" s="687"/>
      <c r="S41" s="687"/>
      <c r="T41" s="688">
        <v>46607.4</v>
      </c>
      <c r="U41" s="693"/>
      <c r="V41" s="690">
        <f t="shared" ref="V41" si="16">IF(T41="","",T41-Q41)</f>
        <v>46607.4</v>
      </c>
      <c r="W41" s="683"/>
      <c r="X41" s="474">
        <f t="shared" ref="X41" si="17">IF(B41="D",Q41,0)</f>
        <v>0</v>
      </c>
      <c r="Y41" s="474">
        <f t="shared" ref="Y41" si="18">IF(B41="M",Q41,0)</f>
        <v>0</v>
      </c>
      <c r="Z41" s="475">
        <f t="shared" ref="Z41" si="19">IF(B41="V",Q41,0)</f>
        <v>0</v>
      </c>
      <c r="AA41" s="475">
        <v>0</v>
      </c>
      <c r="AB41" s="476">
        <v>0</v>
      </c>
      <c r="AC41" s="38">
        <f t="shared" ref="AC41" si="20">(L41+M41)-(X41+Y41+Z41+AA41+AB41)</f>
        <v>0</v>
      </c>
      <c r="AD41" s="692">
        <f t="shared" ref="AD41" si="21">IF(B41="D",J41,0)</f>
        <v>0</v>
      </c>
      <c r="AE41" s="692">
        <f t="shared" ref="AE41" si="22">IF(B41="M",J41,0)</f>
        <v>0</v>
      </c>
      <c r="AF41" s="692">
        <f t="shared" ref="AF41" si="23">IF(B41="V",J41,0)</f>
        <v>0</v>
      </c>
      <c r="AG41" s="38"/>
      <c r="AH41" s="692">
        <f t="shared" ref="AH41" si="24">IF(B41="D",Q41,0)</f>
        <v>0</v>
      </c>
      <c r="AI41" s="692">
        <f t="shared" ref="AI41" si="25">IF(B41="M",Q41,0)</f>
        <v>0</v>
      </c>
      <c r="AJ41" s="692">
        <f t="shared" ref="AJ41" si="26">IF(B41="V",Q41,0)</f>
        <v>0</v>
      </c>
      <c r="AL41" s="38">
        <f t="shared" ref="AL41" si="27">SUM(AD41:AJ41)</f>
        <v>0</v>
      </c>
      <c r="AM41" s="123" t="s">
        <v>108</v>
      </c>
    </row>
    <row r="42" spans="1:39" s="232" customFormat="1">
      <c r="A42" s="403"/>
      <c r="B42" s="403" t="s">
        <v>114</v>
      </c>
      <c r="C42" s="666" t="s">
        <v>529</v>
      </c>
      <c r="D42" s="123" t="s">
        <v>108</v>
      </c>
      <c r="E42" s="679"/>
      <c r="F42" s="529">
        <f>VLOOKUP(D42,'Nov13 Revenue'!D:V,19,FALSE)</f>
        <v>13518.02</v>
      </c>
      <c r="G42" s="680"/>
      <c r="H42" s="680"/>
      <c r="I42" s="755"/>
      <c r="J42" s="682">
        <f t="shared" si="0"/>
        <v>13518.02</v>
      </c>
      <c r="K42" s="683"/>
      <c r="L42" s="684"/>
      <c r="M42" s="753">
        <v>15000</v>
      </c>
      <c r="N42" s="683">
        <v>0</v>
      </c>
      <c r="O42" s="686"/>
      <c r="P42" s="683">
        <v>0</v>
      </c>
      <c r="Q42" s="687">
        <f t="shared" si="1"/>
        <v>15000</v>
      </c>
      <c r="R42" s="687"/>
      <c r="S42" s="687"/>
      <c r="T42" s="688">
        <v>29220.6</v>
      </c>
      <c r="U42" s="693"/>
      <c r="V42" s="690">
        <f t="shared" si="2"/>
        <v>14220.599999999999</v>
      </c>
      <c r="W42" s="683"/>
      <c r="X42" s="474">
        <f t="shared" si="3"/>
        <v>0</v>
      </c>
      <c r="Y42" s="474">
        <f t="shared" si="4"/>
        <v>0</v>
      </c>
      <c r="Z42" s="475">
        <f t="shared" si="5"/>
        <v>15000</v>
      </c>
      <c r="AA42" s="475">
        <v>0</v>
      </c>
      <c r="AB42" s="476">
        <v>0</v>
      </c>
      <c r="AC42" s="38">
        <f t="shared" si="6"/>
        <v>0</v>
      </c>
      <c r="AD42" s="692">
        <f t="shared" si="7"/>
        <v>0</v>
      </c>
      <c r="AE42" s="692">
        <f t="shared" si="8"/>
        <v>0</v>
      </c>
      <c r="AF42" s="692">
        <f t="shared" si="9"/>
        <v>13518.02</v>
      </c>
      <c r="AG42" s="38"/>
      <c r="AH42" s="692">
        <f t="shared" si="10"/>
        <v>0</v>
      </c>
      <c r="AI42" s="692">
        <f t="shared" si="11"/>
        <v>0</v>
      </c>
      <c r="AJ42" s="692">
        <f t="shared" si="12"/>
        <v>15000</v>
      </c>
      <c r="AL42" s="38">
        <f t="shared" si="13"/>
        <v>28518.02</v>
      </c>
      <c r="AM42" s="123" t="s">
        <v>108</v>
      </c>
    </row>
    <row r="43" spans="1:39" s="232" customFormat="1">
      <c r="A43" s="403"/>
      <c r="B43" s="403" t="s">
        <v>110</v>
      </c>
      <c r="C43" s="666"/>
      <c r="D43" s="123" t="s">
        <v>911</v>
      </c>
      <c r="E43" s="679"/>
      <c r="F43" s="529">
        <f>VLOOKUP(D43,'Nov13 Revenue'!D:V,19,FALSE)</f>
        <v>-472.92000000000007</v>
      </c>
      <c r="G43" s="680"/>
      <c r="H43" s="680"/>
      <c r="I43" s="755"/>
      <c r="J43" s="682">
        <f t="shared" si="0"/>
        <v>-472.92000000000007</v>
      </c>
      <c r="K43" s="683"/>
      <c r="L43" s="684"/>
      <c r="M43" s="753">
        <v>15000</v>
      </c>
      <c r="N43" s="683">
        <v>0</v>
      </c>
      <c r="O43" s="686"/>
      <c r="P43" s="683">
        <v>0</v>
      </c>
      <c r="Q43" s="687">
        <f t="shared" si="1"/>
        <v>15000</v>
      </c>
      <c r="R43" s="687"/>
      <c r="S43" s="687"/>
      <c r="T43" s="688">
        <v>14327.44</v>
      </c>
      <c r="U43" s="693"/>
      <c r="V43" s="690">
        <f t="shared" si="2"/>
        <v>-672.55999999999949</v>
      </c>
      <c r="W43" s="683"/>
      <c r="X43" s="474">
        <f t="shared" si="3"/>
        <v>15000</v>
      </c>
      <c r="Y43" s="474">
        <f t="shared" si="4"/>
        <v>0</v>
      </c>
      <c r="Z43" s="475">
        <f t="shared" si="5"/>
        <v>0</v>
      </c>
      <c r="AA43" s="475">
        <v>0</v>
      </c>
      <c r="AB43" s="476">
        <v>0</v>
      </c>
      <c r="AC43" s="38">
        <f t="shared" si="6"/>
        <v>0</v>
      </c>
      <c r="AD43" s="692">
        <f t="shared" si="7"/>
        <v>-472.92000000000007</v>
      </c>
      <c r="AE43" s="692">
        <f t="shared" si="8"/>
        <v>0</v>
      </c>
      <c r="AF43" s="692">
        <f t="shared" si="9"/>
        <v>0</v>
      </c>
      <c r="AG43" s="38"/>
      <c r="AH43" s="692">
        <f t="shared" si="10"/>
        <v>15000</v>
      </c>
      <c r="AI43" s="692">
        <f t="shared" si="11"/>
        <v>0</v>
      </c>
      <c r="AJ43" s="692">
        <f t="shared" si="12"/>
        <v>0</v>
      </c>
      <c r="AL43" s="38">
        <f t="shared" si="13"/>
        <v>14527.08</v>
      </c>
      <c r="AM43" s="123" t="s">
        <v>911</v>
      </c>
    </row>
    <row r="44" spans="1:39">
      <c r="A44" s="21"/>
      <c r="B44" s="21" t="s">
        <v>110</v>
      </c>
      <c r="C44" s="666"/>
      <c r="D44" s="68" t="s">
        <v>234</v>
      </c>
      <c r="E44" s="679"/>
      <c r="F44" s="529">
        <f>VLOOKUP(D44,'Nov13 Revenue'!D:V,19,FALSE)</f>
        <v>-10000</v>
      </c>
      <c r="G44" s="680"/>
      <c r="H44" s="680"/>
      <c r="I44" s="755"/>
      <c r="J44" s="682">
        <f t="shared" si="0"/>
        <v>-10000</v>
      </c>
      <c r="K44" s="683"/>
      <c r="L44" s="684"/>
      <c r="M44" s="753">
        <v>15000</v>
      </c>
      <c r="N44" s="683">
        <v>0</v>
      </c>
      <c r="O44" s="686"/>
      <c r="P44" s="683">
        <v>0</v>
      </c>
      <c r="Q44" s="687">
        <f t="shared" si="1"/>
        <v>15000</v>
      </c>
      <c r="R44" s="687"/>
      <c r="S44" s="687"/>
      <c r="T44" s="688">
        <v>0</v>
      </c>
      <c r="U44" s="693"/>
      <c r="V44" s="690">
        <f t="shared" si="2"/>
        <v>-15000</v>
      </c>
      <c r="W44" s="683"/>
      <c r="X44" s="474">
        <f t="shared" si="3"/>
        <v>15000</v>
      </c>
      <c r="Y44" s="474">
        <f t="shared" si="4"/>
        <v>0</v>
      </c>
      <c r="Z44" s="475">
        <f t="shared" si="5"/>
        <v>0</v>
      </c>
      <c r="AA44" s="475">
        <v>0</v>
      </c>
      <c r="AB44" s="476">
        <v>0</v>
      </c>
      <c r="AC44" s="38">
        <f t="shared" si="6"/>
        <v>0</v>
      </c>
      <c r="AD44" s="692">
        <f t="shared" si="7"/>
        <v>-10000</v>
      </c>
      <c r="AE44" s="692">
        <f t="shared" si="8"/>
        <v>0</v>
      </c>
      <c r="AF44" s="692">
        <f t="shared" si="9"/>
        <v>0</v>
      </c>
      <c r="AG44" s="38"/>
      <c r="AH44" s="692">
        <f t="shared" si="10"/>
        <v>15000</v>
      </c>
      <c r="AI44" s="692">
        <f t="shared" si="11"/>
        <v>0</v>
      </c>
      <c r="AJ44" s="692">
        <f t="shared" si="12"/>
        <v>0</v>
      </c>
      <c r="AL44" s="38">
        <f t="shared" si="13"/>
        <v>5000</v>
      </c>
      <c r="AM44" s="68" t="s">
        <v>234</v>
      </c>
    </row>
    <row r="45" spans="1:39">
      <c r="A45" s="20"/>
      <c r="B45" s="20" t="s">
        <v>109</v>
      </c>
      <c r="C45" s="667"/>
      <c r="D45" s="68" t="s">
        <v>598</v>
      </c>
      <c r="E45" s="679">
        <f>102.94+1036.48</f>
        <v>1139.42</v>
      </c>
      <c r="F45" s="529">
        <f>VLOOKUP(D45,'Nov13 Revenue'!D:V,19,FALSE)</f>
        <v>0</v>
      </c>
      <c r="G45" s="680"/>
      <c r="H45" s="680"/>
      <c r="I45" s="755"/>
      <c r="J45" s="682">
        <f t="shared" si="0"/>
        <v>1139.42</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1139.42</v>
      </c>
      <c r="AF45" s="692">
        <f t="shared" si="9"/>
        <v>0</v>
      </c>
      <c r="AG45" s="38"/>
      <c r="AH45" s="692">
        <f t="shared" si="10"/>
        <v>0</v>
      </c>
      <c r="AI45" s="692">
        <f t="shared" si="11"/>
        <v>0</v>
      </c>
      <c r="AJ45" s="692">
        <f t="shared" si="12"/>
        <v>0</v>
      </c>
      <c r="AL45" s="38">
        <f t="shared" si="13"/>
        <v>1139.42</v>
      </c>
      <c r="AM45" s="68" t="s">
        <v>598</v>
      </c>
    </row>
    <row r="46" spans="1:39">
      <c r="A46" s="20"/>
      <c r="B46" s="20" t="s">
        <v>110</v>
      </c>
      <c r="C46" s="667"/>
      <c r="D46" s="68" t="s">
        <v>311</v>
      </c>
      <c r="E46" s="679"/>
      <c r="F46" s="529">
        <f>VLOOKUP(D46,'Nov13 Revenue'!D:V,19,FALSE)</f>
        <v>0</v>
      </c>
      <c r="G46" s="680"/>
      <c r="H46" s="680"/>
      <c r="I46" s="755"/>
      <c r="J46" s="682">
        <f t="shared" si="0"/>
        <v>0</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c r="AM46" s="68" t="s">
        <v>311</v>
      </c>
    </row>
    <row r="47" spans="1:39">
      <c r="A47" s="20"/>
      <c r="B47" s="20" t="s">
        <v>110</v>
      </c>
      <c r="C47" s="667"/>
      <c r="D47" s="68" t="s">
        <v>451</v>
      </c>
      <c r="E47" s="679">
        <v>376954.74</v>
      </c>
      <c r="F47" s="529">
        <f>VLOOKUP(D47,'Nov13 Revenue'!D:V,19,FALSE)</f>
        <v>-360000</v>
      </c>
      <c r="G47" s="680"/>
      <c r="H47" s="680"/>
      <c r="I47" s="755"/>
      <c r="J47" s="682">
        <f t="shared" si="0"/>
        <v>16954.739999999991</v>
      </c>
      <c r="K47" s="683"/>
      <c r="L47" s="684"/>
      <c r="M47" s="753">
        <v>100000</v>
      </c>
      <c r="N47" s="683">
        <v>0</v>
      </c>
      <c r="O47" s="686"/>
      <c r="P47" s="683">
        <v>0</v>
      </c>
      <c r="Q47" s="687">
        <f t="shared" si="1"/>
        <v>100000</v>
      </c>
      <c r="R47" s="687"/>
      <c r="S47" s="687"/>
      <c r="T47" s="688">
        <v>77388.31</v>
      </c>
      <c r="U47" s="693"/>
      <c r="V47" s="690">
        <f t="shared" si="2"/>
        <v>-22611.690000000002</v>
      </c>
      <c r="W47" s="683"/>
      <c r="X47" s="474">
        <f t="shared" si="3"/>
        <v>100000</v>
      </c>
      <c r="Y47" s="474">
        <f t="shared" si="4"/>
        <v>0</v>
      </c>
      <c r="Z47" s="475">
        <f t="shared" si="5"/>
        <v>0</v>
      </c>
      <c r="AA47" s="475">
        <v>0</v>
      </c>
      <c r="AB47" s="476">
        <v>0</v>
      </c>
      <c r="AC47" s="38">
        <f t="shared" si="6"/>
        <v>0</v>
      </c>
      <c r="AD47" s="692">
        <f t="shared" si="7"/>
        <v>16954.739999999991</v>
      </c>
      <c r="AE47" s="692">
        <f t="shared" si="8"/>
        <v>0</v>
      </c>
      <c r="AF47" s="692">
        <f t="shared" si="9"/>
        <v>0</v>
      </c>
      <c r="AG47" s="38"/>
      <c r="AH47" s="692">
        <f t="shared" si="10"/>
        <v>100000</v>
      </c>
      <c r="AI47" s="692">
        <f t="shared" si="11"/>
        <v>0</v>
      </c>
      <c r="AJ47" s="692">
        <f t="shared" si="12"/>
        <v>0</v>
      </c>
      <c r="AL47" s="38">
        <f t="shared" si="13"/>
        <v>116954.73999999999</v>
      </c>
      <c r="AM47" s="68" t="s">
        <v>451</v>
      </c>
    </row>
    <row r="48" spans="1:39">
      <c r="A48" s="20"/>
      <c r="B48" s="20" t="s">
        <v>109</v>
      </c>
      <c r="C48" s="667"/>
      <c r="D48" s="68" t="s">
        <v>469</v>
      </c>
      <c r="E48" s="679"/>
      <c r="F48" s="529">
        <f>VLOOKUP(D48,'Nov13 Revenue'!D:V,19,FALSE)</f>
        <v>5824.88</v>
      </c>
      <c r="G48" s="680"/>
      <c r="H48" s="680"/>
      <c r="I48" s="770">
        <v>5411.18</v>
      </c>
      <c r="J48" s="682">
        <f t="shared" si="0"/>
        <v>11236.060000000001</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11236.060000000001</v>
      </c>
      <c r="AF48" s="692">
        <f t="shared" si="9"/>
        <v>0</v>
      </c>
      <c r="AG48" s="38"/>
      <c r="AH48" s="692">
        <f t="shared" si="10"/>
        <v>0</v>
      </c>
      <c r="AI48" s="692">
        <f t="shared" si="11"/>
        <v>0</v>
      </c>
      <c r="AJ48" s="692">
        <f t="shared" si="12"/>
        <v>0</v>
      </c>
      <c r="AL48" s="38">
        <f t="shared" si="13"/>
        <v>11236.060000000001</v>
      </c>
      <c r="AM48" s="68" t="s">
        <v>469</v>
      </c>
    </row>
    <row r="49" spans="1:39">
      <c r="A49" s="20"/>
      <c r="B49" s="20" t="s">
        <v>110</v>
      </c>
      <c r="C49" s="667" t="s">
        <v>530</v>
      </c>
      <c r="D49" s="68" t="s">
        <v>69</v>
      </c>
      <c r="E49" s="679"/>
      <c r="F49" s="529">
        <f>VLOOKUP(D49,'Nov13 Revenue'!D:V,19,FALSE)</f>
        <v>1885.83</v>
      </c>
      <c r="G49" s="680"/>
      <c r="H49" s="680"/>
      <c r="I49" s="755"/>
      <c r="J49" s="682">
        <f t="shared" si="0"/>
        <v>1885.83</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1885.83</v>
      </c>
      <c r="AE49" s="692">
        <f t="shared" si="8"/>
        <v>0</v>
      </c>
      <c r="AF49" s="692">
        <f t="shared" si="9"/>
        <v>0</v>
      </c>
      <c r="AG49" s="38"/>
      <c r="AH49" s="692">
        <f t="shared" si="10"/>
        <v>0</v>
      </c>
      <c r="AI49" s="692">
        <f t="shared" si="11"/>
        <v>0</v>
      </c>
      <c r="AJ49" s="692">
        <f t="shared" si="12"/>
        <v>0</v>
      </c>
      <c r="AL49" s="38">
        <f t="shared" si="13"/>
        <v>1885.83</v>
      </c>
      <c r="AM49" s="68" t="s">
        <v>69</v>
      </c>
    </row>
    <row r="50" spans="1:39" hidden="1">
      <c r="A50" s="20"/>
      <c r="B50" s="20" t="s">
        <v>110</v>
      </c>
      <c r="C50" s="667" t="s">
        <v>531</v>
      </c>
      <c r="D50" s="68" t="s">
        <v>237</v>
      </c>
      <c r="E50" s="679"/>
      <c r="F50" s="529">
        <f>VLOOKUP(D50,'Nov13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c r="AM50" s="68" t="s">
        <v>237</v>
      </c>
    </row>
    <row r="51" spans="1:39">
      <c r="A51" s="20" t="s">
        <v>211</v>
      </c>
      <c r="B51" s="20" t="s">
        <v>110</v>
      </c>
      <c r="C51" s="667" t="s">
        <v>532</v>
      </c>
      <c r="D51" s="68" t="s">
        <v>7</v>
      </c>
      <c r="E51" s="679"/>
      <c r="F51" s="529">
        <f>VLOOKUP(D51,'Nov13 Revenue'!D:V,19,FALSE)</f>
        <v>-60000</v>
      </c>
      <c r="G51" s="680"/>
      <c r="H51" s="680"/>
      <c r="I51" s="755"/>
      <c r="J51" s="682">
        <f t="shared" si="0"/>
        <v>-60000</v>
      </c>
      <c r="K51" s="683"/>
      <c r="L51" s="684"/>
      <c r="M51" s="753">
        <v>90000</v>
      </c>
      <c r="N51" s="683">
        <v>0</v>
      </c>
      <c r="O51" s="686"/>
      <c r="P51" s="683">
        <v>0</v>
      </c>
      <c r="Q51" s="687">
        <f t="shared" si="1"/>
        <v>90000</v>
      </c>
      <c r="R51" s="687"/>
      <c r="S51" s="687"/>
      <c r="T51" s="688">
        <v>0</v>
      </c>
      <c r="U51" s="693"/>
      <c r="V51" s="690">
        <f t="shared" si="2"/>
        <v>-90000</v>
      </c>
      <c r="W51" s="697"/>
      <c r="X51" s="474">
        <f t="shared" si="3"/>
        <v>90000</v>
      </c>
      <c r="Y51" s="474">
        <f t="shared" si="4"/>
        <v>0</v>
      </c>
      <c r="Z51" s="475">
        <f t="shared" si="5"/>
        <v>0</v>
      </c>
      <c r="AA51" s="475">
        <v>0</v>
      </c>
      <c r="AB51" s="476">
        <v>0</v>
      </c>
      <c r="AC51" s="38">
        <f t="shared" si="6"/>
        <v>0</v>
      </c>
      <c r="AD51" s="692">
        <f t="shared" si="7"/>
        <v>-60000</v>
      </c>
      <c r="AE51" s="692">
        <f t="shared" si="8"/>
        <v>0</v>
      </c>
      <c r="AF51" s="692">
        <f t="shared" si="9"/>
        <v>0</v>
      </c>
      <c r="AG51" s="38"/>
      <c r="AH51" s="692">
        <f t="shared" si="10"/>
        <v>90000</v>
      </c>
      <c r="AI51" s="692">
        <f t="shared" si="11"/>
        <v>0</v>
      </c>
      <c r="AJ51" s="692">
        <f t="shared" si="12"/>
        <v>0</v>
      </c>
      <c r="AL51" s="38">
        <f t="shared" si="13"/>
        <v>30000</v>
      </c>
      <c r="AM51" s="68" t="s">
        <v>7</v>
      </c>
    </row>
    <row r="52" spans="1:39" s="232" customFormat="1" hidden="1">
      <c r="A52" s="283" t="s">
        <v>97</v>
      </c>
      <c r="B52" s="283" t="s">
        <v>109</v>
      </c>
      <c r="C52" s="667" t="s">
        <v>533</v>
      </c>
      <c r="D52" s="123" t="s">
        <v>415</v>
      </c>
      <c r="E52" s="679"/>
      <c r="F52" s="529">
        <f>VLOOKUP(D52,'Nov13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c r="AM52" s="123" t="s">
        <v>415</v>
      </c>
    </row>
    <row r="53" spans="1:39" s="232" customFormat="1" hidden="1">
      <c r="A53" s="283"/>
      <c r="B53" s="283" t="s">
        <v>109</v>
      </c>
      <c r="C53" s="667" t="s">
        <v>533</v>
      </c>
      <c r="D53" s="123" t="s">
        <v>416</v>
      </c>
      <c r="E53" s="679"/>
      <c r="F53" s="529">
        <f>VLOOKUP(D53,'Nov13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416</v>
      </c>
    </row>
    <row r="54" spans="1:39" s="232" customFormat="1" hidden="1">
      <c r="A54" s="283"/>
      <c r="B54" s="283" t="s">
        <v>109</v>
      </c>
      <c r="C54" s="667" t="s">
        <v>533</v>
      </c>
      <c r="D54" s="123" t="s">
        <v>417</v>
      </c>
      <c r="E54" s="679"/>
      <c r="F54" s="529">
        <f>VLOOKUP(D54,'Nov13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417</v>
      </c>
    </row>
    <row r="55" spans="1:39" s="232" customFormat="1" hidden="1">
      <c r="A55" s="283"/>
      <c r="B55" s="283" t="s">
        <v>109</v>
      </c>
      <c r="C55" s="667" t="s">
        <v>533</v>
      </c>
      <c r="D55" s="123" t="s">
        <v>418</v>
      </c>
      <c r="E55" s="679"/>
      <c r="F55" s="529">
        <f>VLOOKUP(D55,'Nov13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c r="AM55" s="123" t="s">
        <v>418</v>
      </c>
    </row>
    <row r="56" spans="1:39">
      <c r="A56" s="20"/>
      <c r="B56" s="20" t="s">
        <v>110</v>
      </c>
      <c r="C56" s="667"/>
      <c r="D56" s="68" t="s">
        <v>992</v>
      </c>
      <c r="E56" s="679">
        <v>3035.69</v>
      </c>
      <c r="F56" s="529">
        <f>VLOOKUP(D56,'Nov13 Revenue'!D:V,19,FALSE)</f>
        <v>1360.47</v>
      </c>
      <c r="G56" s="680"/>
      <c r="H56" s="680"/>
      <c r="I56" s="755"/>
      <c r="J56" s="682">
        <f t="shared" si="0"/>
        <v>4396.16</v>
      </c>
      <c r="K56" s="683"/>
      <c r="L56" s="684"/>
      <c r="M56" s="753"/>
      <c r="N56" s="683">
        <v>0</v>
      </c>
      <c r="O56" s="686"/>
      <c r="P56" s="683">
        <v>0</v>
      </c>
      <c r="Q56" s="687">
        <f t="shared" si="1"/>
        <v>0</v>
      </c>
      <c r="R56" s="687"/>
      <c r="S56" s="687"/>
      <c r="T56" s="688">
        <v>4158.12</v>
      </c>
      <c r="U56" s="693"/>
      <c r="V56" s="690">
        <f t="shared" si="2"/>
        <v>4158.12</v>
      </c>
      <c r="W56" s="683"/>
      <c r="X56" s="474">
        <f t="shared" si="3"/>
        <v>0</v>
      </c>
      <c r="Y56" s="474">
        <f t="shared" si="4"/>
        <v>0</v>
      </c>
      <c r="Z56" s="475">
        <f t="shared" si="5"/>
        <v>0</v>
      </c>
      <c r="AA56" s="475">
        <v>0</v>
      </c>
      <c r="AB56" s="476">
        <v>0</v>
      </c>
      <c r="AC56" s="38">
        <f t="shared" si="6"/>
        <v>0</v>
      </c>
      <c r="AD56" s="692">
        <f t="shared" si="7"/>
        <v>4396.16</v>
      </c>
      <c r="AE56" s="692">
        <f t="shared" si="8"/>
        <v>0</v>
      </c>
      <c r="AF56" s="692">
        <f t="shared" si="9"/>
        <v>0</v>
      </c>
      <c r="AG56" s="38"/>
      <c r="AH56" s="692">
        <f t="shared" si="10"/>
        <v>0</v>
      </c>
      <c r="AI56" s="692">
        <f t="shared" si="11"/>
        <v>0</v>
      </c>
      <c r="AJ56" s="692">
        <f t="shared" si="12"/>
        <v>0</v>
      </c>
      <c r="AL56" s="38">
        <f t="shared" si="13"/>
        <v>4396.16</v>
      </c>
      <c r="AM56" s="68" t="s">
        <v>992</v>
      </c>
    </row>
    <row r="57" spans="1:39" s="232" customFormat="1">
      <c r="A57" s="283"/>
      <c r="B57" s="283" t="s">
        <v>110</v>
      </c>
      <c r="C57" s="676" t="s">
        <v>986</v>
      </c>
      <c r="D57" s="68" t="s">
        <v>987</v>
      </c>
      <c r="E57" s="679">
        <v>5926.16</v>
      </c>
      <c r="F57" s="529">
        <f>VLOOKUP(D57,'Nov13 Revenue'!D:V,19,FALSE)</f>
        <v>0</v>
      </c>
      <c r="G57" s="680"/>
      <c r="H57" s="680"/>
      <c r="I57" s="770">
        <v>7187.4</v>
      </c>
      <c r="J57" s="682">
        <f t="shared" si="0"/>
        <v>13113.56</v>
      </c>
      <c r="K57" s="683"/>
      <c r="L57" s="684"/>
      <c r="M57" s="753"/>
      <c r="N57" s="683">
        <v>0</v>
      </c>
      <c r="O57" s="686"/>
      <c r="P57" s="683">
        <v>0</v>
      </c>
      <c r="Q57" s="687">
        <f t="shared" si="1"/>
        <v>0</v>
      </c>
      <c r="R57" s="687"/>
      <c r="S57" s="687"/>
      <c r="T57" s="688">
        <v>7231.31</v>
      </c>
      <c r="U57" s="693"/>
      <c r="V57" s="690">
        <f t="shared" si="2"/>
        <v>7231.31</v>
      </c>
      <c r="W57" s="683"/>
      <c r="X57" s="474">
        <f t="shared" si="3"/>
        <v>0</v>
      </c>
      <c r="Y57" s="474">
        <f t="shared" si="4"/>
        <v>0</v>
      </c>
      <c r="Z57" s="475">
        <f t="shared" si="5"/>
        <v>0</v>
      </c>
      <c r="AA57" s="475">
        <v>0</v>
      </c>
      <c r="AB57" s="476">
        <v>0</v>
      </c>
      <c r="AC57" s="38">
        <f t="shared" si="6"/>
        <v>0</v>
      </c>
      <c r="AD57" s="692">
        <f t="shared" si="7"/>
        <v>13113.56</v>
      </c>
      <c r="AE57" s="692">
        <f t="shared" si="8"/>
        <v>0</v>
      </c>
      <c r="AF57" s="692">
        <f t="shared" si="9"/>
        <v>0</v>
      </c>
      <c r="AG57" s="38"/>
      <c r="AH57" s="692">
        <f t="shared" si="10"/>
        <v>0</v>
      </c>
      <c r="AI57" s="692">
        <f t="shared" si="11"/>
        <v>0</v>
      </c>
      <c r="AJ57" s="692">
        <f t="shared" si="12"/>
        <v>0</v>
      </c>
      <c r="AK57" s="16"/>
      <c r="AL57" s="38">
        <f t="shared" si="13"/>
        <v>13113.56</v>
      </c>
      <c r="AM57" s="68" t="s">
        <v>987</v>
      </c>
    </row>
    <row r="58" spans="1:39">
      <c r="A58" s="20" t="s">
        <v>211</v>
      </c>
      <c r="B58" s="20" t="s">
        <v>109</v>
      </c>
      <c r="C58" s="667" t="s">
        <v>534</v>
      </c>
      <c r="D58" s="68" t="s">
        <v>9</v>
      </c>
      <c r="E58" s="679"/>
      <c r="F58" s="529">
        <f>VLOOKUP(D58,'Nov13 Revenue'!D:V,19,FALSE)</f>
        <v>0</v>
      </c>
      <c r="G58" s="680"/>
      <c r="H58" s="680"/>
      <c r="I58" s="755"/>
      <c r="J58" s="682">
        <f>SUM(E58:I58)</f>
        <v>0</v>
      </c>
      <c r="K58" s="683"/>
      <c r="L58" s="684"/>
      <c r="M58" s="753"/>
      <c r="N58" s="683">
        <v>0</v>
      </c>
      <c r="O58" s="686"/>
      <c r="P58" s="683">
        <v>0</v>
      </c>
      <c r="Q58" s="687">
        <f t="shared" si="1"/>
        <v>0</v>
      </c>
      <c r="R58" s="687"/>
      <c r="S58" s="687"/>
      <c r="T58" s="688">
        <v>0</v>
      </c>
      <c r="U58" s="693"/>
      <c r="V58" s="690">
        <f t="shared" si="2"/>
        <v>0</v>
      </c>
      <c r="W58" s="697"/>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c r="AM58" s="68" t="s">
        <v>9</v>
      </c>
    </row>
    <row r="59" spans="1:39">
      <c r="A59" s="20" t="s">
        <v>211</v>
      </c>
      <c r="B59" s="20" t="s">
        <v>110</v>
      </c>
      <c r="C59" s="667"/>
      <c r="D59" s="68" t="s">
        <v>1041</v>
      </c>
      <c r="E59" s="679">
        <f>1046.55+1066.62</f>
        <v>2113.17</v>
      </c>
      <c r="F59" s="529">
        <f>VLOOKUP(D59,'Nov13 Revenue'!D:V,19,FALSE)</f>
        <v>0</v>
      </c>
      <c r="G59" s="680"/>
      <c r="H59" s="680"/>
      <c r="I59" s="755"/>
      <c r="J59" s="682">
        <f t="shared" si="0"/>
        <v>2113.17</v>
      </c>
      <c r="K59" s="683"/>
      <c r="L59" s="684"/>
      <c r="M59" s="753"/>
      <c r="N59" s="683">
        <v>0</v>
      </c>
      <c r="O59" s="686"/>
      <c r="P59" s="683">
        <v>0</v>
      </c>
      <c r="Q59" s="687">
        <f t="shared" si="1"/>
        <v>0</v>
      </c>
      <c r="R59" s="687"/>
      <c r="S59" s="687"/>
      <c r="T59" s="688">
        <v>988.24</v>
      </c>
      <c r="U59" s="693"/>
      <c r="V59" s="690">
        <f t="shared" si="2"/>
        <v>988.24</v>
      </c>
      <c r="W59" s="683"/>
      <c r="X59" s="474">
        <f t="shared" si="3"/>
        <v>0</v>
      </c>
      <c r="Y59" s="474">
        <f t="shared" si="4"/>
        <v>0</v>
      </c>
      <c r="Z59" s="475">
        <f t="shared" si="5"/>
        <v>0</v>
      </c>
      <c r="AA59" s="475">
        <v>0</v>
      </c>
      <c r="AB59" s="476">
        <v>0</v>
      </c>
      <c r="AC59" s="38">
        <f t="shared" si="6"/>
        <v>0</v>
      </c>
      <c r="AD59" s="692">
        <f t="shared" si="7"/>
        <v>2113.17</v>
      </c>
      <c r="AE59" s="692">
        <f t="shared" si="8"/>
        <v>0</v>
      </c>
      <c r="AF59" s="692">
        <f t="shared" si="9"/>
        <v>0</v>
      </c>
      <c r="AG59" s="38"/>
      <c r="AH59" s="692">
        <f t="shared" si="10"/>
        <v>0</v>
      </c>
      <c r="AI59" s="692">
        <f t="shared" si="11"/>
        <v>0</v>
      </c>
      <c r="AJ59" s="692">
        <f t="shared" si="12"/>
        <v>0</v>
      </c>
      <c r="AL59" s="38">
        <f t="shared" si="13"/>
        <v>2113.17</v>
      </c>
      <c r="AM59" s="68" t="s">
        <v>487</v>
      </c>
    </row>
    <row r="60" spans="1:39">
      <c r="A60" s="20"/>
      <c r="B60" s="20" t="s">
        <v>109</v>
      </c>
      <c r="C60" s="676" t="s">
        <v>906</v>
      </c>
      <c r="D60" s="68" t="s">
        <v>830</v>
      </c>
      <c r="E60" s="679">
        <v>-17876.61</v>
      </c>
      <c r="F60" s="529">
        <f>VLOOKUP(D60,'Nov13 Revenue'!D:V,19,FALSE)</f>
        <v>9809.8399999999674</v>
      </c>
      <c r="G60" s="680"/>
      <c r="H60" s="680"/>
      <c r="I60" s="770">
        <v>658624.93000000005</v>
      </c>
      <c r="J60" s="682">
        <f t="shared" si="0"/>
        <v>650558.16</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650558.16</v>
      </c>
      <c r="AF60" s="692">
        <f t="shared" si="9"/>
        <v>0</v>
      </c>
      <c r="AG60" s="38"/>
      <c r="AH60" s="692">
        <f t="shared" si="10"/>
        <v>0</v>
      </c>
      <c r="AI60" s="692">
        <f t="shared" si="11"/>
        <v>0</v>
      </c>
      <c r="AJ60" s="692">
        <f t="shared" si="12"/>
        <v>0</v>
      </c>
      <c r="AL60" s="38">
        <f t="shared" si="13"/>
        <v>650558.16</v>
      </c>
      <c r="AM60" s="68" t="s">
        <v>830</v>
      </c>
    </row>
    <row r="61" spans="1:39">
      <c r="A61" s="20"/>
      <c r="B61" s="20" t="s">
        <v>109</v>
      </c>
      <c r="C61" s="667"/>
      <c r="D61" s="68" t="s">
        <v>374</v>
      </c>
      <c r="E61" s="679"/>
      <c r="F61" s="529">
        <f>VLOOKUP(D61,'Nov13 Revenue'!D:V,19,FALSE)</f>
        <v>-25000</v>
      </c>
      <c r="G61" s="680"/>
      <c r="H61" s="680"/>
      <c r="I61" s="755"/>
      <c r="J61" s="682">
        <f t="shared" si="0"/>
        <v>-25000</v>
      </c>
      <c r="K61" s="683"/>
      <c r="L61" s="684"/>
      <c r="M61" s="753">
        <v>30000</v>
      </c>
      <c r="N61" s="683">
        <v>0</v>
      </c>
      <c r="O61" s="686"/>
      <c r="P61" s="683">
        <v>0</v>
      </c>
      <c r="Q61" s="687">
        <f t="shared" si="1"/>
        <v>30000</v>
      </c>
      <c r="R61" s="687"/>
      <c r="S61" s="687"/>
      <c r="T61" s="688">
        <v>28776.92</v>
      </c>
      <c r="U61" s="693"/>
      <c r="V61" s="690">
        <f t="shared" si="2"/>
        <v>-1223.0800000000017</v>
      </c>
      <c r="W61" s="683"/>
      <c r="X61" s="474">
        <f t="shared" si="3"/>
        <v>0</v>
      </c>
      <c r="Y61" s="474">
        <f t="shared" si="4"/>
        <v>30000</v>
      </c>
      <c r="Z61" s="475">
        <f t="shared" si="5"/>
        <v>0</v>
      </c>
      <c r="AA61" s="475">
        <v>0</v>
      </c>
      <c r="AB61" s="476">
        <v>0</v>
      </c>
      <c r="AC61" s="38">
        <f t="shared" si="6"/>
        <v>0</v>
      </c>
      <c r="AD61" s="692">
        <f t="shared" si="7"/>
        <v>0</v>
      </c>
      <c r="AE61" s="692">
        <f t="shared" si="8"/>
        <v>-25000</v>
      </c>
      <c r="AF61" s="692">
        <f t="shared" si="9"/>
        <v>0</v>
      </c>
      <c r="AG61" s="38"/>
      <c r="AH61" s="692">
        <f t="shared" si="10"/>
        <v>0</v>
      </c>
      <c r="AI61" s="692">
        <f t="shared" si="11"/>
        <v>30000</v>
      </c>
      <c r="AJ61" s="692">
        <f t="shared" si="12"/>
        <v>0</v>
      </c>
      <c r="AL61" s="38">
        <f t="shared" si="13"/>
        <v>5000</v>
      </c>
      <c r="AM61" s="68" t="s">
        <v>374</v>
      </c>
    </row>
    <row r="62" spans="1:39">
      <c r="A62" s="20"/>
      <c r="B62" s="20" t="s">
        <v>114</v>
      </c>
      <c r="C62" s="667"/>
      <c r="D62" s="68" t="s">
        <v>502</v>
      </c>
      <c r="E62" s="679"/>
      <c r="F62" s="529">
        <f>VLOOKUP(D62,'Nov13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c r="AM62" s="68" t="s">
        <v>502</v>
      </c>
    </row>
    <row r="63" spans="1:39">
      <c r="A63" s="21"/>
      <c r="B63" s="21" t="s">
        <v>110</v>
      </c>
      <c r="C63" s="666" t="s">
        <v>535</v>
      </c>
      <c r="D63" s="123" t="s">
        <v>517</v>
      </c>
      <c r="E63" s="679"/>
      <c r="F63" s="529">
        <f>VLOOKUP(D63,'Nov13 Revenue'!D:V,19,FALSE)</f>
        <v>44879</v>
      </c>
      <c r="G63" s="680"/>
      <c r="H63" s="680"/>
      <c r="I63" s="755">
        <v>0</v>
      </c>
      <c r="J63" s="682">
        <f t="shared" si="0"/>
        <v>44879</v>
      </c>
      <c r="K63" s="683"/>
      <c r="L63" s="684"/>
      <c r="M63" s="753">
        <v>450000</v>
      </c>
      <c r="N63" s="683">
        <v>0</v>
      </c>
      <c r="O63" s="686"/>
      <c r="P63" s="683">
        <v>0</v>
      </c>
      <c r="Q63" s="687">
        <f t="shared" si="1"/>
        <v>450000</v>
      </c>
      <c r="R63" s="687"/>
      <c r="S63" s="687"/>
      <c r="T63" s="688">
        <v>497691.82</v>
      </c>
      <c r="U63" s="693"/>
      <c r="V63" s="690">
        <f t="shared" si="2"/>
        <v>47691.820000000007</v>
      </c>
      <c r="W63" s="697"/>
      <c r="X63" s="474">
        <f t="shared" si="3"/>
        <v>450000</v>
      </c>
      <c r="Y63" s="474">
        <f t="shared" si="4"/>
        <v>0</v>
      </c>
      <c r="Z63" s="475">
        <f t="shared" si="5"/>
        <v>0</v>
      </c>
      <c r="AA63" s="475">
        <v>0</v>
      </c>
      <c r="AB63" s="476">
        <v>0</v>
      </c>
      <c r="AC63" s="38">
        <f t="shared" si="6"/>
        <v>0</v>
      </c>
      <c r="AD63" s="692">
        <f t="shared" si="7"/>
        <v>44879</v>
      </c>
      <c r="AE63" s="692">
        <f t="shared" si="8"/>
        <v>0</v>
      </c>
      <c r="AF63" s="692">
        <f t="shared" si="9"/>
        <v>0</v>
      </c>
      <c r="AG63" s="38"/>
      <c r="AH63" s="692">
        <f t="shared" si="10"/>
        <v>450000</v>
      </c>
      <c r="AI63" s="692">
        <f t="shared" si="11"/>
        <v>0</v>
      </c>
      <c r="AJ63" s="692">
        <f t="shared" si="12"/>
        <v>0</v>
      </c>
      <c r="AL63" s="38">
        <f t="shared" si="13"/>
        <v>494879</v>
      </c>
      <c r="AM63" s="123" t="s">
        <v>517</v>
      </c>
    </row>
    <row r="64" spans="1:39">
      <c r="A64" s="20"/>
      <c r="B64" s="20" t="s">
        <v>110</v>
      </c>
      <c r="C64" s="667" t="s">
        <v>536</v>
      </c>
      <c r="D64" s="68" t="s">
        <v>450</v>
      </c>
      <c r="E64" s="679"/>
      <c r="F64" s="529">
        <f>VLOOKUP(D64,'Nov13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c r="AM64" s="68" t="s">
        <v>450</v>
      </c>
    </row>
    <row r="65" spans="1:39">
      <c r="A65" s="20"/>
      <c r="B65" s="20" t="s">
        <v>110</v>
      </c>
      <c r="C65" s="676"/>
      <c r="D65" s="68" t="s">
        <v>991</v>
      </c>
      <c r="E65" s="679">
        <v>780.69</v>
      </c>
      <c r="F65" s="529">
        <f>VLOOKUP(D65,'Nov13 Revenue'!D:V,19,FALSE)</f>
        <v>0</v>
      </c>
      <c r="G65" s="680"/>
      <c r="H65" s="680"/>
      <c r="I65" s="755"/>
      <c r="J65" s="682">
        <f t="shared" si="0"/>
        <v>780.69</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780.69</v>
      </c>
      <c r="AE65" s="692">
        <f t="shared" si="8"/>
        <v>0</v>
      </c>
      <c r="AF65" s="692">
        <f t="shared" si="9"/>
        <v>0</v>
      </c>
      <c r="AG65" s="38"/>
      <c r="AH65" s="692">
        <f t="shared" si="10"/>
        <v>0</v>
      </c>
      <c r="AI65" s="692">
        <f t="shared" si="11"/>
        <v>0</v>
      </c>
      <c r="AJ65" s="692">
        <f t="shared" si="12"/>
        <v>0</v>
      </c>
      <c r="AL65" s="38">
        <f t="shared" si="13"/>
        <v>780.69</v>
      </c>
      <c r="AM65" s="68" t="s">
        <v>991</v>
      </c>
    </row>
    <row r="66" spans="1:39">
      <c r="A66" s="20"/>
      <c r="B66" s="20" t="s">
        <v>110</v>
      </c>
      <c r="C66" s="676" t="s">
        <v>975</v>
      </c>
      <c r="D66" s="68" t="s">
        <v>976</v>
      </c>
      <c r="E66" s="679"/>
      <c r="F66" s="529">
        <f>VLOOKUP(D66,'Nov13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c r="AM66" s="68" t="s">
        <v>976</v>
      </c>
    </row>
    <row r="67" spans="1:39">
      <c r="A67" s="21" t="s">
        <v>109</v>
      </c>
      <c r="B67" s="21" t="s">
        <v>110</v>
      </c>
      <c r="C67" s="666"/>
      <c r="D67" s="68" t="s">
        <v>438</v>
      </c>
      <c r="E67" s="679"/>
      <c r="F67" s="529">
        <f>VLOOKUP(D67,'Nov13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438</v>
      </c>
    </row>
    <row r="68" spans="1:39">
      <c r="A68" s="21"/>
      <c r="B68" s="21" t="s">
        <v>110</v>
      </c>
      <c r="C68" s="666"/>
      <c r="D68" s="68" t="s">
        <v>628</v>
      </c>
      <c r="E68" s="679"/>
      <c r="F68" s="529">
        <f>VLOOKUP(D68,'Nov13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97"/>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628</v>
      </c>
    </row>
    <row r="69" spans="1:39">
      <c r="A69" s="21"/>
      <c r="B69" s="21" t="s">
        <v>110</v>
      </c>
      <c r="C69" s="666"/>
      <c r="D69" s="68" t="s">
        <v>956</v>
      </c>
      <c r="E69" s="679"/>
      <c r="F69" s="529">
        <f>VLOOKUP(D69,'Nov13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956</v>
      </c>
    </row>
    <row r="70" spans="1:39" s="232" customFormat="1">
      <c r="A70" s="283" t="s">
        <v>211</v>
      </c>
      <c r="B70" s="283" t="s">
        <v>110</v>
      </c>
      <c r="C70" s="667" t="s">
        <v>538</v>
      </c>
      <c r="D70" s="123" t="s">
        <v>170</v>
      </c>
      <c r="E70" s="679"/>
      <c r="F70" s="529">
        <f>VLOOKUP(D70,'Nov13 Revenue'!D:V,19,FALSE)</f>
        <v>-400000</v>
      </c>
      <c r="G70" s="680"/>
      <c r="H70" s="680"/>
      <c r="I70" s="755"/>
      <c r="J70" s="682">
        <f t="shared" si="0"/>
        <v>-400000</v>
      </c>
      <c r="K70" s="683"/>
      <c r="L70" s="684"/>
      <c r="M70" s="753">
        <v>600000</v>
      </c>
      <c r="N70" s="683">
        <v>0</v>
      </c>
      <c r="O70" s="686"/>
      <c r="P70" s="683">
        <v>0</v>
      </c>
      <c r="Q70" s="687">
        <f t="shared" si="1"/>
        <v>600000</v>
      </c>
      <c r="R70" s="687"/>
      <c r="S70" s="687"/>
      <c r="T70" s="688">
        <v>573968.51</v>
      </c>
      <c r="U70" s="693"/>
      <c r="V70" s="690">
        <f t="shared" si="2"/>
        <v>-26031.489999999991</v>
      </c>
      <c r="W70" s="683"/>
      <c r="X70" s="474">
        <f t="shared" si="3"/>
        <v>600000</v>
      </c>
      <c r="Y70" s="474">
        <f t="shared" si="4"/>
        <v>0</v>
      </c>
      <c r="Z70" s="475">
        <f t="shared" si="5"/>
        <v>0</v>
      </c>
      <c r="AA70" s="475">
        <v>0</v>
      </c>
      <c r="AB70" s="476">
        <v>0</v>
      </c>
      <c r="AC70" s="38">
        <f t="shared" si="6"/>
        <v>0</v>
      </c>
      <c r="AD70" s="692">
        <f t="shared" si="7"/>
        <v>-400000</v>
      </c>
      <c r="AE70" s="692">
        <f t="shared" si="8"/>
        <v>0</v>
      </c>
      <c r="AF70" s="692">
        <f t="shared" si="9"/>
        <v>0</v>
      </c>
      <c r="AG70" s="38"/>
      <c r="AH70" s="692">
        <f t="shared" si="10"/>
        <v>600000</v>
      </c>
      <c r="AI70" s="692">
        <f t="shared" si="11"/>
        <v>0</v>
      </c>
      <c r="AJ70" s="692">
        <f t="shared" si="12"/>
        <v>0</v>
      </c>
      <c r="AL70" s="38">
        <f t="shared" si="13"/>
        <v>200000</v>
      </c>
      <c r="AM70" s="123" t="s">
        <v>170</v>
      </c>
    </row>
    <row r="71" spans="1:39" s="232" customFormat="1">
      <c r="A71" s="283" t="s">
        <v>211</v>
      </c>
      <c r="B71" s="283" t="s">
        <v>110</v>
      </c>
      <c r="C71" s="667" t="s">
        <v>538</v>
      </c>
      <c r="D71" s="123" t="s">
        <v>171</v>
      </c>
      <c r="E71" s="679"/>
      <c r="F71" s="529">
        <f>VLOOKUP(D71,'Nov13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171</v>
      </c>
    </row>
    <row r="72" spans="1:39" s="232" customFormat="1" hidden="1">
      <c r="A72" s="283" t="s">
        <v>211</v>
      </c>
      <c r="B72" s="283" t="s">
        <v>110</v>
      </c>
      <c r="C72" s="667" t="s">
        <v>538</v>
      </c>
      <c r="D72" s="123" t="s">
        <v>13</v>
      </c>
      <c r="E72" s="679"/>
      <c r="F72" s="529">
        <f>VLOOKUP(D72,'Nov13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13</v>
      </c>
    </row>
    <row r="73" spans="1:39" s="232" customFormat="1" hidden="1">
      <c r="A73" s="283" t="s">
        <v>211</v>
      </c>
      <c r="B73" s="283" t="s">
        <v>110</v>
      </c>
      <c r="C73" s="667" t="s">
        <v>538</v>
      </c>
      <c r="D73" s="123" t="s">
        <v>172</v>
      </c>
      <c r="E73" s="679"/>
      <c r="F73" s="529">
        <f>VLOOKUP(D73,'Nov13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172</v>
      </c>
    </row>
    <row r="74" spans="1:39" s="232" customFormat="1" hidden="1">
      <c r="A74" s="283" t="s">
        <v>211</v>
      </c>
      <c r="B74" s="283" t="s">
        <v>110</v>
      </c>
      <c r="C74" s="667" t="s">
        <v>538</v>
      </c>
      <c r="D74" s="123" t="s">
        <v>173</v>
      </c>
      <c r="E74" s="679"/>
      <c r="F74" s="529">
        <f>VLOOKUP(D74,'Nov13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173</v>
      </c>
    </row>
    <row r="75" spans="1:39" s="232" customFormat="1" hidden="1">
      <c r="A75" s="283" t="s">
        <v>211</v>
      </c>
      <c r="B75" s="283" t="s">
        <v>110</v>
      </c>
      <c r="C75" s="667" t="s">
        <v>538</v>
      </c>
      <c r="D75" s="123" t="s">
        <v>174</v>
      </c>
      <c r="E75" s="679"/>
      <c r="F75" s="529">
        <f>VLOOKUP(D75,'Nov13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174</v>
      </c>
    </row>
    <row r="76" spans="1:39" s="232" customFormat="1">
      <c r="A76" s="283"/>
      <c r="B76" s="283" t="s">
        <v>109</v>
      </c>
      <c r="C76" s="794"/>
      <c r="D76" s="351" t="s">
        <v>14</v>
      </c>
      <c r="E76" s="679"/>
      <c r="F76" s="529">
        <f>VLOOKUP(D76,'Nov13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351" t="s">
        <v>14</v>
      </c>
    </row>
    <row r="77" spans="1:39" hidden="1">
      <c r="A77" s="20"/>
      <c r="B77" s="20" t="s">
        <v>110</v>
      </c>
      <c r="C77" s="667"/>
      <c r="D77" s="68" t="s">
        <v>15</v>
      </c>
      <c r="E77" s="679"/>
      <c r="F77" s="529">
        <f>VLOOKUP(D77,'Nov13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68" t="s">
        <v>15</v>
      </c>
    </row>
    <row r="78" spans="1:39">
      <c r="A78" s="20"/>
      <c r="B78" s="20" t="s">
        <v>110</v>
      </c>
      <c r="C78" s="667"/>
      <c r="D78" s="68" t="s">
        <v>646</v>
      </c>
      <c r="E78" s="679"/>
      <c r="F78" s="529">
        <f>VLOOKUP(D78,'Nov13 Revenue'!D:V,19,FALSE)</f>
        <v>0</v>
      </c>
      <c r="G78" s="680"/>
      <c r="H78" s="680"/>
      <c r="I78" s="770">
        <v>172.24</v>
      </c>
      <c r="J78" s="682">
        <f t="shared" si="0"/>
        <v>172.24</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172.24</v>
      </c>
      <c r="AE78" s="692">
        <f t="shared" si="8"/>
        <v>0</v>
      </c>
      <c r="AF78" s="692">
        <f t="shared" si="9"/>
        <v>0</v>
      </c>
      <c r="AG78" s="38"/>
      <c r="AH78" s="692">
        <f t="shared" si="10"/>
        <v>0</v>
      </c>
      <c r="AI78" s="692">
        <f t="shared" si="11"/>
        <v>0</v>
      </c>
      <c r="AJ78" s="692">
        <f t="shared" si="12"/>
        <v>0</v>
      </c>
      <c r="AL78" s="38">
        <f t="shared" si="13"/>
        <v>172.24</v>
      </c>
      <c r="AM78" s="68" t="s">
        <v>646</v>
      </c>
    </row>
    <row r="79" spans="1:39">
      <c r="A79" s="20"/>
      <c r="B79" s="20" t="s">
        <v>110</v>
      </c>
      <c r="C79" s="667"/>
      <c r="D79" s="68" t="s">
        <v>988</v>
      </c>
      <c r="E79" s="679"/>
      <c r="F79" s="529">
        <f>VLOOKUP(D79,'Nov13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c r="AM79" s="68" t="s">
        <v>988</v>
      </c>
    </row>
    <row r="80" spans="1:39">
      <c r="A80" s="20" t="s">
        <v>109</v>
      </c>
      <c r="B80" s="20" t="s">
        <v>109</v>
      </c>
      <c r="C80" s="667" t="s">
        <v>539</v>
      </c>
      <c r="D80" s="68" t="s">
        <v>510</v>
      </c>
      <c r="E80" s="679"/>
      <c r="F80" s="529">
        <f>VLOOKUP(D80,'Nov13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510</v>
      </c>
    </row>
    <row r="81" spans="1:39">
      <c r="A81" s="20"/>
      <c r="B81" s="20" t="s">
        <v>109</v>
      </c>
      <c r="C81" s="667"/>
      <c r="D81" s="68" t="s">
        <v>16</v>
      </c>
      <c r="E81" s="679"/>
      <c r="F81" s="529">
        <f>VLOOKUP(D81,'Nov13 Revenue'!D:V,19,FALSE)</f>
        <v>0</v>
      </c>
      <c r="G81" s="680"/>
      <c r="H81" s="680"/>
      <c r="I81" s="755"/>
      <c r="J81" s="682">
        <f t="shared" si="0"/>
        <v>0</v>
      </c>
      <c r="K81" s="683"/>
      <c r="L81" s="684"/>
      <c r="M81" s="753"/>
      <c r="N81" s="683">
        <v>0</v>
      </c>
      <c r="O81" s="686"/>
      <c r="P81" s="683">
        <v>0</v>
      </c>
      <c r="Q81" s="687">
        <f t="shared" si="1"/>
        <v>0</v>
      </c>
      <c r="R81" s="687"/>
      <c r="S81" s="687"/>
      <c r="T81" s="688">
        <v>0</v>
      </c>
      <c r="U81" s="693"/>
      <c r="V81" s="690">
        <f t="shared" ref="V81:V144" si="28">IF(T81="","",T81-Q81)</f>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3"/>
        <v>0</v>
      </c>
      <c r="AM81" s="68" t="s">
        <v>16</v>
      </c>
    </row>
    <row r="82" spans="1:39">
      <c r="A82" s="20"/>
      <c r="B82" s="20" t="s">
        <v>110</v>
      </c>
      <c r="C82" s="667"/>
      <c r="D82" s="68" t="s">
        <v>597</v>
      </c>
      <c r="E82" s="679">
        <v>10509.67</v>
      </c>
      <c r="F82" s="529">
        <f>VLOOKUP(D82,'Nov13 Revenue'!D:V,19,FALSE)</f>
        <v>30853.350000000093</v>
      </c>
      <c r="G82" s="680"/>
      <c r="H82" s="680"/>
      <c r="I82" s="755"/>
      <c r="J82" s="682">
        <f t="shared" si="0"/>
        <v>41363.020000000091</v>
      </c>
      <c r="K82" s="683"/>
      <c r="L82" s="684"/>
      <c r="M82" s="753">
        <v>650000</v>
      </c>
      <c r="N82" s="683">
        <v>0</v>
      </c>
      <c r="O82" s="686"/>
      <c r="P82" s="683">
        <v>0</v>
      </c>
      <c r="Q82" s="687">
        <f t="shared" si="1"/>
        <v>650000</v>
      </c>
      <c r="R82" s="687"/>
      <c r="S82" s="687"/>
      <c r="T82" s="688">
        <f>37896.45+19899.63+201119.15+5080.2+72627.79+53607.93+51661.48+3957.59+5038.86+10053.1+312556.23</f>
        <v>773498.40999999992</v>
      </c>
      <c r="U82" s="693"/>
      <c r="V82" s="690">
        <f t="shared" si="28"/>
        <v>123498.40999999992</v>
      </c>
      <c r="W82" s="683"/>
      <c r="X82" s="474">
        <f t="shared" si="3"/>
        <v>650000</v>
      </c>
      <c r="Y82" s="474">
        <f t="shared" si="4"/>
        <v>0</v>
      </c>
      <c r="Z82" s="475">
        <f t="shared" si="5"/>
        <v>0</v>
      </c>
      <c r="AA82" s="475">
        <v>0</v>
      </c>
      <c r="AB82" s="476">
        <v>0</v>
      </c>
      <c r="AC82" s="38">
        <f t="shared" si="6"/>
        <v>0</v>
      </c>
      <c r="AD82" s="692">
        <f t="shared" si="7"/>
        <v>41363.020000000091</v>
      </c>
      <c r="AE82" s="692">
        <f t="shared" si="8"/>
        <v>0</v>
      </c>
      <c r="AF82" s="692">
        <f t="shared" si="9"/>
        <v>0</v>
      </c>
      <c r="AG82" s="38"/>
      <c r="AH82" s="692">
        <f t="shared" si="10"/>
        <v>650000</v>
      </c>
      <c r="AI82" s="692">
        <f t="shared" si="11"/>
        <v>0</v>
      </c>
      <c r="AJ82" s="692">
        <f t="shared" si="12"/>
        <v>0</v>
      </c>
      <c r="AL82" s="38">
        <f t="shared" si="13"/>
        <v>691363.02000000014</v>
      </c>
      <c r="AM82" s="68" t="s">
        <v>597</v>
      </c>
    </row>
    <row r="83" spans="1:39" s="232" customFormat="1">
      <c r="A83" s="283"/>
      <c r="B83" s="283" t="s">
        <v>109</v>
      </c>
      <c r="C83" s="667" t="s">
        <v>540</v>
      </c>
      <c r="D83" s="373" t="s">
        <v>410</v>
      </c>
      <c r="E83" s="679"/>
      <c r="F83" s="529">
        <f>VLOOKUP(D83,'Nov13 Revenue'!D:V,19,FALSE)</f>
        <v>-30000</v>
      </c>
      <c r="G83" s="680"/>
      <c r="H83" s="680"/>
      <c r="I83" s="755"/>
      <c r="J83" s="682">
        <f t="shared" si="0"/>
        <v>-30000</v>
      </c>
      <c r="K83" s="683"/>
      <c r="L83" s="684"/>
      <c r="M83" s="753">
        <v>30000</v>
      </c>
      <c r="N83" s="683">
        <v>0</v>
      </c>
      <c r="O83" s="686"/>
      <c r="P83" s="683">
        <v>0</v>
      </c>
      <c r="Q83" s="687">
        <f t="shared" si="1"/>
        <v>30000</v>
      </c>
      <c r="R83" s="687"/>
      <c r="S83" s="687"/>
      <c r="T83" s="688">
        <v>0</v>
      </c>
      <c r="U83" s="693"/>
      <c r="V83" s="690">
        <f t="shared" si="28"/>
        <v>-30000</v>
      </c>
      <c r="W83" s="683"/>
      <c r="X83" s="474">
        <f t="shared" si="3"/>
        <v>0</v>
      </c>
      <c r="Y83" s="474">
        <f t="shared" si="4"/>
        <v>30000</v>
      </c>
      <c r="Z83" s="475">
        <f t="shared" si="5"/>
        <v>0</v>
      </c>
      <c r="AA83" s="475">
        <v>0</v>
      </c>
      <c r="AB83" s="476">
        <v>0</v>
      </c>
      <c r="AC83" s="38">
        <f t="shared" si="6"/>
        <v>0</v>
      </c>
      <c r="AD83" s="692">
        <f t="shared" si="7"/>
        <v>0</v>
      </c>
      <c r="AE83" s="692">
        <f t="shared" si="8"/>
        <v>-30000</v>
      </c>
      <c r="AF83" s="692">
        <f t="shared" si="9"/>
        <v>0</v>
      </c>
      <c r="AG83" s="38"/>
      <c r="AH83" s="692">
        <f t="shared" si="10"/>
        <v>0</v>
      </c>
      <c r="AI83" s="692">
        <f t="shared" si="11"/>
        <v>30000</v>
      </c>
      <c r="AJ83" s="692">
        <f t="shared" si="12"/>
        <v>0</v>
      </c>
      <c r="AL83" s="38">
        <f t="shared" si="13"/>
        <v>0</v>
      </c>
      <c r="AM83" s="373" t="s">
        <v>410</v>
      </c>
    </row>
    <row r="84" spans="1:39" s="232" customFormat="1">
      <c r="A84" s="283"/>
      <c r="B84" s="283" t="s">
        <v>109</v>
      </c>
      <c r="C84" s="667" t="s">
        <v>540</v>
      </c>
      <c r="D84" s="373" t="s">
        <v>879</v>
      </c>
      <c r="E84" s="679"/>
      <c r="F84" s="529">
        <f>VLOOKUP(D84,'Nov13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28"/>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879</v>
      </c>
    </row>
    <row r="85" spans="1:39" s="232" customFormat="1">
      <c r="A85" s="283"/>
      <c r="B85" s="283" t="s">
        <v>109</v>
      </c>
      <c r="C85" s="667" t="s">
        <v>540</v>
      </c>
      <c r="D85" s="373" t="s">
        <v>620</v>
      </c>
      <c r="E85" s="679"/>
      <c r="F85" s="529">
        <f>VLOOKUP(D85,'Nov13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28"/>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73" t="s">
        <v>620</v>
      </c>
    </row>
    <row r="86" spans="1:39">
      <c r="A86" s="20"/>
      <c r="B86" s="20" t="s">
        <v>110</v>
      </c>
      <c r="C86" s="667" t="s">
        <v>541</v>
      </c>
      <c r="D86" s="351" t="s">
        <v>507</v>
      </c>
      <c r="E86" s="679"/>
      <c r="F86" s="529">
        <f>VLOOKUP(D86,'Nov13 Revenue'!D:V,19,FALSE)</f>
        <v>0</v>
      </c>
      <c r="G86" s="680"/>
      <c r="H86" s="680"/>
      <c r="I86" s="755"/>
      <c r="J86" s="682">
        <f t="shared" si="0"/>
        <v>0</v>
      </c>
      <c r="K86" s="683"/>
      <c r="L86" s="684"/>
      <c r="M86" s="753"/>
      <c r="N86" s="683">
        <v>0</v>
      </c>
      <c r="O86" s="686"/>
      <c r="P86" s="683">
        <v>0</v>
      </c>
      <c r="Q86" s="687">
        <f t="shared" si="1"/>
        <v>0</v>
      </c>
      <c r="R86" s="687"/>
      <c r="S86" s="687"/>
      <c r="T86" s="688">
        <v>0</v>
      </c>
      <c r="U86" s="693"/>
      <c r="V86" s="690">
        <f t="shared" si="28"/>
        <v>0</v>
      </c>
      <c r="W86" s="683"/>
      <c r="X86" s="474">
        <f t="shared" si="3"/>
        <v>0</v>
      </c>
      <c r="Y86" s="474">
        <f t="shared" si="4"/>
        <v>0</v>
      </c>
      <c r="Z86" s="475">
        <f t="shared" si="5"/>
        <v>0</v>
      </c>
      <c r="AA86" s="475">
        <v>0</v>
      </c>
      <c r="AB86" s="476">
        <v>0</v>
      </c>
      <c r="AC86" s="38">
        <f t="shared" si="6"/>
        <v>0</v>
      </c>
      <c r="AD86" s="692">
        <f t="shared" si="7"/>
        <v>0</v>
      </c>
      <c r="AE86" s="692">
        <f t="shared" si="8"/>
        <v>0</v>
      </c>
      <c r="AF86" s="692">
        <f t="shared" si="9"/>
        <v>0</v>
      </c>
      <c r="AG86" s="38"/>
      <c r="AH86" s="692">
        <f t="shared" si="10"/>
        <v>0</v>
      </c>
      <c r="AI86" s="692">
        <f t="shared" si="11"/>
        <v>0</v>
      </c>
      <c r="AJ86" s="692">
        <f t="shared" si="12"/>
        <v>0</v>
      </c>
      <c r="AL86" s="38">
        <f t="shared" si="13"/>
        <v>0</v>
      </c>
      <c r="AM86" s="351" t="s">
        <v>507</v>
      </c>
    </row>
    <row r="87" spans="1:39">
      <c r="A87" s="20"/>
      <c r="B87" s="20" t="s">
        <v>110</v>
      </c>
      <c r="C87" s="667" t="s">
        <v>541</v>
      </c>
      <c r="D87" s="351" t="s">
        <v>506</v>
      </c>
      <c r="E87" s="679"/>
      <c r="F87" s="529">
        <f>VLOOKUP(D87,'Nov13 Revenue'!D:V,19,FALSE)</f>
        <v>0</v>
      </c>
      <c r="G87" s="680"/>
      <c r="H87" s="680"/>
      <c r="I87" s="755"/>
      <c r="J87" s="682">
        <f t="shared" ref="J87:J155" si="29">SUM(E87:I87)</f>
        <v>0</v>
      </c>
      <c r="K87" s="683"/>
      <c r="L87" s="684"/>
      <c r="M87" s="753"/>
      <c r="N87" s="683">
        <v>0</v>
      </c>
      <c r="O87" s="686"/>
      <c r="P87" s="683">
        <v>0</v>
      </c>
      <c r="Q87" s="687">
        <f t="shared" si="1"/>
        <v>0</v>
      </c>
      <c r="R87" s="687"/>
      <c r="S87" s="687"/>
      <c r="T87" s="688">
        <v>0</v>
      </c>
      <c r="U87" s="693"/>
      <c r="V87" s="690">
        <f t="shared" si="28"/>
        <v>0</v>
      </c>
      <c r="W87" s="683"/>
      <c r="X87" s="474">
        <f t="shared" si="3"/>
        <v>0</v>
      </c>
      <c r="Y87" s="474">
        <f t="shared" si="4"/>
        <v>0</v>
      </c>
      <c r="Z87" s="475">
        <f t="shared" si="5"/>
        <v>0</v>
      </c>
      <c r="AA87" s="475">
        <v>0</v>
      </c>
      <c r="AB87" s="476">
        <v>0</v>
      </c>
      <c r="AC87" s="38">
        <f t="shared" si="6"/>
        <v>0</v>
      </c>
      <c r="AD87" s="692">
        <f t="shared" ref="AD87:AD155" si="30">IF(B87="D",J87,0)</f>
        <v>0</v>
      </c>
      <c r="AE87" s="692">
        <f t="shared" ref="AE87:AE155" si="31">IF(B87="M",J87,0)</f>
        <v>0</v>
      </c>
      <c r="AF87" s="692">
        <f t="shared" ref="AF87:AF155" si="32">IF(B87="V",J87,0)</f>
        <v>0</v>
      </c>
      <c r="AG87" s="38"/>
      <c r="AH87" s="692">
        <f t="shared" si="10"/>
        <v>0</v>
      </c>
      <c r="AI87" s="692">
        <f t="shared" si="11"/>
        <v>0</v>
      </c>
      <c r="AJ87" s="692">
        <f t="shared" si="12"/>
        <v>0</v>
      </c>
      <c r="AL87" s="38">
        <f t="shared" si="13"/>
        <v>0</v>
      </c>
      <c r="AM87" s="351" t="s">
        <v>506</v>
      </c>
    </row>
    <row r="88" spans="1:39">
      <c r="A88" s="20"/>
      <c r="B88" s="20" t="s">
        <v>110</v>
      </c>
      <c r="C88" s="667" t="s">
        <v>542</v>
      </c>
      <c r="D88" s="68" t="s">
        <v>305</v>
      </c>
      <c r="E88" s="679">
        <f>5701.3+5908.14</f>
        <v>11609.44</v>
      </c>
      <c r="F88" s="529">
        <f>VLOOKUP(D88,'Nov13 Revenue'!D:V,19,FALSE)</f>
        <v>-2573.13</v>
      </c>
      <c r="G88" s="680"/>
      <c r="H88" s="680"/>
      <c r="I88" s="755"/>
      <c r="J88" s="682">
        <f t="shared" si="29"/>
        <v>9036.3100000000013</v>
      </c>
      <c r="K88" s="683"/>
      <c r="L88" s="684"/>
      <c r="M88" s="753">
        <v>10000</v>
      </c>
      <c r="N88" s="683">
        <v>0</v>
      </c>
      <c r="O88" s="686"/>
      <c r="P88" s="683">
        <v>0</v>
      </c>
      <c r="Q88" s="687">
        <f t="shared" si="1"/>
        <v>10000</v>
      </c>
      <c r="R88" s="687"/>
      <c r="S88" s="687"/>
      <c r="T88" s="688">
        <v>9304.25</v>
      </c>
      <c r="U88" s="693"/>
      <c r="V88" s="690">
        <f t="shared" si="28"/>
        <v>-695.75</v>
      </c>
      <c r="W88" s="683"/>
      <c r="X88" s="474">
        <f t="shared" ref="X88:X157" si="33">IF(B88="D",Q88,0)</f>
        <v>10000</v>
      </c>
      <c r="Y88" s="474">
        <f t="shared" ref="Y88:Y157" si="34">IF(B88="M",Q88,0)</f>
        <v>0</v>
      </c>
      <c r="Z88" s="475">
        <f t="shared" ref="Z88:Z157" si="35">IF(B88="V",Q88,0)</f>
        <v>0</v>
      </c>
      <c r="AA88" s="475">
        <v>0</v>
      </c>
      <c r="AB88" s="476">
        <v>0</v>
      </c>
      <c r="AC88" s="38">
        <f t="shared" ref="AC88:AC157" si="36">(L88+M88)-(X88+Y88+Z88+AA88+AB88)</f>
        <v>0</v>
      </c>
      <c r="AD88" s="692">
        <f t="shared" si="30"/>
        <v>9036.3100000000013</v>
      </c>
      <c r="AE88" s="692">
        <f t="shared" si="31"/>
        <v>0</v>
      </c>
      <c r="AF88" s="692">
        <f t="shared" si="32"/>
        <v>0</v>
      </c>
      <c r="AG88" s="38"/>
      <c r="AH88" s="692">
        <f t="shared" ref="AH88:AH156" si="37">IF(B88="D",Q88,0)</f>
        <v>10000</v>
      </c>
      <c r="AI88" s="692">
        <f t="shared" ref="AI88:AI156" si="38">IF(B88="M",Q88,0)</f>
        <v>0</v>
      </c>
      <c r="AJ88" s="692">
        <f t="shared" ref="AJ88:AJ156" si="39">IF(B88="V",Q88,0)</f>
        <v>0</v>
      </c>
      <c r="AL88" s="38">
        <f t="shared" si="13"/>
        <v>19036.310000000001</v>
      </c>
      <c r="AM88" s="68" t="s">
        <v>305</v>
      </c>
    </row>
    <row r="89" spans="1:39">
      <c r="A89" s="20"/>
      <c r="B89" s="20" t="s">
        <v>110</v>
      </c>
      <c r="C89" s="667" t="s">
        <v>543</v>
      </c>
      <c r="D89" s="68" t="s">
        <v>199</v>
      </c>
      <c r="E89" s="679"/>
      <c r="F89" s="529">
        <f>VLOOKUP(D89,'Nov13 Revenue'!D:V,19,FALSE)</f>
        <v>0</v>
      </c>
      <c r="G89" s="680"/>
      <c r="H89" s="680"/>
      <c r="I89" s="755"/>
      <c r="J89" s="682">
        <f t="shared" si="29"/>
        <v>0</v>
      </c>
      <c r="K89" s="683"/>
      <c r="L89" s="684"/>
      <c r="M89" s="753"/>
      <c r="N89" s="683">
        <v>0</v>
      </c>
      <c r="O89" s="686"/>
      <c r="P89" s="683">
        <v>0</v>
      </c>
      <c r="Q89" s="687">
        <f t="shared" si="1"/>
        <v>0</v>
      </c>
      <c r="R89" s="687"/>
      <c r="S89" s="687"/>
      <c r="T89" s="688">
        <v>0</v>
      </c>
      <c r="U89" s="693"/>
      <c r="V89" s="690">
        <f t="shared" si="28"/>
        <v>0</v>
      </c>
      <c r="W89" s="683"/>
      <c r="X89" s="474">
        <f t="shared" si="33"/>
        <v>0</v>
      </c>
      <c r="Y89" s="474">
        <f t="shared" si="34"/>
        <v>0</v>
      </c>
      <c r="Z89" s="475">
        <f t="shared" si="35"/>
        <v>0</v>
      </c>
      <c r="AA89" s="475">
        <v>0</v>
      </c>
      <c r="AB89" s="476">
        <v>0</v>
      </c>
      <c r="AC89" s="38">
        <f t="shared" si="36"/>
        <v>0</v>
      </c>
      <c r="AD89" s="692">
        <f t="shared" si="30"/>
        <v>0</v>
      </c>
      <c r="AE89" s="692">
        <f t="shared" si="31"/>
        <v>0</v>
      </c>
      <c r="AF89" s="692">
        <f t="shared" si="32"/>
        <v>0</v>
      </c>
      <c r="AG89" s="38"/>
      <c r="AH89" s="692">
        <f t="shared" si="37"/>
        <v>0</v>
      </c>
      <c r="AI89" s="692">
        <f t="shared" si="38"/>
        <v>0</v>
      </c>
      <c r="AJ89" s="692">
        <f t="shared" si="39"/>
        <v>0</v>
      </c>
      <c r="AL89" s="38">
        <f t="shared" ref="AL89:AL155" si="40">SUM(AD89:AJ89)</f>
        <v>0</v>
      </c>
      <c r="AM89" s="68" t="s">
        <v>199</v>
      </c>
    </row>
    <row r="90" spans="1:39">
      <c r="A90" s="20"/>
      <c r="B90" s="20" t="s">
        <v>110</v>
      </c>
      <c r="C90" s="667" t="s">
        <v>543</v>
      </c>
      <c r="D90" s="68" t="s">
        <v>200</v>
      </c>
      <c r="E90" s="679"/>
      <c r="F90" s="529">
        <f>VLOOKUP(D90,'Nov13 Revenue'!D:V,19,FALSE)</f>
        <v>0</v>
      </c>
      <c r="G90" s="680"/>
      <c r="H90" s="680"/>
      <c r="I90" s="755"/>
      <c r="J90" s="682">
        <f t="shared" si="29"/>
        <v>0</v>
      </c>
      <c r="K90" s="683"/>
      <c r="L90" s="684"/>
      <c r="M90" s="753"/>
      <c r="N90" s="683">
        <v>0</v>
      </c>
      <c r="O90" s="686"/>
      <c r="P90" s="683">
        <v>0</v>
      </c>
      <c r="Q90" s="687">
        <f t="shared" si="1"/>
        <v>0</v>
      </c>
      <c r="R90" s="687"/>
      <c r="S90" s="687"/>
      <c r="T90" s="688">
        <v>0</v>
      </c>
      <c r="U90" s="693"/>
      <c r="V90" s="690">
        <f t="shared" si="28"/>
        <v>0</v>
      </c>
      <c r="W90" s="683"/>
      <c r="X90" s="474">
        <f t="shared" si="33"/>
        <v>0</v>
      </c>
      <c r="Y90" s="474">
        <f t="shared" si="34"/>
        <v>0</v>
      </c>
      <c r="Z90" s="475">
        <f t="shared" si="35"/>
        <v>0</v>
      </c>
      <c r="AA90" s="475">
        <v>0</v>
      </c>
      <c r="AB90" s="476">
        <v>0</v>
      </c>
      <c r="AC90" s="38">
        <f t="shared" si="36"/>
        <v>0</v>
      </c>
      <c r="AD90" s="692">
        <f t="shared" si="30"/>
        <v>0</v>
      </c>
      <c r="AE90" s="692">
        <f t="shared" si="31"/>
        <v>0</v>
      </c>
      <c r="AF90" s="692">
        <f t="shared" si="32"/>
        <v>0</v>
      </c>
      <c r="AG90" s="38"/>
      <c r="AH90" s="692">
        <f t="shared" si="37"/>
        <v>0</v>
      </c>
      <c r="AI90" s="692">
        <f t="shared" si="38"/>
        <v>0</v>
      </c>
      <c r="AJ90" s="692">
        <f t="shared" si="39"/>
        <v>0</v>
      </c>
      <c r="AL90" s="38">
        <f t="shared" si="40"/>
        <v>0</v>
      </c>
      <c r="AM90" s="68" t="s">
        <v>200</v>
      </c>
    </row>
    <row r="91" spans="1:39">
      <c r="A91" s="20"/>
      <c r="B91" s="20" t="s">
        <v>110</v>
      </c>
      <c r="C91" s="667" t="s">
        <v>543</v>
      </c>
      <c r="D91" s="68" t="s">
        <v>201</v>
      </c>
      <c r="E91" s="679"/>
      <c r="F91" s="529">
        <f>VLOOKUP(D91,'Nov13 Revenue'!D:V,19,FALSE)</f>
        <v>0</v>
      </c>
      <c r="G91" s="680"/>
      <c r="H91" s="680"/>
      <c r="I91" s="755"/>
      <c r="J91" s="682">
        <f t="shared" si="29"/>
        <v>0</v>
      </c>
      <c r="K91" s="683"/>
      <c r="L91" s="684"/>
      <c r="M91" s="753"/>
      <c r="N91" s="683">
        <v>0</v>
      </c>
      <c r="O91" s="686"/>
      <c r="P91" s="683">
        <v>0</v>
      </c>
      <c r="Q91" s="687">
        <f t="shared" si="1"/>
        <v>0</v>
      </c>
      <c r="R91" s="687"/>
      <c r="S91" s="687"/>
      <c r="T91" s="688">
        <v>0</v>
      </c>
      <c r="U91" s="693"/>
      <c r="V91" s="690">
        <f t="shared" si="28"/>
        <v>0</v>
      </c>
      <c r="W91" s="683"/>
      <c r="X91" s="474">
        <f t="shared" si="33"/>
        <v>0</v>
      </c>
      <c r="Y91" s="474">
        <f t="shared" si="34"/>
        <v>0</v>
      </c>
      <c r="Z91" s="475">
        <f t="shared" si="35"/>
        <v>0</v>
      </c>
      <c r="AA91" s="475">
        <v>0</v>
      </c>
      <c r="AB91" s="476">
        <v>0</v>
      </c>
      <c r="AC91" s="38">
        <f t="shared" si="36"/>
        <v>0</v>
      </c>
      <c r="AD91" s="692">
        <f t="shared" si="30"/>
        <v>0</v>
      </c>
      <c r="AE91" s="692">
        <f t="shared" si="31"/>
        <v>0</v>
      </c>
      <c r="AF91" s="692">
        <f t="shared" si="32"/>
        <v>0</v>
      </c>
      <c r="AG91" s="38"/>
      <c r="AH91" s="692">
        <f t="shared" si="37"/>
        <v>0</v>
      </c>
      <c r="AI91" s="692">
        <f t="shared" si="38"/>
        <v>0</v>
      </c>
      <c r="AJ91" s="692">
        <f t="shared" si="39"/>
        <v>0</v>
      </c>
      <c r="AL91" s="38">
        <f t="shared" si="40"/>
        <v>0</v>
      </c>
      <c r="AM91" s="68" t="s">
        <v>201</v>
      </c>
    </row>
    <row r="92" spans="1:39">
      <c r="A92" s="21"/>
      <c r="B92" s="21" t="s">
        <v>110</v>
      </c>
      <c r="C92" s="666"/>
      <c r="D92" s="68" t="s">
        <v>1033</v>
      </c>
      <c r="E92" s="679">
        <f>206.31+206.31+182.44+39.76</f>
        <v>634.81999999999994</v>
      </c>
      <c r="F92" s="529">
        <f>VLOOKUP(D92,'Nov13 Revenue'!D:V,19,FALSE)</f>
        <v>0</v>
      </c>
      <c r="G92" s="680"/>
      <c r="H92" s="680"/>
      <c r="I92" s="755"/>
      <c r="J92" s="682">
        <f t="shared" si="29"/>
        <v>634.81999999999994</v>
      </c>
      <c r="K92" s="683"/>
      <c r="L92" s="684"/>
      <c r="M92" s="753"/>
      <c r="N92" s="683">
        <v>0</v>
      </c>
      <c r="O92" s="686"/>
      <c r="P92" s="683">
        <v>0</v>
      </c>
      <c r="Q92" s="687">
        <f t="shared" si="1"/>
        <v>0</v>
      </c>
      <c r="R92" s="687"/>
      <c r="S92" s="687"/>
      <c r="T92" s="688">
        <v>0</v>
      </c>
      <c r="U92" s="693"/>
      <c r="V92" s="690">
        <f t="shared" si="28"/>
        <v>0</v>
      </c>
      <c r="W92" s="697"/>
      <c r="X92" s="474">
        <f t="shared" si="33"/>
        <v>0</v>
      </c>
      <c r="Y92" s="474">
        <f t="shared" si="34"/>
        <v>0</v>
      </c>
      <c r="Z92" s="475">
        <f t="shared" si="35"/>
        <v>0</v>
      </c>
      <c r="AA92" s="475">
        <v>0</v>
      </c>
      <c r="AB92" s="476">
        <v>0</v>
      </c>
      <c r="AC92" s="38">
        <f t="shared" si="36"/>
        <v>0</v>
      </c>
      <c r="AD92" s="692">
        <f t="shared" si="30"/>
        <v>634.81999999999994</v>
      </c>
      <c r="AE92" s="692">
        <f t="shared" si="31"/>
        <v>0</v>
      </c>
      <c r="AF92" s="692">
        <f t="shared" si="32"/>
        <v>0</v>
      </c>
      <c r="AG92" s="38"/>
      <c r="AH92" s="692">
        <f t="shared" si="37"/>
        <v>0</v>
      </c>
      <c r="AI92" s="692">
        <f t="shared" si="38"/>
        <v>0</v>
      </c>
      <c r="AJ92" s="692">
        <f t="shared" si="39"/>
        <v>0</v>
      </c>
      <c r="AL92" s="38">
        <f t="shared" si="40"/>
        <v>634.81999999999994</v>
      </c>
      <c r="AM92" s="68" t="s">
        <v>628</v>
      </c>
    </row>
    <row r="93" spans="1:39">
      <c r="A93" s="20" t="s">
        <v>97</v>
      </c>
      <c r="B93" s="20" t="s">
        <v>114</v>
      </c>
      <c r="C93" s="667"/>
      <c r="D93" s="68" t="s">
        <v>387</v>
      </c>
      <c r="E93" s="679"/>
      <c r="F93" s="529">
        <f>VLOOKUP(D93,'Nov13 Revenue'!D:V,19,FALSE)</f>
        <v>21661.120000000003</v>
      </c>
      <c r="G93" s="680"/>
      <c r="H93" s="680"/>
      <c r="I93" s="755"/>
      <c r="J93" s="682">
        <f t="shared" si="29"/>
        <v>21661.120000000003</v>
      </c>
      <c r="K93" s="683"/>
      <c r="L93" s="684"/>
      <c r="M93" s="753">
        <v>35000</v>
      </c>
      <c r="N93" s="683">
        <v>0</v>
      </c>
      <c r="O93" s="686"/>
      <c r="P93" s="683">
        <v>0</v>
      </c>
      <c r="Q93" s="687">
        <f t="shared" si="1"/>
        <v>35000</v>
      </c>
      <c r="R93" s="687"/>
      <c r="S93" s="687"/>
      <c r="T93" s="688">
        <v>30534.65</v>
      </c>
      <c r="U93" s="693"/>
      <c r="V93" s="690">
        <f t="shared" si="28"/>
        <v>-4465.3499999999985</v>
      </c>
      <c r="W93" s="683"/>
      <c r="X93" s="474">
        <f t="shared" si="33"/>
        <v>0</v>
      </c>
      <c r="Y93" s="474">
        <f t="shared" si="34"/>
        <v>0</v>
      </c>
      <c r="Z93" s="475">
        <f t="shared" si="35"/>
        <v>35000</v>
      </c>
      <c r="AA93" s="475">
        <v>0</v>
      </c>
      <c r="AB93" s="476">
        <v>0</v>
      </c>
      <c r="AC93" s="38">
        <f t="shared" si="36"/>
        <v>0</v>
      </c>
      <c r="AD93" s="692">
        <f t="shared" si="30"/>
        <v>0</v>
      </c>
      <c r="AE93" s="692">
        <f t="shared" si="31"/>
        <v>0</v>
      </c>
      <c r="AF93" s="692">
        <f t="shared" si="32"/>
        <v>21661.120000000003</v>
      </c>
      <c r="AG93" s="38"/>
      <c r="AH93" s="692">
        <f t="shared" si="37"/>
        <v>0</v>
      </c>
      <c r="AI93" s="692">
        <f t="shared" si="38"/>
        <v>0</v>
      </c>
      <c r="AJ93" s="692">
        <f t="shared" si="39"/>
        <v>35000</v>
      </c>
      <c r="AL93" s="38">
        <f t="shared" si="40"/>
        <v>56661.120000000003</v>
      </c>
      <c r="AM93" s="68" t="s">
        <v>387</v>
      </c>
    </row>
    <row r="94" spans="1:39" hidden="1">
      <c r="A94" s="20" t="s">
        <v>97</v>
      </c>
      <c r="B94" s="20" t="s">
        <v>114</v>
      </c>
      <c r="C94" s="667"/>
      <c r="D94" s="68" t="s">
        <v>482</v>
      </c>
      <c r="E94" s="679"/>
      <c r="F94" s="529">
        <f>VLOOKUP(D94,'Nov13 Revenue'!D:V,19,FALSE)</f>
        <v>0</v>
      </c>
      <c r="G94" s="680"/>
      <c r="H94" s="680"/>
      <c r="I94" s="755"/>
      <c r="J94" s="682">
        <f t="shared" si="29"/>
        <v>0</v>
      </c>
      <c r="K94" s="683"/>
      <c r="L94" s="684"/>
      <c r="M94" s="753"/>
      <c r="N94" s="683"/>
      <c r="O94" s="686"/>
      <c r="P94" s="683"/>
      <c r="Q94" s="687">
        <f t="shared" si="1"/>
        <v>0</v>
      </c>
      <c r="R94" s="687"/>
      <c r="S94" s="687"/>
      <c r="T94" s="688">
        <v>0</v>
      </c>
      <c r="U94" s="693"/>
      <c r="V94" s="690">
        <f t="shared" si="28"/>
        <v>0</v>
      </c>
      <c r="W94" s="683"/>
      <c r="X94" s="474">
        <f t="shared" si="33"/>
        <v>0</v>
      </c>
      <c r="Y94" s="474">
        <f t="shared" si="34"/>
        <v>0</v>
      </c>
      <c r="Z94" s="475">
        <f t="shared" si="35"/>
        <v>0</v>
      </c>
      <c r="AA94" s="475">
        <v>0</v>
      </c>
      <c r="AB94" s="476">
        <v>0</v>
      </c>
      <c r="AC94" s="38">
        <f t="shared" si="36"/>
        <v>0</v>
      </c>
      <c r="AD94" s="692">
        <f t="shared" si="30"/>
        <v>0</v>
      </c>
      <c r="AE94" s="692">
        <f t="shared" si="31"/>
        <v>0</v>
      </c>
      <c r="AF94" s="692">
        <f t="shared" si="32"/>
        <v>0</v>
      </c>
      <c r="AG94" s="38"/>
      <c r="AH94" s="692">
        <f t="shared" si="37"/>
        <v>0</v>
      </c>
      <c r="AI94" s="692">
        <f t="shared" si="38"/>
        <v>0</v>
      </c>
      <c r="AJ94" s="692">
        <f t="shared" si="39"/>
        <v>0</v>
      </c>
      <c r="AL94" s="38">
        <f t="shared" si="40"/>
        <v>0</v>
      </c>
      <c r="AM94" s="68" t="s">
        <v>482</v>
      </c>
    </row>
    <row r="95" spans="1:39" hidden="1">
      <c r="A95" s="20" t="s">
        <v>109</v>
      </c>
      <c r="B95" s="20" t="s">
        <v>109</v>
      </c>
      <c r="C95" s="667" t="s">
        <v>544</v>
      </c>
      <c r="D95" s="68" t="s">
        <v>383</v>
      </c>
      <c r="E95" s="679"/>
      <c r="F95" s="529">
        <f>VLOOKUP(D95,'Nov13 Revenue'!D:V,19,FALSE)</f>
        <v>0</v>
      </c>
      <c r="G95" s="680"/>
      <c r="H95" s="680"/>
      <c r="I95" s="755"/>
      <c r="J95" s="682">
        <f t="shared" si="29"/>
        <v>0</v>
      </c>
      <c r="K95" s="683"/>
      <c r="L95" s="684"/>
      <c r="M95" s="753"/>
      <c r="N95" s="683">
        <v>0</v>
      </c>
      <c r="O95" s="686"/>
      <c r="P95" s="683">
        <v>0</v>
      </c>
      <c r="Q95" s="687">
        <f t="shared" si="1"/>
        <v>0</v>
      </c>
      <c r="R95" s="687"/>
      <c r="S95" s="687"/>
      <c r="T95" s="688">
        <v>0</v>
      </c>
      <c r="U95" s="693"/>
      <c r="V95" s="690">
        <f t="shared" si="28"/>
        <v>0</v>
      </c>
      <c r="W95" s="683"/>
      <c r="X95" s="474">
        <f t="shared" si="33"/>
        <v>0</v>
      </c>
      <c r="Y95" s="474">
        <f t="shared" si="34"/>
        <v>0</v>
      </c>
      <c r="Z95" s="475">
        <f t="shared" si="35"/>
        <v>0</v>
      </c>
      <c r="AA95" s="475">
        <v>0</v>
      </c>
      <c r="AB95" s="476">
        <v>0</v>
      </c>
      <c r="AC95" s="38">
        <f t="shared" si="36"/>
        <v>0</v>
      </c>
      <c r="AD95" s="692">
        <f t="shared" si="30"/>
        <v>0</v>
      </c>
      <c r="AE95" s="692">
        <f t="shared" si="31"/>
        <v>0</v>
      </c>
      <c r="AF95" s="692">
        <f t="shared" si="32"/>
        <v>0</v>
      </c>
      <c r="AG95" s="38"/>
      <c r="AH95" s="692">
        <f t="shared" si="37"/>
        <v>0</v>
      </c>
      <c r="AI95" s="692">
        <f t="shared" si="38"/>
        <v>0</v>
      </c>
      <c r="AJ95" s="692">
        <f t="shared" si="39"/>
        <v>0</v>
      </c>
      <c r="AL95" s="38">
        <f t="shared" si="40"/>
        <v>0</v>
      </c>
      <c r="AM95" s="68" t="s">
        <v>383</v>
      </c>
    </row>
    <row r="96" spans="1:39" hidden="1">
      <c r="A96" s="21" t="s">
        <v>211</v>
      </c>
      <c r="B96" s="21" t="s">
        <v>109</v>
      </c>
      <c r="C96" s="666" t="s">
        <v>545</v>
      </c>
      <c r="D96" s="68" t="s">
        <v>181</v>
      </c>
      <c r="E96" s="679"/>
      <c r="F96" s="529">
        <f>VLOOKUP(D96,'Nov13 Revenue'!D:V,19,FALSE)</f>
        <v>0</v>
      </c>
      <c r="G96" s="680"/>
      <c r="H96" s="680"/>
      <c r="I96" s="755"/>
      <c r="J96" s="682">
        <f t="shared" si="29"/>
        <v>0</v>
      </c>
      <c r="K96" s="683"/>
      <c r="L96" s="684"/>
      <c r="M96" s="753"/>
      <c r="N96" s="683">
        <v>0</v>
      </c>
      <c r="O96" s="686"/>
      <c r="P96" s="683">
        <v>0</v>
      </c>
      <c r="Q96" s="687">
        <f t="shared" si="1"/>
        <v>0</v>
      </c>
      <c r="R96" s="687"/>
      <c r="S96" s="687"/>
      <c r="T96" s="688">
        <v>0</v>
      </c>
      <c r="U96" s="693"/>
      <c r="V96" s="690">
        <f t="shared" si="28"/>
        <v>0</v>
      </c>
      <c r="W96" s="683"/>
      <c r="X96" s="474">
        <f t="shared" si="33"/>
        <v>0</v>
      </c>
      <c r="Y96" s="474">
        <f t="shared" si="34"/>
        <v>0</v>
      </c>
      <c r="Z96" s="475">
        <f t="shared" si="35"/>
        <v>0</v>
      </c>
      <c r="AA96" s="475">
        <v>0</v>
      </c>
      <c r="AB96" s="476">
        <v>0</v>
      </c>
      <c r="AC96" s="38">
        <f t="shared" si="36"/>
        <v>0</v>
      </c>
      <c r="AD96" s="692">
        <f t="shared" si="30"/>
        <v>0</v>
      </c>
      <c r="AE96" s="692">
        <f t="shared" si="31"/>
        <v>0</v>
      </c>
      <c r="AF96" s="692">
        <f t="shared" si="32"/>
        <v>0</v>
      </c>
      <c r="AG96" s="38"/>
      <c r="AH96" s="692">
        <f t="shared" si="37"/>
        <v>0</v>
      </c>
      <c r="AI96" s="692">
        <f t="shared" si="38"/>
        <v>0</v>
      </c>
      <c r="AJ96" s="692">
        <f t="shared" si="39"/>
        <v>0</v>
      </c>
      <c r="AL96" s="38">
        <f t="shared" si="40"/>
        <v>0</v>
      </c>
      <c r="AM96" s="68" t="s">
        <v>181</v>
      </c>
    </row>
    <row r="97" spans="1:39" hidden="1">
      <c r="A97" s="21" t="s">
        <v>211</v>
      </c>
      <c r="B97" s="21" t="s">
        <v>110</v>
      </c>
      <c r="C97" s="666"/>
      <c r="D97" s="68" t="s">
        <v>504</v>
      </c>
      <c r="E97" s="679"/>
      <c r="F97" s="529">
        <f>VLOOKUP(D97,'Nov13 Revenue'!D:V,19,FALSE)</f>
        <v>0</v>
      </c>
      <c r="G97" s="680"/>
      <c r="H97" s="680"/>
      <c r="I97" s="755"/>
      <c r="J97" s="682">
        <f t="shared" si="29"/>
        <v>0</v>
      </c>
      <c r="K97" s="683"/>
      <c r="L97" s="684"/>
      <c r="M97" s="753"/>
      <c r="N97" s="683">
        <v>0</v>
      </c>
      <c r="O97" s="686"/>
      <c r="P97" s="683">
        <v>0</v>
      </c>
      <c r="Q97" s="687">
        <f t="shared" si="1"/>
        <v>0</v>
      </c>
      <c r="R97" s="687"/>
      <c r="S97" s="687"/>
      <c r="T97" s="688">
        <v>0</v>
      </c>
      <c r="U97" s="693"/>
      <c r="V97" s="690">
        <f t="shared" si="28"/>
        <v>0</v>
      </c>
      <c r="W97" s="683"/>
      <c r="X97" s="474">
        <f t="shared" si="33"/>
        <v>0</v>
      </c>
      <c r="Y97" s="474">
        <f t="shared" si="34"/>
        <v>0</v>
      </c>
      <c r="Z97" s="475">
        <f t="shared" si="35"/>
        <v>0</v>
      </c>
      <c r="AA97" s="475">
        <v>0</v>
      </c>
      <c r="AB97" s="476">
        <v>0</v>
      </c>
      <c r="AC97" s="38">
        <f t="shared" si="36"/>
        <v>0</v>
      </c>
      <c r="AD97" s="692">
        <f t="shared" si="30"/>
        <v>0</v>
      </c>
      <c r="AE97" s="692">
        <f t="shared" si="31"/>
        <v>0</v>
      </c>
      <c r="AF97" s="692">
        <f t="shared" si="32"/>
        <v>0</v>
      </c>
      <c r="AG97" s="38"/>
      <c r="AH97" s="692">
        <f t="shared" si="37"/>
        <v>0</v>
      </c>
      <c r="AI97" s="692">
        <f t="shared" si="38"/>
        <v>0</v>
      </c>
      <c r="AJ97" s="692">
        <f t="shared" si="39"/>
        <v>0</v>
      </c>
      <c r="AL97" s="38">
        <f t="shared" si="40"/>
        <v>0</v>
      </c>
      <c r="AM97" s="68" t="s">
        <v>504</v>
      </c>
    </row>
    <row r="98" spans="1:39">
      <c r="A98" s="20" t="s">
        <v>211</v>
      </c>
      <c r="B98" s="20" t="s">
        <v>109</v>
      </c>
      <c r="C98" s="667" t="s">
        <v>546</v>
      </c>
      <c r="D98" s="68" t="s">
        <v>142</v>
      </c>
      <c r="E98" s="679"/>
      <c r="F98" s="529">
        <f>VLOOKUP(D98,'Nov13 Revenue'!D:V,19,FALSE)</f>
        <v>0</v>
      </c>
      <c r="G98" s="680"/>
      <c r="H98" s="680"/>
      <c r="I98" s="755"/>
      <c r="J98" s="682">
        <f t="shared" si="29"/>
        <v>0</v>
      </c>
      <c r="K98" s="683"/>
      <c r="L98" s="684"/>
      <c r="M98" s="753"/>
      <c r="N98" s="683">
        <v>0</v>
      </c>
      <c r="O98" s="686"/>
      <c r="P98" s="683">
        <v>0</v>
      </c>
      <c r="Q98" s="687">
        <f t="shared" si="1"/>
        <v>0</v>
      </c>
      <c r="R98" s="687"/>
      <c r="S98" s="687"/>
      <c r="T98" s="688">
        <v>0</v>
      </c>
      <c r="U98" s="693"/>
      <c r="V98" s="690">
        <f t="shared" si="28"/>
        <v>0</v>
      </c>
      <c r="W98" s="697"/>
      <c r="X98" s="474">
        <f t="shared" si="33"/>
        <v>0</v>
      </c>
      <c r="Y98" s="474">
        <f t="shared" si="34"/>
        <v>0</v>
      </c>
      <c r="Z98" s="475">
        <f t="shared" si="35"/>
        <v>0</v>
      </c>
      <c r="AA98" s="475">
        <v>0</v>
      </c>
      <c r="AB98" s="476">
        <v>0</v>
      </c>
      <c r="AC98" s="38">
        <f t="shared" si="36"/>
        <v>0</v>
      </c>
      <c r="AD98" s="692">
        <f t="shared" si="30"/>
        <v>0</v>
      </c>
      <c r="AE98" s="692">
        <f t="shared" si="31"/>
        <v>0</v>
      </c>
      <c r="AF98" s="692">
        <f t="shared" si="32"/>
        <v>0</v>
      </c>
      <c r="AG98" s="38"/>
      <c r="AH98" s="692">
        <f t="shared" si="37"/>
        <v>0</v>
      </c>
      <c r="AI98" s="692">
        <f t="shared" si="38"/>
        <v>0</v>
      </c>
      <c r="AJ98" s="692">
        <f t="shared" si="39"/>
        <v>0</v>
      </c>
      <c r="AL98" s="38">
        <f t="shared" si="40"/>
        <v>0</v>
      </c>
      <c r="AM98" s="68" t="s">
        <v>142</v>
      </c>
    </row>
    <row r="99" spans="1:39">
      <c r="A99" s="20" t="s">
        <v>211</v>
      </c>
      <c r="B99" s="20" t="s">
        <v>109</v>
      </c>
      <c r="C99" s="667" t="s">
        <v>546</v>
      </c>
      <c r="D99" s="68" t="s">
        <v>143</v>
      </c>
      <c r="E99" s="679"/>
      <c r="F99" s="529">
        <f>VLOOKUP(D99,'Nov13 Revenue'!D:V,19,FALSE)</f>
        <v>0</v>
      </c>
      <c r="G99" s="680"/>
      <c r="H99" s="680"/>
      <c r="I99" s="755"/>
      <c r="J99" s="682">
        <f t="shared" si="29"/>
        <v>0</v>
      </c>
      <c r="K99" s="683"/>
      <c r="L99" s="684"/>
      <c r="M99" s="753"/>
      <c r="N99" s="683">
        <v>0</v>
      </c>
      <c r="O99" s="686"/>
      <c r="P99" s="683">
        <v>0</v>
      </c>
      <c r="Q99" s="687">
        <f t="shared" si="1"/>
        <v>0</v>
      </c>
      <c r="R99" s="687"/>
      <c r="S99" s="687"/>
      <c r="T99" s="688">
        <v>0</v>
      </c>
      <c r="U99" s="693"/>
      <c r="V99" s="690">
        <f t="shared" si="28"/>
        <v>0</v>
      </c>
      <c r="W99" s="697"/>
      <c r="X99" s="474">
        <f t="shared" si="33"/>
        <v>0</v>
      </c>
      <c r="Y99" s="474">
        <f t="shared" si="34"/>
        <v>0</v>
      </c>
      <c r="Z99" s="475">
        <f t="shared" si="35"/>
        <v>0</v>
      </c>
      <c r="AA99" s="475">
        <v>0</v>
      </c>
      <c r="AB99" s="476">
        <v>0</v>
      </c>
      <c r="AC99" s="38">
        <f t="shared" si="36"/>
        <v>0</v>
      </c>
      <c r="AD99" s="692">
        <f t="shared" si="30"/>
        <v>0</v>
      </c>
      <c r="AE99" s="692">
        <f t="shared" si="31"/>
        <v>0</v>
      </c>
      <c r="AF99" s="692">
        <f t="shared" si="32"/>
        <v>0</v>
      </c>
      <c r="AG99" s="38"/>
      <c r="AH99" s="692">
        <f t="shared" si="37"/>
        <v>0</v>
      </c>
      <c r="AI99" s="692">
        <f t="shared" si="38"/>
        <v>0</v>
      </c>
      <c r="AJ99" s="692">
        <f t="shared" si="39"/>
        <v>0</v>
      </c>
      <c r="AL99" s="38">
        <f t="shared" si="40"/>
        <v>0</v>
      </c>
      <c r="AM99" s="68" t="s">
        <v>143</v>
      </c>
    </row>
    <row r="100" spans="1:39">
      <c r="A100" s="20"/>
      <c r="B100" s="20" t="s">
        <v>109</v>
      </c>
      <c r="C100" s="667"/>
      <c r="D100" s="68" t="s">
        <v>1014</v>
      </c>
      <c r="E100" s="679">
        <v>263.13</v>
      </c>
      <c r="F100" s="529">
        <f>VLOOKUP(D100,'Nov13 Revenue'!D:V,19,FALSE)</f>
        <v>0</v>
      </c>
      <c r="G100" s="680"/>
      <c r="H100" s="680"/>
      <c r="I100" s="755"/>
      <c r="J100" s="682">
        <f t="shared" si="29"/>
        <v>263.13</v>
      </c>
      <c r="K100" s="683"/>
      <c r="L100" s="684"/>
      <c r="M100" s="753"/>
      <c r="N100" s="683">
        <v>0</v>
      </c>
      <c r="O100" s="686"/>
      <c r="P100" s="683">
        <v>0</v>
      </c>
      <c r="Q100" s="687">
        <f t="shared" si="1"/>
        <v>0</v>
      </c>
      <c r="R100" s="687"/>
      <c r="S100" s="687"/>
      <c r="T100" s="688">
        <v>0</v>
      </c>
      <c r="U100" s="693"/>
      <c r="V100" s="690">
        <f t="shared" si="28"/>
        <v>0</v>
      </c>
      <c r="W100" s="683"/>
      <c r="X100" s="474">
        <f t="shared" si="33"/>
        <v>0</v>
      </c>
      <c r="Y100" s="474">
        <f t="shared" si="34"/>
        <v>0</v>
      </c>
      <c r="Z100" s="475">
        <f t="shared" si="35"/>
        <v>0</v>
      </c>
      <c r="AA100" s="475">
        <v>0</v>
      </c>
      <c r="AB100" s="476">
        <v>0</v>
      </c>
      <c r="AC100" s="38">
        <f t="shared" si="36"/>
        <v>0</v>
      </c>
      <c r="AD100" s="692">
        <f t="shared" si="30"/>
        <v>0</v>
      </c>
      <c r="AE100" s="692">
        <f t="shared" si="31"/>
        <v>263.13</v>
      </c>
      <c r="AF100" s="692">
        <f t="shared" si="32"/>
        <v>0</v>
      </c>
      <c r="AG100" s="38"/>
      <c r="AH100" s="692">
        <f t="shared" si="37"/>
        <v>0</v>
      </c>
      <c r="AI100" s="692">
        <f t="shared" si="38"/>
        <v>0</v>
      </c>
      <c r="AJ100" s="692">
        <f t="shared" si="39"/>
        <v>0</v>
      </c>
      <c r="AL100" s="38">
        <f t="shared" si="40"/>
        <v>263.13</v>
      </c>
      <c r="AM100" s="68" t="s">
        <v>1014</v>
      </c>
    </row>
    <row r="101" spans="1:39">
      <c r="A101" s="20" t="s">
        <v>109</v>
      </c>
      <c r="B101" s="20" t="s">
        <v>109</v>
      </c>
      <c r="C101" s="667"/>
      <c r="D101" s="68" t="s">
        <v>498</v>
      </c>
      <c r="E101" s="679"/>
      <c r="F101" s="529">
        <f>VLOOKUP(D101,'Nov13 Revenue'!D:V,19,FALSE)</f>
        <v>0</v>
      </c>
      <c r="G101" s="680"/>
      <c r="H101" s="680"/>
      <c r="I101" s="755"/>
      <c r="J101" s="682">
        <f t="shared" si="29"/>
        <v>0</v>
      </c>
      <c r="K101" s="683"/>
      <c r="L101" s="684"/>
      <c r="M101" s="753"/>
      <c r="N101" s="683">
        <v>0</v>
      </c>
      <c r="O101" s="686"/>
      <c r="P101" s="683">
        <v>0</v>
      </c>
      <c r="Q101" s="687">
        <f t="shared" si="1"/>
        <v>0</v>
      </c>
      <c r="R101" s="687"/>
      <c r="S101" s="687"/>
      <c r="T101" s="688">
        <v>0</v>
      </c>
      <c r="U101" s="693"/>
      <c r="V101" s="690">
        <f t="shared" si="28"/>
        <v>0</v>
      </c>
      <c r="W101" s="683"/>
      <c r="X101" s="474">
        <f t="shared" si="33"/>
        <v>0</v>
      </c>
      <c r="Y101" s="474">
        <f t="shared" si="34"/>
        <v>0</v>
      </c>
      <c r="Z101" s="475">
        <f t="shared" si="35"/>
        <v>0</v>
      </c>
      <c r="AA101" s="475">
        <v>0</v>
      </c>
      <c r="AB101" s="476">
        <v>0</v>
      </c>
      <c r="AC101" s="38">
        <f t="shared" si="36"/>
        <v>0</v>
      </c>
      <c r="AD101" s="692">
        <f t="shared" si="30"/>
        <v>0</v>
      </c>
      <c r="AE101" s="692">
        <f t="shared" si="31"/>
        <v>0</v>
      </c>
      <c r="AF101" s="692">
        <f t="shared" si="32"/>
        <v>0</v>
      </c>
      <c r="AG101" s="38"/>
      <c r="AH101" s="692">
        <f t="shared" si="37"/>
        <v>0</v>
      </c>
      <c r="AI101" s="692">
        <f t="shared" si="38"/>
        <v>0</v>
      </c>
      <c r="AJ101" s="692">
        <f t="shared" si="39"/>
        <v>0</v>
      </c>
      <c r="AL101" s="38">
        <f t="shared" si="40"/>
        <v>0</v>
      </c>
      <c r="AM101" s="68" t="s">
        <v>498</v>
      </c>
    </row>
    <row r="102" spans="1:39">
      <c r="A102" s="21"/>
      <c r="B102" s="21" t="s">
        <v>110</v>
      </c>
      <c r="C102" s="666"/>
      <c r="D102" s="68" t="s">
        <v>20</v>
      </c>
      <c r="E102" s="679">
        <f>144.02+186.7</f>
        <v>330.72</v>
      </c>
      <c r="F102" s="529">
        <f>VLOOKUP(D102,'Nov13 Revenue'!D:V,19,FALSE)</f>
        <v>0</v>
      </c>
      <c r="G102" s="680"/>
      <c r="H102" s="680"/>
      <c r="I102" s="770">
        <v>209.89</v>
      </c>
      <c r="J102" s="682">
        <f t="shared" si="29"/>
        <v>540.61</v>
      </c>
      <c r="K102" s="683"/>
      <c r="L102" s="684"/>
      <c r="M102" s="753"/>
      <c r="N102" s="683">
        <v>0</v>
      </c>
      <c r="O102" s="686"/>
      <c r="P102" s="683">
        <v>0</v>
      </c>
      <c r="Q102" s="687">
        <f t="shared" si="1"/>
        <v>0</v>
      </c>
      <c r="R102" s="687"/>
      <c r="S102" s="687"/>
      <c r="T102" s="688">
        <v>0</v>
      </c>
      <c r="U102" s="693"/>
      <c r="V102" s="690">
        <f t="shared" si="28"/>
        <v>0</v>
      </c>
      <c r="W102" s="683"/>
      <c r="X102" s="474">
        <f t="shared" si="33"/>
        <v>0</v>
      </c>
      <c r="Y102" s="474">
        <f t="shared" si="34"/>
        <v>0</v>
      </c>
      <c r="Z102" s="475">
        <f t="shared" si="35"/>
        <v>0</v>
      </c>
      <c r="AA102" s="475">
        <v>0</v>
      </c>
      <c r="AB102" s="476">
        <v>0</v>
      </c>
      <c r="AC102" s="38">
        <f t="shared" si="36"/>
        <v>0</v>
      </c>
      <c r="AD102" s="692">
        <f t="shared" si="30"/>
        <v>540.61</v>
      </c>
      <c r="AE102" s="692">
        <f t="shared" si="31"/>
        <v>0</v>
      </c>
      <c r="AF102" s="692">
        <f t="shared" si="32"/>
        <v>0</v>
      </c>
      <c r="AG102" s="38"/>
      <c r="AH102" s="692">
        <f t="shared" si="37"/>
        <v>0</v>
      </c>
      <c r="AI102" s="692">
        <f t="shared" si="38"/>
        <v>0</v>
      </c>
      <c r="AJ102" s="692">
        <f t="shared" si="39"/>
        <v>0</v>
      </c>
      <c r="AL102" s="38">
        <f t="shared" si="40"/>
        <v>540.61</v>
      </c>
      <c r="AM102" s="68" t="s">
        <v>20</v>
      </c>
    </row>
    <row r="103" spans="1:39">
      <c r="A103" s="21"/>
      <c r="B103" s="21" t="s">
        <v>110</v>
      </c>
      <c r="C103" s="666" t="s">
        <v>547</v>
      </c>
      <c r="D103" s="68" t="s">
        <v>203</v>
      </c>
      <c r="E103" s="679"/>
      <c r="F103" s="529">
        <f>VLOOKUP(D103,'Nov13 Revenue'!D:V,19,FALSE)</f>
        <v>0</v>
      </c>
      <c r="G103" s="680"/>
      <c r="H103" s="680"/>
      <c r="I103" s="755"/>
      <c r="J103" s="682">
        <f t="shared" si="29"/>
        <v>0</v>
      </c>
      <c r="K103" s="683"/>
      <c r="L103" s="684"/>
      <c r="M103" s="753"/>
      <c r="N103" s="683">
        <v>0</v>
      </c>
      <c r="O103" s="686"/>
      <c r="P103" s="683">
        <v>0</v>
      </c>
      <c r="Q103" s="687">
        <f t="shared" si="1"/>
        <v>0</v>
      </c>
      <c r="R103" s="687"/>
      <c r="S103" s="687"/>
      <c r="T103" s="688">
        <v>0</v>
      </c>
      <c r="U103" s="693"/>
      <c r="V103" s="690">
        <f t="shared" si="28"/>
        <v>0</v>
      </c>
      <c r="W103" s="683"/>
      <c r="X103" s="474">
        <f t="shared" si="33"/>
        <v>0</v>
      </c>
      <c r="Y103" s="474">
        <f t="shared" si="34"/>
        <v>0</v>
      </c>
      <c r="Z103" s="475">
        <f t="shared" si="35"/>
        <v>0</v>
      </c>
      <c r="AA103" s="475">
        <v>0</v>
      </c>
      <c r="AB103" s="476">
        <v>0</v>
      </c>
      <c r="AC103" s="38">
        <f t="shared" si="36"/>
        <v>0</v>
      </c>
      <c r="AD103" s="692">
        <f t="shared" si="30"/>
        <v>0</v>
      </c>
      <c r="AE103" s="692">
        <f t="shared" si="31"/>
        <v>0</v>
      </c>
      <c r="AF103" s="692">
        <f t="shared" si="32"/>
        <v>0</v>
      </c>
      <c r="AG103" s="38"/>
      <c r="AH103" s="692">
        <f t="shared" si="37"/>
        <v>0</v>
      </c>
      <c r="AI103" s="692">
        <f t="shared" si="38"/>
        <v>0</v>
      </c>
      <c r="AJ103" s="692">
        <f t="shared" si="39"/>
        <v>0</v>
      </c>
      <c r="AL103" s="38">
        <f t="shared" si="40"/>
        <v>0</v>
      </c>
      <c r="AM103" s="68" t="s">
        <v>203</v>
      </c>
    </row>
    <row r="104" spans="1:39">
      <c r="A104" s="21"/>
      <c r="B104" s="21" t="s">
        <v>110</v>
      </c>
      <c r="C104" s="666" t="s">
        <v>547</v>
      </c>
      <c r="D104" s="68" t="s">
        <v>202</v>
      </c>
      <c r="E104" s="679"/>
      <c r="F104" s="529">
        <f>VLOOKUP(D104,'Nov13 Revenue'!D:V,19,FALSE)</f>
        <v>0</v>
      </c>
      <c r="G104" s="680"/>
      <c r="H104" s="680"/>
      <c r="I104" s="755"/>
      <c r="J104" s="682">
        <f t="shared" si="29"/>
        <v>0</v>
      </c>
      <c r="K104" s="683"/>
      <c r="L104" s="684"/>
      <c r="M104" s="753"/>
      <c r="N104" s="683">
        <v>0</v>
      </c>
      <c r="O104" s="686"/>
      <c r="P104" s="683">
        <v>0</v>
      </c>
      <c r="Q104" s="687">
        <f t="shared" si="1"/>
        <v>0</v>
      </c>
      <c r="R104" s="687"/>
      <c r="S104" s="687"/>
      <c r="T104" s="688">
        <v>0</v>
      </c>
      <c r="U104" s="693"/>
      <c r="V104" s="690">
        <f t="shared" si="28"/>
        <v>0</v>
      </c>
      <c r="W104" s="683"/>
      <c r="X104" s="474">
        <f t="shared" si="33"/>
        <v>0</v>
      </c>
      <c r="Y104" s="474">
        <f t="shared" si="34"/>
        <v>0</v>
      </c>
      <c r="Z104" s="475">
        <f t="shared" si="35"/>
        <v>0</v>
      </c>
      <c r="AA104" s="475">
        <v>0</v>
      </c>
      <c r="AB104" s="476">
        <v>0</v>
      </c>
      <c r="AC104" s="38">
        <f t="shared" si="36"/>
        <v>0</v>
      </c>
      <c r="AD104" s="692">
        <f t="shared" si="30"/>
        <v>0</v>
      </c>
      <c r="AE104" s="692">
        <f t="shared" si="31"/>
        <v>0</v>
      </c>
      <c r="AF104" s="692">
        <f t="shared" si="32"/>
        <v>0</v>
      </c>
      <c r="AG104" s="38"/>
      <c r="AH104" s="692">
        <f t="shared" si="37"/>
        <v>0</v>
      </c>
      <c r="AI104" s="692">
        <f t="shared" si="38"/>
        <v>0</v>
      </c>
      <c r="AJ104" s="692">
        <f t="shared" si="39"/>
        <v>0</v>
      </c>
      <c r="AL104" s="38">
        <f t="shared" si="40"/>
        <v>0</v>
      </c>
      <c r="AM104" s="68" t="s">
        <v>202</v>
      </c>
    </row>
    <row r="105" spans="1:39">
      <c r="A105" s="20" t="s">
        <v>211</v>
      </c>
      <c r="B105" s="20" t="s">
        <v>110</v>
      </c>
      <c r="C105" s="676" t="s">
        <v>1031</v>
      </c>
      <c r="D105" s="373" t="s">
        <v>466</v>
      </c>
      <c r="E105" s="679"/>
      <c r="F105" s="529">
        <f>VLOOKUP(D105,'Nov13 Revenue'!D:V,19,FALSE)</f>
        <v>0</v>
      </c>
      <c r="G105" s="680"/>
      <c r="H105" s="680"/>
      <c r="I105" s="770">
        <v>1397.36</v>
      </c>
      <c r="J105" s="682">
        <f t="shared" si="29"/>
        <v>1397.36</v>
      </c>
      <c r="K105" s="683"/>
      <c r="L105" s="684"/>
      <c r="M105" s="753"/>
      <c r="N105" s="683">
        <v>0</v>
      </c>
      <c r="O105" s="686"/>
      <c r="P105" s="683">
        <v>0</v>
      </c>
      <c r="Q105" s="687">
        <f t="shared" si="1"/>
        <v>0</v>
      </c>
      <c r="R105" s="687"/>
      <c r="S105" s="687"/>
      <c r="T105" s="688">
        <v>0</v>
      </c>
      <c r="U105" s="693"/>
      <c r="V105" s="690">
        <f t="shared" si="28"/>
        <v>0</v>
      </c>
      <c r="W105" s="683"/>
      <c r="X105" s="474">
        <f t="shared" si="33"/>
        <v>0</v>
      </c>
      <c r="Y105" s="474">
        <f t="shared" si="34"/>
        <v>0</v>
      </c>
      <c r="Z105" s="475">
        <f t="shared" si="35"/>
        <v>0</v>
      </c>
      <c r="AA105" s="475">
        <v>0</v>
      </c>
      <c r="AB105" s="476">
        <v>0</v>
      </c>
      <c r="AC105" s="38">
        <f t="shared" si="36"/>
        <v>0</v>
      </c>
      <c r="AD105" s="692">
        <f t="shared" si="30"/>
        <v>1397.36</v>
      </c>
      <c r="AE105" s="692">
        <f t="shared" si="31"/>
        <v>0</v>
      </c>
      <c r="AF105" s="692">
        <f t="shared" si="32"/>
        <v>0</v>
      </c>
      <c r="AG105" s="38"/>
      <c r="AH105" s="692">
        <f t="shared" si="37"/>
        <v>0</v>
      </c>
      <c r="AI105" s="692">
        <f t="shared" si="38"/>
        <v>0</v>
      </c>
      <c r="AJ105" s="692">
        <f t="shared" si="39"/>
        <v>0</v>
      </c>
      <c r="AL105" s="38">
        <f t="shared" si="40"/>
        <v>1397.36</v>
      </c>
      <c r="AM105" s="373" t="s">
        <v>466</v>
      </c>
    </row>
    <row r="106" spans="1:39">
      <c r="A106" s="20"/>
      <c r="B106" s="20" t="s">
        <v>110</v>
      </c>
      <c r="C106" s="667"/>
      <c r="D106" s="373" t="s">
        <v>627</v>
      </c>
      <c r="E106" s="679">
        <v>2781.56</v>
      </c>
      <c r="F106" s="529">
        <f>VLOOKUP(D106,'Nov13 Revenue'!D:V,19,FALSE)</f>
        <v>17</v>
      </c>
      <c r="G106" s="680"/>
      <c r="H106" s="680"/>
      <c r="I106" s="755"/>
      <c r="J106" s="682">
        <f t="shared" si="29"/>
        <v>2798.56</v>
      </c>
      <c r="K106" s="683"/>
      <c r="L106" s="684"/>
      <c r="M106" s="753"/>
      <c r="N106" s="683">
        <v>0</v>
      </c>
      <c r="O106" s="686"/>
      <c r="P106" s="683">
        <v>0</v>
      </c>
      <c r="Q106" s="687">
        <f t="shared" si="1"/>
        <v>0</v>
      </c>
      <c r="R106" s="687"/>
      <c r="S106" s="687"/>
      <c r="T106" s="688">
        <v>0</v>
      </c>
      <c r="U106" s="693"/>
      <c r="V106" s="690">
        <f t="shared" si="28"/>
        <v>0</v>
      </c>
      <c r="W106" s="683"/>
      <c r="X106" s="474">
        <f t="shared" si="33"/>
        <v>0</v>
      </c>
      <c r="Y106" s="474">
        <f t="shared" si="34"/>
        <v>0</v>
      </c>
      <c r="Z106" s="475">
        <f t="shared" si="35"/>
        <v>0</v>
      </c>
      <c r="AA106" s="475">
        <v>0</v>
      </c>
      <c r="AB106" s="476">
        <v>0</v>
      </c>
      <c r="AC106" s="38">
        <f t="shared" si="36"/>
        <v>0</v>
      </c>
      <c r="AD106" s="692">
        <f t="shared" si="30"/>
        <v>2798.56</v>
      </c>
      <c r="AE106" s="692">
        <f t="shared" si="31"/>
        <v>0</v>
      </c>
      <c r="AF106" s="692">
        <f t="shared" si="32"/>
        <v>0</v>
      </c>
      <c r="AG106" s="38"/>
      <c r="AH106" s="692">
        <f t="shared" si="37"/>
        <v>0</v>
      </c>
      <c r="AI106" s="692">
        <f t="shared" si="38"/>
        <v>0</v>
      </c>
      <c r="AJ106" s="692">
        <f t="shared" si="39"/>
        <v>0</v>
      </c>
      <c r="AL106" s="38">
        <f t="shared" si="40"/>
        <v>2798.56</v>
      </c>
      <c r="AM106" s="373" t="s">
        <v>627</v>
      </c>
    </row>
    <row r="107" spans="1:39" s="232" customFormat="1" ht="12.75" customHeight="1">
      <c r="A107" s="283"/>
      <c r="B107" s="283" t="s">
        <v>110</v>
      </c>
      <c r="C107" s="667"/>
      <c r="D107" s="123" t="s">
        <v>994</v>
      </c>
      <c r="E107" s="679"/>
      <c r="F107" s="529">
        <f>VLOOKUP(D107,'Nov13 Revenue'!D:V,19,FALSE)</f>
        <v>0</v>
      </c>
      <c r="G107" s="680"/>
      <c r="H107" s="680"/>
      <c r="I107" s="770">
        <v>6866257.7300000004</v>
      </c>
      <c r="J107" s="682">
        <f t="shared" si="29"/>
        <v>6866257.7300000004</v>
      </c>
      <c r="K107" s="683"/>
      <c r="L107" s="684"/>
      <c r="M107" s="753"/>
      <c r="N107" s="683">
        <v>0</v>
      </c>
      <c r="O107" s="686"/>
      <c r="P107" s="683">
        <v>0</v>
      </c>
      <c r="Q107" s="687">
        <f t="shared" si="1"/>
        <v>0</v>
      </c>
      <c r="R107" s="687"/>
      <c r="S107" s="687"/>
      <c r="T107" s="688">
        <v>0</v>
      </c>
      <c r="U107" s="693"/>
      <c r="V107" s="690">
        <f t="shared" si="28"/>
        <v>0</v>
      </c>
      <c r="W107" s="683"/>
      <c r="X107" s="474">
        <f t="shared" si="33"/>
        <v>0</v>
      </c>
      <c r="Y107" s="474">
        <f t="shared" si="34"/>
        <v>0</v>
      </c>
      <c r="Z107" s="475">
        <f t="shared" si="35"/>
        <v>0</v>
      </c>
      <c r="AA107" s="475">
        <v>0</v>
      </c>
      <c r="AB107" s="476">
        <v>0</v>
      </c>
      <c r="AC107" s="38">
        <f t="shared" si="36"/>
        <v>0</v>
      </c>
      <c r="AD107" s="692">
        <f t="shared" si="30"/>
        <v>6866257.7300000004</v>
      </c>
      <c r="AE107" s="692">
        <f t="shared" si="31"/>
        <v>0</v>
      </c>
      <c r="AF107" s="692">
        <f t="shared" si="32"/>
        <v>0</v>
      </c>
      <c r="AG107" s="38"/>
      <c r="AH107" s="692">
        <f t="shared" si="37"/>
        <v>0</v>
      </c>
      <c r="AI107" s="692">
        <f t="shared" si="38"/>
        <v>0</v>
      </c>
      <c r="AJ107" s="692">
        <f t="shared" si="39"/>
        <v>0</v>
      </c>
      <c r="AL107" s="38">
        <f t="shared" si="40"/>
        <v>6866257.7300000004</v>
      </c>
      <c r="AM107" s="123" t="s">
        <v>994</v>
      </c>
    </row>
    <row r="108" spans="1:39" s="232" customFormat="1" ht="12.75" customHeight="1">
      <c r="A108" s="283"/>
      <c r="B108" s="283" t="s">
        <v>110</v>
      </c>
      <c r="C108" s="667"/>
      <c r="D108" s="123" t="s">
        <v>995</v>
      </c>
      <c r="E108" s="679"/>
      <c r="F108" s="529">
        <f>VLOOKUP(D108,'Nov13 Revenue'!D:V,19,FALSE)</f>
        <v>0</v>
      </c>
      <c r="G108" s="680"/>
      <c r="H108" s="680"/>
      <c r="I108" s="770">
        <v>13217.08</v>
      </c>
      <c r="J108" s="682">
        <f t="shared" si="29"/>
        <v>13217.08</v>
      </c>
      <c r="K108" s="683"/>
      <c r="L108" s="684"/>
      <c r="M108" s="753"/>
      <c r="N108" s="683">
        <v>0</v>
      </c>
      <c r="O108" s="686"/>
      <c r="P108" s="683">
        <v>0</v>
      </c>
      <c r="Q108" s="687">
        <f t="shared" si="1"/>
        <v>0</v>
      </c>
      <c r="R108" s="687"/>
      <c r="S108" s="687"/>
      <c r="T108" s="688">
        <v>0</v>
      </c>
      <c r="U108" s="693"/>
      <c r="V108" s="690">
        <f t="shared" si="28"/>
        <v>0</v>
      </c>
      <c r="W108" s="683"/>
      <c r="X108" s="474">
        <f t="shared" si="33"/>
        <v>0</v>
      </c>
      <c r="Y108" s="474">
        <f t="shared" si="34"/>
        <v>0</v>
      </c>
      <c r="Z108" s="475">
        <f t="shared" si="35"/>
        <v>0</v>
      </c>
      <c r="AA108" s="475">
        <v>0</v>
      </c>
      <c r="AB108" s="476">
        <v>0</v>
      </c>
      <c r="AC108" s="38">
        <f t="shared" si="36"/>
        <v>0</v>
      </c>
      <c r="AD108" s="692">
        <f t="shared" si="30"/>
        <v>13217.08</v>
      </c>
      <c r="AE108" s="692">
        <f t="shared" si="31"/>
        <v>0</v>
      </c>
      <c r="AF108" s="692">
        <f t="shared" si="32"/>
        <v>0</v>
      </c>
      <c r="AG108" s="38"/>
      <c r="AH108" s="692">
        <f t="shared" si="37"/>
        <v>0</v>
      </c>
      <c r="AI108" s="692">
        <f t="shared" si="38"/>
        <v>0</v>
      </c>
      <c r="AJ108" s="692">
        <f t="shared" si="39"/>
        <v>0</v>
      </c>
      <c r="AL108" s="38">
        <f t="shared" si="40"/>
        <v>13217.08</v>
      </c>
      <c r="AM108" s="123" t="s">
        <v>995</v>
      </c>
    </row>
    <row r="109" spans="1:39" s="232" customFormat="1" ht="12.75" customHeight="1">
      <c r="A109" s="283"/>
      <c r="B109" s="283" t="s">
        <v>110</v>
      </c>
      <c r="C109" s="667"/>
      <c r="D109" s="123" t="s">
        <v>993</v>
      </c>
      <c r="E109" s="679"/>
      <c r="F109" s="529">
        <f>VLOOKUP(D109,'Nov13 Revenue'!D:V,19,FALSE)</f>
        <v>0</v>
      </c>
      <c r="G109" s="680"/>
      <c r="H109" s="680"/>
      <c r="I109" s="770">
        <v>4056538.34</v>
      </c>
      <c r="J109" s="682">
        <f t="shared" si="29"/>
        <v>4056538.34</v>
      </c>
      <c r="K109" s="683"/>
      <c r="L109" s="684"/>
      <c r="M109" s="753"/>
      <c r="N109" s="683">
        <v>0</v>
      </c>
      <c r="O109" s="686"/>
      <c r="P109" s="683">
        <v>0</v>
      </c>
      <c r="Q109" s="687">
        <f t="shared" si="1"/>
        <v>0</v>
      </c>
      <c r="R109" s="687"/>
      <c r="S109" s="687"/>
      <c r="T109" s="688">
        <v>0</v>
      </c>
      <c r="U109" s="693"/>
      <c r="V109" s="690">
        <f t="shared" si="28"/>
        <v>0</v>
      </c>
      <c r="W109" s="683"/>
      <c r="X109" s="474">
        <f t="shared" si="33"/>
        <v>0</v>
      </c>
      <c r="Y109" s="474">
        <f t="shared" si="34"/>
        <v>0</v>
      </c>
      <c r="Z109" s="475">
        <f t="shared" si="35"/>
        <v>0</v>
      </c>
      <c r="AA109" s="475">
        <v>0</v>
      </c>
      <c r="AB109" s="476">
        <v>0</v>
      </c>
      <c r="AC109" s="38">
        <f t="shared" si="36"/>
        <v>0</v>
      </c>
      <c r="AD109" s="692">
        <f t="shared" si="30"/>
        <v>4056538.34</v>
      </c>
      <c r="AE109" s="692">
        <f t="shared" si="31"/>
        <v>0</v>
      </c>
      <c r="AF109" s="692">
        <f t="shared" si="32"/>
        <v>0</v>
      </c>
      <c r="AG109" s="38"/>
      <c r="AH109" s="692">
        <f t="shared" si="37"/>
        <v>0</v>
      </c>
      <c r="AI109" s="692">
        <f t="shared" si="38"/>
        <v>0</v>
      </c>
      <c r="AJ109" s="692">
        <f t="shared" si="39"/>
        <v>0</v>
      </c>
      <c r="AL109" s="38">
        <f t="shared" si="40"/>
        <v>4056538.34</v>
      </c>
      <c r="AM109" s="123" t="s">
        <v>993</v>
      </c>
    </row>
    <row r="110" spans="1:39" s="232" customFormat="1" ht="12.75" customHeight="1">
      <c r="A110" s="283"/>
      <c r="B110" s="283" t="s">
        <v>110</v>
      </c>
      <c r="C110" s="667"/>
      <c r="D110" s="123" t="s">
        <v>996</v>
      </c>
      <c r="E110" s="679"/>
      <c r="F110" s="529">
        <f>VLOOKUP(D110,'Nov13 Revenue'!D:V,19,FALSE)</f>
        <v>0</v>
      </c>
      <c r="G110" s="680"/>
      <c r="H110" s="680"/>
      <c r="I110" s="770">
        <v>182075.2</v>
      </c>
      <c r="J110" s="682">
        <f t="shared" si="29"/>
        <v>182075.2</v>
      </c>
      <c r="K110" s="683"/>
      <c r="L110" s="684"/>
      <c r="M110" s="753"/>
      <c r="N110" s="683">
        <v>0</v>
      </c>
      <c r="O110" s="686"/>
      <c r="P110" s="683">
        <v>0</v>
      </c>
      <c r="Q110" s="687">
        <f t="shared" si="1"/>
        <v>0</v>
      </c>
      <c r="R110" s="687"/>
      <c r="S110" s="687"/>
      <c r="T110" s="688">
        <v>0</v>
      </c>
      <c r="U110" s="693"/>
      <c r="V110" s="690">
        <f t="shared" si="28"/>
        <v>0</v>
      </c>
      <c r="W110" s="683"/>
      <c r="X110" s="474">
        <f t="shared" si="33"/>
        <v>0</v>
      </c>
      <c r="Y110" s="474">
        <f t="shared" si="34"/>
        <v>0</v>
      </c>
      <c r="Z110" s="475">
        <f t="shared" si="35"/>
        <v>0</v>
      </c>
      <c r="AA110" s="475">
        <v>0</v>
      </c>
      <c r="AB110" s="476">
        <v>0</v>
      </c>
      <c r="AC110" s="38">
        <f t="shared" si="36"/>
        <v>0</v>
      </c>
      <c r="AD110" s="692">
        <f t="shared" si="30"/>
        <v>182075.2</v>
      </c>
      <c r="AE110" s="692">
        <f t="shared" si="31"/>
        <v>0</v>
      </c>
      <c r="AF110" s="692">
        <f t="shared" si="32"/>
        <v>0</v>
      </c>
      <c r="AG110" s="38"/>
      <c r="AH110" s="692">
        <f t="shared" si="37"/>
        <v>0</v>
      </c>
      <c r="AI110" s="692">
        <f t="shared" si="38"/>
        <v>0</v>
      </c>
      <c r="AJ110" s="692">
        <f t="shared" si="39"/>
        <v>0</v>
      </c>
      <c r="AL110" s="38">
        <f t="shared" si="40"/>
        <v>182075.2</v>
      </c>
      <c r="AM110" s="123" t="s">
        <v>996</v>
      </c>
    </row>
    <row r="111" spans="1:39" s="232" customFormat="1" ht="12.75" customHeight="1">
      <c r="A111" s="283"/>
      <c r="B111" s="283" t="s">
        <v>110</v>
      </c>
      <c r="C111" s="667"/>
      <c r="D111" s="123" t="s">
        <v>997</v>
      </c>
      <c r="E111" s="679"/>
      <c r="F111" s="529">
        <f>VLOOKUP(D111,'Nov13 Revenue'!D:V,19,FALSE)</f>
        <v>0</v>
      </c>
      <c r="G111" s="680"/>
      <c r="H111" s="680"/>
      <c r="I111" s="770">
        <v>21008.75</v>
      </c>
      <c r="J111" s="682">
        <f t="shared" si="29"/>
        <v>21008.75</v>
      </c>
      <c r="K111" s="683"/>
      <c r="L111" s="684"/>
      <c r="M111" s="753"/>
      <c r="N111" s="683">
        <v>0</v>
      </c>
      <c r="O111" s="686"/>
      <c r="P111" s="683">
        <v>0</v>
      </c>
      <c r="Q111" s="687">
        <f t="shared" si="1"/>
        <v>0</v>
      </c>
      <c r="R111" s="687"/>
      <c r="S111" s="687"/>
      <c r="T111" s="688">
        <v>0</v>
      </c>
      <c r="U111" s="693"/>
      <c r="V111" s="690">
        <f t="shared" si="28"/>
        <v>0</v>
      </c>
      <c r="W111" s="683"/>
      <c r="X111" s="474">
        <f t="shared" si="33"/>
        <v>0</v>
      </c>
      <c r="Y111" s="474">
        <f t="shared" si="34"/>
        <v>0</v>
      </c>
      <c r="Z111" s="475">
        <f t="shared" si="35"/>
        <v>0</v>
      </c>
      <c r="AA111" s="475">
        <v>0</v>
      </c>
      <c r="AB111" s="476">
        <v>0</v>
      </c>
      <c r="AC111" s="38">
        <f t="shared" si="36"/>
        <v>0</v>
      </c>
      <c r="AD111" s="692">
        <f t="shared" si="30"/>
        <v>21008.75</v>
      </c>
      <c r="AE111" s="692">
        <f t="shared" si="31"/>
        <v>0</v>
      </c>
      <c r="AF111" s="692">
        <f t="shared" si="32"/>
        <v>0</v>
      </c>
      <c r="AG111" s="38"/>
      <c r="AH111" s="692">
        <f t="shared" si="37"/>
        <v>0</v>
      </c>
      <c r="AI111" s="692">
        <f t="shared" si="38"/>
        <v>0</v>
      </c>
      <c r="AJ111" s="692">
        <f t="shared" si="39"/>
        <v>0</v>
      </c>
      <c r="AL111" s="38">
        <f t="shared" si="40"/>
        <v>21008.75</v>
      </c>
      <c r="AM111" s="123" t="s">
        <v>997</v>
      </c>
    </row>
    <row r="112" spans="1:39" s="232" customFormat="1" ht="12.75" customHeight="1">
      <c r="A112" s="283"/>
      <c r="B112" s="283" t="s">
        <v>110</v>
      </c>
      <c r="C112" s="667"/>
      <c r="D112" s="123" t="s">
        <v>998</v>
      </c>
      <c r="E112" s="679"/>
      <c r="F112" s="529">
        <f>VLOOKUP(D112,'Nov13 Revenue'!D:V,19,FALSE)</f>
        <v>0</v>
      </c>
      <c r="G112" s="680"/>
      <c r="H112" s="680"/>
      <c r="I112" s="770">
        <v>32297.82</v>
      </c>
      <c r="J112" s="682">
        <f t="shared" si="29"/>
        <v>32297.82</v>
      </c>
      <c r="K112" s="683"/>
      <c r="L112" s="684"/>
      <c r="M112" s="753"/>
      <c r="N112" s="683">
        <v>0</v>
      </c>
      <c r="O112" s="686"/>
      <c r="P112" s="683">
        <v>0</v>
      </c>
      <c r="Q112" s="687">
        <f t="shared" si="1"/>
        <v>0</v>
      </c>
      <c r="R112" s="687"/>
      <c r="S112" s="687"/>
      <c r="T112" s="688">
        <v>0</v>
      </c>
      <c r="U112" s="693"/>
      <c r="V112" s="690">
        <f t="shared" si="28"/>
        <v>0</v>
      </c>
      <c r="W112" s="683"/>
      <c r="X112" s="474">
        <f t="shared" si="33"/>
        <v>0</v>
      </c>
      <c r="Y112" s="474">
        <f t="shared" si="34"/>
        <v>0</v>
      </c>
      <c r="Z112" s="475">
        <f t="shared" si="35"/>
        <v>0</v>
      </c>
      <c r="AA112" s="475">
        <v>0</v>
      </c>
      <c r="AB112" s="476">
        <v>0</v>
      </c>
      <c r="AC112" s="38">
        <f t="shared" si="36"/>
        <v>0</v>
      </c>
      <c r="AD112" s="692">
        <f t="shared" si="30"/>
        <v>32297.82</v>
      </c>
      <c r="AE112" s="692">
        <f t="shared" si="31"/>
        <v>0</v>
      </c>
      <c r="AF112" s="692">
        <f t="shared" si="32"/>
        <v>0</v>
      </c>
      <c r="AG112" s="38"/>
      <c r="AH112" s="692">
        <f t="shared" si="37"/>
        <v>0</v>
      </c>
      <c r="AI112" s="692">
        <f t="shared" si="38"/>
        <v>0</v>
      </c>
      <c r="AJ112" s="692">
        <f t="shared" si="39"/>
        <v>0</v>
      </c>
      <c r="AL112" s="38">
        <f t="shared" si="40"/>
        <v>32297.82</v>
      </c>
      <c r="AM112" s="123" t="s">
        <v>998</v>
      </c>
    </row>
    <row r="113" spans="1:39" s="232" customFormat="1" ht="12" customHeight="1">
      <c r="A113" s="283"/>
      <c r="B113" s="283" t="s">
        <v>110</v>
      </c>
      <c r="C113" s="667"/>
      <c r="D113" s="123" t="s">
        <v>999</v>
      </c>
      <c r="E113" s="679"/>
      <c r="F113" s="529">
        <f>VLOOKUP(D113,'Nov13 Revenue'!D:V,19,FALSE)</f>
        <v>0</v>
      </c>
      <c r="G113" s="680"/>
      <c r="H113" s="680"/>
      <c r="I113" s="770">
        <v>11436.11</v>
      </c>
      <c r="J113" s="682">
        <f t="shared" si="29"/>
        <v>11436.11</v>
      </c>
      <c r="K113" s="683"/>
      <c r="L113" s="684"/>
      <c r="M113" s="753"/>
      <c r="N113" s="683">
        <v>0</v>
      </c>
      <c r="O113" s="686"/>
      <c r="P113" s="683">
        <v>0</v>
      </c>
      <c r="Q113" s="687">
        <f t="shared" si="1"/>
        <v>0</v>
      </c>
      <c r="R113" s="687"/>
      <c r="S113" s="687"/>
      <c r="T113" s="688">
        <v>0</v>
      </c>
      <c r="U113" s="693"/>
      <c r="V113" s="690">
        <f t="shared" si="28"/>
        <v>0</v>
      </c>
      <c r="W113" s="683"/>
      <c r="X113" s="474">
        <f t="shared" si="33"/>
        <v>0</v>
      </c>
      <c r="Y113" s="474">
        <f t="shared" si="34"/>
        <v>0</v>
      </c>
      <c r="Z113" s="475">
        <f t="shared" si="35"/>
        <v>0</v>
      </c>
      <c r="AA113" s="475">
        <v>0</v>
      </c>
      <c r="AB113" s="476">
        <v>0</v>
      </c>
      <c r="AC113" s="38">
        <f t="shared" si="36"/>
        <v>0</v>
      </c>
      <c r="AD113" s="692">
        <f t="shared" si="30"/>
        <v>11436.11</v>
      </c>
      <c r="AE113" s="692">
        <f t="shared" si="31"/>
        <v>0</v>
      </c>
      <c r="AF113" s="692">
        <f t="shared" si="32"/>
        <v>0</v>
      </c>
      <c r="AG113" s="38"/>
      <c r="AH113" s="692">
        <f t="shared" si="37"/>
        <v>0</v>
      </c>
      <c r="AI113" s="692">
        <f t="shared" si="38"/>
        <v>0</v>
      </c>
      <c r="AJ113" s="692">
        <f t="shared" si="39"/>
        <v>0</v>
      </c>
      <c r="AL113" s="38">
        <f t="shared" si="40"/>
        <v>11436.11</v>
      </c>
      <c r="AM113" s="123" t="s">
        <v>999</v>
      </c>
    </row>
    <row r="114" spans="1:39" s="232" customFormat="1" ht="12" customHeight="1">
      <c r="A114" s="283"/>
      <c r="B114" s="283" t="s">
        <v>110</v>
      </c>
      <c r="C114" s="667"/>
      <c r="D114" s="123" t="s">
        <v>1000</v>
      </c>
      <c r="E114" s="679"/>
      <c r="F114" s="529">
        <f>VLOOKUP(D114,'Nov13 Revenue'!D:V,19,FALSE)</f>
        <v>0</v>
      </c>
      <c r="G114" s="680"/>
      <c r="H114" s="680"/>
      <c r="I114" s="770">
        <f>7903.49+4880.73</f>
        <v>12784.22</v>
      </c>
      <c r="J114" s="682">
        <f t="shared" si="29"/>
        <v>12784.22</v>
      </c>
      <c r="K114" s="683"/>
      <c r="L114" s="684"/>
      <c r="M114" s="753"/>
      <c r="N114" s="683">
        <v>0</v>
      </c>
      <c r="O114" s="686"/>
      <c r="P114" s="683">
        <v>0</v>
      </c>
      <c r="Q114" s="687">
        <f t="shared" si="1"/>
        <v>0</v>
      </c>
      <c r="R114" s="687"/>
      <c r="S114" s="687"/>
      <c r="T114" s="688">
        <v>0</v>
      </c>
      <c r="U114" s="693"/>
      <c r="V114" s="690">
        <f t="shared" si="28"/>
        <v>0</v>
      </c>
      <c r="W114" s="683"/>
      <c r="X114" s="474">
        <f t="shared" si="33"/>
        <v>0</v>
      </c>
      <c r="Y114" s="474">
        <f t="shared" si="34"/>
        <v>0</v>
      </c>
      <c r="Z114" s="475">
        <f t="shared" si="35"/>
        <v>0</v>
      </c>
      <c r="AA114" s="475">
        <v>0</v>
      </c>
      <c r="AB114" s="476">
        <v>0</v>
      </c>
      <c r="AC114" s="38">
        <f t="shared" si="36"/>
        <v>0</v>
      </c>
      <c r="AD114" s="692">
        <f t="shared" si="30"/>
        <v>12784.22</v>
      </c>
      <c r="AE114" s="692">
        <f t="shared" si="31"/>
        <v>0</v>
      </c>
      <c r="AF114" s="692">
        <f t="shared" si="32"/>
        <v>0</v>
      </c>
      <c r="AG114" s="38"/>
      <c r="AH114" s="692">
        <f t="shared" si="37"/>
        <v>0</v>
      </c>
      <c r="AI114" s="692">
        <f t="shared" si="38"/>
        <v>0</v>
      </c>
      <c r="AJ114" s="692">
        <f t="shared" si="39"/>
        <v>0</v>
      </c>
      <c r="AL114" s="38">
        <f t="shared" si="40"/>
        <v>12784.22</v>
      </c>
      <c r="AM114" s="123" t="s">
        <v>1000</v>
      </c>
    </row>
    <row r="115" spans="1:39" s="232" customFormat="1" ht="12" customHeight="1">
      <c r="A115" s="283"/>
      <c r="B115" s="283" t="s">
        <v>110</v>
      </c>
      <c r="C115" s="667"/>
      <c r="D115" s="123" t="s">
        <v>1001</v>
      </c>
      <c r="E115" s="679"/>
      <c r="F115" s="529">
        <f>VLOOKUP(D115,'Nov13 Revenue'!D:V,19,FALSE)</f>
        <v>0</v>
      </c>
      <c r="G115" s="680"/>
      <c r="H115" s="680"/>
      <c r="I115" s="755"/>
      <c r="J115" s="682">
        <f t="shared" si="29"/>
        <v>0</v>
      </c>
      <c r="K115" s="683"/>
      <c r="L115" s="684"/>
      <c r="M115" s="753"/>
      <c r="N115" s="683">
        <v>0</v>
      </c>
      <c r="O115" s="686"/>
      <c r="P115" s="683">
        <v>0</v>
      </c>
      <c r="Q115" s="687">
        <f t="shared" si="1"/>
        <v>0</v>
      </c>
      <c r="R115" s="687"/>
      <c r="S115" s="687"/>
      <c r="T115" s="688">
        <v>0</v>
      </c>
      <c r="U115" s="693"/>
      <c r="V115" s="690">
        <f t="shared" si="28"/>
        <v>0</v>
      </c>
      <c r="W115" s="683"/>
      <c r="X115" s="474">
        <f t="shared" si="33"/>
        <v>0</v>
      </c>
      <c r="Y115" s="474">
        <f t="shared" si="34"/>
        <v>0</v>
      </c>
      <c r="Z115" s="475">
        <f t="shared" si="35"/>
        <v>0</v>
      </c>
      <c r="AA115" s="475">
        <v>0</v>
      </c>
      <c r="AB115" s="476">
        <v>0</v>
      </c>
      <c r="AC115" s="38">
        <f t="shared" si="36"/>
        <v>0</v>
      </c>
      <c r="AD115" s="692">
        <f t="shared" si="30"/>
        <v>0</v>
      </c>
      <c r="AE115" s="692">
        <f t="shared" si="31"/>
        <v>0</v>
      </c>
      <c r="AF115" s="692">
        <f t="shared" si="32"/>
        <v>0</v>
      </c>
      <c r="AG115" s="38"/>
      <c r="AH115" s="692">
        <f t="shared" si="37"/>
        <v>0</v>
      </c>
      <c r="AI115" s="692">
        <f t="shared" si="38"/>
        <v>0</v>
      </c>
      <c r="AJ115" s="692">
        <f t="shared" si="39"/>
        <v>0</v>
      </c>
      <c r="AL115" s="38">
        <f t="shared" si="40"/>
        <v>0</v>
      </c>
      <c r="AM115" s="123" t="s">
        <v>1001</v>
      </c>
    </row>
    <row r="116" spans="1:39" s="24" customFormat="1" ht="12" customHeight="1">
      <c r="A116" s="32"/>
      <c r="B116" s="32" t="s">
        <v>110</v>
      </c>
      <c r="C116" s="667"/>
      <c r="D116" s="68" t="s">
        <v>588</v>
      </c>
      <c r="E116" s="679"/>
      <c r="F116" s="529">
        <f>VLOOKUP(D116,'Nov13 Revenue'!D:V,19,FALSE)</f>
        <v>0</v>
      </c>
      <c r="G116" s="680"/>
      <c r="H116" s="680"/>
      <c r="I116" s="755"/>
      <c r="J116" s="682">
        <f t="shared" si="29"/>
        <v>0</v>
      </c>
      <c r="K116" s="683"/>
      <c r="L116" s="684"/>
      <c r="M116" s="753"/>
      <c r="N116" s="698"/>
      <c r="O116" s="699"/>
      <c r="P116" s="698"/>
      <c r="Q116" s="687">
        <f t="shared" si="1"/>
        <v>0</v>
      </c>
      <c r="R116" s="687"/>
      <c r="S116" s="687"/>
      <c r="T116" s="688">
        <v>0</v>
      </c>
      <c r="U116" s="693"/>
      <c r="V116" s="690">
        <f t="shared" si="28"/>
        <v>0</v>
      </c>
      <c r="W116" s="683"/>
      <c r="X116" s="474">
        <f t="shared" si="33"/>
        <v>0</v>
      </c>
      <c r="Y116" s="474">
        <f t="shared" si="34"/>
        <v>0</v>
      </c>
      <c r="Z116" s="475">
        <f t="shared" si="35"/>
        <v>0</v>
      </c>
      <c r="AA116" s="475">
        <v>0</v>
      </c>
      <c r="AB116" s="476">
        <v>0</v>
      </c>
      <c r="AC116" s="38">
        <f t="shared" si="36"/>
        <v>0</v>
      </c>
      <c r="AD116" s="692">
        <f t="shared" si="30"/>
        <v>0</v>
      </c>
      <c r="AE116" s="692">
        <f t="shared" si="31"/>
        <v>0</v>
      </c>
      <c r="AF116" s="692">
        <f t="shared" si="32"/>
        <v>0</v>
      </c>
      <c r="AG116" s="38"/>
      <c r="AH116" s="692">
        <f t="shared" si="37"/>
        <v>0</v>
      </c>
      <c r="AI116" s="692">
        <f t="shared" si="38"/>
        <v>0</v>
      </c>
      <c r="AJ116" s="692">
        <f t="shared" si="39"/>
        <v>0</v>
      </c>
      <c r="AL116" s="38">
        <f t="shared" si="40"/>
        <v>0</v>
      </c>
      <c r="AM116" s="68" t="s">
        <v>588</v>
      </c>
    </row>
    <row r="117" spans="1:39" s="24" customFormat="1" ht="12" customHeight="1">
      <c r="A117" s="32"/>
      <c r="B117" s="32" t="s">
        <v>110</v>
      </c>
      <c r="C117" s="667"/>
      <c r="D117" s="68" t="s">
        <v>935</v>
      </c>
      <c r="E117" s="679">
        <f>4490.34+4414.44</f>
        <v>8904.7799999999988</v>
      </c>
      <c r="F117" s="529">
        <f>VLOOKUP(D117,'Nov13 Revenue'!D:V,19,FALSE)</f>
        <v>-15000</v>
      </c>
      <c r="G117" s="680"/>
      <c r="H117" s="680"/>
      <c r="I117" s="755"/>
      <c r="J117" s="682">
        <f t="shared" si="29"/>
        <v>-6095.2200000000012</v>
      </c>
      <c r="K117" s="683"/>
      <c r="L117" s="684"/>
      <c r="M117" s="753">
        <v>10000</v>
      </c>
      <c r="N117" s="698"/>
      <c r="O117" s="699"/>
      <c r="P117" s="698"/>
      <c r="Q117" s="687">
        <f t="shared" si="1"/>
        <v>10000</v>
      </c>
      <c r="R117" s="687"/>
      <c r="S117" s="687"/>
      <c r="T117" s="688">
        <v>4742.5</v>
      </c>
      <c r="U117" s="693"/>
      <c r="V117" s="690">
        <f t="shared" si="28"/>
        <v>-5257.5</v>
      </c>
      <c r="W117" s="683"/>
      <c r="X117" s="474">
        <f t="shared" si="33"/>
        <v>10000</v>
      </c>
      <c r="Y117" s="474">
        <f t="shared" si="34"/>
        <v>0</v>
      </c>
      <c r="Z117" s="475">
        <f t="shared" si="35"/>
        <v>0</v>
      </c>
      <c r="AA117" s="475">
        <v>0</v>
      </c>
      <c r="AB117" s="476">
        <v>0</v>
      </c>
      <c r="AC117" s="38">
        <f t="shared" si="36"/>
        <v>0</v>
      </c>
      <c r="AD117" s="692">
        <f t="shared" si="30"/>
        <v>-6095.2200000000012</v>
      </c>
      <c r="AE117" s="692">
        <f t="shared" si="31"/>
        <v>0</v>
      </c>
      <c r="AF117" s="692">
        <f t="shared" si="32"/>
        <v>0</v>
      </c>
      <c r="AG117" s="38"/>
      <c r="AH117" s="692">
        <f t="shared" si="37"/>
        <v>10000</v>
      </c>
      <c r="AI117" s="692">
        <f t="shared" si="38"/>
        <v>0</v>
      </c>
      <c r="AJ117" s="692">
        <f t="shared" si="39"/>
        <v>0</v>
      </c>
      <c r="AL117" s="38">
        <f t="shared" si="40"/>
        <v>3904.7799999999988</v>
      </c>
      <c r="AM117" s="68" t="s">
        <v>935</v>
      </c>
    </row>
    <row r="118" spans="1:39" ht="12" customHeight="1">
      <c r="A118" s="21"/>
      <c r="B118" s="21" t="s">
        <v>109</v>
      </c>
      <c r="C118" s="666" t="s">
        <v>548</v>
      </c>
      <c r="D118" s="68" t="s">
        <v>461</v>
      </c>
      <c r="E118" s="679"/>
      <c r="F118" s="529">
        <f>VLOOKUP(D118,'Nov13 Revenue'!D:V,19,FALSE)</f>
        <v>800.39</v>
      </c>
      <c r="G118" s="680"/>
      <c r="H118" s="680"/>
      <c r="I118" s="755"/>
      <c r="J118" s="682">
        <f t="shared" si="29"/>
        <v>800.39</v>
      </c>
      <c r="K118" s="683"/>
      <c r="L118" s="684"/>
      <c r="M118" s="753"/>
      <c r="N118" s="683">
        <v>0</v>
      </c>
      <c r="O118" s="686"/>
      <c r="P118" s="683">
        <v>0</v>
      </c>
      <c r="Q118" s="687">
        <f t="shared" si="1"/>
        <v>0</v>
      </c>
      <c r="R118" s="687"/>
      <c r="S118" s="687"/>
      <c r="T118" s="688">
        <v>614.97</v>
      </c>
      <c r="U118" s="693"/>
      <c r="V118" s="690">
        <f t="shared" si="28"/>
        <v>614.97</v>
      </c>
      <c r="W118" s="683"/>
      <c r="X118" s="474">
        <f t="shared" si="33"/>
        <v>0</v>
      </c>
      <c r="Y118" s="474">
        <f t="shared" si="34"/>
        <v>0</v>
      </c>
      <c r="Z118" s="475">
        <f t="shared" si="35"/>
        <v>0</v>
      </c>
      <c r="AA118" s="475">
        <v>0</v>
      </c>
      <c r="AB118" s="476">
        <v>0</v>
      </c>
      <c r="AC118" s="38">
        <f t="shared" si="36"/>
        <v>0</v>
      </c>
      <c r="AD118" s="692">
        <f t="shared" si="30"/>
        <v>0</v>
      </c>
      <c r="AE118" s="692">
        <f t="shared" si="31"/>
        <v>800.39</v>
      </c>
      <c r="AF118" s="692">
        <f t="shared" si="32"/>
        <v>0</v>
      </c>
      <c r="AG118" s="38"/>
      <c r="AH118" s="692">
        <f t="shared" si="37"/>
        <v>0</v>
      </c>
      <c r="AI118" s="692">
        <f t="shared" si="38"/>
        <v>0</v>
      </c>
      <c r="AJ118" s="692">
        <f t="shared" si="39"/>
        <v>0</v>
      </c>
      <c r="AL118" s="38">
        <f t="shared" si="40"/>
        <v>800.39</v>
      </c>
      <c r="AM118" s="68" t="s">
        <v>461</v>
      </c>
    </row>
    <row r="119" spans="1:39">
      <c r="A119" s="20"/>
      <c r="B119" s="20" t="s">
        <v>109</v>
      </c>
      <c r="C119" s="667" t="s">
        <v>549</v>
      </c>
      <c r="D119" s="68" t="s">
        <v>22</v>
      </c>
      <c r="E119" s="679"/>
      <c r="F119" s="529">
        <f>VLOOKUP(D119,'Nov13 Revenue'!D:V,19,FALSE)</f>
        <v>0</v>
      </c>
      <c r="G119" s="680"/>
      <c r="H119" s="680"/>
      <c r="I119" s="755"/>
      <c r="J119" s="682">
        <f t="shared" si="29"/>
        <v>0</v>
      </c>
      <c r="K119" s="683"/>
      <c r="L119" s="684"/>
      <c r="M119" s="753"/>
      <c r="N119" s="683">
        <v>0</v>
      </c>
      <c r="O119" s="686"/>
      <c r="P119" s="683">
        <v>0</v>
      </c>
      <c r="Q119" s="687">
        <f t="shared" si="1"/>
        <v>0</v>
      </c>
      <c r="R119" s="687"/>
      <c r="S119" s="687"/>
      <c r="T119" s="688">
        <v>0</v>
      </c>
      <c r="U119" s="693"/>
      <c r="V119" s="690">
        <f t="shared" si="28"/>
        <v>0</v>
      </c>
      <c r="W119" s="683"/>
      <c r="X119" s="474">
        <f t="shared" si="33"/>
        <v>0</v>
      </c>
      <c r="Y119" s="474">
        <f t="shared" si="34"/>
        <v>0</v>
      </c>
      <c r="Z119" s="475">
        <f t="shared" si="35"/>
        <v>0</v>
      </c>
      <c r="AA119" s="475">
        <v>0</v>
      </c>
      <c r="AB119" s="476">
        <v>0</v>
      </c>
      <c r="AC119" s="38">
        <f t="shared" si="36"/>
        <v>0</v>
      </c>
      <c r="AD119" s="692">
        <f t="shared" si="30"/>
        <v>0</v>
      </c>
      <c r="AE119" s="692">
        <f t="shared" si="31"/>
        <v>0</v>
      </c>
      <c r="AF119" s="692">
        <f t="shared" si="32"/>
        <v>0</v>
      </c>
      <c r="AG119" s="38"/>
      <c r="AH119" s="692">
        <f t="shared" si="37"/>
        <v>0</v>
      </c>
      <c r="AI119" s="692">
        <f t="shared" si="38"/>
        <v>0</v>
      </c>
      <c r="AJ119" s="692">
        <f t="shared" si="39"/>
        <v>0</v>
      </c>
      <c r="AL119" s="38">
        <f t="shared" si="40"/>
        <v>0</v>
      </c>
      <c r="AM119" s="68" t="s">
        <v>22</v>
      </c>
    </row>
    <row r="120" spans="1:39">
      <c r="A120" s="20"/>
      <c r="B120" s="20" t="s">
        <v>110</v>
      </c>
      <c r="C120" s="667"/>
      <c r="D120" s="68" t="s">
        <v>24</v>
      </c>
      <c r="E120" s="679"/>
      <c r="F120" s="529">
        <f>VLOOKUP(D120,'Nov13 Revenue'!D:V,19,FALSE)</f>
        <v>0</v>
      </c>
      <c r="G120" s="680"/>
      <c r="H120" s="680"/>
      <c r="I120" s="755"/>
      <c r="J120" s="682">
        <f t="shared" si="29"/>
        <v>0</v>
      </c>
      <c r="K120" s="683"/>
      <c r="L120" s="684"/>
      <c r="M120" s="753"/>
      <c r="N120" s="683">
        <v>0</v>
      </c>
      <c r="O120" s="686"/>
      <c r="P120" s="683">
        <v>0</v>
      </c>
      <c r="Q120" s="687">
        <f t="shared" si="1"/>
        <v>0</v>
      </c>
      <c r="R120" s="687"/>
      <c r="S120" s="687"/>
      <c r="T120" s="688">
        <v>12127.7</v>
      </c>
      <c r="U120" s="693"/>
      <c r="V120" s="690">
        <f t="shared" si="28"/>
        <v>12127.7</v>
      </c>
      <c r="W120" s="683"/>
      <c r="X120" s="474">
        <f t="shared" si="33"/>
        <v>0</v>
      </c>
      <c r="Y120" s="474">
        <f t="shared" si="34"/>
        <v>0</v>
      </c>
      <c r="Z120" s="475">
        <f t="shared" si="35"/>
        <v>0</v>
      </c>
      <c r="AA120" s="475">
        <v>0</v>
      </c>
      <c r="AB120" s="476">
        <v>0</v>
      </c>
      <c r="AC120" s="38">
        <f t="shared" si="36"/>
        <v>0</v>
      </c>
      <c r="AD120" s="692">
        <f t="shared" si="30"/>
        <v>0</v>
      </c>
      <c r="AE120" s="692">
        <f t="shared" si="31"/>
        <v>0</v>
      </c>
      <c r="AF120" s="692">
        <f t="shared" si="32"/>
        <v>0</v>
      </c>
      <c r="AG120" s="38"/>
      <c r="AH120" s="692">
        <f t="shared" si="37"/>
        <v>0</v>
      </c>
      <c r="AI120" s="692">
        <f t="shared" si="38"/>
        <v>0</v>
      </c>
      <c r="AJ120" s="692">
        <f t="shared" si="39"/>
        <v>0</v>
      </c>
      <c r="AL120" s="38">
        <f t="shared" si="40"/>
        <v>0</v>
      </c>
      <c r="AM120" s="68" t="s">
        <v>24</v>
      </c>
    </row>
    <row r="121" spans="1:39">
      <c r="A121" s="21"/>
      <c r="B121" s="21" t="s">
        <v>110</v>
      </c>
      <c r="C121" s="666"/>
      <c r="D121" s="68" t="s">
        <v>1019</v>
      </c>
      <c r="E121" s="679"/>
      <c r="F121" s="529">
        <f>VLOOKUP(D121,'Nov13 Revenue'!D:V,19,FALSE)</f>
        <v>0</v>
      </c>
      <c r="G121" s="680"/>
      <c r="H121" s="680"/>
      <c r="I121" s="755"/>
      <c r="J121" s="682">
        <f t="shared" si="29"/>
        <v>0</v>
      </c>
      <c r="K121" s="683"/>
      <c r="L121" s="684"/>
      <c r="M121" s="753"/>
      <c r="N121" s="683">
        <v>0</v>
      </c>
      <c r="O121" s="686"/>
      <c r="P121" s="683">
        <v>0</v>
      </c>
      <c r="Q121" s="687">
        <f t="shared" si="1"/>
        <v>0</v>
      </c>
      <c r="R121" s="687"/>
      <c r="S121" s="687"/>
      <c r="T121" s="688">
        <v>0</v>
      </c>
      <c r="U121" s="693"/>
      <c r="V121" s="690">
        <f t="shared" si="28"/>
        <v>0</v>
      </c>
      <c r="W121" s="683"/>
      <c r="X121" s="474">
        <f t="shared" si="33"/>
        <v>0</v>
      </c>
      <c r="Y121" s="474">
        <f t="shared" si="34"/>
        <v>0</v>
      </c>
      <c r="Z121" s="475">
        <f t="shared" si="35"/>
        <v>0</v>
      </c>
      <c r="AA121" s="475">
        <v>0</v>
      </c>
      <c r="AB121" s="476">
        <v>0</v>
      </c>
      <c r="AC121" s="38">
        <f t="shared" si="36"/>
        <v>0</v>
      </c>
      <c r="AD121" s="692">
        <f t="shared" si="30"/>
        <v>0</v>
      </c>
      <c r="AE121" s="692">
        <f t="shared" si="31"/>
        <v>0</v>
      </c>
      <c r="AF121" s="692">
        <f t="shared" si="32"/>
        <v>0</v>
      </c>
      <c r="AG121" s="38"/>
      <c r="AH121" s="692">
        <f t="shared" si="37"/>
        <v>0</v>
      </c>
      <c r="AI121" s="692">
        <f t="shared" si="38"/>
        <v>0</v>
      </c>
      <c r="AJ121" s="692">
        <f t="shared" si="39"/>
        <v>0</v>
      </c>
      <c r="AL121" s="38">
        <f t="shared" si="40"/>
        <v>0</v>
      </c>
      <c r="AM121" s="68" t="s">
        <v>1019</v>
      </c>
    </row>
    <row r="122" spans="1:39">
      <c r="A122" s="21"/>
      <c r="B122" s="21" t="s">
        <v>110</v>
      </c>
      <c r="C122" s="666"/>
      <c r="D122" s="68" t="s">
        <v>937</v>
      </c>
      <c r="E122" s="679"/>
      <c r="F122" s="529">
        <f>VLOOKUP(D122,'Nov13 Revenue'!D:V,19,FALSE)</f>
        <v>-10000</v>
      </c>
      <c r="G122" s="680"/>
      <c r="H122" s="680"/>
      <c r="I122" s="755">
        <v>26853.200000000001</v>
      </c>
      <c r="J122" s="682">
        <f t="shared" si="29"/>
        <v>16853.2</v>
      </c>
      <c r="K122" s="683"/>
      <c r="L122" s="684"/>
      <c r="M122" s="753"/>
      <c r="N122" s="683">
        <v>0</v>
      </c>
      <c r="O122" s="686"/>
      <c r="P122" s="683">
        <v>0</v>
      </c>
      <c r="Q122" s="687">
        <f t="shared" si="1"/>
        <v>0</v>
      </c>
      <c r="R122" s="687"/>
      <c r="S122" s="687"/>
      <c r="T122" s="688">
        <v>0</v>
      </c>
      <c r="U122" s="693"/>
      <c r="V122" s="690">
        <f t="shared" si="28"/>
        <v>0</v>
      </c>
      <c r="W122" s="683"/>
      <c r="X122" s="474">
        <f t="shared" si="33"/>
        <v>0</v>
      </c>
      <c r="Y122" s="474">
        <f t="shared" si="34"/>
        <v>0</v>
      </c>
      <c r="Z122" s="475">
        <f t="shared" si="35"/>
        <v>0</v>
      </c>
      <c r="AA122" s="475">
        <v>0</v>
      </c>
      <c r="AB122" s="476">
        <v>0</v>
      </c>
      <c r="AC122" s="38">
        <f t="shared" si="36"/>
        <v>0</v>
      </c>
      <c r="AD122" s="692">
        <f t="shared" si="30"/>
        <v>16853.2</v>
      </c>
      <c r="AE122" s="692">
        <f t="shared" si="31"/>
        <v>0</v>
      </c>
      <c r="AF122" s="692">
        <f t="shared" si="32"/>
        <v>0</v>
      </c>
      <c r="AG122" s="38"/>
      <c r="AH122" s="692">
        <f t="shared" si="37"/>
        <v>0</v>
      </c>
      <c r="AI122" s="692">
        <f t="shared" si="38"/>
        <v>0</v>
      </c>
      <c r="AJ122" s="692">
        <f t="shared" si="39"/>
        <v>0</v>
      </c>
      <c r="AL122" s="38">
        <f t="shared" si="40"/>
        <v>16853.2</v>
      </c>
      <c r="AM122" s="68" t="s">
        <v>937</v>
      </c>
    </row>
    <row r="123" spans="1:39">
      <c r="A123" s="21"/>
      <c r="B123" s="21" t="s">
        <v>110</v>
      </c>
      <c r="C123" s="666"/>
      <c r="D123" s="68" t="s">
        <v>967</v>
      </c>
      <c r="E123" s="679"/>
      <c r="F123" s="529">
        <f>VLOOKUP(D123,'Nov13 Revenue'!D:V,19,FALSE)</f>
        <v>-130000</v>
      </c>
      <c r="G123" s="680"/>
      <c r="H123" s="680"/>
      <c r="I123" s="755"/>
      <c r="J123" s="682">
        <f t="shared" si="29"/>
        <v>-130000</v>
      </c>
      <c r="K123" s="683"/>
      <c r="L123" s="684"/>
      <c r="M123" s="753">
        <v>195000</v>
      </c>
      <c r="N123" s="683">
        <v>0</v>
      </c>
      <c r="O123" s="686"/>
      <c r="P123" s="683">
        <v>0</v>
      </c>
      <c r="Q123" s="687">
        <f t="shared" si="1"/>
        <v>195000</v>
      </c>
      <c r="R123" s="687"/>
      <c r="S123" s="687"/>
      <c r="T123" s="688">
        <v>233365.83</v>
      </c>
      <c r="U123" s="693"/>
      <c r="V123" s="690">
        <f t="shared" si="28"/>
        <v>38365.829999999987</v>
      </c>
      <c r="W123" s="683"/>
      <c r="X123" s="474">
        <f t="shared" si="33"/>
        <v>195000</v>
      </c>
      <c r="Y123" s="474">
        <f t="shared" si="34"/>
        <v>0</v>
      </c>
      <c r="Z123" s="475">
        <f t="shared" si="35"/>
        <v>0</v>
      </c>
      <c r="AA123" s="475">
        <v>0</v>
      </c>
      <c r="AB123" s="476">
        <v>0</v>
      </c>
      <c r="AC123" s="38">
        <f t="shared" si="36"/>
        <v>0</v>
      </c>
      <c r="AD123" s="692">
        <f t="shared" si="30"/>
        <v>-130000</v>
      </c>
      <c r="AE123" s="692">
        <f t="shared" si="31"/>
        <v>0</v>
      </c>
      <c r="AF123" s="692">
        <f t="shared" si="32"/>
        <v>0</v>
      </c>
      <c r="AG123" s="38"/>
      <c r="AH123" s="692">
        <f t="shared" si="37"/>
        <v>195000</v>
      </c>
      <c r="AI123" s="692">
        <f t="shared" si="38"/>
        <v>0</v>
      </c>
      <c r="AJ123" s="692">
        <f t="shared" si="39"/>
        <v>0</v>
      </c>
      <c r="AL123" s="38">
        <f t="shared" si="40"/>
        <v>65000</v>
      </c>
      <c r="AM123" s="68" t="s">
        <v>967</v>
      </c>
    </row>
    <row r="124" spans="1:39">
      <c r="A124" s="21"/>
      <c r="B124" s="21" t="s">
        <v>110</v>
      </c>
      <c r="C124" s="666"/>
      <c r="D124" s="68" t="s">
        <v>1002</v>
      </c>
      <c r="E124" s="679"/>
      <c r="F124" s="529">
        <f>VLOOKUP(D124,'Nov13 Revenue'!D:V,19,FALSE)</f>
        <v>0</v>
      </c>
      <c r="G124" s="680"/>
      <c r="H124" s="680"/>
      <c r="I124" s="755"/>
      <c r="J124" s="682">
        <f t="shared" si="29"/>
        <v>0</v>
      </c>
      <c r="K124" s="683"/>
      <c r="L124" s="684"/>
      <c r="M124" s="753"/>
      <c r="N124" s="683">
        <v>0</v>
      </c>
      <c r="O124" s="686"/>
      <c r="P124" s="683">
        <v>0</v>
      </c>
      <c r="Q124" s="687">
        <f t="shared" si="1"/>
        <v>0</v>
      </c>
      <c r="R124" s="687"/>
      <c r="S124" s="687"/>
      <c r="T124" s="688">
        <v>0</v>
      </c>
      <c r="U124" s="693"/>
      <c r="V124" s="690">
        <f t="shared" si="28"/>
        <v>0</v>
      </c>
      <c r="W124" s="683"/>
      <c r="X124" s="474">
        <f t="shared" si="33"/>
        <v>0</v>
      </c>
      <c r="Y124" s="474">
        <f t="shared" si="34"/>
        <v>0</v>
      </c>
      <c r="Z124" s="475">
        <f t="shared" si="35"/>
        <v>0</v>
      </c>
      <c r="AA124" s="475">
        <v>0</v>
      </c>
      <c r="AB124" s="476">
        <v>0</v>
      </c>
      <c r="AC124" s="38">
        <f t="shared" si="36"/>
        <v>0</v>
      </c>
      <c r="AD124" s="692">
        <f t="shared" si="30"/>
        <v>0</v>
      </c>
      <c r="AE124" s="692">
        <f t="shared" si="31"/>
        <v>0</v>
      </c>
      <c r="AF124" s="692">
        <f t="shared" si="32"/>
        <v>0</v>
      </c>
      <c r="AG124" s="38"/>
      <c r="AH124" s="692">
        <f t="shared" si="37"/>
        <v>0</v>
      </c>
      <c r="AI124" s="692">
        <f t="shared" si="38"/>
        <v>0</v>
      </c>
      <c r="AJ124" s="692">
        <f t="shared" si="39"/>
        <v>0</v>
      </c>
      <c r="AL124" s="38">
        <f t="shared" si="40"/>
        <v>0</v>
      </c>
      <c r="AM124" s="68" t="s">
        <v>1002</v>
      </c>
    </row>
    <row r="125" spans="1:39">
      <c r="A125" s="20"/>
      <c r="B125" s="20" t="s">
        <v>110</v>
      </c>
      <c r="C125" s="667"/>
      <c r="D125" s="68" t="s">
        <v>1013</v>
      </c>
      <c r="E125" s="679">
        <v>1118.33</v>
      </c>
      <c r="F125" s="529">
        <f>VLOOKUP(D125,'Nov13 Revenue'!D:V,19,FALSE)</f>
        <v>0</v>
      </c>
      <c r="G125" s="680"/>
      <c r="H125" s="680"/>
      <c r="I125" s="770">
        <v>230.84</v>
      </c>
      <c r="J125" s="682">
        <f t="shared" si="29"/>
        <v>1349.1699999999998</v>
      </c>
      <c r="K125" s="683"/>
      <c r="L125" s="684"/>
      <c r="M125" s="753"/>
      <c r="N125" s="683">
        <v>0</v>
      </c>
      <c r="O125" s="686"/>
      <c r="P125" s="683">
        <v>0</v>
      </c>
      <c r="Q125" s="687">
        <f t="shared" si="1"/>
        <v>0</v>
      </c>
      <c r="R125" s="687"/>
      <c r="S125" s="687"/>
      <c r="T125" s="688">
        <v>0</v>
      </c>
      <c r="U125" s="693"/>
      <c r="V125" s="690">
        <f t="shared" si="28"/>
        <v>0</v>
      </c>
      <c r="W125" s="683"/>
      <c r="X125" s="474">
        <f t="shared" si="33"/>
        <v>0</v>
      </c>
      <c r="Y125" s="474">
        <f t="shared" si="34"/>
        <v>0</v>
      </c>
      <c r="Z125" s="475">
        <f t="shared" si="35"/>
        <v>0</v>
      </c>
      <c r="AA125" s="475">
        <v>0</v>
      </c>
      <c r="AB125" s="476">
        <v>0</v>
      </c>
      <c r="AC125" s="38">
        <f t="shared" si="36"/>
        <v>0</v>
      </c>
      <c r="AD125" s="692">
        <f t="shared" si="30"/>
        <v>1349.1699999999998</v>
      </c>
      <c r="AE125" s="692">
        <f t="shared" si="31"/>
        <v>0</v>
      </c>
      <c r="AF125" s="692">
        <f t="shared" si="32"/>
        <v>0</v>
      </c>
      <c r="AG125" s="38"/>
      <c r="AH125" s="692">
        <f t="shared" si="37"/>
        <v>0</v>
      </c>
      <c r="AI125" s="692">
        <f t="shared" si="38"/>
        <v>0</v>
      </c>
      <c r="AJ125" s="692">
        <f t="shared" si="39"/>
        <v>0</v>
      </c>
      <c r="AL125" s="38">
        <f t="shared" si="40"/>
        <v>1349.1699999999998</v>
      </c>
      <c r="AM125" s="68" t="s">
        <v>1013</v>
      </c>
    </row>
    <row r="126" spans="1:39">
      <c r="A126" s="21"/>
      <c r="B126" s="21" t="s">
        <v>110</v>
      </c>
      <c r="C126" s="666" t="s">
        <v>550</v>
      </c>
      <c r="D126" s="68" t="s">
        <v>282</v>
      </c>
      <c r="E126" s="679"/>
      <c r="F126" s="529">
        <f>VLOOKUP(D126,'Nov13 Revenue'!D:V,19,FALSE)</f>
        <v>-4012.6699999999983</v>
      </c>
      <c r="G126" s="680"/>
      <c r="H126" s="680"/>
      <c r="I126" s="755"/>
      <c r="J126" s="682">
        <f t="shared" si="29"/>
        <v>-4012.6699999999983</v>
      </c>
      <c r="K126" s="683"/>
      <c r="L126" s="684"/>
      <c r="M126" s="753">
        <v>45000</v>
      </c>
      <c r="N126" s="683">
        <v>0</v>
      </c>
      <c r="O126" s="686"/>
      <c r="P126" s="683">
        <v>0</v>
      </c>
      <c r="Q126" s="687">
        <f t="shared" si="1"/>
        <v>45000</v>
      </c>
      <c r="R126" s="687"/>
      <c r="S126" s="687"/>
      <c r="T126" s="688">
        <f>55708.54+57.2</f>
        <v>55765.74</v>
      </c>
      <c r="U126" s="693"/>
      <c r="V126" s="690">
        <f t="shared" si="28"/>
        <v>10765.739999999998</v>
      </c>
      <c r="W126" s="683"/>
      <c r="X126" s="474">
        <f t="shared" si="33"/>
        <v>45000</v>
      </c>
      <c r="Y126" s="474">
        <f t="shared" si="34"/>
        <v>0</v>
      </c>
      <c r="Z126" s="475">
        <f t="shared" si="35"/>
        <v>0</v>
      </c>
      <c r="AA126" s="475">
        <v>0</v>
      </c>
      <c r="AB126" s="476">
        <v>0</v>
      </c>
      <c r="AC126" s="38">
        <f t="shared" si="36"/>
        <v>0</v>
      </c>
      <c r="AD126" s="692">
        <f t="shared" si="30"/>
        <v>-4012.6699999999983</v>
      </c>
      <c r="AE126" s="692">
        <f t="shared" si="31"/>
        <v>0</v>
      </c>
      <c r="AF126" s="692">
        <f t="shared" si="32"/>
        <v>0</v>
      </c>
      <c r="AG126" s="38"/>
      <c r="AH126" s="692">
        <f t="shared" si="37"/>
        <v>45000</v>
      </c>
      <c r="AI126" s="692">
        <f t="shared" si="38"/>
        <v>0</v>
      </c>
      <c r="AJ126" s="692">
        <f t="shared" si="39"/>
        <v>0</v>
      </c>
      <c r="AL126" s="38">
        <f t="shared" si="40"/>
        <v>40987.33</v>
      </c>
      <c r="AM126" s="68" t="s">
        <v>282</v>
      </c>
    </row>
    <row r="127" spans="1:39">
      <c r="A127" s="21"/>
      <c r="B127" s="21" t="s">
        <v>109</v>
      </c>
      <c r="C127" s="666" t="s">
        <v>551</v>
      </c>
      <c r="D127" s="68" t="s">
        <v>499</v>
      </c>
      <c r="E127" s="679"/>
      <c r="F127" s="529">
        <f>VLOOKUP(D127,'Nov13 Revenue'!D:V,19,FALSE)</f>
        <v>0</v>
      </c>
      <c r="G127" s="680"/>
      <c r="H127" s="680"/>
      <c r="I127" s="755"/>
      <c r="J127" s="682">
        <f t="shared" si="29"/>
        <v>0</v>
      </c>
      <c r="K127" s="683"/>
      <c r="L127" s="684"/>
      <c r="M127" s="753"/>
      <c r="N127" s="683">
        <v>0</v>
      </c>
      <c r="O127" s="686"/>
      <c r="P127" s="683">
        <v>0</v>
      </c>
      <c r="Q127" s="687">
        <f t="shared" si="1"/>
        <v>0</v>
      </c>
      <c r="R127" s="687"/>
      <c r="S127" s="687"/>
      <c r="T127" s="688">
        <v>0</v>
      </c>
      <c r="U127" s="693"/>
      <c r="V127" s="690">
        <f t="shared" si="28"/>
        <v>0</v>
      </c>
      <c r="W127" s="683"/>
      <c r="X127" s="474">
        <f t="shared" si="33"/>
        <v>0</v>
      </c>
      <c r="Y127" s="474">
        <f t="shared" si="34"/>
        <v>0</v>
      </c>
      <c r="Z127" s="475">
        <f t="shared" si="35"/>
        <v>0</v>
      </c>
      <c r="AA127" s="475">
        <v>0</v>
      </c>
      <c r="AB127" s="476">
        <v>0</v>
      </c>
      <c r="AC127" s="38">
        <f t="shared" si="36"/>
        <v>0</v>
      </c>
      <c r="AD127" s="692">
        <f t="shared" si="30"/>
        <v>0</v>
      </c>
      <c r="AE127" s="692">
        <f t="shared" si="31"/>
        <v>0</v>
      </c>
      <c r="AF127" s="692">
        <f t="shared" si="32"/>
        <v>0</v>
      </c>
      <c r="AG127" s="38"/>
      <c r="AH127" s="692">
        <f t="shared" si="37"/>
        <v>0</v>
      </c>
      <c r="AI127" s="692">
        <f t="shared" si="38"/>
        <v>0</v>
      </c>
      <c r="AJ127" s="692">
        <f t="shared" si="39"/>
        <v>0</v>
      </c>
      <c r="AL127" s="38">
        <f t="shared" si="40"/>
        <v>0</v>
      </c>
      <c r="AM127" s="68" t="s">
        <v>499</v>
      </c>
    </row>
    <row r="128" spans="1:39">
      <c r="A128" s="21"/>
      <c r="B128" s="21" t="s">
        <v>110</v>
      </c>
      <c r="C128" s="666"/>
      <c r="D128" s="68" t="s">
        <v>1040</v>
      </c>
      <c r="E128" s="679">
        <v>5002</v>
      </c>
      <c r="F128" s="529">
        <v>0</v>
      </c>
      <c r="G128" s="680"/>
      <c r="H128" s="680"/>
      <c r="I128" s="755"/>
      <c r="J128" s="682">
        <f t="shared" ref="J128" si="41">SUM(E128:I128)</f>
        <v>5002</v>
      </c>
      <c r="K128" s="683"/>
      <c r="L128" s="684"/>
      <c r="M128" s="753"/>
      <c r="N128" s="683">
        <v>0</v>
      </c>
      <c r="O128" s="686"/>
      <c r="P128" s="683">
        <v>0</v>
      </c>
      <c r="Q128" s="687">
        <f t="shared" ref="Q128" si="42">L128+M128</f>
        <v>0</v>
      </c>
      <c r="R128" s="687"/>
      <c r="S128" s="687"/>
      <c r="T128" s="688">
        <v>0</v>
      </c>
      <c r="U128" s="693"/>
      <c r="V128" s="690">
        <f t="shared" si="28"/>
        <v>0</v>
      </c>
      <c r="W128" s="683"/>
      <c r="X128" s="474">
        <f t="shared" ref="X128" si="43">IF(B128="D",Q128,0)</f>
        <v>0</v>
      </c>
      <c r="Y128" s="474">
        <f t="shared" ref="Y128" si="44">IF(B128="M",Q128,0)</f>
        <v>0</v>
      </c>
      <c r="Z128" s="475">
        <f t="shared" ref="Z128" si="45">IF(B128="V",Q128,0)</f>
        <v>0</v>
      </c>
      <c r="AA128" s="475">
        <v>0</v>
      </c>
      <c r="AB128" s="476">
        <v>0</v>
      </c>
      <c r="AC128" s="38">
        <f t="shared" ref="AC128" si="46">(L128+M128)-(X128+Y128+Z128+AA128+AB128)</f>
        <v>0</v>
      </c>
      <c r="AD128" s="692">
        <f t="shared" ref="AD128" si="47">IF(B128="D",J128,0)</f>
        <v>5002</v>
      </c>
      <c r="AE128" s="692">
        <f t="shared" ref="AE128" si="48">IF(B128="M",J128,0)</f>
        <v>0</v>
      </c>
      <c r="AF128" s="692">
        <f t="shared" ref="AF128" si="49">IF(B128="V",J128,0)</f>
        <v>0</v>
      </c>
      <c r="AG128" s="38"/>
      <c r="AH128" s="692">
        <f t="shared" ref="AH128" si="50">IF(B128="D",Q128,0)</f>
        <v>0</v>
      </c>
      <c r="AI128" s="692">
        <f t="shared" ref="AI128" si="51">IF(B128="M",Q128,0)</f>
        <v>0</v>
      </c>
      <c r="AJ128" s="692">
        <f t="shared" ref="AJ128" si="52">IF(B128="V",Q128,0)</f>
        <v>0</v>
      </c>
      <c r="AL128" s="38">
        <f t="shared" ref="AL128" si="53">SUM(AD128:AJ128)</f>
        <v>5002</v>
      </c>
      <c r="AM128" s="68" t="s">
        <v>1019</v>
      </c>
    </row>
    <row r="129" spans="1:39">
      <c r="A129" s="21"/>
      <c r="B129" s="21" t="s">
        <v>110</v>
      </c>
      <c r="C129" s="666"/>
      <c r="D129" s="68" t="s">
        <v>28</v>
      </c>
      <c r="E129" s="679"/>
      <c r="F129" s="529">
        <f>VLOOKUP(D129,'Nov13 Revenue'!D:V,19,FALSE)</f>
        <v>0</v>
      </c>
      <c r="G129" s="680"/>
      <c r="H129" s="680"/>
      <c r="I129" s="770">
        <v>18267.2</v>
      </c>
      <c r="J129" s="682">
        <f t="shared" si="29"/>
        <v>18267.2</v>
      </c>
      <c r="K129" s="683"/>
      <c r="L129" s="684"/>
      <c r="M129" s="753"/>
      <c r="N129" s="683">
        <v>0</v>
      </c>
      <c r="O129" s="686"/>
      <c r="P129" s="683">
        <v>0</v>
      </c>
      <c r="Q129" s="687">
        <f t="shared" si="1"/>
        <v>0</v>
      </c>
      <c r="R129" s="687"/>
      <c r="S129" s="687"/>
      <c r="T129" s="688">
        <v>0</v>
      </c>
      <c r="U129" s="693"/>
      <c r="V129" s="690">
        <f t="shared" si="28"/>
        <v>0</v>
      </c>
      <c r="W129" s="683"/>
      <c r="X129" s="474">
        <f t="shared" si="33"/>
        <v>0</v>
      </c>
      <c r="Y129" s="474">
        <f t="shared" si="34"/>
        <v>0</v>
      </c>
      <c r="Z129" s="475">
        <f t="shared" si="35"/>
        <v>0</v>
      </c>
      <c r="AA129" s="475">
        <v>0</v>
      </c>
      <c r="AB129" s="476">
        <v>0</v>
      </c>
      <c r="AC129" s="38">
        <f t="shared" si="36"/>
        <v>0</v>
      </c>
      <c r="AD129" s="692">
        <f t="shared" si="30"/>
        <v>18267.2</v>
      </c>
      <c r="AE129" s="692">
        <f t="shared" si="31"/>
        <v>0</v>
      </c>
      <c r="AF129" s="692">
        <f t="shared" si="32"/>
        <v>0</v>
      </c>
      <c r="AG129" s="38"/>
      <c r="AH129" s="692">
        <f t="shared" si="37"/>
        <v>0</v>
      </c>
      <c r="AI129" s="692">
        <f t="shared" si="38"/>
        <v>0</v>
      </c>
      <c r="AJ129" s="692">
        <f t="shared" si="39"/>
        <v>0</v>
      </c>
      <c r="AL129" s="38">
        <f t="shared" si="40"/>
        <v>18267.2</v>
      </c>
      <c r="AM129" s="68" t="s">
        <v>28</v>
      </c>
    </row>
    <row r="130" spans="1:39">
      <c r="A130" s="21"/>
      <c r="B130" s="21" t="s">
        <v>114</v>
      </c>
      <c r="C130" s="666" t="s">
        <v>552</v>
      </c>
      <c r="D130" s="68" t="s">
        <v>513</v>
      </c>
      <c r="E130" s="679">
        <v>2686.7</v>
      </c>
      <c r="F130" s="529">
        <f>VLOOKUP(D130,'Nov13 Revenue'!D:V,19,FALSE)</f>
        <v>0</v>
      </c>
      <c r="G130" s="680"/>
      <c r="H130" s="680"/>
      <c r="I130" s="755"/>
      <c r="J130" s="682">
        <f t="shared" si="29"/>
        <v>2686.7</v>
      </c>
      <c r="K130" s="683"/>
      <c r="L130" s="684"/>
      <c r="M130" s="753">
        <v>5000</v>
      </c>
      <c r="N130" s="683">
        <v>0</v>
      </c>
      <c r="O130" s="686"/>
      <c r="P130" s="683">
        <v>0</v>
      </c>
      <c r="Q130" s="687">
        <f>L130+M130</f>
        <v>5000</v>
      </c>
      <c r="R130" s="687"/>
      <c r="S130" s="687"/>
      <c r="T130" s="688">
        <v>0</v>
      </c>
      <c r="U130" s="693"/>
      <c r="V130" s="690">
        <f t="shared" si="28"/>
        <v>-5000</v>
      </c>
      <c r="W130" s="683"/>
      <c r="X130" s="474">
        <f t="shared" si="33"/>
        <v>0</v>
      </c>
      <c r="Y130" s="474">
        <f t="shared" si="34"/>
        <v>0</v>
      </c>
      <c r="Z130" s="475">
        <f t="shared" si="35"/>
        <v>5000</v>
      </c>
      <c r="AA130" s="475">
        <v>0</v>
      </c>
      <c r="AB130" s="476">
        <v>0</v>
      </c>
      <c r="AC130" s="38">
        <f t="shared" si="36"/>
        <v>0</v>
      </c>
      <c r="AD130" s="692">
        <f t="shared" si="30"/>
        <v>0</v>
      </c>
      <c r="AE130" s="692">
        <f t="shared" si="31"/>
        <v>0</v>
      </c>
      <c r="AF130" s="692">
        <f t="shared" si="32"/>
        <v>2686.7</v>
      </c>
      <c r="AG130" s="38"/>
      <c r="AH130" s="692">
        <f t="shared" si="37"/>
        <v>0</v>
      </c>
      <c r="AI130" s="692">
        <f t="shared" si="38"/>
        <v>0</v>
      </c>
      <c r="AJ130" s="692">
        <f t="shared" si="39"/>
        <v>5000</v>
      </c>
      <c r="AL130" s="38">
        <f t="shared" si="40"/>
        <v>7686.7</v>
      </c>
      <c r="AM130" s="68" t="s">
        <v>513</v>
      </c>
    </row>
    <row r="131" spans="1:39">
      <c r="A131" s="21"/>
      <c r="B131" s="21" t="s">
        <v>109</v>
      </c>
      <c r="C131" s="666" t="s">
        <v>553</v>
      </c>
      <c r="D131" s="68" t="s">
        <v>308</v>
      </c>
      <c r="E131" s="679"/>
      <c r="F131" s="529">
        <f>VLOOKUP(D131,'Nov13 Revenue'!D:V,19,FALSE)</f>
        <v>0</v>
      </c>
      <c r="G131" s="680"/>
      <c r="H131" s="680"/>
      <c r="I131" s="755"/>
      <c r="J131" s="682">
        <f t="shared" si="29"/>
        <v>0</v>
      </c>
      <c r="K131" s="683"/>
      <c r="L131" s="684"/>
      <c r="M131" s="753"/>
      <c r="N131" s="683">
        <v>0</v>
      </c>
      <c r="O131" s="686"/>
      <c r="P131" s="683">
        <v>0</v>
      </c>
      <c r="Q131" s="687">
        <f t="shared" si="1"/>
        <v>0</v>
      </c>
      <c r="R131" s="687"/>
      <c r="S131" s="687"/>
      <c r="T131" s="688">
        <v>0</v>
      </c>
      <c r="U131" s="693"/>
      <c r="V131" s="690">
        <f t="shared" si="28"/>
        <v>0</v>
      </c>
      <c r="W131" s="683"/>
      <c r="X131" s="474">
        <f t="shared" si="33"/>
        <v>0</v>
      </c>
      <c r="Y131" s="474">
        <f t="shared" si="34"/>
        <v>0</v>
      </c>
      <c r="Z131" s="475">
        <f t="shared" si="35"/>
        <v>0</v>
      </c>
      <c r="AA131" s="475">
        <v>0</v>
      </c>
      <c r="AB131" s="476">
        <v>0</v>
      </c>
      <c r="AC131" s="38">
        <f t="shared" si="36"/>
        <v>0</v>
      </c>
      <c r="AD131" s="692">
        <f t="shared" si="30"/>
        <v>0</v>
      </c>
      <c r="AE131" s="692">
        <f t="shared" si="31"/>
        <v>0</v>
      </c>
      <c r="AF131" s="692">
        <f t="shared" si="32"/>
        <v>0</v>
      </c>
      <c r="AG131" s="38"/>
      <c r="AH131" s="692">
        <f t="shared" si="37"/>
        <v>0</v>
      </c>
      <c r="AI131" s="692">
        <f t="shared" si="38"/>
        <v>0</v>
      </c>
      <c r="AJ131" s="692">
        <f t="shared" si="39"/>
        <v>0</v>
      </c>
      <c r="AL131" s="38">
        <f t="shared" si="40"/>
        <v>0</v>
      </c>
      <c r="AM131" s="68" t="s">
        <v>308</v>
      </c>
    </row>
    <row r="132" spans="1:39" s="232" customFormat="1">
      <c r="A132" s="283" t="s">
        <v>211</v>
      </c>
      <c r="B132" s="283" t="s">
        <v>109</v>
      </c>
      <c r="C132" s="667" t="s">
        <v>554</v>
      </c>
      <c r="D132" s="123" t="s">
        <v>389</v>
      </c>
      <c r="E132" s="679"/>
      <c r="F132" s="529">
        <f>VLOOKUP(D132,'Nov13 Revenue'!D:V,19,FALSE)</f>
        <v>0</v>
      </c>
      <c r="G132" s="680"/>
      <c r="H132" s="680"/>
      <c r="I132" s="755"/>
      <c r="J132" s="682">
        <f t="shared" si="29"/>
        <v>0</v>
      </c>
      <c r="K132" s="683"/>
      <c r="L132" s="684"/>
      <c r="M132" s="753"/>
      <c r="N132" s="683">
        <v>0</v>
      </c>
      <c r="O132" s="686"/>
      <c r="P132" s="683">
        <v>0</v>
      </c>
      <c r="Q132" s="687">
        <f t="shared" si="1"/>
        <v>0</v>
      </c>
      <c r="R132" s="687"/>
      <c r="S132" s="687"/>
      <c r="T132" s="688">
        <v>0</v>
      </c>
      <c r="U132" s="693"/>
      <c r="V132" s="690">
        <f t="shared" si="28"/>
        <v>0</v>
      </c>
      <c r="W132" s="683"/>
      <c r="X132" s="474">
        <f t="shared" si="33"/>
        <v>0</v>
      </c>
      <c r="Y132" s="474">
        <f t="shared" si="34"/>
        <v>0</v>
      </c>
      <c r="Z132" s="475">
        <f t="shared" si="35"/>
        <v>0</v>
      </c>
      <c r="AA132" s="475">
        <v>0</v>
      </c>
      <c r="AB132" s="476">
        <v>0</v>
      </c>
      <c r="AC132" s="38">
        <f t="shared" si="36"/>
        <v>0</v>
      </c>
      <c r="AD132" s="692">
        <f t="shared" si="30"/>
        <v>0</v>
      </c>
      <c r="AE132" s="692">
        <f t="shared" si="31"/>
        <v>0</v>
      </c>
      <c r="AF132" s="692">
        <f t="shared" si="32"/>
        <v>0</v>
      </c>
      <c r="AG132" s="38"/>
      <c r="AH132" s="692">
        <f t="shared" si="37"/>
        <v>0</v>
      </c>
      <c r="AI132" s="692">
        <f t="shared" si="38"/>
        <v>0</v>
      </c>
      <c r="AJ132" s="692">
        <f t="shared" si="39"/>
        <v>0</v>
      </c>
      <c r="AL132" s="38">
        <f t="shared" si="40"/>
        <v>0</v>
      </c>
      <c r="AM132" s="123" t="s">
        <v>389</v>
      </c>
    </row>
    <row r="133" spans="1:39" s="232" customFormat="1">
      <c r="A133" s="283"/>
      <c r="B133" s="283" t="s">
        <v>110</v>
      </c>
      <c r="C133" s="667"/>
      <c r="D133" s="123" t="s">
        <v>807</v>
      </c>
      <c r="E133" s="679"/>
      <c r="F133" s="529">
        <f>VLOOKUP(D133,'Nov13 Revenue'!D:V,19,FALSE)</f>
        <v>-2057.33</v>
      </c>
      <c r="G133" s="680"/>
      <c r="H133" s="680"/>
      <c r="I133" s="770">
        <v>2913.44</v>
      </c>
      <c r="J133" s="682">
        <f t="shared" si="29"/>
        <v>856.11000000000013</v>
      </c>
      <c r="K133" s="683"/>
      <c r="L133" s="684"/>
      <c r="M133" s="753"/>
      <c r="N133" s="683">
        <v>0</v>
      </c>
      <c r="O133" s="686"/>
      <c r="P133" s="683">
        <v>0</v>
      </c>
      <c r="Q133" s="687">
        <f t="shared" si="1"/>
        <v>0</v>
      </c>
      <c r="R133" s="687"/>
      <c r="S133" s="687"/>
      <c r="T133" s="688">
        <v>0</v>
      </c>
      <c r="U133" s="693"/>
      <c r="V133" s="690">
        <f t="shared" si="28"/>
        <v>0</v>
      </c>
      <c r="W133" s="683"/>
      <c r="X133" s="474">
        <f t="shared" si="33"/>
        <v>0</v>
      </c>
      <c r="Y133" s="474">
        <f t="shared" si="34"/>
        <v>0</v>
      </c>
      <c r="Z133" s="475">
        <f t="shared" si="35"/>
        <v>0</v>
      </c>
      <c r="AA133" s="475">
        <v>0</v>
      </c>
      <c r="AB133" s="476">
        <v>0</v>
      </c>
      <c r="AC133" s="38">
        <f t="shared" si="36"/>
        <v>0</v>
      </c>
      <c r="AD133" s="692">
        <f t="shared" si="30"/>
        <v>856.11000000000013</v>
      </c>
      <c r="AE133" s="692">
        <f t="shared" si="31"/>
        <v>0</v>
      </c>
      <c r="AF133" s="692">
        <f t="shared" si="32"/>
        <v>0</v>
      </c>
      <c r="AG133" s="38"/>
      <c r="AH133" s="692">
        <f t="shared" si="37"/>
        <v>0</v>
      </c>
      <c r="AI133" s="692">
        <f t="shared" si="38"/>
        <v>0</v>
      </c>
      <c r="AJ133" s="692">
        <f t="shared" si="39"/>
        <v>0</v>
      </c>
      <c r="AL133" s="38">
        <f t="shared" si="40"/>
        <v>856.11000000000013</v>
      </c>
      <c r="AM133" s="123" t="s">
        <v>807</v>
      </c>
    </row>
    <row r="134" spans="1:39" s="232" customFormat="1">
      <c r="A134" s="283"/>
      <c r="B134" s="283" t="s">
        <v>109</v>
      </c>
      <c r="C134" s="667"/>
      <c r="D134" s="123" t="s">
        <v>808</v>
      </c>
      <c r="E134" s="679"/>
      <c r="F134" s="529">
        <f>VLOOKUP(D134,'Nov13 Revenue'!D:V,19,FALSE)</f>
        <v>3195.5599999999977</v>
      </c>
      <c r="G134" s="680"/>
      <c r="H134" s="680"/>
      <c r="I134" s="770">
        <f>10666.32+34059.91+615.35</f>
        <v>45341.58</v>
      </c>
      <c r="J134" s="682">
        <f t="shared" si="29"/>
        <v>48537.14</v>
      </c>
      <c r="K134" s="683"/>
      <c r="L134" s="684"/>
      <c r="M134" s="753"/>
      <c r="N134" s="683">
        <v>0</v>
      </c>
      <c r="O134" s="686"/>
      <c r="P134" s="683">
        <v>0</v>
      </c>
      <c r="Q134" s="687">
        <f t="shared" si="1"/>
        <v>0</v>
      </c>
      <c r="R134" s="687"/>
      <c r="S134" s="687"/>
      <c r="T134" s="688">
        <v>0</v>
      </c>
      <c r="U134" s="693"/>
      <c r="V134" s="690">
        <f t="shared" si="28"/>
        <v>0</v>
      </c>
      <c r="W134" s="683"/>
      <c r="X134" s="474">
        <f t="shared" si="33"/>
        <v>0</v>
      </c>
      <c r="Y134" s="474">
        <f t="shared" si="34"/>
        <v>0</v>
      </c>
      <c r="Z134" s="475">
        <f t="shared" si="35"/>
        <v>0</v>
      </c>
      <c r="AA134" s="475">
        <v>0</v>
      </c>
      <c r="AB134" s="476">
        <v>0</v>
      </c>
      <c r="AC134" s="38">
        <f t="shared" si="36"/>
        <v>0</v>
      </c>
      <c r="AD134" s="692">
        <f t="shared" si="30"/>
        <v>0</v>
      </c>
      <c r="AE134" s="692">
        <f t="shared" si="31"/>
        <v>48537.14</v>
      </c>
      <c r="AF134" s="692">
        <f t="shared" si="32"/>
        <v>0</v>
      </c>
      <c r="AG134" s="38"/>
      <c r="AH134" s="692">
        <f t="shared" si="37"/>
        <v>0</v>
      </c>
      <c r="AI134" s="692">
        <f t="shared" si="38"/>
        <v>0</v>
      </c>
      <c r="AJ134" s="692">
        <f t="shared" si="39"/>
        <v>0</v>
      </c>
      <c r="AL134" s="38">
        <f t="shared" si="40"/>
        <v>48537.14</v>
      </c>
      <c r="AM134" s="123" t="s">
        <v>808</v>
      </c>
    </row>
    <row r="135" spans="1:39" s="232" customFormat="1">
      <c r="A135" s="403"/>
      <c r="B135" s="403" t="s">
        <v>110</v>
      </c>
      <c r="C135" s="666" t="s">
        <v>563</v>
      </c>
      <c r="D135" s="123" t="s">
        <v>867</v>
      </c>
      <c r="E135" s="679"/>
      <c r="F135" s="529">
        <f>VLOOKUP(D135,'Nov13 Revenue'!D:V,19,FALSE)</f>
        <v>0</v>
      </c>
      <c r="G135" s="680"/>
      <c r="H135" s="680"/>
      <c r="I135" s="770">
        <v>1329.91</v>
      </c>
      <c r="J135" s="682">
        <f t="shared" si="29"/>
        <v>1329.91</v>
      </c>
      <c r="K135" s="683"/>
      <c r="L135" s="684"/>
      <c r="M135" s="753"/>
      <c r="N135" s="683">
        <v>0</v>
      </c>
      <c r="O135" s="686"/>
      <c r="P135" s="683">
        <v>0</v>
      </c>
      <c r="Q135" s="687">
        <f t="shared" si="1"/>
        <v>0</v>
      </c>
      <c r="R135" s="687"/>
      <c r="S135" s="687"/>
      <c r="T135" s="688">
        <v>0</v>
      </c>
      <c r="U135" s="693"/>
      <c r="V135" s="690">
        <f t="shared" si="28"/>
        <v>0</v>
      </c>
      <c r="W135" s="683"/>
      <c r="X135" s="474">
        <f t="shared" si="33"/>
        <v>0</v>
      </c>
      <c r="Y135" s="474">
        <f t="shared" si="34"/>
        <v>0</v>
      </c>
      <c r="Z135" s="475">
        <f t="shared" si="35"/>
        <v>0</v>
      </c>
      <c r="AA135" s="475">
        <v>0</v>
      </c>
      <c r="AB135" s="476">
        <v>0</v>
      </c>
      <c r="AC135" s="38">
        <f t="shared" si="36"/>
        <v>0</v>
      </c>
      <c r="AD135" s="692">
        <f t="shared" si="30"/>
        <v>1329.91</v>
      </c>
      <c r="AE135" s="692">
        <f t="shared" si="31"/>
        <v>0</v>
      </c>
      <c r="AF135" s="692">
        <f t="shared" si="32"/>
        <v>0</v>
      </c>
      <c r="AG135" s="38"/>
      <c r="AH135" s="692">
        <f t="shared" si="37"/>
        <v>0</v>
      </c>
      <c r="AI135" s="692">
        <f t="shared" si="38"/>
        <v>0</v>
      </c>
      <c r="AJ135" s="692">
        <f t="shared" si="39"/>
        <v>0</v>
      </c>
      <c r="AL135" s="38">
        <f t="shared" si="40"/>
        <v>1329.91</v>
      </c>
      <c r="AM135" s="123" t="s">
        <v>867</v>
      </c>
    </row>
    <row r="136" spans="1:39" s="232" customFormat="1">
      <c r="A136" s="283"/>
      <c r="B136" s="283" t="s">
        <v>110</v>
      </c>
      <c r="C136" s="667"/>
      <c r="D136" s="68" t="s">
        <v>488</v>
      </c>
      <c r="E136" s="679"/>
      <c r="F136" s="529">
        <f>VLOOKUP(D136,'Nov13 Revenue'!D:V,19,FALSE)</f>
        <v>0</v>
      </c>
      <c r="G136" s="680"/>
      <c r="H136" s="680"/>
      <c r="I136" s="755"/>
      <c r="J136" s="682">
        <f t="shared" si="29"/>
        <v>0</v>
      </c>
      <c r="K136" s="683"/>
      <c r="L136" s="684"/>
      <c r="M136" s="753"/>
      <c r="N136" s="683">
        <v>0</v>
      </c>
      <c r="O136" s="686"/>
      <c r="P136" s="683">
        <v>0</v>
      </c>
      <c r="Q136" s="687">
        <f t="shared" si="1"/>
        <v>0</v>
      </c>
      <c r="R136" s="687"/>
      <c r="S136" s="687"/>
      <c r="T136" s="688">
        <v>0</v>
      </c>
      <c r="U136" s="693"/>
      <c r="V136" s="690">
        <f t="shared" si="28"/>
        <v>0</v>
      </c>
      <c r="W136" s="683"/>
      <c r="X136" s="474">
        <f t="shared" si="33"/>
        <v>0</v>
      </c>
      <c r="Y136" s="474">
        <f t="shared" si="34"/>
        <v>0</v>
      </c>
      <c r="Z136" s="475">
        <f t="shared" si="35"/>
        <v>0</v>
      </c>
      <c r="AA136" s="475">
        <v>0</v>
      </c>
      <c r="AB136" s="476">
        <v>0</v>
      </c>
      <c r="AC136" s="38">
        <f t="shared" si="36"/>
        <v>0</v>
      </c>
      <c r="AD136" s="692">
        <f t="shared" si="30"/>
        <v>0</v>
      </c>
      <c r="AE136" s="692">
        <f t="shared" si="31"/>
        <v>0</v>
      </c>
      <c r="AF136" s="692">
        <f t="shared" si="32"/>
        <v>0</v>
      </c>
      <c r="AG136" s="38"/>
      <c r="AH136" s="692">
        <f t="shared" si="37"/>
        <v>0</v>
      </c>
      <c r="AI136" s="692">
        <f t="shared" si="38"/>
        <v>0</v>
      </c>
      <c r="AJ136" s="692">
        <f t="shared" si="39"/>
        <v>0</v>
      </c>
      <c r="AL136" s="38">
        <f t="shared" si="40"/>
        <v>0</v>
      </c>
      <c r="AM136" s="68" t="s">
        <v>488</v>
      </c>
    </row>
    <row r="137" spans="1:39" s="232" customFormat="1">
      <c r="A137" s="283"/>
      <c r="B137" s="283" t="s">
        <v>110</v>
      </c>
      <c r="C137" s="667" t="s">
        <v>555</v>
      </c>
      <c r="D137" s="123" t="s">
        <v>192</v>
      </c>
      <c r="E137" s="679">
        <v>6866.45</v>
      </c>
      <c r="F137" s="529">
        <f>VLOOKUP(D137,'Nov13 Revenue'!D:V,19,FALSE)</f>
        <v>-14000</v>
      </c>
      <c r="G137" s="680"/>
      <c r="H137" s="680"/>
      <c r="I137" s="755"/>
      <c r="J137" s="682">
        <f t="shared" si="29"/>
        <v>-7133.55</v>
      </c>
      <c r="K137" s="683"/>
      <c r="L137" s="684"/>
      <c r="M137" s="753">
        <v>14000</v>
      </c>
      <c r="N137" s="683">
        <v>0</v>
      </c>
      <c r="O137" s="686"/>
      <c r="P137" s="683">
        <v>0</v>
      </c>
      <c r="Q137" s="687">
        <f t="shared" si="1"/>
        <v>14000</v>
      </c>
      <c r="R137" s="687"/>
      <c r="S137" s="687"/>
      <c r="T137" s="688">
        <f>7339.92+151.26</f>
        <v>7491.18</v>
      </c>
      <c r="U137" s="693"/>
      <c r="V137" s="690">
        <f t="shared" si="28"/>
        <v>-6508.82</v>
      </c>
      <c r="W137" s="683"/>
      <c r="X137" s="474">
        <f t="shared" si="33"/>
        <v>14000</v>
      </c>
      <c r="Y137" s="474">
        <f t="shared" si="34"/>
        <v>0</v>
      </c>
      <c r="Z137" s="475">
        <f t="shared" si="35"/>
        <v>0</v>
      </c>
      <c r="AA137" s="475">
        <v>0</v>
      </c>
      <c r="AB137" s="476">
        <v>0</v>
      </c>
      <c r="AC137" s="38">
        <f t="shared" si="36"/>
        <v>0</v>
      </c>
      <c r="AD137" s="692">
        <f t="shared" si="30"/>
        <v>-7133.55</v>
      </c>
      <c r="AE137" s="692">
        <f t="shared" si="31"/>
        <v>0</v>
      </c>
      <c r="AF137" s="692">
        <f t="shared" si="32"/>
        <v>0</v>
      </c>
      <c r="AG137" s="38"/>
      <c r="AH137" s="692">
        <f t="shared" si="37"/>
        <v>14000</v>
      </c>
      <c r="AI137" s="692">
        <f t="shared" si="38"/>
        <v>0</v>
      </c>
      <c r="AJ137" s="692">
        <f t="shared" si="39"/>
        <v>0</v>
      </c>
      <c r="AL137" s="38">
        <f t="shared" si="40"/>
        <v>6866.45</v>
      </c>
      <c r="AM137" s="123" t="s">
        <v>192</v>
      </c>
    </row>
    <row r="138" spans="1:39" s="232" customFormat="1" hidden="1">
      <c r="A138" s="283"/>
      <c r="B138" s="283" t="s">
        <v>110</v>
      </c>
      <c r="C138" s="667" t="s">
        <v>555</v>
      </c>
      <c r="D138" s="123" t="s">
        <v>193</v>
      </c>
      <c r="E138" s="679"/>
      <c r="F138" s="529">
        <f>VLOOKUP(D138,'Nov13 Revenue'!D:V,19,FALSE)</f>
        <v>0</v>
      </c>
      <c r="G138" s="680"/>
      <c r="H138" s="680"/>
      <c r="I138" s="755"/>
      <c r="J138" s="682">
        <f t="shared" si="29"/>
        <v>0</v>
      </c>
      <c r="K138" s="683"/>
      <c r="L138" s="684"/>
      <c r="M138" s="753"/>
      <c r="N138" s="683">
        <v>0</v>
      </c>
      <c r="O138" s="686"/>
      <c r="P138" s="683">
        <v>0</v>
      </c>
      <c r="Q138" s="687">
        <f t="shared" si="1"/>
        <v>0</v>
      </c>
      <c r="R138" s="687"/>
      <c r="S138" s="687"/>
      <c r="T138" s="688">
        <v>0</v>
      </c>
      <c r="U138" s="693"/>
      <c r="V138" s="690">
        <f t="shared" si="28"/>
        <v>0</v>
      </c>
      <c r="W138" s="683"/>
      <c r="X138" s="474">
        <f t="shared" si="33"/>
        <v>0</v>
      </c>
      <c r="Y138" s="474">
        <f t="shared" si="34"/>
        <v>0</v>
      </c>
      <c r="Z138" s="475">
        <f t="shared" si="35"/>
        <v>0</v>
      </c>
      <c r="AA138" s="475">
        <v>0</v>
      </c>
      <c r="AB138" s="476">
        <v>0</v>
      </c>
      <c r="AC138" s="38">
        <f t="shared" si="36"/>
        <v>0</v>
      </c>
      <c r="AD138" s="692">
        <f t="shared" si="30"/>
        <v>0</v>
      </c>
      <c r="AE138" s="692">
        <f t="shared" si="31"/>
        <v>0</v>
      </c>
      <c r="AF138" s="692">
        <f t="shared" si="32"/>
        <v>0</v>
      </c>
      <c r="AG138" s="38"/>
      <c r="AH138" s="692">
        <f t="shared" si="37"/>
        <v>0</v>
      </c>
      <c r="AI138" s="692">
        <f t="shared" si="38"/>
        <v>0</v>
      </c>
      <c r="AJ138" s="692">
        <f t="shared" si="39"/>
        <v>0</v>
      </c>
      <c r="AL138" s="38">
        <f t="shared" si="40"/>
        <v>0</v>
      </c>
      <c r="AM138" s="123" t="s">
        <v>193</v>
      </c>
    </row>
    <row r="139" spans="1:39" s="232" customFormat="1" hidden="1">
      <c r="A139" s="283"/>
      <c r="B139" s="283" t="s">
        <v>110</v>
      </c>
      <c r="C139" s="667" t="s">
        <v>555</v>
      </c>
      <c r="D139" s="123" t="s">
        <v>194</v>
      </c>
      <c r="E139" s="679"/>
      <c r="F139" s="529">
        <f>VLOOKUP(D139,'Nov13 Revenue'!D:V,19,FALSE)</f>
        <v>0</v>
      </c>
      <c r="G139" s="680"/>
      <c r="H139" s="680"/>
      <c r="I139" s="755"/>
      <c r="J139" s="682">
        <f t="shared" si="29"/>
        <v>0</v>
      </c>
      <c r="K139" s="683"/>
      <c r="L139" s="684"/>
      <c r="M139" s="753"/>
      <c r="N139" s="683">
        <v>0</v>
      </c>
      <c r="O139" s="686"/>
      <c r="P139" s="683">
        <v>0</v>
      </c>
      <c r="Q139" s="687">
        <f t="shared" si="1"/>
        <v>0</v>
      </c>
      <c r="R139" s="687"/>
      <c r="S139" s="687"/>
      <c r="T139" s="688">
        <v>0</v>
      </c>
      <c r="U139" s="693"/>
      <c r="V139" s="690">
        <f t="shared" si="28"/>
        <v>0</v>
      </c>
      <c r="W139" s="683"/>
      <c r="X139" s="474">
        <f t="shared" si="33"/>
        <v>0</v>
      </c>
      <c r="Y139" s="474">
        <f t="shared" si="34"/>
        <v>0</v>
      </c>
      <c r="Z139" s="475">
        <f t="shared" si="35"/>
        <v>0</v>
      </c>
      <c r="AA139" s="475">
        <v>0</v>
      </c>
      <c r="AB139" s="476">
        <v>0</v>
      </c>
      <c r="AC139" s="38">
        <f t="shared" si="36"/>
        <v>0</v>
      </c>
      <c r="AD139" s="692">
        <f t="shared" si="30"/>
        <v>0</v>
      </c>
      <c r="AE139" s="692">
        <f t="shared" si="31"/>
        <v>0</v>
      </c>
      <c r="AF139" s="692">
        <f t="shared" si="32"/>
        <v>0</v>
      </c>
      <c r="AG139" s="38"/>
      <c r="AH139" s="692">
        <f t="shared" si="37"/>
        <v>0</v>
      </c>
      <c r="AI139" s="692">
        <f t="shared" si="38"/>
        <v>0</v>
      </c>
      <c r="AJ139" s="692">
        <f t="shared" si="39"/>
        <v>0</v>
      </c>
      <c r="AL139" s="38">
        <f t="shared" si="40"/>
        <v>0</v>
      </c>
      <c r="AM139" s="123" t="s">
        <v>194</v>
      </c>
    </row>
    <row r="140" spans="1:39" s="232" customFormat="1" hidden="1">
      <c r="A140" s="283"/>
      <c r="B140" s="283" t="s">
        <v>110</v>
      </c>
      <c r="C140" s="667" t="s">
        <v>555</v>
      </c>
      <c r="D140" s="123" t="s">
        <v>195</v>
      </c>
      <c r="E140" s="679"/>
      <c r="F140" s="529">
        <f>VLOOKUP(D140,'Nov13 Revenue'!D:V,19,FALSE)</f>
        <v>0</v>
      </c>
      <c r="G140" s="680"/>
      <c r="H140" s="680"/>
      <c r="I140" s="755"/>
      <c r="J140" s="682">
        <f t="shared" si="29"/>
        <v>0</v>
      </c>
      <c r="K140" s="683"/>
      <c r="L140" s="684"/>
      <c r="M140" s="753"/>
      <c r="N140" s="683">
        <v>0</v>
      </c>
      <c r="O140" s="686"/>
      <c r="P140" s="683">
        <v>0</v>
      </c>
      <c r="Q140" s="687">
        <f t="shared" si="1"/>
        <v>0</v>
      </c>
      <c r="R140" s="687"/>
      <c r="S140" s="687"/>
      <c r="T140" s="688">
        <v>0</v>
      </c>
      <c r="U140" s="693"/>
      <c r="V140" s="690">
        <f t="shared" si="28"/>
        <v>0</v>
      </c>
      <c r="W140" s="683"/>
      <c r="X140" s="474">
        <f t="shared" si="33"/>
        <v>0</v>
      </c>
      <c r="Y140" s="474">
        <f t="shared" si="34"/>
        <v>0</v>
      </c>
      <c r="Z140" s="475">
        <f t="shared" si="35"/>
        <v>0</v>
      </c>
      <c r="AA140" s="475">
        <v>0</v>
      </c>
      <c r="AB140" s="476">
        <v>0</v>
      </c>
      <c r="AC140" s="38">
        <f t="shared" si="36"/>
        <v>0</v>
      </c>
      <c r="AD140" s="692">
        <f t="shared" si="30"/>
        <v>0</v>
      </c>
      <c r="AE140" s="692">
        <f t="shared" si="31"/>
        <v>0</v>
      </c>
      <c r="AF140" s="692">
        <f t="shared" si="32"/>
        <v>0</v>
      </c>
      <c r="AG140" s="38"/>
      <c r="AH140" s="692">
        <f t="shared" si="37"/>
        <v>0</v>
      </c>
      <c r="AI140" s="692">
        <f t="shared" si="38"/>
        <v>0</v>
      </c>
      <c r="AJ140" s="692">
        <f t="shared" si="39"/>
        <v>0</v>
      </c>
      <c r="AL140" s="38">
        <f t="shared" si="40"/>
        <v>0</v>
      </c>
      <c r="AM140" s="123" t="s">
        <v>195</v>
      </c>
    </row>
    <row r="141" spans="1:39" s="232" customFormat="1" hidden="1">
      <c r="A141" s="283"/>
      <c r="B141" s="283" t="s">
        <v>110</v>
      </c>
      <c r="C141" s="667" t="s">
        <v>555</v>
      </c>
      <c r="D141" s="123" t="s">
        <v>196</v>
      </c>
      <c r="E141" s="679"/>
      <c r="F141" s="529">
        <f>VLOOKUP(D141,'Nov13 Revenue'!D:V,19,FALSE)</f>
        <v>0</v>
      </c>
      <c r="G141" s="680"/>
      <c r="H141" s="680"/>
      <c r="I141" s="755"/>
      <c r="J141" s="682">
        <f t="shared" si="29"/>
        <v>0</v>
      </c>
      <c r="K141" s="683"/>
      <c r="L141" s="684"/>
      <c r="M141" s="753"/>
      <c r="N141" s="683">
        <v>0</v>
      </c>
      <c r="O141" s="686"/>
      <c r="P141" s="683">
        <v>0</v>
      </c>
      <c r="Q141" s="687">
        <f t="shared" si="1"/>
        <v>0</v>
      </c>
      <c r="R141" s="687"/>
      <c r="S141" s="687"/>
      <c r="T141" s="688">
        <v>0</v>
      </c>
      <c r="U141" s="693"/>
      <c r="V141" s="690">
        <f t="shared" si="28"/>
        <v>0</v>
      </c>
      <c r="W141" s="683"/>
      <c r="X141" s="474">
        <f t="shared" si="33"/>
        <v>0</v>
      </c>
      <c r="Y141" s="474">
        <f t="shared" si="34"/>
        <v>0</v>
      </c>
      <c r="Z141" s="475">
        <f t="shared" si="35"/>
        <v>0</v>
      </c>
      <c r="AA141" s="475">
        <v>0</v>
      </c>
      <c r="AB141" s="476">
        <v>0</v>
      </c>
      <c r="AC141" s="38">
        <f t="shared" si="36"/>
        <v>0</v>
      </c>
      <c r="AD141" s="692">
        <f t="shared" si="30"/>
        <v>0</v>
      </c>
      <c r="AE141" s="692">
        <f t="shared" si="31"/>
        <v>0</v>
      </c>
      <c r="AF141" s="692">
        <f t="shared" si="32"/>
        <v>0</v>
      </c>
      <c r="AG141" s="38"/>
      <c r="AH141" s="692">
        <f t="shared" si="37"/>
        <v>0</v>
      </c>
      <c r="AI141" s="692">
        <f t="shared" si="38"/>
        <v>0</v>
      </c>
      <c r="AJ141" s="692">
        <f t="shared" si="39"/>
        <v>0</v>
      </c>
      <c r="AL141" s="38">
        <f t="shared" si="40"/>
        <v>0</v>
      </c>
      <c r="AM141" s="123" t="s">
        <v>196</v>
      </c>
    </row>
    <row r="142" spans="1:39" s="232" customFormat="1" hidden="1">
      <c r="A142" s="283"/>
      <c r="B142" s="283" t="s">
        <v>110</v>
      </c>
      <c r="C142" s="667" t="s">
        <v>555</v>
      </c>
      <c r="D142" s="123" t="s">
        <v>197</v>
      </c>
      <c r="E142" s="679"/>
      <c r="F142" s="529">
        <f>VLOOKUP(D142,'Nov13 Revenue'!D:V,19,FALSE)</f>
        <v>0</v>
      </c>
      <c r="G142" s="680"/>
      <c r="H142" s="680"/>
      <c r="I142" s="755"/>
      <c r="J142" s="682">
        <f t="shared" si="29"/>
        <v>0</v>
      </c>
      <c r="K142" s="683"/>
      <c r="L142" s="684"/>
      <c r="M142" s="753"/>
      <c r="N142" s="683">
        <v>0</v>
      </c>
      <c r="O142" s="686"/>
      <c r="P142" s="683">
        <v>0</v>
      </c>
      <c r="Q142" s="687">
        <f t="shared" si="1"/>
        <v>0</v>
      </c>
      <c r="R142" s="687"/>
      <c r="S142" s="687"/>
      <c r="T142" s="688">
        <v>0</v>
      </c>
      <c r="U142" s="693"/>
      <c r="V142" s="690">
        <f t="shared" si="28"/>
        <v>0</v>
      </c>
      <c r="W142" s="683"/>
      <c r="X142" s="474">
        <f t="shared" si="33"/>
        <v>0</v>
      </c>
      <c r="Y142" s="474">
        <f t="shared" si="34"/>
        <v>0</v>
      </c>
      <c r="Z142" s="475">
        <f t="shared" si="35"/>
        <v>0</v>
      </c>
      <c r="AA142" s="475">
        <v>0</v>
      </c>
      <c r="AB142" s="476">
        <v>0</v>
      </c>
      <c r="AC142" s="38">
        <f t="shared" si="36"/>
        <v>0</v>
      </c>
      <c r="AD142" s="692">
        <f t="shared" si="30"/>
        <v>0</v>
      </c>
      <c r="AE142" s="692">
        <f t="shared" si="31"/>
        <v>0</v>
      </c>
      <c r="AF142" s="692">
        <f t="shared" si="32"/>
        <v>0</v>
      </c>
      <c r="AG142" s="38"/>
      <c r="AH142" s="692">
        <f t="shared" si="37"/>
        <v>0</v>
      </c>
      <c r="AI142" s="692">
        <f t="shared" si="38"/>
        <v>0</v>
      </c>
      <c r="AJ142" s="692">
        <f t="shared" si="39"/>
        <v>0</v>
      </c>
      <c r="AL142" s="38">
        <f t="shared" si="40"/>
        <v>0</v>
      </c>
      <c r="AM142" s="123" t="s">
        <v>197</v>
      </c>
    </row>
    <row r="143" spans="1:39" s="232" customFormat="1" hidden="1">
      <c r="A143" s="283"/>
      <c r="B143" s="283" t="s">
        <v>110</v>
      </c>
      <c r="C143" s="667" t="s">
        <v>555</v>
      </c>
      <c r="D143" s="123" t="s">
        <v>440</v>
      </c>
      <c r="E143" s="679"/>
      <c r="F143" s="529">
        <f>VLOOKUP(D143,'Nov13 Revenue'!D:V,19,FALSE)</f>
        <v>0</v>
      </c>
      <c r="G143" s="680"/>
      <c r="H143" s="680"/>
      <c r="I143" s="755"/>
      <c r="J143" s="682">
        <f t="shared" si="29"/>
        <v>0</v>
      </c>
      <c r="K143" s="683"/>
      <c r="L143" s="684"/>
      <c r="M143" s="753"/>
      <c r="N143" s="683">
        <v>0</v>
      </c>
      <c r="O143" s="686"/>
      <c r="P143" s="683">
        <v>0</v>
      </c>
      <c r="Q143" s="687">
        <f t="shared" si="1"/>
        <v>0</v>
      </c>
      <c r="R143" s="687"/>
      <c r="S143" s="687"/>
      <c r="T143" s="688">
        <v>0</v>
      </c>
      <c r="U143" s="693"/>
      <c r="V143" s="690">
        <f t="shared" si="28"/>
        <v>0</v>
      </c>
      <c r="W143" s="683"/>
      <c r="X143" s="474">
        <f t="shared" si="33"/>
        <v>0</v>
      </c>
      <c r="Y143" s="474">
        <f t="shared" si="34"/>
        <v>0</v>
      </c>
      <c r="Z143" s="475">
        <f t="shared" si="35"/>
        <v>0</v>
      </c>
      <c r="AA143" s="475">
        <v>0</v>
      </c>
      <c r="AB143" s="476">
        <v>0</v>
      </c>
      <c r="AC143" s="38">
        <f t="shared" si="36"/>
        <v>0</v>
      </c>
      <c r="AD143" s="692">
        <f t="shared" si="30"/>
        <v>0</v>
      </c>
      <c r="AE143" s="692">
        <f t="shared" si="31"/>
        <v>0</v>
      </c>
      <c r="AF143" s="692">
        <f t="shared" si="32"/>
        <v>0</v>
      </c>
      <c r="AG143" s="38"/>
      <c r="AH143" s="692">
        <f t="shared" si="37"/>
        <v>0</v>
      </c>
      <c r="AI143" s="692">
        <f t="shared" si="38"/>
        <v>0</v>
      </c>
      <c r="AJ143" s="692">
        <f t="shared" si="39"/>
        <v>0</v>
      </c>
      <c r="AL143" s="38">
        <f t="shared" si="40"/>
        <v>0</v>
      </c>
      <c r="AM143" s="123" t="s">
        <v>440</v>
      </c>
    </row>
    <row r="144" spans="1:39" s="232" customFormat="1">
      <c r="A144" s="283"/>
      <c r="B144" s="283" t="s">
        <v>110</v>
      </c>
      <c r="C144" s="667" t="s">
        <v>555</v>
      </c>
      <c r="D144" s="123" t="s">
        <v>481</v>
      </c>
      <c r="E144" s="679">
        <v>432.77</v>
      </c>
      <c r="F144" s="529">
        <f>VLOOKUP(D144,'Nov13 Revenue'!D:V,19,FALSE)</f>
        <v>0</v>
      </c>
      <c r="G144" s="680"/>
      <c r="H144" s="680"/>
      <c r="I144" s="755"/>
      <c r="J144" s="682">
        <f t="shared" si="29"/>
        <v>432.77</v>
      </c>
      <c r="K144" s="683"/>
      <c r="L144" s="684"/>
      <c r="M144" s="753"/>
      <c r="N144" s="683">
        <v>0</v>
      </c>
      <c r="O144" s="686"/>
      <c r="P144" s="683">
        <v>0</v>
      </c>
      <c r="Q144" s="687">
        <f t="shared" si="1"/>
        <v>0</v>
      </c>
      <c r="R144" s="687"/>
      <c r="S144" s="687"/>
      <c r="T144" s="688">
        <v>0</v>
      </c>
      <c r="U144" s="693"/>
      <c r="V144" s="690">
        <f t="shared" si="28"/>
        <v>0</v>
      </c>
      <c r="W144" s="683"/>
      <c r="X144" s="474">
        <f t="shared" si="33"/>
        <v>0</v>
      </c>
      <c r="Y144" s="474">
        <f t="shared" si="34"/>
        <v>0</v>
      </c>
      <c r="Z144" s="475">
        <f t="shared" si="35"/>
        <v>0</v>
      </c>
      <c r="AA144" s="475">
        <v>0</v>
      </c>
      <c r="AB144" s="476">
        <v>0</v>
      </c>
      <c r="AC144" s="38">
        <f t="shared" si="36"/>
        <v>0</v>
      </c>
      <c r="AD144" s="692">
        <f t="shared" si="30"/>
        <v>432.77</v>
      </c>
      <c r="AE144" s="692">
        <f t="shared" si="31"/>
        <v>0</v>
      </c>
      <c r="AF144" s="692">
        <f t="shared" si="32"/>
        <v>0</v>
      </c>
      <c r="AG144" s="38"/>
      <c r="AH144" s="692">
        <f t="shared" si="37"/>
        <v>0</v>
      </c>
      <c r="AI144" s="692">
        <f t="shared" si="38"/>
        <v>0</v>
      </c>
      <c r="AJ144" s="692">
        <f t="shared" si="39"/>
        <v>0</v>
      </c>
      <c r="AL144" s="38">
        <f t="shared" si="40"/>
        <v>432.77</v>
      </c>
      <c r="AM144" s="123" t="s">
        <v>481</v>
      </c>
    </row>
    <row r="145" spans="1:39" s="232" customFormat="1">
      <c r="A145" s="283"/>
      <c r="B145" s="283" t="s">
        <v>109</v>
      </c>
      <c r="C145" s="667" t="s">
        <v>555</v>
      </c>
      <c r="D145" s="123" t="s">
        <v>248</v>
      </c>
      <c r="E145" s="679"/>
      <c r="F145" s="529">
        <f>VLOOKUP(D145,'Nov13 Revenue'!D:V,19,FALSE)</f>
        <v>0</v>
      </c>
      <c r="G145" s="680"/>
      <c r="H145" s="680"/>
      <c r="I145" s="755"/>
      <c r="J145" s="682">
        <f>SUM(E145:I145)</f>
        <v>0</v>
      </c>
      <c r="K145" s="683"/>
      <c r="L145" s="684"/>
      <c r="M145" s="753"/>
      <c r="N145" s="683">
        <v>0</v>
      </c>
      <c r="O145" s="686"/>
      <c r="P145" s="683">
        <v>0</v>
      </c>
      <c r="Q145" s="687">
        <f t="shared" si="1"/>
        <v>0</v>
      </c>
      <c r="R145" s="687"/>
      <c r="S145" s="687"/>
      <c r="T145" s="688">
        <v>0</v>
      </c>
      <c r="U145" s="693"/>
      <c r="V145" s="690">
        <f t="shared" ref="V145:V210" si="54">IF(T145="","",T145-Q145)</f>
        <v>0</v>
      </c>
      <c r="W145" s="683"/>
      <c r="X145" s="474">
        <f t="shared" si="33"/>
        <v>0</v>
      </c>
      <c r="Y145" s="474">
        <f t="shared" si="34"/>
        <v>0</v>
      </c>
      <c r="Z145" s="475">
        <f t="shared" si="35"/>
        <v>0</v>
      </c>
      <c r="AA145" s="475">
        <v>0</v>
      </c>
      <c r="AB145" s="476">
        <v>0</v>
      </c>
      <c r="AC145" s="38">
        <f t="shared" si="36"/>
        <v>0</v>
      </c>
      <c r="AD145" s="692">
        <f t="shared" si="30"/>
        <v>0</v>
      </c>
      <c r="AE145" s="692">
        <f t="shared" si="31"/>
        <v>0</v>
      </c>
      <c r="AF145" s="692">
        <f t="shared" si="32"/>
        <v>0</v>
      </c>
      <c r="AG145" s="38"/>
      <c r="AH145" s="692">
        <f t="shared" si="37"/>
        <v>0</v>
      </c>
      <c r="AI145" s="692">
        <f t="shared" si="38"/>
        <v>0</v>
      </c>
      <c r="AJ145" s="692">
        <f t="shared" si="39"/>
        <v>0</v>
      </c>
      <c r="AL145" s="38">
        <f t="shared" si="40"/>
        <v>0</v>
      </c>
      <c r="AM145" s="123" t="s">
        <v>248</v>
      </c>
    </row>
    <row r="146" spans="1:39" s="232" customFormat="1">
      <c r="A146" s="283"/>
      <c r="B146" s="20" t="s">
        <v>109</v>
      </c>
      <c r="C146" s="667"/>
      <c r="D146" s="68" t="s">
        <v>465</v>
      </c>
      <c r="E146" s="679"/>
      <c r="F146" s="529">
        <f>VLOOKUP(D146,'Nov13 Revenue'!D:V,19,FALSE)</f>
        <v>-20000</v>
      </c>
      <c r="G146" s="680"/>
      <c r="H146" s="680"/>
      <c r="I146" s="755"/>
      <c r="J146" s="682">
        <f t="shared" si="29"/>
        <v>-20000</v>
      </c>
      <c r="K146" s="683"/>
      <c r="L146" s="684"/>
      <c r="M146" s="753">
        <v>25000</v>
      </c>
      <c r="N146" s="683">
        <v>0</v>
      </c>
      <c r="O146" s="686"/>
      <c r="P146" s="683">
        <v>0</v>
      </c>
      <c r="Q146" s="687">
        <f t="shared" si="1"/>
        <v>25000</v>
      </c>
      <c r="R146" s="687"/>
      <c r="S146" s="687"/>
      <c r="T146" s="688">
        <v>0</v>
      </c>
      <c r="U146" s="693"/>
      <c r="V146" s="690">
        <f t="shared" si="54"/>
        <v>-25000</v>
      </c>
      <c r="W146" s="683"/>
      <c r="X146" s="474">
        <f t="shared" si="33"/>
        <v>0</v>
      </c>
      <c r="Y146" s="474">
        <f t="shared" si="34"/>
        <v>25000</v>
      </c>
      <c r="Z146" s="475">
        <f t="shared" si="35"/>
        <v>0</v>
      </c>
      <c r="AA146" s="475">
        <v>0</v>
      </c>
      <c r="AB146" s="476">
        <v>0</v>
      </c>
      <c r="AC146" s="38">
        <f t="shared" si="36"/>
        <v>0</v>
      </c>
      <c r="AD146" s="692">
        <f t="shared" si="30"/>
        <v>0</v>
      </c>
      <c r="AE146" s="692">
        <f t="shared" si="31"/>
        <v>-20000</v>
      </c>
      <c r="AF146" s="692">
        <f t="shared" si="32"/>
        <v>0</v>
      </c>
      <c r="AG146" s="38"/>
      <c r="AH146" s="692">
        <f t="shared" si="37"/>
        <v>0</v>
      </c>
      <c r="AI146" s="692">
        <f t="shared" si="38"/>
        <v>25000</v>
      </c>
      <c r="AJ146" s="692">
        <f t="shared" si="39"/>
        <v>0</v>
      </c>
      <c r="AL146" s="38">
        <f t="shared" si="40"/>
        <v>5000</v>
      </c>
      <c r="AM146" s="68" t="s">
        <v>465</v>
      </c>
    </row>
    <row r="147" spans="1:39">
      <c r="A147" s="21"/>
      <c r="B147" s="21" t="s">
        <v>110</v>
      </c>
      <c r="C147" s="666" t="s">
        <v>556</v>
      </c>
      <c r="D147" s="68" t="s">
        <v>261</v>
      </c>
      <c r="E147" s="679"/>
      <c r="F147" s="529">
        <f>VLOOKUP(D147,'Nov13 Revenue'!D:V,19,FALSE)</f>
        <v>-1740</v>
      </c>
      <c r="G147" s="680"/>
      <c r="H147" s="680"/>
      <c r="I147" s="755"/>
      <c r="J147" s="682">
        <f t="shared" si="29"/>
        <v>-1740</v>
      </c>
      <c r="K147" s="683"/>
      <c r="L147" s="684"/>
      <c r="M147" s="753">
        <v>280000</v>
      </c>
      <c r="N147" s="683">
        <v>0</v>
      </c>
      <c r="O147" s="686"/>
      <c r="P147" s="683">
        <v>0</v>
      </c>
      <c r="Q147" s="687">
        <f t="shared" si="1"/>
        <v>280000</v>
      </c>
      <c r="R147" s="687"/>
      <c r="S147" s="687"/>
      <c r="T147" s="688">
        <f>359253.69-T148</f>
        <v>340792.11</v>
      </c>
      <c r="U147" s="693"/>
      <c r="V147" s="690">
        <f t="shared" si="54"/>
        <v>60792.109999999986</v>
      </c>
      <c r="W147" s="683"/>
      <c r="X147" s="474">
        <f t="shared" si="33"/>
        <v>280000</v>
      </c>
      <c r="Y147" s="474">
        <f t="shared" si="34"/>
        <v>0</v>
      </c>
      <c r="Z147" s="475">
        <f t="shared" si="35"/>
        <v>0</v>
      </c>
      <c r="AA147" s="475">
        <v>0</v>
      </c>
      <c r="AB147" s="476">
        <v>0</v>
      </c>
      <c r="AC147" s="38">
        <f t="shared" si="36"/>
        <v>0</v>
      </c>
      <c r="AD147" s="692">
        <f t="shared" si="30"/>
        <v>-1740</v>
      </c>
      <c r="AE147" s="692">
        <f t="shared" si="31"/>
        <v>0</v>
      </c>
      <c r="AF147" s="692">
        <f t="shared" si="32"/>
        <v>0</v>
      </c>
      <c r="AG147" s="38"/>
      <c r="AH147" s="692">
        <f t="shared" si="37"/>
        <v>280000</v>
      </c>
      <c r="AI147" s="692">
        <f t="shared" si="38"/>
        <v>0</v>
      </c>
      <c r="AJ147" s="692">
        <f t="shared" si="39"/>
        <v>0</v>
      </c>
      <c r="AL147" s="38">
        <f t="shared" si="40"/>
        <v>278260</v>
      </c>
      <c r="AM147" s="68" t="s">
        <v>261</v>
      </c>
    </row>
    <row r="148" spans="1:39" s="269" customFormat="1">
      <c r="A148" s="21"/>
      <c r="B148" s="21" t="s">
        <v>110</v>
      </c>
      <c r="C148" s="666" t="s">
        <v>556</v>
      </c>
      <c r="D148" s="68" t="s">
        <v>262</v>
      </c>
      <c r="E148" s="679"/>
      <c r="F148" s="529">
        <f>VLOOKUP(D148,'Nov13 Revenue'!D:V,19,FALSE)</f>
        <v>689.78000000000065</v>
      </c>
      <c r="G148" s="680"/>
      <c r="H148" s="680"/>
      <c r="I148" s="755"/>
      <c r="J148" s="682">
        <f t="shared" si="29"/>
        <v>689.78000000000065</v>
      </c>
      <c r="K148" s="683"/>
      <c r="L148" s="684"/>
      <c r="M148" s="753">
        <v>20000</v>
      </c>
      <c r="N148" s="683">
        <v>0</v>
      </c>
      <c r="O148" s="686"/>
      <c r="P148" s="683">
        <v>0</v>
      </c>
      <c r="Q148" s="687">
        <f t="shared" si="1"/>
        <v>20000</v>
      </c>
      <c r="R148" s="687"/>
      <c r="S148" s="687"/>
      <c r="T148" s="688">
        <v>18461.580000000002</v>
      </c>
      <c r="U148" s="693"/>
      <c r="V148" s="690">
        <f t="shared" si="54"/>
        <v>-1538.4199999999983</v>
      </c>
      <c r="W148" s="683"/>
      <c r="X148" s="474">
        <f t="shared" si="33"/>
        <v>20000</v>
      </c>
      <c r="Y148" s="474">
        <f t="shared" si="34"/>
        <v>0</v>
      </c>
      <c r="Z148" s="475">
        <f t="shared" si="35"/>
        <v>0</v>
      </c>
      <c r="AA148" s="475">
        <v>0</v>
      </c>
      <c r="AB148" s="476">
        <v>0</v>
      </c>
      <c r="AC148" s="38">
        <f t="shared" si="36"/>
        <v>0</v>
      </c>
      <c r="AD148" s="692">
        <f t="shared" si="30"/>
        <v>689.78000000000065</v>
      </c>
      <c r="AE148" s="692">
        <f t="shared" si="31"/>
        <v>0</v>
      </c>
      <c r="AF148" s="692">
        <f t="shared" si="32"/>
        <v>0</v>
      </c>
      <c r="AG148" s="38"/>
      <c r="AH148" s="692">
        <f t="shared" si="37"/>
        <v>20000</v>
      </c>
      <c r="AI148" s="692">
        <f t="shared" si="38"/>
        <v>0</v>
      </c>
      <c r="AJ148" s="692">
        <f t="shared" si="39"/>
        <v>0</v>
      </c>
      <c r="AL148" s="38">
        <f t="shared" si="40"/>
        <v>20689.78</v>
      </c>
      <c r="AM148" s="68" t="s">
        <v>262</v>
      </c>
    </row>
    <row r="149" spans="1:39" s="269" customFormat="1">
      <c r="A149" s="21"/>
      <c r="B149" s="21" t="s">
        <v>114</v>
      </c>
      <c r="C149" s="675" t="s">
        <v>619</v>
      </c>
      <c r="D149" s="68" t="s">
        <v>626</v>
      </c>
      <c r="E149" s="679"/>
      <c r="F149" s="529">
        <f>VLOOKUP(D149,'Nov13 Revenue'!D:V,19,FALSE)</f>
        <v>0</v>
      </c>
      <c r="G149" s="680"/>
      <c r="H149" s="680"/>
      <c r="I149" s="755"/>
      <c r="J149" s="682">
        <f t="shared" si="29"/>
        <v>0</v>
      </c>
      <c r="K149" s="683"/>
      <c r="L149" s="684"/>
      <c r="M149" s="753"/>
      <c r="N149" s="683">
        <v>0</v>
      </c>
      <c r="O149" s="686"/>
      <c r="P149" s="683">
        <v>0</v>
      </c>
      <c r="Q149" s="687">
        <f t="shared" ref="Q149:Q220" si="55">L149+M149</f>
        <v>0</v>
      </c>
      <c r="R149" s="687"/>
      <c r="S149" s="687"/>
      <c r="T149" s="688">
        <v>0</v>
      </c>
      <c r="U149" s="693"/>
      <c r="V149" s="690">
        <f t="shared" si="54"/>
        <v>0</v>
      </c>
      <c r="W149" s="683"/>
      <c r="X149" s="474">
        <f t="shared" si="33"/>
        <v>0</v>
      </c>
      <c r="Y149" s="474">
        <f t="shared" si="34"/>
        <v>0</v>
      </c>
      <c r="Z149" s="475">
        <f t="shared" si="35"/>
        <v>0</v>
      </c>
      <c r="AA149" s="475">
        <v>0</v>
      </c>
      <c r="AB149" s="476">
        <v>0</v>
      </c>
      <c r="AC149" s="38">
        <f t="shared" si="36"/>
        <v>0</v>
      </c>
      <c r="AD149" s="692">
        <f t="shared" si="30"/>
        <v>0</v>
      </c>
      <c r="AE149" s="692">
        <f t="shared" si="31"/>
        <v>0</v>
      </c>
      <c r="AF149" s="692">
        <f t="shared" si="32"/>
        <v>0</v>
      </c>
      <c r="AG149" s="38"/>
      <c r="AH149" s="692">
        <f t="shared" si="37"/>
        <v>0</v>
      </c>
      <c r="AI149" s="692">
        <f t="shared" si="38"/>
        <v>0</v>
      </c>
      <c r="AJ149" s="692">
        <f t="shared" si="39"/>
        <v>0</v>
      </c>
      <c r="AL149" s="38">
        <f t="shared" si="40"/>
        <v>0</v>
      </c>
      <c r="AM149" s="68" t="s">
        <v>626</v>
      </c>
    </row>
    <row r="150" spans="1:39">
      <c r="A150" s="21"/>
      <c r="B150" s="21" t="s">
        <v>109</v>
      </c>
      <c r="C150" s="666"/>
      <c r="D150" s="68" t="s">
        <v>396</v>
      </c>
      <c r="E150" s="679"/>
      <c r="F150" s="529">
        <f>VLOOKUP(D150,'Nov13 Revenue'!D:V,19,FALSE)</f>
        <v>2.7</v>
      </c>
      <c r="G150" s="680"/>
      <c r="H150" s="680"/>
      <c r="I150" s="755"/>
      <c r="J150" s="682">
        <f t="shared" si="29"/>
        <v>2.7</v>
      </c>
      <c r="K150" s="683"/>
      <c r="L150" s="684"/>
      <c r="M150" s="753"/>
      <c r="N150" s="683">
        <v>0</v>
      </c>
      <c r="O150" s="686"/>
      <c r="P150" s="683">
        <v>0</v>
      </c>
      <c r="Q150" s="687">
        <f t="shared" si="55"/>
        <v>0</v>
      </c>
      <c r="R150" s="687"/>
      <c r="S150" s="687"/>
      <c r="T150" s="688">
        <v>0</v>
      </c>
      <c r="U150" s="693"/>
      <c r="V150" s="690">
        <f t="shared" si="54"/>
        <v>0</v>
      </c>
      <c r="W150" s="683"/>
      <c r="X150" s="474">
        <f t="shared" si="33"/>
        <v>0</v>
      </c>
      <c r="Y150" s="474">
        <f t="shared" si="34"/>
        <v>0</v>
      </c>
      <c r="Z150" s="475">
        <f t="shared" si="35"/>
        <v>0</v>
      </c>
      <c r="AA150" s="475">
        <v>0</v>
      </c>
      <c r="AB150" s="476">
        <v>0</v>
      </c>
      <c r="AC150" s="38">
        <f t="shared" si="36"/>
        <v>0</v>
      </c>
      <c r="AD150" s="692">
        <f t="shared" si="30"/>
        <v>0</v>
      </c>
      <c r="AE150" s="692">
        <f t="shared" si="31"/>
        <v>2.7</v>
      </c>
      <c r="AF150" s="692">
        <f t="shared" si="32"/>
        <v>0</v>
      </c>
      <c r="AG150" s="38"/>
      <c r="AH150" s="692">
        <f t="shared" si="37"/>
        <v>0</v>
      </c>
      <c r="AI150" s="692">
        <f t="shared" si="38"/>
        <v>0</v>
      </c>
      <c r="AJ150" s="692">
        <f t="shared" si="39"/>
        <v>0</v>
      </c>
      <c r="AL150" s="38">
        <f t="shared" si="40"/>
        <v>2.7</v>
      </c>
      <c r="AM150" s="68" t="s">
        <v>396</v>
      </c>
    </row>
    <row r="151" spans="1:39">
      <c r="A151" s="20"/>
      <c r="B151" s="20" t="s">
        <v>109</v>
      </c>
      <c r="C151" s="667" t="s">
        <v>557</v>
      </c>
      <c r="D151" s="68" t="s">
        <v>32</v>
      </c>
      <c r="E151" s="679"/>
      <c r="F151" s="529">
        <f>VLOOKUP(D151,'Nov13 Revenue'!D:V,19,FALSE)</f>
        <v>0</v>
      </c>
      <c r="G151" s="680"/>
      <c r="H151" s="680"/>
      <c r="I151" s="755"/>
      <c r="J151" s="682">
        <f t="shared" si="29"/>
        <v>0</v>
      </c>
      <c r="K151" s="683"/>
      <c r="L151" s="684"/>
      <c r="M151" s="753"/>
      <c r="N151" s="683">
        <v>0</v>
      </c>
      <c r="O151" s="686"/>
      <c r="P151" s="683">
        <v>0</v>
      </c>
      <c r="Q151" s="687">
        <f t="shared" si="55"/>
        <v>0</v>
      </c>
      <c r="R151" s="687"/>
      <c r="S151" s="687"/>
      <c r="T151" s="688">
        <f>283.91+0.76</f>
        <v>284.67</v>
      </c>
      <c r="U151" s="693"/>
      <c r="V151" s="690">
        <f t="shared" si="54"/>
        <v>284.67</v>
      </c>
      <c r="W151" s="683"/>
      <c r="X151" s="474">
        <f t="shared" si="33"/>
        <v>0</v>
      </c>
      <c r="Y151" s="474">
        <f t="shared" si="34"/>
        <v>0</v>
      </c>
      <c r="Z151" s="475">
        <f t="shared" si="35"/>
        <v>0</v>
      </c>
      <c r="AA151" s="475">
        <v>0</v>
      </c>
      <c r="AB151" s="476">
        <v>0</v>
      </c>
      <c r="AC151" s="38">
        <f t="shared" si="36"/>
        <v>0</v>
      </c>
      <c r="AD151" s="692">
        <f t="shared" si="30"/>
        <v>0</v>
      </c>
      <c r="AE151" s="692">
        <f t="shared" si="31"/>
        <v>0</v>
      </c>
      <c r="AF151" s="692">
        <f t="shared" si="32"/>
        <v>0</v>
      </c>
      <c r="AG151" s="38"/>
      <c r="AH151" s="692">
        <f t="shared" si="37"/>
        <v>0</v>
      </c>
      <c r="AI151" s="692">
        <f t="shared" si="38"/>
        <v>0</v>
      </c>
      <c r="AJ151" s="692">
        <f t="shared" si="39"/>
        <v>0</v>
      </c>
      <c r="AL151" s="38">
        <f t="shared" si="40"/>
        <v>0</v>
      </c>
      <c r="AM151" s="68" t="s">
        <v>32</v>
      </c>
    </row>
    <row r="152" spans="1:39">
      <c r="A152" s="21"/>
      <c r="B152" s="21" t="s">
        <v>110</v>
      </c>
      <c r="C152" s="666"/>
      <c r="D152" s="68" t="s">
        <v>448</v>
      </c>
      <c r="E152" s="679"/>
      <c r="F152" s="529">
        <f>VLOOKUP(D152,'Nov13 Revenue'!D:V,19,FALSE)</f>
        <v>0</v>
      </c>
      <c r="G152" s="680"/>
      <c r="H152" s="680"/>
      <c r="I152" s="755"/>
      <c r="J152" s="682">
        <f t="shared" si="29"/>
        <v>0</v>
      </c>
      <c r="K152" s="683"/>
      <c r="L152" s="684"/>
      <c r="M152" s="753"/>
      <c r="N152" s="683">
        <v>0</v>
      </c>
      <c r="O152" s="686"/>
      <c r="P152" s="683">
        <v>0</v>
      </c>
      <c r="Q152" s="687">
        <f t="shared" si="55"/>
        <v>0</v>
      </c>
      <c r="R152" s="687"/>
      <c r="S152" s="687"/>
      <c r="T152" s="688">
        <v>0</v>
      </c>
      <c r="U152" s="693"/>
      <c r="V152" s="690">
        <f t="shared" si="54"/>
        <v>0</v>
      </c>
      <c r="W152" s="683"/>
      <c r="X152" s="474">
        <f t="shared" si="33"/>
        <v>0</v>
      </c>
      <c r="Y152" s="474">
        <f t="shared" si="34"/>
        <v>0</v>
      </c>
      <c r="Z152" s="475">
        <f t="shared" si="35"/>
        <v>0</v>
      </c>
      <c r="AA152" s="475">
        <v>0</v>
      </c>
      <c r="AB152" s="476">
        <v>0</v>
      </c>
      <c r="AC152" s="38">
        <f t="shared" si="36"/>
        <v>0</v>
      </c>
      <c r="AD152" s="692">
        <f t="shared" si="30"/>
        <v>0</v>
      </c>
      <c r="AE152" s="692">
        <f t="shared" si="31"/>
        <v>0</v>
      </c>
      <c r="AF152" s="692">
        <f t="shared" si="32"/>
        <v>0</v>
      </c>
      <c r="AG152" s="38"/>
      <c r="AH152" s="692">
        <f t="shared" si="37"/>
        <v>0</v>
      </c>
      <c r="AI152" s="692">
        <f t="shared" si="38"/>
        <v>0</v>
      </c>
      <c r="AJ152" s="692">
        <f t="shared" si="39"/>
        <v>0</v>
      </c>
      <c r="AL152" s="38">
        <f t="shared" si="40"/>
        <v>0</v>
      </c>
      <c r="AM152" s="68" t="s">
        <v>448</v>
      </c>
    </row>
    <row r="153" spans="1:39">
      <c r="A153" s="21"/>
      <c r="B153" s="21" t="s">
        <v>114</v>
      </c>
      <c r="C153" s="666"/>
      <c r="D153" s="68" t="s">
        <v>936</v>
      </c>
      <c r="E153" s="679"/>
      <c r="F153" s="529">
        <f>VLOOKUP(D153,'Nov13 Revenue'!D:V,19,FALSE)</f>
        <v>0</v>
      </c>
      <c r="G153" s="680"/>
      <c r="H153" s="680"/>
      <c r="I153" s="755"/>
      <c r="J153" s="682">
        <f t="shared" si="29"/>
        <v>0</v>
      </c>
      <c r="K153" s="683"/>
      <c r="L153" s="684"/>
      <c r="M153" s="753"/>
      <c r="N153" s="683">
        <v>0</v>
      </c>
      <c r="O153" s="686"/>
      <c r="P153" s="683">
        <v>0</v>
      </c>
      <c r="Q153" s="687">
        <f t="shared" si="55"/>
        <v>0</v>
      </c>
      <c r="R153" s="687"/>
      <c r="S153" s="687"/>
      <c r="T153" s="688">
        <v>0</v>
      </c>
      <c r="U153" s="693"/>
      <c r="V153" s="690">
        <f t="shared" si="54"/>
        <v>0</v>
      </c>
      <c r="W153" s="683"/>
      <c r="X153" s="474">
        <f t="shared" si="33"/>
        <v>0</v>
      </c>
      <c r="Y153" s="474">
        <f t="shared" si="34"/>
        <v>0</v>
      </c>
      <c r="Z153" s="475">
        <f t="shared" si="35"/>
        <v>0</v>
      </c>
      <c r="AA153" s="475">
        <v>0</v>
      </c>
      <c r="AB153" s="476">
        <v>0</v>
      </c>
      <c r="AC153" s="38">
        <f t="shared" si="36"/>
        <v>0</v>
      </c>
      <c r="AD153" s="692">
        <f t="shared" si="30"/>
        <v>0</v>
      </c>
      <c r="AE153" s="692">
        <f t="shared" si="31"/>
        <v>0</v>
      </c>
      <c r="AF153" s="692">
        <f t="shared" si="32"/>
        <v>0</v>
      </c>
      <c r="AG153" s="38"/>
      <c r="AH153" s="692">
        <f t="shared" si="37"/>
        <v>0</v>
      </c>
      <c r="AI153" s="692">
        <f t="shared" si="38"/>
        <v>0</v>
      </c>
      <c r="AJ153" s="692">
        <f t="shared" si="39"/>
        <v>0</v>
      </c>
      <c r="AL153" s="38">
        <f t="shared" si="40"/>
        <v>0</v>
      </c>
      <c r="AM153" s="68" t="s">
        <v>936</v>
      </c>
    </row>
    <row r="154" spans="1:39">
      <c r="A154" s="21"/>
      <c r="B154" s="21" t="s">
        <v>110</v>
      </c>
      <c r="C154" s="666"/>
      <c r="D154" s="68" t="s">
        <v>877</v>
      </c>
      <c r="E154" s="679"/>
      <c r="F154" s="529">
        <f>VLOOKUP(D154,'Nov13 Revenue'!D:V,19,FALSE)</f>
        <v>0</v>
      </c>
      <c r="G154" s="680"/>
      <c r="H154" s="680"/>
      <c r="I154" s="755"/>
      <c r="J154" s="682">
        <f t="shared" si="29"/>
        <v>0</v>
      </c>
      <c r="K154" s="683"/>
      <c r="L154" s="684"/>
      <c r="M154" s="753"/>
      <c r="N154" s="683">
        <v>0</v>
      </c>
      <c r="O154" s="686"/>
      <c r="P154" s="683">
        <v>0</v>
      </c>
      <c r="Q154" s="687">
        <f t="shared" si="55"/>
        <v>0</v>
      </c>
      <c r="R154" s="687"/>
      <c r="S154" s="687"/>
      <c r="T154" s="688">
        <v>0</v>
      </c>
      <c r="U154" s="693"/>
      <c r="V154" s="690">
        <f t="shared" si="54"/>
        <v>0</v>
      </c>
      <c r="W154" s="683"/>
      <c r="X154" s="474">
        <f t="shared" si="33"/>
        <v>0</v>
      </c>
      <c r="Y154" s="474">
        <f t="shared" si="34"/>
        <v>0</v>
      </c>
      <c r="Z154" s="475">
        <f t="shared" si="35"/>
        <v>0</v>
      </c>
      <c r="AA154" s="475">
        <v>0</v>
      </c>
      <c r="AB154" s="476">
        <v>0</v>
      </c>
      <c r="AC154" s="38">
        <f t="shared" si="36"/>
        <v>0</v>
      </c>
      <c r="AD154" s="692">
        <f t="shared" si="30"/>
        <v>0</v>
      </c>
      <c r="AE154" s="692">
        <f t="shared" si="31"/>
        <v>0</v>
      </c>
      <c r="AF154" s="692">
        <f t="shared" si="32"/>
        <v>0</v>
      </c>
      <c r="AG154" s="38"/>
      <c r="AH154" s="692">
        <f t="shared" si="37"/>
        <v>0</v>
      </c>
      <c r="AI154" s="692">
        <f t="shared" si="38"/>
        <v>0</v>
      </c>
      <c r="AJ154" s="692">
        <f t="shared" si="39"/>
        <v>0</v>
      </c>
      <c r="AL154" s="38">
        <f t="shared" si="40"/>
        <v>0</v>
      </c>
      <c r="AM154" s="68" t="s">
        <v>877</v>
      </c>
    </row>
    <row r="155" spans="1:39">
      <c r="A155" s="21"/>
      <c r="B155" s="21" t="s">
        <v>110</v>
      </c>
      <c r="C155" s="666" t="s">
        <v>558</v>
      </c>
      <c r="D155" s="68" t="s">
        <v>122</v>
      </c>
      <c r="E155" s="679"/>
      <c r="F155" s="529">
        <f>VLOOKUP(D155,'Nov13 Revenue'!D:V,19,FALSE)</f>
        <v>0</v>
      </c>
      <c r="G155" s="680"/>
      <c r="H155" s="680"/>
      <c r="I155" s="755"/>
      <c r="J155" s="682">
        <f t="shared" si="29"/>
        <v>0</v>
      </c>
      <c r="K155" s="683"/>
      <c r="L155" s="684"/>
      <c r="M155" s="753"/>
      <c r="N155" s="683">
        <v>0</v>
      </c>
      <c r="O155" s="686"/>
      <c r="P155" s="683">
        <v>0</v>
      </c>
      <c r="Q155" s="687">
        <f t="shared" si="55"/>
        <v>0</v>
      </c>
      <c r="R155" s="687"/>
      <c r="S155" s="687"/>
      <c r="T155" s="688">
        <v>2863.97</v>
      </c>
      <c r="U155" s="693"/>
      <c r="V155" s="690">
        <f t="shared" si="54"/>
        <v>2863.97</v>
      </c>
      <c r="W155" s="683"/>
      <c r="X155" s="474">
        <f t="shared" si="33"/>
        <v>0</v>
      </c>
      <c r="Y155" s="474">
        <f t="shared" si="34"/>
        <v>0</v>
      </c>
      <c r="Z155" s="475">
        <f t="shared" si="35"/>
        <v>0</v>
      </c>
      <c r="AA155" s="475">
        <v>0</v>
      </c>
      <c r="AB155" s="476">
        <v>0</v>
      </c>
      <c r="AC155" s="38">
        <f t="shared" si="36"/>
        <v>0</v>
      </c>
      <c r="AD155" s="692">
        <f t="shared" si="30"/>
        <v>0</v>
      </c>
      <c r="AE155" s="692">
        <f t="shared" si="31"/>
        <v>0</v>
      </c>
      <c r="AF155" s="692">
        <f t="shared" si="32"/>
        <v>0</v>
      </c>
      <c r="AG155" s="38"/>
      <c r="AH155" s="692">
        <f t="shared" si="37"/>
        <v>0</v>
      </c>
      <c r="AI155" s="692">
        <f t="shared" si="38"/>
        <v>0</v>
      </c>
      <c r="AJ155" s="692">
        <f t="shared" si="39"/>
        <v>0</v>
      </c>
      <c r="AL155" s="38">
        <f t="shared" si="40"/>
        <v>0</v>
      </c>
      <c r="AM155" s="68" t="s">
        <v>122</v>
      </c>
    </row>
    <row r="156" spans="1:39">
      <c r="A156" s="21"/>
      <c r="B156" s="21" t="s">
        <v>114</v>
      </c>
      <c r="C156" s="666" t="s">
        <v>558</v>
      </c>
      <c r="D156" s="68" t="s">
        <v>629</v>
      </c>
      <c r="E156" s="679"/>
      <c r="F156" s="529">
        <f>VLOOKUP(D156,'Nov13 Revenue'!D:V,19,FALSE)</f>
        <v>0</v>
      </c>
      <c r="G156" s="680"/>
      <c r="H156" s="680"/>
      <c r="I156" s="755"/>
      <c r="J156" s="682">
        <f t="shared" ref="J156:J224" si="56">SUM(E156:I156)</f>
        <v>0</v>
      </c>
      <c r="K156" s="683"/>
      <c r="L156" s="684"/>
      <c r="M156" s="753"/>
      <c r="N156" s="683">
        <v>0</v>
      </c>
      <c r="O156" s="686"/>
      <c r="P156" s="683">
        <v>0</v>
      </c>
      <c r="Q156" s="687">
        <f t="shared" si="55"/>
        <v>0</v>
      </c>
      <c r="R156" s="687"/>
      <c r="S156" s="687"/>
      <c r="T156" s="688">
        <v>135.77000000000001</v>
      </c>
      <c r="U156" s="693"/>
      <c r="V156" s="690">
        <f t="shared" si="54"/>
        <v>135.77000000000001</v>
      </c>
      <c r="W156" s="683"/>
      <c r="X156" s="474">
        <f t="shared" si="33"/>
        <v>0</v>
      </c>
      <c r="Y156" s="474">
        <f t="shared" si="34"/>
        <v>0</v>
      </c>
      <c r="Z156" s="475">
        <f t="shared" si="35"/>
        <v>0</v>
      </c>
      <c r="AA156" s="475">
        <v>0</v>
      </c>
      <c r="AB156" s="476">
        <v>0</v>
      </c>
      <c r="AC156" s="38">
        <f t="shared" si="36"/>
        <v>0</v>
      </c>
      <c r="AD156" s="692">
        <f t="shared" ref="AD156:AD224" si="57">IF(B156="D",J156,0)</f>
        <v>0</v>
      </c>
      <c r="AE156" s="692">
        <f t="shared" ref="AE156:AE224" si="58">IF(B156="M",J156,0)</f>
        <v>0</v>
      </c>
      <c r="AF156" s="692">
        <f t="shared" ref="AF156:AF224" si="59">IF(B156="V",J156,0)</f>
        <v>0</v>
      </c>
      <c r="AG156" s="38"/>
      <c r="AH156" s="692">
        <f t="shared" si="37"/>
        <v>0</v>
      </c>
      <c r="AI156" s="692">
        <f t="shared" si="38"/>
        <v>0</v>
      </c>
      <c r="AJ156" s="692">
        <f t="shared" si="39"/>
        <v>0</v>
      </c>
      <c r="AL156" s="38">
        <f t="shared" ref="AL156:AL224" si="60">SUM(AD156:AJ156)</f>
        <v>0</v>
      </c>
      <c r="AM156" s="68" t="s">
        <v>629</v>
      </c>
    </row>
    <row r="157" spans="1:39">
      <c r="A157" s="21"/>
      <c r="B157" s="21" t="s">
        <v>109</v>
      </c>
      <c r="C157" s="666" t="s">
        <v>559</v>
      </c>
      <c r="D157" s="68" t="s">
        <v>33</v>
      </c>
      <c r="E157" s="679"/>
      <c r="F157" s="529">
        <f>VLOOKUP(D157,'Nov13 Revenue'!D:V,19,FALSE)</f>
        <v>0</v>
      </c>
      <c r="G157" s="680"/>
      <c r="H157" s="680"/>
      <c r="I157" s="755"/>
      <c r="J157" s="682">
        <f t="shared" si="56"/>
        <v>0</v>
      </c>
      <c r="K157" s="683"/>
      <c r="L157" s="684"/>
      <c r="M157" s="753"/>
      <c r="N157" s="683">
        <v>0</v>
      </c>
      <c r="O157" s="686"/>
      <c r="P157" s="683">
        <v>0</v>
      </c>
      <c r="Q157" s="687">
        <f t="shared" si="55"/>
        <v>0</v>
      </c>
      <c r="R157" s="687"/>
      <c r="S157" s="687"/>
      <c r="T157" s="688">
        <v>0</v>
      </c>
      <c r="U157" s="693"/>
      <c r="V157" s="690">
        <f t="shared" si="54"/>
        <v>0</v>
      </c>
      <c r="W157" s="683"/>
      <c r="X157" s="474">
        <f t="shared" si="33"/>
        <v>0</v>
      </c>
      <c r="Y157" s="474">
        <f t="shared" si="34"/>
        <v>0</v>
      </c>
      <c r="Z157" s="475">
        <f t="shared" si="35"/>
        <v>0</v>
      </c>
      <c r="AA157" s="475">
        <v>0</v>
      </c>
      <c r="AB157" s="476">
        <v>0</v>
      </c>
      <c r="AC157" s="38">
        <f t="shared" si="36"/>
        <v>0</v>
      </c>
      <c r="AD157" s="692">
        <f t="shared" si="57"/>
        <v>0</v>
      </c>
      <c r="AE157" s="692">
        <f t="shared" si="58"/>
        <v>0</v>
      </c>
      <c r="AF157" s="692">
        <f t="shared" si="59"/>
        <v>0</v>
      </c>
      <c r="AG157" s="38"/>
      <c r="AH157" s="692">
        <f t="shared" ref="AH157:AH225" si="61">IF(B157="D",Q157,0)</f>
        <v>0</v>
      </c>
      <c r="AI157" s="692">
        <f t="shared" ref="AI157:AI225" si="62">IF(B157="M",Q157,0)</f>
        <v>0</v>
      </c>
      <c r="AJ157" s="692">
        <f t="shared" ref="AJ157:AJ225" si="63">IF(B157="V",Q157,0)</f>
        <v>0</v>
      </c>
      <c r="AL157" s="38">
        <f t="shared" si="60"/>
        <v>0</v>
      </c>
      <c r="AM157" s="68" t="s">
        <v>33</v>
      </c>
    </row>
    <row r="158" spans="1:39">
      <c r="A158" s="21"/>
      <c r="B158" s="21" t="s">
        <v>109</v>
      </c>
      <c r="C158" s="666" t="s">
        <v>560</v>
      </c>
      <c r="D158" s="68" t="s">
        <v>379</v>
      </c>
      <c r="E158" s="679"/>
      <c r="F158" s="529">
        <f>VLOOKUP(D158,'Nov13 Revenue'!D:V,19,FALSE)</f>
        <v>0</v>
      </c>
      <c r="G158" s="680"/>
      <c r="H158" s="680"/>
      <c r="I158" s="755"/>
      <c r="J158" s="682">
        <f t="shared" si="56"/>
        <v>0</v>
      </c>
      <c r="K158" s="683"/>
      <c r="L158" s="684"/>
      <c r="M158" s="753"/>
      <c r="N158" s="683">
        <v>0</v>
      </c>
      <c r="O158" s="686"/>
      <c r="P158" s="683">
        <v>0</v>
      </c>
      <c r="Q158" s="687">
        <f t="shared" si="55"/>
        <v>0</v>
      </c>
      <c r="R158" s="687"/>
      <c r="S158" s="687"/>
      <c r="T158" s="688">
        <v>0</v>
      </c>
      <c r="U158" s="693"/>
      <c r="V158" s="690">
        <f t="shared" si="54"/>
        <v>0</v>
      </c>
      <c r="W158" s="683"/>
      <c r="X158" s="474">
        <f t="shared" ref="X158:X226" si="64">IF(B158="D",Q158,0)</f>
        <v>0</v>
      </c>
      <c r="Y158" s="474">
        <f t="shared" ref="Y158:Y226" si="65">IF(B158="M",Q158,0)</f>
        <v>0</v>
      </c>
      <c r="Z158" s="475">
        <f t="shared" ref="Z158:Z226" si="66">IF(B158="V",Q158,0)</f>
        <v>0</v>
      </c>
      <c r="AA158" s="475">
        <v>0</v>
      </c>
      <c r="AB158" s="476">
        <v>0</v>
      </c>
      <c r="AC158" s="38">
        <f t="shared" ref="AC158:AC226" si="67">(L158+M158)-(X158+Y158+Z158+AA158+AB158)</f>
        <v>0</v>
      </c>
      <c r="AD158" s="692">
        <f t="shared" si="57"/>
        <v>0</v>
      </c>
      <c r="AE158" s="692">
        <f t="shared" si="58"/>
        <v>0</v>
      </c>
      <c r="AF158" s="692">
        <f t="shared" si="59"/>
        <v>0</v>
      </c>
      <c r="AG158" s="38"/>
      <c r="AH158" s="692">
        <f t="shared" si="61"/>
        <v>0</v>
      </c>
      <c r="AI158" s="692">
        <f t="shared" si="62"/>
        <v>0</v>
      </c>
      <c r="AJ158" s="692">
        <f t="shared" si="63"/>
        <v>0</v>
      </c>
      <c r="AL158" s="38">
        <f t="shared" si="60"/>
        <v>0</v>
      </c>
      <c r="AM158" s="68" t="s">
        <v>379</v>
      </c>
    </row>
    <row r="159" spans="1:39" s="232" customFormat="1">
      <c r="A159" s="283"/>
      <c r="B159" s="283" t="s">
        <v>114</v>
      </c>
      <c r="C159" s="667"/>
      <c r="D159" s="567" t="s">
        <v>408</v>
      </c>
      <c r="E159" s="679"/>
      <c r="F159" s="529">
        <f>VLOOKUP(D159,'Nov13 Revenue'!D:V,19,FALSE)</f>
        <v>0</v>
      </c>
      <c r="G159" s="680"/>
      <c r="H159" s="680"/>
      <c r="I159" s="770">
        <v>11502</v>
      </c>
      <c r="J159" s="682">
        <f t="shared" si="56"/>
        <v>11502</v>
      </c>
      <c r="K159" s="683"/>
      <c r="L159" s="684"/>
      <c r="M159" s="753"/>
      <c r="N159" s="683">
        <v>0</v>
      </c>
      <c r="O159" s="686"/>
      <c r="P159" s="683">
        <v>0</v>
      </c>
      <c r="Q159" s="687">
        <f t="shared" si="55"/>
        <v>0</v>
      </c>
      <c r="R159" s="687"/>
      <c r="S159" s="687"/>
      <c r="T159" s="688">
        <v>0</v>
      </c>
      <c r="U159" s="693"/>
      <c r="V159" s="690">
        <f t="shared" si="54"/>
        <v>0</v>
      </c>
      <c r="W159" s="683"/>
      <c r="X159" s="474">
        <f t="shared" si="64"/>
        <v>0</v>
      </c>
      <c r="Y159" s="474">
        <f t="shared" si="65"/>
        <v>0</v>
      </c>
      <c r="Z159" s="475">
        <f t="shared" si="66"/>
        <v>0</v>
      </c>
      <c r="AA159" s="475">
        <v>0</v>
      </c>
      <c r="AB159" s="476">
        <v>0</v>
      </c>
      <c r="AC159" s="38">
        <f t="shared" si="67"/>
        <v>0</v>
      </c>
      <c r="AD159" s="692">
        <f t="shared" si="57"/>
        <v>0</v>
      </c>
      <c r="AE159" s="692">
        <f t="shared" si="58"/>
        <v>0</v>
      </c>
      <c r="AF159" s="692">
        <f t="shared" si="59"/>
        <v>11502</v>
      </c>
      <c r="AG159" s="38"/>
      <c r="AH159" s="692">
        <f t="shared" si="61"/>
        <v>0</v>
      </c>
      <c r="AI159" s="692">
        <f t="shared" si="62"/>
        <v>0</v>
      </c>
      <c r="AJ159" s="692">
        <f t="shared" si="63"/>
        <v>0</v>
      </c>
      <c r="AL159" s="38">
        <f t="shared" si="60"/>
        <v>11502</v>
      </c>
      <c r="AM159" s="567" t="s">
        <v>408</v>
      </c>
    </row>
    <row r="160" spans="1:39" s="232" customFormat="1">
      <c r="A160" s="283"/>
      <c r="B160" s="283" t="s">
        <v>110</v>
      </c>
      <c r="C160" s="667"/>
      <c r="D160" s="567" t="s">
        <v>1053</v>
      </c>
      <c r="E160" s="679"/>
      <c r="F160" s="529">
        <v>0</v>
      </c>
      <c r="G160" s="680"/>
      <c r="H160" s="680"/>
      <c r="I160" s="755"/>
      <c r="J160" s="682">
        <f t="shared" si="56"/>
        <v>0</v>
      </c>
      <c r="K160" s="683"/>
      <c r="L160" s="684"/>
      <c r="M160" s="753"/>
      <c r="N160" s="683">
        <v>0</v>
      </c>
      <c r="O160" s="686"/>
      <c r="P160" s="683">
        <v>0</v>
      </c>
      <c r="Q160" s="687">
        <f t="shared" si="55"/>
        <v>0</v>
      </c>
      <c r="R160" s="687"/>
      <c r="S160" s="687"/>
      <c r="T160" s="688">
        <v>34925.800000000003</v>
      </c>
      <c r="U160" s="693"/>
      <c r="V160" s="690">
        <f t="shared" si="54"/>
        <v>34925.800000000003</v>
      </c>
      <c r="W160" s="683"/>
      <c r="X160" s="474">
        <f t="shared" si="64"/>
        <v>0</v>
      </c>
      <c r="Y160" s="474">
        <f t="shared" si="65"/>
        <v>0</v>
      </c>
      <c r="Z160" s="475">
        <f t="shared" si="66"/>
        <v>0</v>
      </c>
      <c r="AA160" s="475">
        <v>0</v>
      </c>
      <c r="AB160" s="476">
        <v>0</v>
      </c>
      <c r="AC160" s="38">
        <f t="shared" si="67"/>
        <v>0</v>
      </c>
      <c r="AD160" s="692">
        <f t="shared" si="57"/>
        <v>0</v>
      </c>
      <c r="AE160" s="692">
        <f t="shared" si="58"/>
        <v>0</v>
      </c>
      <c r="AF160" s="692">
        <f t="shared" si="59"/>
        <v>0</v>
      </c>
      <c r="AG160" s="38"/>
      <c r="AH160" s="692">
        <f t="shared" si="61"/>
        <v>0</v>
      </c>
      <c r="AI160" s="692">
        <f t="shared" si="62"/>
        <v>0</v>
      </c>
      <c r="AJ160" s="692">
        <f t="shared" si="63"/>
        <v>0</v>
      </c>
      <c r="AL160" s="38">
        <f t="shared" si="60"/>
        <v>0</v>
      </c>
      <c r="AM160" s="567" t="s">
        <v>445</v>
      </c>
    </row>
    <row r="161" spans="1:39" s="232" customFormat="1">
      <c r="A161" s="283"/>
      <c r="B161" s="283" t="s">
        <v>109</v>
      </c>
      <c r="C161" s="667" t="s">
        <v>562</v>
      </c>
      <c r="D161" s="567" t="s">
        <v>480</v>
      </c>
      <c r="E161" s="679"/>
      <c r="F161" s="529">
        <f>VLOOKUP(D161,'Nov13 Revenue'!D:V,19,FALSE)</f>
        <v>0</v>
      </c>
      <c r="G161" s="680"/>
      <c r="H161" s="680"/>
      <c r="I161" s="770">
        <v>11010.93</v>
      </c>
      <c r="J161" s="682">
        <f t="shared" si="56"/>
        <v>11010.93</v>
      </c>
      <c r="K161" s="683"/>
      <c r="L161" s="684"/>
      <c r="M161" s="753"/>
      <c r="N161" s="683">
        <v>0</v>
      </c>
      <c r="O161" s="686"/>
      <c r="P161" s="683">
        <v>0</v>
      </c>
      <c r="Q161" s="687">
        <f t="shared" si="55"/>
        <v>0</v>
      </c>
      <c r="R161" s="687"/>
      <c r="S161" s="687"/>
      <c r="T161" s="688">
        <v>0</v>
      </c>
      <c r="U161" s="693"/>
      <c r="V161" s="690">
        <f t="shared" si="54"/>
        <v>0</v>
      </c>
      <c r="W161" s="683"/>
      <c r="X161" s="474">
        <f t="shared" si="64"/>
        <v>0</v>
      </c>
      <c r="Y161" s="474">
        <f t="shared" si="65"/>
        <v>0</v>
      </c>
      <c r="Z161" s="475">
        <f t="shared" si="66"/>
        <v>0</v>
      </c>
      <c r="AA161" s="475">
        <v>0</v>
      </c>
      <c r="AB161" s="476">
        <v>0</v>
      </c>
      <c r="AC161" s="38">
        <f t="shared" si="67"/>
        <v>0</v>
      </c>
      <c r="AD161" s="692">
        <f t="shared" si="57"/>
        <v>0</v>
      </c>
      <c r="AE161" s="692">
        <f t="shared" si="58"/>
        <v>11010.93</v>
      </c>
      <c r="AF161" s="692">
        <f t="shared" si="59"/>
        <v>0</v>
      </c>
      <c r="AG161" s="38"/>
      <c r="AH161" s="692">
        <f t="shared" si="61"/>
        <v>0</v>
      </c>
      <c r="AI161" s="692">
        <f t="shared" si="62"/>
        <v>0</v>
      </c>
      <c r="AJ161" s="692">
        <f t="shared" si="63"/>
        <v>0</v>
      </c>
      <c r="AL161" s="38">
        <f t="shared" si="60"/>
        <v>11010.93</v>
      </c>
      <c r="AM161" s="567" t="s">
        <v>480</v>
      </c>
    </row>
    <row r="162" spans="1:39" s="232" customFormat="1">
      <c r="A162" s="403"/>
      <c r="B162" s="403" t="s">
        <v>109</v>
      </c>
      <c r="C162" s="666" t="s">
        <v>563</v>
      </c>
      <c r="D162" s="807" t="s">
        <v>327</v>
      </c>
      <c r="E162" s="679"/>
      <c r="F162" s="529">
        <f>VLOOKUP(D162,'Nov13 Revenue'!D:V,19,FALSE)</f>
        <v>-11168.099999999999</v>
      </c>
      <c r="G162" s="680"/>
      <c r="H162" s="680"/>
      <c r="I162" s="755"/>
      <c r="J162" s="682">
        <f t="shared" si="56"/>
        <v>-11168.099999999999</v>
      </c>
      <c r="K162" s="683"/>
      <c r="L162" s="684"/>
      <c r="M162" s="753">
        <v>50000</v>
      </c>
      <c r="N162" s="683">
        <v>0</v>
      </c>
      <c r="O162" s="686"/>
      <c r="P162" s="683">
        <v>0</v>
      </c>
      <c r="Q162" s="687">
        <f t="shared" si="55"/>
        <v>50000</v>
      </c>
      <c r="R162" s="687"/>
      <c r="S162" s="687"/>
      <c r="T162" s="688">
        <v>42236.45</v>
      </c>
      <c r="U162" s="693"/>
      <c r="V162" s="690">
        <f t="shared" si="54"/>
        <v>-7763.5500000000029</v>
      </c>
      <c r="W162" s="683"/>
      <c r="X162" s="474">
        <f t="shared" si="64"/>
        <v>0</v>
      </c>
      <c r="Y162" s="474">
        <f t="shared" si="65"/>
        <v>50000</v>
      </c>
      <c r="Z162" s="475">
        <f t="shared" si="66"/>
        <v>0</v>
      </c>
      <c r="AA162" s="475">
        <v>0</v>
      </c>
      <c r="AB162" s="476">
        <v>0</v>
      </c>
      <c r="AC162" s="38">
        <f t="shared" si="67"/>
        <v>0</v>
      </c>
      <c r="AD162" s="692">
        <f t="shared" si="57"/>
        <v>0</v>
      </c>
      <c r="AE162" s="692">
        <f t="shared" si="58"/>
        <v>-11168.099999999999</v>
      </c>
      <c r="AF162" s="692">
        <f t="shared" si="59"/>
        <v>0</v>
      </c>
      <c r="AG162" s="38"/>
      <c r="AH162" s="692">
        <f t="shared" si="61"/>
        <v>0</v>
      </c>
      <c r="AI162" s="692">
        <f t="shared" si="62"/>
        <v>50000</v>
      </c>
      <c r="AJ162" s="692">
        <f t="shared" si="63"/>
        <v>0</v>
      </c>
      <c r="AL162" s="38">
        <f t="shared" si="60"/>
        <v>38831.9</v>
      </c>
      <c r="AM162" s="807" t="s">
        <v>327</v>
      </c>
    </row>
    <row r="163" spans="1:39" s="232" customFormat="1">
      <c r="A163" s="403"/>
      <c r="B163" s="403" t="s">
        <v>110</v>
      </c>
      <c r="C163" s="666" t="s">
        <v>563</v>
      </c>
      <c r="D163" s="123" t="s">
        <v>637</v>
      </c>
      <c r="E163" s="679"/>
      <c r="F163" s="529">
        <f>VLOOKUP(D163,'Nov13 Revenue'!D:V,19,FALSE)</f>
        <v>0</v>
      </c>
      <c r="G163" s="680"/>
      <c r="H163" s="680"/>
      <c r="I163" s="755"/>
      <c r="J163" s="682">
        <f t="shared" si="56"/>
        <v>0</v>
      </c>
      <c r="K163" s="683"/>
      <c r="L163" s="684"/>
      <c r="M163" s="753"/>
      <c r="N163" s="683">
        <v>0</v>
      </c>
      <c r="O163" s="686"/>
      <c r="P163" s="683">
        <v>0</v>
      </c>
      <c r="Q163" s="687">
        <f t="shared" si="55"/>
        <v>0</v>
      </c>
      <c r="R163" s="687"/>
      <c r="S163" s="687"/>
      <c r="T163" s="688">
        <v>0</v>
      </c>
      <c r="U163" s="693"/>
      <c r="V163" s="690">
        <f t="shared" si="54"/>
        <v>0</v>
      </c>
      <c r="W163" s="683"/>
      <c r="X163" s="474">
        <f t="shared" si="64"/>
        <v>0</v>
      </c>
      <c r="Y163" s="474">
        <f t="shared" si="65"/>
        <v>0</v>
      </c>
      <c r="Z163" s="475">
        <f t="shared" si="66"/>
        <v>0</v>
      </c>
      <c r="AA163" s="475">
        <v>0</v>
      </c>
      <c r="AB163" s="476">
        <v>0</v>
      </c>
      <c r="AC163" s="38">
        <f t="shared" si="67"/>
        <v>0</v>
      </c>
      <c r="AD163" s="692">
        <f t="shared" si="57"/>
        <v>0</v>
      </c>
      <c r="AE163" s="692">
        <f t="shared" si="58"/>
        <v>0</v>
      </c>
      <c r="AF163" s="692">
        <f t="shared" si="59"/>
        <v>0</v>
      </c>
      <c r="AG163" s="38"/>
      <c r="AH163" s="692">
        <f t="shared" si="61"/>
        <v>0</v>
      </c>
      <c r="AI163" s="692">
        <f t="shared" si="62"/>
        <v>0</v>
      </c>
      <c r="AJ163" s="692">
        <f t="shared" si="63"/>
        <v>0</v>
      </c>
      <c r="AL163" s="38">
        <f t="shared" si="60"/>
        <v>0</v>
      </c>
      <c r="AM163" s="123" t="s">
        <v>637</v>
      </c>
    </row>
    <row r="164" spans="1:39">
      <c r="A164" s="21" t="s">
        <v>212</v>
      </c>
      <c r="B164" s="21" t="s">
        <v>110</v>
      </c>
      <c r="C164" s="666"/>
      <c r="D164" s="68" t="s">
        <v>232</v>
      </c>
      <c r="E164" s="679"/>
      <c r="F164" s="529">
        <f>VLOOKUP(D164,'Nov13 Revenue'!D:V,19,FALSE)</f>
        <v>-10000</v>
      </c>
      <c r="G164" s="680"/>
      <c r="H164" s="680"/>
      <c r="I164" s="755"/>
      <c r="J164" s="682">
        <f t="shared" si="56"/>
        <v>-10000</v>
      </c>
      <c r="K164" s="683"/>
      <c r="L164" s="684"/>
      <c r="M164" s="753">
        <v>15000</v>
      </c>
      <c r="N164" s="683">
        <v>0</v>
      </c>
      <c r="O164" s="686"/>
      <c r="P164" s="683">
        <v>0</v>
      </c>
      <c r="Q164" s="687">
        <f t="shared" si="55"/>
        <v>15000</v>
      </c>
      <c r="R164" s="687"/>
      <c r="S164" s="687"/>
      <c r="T164" s="688">
        <v>0</v>
      </c>
      <c r="U164" s="693"/>
      <c r="V164" s="690">
        <f t="shared" si="54"/>
        <v>-15000</v>
      </c>
      <c r="W164" s="683"/>
      <c r="X164" s="474">
        <f t="shared" si="64"/>
        <v>15000</v>
      </c>
      <c r="Y164" s="474">
        <f t="shared" si="65"/>
        <v>0</v>
      </c>
      <c r="Z164" s="475">
        <f t="shared" si="66"/>
        <v>0</v>
      </c>
      <c r="AA164" s="475">
        <v>0</v>
      </c>
      <c r="AB164" s="476">
        <v>0</v>
      </c>
      <c r="AC164" s="38">
        <f t="shared" si="67"/>
        <v>0</v>
      </c>
      <c r="AD164" s="692">
        <f t="shared" si="57"/>
        <v>-10000</v>
      </c>
      <c r="AE164" s="692">
        <f t="shared" si="58"/>
        <v>0</v>
      </c>
      <c r="AF164" s="692">
        <f t="shared" si="59"/>
        <v>0</v>
      </c>
      <c r="AG164" s="38"/>
      <c r="AH164" s="692">
        <f t="shared" si="61"/>
        <v>15000</v>
      </c>
      <c r="AI164" s="692">
        <f t="shared" si="62"/>
        <v>0</v>
      </c>
      <c r="AJ164" s="692">
        <f t="shared" si="63"/>
        <v>0</v>
      </c>
      <c r="AL164" s="38">
        <f t="shared" si="60"/>
        <v>5000</v>
      </c>
      <c r="AM164" s="68" t="s">
        <v>232</v>
      </c>
    </row>
    <row r="165" spans="1:39" hidden="1">
      <c r="A165" s="21"/>
      <c r="B165" s="21" t="s">
        <v>109</v>
      </c>
      <c r="C165" s="666" t="s">
        <v>564</v>
      </c>
      <c r="D165" s="68" t="s">
        <v>876</v>
      </c>
      <c r="E165" s="679"/>
      <c r="F165" s="529">
        <f>VLOOKUP(D165,'Nov13 Revenue'!D:V,19,FALSE)</f>
        <v>0</v>
      </c>
      <c r="G165" s="680"/>
      <c r="H165" s="680"/>
      <c r="I165" s="755"/>
      <c r="J165" s="682">
        <f t="shared" si="56"/>
        <v>0</v>
      </c>
      <c r="K165" s="683"/>
      <c r="L165" s="684"/>
      <c r="M165" s="753"/>
      <c r="N165" s="683">
        <v>0</v>
      </c>
      <c r="O165" s="686"/>
      <c r="P165" s="683">
        <v>0</v>
      </c>
      <c r="Q165" s="687">
        <f t="shared" si="55"/>
        <v>0</v>
      </c>
      <c r="R165" s="687"/>
      <c r="S165" s="687"/>
      <c r="T165" s="688">
        <v>0</v>
      </c>
      <c r="U165" s="693"/>
      <c r="V165" s="690">
        <f t="shared" si="54"/>
        <v>0</v>
      </c>
      <c r="W165" s="683"/>
      <c r="X165" s="474">
        <f t="shared" si="64"/>
        <v>0</v>
      </c>
      <c r="Y165" s="474">
        <f t="shared" si="65"/>
        <v>0</v>
      </c>
      <c r="Z165" s="475">
        <f t="shared" si="66"/>
        <v>0</v>
      </c>
      <c r="AA165" s="475">
        <v>0</v>
      </c>
      <c r="AB165" s="476">
        <v>0</v>
      </c>
      <c r="AC165" s="38">
        <f t="shared" si="67"/>
        <v>0</v>
      </c>
      <c r="AD165" s="692">
        <f t="shared" si="57"/>
        <v>0</v>
      </c>
      <c r="AE165" s="692">
        <f t="shared" si="58"/>
        <v>0</v>
      </c>
      <c r="AF165" s="692">
        <f t="shared" si="59"/>
        <v>0</v>
      </c>
      <c r="AG165" s="38"/>
      <c r="AH165" s="692">
        <f t="shared" si="61"/>
        <v>0</v>
      </c>
      <c r="AI165" s="692">
        <f t="shared" si="62"/>
        <v>0</v>
      </c>
      <c r="AJ165" s="692">
        <f t="shared" si="63"/>
        <v>0</v>
      </c>
      <c r="AL165" s="38">
        <f t="shared" si="60"/>
        <v>0</v>
      </c>
      <c r="AM165" s="68" t="s">
        <v>876</v>
      </c>
    </row>
    <row r="166" spans="1:39" hidden="1">
      <c r="A166" s="21"/>
      <c r="B166" s="21" t="s">
        <v>109</v>
      </c>
      <c r="C166" s="666" t="s">
        <v>564</v>
      </c>
      <c r="D166" s="68" t="s">
        <v>307</v>
      </c>
      <c r="E166" s="679"/>
      <c r="F166" s="529">
        <f>VLOOKUP(D166,'Nov13 Revenue'!D:V,19,FALSE)</f>
        <v>0</v>
      </c>
      <c r="G166" s="680"/>
      <c r="H166" s="680"/>
      <c r="I166" s="755"/>
      <c r="J166" s="682">
        <f t="shared" si="56"/>
        <v>0</v>
      </c>
      <c r="K166" s="683"/>
      <c r="L166" s="684"/>
      <c r="M166" s="753"/>
      <c r="N166" s="683">
        <v>0</v>
      </c>
      <c r="O166" s="686"/>
      <c r="P166" s="683">
        <v>0</v>
      </c>
      <c r="Q166" s="687">
        <f t="shared" si="55"/>
        <v>0</v>
      </c>
      <c r="R166" s="687"/>
      <c r="S166" s="687"/>
      <c r="T166" s="688">
        <v>0</v>
      </c>
      <c r="U166" s="693"/>
      <c r="V166" s="690">
        <f t="shared" si="54"/>
        <v>0</v>
      </c>
      <c r="W166" s="683"/>
      <c r="X166" s="474">
        <f t="shared" si="64"/>
        <v>0</v>
      </c>
      <c r="Y166" s="474">
        <f t="shared" si="65"/>
        <v>0</v>
      </c>
      <c r="Z166" s="475">
        <f t="shared" si="66"/>
        <v>0</v>
      </c>
      <c r="AA166" s="475">
        <v>0</v>
      </c>
      <c r="AB166" s="476">
        <v>0</v>
      </c>
      <c r="AC166" s="38">
        <f t="shared" si="67"/>
        <v>0</v>
      </c>
      <c r="AD166" s="692">
        <f t="shared" si="57"/>
        <v>0</v>
      </c>
      <c r="AE166" s="692">
        <f t="shared" si="58"/>
        <v>0</v>
      </c>
      <c r="AF166" s="692">
        <f t="shared" si="59"/>
        <v>0</v>
      </c>
      <c r="AG166" s="38"/>
      <c r="AH166" s="692">
        <f t="shared" si="61"/>
        <v>0</v>
      </c>
      <c r="AI166" s="692">
        <f t="shared" si="62"/>
        <v>0</v>
      </c>
      <c r="AJ166" s="692">
        <f t="shared" si="63"/>
        <v>0</v>
      </c>
      <c r="AL166" s="38">
        <f t="shared" si="60"/>
        <v>0</v>
      </c>
      <c r="AM166" s="68" t="s">
        <v>307</v>
      </c>
    </row>
    <row r="167" spans="1:39">
      <c r="A167" s="21"/>
      <c r="B167" s="21" t="s">
        <v>109</v>
      </c>
      <c r="C167" s="666" t="s">
        <v>565</v>
      </c>
      <c r="D167" s="68" t="s">
        <v>485</v>
      </c>
      <c r="E167" s="679"/>
      <c r="F167" s="529">
        <f>VLOOKUP(D167,'Nov13 Revenue'!D:V,19,FALSE)</f>
        <v>-32911.120000000003</v>
      </c>
      <c r="G167" s="680"/>
      <c r="H167" s="680"/>
      <c r="I167" s="755"/>
      <c r="J167" s="682">
        <f t="shared" si="56"/>
        <v>-32911.120000000003</v>
      </c>
      <c r="K167" s="683"/>
      <c r="L167" s="684"/>
      <c r="M167" s="753">
        <v>65000</v>
      </c>
      <c r="N167" s="683"/>
      <c r="O167" s="686"/>
      <c r="P167" s="683"/>
      <c r="Q167" s="687">
        <f t="shared" si="55"/>
        <v>65000</v>
      </c>
      <c r="R167" s="687"/>
      <c r="S167" s="687"/>
      <c r="T167" s="688">
        <f>2236.74+877.86+8775.71+337.5+13520.79+13681.07+110.01+195.44+238.25+211.4+59339.08</f>
        <v>99523.85</v>
      </c>
      <c r="U167" s="693"/>
      <c r="V167" s="690">
        <f t="shared" si="54"/>
        <v>34523.850000000006</v>
      </c>
      <c r="W167" s="683"/>
      <c r="X167" s="474">
        <f t="shared" si="64"/>
        <v>0</v>
      </c>
      <c r="Y167" s="474">
        <f t="shared" si="65"/>
        <v>65000</v>
      </c>
      <c r="Z167" s="475">
        <f t="shared" si="66"/>
        <v>0</v>
      </c>
      <c r="AA167" s="475">
        <v>0</v>
      </c>
      <c r="AB167" s="476">
        <v>0</v>
      </c>
      <c r="AC167" s="38">
        <f t="shared" si="67"/>
        <v>0</v>
      </c>
      <c r="AD167" s="692">
        <f t="shared" si="57"/>
        <v>0</v>
      </c>
      <c r="AE167" s="692">
        <f t="shared" si="58"/>
        <v>-32911.120000000003</v>
      </c>
      <c r="AF167" s="692">
        <f t="shared" si="59"/>
        <v>0</v>
      </c>
      <c r="AG167" s="38"/>
      <c r="AH167" s="692">
        <f t="shared" si="61"/>
        <v>0</v>
      </c>
      <c r="AI167" s="692">
        <f t="shared" si="62"/>
        <v>65000</v>
      </c>
      <c r="AJ167" s="692">
        <f t="shared" si="63"/>
        <v>0</v>
      </c>
      <c r="AL167" s="38">
        <f t="shared" si="60"/>
        <v>32088.879999999997</v>
      </c>
      <c r="AM167" s="68" t="s">
        <v>485</v>
      </c>
    </row>
    <row r="168" spans="1:39" s="232" customFormat="1">
      <c r="A168" s="403"/>
      <c r="B168" s="403" t="s">
        <v>109</v>
      </c>
      <c r="C168" s="666"/>
      <c r="D168" s="123" t="s">
        <v>220</v>
      </c>
      <c r="E168" s="679"/>
      <c r="F168" s="529">
        <f>VLOOKUP(D168,'Nov13 Revenue'!D:V,19,FALSE)</f>
        <v>0</v>
      </c>
      <c r="G168" s="680"/>
      <c r="H168" s="680"/>
      <c r="I168" s="755"/>
      <c r="J168" s="682">
        <f t="shared" si="56"/>
        <v>0</v>
      </c>
      <c r="K168" s="683"/>
      <c r="L168" s="684"/>
      <c r="M168" s="753"/>
      <c r="N168" s="683">
        <v>0</v>
      </c>
      <c r="O168" s="686"/>
      <c r="P168" s="683">
        <v>0</v>
      </c>
      <c r="Q168" s="687">
        <f t="shared" si="55"/>
        <v>0</v>
      </c>
      <c r="R168" s="687"/>
      <c r="S168" s="687"/>
      <c r="T168" s="688">
        <v>0</v>
      </c>
      <c r="U168" s="693"/>
      <c r="V168" s="690">
        <f t="shared" si="54"/>
        <v>0</v>
      </c>
      <c r="W168" s="683"/>
      <c r="X168" s="474">
        <f t="shared" si="64"/>
        <v>0</v>
      </c>
      <c r="Y168" s="474">
        <f t="shared" si="65"/>
        <v>0</v>
      </c>
      <c r="Z168" s="475">
        <f t="shared" si="66"/>
        <v>0</v>
      </c>
      <c r="AA168" s="475">
        <v>0</v>
      </c>
      <c r="AB168" s="476">
        <v>0</v>
      </c>
      <c r="AC168" s="38">
        <f t="shared" si="67"/>
        <v>0</v>
      </c>
      <c r="AD168" s="692">
        <f t="shared" si="57"/>
        <v>0</v>
      </c>
      <c r="AE168" s="692">
        <f t="shared" si="58"/>
        <v>0</v>
      </c>
      <c r="AF168" s="692">
        <f t="shared" si="59"/>
        <v>0</v>
      </c>
      <c r="AG168" s="38"/>
      <c r="AH168" s="692">
        <f t="shared" si="61"/>
        <v>0</v>
      </c>
      <c r="AI168" s="692">
        <f t="shared" si="62"/>
        <v>0</v>
      </c>
      <c r="AJ168" s="692">
        <f t="shared" si="63"/>
        <v>0</v>
      </c>
      <c r="AL168" s="38">
        <f t="shared" si="60"/>
        <v>0</v>
      </c>
      <c r="AM168" s="123" t="s">
        <v>220</v>
      </c>
    </row>
    <row r="169" spans="1:39" s="24" customFormat="1" hidden="1">
      <c r="A169" s="472"/>
      <c r="B169" s="21" t="s">
        <v>109</v>
      </c>
      <c r="C169" s="666"/>
      <c r="D169" s="68" t="s">
        <v>505</v>
      </c>
      <c r="E169" s="679"/>
      <c r="F169" s="529">
        <f>VLOOKUP(D169,'Nov13 Revenue'!D:V,19,FALSE)</f>
        <v>0</v>
      </c>
      <c r="G169" s="680"/>
      <c r="H169" s="680"/>
      <c r="I169" s="755"/>
      <c r="J169" s="682">
        <f t="shared" si="56"/>
        <v>0</v>
      </c>
      <c r="K169" s="698"/>
      <c r="L169" s="684"/>
      <c r="M169" s="753"/>
      <c r="N169" s="698">
        <v>0</v>
      </c>
      <c r="O169" s="686"/>
      <c r="P169" s="698">
        <v>0</v>
      </c>
      <c r="Q169" s="700">
        <f t="shared" si="55"/>
        <v>0</v>
      </c>
      <c r="R169" s="700"/>
      <c r="S169" s="700"/>
      <c r="T169" s="688">
        <v>0</v>
      </c>
      <c r="U169" s="701"/>
      <c r="V169" s="690">
        <f t="shared" si="54"/>
        <v>0</v>
      </c>
      <c r="W169" s="698"/>
      <c r="X169" s="474">
        <f t="shared" si="64"/>
        <v>0</v>
      </c>
      <c r="Y169" s="474">
        <f t="shared" si="65"/>
        <v>0</v>
      </c>
      <c r="Z169" s="475">
        <f t="shared" si="66"/>
        <v>0</v>
      </c>
      <c r="AA169" s="475">
        <v>0</v>
      </c>
      <c r="AB169" s="476">
        <v>0</v>
      </c>
      <c r="AC169" s="38">
        <f t="shared" si="67"/>
        <v>0</v>
      </c>
      <c r="AD169" s="692">
        <f t="shared" si="57"/>
        <v>0</v>
      </c>
      <c r="AE169" s="692">
        <f t="shared" si="58"/>
        <v>0</v>
      </c>
      <c r="AF169" s="692">
        <f t="shared" si="59"/>
        <v>0</v>
      </c>
      <c r="AG169" s="38"/>
      <c r="AH169" s="692">
        <f t="shared" si="61"/>
        <v>0</v>
      </c>
      <c r="AI169" s="692">
        <f t="shared" si="62"/>
        <v>0</v>
      </c>
      <c r="AJ169" s="692">
        <f t="shared" si="63"/>
        <v>0</v>
      </c>
      <c r="AL169" s="38">
        <f t="shared" si="60"/>
        <v>0</v>
      </c>
      <c r="AM169" s="68" t="s">
        <v>505</v>
      </c>
    </row>
    <row r="170" spans="1:39">
      <c r="A170" s="21"/>
      <c r="B170" s="21" t="s">
        <v>110</v>
      </c>
      <c r="C170" s="666"/>
      <c r="D170" s="68" t="s">
        <v>185</v>
      </c>
      <c r="E170" s="679"/>
      <c r="F170" s="529">
        <f>VLOOKUP(D170,'Nov13 Revenue'!D:V,19,FALSE)</f>
        <v>0</v>
      </c>
      <c r="G170" s="680"/>
      <c r="H170" s="680"/>
      <c r="I170" s="755"/>
      <c r="J170" s="682">
        <f t="shared" si="56"/>
        <v>0</v>
      </c>
      <c r="K170" s="683"/>
      <c r="L170" s="684"/>
      <c r="M170" s="753"/>
      <c r="N170" s="683">
        <v>0</v>
      </c>
      <c r="O170" s="686"/>
      <c r="P170" s="683">
        <v>0</v>
      </c>
      <c r="Q170" s="687">
        <f t="shared" si="55"/>
        <v>0</v>
      </c>
      <c r="R170" s="687"/>
      <c r="S170" s="687"/>
      <c r="T170" s="688">
        <v>0</v>
      </c>
      <c r="U170" s="693"/>
      <c r="V170" s="690">
        <f t="shared" si="54"/>
        <v>0</v>
      </c>
      <c r="W170" s="683"/>
      <c r="X170" s="474">
        <f t="shared" si="64"/>
        <v>0</v>
      </c>
      <c r="Y170" s="474">
        <f t="shared" si="65"/>
        <v>0</v>
      </c>
      <c r="Z170" s="475">
        <f t="shared" si="66"/>
        <v>0</v>
      </c>
      <c r="AA170" s="475">
        <v>0</v>
      </c>
      <c r="AB170" s="476">
        <v>0</v>
      </c>
      <c r="AC170" s="38">
        <f t="shared" si="67"/>
        <v>0</v>
      </c>
      <c r="AD170" s="692">
        <f t="shared" si="57"/>
        <v>0</v>
      </c>
      <c r="AE170" s="692">
        <f t="shared" si="58"/>
        <v>0</v>
      </c>
      <c r="AF170" s="692">
        <f t="shared" si="59"/>
        <v>0</v>
      </c>
      <c r="AG170" s="38"/>
      <c r="AH170" s="692">
        <f t="shared" si="61"/>
        <v>0</v>
      </c>
      <c r="AI170" s="692">
        <f t="shared" si="62"/>
        <v>0</v>
      </c>
      <c r="AJ170" s="692">
        <f t="shared" si="63"/>
        <v>0</v>
      </c>
      <c r="AL170" s="38">
        <f t="shared" si="60"/>
        <v>0</v>
      </c>
      <c r="AM170" s="68" t="s">
        <v>185</v>
      </c>
    </row>
    <row r="171" spans="1:39">
      <c r="A171" s="21"/>
      <c r="B171" s="21" t="s">
        <v>110</v>
      </c>
      <c r="C171" s="21"/>
      <c r="D171" s="68" t="s">
        <v>186</v>
      </c>
      <c r="E171" s="679"/>
      <c r="F171" s="529">
        <f>VLOOKUP(D171,'Nov13 Revenue'!D:V,19,FALSE)</f>
        <v>0</v>
      </c>
      <c r="G171" s="680"/>
      <c r="H171" s="680"/>
      <c r="I171" s="755"/>
      <c r="J171" s="682">
        <f t="shared" si="56"/>
        <v>0</v>
      </c>
      <c r="K171" s="683"/>
      <c r="L171" s="684"/>
      <c r="M171" s="753"/>
      <c r="N171" s="683">
        <v>0</v>
      </c>
      <c r="O171" s="686"/>
      <c r="P171" s="683">
        <v>0</v>
      </c>
      <c r="Q171" s="687">
        <f t="shared" si="55"/>
        <v>0</v>
      </c>
      <c r="R171" s="687"/>
      <c r="S171" s="687"/>
      <c r="T171" s="688">
        <v>0</v>
      </c>
      <c r="U171" s="693"/>
      <c r="V171" s="690">
        <f t="shared" si="54"/>
        <v>0</v>
      </c>
      <c r="W171" s="683"/>
      <c r="X171" s="474">
        <f t="shared" si="64"/>
        <v>0</v>
      </c>
      <c r="Y171" s="474">
        <f t="shared" si="65"/>
        <v>0</v>
      </c>
      <c r="Z171" s="475">
        <f t="shared" si="66"/>
        <v>0</v>
      </c>
      <c r="AA171" s="475">
        <v>0</v>
      </c>
      <c r="AB171" s="476">
        <v>0</v>
      </c>
      <c r="AC171" s="38">
        <f t="shared" si="67"/>
        <v>0</v>
      </c>
      <c r="AD171" s="692">
        <f t="shared" si="57"/>
        <v>0</v>
      </c>
      <c r="AE171" s="692">
        <f t="shared" si="58"/>
        <v>0</v>
      </c>
      <c r="AF171" s="692">
        <f t="shared" si="59"/>
        <v>0</v>
      </c>
      <c r="AG171" s="38"/>
      <c r="AH171" s="692">
        <f t="shared" si="61"/>
        <v>0</v>
      </c>
      <c r="AI171" s="692">
        <f t="shared" si="62"/>
        <v>0</v>
      </c>
      <c r="AJ171" s="692">
        <f t="shared" si="63"/>
        <v>0</v>
      </c>
      <c r="AL171" s="38">
        <f t="shared" si="60"/>
        <v>0</v>
      </c>
      <c r="AM171" s="68" t="s">
        <v>186</v>
      </c>
    </row>
    <row r="172" spans="1:39">
      <c r="A172" s="21"/>
      <c r="B172" s="21" t="s">
        <v>110</v>
      </c>
      <c r="C172" s="666"/>
      <c r="D172" s="68" t="s">
        <v>449</v>
      </c>
      <c r="E172" s="679"/>
      <c r="F172" s="529">
        <f>VLOOKUP(D172,'Nov13 Revenue'!D:V,19,FALSE)</f>
        <v>0</v>
      </c>
      <c r="G172" s="680"/>
      <c r="H172" s="680"/>
      <c r="I172" s="755"/>
      <c r="J172" s="682">
        <f t="shared" si="56"/>
        <v>0</v>
      </c>
      <c r="K172" s="683"/>
      <c r="L172" s="684"/>
      <c r="M172" s="753"/>
      <c r="N172" s="683">
        <v>0</v>
      </c>
      <c r="O172" s="686"/>
      <c r="P172" s="683">
        <v>0</v>
      </c>
      <c r="Q172" s="687">
        <f t="shared" si="55"/>
        <v>0</v>
      </c>
      <c r="R172" s="687"/>
      <c r="S172" s="687"/>
      <c r="T172" s="688">
        <v>0</v>
      </c>
      <c r="U172" s="693"/>
      <c r="V172" s="690">
        <f t="shared" si="54"/>
        <v>0</v>
      </c>
      <c r="W172" s="683"/>
      <c r="X172" s="474">
        <f t="shared" si="64"/>
        <v>0</v>
      </c>
      <c r="Y172" s="474">
        <f t="shared" si="65"/>
        <v>0</v>
      </c>
      <c r="Z172" s="475">
        <f t="shared" si="66"/>
        <v>0</v>
      </c>
      <c r="AA172" s="475">
        <v>0</v>
      </c>
      <c r="AB172" s="476">
        <v>0</v>
      </c>
      <c r="AC172" s="38">
        <f t="shared" si="67"/>
        <v>0</v>
      </c>
      <c r="AD172" s="692">
        <f t="shared" si="57"/>
        <v>0</v>
      </c>
      <c r="AE172" s="692">
        <f t="shared" si="58"/>
        <v>0</v>
      </c>
      <c r="AF172" s="692">
        <f t="shared" si="59"/>
        <v>0</v>
      </c>
      <c r="AG172" s="38"/>
      <c r="AH172" s="692">
        <f t="shared" si="61"/>
        <v>0</v>
      </c>
      <c r="AI172" s="692">
        <f t="shared" si="62"/>
        <v>0</v>
      </c>
      <c r="AJ172" s="692">
        <f t="shared" si="63"/>
        <v>0</v>
      </c>
      <c r="AL172" s="38">
        <f t="shared" si="60"/>
        <v>0</v>
      </c>
      <c r="AM172" s="68" t="s">
        <v>449</v>
      </c>
    </row>
    <row r="173" spans="1:39">
      <c r="A173" s="21"/>
      <c r="B173" s="21" t="s">
        <v>110</v>
      </c>
      <c r="C173" s="666" t="s">
        <v>566</v>
      </c>
      <c r="D173" s="68" t="s">
        <v>39</v>
      </c>
      <c r="E173" s="679"/>
      <c r="F173" s="529">
        <f>VLOOKUP(D173,'Nov13 Revenue'!D:V,19,FALSE)</f>
        <v>290.69000000000051</v>
      </c>
      <c r="G173" s="680"/>
      <c r="H173" s="680"/>
      <c r="I173" s="755"/>
      <c r="J173" s="682">
        <f t="shared" si="56"/>
        <v>290.69000000000051</v>
      </c>
      <c r="K173" s="683"/>
      <c r="L173" s="684"/>
      <c r="M173" s="753"/>
      <c r="N173" s="683">
        <v>0</v>
      </c>
      <c r="O173" s="686"/>
      <c r="P173" s="683">
        <v>0</v>
      </c>
      <c r="Q173" s="687">
        <f t="shared" si="55"/>
        <v>0</v>
      </c>
      <c r="R173" s="687"/>
      <c r="S173" s="687"/>
      <c r="T173" s="688">
        <v>10909.82</v>
      </c>
      <c r="U173" s="693"/>
      <c r="V173" s="690">
        <f t="shared" si="54"/>
        <v>10909.82</v>
      </c>
      <c r="W173" s="683"/>
      <c r="X173" s="474">
        <f t="shared" si="64"/>
        <v>0</v>
      </c>
      <c r="Y173" s="474">
        <f t="shared" si="65"/>
        <v>0</v>
      </c>
      <c r="Z173" s="475">
        <f t="shared" si="66"/>
        <v>0</v>
      </c>
      <c r="AA173" s="475">
        <v>0</v>
      </c>
      <c r="AB173" s="476">
        <v>0</v>
      </c>
      <c r="AC173" s="38">
        <f t="shared" si="67"/>
        <v>0</v>
      </c>
      <c r="AD173" s="692">
        <f t="shared" si="57"/>
        <v>290.69000000000051</v>
      </c>
      <c r="AE173" s="692">
        <f t="shared" si="58"/>
        <v>0</v>
      </c>
      <c r="AF173" s="692">
        <f t="shared" si="59"/>
        <v>0</v>
      </c>
      <c r="AG173" s="38"/>
      <c r="AH173" s="692">
        <f t="shared" si="61"/>
        <v>0</v>
      </c>
      <c r="AI173" s="692">
        <f t="shared" si="62"/>
        <v>0</v>
      </c>
      <c r="AJ173" s="692">
        <f t="shared" si="63"/>
        <v>0</v>
      </c>
      <c r="AL173" s="38">
        <f t="shared" si="60"/>
        <v>290.69000000000051</v>
      </c>
      <c r="AM173" s="68" t="s">
        <v>39</v>
      </c>
    </row>
    <row r="174" spans="1:39" s="232" customFormat="1">
      <c r="A174" s="403"/>
      <c r="B174" s="403" t="s">
        <v>109</v>
      </c>
      <c r="C174" s="666"/>
      <c r="D174" s="68" t="s">
        <v>1039</v>
      </c>
      <c r="E174" s="679">
        <v>33181.379999999997</v>
      </c>
      <c r="F174" s="529">
        <v>0</v>
      </c>
      <c r="G174" s="680"/>
      <c r="H174" s="680"/>
      <c r="I174" s="755"/>
      <c r="J174" s="682">
        <f t="shared" ref="J174" si="68">SUM(E174:I174)</f>
        <v>33181.379999999997</v>
      </c>
      <c r="K174" s="683"/>
      <c r="L174" s="684"/>
      <c r="M174" s="753"/>
      <c r="N174" s="683">
        <v>0</v>
      </c>
      <c r="O174" s="686"/>
      <c r="P174" s="683">
        <v>0</v>
      </c>
      <c r="Q174" s="687">
        <f t="shared" ref="Q174" si="69">L174+M174</f>
        <v>0</v>
      </c>
      <c r="R174" s="687"/>
      <c r="S174" s="687"/>
      <c r="T174" s="688">
        <v>0</v>
      </c>
      <c r="U174" s="693"/>
      <c r="V174" s="690">
        <f t="shared" si="54"/>
        <v>0</v>
      </c>
      <c r="W174" s="683"/>
      <c r="X174" s="474">
        <f t="shared" ref="X174" si="70">IF(B174="D",Q174,0)</f>
        <v>0</v>
      </c>
      <c r="Y174" s="474">
        <f t="shared" ref="Y174" si="71">IF(B174="M",Q174,0)</f>
        <v>0</v>
      </c>
      <c r="Z174" s="475">
        <f t="shared" ref="Z174" si="72">IF(B174="V",Q174,0)</f>
        <v>0</v>
      </c>
      <c r="AA174" s="475">
        <v>0</v>
      </c>
      <c r="AB174" s="476">
        <v>0</v>
      </c>
      <c r="AC174" s="38">
        <f t="shared" ref="AC174" si="73">(L174+M174)-(X174+Y174+Z174+AA174+AB174)</f>
        <v>0</v>
      </c>
      <c r="AD174" s="692">
        <f t="shared" ref="AD174" si="74">IF(B174="D",J174,0)</f>
        <v>0</v>
      </c>
      <c r="AE174" s="692">
        <f t="shared" ref="AE174" si="75">IF(B174="M",J174,0)</f>
        <v>33181.379999999997</v>
      </c>
      <c r="AF174" s="692">
        <f t="shared" ref="AF174" si="76">IF(B174="V",J174,0)</f>
        <v>0</v>
      </c>
      <c r="AG174" s="38"/>
      <c r="AH174" s="692">
        <f t="shared" ref="AH174" si="77">IF(B174="D",Q174,0)</f>
        <v>0</v>
      </c>
      <c r="AI174" s="692">
        <f t="shared" ref="AI174" si="78">IF(B174="M",Q174,0)</f>
        <v>0</v>
      </c>
      <c r="AJ174" s="692">
        <f t="shared" ref="AJ174" si="79">IF(B174="V",Q174,0)</f>
        <v>0</v>
      </c>
      <c r="AL174" s="38">
        <f t="shared" ref="AL174" si="80">SUM(AD174:AJ174)</f>
        <v>33181.379999999997</v>
      </c>
      <c r="AM174" s="123" t="s">
        <v>220</v>
      </c>
    </row>
    <row r="175" spans="1:39">
      <c r="A175" s="21"/>
      <c r="B175" s="21" t="s">
        <v>110</v>
      </c>
      <c r="C175" s="666" t="s">
        <v>567</v>
      </c>
      <c r="D175" s="68" t="s">
        <v>435</v>
      </c>
      <c r="E175" s="679"/>
      <c r="F175" s="529">
        <f>VLOOKUP(D175,'Nov13 Revenue'!D:V,19,FALSE)</f>
        <v>502.89999999999418</v>
      </c>
      <c r="G175" s="680"/>
      <c r="H175" s="680"/>
      <c r="I175" s="755">
        <v>0</v>
      </c>
      <c r="J175" s="682">
        <f t="shared" si="56"/>
        <v>502.89999999999418</v>
      </c>
      <c r="K175" s="683"/>
      <c r="L175" s="684"/>
      <c r="M175" s="753">
        <v>120000</v>
      </c>
      <c r="N175" s="683">
        <v>0</v>
      </c>
      <c r="O175" s="686"/>
      <c r="P175" s="683">
        <v>0</v>
      </c>
      <c r="Q175" s="687">
        <f t="shared" si="55"/>
        <v>120000</v>
      </c>
      <c r="R175" s="687"/>
      <c r="S175" s="687"/>
      <c r="T175" s="688">
        <v>118838.01</v>
      </c>
      <c r="U175" s="693"/>
      <c r="V175" s="690">
        <f t="shared" si="54"/>
        <v>-1161.9900000000052</v>
      </c>
      <c r="W175" s="683"/>
      <c r="X175" s="474">
        <f t="shared" si="64"/>
        <v>120000</v>
      </c>
      <c r="Y175" s="474">
        <f t="shared" si="65"/>
        <v>0</v>
      </c>
      <c r="Z175" s="475">
        <f t="shared" si="66"/>
        <v>0</v>
      </c>
      <c r="AA175" s="475">
        <v>0</v>
      </c>
      <c r="AB175" s="476">
        <v>0</v>
      </c>
      <c r="AC175" s="38">
        <f t="shared" si="67"/>
        <v>0</v>
      </c>
      <c r="AD175" s="692">
        <f t="shared" si="57"/>
        <v>502.89999999999418</v>
      </c>
      <c r="AE175" s="692">
        <f t="shared" si="58"/>
        <v>0</v>
      </c>
      <c r="AF175" s="692">
        <f t="shared" si="59"/>
        <v>0</v>
      </c>
      <c r="AG175" s="38"/>
      <c r="AH175" s="692">
        <f t="shared" si="61"/>
        <v>120000</v>
      </c>
      <c r="AI175" s="692">
        <f t="shared" si="62"/>
        <v>0</v>
      </c>
      <c r="AJ175" s="692">
        <f t="shared" si="63"/>
        <v>0</v>
      </c>
      <c r="AL175" s="38">
        <f t="shared" si="60"/>
        <v>120502.9</v>
      </c>
      <c r="AM175" s="68" t="s">
        <v>435</v>
      </c>
    </row>
    <row r="176" spans="1:39">
      <c r="A176" s="21"/>
      <c r="B176" s="21" t="s">
        <v>110</v>
      </c>
      <c r="C176" s="675" t="s">
        <v>584</v>
      </c>
      <c r="D176" s="806" t="s">
        <v>99</v>
      </c>
      <c r="E176" s="679">
        <v>10636.57</v>
      </c>
      <c r="F176" s="529">
        <f>VLOOKUP(D176,'Nov13 Revenue'!D:V,19,FALSE)</f>
        <v>-20000</v>
      </c>
      <c r="G176" s="680"/>
      <c r="H176" s="680"/>
      <c r="I176" s="755"/>
      <c r="J176" s="682">
        <f t="shared" si="56"/>
        <v>-9363.43</v>
      </c>
      <c r="K176" s="683"/>
      <c r="L176" s="684"/>
      <c r="M176" s="753">
        <v>20000</v>
      </c>
      <c r="N176" s="683">
        <v>0</v>
      </c>
      <c r="O176" s="686"/>
      <c r="P176" s="683">
        <v>0</v>
      </c>
      <c r="Q176" s="687">
        <f t="shared" si="55"/>
        <v>20000</v>
      </c>
      <c r="R176" s="687"/>
      <c r="S176" s="687"/>
      <c r="T176" s="688">
        <v>10457.66</v>
      </c>
      <c r="U176" s="693"/>
      <c r="V176" s="690">
        <f t="shared" si="54"/>
        <v>-9542.34</v>
      </c>
      <c r="W176" s="683"/>
      <c r="X176" s="474">
        <f t="shared" si="64"/>
        <v>20000</v>
      </c>
      <c r="Y176" s="474">
        <f t="shared" si="65"/>
        <v>0</v>
      </c>
      <c r="Z176" s="475">
        <f t="shared" si="66"/>
        <v>0</v>
      </c>
      <c r="AA176" s="475">
        <v>0</v>
      </c>
      <c r="AB176" s="476">
        <v>0</v>
      </c>
      <c r="AC176" s="38">
        <f t="shared" si="67"/>
        <v>0</v>
      </c>
      <c r="AD176" s="692">
        <f t="shared" si="57"/>
        <v>-9363.43</v>
      </c>
      <c r="AE176" s="692">
        <f>IF(B176="M",J176,0)</f>
        <v>0</v>
      </c>
      <c r="AF176" s="692">
        <f t="shared" si="59"/>
        <v>0</v>
      </c>
      <c r="AG176" s="38"/>
      <c r="AH176" s="692">
        <f t="shared" si="61"/>
        <v>20000</v>
      </c>
      <c r="AI176" s="692">
        <f t="shared" si="62"/>
        <v>0</v>
      </c>
      <c r="AJ176" s="692">
        <f t="shared" si="63"/>
        <v>0</v>
      </c>
      <c r="AL176" s="38">
        <f t="shared" si="60"/>
        <v>10636.57</v>
      </c>
      <c r="AM176" s="806" t="s">
        <v>99</v>
      </c>
    </row>
    <row r="177" spans="1:39" s="232" customFormat="1">
      <c r="A177" s="403"/>
      <c r="B177" s="403" t="s">
        <v>110</v>
      </c>
      <c r="C177" s="666"/>
      <c r="D177" s="813" t="s">
        <v>966</v>
      </c>
      <c r="E177" s="818">
        <v>152131.10999999999</v>
      </c>
      <c r="F177" s="529">
        <f>VLOOKUP(D177,'Nov13 Revenue'!D:V,19,FALSE)</f>
        <v>-300000</v>
      </c>
      <c r="G177" s="818"/>
      <c r="H177" s="818"/>
      <c r="I177" s="755"/>
      <c r="J177" s="818">
        <f t="shared" si="56"/>
        <v>-147868.89000000001</v>
      </c>
      <c r="K177" s="683"/>
      <c r="L177" s="684"/>
      <c r="M177" s="818">
        <v>0</v>
      </c>
      <c r="N177" s="683">
        <v>0</v>
      </c>
      <c r="O177" s="686"/>
      <c r="P177" s="683">
        <v>0</v>
      </c>
      <c r="Q177" s="687">
        <f t="shared" si="55"/>
        <v>0</v>
      </c>
      <c r="R177" s="687"/>
      <c r="S177" s="687"/>
      <c r="T177" s="688">
        <v>0</v>
      </c>
      <c r="U177" s="693"/>
      <c r="V177" s="690">
        <f t="shared" si="54"/>
        <v>0</v>
      </c>
      <c r="W177" s="683"/>
      <c r="X177" s="474">
        <f t="shared" si="64"/>
        <v>0</v>
      </c>
      <c r="Y177" s="474">
        <f t="shared" si="65"/>
        <v>0</v>
      </c>
      <c r="Z177" s="475">
        <f t="shared" si="66"/>
        <v>0</v>
      </c>
      <c r="AA177" s="475">
        <v>0</v>
      </c>
      <c r="AB177" s="476">
        <v>0</v>
      </c>
      <c r="AC177" s="38">
        <f t="shared" si="67"/>
        <v>0</v>
      </c>
      <c r="AD177" s="692">
        <f t="shared" si="57"/>
        <v>-147868.89000000001</v>
      </c>
      <c r="AE177" s="692">
        <f t="shared" si="58"/>
        <v>0</v>
      </c>
      <c r="AF177" s="692">
        <f t="shared" si="59"/>
        <v>0</v>
      </c>
      <c r="AG177" s="38"/>
      <c r="AH177" s="692">
        <f t="shared" si="61"/>
        <v>0</v>
      </c>
      <c r="AI177" s="692">
        <f t="shared" si="62"/>
        <v>0</v>
      </c>
      <c r="AJ177" s="692">
        <f t="shared" si="63"/>
        <v>0</v>
      </c>
      <c r="AL177" s="38">
        <f t="shared" si="60"/>
        <v>-147868.89000000001</v>
      </c>
      <c r="AM177" s="813" t="s">
        <v>966</v>
      </c>
    </row>
    <row r="178" spans="1:39" s="232" customFormat="1">
      <c r="A178" s="403"/>
      <c r="B178" s="403" t="s">
        <v>110</v>
      </c>
      <c r="C178" s="666" t="s">
        <v>568</v>
      </c>
      <c r="D178" s="807" t="s">
        <v>303</v>
      </c>
      <c r="E178" s="679">
        <f>3937.39+295300.09</f>
        <v>299237.48000000004</v>
      </c>
      <c r="F178" s="529">
        <f>VLOOKUP(D178,'Nov13 Revenue'!D:V,19,FALSE)</f>
        <v>-600000</v>
      </c>
      <c r="G178" s="680"/>
      <c r="H178" s="680"/>
      <c r="I178" s="755"/>
      <c r="J178" s="682">
        <f t="shared" si="56"/>
        <v>-300762.51999999996</v>
      </c>
      <c r="K178" s="683"/>
      <c r="L178" s="684"/>
      <c r="M178" s="753">
        <v>400000</v>
      </c>
      <c r="N178" s="683">
        <v>0</v>
      </c>
      <c r="O178" s="686"/>
      <c r="P178" s="683">
        <v>0</v>
      </c>
      <c r="Q178" s="687">
        <f t="shared" si="55"/>
        <v>400000</v>
      </c>
      <c r="R178" s="687"/>
      <c r="S178" s="687"/>
      <c r="T178" s="688">
        <v>374738.88</v>
      </c>
      <c r="U178" s="693"/>
      <c r="V178" s="690">
        <f t="shared" si="54"/>
        <v>-25261.119999999995</v>
      </c>
      <c r="W178" s="683"/>
      <c r="X178" s="474">
        <f t="shared" si="64"/>
        <v>400000</v>
      </c>
      <c r="Y178" s="474">
        <f t="shared" si="65"/>
        <v>0</v>
      </c>
      <c r="Z178" s="475">
        <f t="shared" si="66"/>
        <v>0</v>
      </c>
      <c r="AA178" s="475">
        <v>0</v>
      </c>
      <c r="AB178" s="476">
        <v>0</v>
      </c>
      <c r="AC178" s="38">
        <f t="shared" si="67"/>
        <v>0</v>
      </c>
      <c r="AD178" s="692">
        <f t="shared" si="57"/>
        <v>-300762.51999999996</v>
      </c>
      <c r="AE178" s="692">
        <f t="shared" si="58"/>
        <v>0</v>
      </c>
      <c r="AF178" s="692">
        <f t="shared" si="59"/>
        <v>0</v>
      </c>
      <c r="AG178" s="38"/>
      <c r="AH178" s="692">
        <f t="shared" si="61"/>
        <v>400000</v>
      </c>
      <c r="AI178" s="692">
        <f t="shared" si="62"/>
        <v>0</v>
      </c>
      <c r="AJ178" s="692">
        <f t="shared" si="63"/>
        <v>0</v>
      </c>
      <c r="AL178" s="38">
        <f t="shared" si="60"/>
        <v>99237.48000000004</v>
      </c>
      <c r="AM178" s="807" t="s">
        <v>303</v>
      </c>
    </row>
    <row r="179" spans="1:39" s="232" customFormat="1">
      <c r="A179" s="403"/>
      <c r="B179" s="403" t="s">
        <v>110</v>
      </c>
      <c r="C179" s="666"/>
      <c r="D179" s="807" t="s">
        <v>856</v>
      </c>
      <c r="E179" s="679"/>
      <c r="F179" s="529">
        <f>VLOOKUP(D179,'Nov13 Revenue'!D:V,19,FALSE)</f>
        <v>0</v>
      </c>
      <c r="G179" s="680"/>
      <c r="H179" s="680"/>
      <c r="I179" s="755"/>
      <c r="J179" s="682">
        <f t="shared" si="56"/>
        <v>0</v>
      </c>
      <c r="K179" s="683"/>
      <c r="L179" s="684"/>
      <c r="M179" s="753"/>
      <c r="N179" s="683">
        <v>0</v>
      </c>
      <c r="O179" s="686"/>
      <c r="P179" s="683">
        <v>0</v>
      </c>
      <c r="Q179" s="687">
        <f t="shared" si="55"/>
        <v>0</v>
      </c>
      <c r="R179" s="687"/>
      <c r="S179" s="687"/>
      <c r="T179" s="688">
        <v>0</v>
      </c>
      <c r="U179" s="693"/>
      <c r="V179" s="690">
        <f t="shared" si="54"/>
        <v>0</v>
      </c>
      <c r="W179" s="683"/>
      <c r="X179" s="474">
        <f t="shared" si="64"/>
        <v>0</v>
      </c>
      <c r="Y179" s="474">
        <f t="shared" si="65"/>
        <v>0</v>
      </c>
      <c r="Z179" s="475">
        <f t="shared" si="66"/>
        <v>0</v>
      </c>
      <c r="AA179" s="475">
        <v>0</v>
      </c>
      <c r="AB179" s="476">
        <v>0</v>
      </c>
      <c r="AC179" s="38">
        <f t="shared" si="67"/>
        <v>0</v>
      </c>
      <c r="AD179" s="692">
        <f t="shared" si="57"/>
        <v>0</v>
      </c>
      <c r="AE179" s="692">
        <f t="shared" si="58"/>
        <v>0</v>
      </c>
      <c r="AF179" s="692">
        <f t="shared" si="59"/>
        <v>0</v>
      </c>
      <c r="AG179" s="38"/>
      <c r="AH179" s="692">
        <f t="shared" si="61"/>
        <v>0</v>
      </c>
      <c r="AI179" s="692">
        <f t="shared" si="62"/>
        <v>0</v>
      </c>
      <c r="AJ179" s="692">
        <f t="shared" si="63"/>
        <v>0</v>
      </c>
      <c r="AL179" s="38">
        <f t="shared" si="60"/>
        <v>0</v>
      </c>
      <c r="AM179" s="807" t="s">
        <v>856</v>
      </c>
    </row>
    <row r="180" spans="1:39" s="232" customFormat="1">
      <c r="A180" s="403"/>
      <c r="B180" s="403" t="s">
        <v>109</v>
      </c>
      <c r="C180" s="666" t="s">
        <v>569</v>
      </c>
      <c r="D180" s="123" t="s">
        <v>468</v>
      </c>
      <c r="E180" s="679"/>
      <c r="F180" s="529">
        <f>VLOOKUP(D180,'Nov13 Revenue'!D:V,19,FALSE)</f>
        <v>0</v>
      </c>
      <c r="G180" s="680"/>
      <c r="H180" s="680"/>
      <c r="I180" s="755"/>
      <c r="J180" s="682">
        <f t="shared" si="56"/>
        <v>0</v>
      </c>
      <c r="K180" s="683"/>
      <c r="L180" s="684"/>
      <c r="M180" s="753"/>
      <c r="N180" s="683">
        <v>0</v>
      </c>
      <c r="O180" s="686"/>
      <c r="P180" s="683">
        <v>0</v>
      </c>
      <c r="Q180" s="687">
        <f t="shared" si="55"/>
        <v>0</v>
      </c>
      <c r="R180" s="687"/>
      <c r="S180" s="687"/>
      <c r="T180" s="688">
        <v>0</v>
      </c>
      <c r="U180" s="693"/>
      <c r="V180" s="690">
        <f t="shared" si="54"/>
        <v>0</v>
      </c>
      <c r="W180" s="683"/>
      <c r="X180" s="474">
        <f t="shared" si="64"/>
        <v>0</v>
      </c>
      <c r="Y180" s="474">
        <f t="shared" si="65"/>
        <v>0</v>
      </c>
      <c r="Z180" s="475">
        <f t="shared" si="66"/>
        <v>0</v>
      </c>
      <c r="AA180" s="475">
        <v>0</v>
      </c>
      <c r="AB180" s="476">
        <v>0</v>
      </c>
      <c r="AC180" s="38">
        <f t="shared" si="67"/>
        <v>0</v>
      </c>
      <c r="AD180" s="692">
        <f t="shared" si="57"/>
        <v>0</v>
      </c>
      <c r="AE180" s="692">
        <f t="shared" si="58"/>
        <v>0</v>
      </c>
      <c r="AF180" s="692">
        <f t="shared" si="59"/>
        <v>0</v>
      </c>
      <c r="AG180" s="38"/>
      <c r="AH180" s="692">
        <f t="shared" si="61"/>
        <v>0</v>
      </c>
      <c r="AI180" s="692">
        <f t="shared" si="62"/>
        <v>0</v>
      </c>
      <c r="AJ180" s="692">
        <f t="shared" si="63"/>
        <v>0</v>
      </c>
      <c r="AL180" s="38">
        <f t="shared" si="60"/>
        <v>0</v>
      </c>
      <c r="AM180" s="123" t="s">
        <v>468</v>
      </c>
    </row>
    <row r="181" spans="1:39">
      <c r="A181" s="20"/>
      <c r="B181" s="20" t="s">
        <v>110</v>
      </c>
      <c r="C181" s="676" t="s">
        <v>844</v>
      </c>
      <c r="D181" s="68" t="s">
        <v>845</v>
      </c>
      <c r="E181" s="679"/>
      <c r="F181" s="529">
        <f>VLOOKUP(D181,'Nov13 Revenue'!D:V,19,FALSE)</f>
        <v>0</v>
      </c>
      <c r="G181" s="680"/>
      <c r="H181" s="680"/>
      <c r="I181" s="755"/>
      <c r="J181" s="682">
        <f t="shared" si="56"/>
        <v>0</v>
      </c>
      <c r="K181" s="683"/>
      <c r="L181" s="684"/>
      <c r="M181" s="753"/>
      <c r="N181" s="683">
        <v>0</v>
      </c>
      <c r="O181" s="686"/>
      <c r="P181" s="683">
        <v>0</v>
      </c>
      <c r="Q181" s="687">
        <f t="shared" si="55"/>
        <v>0</v>
      </c>
      <c r="R181" s="687"/>
      <c r="S181" s="687"/>
      <c r="T181" s="688">
        <v>0</v>
      </c>
      <c r="U181" s="693"/>
      <c r="V181" s="690">
        <f t="shared" si="54"/>
        <v>0</v>
      </c>
      <c r="W181" s="683"/>
      <c r="X181" s="474">
        <f t="shared" si="64"/>
        <v>0</v>
      </c>
      <c r="Y181" s="474">
        <f t="shared" si="65"/>
        <v>0</v>
      </c>
      <c r="Z181" s="475">
        <f t="shared" si="66"/>
        <v>0</v>
      </c>
      <c r="AA181" s="475">
        <v>0</v>
      </c>
      <c r="AB181" s="476">
        <v>0</v>
      </c>
      <c r="AC181" s="38">
        <f t="shared" si="67"/>
        <v>0</v>
      </c>
      <c r="AD181" s="692">
        <f t="shared" si="57"/>
        <v>0</v>
      </c>
      <c r="AE181" s="692">
        <f t="shared" si="58"/>
        <v>0</v>
      </c>
      <c r="AF181" s="692">
        <f t="shared" si="59"/>
        <v>0</v>
      </c>
      <c r="AG181" s="38"/>
      <c r="AH181" s="692">
        <f t="shared" si="61"/>
        <v>0</v>
      </c>
      <c r="AI181" s="692">
        <f t="shared" si="62"/>
        <v>0</v>
      </c>
      <c r="AJ181" s="692">
        <f t="shared" si="63"/>
        <v>0</v>
      </c>
      <c r="AL181" s="38">
        <f t="shared" si="60"/>
        <v>0</v>
      </c>
      <c r="AM181" s="68" t="s">
        <v>845</v>
      </c>
    </row>
    <row r="182" spans="1:39">
      <c r="A182" s="20"/>
      <c r="B182" s="20" t="s">
        <v>110</v>
      </c>
      <c r="C182" s="676" t="s">
        <v>977</v>
      </c>
      <c r="D182" s="68" t="s">
        <v>978</v>
      </c>
      <c r="E182" s="679"/>
      <c r="F182" s="529">
        <f>VLOOKUP(D182,'Nov13 Revenue'!D:V,19,FALSE)</f>
        <v>-6929.5</v>
      </c>
      <c r="G182" s="680"/>
      <c r="H182" s="680"/>
      <c r="I182" s="755"/>
      <c r="J182" s="682">
        <f t="shared" si="56"/>
        <v>-6929.5</v>
      </c>
      <c r="K182" s="683"/>
      <c r="L182" s="684"/>
      <c r="M182" s="753">
        <v>5000</v>
      </c>
      <c r="N182" s="683">
        <v>0</v>
      </c>
      <c r="O182" s="686"/>
      <c r="P182" s="683">
        <v>0</v>
      </c>
      <c r="Q182" s="687">
        <f t="shared" si="55"/>
        <v>5000</v>
      </c>
      <c r="R182" s="687"/>
      <c r="S182" s="687"/>
      <c r="T182" s="688">
        <v>3175.2</v>
      </c>
      <c r="U182" s="693"/>
      <c r="V182" s="690">
        <f t="shared" si="54"/>
        <v>-1824.8000000000002</v>
      </c>
      <c r="W182" s="683"/>
      <c r="X182" s="474">
        <f t="shared" si="64"/>
        <v>5000</v>
      </c>
      <c r="Y182" s="474">
        <f t="shared" si="65"/>
        <v>0</v>
      </c>
      <c r="Z182" s="475">
        <f t="shared" si="66"/>
        <v>0</v>
      </c>
      <c r="AA182" s="475">
        <v>0</v>
      </c>
      <c r="AB182" s="476">
        <v>0</v>
      </c>
      <c r="AC182" s="38">
        <f t="shared" si="67"/>
        <v>0</v>
      </c>
      <c r="AD182" s="692">
        <f t="shared" si="57"/>
        <v>-6929.5</v>
      </c>
      <c r="AE182" s="692">
        <f t="shared" si="58"/>
        <v>0</v>
      </c>
      <c r="AF182" s="692">
        <f t="shared" si="59"/>
        <v>0</v>
      </c>
      <c r="AG182" s="38"/>
      <c r="AH182" s="692">
        <f t="shared" si="61"/>
        <v>5000</v>
      </c>
      <c r="AI182" s="692">
        <f t="shared" si="62"/>
        <v>0</v>
      </c>
      <c r="AJ182" s="692">
        <f t="shared" si="63"/>
        <v>0</v>
      </c>
      <c r="AL182" s="38">
        <f t="shared" si="60"/>
        <v>-1929.5</v>
      </c>
      <c r="AM182" s="68" t="s">
        <v>978</v>
      </c>
    </row>
    <row r="183" spans="1:39">
      <c r="A183" s="20"/>
      <c r="B183" s="20" t="s">
        <v>109</v>
      </c>
      <c r="C183" s="667" t="s">
        <v>570</v>
      </c>
      <c r="D183" s="68" t="s">
        <v>221</v>
      </c>
      <c r="E183" s="679"/>
      <c r="F183" s="529">
        <f>VLOOKUP(D183,'Nov13 Revenue'!D:V,19,FALSE)</f>
        <v>0</v>
      </c>
      <c r="G183" s="680"/>
      <c r="H183" s="680"/>
      <c r="I183" s="755"/>
      <c r="J183" s="682">
        <f t="shared" si="56"/>
        <v>0</v>
      </c>
      <c r="K183" s="683"/>
      <c r="L183" s="684"/>
      <c r="M183" s="753"/>
      <c r="N183" s="683">
        <v>0</v>
      </c>
      <c r="O183" s="686"/>
      <c r="P183" s="683">
        <v>0</v>
      </c>
      <c r="Q183" s="687">
        <f t="shared" si="55"/>
        <v>0</v>
      </c>
      <c r="R183" s="687"/>
      <c r="S183" s="687"/>
      <c r="T183" s="688">
        <v>0</v>
      </c>
      <c r="U183" s="693"/>
      <c r="V183" s="690">
        <f t="shared" si="54"/>
        <v>0</v>
      </c>
      <c r="W183" s="683"/>
      <c r="X183" s="474">
        <f t="shared" si="64"/>
        <v>0</v>
      </c>
      <c r="Y183" s="474">
        <f t="shared" si="65"/>
        <v>0</v>
      </c>
      <c r="Z183" s="475">
        <f t="shared" si="66"/>
        <v>0</v>
      </c>
      <c r="AA183" s="475">
        <v>0</v>
      </c>
      <c r="AB183" s="476">
        <v>0</v>
      </c>
      <c r="AC183" s="38">
        <f t="shared" si="67"/>
        <v>0</v>
      </c>
      <c r="AD183" s="692">
        <f t="shared" si="57"/>
        <v>0</v>
      </c>
      <c r="AE183" s="692">
        <f t="shared" si="58"/>
        <v>0</v>
      </c>
      <c r="AF183" s="692">
        <f t="shared" si="59"/>
        <v>0</v>
      </c>
      <c r="AG183" s="38"/>
      <c r="AH183" s="692">
        <f t="shared" si="61"/>
        <v>0</v>
      </c>
      <c r="AI183" s="692">
        <f t="shared" si="62"/>
        <v>0</v>
      </c>
      <c r="AJ183" s="692">
        <f t="shared" si="63"/>
        <v>0</v>
      </c>
      <c r="AL183" s="38">
        <f t="shared" si="60"/>
        <v>0</v>
      </c>
      <c r="AM183" s="68" t="s">
        <v>221</v>
      </c>
    </row>
    <row r="184" spans="1:39">
      <c r="A184" s="21"/>
      <c r="B184" s="21" t="s">
        <v>110</v>
      </c>
      <c r="C184" s="666"/>
      <c r="D184" s="68" t="s">
        <v>985</v>
      </c>
      <c r="E184" s="679">
        <v>203.37</v>
      </c>
      <c r="F184" s="529">
        <f>VLOOKUP(D184,'Nov13 Revenue'!D:V,19,FALSE)</f>
        <v>0</v>
      </c>
      <c r="G184" s="680"/>
      <c r="H184" s="680"/>
      <c r="I184" s="755"/>
      <c r="J184" s="682">
        <f t="shared" si="56"/>
        <v>203.37</v>
      </c>
      <c r="K184" s="683"/>
      <c r="L184" s="684"/>
      <c r="M184" s="753"/>
      <c r="N184" s="683">
        <v>0</v>
      </c>
      <c r="O184" s="686"/>
      <c r="P184" s="683">
        <v>0</v>
      </c>
      <c r="Q184" s="687">
        <f t="shared" si="55"/>
        <v>0</v>
      </c>
      <c r="R184" s="687"/>
      <c r="S184" s="687"/>
      <c r="T184" s="688">
        <v>0</v>
      </c>
      <c r="U184" s="693"/>
      <c r="V184" s="690">
        <f t="shared" si="54"/>
        <v>0</v>
      </c>
      <c r="W184" s="683"/>
      <c r="X184" s="474">
        <f t="shared" si="64"/>
        <v>0</v>
      </c>
      <c r="Y184" s="474">
        <f t="shared" si="65"/>
        <v>0</v>
      </c>
      <c r="Z184" s="475">
        <f t="shared" si="66"/>
        <v>0</v>
      </c>
      <c r="AA184" s="475">
        <v>0</v>
      </c>
      <c r="AB184" s="476">
        <v>0</v>
      </c>
      <c r="AC184" s="38">
        <f t="shared" si="67"/>
        <v>0</v>
      </c>
      <c r="AD184" s="692">
        <f t="shared" si="57"/>
        <v>203.37</v>
      </c>
      <c r="AE184" s="692">
        <f t="shared" si="58"/>
        <v>0</v>
      </c>
      <c r="AF184" s="692">
        <f t="shared" si="59"/>
        <v>0</v>
      </c>
      <c r="AG184" s="38"/>
      <c r="AH184" s="692">
        <f t="shared" si="61"/>
        <v>0</v>
      </c>
      <c r="AI184" s="692">
        <f t="shared" si="62"/>
        <v>0</v>
      </c>
      <c r="AJ184" s="692">
        <f t="shared" si="63"/>
        <v>0</v>
      </c>
      <c r="AL184" s="38">
        <f t="shared" si="60"/>
        <v>203.37</v>
      </c>
      <c r="AM184" s="68" t="s">
        <v>985</v>
      </c>
    </row>
    <row r="185" spans="1:39">
      <c r="A185" s="21"/>
      <c r="B185" s="21" t="s">
        <v>109</v>
      </c>
      <c r="C185" s="666" t="s">
        <v>571</v>
      </c>
      <c r="D185" s="68" t="s">
        <v>44</v>
      </c>
      <c r="E185" s="679"/>
      <c r="F185" s="529">
        <f>VLOOKUP(D185,'Nov13 Revenue'!D:V,19,FALSE)</f>
        <v>0</v>
      </c>
      <c r="G185" s="680"/>
      <c r="H185" s="680"/>
      <c r="I185" s="755"/>
      <c r="J185" s="682">
        <f t="shared" si="56"/>
        <v>0</v>
      </c>
      <c r="K185" s="683"/>
      <c r="L185" s="684"/>
      <c r="M185" s="753"/>
      <c r="N185" s="683">
        <v>0</v>
      </c>
      <c r="O185" s="686"/>
      <c r="P185" s="683">
        <v>0</v>
      </c>
      <c r="Q185" s="687">
        <f t="shared" si="55"/>
        <v>0</v>
      </c>
      <c r="R185" s="687"/>
      <c r="S185" s="687"/>
      <c r="T185" s="688">
        <v>0</v>
      </c>
      <c r="U185" s="693"/>
      <c r="V185" s="690">
        <f t="shared" si="54"/>
        <v>0</v>
      </c>
      <c r="W185" s="683"/>
      <c r="X185" s="474">
        <f t="shared" si="64"/>
        <v>0</v>
      </c>
      <c r="Y185" s="474">
        <f t="shared" si="65"/>
        <v>0</v>
      </c>
      <c r="Z185" s="475">
        <f t="shared" si="66"/>
        <v>0</v>
      </c>
      <c r="AA185" s="475">
        <v>0</v>
      </c>
      <c r="AB185" s="476">
        <v>0</v>
      </c>
      <c r="AC185" s="38">
        <f t="shared" si="67"/>
        <v>0</v>
      </c>
      <c r="AD185" s="692">
        <f t="shared" si="57"/>
        <v>0</v>
      </c>
      <c r="AE185" s="692">
        <f t="shared" si="58"/>
        <v>0</v>
      </c>
      <c r="AF185" s="692">
        <f t="shared" si="59"/>
        <v>0</v>
      </c>
      <c r="AG185" s="38"/>
      <c r="AH185" s="692">
        <f t="shared" si="61"/>
        <v>0</v>
      </c>
      <c r="AI185" s="692">
        <f t="shared" si="62"/>
        <v>0</v>
      </c>
      <c r="AJ185" s="692">
        <f t="shared" si="63"/>
        <v>0</v>
      </c>
      <c r="AL185" s="38">
        <f t="shared" si="60"/>
        <v>0</v>
      </c>
      <c r="AM185" s="68" t="s">
        <v>44</v>
      </c>
    </row>
    <row r="186" spans="1:39">
      <c r="A186" s="21"/>
      <c r="B186" s="21" t="s">
        <v>114</v>
      </c>
      <c r="C186" s="666" t="s">
        <v>571</v>
      </c>
      <c r="D186" s="68" t="s">
        <v>44</v>
      </c>
      <c r="E186" s="679"/>
      <c r="F186" s="529">
        <f>VLOOKUP(D186,'Nov13 Revenue'!D:V,19,FALSE)</f>
        <v>0</v>
      </c>
      <c r="G186" s="680"/>
      <c r="H186" s="680"/>
      <c r="I186" s="755"/>
      <c r="J186" s="682">
        <f t="shared" si="56"/>
        <v>0</v>
      </c>
      <c r="K186" s="683"/>
      <c r="L186" s="684"/>
      <c r="M186" s="753"/>
      <c r="N186" s="683">
        <v>0</v>
      </c>
      <c r="O186" s="686"/>
      <c r="P186" s="683">
        <v>0</v>
      </c>
      <c r="Q186" s="687">
        <f t="shared" si="55"/>
        <v>0</v>
      </c>
      <c r="R186" s="687"/>
      <c r="S186" s="687"/>
      <c r="T186" s="688">
        <v>0</v>
      </c>
      <c r="U186" s="693"/>
      <c r="V186" s="690">
        <f t="shared" si="54"/>
        <v>0</v>
      </c>
      <c r="W186" s="683"/>
      <c r="X186" s="474">
        <f t="shared" si="64"/>
        <v>0</v>
      </c>
      <c r="Y186" s="474">
        <f t="shared" si="65"/>
        <v>0</v>
      </c>
      <c r="Z186" s="475">
        <f t="shared" si="66"/>
        <v>0</v>
      </c>
      <c r="AA186" s="475">
        <v>0</v>
      </c>
      <c r="AB186" s="476">
        <v>0</v>
      </c>
      <c r="AC186" s="38">
        <f t="shared" si="67"/>
        <v>0</v>
      </c>
      <c r="AD186" s="692">
        <f t="shared" si="57"/>
        <v>0</v>
      </c>
      <c r="AE186" s="692">
        <f t="shared" si="58"/>
        <v>0</v>
      </c>
      <c r="AF186" s="692">
        <f t="shared" si="59"/>
        <v>0</v>
      </c>
      <c r="AG186" s="38"/>
      <c r="AH186" s="692">
        <f t="shared" si="61"/>
        <v>0</v>
      </c>
      <c r="AI186" s="692">
        <f t="shared" si="62"/>
        <v>0</v>
      </c>
      <c r="AJ186" s="692">
        <f t="shared" si="63"/>
        <v>0</v>
      </c>
      <c r="AL186" s="38">
        <f t="shared" si="60"/>
        <v>0</v>
      </c>
      <c r="AM186" s="68" t="s">
        <v>44</v>
      </c>
    </row>
    <row r="187" spans="1:39">
      <c r="A187" s="21"/>
      <c r="B187" s="21" t="s">
        <v>110</v>
      </c>
      <c r="C187" s="666" t="s">
        <v>572</v>
      </c>
      <c r="D187" s="806" t="s">
        <v>388</v>
      </c>
      <c r="E187" s="679">
        <f>15903.43+1046.37+17138.83+881.75</f>
        <v>34970.380000000005</v>
      </c>
      <c r="F187" s="529">
        <f>VLOOKUP(D187,'Nov13 Revenue'!D:V,19,FALSE)</f>
        <v>-15000</v>
      </c>
      <c r="G187" s="680"/>
      <c r="H187" s="680"/>
      <c r="I187" s="827">
        <f>998.69+19123.84</f>
        <v>20122.53</v>
      </c>
      <c r="J187" s="682">
        <f t="shared" si="56"/>
        <v>40092.910000000003</v>
      </c>
      <c r="K187" s="683"/>
      <c r="L187" s="684"/>
      <c r="M187" s="753"/>
      <c r="N187" s="683">
        <v>0</v>
      </c>
      <c r="O187" s="686"/>
      <c r="P187" s="683">
        <v>0</v>
      </c>
      <c r="Q187" s="687">
        <f t="shared" si="55"/>
        <v>0</v>
      </c>
      <c r="R187" s="687"/>
      <c r="S187" s="687"/>
      <c r="T187" s="688">
        <v>0</v>
      </c>
      <c r="U187" s="693"/>
      <c r="V187" s="690">
        <f t="shared" si="54"/>
        <v>0</v>
      </c>
      <c r="W187" s="683"/>
      <c r="X187" s="474">
        <f t="shared" si="64"/>
        <v>0</v>
      </c>
      <c r="Y187" s="474">
        <f t="shared" si="65"/>
        <v>0</v>
      </c>
      <c r="Z187" s="475">
        <f t="shared" si="66"/>
        <v>0</v>
      </c>
      <c r="AA187" s="475">
        <v>0</v>
      </c>
      <c r="AB187" s="476">
        <v>0</v>
      </c>
      <c r="AC187" s="38">
        <f t="shared" si="67"/>
        <v>0</v>
      </c>
      <c r="AD187" s="692">
        <f t="shared" si="57"/>
        <v>40092.910000000003</v>
      </c>
      <c r="AE187" s="692">
        <f t="shared" si="58"/>
        <v>0</v>
      </c>
      <c r="AF187" s="692">
        <f t="shared" si="59"/>
        <v>0</v>
      </c>
      <c r="AG187" s="38"/>
      <c r="AH187" s="692">
        <f t="shared" si="61"/>
        <v>0</v>
      </c>
      <c r="AI187" s="692">
        <f t="shared" si="62"/>
        <v>0</v>
      </c>
      <c r="AJ187" s="692">
        <f t="shared" si="63"/>
        <v>0</v>
      </c>
      <c r="AL187" s="38">
        <f t="shared" si="60"/>
        <v>40092.910000000003</v>
      </c>
      <c r="AM187" s="806" t="s">
        <v>388</v>
      </c>
    </row>
    <row r="188" spans="1:39">
      <c r="A188" s="20"/>
      <c r="B188" s="20" t="s">
        <v>109</v>
      </c>
      <c r="C188" s="667"/>
      <c r="D188" s="806" t="s">
        <v>842</v>
      </c>
      <c r="E188" s="679"/>
      <c r="F188" s="529">
        <f>VLOOKUP(D188,'Nov13 Revenue'!D:V,19,FALSE)</f>
        <v>-125000</v>
      </c>
      <c r="G188" s="680"/>
      <c r="H188" s="680"/>
      <c r="I188" s="755"/>
      <c r="J188" s="682">
        <f t="shared" si="56"/>
        <v>-125000</v>
      </c>
      <c r="K188" s="683"/>
      <c r="L188" s="684"/>
      <c r="M188" s="753">
        <v>130000</v>
      </c>
      <c r="N188" s="683">
        <v>0</v>
      </c>
      <c r="O188" s="686"/>
      <c r="P188" s="683">
        <v>0</v>
      </c>
      <c r="Q188" s="687">
        <f t="shared" si="55"/>
        <v>130000</v>
      </c>
      <c r="R188" s="687"/>
      <c r="S188" s="687"/>
      <c r="T188" s="688">
        <v>0</v>
      </c>
      <c r="U188" s="693"/>
      <c r="V188" s="690">
        <f t="shared" si="54"/>
        <v>-130000</v>
      </c>
      <c r="W188" s="683"/>
      <c r="X188" s="474">
        <f t="shared" si="64"/>
        <v>0</v>
      </c>
      <c r="Y188" s="474">
        <f t="shared" si="65"/>
        <v>130000</v>
      </c>
      <c r="Z188" s="475">
        <f t="shared" si="66"/>
        <v>0</v>
      </c>
      <c r="AA188" s="475">
        <v>0</v>
      </c>
      <c r="AB188" s="476">
        <v>0</v>
      </c>
      <c r="AC188" s="38">
        <f t="shared" si="67"/>
        <v>0</v>
      </c>
      <c r="AD188" s="692">
        <f t="shared" si="57"/>
        <v>0</v>
      </c>
      <c r="AE188" s="692">
        <f t="shared" si="58"/>
        <v>-125000</v>
      </c>
      <c r="AF188" s="692">
        <f t="shared" si="59"/>
        <v>0</v>
      </c>
      <c r="AG188" s="38"/>
      <c r="AH188" s="692">
        <f t="shared" si="61"/>
        <v>0</v>
      </c>
      <c r="AI188" s="692">
        <f t="shared" si="62"/>
        <v>130000</v>
      </c>
      <c r="AJ188" s="692">
        <f t="shared" si="63"/>
        <v>0</v>
      </c>
      <c r="AL188" s="38">
        <f t="shared" si="60"/>
        <v>5000</v>
      </c>
      <c r="AM188" s="806" t="s">
        <v>842</v>
      </c>
    </row>
    <row r="189" spans="1:39">
      <c r="A189" s="21"/>
      <c r="B189" s="21" t="s">
        <v>110</v>
      </c>
      <c r="C189" s="666"/>
      <c r="D189" s="68" t="s">
        <v>45</v>
      </c>
      <c r="E189" s="679"/>
      <c r="F189" s="529">
        <f>VLOOKUP(D189,'Nov13 Revenue'!D:V,19,FALSE)</f>
        <v>2480.2600000000093</v>
      </c>
      <c r="G189" s="680"/>
      <c r="H189" s="680"/>
      <c r="I189" s="755"/>
      <c r="J189" s="682">
        <f t="shared" si="56"/>
        <v>2480.2600000000093</v>
      </c>
      <c r="K189" s="683"/>
      <c r="L189" s="684"/>
      <c r="M189" s="753">
        <v>80000</v>
      </c>
      <c r="N189" s="683">
        <v>0</v>
      </c>
      <c r="O189" s="686"/>
      <c r="P189" s="683">
        <v>0</v>
      </c>
      <c r="Q189" s="687">
        <f t="shared" si="55"/>
        <v>80000</v>
      </c>
      <c r="R189" s="687"/>
      <c r="S189" s="687"/>
      <c r="T189" s="688">
        <f>74164.26+4395.42</f>
        <v>78559.679999999993</v>
      </c>
      <c r="U189" s="693"/>
      <c r="V189" s="690">
        <f t="shared" si="54"/>
        <v>-1440.320000000007</v>
      </c>
      <c r="W189" s="683"/>
      <c r="X189" s="474">
        <f t="shared" si="64"/>
        <v>80000</v>
      </c>
      <c r="Y189" s="474">
        <f t="shared" si="65"/>
        <v>0</v>
      </c>
      <c r="Z189" s="475">
        <f t="shared" si="66"/>
        <v>0</v>
      </c>
      <c r="AA189" s="475">
        <v>0</v>
      </c>
      <c r="AB189" s="476">
        <v>0</v>
      </c>
      <c r="AC189" s="38">
        <f t="shared" si="67"/>
        <v>0</v>
      </c>
      <c r="AD189" s="692">
        <f t="shared" si="57"/>
        <v>2480.2600000000093</v>
      </c>
      <c r="AE189" s="692">
        <f t="shared" si="58"/>
        <v>0</v>
      </c>
      <c r="AF189" s="692">
        <f t="shared" si="59"/>
        <v>0</v>
      </c>
      <c r="AG189" s="38"/>
      <c r="AH189" s="692">
        <f t="shared" si="61"/>
        <v>80000</v>
      </c>
      <c r="AI189" s="692">
        <f t="shared" si="62"/>
        <v>0</v>
      </c>
      <c r="AJ189" s="692">
        <f t="shared" si="63"/>
        <v>0</v>
      </c>
      <c r="AL189" s="38">
        <f t="shared" si="60"/>
        <v>82480.260000000009</v>
      </c>
      <c r="AM189" s="68" t="s">
        <v>45</v>
      </c>
    </row>
    <row r="190" spans="1:39">
      <c r="A190" s="20" t="s">
        <v>211</v>
      </c>
      <c r="B190" s="20" t="s">
        <v>109</v>
      </c>
      <c r="C190" s="667"/>
      <c r="D190" s="68" t="s">
        <v>923</v>
      </c>
      <c r="E190" s="679">
        <f>1536.27+2034.99+3421.88</f>
        <v>6993.14</v>
      </c>
      <c r="F190" s="529">
        <f>VLOOKUP(D190,'Nov13 Revenue'!D:V,19,FALSE)</f>
        <v>0</v>
      </c>
      <c r="G190" s="680"/>
      <c r="H190" s="680"/>
      <c r="I190" s="755"/>
      <c r="J190" s="682">
        <f t="shared" si="56"/>
        <v>6993.14</v>
      </c>
      <c r="K190" s="683"/>
      <c r="L190" s="684"/>
      <c r="M190" s="753"/>
      <c r="N190" s="683">
        <v>0</v>
      </c>
      <c r="O190" s="686"/>
      <c r="P190" s="683">
        <v>0</v>
      </c>
      <c r="Q190" s="687">
        <f t="shared" si="55"/>
        <v>0</v>
      </c>
      <c r="R190" s="687"/>
      <c r="S190" s="687"/>
      <c r="T190" s="688">
        <v>0</v>
      </c>
      <c r="U190" s="693"/>
      <c r="V190" s="690">
        <f t="shared" si="54"/>
        <v>0</v>
      </c>
      <c r="W190" s="697"/>
      <c r="X190" s="474">
        <f t="shared" si="64"/>
        <v>0</v>
      </c>
      <c r="Y190" s="474">
        <f t="shared" si="65"/>
        <v>0</v>
      </c>
      <c r="Z190" s="475">
        <f t="shared" si="66"/>
        <v>0</v>
      </c>
      <c r="AA190" s="475">
        <v>0</v>
      </c>
      <c r="AB190" s="476">
        <v>0</v>
      </c>
      <c r="AC190" s="38">
        <f t="shared" si="67"/>
        <v>0</v>
      </c>
      <c r="AD190" s="692">
        <f t="shared" si="57"/>
        <v>0</v>
      </c>
      <c r="AE190" s="692">
        <f t="shared" si="58"/>
        <v>6993.14</v>
      </c>
      <c r="AF190" s="692">
        <f t="shared" si="59"/>
        <v>0</v>
      </c>
      <c r="AG190" s="38"/>
      <c r="AH190" s="692">
        <f t="shared" si="61"/>
        <v>0</v>
      </c>
      <c r="AI190" s="692">
        <f t="shared" si="62"/>
        <v>0</v>
      </c>
      <c r="AJ190" s="692">
        <f t="shared" si="63"/>
        <v>0</v>
      </c>
      <c r="AL190" s="38">
        <f t="shared" si="60"/>
        <v>6993.14</v>
      </c>
      <c r="AM190" s="68" t="s">
        <v>923</v>
      </c>
    </row>
    <row r="191" spans="1:39">
      <c r="A191" s="20"/>
      <c r="B191" s="20" t="s">
        <v>110</v>
      </c>
      <c r="C191" s="667" t="s">
        <v>573</v>
      </c>
      <c r="D191" s="68" t="s">
        <v>102</v>
      </c>
      <c r="E191" s="820">
        <v>55784.34</v>
      </c>
      <c r="F191" s="529">
        <f>VLOOKUP(D191,'Nov13 Revenue'!D:V,19,FALSE)</f>
        <v>2485.3700000001118</v>
      </c>
      <c r="G191" s="680"/>
      <c r="H191" s="680"/>
      <c r="I191" s="755">
        <v>4245585.96</v>
      </c>
      <c r="J191" s="682">
        <f t="shared" si="56"/>
        <v>4303855.67</v>
      </c>
      <c r="K191" s="683"/>
      <c r="L191" s="684"/>
      <c r="M191" s="753"/>
      <c r="N191" s="683">
        <v>0</v>
      </c>
      <c r="O191" s="686"/>
      <c r="P191" s="683">
        <v>0</v>
      </c>
      <c r="Q191" s="687">
        <f t="shared" si="55"/>
        <v>0</v>
      </c>
      <c r="R191" s="687"/>
      <c r="S191" s="687"/>
      <c r="T191" s="688">
        <v>0</v>
      </c>
      <c r="U191" s="693"/>
      <c r="V191" s="690">
        <f t="shared" si="54"/>
        <v>0</v>
      </c>
      <c r="W191" s="697"/>
      <c r="X191" s="474">
        <f t="shared" si="64"/>
        <v>0</v>
      </c>
      <c r="Y191" s="474">
        <f t="shared" si="65"/>
        <v>0</v>
      </c>
      <c r="Z191" s="475">
        <f t="shared" si="66"/>
        <v>0</v>
      </c>
      <c r="AA191" s="475">
        <v>0</v>
      </c>
      <c r="AB191" s="476">
        <v>0</v>
      </c>
      <c r="AC191" s="38">
        <f t="shared" si="67"/>
        <v>0</v>
      </c>
      <c r="AD191" s="692">
        <f t="shared" si="57"/>
        <v>4303855.67</v>
      </c>
      <c r="AE191" s="692">
        <f t="shared" si="58"/>
        <v>0</v>
      </c>
      <c r="AF191" s="692">
        <f t="shared" si="59"/>
        <v>0</v>
      </c>
      <c r="AG191" s="38"/>
      <c r="AH191" s="692">
        <f t="shared" si="61"/>
        <v>0</v>
      </c>
      <c r="AI191" s="692">
        <f t="shared" si="62"/>
        <v>0</v>
      </c>
      <c r="AJ191" s="692">
        <f t="shared" si="63"/>
        <v>0</v>
      </c>
      <c r="AL191" s="38">
        <f t="shared" si="60"/>
        <v>4303855.67</v>
      </c>
      <c r="AM191" s="68" t="s">
        <v>102</v>
      </c>
    </row>
    <row r="192" spans="1:39">
      <c r="A192" s="20"/>
      <c r="B192" s="20" t="s">
        <v>110</v>
      </c>
      <c r="C192" s="667" t="s">
        <v>573</v>
      </c>
      <c r="D192" s="68" t="s">
        <v>511</v>
      </c>
      <c r="E192" s="820">
        <v>74213.37</v>
      </c>
      <c r="F192" s="529">
        <f>VLOOKUP(D192,'Nov13 Revenue'!D:V,19,FALSE)</f>
        <v>590.48</v>
      </c>
      <c r="G192" s="680"/>
      <c r="H192" s="680"/>
      <c r="I192" s="755">
        <v>130.35</v>
      </c>
      <c r="J192" s="682">
        <f t="shared" si="56"/>
        <v>74934.2</v>
      </c>
      <c r="K192" s="683"/>
      <c r="L192" s="684"/>
      <c r="M192" s="753"/>
      <c r="N192" s="683">
        <v>0</v>
      </c>
      <c r="O192" s="686"/>
      <c r="P192" s="683">
        <v>0</v>
      </c>
      <c r="Q192" s="687">
        <f t="shared" si="55"/>
        <v>0</v>
      </c>
      <c r="R192" s="687"/>
      <c r="S192" s="687"/>
      <c r="T192" s="688">
        <v>0</v>
      </c>
      <c r="U192" s="693"/>
      <c r="V192" s="690">
        <f t="shared" si="54"/>
        <v>0</v>
      </c>
      <c r="W192" s="697"/>
      <c r="X192" s="474">
        <f t="shared" si="64"/>
        <v>0</v>
      </c>
      <c r="Y192" s="474">
        <f t="shared" si="65"/>
        <v>0</v>
      </c>
      <c r="Z192" s="475">
        <f t="shared" si="66"/>
        <v>0</v>
      </c>
      <c r="AA192" s="475">
        <v>0</v>
      </c>
      <c r="AB192" s="476">
        <v>0</v>
      </c>
      <c r="AC192" s="38">
        <f t="shared" si="67"/>
        <v>0</v>
      </c>
      <c r="AD192" s="692">
        <f t="shared" si="57"/>
        <v>74934.2</v>
      </c>
      <c r="AE192" s="692">
        <f t="shared" si="58"/>
        <v>0</v>
      </c>
      <c r="AF192" s="692">
        <f t="shared" si="59"/>
        <v>0</v>
      </c>
      <c r="AG192" s="38"/>
      <c r="AH192" s="692">
        <f t="shared" si="61"/>
        <v>0</v>
      </c>
      <c r="AI192" s="692">
        <f t="shared" si="62"/>
        <v>0</v>
      </c>
      <c r="AJ192" s="692">
        <f t="shared" si="63"/>
        <v>0</v>
      </c>
      <c r="AL192" s="38">
        <f t="shared" si="60"/>
        <v>74934.2</v>
      </c>
      <c r="AM192" s="68" t="s">
        <v>511</v>
      </c>
    </row>
    <row r="193" spans="1:39">
      <c r="A193" s="21"/>
      <c r="B193" s="21" t="s">
        <v>110</v>
      </c>
      <c r="C193" s="666"/>
      <c r="D193" s="68" t="s">
        <v>50</v>
      </c>
      <c r="E193" s="679"/>
      <c r="F193" s="529">
        <f>VLOOKUP(D193,'Nov13 Revenue'!D:V,19,FALSE)</f>
        <v>0</v>
      </c>
      <c r="G193" s="680"/>
      <c r="H193" s="680"/>
      <c r="I193" s="755"/>
      <c r="J193" s="682">
        <f t="shared" si="56"/>
        <v>0</v>
      </c>
      <c r="K193" s="683"/>
      <c r="L193" s="684"/>
      <c r="M193" s="753"/>
      <c r="N193" s="683">
        <v>0</v>
      </c>
      <c r="O193" s="686"/>
      <c r="P193" s="683">
        <v>0</v>
      </c>
      <c r="Q193" s="687">
        <f t="shared" si="55"/>
        <v>0</v>
      </c>
      <c r="R193" s="687"/>
      <c r="S193" s="687"/>
      <c r="T193" s="688">
        <v>0</v>
      </c>
      <c r="U193" s="693"/>
      <c r="V193" s="690">
        <f t="shared" si="54"/>
        <v>0</v>
      </c>
      <c r="W193" s="683"/>
      <c r="X193" s="474">
        <f t="shared" si="64"/>
        <v>0</v>
      </c>
      <c r="Y193" s="474">
        <f t="shared" si="65"/>
        <v>0</v>
      </c>
      <c r="Z193" s="475">
        <f t="shared" si="66"/>
        <v>0</v>
      </c>
      <c r="AA193" s="475">
        <v>0</v>
      </c>
      <c r="AB193" s="476">
        <v>0</v>
      </c>
      <c r="AC193" s="38">
        <f t="shared" si="67"/>
        <v>0</v>
      </c>
      <c r="AD193" s="692">
        <f t="shared" si="57"/>
        <v>0</v>
      </c>
      <c r="AE193" s="692">
        <f t="shared" si="58"/>
        <v>0</v>
      </c>
      <c r="AF193" s="692">
        <f t="shared" si="59"/>
        <v>0</v>
      </c>
      <c r="AG193" s="38"/>
      <c r="AH193" s="692">
        <f t="shared" si="61"/>
        <v>0</v>
      </c>
      <c r="AI193" s="692">
        <f t="shared" si="62"/>
        <v>0</v>
      </c>
      <c r="AJ193" s="692">
        <f t="shared" si="63"/>
        <v>0</v>
      </c>
      <c r="AL193" s="38">
        <f t="shared" si="60"/>
        <v>0</v>
      </c>
      <c r="AM193" s="68" t="s">
        <v>50</v>
      </c>
    </row>
    <row r="194" spans="1:39" hidden="1">
      <c r="A194" s="21"/>
      <c r="B194" s="21" t="s">
        <v>109</v>
      </c>
      <c r="C194" s="666"/>
      <c r="D194" s="68" t="s">
        <v>51</v>
      </c>
      <c r="E194" s="679"/>
      <c r="F194" s="529">
        <f>VLOOKUP(D194,'Nov13 Revenue'!D:V,19,FALSE)</f>
        <v>0</v>
      </c>
      <c r="G194" s="680"/>
      <c r="H194" s="680"/>
      <c r="I194" s="755"/>
      <c r="J194" s="682">
        <f t="shared" si="56"/>
        <v>0</v>
      </c>
      <c r="K194" s="683"/>
      <c r="L194" s="684"/>
      <c r="M194" s="753"/>
      <c r="N194" s="683">
        <v>0</v>
      </c>
      <c r="O194" s="686"/>
      <c r="P194" s="683">
        <v>0</v>
      </c>
      <c r="Q194" s="687">
        <f t="shared" si="55"/>
        <v>0</v>
      </c>
      <c r="R194" s="687"/>
      <c r="S194" s="687"/>
      <c r="T194" s="688">
        <v>0</v>
      </c>
      <c r="U194" s="693"/>
      <c r="V194" s="690">
        <f t="shared" si="54"/>
        <v>0</v>
      </c>
      <c r="W194" s="683"/>
      <c r="X194" s="474">
        <f t="shared" si="64"/>
        <v>0</v>
      </c>
      <c r="Y194" s="474">
        <f t="shared" si="65"/>
        <v>0</v>
      </c>
      <c r="Z194" s="475">
        <f t="shared" si="66"/>
        <v>0</v>
      </c>
      <c r="AA194" s="475">
        <v>0</v>
      </c>
      <c r="AB194" s="476">
        <v>0</v>
      </c>
      <c r="AC194" s="38">
        <f t="shared" si="67"/>
        <v>0</v>
      </c>
      <c r="AD194" s="692">
        <f t="shared" si="57"/>
        <v>0</v>
      </c>
      <c r="AE194" s="692">
        <f t="shared" si="58"/>
        <v>0</v>
      </c>
      <c r="AF194" s="692">
        <f t="shared" si="59"/>
        <v>0</v>
      </c>
      <c r="AG194" s="38"/>
      <c r="AH194" s="692">
        <f t="shared" si="61"/>
        <v>0</v>
      </c>
      <c r="AI194" s="692">
        <f t="shared" si="62"/>
        <v>0</v>
      </c>
      <c r="AJ194" s="692">
        <f t="shared" si="63"/>
        <v>0</v>
      </c>
      <c r="AL194" s="38">
        <f t="shared" si="60"/>
        <v>0</v>
      </c>
      <c r="AM194" s="68" t="s">
        <v>51</v>
      </c>
    </row>
    <row r="195" spans="1:39">
      <c r="A195" s="21"/>
      <c r="B195" s="21" t="s">
        <v>109</v>
      </c>
      <c r="C195" s="666"/>
      <c r="D195" s="68" t="s">
        <v>107</v>
      </c>
      <c r="E195" s="679"/>
      <c r="F195" s="529">
        <f>VLOOKUP(D195,'Nov13 Revenue'!D:V,19,FALSE)</f>
        <v>0</v>
      </c>
      <c r="G195" s="680"/>
      <c r="H195" s="680"/>
      <c r="I195" s="755"/>
      <c r="J195" s="682">
        <f t="shared" si="56"/>
        <v>0</v>
      </c>
      <c r="K195" s="683"/>
      <c r="L195" s="684"/>
      <c r="M195" s="753"/>
      <c r="N195" s="683">
        <v>0</v>
      </c>
      <c r="O195" s="686"/>
      <c r="P195" s="683">
        <v>0</v>
      </c>
      <c r="Q195" s="687">
        <f t="shared" si="55"/>
        <v>0</v>
      </c>
      <c r="R195" s="687"/>
      <c r="S195" s="687"/>
      <c r="T195" s="688">
        <v>0</v>
      </c>
      <c r="U195" s="693"/>
      <c r="V195" s="690">
        <f t="shared" si="54"/>
        <v>0</v>
      </c>
      <c r="W195" s="683"/>
      <c r="X195" s="474">
        <f t="shared" si="64"/>
        <v>0</v>
      </c>
      <c r="Y195" s="474">
        <f t="shared" si="65"/>
        <v>0</v>
      </c>
      <c r="Z195" s="475">
        <f t="shared" si="66"/>
        <v>0</v>
      </c>
      <c r="AA195" s="475">
        <v>0</v>
      </c>
      <c r="AB195" s="476">
        <v>0</v>
      </c>
      <c r="AC195" s="38">
        <f t="shared" si="67"/>
        <v>0</v>
      </c>
      <c r="AD195" s="692">
        <f t="shared" si="57"/>
        <v>0</v>
      </c>
      <c r="AE195" s="692">
        <f t="shared" si="58"/>
        <v>0</v>
      </c>
      <c r="AF195" s="692">
        <f t="shared" si="59"/>
        <v>0</v>
      </c>
      <c r="AG195" s="38"/>
      <c r="AH195" s="692">
        <f t="shared" si="61"/>
        <v>0</v>
      </c>
      <c r="AI195" s="692">
        <f t="shared" si="62"/>
        <v>0</v>
      </c>
      <c r="AJ195" s="692">
        <f t="shared" si="63"/>
        <v>0</v>
      </c>
      <c r="AL195" s="38">
        <f t="shared" si="60"/>
        <v>0</v>
      </c>
      <c r="AM195" s="68" t="s">
        <v>107</v>
      </c>
    </row>
    <row r="196" spans="1:39" hidden="1">
      <c r="A196" s="21"/>
      <c r="B196" s="21" t="s">
        <v>109</v>
      </c>
      <c r="C196" s="666"/>
      <c r="D196" s="68" t="s">
        <v>467</v>
      </c>
      <c r="E196" s="679"/>
      <c r="F196" s="529">
        <f>VLOOKUP(D196,'Nov13 Revenue'!D:V,19,FALSE)</f>
        <v>0</v>
      </c>
      <c r="G196" s="680"/>
      <c r="H196" s="680"/>
      <c r="I196" s="755"/>
      <c r="J196" s="682">
        <f t="shared" si="56"/>
        <v>0</v>
      </c>
      <c r="K196" s="683"/>
      <c r="L196" s="684"/>
      <c r="M196" s="753"/>
      <c r="N196" s="683">
        <v>0</v>
      </c>
      <c r="O196" s="686"/>
      <c r="P196" s="683">
        <v>0</v>
      </c>
      <c r="Q196" s="687">
        <f t="shared" si="55"/>
        <v>0</v>
      </c>
      <c r="R196" s="687"/>
      <c r="S196" s="687"/>
      <c r="T196" s="688">
        <v>0</v>
      </c>
      <c r="U196" s="693"/>
      <c r="V196" s="690">
        <f t="shared" si="54"/>
        <v>0</v>
      </c>
      <c r="W196" s="683"/>
      <c r="X196" s="474">
        <f t="shared" si="64"/>
        <v>0</v>
      </c>
      <c r="Y196" s="474">
        <f t="shared" si="65"/>
        <v>0</v>
      </c>
      <c r="Z196" s="475">
        <f t="shared" si="66"/>
        <v>0</v>
      </c>
      <c r="AA196" s="475">
        <v>0</v>
      </c>
      <c r="AB196" s="476">
        <v>0</v>
      </c>
      <c r="AC196" s="38">
        <f t="shared" si="67"/>
        <v>0</v>
      </c>
      <c r="AD196" s="692">
        <f t="shared" si="57"/>
        <v>0</v>
      </c>
      <c r="AE196" s="692">
        <f t="shared" si="58"/>
        <v>0</v>
      </c>
      <c r="AF196" s="692">
        <f t="shared" si="59"/>
        <v>0</v>
      </c>
      <c r="AG196" s="38"/>
      <c r="AH196" s="692">
        <f t="shared" si="61"/>
        <v>0</v>
      </c>
      <c r="AI196" s="692">
        <f t="shared" si="62"/>
        <v>0</v>
      </c>
      <c r="AJ196" s="692">
        <f t="shared" si="63"/>
        <v>0</v>
      </c>
      <c r="AL196" s="38">
        <f t="shared" si="60"/>
        <v>0</v>
      </c>
      <c r="AM196" s="68" t="s">
        <v>467</v>
      </c>
    </row>
    <row r="197" spans="1:39">
      <c r="A197" s="21"/>
      <c r="B197" s="21" t="s">
        <v>110</v>
      </c>
      <c r="C197" s="666"/>
      <c r="D197" s="68" t="s">
        <v>1012</v>
      </c>
      <c r="E197" s="679">
        <v>3495.65</v>
      </c>
      <c r="F197" s="529">
        <f>VLOOKUP(D197,'Nov13 Revenue'!D:V,19,FALSE)</f>
        <v>0</v>
      </c>
      <c r="G197" s="680"/>
      <c r="H197" s="680"/>
      <c r="I197" s="755"/>
      <c r="J197" s="682">
        <f t="shared" si="56"/>
        <v>3495.65</v>
      </c>
      <c r="K197" s="683"/>
      <c r="L197" s="684"/>
      <c r="M197" s="753"/>
      <c r="N197" s="683">
        <v>0</v>
      </c>
      <c r="O197" s="686"/>
      <c r="P197" s="683">
        <v>0</v>
      </c>
      <c r="Q197" s="687">
        <f t="shared" si="55"/>
        <v>0</v>
      </c>
      <c r="R197" s="687"/>
      <c r="S197" s="687"/>
      <c r="T197" s="688">
        <v>0</v>
      </c>
      <c r="U197" s="693"/>
      <c r="V197" s="690">
        <f t="shared" si="54"/>
        <v>0</v>
      </c>
      <c r="W197" s="683"/>
      <c r="X197" s="474">
        <f t="shared" si="64"/>
        <v>0</v>
      </c>
      <c r="Y197" s="474">
        <f t="shared" si="65"/>
        <v>0</v>
      </c>
      <c r="Z197" s="475">
        <f t="shared" si="66"/>
        <v>0</v>
      </c>
      <c r="AA197" s="475">
        <v>0</v>
      </c>
      <c r="AB197" s="476">
        <v>0</v>
      </c>
      <c r="AC197" s="38">
        <f t="shared" si="67"/>
        <v>0</v>
      </c>
      <c r="AD197" s="692">
        <f t="shared" si="57"/>
        <v>3495.65</v>
      </c>
      <c r="AE197" s="692">
        <f t="shared" si="58"/>
        <v>0</v>
      </c>
      <c r="AF197" s="692">
        <f t="shared" si="59"/>
        <v>0</v>
      </c>
      <c r="AG197" s="38"/>
      <c r="AH197" s="692">
        <f t="shared" si="61"/>
        <v>0</v>
      </c>
      <c r="AI197" s="692">
        <f t="shared" si="62"/>
        <v>0</v>
      </c>
      <c r="AJ197" s="692">
        <f t="shared" si="63"/>
        <v>0</v>
      </c>
      <c r="AL197" s="38">
        <f t="shared" si="60"/>
        <v>3495.65</v>
      </c>
      <c r="AM197" s="68" t="s">
        <v>1012</v>
      </c>
    </row>
    <row r="198" spans="1:39">
      <c r="A198" s="21"/>
      <c r="B198" s="21" t="s">
        <v>109</v>
      </c>
      <c r="C198" s="666" t="s">
        <v>575</v>
      </c>
      <c r="D198" s="68" t="s">
        <v>54</v>
      </c>
      <c r="E198" s="679"/>
      <c r="F198" s="529">
        <f>VLOOKUP(D198,'Nov13 Revenue'!D:V,19,FALSE)</f>
        <v>0</v>
      </c>
      <c r="G198" s="680"/>
      <c r="H198" s="680"/>
      <c r="I198" s="755"/>
      <c r="J198" s="682">
        <f t="shared" si="56"/>
        <v>0</v>
      </c>
      <c r="K198" s="683"/>
      <c r="L198" s="684"/>
      <c r="M198" s="753"/>
      <c r="N198" s="683">
        <v>0</v>
      </c>
      <c r="O198" s="686"/>
      <c r="P198" s="683">
        <v>0</v>
      </c>
      <c r="Q198" s="687">
        <f t="shared" si="55"/>
        <v>0</v>
      </c>
      <c r="R198" s="687"/>
      <c r="S198" s="687"/>
      <c r="T198" s="688">
        <v>0</v>
      </c>
      <c r="U198" s="693"/>
      <c r="V198" s="690">
        <f t="shared" si="54"/>
        <v>0</v>
      </c>
      <c r="W198" s="683"/>
      <c r="X198" s="474">
        <f t="shared" si="64"/>
        <v>0</v>
      </c>
      <c r="Y198" s="474">
        <f t="shared" si="65"/>
        <v>0</v>
      </c>
      <c r="Z198" s="475">
        <f t="shared" si="66"/>
        <v>0</v>
      </c>
      <c r="AA198" s="475">
        <v>0</v>
      </c>
      <c r="AB198" s="476">
        <v>0</v>
      </c>
      <c r="AC198" s="38">
        <f t="shared" si="67"/>
        <v>0</v>
      </c>
      <c r="AD198" s="692">
        <f t="shared" si="57"/>
        <v>0</v>
      </c>
      <c r="AE198" s="692">
        <f t="shared" si="58"/>
        <v>0</v>
      </c>
      <c r="AF198" s="692">
        <f t="shared" si="59"/>
        <v>0</v>
      </c>
      <c r="AG198" s="38"/>
      <c r="AH198" s="692">
        <f t="shared" si="61"/>
        <v>0</v>
      </c>
      <c r="AI198" s="692">
        <f t="shared" si="62"/>
        <v>0</v>
      </c>
      <c r="AJ198" s="692">
        <f t="shared" si="63"/>
        <v>0</v>
      </c>
      <c r="AL198" s="38">
        <f t="shared" si="60"/>
        <v>0</v>
      </c>
      <c r="AM198" s="68" t="s">
        <v>54</v>
      </c>
    </row>
    <row r="199" spans="1:39" hidden="1">
      <c r="A199" s="20"/>
      <c r="B199" s="20" t="s">
        <v>110</v>
      </c>
      <c r="C199" s="667" t="s">
        <v>576</v>
      </c>
      <c r="D199" s="68" t="s">
        <v>394</v>
      </c>
      <c r="E199" s="679"/>
      <c r="F199" s="529">
        <f>VLOOKUP(D199,'Nov13 Revenue'!D:V,19,FALSE)</f>
        <v>0</v>
      </c>
      <c r="G199" s="680"/>
      <c r="H199" s="680"/>
      <c r="I199" s="755"/>
      <c r="J199" s="682">
        <f t="shared" si="56"/>
        <v>0</v>
      </c>
      <c r="K199" s="683"/>
      <c r="L199" s="684"/>
      <c r="M199" s="753"/>
      <c r="N199" s="683">
        <v>0</v>
      </c>
      <c r="O199" s="686"/>
      <c r="P199" s="683">
        <v>0</v>
      </c>
      <c r="Q199" s="687">
        <f t="shared" si="55"/>
        <v>0</v>
      </c>
      <c r="R199" s="687"/>
      <c r="S199" s="687"/>
      <c r="T199" s="688">
        <v>0</v>
      </c>
      <c r="U199" s="693"/>
      <c r="V199" s="690">
        <f t="shared" si="54"/>
        <v>0</v>
      </c>
      <c r="W199" s="683"/>
      <c r="X199" s="474">
        <f t="shared" si="64"/>
        <v>0</v>
      </c>
      <c r="Y199" s="474">
        <f t="shared" si="65"/>
        <v>0</v>
      </c>
      <c r="Z199" s="475">
        <f t="shared" si="66"/>
        <v>0</v>
      </c>
      <c r="AA199" s="475">
        <v>0</v>
      </c>
      <c r="AB199" s="476">
        <v>0</v>
      </c>
      <c r="AC199" s="38">
        <f t="shared" si="67"/>
        <v>0</v>
      </c>
      <c r="AD199" s="692">
        <f t="shared" si="57"/>
        <v>0</v>
      </c>
      <c r="AE199" s="692">
        <f t="shared" si="58"/>
        <v>0</v>
      </c>
      <c r="AF199" s="692">
        <f t="shared" si="59"/>
        <v>0</v>
      </c>
      <c r="AG199" s="38"/>
      <c r="AH199" s="692">
        <f t="shared" si="61"/>
        <v>0</v>
      </c>
      <c r="AI199" s="692">
        <f t="shared" si="62"/>
        <v>0</v>
      </c>
      <c r="AJ199" s="692">
        <f t="shared" si="63"/>
        <v>0</v>
      </c>
      <c r="AL199" s="38">
        <f t="shared" si="60"/>
        <v>0</v>
      </c>
      <c r="AM199" s="68" t="s">
        <v>394</v>
      </c>
    </row>
    <row r="200" spans="1:39">
      <c r="A200" s="20"/>
      <c r="B200" s="20" t="s">
        <v>110</v>
      </c>
      <c r="C200" s="667"/>
      <c r="D200" s="68" t="s">
        <v>55</v>
      </c>
      <c r="E200" s="679"/>
      <c r="F200" s="529">
        <f>VLOOKUP(D200,'Nov13 Revenue'!D:V,19,FALSE)</f>
        <v>0</v>
      </c>
      <c r="G200" s="680"/>
      <c r="H200" s="680"/>
      <c r="I200" s="770">
        <v>403.47</v>
      </c>
      <c r="J200" s="682">
        <f t="shared" si="56"/>
        <v>403.47</v>
      </c>
      <c r="K200" s="683"/>
      <c r="L200" s="684"/>
      <c r="M200" s="753"/>
      <c r="N200" s="683">
        <v>0</v>
      </c>
      <c r="O200" s="686"/>
      <c r="P200" s="683">
        <v>0</v>
      </c>
      <c r="Q200" s="687">
        <f t="shared" si="55"/>
        <v>0</v>
      </c>
      <c r="R200" s="687"/>
      <c r="S200" s="687"/>
      <c r="T200" s="688">
        <v>0</v>
      </c>
      <c r="U200" s="693"/>
      <c r="V200" s="690">
        <f t="shared" si="54"/>
        <v>0</v>
      </c>
      <c r="W200" s="683"/>
      <c r="X200" s="474">
        <f t="shared" si="64"/>
        <v>0</v>
      </c>
      <c r="Y200" s="474">
        <f t="shared" si="65"/>
        <v>0</v>
      </c>
      <c r="Z200" s="475">
        <f t="shared" si="66"/>
        <v>0</v>
      </c>
      <c r="AA200" s="475">
        <v>0</v>
      </c>
      <c r="AB200" s="476">
        <v>0</v>
      </c>
      <c r="AC200" s="38">
        <f t="shared" si="67"/>
        <v>0</v>
      </c>
      <c r="AD200" s="692">
        <f t="shared" si="57"/>
        <v>403.47</v>
      </c>
      <c r="AE200" s="692">
        <f t="shared" si="58"/>
        <v>0</v>
      </c>
      <c r="AF200" s="692">
        <f t="shared" si="59"/>
        <v>0</v>
      </c>
      <c r="AG200" s="38"/>
      <c r="AH200" s="692">
        <f t="shared" si="61"/>
        <v>0</v>
      </c>
      <c r="AI200" s="692">
        <f t="shared" si="62"/>
        <v>0</v>
      </c>
      <c r="AJ200" s="692">
        <f t="shared" si="63"/>
        <v>0</v>
      </c>
      <c r="AL200" s="38">
        <f t="shared" si="60"/>
        <v>403.47</v>
      </c>
      <c r="AM200" s="68" t="s">
        <v>55</v>
      </c>
    </row>
    <row r="201" spans="1:39">
      <c r="A201" s="20"/>
      <c r="B201" s="20" t="s">
        <v>110</v>
      </c>
      <c r="C201" s="676"/>
      <c r="D201" s="68" t="s">
        <v>1052</v>
      </c>
      <c r="E201" s="679"/>
      <c r="F201" s="529">
        <v>0</v>
      </c>
      <c r="G201" s="680"/>
      <c r="H201" s="680"/>
      <c r="I201" s="755"/>
      <c r="J201" s="682">
        <f t="shared" ref="J201" si="81">SUM(E201:I201)</f>
        <v>0</v>
      </c>
      <c r="K201" s="683"/>
      <c r="L201" s="684"/>
      <c r="M201" s="753"/>
      <c r="N201" s="683">
        <v>0</v>
      </c>
      <c r="O201" s="686"/>
      <c r="P201" s="683">
        <v>0</v>
      </c>
      <c r="Q201" s="687">
        <f t="shared" ref="Q201" si="82">L201+M201</f>
        <v>0</v>
      </c>
      <c r="R201" s="687"/>
      <c r="S201" s="687"/>
      <c r="T201" s="688">
        <v>0</v>
      </c>
      <c r="U201" s="693"/>
      <c r="V201" s="690">
        <f t="shared" ref="V201" si="83">IF(T201="","",T201-Q201)</f>
        <v>0</v>
      </c>
      <c r="W201" s="683"/>
      <c r="X201" s="474">
        <f t="shared" ref="X201" si="84">IF(B201="D",Q201,0)</f>
        <v>0</v>
      </c>
      <c r="Y201" s="474">
        <f t="shared" ref="Y201" si="85">IF(B201="M",Q201,0)</f>
        <v>0</v>
      </c>
      <c r="Z201" s="475">
        <f t="shared" ref="Z201" si="86">IF(B201="V",Q201,0)</f>
        <v>0</v>
      </c>
      <c r="AA201" s="475">
        <v>0</v>
      </c>
      <c r="AB201" s="476">
        <v>0</v>
      </c>
      <c r="AC201" s="38">
        <f t="shared" ref="AC201" si="87">(L201+M201)-(X201+Y201+Z201+AA201+AB201)</f>
        <v>0</v>
      </c>
      <c r="AD201" s="692">
        <f t="shared" ref="AD201" si="88">IF(B201="D",J201,0)</f>
        <v>0</v>
      </c>
      <c r="AE201" s="692">
        <f t="shared" ref="AE201" si="89">IF(B201="M",J201,0)</f>
        <v>0</v>
      </c>
      <c r="AF201" s="692">
        <f t="shared" ref="AF201" si="90">IF(B201="V",J201,0)</f>
        <v>0</v>
      </c>
      <c r="AG201" s="38"/>
      <c r="AH201" s="692">
        <f t="shared" ref="AH201" si="91">IF(B201="D",Q201,0)</f>
        <v>0</v>
      </c>
      <c r="AI201" s="692">
        <f t="shared" ref="AI201" si="92">IF(B201="M",Q201,0)</f>
        <v>0</v>
      </c>
      <c r="AJ201" s="692">
        <f t="shared" ref="AJ201" si="93">IF(B201="V",Q201,0)</f>
        <v>0</v>
      </c>
      <c r="AL201" s="38">
        <f t="shared" ref="AL201" si="94">SUM(AD201:AJ201)</f>
        <v>0</v>
      </c>
      <c r="AM201" s="68" t="s">
        <v>845</v>
      </c>
    </row>
    <row r="202" spans="1:39">
      <c r="A202" s="20"/>
      <c r="B202" s="20" t="s">
        <v>110</v>
      </c>
      <c r="C202" s="676" t="s">
        <v>854</v>
      </c>
      <c r="D202" s="68" t="s">
        <v>855</v>
      </c>
      <c r="E202" s="679"/>
      <c r="F202" s="529">
        <f>VLOOKUP(D202,'Nov13 Revenue'!D:V,19,FALSE)</f>
        <v>521.67999999999995</v>
      </c>
      <c r="G202" s="680"/>
      <c r="H202" s="680"/>
      <c r="I202" s="755"/>
      <c r="J202" s="682">
        <f t="shared" si="56"/>
        <v>521.67999999999995</v>
      </c>
      <c r="K202" s="683"/>
      <c r="L202" s="684"/>
      <c r="M202" s="753"/>
      <c r="N202" s="683">
        <v>0</v>
      </c>
      <c r="O202" s="686"/>
      <c r="P202" s="683">
        <v>0</v>
      </c>
      <c r="Q202" s="687">
        <f t="shared" si="55"/>
        <v>0</v>
      </c>
      <c r="R202" s="687"/>
      <c r="S202" s="687"/>
      <c r="T202" s="688">
        <v>0</v>
      </c>
      <c r="U202" s="693"/>
      <c r="V202" s="690">
        <f t="shared" si="54"/>
        <v>0</v>
      </c>
      <c r="W202" s="683"/>
      <c r="X202" s="474">
        <f t="shared" si="64"/>
        <v>0</v>
      </c>
      <c r="Y202" s="474">
        <f t="shared" si="65"/>
        <v>0</v>
      </c>
      <c r="Z202" s="475">
        <f t="shared" si="66"/>
        <v>0</v>
      </c>
      <c r="AA202" s="475">
        <v>0</v>
      </c>
      <c r="AB202" s="476">
        <v>0</v>
      </c>
      <c r="AC202" s="38">
        <f t="shared" si="67"/>
        <v>0</v>
      </c>
      <c r="AD202" s="692">
        <f t="shared" si="57"/>
        <v>521.67999999999995</v>
      </c>
      <c r="AE202" s="692">
        <f t="shared" si="58"/>
        <v>0</v>
      </c>
      <c r="AF202" s="692">
        <f t="shared" si="59"/>
        <v>0</v>
      </c>
      <c r="AG202" s="38"/>
      <c r="AH202" s="692">
        <f t="shared" si="61"/>
        <v>0</v>
      </c>
      <c r="AI202" s="692">
        <f t="shared" si="62"/>
        <v>0</v>
      </c>
      <c r="AJ202" s="692">
        <f t="shared" si="63"/>
        <v>0</v>
      </c>
      <c r="AL202" s="38">
        <f t="shared" si="60"/>
        <v>521.67999999999995</v>
      </c>
      <c r="AM202" s="68" t="s">
        <v>855</v>
      </c>
    </row>
    <row r="203" spans="1:39">
      <c r="A203" s="20"/>
      <c r="B203" s="20" t="s">
        <v>110</v>
      </c>
      <c r="C203" s="667"/>
      <c r="D203" s="373" t="s">
        <v>1051</v>
      </c>
      <c r="E203" s="679"/>
      <c r="F203" s="529">
        <v>0</v>
      </c>
      <c r="G203" s="680"/>
      <c r="H203" s="680"/>
      <c r="I203" s="755"/>
      <c r="J203" s="682">
        <f t="shared" si="56"/>
        <v>0</v>
      </c>
      <c r="K203" s="683"/>
      <c r="L203" s="684"/>
      <c r="M203" s="753"/>
      <c r="N203" s="683">
        <v>0</v>
      </c>
      <c r="O203" s="686"/>
      <c r="P203" s="683">
        <v>0</v>
      </c>
      <c r="Q203" s="687">
        <f t="shared" si="55"/>
        <v>0</v>
      </c>
      <c r="R203" s="687"/>
      <c r="S203" s="687"/>
      <c r="T203" s="688">
        <v>1106.8499999999999</v>
      </c>
      <c r="U203" s="693"/>
      <c r="V203" s="690">
        <f t="shared" si="54"/>
        <v>1106.8499999999999</v>
      </c>
      <c r="W203" s="683"/>
      <c r="X203" s="474">
        <f t="shared" si="64"/>
        <v>0</v>
      </c>
      <c r="Y203" s="474">
        <f t="shared" si="65"/>
        <v>0</v>
      </c>
      <c r="Z203" s="475">
        <f t="shared" si="66"/>
        <v>0</v>
      </c>
      <c r="AA203" s="475">
        <v>0</v>
      </c>
      <c r="AB203" s="476">
        <v>0</v>
      </c>
      <c r="AC203" s="38">
        <f t="shared" si="67"/>
        <v>0</v>
      </c>
      <c r="AD203" s="692">
        <f t="shared" si="57"/>
        <v>0</v>
      </c>
      <c r="AE203" s="692">
        <f t="shared" si="58"/>
        <v>0</v>
      </c>
      <c r="AF203" s="692">
        <f t="shared" si="59"/>
        <v>0</v>
      </c>
      <c r="AG203" s="38"/>
      <c r="AH203" s="692">
        <f t="shared" si="61"/>
        <v>0</v>
      </c>
      <c r="AI203" s="692">
        <f t="shared" si="62"/>
        <v>0</v>
      </c>
      <c r="AJ203" s="692">
        <f t="shared" si="63"/>
        <v>0</v>
      </c>
      <c r="AL203" s="38">
        <f t="shared" si="60"/>
        <v>0</v>
      </c>
      <c r="AM203" s="68" t="s">
        <v>168</v>
      </c>
    </row>
    <row r="204" spans="1:39">
      <c r="A204" s="20"/>
      <c r="B204" s="20" t="s">
        <v>109</v>
      </c>
      <c r="C204" s="667" t="s">
        <v>577</v>
      </c>
      <c r="D204" s="68" t="s">
        <v>159</v>
      </c>
      <c r="E204" s="679"/>
      <c r="F204" s="529">
        <f>VLOOKUP(D204,'Nov13 Revenue'!D:V,19,FALSE)</f>
        <v>0</v>
      </c>
      <c r="G204" s="680"/>
      <c r="H204" s="680"/>
      <c r="I204" s="770">
        <v>12212.78</v>
      </c>
      <c r="J204" s="682">
        <f t="shared" si="56"/>
        <v>12212.78</v>
      </c>
      <c r="K204" s="683"/>
      <c r="L204" s="684"/>
      <c r="M204" s="753"/>
      <c r="N204" s="683">
        <v>0</v>
      </c>
      <c r="O204" s="686"/>
      <c r="P204" s="683">
        <v>0</v>
      </c>
      <c r="Q204" s="687">
        <f t="shared" si="55"/>
        <v>0</v>
      </c>
      <c r="R204" s="687"/>
      <c r="S204" s="687"/>
      <c r="T204" s="688">
        <v>0</v>
      </c>
      <c r="U204" s="693"/>
      <c r="V204" s="690">
        <f t="shared" si="54"/>
        <v>0</v>
      </c>
      <c r="W204" s="683"/>
      <c r="X204" s="474">
        <f t="shared" si="64"/>
        <v>0</v>
      </c>
      <c r="Y204" s="474">
        <f t="shared" si="65"/>
        <v>0</v>
      </c>
      <c r="Z204" s="475">
        <f t="shared" si="66"/>
        <v>0</v>
      </c>
      <c r="AA204" s="475">
        <v>0</v>
      </c>
      <c r="AB204" s="476">
        <v>0</v>
      </c>
      <c r="AC204" s="38">
        <f t="shared" si="67"/>
        <v>0</v>
      </c>
      <c r="AD204" s="692">
        <f t="shared" si="57"/>
        <v>0</v>
      </c>
      <c r="AE204" s="692">
        <f t="shared" si="58"/>
        <v>12212.78</v>
      </c>
      <c r="AF204" s="692">
        <f t="shared" si="59"/>
        <v>0</v>
      </c>
      <c r="AG204" s="38"/>
      <c r="AH204" s="692">
        <f t="shared" si="61"/>
        <v>0</v>
      </c>
      <c r="AI204" s="692">
        <f t="shared" si="62"/>
        <v>0</v>
      </c>
      <c r="AJ204" s="692">
        <f t="shared" si="63"/>
        <v>0</v>
      </c>
      <c r="AL204" s="38">
        <f t="shared" si="60"/>
        <v>12212.78</v>
      </c>
      <c r="AM204" s="68" t="s">
        <v>159</v>
      </c>
    </row>
    <row r="205" spans="1:39">
      <c r="A205" s="20"/>
      <c r="B205" s="20" t="s">
        <v>109</v>
      </c>
      <c r="C205" s="667" t="s">
        <v>577</v>
      </c>
      <c r="D205" s="68" t="s">
        <v>160</v>
      </c>
      <c r="E205" s="679"/>
      <c r="F205" s="529">
        <f>VLOOKUP(D205,'Nov13 Revenue'!D:V,19,FALSE)</f>
        <v>0</v>
      </c>
      <c r="G205" s="680"/>
      <c r="H205" s="680"/>
      <c r="I205" s="770">
        <v>9246.06</v>
      </c>
      <c r="J205" s="682">
        <f t="shared" si="56"/>
        <v>9246.06</v>
      </c>
      <c r="K205" s="683"/>
      <c r="L205" s="684"/>
      <c r="M205" s="753"/>
      <c r="N205" s="683">
        <v>0</v>
      </c>
      <c r="O205" s="686"/>
      <c r="P205" s="683">
        <v>0</v>
      </c>
      <c r="Q205" s="687">
        <f t="shared" si="55"/>
        <v>0</v>
      </c>
      <c r="R205" s="687"/>
      <c r="S205" s="687"/>
      <c r="T205" s="688">
        <v>0</v>
      </c>
      <c r="U205" s="693"/>
      <c r="V205" s="690">
        <f t="shared" si="54"/>
        <v>0</v>
      </c>
      <c r="W205" s="683"/>
      <c r="X205" s="474">
        <f t="shared" si="64"/>
        <v>0</v>
      </c>
      <c r="Y205" s="474">
        <f t="shared" si="65"/>
        <v>0</v>
      </c>
      <c r="Z205" s="475">
        <f t="shared" si="66"/>
        <v>0</v>
      </c>
      <c r="AA205" s="475">
        <v>0</v>
      </c>
      <c r="AB205" s="476">
        <v>0</v>
      </c>
      <c r="AC205" s="38">
        <f t="shared" si="67"/>
        <v>0</v>
      </c>
      <c r="AD205" s="692">
        <f t="shared" si="57"/>
        <v>0</v>
      </c>
      <c r="AE205" s="692">
        <f t="shared" si="58"/>
        <v>9246.06</v>
      </c>
      <c r="AF205" s="692">
        <f t="shared" si="59"/>
        <v>0</v>
      </c>
      <c r="AG205" s="38"/>
      <c r="AH205" s="692">
        <f t="shared" si="61"/>
        <v>0</v>
      </c>
      <c r="AI205" s="692">
        <f t="shared" si="62"/>
        <v>0</v>
      </c>
      <c r="AJ205" s="692">
        <f t="shared" si="63"/>
        <v>0</v>
      </c>
      <c r="AL205" s="38">
        <f t="shared" si="60"/>
        <v>9246.06</v>
      </c>
      <c r="AM205" s="68" t="s">
        <v>160</v>
      </c>
    </row>
    <row r="206" spans="1:39" hidden="1">
      <c r="A206" s="21"/>
      <c r="B206" s="21" t="s">
        <v>109</v>
      </c>
      <c r="C206" s="667" t="s">
        <v>577</v>
      </c>
      <c r="D206" s="68" t="s">
        <v>161</v>
      </c>
      <c r="E206" s="679"/>
      <c r="F206" s="529">
        <f>VLOOKUP(D206,'Nov13 Revenue'!D:V,19,FALSE)</f>
        <v>0</v>
      </c>
      <c r="G206" s="680"/>
      <c r="H206" s="680"/>
      <c r="I206" s="755"/>
      <c r="J206" s="682">
        <f t="shared" si="56"/>
        <v>0</v>
      </c>
      <c r="K206" s="683"/>
      <c r="L206" s="684"/>
      <c r="M206" s="753"/>
      <c r="N206" s="683">
        <v>0</v>
      </c>
      <c r="O206" s="686"/>
      <c r="P206" s="683">
        <v>0</v>
      </c>
      <c r="Q206" s="687">
        <f t="shared" si="55"/>
        <v>0</v>
      </c>
      <c r="R206" s="687"/>
      <c r="S206" s="687"/>
      <c r="T206" s="688">
        <v>0</v>
      </c>
      <c r="U206" s="693"/>
      <c r="V206" s="690">
        <f t="shared" si="54"/>
        <v>0</v>
      </c>
      <c r="W206" s="683"/>
      <c r="X206" s="474">
        <f t="shared" si="64"/>
        <v>0</v>
      </c>
      <c r="Y206" s="474">
        <f t="shared" si="65"/>
        <v>0</v>
      </c>
      <c r="Z206" s="475">
        <f t="shared" si="66"/>
        <v>0</v>
      </c>
      <c r="AA206" s="475">
        <v>0</v>
      </c>
      <c r="AB206" s="476">
        <v>0</v>
      </c>
      <c r="AC206" s="38">
        <f t="shared" si="67"/>
        <v>0</v>
      </c>
      <c r="AD206" s="692">
        <f t="shared" si="57"/>
        <v>0</v>
      </c>
      <c r="AE206" s="692">
        <f t="shared" si="58"/>
        <v>0</v>
      </c>
      <c r="AF206" s="692">
        <f t="shared" si="59"/>
        <v>0</v>
      </c>
      <c r="AG206" s="38"/>
      <c r="AH206" s="692">
        <f t="shared" si="61"/>
        <v>0</v>
      </c>
      <c r="AI206" s="692">
        <f t="shared" si="62"/>
        <v>0</v>
      </c>
      <c r="AJ206" s="692">
        <f t="shared" si="63"/>
        <v>0</v>
      </c>
      <c r="AL206" s="38">
        <f t="shared" si="60"/>
        <v>0</v>
      </c>
      <c r="AM206" s="68" t="s">
        <v>161</v>
      </c>
    </row>
    <row r="207" spans="1:39" hidden="1">
      <c r="A207" s="21"/>
      <c r="B207" s="21" t="s">
        <v>109</v>
      </c>
      <c r="C207" s="667" t="s">
        <v>577</v>
      </c>
      <c r="D207" s="68" t="s">
        <v>162</v>
      </c>
      <c r="E207" s="679"/>
      <c r="F207" s="529">
        <f>VLOOKUP(D207,'Nov13 Revenue'!D:V,19,FALSE)</f>
        <v>0</v>
      </c>
      <c r="G207" s="680"/>
      <c r="H207" s="680"/>
      <c r="I207" s="755"/>
      <c r="J207" s="682">
        <f t="shared" si="56"/>
        <v>0</v>
      </c>
      <c r="K207" s="683"/>
      <c r="L207" s="684"/>
      <c r="M207" s="753"/>
      <c r="N207" s="683">
        <v>0</v>
      </c>
      <c r="O207" s="686"/>
      <c r="P207" s="683">
        <v>0</v>
      </c>
      <c r="Q207" s="687">
        <f t="shared" si="55"/>
        <v>0</v>
      </c>
      <c r="R207" s="687"/>
      <c r="S207" s="687"/>
      <c r="T207" s="688">
        <v>0</v>
      </c>
      <c r="U207" s="693"/>
      <c r="V207" s="690">
        <f t="shared" si="54"/>
        <v>0</v>
      </c>
      <c r="W207" s="683"/>
      <c r="X207" s="474">
        <f t="shared" si="64"/>
        <v>0</v>
      </c>
      <c r="Y207" s="474">
        <f t="shared" si="65"/>
        <v>0</v>
      </c>
      <c r="Z207" s="475">
        <f t="shared" si="66"/>
        <v>0</v>
      </c>
      <c r="AA207" s="475">
        <v>0</v>
      </c>
      <c r="AB207" s="476">
        <v>0</v>
      </c>
      <c r="AC207" s="38">
        <f t="shared" si="67"/>
        <v>0</v>
      </c>
      <c r="AD207" s="692">
        <f t="shared" si="57"/>
        <v>0</v>
      </c>
      <c r="AE207" s="692">
        <f t="shared" si="58"/>
        <v>0</v>
      </c>
      <c r="AF207" s="692">
        <f t="shared" si="59"/>
        <v>0</v>
      </c>
      <c r="AG207" s="38"/>
      <c r="AH207" s="692">
        <f t="shared" si="61"/>
        <v>0</v>
      </c>
      <c r="AI207" s="692">
        <f t="shared" si="62"/>
        <v>0</v>
      </c>
      <c r="AJ207" s="692">
        <f t="shared" si="63"/>
        <v>0</v>
      </c>
      <c r="AL207" s="38">
        <f t="shared" si="60"/>
        <v>0</v>
      </c>
      <c r="AM207" s="68" t="s">
        <v>162</v>
      </c>
    </row>
    <row r="208" spans="1:39">
      <c r="A208" s="21"/>
      <c r="B208" s="21" t="s">
        <v>109</v>
      </c>
      <c r="C208" s="666"/>
      <c r="D208" s="68" t="s">
        <v>163</v>
      </c>
      <c r="E208" s="679"/>
      <c r="F208" s="529">
        <f>VLOOKUP(D208,'Nov13 Revenue'!D:V,19,FALSE)</f>
        <v>0</v>
      </c>
      <c r="G208" s="680"/>
      <c r="H208" s="680"/>
      <c r="I208" s="770">
        <v>3943.47</v>
      </c>
      <c r="J208" s="682">
        <f t="shared" si="56"/>
        <v>3943.47</v>
      </c>
      <c r="K208" s="683"/>
      <c r="L208" s="684"/>
      <c r="M208" s="753"/>
      <c r="N208" s="683">
        <v>0</v>
      </c>
      <c r="O208" s="686"/>
      <c r="P208" s="683">
        <v>0</v>
      </c>
      <c r="Q208" s="687">
        <f t="shared" si="55"/>
        <v>0</v>
      </c>
      <c r="R208" s="687"/>
      <c r="S208" s="687"/>
      <c r="T208" s="688">
        <v>0</v>
      </c>
      <c r="U208" s="704"/>
      <c r="V208" s="690">
        <f t="shared" si="54"/>
        <v>0</v>
      </c>
      <c r="W208" s="705"/>
      <c r="X208" s="474">
        <f t="shared" si="64"/>
        <v>0</v>
      </c>
      <c r="Y208" s="474">
        <f t="shared" si="65"/>
        <v>0</v>
      </c>
      <c r="Z208" s="475">
        <f t="shared" si="66"/>
        <v>0</v>
      </c>
      <c r="AA208" s="475">
        <v>0</v>
      </c>
      <c r="AB208" s="476">
        <v>0</v>
      </c>
      <c r="AC208" s="38">
        <f t="shared" si="67"/>
        <v>0</v>
      </c>
      <c r="AD208" s="692">
        <f t="shared" si="57"/>
        <v>0</v>
      </c>
      <c r="AE208" s="692">
        <f t="shared" si="58"/>
        <v>3943.47</v>
      </c>
      <c r="AF208" s="692">
        <f t="shared" si="59"/>
        <v>0</v>
      </c>
      <c r="AG208" s="38"/>
      <c r="AH208" s="692">
        <f t="shared" si="61"/>
        <v>0</v>
      </c>
      <c r="AI208" s="692">
        <f t="shared" si="62"/>
        <v>0</v>
      </c>
      <c r="AJ208" s="692">
        <f t="shared" si="63"/>
        <v>0</v>
      </c>
      <c r="AL208" s="38">
        <f t="shared" si="60"/>
        <v>3943.47</v>
      </c>
      <c r="AM208" s="68" t="s">
        <v>163</v>
      </c>
    </row>
    <row r="209" spans="1:39">
      <c r="A209" s="21"/>
      <c r="B209" s="21" t="s">
        <v>109</v>
      </c>
      <c r="C209" s="666"/>
      <c r="D209" s="412" t="s">
        <v>164</v>
      </c>
      <c r="E209" s="679"/>
      <c r="F209" s="529">
        <f>VLOOKUP(D209,'Nov13 Revenue'!D:V,19,FALSE)</f>
        <v>0</v>
      </c>
      <c r="G209" s="680"/>
      <c r="H209" s="680"/>
      <c r="I209" s="755"/>
      <c r="J209" s="682">
        <f t="shared" si="56"/>
        <v>0</v>
      </c>
      <c r="K209" s="683"/>
      <c r="L209" s="684"/>
      <c r="M209" s="753"/>
      <c r="N209" s="683">
        <v>0</v>
      </c>
      <c r="O209" s="686"/>
      <c r="P209" s="683">
        <v>0</v>
      </c>
      <c r="Q209" s="687">
        <f t="shared" si="55"/>
        <v>0</v>
      </c>
      <c r="R209" s="687"/>
      <c r="S209" s="687"/>
      <c r="T209" s="688">
        <v>0</v>
      </c>
      <c r="U209" s="704"/>
      <c r="V209" s="690">
        <f t="shared" si="54"/>
        <v>0</v>
      </c>
      <c r="W209" s="705"/>
      <c r="X209" s="474">
        <f t="shared" si="64"/>
        <v>0</v>
      </c>
      <c r="Y209" s="474">
        <f t="shared" si="65"/>
        <v>0</v>
      </c>
      <c r="Z209" s="475">
        <f t="shared" si="66"/>
        <v>0</v>
      </c>
      <c r="AA209" s="475">
        <v>0</v>
      </c>
      <c r="AB209" s="476">
        <v>0</v>
      </c>
      <c r="AC209" s="38">
        <f t="shared" si="67"/>
        <v>0</v>
      </c>
      <c r="AD209" s="692">
        <f t="shared" si="57"/>
        <v>0</v>
      </c>
      <c r="AE209" s="692">
        <f t="shared" si="58"/>
        <v>0</v>
      </c>
      <c r="AF209" s="692">
        <f t="shared" si="59"/>
        <v>0</v>
      </c>
      <c r="AG209" s="38"/>
      <c r="AH209" s="692">
        <f t="shared" si="61"/>
        <v>0</v>
      </c>
      <c r="AI209" s="692">
        <f t="shared" si="62"/>
        <v>0</v>
      </c>
      <c r="AJ209" s="692">
        <f t="shared" si="63"/>
        <v>0</v>
      </c>
      <c r="AL209" s="38">
        <f t="shared" si="60"/>
        <v>0</v>
      </c>
      <c r="AM209" s="412" t="s">
        <v>164</v>
      </c>
    </row>
    <row r="210" spans="1:39">
      <c r="A210" s="21" t="s">
        <v>109</v>
      </c>
      <c r="B210" s="21" t="s">
        <v>114</v>
      </c>
      <c r="C210" s="666" t="s">
        <v>578</v>
      </c>
      <c r="D210" s="412" t="s">
        <v>318</v>
      </c>
      <c r="E210" s="679">
        <f>65549.93+65161.64</f>
        <v>130711.56999999999</v>
      </c>
      <c r="F210" s="529">
        <f>VLOOKUP(D210,'Nov13 Revenue'!D:V,19,FALSE)</f>
        <v>-180000</v>
      </c>
      <c r="G210" s="680"/>
      <c r="H210" s="680"/>
      <c r="I210" s="755"/>
      <c r="J210" s="682">
        <f t="shared" si="56"/>
        <v>-49288.430000000008</v>
      </c>
      <c r="K210" s="683"/>
      <c r="L210" s="684"/>
      <c r="M210" s="753">
        <v>130000</v>
      </c>
      <c r="N210" s="683">
        <v>0</v>
      </c>
      <c r="O210" s="686"/>
      <c r="P210" s="683">
        <v>0</v>
      </c>
      <c r="Q210" s="687">
        <f t="shared" si="55"/>
        <v>130000</v>
      </c>
      <c r="R210" s="687"/>
      <c r="S210" s="687"/>
      <c r="T210" s="688">
        <v>0</v>
      </c>
      <c r="U210" s="704"/>
      <c r="V210" s="690">
        <f t="shared" si="54"/>
        <v>-130000</v>
      </c>
      <c r="W210" s="683"/>
      <c r="X210" s="474">
        <f t="shared" si="64"/>
        <v>0</v>
      </c>
      <c r="Y210" s="474">
        <f t="shared" si="65"/>
        <v>0</v>
      </c>
      <c r="Z210" s="475">
        <f t="shared" si="66"/>
        <v>130000</v>
      </c>
      <c r="AA210" s="475">
        <v>0</v>
      </c>
      <c r="AB210" s="476">
        <v>0</v>
      </c>
      <c r="AC210" s="38">
        <f t="shared" si="67"/>
        <v>0</v>
      </c>
      <c r="AD210" s="692">
        <f t="shared" si="57"/>
        <v>0</v>
      </c>
      <c r="AE210" s="692">
        <f t="shared" si="58"/>
        <v>0</v>
      </c>
      <c r="AF210" s="692">
        <f t="shared" si="59"/>
        <v>-49288.430000000008</v>
      </c>
      <c r="AG210" s="38"/>
      <c r="AH210" s="692">
        <f t="shared" si="61"/>
        <v>0</v>
      </c>
      <c r="AI210" s="692">
        <f t="shared" si="62"/>
        <v>0</v>
      </c>
      <c r="AJ210" s="692">
        <f t="shared" si="63"/>
        <v>130000</v>
      </c>
      <c r="AL210" s="38">
        <f t="shared" si="60"/>
        <v>80711.569999999992</v>
      </c>
      <c r="AM210" s="412" t="s">
        <v>318</v>
      </c>
    </row>
    <row r="211" spans="1:39">
      <c r="A211" s="20" t="s">
        <v>211</v>
      </c>
      <c r="B211" s="20" t="s">
        <v>109</v>
      </c>
      <c r="C211" s="667"/>
      <c r="D211" s="68" t="s">
        <v>57</v>
      </c>
      <c r="E211" s="679"/>
      <c r="F211" s="529">
        <f>VLOOKUP(D211,'Nov13 Revenue'!D:V,19,FALSE)</f>
        <v>0</v>
      </c>
      <c r="G211" s="680"/>
      <c r="H211" s="680"/>
      <c r="I211" s="755"/>
      <c r="J211" s="682">
        <f t="shared" si="56"/>
        <v>0</v>
      </c>
      <c r="K211" s="683"/>
      <c r="L211" s="684"/>
      <c r="M211" s="753"/>
      <c r="N211" s="683">
        <v>0</v>
      </c>
      <c r="O211" s="686"/>
      <c r="P211" s="683">
        <v>0</v>
      </c>
      <c r="Q211" s="687">
        <f t="shared" si="55"/>
        <v>0</v>
      </c>
      <c r="R211" s="687"/>
      <c r="S211" s="687"/>
      <c r="T211" s="688">
        <v>0</v>
      </c>
      <c r="U211" s="693"/>
      <c r="V211" s="690">
        <f t="shared" ref="V211:V234" si="95">IF(T211="","",T211-Q211)</f>
        <v>0</v>
      </c>
      <c r="W211" s="683"/>
      <c r="X211" s="474">
        <f t="shared" si="64"/>
        <v>0</v>
      </c>
      <c r="Y211" s="474">
        <f t="shared" si="65"/>
        <v>0</v>
      </c>
      <c r="Z211" s="475">
        <f t="shared" si="66"/>
        <v>0</v>
      </c>
      <c r="AA211" s="475">
        <v>0</v>
      </c>
      <c r="AB211" s="476">
        <v>0</v>
      </c>
      <c r="AC211" s="38">
        <f t="shared" si="67"/>
        <v>0</v>
      </c>
      <c r="AD211" s="692">
        <f t="shared" si="57"/>
        <v>0</v>
      </c>
      <c r="AE211" s="692">
        <f t="shared" si="58"/>
        <v>0</v>
      </c>
      <c r="AF211" s="692">
        <f t="shared" si="59"/>
        <v>0</v>
      </c>
      <c r="AG211" s="38"/>
      <c r="AH211" s="692">
        <f t="shared" si="61"/>
        <v>0</v>
      </c>
      <c r="AI211" s="692">
        <f t="shared" si="62"/>
        <v>0</v>
      </c>
      <c r="AJ211" s="692">
        <f t="shared" si="63"/>
        <v>0</v>
      </c>
      <c r="AL211" s="38">
        <f t="shared" si="60"/>
        <v>0</v>
      </c>
      <c r="AM211" s="68" t="s">
        <v>57</v>
      </c>
    </row>
    <row r="212" spans="1:39">
      <c r="A212" s="21"/>
      <c r="B212" s="21" t="s">
        <v>110</v>
      </c>
      <c r="C212" s="666"/>
      <c r="D212" s="68" t="s">
        <v>1049</v>
      </c>
      <c r="E212" s="679"/>
      <c r="F212" s="529">
        <v>0</v>
      </c>
      <c r="G212" s="680"/>
      <c r="H212" s="680"/>
      <c r="I212" s="755"/>
      <c r="J212" s="682">
        <f t="shared" ref="J212" si="96">SUM(E212:I212)</f>
        <v>0</v>
      </c>
      <c r="K212" s="683"/>
      <c r="L212" s="684"/>
      <c r="M212" s="753"/>
      <c r="N212" s="683">
        <v>0</v>
      </c>
      <c r="O212" s="686"/>
      <c r="P212" s="683">
        <v>0</v>
      </c>
      <c r="Q212" s="687">
        <f t="shared" ref="Q212" si="97">L212+M212</f>
        <v>0</v>
      </c>
      <c r="R212" s="687"/>
      <c r="S212" s="687"/>
      <c r="T212" s="688">
        <v>3947.57</v>
      </c>
      <c r="U212" s="693"/>
      <c r="V212" s="690">
        <f t="shared" si="95"/>
        <v>3947.57</v>
      </c>
      <c r="W212" s="683"/>
      <c r="X212" s="474">
        <f t="shared" ref="X212" si="98">IF(B212="D",Q212,0)</f>
        <v>0</v>
      </c>
      <c r="Y212" s="474">
        <f t="shared" ref="Y212" si="99">IF(B212="M",Q212,0)</f>
        <v>0</v>
      </c>
      <c r="Z212" s="475">
        <f t="shared" ref="Z212" si="100">IF(B212="V",Q212,0)</f>
        <v>0</v>
      </c>
      <c r="AA212" s="475">
        <v>0</v>
      </c>
      <c r="AB212" s="476">
        <v>0</v>
      </c>
      <c r="AC212" s="38">
        <f t="shared" ref="AC212" si="101">(L212+M212)-(X212+Y212+Z212+AA212+AB212)</f>
        <v>0</v>
      </c>
      <c r="AD212" s="692">
        <f t="shared" ref="AD212" si="102">IF(B212="D",J212,0)</f>
        <v>0</v>
      </c>
      <c r="AE212" s="692">
        <f t="shared" ref="AE212" si="103">IF(B212="M",J212,0)</f>
        <v>0</v>
      </c>
      <c r="AF212" s="692">
        <f t="shared" ref="AF212" si="104">IF(B212="V",J212,0)</f>
        <v>0</v>
      </c>
      <c r="AG212" s="38"/>
      <c r="AH212" s="692">
        <f t="shared" ref="AH212" si="105">IF(B212="D",Q212,0)</f>
        <v>0</v>
      </c>
      <c r="AI212" s="692">
        <f t="shared" ref="AI212" si="106">IF(B212="M",Q212,0)</f>
        <v>0</v>
      </c>
      <c r="AJ212" s="692">
        <f t="shared" ref="AJ212" si="107">IF(B212="V",Q212,0)</f>
        <v>0</v>
      </c>
      <c r="AL212" s="38">
        <f t="shared" ref="AL212" si="108">SUM(AD212:AJ212)</f>
        <v>0</v>
      </c>
      <c r="AM212" s="68" t="s">
        <v>107</v>
      </c>
    </row>
    <row r="213" spans="1:39">
      <c r="A213" s="20"/>
      <c r="B213" s="20" t="s">
        <v>114</v>
      </c>
      <c r="C213" s="676" t="s">
        <v>621</v>
      </c>
      <c r="D213" s="68" t="s">
        <v>622</v>
      </c>
      <c r="E213" s="679"/>
      <c r="F213" s="529">
        <f>VLOOKUP(D213,'Nov13 Revenue'!D:V,19,FALSE)</f>
        <v>0</v>
      </c>
      <c r="G213" s="680"/>
      <c r="H213" s="680"/>
      <c r="I213" s="755"/>
      <c r="J213" s="682">
        <f t="shared" si="56"/>
        <v>0</v>
      </c>
      <c r="K213" s="683"/>
      <c r="L213" s="684"/>
      <c r="M213" s="753"/>
      <c r="N213" s="683">
        <v>0</v>
      </c>
      <c r="O213" s="686"/>
      <c r="P213" s="683">
        <v>0</v>
      </c>
      <c r="Q213" s="687">
        <f t="shared" si="55"/>
        <v>0</v>
      </c>
      <c r="R213" s="687"/>
      <c r="S213" s="687"/>
      <c r="T213" s="688">
        <v>0</v>
      </c>
      <c r="U213" s="704"/>
      <c r="V213" s="690">
        <f t="shared" si="95"/>
        <v>0</v>
      </c>
      <c r="W213" s="683"/>
      <c r="X213" s="474">
        <f t="shared" si="64"/>
        <v>0</v>
      </c>
      <c r="Y213" s="474">
        <f t="shared" si="65"/>
        <v>0</v>
      </c>
      <c r="Z213" s="475">
        <f t="shared" si="66"/>
        <v>0</v>
      </c>
      <c r="AA213" s="475">
        <v>0</v>
      </c>
      <c r="AB213" s="476">
        <v>0</v>
      </c>
      <c r="AC213" s="38">
        <f t="shared" si="67"/>
        <v>0</v>
      </c>
      <c r="AD213" s="692">
        <f t="shared" si="57"/>
        <v>0</v>
      </c>
      <c r="AE213" s="692">
        <f t="shared" si="58"/>
        <v>0</v>
      </c>
      <c r="AF213" s="692">
        <f t="shared" si="59"/>
        <v>0</v>
      </c>
      <c r="AG213" s="38"/>
      <c r="AH213" s="692">
        <f t="shared" si="61"/>
        <v>0</v>
      </c>
      <c r="AI213" s="692">
        <f t="shared" si="62"/>
        <v>0</v>
      </c>
      <c r="AJ213" s="692">
        <f t="shared" si="63"/>
        <v>0</v>
      </c>
      <c r="AL213" s="38">
        <f t="shared" si="60"/>
        <v>0</v>
      </c>
      <c r="AM213" s="68" t="s">
        <v>622</v>
      </c>
    </row>
    <row r="214" spans="1:39">
      <c r="A214" s="20"/>
      <c r="B214" s="20" t="s">
        <v>110</v>
      </c>
      <c r="C214" s="667"/>
      <c r="D214" s="68" t="s">
        <v>497</v>
      </c>
      <c r="E214" s="679"/>
      <c r="F214" s="529">
        <f>VLOOKUP(D214,'Nov13 Revenue'!D:V,19,FALSE)</f>
        <v>0</v>
      </c>
      <c r="G214" s="680"/>
      <c r="H214" s="680"/>
      <c r="I214" s="755"/>
      <c r="J214" s="682">
        <f t="shared" si="56"/>
        <v>0</v>
      </c>
      <c r="K214" s="683"/>
      <c r="L214" s="684"/>
      <c r="M214" s="753"/>
      <c r="N214" s="683">
        <v>0</v>
      </c>
      <c r="O214" s="686"/>
      <c r="P214" s="683">
        <v>0</v>
      </c>
      <c r="Q214" s="687">
        <f t="shared" si="55"/>
        <v>0</v>
      </c>
      <c r="R214" s="687"/>
      <c r="S214" s="687"/>
      <c r="T214" s="688">
        <v>0</v>
      </c>
      <c r="U214" s="693"/>
      <c r="V214" s="690">
        <f t="shared" si="95"/>
        <v>0</v>
      </c>
      <c r="W214" s="683"/>
      <c r="X214" s="474">
        <f t="shared" si="64"/>
        <v>0</v>
      </c>
      <c r="Y214" s="474">
        <f t="shared" si="65"/>
        <v>0</v>
      </c>
      <c r="Z214" s="475">
        <f t="shared" si="66"/>
        <v>0</v>
      </c>
      <c r="AA214" s="475">
        <v>0</v>
      </c>
      <c r="AB214" s="476">
        <v>0</v>
      </c>
      <c r="AC214" s="38">
        <f t="shared" si="67"/>
        <v>0</v>
      </c>
      <c r="AD214" s="692">
        <f t="shared" si="57"/>
        <v>0</v>
      </c>
      <c r="AE214" s="692">
        <f t="shared" si="58"/>
        <v>0</v>
      </c>
      <c r="AF214" s="692">
        <f t="shared" si="59"/>
        <v>0</v>
      </c>
      <c r="AG214" s="38"/>
      <c r="AH214" s="692">
        <f t="shared" si="61"/>
        <v>0</v>
      </c>
      <c r="AI214" s="692">
        <f t="shared" si="62"/>
        <v>0</v>
      </c>
      <c r="AJ214" s="692">
        <f t="shared" si="63"/>
        <v>0</v>
      </c>
      <c r="AL214" s="38">
        <f t="shared" si="60"/>
        <v>0</v>
      </c>
      <c r="AM214" s="68" t="s">
        <v>497</v>
      </c>
    </row>
    <row r="215" spans="1:39">
      <c r="A215" s="20"/>
      <c r="B215" s="20" t="s">
        <v>110</v>
      </c>
      <c r="C215" s="667"/>
      <c r="D215" s="68" t="s">
        <v>509</v>
      </c>
      <c r="E215" s="679"/>
      <c r="F215" s="529">
        <f>VLOOKUP(D215,'Nov13 Revenue'!D:V,19,FALSE)</f>
        <v>-30000</v>
      </c>
      <c r="G215" s="680"/>
      <c r="H215" s="680"/>
      <c r="I215" s="755"/>
      <c r="J215" s="682">
        <f t="shared" si="56"/>
        <v>-30000</v>
      </c>
      <c r="K215" s="683"/>
      <c r="L215" s="684"/>
      <c r="M215" s="753">
        <v>30000</v>
      </c>
      <c r="N215" s="683"/>
      <c r="O215" s="686"/>
      <c r="P215" s="683"/>
      <c r="Q215" s="687">
        <f t="shared" si="55"/>
        <v>30000</v>
      </c>
      <c r="R215" s="687"/>
      <c r="S215" s="687"/>
      <c r="T215" s="688">
        <v>0</v>
      </c>
      <c r="U215" s="693"/>
      <c r="V215" s="690">
        <f t="shared" si="95"/>
        <v>-30000</v>
      </c>
      <c r="W215" s="683"/>
      <c r="X215" s="474">
        <f t="shared" si="64"/>
        <v>30000</v>
      </c>
      <c r="Y215" s="474">
        <f t="shared" si="65"/>
        <v>0</v>
      </c>
      <c r="Z215" s="475">
        <f t="shared" si="66"/>
        <v>0</v>
      </c>
      <c r="AA215" s="475">
        <v>0</v>
      </c>
      <c r="AB215" s="476">
        <v>0</v>
      </c>
      <c r="AC215" s="38">
        <f t="shared" si="67"/>
        <v>0</v>
      </c>
      <c r="AD215" s="692">
        <f t="shared" si="57"/>
        <v>-30000</v>
      </c>
      <c r="AE215" s="692">
        <f t="shared" si="58"/>
        <v>0</v>
      </c>
      <c r="AF215" s="692">
        <f t="shared" si="59"/>
        <v>0</v>
      </c>
      <c r="AG215" s="38"/>
      <c r="AH215" s="692">
        <f t="shared" si="61"/>
        <v>30000</v>
      </c>
      <c r="AI215" s="692">
        <f t="shared" si="62"/>
        <v>0</v>
      </c>
      <c r="AJ215" s="692">
        <f t="shared" si="63"/>
        <v>0</v>
      </c>
      <c r="AL215" s="38">
        <f t="shared" si="60"/>
        <v>0</v>
      </c>
      <c r="AM215" s="68" t="s">
        <v>509</v>
      </c>
    </row>
    <row r="216" spans="1:39" s="627" customFormat="1">
      <c r="A216" s="610"/>
      <c r="B216" s="610" t="s">
        <v>110</v>
      </c>
      <c r="C216" s="667" t="s">
        <v>580</v>
      </c>
      <c r="D216" s="612" t="s">
        <v>476</v>
      </c>
      <c r="E216" s="679"/>
      <c r="F216" s="529">
        <f>VLOOKUP(D216,'Nov13 Revenue'!D:V,19,FALSE)</f>
        <v>0</v>
      </c>
      <c r="G216" s="680"/>
      <c r="H216" s="680"/>
      <c r="I216" s="755"/>
      <c r="J216" s="682">
        <f t="shared" si="56"/>
        <v>0</v>
      </c>
      <c r="K216" s="683"/>
      <c r="L216" s="684"/>
      <c r="M216" s="753"/>
      <c r="N216" s="683">
        <v>0</v>
      </c>
      <c r="O216" s="686"/>
      <c r="P216" s="683">
        <v>0</v>
      </c>
      <c r="Q216" s="687">
        <f t="shared" si="55"/>
        <v>0</v>
      </c>
      <c r="R216" s="687"/>
      <c r="S216" s="687"/>
      <c r="T216" s="688">
        <v>0</v>
      </c>
      <c r="U216" s="706"/>
      <c r="V216" s="690">
        <f t="shared" si="95"/>
        <v>0</v>
      </c>
      <c r="W216" s="707"/>
      <c r="X216" s="474">
        <f t="shared" si="64"/>
        <v>0</v>
      </c>
      <c r="Y216" s="474">
        <f t="shared" si="65"/>
        <v>0</v>
      </c>
      <c r="Z216" s="475">
        <f t="shared" si="66"/>
        <v>0</v>
      </c>
      <c r="AA216" s="475">
        <v>0</v>
      </c>
      <c r="AB216" s="476">
        <v>0</v>
      </c>
      <c r="AC216" s="38">
        <f t="shared" si="67"/>
        <v>0</v>
      </c>
      <c r="AD216" s="692">
        <f t="shared" si="57"/>
        <v>0</v>
      </c>
      <c r="AE216" s="692">
        <f t="shared" si="58"/>
        <v>0</v>
      </c>
      <c r="AF216" s="692">
        <f t="shared" si="59"/>
        <v>0</v>
      </c>
      <c r="AG216" s="38"/>
      <c r="AH216" s="692">
        <f t="shared" si="61"/>
        <v>0</v>
      </c>
      <c r="AI216" s="692">
        <f t="shared" si="62"/>
        <v>0</v>
      </c>
      <c r="AJ216" s="692">
        <f t="shared" si="63"/>
        <v>0</v>
      </c>
      <c r="AL216" s="38">
        <f t="shared" si="60"/>
        <v>0</v>
      </c>
      <c r="AM216" s="612" t="s">
        <v>476</v>
      </c>
    </row>
    <row r="217" spans="1:39" s="232" customFormat="1">
      <c r="A217" s="283"/>
      <c r="B217" s="283" t="s">
        <v>114</v>
      </c>
      <c r="C217" s="667" t="s">
        <v>580</v>
      </c>
      <c r="D217" s="123" t="s">
        <v>371</v>
      </c>
      <c r="E217" s="679"/>
      <c r="F217" s="529">
        <f>VLOOKUP(D217,'Nov13 Revenue'!D:V,19,FALSE)</f>
        <v>12072.84</v>
      </c>
      <c r="G217" s="680"/>
      <c r="H217" s="680"/>
      <c r="I217" s="755"/>
      <c r="J217" s="682">
        <f t="shared" si="56"/>
        <v>12072.84</v>
      </c>
      <c r="K217" s="683"/>
      <c r="L217" s="684"/>
      <c r="M217" s="753">
        <v>22780</v>
      </c>
      <c r="N217" s="683">
        <v>0</v>
      </c>
      <c r="O217" s="686"/>
      <c r="P217" s="683">
        <v>0</v>
      </c>
      <c r="Q217" s="687">
        <f>L217+M217</f>
        <v>22780</v>
      </c>
      <c r="R217" s="687"/>
      <c r="S217" s="687"/>
      <c r="T217" s="688">
        <v>0</v>
      </c>
      <c r="U217" s="693"/>
      <c r="V217" s="690">
        <f t="shared" si="95"/>
        <v>-22780</v>
      </c>
      <c r="W217" s="683"/>
      <c r="X217" s="474">
        <f t="shared" si="64"/>
        <v>0</v>
      </c>
      <c r="Y217" s="474">
        <f t="shared" si="65"/>
        <v>0</v>
      </c>
      <c r="Z217" s="475">
        <f t="shared" si="66"/>
        <v>22780</v>
      </c>
      <c r="AA217" s="475">
        <v>0</v>
      </c>
      <c r="AB217" s="476">
        <v>0</v>
      </c>
      <c r="AC217" s="38">
        <f>(L217+M217)-(X217+Y217+Z217+AA217+AB217)</f>
        <v>0</v>
      </c>
      <c r="AD217" s="692">
        <f t="shared" si="57"/>
        <v>0</v>
      </c>
      <c r="AE217" s="692">
        <f t="shared" si="58"/>
        <v>0</v>
      </c>
      <c r="AF217" s="692">
        <f t="shared" si="59"/>
        <v>12072.84</v>
      </c>
      <c r="AG217" s="38"/>
      <c r="AH217" s="692">
        <f t="shared" si="61"/>
        <v>0</v>
      </c>
      <c r="AI217" s="692">
        <f t="shared" si="62"/>
        <v>0</v>
      </c>
      <c r="AJ217" s="692">
        <f t="shared" si="63"/>
        <v>22780</v>
      </c>
      <c r="AL217" s="38">
        <f t="shared" si="60"/>
        <v>34852.839999999997</v>
      </c>
      <c r="AM217" s="123" t="s">
        <v>371</v>
      </c>
    </row>
    <row r="218" spans="1:39" s="232" customFormat="1">
      <c r="A218" s="283"/>
      <c r="B218" s="283" t="s">
        <v>110</v>
      </c>
      <c r="C218" s="667" t="s">
        <v>580</v>
      </c>
      <c r="D218" s="123" t="s">
        <v>422</v>
      </c>
      <c r="E218" s="679"/>
      <c r="F218" s="529">
        <f>VLOOKUP(D218,'Nov13 Revenue'!D:V,19,FALSE)</f>
        <v>0</v>
      </c>
      <c r="G218" s="680"/>
      <c r="H218" s="680"/>
      <c r="I218" s="755"/>
      <c r="J218" s="682">
        <f t="shared" si="56"/>
        <v>0</v>
      </c>
      <c r="K218" s="683"/>
      <c r="L218" s="684"/>
      <c r="M218" s="753"/>
      <c r="N218" s="683">
        <v>0</v>
      </c>
      <c r="O218" s="686"/>
      <c r="P218" s="683">
        <v>0</v>
      </c>
      <c r="Q218" s="687">
        <f t="shared" si="55"/>
        <v>0</v>
      </c>
      <c r="R218" s="687"/>
      <c r="S218" s="687"/>
      <c r="T218" s="688">
        <v>0</v>
      </c>
      <c r="U218" s="693"/>
      <c r="V218" s="690">
        <f t="shared" si="95"/>
        <v>0</v>
      </c>
      <c r="W218" s="683"/>
      <c r="X218" s="474">
        <f t="shared" si="64"/>
        <v>0</v>
      </c>
      <c r="Y218" s="474">
        <f t="shared" si="65"/>
        <v>0</v>
      </c>
      <c r="Z218" s="475">
        <f t="shared" si="66"/>
        <v>0</v>
      </c>
      <c r="AA218" s="475">
        <v>0</v>
      </c>
      <c r="AB218" s="476">
        <v>0</v>
      </c>
      <c r="AC218" s="38">
        <f t="shared" si="67"/>
        <v>0</v>
      </c>
      <c r="AD218" s="692">
        <f t="shared" si="57"/>
        <v>0</v>
      </c>
      <c r="AE218" s="692">
        <f t="shared" si="58"/>
        <v>0</v>
      </c>
      <c r="AF218" s="692">
        <f t="shared" si="59"/>
        <v>0</v>
      </c>
      <c r="AG218" s="38"/>
      <c r="AH218" s="692">
        <f t="shared" si="61"/>
        <v>0</v>
      </c>
      <c r="AI218" s="692">
        <f t="shared" si="62"/>
        <v>0</v>
      </c>
      <c r="AJ218" s="692">
        <f t="shared" si="63"/>
        <v>0</v>
      </c>
      <c r="AL218" s="38">
        <f t="shared" si="60"/>
        <v>0</v>
      </c>
      <c r="AM218" s="123" t="s">
        <v>422</v>
      </c>
    </row>
    <row r="219" spans="1:39" s="232" customFormat="1">
      <c r="A219" s="283"/>
      <c r="B219" s="283" t="s">
        <v>110</v>
      </c>
      <c r="C219" s="667" t="s">
        <v>580</v>
      </c>
      <c r="D219" s="123" t="s">
        <v>442</v>
      </c>
      <c r="E219" s="679"/>
      <c r="F219" s="529">
        <f>VLOOKUP(D219,'Nov13 Revenue'!D:V,19,FALSE)</f>
        <v>114.41999999992549</v>
      </c>
      <c r="G219" s="680"/>
      <c r="H219" s="680"/>
      <c r="I219" s="755"/>
      <c r="J219" s="682">
        <f t="shared" si="56"/>
        <v>114.41999999992549</v>
      </c>
      <c r="K219" s="683"/>
      <c r="L219" s="684">
        <f>1107573</f>
        <v>1107573</v>
      </c>
      <c r="M219" s="753">
        <f>1030858</f>
        <v>1030858</v>
      </c>
      <c r="N219" s="683">
        <v>0</v>
      </c>
      <c r="O219" s="686"/>
      <c r="P219" s="683">
        <v>0</v>
      </c>
      <c r="Q219" s="687">
        <f>L219+M219</f>
        <v>2138431</v>
      </c>
      <c r="R219" s="687"/>
      <c r="S219" s="687"/>
      <c r="T219" s="688">
        <v>2154403.34</v>
      </c>
      <c r="U219" s="693"/>
      <c r="V219" s="690">
        <f t="shared" si="95"/>
        <v>15972.339999999851</v>
      </c>
      <c r="W219" s="683"/>
      <c r="X219" s="474">
        <f t="shared" si="64"/>
        <v>2138431</v>
      </c>
      <c r="Y219" s="474">
        <f t="shared" si="65"/>
        <v>0</v>
      </c>
      <c r="Z219" s="475">
        <f t="shared" si="66"/>
        <v>0</v>
      </c>
      <c r="AA219" s="475">
        <v>0</v>
      </c>
      <c r="AB219" s="476">
        <v>0</v>
      </c>
      <c r="AC219" s="38">
        <f>(L219+M219)-(X219+Y219+Z219+AA219+AB219)</f>
        <v>0</v>
      </c>
      <c r="AD219" s="692">
        <f t="shared" si="57"/>
        <v>114.41999999992549</v>
      </c>
      <c r="AE219" s="692">
        <f t="shared" si="58"/>
        <v>0</v>
      </c>
      <c r="AF219" s="692">
        <f t="shared" si="59"/>
        <v>0</v>
      </c>
      <c r="AG219" s="38"/>
      <c r="AH219" s="692">
        <f t="shared" si="61"/>
        <v>2138431</v>
      </c>
      <c r="AI219" s="692">
        <f t="shared" si="62"/>
        <v>0</v>
      </c>
      <c r="AJ219" s="692">
        <f t="shared" si="63"/>
        <v>0</v>
      </c>
      <c r="AL219" s="38">
        <f t="shared" si="60"/>
        <v>2138545.42</v>
      </c>
      <c r="AM219" s="123" t="s">
        <v>442</v>
      </c>
    </row>
    <row r="220" spans="1:39" hidden="1">
      <c r="A220" s="21" t="s">
        <v>97</v>
      </c>
      <c r="B220" s="21" t="s">
        <v>109</v>
      </c>
      <c r="C220" s="666"/>
      <c r="D220" s="68" t="s">
        <v>381</v>
      </c>
      <c r="E220" s="679"/>
      <c r="F220" s="529">
        <f>VLOOKUP(D220,'Nov13 Revenue'!D:V,19,FALSE)</f>
        <v>0</v>
      </c>
      <c r="G220" s="680"/>
      <c r="H220" s="680"/>
      <c r="I220" s="755"/>
      <c r="J220" s="682">
        <f t="shared" si="56"/>
        <v>0</v>
      </c>
      <c r="K220" s="683"/>
      <c r="L220" s="684"/>
      <c r="M220" s="753"/>
      <c r="N220" s="683">
        <v>0</v>
      </c>
      <c r="O220" s="686"/>
      <c r="P220" s="683">
        <v>0</v>
      </c>
      <c r="Q220" s="687">
        <f t="shared" si="55"/>
        <v>0</v>
      </c>
      <c r="R220" s="687"/>
      <c r="S220" s="687"/>
      <c r="T220" s="688">
        <v>0</v>
      </c>
      <c r="U220" s="693"/>
      <c r="V220" s="690">
        <f t="shared" si="95"/>
        <v>0</v>
      </c>
      <c r="W220" s="683"/>
      <c r="X220" s="474">
        <f t="shared" si="64"/>
        <v>0</v>
      </c>
      <c r="Y220" s="474">
        <f t="shared" si="65"/>
        <v>0</v>
      </c>
      <c r="Z220" s="475">
        <f t="shared" si="66"/>
        <v>0</v>
      </c>
      <c r="AA220" s="475">
        <v>0</v>
      </c>
      <c r="AB220" s="476">
        <v>0</v>
      </c>
      <c r="AC220" s="38">
        <f t="shared" si="67"/>
        <v>0</v>
      </c>
      <c r="AD220" s="692">
        <f t="shared" si="57"/>
        <v>0</v>
      </c>
      <c r="AE220" s="692">
        <f t="shared" si="58"/>
        <v>0</v>
      </c>
      <c r="AF220" s="692">
        <f t="shared" si="59"/>
        <v>0</v>
      </c>
      <c r="AG220" s="38"/>
      <c r="AH220" s="692">
        <f t="shared" si="61"/>
        <v>0</v>
      </c>
      <c r="AI220" s="692">
        <f t="shared" si="62"/>
        <v>0</v>
      </c>
      <c r="AJ220" s="692">
        <f t="shared" si="63"/>
        <v>0</v>
      </c>
      <c r="AL220" s="38">
        <f t="shared" si="60"/>
        <v>0</v>
      </c>
      <c r="AM220" s="68" t="s">
        <v>381</v>
      </c>
    </row>
    <row r="221" spans="1:39" hidden="1">
      <c r="A221" s="21" t="s">
        <v>97</v>
      </c>
      <c r="B221" s="21" t="s">
        <v>114</v>
      </c>
      <c r="C221" s="666"/>
      <c r="D221" s="68" t="s">
        <v>376</v>
      </c>
      <c r="E221" s="679"/>
      <c r="F221" s="529">
        <f>VLOOKUP(D221,'Nov13 Revenue'!D:V,19,FALSE)</f>
        <v>0</v>
      </c>
      <c r="G221" s="680"/>
      <c r="H221" s="680"/>
      <c r="I221" s="755"/>
      <c r="J221" s="682">
        <f t="shared" si="56"/>
        <v>0</v>
      </c>
      <c r="K221" s="683"/>
      <c r="L221" s="684"/>
      <c r="M221" s="753"/>
      <c r="N221" s="683">
        <v>0</v>
      </c>
      <c r="O221" s="686"/>
      <c r="P221" s="683">
        <v>0</v>
      </c>
      <c r="Q221" s="687">
        <f t="shared" ref="Q221:Q235" si="109">L221+M221</f>
        <v>0</v>
      </c>
      <c r="R221" s="687"/>
      <c r="S221" s="687"/>
      <c r="T221" s="688">
        <v>0</v>
      </c>
      <c r="U221" s="693"/>
      <c r="V221" s="690">
        <f t="shared" si="95"/>
        <v>0</v>
      </c>
      <c r="W221" s="683"/>
      <c r="X221" s="474">
        <f t="shared" si="64"/>
        <v>0</v>
      </c>
      <c r="Y221" s="474">
        <f t="shared" si="65"/>
        <v>0</v>
      </c>
      <c r="Z221" s="475">
        <f t="shared" si="66"/>
        <v>0</v>
      </c>
      <c r="AA221" s="475">
        <v>0</v>
      </c>
      <c r="AB221" s="476">
        <v>0</v>
      </c>
      <c r="AC221" s="38">
        <f t="shared" si="67"/>
        <v>0</v>
      </c>
      <c r="AD221" s="692">
        <f t="shared" si="57"/>
        <v>0</v>
      </c>
      <c r="AE221" s="692">
        <f t="shared" si="58"/>
        <v>0</v>
      </c>
      <c r="AF221" s="692">
        <f t="shared" si="59"/>
        <v>0</v>
      </c>
      <c r="AG221" s="38"/>
      <c r="AH221" s="692">
        <f t="shared" si="61"/>
        <v>0</v>
      </c>
      <c r="AI221" s="692">
        <f t="shared" si="62"/>
        <v>0</v>
      </c>
      <c r="AJ221" s="692">
        <f t="shared" si="63"/>
        <v>0</v>
      </c>
      <c r="AL221" s="38">
        <f t="shared" si="60"/>
        <v>0</v>
      </c>
      <c r="AM221" s="68" t="s">
        <v>376</v>
      </c>
    </row>
    <row r="222" spans="1:39">
      <c r="A222" s="20"/>
      <c r="B222" s="20" t="s">
        <v>110</v>
      </c>
      <c r="C222" s="667"/>
      <c r="D222" s="68" t="s">
        <v>1032</v>
      </c>
      <c r="E222" s="679">
        <f>1068.01+11018.7</f>
        <v>12086.710000000001</v>
      </c>
      <c r="F222" s="529">
        <f>VLOOKUP(D222,'Nov13 Revenue'!D:V,19,FALSE)</f>
        <v>0</v>
      </c>
      <c r="G222" s="680"/>
      <c r="H222" s="680"/>
      <c r="I222" s="755"/>
      <c r="J222" s="682">
        <f t="shared" si="56"/>
        <v>12086.710000000001</v>
      </c>
      <c r="K222" s="683"/>
      <c r="L222" s="684"/>
      <c r="M222" s="753"/>
      <c r="N222" s="683">
        <v>0</v>
      </c>
      <c r="O222" s="686"/>
      <c r="P222" s="683">
        <v>0</v>
      </c>
      <c r="Q222" s="687">
        <f>L222+M222</f>
        <v>0</v>
      </c>
      <c r="R222" s="687"/>
      <c r="S222" s="687"/>
      <c r="T222" s="688">
        <v>0</v>
      </c>
      <c r="U222" s="693"/>
      <c r="V222" s="690">
        <f t="shared" si="95"/>
        <v>0</v>
      </c>
      <c r="W222" s="683"/>
      <c r="X222" s="474">
        <f t="shared" si="64"/>
        <v>0</v>
      </c>
      <c r="Y222" s="474">
        <f t="shared" si="65"/>
        <v>0</v>
      </c>
      <c r="Z222" s="475">
        <f t="shared" si="66"/>
        <v>0</v>
      </c>
      <c r="AA222" s="475">
        <v>0</v>
      </c>
      <c r="AB222" s="476">
        <v>0</v>
      </c>
      <c r="AC222" s="38">
        <f>(L222+M222)-(X222+Y222+Z222+AA222+AB222)</f>
        <v>0</v>
      </c>
      <c r="AD222" s="692">
        <f t="shared" si="57"/>
        <v>12086.710000000001</v>
      </c>
      <c r="AE222" s="692">
        <f t="shared" si="58"/>
        <v>0</v>
      </c>
      <c r="AF222" s="692">
        <f t="shared" si="59"/>
        <v>0</v>
      </c>
      <c r="AG222" s="38"/>
      <c r="AH222" s="692">
        <f t="shared" si="61"/>
        <v>0</v>
      </c>
      <c r="AI222" s="692">
        <f t="shared" si="62"/>
        <v>0</v>
      </c>
      <c r="AJ222" s="692">
        <f t="shared" si="63"/>
        <v>0</v>
      </c>
      <c r="AL222" s="38">
        <f t="shared" si="60"/>
        <v>12086.710000000001</v>
      </c>
      <c r="AM222" s="68" t="s">
        <v>390</v>
      </c>
    </row>
    <row r="223" spans="1:39">
      <c r="A223" s="20"/>
      <c r="B223" s="20" t="s">
        <v>110</v>
      </c>
      <c r="C223" s="667" t="s">
        <v>581</v>
      </c>
      <c r="D223" s="123" t="s">
        <v>166</v>
      </c>
      <c r="E223" s="679"/>
      <c r="F223" s="529">
        <f>VLOOKUP(D223,'Nov13 Revenue'!D:V,19,FALSE)</f>
        <v>5110.3500000000004</v>
      </c>
      <c r="G223" s="680"/>
      <c r="H223" s="680"/>
      <c r="I223" s="755"/>
      <c r="J223" s="682">
        <f t="shared" si="56"/>
        <v>5110.3500000000004</v>
      </c>
      <c r="K223" s="683"/>
      <c r="L223" s="684"/>
      <c r="M223" s="753"/>
      <c r="N223" s="683">
        <v>0</v>
      </c>
      <c r="O223" s="686"/>
      <c r="P223" s="683">
        <v>0</v>
      </c>
      <c r="Q223" s="687">
        <f t="shared" si="109"/>
        <v>0</v>
      </c>
      <c r="R223" s="687"/>
      <c r="S223" s="687"/>
      <c r="T223" s="688">
        <v>0</v>
      </c>
      <c r="U223" s="693"/>
      <c r="V223" s="690">
        <f t="shared" si="95"/>
        <v>0</v>
      </c>
      <c r="W223" s="683"/>
      <c r="X223" s="474">
        <f t="shared" si="64"/>
        <v>0</v>
      </c>
      <c r="Y223" s="474">
        <f t="shared" si="65"/>
        <v>0</v>
      </c>
      <c r="Z223" s="475">
        <f t="shared" si="66"/>
        <v>0</v>
      </c>
      <c r="AA223" s="475">
        <v>0</v>
      </c>
      <c r="AB223" s="476">
        <v>0</v>
      </c>
      <c r="AC223" s="38">
        <f t="shared" si="67"/>
        <v>0</v>
      </c>
      <c r="AD223" s="692">
        <f t="shared" si="57"/>
        <v>5110.3500000000004</v>
      </c>
      <c r="AE223" s="692">
        <f t="shared" si="58"/>
        <v>0</v>
      </c>
      <c r="AF223" s="692">
        <f t="shared" si="59"/>
        <v>0</v>
      </c>
      <c r="AG223" s="38"/>
      <c r="AH223" s="692">
        <f t="shared" si="61"/>
        <v>0</v>
      </c>
      <c r="AI223" s="692">
        <f t="shared" si="62"/>
        <v>0</v>
      </c>
      <c r="AJ223" s="692">
        <f t="shared" si="63"/>
        <v>0</v>
      </c>
      <c r="AL223" s="38">
        <f t="shared" si="60"/>
        <v>5110.3500000000004</v>
      </c>
      <c r="AM223" s="123" t="s">
        <v>166</v>
      </c>
    </row>
    <row r="224" spans="1:39">
      <c r="A224" s="20"/>
      <c r="B224" s="20" t="s">
        <v>109</v>
      </c>
      <c r="C224" s="667" t="s">
        <v>581</v>
      </c>
      <c r="D224" s="123" t="s">
        <v>165</v>
      </c>
      <c r="E224" s="679"/>
      <c r="F224" s="529">
        <f>VLOOKUP(D224,'Nov13 Revenue'!D:V,19,FALSE)</f>
        <v>0</v>
      </c>
      <c r="G224" s="680"/>
      <c r="H224" s="680"/>
      <c r="I224" s="755"/>
      <c r="J224" s="682">
        <f t="shared" si="56"/>
        <v>0</v>
      </c>
      <c r="K224" s="683"/>
      <c r="L224" s="684"/>
      <c r="M224" s="753"/>
      <c r="N224" s="683">
        <v>0</v>
      </c>
      <c r="O224" s="686"/>
      <c r="P224" s="683">
        <v>0</v>
      </c>
      <c r="Q224" s="687">
        <f t="shared" si="109"/>
        <v>0</v>
      </c>
      <c r="R224" s="687"/>
      <c r="S224" s="687"/>
      <c r="T224" s="688">
        <v>0</v>
      </c>
      <c r="U224" s="693"/>
      <c r="V224" s="690">
        <f t="shared" si="95"/>
        <v>0</v>
      </c>
      <c r="W224" s="683"/>
      <c r="X224" s="474">
        <f t="shared" si="64"/>
        <v>0</v>
      </c>
      <c r="Y224" s="474">
        <f t="shared" si="65"/>
        <v>0</v>
      </c>
      <c r="Z224" s="475">
        <f t="shared" si="66"/>
        <v>0</v>
      </c>
      <c r="AA224" s="475">
        <v>0</v>
      </c>
      <c r="AB224" s="476">
        <v>0</v>
      </c>
      <c r="AC224" s="38">
        <f t="shared" si="67"/>
        <v>0</v>
      </c>
      <c r="AD224" s="692">
        <f t="shared" si="57"/>
        <v>0</v>
      </c>
      <c r="AE224" s="692">
        <f t="shared" si="58"/>
        <v>0</v>
      </c>
      <c r="AF224" s="692">
        <f t="shared" si="59"/>
        <v>0</v>
      </c>
      <c r="AG224" s="38"/>
      <c r="AH224" s="692">
        <f t="shared" si="61"/>
        <v>0</v>
      </c>
      <c r="AI224" s="692">
        <f t="shared" si="62"/>
        <v>0</v>
      </c>
      <c r="AJ224" s="692">
        <f t="shared" si="63"/>
        <v>0</v>
      </c>
      <c r="AL224" s="38">
        <f t="shared" si="60"/>
        <v>0</v>
      </c>
      <c r="AM224" s="123" t="s">
        <v>165</v>
      </c>
    </row>
    <row r="225" spans="1:39" hidden="1">
      <c r="A225" s="20"/>
      <c r="B225" s="20" t="s">
        <v>109</v>
      </c>
      <c r="C225" s="667"/>
      <c r="D225" s="123" t="s">
        <v>310</v>
      </c>
      <c r="E225" s="679"/>
      <c r="F225" s="529">
        <f>VLOOKUP(D225,'Nov13 Revenue'!D:V,19,FALSE)</f>
        <v>0</v>
      </c>
      <c r="G225" s="680"/>
      <c r="H225" s="680"/>
      <c r="I225" s="755"/>
      <c r="J225" s="682">
        <f t="shared" ref="J225:J235" si="110">SUM(E225:I225)</f>
        <v>0</v>
      </c>
      <c r="K225" s="683"/>
      <c r="L225" s="684"/>
      <c r="M225" s="753"/>
      <c r="N225" s="683">
        <v>0</v>
      </c>
      <c r="O225" s="686"/>
      <c r="P225" s="683">
        <v>0</v>
      </c>
      <c r="Q225" s="687">
        <f t="shared" si="109"/>
        <v>0</v>
      </c>
      <c r="R225" s="687"/>
      <c r="S225" s="687"/>
      <c r="T225" s="688">
        <v>0</v>
      </c>
      <c r="U225" s="693"/>
      <c r="V225" s="690">
        <f t="shared" si="95"/>
        <v>0</v>
      </c>
      <c r="W225" s="683"/>
      <c r="X225" s="474">
        <f t="shared" si="64"/>
        <v>0</v>
      </c>
      <c r="Y225" s="474">
        <f t="shared" si="65"/>
        <v>0</v>
      </c>
      <c r="Z225" s="475">
        <f t="shared" si="66"/>
        <v>0</v>
      </c>
      <c r="AA225" s="475">
        <v>0</v>
      </c>
      <c r="AB225" s="476">
        <v>0</v>
      </c>
      <c r="AC225" s="38">
        <f t="shared" si="67"/>
        <v>0</v>
      </c>
      <c r="AD225" s="692">
        <f t="shared" ref="AD225:AD235" si="111">IF(B225="D",J225,0)</f>
        <v>0</v>
      </c>
      <c r="AE225" s="692">
        <f t="shared" ref="AE225:AE235" si="112">IF(B225="M",J225,0)</f>
        <v>0</v>
      </c>
      <c r="AF225" s="692">
        <f t="shared" ref="AF225:AF235" si="113">IF(B225="V",J225,0)</f>
        <v>0</v>
      </c>
      <c r="AG225" s="38"/>
      <c r="AH225" s="692">
        <f t="shared" si="61"/>
        <v>0</v>
      </c>
      <c r="AI225" s="692">
        <f t="shared" si="62"/>
        <v>0</v>
      </c>
      <c r="AJ225" s="692">
        <f t="shared" si="63"/>
        <v>0</v>
      </c>
      <c r="AL225" s="38">
        <f t="shared" ref="AL225:AL235" si="114">SUM(AD225:AJ225)</f>
        <v>0</v>
      </c>
      <c r="AM225" s="123" t="s">
        <v>310</v>
      </c>
    </row>
    <row r="226" spans="1:39" hidden="1">
      <c r="A226" s="20"/>
      <c r="B226" s="20" t="s">
        <v>109</v>
      </c>
      <c r="C226" s="667"/>
      <c r="D226" s="123" t="s">
        <v>441</v>
      </c>
      <c r="E226" s="679"/>
      <c r="F226" s="529">
        <f>VLOOKUP(D226,'Nov13 Revenue'!D:V,19,FALSE)</f>
        <v>0</v>
      </c>
      <c r="G226" s="680"/>
      <c r="H226" s="680"/>
      <c r="I226" s="755"/>
      <c r="J226" s="682">
        <f t="shared" si="110"/>
        <v>0</v>
      </c>
      <c r="K226" s="683"/>
      <c r="L226" s="684"/>
      <c r="M226" s="753"/>
      <c r="N226" s="683">
        <v>0</v>
      </c>
      <c r="O226" s="686"/>
      <c r="P226" s="683">
        <v>0</v>
      </c>
      <c r="Q226" s="687">
        <f t="shared" si="109"/>
        <v>0</v>
      </c>
      <c r="R226" s="687"/>
      <c r="S226" s="687"/>
      <c r="T226" s="688">
        <v>0</v>
      </c>
      <c r="U226" s="693"/>
      <c r="V226" s="690">
        <f t="shared" si="95"/>
        <v>0</v>
      </c>
      <c r="W226" s="683"/>
      <c r="X226" s="474">
        <f t="shared" si="64"/>
        <v>0</v>
      </c>
      <c r="Y226" s="474">
        <f t="shared" si="65"/>
        <v>0</v>
      </c>
      <c r="Z226" s="475">
        <f t="shared" si="66"/>
        <v>0</v>
      </c>
      <c r="AA226" s="475">
        <v>0</v>
      </c>
      <c r="AB226" s="476">
        <v>0</v>
      </c>
      <c r="AC226" s="38">
        <f t="shared" si="67"/>
        <v>0</v>
      </c>
      <c r="AD226" s="692">
        <f t="shared" si="111"/>
        <v>0</v>
      </c>
      <c r="AE226" s="692">
        <f t="shared" si="112"/>
        <v>0</v>
      </c>
      <c r="AF226" s="692">
        <f t="shared" si="113"/>
        <v>0</v>
      </c>
      <c r="AG226" s="38"/>
      <c r="AH226" s="692">
        <f t="shared" ref="AH226:AH235" si="115">IF(B226="D",Q226,0)</f>
        <v>0</v>
      </c>
      <c r="AI226" s="692">
        <f t="shared" ref="AI226:AI235" si="116">IF(B226="M",Q226,0)</f>
        <v>0</v>
      </c>
      <c r="AJ226" s="692">
        <f t="shared" ref="AJ226:AJ235" si="117">IF(B226="V",Q226,0)</f>
        <v>0</v>
      </c>
      <c r="AL226" s="38">
        <f t="shared" si="114"/>
        <v>0</v>
      </c>
      <c r="AM226" s="123" t="s">
        <v>441</v>
      </c>
    </row>
    <row r="227" spans="1:39">
      <c r="A227" s="20"/>
      <c r="B227" s="20" t="s">
        <v>109</v>
      </c>
      <c r="C227" s="667"/>
      <c r="D227" s="68" t="s">
        <v>121</v>
      </c>
      <c r="E227" s="679"/>
      <c r="F227" s="529">
        <f>VLOOKUP(D227,'Nov13 Revenue'!D:V,19,FALSE)</f>
        <v>0</v>
      </c>
      <c r="G227" s="680"/>
      <c r="H227" s="680"/>
      <c r="I227" s="755"/>
      <c r="J227" s="682">
        <f t="shared" si="110"/>
        <v>0</v>
      </c>
      <c r="K227" s="683"/>
      <c r="L227" s="684"/>
      <c r="M227" s="753"/>
      <c r="N227" s="683">
        <v>0</v>
      </c>
      <c r="O227" s="686"/>
      <c r="P227" s="683">
        <v>0</v>
      </c>
      <c r="Q227" s="687">
        <f t="shared" si="109"/>
        <v>0</v>
      </c>
      <c r="R227" s="687"/>
      <c r="S227" s="687"/>
      <c r="T227" s="688">
        <v>0</v>
      </c>
      <c r="U227" s="693"/>
      <c r="V227" s="690">
        <f t="shared" si="95"/>
        <v>0</v>
      </c>
      <c r="W227" s="683"/>
      <c r="X227" s="474">
        <f t="shared" ref="X227:X235" si="118">IF(B227="D",Q227,0)</f>
        <v>0</v>
      </c>
      <c r="Y227" s="474">
        <f t="shared" ref="Y227:Y235" si="119">IF(B227="M",Q227,0)</f>
        <v>0</v>
      </c>
      <c r="Z227" s="475">
        <f t="shared" ref="Z227:Z235" si="120">IF(B227="V",Q227,0)</f>
        <v>0</v>
      </c>
      <c r="AA227" s="475">
        <v>0</v>
      </c>
      <c r="AB227" s="476">
        <v>0</v>
      </c>
      <c r="AC227" s="38">
        <f t="shared" ref="AC227:AC235" si="121">(L227+M227)-(X227+Y227+Z227+AA227+AB227)</f>
        <v>0</v>
      </c>
      <c r="AD227" s="692">
        <f t="shared" si="111"/>
        <v>0</v>
      </c>
      <c r="AE227" s="692">
        <f t="shared" si="112"/>
        <v>0</v>
      </c>
      <c r="AF227" s="692">
        <f t="shared" si="113"/>
        <v>0</v>
      </c>
      <c r="AG227" s="38"/>
      <c r="AH227" s="692">
        <f t="shared" si="115"/>
        <v>0</v>
      </c>
      <c r="AI227" s="692">
        <f t="shared" si="116"/>
        <v>0</v>
      </c>
      <c r="AJ227" s="692">
        <f t="shared" si="117"/>
        <v>0</v>
      </c>
      <c r="AL227" s="38">
        <f t="shared" si="114"/>
        <v>0</v>
      </c>
      <c r="AM227" s="68" t="s">
        <v>121</v>
      </c>
    </row>
    <row r="228" spans="1:39">
      <c r="A228" s="20"/>
      <c r="B228" s="20" t="s">
        <v>110</v>
      </c>
      <c r="C228" s="667"/>
      <c r="D228" s="68" t="s">
        <v>168</v>
      </c>
      <c r="E228" s="679"/>
      <c r="F228" s="529">
        <f>VLOOKUP(D228,'Nov13 Revenue'!D:V,19,FALSE)</f>
        <v>0</v>
      </c>
      <c r="G228" s="680"/>
      <c r="H228" s="680"/>
      <c r="I228" s="755"/>
      <c r="J228" s="682">
        <f t="shared" si="110"/>
        <v>0</v>
      </c>
      <c r="K228" s="683"/>
      <c r="L228" s="684"/>
      <c r="M228" s="753"/>
      <c r="N228" s="683">
        <v>0</v>
      </c>
      <c r="O228" s="686"/>
      <c r="P228" s="683">
        <v>0</v>
      </c>
      <c r="Q228" s="687">
        <f t="shared" si="109"/>
        <v>0</v>
      </c>
      <c r="R228" s="687"/>
      <c r="S228" s="687"/>
      <c r="T228" s="688">
        <v>0</v>
      </c>
      <c r="U228" s="693"/>
      <c r="V228" s="690">
        <f t="shared" si="95"/>
        <v>0</v>
      </c>
      <c r="W228" s="683"/>
      <c r="X228" s="474">
        <f t="shared" si="118"/>
        <v>0</v>
      </c>
      <c r="Y228" s="474">
        <f t="shared" si="119"/>
        <v>0</v>
      </c>
      <c r="Z228" s="475">
        <f t="shared" si="120"/>
        <v>0</v>
      </c>
      <c r="AA228" s="475">
        <v>0</v>
      </c>
      <c r="AB228" s="476">
        <v>0</v>
      </c>
      <c r="AC228" s="38">
        <f t="shared" si="121"/>
        <v>0</v>
      </c>
      <c r="AD228" s="692">
        <f t="shared" si="111"/>
        <v>0</v>
      </c>
      <c r="AE228" s="692">
        <f t="shared" si="112"/>
        <v>0</v>
      </c>
      <c r="AF228" s="692">
        <f t="shared" si="113"/>
        <v>0</v>
      </c>
      <c r="AG228" s="38"/>
      <c r="AH228" s="692">
        <f t="shared" si="115"/>
        <v>0</v>
      </c>
      <c r="AI228" s="692">
        <f t="shared" si="116"/>
        <v>0</v>
      </c>
      <c r="AJ228" s="692">
        <f t="shared" si="117"/>
        <v>0</v>
      </c>
      <c r="AL228" s="38">
        <f t="shared" si="114"/>
        <v>0</v>
      </c>
      <c r="AM228" s="68" t="s">
        <v>168</v>
      </c>
    </row>
    <row r="229" spans="1:39">
      <c r="A229" s="20"/>
      <c r="B229" s="20" t="s">
        <v>109</v>
      </c>
      <c r="C229" s="667" t="s">
        <v>582</v>
      </c>
      <c r="D229" s="68" t="s">
        <v>167</v>
      </c>
      <c r="E229" s="679"/>
      <c r="F229" s="529">
        <f>VLOOKUP(D229,'Nov13 Revenue'!D:V,19,FALSE)</f>
        <v>0</v>
      </c>
      <c r="G229" s="680"/>
      <c r="H229" s="680"/>
      <c r="I229" s="755"/>
      <c r="J229" s="682">
        <f t="shared" si="110"/>
        <v>0</v>
      </c>
      <c r="K229" s="683"/>
      <c r="L229" s="684"/>
      <c r="M229" s="753"/>
      <c r="N229" s="683">
        <v>0</v>
      </c>
      <c r="O229" s="686"/>
      <c r="P229" s="683">
        <v>0</v>
      </c>
      <c r="Q229" s="687">
        <f t="shared" si="109"/>
        <v>0</v>
      </c>
      <c r="R229" s="687"/>
      <c r="S229" s="687"/>
      <c r="T229" s="688">
        <v>0</v>
      </c>
      <c r="U229" s="693"/>
      <c r="V229" s="690">
        <f t="shared" si="95"/>
        <v>0</v>
      </c>
      <c r="W229" s="683"/>
      <c r="X229" s="474">
        <f t="shared" si="118"/>
        <v>0</v>
      </c>
      <c r="Y229" s="474">
        <f t="shared" si="119"/>
        <v>0</v>
      </c>
      <c r="Z229" s="475">
        <f t="shared" si="120"/>
        <v>0</v>
      </c>
      <c r="AA229" s="475">
        <v>0</v>
      </c>
      <c r="AB229" s="476">
        <v>0</v>
      </c>
      <c r="AC229" s="38">
        <f t="shared" si="121"/>
        <v>0</v>
      </c>
      <c r="AD229" s="692">
        <f t="shared" si="111"/>
        <v>0</v>
      </c>
      <c r="AE229" s="692">
        <f t="shared" si="112"/>
        <v>0</v>
      </c>
      <c r="AF229" s="692">
        <f t="shared" si="113"/>
        <v>0</v>
      </c>
      <c r="AG229" s="38"/>
      <c r="AH229" s="692">
        <f t="shared" si="115"/>
        <v>0</v>
      </c>
      <c r="AI229" s="692">
        <f t="shared" si="116"/>
        <v>0</v>
      </c>
      <c r="AJ229" s="692">
        <f t="shared" si="117"/>
        <v>0</v>
      </c>
      <c r="AL229" s="38">
        <f t="shared" si="114"/>
        <v>0</v>
      </c>
      <c r="AM229" s="68" t="s">
        <v>167</v>
      </c>
    </row>
    <row r="230" spans="1:39">
      <c r="A230" s="20" t="s">
        <v>218</v>
      </c>
      <c r="B230" s="20" t="s">
        <v>110</v>
      </c>
      <c r="C230" s="667"/>
      <c r="D230" s="68" t="s">
        <v>60</v>
      </c>
      <c r="E230" s="679"/>
      <c r="F230" s="529">
        <f>VLOOKUP(D230,'Nov13 Revenue'!D:V,19,FALSE)</f>
        <v>-12000</v>
      </c>
      <c r="G230" s="680"/>
      <c r="H230" s="680"/>
      <c r="I230" s="755"/>
      <c r="J230" s="682">
        <f t="shared" si="110"/>
        <v>-12000</v>
      </c>
      <c r="K230" s="683"/>
      <c r="L230" s="684"/>
      <c r="M230" s="753">
        <v>18000</v>
      </c>
      <c r="N230" s="683">
        <v>0</v>
      </c>
      <c r="O230" s="686"/>
      <c r="P230" s="683">
        <v>0</v>
      </c>
      <c r="Q230" s="687">
        <f t="shared" si="109"/>
        <v>18000</v>
      </c>
      <c r="R230" s="687"/>
      <c r="S230" s="687"/>
      <c r="T230" s="688">
        <v>0</v>
      </c>
      <c r="U230" s="693"/>
      <c r="V230" s="690">
        <f t="shared" si="95"/>
        <v>-18000</v>
      </c>
      <c r="W230" s="697"/>
      <c r="X230" s="474">
        <f t="shared" si="118"/>
        <v>18000</v>
      </c>
      <c r="Y230" s="474">
        <f t="shared" si="119"/>
        <v>0</v>
      </c>
      <c r="Z230" s="475">
        <f t="shared" si="120"/>
        <v>0</v>
      </c>
      <c r="AA230" s="475">
        <v>0</v>
      </c>
      <c r="AB230" s="476">
        <v>0</v>
      </c>
      <c r="AC230" s="38">
        <f t="shared" si="121"/>
        <v>0</v>
      </c>
      <c r="AD230" s="692">
        <f t="shared" si="111"/>
        <v>-12000</v>
      </c>
      <c r="AE230" s="692">
        <f t="shared" si="112"/>
        <v>0</v>
      </c>
      <c r="AF230" s="692">
        <f t="shared" si="113"/>
        <v>0</v>
      </c>
      <c r="AG230" s="38"/>
      <c r="AH230" s="692">
        <f t="shared" si="115"/>
        <v>18000</v>
      </c>
      <c r="AI230" s="692">
        <f t="shared" si="116"/>
        <v>0</v>
      </c>
      <c r="AJ230" s="692">
        <f t="shared" si="117"/>
        <v>0</v>
      </c>
      <c r="AL230" s="38">
        <f t="shared" si="114"/>
        <v>6000</v>
      </c>
      <c r="AM230" s="68" t="s">
        <v>60</v>
      </c>
    </row>
    <row r="231" spans="1:39">
      <c r="A231" s="20"/>
      <c r="B231" s="20" t="s">
        <v>110</v>
      </c>
      <c r="C231" s="667" t="s">
        <v>583</v>
      </c>
      <c r="D231" s="68" t="s">
        <v>169</v>
      </c>
      <c r="E231" s="679">
        <v>106.23</v>
      </c>
      <c r="F231" s="529">
        <f>VLOOKUP(D231,'Nov13 Revenue'!D:V,19,FALSE)</f>
        <v>0</v>
      </c>
      <c r="G231" s="680"/>
      <c r="H231" s="680"/>
      <c r="I231" s="755"/>
      <c r="J231" s="682">
        <f t="shared" si="110"/>
        <v>106.23</v>
      </c>
      <c r="K231" s="683"/>
      <c r="L231" s="684"/>
      <c r="M231" s="753"/>
      <c r="N231" s="683">
        <v>0</v>
      </c>
      <c r="O231" s="686"/>
      <c r="P231" s="683">
        <v>0</v>
      </c>
      <c r="Q231" s="687">
        <f t="shared" si="109"/>
        <v>0</v>
      </c>
      <c r="R231" s="687"/>
      <c r="S231" s="687"/>
      <c r="T231" s="688">
        <v>0</v>
      </c>
      <c r="U231" s="693"/>
      <c r="V231" s="690">
        <f t="shared" si="95"/>
        <v>0</v>
      </c>
      <c r="W231" s="683"/>
      <c r="X231" s="474">
        <f t="shared" si="118"/>
        <v>0</v>
      </c>
      <c r="Y231" s="474">
        <f t="shared" si="119"/>
        <v>0</v>
      </c>
      <c r="Z231" s="475">
        <f t="shared" si="120"/>
        <v>0</v>
      </c>
      <c r="AA231" s="475">
        <v>0</v>
      </c>
      <c r="AB231" s="476">
        <v>0</v>
      </c>
      <c r="AC231" s="38">
        <f t="shared" si="121"/>
        <v>0</v>
      </c>
      <c r="AD231" s="692">
        <f t="shared" si="111"/>
        <v>106.23</v>
      </c>
      <c r="AE231" s="692">
        <f t="shared" si="112"/>
        <v>0</v>
      </c>
      <c r="AF231" s="692">
        <f t="shared" si="113"/>
        <v>0</v>
      </c>
      <c r="AG231" s="38"/>
      <c r="AH231" s="692">
        <f t="shared" si="115"/>
        <v>0</v>
      </c>
      <c r="AI231" s="692">
        <f t="shared" si="116"/>
        <v>0</v>
      </c>
      <c r="AJ231" s="692">
        <f t="shared" si="117"/>
        <v>0</v>
      </c>
      <c r="AL231" s="38">
        <f t="shared" si="114"/>
        <v>106.23</v>
      </c>
      <c r="AM231" s="68" t="s">
        <v>169</v>
      </c>
    </row>
    <row r="232" spans="1:39">
      <c r="A232" s="21"/>
      <c r="B232" s="21" t="s">
        <v>110</v>
      </c>
      <c r="C232" s="666"/>
      <c r="D232" s="821" t="s">
        <v>981</v>
      </c>
      <c r="E232" s="679"/>
      <c r="F232" s="529">
        <f>VLOOKUP(D232,'Nov13 Revenue'!D:V,19,FALSE)</f>
        <v>0</v>
      </c>
      <c r="G232" s="680"/>
      <c r="H232" s="680"/>
      <c r="I232" s="770">
        <v>2594.38</v>
      </c>
      <c r="J232" s="682">
        <f t="shared" si="110"/>
        <v>2594.38</v>
      </c>
      <c r="K232" s="683"/>
      <c r="L232" s="684"/>
      <c r="M232" s="753"/>
      <c r="N232" s="683">
        <v>0</v>
      </c>
      <c r="O232" s="686"/>
      <c r="P232" s="683">
        <v>0</v>
      </c>
      <c r="Q232" s="687">
        <f t="shared" si="109"/>
        <v>0</v>
      </c>
      <c r="R232" s="687"/>
      <c r="S232" s="687"/>
      <c r="T232" s="688">
        <v>0</v>
      </c>
      <c r="U232" s="693"/>
      <c r="V232" s="690">
        <f t="shared" si="95"/>
        <v>0</v>
      </c>
      <c r="W232" s="683"/>
      <c r="X232" s="474">
        <f t="shared" si="118"/>
        <v>0</v>
      </c>
      <c r="Y232" s="474">
        <f t="shared" si="119"/>
        <v>0</v>
      </c>
      <c r="Z232" s="475">
        <f t="shared" si="120"/>
        <v>0</v>
      </c>
      <c r="AA232" s="475">
        <v>0</v>
      </c>
      <c r="AB232" s="476">
        <v>0</v>
      </c>
      <c r="AC232" s="38">
        <f t="shared" si="121"/>
        <v>0</v>
      </c>
      <c r="AD232" s="692">
        <f t="shared" si="111"/>
        <v>2594.38</v>
      </c>
      <c r="AE232" s="692">
        <f t="shared" si="112"/>
        <v>0</v>
      </c>
      <c r="AF232" s="692">
        <f t="shared" si="113"/>
        <v>0</v>
      </c>
      <c r="AG232" s="38"/>
      <c r="AH232" s="692">
        <f t="shared" si="115"/>
        <v>0</v>
      </c>
      <c r="AI232" s="692">
        <f t="shared" si="116"/>
        <v>0</v>
      </c>
      <c r="AJ232" s="692">
        <f t="shared" si="117"/>
        <v>0</v>
      </c>
      <c r="AL232" s="38">
        <f t="shared" si="114"/>
        <v>2594.38</v>
      </c>
      <c r="AM232" s="821" t="s">
        <v>981</v>
      </c>
    </row>
    <row r="233" spans="1:39">
      <c r="A233" s="21"/>
      <c r="B233" s="21" t="s">
        <v>114</v>
      </c>
      <c r="C233" s="666"/>
      <c r="D233" s="68" t="s">
        <v>591</v>
      </c>
      <c r="E233" s="679"/>
      <c r="F233" s="529">
        <f>VLOOKUP(D233,'Nov13 Revenue'!D:V,19,FALSE)</f>
        <v>4967.58</v>
      </c>
      <c r="G233" s="680"/>
      <c r="H233" s="680"/>
      <c r="I233" s="755"/>
      <c r="J233" s="682">
        <f t="shared" si="110"/>
        <v>4967.58</v>
      </c>
      <c r="K233" s="683"/>
      <c r="L233" s="684"/>
      <c r="M233" s="753">
        <v>5000</v>
      </c>
      <c r="N233" s="683">
        <v>0</v>
      </c>
      <c r="O233" s="686"/>
      <c r="P233" s="683">
        <v>0</v>
      </c>
      <c r="Q233" s="687">
        <f t="shared" si="109"/>
        <v>5000</v>
      </c>
      <c r="R233" s="687"/>
      <c r="S233" s="687"/>
      <c r="T233" s="688">
        <f>474.49+2657.86</f>
        <v>3132.3500000000004</v>
      </c>
      <c r="U233" s="693"/>
      <c r="V233" s="690">
        <f t="shared" si="95"/>
        <v>-1867.6499999999996</v>
      </c>
      <c r="W233" s="683"/>
      <c r="X233" s="474">
        <f t="shared" si="118"/>
        <v>0</v>
      </c>
      <c r="Y233" s="474">
        <f t="shared" si="119"/>
        <v>0</v>
      </c>
      <c r="Z233" s="475">
        <f t="shared" si="120"/>
        <v>5000</v>
      </c>
      <c r="AA233" s="475">
        <v>0</v>
      </c>
      <c r="AB233" s="476">
        <v>0</v>
      </c>
      <c r="AC233" s="38">
        <f t="shared" si="121"/>
        <v>0</v>
      </c>
      <c r="AD233" s="692">
        <f t="shared" si="111"/>
        <v>0</v>
      </c>
      <c r="AE233" s="692">
        <f t="shared" si="112"/>
        <v>0</v>
      </c>
      <c r="AF233" s="692">
        <f t="shared" si="113"/>
        <v>4967.58</v>
      </c>
      <c r="AG233" s="38"/>
      <c r="AH233" s="692">
        <f t="shared" si="115"/>
        <v>0</v>
      </c>
      <c r="AI233" s="692">
        <f t="shared" si="116"/>
        <v>0</v>
      </c>
      <c r="AJ233" s="692">
        <f t="shared" si="117"/>
        <v>5000</v>
      </c>
      <c r="AL233" s="38">
        <f t="shared" si="114"/>
        <v>9967.58</v>
      </c>
      <c r="AM233" s="68" t="s">
        <v>591</v>
      </c>
    </row>
    <row r="234" spans="1:39">
      <c r="A234" s="21"/>
      <c r="B234" s="21" t="s">
        <v>114</v>
      </c>
      <c r="C234" s="672"/>
      <c r="D234" s="519" t="s">
        <v>433</v>
      </c>
      <c r="E234" s="679"/>
      <c r="F234" s="529">
        <f>VLOOKUP(D234,'Nov13 Revenue'!D:V,19,FALSE)</f>
        <v>0</v>
      </c>
      <c r="G234" s="680"/>
      <c r="H234" s="680"/>
      <c r="I234" s="755"/>
      <c r="J234" s="682">
        <f t="shared" si="110"/>
        <v>0</v>
      </c>
      <c r="K234" s="683"/>
      <c r="L234" s="684"/>
      <c r="M234" s="753"/>
      <c r="N234" s="683">
        <v>0</v>
      </c>
      <c r="O234" s="686"/>
      <c r="P234" s="683">
        <v>0</v>
      </c>
      <c r="Q234" s="687">
        <f t="shared" si="109"/>
        <v>0</v>
      </c>
      <c r="R234" s="687"/>
      <c r="S234" s="687"/>
      <c r="T234" s="688">
        <v>0</v>
      </c>
      <c r="U234" s="693"/>
      <c r="V234" s="690">
        <f t="shared" si="95"/>
        <v>0</v>
      </c>
      <c r="W234" s="683"/>
      <c r="X234" s="474">
        <f t="shared" si="118"/>
        <v>0</v>
      </c>
      <c r="Y234" s="474">
        <f t="shared" si="119"/>
        <v>0</v>
      </c>
      <c r="Z234" s="475">
        <f t="shared" si="120"/>
        <v>0</v>
      </c>
      <c r="AA234" s="475">
        <v>0</v>
      </c>
      <c r="AB234" s="476">
        <v>0</v>
      </c>
      <c r="AC234" s="38">
        <f t="shared" si="121"/>
        <v>0</v>
      </c>
      <c r="AD234" s="692">
        <f t="shared" si="111"/>
        <v>0</v>
      </c>
      <c r="AE234" s="692">
        <f t="shared" si="112"/>
        <v>0</v>
      </c>
      <c r="AF234" s="692">
        <f t="shared" si="113"/>
        <v>0</v>
      </c>
      <c r="AG234" s="38"/>
      <c r="AH234" s="692">
        <f t="shared" si="115"/>
        <v>0</v>
      </c>
      <c r="AI234" s="692">
        <f t="shared" si="116"/>
        <v>0</v>
      </c>
      <c r="AJ234" s="692">
        <f t="shared" si="117"/>
        <v>0</v>
      </c>
      <c r="AL234" s="38">
        <f t="shared" si="114"/>
        <v>0</v>
      </c>
      <c r="AM234" s="519" t="s">
        <v>433</v>
      </c>
    </row>
    <row r="235" spans="1:39" s="146" customFormat="1" ht="13" thickBot="1">
      <c r="A235" s="21"/>
      <c r="B235" s="21" t="s">
        <v>110</v>
      </c>
      <c r="C235" s="666"/>
      <c r="D235" s="68" t="s">
        <v>1020</v>
      </c>
      <c r="E235" s="679"/>
      <c r="F235" s="529">
        <f>VLOOKUP(D235,'Nov13 Revenue'!D:V,19,FALSE)</f>
        <v>0</v>
      </c>
      <c r="G235" s="680"/>
      <c r="H235" s="680"/>
      <c r="I235" s="755">
        <v>-318</v>
      </c>
      <c r="J235" s="682">
        <f t="shared" si="110"/>
        <v>-318</v>
      </c>
      <c r="K235" s="683"/>
      <c r="L235" s="684"/>
      <c r="M235" s="753"/>
      <c r="N235" s="683">
        <v>0</v>
      </c>
      <c r="O235" s="686"/>
      <c r="P235" s="683">
        <v>0</v>
      </c>
      <c r="Q235" s="687">
        <f t="shared" si="109"/>
        <v>0</v>
      </c>
      <c r="R235" s="687"/>
      <c r="S235" s="687"/>
      <c r="T235" s="688">
        <v>0</v>
      </c>
      <c r="U235" s="693"/>
      <c r="V235" s="690">
        <f t="shared" ref="V235" si="122">IF(T235="","",T235-Q235)</f>
        <v>0</v>
      </c>
      <c r="W235" s="683"/>
      <c r="X235" s="474">
        <f t="shared" si="118"/>
        <v>0</v>
      </c>
      <c r="Y235" s="474">
        <f t="shared" si="119"/>
        <v>0</v>
      </c>
      <c r="Z235" s="475">
        <f t="shared" si="120"/>
        <v>0</v>
      </c>
      <c r="AA235" s="475">
        <v>0</v>
      </c>
      <c r="AB235" s="476">
        <v>0</v>
      </c>
      <c r="AC235" s="38">
        <f t="shared" si="121"/>
        <v>0</v>
      </c>
      <c r="AD235" s="692">
        <f t="shared" si="111"/>
        <v>-318</v>
      </c>
      <c r="AE235" s="692">
        <f t="shared" si="112"/>
        <v>0</v>
      </c>
      <c r="AF235" s="692">
        <f t="shared" si="113"/>
        <v>0</v>
      </c>
      <c r="AG235" s="38"/>
      <c r="AH235" s="692">
        <f t="shared" si="115"/>
        <v>0</v>
      </c>
      <c r="AI235" s="692">
        <f t="shared" si="116"/>
        <v>0</v>
      </c>
      <c r="AJ235" s="692">
        <f t="shared" si="117"/>
        <v>0</v>
      </c>
      <c r="AL235" s="38">
        <f t="shared" si="114"/>
        <v>-318</v>
      </c>
      <c r="AM235" s="68" t="s">
        <v>593</v>
      </c>
    </row>
    <row r="236" spans="1:39" ht="13" thickBot="1">
      <c r="A236" s="107"/>
      <c r="B236" s="108"/>
      <c r="C236" s="673"/>
      <c r="D236" s="71" t="s">
        <v>86</v>
      </c>
      <c r="E236" s="454">
        <f t="shared" ref="E236:J236" si="123">SUM(E16:E235)</f>
        <v>1279997.68</v>
      </c>
      <c r="F236" s="454">
        <f t="shared" si="123"/>
        <v>-2472640.9899999998</v>
      </c>
      <c r="G236" s="454">
        <f t="shared" si="123"/>
        <v>0</v>
      </c>
      <c r="H236" s="454">
        <f t="shared" si="123"/>
        <v>0</v>
      </c>
      <c r="I236" s="454">
        <f t="shared" si="123"/>
        <v>16412351.579999998</v>
      </c>
      <c r="J236" s="454">
        <f t="shared" si="123"/>
        <v>15219708.27</v>
      </c>
      <c r="K236" s="454"/>
      <c r="L236" s="454">
        <f>SUM(L16:L235)</f>
        <v>1107573</v>
      </c>
      <c r="M236" s="454">
        <f>SUM(M16:M235)</f>
        <v>6355638</v>
      </c>
      <c r="N236" s="454">
        <f>SUM(N16:N235)</f>
        <v>0</v>
      </c>
      <c r="O236" s="100">
        <f>SUM(O16:O235)</f>
        <v>0</v>
      </c>
      <c r="P236" s="157">
        <f>SUM(P17:P235)</f>
        <v>0</v>
      </c>
      <c r="Q236" s="100">
        <f>SUM(Q16:Q235)</f>
        <v>7463211</v>
      </c>
      <c r="R236" s="100"/>
      <c r="S236" s="100"/>
      <c r="T236" s="100">
        <f>SUM(T16:T235)</f>
        <v>7355498.1899999995</v>
      </c>
      <c r="U236" s="708"/>
      <c r="V236" s="100">
        <f>SUM(V16:V235)</f>
        <v>-107712.81000000026</v>
      </c>
      <c r="W236" s="683"/>
      <c r="X236" s="314">
        <f>SUM(X16:X235)</f>
        <v>6755431</v>
      </c>
      <c r="Y236" s="314">
        <f>SUM(Y16:Y235)</f>
        <v>495000</v>
      </c>
      <c r="Z236" s="314">
        <f>SUM(Z16:Z235)</f>
        <v>212780</v>
      </c>
      <c r="AA236" s="314">
        <f>SUM(AA16:AA235)</f>
        <v>0</v>
      </c>
      <c r="AB236" s="314">
        <f>SUM(AB16:AB235)</f>
        <v>0</v>
      </c>
      <c r="AC236" s="38"/>
      <c r="AD236" s="314">
        <f>SUM(AD16:AD235)</f>
        <v>14777542.899999997</v>
      </c>
      <c r="AE236" s="314">
        <f>SUM(AE16:AE235)</f>
        <v>425045.5400000001</v>
      </c>
      <c r="AF236" s="314">
        <f>SUM(AF16:AF235)</f>
        <v>17119.829999999987</v>
      </c>
      <c r="AG236" s="38"/>
      <c r="AH236" s="314">
        <f>SUM(AH16:AH235)</f>
        <v>6755431</v>
      </c>
      <c r="AI236" s="314">
        <f>SUM(AI16:AI235)</f>
        <v>495000</v>
      </c>
      <c r="AJ236" s="314">
        <f>SUM(AJ16:AJ235)</f>
        <v>212780</v>
      </c>
    </row>
    <row r="237" spans="1:39" ht="13" thickBot="1">
      <c r="A237" s="65"/>
      <c r="B237" s="65"/>
      <c r="C237" s="674"/>
      <c r="D237" s="141"/>
      <c r="E237" s="709" t="s">
        <v>293</v>
      </c>
      <c r="F237" s="160">
        <f>F236+E236</f>
        <v>-1192643.3099999998</v>
      </c>
      <c r="G237" s="153"/>
      <c r="H237" s="153" t="s">
        <v>225</v>
      </c>
      <c r="I237" s="153">
        <f>I236+H236+G236</f>
        <v>16412351.579999998</v>
      </c>
      <c r="J237" s="323"/>
      <c r="K237" s="153"/>
      <c r="L237" s="153" t="s">
        <v>296</v>
      </c>
      <c r="M237" s="100">
        <f>M236+L236</f>
        <v>7463211</v>
      </c>
      <c r="N237" s="153"/>
      <c r="O237" s="641"/>
      <c r="P237" s="153"/>
      <c r="Q237" s="153"/>
      <c r="R237" s="153"/>
      <c r="S237" s="153"/>
      <c r="T237" s="153"/>
      <c r="U237" s="153"/>
      <c r="V237" s="153"/>
      <c r="W237" s="153"/>
      <c r="X237" s="139"/>
      <c r="Y237" s="139"/>
      <c r="Z237" s="139"/>
      <c r="AA237" s="139"/>
      <c r="AB237" s="104"/>
      <c r="AC237" s="38"/>
      <c r="AD237" s="711"/>
      <c r="AE237" s="711"/>
      <c r="AF237" s="711"/>
      <c r="AG237" s="38"/>
      <c r="AH237" s="38"/>
      <c r="AI237" s="38"/>
      <c r="AJ237" s="38"/>
    </row>
    <row r="238" spans="1:39" ht="13" thickBot="1">
      <c r="A238" s="65"/>
      <c r="B238" s="65"/>
      <c r="C238" s="674"/>
      <c r="E238" s="159"/>
      <c r="F238" s="153"/>
      <c r="G238" s="153"/>
      <c r="H238" s="153"/>
      <c r="I238" s="153"/>
      <c r="J238" s="153"/>
      <c r="K238" s="153"/>
      <c r="L238" s="153"/>
      <c r="M238" s="710"/>
      <c r="N238" s="153"/>
      <c r="O238" s="153"/>
      <c r="P238" s="153"/>
      <c r="Q238" s="153"/>
      <c r="R238" s="153"/>
      <c r="S238" s="153"/>
      <c r="T238" s="153"/>
      <c r="U238" s="153"/>
      <c r="V238" s="153"/>
      <c r="W238" s="153"/>
      <c r="X238" s="331" t="s">
        <v>345</v>
      </c>
      <c r="Y238" s="139"/>
      <c r="Z238" s="139"/>
      <c r="AA238" s="139"/>
      <c r="AB238" s="104"/>
      <c r="AC238" s="164" t="s">
        <v>633</v>
      </c>
      <c r="AD238" s="798"/>
      <c r="AE238" s="798"/>
      <c r="AF238" s="798"/>
      <c r="AG238" s="38"/>
      <c r="AH238" s="711"/>
      <c r="AI238" s="711"/>
      <c r="AJ238" s="711"/>
    </row>
    <row r="239" spans="1:39" ht="17" thickTop="1" thickBot="1">
      <c r="E239" s="712"/>
      <c r="F239" s="713"/>
      <c r="G239" s="714"/>
      <c r="H239" s="715"/>
      <c r="I239" s="715"/>
      <c r="J239" s="164"/>
      <c r="K239" s="169"/>
      <c r="L239" s="233"/>
      <c r="M239" s="233"/>
      <c r="N239" s="38"/>
      <c r="O239" s="642"/>
      <c r="P239" s="139"/>
      <c r="Q239" s="139"/>
      <c r="R239" s="139"/>
      <c r="S239" s="139"/>
      <c r="T239" s="33"/>
      <c r="U239" s="33"/>
      <c r="V239" s="33"/>
      <c r="W239" s="169"/>
      <c r="X239" s="332"/>
      <c r="Y239" s="333"/>
      <c r="Z239" s="491"/>
      <c r="AA239" s="491"/>
      <c r="AB239" s="334"/>
      <c r="AC239" s="164" t="s">
        <v>634</v>
      </c>
      <c r="AD239" s="798"/>
      <c r="AE239" s="798"/>
      <c r="AF239" s="802"/>
      <c r="AG239" s="38"/>
      <c r="AH239" s="38"/>
      <c r="AI239" s="38"/>
      <c r="AJ239" s="38"/>
    </row>
    <row r="240" spans="1:39" ht="17" thickBot="1">
      <c r="E240" s="712"/>
      <c r="F240" s="713"/>
      <c r="G240" s="714"/>
      <c r="H240" s="715"/>
      <c r="J240" s="79">
        <f>J236</f>
        <v>15219708.27</v>
      </c>
      <c r="K240" s="715" t="s">
        <v>1036</v>
      </c>
      <c r="L240" s="169"/>
      <c r="M240" s="493"/>
      <c r="N240" s="38"/>
      <c r="O240" s="80"/>
      <c r="P240" s="104"/>
      <c r="Q240" s="139"/>
      <c r="R240" s="139"/>
      <c r="S240" s="139"/>
      <c r="T240" s="33"/>
      <c r="U240" s="33"/>
      <c r="V240" s="33"/>
      <c r="W240" s="169"/>
      <c r="X240" s="487"/>
      <c r="Y240" s="488"/>
      <c r="Z240" s="492" t="s">
        <v>399</v>
      </c>
      <c r="AA240" s="492" t="s">
        <v>400</v>
      </c>
      <c r="AB240" s="488"/>
      <c r="AC240" s="717" t="s">
        <v>475</v>
      </c>
      <c r="AD240" s="718">
        <f>SUM(AD236:AD239)</f>
        <v>14777542.899999997</v>
      </c>
      <c r="AE240" s="718">
        <f>AE236</f>
        <v>425045.5400000001</v>
      </c>
      <c r="AF240" s="718">
        <f>SUM(AF236:AF239)</f>
        <v>17119.829999999987</v>
      </c>
      <c r="AG240" s="718"/>
      <c r="AH240" s="718">
        <f>AH236</f>
        <v>6755431</v>
      </c>
      <c r="AI240" s="718">
        <f>AI236</f>
        <v>495000</v>
      </c>
      <c r="AJ240" s="719">
        <f>AJ236</f>
        <v>212780</v>
      </c>
      <c r="AL240" s="38">
        <f>SUM(AL17:AL239)</f>
        <v>22682919.269999988</v>
      </c>
    </row>
    <row r="241" spans="4:36" ht="15" thickBot="1">
      <c r="D241" s="143"/>
      <c r="E241" s="759"/>
      <c r="F241" s="713"/>
      <c r="G241" s="714"/>
      <c r="H241" s="720"/>
      <c r="J241" s="750" t="e">
        <f>SUM('June GL'!#REF!)</f>
        <v>#REF!</v>
      </c>
      <c r="K241" s="757" t="s">
        <v>251</v>
      </c>
      <c r="L241" s="722"/>
      <c r="M241" s="642"/>
      <c r="N241" s="33"/>
      <c r="O241" s="80"/>
      <c r="P241" s="104"/>
      <c r="Q241" s="139"/>
      <c r="R241" s="139"/>
      <c r="S241" s="139"/>
      <c r="T241" s="33"/>
      <c r="U241" s="33"/>
      <c r="V241" s="33"/>
      <c r="W241" s="169"/>
      <c r="X241" s="158" t="s">
        <v>609</v>
      </c>
      <c r="Y241" s="104" t="s">
        <v>352</v>
      </c>
      <c r="Z241" s="104">
        <f>X236+Y236+Z236</f>
        <v>7463211</v>
      </c>
      <c r="AA241" s="104"/>
      <c r="AB241" s="136"/>
      <c r="AC241" s="723"/>
      <c r="AD241" s="38"/>
      <c r="AE241" s="38"/>
      <c r="AF241" s="38"/>
      <c r="AG241" s="38"/>
      <c r="AH241" s="38"/>
      <c r="AI241" s="38"/>
      <c r="AJ241" s="38"/>
    </row>
    <row r="242" spans="4:36" ht="15" thickTop="1">
      <c r="D242" s="143"/>
      <c r="E242" s="712"/>
      <c r="F242" s="713"/>
      <c r="G242" s="714"/>
      <c r="H242" s="714" t="s">
        <v>249</v>
      </c>
      <c r="I242" s="35"/>
      <c r="J242" s="824" t="e">
        <f>J241+J240</f>
        <v>#REF!</v>
      </c>
      <c r="K242" s="714" t="s">
        <v>454</v>
      </c>
      <c r="L242" s="722"/>
      <c r="M242" s="80">
        <v>-2549.6800000015646</v>
      </c>
      <c r="N242" s="104"/>
      <c r="O242" s="824" t="e">
        <f>SUM(J242-M242)</f>
        <v>#REF!</v>
      </c>
      <c r="P242" s="104"/>
      <c r="Q242" s="826"/>
      <c r="R242" s="139"/>
      <c r="S242" s="139"/>
      <c r="T242" s="139"/>
      <c r="U242" s="139"/>
      <c r="V242" s="139"/>
      <c r="W242" s="169"/>
      <c r="X242" s="158"/>
      <c r="Y242" s="104"/>
      <c r="Z242" s="104"/>
      <c r="AA242" s="104"/>
      <c r="AB242" s="136"/>
      <c r="AC242" s="723"/>
      <c r="AD242" s="38"/>
      <c r="AE242" s="38"/>
      <c r="AF242" s="38" t="s">
        <v>86</v>
      </c>
      <c r="AG242" s="38"/>
      <c r="AH242" s="233">
        <f>SUM(AD240+AH240)</f>
        <v>21532973.899999999</v>
      </c>
      <c r="AI242" s="233">
        <f t="shared" ref="AI242:AJ242" si="124">SUM(AE240+AI240)</f>
        <v>920045.54</v>
      </c>
      <c r="AJ242" s="233">
        <f t="shared" si="124"/>
        <v>229899.83</v>
      </c>
    </row>
    <row r="243" spans="4:36" ht="14">
      <c r="D243" s="143"/>
      <c r="E243" s="712"/>
      <c r="F243" s="713"/>
      <c r="G243" s="714"/>
      <c r="H243" s="714"/>
      <c r="J243" s="80"/>
      <c r="K243" s="714"/>
      <c r="L243" s="722"/>
      <c r="M243" s="104"/>
      <c r="N243" s="38"/>
      <c r="O243" s="139"/>
      <c r="P243" s="104"/>
      <c r="Q243" s="139"/>
      <c r="R243" s="139"/>
      <c r="S243" s="139"/>
      <c r="T243" s="139"/>
      <c r="U243" s="139"/>
      <c r="V243" s="139"/>
      <c r="W243" s="169"/>
      <c r="X243" s="158" t="s">
        <v>600</v>
      </c>
      <c r="Y243" s="104" t="s">
        <v>355</v>
      </c>
      <c r="Z243" s="104"/>
      <c r="AA243" s="104">
        <f>X236</f>
        <v>6755431</v>
      </c>
      <c r="AB243" s="136"/>
      <c r="AC243" s="38"/>
      <c r="AD243" s="797" t="s">
        <v>882</v>
      </c>
      <c r="AE243" s="38"/>
      <c r="AF243" s="38"/>
      <c r="AG243" s="38"/>
      <c r="AH243" s="233"/>
      <c r="AI243" s="233"/>
      <c r="AJ243" s="233"/>
    </row>
    <row r="244" spans="4:36" ht="15" thickBot="1">
      <c r="D244" s="143" t="s">
        <v>823</v>
      </c>
      <c r="E244" s="712"/>
      <c r="F244" s="713"/>
      <c r="G244" s="714"/>
      <c r="H244" s="714"/>
      <c r="J244" s="661">
        <f>M237</f>
        <v>7463211</v>
      </c>
      <c r="K244" s="714" t="s">
        <v>1037</v>
      </c>
      <c r="L244" s="645"/>
      <c r="M244" s="173"/>
      <c r="N244" s="38"/>
      <c r="O244" s="139"/>
      <c r="P244" s="104"/>
      <c r="Q244" s="139"/>
      <c r="R244" s="139"/>
      <c r="S244" s="139"/>
      <c r="T244" s="726"/>
      <c r="U244" s="139"/>
      <c r="V244" s="727"/>
      <c r="W244" s="169"/>
      <c r="X244" s="158"/>
      <c r="Y244" s="104" t="s">
        <v>356</v>
      </c>
      <c r="Z244" s="104"/>
      <c r="AA244" s="104">
        <f>AA236</f>
        <v>0</v>
      </c>
      <c r="AB244" s="136"/>
      <c r="AC244" s="38"/>
      <c r="AD244" s="38"/>
      <c r="AE244" s="38"/>
      <c r="AF244" s="38"/>
      <c r="AG244" s="38"/>
      <c r="AH244" s="799" t="s">
        <v>897</v>
      </c>
      <c r="AI244" s="801">
        <f>SUM(AH242:AJ242)</f>
        <v>22682919.269999996</v>
      </c>
      <c r="AJ244" s="800"/>
    </row>
    <row r="245" spans="4:36" ht="16" thickTop="1" thickBot="1">
      <c r="D245" s="143"/>
      <c r="E245" s="712"/>
      <c r="F245" s="713"/>
      <c r="G245" s="714"/>
      <c r="H245" s="714"/>
      <c r="J245" s="173">
        <v>0</v>
      </c>
      <c r="K245" s="714"/>
      <c r="L245" s="722"/>
      <c r="M245" s="173"/>
      <c r="N245" s="38"/>
      <c r="O245" s="33"/>
      <c r="P245" s="38"/>
      <c r="Q245" s="139"/>
      <c r="R245" s="139"/>
      <c r="S245" s="139"/>
      <c r="T245" s="139"/>
      <c r="U245" s="139"/>
      <c r="V245" s="139"/>
      <c r="W245" s="169"/>
      <c r="X245" s="158"/>
      <c r="Y245" s="104"/>
      <c r="Z245" s="104"/>
      <c r="AA245" s="104"/>
      <c r="AB245" s="136"/>
      <c r="AC245" s="38"/>
      <c r="AD245" s="38"/>
      <c r="AE245" s="38"/>
      <c r="AF245" s="38"/>
      <c r="AG245" s="38"/>
    </row>
    <row r="246" spans="4:36" ht="15" thickBot="1">
      <c r="E246" s="712"/>
      <c r="F246" s="713"/>
      <c r="G246" s="714"/>
      <c r="H246" s="714"/>
      <c r="J246" s="754">
        <f>J240+J244</f>
        <v>22682919.27</v>
      </c>
      <c r="K246" s="714" t="s">
        <v>1038</v>
      </c>
      <c r="L246" s="722"/>
      <c r="M246" s="173"/>
      <c r="N246" s="38"/>
      <c r="O246" s="33"/>
      <c r="P246" s="38"/>
      <c r="Q246" s="139"/>
      <c r="R246" s="139"/>
      <c r="S246" s="139"/>
      <c r="T246" s="139"/>
      <c r="U246" s="139"/>
      <c r="V246" s="139"/>
      <c r="W246" s="169"/>
      <c r="X246" s="158" t="s">
        <v>601</v>
      </c>
      <c r="Y246" s="104" t="s">
        <v>357</v>
      </c>
      <c r="Z246" s="104"/>
      <c r="AA246" s="104">
        <f>Y236</f>
        <v>495000</v>
      </c>
      <c r="AB246" s="136"/>
      <c r="AC246" s="38"/>
      <c r="AD246" s="38"/>
      <c r="AE246" s="38"/>
      <c r="AF246" s="38"/>
      <c r="AG246" s="38"/>
      <c r="AH246" s="796" t="s">
        <v>857</v>
      </c>
      <c r="AI246" s="38">
        <f>AI244-AJ242</f>
        <v>22453019.439999998</v>
      </c>
      <c r="AJ246" s="38"/>
    </row>
    <row r="247" spans="4:36">
      <c r="D247" s="161"/>
      <c r="E247" s="712"/>
      <c r="F247" s="713"/>
      <c r="G247" s="714"/>
      <c r="H247" s="714"/>
      <c r="J247" s="637"/>
      <c r="K247" s="714"/>
      <c r="L247" s="173"/>
      <c r="M247" s="731"/>
      <c r="N247" s="38"/>
      <c r="O247" s="33"/>
      <c r="P247" s="38"/>
      <c r="Q247" s="139"/>
      <c r="R247" s="139"/>
      <c r="S247" s="139"/>
      <c r="T247" s="139"/>
      <c r="U247" s="139"/>
      <c r="V247" s="139"/>
      <c r="W247" s="169"/>
      <c r="X247" s="415"/>
      <c r="Y247" s="104" t="s">
        <v>358</v>
      </c>
      <c r="Z247" s="104"/>
      <c r="AA247" s="104">
        <f>AB236</f>
        <v>0</v>
      </c>
      <c r="AB247" s="136"/>
      <c r="AC247" s="38"/>
      <c r="AD247" s="38"/>
      <c r="AE247" s="38"/>
      <c r="AF247" s="38"/>
      <c r="AG247" s="38"/>
      <c r="AH247" s="38"/>
      <c r="AI247" s="38"/>
      <c r="AJ247" s="38"/>
    </row>
    <row r="248" spans="4:36">
      <c r="E248" s="712"/>
      <c r="F248" s="713"/>
      <c r="G248" s="714"/>
      <c r="H248" s="714"/>
      <c r="J248" s="658">
        <f>SUM(AD240:AJ240)</f>
        <v>22682919.269999996</v>
      </c>
      <c r="K248" s="714" t="s">
        <v>518</v>
      </c>
      <c r="L248" s="732"/>
      <c r="M248" s="637"/>
      <c r="N248" s="38"/>
      <c r="O248" s="33"/>
      <c r="P248" s="38"/>
      <c r="Q248" s="139"/>
      <c r="R248" s="139"/>
      <c r="S248" s="139"/>
      <c r="T248" s="139"/>
      <c r="U248" s="139"/>
      <c r="V248" s="139"/>
      <c r="W248" s="169"/>
      <c r="X248" s="415"/>
      <c r="Y248" s="104"/>
      <c r="Z248" s="104"/>
      <c r="AA248" s="104"/>
      <c r="AB248" s="136"/>
      <c r="AC248" s="38"/>
      <c r="AD248" s="38"/>
      <c r="AE248" s="38"/>
      <c r="AF248" s="38"/>
      <c r="AG248" s="38"/>
      <c r="AH248" s="38"/>
      <c r="AI248" s="38"/>
      <c r="AJ248" s="38"/>
    </row>
    <row r="249" spans="4:36" ht="13" thickBot="1">
      <c r="E249" s="712"/>
      <c r="F249" s="713"/>
      <c r="G249" s="714"/>
      <c r="H249" s="714"/>
      <c r="J249" s="169"/>
      <c r="K249" s="714" t="s">
        <v>454</v>
      </c>
      <c r="L249" s="733"/>
      <c r="M249" s="795"/>
      <c r="N249" s="38"/>
      <c r="O249" s="33"/>
      <c r="P249" s="38"/>
      <c r="Q249" s="139"/>
      <c r="R249" s="139"/>
      <c r="S249" s="139"/>
      <c r="T249" s="139"/>
      <c r="U249" s="139"/>
      <c r="V249" s="139"/>
      <c r="W249" s="169"/>
      <c r="X249" s="158" t="s">
        <v>602</v>
      </c>
      <c r="Y249" s="488" t="s">
        <v>359</v>
      </c>
      <c r="Z249" s="488"/>
      <c r="AA249" s="488">
        <f>Z236</f>
        <v>212780</v>
      </c>
      <c r="AB249" s="414"/>
      <c r="AC249" s="38"/>
      <c r="AD249" s="38"/>
      <c r="AE249" s="38"/>
      <c r="AF249" s="38"/>
      <c r="AG249" s="38"/>
      <c r="AH249" s="38"/>
      <c r="AI249" s="38"/>
      <c r="AJ249" s="38"/>
    </row>
    <row r="250" spans="4:36" ht="15" thickBot="1">
      <c r="E250" s="712"/>
      <c r="F250" s="713"/>
      <c r="G250" s="714"/>
      <c r="H250" s="714"/>
      <c r="J250" s="736"/>
      <c r="K250" s="714" t="s">
        <v>519</v>
      </c>
      <c r="L250" s="169"/>
      <c r="M250" s="169"/>
      <c r="N250" s="38"/>
      <c r="O250" s="33"/>
      <c r="P250" s="38"/>
      <c r="Q250" s="33"/>
      <c r="R250" s="33"/>
      <c r="S250" s="33"/>
      <c r="T250" s="33"/>
      <c r="U250" s="33"/>
      <c r="V250" s="33"/>
      <c r="W250" s="169"/>
      <c r="X250" s="416"/>
      <c r="Y250" s="104"/>
      <c r="Z250" s="80">
        <f>SUM(Z241:Z249)</f>
        <v>7463211</v>
      </c>
      <c r="AA250" s="80">
        <f>SUM(AA241:AA249)</f>
        <v>7463211</v>
      </c>
      <c r="AB250" s="136"/>
      <c r="AC250" s="38"/>
      <c r="AD250" s="38"/>
      <c r="AE250" s="38"/>
      <c r="AF250" s="38"/>
      <c r="AG250" s="38"/>
      <c r="AH250" s="38"/>
      <c r="AI250" s="822">
        <f>SUM(AI242/AI246)</f>
        <v>4.0976472783920602E-2</v>
      </c>
      <c r="AJ250" s="38"/>
    </row>
    <row r="251" spans="4:36">
      <c r="E251" s="712"/>
      <c r="F251" s="713"/>
      <c r="G251" s="714"/>
      <c r="H251" s="714"/>
      <c r="I251" s="714"/>
      <c r="J251" s="169"/>
      <c r="K251" s="169"/>
      <c r="L251" s="169"/>
      <c r="M251" s="169"/>
      <c r="N251" s="38"/>
      <c r="O251" s="33"/>
      <c r="P251" s="38"/>
      <c r="Q251" s="33"/>
      <c r="R251" s="33"/>
      <c r="S251" s="33"/>
      <c r="T251" s="33"/>
      <c r="U251" s="33"/>
      <c r="V251" s="33"/>
      <c r="W251" s="169"/>
      <c r="X251" s="416"/>
      <c r="Y251" s="104"/>
      <c r="Z251" s="104"/>
      <c r="AA251" s="104"/>
      <c r="AB251" s="136"/>
      <c r="AC251" s="38"/>
      <c r="AD251" s="38"/>
      <c r="AE251" s="38"/>
      <c r="AF251" s="38"/>
      <c r="AG251" s="38"/>
      <c r="AH251" s="38"/>
      <c r="AI251" s="38"/>
      <c r="AJ251" s="38"/>
    </row>
    <row r="252" spans="4:36" ht="13" thickBot="1">
      <c r="E252" s="712"/>
      <c r="F252" s="713"/>
      <c r="G252" s="714"/>
      <c r="H252" s="714"/>
      <c r="I252" s="714"/>
      <c r="J252" s="169"/>
      <c r="K252" s="169"/>
      <c r="L252" s="169"/>
      <c r="M252" s="169"/>
      <c r="N252" s="38"/>
      <c r="O252" s="33"/>
      <c r="P252" s="38"/>
      <c r="Q252" s="33"/>
      <c r="R252" s="33"/>
      <c r="S252" s="33"/>
      <c r="T252" s="33"/>
      <c r="U252" s="33"/>
      <c r="V252" s="33"/>
      <c r="W252" s="169"/>
      <c r="X252" s="330"/>
      <c r="Y252" s="279"/>
      <c r="Z252" s="279"/>
      <c r="AA252" s="279"/>
      <c r="AB252" s="280"/>
      <c r="AC252" s="38"/>
      <c r="AD252" s="38"/>
      <c r="AE252" s="38"/>
      <c r="AF252" s="38"/>
      <c r="AG252" s="38"/>
      <c r="AH252" s="38"/>
      <c r="AI252" s="38"/>
      <c r="AJ252" s="38"/>
    </row>
    <row r="253" spans="4:36">
      <c r="E253" s="712"/>
      <c r="F253" s="713"/>
      <c r="G253" s="714"/>
      <c r="H253" s="714"/>
      <c r="I253" s="714"/>
      <c r="J253" s="169"/>
      <c r="K253" s="169"/>
      <c r="L253" s="169"/>
      <c r="M253" s="169"/>
      <c r="N253" s="38"/>
      <c r="O253" s="33"/>
      <c r="P253" s="38"/>
      <c r="Q253" s="33"/>
      <c r="R253" s="33"/>
      <c r="S253" s="33"/>
      <c r="T253" s="33"/>
      <c r="U253" s="33"/>
      <c r="V253" s="33"/>
      <c r="W253" s="169"/>
      <c r="X253" s="104"/>
      <c r="Y253" s="104"/>
      <c r="Z253" s="104"/>
      <c r="AA253" s="104"/>
      <c r="AB253" s="104"/>
      <c r="AC253" s="38"/>
      <c r="AD253" s="38"/>
      <c r="AE253" s="38"/>
      <c r="AF253" s="38"/>
      <c r="AG253" s="38"/>
      <c r="AH253" s="38"/>
      <c r="AI253" s="38"/>
      <c r="AJ253" s="38"/>
    </row>
    <row r="254" spans="4:36">
      <c r="E254" s="712"/>
      <c r="F254" s="713"/>
      <c r="G254" s="714"/>
      <c r="H254" s="714"/>
      <c r="I254" s="714"/>
      <c r="J254" s="169"/>
      <c r="K254" s="169"/>
      <c r="L254" s="169"/>
      <c r="M254" s="169"/>
      <c r="N254" s="38"/>
      <c r="O254" s="33"/>
      <c r="P254" s="38"/>
      <c r="Q254" s="33"/>
      <c r="R254" s="33"/>
      <c r="S254" s="33"/>
      <c r="T254" s="33"/>
      <c r="U254" s="33"/>
      <c r="V254" s="33"/>
      <c r="W254" s="169"/>
      <c r="AC254" s="38"/>
      <c r="AD254" s="38"/>
      <c r="AE254" s="38"/>
      <c r="AF254" s="38"/>
      <c r="AG254" s="38"/>
      <c r="AH254" s="38"/>
      <c r="AI254" s="38"/>
      <c r="AJ254" s="38"/>
    </row>
    <row r="255" spans="4:36">
      <c r="E255" s="712"/>
      <c r="F255" s="713"/>
      <c r="G255" s="714"/>
      <c r="H255" s="714"/>
      <c r="I255" s="714"/>
      <c r="J255" s="169"/>
      <c r="K255" s="169"/>
      <c r="L255" s="169"/>
      <c r="M255" s="169"/>
      <c r="N255" s="38"/>
      <c r="O255" s="33"/>
      <c r="P255" s="38"/>
      <c r="Q255" s="33"/>
      <c r="R255" s="33"/>
      <c r="S255" s="33"/>
      <c r="T255" s="33"/>
      <c r="U255" s="33"/>
      <c r="V255" s="33"/>
      <c r="W255" s="169"/>
      <c r="AC255" s="38"/>
      <c r="AD255" s="38"/>
      <c r="AE255" s="38"/>
      <c r="AF255" s="38"/>
      <c r="AG255" s="38"/>
      <c r="AH255" s="38"/>
      <c r="AI255" s="38"/>
      <c r="AJ255" s="38"/>
    </row>
    <row r="256" spans="4:36">
      <c r="E256" s="712"/>
      <c r="F256" s="713"/>
      <c r="G256" s="714"/>
      <c r="H256" s="714"/>
      <c r="I256" s="714"/>
      <c r="J256" s="169"/>
      <c r="K256" s="169"/>
      <c r="L256" s="169"/>
      <c r="M256" s="169"/>
      <c r="N256" s="38"/>
      <c r="O256" s="33"/>
      <c r="P256" s="38"/>
      <c r="Q256" s="33"/>
      <c r="R256" s="33"/>
      <c r="S256" s="33"/>
      <c r="T256" s="33"/>
      <c r="U256" s="33"/>
      <c r="V256" s="33"/>
      <c r="W256" s="169"/>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253"/>
  <sheetViews>
    <sheetView topLeftCell="D35" workbookViewId="0">
      <selection activeCell="T41" sqref="T41"/>
    </sheetView>
  </sheetViews>
  <sheetFormatPr baseColWidth="10" defaultColWidth="9.3984375" defaultRowHeight="12" outlineLevelCol="1" x14ac:dyDescent="0"/>
  <cols>
    <col min="1" max="1" width="9.796875" style="18" customWidth="1" outlineLevel="1"/>
    <col min="2" max="2" width="8.3984375" style="18" bestFit="1" customWidth="1" outlineLevel="1"/>
    <col min="3" max="3" width="11.3984375" style="131" bestFit="1" customWidth="1" outlineLevel="1"/>
    <col min="4" max="4" width="32.3984375" style="147" customWidth="1"/>
    <col min="5" max="5" width="17.3984375" style="35" bestFit="1" customWidth="1"/>
    <col min="6" max="6" width="17" style="152" bestFit="1" customWidth="1"/>
    <col min="7" max="8" width="15.3984375" style="17" hidden="1" customWidth="1"/>
    <col min="9" max="9" width="15.3984375" style="17" customWidth="1"/>
    <col min="10" max="10" width="17" style="24" bestFit="1" customWidth="1"/>
    <col min="11" max="11" width="3" style="24" customWidth="1"/>
    <col min="12" max="13" width="14.796875" style="24" customWidth="1"/>
    <col min="14" max="14" width="1.796875" style="16" customWidth="1"/>
    <col min="15" max="15" width="7.3984375" style="146" customWidth="1"/>
    <col min="16" max="16" width="1.796875" style="16" customWidth="1"/>
    <col min="17" max="17" width="15.3984375" style="146" customWidth="1"/>
    <col min="18" max="19" width="10.3984375" style="146" customWidth="1"/>
    <col min="20" max="20" width="22.3984375" style="146" bestFit="1"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6.3984375" style="559" bestFit="1" customWidth="1"/>
    <col min="36" max="36" width="14.19921875" style="559" customWidth="1"/>
    <col min="37" max="37" width="9.3984375" style="16"/>
    <col min="38" max="38" width="14.796875" style="16" bestFit="1" customWidth="1"/>
    <col min="39" max="39" width="38.3984375" style="16" bestFit="1" customWidth="1"/>
    <col min="40" max="16384" width="9.398437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1021</v>
      </c>
      <c r="F3" s="29"/>
      <c r="G3" s="18"/>
      <c r="H3" s="168"/>
      <c r="I3" s="168"/>
      <c r="J3" s="169"/>
      <c r="K3" s="169"/>
      <c r="L3" s="169"/>
      <c r="M3" s="169"/>
      <c r="N3" s="169"/>
    </row>
    <row r="4" spans="1:39">
      <c r="D4" s="148"/>
      <c r="G4" s="164"/>
      <c r="H4" s="168"/>
      <c r="I4" s="168"/>
      <c r="J4" s="169"/>
      <c r="K4" s="169"/>
      <c r="L4" s="169"/>
      <c r="M4" s="169"/>
      <c r="N4" s="169"/>
    </row>
    <row r="5" spans="1:39" ht="13"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3" thickBot="1">
      <c r="B12" s="469"/>
      <c r="C12" s="670"/>
      <c r="D12" s="470" t="s">
        <v>103</v>
      </c>
      <c r="E12" s="471" t="s">
        <v>101</v>
      </c>
      <c r="F12" s="29"/>
      <c r="G12" s="166"/>
      <c r="H12" s="150"/>
      <c r="I12" s="150"/>
      <c r="J12" s="76"/>
    </row>
    <row r="13" spans="1:39" ht="13" thickBot="1">
      <c r="A13" s="152"/>
      <c r="B13" s="152"/>
      <c r="C13" s="67"/>
      <c r="D13" s="54"/>
      <c r="E13" s="34"/>
      <c r="G13" s="167"/>
      <c r="H13" s="49"/>
      <c r="I13" s="49"/>
      <c r="J13" s="50"/>
      <c r="K13" s="50"/>
      <c r="L13" s="50"/>
      <c r="M13" s="745"/>
      <c r="N13" s="146"/>
      <c r="P13" s="146"/>
      <c r="W13" s="50"/>
      <c r="X13" s="33"/>
      <c r="Y13" s="33"/>
      <c r="Z13" s="33"/>
      <c r="AA13" s="33"/>
    </row>
    <row r="14" spans="1:39" ht="13" thickBot="1">
      <c r="D14" s="526"/>
      <c r="E14" s="582" t="s">
        <v>1022</v>
      </c>
      <c r="F14" s="583" t="s">
        <v>427</v>
      </c>
      <c r="G14" s="96"/>
      <c r="H14" s="96"/>
      <c r="I14" s="96"/>
      <c r="J14" s="583" t="s">
        <v>428</v>
      </c>
      <c r="K14" s="581"/>
      <c r="L14" s="583" t="s">
        <v>428</v>
      </c>
      <c r="M14" s="583" t="s">
        <v>428</v>
      </c>
      <c r="N14" s="93"/>
      <c r="O14" s="96"/>
      <c r="P14" s="93"/>
      <c r="Q14" s="13"/>
      <c r="R14" s="13"/>
      <c r="S14" s="13"/>
      <c r="T14" s="96"/>
      <c r="U14" s="101"/>
      <c r="V14" s="96"/>
      <c r="W14" s="93"/>
      <c r="X14" s="96"/>
      <c r="Y14" s="96"/>
      <c r="Z14" s="304"/>
      <c r="AA14" s="304"/>
      <c r="AB14" s="304"/>
      <c r="AE14" s="560" t="s">
        <v>266</v>
      </c>
      <c r="AI14" s="561" t="s">
        <v>267</v>
      </c>
    </row>
    <row r="15" spans="1:39" ht="13" thickBot="1">
      <c r="A15" s="22" t="s">
        <v>95</v>
      </c>
      <c r="B15" s="22" t="s">
        <v>100</v>
      </c>
      <c r="C15" s="36" t="s">
        <v>522</v>
      </c>
      <c r="D15" s="36" t="s">
        <v>67</v>
      </c>
      <c r="E15" s="450" t="s">
        <v>230</v>
      </c>
      <c r="F15" s="528" t="s">
        <v>229</v>
      </c>
      <c r="G15" s="176" t="s">
        <v>288</v>
      </c>
      <c r="H15" s="545" t="s">
        <v>289</v>
      </c>
      <c r="I15" s="758" t="s">
        <v>428</v>
      </c>
      <c r="J15" s="313" t="s">
        <v>105</v>
      </c>
      <c r="K15" s="93"/>
      <c r="L15" s="94" t="s">
        <v>104</v>
      </c>
      <c r="M15" s="95" t="s">
        <v>106</v>
      </c>
      <c r="N15" s="102"/>
      <c r="O15" s="427" t="s">
        <v>839</v>
      </c>
      <c r="P15" s="102"/>
      <c r="Q15" s="313" t="s">
        <v>267</v>
      </c>
      <c r="R15" s="313" t="s">
        <v>946</v>
      </c>
      <c r="S15" s="313" t="s">
        <v>947</v>
      </c>
      <c r="T15" s="156" t="s">
        <v>961</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1027</v>
      </c>
      <c r="E16" s="679">
        <v>361.94</v>
      </c>
      <c r="F16" s="529">
        <f>VLOOKUP(D16,'Oct13 Revenue'!D:V,19,FALSE)</f>
        <v>0</v>
      </c>
      <c r="G16" s="680"/>
      <c r="H16" s="680"/>
      <c r="I16" s="755"/>
      <c r="J16" s="682">
        <f t="shared" ref="J16:J85" si="0">SUM(E16:I16)</f>
        <v>361.94</v>
      </c>
      <c r="K16" s="683"/>
      <c r="L16" s="684"/>
      <c r="M16" s="753"/>
      <c r="N16" s="683">
        <v>0</v>
      </c>
      <c r="O16" s="686"/>
      <c r="P16" s="683">
        <v>0</v>
      </c>
      <c r="Q16" s="687">
        <f t="shared" ref="Q16:Q146" si="1">L16+M16</f>
        <v>0</v>
      </c>
      <c r="R16" s="687"/>
      <c r="S16" s="687"/>
      <c r="T16" s="688">
        <v>0</v>
      </c>
      <c r="U16" s="689"/>
      <c r="V16" s="690">
        <f t="shared" ref="V16:V79" si="2">IF(T16="","",T16-Q16)</f>
        <v>0</v>
      </c>
      <c r="W16" s="691"/>
      <c r="X16" s="474">
        <f t="shared" ref="X16:X86" si="3">IF(B16="D",Q16,0)</f>
        <v>0</v>
      </c>
      <c r="Y16" s="474">
        <f t="shared" ref="Y16:Y86" si="4">IF(B16="M",Q16,0)</f>
        <v>0</v>
      </c>
      <c r="Z16" s="475">
        <f t="shared" ref="Z16:Z86" si="5">IF(B16="V",Q16,0)</f>
        <v>0</v>
      </c>
      <c r="AA16" s="475">
        <v>0</v>
      </c>
      <c r="AB16" s="476">
        <v>0</v>
      </c>
      <c r="AC16" s="38">
        <f t="shared" ref="AC16:AC86" si="6">(L16+M16)-(X16+Y16+Z16+AA16+AB16)</f>
        <v>0</v>
      </c>
      <c r="AD16" s="692">
        <f t="shared" ref="AD16:AD85" si="7">IF(B16="D",J16,0)</f>
        <v>0</v>
      </c>
      <c r="AE16" s="692">
        <f t="shared" ref="AE16:AE85" si="8">IF(B16="M",J16,0)</f>
        <v>361.94</v>
      </c>
      <c r="AF16" s="692">
        <f t="shared" ref="AF16:AF85" si="9">IF(B16="V",J16,0)</f>
        <v>0</v>
      </c>
      <c r="AG16" s="38"/>
      <c r="AH16" s="692">
        <f t="shared" ref="AH16:AH86" si="10">IF(B16="D",Q16,0)</f>
        <v>0</v>
      </c>
      <c r="AI16" s="692">
        <f t="shared" ref="AI16:AI86" si="11">IF(B16="M",Q16,0)</f>
        <v>0</v>
      </c>
      <c r="AJ16" s="692">
        <f t="shared" ref="AJ16:AJ86" si="12">IF(B16="V",Q16,0)</f>
        <v>0</v>
      </c>
      <c r="AM16" s="373" t="s">
        <v>382</v>
      </c>
    </row>
    <row r="17" spans="1:39">
      <c r="A17" s="20" t="s">
        <v>109</v>
      </c>
      <c r="B17" s="20" t="s">
        <v>110</v>
      </c>
      <c r="C17" s="671" t="s">
        <v>523</v>
      </c>
      <c r="D17" s="123" t="s">
        <v>317</v>
      </c>
      <c r="E17" s="679">
        <v>9731.2199999999993</v>
      </c>
      <c r="F17" s="529">
        <f>VLOOKUP(D17,'Oct13 Revenue'!D:V,19,FALSE)</f>
        <v>-10000</v>
      </c>
      <c r="G17" s="680"/>
      <c r="H17" s="680"/>
      <c r="I17" s="755"/>
      <c r="J17" s="682">
        <f t="shared" si="0"/>
        <v>-268.78000000000065</v>
      </c>
      <c r="K17" s="683"/>
      <c r="L17" s="684"/>
      <c r="M17" s="753">
        <v>20000</v>
      </c>
      <c r="N17" s="683">
        <v>0</v>
      </c>
      <c r="O17" s="686"/>
      <c r="P17" s="683">
        <v>0</v>
      </c>
      <c r="Q17" s="687">
        <f t="shared" si="1"/>
        <v>20000</v>
      </c>
      <c r="R17" s="687"/>
      <c r="S17" s="687"/>
      <c r="T17" s="688">
        <v>0</v>
      </c>
      <c r="U17" s="693"/>
      <c r="V17" s="690">
        <f t="shared" si="2"/>
        <v>-20000</v>
      </c>
      <c r="W17" s="683"/>
      <c r="X17" s="474">
        <f t="shared" si="3"/>
        <v>20000</v>
      </c>
      <c r="Y17" s="474">
        <f t="shared" si="4"/>
        <v>0</v>
      </c>
      <c r="Z17" s="475">
        <f t="shared" si="5"/>
        <v>0</v>
      </c>
      <c r="AA17" s="475">
        <v>0</v>
      </c>
      <c r="AB17" s="476">
        <v>0</v>
      </c>
      <c r="AC17" s="38">
        <f t="shared" si="6"/>
        <v>0</v>
      </c>
      <c r="AD17" s="692">
        <f t="shared" si="7"/>
        <v>-268.78000000000065</v>
      </c>
      <c r="AE17" s="692">
        <f t="shared" si="8"/>
        <v>0</v>
      </c>
      <c r="AF17" s="692">
        <f t="shared" si="9"/>
        <v>0</v>
      </c>
      <c r="AG17" s="38"/>
      <c r="AH17" s="692">
        <f t="shared" si="10"/>
        <v>20000</v>
      </c>
      <c r="AI17" s="692">
        <f t="shared" si="11"/>
        <v>0</v>
      </c>
      <c r="AJ17" s="692">
        <f t="shared" si="12"/>
        <v>0</v>
      </c>
      <c r="AL17" s="38">
        <f>SUM(AD17:AJ17)</f>
        <v>19731.22</v>
      </c>
      <c r="AM17" s="123" t="s">
        <v>317</v>
      </c>
    </row>
    <row r="18" spans="1:39">
      <c r="A18" s="20" t="s">
        <v>109</v>
      </c>
      <c r="B18" s="20" t="s">
        <v>109</v>
      </c>
      <c r="C18" s="671" t="s">
        <v>523</v>
      </c>
      <c r="D18" s="68" t="s">
        <v>393</v>
      </c>
      <c r="E18" s="679"/>
      <c r="F18" s="529">
        <f>VLOOKUP(D18,'Oct13 Revenue'!D:V,19,FALSE)</f>
        <v>-45000</v>
      </c>
      <c r="G18" s="680"/>
      <c r="H18" s="680"/>
      <c r="I18" s="755"/>
      <c r="J18" s="682">
        <f t="shared" si="0"/>
        <v>-45000</v>
      </c>
      <c r="K18" s="683"/>
      <c r="L18" s="684"/>
      <c r="M18" s="753">
        <v>90000</v>
      </c>
      <c r="N18" s="683">
        <v>0</v>
      </c>
      <c r="O18" s="686"/>
      <c r="P18" s="683">
        <v>0</v>
      </c>
      <c r="Q18" s="687">
        <f t="shared" si="1"/>
        <v>90000</v>
      </c>
      <c r="R18" s="687"/>
      <c r="S18" s="687"/>
      <c r="T18" s="688">
        <v>0</v>
      </c>
      <c r="U18" s="693"/>
      <c r="V18" s="690">
        <f t="shared" si="2"/>
        <v>-90000</v>
      </c>
      <c r="W18" s="683"/>
      <c r="X18" s="474">
        <f t="shared" si="3"/>
        <v>0</v>
      </c>
      <c r="Y18" s="474">
        <f t="shared" si="4"/>
        <v>90000</v>
      </c>
      <c r="Z18" s="475">
        <f t="shared" si="5"/>
        <v>0</v>
      </c>
      <c r="AA18" s="475">
        <v>0</v>
      </c>
      <c r="AB18" s="476">
        <v>0</v>
      </c>
      <c r="AC18" s="38">
        <f t="shared" si="6"/>
        <v>0</v>
      </c>
      <c r="AD18" s="692">
        <f t="shared" si="7"/>
        <v>0</v>
      </c>
      <c r="AE18" s="692">
        <f t="shared" si="8"/>
        <v>-45000</v>
      </c>
      <c r="AF18" s="692">
        <f t="shared" si="9"/>
        <v>0</v>
      </c>
      <c r="AG18" s="38"/>
      <c r="AH18" s="692">
        <f t="shared" si="10"/>
        <v>0</v>
      </c>
      <c r="AI18" s="692">
        <f t="shared" si="11"/>
        <v>90000</v>
      </c>
      <c r="AJ18" s="692">
        <f t="shared" si="12"/>
        <v>0</v>
      </c>
      <c r="AL18" s="38">
        <f t="shared" ref="AL18:AL87" si="13">SUM(AD18:AJ18)</f>
        <v>45000</v>
      </c>
      <c r="AM18" s="68" t="s">
        <v>393</v>
      </c>
    </row>
    <row r="19" spans="1:39">
      <c r="A19" s="20" t="s">
        <v>109</v>
      </c>
      <c r="B19" s="20" t="s">
        <v>109</v>
      </c>
      <c r="C19" s="671" t="s">
        <v>523</v>
      </c>
      <c r="D19" s="68" t="s">
        <v>129</v>
      </c>
      <c r="E19" s="679"/>
      <c r="F19" s="529">
        <f>VLOOKUP(D19,'Oct13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VLOOKUP(D20,'Oct13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c r="F21" s="529">
        <f>VLOOKUP(D21,'Oct13 Revenue'!D:V,19,FALSE)</f>
        <v>-10000</v>
      </c>
      <c r="G21" s="680"/>
      <c r="H21" s="680"/>
      <c r="I21" s="755"/>
      <c r="J21" s="682">
        <f t="shared" si="0"/>
        <v>-10000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-10000</v>
      </c>
      <c r="AE21" s="692">
        <f t="shared" si="8"/>
        <v>0</v>
      </c>
      <c r="AF21" s="692">
        <f t="shared" si="9"/>
        <v>0</v>
      </c>
      <c r="AG21" s="38"/>
      <c r="AH21" s="692">
        <f t="shared" si="10"/>
        <v>0</v>
      </c>
      <c r="AI21" s="692">
        <f t="shared" si="11"/>
        <v>0</v>
      </c>
      <c r="AJ21" s="692">
        <f t="shared" si="12"/>
        <v>0</v>
      </c>
      <c r="AL21" s="38">
        <f t="shared" si="13"/>
        <v>-10000</v>
      </c>
      <c r="AM21" s="123" t="s">
        <v>380</v>
      </c>
    </row>
    <row r="22" spans="1:39">
      <c r="A22" s="20"/>
      <c r="B22" s="20" t="s">
        <v>110</v>
      </c>
      <c r="C22" s="667" t="s">
        <v>524</v>
      </c>
      <c r="D22" s="123" t="s">
        <v>132</v>
      </c>
      <c r="E22" s="679"/>
      <c r="F22" s="529">
        <f>VLOOKUP(D22,'Oct13 Revenue'!D:V,19,FALSE)</f>
        <v>37898.639999999999</v>
      </c>
      <c r="G22" s="680"/>
      <c r="H22" s="680"/>
      <c r="I22" s="755"/>
      <c r="J22" s="682">
        <f t="shared" si="0"/>
        <v>37898.639999999999</v>
      </c>
      <c r="K22" s="683"/>
      <c r="L22" s="684"/>
      <c r="M22" s="753">
        <v>50000</v>
      </c>
      <c r="N22" s="683">
        <v>0</v>
      </c>
      <c r="O22" s="686"/>
      <c r="P22" s="683">
        <v>0</v>
      </c>
      <c r="Q22" s="687">
        <f t="shared" si="1"/>
        <v>50000</v>
      </c>
      <c r="R22" s="687"/>
      <c r="S22" s="687"/>
      <c r="T22" s="688">
        <v>1759.72</v>
      </c>
      <c r="U22" s="693"/>
      <c r="V22" s="690">
        <f t="shared" si="2"/>
        <v>-48240.28</v>
      </c>
      <c r="W22" s="683"/>
      <c r="X22" s="474">
        <f t="shared" si="3"/>
        <v>50000</v>
      </c>
      <c r="Y22" s="474">
        <f t="shared" si="4"/>
        <v>0</v>
      </c>
      <c r="Z22" s="475">
        <f t="shared" si="5"/>
        <v>0</v>
      </c>
      <c r="AA22" s="475">
        <v>0</v>
      </c>
      <c r="AB22" s="476">
        <v>0</v>
      </c>
      <c r="AC22" s="38">
        <f t="shared" si="6"/>
        <v>0</v>
      </c>
      <c r="AD22" s="692">
        <f t="shared" si="7"/>
        <v>37898.639999999999</v>
      </c>
      <c r="AE22" s="692">
        <f t="shared" si="8"/>
        <v>0</v>
      </c>
      <c r="AF22" s="692">
        <f t="shared" si="9"/>
        <v>0</v>
      </c>
      <c r="AG22" s="38"/>
      <c r="AH22" s="692">
        <f t="shared" si="10"/>
        <v>50000</v>
      </c>
      <c r="AI22" s="692">
        <f t="shared" si="11"/>
        <v>0</v>
      </c>
      <c r="AJ22" s="692">
        <f t="shared" si="12"/>
        <v>0</v>
      </c>
      <c r="AL22" s="38">
        <f t="shared" si="13"/>
        <v>87898.64</v>
      </c>
      <c r="AM22" s="123" t="s">
        <v>132</v>
      </c>
    </row>
    <row r="23" spans="1:39">
      <c r="A23" s="20"/>
      <c r="B23" s="20" t="s">
        <v>110</v>
      </c>
      <c r="C23" s="667" t="s">
        <v>524</v>
      </c>
      <c r="D23" s="123" t="s">
        <v>133</v>
      </c>
      <c r="E23" s="679"/>
      <c r="F23" s="529">
        <f>VLOOKUP(D23,'Oct13 Revenue'!D:V,19,FALSE)</f>
        <v>-25000</v>
      </c>
      <c r="G23" s="680"/>
      <c r="H23" s="680"/>
      <c r="I23" s="755"/>
      <c r="J23" s="682">
        <f t="shared" si="0"/>
        <v>-25000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-25000</v>
      </c>
      <c r="AE23" s="692">
        <f t="shared" si="8"/>
        <v>0</v>
      </c>
      <c r="AF23" s="692">
        <f t="shared" si="9"/>
        <v>0</v>
      </c>
      <c r="AG23" s="38"/>
      <c r="AH23" s="692">
        <f t="shared" si="10"/>
        <v>0</v>
      </c>
      <c r="AI23" s="692">
        <f t="shared" si="11"/>
        <v>0</v>
      </c>
      <c r="AJ23" s="692">
        <f t="shared" si="12"/>
        <v>0</v>
      </c>
      <c r="AL23" s="38">
        <f t="shared" si="13"/>
        <v>-25000</v>
      </c>
      <c r="AM23" s="123" t="s">
        <v>133</v>
      </c>
    </row>
    <row r="24" spans="1:39">
      <c r="A24" s="20"/>
      <c r="B24" s="20" t="s">
        <v>110</v>
      </c>
      <c r="C24" s="667"/>
      <c r="D24" s="123" t="s">
        <v>1015</v>
      </c>
      <c r="E24" s="679">
        <v>3353.26</v>
      </c>
      <c r="F24" s="529">
        <f>VLOOKUP(D24,'Oct13 Revenue'!D:V,19,FALSE)</f>
        <v>0</v>
      </c>
      <c r="G24" s="680"/>
      <c r="H24" s="680"/>
      <c r="I24" s="755"/>
      <c r="J24" s="682">
        <f t="shared" si="0"/>
        <v>3353.26</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3353.26</v>
      </c>
      <c r="AE24" s="692">
        <f t="shared" si="8"/>
        <v>0</v>
      </c>
      <c r="AF24" s="692">
        <f t="shared" si="9"/>
        <v>0</v>
      </c>
      <c r="AG24" s="38"/>
      <c r="AH24" s="692">
        <f t="shared" si="10"/>
        <v>0</v>
      </c>
      <c r="AI24" s="692">
        <f t="shared" si="11"/>
        <v>0</v>
      </c>
      <c r="AJ24" s="692">
        <f t="shared" si="12"/>
        <v>0</v>
      </c>
      <c r="AL24" s="38">
        <f t="shared" ref="AL24" si="14">SUM(AD24:AJ24)</f>
        <v>3353.26</v>
      </c>
      <c r="AM24" s="123" t="s">
        <v>1015</v>
      </c>
    </row>
    <row r="25" spans="1:39" s="232" customFormat="1">
      <c r="A25" s="283" t="s">
        <v>211</v>
      </c>
      <c r="B25" s="283" t="s">
        <v>109</v>
      </c>
      <c r="C25" s="667" t="s">
        <v>525</v>
      </c>
      <c r="D25" s="123" t="s">
        <v>419</v>
      </c>
      <c r="E25" s="679">
        <v>17379.080000000002</v>
      </c>
      <c r="F25" s="529">
        <f>VLOOKUP(D25,'Oct13 Revenue'!D:V,19,FALSE)</f>
        <v>-30000</v>
      </c>
      <c r="G25" s="680"/>
      <c r="H25" s="680"/>
      <c r="I25" s="755"/>
      <c r="J25" s="682">
        <f t="shared" si="0"/>
        <v>-12620.919999999998</v>
      </c>
      <c r="K25" s="683"/>
      <c r="L25" s="684"/>
      <c r="M25" s="753">
        <v>30000</v>
      </c>
      <c r="N25" s="683">
        <v>0</v>
      </c>
      <c r="O25" s="686"/>
      <c r="P25" s="683">
        <v>0</v>
      </c>
      <c r="Q25" s="687">
        <f t="shared" si="1"/>
        <v>30000</v>
      </c>
      <c r="R25" s="687"/>
      <c r="S25" s="687"/>
      <c r="T25" s="688">
        <v>0</v>
      </c>
      <c r="U25" s="693"/>
      <c r="V25" s="690">
        <f t="shared" si="2"/>
        <v>-30000</v>
      </c>
      <c r="W25" s="683"/>
      <c r="X25" s="474">
        <f t="shared" si="3"/>
        <v>0</v>
      </c>
      <c r="Y25" s="474">
        <f t="shared" si="4"/>
        <v>30000</v>
      </c>
      <c r="Z25" s="475">
        <f t="shared" si="5"/>
        <v>0</v>
      </c>
      <c r="AA25" s="475">
        <v>0</v>
      </c>
      <c r="AB25" s="476">
        <v>0</v>
      </c>
      <c r="AC25" s="38">
        <f t="shared" si="6"/>
        <v>0</v>
      </c>
      <c r="AD25" s="692">
        <f t="shared" si="7"/>
        <v>0</v>
      </c>
      <c r="AE25" s="692">
        <f t="shared" si="8"/>
        <v>-12620.919999999998</v>
      </c>
      <c r="AF25" s="692">
        <f t="shared" si="9"/>
        <v>0</v>
      </c>
      <c r="AG25" s="38"/>
      <c r="AH25" s="692">
        <f t="shared" si="10"/>
        <v>0</v>
      </c>
      <c r="AI25" s="692">
        <f t="shared" si="11"/>
        <v>30000</v>
      </c>
      <c r="AJ25" s="692">
        <f t="shared" si="12"/>
        <v>0</v>
      </c>
      <c r="AL25" s="38">
        <f t="shared" si="13"/>
        <v>17379.080000000002</v>
      </c>
      <c r="AM25" s="123" t="s">
        <v>419</v>
      </c>
    </row>
    <row r="26" spans="1:39">
      <c r="A26" s="20"/>
      <c r="B26" s="20" t="s">
        <v>110</v>
      </c>
      <c r="C26" s="667"/>
      <c r="D26" s="68" t="s">
        <v>922</v>
      </c>
      <c r="E26" s="679"/>
      <c r="F26" s="529">
        <f>VLOOKUP(D26,'Oct13 Revenue'!D:V,19,FALSE)</f>
        <v>802.72</v>
      </c>
      <c r="G26" s="680"/>
      <c r="H26" s="680"/>
      <c r="I26" s="770">
        <v>573.87</v>
      </c>
      <c r="J26" s="682">
        <f t="shared" si="0"/>
        <v>1376.5900000000001</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1376.5900000000001</v>
      </c>
      <c r="AE26" s="692">
        <f t="shared" si="8"/>
        <v>0</v>
      </c>
      <c r="AF26" s="692">
        <f t="shared" si="9"/>
        <v>0</v>
      </c>
      <c r="AG26" s="38"/>
      <c r="AH26" s="692">
        <f t="shared" si="10"/>
        <v>0</v>
      </c>
      <c r="AI26" s="692">
        <f t="shared" si="11"/>
        <v>0</v>
      </c>
      <c r="AJ26" s="692">
        <f t="shared" si="12"/>
        <v>0</v>
      </c>
      <c r="AL26" s="38">
        <f t="shared" si="13"/>
        <v>1376.5900000000001</v>
      </c>
      <c r="AM26" s="68" t="s">
        <v>922</v>
      </c>
    </row>
    <row r="27" spans="1:39">
      <c r="A27" s="20"/>
      <c r="B27" s="20" t="s">
        <v>110</v>
      </c>
      <c r="C27" s="667"/>
      <c r="D27" s="68" t="s">
        <v>589</v>
      </c>
      <c r="E27" s="679"/>
      <c r="F27" s="529">
        <f>VLOOKUP(D27,'Oct13 Revenue'!D:V,19,FALSE)</f>
        <v>-10000</v>
      </c>
      <c r="G27" s="680"/>
      <c r="H27" s="680"/>
      <c r="I27" s="755"/>
      <c r="J27" s="682">
        <f t="shared" si="0"/>
        <v>-10000</v>
      </c>
      <c r="K27" s="683"/>
      <c r="L27" s="684"/>
      <c r="M27" s="753">
        <v>20000</v>
      </c>
      <c r="N27" s="683">
        <v>0</v>
      </c>
      <c r="O27" s="686"/>
      <c r="P27" s="683">
        <v>0</v>
      </c>
      <c r="Q27" s="687">
        <f t="shared" si="1"/>
        <v>20000</v>
      </c>
      <c r="R27" s="687"/>
      <c r="S27" s="687"/>
      <c r="T27" s="688">
        <v>0</v>
      </c>
      <c r="U27" s="693"/>
      <c r="V27" s="690">
        <f t="shared" si="2"/>
        <v>-20000</v>
      </c>
      <c r="W27" s="683"/>
      <c r="X27" s="474">
        <f t="shared" si="3"/>
        <v>20000</v>
      </c>
      <c r="Y27" s="474">
        <f t="shared" si="4"/>
        <v>0</v>
      </c>
      <c r="Z27" s="475">
        <f t="shared" si="5"/>
        <v>0</v>
      </c>
      <c r="AA27" s="475">
        <v>0</v>
      </c>
      <c r="AB27" s="476">
        <v>0</v>
      </c>
      <c r="AC27" s="38">
        <f t="shared" si="6"/>
        <v>0</v>
      </c>
      <c r="AD27" s="692">
        <f t="shared" si="7"/>
        <v>-10000</v>
      </c>
      <c r="AE27" s="692">
        <f t="shared" si="8"/>
        <v>0</v>
      </c>
      <c r="AF27" s="692">
        <f t="shared" si="9"/>
        <v>0</v>
      </c>
      <c r="AG27" s="38"/>
      <c r="AH27" s="692">
        <f t="shared" si="10"/>
        <v>20000</v>
      </c>
      <c r="AI27" s="692">
        <f t="shared" si="11"/>
        <v>0</v>
      </c>
      <c r="AJ27" s="692">
        <f t="shared" si="12"/>
        <v>0</v>
      </c>
      <c r="AL27" s="38">
        <f t="shared" si="13"/>
        <v>10000</v>
      </c>
      <c r="AM27" s="68" t="s">
        <v>589</v>
      </c>
    </row>
    <row r="28" spans="1:39">
      <c r="A28" s="20"/>
      <c r="B28" s="20" t="s">
        <v>110</v>
      </c>
      <c r="C28" s="667"/>
      <c r="D28" s="68" t="s">
        <v>829</v>
      </c>
      <c r="E28" s="679"/>
      <c r="F28" s="529">
        <f>VLOOKUP(D28,'Oct13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v>4673.41</v>
      </c>
      <c r="F29" s="529">
        <f>VLOOKUP(D29,'Oct13 Revenue'!D:V,19,FALSE)</f>
        <v>1297.75</v>
      </c>
      <c r="G29" s="680"/>
      <c r="H29" s="680"/>
      <c r="I29" s="755"/>
      <c r="J29" s="682">
        <f t="shared" si="0"/>
        <v>5971.16</v>
      </c>
      <c r="K29" s="683"/>
      <c r="L29" s="684"/>
      <c r="M29" s="753"/>
      <c r="N29" s="683">
        <v>0</v>
      </c>
      <c r="O29" s="686"/>
      <c r="P29" s="683">
        <v>0</v>
      </c>
      <c r="Q29" s="687">
        <f t="shared" si="1"/>
        <v>0</v>
      </c>
      <c r="R29" s="687"/>
      <c r="S29" s="687"/>
      <c r="T29" s="688">
        <v>0</v>
      </c>
      <c r="U29" s="693"/>
      <c r="V29" s="690">
        <f t="shared" si="2"/>
        <v>0</v>
      </c>
      <c r="W29" s="691"/>
      <c r="X29" s="474">
        <f t="shared" si="3"/>
        <v>0</v>
      </c>
      <c r="Y29" s="474">
        <f t="shared" si="4"/>
        <v>0</v>
      </c>
      <c r="Z29" s="475">
        <f t="shared" si="5"/>
        <v>0</v>
      </c>
      <c r="AA29" s="475">
        <v>0</v>
      </c>
      <c r="AB29" s="476">
        <v>0</v>
      </c>
      <c r="AC29" s="38">
        <f t="shared" si="6"/>
        <v>0</v>
      </c>
      <c r="AD29" s="692">
        <f t="shared" si="7"/>
        <v>0</v>
      </c>
      <c r="AE29" s="692">
        <f t="shared" si="8"/>
        <v>5971.16</v>
      </c>
      <c r="AF29" s="692">
        <f t="shared" si="9"/>
        <v>0</v>
      </c>
      <c r="AG29" s="38"/>
      <c r="AH29" s="692">
        <f t="shared" si="10"/>
        <v>0</v>
      </c>
      <c r="AI29" s="692">
        <f t="shared" si="11"/>
        <v>0</v>
      </c>
      <c r="AJ29" s="692">
        <f t="shared" si="12"/>
        <v>0</v>
      </c>
      <c r="AL29" s="38">
        <f t="shared" si="13"/>
        <v>5971.16</v>
      </c>
      <c r="AM29" s="68" t="s">
        <v>385</v>
      </c>
    </row>
    <row r="30" spans="1:39" s="232" customFormat="1">
      <c r="A30" s="283"/>
      <c r="B30" s="283" t="s">
        <v>110</v>
      </c>
      <c r="C30" s="667" t="s">
        <v>527</v>
      </c>
      <c r="D30" s="123" t="s">
        <v>401</v>
      </c>
      <c r="E30" s="679"/>
      <c r="F30" s="529">
        <f>VLOOKUP(D30,'Oct13 Revenue'!D:V,19,FALSE)</f>
        <v>98788.099999999977</v>
      </c>
      <c r="G30" s="680"/>
      <c r="H30" s="680"/>
      <c r="I30" s="755"/>
      <c r="J30" s="682">
        <f t="shared" si="0"/>
        <v>98788.099999999977</v>
      </c>
      <c r="K30" s="683"/>
      <c r="L30" s="684"/>
      <c r="M30" s="753">
        <v>950000</v>
      </c>
      <c r="N30" s="683">
        <v>0</v>
      </c>
      <c r="O30" s="686"/>
      <c r="P30" s="683">
        <v>0</v>
      </c>
      <c r="Q30" s="687">
        <f t="shared" si="1"/>
        <v>950000</v>
      </c>
      <c r="R30" s="687"/>
      <c r="S30" s="687"/>
      <c r="T30" s="688">
        <v>949597.8</v>
      </c>
      <c r="U30" s="693"/>
      <c r="V30" s="690">
        <f t="shared" si="2"/>
        <v>-402.19999999995343</v>
      </c>
      <c r="W30" s="683"/>
      <c r="X30" s="474">
        <f t="shared" si="3"/>
        <v>950000</v>
      </c>
      <c r="Y30" s="474">
        <f t="shared" si="4"/>
        <v>0</v>
      </c>
      <c r="Z30" s="475">
        <f t="shared" si="5"/>
        <v>0</v>
      </c>
      <c r="AA30" s="475">
        <v>0</v>
      </c>
      <c r="AB30" s="476">
        <v>0</v>
      </c>
      <c r="AC30" s="38">
        <f t="shared" si="6"/>
        <v>0</v>
      </c>
      <c r="AD30" s="692">
        <f t="shared" si="7"/>
        <v>98788.099999999977</v>
      </c>
      <c r="AE30" s="692">
        <f t="shared" si="8"/>
        <v>0</v>
      </c>
      <c r="AF30" s="692">
        <f t="shared" si="9"/>
        <v>0</v>
      </c>
      <c r="AG30" s="38"/>
      <c r="AH30" s="692">
        <f t="shared" si="10"/>
        <v>950000</v>
      </c>
      <c r="AI30" s="692">
        <f t="shared" si="11"/>
        <v>0</v>
      </c>
      <c r="AJ30" s="692">
        <f t="shared" si="12"/>
        <v>0</v>
      </c>
      <c r="AL30" s="38">
        <f t="shared" si="13"/>
        <v>1048788.1000000001</v>
      </c>
      <c r="AM30" s="123" t="s">
        <v>401</v>
      </c>
    </row>
    <row r="31" spans="1:39" s="232" customFormat="1">
      <c r="A31" s="283"/>
      <c r="B31" s="283" t="s">
        <v>110</v>
      </c>
      <c r="C31" s="667" t="s">
        <v>528</v>
      </c>
      <c r="D31" s="123" t="s">
        <v>403</v>
      </c>
      <c r="E31" s="679"/>
      <c r="F31" s="529">
        <f>VLOOKUP(D31,'Oct13 Revenue'!D:V,19,FALSE)</f>
        <v>22751.48000000001</v>
      </c>
      <c r="G31" s="680"/>
      <c r="H31" s="680"/>
      <c r="I31" s="755"/>
      <c r="J31" s="682">
        <f t="shared" si="0"/>
        <v>22751.48000000001</v>
      </c>
      <c r="K31" s="683"/>
      <c r="L31" s="684"/>
      <c r="M31" s="753">
        <v>175000</v>
      </c>
      <c r="N31" s="683">
        <v>0</v>
      </c>
      <c r="O31" s="686"/>
      <c r="P31" s="683">
        <v>0</v>
      </c>
      <c r="Q31" s="687">
        <f t="shared" si="1"/>
        <v>175000</v>
      </c>
      <c r="R31" s="687"/>
      <c r="S31" s="687"/>
      <c r="T31" s="688">
        <v>166657.04</v>
      </c>
      <c r="U31" s="693"/>
      <c r="V31" s="690">
        <f t="shared" si="2"/>
        <v>-8342.9599999999919</v>
      </c>
      <c r="W31" s="683"/>
      <c r="X31" s="474">
        <f t="shared" si="3"/>
        <v>175000</v>
      </c>
      <c r="Y31" s="474">
        <f t="shared" si="4"/>
        <v>0</v>
      </c>
      <c r="Z31" s="475">
        <f t="shared" si="5"/>
        <v>0</v>
      </c>
      <c r="AA31" s="475">
        <v>0</v>
      </c>
      <c r="AB31" s="476">
        <v>0</v>
      </c>
      <c r="AC31" s="38">
        <f t="shared" si="6"/>
        <v>0</v>
      </c>
      <c r="AD31" s="692">
        <f t="shared" si="7"/>
        <v>22751.48000000001</v>
      </c>
      <c r="AE31" s="692">
        <f t="shared" si="8"/>
        <v>0</v>
      </c>
      <c r="AF31" s="692">
        <f t="shared" si="9"/>
        <v>0</v>
      </c>
      <c r="AG31" s="38"/>
      <c r="AH31" s="692">
        <f t="shared" si="10"/>
        <v>175000</v>
      </c>
      <c r="AI31" s="692">
        <f t="shared" si="11"/>
        <v>0</v>
      </c>
      <c r="AJ31" s="692">
        <f t="shared" si="12"/>
        <v>0</v>
      </c>
      <c r="AL31" s="38">
        <f t="shared" si="13"/>
        <v>197751.48</v>
      </c>
      <c r="AM31" s="123" t="s">
        <v>403</v>
      </c>
    </row>
    <row r="32" spans="1:39" s="232" customFormat="1">
      <c r="A32" s="283"/>
      <c r="B32" s="283" t="s">
        <v>110</v>
      </c>
      <c r="C32" s="667" t="s">
        <v>528</v>
      </c>
      <c r="D32" s="123" t="s">
        <v>404</v>
      </c>
      <c r="E32" s="679"/>
      <c r="F32" s="529">
        <f>VLOOKUP(D32,'Oct13 Revenue'!D:V,19,FALSE)</f>
        <v>12172.339999999997</v>
      </c>
      <c r="G32" s="680"/>
      <c r="H32" s="680"/>
      <c r="I32" s="755"/>
      <c r="J32" s="682">
        <f t="shared" si="0"/>
        <v>12172.339999999997</v>
      </c>
      <c r="K32" s="683"/>
      <c r="L32" s="684"/>
      <c r="M32" s="753">
        <v>150000</v>
      </c>
      <c r="N32" s="683">
        <v>0</v>
      </c>
      <c r="O32" s="686"/>
      <c r="P32" s="683">
        <v>0</v>
      </c>
      <c r="Q32" s="687">
        <f t="shared" si="1"/>
        <v>150000</v>
      </c>
      <c r="R32" s="687"/>
      <c r="S32" s="687"/>
      <c r="T32" s="688">
        <v>165284.74</v>
      </c>
      <c r="U32" s="693"/>
      <c r="V32" s="690">
        <f t="shared" si="2"/>
        <v>15284.739999999991</v>
      </c>
      <c r="W32" s="683"/>
      <c r="X32" s="474">
        <f t="shared" si="3"/>
        <v>150000</v>
      </c>
      <c r="Y32" s="474">
        <f t="shared" si="4"/>
        <v>0</v>
      </c>
      <c r="Z32" s="475">
        <f t="shared" si="5"/>
        <v>0</v>
      </c>
      <c r="AA32" s="475">
        <v>0</v>
      </c>
      <c r="AB32" s="476">
        <v>0</v>
      </c>
      <c r="AC32" s="38">
        <f t="shared" si="6"/>
        <v>0</v>
      </c>
      <c r="AD32" s="692">
        <f t="shared" si="7"/>
        <v>12172.339999999997</v>
      </c>
      <c r="AE32" s="692">
        <f t="shared" si="8"/>
        <v>0</v>
      </c>
      <c r="AF32" s="692">
        <f t="shared" si="9"/>
        <v>0</v>
      </c>
      <c r="AG32" s="38"/>
      <c r="AH32" s="692">
        <f t="shared" si="10"/>
        <v>150000</v>
      </c>
      <c r="AI32" s="692">
        <f t="shared" si="11"/>
        <v>0</v>
      </c>
      <c r="AJ32" s="692">
        <f t="shared" si="12"/>
        <v>0</v>
      </c>
      <c r="AL32" s="38">
        <f t="shared" si="13"/>
        <v>162172.34</v>
      </c>
      <c r="AM32" s="123" t="s">
        <v>404</v>
      </c>
    </row>
    <row r="33" spans="1:39" s="232" customFormat="1">
      <c r="A33" s="283"/>
      <c r="B33" s="283" t="s">
        <v>110</v>
      </c>
      <c r="C33" s="667" t="s">
        <v>528</v>
      </c>
      <c r="D33" s="123" t="s">
        <v>405</v>
      </c>
      <c r="E33" s="679"/>
      <c r="F33" s="529">
        <f>VLOOKUP(D33,'Oct13 Revenue'!D:V,19,FALSE)</f>
        <v>4787.41</v>
      </c>
      <c r="G33" s="680"/>
      <c r="H33" s="680"/>
      <c r="I33" s="755"/>
      <c r="J33" s="682">
        <f t="shared" si="0"/>
        <v>4787.41</v>
      </c>
      <c r="K33" s="683"/>
      <c r="L33" s="684"/>
      <c r="M33" s="753">
        <v>30000</v>
      </c>
      <c r="N33" s="683">
        <v>0</v>
      </c>
      <c r="O33" s="686"/>
      <c r="P33" s="683">
        <v>0</v>
      </c>
      <c r="Q33" s="687">
        <f t="shared" si="1"/>
        <v>30000</v>
      </c>
      <c r="R33" s="687"/>
      <c r="S33" s="687"/>
      <c r="T33" s="688">
        <v>28262.71</v>
      </c>
      <c r="U33" s="693"/>
      <c r="V33" s="690">
        <f t="shared" si="2"/>
        <v>-1737.2900000000009</v>
      </c>
      <c r="W33" s="683"/>
      <c r="X33" s="474">
        <f t="shared" si="3"/>
        <v>30000</v>
      </c>
      <c r="Y33" s="474">
        <f t="shared" si="4"/>
        <v>0</v>
      </c>
      <c r="Z33" s="475">
        <f t="shared" si="5"/>
        <v>0</v>
      </c>
      <c r="AA33" s="475">
        <v>0</v>
      </c>
      <c r="AB33" s="476">
        <v>0</v>
      </c>
      <c r="AC33" s="38">
        <f t="shared" si="6"/>
        <v>0</v>
      </c>
      <c r="AD33" s="692">
        <f t="shared" si="7"/>
        <v>4787.41</v>
      </c>
      <c r="AE33" s="692">
        <f t="shared" si="8"/>
        <v>0</v>
      </c>
      <c r="AF33" s="692">
        <f t="shared" si="9"/>
        <v>0</v>
      </c>
      <c r="AG33" s="38"/>
      <c r="AH33" s="692">
        <f t="shared" si="10"/>
        <v>30000</v>
      </c>
      <c r="AI33" s="692">
        <f t="shared" si="11"/>
        <v>0</v>
      </c>
      <c r="AJ33" s="692">
        <f t="shared" si="12"/>
        <v>0</v>
      </c>
      <c r="AL33" s="38">
        <f t="shared" si="13"/>
        <v>34787.410000000003</v>
      </c>
      <c r="AM33" s="123" t="s">
        <v>405</v>
      </c>
    </row>
    <row r="34" spans="1:39" s="232" customFormat="1">
      <c r="A34" s="283"/>
      <c r="B34" s="283" t="s">
        <v>110</v>
      </c>
      <c r="C34" s="667" t="s">
        <v>528</v>
      </c>
      <c r="D34" s="123" t="s">
        <v>406</v>
      </c>
      <c r="E34" s="679"/>
      <c r="F34" s="529">
        <f>VLOOKUP(D34,'Oct13 Revenue'!D:V,19,FALSE)</f>
        <v>1555.9699999999993</v>
      </c>
      <c r="G34" s="680"/>
      <c r="H34" s="680"/>
      <c r="I34" s="755"/>
      <c r="J34" s="682">
        <f t="shared" si="0"/>
        <v>1555.9699999999993</v>
      </c>
      <c r="K34" s="683"/>
      <c r="L34" s="684"/>
      <c r="M34" s="753">
        <v>15000</v>
      </c>
      <c r="N34" s="683">
        <v>0</v>
      </c>
      <c r="O34" s="686"/>
      <c r="P34" s="683">
        <v>0</v>
      </c>
      <c r="Q34" s="687">
        <f t="shared" si="1"/>
        <v>15000</v>
      </c>
      <c r="R34" s="687"/>
      <c r="S34" s="687"/>
      <c r="T34" s="688">
        <v>14483.97</v>
      </c>
      <c r="U34" s="693"/>
      <c r="V34" s="690">
        <f t="shared" si="2"/>
        <v>-516.03000000000065</v>
      </c>
      <c r="W34" s="683"/>
      <c r="X34" s="474">
        <f t="shared" si="3"/>
        <v>15000</v>
      </c>
      <c r="Y34" s="474">
        <f t="shared" si="4"/>
        <v>0</v>
      </c>
      <c r="Z34" s="475">
        <f t="shared" si="5"/>
        <v>0</v>
      </c>
      <c r="AA34" s="475">
        <v>0</v>
      </c>
      <c r="AB34" s="476">
        <v>0</v>
      </c>
      <c r="AC34" s="38">
        <f t="shared" si="6"/>
        <v>0</v>
      </c>
      <c r="AD34" s="692">
        <f t="shared" si="7"/>
        <v>1555.9699999999993</v>
      </c>
      <c r="AE34" s="692">
        <f t="shared" si="8"/>
        <v>0</v>
      </c>
      <c r="AF34" s="692">
        <f t="shared" si="9"/>
        <v>0</v>
      </c>
      <c r="AG34" s="38"/>
      <c r="AH34" s="692">
        <f t="shared" si="10"/>
        <v>15000</v>
      </c>
      <c r="AI34" s="692">
        <f t="shared" si="11"/>
        <v>0</v>
      </c>
      <c r="AJ34" s="692">
        <f t="shared" si="12"/>
        <v>0</v>
      </c>
      <c r="AL34" s="38">
        <f t="shared" si="13"/>
        <v>16555.97</v>
      </c>
      <c r="AM34" s="123" t="s">
        <v>406</v>
      </c>
    </row>
    <row r="35" spans="1:39" s="232" customFormat="1">
      <c r="A35" s="283"/>
      <c r="B35" s="283" t="s">
        <v>110</v>
      </c>
      <c r="C35" s="667" t="s">
        <v>528</v>
      </c>
      <c r="D35" s="123" t="s">
        <v>407</v>
      </c>
      <c r="E35" s="679"/>
      <c r="F35" s="529">
        <f>VLOOKUP(D35,'Oct13 Revenue'!D:V,19,FALSE)</f>
        <v>451.94999999999982</v>
      </c>
      <c r="G35" s="680"/>
      <c r="H35" s="680"/>
      <c r="I35" s="755"/>
      <c r="J35" s="682">
        <f t="shared" si="0"/>
        <v>451.94999999999982</v>
      </c>
      <c r="K35" s="683"/>
      <c r="L35" s="684"/>
      <c r="M35" s="753">
        <v>5000</v>
      </c>
      <c r="N35" s="683">
        <v>0</v>
      </c>
      <c r="O35" s="686"/>
      <c r="P35" s="683">
        <v>0</v>
      </c>
      <c r="Q35" s="687">
        <f t="shared" si="1"/>
        <v>5000</v>
      </c>
      <c r="R35" s="687"/>
      <c r="S35" s="687"/>
      <c r="T35" s="688">
        <v>5849.61</v>
      </c>
      <c r="U35" s="693"/>
      <c r="V35" s="690">
        <f t="shared" si="2"/>
        <v>849.60999999999967</v>
      </c>
      <c r="W35" s="683"/>
      <c r="X35" s="474">
        <f t="shared" si="3"/>
        <v>5000</v>
      </c>
      <c r="Y35" s="474">
        <f t="shared" si="4"/>
        <v>0</v>
      </c>
      <c r="Z35" s="475">
        <f t="shared" si="5"/>
        <v>0</v>
      </c>
      <c r="AA35" s="475">
        <v>0</v>
      </c>
      <c r="AB35" s="476">
        <v>0</v>
      </c>
      <c r="AC35" s="38">
        <f t="shared" si="6"/>
        <v>0</v>
      </c>
      <c r="AD35" s="692">
        <f t="shared" si="7"/>
        <v>451.94999999999982</v>
      </c>
      <c r="AE35" s="692">
        <f t="shared" si="8"/>
        <v>0</v>
      </c>
      <c r="AF35" s="692">
        <f t="shared" si="9"/>
        <v>0</v>
      </c>
      <c r="AG35" s="38"/>
      <c r="AH35" s="692">
        <f t="shared" si="10"/>
        <v>5000</v>
      </c>
      <c r="AI35" s="692">
        <f t="shared" si="11"/>
        <v>0</v>
      </c>
      <c r="AJ35" s="692">
        <f t="shared" si="12"/>
        <v>0</v>
      </c>
      <c r="AL35" s="38">
        <f t="shared" si="13"/>
        <v>5451.95</v>
      </c>
      <c r="AM35" s="123" t="s">
        <v>407</v>
      </c>
    </row>
    <row r="36" spans="1:39" s="232" customFormat="1">
      <c r="A36" s="283"/>
      <c r="B36" s="283" t="s">
        <v>110</v>
      </c>
      <c r="C36" s="667" t="s">
        <v>528</v>
      </c>
      <c r="D36" s="123" t="s">
        <v>880</v>
      </c>
      <c r="E36" s="679"/>
      <c r="F36" s="529">
        <f>VLOOKUP(D36,'Oct13 Revenue'!D:V,19,FALSE)</f>
        <v>1798.13</v>
      </c>
      <c r="G36" s="680"/>
      <c r="H36" s="680"/>
      <c r="I36" s="755"/>
      <c r="J36" s="682">
        <f t="shared" si="0"/>
        <v>1798.13</v>
      </c>
      <c r="K36" s="683"/>
      <c r="L36" s="684"/>
      <c r="M36" s="753">
        <v>5000</v>
      </c>
      <c r="N36" s="683">
        <v>0</v>
      </c>
      <c r="O36" s="686"/>
      <c r="P36" s="683">
        <v>0</v>
      </c>
      <c r="Q36" s="687">
        <f t="shared" si="1"/>
        <v>5000</v>
      </c>
      <c r="R36" s="687"/>
      <c r="S36" s="687"/>
      <c r="T36" s="688">
        <v>6165.03</v>
      </c>
      <c r="U36" s="693"/>
      <c r="V36" s="690">
        <f t="shared" si="2"/>
        <v>1165.0299999999997</v>
      </c>
      <c r="W36" s="683"/>
      <c r="X36" s="474">
        <f t="shared" si="3"/>
        <v>5000</v>
      </c>
      <c r="Y36" s="474">
        <f t="shared" si="4"/>
        <v>0</v>
      </c>
      <c r="Z36" s="475">
        <f t="shared" si="5"/>
        <v>0</v>
      </c>
      <c r="AA36" s="475">
        <v>0</v>
      </c>
      <c r="AB36" s="476">
        <v>0</v>
      </c>
      <c r="AC36" s="38">
        <f t="shared" si="6"/>
        <v>0</v>
      </c>
      <c r="AD36" s="692">
        <f t="shared" si="7"/>
        <v>1798.13</v>
      </c>
      <c r="AE36" s="692">
        <f t="shared" si="8"/>
        <v>0</v>
      </c>
      <c r="AF36" s="692">
        <f t="shared" si="9"/>
        <v>0</v>
      </c>
      <c r="AG36" s="38"/>
      <c r="AH36" s="692">
        <f t="shared" si="10"/>
        <v>5000</v>
      </c>
      <c r="AI36" s="692">
        <f t="shared" si="11"/>
        <v>0</v>
      </c>
      <c r="AJ36" s="692">
        <f t="shared" si="12"/>
        <v>0</v>
      </c>
      <c r="AL36" s="38">
        <f t="shared" si="13"/>
        <v>6798.13</v>
      </c>
      <c r="AM36" s="123" t="s">
        <v>880</v>
      </c>
    </row>
    <row r="37" spans="1:39" s="232" customFormat="1">
      <c r="A37" s="283"/>
      <c r="B37" s="283" t="s">
        <v>110</v>
      </c>
      <c r="C37" s="667" t="s">
        <v>528</v>
      </c>
      <c r="D37" s="123" t="s">
        <v>881</v>
      </c>
      <c r="E37" s="679"/>
      <c r="F37" s="529">
        <f>VLOOKUP(D37,'Oct13 Revenue'!D:V,19,FALSE)</f>
        <v>-684.47999999999956</v>
      </c>
      <c r="G37" s="680"/>
      <c r="H37" s="680"/>
      <c r="I37" s="755"/>
      <c r="J37" s="682">
        <f t="shared" si="0"/>
        <v>-684.47999999999956</v>
      </c>
      <c r="K37" s="683"/>
      <c r="L37" s="684"/>
      <c r="M37" s="753">
        <v>5000</v>
      </c>
      <c r="N37" s="683">
        <v>0</v>
      </c>
      <c r="O37" s="686"/>
      <c r="P37" s="683">
        <v>0</v>
      </c>
      <c r="Q37" s="687">
        <f t="shared" si="1"/>
        <v>5000</v>
      </c>
      <c r="R37" s="687"/>
      <c r="S37" s="687"/>
      <c r="T37" s="688">
        <v>4372.16</v>
      </c>
      <c r="U37" s="693"/>
      <c r="V37" s="690">
        <f t="shared" si="2"/>
        <v>-627.84000000000015</v>
      </c>
      <c r="W37" s="683"/>
      <c r="X37" s="474">
        <f t="shared" si="3"/>
        <v>5000</v>
      </c>
      <c r="Y37" s="474">
        <f t="shared" si="4"/>
        <v>0</v>
      </c>
      <c r="Z37" s="475">
        <f t="shared" si="5"/>
        <v>0</v>
      </c>
      <c r="AA37" s="475">
        <v>0</v>
      </c>
      <c r="AB37" s="476">
        <v>0</v>
      </c>
      <c r="AC37" s="38">
        <f t="shared" si="6"/>
        <v>0</v>
      </c>
      <c r="AD37" s="692">
        <f t="shared" si="7"/>
        <v>-684.47999999999956</v>
      </c>
      <c r="AE37" s="692">
        <f t="shared" si="8"/>
        <v>0</v>
      </c>
      <c r="AF37" s="692">
        <f t="shared" si="9"/>
        <v>0</v>
      </c>
      <c r="AG37" s="38"/>
      <c r="AH37" s="692">
        <f t="shared" si="10"/>
        <v>5000</v>
      </c>
      <c r="AI37" s="692">
        <f t="shared" si="11"/>
        <v>0</v>
      </c>
      <c r="AJ37" s="692">
        <f t="shared" si="12"/>
        <v>0</v>
      </c>
      <c r="AL37" s="38">
        <f t="shared" si="13"/>
        <v>4315.5200000000004</v>
      </c>
      <c r="AM37" s="123" t="s">
        <v>881</v>
      </c>
    </row>
    <row r="38" spans="1:39" s="232" customFormat="1">
      <c r="A38" s="283"/>
      <c r="B38" s="283" t="s">
        <v>110</v>
      </c>
      <c r="C38" s="667" t="s">
        <v>528</v>
      </c>
      <c r="D38" s="123" t="s">
        <v>820</v>
      </c>
      <c r="E38" s="679"/>
      <c r="F38" s="529">
        <f>VLOOKUP(D38,'Oct13 Revenue'!D:V,19,FALSE)</f>
        <v>27275.879999999997</v>
      </c>
      <c r="G38" s="680"/>
      <c r="H38" s="680"/>
      <c r="I38" s="755"/>
      <c r="J38" s="682">
        <f t="shared" si="0"/>
        <v>27275.879999999997</v>
      </c>
      <c r="K38" s="683"/>
      <c r="L38" s="684"/>
      <c r="M38" s="753">
        <v>50000</v>
      </c>
      <c r="N38" s="683">
        <v>0</v>
      </c>
      <c r="O38" s="686"/>
      <c r="P38" s="683">
        <v>0</v>
      </c>
      <c r="Q38" s="687">
        <f t="shared" si="1"/>
        <v>50000</v>
      </c>
      <c r="R38" s="687"/>
      <c r="S38" s="687"/>
      <c r="T38" s="688">
        <v>44156.49</v>
      </c>
      <c r="U38" s="693"/>
      <c r="V38" s="690">
        <f t="shared" si="2"/>
        <v>-5843.510000000002</v>
      </c>
      <c r="W38" s="683"/>
      <c r="X38" s="474">
        <f t="shared" si="3"/>
        <v>50000</v>
      </c>
      <c r="Y38" s="474">
        <f t="shared" si="4"/>
        <v>0</v>
      </c>
      <c r="Z38" s="475">
        <f t="shared" si="5"/>
        <v>0</v>
      </c>
      <c r="AA38" s="475">
        <v>0</v>
      </c>
      <c r="AB38" s="476">
        <v>0</v>
      </c>
      <c r="AC38" s="38">
        <f t="shared" si="6"/>
        <v>0</v>
      </c>
      <c r="AD38" s="692">
        <f t="shared" si="7"/>
        <v>27275.879999999997</v>
      </c>
      <c r="AE38" s="692">
        <f t="shared" si="8"/>
        <v>0</v>
      </c>
      <c r="AF38" s="692">
        <f t="shared" si="9"/>
        <v>0</v>
      </c>
      <c r="AG38" s="38"/>
      <c r="AH38" s="692">
        <f t="shared" si="10"/>
        <v>50000</v>
      </c>
      <c r="AI38" s="692">
        <f t="shared" si="11"/>
        <v>0</v>
      </c>
      <c r="AJ38" s="692">
        <f t="shared" si="12"/>
        <v>0</v>
      </c>
      <c r="AL38" s="38">
        <f t="shared" si="13"/>
        <v>77275.88</v>
      </c>
      <c r="AM38" s="123" t="s">
        <v>820</v>
      </c>
    </row>
    <row r="39" spans="1:39" s="232" customFormat="1">
      <c r="A39" s="283"/>
      <c r="B39" s="283" t="s">
        <v>110</v>
      </c>
      <c r="C39" s="667" t="s">
        <v>527</v>
      </c>
      <c r="D39" s="123" t="s">
        <v>460</v>
      </c>
      <c r="E39" s="679"/>
      <c r="F39" s="529">
        <f>VLOOKUP(D39,'Oct13 Revenue'!D:V,19,FALSE)</f>
        <v>0</v>
      </c>
      <c r="G39" s="680"/>
      <c r="H39" s="680"/>
      <c r="I39" s="770">
        <v>49263.5</v>
      </c>
      <c r="J39" s="682">
        <f t="shared" si="0"/>
        <v>49263.5</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49263.5</v>
      </c>
      <c r="AE39" s="692">
        <f t="shared" si="8"/>
        <v>0</v>
      </c>
      <c r="AF39" s="692">
        <f t="shared" si="9"/>
        <v>0</v>
      </c>
      <c r="AG39" s="38"/>
      <c r="AH39" s="692">
        <f t="shared" si="10"/>
        <v>0</v>
      </c>
      <c r="AI39" s="692">
        <f t="shared" si="11"/>
        <v>0</v>
      </c>
      <c r="AJ39" s="692">
        <f t="shared" si="12"/>
        <v>0</v>
      </c>
      <c r="AL39" s="38">
        <f t="shared" si="13"/>
        <v>49263.5</v>
      </c>
      <c r="AM39" s="123" t="s">
        <v>460</v>
      </c>
    </row>
    <row r="40" spans="1:39" s="232" customFormat="1">
      <c r="A40" s="283"/>
      <c r="B40" s="283" t="s">
        <v>110</v>
      </c>
      <c r="C40" s="676" t="s">
        <v>528</v>
      </c>
      <c r="D40" s="123" t="s">
        <v>623</v>
      </c>
      <c r="E40" s="679"/>
      <c r="F40" s="529">
        <f>VLOOKUP(D40,'Oct13 Revenue'!D:V,19,FALSE)</f>
        <v>180.88000000000011</v>
      </c>
      <c r="G40" s="680"/>
      <c r="H40" s="680"/>
      <c r="I40" s="770">
        <v>7150.47</v>
      </c>
      <c r="J40" s="682">
        <f t="shared" si="0"/>
        <v>7331.35</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7331.35</v>
      </c>
      <c r="AE40" s="692">
        <f t="shared" si="8"/>
        <v>0</v>
      </c>
      <c r="AF40" s="692">
        <f t="shared" si="9"/>
        <v>0</v>
      </c>
      <c r="AG40" s="38"/>
      <c r="AH40" s="692">
        <f t="shared" si="10"/>
        <v>0</v>
      </c>
      <c r="AI40" s="692">
        <f t="shared" si="11"/>
        <v>0</v>
      </c>
      <c r="AJ40" s="692">
        <f t="shared" si="12"/>
        <v>0</v>
      </c>
      <c r="AL40" s="38">
        <f t="shared" si="13"/>
        <v>7331.35</v>
      </c>
      <c r="AM40" s="123" t="s">
        <v>623</v>
      </c>
    </row>
    <row r="41" spans="1:39" s="232" customFormat="1">
      <c r="A41" s="403"/>
      <c r="B41" s="403" t="s">
        <v>114</v>
      </c>
      <c r="C41" s="666" t="s">
        <v>529</v>
      </c>
      <c r="D41" s="123" t="s">
        <v>108</v>
      </c>
      <c r="E41" s="679"/>
      <c r="F41" s="529">
        <f>VLOOKUP(D41,'Oct13 Revenue'!D:V,19,FALSE)</f>
        <v>8575.64</v>
      </c>
      <c r="G41" s="680"/>
      <c r="H41" s="680"/>
      <c r="I41" s="755"/>
      <c r="J41" s="682">
        <f t="shared" si="0"/>
        <v>8575.64</v>
      </c>
      <c r="K41" s="683"/>
      <c r="L41" s="684"/>
      <c r="M41" s="753">
        <v>8000</v>
      </c>
      <c r="N41" s="683">
        <v>0</v>
      </c>
      <c r="O41" s="686"/>
      <c r="P41" s="683">
        <v>0</v>
      </c>
      <c r="Q41" s="687">
        <f t="shared" si="1"/>
        <v>8000</v>
      </c>
      <c r="R41" s="687"/>
      <c r="S41" s="687"/>
      <c r="T41" s="688">
        <v>21518.02</v>
      </c>
      <c r="U41" s="693"/>
      <c r="V41" s="690">
        <f t="shared" si="2"/>
        <v>13518.02</v>
      </c>
      <c r="W41" s="683"/>
      <c r="X41" s="474">
        <f t="shared" si="3"/>
        <v>0</v>
      </c>
      <c r="Y41" s="474">
        <f t="shared" si="4"/>
        <v>0</v>
      </c>
      <c r="Z41" s="475">
        <f t="shared" si="5"/>
        <v>8000</v>
      </c>
      <c r="AA41" s="475">
        <v>0</v>
      </c>
      <c r="AB41" s="476">
        <v>0</v>
      </c>
      <c r="AC41" s="38">
        <f t="shared" si="6"/>
        <v>0</v>
      </c>
      <c r="AD41" s="692">
        <f t="shared" si="7"/>
        <v>0</v>
      </c>
      <c r="AE41" s="692">
        <f t="shared" si="8"/>
        <v>0</v>
      </c>
      <c r="AF41" s="692">
        <f t="shared" si="9"/>
        <v>8575.64</v>
      </c>
      <c r="AG41" s="38"/>
      <c r="AH41" s="692">
        <f t="shared" si="10"/>
        <v>0</v>
      </c>
      <c r="AI41" s="692">
        <f t="shared" si="11"/>
        <v>0</v>
      </c>
      <c r="AJ41" s="692">
        <f t="shared" si="12"/>
        <v>8000</v>
      </c>
      <c r="AL41" s="38">
        <f t="shared" si="13"/>
        <v>16575.64</v>
      </c>
      <c r="AM41" s="123" t="s">
        <v>108</v>
      </c>
    </row>
    <row r="42" spans="1:39" s="232" customFormat="1">
      <c r="A42" s="403"/>
      <c r="B42" s="403" t="s">
        <v>110</v>
      </c>
      <c r="C42" s="666"/>
      <c r="D42" s="123" t="s">
        <v>911</v>
      </c>
      <c r="E42" s="679"/>
      <c r="F42" s="529">
        <f>VLOOKUP(D42,'Oct13 Revenue'!D:V,19,FALSE)</f>
        <v>429.14999999999964</v>
      </c>
      <c r="G42" s="680"/>
      <c r="H42" s="680"/>
      <c r="I42" s="755"/>
      <c r="J42" s="682">
        <f t="shared" si="0"/>
        <v>429.14999999999964</v>
      </c>
      <c r="K42" s="683"/>
      <c r="L42" s="684"/>
      <c r="M42" s="753">
        <v>15000</v>
      </c>
      <c r="N42" s="683">
        <v>0</v>
      </c>
      <c r="O42" s="686"/>
      <c r="P42" s="683">
        <v>0</v>
      </c>
      <c r="Q42" s="687">
        <f t="shared" si="1"/>
        <v>15000</v>
      </c>
      <c r="R42" s="687"/>
      <c r="S42" s="687"/>
      <c r="T42" s="688">
        <v>14527.08</v>
      </c>
      <c r="U42" s="693"/>
      <c r="V42" s="690">
        <f t="shared" si="2"/>
        <v>-472.92000000000007</v>
      </c>
      <c r="W42" s="683"/>
      <c r="X42" s="474">
        <f t="shared" si="3"/>
        <v>15000</v>
      </c>
      <c r="Y42" s="474">
        <f t="shared" si="4"/>
        <v>0</v>
      </c>
      <c r="Z42" s="475">
        <f t="shared" si="5"/>
        <v>0</v>
      </c>
      <c r="AA42" s="475">
        <v>0</v>
      </c>
      <c r="AB42" s="476">
        <v>0</v>
      </c>
      <c r="AC42" s="38">
        <f t="shared" si="6"/>
        <v>0</v>
      </c>
      <c r="AD42" s="692">
        <f t="shared" si="7"/>
        <v>429.14999999999964</v>
      </c>
      <c r="AE42" s="692">
        <f t="shared" si="8"/>
        <v>0</v>
      </c>
      <c r="AF42" s="692">
        <f t="shared" si="9"/>
        <v>0</v>
      </c>
      <c r="AG42" s="38"/>
      <c r="AH42" s="692">
        <f t="shared" si="10"/>
        <v>15000</v>
      </c>
      <c r="AI42" s="692">
        <f t="shared" si="11"/>
        <v>0</v>
      </c>
      <c r="AJ42" s="692">
        <f t="shared" si="12"/>
        <v>0</v>
      </c>
      <c r="AL42" s="38">
        <f t="shared" si="13"/>
        <v>15429.15</v>
      </c>
      <c r="AM42" s="123" t="s">
        <v>911</v>
      </c>
    </row>
    <row r="43" spans="1:39">
      <c r="A43" s="21"/>
      <c r="B43" s="21" t="s">
        <v>110</v>
      </c>
      <c r="C43" s="666"/>
      <c r="D43" s="68" t="s">
        <v>234</v>
      </c>
      <c r="E43" s="679">
        <v>13846.07</v>
      </c>
      <c r="F43" s="529">
        <f>VLOOKUP(D43,'Oct13 Revenue'!D:V,19,FALSE)</f>
        <v>-20000</v>
      </c>
      <c r="G43" s="680"/>
      <c r="H43" s="680"/>
      <c r="I43" s="755"/>
      <c r="J43" s="682">
        <f t="shared" si="0"/>
        <v>-6153.93</v>
      </c>
      <c r="K43" s="683"/>
      <c r="L43" s="684"/>
      <c r="M43" s="753">
        <v>10000</v>
      </c>
      <c r="N43" s="683">
        <v>0</v>
      </c>
      <c r="O43" s="686"/>
      <c r="P43" s="683">
        <v>0</v>
      </c>
      <c r="Q43" s="687">
        <f t="shared" si="1"/>
        <v>10000</v>
      </c>
      <c r="R43" s="687"/>
      <c r="S43" s="687"/>
      <c r="T43" s="688">
        <v>0</v>
      </c>
      <c r="U43" s="693"/>
      <c r="V43" s="690">
        <f t="shared" si="2"/>
        <v>-10000</v>
      </c>
      <c r="W43" s="683"/>
      <c r="X43" s="474">
        <f t="shared" si="3"/>
        <v>10000</v>
      </c>
      <c r="Y43" s="474">
        <f t="shared" si="4"/>
        <v>0</v>
      </c>
      <c r="Z43" s="475">
        <f t="shared" si="5"/>
        <v>0</v>
      </c>
      <c r="AA43" s="475">
        <v>0</v>
      </c>
      <c r="AB43" s="476">
        <v>0</v>
      </c>
      <c r="AC43" s="38">
        <f t="shared" si="6"/>
        <v>0</v>
      </c>
      <c r="AD43" s="692">
        <f t="shared" si="7"/>
        <v>-6153.93</v>
      </c>
      <c r="AE43" s="692">
        <f t="shared" si="8"/>
        <v>0</v>
      </c>
      <c r="AF43" s="692">
        <f t="shared" si="9"/>
        <v>0</v>
      </c>
      <c r="AG43" s="38"/>
      <c r="AH43" s="692">
        <f t="shared" si="10"/>
        <v>10000</v>
      </c>
      <c r="AI43" s="692">
        <f t="shared" si="11"/>
        <v>0</v>
      </c>
      <c r="AJ43" s="692">
        <f t="shared" si="12"/>
        <v>0</v>
      </c>
      <c r="AL43" s="38">
        <f t="shared" si="13"/>
        <v>3846.0699999999997</v>
      </c>
      <c r="AM43" s="68" t="s">
        <v>234</v>
      </c>
    </row>
    <row r="44" spans="1:39">
      <c r="A44" s="20"/>
      <c r="B44" s="20" t="s">
        <v>109</v>
      </c>
      <c r="C44" s="667"/>
      <c r="D44" s="68" t="s">
        <v>598</v>
      </c>
      <c r="E44" s="679">
        <f>722.87+184.12</f>
        <v>906.99</v>
      </c>
      <c r="F44" s="529">
        <f>VLOOKUP(D44,'Oct13 Revenue'!D:V,19,FALSE)</f>
        <v>0</v>
      </c>
      <c r="G44" s="680"/>
      <c r="H44" s="680"/>
      <c r="I44" s="825"/>
      <c r="J44" s="682">
        <f t="shared" si="0"/>
        <v>906.99</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906.99</v>
      </c>
      <c r="AF44" s="692">
        <f t="shared" si="9"/>
        <v>0</v>
      </c>
      <c r="AG44" s="38"/>
      <c r="AH44" s="692">
        <f t="shared" si="10"/>
        <v>0</v>
      </c>
      <c r="AI44" s="692">
        <f t="shared" si="11"/>
        <v>0</v>
      </c>
      <c r="AJ44" s="692">
        <f t="shared" si="12"/>
        <v>0</v>
      </c>
      <c r="AL44" s="38">
        <f t="shared" si="13"/>
        <v>906.99</v>
      </c>
      <c r="AM44" s="68" t="s">
        <v>598</v>
      </c>
    </row>
    <row r="45" spans="1:39">
      <c r="A45" s="20"/>
      <c r="B45" s="20" t="s">
        <v>110</v>
      </c>
      <c r="C45" s="667"/>
      <c r="D45" s="68" t="s">
        <v>311</v>
      </c>
      <c r="E45" s="679"/>
      <c r="F45" s="529">
        <f>VLOOKUP(D45,'Oct13 Revenue'!D:V,19,FALSE)</f>
        <v>0</v>
      </c>
      <c r="G45" s="680"/>
      <c r="H45" s="680"/>
      <c r="I45" s="755"/>
      <c r="J45" s="682">
        <f t="shared" si="0"/>
        <v>0</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0</v>
      </c>
      <c r="AF45" s="692">
        <f t="shared" si="9"/>
        <v>0</v>
      </c>
      <c r="AG45" s="38"/>
      <c r="AH45" s="692">
        <f t="shared" si="10"/>
        <v>0</v>
      </c>
      <c r="AI45" s="692">
        <f t="shared" si="11"/>
        <v>0</v>
      </c>
      <c r="AJ45" s="692">
        <f t="shared" si="12"/>
        <v>0</v>
      </c>
      <c r="AL45" s="38">
        <f t="shared" si="13"/>
        <v>0</v>
      </c>
      <c r="AM45" s="68" t="s">
        <v>311</v>
      </c>
    </row>
    <row r="46" spans="1:39">
      <c r="A46" s="20"/>
      <c r="B46" s="20" t="s">
        <v>110</v>
      </c>
      <c r="C46" s="667"/>
      <c r="D46" s="68" t="s">
        <v>451</v>
      </c>
      <c r="E46" s="679"/>
      <c r="F46" s="529">
        <f>VLOOKUP(D46,'Oct13 Revenue'!D:V,19,FALSE)</f>
        <v>-330000</v>
      </c>
      <c r="G46" s="680"/>
      <c r="H46" s="680"/>
      <c r="I46" s="755"/>
      <c r="J46" s="682">
        <f t="shared" si="0"/>
        <v>-330000</v>
      </c>
      <c r="K46" s="683"/>
      <c r="L46" s="684"/>
      <c r="M46" s="753">
        <v>360000</v>
      </c>
      <c r="N46" s="683">
        <v>0</v>
      </c>
      <c r="O46" s="686"/>
      <c r="P46" s="683">
        <v>0</v>
      </c>
      <c r="Q46" s="687">
        <f t="shared" si="1"/>
        <v>360000</v>
      </c>
      <c r="R46" s="687"/>
      <c r="S46" s="687"/>
      <c r="T46" s="688">
        <v>0</v>
      </c>
      <c r="U46" s="693"/>
      <c r="V46" s="690">
        <f t="shared" si="2"/>
        <v>-360000</v>
      </c>
      <c r="W46" s="683"/>
      <c r="X46" s="474">
        <f t="shared" si="3"/>
        <v>360000</v>
      </c>
      <c r="Y46" s="474">
        <f t="shared" si="4"/>
        <v>0</v>
      </c>
      <c r="Z46" s="475">
        <f t="shared" si="5"/>
        <v>0</v>
      </c>
      <c r="AA46" s="475">
        <v>0</v>
      </c>
      <c r="AB46" s="476">
        <v>0</v>
      </c>
      <c r="AC46" s="38">
        <f t="shared" si="6"/>
        <v>0</v>
      </c>
      <c r="AD46" s="692">
        <f t="shared" si="7"/>
        <v>-330000</v>
      </c>
      <c r="AE46" s="692">
        <f t="shared" si="8"/>
        <v>0</v>
      </c>
      <c r="AF46" s="692">
        <f t="shared" si="9"/>
        <v>0</v>
      </c>
      <c r="AG46" s="38"/>
      <c r="AH46" s="692">
        <f t="shared" si="10"/>
        <v>360000</v>
      </c>
      <c r="AI46" s="692">
        <f t="shared" si="11"/>
        <v>0</v>
      </c>
      <c r="AJ46" s="692">
        <f t="shared" si="12"/>
        <v>0</v>
      </c>
      <c r="AL46" s="38">
        <f t="shared" si="13"/>
        <v>30000</v>
      </c>
      <c r="AM46" s="68" t="s">
        <v>451</v>
      </c>
    </row>
    <row r="47" spans="1:39">
      <c r="A47" s="20"/>
      <c r="B47" s="20" t="s">
        <v>109</v>
      </c>
      <c r="C47" s="667"/>
      <c r="D47" s="68" t="s">
        <v>469</v>
      </c>
      <c r="E47" s="679"/>
      <c r="F47" s="529">
        <f>VLOOKUP(D47,'Oct13 Revenue'!D:V,19,FALSE)</f>
        <v>0</v>
      </c>
      <c r="G47" s="680"/>
      <c r="H47" s="680"/>
      <c r="I47" s="755"/>
      <c r="J47" s="682">
        <f t="shared" si="0"/>
        <v>0</v>
      </c>
      <c r="K47" s="683"/>
      <c r="L47" s="684"/>
      <c r="M47" s="753"/>
      <c r="N47" s="683">
        <v>0</v>
      </c>
      <c r="O47" s="686"/>
      <c r="P47" s="683">
        <v>0</v>
      </c>
      <c r="Q47" s="687">
        <f t="shared" si="1"/>
        <v>0</v>
      </c>
      <c r="R47" s="687"/>
      <c r="S47" s="687"/>
      <c r="T47" s="688">
        <v>5824.88</v>
      </c>
      <c r="U47" s="693"/>
      <c r="V47" s="690">
        <f t="shared" si="2"/>
        <v>5824.88</v>
      </c>
      <c r="W47" s="683"/>
      <c r="X47" s="474">
        <f t="shared" si="3"/>
        <v>0</v>
      </c>
      <c r="Y47" s="474">
        <f t="shared" si="4"/>
        <v>0</v>
      </c>
      <c r="Z47" s="475">
        <f t="shared" si="5"/>
        <v>0</v>
      </c>
      <c r="AA47" s="475">
        <v>0</v>
      </c>
      <c r="AB47" s="476">
        <v>0</v>
      </c>
      <c r="AC47" s="38">
        <f t="shared" si="6"/>
        <v>0</v>
      </c>
      <c r="AD47" s="692">
        <f t="shared" si="7"/>
        <v>0</v>
      </c>
      <c r="AE47" s="692">
        <f t="shared" si="8"/>
        <v>0</v>
      </c>
      <c r="AF47" s="692">
        <f t="shared" si="9"/>
        <v>0</v>
      </c>
      <c r="AG47" s="38"/>
      <c r="AH47" s="692">
        <f t="shared" si="10"/>
        <v>0</v>
      </c>
      <c r="AI47" s="692">
        <f t="shared" si="11"/>
        <v>0</v>
      </c>
      <c r="AJ47" s="692">
        <f t="shared" si="12"/>
        <v>0</v>
      </c>
      <c r="AL47" s="38">
        <f t="shared" si="13"/>
        <v>0</v>
      </c>
      <c r="AM47" s="68" t="s">
        <v>469</v>
      </c>
    </row>
    <row r="48" spans="1:39">
      <c r="A48" s="20"/>
      <c r="B48" s="20" t="s">
        <v>110</v>
      </c>
      <c r="C48" s="667" t="s">
        <v>530</v>
      </c>
      <c r="D48" s="68" t="s">
        <v>69</v>
      </c>
      <c r="E48" s="679"/>
      <c r="F48" s="529">
        <f>VLOOKUP(D48,'Oct13 Revenue'!D:V,19,FALSE)</f>
        <v>2040.88</v>
      </c>
      <c r="G48" s="680"/>
      <c r="H48" s="680"/>
      <c r="I48" s="755"/>
      <c r="J48" s="682">
        <f t="shared" si="0"/>
        <v>2040.88</v>
      </c>
      <c r="K48" s="683"/>
      <c r="L48" s="684"/>
      <c r="M48" s="753"/>
      <c r="N48" s="683">
        <v>0</v>
      </c>
      <c r="O48" s="686"/>
      <c r="P48" s="683">
        <v>0</v>
      </c>
      <c r="Q48" s="687">
        <f t="shared" si="1"/>
        <v>0</v>
      </c>
      <c r="R48" s="687"/>
      <c r="S48" s="687"/>
      <c r="T48" s="688">
        <v>1885.83</v>
      </c>
      <c r="U48" s="693"/>
      <c r="V48" s="690">
        <f t="shared" si="2"/>
        <v>1885.83</v>
      </c>
      <c r="W48" s="683"/>
      <c r="X48" s="474">
        <f t="shared" si="3"/>
        <v>0</v>
      </c>
      <c r="Y48" s="474">
        <f t="shared" si="4"/>
        <v>0</v>
      </c>
      <c r="Z48" s="475">
        <f t="shared" si="5"/>
        <v>0</v>
      </c>
      <c r="AA48" s="475">
        <v>0</v>
      </c>
      <c r="AB48" s="476">
        <v>0</v>
      </c>
      <c r="AC48" s="38">
        <f t="shared" si="6"/>
        <v>0</v>
      </c>
      <c r="AD48" s="692">
        <f t="shared" si="7"/>
        <v>2040.88</v>
      </c>
      <c r="AE48" s="692">
        <f t="shared" si="8"/>
        <v>0</v>
      </c>
      <c r="AF48" s="692">
        <f t="shared" si="9"/>
        <v>0</v>
      </c>
      <c r="AG48" s="38"/>
      <c r="AH48" s="692">
        <f t="shared" si="10"/>
        <v>0</v>
      </c>
      <c r="AI48" s="692">
        <f t="shared" si="11"/>
        <v>0</v>
      </c>
      <c r="AJ48" s="692">
        <f t="shared" si="12"/>
        <v>0</v>
      </c>
      <c r="AL48" s="38">
        <f t="shared" si="13"/>
        <v>2040.88</v>
      </c>
      <c r="AM48" s="68" t="s">
        <v>69</v>
      </c>
    </row>
    <row r="49" spans="1:39" hidden="1">
      <c r="A49" s="20"/>
      <c r="B49" s="20" t="s">
        <v>110</v>
      </c>
      <c r="C49" s="667" t="s">
        <v>531</v>
      </c>
      <c r="D49" s="68" t="s">
        <v>237</v>
      </c>
      <c r="E49" s="679"/>
      <c r="F49" s="529">
        <f>VLOOKUP(D49,'Oct13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237</v>
      </c>
    </row>
    <row r="50" spans="1:39">
      <c r="A50" s="20" t="s">
        <v>211</v>
      </c>
      <c r="B50" s="20" t="s">
        <v>110</v>
      </c>
      <c r="C50" s="667" t="s">
        <v>532</v>
      </c>
      <c r="D50" s="68" t="s">
        <v>7</v>
      </c>
      <c r="E50" s="679"/>
      <c r="F50" s="529">
        <f>VLOOKUP(D50,'Oct13 Revenue'!D:V,19,FALSE)</f>
        <v>-30000</v>
      </c>
      <c r="G50" s="680"/>
      <c r="H50" s="680"/>
      <c r="I50" s="755"/>
      <c r="J50" s="682">
        <f t="shared" si="0"/>
        <v>-30000</v>
      </c>
      <c r="K50" s="683"/>
      <c r="L50" s="684"/>
      <c r="M50" s="753">
        <v>60000</v>
      </c>
      <c r="N50" s="683">
        <v>0</v>
      </c>
      <c r="O50" s="686"/>
      <c r="P50" s="683">
        <v>0</v>
      </c>
      <c r="Q50" s="687">
        <f t="shared" si="1"/>
        <v>60000</v>
      </c>
      <c r="R50" s="687"/>
      <c r="S50" s="687"/>
      <c r="T50" s="688">
        <v>0</v>
      </c>
      <c r="U50" s="693"/>
      <c r="V50" s="690">
        <f t="shared" si="2"/>
        <v>-60000</v>
      </c>
      <c r="W50" s="697"/>
      <c r="X50" s="474">
        <f t="shared" si="3"/>
        <v>60000</v>
      </c>
      <c r="Y50" s="474">
        <f t="shared" si="4"/>
        <v>0</v>
      </c>
      <c r="Z50" s="475">
        <f t="shared" si="5"/>
        <v>0</v>
      </c>
      <c r="AA50" s="475">
        <v>0</v>
      </c>
      <c r="AB50" s="476">
        <v>0</v>
      </c>
      <c r="AC50" s="38">
        <f t="shared" si="6"/>
        <v>0</v>
      </c>
      <c r="AD50" s="692">
        <f t="shared" si="7"/>
        <v>-30000</v>
      </c>
      <c r="AE50" s="692">
        <f t="shared" si="8"/>
        <v>0</v>
      </c>
      <c r="AF50" s="692">
        <f t="shared" si="9"/>
        <v>0</v>
      </c>
      <c r="AG50" s="38"/>
      <c r="AH50" s="692">
        <f t="shared" si="10"/>
        <v>60000</v>
      </c>
      <c r="AI50" s="692">
        <f t="shared" si="11"/>
        <v>0</v>
      </c>
      <c r="AJ50" s="692">
        <f t="shared" si="12"/>
        <v>0</v>
      </c>
      <c r="AL50" s="38">
        <f t="shared" si="13"/>
        <v>30000</v>
      </c>
      <c r="AM50" s="68" t="s">
        <v>7</v>
      </c>
    </row>
    <row r="51" spans="1:39" s="232" customFormat="1" hidden="1">
      <c r="A51" s="283" t="s">
        <v>97</v>
      </c>
      <c r="B51" s="283" t="s">
        <v>109</v>
      </c>
      <c r="C51" s="667" t="s">
        <v>533</v>
      </c>
      <c r="D51" s="123" t="s">
        <v>415</v>
      </c>
      <c r="E51" s="679"/>
      <c r="F51" s="529">
        <f>VLOOKUP(D51,'Oct13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c r="AM51" s="123" t="s">
        <v>415</v>
      </c>
    </row>
    <row r="52" spans="1:39" s="232" customFormat="1" hidden="1">
      <c r="A52" s="283"/>
      <c r="B52" s="283" t="s">
        <v>109</v>
      </c>
      <c r="C52" s="667" t="s">
        <v>533</v>
      </c>
      <c r="D52" s="123" t="s">
        <v>416</v>
      </c>
      <c r="E52" s="679"/>
      <c r="F52" s="529">
        <f>VLOOKUP(D52,'Oct13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c r="AM52" s="123" t="s">
        <v>416</v>
      </c>
    </row>
    <row r="53" spans="1:39" s="232" customFormat="1" hidden="1">
      <c r="A53" s="283"/>
      <c r="B53" s="283" t="s">
        <v>109</v>
      </c>
      <c r="C53" s="667" t="s">
        <v>533</v>
      </c>
      <c r="D53" s="123" t="s">
        <v>417</v>
      </c>
      <c r="E53" s="679"/>
      <c r="F53" s="529">
        <f>VLOOKUP(D53,'Oct13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417</v>
      </c>
    </row>
    <row r="54" spans="1:39" s="232" customFormat="1" hidden="1">
      <c r="A54" s="283"/>
      <c r="B54" s="283" t="s">
        <v>109</v>
      </c>
      <c r="C54" s="667" t="s">
        <v>533</v>
      </c>
      <c r="D54" s="123" t="s">
        <v>418</v>
      </c>
      <c r="E54" s="679"/>
      <c r="F54" s="529">
        <f>VLOOKUP(D54,'Oct13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418</v>
      </c>
    </row>
    <row r="55" spans="1:39">
      <c r="A55" s="20"/>
      <c r="B55" s="20" t="s">
        <v>110</v>
      </c>
      <c r="C55" s="667"/>
      <c r="D55" s="68" t="s">
        <v>992</v>
      </c>
      <c r="E55" s="679">
        <v>6454.97</v>
      </c>
      <c r="F55" s="529">
        <f>VLOOKUP(D55,'Oct13 Revenue'!D:V,19,FALSE)</f>
        <v>0</v>
      </c>
      <c r="G55" s="680"/>
      <c r="H55" s="680"/>
      <c r="I55" s="755"/>
      <c r="J55" s="682">
        <f t="shared" si="0"/>
        <v>6454.97</v>
      </c>
      <c r="K55" s="683"/>
      <c r="L55" s="684"/>
      <c r="M55" s="753"/>
      <c r="N55" s="683">
        <v>0</v>
      </c>
      <c r="O55" s="686"/>
      <c r="P55" s="683">
        <v>0</v>
      </c>
      <c r="Q55" s="687">
        <f t="shared" si="1"/>
        <v>0</v>
      </c>
      <c r="R55" s="687"/>
      <c r="S55" s="687"/>
      <c r="T55" s="688">
        <v>1360.47</v>
      </c>
      <c r="U55" s="693"/>
      <c r="V55" s="690">
        <f t="shared" si="2"/>
        <v>1360.47</v>
      </c>
      <c r="W55" s="683"/>
      <c r="X55" s="474">
        <f t="shared" si="3"/>
        <v>0</v>
      </c>
      <c r="Y55" s="474">
        <f t="shared" si="4"/>
        <v>0</v>
      </c>
      <c r="Z55" s="475">
        <f t="shared" si="5"/>
        <v>0</v>
      </c>
      <c r="AA55" s="475">
        <v>0</v>
      </c>
      <c r="AB55" s="476">
        <v>0</v>
      </c>
      <c r="AC55" s="38">
        <f t="shared" si="6"/>
        <v>0</v>
      </c>
      <c r="AD55" s="692">
        <f t="shared" si="7"/>
        <v>6454.97</v>
      </c>
      <c r="AE55" s="692">
        <f t="shared" si="8"/>
        <v>0</v>
      </c>
      <c r="AF55" s="692">
        <f t="shared" si="9"/>
        <v>0</v>
      </c>
      <c r="AG55" s="38"/>
      <c r="AH55" s="692">
        <f t="shared" si="10"/>
        <v>0</v>
      </c>
      <c r="AI55" s="692">
        <f t="shared" si="11"/>
        <v>0</v>
      </c>
      <c r="AJ55" s="692">
        <f t="shared" si="12"/>
        <v>0</v>
      </c>
      <c r="AL55" s="38">
        <f t="shared" si="13"/>
        <v>6454.97</v>
      </c>
      <c r="AM55" s="68" t="s">
        <v>992</v>
      </c>
    </row>
    <row r="56" spans="1:39" s="232" customFormat="1">
      <c r="A56" s="283"/>
      <c r="B56" s="283" t="s">
        <v>110</v>
      </c>
      <c r="C56" s="676" t="s">
        <v>986</v>
      </c>
      <c r="D56" s="68" t="s">
        <v>987</v>
      </c>
      <c r="E56" s="679"/>
      <c r="F56" s="529">
        <f>VLOOKUP(D56,'Oct13 Revenue'!D:V,19,FALSE)</f>
        <v>0</v>
      </c>
      <c r="G56" s="680"/>
      <c r="H56" s="680"/>
      <c r="I56" s="755"/>
      <c r="J56" s="682">
        <f t="shared" si="0"/>
        <v>0</v>
      </c>
      <c r="K56" s="683"/>
      <c r="L56" s="684"/>
      <c r="M56" s="753"/>
      <c r="N56" s="683">
        <v>0</v>
      </c>
      <c r="O56" s="686"/>
      <c r="P56" s="683">
        <v>0</v>
      </c>
      <c r="Q56" s="687">
        <f t="shared" si="1"/>
        <v>0</v>
      </c>
      <c r="R56" s="687"/>
      <c r="S56" s="687"/>
      <c r="T56" s="688">
        <v>0</v>
      </c>
      <c r="U56" s="693"/>
      <c r="V56" s="690">
        <f t="shared" si="2"/>
        <v>0</v>
      </c>
      <c r="W56" s="683"/>
      <c r="X56" s="474">
        <f t="shared" si="3"/>
        <v>0</v>
      </c>
      <c r="Y56" s="474">
        <f t="shared" si="4"/>
        <v>0</v>
      </c>
      <c r="Z56" s="475">
        <f t="shared" si="5"/>
        <v>0</v>
      </c>
      <c r="AA56" s="475">
        <v>0</v>
      </c>
      <c r="AB56" s="476">
        <v>0</v>
      </c>
      <c r="AC56" s="38">
        <f t="shared" si="6"/>
        <v>0</v>
      </c>
      <c r="AD56" s="692">
        <f t="shared" si="7"/>
        <v>0</v>
      </c>
      <c r="AE56" s="692">
        <f t="shared" si="8"/>
        <v>0</v>
      </c>
      <c r="AF56" s="692">
        <f t="shared" si="9"/>
        <v>0</v>
      </c>
      <c r="AG56" s="38"/>
      <c r="AH56" s="692">
        <f t="shared" si="10"/>
        <v>0</v>
      </c>
      <c r="AI56" s="692">
        <f t="shared" si="11"/>
        <v>0</v>
      </c>
      <c r="AJ56" s="692">
        <f t="shared" si="12"/>
        <v>0</v>
      </c>
      <c r="AK56" s="16"/>
      <c r="AL56" s="38">
        <f t="shared" si="13"/>
        <v>0</v>
      </c>
      <c r="AM56" s="68" t="s">
        <v>987</v>
      </c>
    </row>
    <row r="57" spans="1:39">
      <c r="A57" s="20" t="s">
        <v>211</v>
      </c>
      <c r="B57" s="20" t="s">
        <v>109</v>
      </c>
      <c r="C57" s="667" t="s">
        <v>534</v>
      </c>
      <c r="D57" s="68" t="s">
        <v>9</v>
      </c>
      <c r="E57" s="679"/>
      <c r="F57" s="529">
        <f>VLOOKUP(D57,'Oct13 Revenue'!D:V,19,FALSE)</f>
        <v>0</v>
      </c>
      <c r="G57" s="680"/>
      <c r="H57" s="680"/>
      <c r="I57" s="755"/>
      <c r="J57" s="682">
        <f>SUM(E57:I57)</f>
        <v>0</v>
      </c>
      <c r="K57" s="683"/>
      <c r="L57" s="684"/>
      <c r="M57" s="753"/>
      <c r="N57" s="683">
        <v>0</v>
      </c>
      <c r="O57" s="686"/>
      <c r="P57" s="683">
        <v>0</v>
      </c>
      <c r="Q57" s="687">
        <f t="shared" si="1"/>
        <v>0</v>
      </c>
      <c r="R57" s="687"/>
      <c r="S57" s="687"/>
      <c r="T57" s="688">
        <v>0</v>
      </c>
      <c r="U57" s="693"/>
      <c r="V57" s="690">
        <f t="shared" si="2"/>
        <v>0</v>
      </c>
      <c r="W57" s="697"/>
      <c r="X57" s="474">
        <f t="shared" si="3"/>
        <v>0</v>
      </c>
      <c r="Y57" s="474">
        <f t="shared" si="4"/>
        <v>0</v>
      </c>
      <c r="Z57" s="475">
        <f t="shared" si="5"/>
        <v>0</v>
      </c>
      <c r="AA57" s="475">
        <v>0</v>
      </c>
      <c r="AB57" s="476">
        <v>0</v>
      </c>
      <c r="AC57" s="38">
        <f t="shared" si="6"/>
        <v>0</v>
      </c>
      <c r="AD57" s="692">
        <f t="shared" si="7"/>
        <v>0</v>
      </c>
      <c r="AE57" s="692">
        <f t="shared" si="8"/>
        <v>0</v>
      </c>
      <c r="AF57" s="692">
        <f t="shared" si="9"/>
        <v>0</v>
      </c>
      <c r="AG57" s="38"/>
      <c r="AH57" s="692">
        <f t="shared" si="10"/>
        <v>0</v>
      </c>
      <c r="AI57" s="692">
        <f t="shared" si="11"/>
        <v>0</v>
      </c>
      <c r="AJ57" s="692">
        <f t="shared" si="12"/>
        <v>0</v>
      </c>
      <c r="AL57" s="38">
        <f t="shared" si="13"/>
        <v>0</v>
      </c>
      <c r="AM57" s="68" t="s">
        <v>9</v>
      </c>
    </row>
    <row r="58" spans="1:39">
      <c r="A58" s="20" t="s">
        <v>211</v>
      </c>
      <c r="B58" s="20" t="s">
        <v>110</v>
      </c>
      <c r="C58" s="667"/>
      <c r="D58" s="68" t="s">
        <v>1041</v>
      </c>
      <c r="E58" s="679"/>
      <c r="F58" s="529">
        <v>0</v>
      </c>
      <c r="G58" s="680"/>
      <c r="H58" s="680"/>
      <c r="I58" s="755"/>
      <c r="J58" s="682">
        <f t="shared" si="0"/>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c r="AM58" s="68" t="s">
        <v>487</v>
      </c>
    </row>
    <row r="59" spans="1:39">
      <c r="A59" s="20"/>
      <c r="B59" s="20" t="s">
        <v>109</v>
      </c>
      <c r="C59" s="676" t="s">
        <v>906</v>
      </c>
      <c r="D59" s="68" t="s">
        <v>830</v>
      </c>
      <c r="E59" s="679">
        <v>11607.91</v>
      </c>
      <c r="F59" s="529">
        <f>VLOOKUP(D59,'Oct13 Revenue'!D:V,19,FALSE)</f>
        <v>0</v>
      </c>
      <c r="G59" s="680"/>
      <c r="H59" s="680"/>
      <c r="I59" s="755"/>
      <c r="J59" s="682">
        <f t="shared" si="0"/>
        <v>11607.91</v>
      </c>
      <c r="K59" s="683"/>
      <c r="L59" s="684"/>
      <c r="M59" s="753">
        <v>600000</v>
      </c>
      <c r="N59" s="683">
        <v>0</v>
      </c>
      <c r="O59" s="686"/>
      <c r="P59" s="683">
        <v>0</v>
      </c>
      <c r="Q59" s="687">
        <f t="shared" si="1"/>
        <v>600000</v>
      </c>
      <c r="R59" s="687"/>
      <c r="S59" s="687"/>
      <c r="T59" s="688">
        <v>609809.84</v>
      </c>
      <c r="U59" s="693"/>
      <c r="V59" s="690">
        <f t="shared" si="2"/>
        <v>9809.8399999999674</v>
      </c>
      <c r="W59" s="683"/>
      <c r="X59" s="474">
        <f t="shared" si="3"/>
        <v>0</v>
      </c>
      <c r="Y59" s="474">
        <f t="shared" si="4"/>
        <v>600000</v>
      </c>
      <c r="Z59" s="475">
        <f t="shared" si="5"/>
        <v>0</v>
      </c>
      <c r="AA59" s="475">
        <v>0</v>
      </c>
      <c r="AB59" s="476">
        <v>0</v>
      </c>
      <c r="AC59" s="38">
        <f t="shared" si="6"/>
        <v>0</v>
      </c>
      <c r="AD59" s="692">
        <f t="shared" si="7"/>
        <v>0</v>
      </c>
      <c r="AE59" s="692">
        <f t="shared" si="8"/>
        <v>11607.91</v>
      </c>
      <c r="AF59" s="692">
        <f t="shared" si="9"/>
        <v>0</v>
      </c>
      <c r="AG59" s="38"/>
      <c r="AH59" s="692">
        <f t="shared" si="10"/>
        <v>0</v>
      </c>
      <c r="AI59" s="692">
        <f t="shared" si="11"/>
        <v>600000</v>
      </c>
      <c r="AJ59" s="692">
        <f t="shared" si="12"/>
        <v>0</v>
      </c>
      <c r="AL59" s="38">
        <f t="shared" si="13"/>
        <v>611607.91</v>
      </c>
      <c r="AM59" s="68" t="s">
        <v>830</v>
      </c>
    </row>
    <row r="60" spans="1:39">
      <c r="A60" s="20"/>
      <c r="B60" s="20" t="s">
        <v>109</v>
      </c>
      <c r="C60" s="667"/>
      <c r="D60" s="68" t="s">
        <v>374</v>
      </c>
      <c r="E60" s="679"/>
      <c r="F60" s="529">
        <f>VLOOKUP(D60,'Oct13 Revenue'!D:V,19,FALSE)</f>
        <v>-20000</v>
      </c>
      <c r="G60" s="680"/>
      <c r="H60" s="680"/>
      <c r="I60" s="755"/>
      <c r="J60" s="682">
        <f t="shared" si="0"/>
        <v>-20000</v>
      </c>
      <c r="K60" s="683"/>
      <c r="L60" s="684"/>
      <c r="M60" s="753">
        <v>25000</v>
      </c>
      <c r="N60" s="683">
        <v>0</v>
      </c>
      <c r="O60" s="686"/>
      <c r="P60" s="683">
        <v>0</v>
      </c>
      <c r="Q60" s="687">
        <f t="shared" si="1"/>
        <v>25000</v>
      </c>
      <c r="R60" s="687"/>
      <c r="S60" s="687"/>
      <c r="T60" s="688">
        <v>0</v>
      </c>
      <c r="U60" s="693"/>
      <c r="V60" s="690">
        <f t="shared" si="2"/>
        <v>-25000</v>
      </c>
      <c r="W60" s="683"/>
      <c r="X60" s="474">
        <f t="shared" si="3"/>
        <v>0</v>
      </c>
      <c r="Y60" s="474">
        <f t="shared" si="4"/>
        <v>25000</v>
      </c>
      <c r="Z60" s="475">
        <f t="shared" si="5"/>
        <v>0</v>
      </c>
      <c r="AA60" s="475">
        <v>0</v>
      </c>
      <c r="AB60" s="476">
        <v>0</v>
      </c>
      <c r="AC60" s="38">
        <f t="shared" si="6"/>
        <v>0</v>
      </c>
      <c r="AD60" s="692">
        <f t="shared" si="7"/>
        <v>0</v>
      </c>
      <c r="AE60" s="692">
        <f t="shared" si="8"/>
        <v>-20000</v>
      </c>
      <c r="AF60" s="692">
        <f t="shared" si="9"/>
        <v>0</v>
      </c>
      <c r="AG60" s="38"/>
      <c r="AH60" s="692">
        <f t="shared" si="10"/>
        <v>0</v>
      </c>
      <c r="AI60" s="692">
        <f t="shared" si="11"/>
        <v>25000</v>
      </c>
      <c r="AJ60" s="692">
        <f t="shared" si="12"/>
        <v>0</v>
      </c>
      <c r="AL60" s="38">
        <f t="shared" si="13"/>
        <v>5000</v>
      </c>
      <c r="AM60" s="68" t="s">
        <v>374</v>
      </c>
    </row>
    <row r="61" spans="1:39">
      <c r="A61" s="20"/>
      <c r="B61" s="20" t="s">
        <v>114</v>
      </c>
      <c r="C61" s="667"/>
      <c r="D61" s="68" t="s">
        <v>502</v>
      </c>
      <c r="E61" s="679"/>
      <c r="F61" s="529">
        <f>VLOOKUP(D61,'Oct13 Revenue'!D:V,19,FALSE)</f>
        <v>0</v>
      </c>
      <c r="G61" s="680"/>
      <c r="H61" s="680"/>
      <c r="I61" s="755"/>
      <c r="J61" s="682">
        <f t="shared" si="0"/>
        <v>0</v>
      </c>
      <c r="K61" s="683"/>
      <c r="L61" s="684"/>
      <c r="M61" s="753"/>
      <c r="N61" s="683">
        <v>0</v>
      </c>
      <c r="O61" s="686"/>
      <c r="P61" s="683">
        <v>0</v>
      </c>
      <c r="Q61" s="687">
        <f t="shared" si="1"/>
        <v>0</v>
      </c>
      <c r="R61" s="687"/>
      <c r="S61" s="687"/>
      <c r="T61" s="688">
        <v>0</v>
      </c>
      <c r="U61" s="693"/>
      <c r="V61" s="690">
        <f t="shared" si="2"/>
        <v>0</v>
      </c>
      <c r="W61" s="683"/>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c r="AM61" s="68" t="s">
        <v>502</v>
      </c>
    </row>
    <row r="62" spans="1:39">
      <c r="A62" s="21"/>
      <c r="B62" s="21" t="s">
        <v>110</v>
      </c>
      <c r="C62" s="666" t="s">
        <v>535</v>
      </c>
      <c r="D62" s="123" t="s">
        <v>517</v>
      </c>
      <c r="E62" s="679"/>
      <c r="F62" s="529">
        <f>VLOOKUP(D62,'Oct13 Revenue'!D:V,19,FALSE)</f>
        <v>35443.210000000021</v>
      </c>
      <c r="G62" s="680"/>
      <c r="H62" s="680"/>
      <c r="I62" s="755"/>
      <c r="J62" s="682">
        <f t="shared" si="0"/>
        <v>35443.210000000021</v>
      </c>
      <c r="K62" s="683"/>
      <c r="L62" s="684"/>
      <c r="M62" s="753">
        <v>375000</v>
      </c>
      <c r="N62" s="683">
        <v>0</v>
      </c>
      <c r="O62" s="686"/>
      <c r="P62" s="683">
        <v>0</v>
      </c>
      <c r="Q62" s="687">
        <f t="shared" si="1"/>
        <v>375000</v>
      </c>
      <c r="R62" s="687"/>
      <c r="S62" s="687"/>
      <c r="T62" s="688">
        <v>419879</v>
      </c>
      <c r="U62" s="693"/>
      <c r="V62" s="690">
        <f t="shared" si="2"/>
        <v>44879</v>
      </c>
      <c r="W62" s="697"/>
      <c r="X62" s="474">
        <f t="shared" si="3"/>
        <v>375000</v>
      </c>
      <c r="Y62" s="474">
        <f t="shared" si="4"/>
        <v>0</v>
      </c>
      <c r="Z62" s="475">
        <f t="shared" si="5"/>
        <v>0</v>
      </c>
      <c r="AA62" s="475">
        <v>0</v>
      </c>
      <c r="AB62" s="476">
        <v>0</v>
      </c>
      <c r="AC62" s="38">
        <f t="shared" si="6"/>
        <v>0</v>
      </c>
      <c r="AD62" s="692">
        <f t="shared" si="7"/>
        <v>35443.210000000021</v>
      </c>
      <c r="AE62" s="692">
        <f t="shared" si="8"/>
        <v>0</v>
      </c>
      <c r="AF62" s="692">
        <f t="shared" si="9"/>
        <v>0</v>
      </c>
      <c r="AG62" s="38"/>
      <c r="AH62" s="692">
        <f t="shared" si="10"/>
        <v>375000</v>
      </c>
      <c r="AI62" s="692">
        <f t="shared" si="11"/>
        <v>0</v>
      </c>
      <c r="AJ62" s="692">
        <f t="shared" si="12"/>
        <v>0</v>
      </c>
      <c r="AL62" s="38">
        <f t="shared" si="13"/>
        <v>410443.21</v>
      </c>
      <c r="AM62" s="123" t="s">
        <v>517</v>
      </c>
    </row>
    <row r="63" spans="1:39">
      <c r="A63" s="20"/>
      <c r="B63" s="20" t="s">
        <v>110</v>
      </c>
      <c r="C63" s="667" t="s">
        <v>536</v>
      </c>
      <c r="D63" s="68" t="s">
        <v>450</v>
      </c>
      <c r="E63" s="679"/>
      <c r="F63" s="529">
        <f>VLOOKUP(D63,'Oct13 Revenue'!D:V,19,FALSE)</f>
        <v>0</v>
      </c>
      <c r="G63" s="680"/>
      <c r="H63" s="680"/>
      <c r="I63" s="755"/>
      <c r="J63" s="682">
        <f t="shared" si="0"/>
        <v>0</v>
      </c>
      <c r="K63" s="683"/>
      <c r="L63" s="684"/>
      <c r="M63" s="753"/>
      <c r="N63" s="683">
        <v>0</v>
      </c>
      <c r="O63" s="686"/>
      <c r="P63" s="683">
        <v>0</v>
      </c>
      <c r="Q63" s="687">
        <f t="shared" si="1"/>
        <v>0</v>
      </c>
      <c r="R63" s="687"/>
      <c r="S63" s="687"/>
      <c r="T63" s="688">
        <v>0</v>
      </c>
      <c r="U63" s="693"/>
      <c r="V63" s="690">
        <f t="shared" si="2"/>
        <v>0</v>
      </c>
      <c r="W63" s="683"/>
      <c r="X63" s="474">
        <f t="shared" si="3"/>
        <v>0</v>
      </c>
      <c r="Y63" s="474">
        <f t="shared" si="4"/>
        <v>0</v>
      </c>
      <c r="Z63" s="475">
        <f t="shared" si="5"/>
        <v>0</v>
      </c>
      <c r="AA63" s="475">
        <v>0</v>
      </c>
      <c r="AB63" s="476">
        <v>0</v>
      </c>
      <c r="AC63" s="38">
        <f t="shared" si="6"/>
        <v>0</v>
      </c>
      <c r="AD63" s="692">
        <f t="shared" si="7"/>
        <v>0</v>
      </c>
      <c r="AE63" s="692">
        <f t="shared" si="8"/>
        <v>0</v>
      </c>
      <c r="AF63" s="692">
        <f t="shared" si="9"/>
        <v>0</v>
      </c>
      <c r="AG63" s="38"/>
      <c r="AH63" s="692">
        <f t="shared" si="10"/>
        <v>0</v>
      </c>
      <c r="AI63" s="692">
        <f t="shared" si="11"/>
        <v>0</v>
      </c>
      <c r="AJ63" s="692">
        <f t="shared" si="12"/>
        <v>0</v>
      </c>
      <c r="AL63" s="38">
        <f t="shared" si="13"/>
        <v>0</v>
      </c>
      <c r="AM63" s="68" t="s">
        <v>450</v>
      </c>
    </row>
    <row r="64" spans="1:39">
      <c r="A64" s="20"/>
      <c r="B64" s="20" t="s">
        <v>110</v>
      </c>
      <c r="C64" s="676"/>
      <c r="D64" s="68" t="s">
        <v>991</v>
      </c>
      <c r="E64" s="679">
        <v>1934.05</v>
      </c>
      <c r="F64" s="529">
        <f>VLOOKUP(D64,'Oct13 Revenue'!D:V,19,FALSE)</f>
        <v>0</v>
      </c>
      <c r="G64" s="680"/>
      <c r="H64" s="680"/>
      <c r="I64" s="755"/>
      <c r="J64" s="682">
        <f t="shared" si="0"/>
        <v>1934.05</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1934.05</v>
      </c>
      <c r="AE64" s="692">
        <f t="shared" si="8"/>
        <v>0</v>
      </c>
      <c r="AF64" s="692">
        <f t="shared" si="9"/>
        <v>0</v>
      </c>
      <c r="AG64" s="38"/>
      <c r="AH64" s="692">
        <f t="shared" si="10"/>
        <v>0</v>
      </c>
      <c r="AI64" s="692">
        <f t="shared" si="11"/>
        <v>0</v>
      </c>
      <c r="AJ64" s="692">
        <f t="shared" si="12"/>
        <v>0</v>
      </c>
      <c r="AL64" s="38">
        <f t="shared" si="13"/>
        <v>1934.05</v>
      </c>
      <c r="AM64" s="68" t="s">
        <v>991</v>
      </c>
    </row>
    <row r="65" spans="1:39">
      <c r="A65" s="20"/>
      <c r="B65" s="20" t="s">
        <v>110</v>
      </c>
      <c r="C65" s="676" t="s">
        <v>975</v>
      </c>
      <c r="D65" s="68" t="s">
        <v>976</v>
      </c>
      <c r="E65" s="679"/>
      <c r="F65" s="529">
        <f>VLOOKUP(D65,'Oct13 Revenue'!D:V,19,FALSE)</f>
        <v>0</v>
      </c>
      <c r="G65" s="680"/>
      <c r="H65" s="680"/>
      <c r="I65" s="755"/>
      <c r="J65" s="682">
        <f t="shared" si="0"/>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c r="AM65" s="68" t="s">
        <v>976</v>
      </c>
    </row>
    <row r="66" spans="1:39">
      <c r="A66" s="21" t="s">
        <v>109</v>
      </c>
      <c r="B66" s="21" t="s">
        <v>110</v>
      </c>
      <c r="C66" s="666"/>
      <c r="D66" s="68" t="s">
        <v>438</v>
      </c>
      <c r="E66" s="679"/>
      <c r="F66" s="529">
        <f>VLOOKUP(D66,'Oct13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97"/>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c r="AM66" s="68" t="s">
        <v>438</v>
      </c>
    </row>
    <row r="67" spans="1:39">
      <c r="A67" s="21"/>
      <c r="B67" s="21" t="s">
        <v>110</v>
      </c>
      <c r="C67" s="666"/>
      <c r="D67" s="68" t="s">
        <v>628</v>
      </c>
      <c r="E67" s="679"/>
      <c r="F67" s="529">
        <f>VLOOKUP(D67,'Oct13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628</v>
      </c>
    </row>
    <row r="68" spans="1:39">
      <c r="A68" s="21"/>
      <c r="B68" s="21" t="s">
        <v>110</v>
      </c>
      <c r="C68" s="666"/>
      <c r="D68" s="68" t="s">
        <v>956</v>
      </c>
      <c r="E68" s="679"/>
      <c r="F68" s="529">
        <f>VLOOKUP(D68,'Oct13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956</v>
      </c>
    </row>
    <row r="69" spans="1:39" s="232" customFormat="1">
      <c r="A69" s="283" t="s">
        <v>211</v>
      </c>
      <c r="B69" s="283" t="s">
        <v>110</v>
      </c>
      <c r="C69" s="667" t="s">
        <v>538</v>
      </c>
      <c r="D69" s="123" t="s">
        <v>170</v>
      </c>
      <c r="E69" s="679"/>
      <c r="F69" s="529">
        <f>VLOOKUP(D69,'Oct13 Revenue'!D:V,19,FALSE)</f>
        <v>-200000</v>
      </c>
      <c r="G69" s="680"/>
      <c r="H69" s="680"/>
      <c r="I69" s="755"/>
      <c r="J69" s="682">
        <f t="shared" si="0"/>
        <v>-200000</v>
      </c>
      <c r="K69" s="683"/>
      <c r="L69" s="684"/>
      <c r="M69" s="753">
        <v>400000</v>
      </c>
      <c r="N69" s="683">
        <v>0</v>
      </c>
      <c r="O69" s="686"/>
      <c r="P69" s="683">
        <v>0</v>
      </c>
      <c r="Q69" s="687">
        <f t="shared" si="1"/>
        <v>400000</v>
      </c>
      <c r="R69" s="687"/>
      <c r="S69" s="687"/>
      <c r="T69" s="688">
        <v>0</v>
      </c>
      <c r="U69" s="693"/>
      <c r="V69" s="690">
        <f t="shared" si="2"/>
        <v>-400000</v>
      </c>
      <c r="W69" s="683"/>
      <c r="X69" s="474">
        <f t="shared" si="3"/>
        <v>400000</v>
      </c>
      <c r="Y69" s="474">
        <f t="shared" si="4"/>
        <v>0</v>
      </c>
      <c r="Z69" s="475">
        <f t="shared" si="5"/>
        <v>0</v>
      </c>
      <c r="AA69" s="475">
        <v>0</v>
      </c>
      <c r="AB69" s="476">
        <v>0</v>
      </c>
      <c r="AC69" s="38">
        <f t="shared" si="6"/>
        <v>0</v>
      </c>
      <c r="AD69" s="692">
        <f t="shared" si="7"/>
        <v>-200000</v>
      </c>
      <c r="AE69" s="692">
        <f t="shared" si="8"/>
        <v>0</v>
      </c>
      <c r="AF69" s="692">
        <f t="shared" si="9"/>
        <v>0</v>
      </c>
      <c r="AG69" s="38"/>
      <c r="AH69" s="692">
        <f t="shared" si="10"/>
        <v>400000</v>
      </c>
      <c r="AI69" s="692">
        <f t="shared" si="11"/>
        <v>0</v>
      </c>
      <c r="AJ69" s="692">
        <f t="shared" si="12"/>
        <v>0</v>
      </c>
      <c r="AL69" s="38">
        <f t="shared" si="13"/>
        <v>200000</v>
      </c>
      <c r="AM69" s="123" t="s">
        <v>170</v>
      </c>
    </row>
    <row r="70" spans="1:39" s="232" customFormat="1">
      <c r="A70" s="283" t="s">
        <v>211</v>
      </c>
      <c r="B70" s="283" t="s">
        <v>110</v>
      </c>
      <c r="C70" s="667" t="s">
        <v>538</v>
      </c>
      <c r="D70" s="123" t="s">
        <v>171</v>
      </c>
      <c r="E70" s="679"/>
      <c r="F70" s="529">
        <f>VLOOKUP(D70,'Oct13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c r="AM70" s="123" t="s">
        <v>171</v>
      </c>
    </row>
    <row r="71" spans="1:39" s="232" customFormat="1" hidden="1">
      <c r="A71" s="283" t="s">
        <v>211</v>
      </c>
      <c r="B71" s="283" t="s">
        <v>110</v>
      </c>
      <c r="C71" s="667" t="s">
        <v>538</v>
      </c>
      <c r="D71" s="123" t="s">
        <v>13</v>
      </c>
      <c r="E71" s="679"/>
      <c r="F71" s="529">
        <f>VLOOKUP(D71,'Oct13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13</v>
      </c>
    </row>
    <row r="72" spans="1:39" s="232" customFormat="1" hidden="1">
      <c r="A72" s="283" t="s">
        <v>211</v>
      </c>
      <c r="B72" s="283" t="s">
        <v>110</v>
      </c>
      <c r="C72" s="667" t="s">
        <v>538</v>
      </c>
      <c r="D72" s="123" t="s">
        <v>172</v>
      </c>
      <c r="E72" s="679"/>
      <c r="F72" s="529">
        <f>VLOOKUP(D72,'Oct13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172</v>
      </c>
    </row>
    <row r="73" spans="1:39" s="232" customFormat="1" hidden="1">
      <c r="A73" s="283" t="s">
        <v>211</v>
      </c>
      <c r="B73" s="283" t="s">
        <v>110</v>
      </c>
      <c r="C73" s="667" t="s">
        <v>538</v>
      </c>
      <c r="D73" s="123" t="s">
        <v>173</v>
      </c>
      <c r="E73" s="679"/>
      <c r="F73" s="529">
        <f>VLOOKUP(D73,'Oct13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173</v>
      </c>
    </row>
    <row r="74" spans="1:39" s="232" customFormat="1" hidden="1">
      <c r="A74" s="283" t="s">
        <v>211</v>
      </c>
      <c r="B74" s="283" t="s">
        <v>110</v>
      </c>
      <c r="C74" s="667" t="s">
        <v>538</v>
      </c>
      <c r="D74" s="123" t="s">
        <v>174</v>
      </c>
      <c r="E74" s="679"/>
      <c r="F74" s="529">
        <f>VLOOKUP(D74,'Oct13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174</v>
      </c>
    </row>
    <row r="75" spans="1:39" s="232" customFormat="1">
      <c r="A75" s="283"/>
      <c r="B75" s="283" t="s">
        <v>109</v>
      </c>
      <c r="C75" s="794"/>
      <c r="D75" s="351" t="s">
        <v>14</v>
      </c>
      <c r="E75" s="679"/>
      <c r="F75" s="529">
        <f>VLOOKUP(D75,'Oct13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351" t="s">
        <v>14</v>
      </c>
    </row>
    <row r="76" spans="1:39" hidden="1">
      <c r="A76" s="20"/>
      <c r="B76" s="20" t="s">
        <v>110</v>
      </c>
      <c r="C76" s="667"/>
      <c r="D76" s="68" t="s">
        <v>15</v>
      </c>
      <c r="E76" s="679"/>
      <c r="F76" s="529">
        <f>VLOOKUP(D76,'Oct13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68" t="s">
        <v>15</v>
      </c>
    </row>
    <row r="77" spans="1:39">
      <c r="A77" s="20"/>
      <c r="B77" s="20" t="s">
        <v>110</v>
      </c>
      <c r="C77" s="667"/>
      <c r="D77" s="68" t="s">
        <v>646</v>
      </c>
      <c r="E77" s="679"/>
      <c r="F77" s="529">
        <f>VLOOKUP(D77,'Oct13 Revenue'!D:V,19,FALSE)</f>
        <v>0</v>
      </c>
      <c r="G77" s="680"/>
      <c r="H77" s="680"/>
      <c r="I77" s="770">
        <v>320.43</v>
      </c>
      <c r="J77" s="682">
        <f t="shared" si="0"/>
        <v>320.43</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320.43</v>
      </c>
      <c r="AE77" s="692">
        <f t="shared" si="8"/>
        <v>0</v>
      </c>
      <c r="AF77" s="692">
        <f t="shared" si="9"/>
        <v>0</v>
      </c>
      <c r="AG77" s="38"/>
      <c r="AH77" s="692">
        <f t="shared" si="10"/>
        <v>0</v>
      </c>
      <c r="AI77" s="692">
        <f t="shared" si="11"/>
        <v>0</v>
      </c>
      <c r="AJ77" s="692">
        <f t="shared" si="12"/>
        <v>0</v>
      </c>
      <c r="AL77" s="38">
        <f t="shared" si="13"/>
        <v>320.43</v>
      </c>
      <c r="AM77" s="68" t="s">
        <v>646</v>
      </c>
    </row>
    <row r="78" spans="1:39">
      <c r="A78" s="20"/>
      <c r="B78" s="20" t="s">
        <v>110</v>
      </c>
      <c r="C78" s="667"/>
      <c r="D78" s="68" t="s">
        <v>988</v>
      </c>
      <c r="E78" s="679"/>
      <c r="F78" s="529">
        <f>VLOOKUP(D78,'Oct13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c r="AM78" s="68" t="s">
        <v>988</v>
      </c>
    </row>
    <row r="79" spans="1:39">
      <c r="A79" s="20" t="s">
        <v>109</v>
      </c>
      <c r="B79" s="20" t="s">
        <v>109</v>
      </c>
      <c r="C79" s="667" t="s">
        <v>539</v>
      </c>
      <c r="D79" s="68" t="s">
        <v>510</v>
      </c>
      <c r="E79" s="679">
        <v>810.12</v>
      </c>
      <c r="F79" s="529">
        <f>VLOOKUP(D79,'Oct13 Revenue'!D:V,19,FALSE)</f>
        <v>0</v>
      </c>
      <c r="G79" s="680"/>
      <c r="H79" s="680"/>
      <c r="I79" s="755"/>
      <c r="J79" s="682">
        <f t="shared" si="0"/>
        <v>810.12</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810.12</v>
      </c>
      <c r="AF79" s="692">
        <f t="shared" si="9"/>
        <v>0</v>
      </c>
      <c r="AG79" s="38"/>
      <c r="AH79" s="692">
        <f t="shared" si="10"/>
        <v>0</v>
      </c>
      <c r="AI79" s="692">
        <f t="shared" si="11"/>
        <v>0</v>
      </c>
      <c r="AJ79" s="692">
        <f t="shared" si="12"/>
        <v>0</v>
      </c>
      <c r="AL79" s="38">
        <f t="shared" si="13"/>
        <v>810.12</v>
      </c>
      <c r="AM79" s="68" t="s">
        <v>510</v>
      </c>
    </row>
    <row r="80" spans="1:39">
      <c r="A80" s="20"/>
      <c r="B80" s="20" t="s">
        <v>109</v>
      </c>
      <c r="C80" s="667"/>
      <c r="D80" s="68" t="s">
        <v>16</v>
      </c>
      <c r="E80" s="679"/>
      <c r="F80" s="529">
        <f>VLOOKUP(D80,'Oct13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ref="V80:V143" si="15">IF(T80="","",T80-Q80)</f>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16</v>
      </c>
    </row>
    <row r="81" spans="1:39">
      <c r="A81" s="20"/>
      <c r="B81" s="20" t="s">
        <v>110</v>
      </c>
      <c r="C81" s="667"/>
      <c r="D81" s="68" t="s">
        <v>597</v>
      </c>
      <c r="E81" s="679">
        <f>105811.54+147890.66+148157.78+307.45+2879.56+152544.32+11988.83+21424.11</f>
        <v>591004.25</v>
      </c>
      <c r="F81" s="529">
        <f>VLOOKUP(D81,'Oct13 Revenue'!D:V,19,FALSE)</f>
        <v>-544670.88000000012</v>
      </c>
      <c r="G81" s="680"/>
      <c r="H81" s="680"/>
      <c r="I81" s="755"/>
      <c r="J81" s="682">
        <f t="shared" si="0"/>
        <v>46333.369999999879</v>
      </c>
      <c r="K81" s="683"/>
      <c r="L81" s="684"/>
      <c r="M81" s="753">
        <v>630000</v>
      </c>
      <c r="N81" s="683">
        <v>0</v>
      </c>
      <c r="O81" s="686"/>
      <c r="P81" s="683">
        <v>0</v>
      </c>
      <c r="Q81" s="687">
        <f t="shared" si="1"/>
        <v>630000</v>
      </c>
      <c r="R81" s="687"/>
      <c r="S81" s="687"/>
      <c r="T81" s="688">
        <f>276361.17+9604.19+3229.48+2798.96+41358.43+39900.09+57916.64+178291.01+4036.15+15758.55+31598.68</f>
        <v>660853.35000000009</v>
      </c>
      <c r="U81" s="693"/>
      <c r="V81" s="690">
        <f t="shared" si="15"/>
        <v>30853.350000000093</v>
      </c>
      <c r="W81" s="683"/>
      <c r="X81" s="474">
        <f t="shared" si="3"/>
        <v>630000</v>
      </c>
      <c r="Y81" s="474">
        <f t="shared" si="4"/>
        <v>0</v>
      </c>
      <c r="Z81" s="475">
        <f t="shared" si="5"/>
        <v>0</v>
      </c>
      <c r="AA81" s="475">
        <v>0</v>
      </c>
      <c r="AB81" s="476">
        <v>0</v>
      </c>
      <c r="AC81" s="38">
        <f t="shared" si="6"/>
        <v>0</v>
      </c>
      <c r="AD81" s="692">
        <f t="shared" si="7"/>
        <v>46333.369999999879</v>
      </c>
      <c r="AE81" s="692">
        <f t="shared" si="8"/>
        <v>0</v>
      </c>
      <c r="AF81" s="692">
        <f t="shared" si="9"/>
        <v>0</v>
      </c>
      <c r="AG81" s="38"/>
      <c r="AH81" s="692">
        <f t="shared" si="10"/>
        <v>630000</v>
      </c>
      <c r="AI81" s="692">
        <f t="shared" si="11"/>
        <v>0</v>
      </c>
      <c r="AJ81" s="692">
        <f t="shared" si="12"/>
        <v>0</v>
      </c>
      <c r="AL81" s="38">
        <f t="shared" si="13"/>
        <v>676333.36999999988</v>
      </c>
      <c r="AM81" s="68" t="s">
        <v>597</v>
      </c>
    </row>
    <row r="82" spans="1:39" s="232" customFormat="1">
      <c r="A82" s="283"/>
      <c r="B82" s="283" t="s">
        <v>109</v>
      </c>
      <c r="C82" s="667" t="s">
        <v>540</v>
      </c>
      <c r="D82" s="373" t="s">
        <v>410</v>
      </c>
      <c r="E82" s="679"/>
      <c r="F82" s="529">
        <f>VLOOKUP(D82,'Oct13 Revenue'!D:V,19,FALSE)</f>
        <v>-30000</v>
      </c>
      <c r="G82" s="680"/>
      <c r="H82" s="680"/>
      <c r="I82" s="755"/>
      <c r="J82" s="682">
        <f t="shared" si="0"/>
        <v>-30000</v>
      </c>
      <c r="K82" s="683"/>
      <c r="L82" s="684"/>
      <c r="M82" s="753">
        <v>30000</v>
      </c>
      <c r="N82" s="683">
        <v>0</v>
      </c>
      <c r="O82" s="686"/>
      <c r="P82" s="683">
        <v>0</v>
      </c>
      <c r="Q82" s="687">
        <f t="shared" si="1"/>
        <v>30000</v>
      </c>
      <c r="R82" s="687"/>
      <c r="S82" s="687"/>
      <c r="T82" s="688">
        <v>0</v>
      </c>
      <c r="U82" s="693"/>
      <c r="V82" s="690">
        <f t="shared" si="15"/>
        <v>-30000</v>
      </c>
      <c r="W82" s="683"/>
      <c r="X82" s="474">
        <f t="shared" si="3"/>
        <v>0</v>
      </c>
      <c r="Y82" s="474">
        <f t="shared" si="4"/>
        <v>30000</v>
      </c>
      <c r="Z82" s="475">
        <f t="shared" si="5"/>
        <v>0</v>
      </c>
      <c r="AA82" s="475">
        <v>0</v>
      </c>
      <c r="AB82" s="476">
        <v>0</v>
      </c>
      <c r="AC82" s="38">
        <f t="shared" si="6"/>
        <v>0</v>
      </c>
      <c r="AD82" s="692">
        <f t="shared" si="7"/>
        <v>0</v>
      </c>
      <c r="AE82" s="692">
        <f t="shared" si="8"/>
        <v>-30000</v>
      </c>
      <c r="AF82" s="692">
        <f t="shared" si="9"/>
        <v>0</v>
      </c>
      <c r="AG82" s="38"/>
      <c r="AH82" s="692">
        <f t="shared" si="10"/>
        <v>0</v>
      </c>
      <c r="AI82" s="692">
        <f t="shared" si="11"/>
        <v>30000</v>
      </c>
      <c r="AJ82" s="692">
        <f t="shared" si="12"/>
        <v>0</v>
      </c>
      <c r="AL82" s="38">
        <f t="shared" si="13"/>
        <v>0</v>
      </c>
      <c r="AM82" s="373" t="s">
        <v>410</v>
      </c>
    </row>
    <row r="83" spans="1:39" s="232" customFormat="1">
      <c r="A83" s="283"/>
      <c r="B83" s="283" t="s">
        <v>109</v>
      </c>
      <c r="C83" s="667" t="s">
        <v>540</v>
      </c>
      <c r="D83" s="373" t="s">
        <v>879</v>
      </c>
      <c r="E83" s="679"/>
      <c r="F83" s="529">
        <f>VLOOKUP(D83,'Oct13 Revenue'!D:V,19,FALSE)</f>
        <v>0</v>
      </c>
      <c r="G83" s="680"/>
      <c r="H83" s="680"/>
      <c r="I83" s="755"/>
      <c r="J83" s="682">
        <f t="shared" si="0"/>
        <v>0</v>
      </c>
      <c r="K83" s="683"/>
      <c r="L83" s="684"/>
      <c r="M83" s="753"/>
      <c r="N83" s="683">
        <v>0</v>
      </c>
      <c r="O83" s="686"/>
      <c r="P83" s="683">
        <v>0</v>
      </c>
      <c r="Q83" s="687">
        <f t="shared" si="1"/>
        <v>0</v>
      </c>
      <c r="R83" s="687"/>
      <c r="S83" s="687"/>
      <c r="T83" s="688">
        <v>0</v>
      </c>
      <c r="U83" s="693"/>
      <c r="V83" s="690">
        <f t="shared" si="15"/>
        <v>0</v>
      </c>
      <c r="W83" s="683"/>
      <c r="X83" s="474">
        <f t="shared" si="3"/>
        <v>0</v>
      </c>
      <c r="Y83" s="474">
        <f t="shared" si="4"/>
        <v>0</v>
      </c>
      <c r="Z83" s="475">
        <f t="shared" si="5"/>
        <v>0</v>
      </c>
      <c r="AA83" s="475">
        <v>0</v>
      </c>
      <c r="AB83" s="476">
        <v>0</v>
      </c>
      <c r="AC83" s="38">
        <f t="shared" si="6"/>
        <v>0</v>
      </c>
      <c r="AD83" s="692">
        <f t="shared" si="7"/>
        <v>0</v>
      </c>
      <c r="AE83" s="692">
        <f t="shared" si="8"/>
        <v>0</v>
      </c>
      <c r="AF83" s="692">
        <f t="shared" si="9"/>
        <v>0</v>
      </c>
      <c r="AG83" s="38"/>
      <c r="AH83" s="692">
        <f t="shared" si="10"/>
        <v>0</v>
      </c>
      <c r="AI83" s="692">
        <f t="shared" si="11"/>
        <v>0</v>
      </c>
      <c r="AJ83" s="692">
        <f t="shared" si="12"/>
        <v>0</v>
      </c>
      <c r="AL83" s="38">
        <f t="shared" si="13"/>
        <v>0</v>
      </c>
      <c r="AM83" s="373" t="s">
        <v>879</v>
      </c>
    </row>
    <row r="84" spans="1:39" s="232" customFormat="1">
      <c r="A84" s="283"/>
      <c r="B84" s="283" t="s">
        <v>109</v>
      </c>
      <c r="C84" s="667" t="s">
        <v>540</v>
      </c>
      <c r="D84" s="373" t="s">
        <v>620</v>
      </c>
      <c r="E84" s="679"/>
      <c r="F84" s="529">
        <f>VLOOKUP(D84,'Oct13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15"/>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620</v>
      </c>
    </row>
    <row r="85" spans="1:39">
      <c r="A85" s="20"/>
      <c r="B85" s="20" t="s">
        <v>110</v>
      </c>
      <c r="C85" s="667" t="s">
        <v>541</v>
      </c>
      <c r="D85" s="351" t="s">
        <v>507</v>
      </c>
      <c r="E85" s="679">
        <v>2.83</v>
      </c>
      <c r="F85" s="529">
        <f>VLOOKUP(D85,'Oct13 Revenue'!D:V,19,FALSE)</f>
        <v>0</v>
      </c>
      <c r="G85" s="680"/>
      <c r="H85" s="680"/>
      <c r="I85" s="755"/>
      <c r="J85" s="682">
        <f t="shared" si="0"/>
        <v>2.83</v>
      </c>
      <c r="K85" s="683"/>
      <c r="L85" s="684"/>
      <c r="M85" s="753"/>
      <c r="N85" s="683">
        <v>0</v>
      </c>
      <c r="O85" s="686"/>
      <c r="P85" s="683">
        <v>0</v>
      </c>
      <c r="Q85" s="687">
        <f t="shared" si="1"/>
        <v>0</v>
      </c>
      <c r="R85" s="687"/>
      <c r="S85" s="687"/>
      <c r="T85" s="688">
        <v>0</v>
      </c>
      <c r="U85" s="693"/>
      <c r="V85" s="690">
        <f t="shared" si="15"/>
        <v>0</v>
      </c>
      <c r="W85" s="683"/>
      <c r="X85" s="474">
        <f t="shared" si="3"/>
        <v>0</v>
      </c>
      <c r="Y85" s="474">
        <f t="shared" si="4"/>
        <v>0</v>
      </c>
      <c r="Z85" s="475">
        <f t="shared" si="5"/>
        <v>0</v>
      </c>
      <c r="AA85" s="475">
        <v>0</v>
      </c>
      <c r="AB85" s="476">
        <v>0</v>
      </c>
      <c r="AC85" s="38">
        <f t="shared" si="6"/>
        <v>0</v>
      </c>
      <c r="AD85" s="692">
        <f t="shared" si="7"/>
        <v>2.83</v>
      </c>
      <c r="AE85" s="692">
        <f t="shared" si="8"/>
        <v>0</v>
      </c>
      <c r="AF85" s="692">
        <f t="shared" si="9"/>
        <v>0</v>
      </c>
      <c r="AG85" s="38"/>
      <c r="AH85" s="692">
        <f t="shared" si="10"/>
        <v>0</v>
      </c>
      <c r="AI85" s="692">
        <f t="shared" si="11"/>
        <v>0</v>
      </c>
      <c r="AJ85" s="692">
        <f t="shared" si="12"/>
        <v>0</v>
      </c>
      <c r="AL85" s="38">
        <f t="shared" si="13"/>
        <v>2.83</v>
      </c>
      <c r="AM85" s="351" t="s">
        <v>507</v>
      </c>
    </row>
    <row r="86" spans="1:39">
      <c r="A86" s="20"/>
      <c r="B86" s="20" t="s">
        <v>110</v>
      </c>
      <c r="C86" s="667" t="s">
        <v>541</v>
      </c>
      <c r="D86" s="351" t="s">
        <v>506</v>
      </c>
      <c r="E86" s="679">
        <v>2348</v>
      </c>
      <c r="F86" s="529">
        <f>VLOOKUP(D86,'Oct13 Revenue'!D:V,19,FALSE)</f>
        <v>0</v>
      </c>
      <c r="G86" s="680"/>
      <c r="H86" s="680"/>
      <c r="I86" s="755"/>
      <c r="J86" s="682">
        <f t="shared" ref="J86:J153" si="16">SUM(E86:I86)</f>
        <v>2348</v>
      </c>
      <c r="K86" s="683"/>
      <c r="L86" s="684"/>
      <c r="M86" s="753"/>
      <c r="N86" s="683">
        <v>0</v>
      </c>
      <c r="O86" s="686"/>
      <c r="P86" s="683">
        <v>0</v>
      </c>
      <c r="Q86" s="687">
        <f t="shared" si="1"/>
        <v>0</v>
      </c>
      <c r="R86" s="687"/>
      <c r="S86" s="687"/>
      <c r="T86" s="688">
        <v>0</v>
      </c>
      <c r="U86" s="693"/>
      <c r="V86" s="690">
        <f t="shared" si="15"/>
        <v>0</v>
      </c>
      <c r="W86" s="683"/>
      <c r="X86" s="474">
        <f t="shared" si="3"/>
        <v>0</v>
      </c>
      <c r="Y86" s="474">
        <f t="shared" si="4"/>
        <v>0</v>
      </c>
      <c r="Z86" s="475">
        <f t="shared" si="5"/>
        <v>0</v>
      </c>
      <c r="AA86" s="475">
        <v>0</v>
      </c>
      <c r="AB86" s="476">
        <v>0</v>
      </c>
      <c r="AC86" s="38">
        <f t="shared" si="6"/>
        <v>0</v>
      </c>
      <c r="AD86" s="692">
        <f t="shared" ref="AD86:AD153" si="17">IF(B86="D",J86,0)</f>
        <v>2348</v>
      </c>
      <c r="AE86" s="692">
        <f t="shared" ref="AE86:AE153" si="18">IF(B86="M",J86,0)</f>
        <v>0</v>
      </c>
      <c r="AF86" s="692">
        <f t="shared" ref="AF86:AF153" si="19">IF(B86="V",J86,0)</f>
        <v>0</v>
      </c>
      <c r="AG86" s="38"/>
      <c r="AH86" s="692">
        <f t="shared" si="10"/>
        <v>0</v>
      </c>
      <c r="AI86" s="692">
        <f t="shared" si="11"/>
        <v>0</v>
      </c>
      <c r="AJ86" s="692">
        <f t="shared" si="12"/>
        <v>0</v>
      </c>
      <c r="AL86" s="38">
        <f t="shared" si="13"/>
        <v>2348</v>
      </c>
      <c r="AM86" s="351" t="s">
        <v>506</v>
      </c>
    </row>
    <row r="87" spans="1:39">
      <c r="A87" s="20"/>
      <c r="B87" s="20" t="s">
        <v>110</v>
      </c>
      <c r="C87" s="667" t="s">
        <v>542</v>
      </c>
      <c r="D87" s="68" t="s">
        <v>305</v>
      </c>
      <c r="E87" s="679">
        <v>5508.56</v>
      </c>
      <c r="F87" s="529">
        <f>VLOOKUP(D87,'Oct13 Revenue'!D:V,19,FALSE)</f>
        <v>-14000</v>
      </c>
      <c r="G87" s="680"/>
      <c r="H87" s="680"/>
      <c r="I87" s="755"/>
      <c r="J87" s="682">
        <f t="shared" si="16"/>
        <v>-8491.4399999999987</v>
      </c>
      <c r="K87" s="683"/>
      <c r="L87" s="684"/>
      <c r="M87" s="753">
        <v>10000</v>
      </c>
      <c r="N87" s="683">
        <v>0</v>
      </c>
      <c r="O87" s="686"/>
      <c r="P87" s="683">
        <v>0</v>
      </c>
      <c r="Q87" s="687">
        <f t="shared" si="1"/>
        <v>10000</v>
      </c>
      <c r="R87" s="687"/>
      <c r="S87" s="687"/>
      <c r="T87" s="688">
        <v>7426.87</v>
      </c>
      <c r="U87" s="693"/>
      <c r="V87" s="690">
        <f t="shared" si="15"/>
        <v>-2573.13</v>
      </c>
      <c r="W87" s="683"/>
      <c r="X87" s="474">
        <f t="shared" ref="X87:X155" si="20">IF(B87="D",Q87,0)</f>
        <v>10000</v>
      </c>
      <c r="Y87" s="474">
        <f t="shared" ref="Y87:Y155" si="21">IF(B87="M",Q87,0)</f>
        <v>0</v>
      </c>
      <c r="Z87" s="475">
        <f t="shared" ref="Z87:Z155" si="22">IF(B87="V",Q87,0)</f>
        <v>0</v>
      </c>
      <c r="AA87" s="475">
        <v>0</v>
      </c>
      <c r="AB87" s="476">
        <v>0</v>
      </c>
      <c r="AC87" s="38">
        <f t="shared" ref="AC87:AC155" si="23">(L87+M87)-(X87+Y87+Z87+AA87+AB87)</f>
        <v>0</v>
      </c>
      <c r="AD87" s="692">
        <f t="shared" si="17"/>
        <v>-8491.4399999999987</v>
      </c>
      <c r="AE87" s="692">
        <f t="shared" si="18"/>
        <v>0</v>
      </c>
      <c r="AF87" s="692">
        <f t="shared" si="19"/>
        <v>0</v>
      </c>
      <c r="AG87" s="38"/>
      <c r="AH87" s="692">
        <f t="shared" ref="AH87:AH154" si="24">IF(B87="D",Q87,0)</f>
        <v>10000</v>
      </c>
      <c r="AI87" s="692">
        <f t="shared" ref="AI87:AI154" si="25">IF(B87="M",Q87,0)</f>
        <v>0</v>
      </c>
      <c r="AJ87" s="692">
        <f t="shared" ref="AJ87:AJ154" si="26">IF(B87="V",Q87,0)</f>
        <v>0</v>
      </c>
      <c r="AL87" s="38">
        <f t="shared" si="13"/>
        <v>1508.5600000000013</v>
      </c>
      <c r="AM87" s="68" t="s">
        <v>305</v>
      </c>
    </row>
    <row r="88" spans="1:39">
      <c r="A88" s="20"/>
      <c r="B88" s="20" t="s">
        <v>110</v>
      </c>
      <c r="C88" s="667" t="s">
        <v>543</v>
      </c>
      <c r="D88" s="68" t="s">
        <v>199</v>
      </c>
      <c r="E88" s="679"/>
      <c r="F88" s="529">
        <f>VLOOKUP(D88,'Oct13 Revenue'!D:V,19,FALSE)</f>
        <v>529.05999999999995</v>
      </c>
      <c r="G88" s="680"/>
      <c r="H88" s="680"/>
      <c r="I88" s="755"/>
      <c r="J88" s="682">
        <f t="shared" si="16"/>
        <v>529.05999999999995</v>
      </c>
      <c r="K88" s="683"/>
      <c r="L88" s="684"/>
      <c r="M88" s="753"/>
      <c r="N88" s="683">
        <v>0</v>
      </c>
      <c r="O88" s="686"/>
      <c r="P88" s="683">
        <v>0</v>
      </c>
      <c r="Q88" s="687">
        <f t="shared" si="1"/>
        <v>0</v>
      </c>
      <c r="R88" s="687"/>
      <c r="S88" s="687"/>
      <c r="T88" s="688">
        <v>0</v>
      </c>
      <c r="U88" s="693"/>
      <c r="V88" s="690">
        <f t="shared" si="15"/>
        <v>0</v>
      </c>
      <c r="W88" s="683"/>
      <c r="X88" s="474">
        <f t="shared" si="20"/>
        <v>0</v>
      </c>
      <c r="Y88" s="474">
        <f t="shared" si="21"/>
        <v>0</v>
      </c>
      <c r="Z88" s="475">
        <f t="shared" si="22"/>
        <v>0</v>
      </c>
      <c r="AA88" s="475">
        <v>0</v>
      </c>
      <c r="AB88" s="476">
        <v>0</v>
      </c>
      <c r="AC88" s="38">
        <f t="shared" si="23"/>
        <v>0</v>
      </c>
      <c r="AD88" s="692">
        <f t="shared" si="17"/>
        <v>529.05999999999995</v>
      </c>
      <c r="AE88" s="692">
        <f t="shared" si="18"/>
        <v>0</v>
      </c>
      <c r="AF88" s="692">
        <f t="shared" si="19"/>
        <v>0</v>
      </c>
      <c r="AG88" s="38"/>
      <c r="AH88" s="692">
        <f t="shared" si="24"/>
        <v>0</v>
      </c>
      <c r="AI88" s="692">
        <f t="shared" si="25"/>
        <v>0</v>
      </c>
      <c r="AJ88" s="692">
        <f t="shared" si="26"/>
        <v>0</v>
      </c>
      <c r="AL88" s="38">
        <f t="shared" ref="AL88:AL153" si="27">SUM(AD88:AJ88)</f>
        <v>529.05999999999995</v>
      </c>
      <c r="AM88" s="68" t="s">
        <v>199</v>
      </c>
    </row>
    <row r="89" spans="1:39">
      <c r="A89" s="20"/>
      <c r="B89" s="20" t="s">
        <v>110</v>
      </c>
      <c r="C89" s="667" t="s">
        <v>543</v>
      </c>
      <c r="D89" s="68" t="s">
        <v>200</v>
      </c>
      <c r="E89" s="679"/>
      <c r="F89" s="529">
        <f>VLOOKUP(D89,'Oct13 Revenue'!D:V,19,FALSE)</f>
        <v>3334.1</v>
      </c>
      <c r="G89" s="680"/>
      <c r="H89" s="680"/>
      <c r="I89" s="755"/>
      <c r="J89" s="682">
        <f t="shared" si="16"/>
        <v>3334.1</v>
      </c>
      <c r="K89" s="683"/>
      <c r="L89" s="684"/>
      <c r="M89" s="753"/>
      <c r="N89" s="683">
        <v>0</v>
      </c>
      <c r="O89" s="686"/>
      <c r="P89" s="683">
        <v>0</v>
      </c>
      <c r="Q89" s="687">
        <f t="shared" si="1"/>
        <v>0</v>
      </c>
      <c r="R89" s="687"/>
      <c r="S89" s="687"/>
      <c r="T89" s="688">
        <v>0</v>
      </c>
      <c r="U89" s="693"/>
      <c r="V89" s="690">
        <f t="shared" si="15"/>
        <v>0</v>
      </c>
      <c r="W89" s="683"/>
      <c r="X89" s="474">
        <f t="shared" si="20"/>
        <v>0</v>
      </c>
      <c r="Y89" s="474">
        <f t="shared" si="21"/>
        <v>0</v>
      </c>
      <c r="Z89" s="475">
        <f t="shared" si="22"/>
        <v>0</v>
      </c>
      <c r="AA89" s="475">
        <v>0</v>
      </c>
      <c r="AB89" s="476">
        <v>0</v>
      </c>
      <c r="AC89" s="38">
        <f t="shared" si="23"/>
        <v>0</v>
      </c>
      <c r="AD89" s="692">
        <f t="shared" si="17"/>
        <v>3334.1</v>
      </c>
      <c r="AE89" s="692">
        <f t="shared" si="18"/>
        <v>0</v>
      </c>
      <c r="AF89" s="692">
        <f t="shared" si="19"/>
        <v>0</v>
      </c>
      <c r="AG89" s="38"/>
      <c r="AH89" s="692">
        <f t="shared" si="24"/>
        <v>0</v>
      </c>
      <c r="AI89" s="692">
        <f t="shared" si="25"/>
        <v>0</v>
      </c>
      <c r="AJ89" s="692">
        <f t="shared" si="26"/>
        <v>0</v>
      </c>
      <c r="AL89" s="38">
        <f t="shared" si="27"/>
        <v>3334.1</v>
      </c>
      <c r="AM89" s="68" t="s">
        <v>200</v>
      </c>
    </row>
    <row r="90" spans="1:39">
      <c r="A90" s="20"/>
      <c r="B90" s="20" t="s">
        <v>110</v>
      </c>
      <c r="C90" s="667" t="s">
        <v>543</v>
      </c>
      <c r="D90" s="68" t="s">
        <v>201</v>
      </c>
      <c r="E90" s="679"/>
      <c r="F90" s="529">
        <f>VLOOKUP(D90,'Oct13 Revenue'!D:V,19,FALSE)</f>
        <v>390.21</v>
      </c>
      <c r="G90" s="680"/>
      <c r="H90" s="680"/>
      <c r="I90" s="755"/>
      <c r="J90" s="682">
        <f t="shared" si="16"/>
        <v>390.21</v>
      </c>
      <c r="K90" s="683"/>
      <c r="L90" s="684"/>
      <c r="M90" s="753"/>
      <c r="N90" s="683">
        <v>0</v>
      </c>
      <c r="O90" s="686"/>
      <c r="P90" s="683">
        <v>0</v>
      </c>
      <c r="Q90" s="687">
        <f t="shared" si="1"/>
        <v>0</v>
      </c>
      <c r="R90" s="687"/>
      <c r="S90" s="687"/>
      <c r="T90" s="688">
        <v>0</v>
      </c>
      <c r="U90" s="693"/>
      <c r="V90" s="690">
        <f t="shared" si="15"/>
        <v>0</v>
      </c>
      <c r="W90" s="683"/>
      <c r="X90" s="474">
        <f t="shared" si="20"/>
        <v>0</v>
      </c>
      <c r="Y90" s="474">
        <f t="shared" si="21"/>
        <v>0</v>
      </c>
      <c r="Z90" s="475">
        <f t="shared" si="22"/>
        <v>0</v>
      </c>
      <c r="AA90" s="475">
        <v>0</v>
      </c>
      <c r="AB90" s="476">
        <v>0</v>
      </c>
      <c r="AC90" s="38">
        <f t="shared" si="23"/>
        <v>0</v>
      </c>
      <c r="AD90" s="692">
        <f t="shared" si="17"/>
        <v>390.21</v>
      </c>
      <c r="AE90" s="692">
        <f t="shared" si="18"/>
        <v>0</v>
      </c>
      <c r="AF90" s="692">
        <f t="shared" si="19"/>
        <v>0</v>
      </c>
      <c r="AG90" s="38"/>
      <c r="AH90" s="692">
        <f t="shared" si="24"/>
        <v>0</v>
      </c>
      <c r="AI90" s="692">
        <f t="shared" si="25"/>
        <v>0</v>
      </c>
      <c r="AJ90" s="692">
        <f t="shared" si="26"/>
        <v>0</v>
      </c>
      <c r="AL90" s="38">
        <f t="shared" si="27"/>
        <v>390.21</v>
      </c>
      <c r="AM90" s="68" t="s">
        <v>201</v>
      </c>
    </row>
    <row r="91" spans="1:39">
      <c r="A91" s="21"/>
      <c r="B91" s="21" t="s">
        <v>110</v>
      </c>
      <c r="C91" s="666"/>
      <c r="D91" s="68" t="s">
        <v>1033</v>
      </c>
      <c r="E91" s="679">
        <v>318.49</v>
      </c>
      <c r="F91" s="529">
        <f>VLOOKUP(D91,'Oct13 Revenue'!D:V,19,FALSE)</f>
        <v>0</v>
      </c>
      <c r="G91" s="680"/>
      <c r="H91" s="680"/>
      <c r="I91" s="755"/>
      <c r="J91" s="682">
        <f t="shared" si="16"/>
        <v>318.49</v>
      </c>
      <c r="K91" s="683"/>
      <c r="L91" s="684"/>
      <c r="M91" s="753"/>
      <c r="N91" s="683">
        <v>0</v>
      </c>
      <c r="O91" s="686"/>
      <c r="P91" s="683">
        <v>0</v>
      </c>
      <c r="Q91" s="687">
        <f t="shared" ref="Q91" si="28">L91+M91</f>
        <v>0</v>
      </c>
      <c r="R91" s="687"/>
      <c r="S91" s="687"/>
      <c r="T91" s="688">
        <v>0</v>
      </c>
      <c r="U91" s="693"/>
      <c r="V91" s="690">
        <f t="shared" si="15"/>
        <v>0</v>
      </c>
      <c r="W91" s="697"/>
      <c r="X91" s="474">
        <f t="shared" si="20"/>
        <v>0</v>
      </c>
      <c r="Y91" s="474">
        <f t="shared" si="21"/>
        <v>0</v>
      </c>
      <c r="Z91" s="475">
        <f t="shared" si="22"/>
        <v>0</v>
      </c>
      <c r="AA91" s="475">
        <v>0</v>
      </c>
      <c r="AB91" s="476">
        <v>0</v>
      </c>
      <c r="AC91" s="38">
        <f t="shared" si="23"/>
        <v>0</v>
      </c>
      <c r="AD91" s="692">
        <f t="shared" si="17"/>
        <v>318.49</v>
      </c>
      <c r="AE91" s="692">
        <f t="shared" si="18"/>
        <v>0</v>
      </c>
      <c r="AF91" s="692">
        <f t="shared" si="19"/>
        <v>0</v>
      </c>
      <c r="AG91" s="38"/>
      <c r="AH91" s="692">
        <f t="shared" si="24"/>
        <v>0</v>
      </c>
      <c r="AI91" s="692">
        <f t="shared" si="25"/>
        <v>0</v>
      </c>
      <c r="AJ91" s="692">
        <f t="shared" si="26"/>
        <v>0</v>
      </c>
      <c r="AL91" s="38">
        <f t="shared" si="27"/>
        <v>318.49</v>
      </c>
      <c r="AM91" s="68" t="s">
        <v>628</v>
      </c>
    </row>
    <row r="92" spans="1:39">
      <c r="A92" s="20" t="s">
        <v>97</v>
      </c>
      <c r="B92" s="20" t="s">
        <v>114</v>
      </c>
      <c r="C92" s="667"/>
      <c r="D92" s="68" t="s">
        <v>387</v>
      </c>
      <c r="E92" s="679"/>
      <c r="F92" s="529">
        <f>VLOOKUP(D92,'Oct13 Revenue'!D:V,19,FALSE)</f>
        <v>5110.7400000000016</v>
      </c>
      <c r="G92" s="680"/>
      <c r="H92" s="680"/>
      <c r="I92" s="755"/>
      <c r="J92" s="682">
        <f t="shared" si="16"/>
        <v>5110.7400000000016</v>
      </c>
      <c r="K92" s="683"/>
      <c r="L92" s="684"/>
      <c r="M92" s="753">
        <v>20000</v>
      </c>
      <c r="N92" s="683">
        <v>0</v>
      </c>
      <c r="O92" s="686"/>
      <c r="P92" s="683">
        <v>0</v>
      </c>
      <c r="Q92" s="687">
        <f t="shared" si="1"/>
        <v>20000</v>
      </c>
      <c r="R92" s="687"/>
      <c r="S92" s="687"/>
      <c r="T92" s="688">
        <v>41661.120000000003</v>
      </c>
      <c r="U92" s="693"/>
      <c r="V92" s="690">
        <f t="shared" si="15"/>
        <v>21661.120000000003</v>
      </c>
      <c r="W92" s="683"/>
      <c r="X92" s="474">
        <f t="shared" si="20"/>
        <v>0</v>
      </c>
      <c r="Y92" s="474">
        <f t="shared" si="21"/>
        <v>0</v>
      </c>
      <c r="Z92" s="475">
        <f t="shared" si="22"/>
        <v>20000</v>
      </c>
      <c r="AA92" s="475">
        <v>0</v>
      </c>
      <c r="AB92" s="476">
        <v>0</v>
      </c>
      <c r="AC92" s="38">
        <f t="shared" si="23"/>
        <v>0</v>
      </c>
      <c r="AD92" s="692">
        <f t="shared" si="17"/>
        <v>0</v>
      </c>
      <c r="AE92" s="692">
        <f t="shared" si="18"/>
        <v>0</v>
      </c>
      <c r="AF92" s="692">
        <f t="shared" si="19"/>
        <v>5110.7400000000016</v>
      </c>
      <c r="AG92" s="38"/>
      <c r="AH92" s="692">
        <f t="shared" si="24"/>
        <v>0</v>
      </c>
      <c r="AI92" s="692">
        <f t="shared" si="25"/>
        <v>0</v>
      </c>
      <c r="AJ92" s="692">
        <f t="shared" si="26"/>
        <v>20000</v>
      </c>
      <c r="AL92" s="38">
        <f t="shared" si="27"/>
        <v>25110.74</v>
      </c>
      <c r="AM92" s="68" t="s">
        <v>387</v>
      </c>
    </row>
    <row r="93" spans="1:39" hidden="1">
      <c r="A93" s="20" t="s">
        <v>97</v>
      </c>
      <c r="B93" s="20" t="s">
        <v>114</v>
      </c>
      <c r="C93" s="667"/>
      <c r="D93" s="68" t="s">
        <v>482</v>
      </c>
      <c r="E93" s="679"/>
      <c r="F93" s="529">
        <f>VLOOKUP(D93,'Oct13 Revenue'!D:V,19,FALSE)</f>
        <v>0</v>
      </c>
      <c r="G93" s="680"/>
      <c r="H93" s="680"/>
      <c r="I93" s="755"/>
      <c r="J93" s="682">
        <f t="shared" si="16"/>
        <v>0</v>
      </c>
      <c r="K93" s="683"/>
      <c r="L93" s="684"/>
      <c r="M93" s="753"/>
      <c r="N93" s="683"/>
      <c r="O93" s="686"/>
      <c r="P93" s="683"/>
      <c r="Q93" s="687">
        <f t="shared" si="1"/>
        <v>0</v>
      </c>
      <c r="R93" s="687"/>
      <c r="S93" s="687"/>
      <c r="T93" s="688">
        <v>0</v>
      </c>
      <c r="U93" s="693"/>
      <c r="V93" s="690">
        <f t="shared" si="15"/>
        <v>0</v>
      </c>
      <c r="W93" s="683"/>
      <c r="X93" s="474">
        <f t="shared" si="20"/>
        <v>0</v>
      </c>
      <c r="Y93" s="474">
        <f t="shared" si="21"/>
        <v>0</v>
      </c>
      <c r="Z93" s="475">
        <f t="shared" si="22"/>
        <v>0</v>
      </c>
      <c r="AA93" s="475">
        <v>0</v>
      </c>
      <c r="AB93" s="476">
        <v>0</v>
      </c>
      <c r="AC93" s="38">
        <f t="shared" si="23"/>
        <v>0</v>
      </c>
      <c r="AD93" s="692">
        <f t="shared" si="17"/>
        <v>0</v>
      </c>
      <c r="AE93" s="692">
        <f t="shared" si="18"/>
        <v>0</v>
      </c>
      <c r="AF93" s="692">
        <f t="shared" si="19"/>
        <v>0</v>
      </c>
      <c r="AG93" s="38"/>
      <c r="AH93" s="692">
        <f t="shared" si="24"/>
        <v>0</v>
      </c>
      <c r="AI93" s="692">
        <f t="shared" si="25"/>
        <v>0</v>
      </c>
      <c r="AJ93" s="692">
        <f t="shared" si="26"/>
        <v>0</v>
      </c>
      <c r="AL93" s="38">
        <f t="shared" si="27"/>
        <v>0</v>
      </c>
      <c r="AM93" s="68" t="s">
        <v>482</v>
      </c>
    </row>
    <row r="94" spans="1:39" hidden="1">
      <c r="A94" s="20" t="s">
        <v>109</v>
      </c>
      <c r="B94" s="20" t="s">
        <v>109</v>
      </c>
      <c r="C94" s="667" t="s">
        <v>544</v>
      </c>
      <c r="D94" s="68" t="s">
        <v>383</v>
      </c>
      <c r="E94" s="679"/>
      <c r="F94" s="529">
        <f>VLOOKUP(D94,'Oct13 Revenue'!D:V,19,FALSE)</f>
        <v>0</v>
      </c>
      <c r="G94" s="680"/>
      <c r="H94" s="680"/>
      <c r="I94" s="755"/>
      <c r="J94" s="682">
        <f t="shared" si="16"/>
        <v>0</v>
      </c>
      <c r="K94" s="683"/>
      <c r="L94" s="684"/>
      <c r="M94" s="753"/>
      <c r="N94" s="683">
        <v>0</v>
      </c>
      <c r="O94" s="686"/>
      <c r="P94" s="683">
        <v>0</v>
      </c>
      <c r="Q94" s="687">
        <f t="shared" si="1"/>
        <v>0</v>
      </c>
      <c r="R94" s="687"/>
      <c r="S94" s="687"/>
      <c r="T94" s="688">
        <v>0</v>
      </c>
      <c r="U94" s="693"/>
      <c r="V94" s="690">
        <f t="shared" si="15"/>
        <v>0</v>
      </c>
      <c r="W94" s="683"/>
      <c r="X94" s="474">
        <f t="shared" si="20"/>
        <v>0</v>
      </c>
      <c r="Y94" s="474">
        <f t="shared" si="21"/>
        <v>0</v>
      </c>
      <c r="Z94" s="475">
        <f t="shared" si="22"/>
        <v>0</v>
      </c>
      <c r="AA94" s="475">
        <v>0</v>
      </c>
      <c r="AB94" s="476">
        <v>0</v>
      </c>
      <c r="AC94" s="38">
        <f t="shared" si="23"/>
        <v>0</v>
      </c>
      <c r="AD94" s="692">
        <f t="shared" si="17"/>
        <v>0</v>
      </c>
      <c r="AE94" s="692">
        <f t="shared" si="18"/>
        <v>0</v>
      </c>
      <c r="AF94" s="692">
        <f t="shared" si="19"/>
        <v>0</v>
      </c>
      <c r="AG94" s="38"/>
      <c r="AH94" s="692">
        <f t="shared" si="24"/>
        <v>0</v>
      </c>
      <c r="AI94" s="692">
        <f t="shared" si="25"/>
        <v>0</v>
      </c>
      <c r="AJ94" s="692">
        <f t="shared" si="26"/>
        <v>0</v>
      </c>
      <c r="AL94" s="38">
        <f t="shared" si="27"/>
        <v>0</v>
      </c>
      <c r="AM94" s="68" t="s">
        <v>383</v>
      </c>
    </row>
    <row r="95" spans="1:39" hidden="1">
      <c r="A95" s="21" t="s">
        <v>211</v>
      </c>
      <c r="B95" s="21" t="s">
        <v>109</v>
      </c>
      <c r="C95" s="666" t="s">
        <v>545</v>
      </c>
      <c r="D95" s="68" t="s">
        <v>181</v>
      </c>
      <c r="E95" s="679"/>
      <c r="F95" s="529">
        <f>VLOOKUP(D95,'Oct13 Revenue'!D:V,19,FALSE)</f>
        <v>0</v>
      </c>
      <c r="G95" s="680"/>
      <c r="H95" s="680"/>
      <c r="I95" s="755"/>
      <c r="J95" s="682">
        <f t="shared" si="16"/>
        <v>0</v>
      </c>
      <c r="K95" s="683"/>
      <c r="L95" s="684"/>
      <c r="M95" s="753"/>
      <c r="N95" s="683">
        <v>0</v>
      </c>
      <c r="O95" s="686"/>
      <c r="P95" s="683">
        <v>0</v>
      </c>
      <c r="Q95" s="687">
        <f t="shared" si="1"/>
        <v>0</v>
      </c>
      <c r="R95" s="687"/>
      <c r="S95" s="687"/>
      <c r="T95" s="688">
        <v>0</v>
      </c>
      <c r="U95" s="693"/>
      <c r="V95" s="690">
        <f t="shared" si="15"/>
        <v>0</v>
      </c>
      <c r="W95" s="683"/>
      <c r="X95" s="474">
        <f t="shared" si="20"/>
        <v>0</v>
      </c>
      <c r="Y95" s="474">
        <f t="shared" si="21"/>
        <v>0</v>
      </c>
      <c r="Z95" s="475">
        <f t="shared" si="22"/>
        <v>0</v>
      </c>
      <c r="AA95" s="475">
        <v>0</v>
      </c>
      <c r="AB95" s="476">
        <v>0</v>
      </c>
      <c r="AC95" s="38">
        <f t="shared" si="23"/>
        <v>0</v>
      </c>
      <c r="AD95" s="692">
        <f t="shared" si="17"/>
        <v>0</v>
      </c>
      <c r="AE95" s="692">
        <f t="shared" si="18"/>
        <v>0</v>
      </c>
      <c r="AF95" s="692">
        <f t="shared" si="19"/>
        <v>0</v>
      </c>
      <c r="AG95" s="38"/>
      <c r="AH95" s="692">
        <f t="shared" si="24"/>
        <v>0</v>
      </c>
      <c r="AI95" s="692">
        <f t="shared" si="25"/>
        <v>0</v>
      </c>
      <c r="AJ95" s="692">
        <f t="shared" si="26"/>
        <v>0</v>
      </c>
      <c r="AL95" s="38">
        <f t="shared" si="27"/>
        <v>0</v>
      </c>
      <c r="AM95" s="68" t="s">
        <v>181</v>
      </c>
    </row>
    <row r="96" spans="1:39" hidden="1">
      <c r="A96" s="21" t="s">
        <v>211</v>
      </c>
      <c r="B96" s="21" t="s">
        <v>110</v>
      </c>
      <c r="C96" s="666"/>
      <c r="D96" s="68" t="s">
        <v>504</v>
      </c>
      <c r="E96" s="679"/>
      <c r="F96" s="529">
        <f>VLOOKUP(D96,'Oct13 Revenue'!D:V,19,FALSE)</f>
        <v>0</v>
      </c>
      <c r="G96" s="680"/>
      <c r="H96" s="680"/>
      <c r="I96" s="755"/>
      <c r="J96" s="682">
        <f t="shared" si="16"/>
        <v>0</v>
      </c>
      <c r="K96" s="683"/>
      <c r="L96" s="684"/>
      <c r="M96" s="753"/>
      <c r="N96" s="683">
        <v>0</v>
      </c>
      <c r="O96" s="686"/>
      <c r="P96" s="683">
        <v>0</v>
      </c>
      <c r="Q96" s="687">
        <f t="shared" si="1"/>
        <v>0</v>
      </c>
      <c r="R96" s="687"/>
      <c r="S96" s="687"/>
      <c r="T96" s="688">
        <v>0</v>
      </c>
      <c r="U96" s="693"/>
      <c r="V96" s="690">
        <f t="shared" si="15"/>
        <v>0</v>
      </c>
      <c r="W96" s="683"/>
      <c r="X96" s="474">
        <f t="shared" si="20"/>
        <v>0</v>
      </c>
      <c r="Y96" s="474">
        <f t="shared" si="21"/>
        <v>0</v>
      </c>
      <c r="Z96" s="475">
        <f t="shared" si="22"/>
        <v>0</v>
      </c>
      <c r="AA96" s="475">
        <v>0</v>
      </c>
      <c r="AB96" s="476">
        <v>0</v>
      </c>
      <c r="AC96" s="38">
        <f t="shared" si="23"/>
        <v>0</v>
      </c>
      <c r="AD96" s="692">
        <f t="shared" si="17"/>
        <v>0</v>
      </c>
      <c r="AE96" s="692">
        <f t="shared" si="18"/>
        <v>0</v>
      </c>
      <c r="AF96" s="692">
        <f t="shared" si="19"/>
        <v>0</v>
      </c>
      <c r="AG96" s="38"/>
      <c r="AH96" s="692">
        <f t="shared" si="24"/>
        <v>0</v>
      </c>
      <c r="AI96" s="692">
        <f t="shared" si="25"/>
        <v>0</v>
      </c>
      <c r="AJ96" s="692">
        <f t="shared" si="26"/>
        <v>0</v>
      </c>
      <c r="AL96" s="38">
        <f t="shared" si="27"/>
        <v>0</v>
      </c>
      <c r="AM96" s="68" t="s">
        <v>504</v>
      </c>
    </row>
    <row r="97" spans="1:39">
      <c r="A97" s="20" t="s">
        <v>211</v>
      </c>
      <c r="B97" s="20" t="s">
        <v>109</v>
      </c>
      <c r="C97" s="667" t="s">
        <v>546</v>
      </c>
      <c r="D97" s="68" t="s">
        <v>142</v>
      </c>
      <c r="E97" s="679">
        <v>394.41</v>
      </c>
      <c r="F97" s="529">
        <f>VLOOKUP(D97,'Oct13 Revenue'!D:V,19,FALSE)</f>
        <v>0</v>
      </c>
      <c r="G97" s="680"/>
      <c r="H97" s="680"/>
      <c r="I97" s="755"/>
      <c r="J97" s="682">
        <f t="shared" si="16"/>
        <v>394.41</v>
      </c>
      <c r="K97" s="683"/>
      <c r="L97" s="684"/>
      <c r="M97" s="753"/>
      <c r="N97" s="683">
        <v>0</v>
      </c>
      <c r="O97" s="686"/>
      <c r="P97" s="683">
        <v>0</v>
      </c>
      <c r="Q97" s="687">
        <f t="shared" si="1"/>
        <v>0</v>
      </c>
      <c r="R97" s="687"/>
      <c r="S97" s="687"/>
      <c r="T97" s="688">
        <v>0</v>
      </c>
      <c r="U97" s="693"/>
      <c r="V97" s="690">
        <f t="shared" si="15"/>
        <v>0</v>
      </c>
      <c r="W97" s="697"/>
      <c r="X97" s="474">
        <f t="shared" si="20"/>
        <v>0</v>
      </c>
      <c r="Y97" s="474">
        <f t="shared" si="21"/>
        <v>0</v>
      </c>
      <c r="Z97" s="475">
        <f t="shared" si="22"/>
        <v>0</v>
      </c>
      <c r="AA97" s="475">
        <v>0</v>
      </c>
      <c r="AB97" s="476">
        <v>0</v>
      </c>
      <c r="AC97" s="38">
        <f t="shared" si="23"/>
        <v>0</v>
      </c>
      <c r="AD97" s="692">
        <f t="shared" si="17"/>
        <v>0</v>
      </c>
      <c r="AE97" s="692">
        <f t="shared" si="18"/>
        <v>394.41</v>
      </c>
      <c r="AF97" s="692">
        <f t="shared" si="19"/>
        <v>0</v>
      </c>
      <c r="AG97" s="38"/>
      <c r="AH97" s="692">
        <f t="shared" si="24"/>
        <v>0</v>
      </c>
      <c r="AI97" s="692">
        <f t="shared" si="25"/>
        <v>0</v>
      </c>
      <c r="AJ97" s="692">
        <f t="shared" si="26"/>
        <v>0</v>
      </c>
      <c r="AL97" s="38">
        <f t="shared" si="27"/>
        <v>394.41</v>
      </c>
      <c r="AM97" s="68" t="s">
        <v>142</v>
      </c>
    </row>
    <row r="98" spans="1:39">
      <c r="A98" s="20" t="s">
        <v>211</v>
      </c>
      <c r="B98" s="20" t="s">
        <v>109</v>
      </c>
      <c r="C98" s="667" t="s">
        <v>546</v>
      </c>
      <c r="D98" s="68" t="s">
        <v>143</v>
      </c>
      <c r="E98" s="679">
        <v>74.11</v>
      </c>
      <c r="F98" s="529">
        <f>VLOOKUP(D98,'Oct13 Revenue'!D:V,19,FALSE)</f>
        <v>0</v>
      </c>
      <c r="G98" s="680"/>
      <c r="H98" s="680"/>
      <c r="I98" s="755"/>
      <c r="J98" s="682">
        <f t="shared" si="16"/>
        <v>74.11</v>
      </c>
      <c r="K98" s="683"/>
      <c r="L98" s="684"/>
      <c r="M98" s="753"/>
      <c r="N98" s="683">
        <v>0</v>
      </c>
      <c r="O98" s="686"/>
      <c r="P98" s="683">
        <v>0</v>
      </c>
      <c r="Q98" s="687">
        <f t="shared" si="1"/>
        <v>0</v>
      </c>
      <c r="R98" s="687"/>
      <c r="S98" s="687"/>
      <c r="T98" s="688">
        <v>0</v>
      </c>
      <c r="U98" s="693"/>
      <c r="V98" s="690">
        <f t="shared" si="15"/>
        <v>0</v>
      </c>
      <c r="W98" s="697"/>
      <c r="X98" s="474">
        <f t="shared" si="20"/>
        <v>0</v>
      </c>
      <c r="Y98" s="474">
        <f t="shared" si="21"/>
        <v>0</v>
      </c>
      <c r="Z98" s="475">
        <f t="shared" si="22"/>
        <v>0</v>
      </c>
      <c r="AA98" s="475">
        <v>0</v>
      </c>
      <c r="AB98" s="476">
        <v>0</v>
      </c>
      <c r="AC98" s="38">
        <f t="shared" si="23"/>
        <v>0</v>
      </c>
      <c r="AD98" s="692">
        <f t="shared" si="17"/>
        <v>0</v>
      </c>
      <c r="AE98" s="692">
        <f t="shared" si="18"/>
        <v>74.11</v>
      </c>
      <c r="AF98" s="692">
        <f t="shared" si="19"/>
        <v>0</v>
      </c>
      <c r="AG98" s="38"/>
      <c r="AH98" s="692">
        <f t="shared" si="24"/>
        <v>0</v>
      </c>
      <c r="AI98" s="692">
        <f t="shared" si="25"/>
        <v>0</v>
      </c>
      <c r="AJ98" s="692">
        <f t="shared" si="26"/>
        <v>0</v>
      </c>
      <c r="AL98" s="38">
        <f t="shared" si="27"/>
        <v>74.11</v>
      </c>
      <c r="AM98" s="68" t="s">
        <v>143</v>
      </c>
    </row>
    <row r="99" spans="1:39">
      <c r="A99" s="20"/>
      <c r="B99" s="20" t="s">
        <v>109</v>
      </c>
      <c r="C99" s="667"/>
      <c r="D99" s="68" t="s">
        <v>1014</v>
      </c>
      <c r="E99" s="679">
        <v>366.85</v>
      </c>
      <c r="F99" s="529">
        <f>VLOOKUP(D99,'Oct13 Revenue'!D:V,19,FALSE)</f>
        <v>72.38</v>
      </c>
      <c r="G99" s="680"/>
      <c r="H99" s="680"/>
      <c r="I99" s="755"/>
      <c r="J99" s="682">
        <f t="shared" si="16"/>
        <v>439.23</v>
      </c>
      <c r="K99" s="683"/>
      <c r="L99" s="684"/>
      <c r="M99" s="753"/>
      <c r="N99" s="683">
        <v>0</v>
      </c>
      <c r="O99" s="686"/>
      <c r="P99" s="683">
        <v>0</v>
      </c>
      <c r="Q99" s="687">
        <f t="shared" si="1"/>
        <v>0</v>
      </c>
      <c r="R99" s="687"/>
      <c r="S99" s="687"/>
      <c r="T99" s="688">
        <v>0</v>
      </c>
      <c r="U99" s="693"/>
      <c r="V99" s="690">
        <f t="shared" si="15"/>
        <v>0</v>
      </c>
      <c r="W99" s="683"/>
      <c r="X99" s="474">
        <f t="shared" si="20"/>
        <v>0</v>
      </c>
      <c r="Y99" s="474">
        <f t="shared" si="21"/>
        <v>0</v>
      </c>
      <c r="Z99" s="475">
        <f t="shared" si="22"/>
        <v>0</v>
      </c>
      <c r="AA99" s="475">
        <v>0</v>
      </c>
      <c r="AB99" s="476">
        <v>0</v>
      </c>
      <c r="AC99" s="38">
        <f t="shared" si="23"/>
        <v>0</v>
      </c>
      <c r="AD99" s="692">
        <f t="shared" si="17"/>
        <v>0</v>
      </c>
      <c r="AE99" s="692">
        <f t="shared" si="18"/>
        <v>439.23</v>
      </c>
      <c r="AF99" s="692">
        <f t="shared" si="19"/>
        <v>0</v>
      </c>
      <c r="AG99" s="38"/>
      <c r="AH99" s="692">
        <f t="shared" si="24"/>
        <v>0</v>
      </c>
      <c r="AI99" s="692">
        <f t="shared" si="25"/>
        <v>0</v>
      </c>
      <c r="AJ99" s="692">
        <f t="shared" si="26"/>
        <v>0</v>
      </c>
      <c r="AL99" s="38">
        <f t="shared" ref="AL99" si="29">SUM(AD99:AJ99)</f>
        <v>439.23</v>
      </c>
      <c r="AM99" s="68" t="s">
        <v>1014</v>
      </c>
    </row>
    <row r="100" spans="1:39">
      <c r="A100" s="20" t="s">
        <v>109</v>
      </c>
      <c r="B100" s="20" t="s">
        <v>109</v>
      </c>
      <c r="C100" s="667"/>
      <c r="D100" s="68" t="s">
        <v>498</v>
      </c>
      <c r="E100" s="679"/>
      <c r="F100" s="529">
        <f>VLOOKUP(D100,'Oct13 Revenue'!D:V,19,FALSE)</f>
        <v>0</v>
      </c>
      <c r="G100" s="680"/>
      <c r="H100" s="680"/>
      <c r="I100" s="755"/>
      <c r="J100" s="682">
        <f t="shared" si="16"/>
        <v>0</v>
      </c>
      <c r="K100" s="683"/>
      <c r="L100" s="684"/>
      <c r="M100" s="753"/>
      <c r="N100" s="683">
        <v>0</v>
      </c>
      <c r="O100" s="686"/>
      <c r="P100" s="683">
        <v>0</v>
      </c>
      <c r="Q100" s="687">
        <f t="shared" si="1"/>
        <v>0</v>
      </c>
      <c r="R100" s="687"/>
      <c r="S100" s="687"/>
      <c r="T100" s="688">
        <v>0</v>
      </c>
      <c r="U100" s="693"/>
      <c r="V100" s="690">
        <f t="shared" si="15"/>
        <v>0</v>
      </c>
      <c r="W100" s="683"/>
      <c r="X100" s="474">
        <f t="shared" si="20"/>
        <v>0</v>
      </c>
      <c r="Y100" s="474">
        <f t="shared" si="21"/>
        <v>0</v>
      </c>
      <c r="Z100" s="475">
        <f t="shared" si="22"/>
        <v>0</v>
      </c>
      <c r="AA100" s="475">
        <v>0</v>
      </c>
      <c r="AB100" s="476">
        <v>0</v>
      </c>
      <c r="AC100" s="38">
        <f t="shared" si="23"/>
        <v>0</v>
      </c>
      <c r="AD100" s="692">
        <f t="shared" si="17"/>
        <v>0</v>
      </c>
      <c r="AE100" s="692">
        <f t="shared" si="18"/>
        <v>0</v>
      </c>
      <c r="AF100" s="692">
        <f t="shared" si="19"/>
        <v>0</v>
      </c>
      <c r="AG100" s="38"/>
      <c r="AH100" s="692">
        <f t="shared" si="24"/>
        <v>0</v>
      </c>
      <c r="AI100" s="692">
        <f t="shared" si="25"/>
        <v>0</v>
      </c>
      <c r="AJ100" s="692">
        <f t="shared" si="26"/>
        <v>0</v>
      </c>
      <c r="AL100" s="38">
        <f t="shared" si="27"/>
        <v>0</v>
      </c>
      <c r="AM100" s="68" t="s">
        <v>498</v>
      </c>
    </row>
    <row r="101" spans="1:39">
      <c r="A101" s="21"/>
      <c r="B101" s="21" t="s">
        <v>110</v>
      </c>
      <c r="C101" s="666"/>
      <c r="D101" s="68" t="s">
        <v>20</v>
      </c>
      <c r="E101" s="679"/>
      <c r="F101" s="529">
        <f>VLOOKUP(D101,'Oct13 Revenue'!D:V,19,FALSE)</f>
        <v>0</v>
      </c>
      <c r="G101" s="680"/>
      <c r="H101" s="680"/>
      <c r="I101" s="755"/>
      <c r="J101" s="682">
        <f t="shared" si="16"/>
        <v>0</v>
      </c>
      <c r="K101" s="683"/>
      <c r="L101" s="684"/>
      <c r="M101" s="753"/>
      <c r="N101" s="683">
        <v>0</v>
      </c>
      <c r="O101" s="686"/>
      <c r="P101" s="683">
        <v>0</v>
      </c>
      <c r="Q101" s="687">
        <f t="shared" si="1"/>
        <v>0</v>
      </c>
      <c r="R101" s="687"/>
      <c r="S101" s="687"/>
      <c r="T101" s="688">
        <v>0</v>
      </c>
      <c r="U101" s="693"/>
      <c r="V101" s="690">
        <f t="shared" si="15"/>
        <v>0</v>
      </c>
      <c r="W101" s="683"/>
      <c r="X101" s="474">
        <f t="shared" si="20"/>
        <v>0</v>
      </c>
      <c r="Y101" s="474">
        <f t="shared" si="21"/>
        <v>0</v>
      </c>
      <c r="Z101" s="475">
        <f t="shared" si="22"/>
        <v>0</v>
      </c>
      <c r="AA101" s="475">
        <v>0</v>
      </c>
      <c r="AB101" s="476">
        <v>0</v>
      </c>
      <c r="AC101" s="38">
        <f t="shared" si="23"/>
        <v>0</v>
      </c>
      <c r="AD101" s="692">
        <f t="shared" si="17"/>
        <v>0</v>
      </c>
      <c r="AE101" s="692">
        <f t="shared" si="18"/>
        <v>0</v>
      </c>
      <c r="AF101" s="692">
        <f t="shared" si="19"/>
        <v>0</v>
      </c>
      <c r="AG101" s="38"/>
      <c r="AH101" s="692">
        <f t="shared" si="24"/>
        <v>0</v>
      </c>
      <c r="AI101" s="692">
        <f t="shared" si="25"/>
        <v>0</v>
      </c>
      <c r="AJ101" s="692">
        <f t="shared" si="26"/>
        <v>0</v>
      </c>
      <c r="AL101" s="38">
        <f t="shared" si="27"/>
        <v>0</v>
      </c>
      <c r="AM101" s="68" t="s">
        <v>20</v>
      </c>
    </row>
    <row r="102" spans="1:39">
      <c r="A102" s="21"/>
      <c r="B102" s="21" t="s">
        <v>110</v>
      </c>
      <c r="C102" s="666" t="s">
        <v>547</v>
      </c>
      <c r="D102" s="68" t="s">
        <v>203</v>
      </c>
      <c r="E102" s="679"/>
      <c r="F102" s="529">
        <f>VLOOKUP(D102,'Oct13 Revenue'!D:V,19,FALSE)</f>
        <v>0</v>
      </c>
      <c r="G102" s="680"/>
      <c r="H102" s="680"/>
      <c r="I102" s="755"/>
      <c r="J102" s="682">
        <f t="shared" si="16"/>
        <v>0</v>
      </c>
      <c r="K102" s="683"/>
      <c r="L102" s="684"/>
      <c r="M102" s="753"/>
      <c r="N102" s="683">
        <v>0</v>
      </c>
      <c r="O102" s="686"/>
      <c r="P102" s="683">
        <v>0</v>
      </c>
      <c r="Q102" s="687">
        <f t="shared" si="1"/>
        <v>0</v>
      </c>
      <c r="R102" s="687"/>
      <c r="S102" s="687"/>
      <c r="T102" s="688">
        <v>0</v>
      </c>
      <c r="U102" s="693"/>
      <c r="V102" s="690">
        <f t="shared" si="15"/>
        <v>0</v>
      </c>
      <c r="W102" s="683"/>
      <c r="X102" s="474">
        <f t="shared" si="20"/>
        <v>0</v>
      </c>
      <c r="Y102" s="474">
        <f t="shared" si="21"/>
        <v>0</v>
      </c>
      <c r="Z102" s="475">
        <f t="shared" si="22"/>
        <v>0</v>
      </c>
      <c r="AA102" s="475">
        <v>0</v>
      </c>
      <c r="AB102" s="476">
        <v>0</v>
      </c>
      <c r="AC102" s="38">
        <f t="shared" si="23"/>
        <v>0</v>
      </c>
      <c r="AD102" s="692">
        <f t="shared" si="17"/>
        <v>0</v>
      </c>
      <c r="AE102" s="692">
        <f t="shared" si="18"/>
        <v>0</v>
      </c>
      <c r="AF102" s="692">
        <f t="shared" si="19"/>
        <v>0</v>
      </c>
      <c r="AG102" s="38"/>
      <c r="AH102" s="692">
        <f t="shared" si="24"/>
        <v>0</v>
      </c>
      <c r="AI102" s="692">
        <f t="shared" si="25"/>
        <v>0</v>
      </c>
      <c r="AJ102" s="692">
        <f t="shared" si="26"/>
        <v>0</v>
      </c>
      <c r="AL102" s="38">
        <f t="shared" si="27"/>
        <v>0</v>
      </c>
      <c r="AM102" s="68" t="s">
        <v>203</v>
      </c>
    </row>
    <row r="103" spans="1:39">
      <c r="A103" s="21"/>
      <c r="B103" s="21" t="s">
        <v>110</v>
      </c>
      <c r="C103" s="666" t="s">
        <v>547</v>
      </c>
      <c r="D103" s="68" t="s">
        <v>202</v>
      </c>
      <c r="E103" s="679"/>
      <c r="F103" s="529">
        <f>VLOOKUP(D103,'Oct13 Revenue'!D:V,19,FALSE)</f>
        <v>0</v>
      </c>
      <c r="G103" s="680"/>
      <c r="H103" s="680"/>
      <c r="I103" s="755"/>
      <c r="J103" s="682">
        <f t="shared" si="16"/>
        <v>0</v>
      </c>
      <c r="K103" s="683"/>
      <c r="L103" s="684"/>
      <c r="M103" s="753"/>
      <c r="N103" s="683">
        <v>0</v>
      </c>
      <c r="O103" s="686"/>
      <c r="P103" s="683">
        <v>0</v>
      </c>
      <c r="Q103" s="687">
        <f t="shared" si="1"/>
        <v>0</v>
      </c>
      <c r="R103" s="687"/>
      <c r="S103" s="687"/>
      <c r="T103" s="688">
        <v>0</v>
      </c>
      <c r="U103" s="693"/>
      <c r="V103" s="690">
        <f t="shared" si="15"/>
        <v>0</v>
      </c>
      <c r="W103" s="683"/>
      <c r="X103" s="474">
        <f t="shared" si="20"/>
        <v>0</v>
      </c>
      <c r="Y103" s="474">
        <f t="shared" si="21"/>
        <v>0</v>
      </c>
      <c r="Z103" s="475">
        <f t="shared" si="22"/>
        <v>0</v>
      </c>
      <c r="AA103" s="475">
        <v>0</v>
      </c>
      <c r="AB103" s="476">
        <v>0</v>
      </c>
      <c r="AC103" s="38">
        <f t="shared" si="23"/>
        <v>0</v>
      </c>
      <c r="AD103" s="692">
        <f t="shared" si="17"/>
        <v>0</v>
      </c>
      <c r="AE103" s="692">
        <f t="shared" si="18"/>
        <v>0</v>
      </c>
      <c r="AF103" s="692">
        <f t="shared" si="19"/>
        <v>0</v>
      </c>
      <c r="AG103" s="38"/>
      <c r="AH103" s="692">
        <f t="shared" si="24"/>
        <v>0</v>
      </c>
      <c r="AI103" s="692">
        <f t="shared" si="25"/>
        <v>0</v>
      </c>
      <c r="AJ103" s="692">
        <f t="shared" si="26"/>
        <v>0</v>
      </c>
      <c r="AL103" s="38">
        <f t="shared" si="27"/>
        <v>0</v>
      </c>
      <c r="AM103" s="68" t="s">
        <v>202</v>
      </c>
    </row>
    <row r="104" spans="1:39">
      <c r="A104" s="20" t="s">
        <v>211</v>
      </c>
      <c r="B104" s="20" t="s">
        <v>110</v>
      </c>
      <c r="C104" s="676" t="s">
        <v>1031</v>
      </c>
      <c r="D104" s="373" t="s">
        <v>466</v>
      </c>
      <c r="E104" s="679"/>
      <c r="F104" s="529">
        <f>VLOOKUP(D104,'Oct13 Revenue'!D:V,19,FALSE)</f>
        <v>0</v>
      </c>
      <c r="G104" s="680"/>
      <c r="H104" s="680"/>
      <c r="I104" s="770">
        <v>1182.6300000000001</v>
      </c>
      <c r="J104" s="682">
        <f t="shared" si="16"/>
        <v>1182.6300000000001</v>
      </c>
      <c r="K104" s="683"/>
      <c r="L104" s="684"/>
      <c r="M104" s="753"/>
      <c r="N104" s="683">
        <v>0</v>
      </c>
      <c r="O104" s="686"/>
      <c r="P104" s="683">
        <v>0</v>
      </c>
      <c r="Q104" s="687">
        <f t="shared" si="1"/>
        <v>0</v>
      </c>
      <c r="R104" s="687"/>
      <c r="S104" s="687"/>
      <c r="T104" s="688">
        <v>0</v>
      </c>
      <c r="U104" s="693"/>
      <c r="V104" s="690">
        <f t="shared" si="15"/>
        <v>0</v>
      </c>
      <c r="W104" s="683"/>
      <c r="X104" s="474">
        <f t="shared" si="20"/>
        <v>0</v>
      </c>
      <c r="Y104" s="474">
        <f t="shared" si="21"/>
        <v>0</v>
      </c>
      <c r="Z104" s="475">
        <f t="shared" si="22"/>
        <v>0</v>
      </c>
      <c r="AA104" s="475">
        <v>0</v>
      </c>
      <c r="AB104" s="476">
        <v>0</v>
      </c>
      <c r="AC104" s="38">
        <f t="shared" si="23"/>
        <v>0</v>
      </c>
      <c r="AD104" s="692">
        <f t="shared" si="17"/>
        <v>1182.6300000000001</v>
      </c>
      <c r="AE104" s="692">
        <f t="shared" si="18"/>
        <v>0</v>
      </c>
      <c r="AF104" s="692">
        <f t="shared" si="19"/>
        <v>0</v>
      </c>
      <c r="AG104" s="38"/>
      <c r="AH104" s="692">
        <f t="shared" si="24"/>
        <v>0</v>
      </c>
      <c r="AI104" s="692">
        <f t="shared" si="25"/>
        <v>0</v>
      </c>
      <c r="AJ104" s="692">
        <f t="shared" si="26"/>
        <v>0</v>
      </c>
      <c r="AL104" s="38">
        <f t="shared" si="27"/>
        <v>1182.6300000000001</v>
      </c>
      <c r="AM104" s="373" t="s">
        <v>466</v>
      </c>
    </row>
    <row r="105" spans="1:39">
      <c r="A105" s="20"/>
      <c r="B105" s="20" t="s">
        <v>110</v>
      </c>
      <c r="C105" s="667"/>
      <c r="D105" s="373" t="s">
        <v>627</v>
      </c>
      <c r="E105" s="679"/>
      <c r="F105" s="529">
        <f>VLOOKUP(D105,'Oct13 Revenue'!D:V,19,FALSE)</f>
        <v>0</v>
      </c>
      <c r="G105" s="680"/>
      <c r="H105" s="680"/>
      <c r="I105" s="755"/>
      <c r="J105" s="682">
        <f t="shared" si="16"/>
        <v>0</v>
      </c>
      <c r="K105" s="683"/>
      <c r="L105" s="684"/>
      <c r="M105" s="753"/>
      <c r="N105" s="683">
        <v>0</v>
      </c>
      <c r="O105" s="686"/>
      <c r="P105" s="683">
        <v>0</v>
      </c>
      <c r="Q105" s="687">
        <f t="shared" si="1"/>
        <v>0</v>
      </c>
      <c r="R105" s="687"/>
      <c r="S105" s="687"/>
      <c r="T105" s="688">
        <v>17</v>
      </c>
      <c r="U105" s="693"/>
      <c r="V105" s="690">
        <f t="shared" si="15"/>
        <v>17</v>
      </c>
      <c r="W105" s="683"/>
      <c r="X105" s="474">
        <f t="shared" si="20"/>
        <v>0</v>
      </c>
      <c r="Y105" s="474">
        <f t="shared" si="21"/>
        <v>0</v>
      </c>
      <c r="Z105" s="475">
        <f t="shared" si="22"/>
        <v>0</v>
      </c>
      <c r="AA105" s="475">
        <v>0</v>
      </c>
      <c r="AB105" s="476">
        <v>0</v>
      </c>
      <c r="AC105" s="38">
        <f t="shared" si="23"/>
        <v>0</v>
      </c>
      <c r="AD105" s="692">
        <f t="shared" si="17"/>
        <v>0</v>
      </c>
      <c r="AE105" s="692">
        <f t="shared" si="18"/>
        <v>0</v>
      </c>
      <c r="AF105" s="692">
        <f t="shared" si="19"/>
        <v>0</v>
      </c>
      <c r="AG105" s="38"/>
      <c r="AH105" s="692">
        <f t="shared" si="24"/>
        <v>0</v>
      </c>
      <c r="AI105" s="692">
        <f t="shared" si="25"/>
        <v>0</v>
      </c>
      <c r="AJ105" s="692">
        <f t="shared" si="26"/>
        <v>0</v>
      </c>
      <c r="AL105" s="38">
        <f t="shared" si="27"/>
        <v>0</v>
      </c>
      <c r="AM105" s="373" t="s">
        <v>627</v>
      </c>
    </row>
    <row r="106" spans="1:39" s="232" customFormat="1" ht="12.75" customHeight="1">
      <c r="A106" s="283"/>
      <c r="B106" s="283" t="s">
        <v>110</v>
      </c>
      <c r="C106" s="667"/>
      <c r="D106" s="123" t="s">
        <v>994</v>
      </c>
      <c r="E106" s="679"/>
      <c r="F106" s="529">
        <f>VLOOKUP(D106,'Oct13 Revenue'!D:V,19,FALSE)</f>
        <v>0</v>
      </c>
      <c r="G106" s="680"/>
      <c r="H106" s="680"/>
      <c r="I106" s="770">
        <v>5637532.0199999996</v>
      </c>
      <c r="J106" s="682">
        <f t="shared" si="16"/>
        <v>5637532.0199999996</v>
      </c>
      <c r="K106" s="683"/>
      <c r="L106" s="684"/>
      <c r="M106" s="753"/>
      <c r="N106" s="683">
        <v>0</v>
      </c>
      <c r="O106" s="686"/>
      <c r="P106" s="683">
        <v>0</v>
      </c>
      <c r="Q106" s="687">
        <f t="shared" si="1"/>
        <v>0</v>
      </c>
      <c r="R106" s="687"/>
      <c r="S106" s="687"/>
      <c r="T106" s="688">
        <v>0</v>
      </c>
      <c r="U106" s="693"/>
      <c r="V106" s="690">
        <f t="shared" si="15"/>
        <v>0</v>
      </c>
      <c r="W106" s="683"/>
      <c r="X106" s="474">
        <f t="shared" si="20"/>
        <v>0</v>
      </c>
      <c r="Y106" s="474">
        <f t="shared" si="21"/>
        <v>0</v>
      </c>
      <c r="Z106" s="475">
        <f t="shared" si="22"/>
        <v>0</v>
      </c>
      <c r="AA106" s="475">
        <v>0</v>
      </c>
      <c r="AB106" s="476">
        <v>0</v>
      </c>
      <c r="AC106" s="38">
        <f t="shared" si="23"/>
        <v>0</v>
      </c>
      <c r="AD106" s="692">
        <f t="shared" si="17"/>
        <v>5637532.0199999996</v>
      </c>
      <c r="AE106" s="692">
        <f t="shared" si="18"/>
        <v>0</v>
      </c>
      <c r="AF106" s="692">
        <f t="shared" si="19"/>
        <v>0</v>
      </c>
      <c r="AG106" s="38"/>
      <c r="AH106" s="692">
        <f t="shared" si="24"/>
        <v>0</v>
      </c>
      <c r="AI106" s="692">
        <f t="shared" si="25"/>
        <v>0</v>
      </c>
      <c r="AJ106" s="692">
        <f t="shared" si="26"/>
        <v>0</v>
      </c>
      <c r="AL106" s="38">
        <f t="shared" si="27"/>
        <v>5637532.0199999996</v>
      </c>
      <c r="AM106" s="123" t="s">
        <v>994</v>
      </c>
    </row>
    <row r="107" spans="1:39" s="232" customFormat="1" ht="12.75" customHeight="1">
      <c r="A107" s="283"/>
      <c r="B107" s="283" t="s">
        <v>110</v>
      </c>
      <c r="C107" s="667"/>
      <c r="D107" s="123" t="s">
        <v>995</v>
      </c>
      <c r="E107" s="679"/>
      <c r="F107" s="529">
        <f>VLOOKUP(D107,'Oct13 Revenue'!D:V,19,FALSE)</f>
        <v>0</v>
      </c>
      <c r="G107" s="680"/>
      <c r="H107" s="680"/>
      <c r="I107" s="770">
        <v>11419.71</v>
      </c>
      <c r="J107" s="682">
        <f t="shared" si="16"/>
        <v>11419.71</v>
      </c>
      <c r="K107" s="683"/>
      <c r="L107" s="684"/>
      <c r="M107" s="753"/>
      <c r="N107" s="683">
        <v>0</v>
      </c>
      <c r="O107" s="686"/>
      <c r="P107" s="683">
        <v>0</v>
      </c>
      <c r="Q107" s="687">
        <f t="shared" si="1"/>
        <v>0</v>
      </c>
      <c r="R107" s="687"/>
      <c r="S107" s="687"/>
      <c r="T107" s="688">
        <v>0</v>
      </c>
      <c r="U107" s="693"/>
      <c r="V107" s="690">
        <f t="shared" si="15"/>
        <v>0</v>
      </c>
      <c r="W107" s="683"/>
      <c r="X107" s="474">
        <f t="shared" si="20"/>
        <v>0</v>
      </c>
      <c r="Y107" s="474">
        <f t="shared" si="21"/>
        <v>0</v>
      </c>
      <c r="Z107" s="475">
        <f t="shared" si="22"/>
        <v>0</v>
      </c>
      <c r="AA107" s="475">
        <v>0</v>
      </c>
      <c r="AB107" s="476">
        <v>0</v>
      </c>
      <c r="AC107" s="38">
        <f t="shared" si="23"/>
        <v>0</v>
      </c>
      <c r="AD107" s="692">
        <f t="shared" si="17"/>
        <v>11419.71</v>
      </c>
      <c r="AE107" s="692">
        <f t="shared" si="18"/>
        <v>0</v>
      </c>
      <c r="AF107" s="692">
        <f t="shared" si="19"/>
        <v>0</v>
      </c>
      <c r="AG107" s="38"/>
      <c r="AH107" s="692">
        <f t="shared" si="24"/>
        <v>0</v>
      </c>
      <c r="AI107" s="692">
        <f t="shared" si="25"/>
        <v>0</v>
      </c>
      <c r="AJ107" s="692">
        <f t="shared" si="26"/>
        <v>0</v>
      </c>
      <c r="AL107" s="38">
        <f t="shared" si="27"/>
        <v>11419.71</v>
      </c>
      <c r="AM107" s="123" t="s">
        <v>995</v>
      </c>
    </row>
    <row r="108" spans="1:39" s="232" customFormat="1" ht="12.75" customHeight="1">
      <c r="A108" s="283"/>
      <c r="B108" s="283" t="s">
        <v>110</v>
      </c>
      <c r="C108" s="667"/>
      <c r="D108" s="123" t="s">
        <v>993</v>
      </c>
      <c r="E108" s="679"/>
      <c r="F108" s="529">
        <f>VLOOKUP(D108,'Oct13 Revenue'!D:V,19,FALSE)</f>
        <v>0</v>
      </c>
      <c r="G108" s="680"/>
      <c r="H108" s="680"/>
      <c r="I108" s="770">
        <v>3347224.75</v>
      </c>
      <c r="J108" s="682">
        <f t="shared" si="16"/>
        <v>3347224.75</v>
      </c>
      <c r="K108" s="683"/>
      <c r="L108" s="684"/>
      <c r="M108" s="753"/>
      <c r="N108" s="683">
        <v>0</v>
      </c>
      <c r="O108" s="686"/>
      <c r="P108" s="683">
        <v>0</v>
      </c>
      <c r="Q108" s="687">
        <f t="shared" si="1"/>
        <v>0</v>
      </c>
      <c r="R108" s="687"/>
      <c r="S108" s="687"/>
      <c r="T108" s="688">
        <v>0</v>
      </c>
      <c r="U108" s="693"/>
      <c r="V108" s="690">
        <f t="shared" si="15"/>
        <v>0</v>
      </c>
      <c r="W108" s="683"/>
      <c r="X108" s="474">
        <f t="shared" si="20"/>
        <v>0</v>
      </c>
      <c r="Y108" s="474">
        <f t="shared" si="21"/>
        <v>0</v>
      </c>
      <c r="Z108" s="475">
        <f t="shared" si="22"/>
        <v>0</v>
      </c>
      <c r="AA108" s="475">
        <v>0</v>
      </c>
      <c r="AB108" s="476">
        <v>0</v>
      </c>
      <c r="AC108" s="38">
        <f t="shared" si="23"/>
        <v>0</v>
      </c>
      <c r="AD108" s="692">
        <f t="shared" si="17"/>
        <v>3347224.75</v>
      </c>
      <c r="AE108" s="692">
        <f t="shared" si="18"/>
        <v>0</v>
      </c>
      <c r="AF108" s="692">
        <f t="shared" si="19"/>
        <v>0</v>
      </c>
      <c r="AG108" s="38"/>
      <c r="AH108" s="692">
        <f t="shared" si="24"/>
        <v>0</v>
      </c>
      <c r="AI108" s="692">
        <f t="shared" si="25"/>
        <v>0</v>
      </c>
      <c r="AJ108" s="692">
        <f t="shared" si="26"/>
        <v>0</v>
      </c>
      <c r="AL108" s="38">
        <f t="shared" si="27"/>
        <v>3347224.75</v>
      </c>
      <c r="AM108" s="123" t="s">
        <v>993</v>
      </c>
    </row>
    <row r="109" spans="1:39" s="232" customFormat="1" ht="12.75" customHeight="1">
      <c r="A109" s="283"/>
      <c r="B109" s="283" t="s">
        <v>110</v>
      </c>
      <c r="C109" s="667"/>
      <c r="D109" s="123" t="s">
        <v>996</v>
      </c>
      <c r="E109" s="679"/>
      <c r="F109" s="529">
        <f>VLOOKUP(D109,'Oct13 Revenue'!D:V,19,FALSE)</f>
        <v>0</v>
      </c>
      <c r="G109" s="680"/>
      <c r="H109" s="680"/>
      <c r="I109" s="770">
        <v>163747.70000000001</v>
      </c>
      <c r="J109" s="682">
        <f t="shared" si="16"/>
        <v>163747.70000000001</v>
      </c>
      <c r="K109" s="683"/>
      <c r="L109" s="684"/>
      <c r="M109" s="753"/>
      <c r="N109" s="683">
        <v>0</v>
      </c>
      <c r="O109" s="686"/>
      <c r="P109" s="683">
        <v>0</v>
      </c>
      <c r="Q109" s="687">
        <f t="shared" si="1"/>
        <v>0</v>
      </c>
      <c r="R109" s="687"/>
      <c r="S109" s="687"/>
      <c r="T109" s="688">
        <v>0</v>
      </c>
      <c r="U109" s="693"/>
      <c r="V109" s="690">
        <f t="shared" si="15"/>
        <v>0</v>
      </c>
      <c r="W109" s="683"/>
      <c r="X109" s="474">
        <f t="shared" si="20"/>
        <v>0</v>
      </c>
      <c r="Y109" s="474">
        <f t="shared" si="21"/>
        <v>0</v>
      </c>
      <c r="Z109" s="475">
        <f t="shared" si="22"/>
        <v>0</v>
      </c>
      <c r="AA109" s="475">
        <v>0</v>
      </c>
      <c r="AB109" s="476">
        <v>0</v>
      </c>
      <c r="AC109" s="38">
        <f t="shared" si="23"/>
        <v>0</v>
      </c>
      <c r="AD109" s="692">
        <f t="shared" si="17"/>
        <v>163747.70000000001</v>
      </c>
      <c r="AE109" s="692">
        <f t="shared" si="18"/>
        <v>0</v>
      </c>
      <c r="AF109" s="692">
        <f t="shared" si="19"/>
        <v>0</v>
      </c>
      <c r="AG109" s="38"/>
      <c r="AH109" s="692">
        <f t="shared" si="24"/>
        <v>0</v>
      </c>
      <c r="AI109" s="692">
        <f t="shared" si="25"/>
        <v>0</v>
      </c>
      <c r="AJ109" s="692">
        <f t="shared" si="26"/>
        <v>0</v>
      </c>
      <c r="AL109" s="38">
        <f t="shared" si="27"/>
        <v>163747.70000000001</v>
      </c>
      <c r="AM109" s="123" t="s">
        <v>996</v>
      </c>
    </row>
    <row r="110" spans="1:39" s="232" customFormat="1" ht="12.75" customHeight="1">
      <c r="A110" s="283"/>
      <c r="B110" s="283" t="s">
        <v>110</v>
      </c>
      <c r="C110" s="667"/>
      <c r="D110" s="123" t="s">
        <v>997</v>
      </c>
      <c r="E110" s="679"/>
      <c r="F110" s="529">
        <f>VLOOKUP(D110,'Oct13 Revenue'!D:V,19,FALSE)</f>
        <v>0</v>
      </c>
      <c r="G110" s="680"/>
      <c r="H110" s="680"/>
      <c r="I110" s="770">
        <v>23975.48</v>
      </c>
      <c r="J110" s="682">
        <f t="shared" si="16"/>
        <v>23975.48</v>
      </c>
      <c r="K110" s="683"/>
      <c r="L110" s="684"/>
      <c r="M110" s="753"/>
      <c r="N110" s="683">
        <v>0</v>
      </c>
      <c r="O110" s="686"/>
      <c r="P110" s="683">
        <v>0</v>
      </c>
      <c r="Q110" s="687">
        <f t="shared" si="1"/>
        <v>0</v>
      </c>
      <c r="R110" s="687"/>
      <c r="S110" s="687"/>
      <c r="T110" s="688">
        <v>0</v>
      </c>
      <c r="U110" s="693"/>
      <c r="V110" s="690">
        <f t="shared" si="15"/>
        <v>0</v>
      </c>
      <c r="W110" s="683"/>
      <c r="X110" s="474">
        <f t="shared" si="20"/>
        <v>0</v>
      </c>
      <c r="Y110" s="474">
        <f t="shared" si="21"/>
        <v>0</v>
      </c>
      <c r="Z110" s="475">
        <f t="shared" si="22"/>
        <v>0</v>
      </c>
      <c r="AA110" s="475">
        <v>0</v>
      </c>
      <c r="AB110" s="476">
        <v>0</v>
      </c>
      <c r="AC110" s="38">
        <f t="shared" si="23"/>
        <v>0</v>
      </c>
      <c r="AD110" s="692">
        <f t="shared" si="17"/>
        <v>23975.48</v>
      </c>
      <c r="AE110" s="692">
        <f t="shared" si="18"/>
        <v>0</v>
      </c>
      <c r="AF110" s="692">
        <f t="shared" si="19"/>
        <v>0</v>
      </c>
      <c r="AG110" s="38"/>
      <c r="AH110" s="692">
        <f t="shared" si="24"/>
        <v>0</v>
      </c>
      <c r="AI110" s="692">
        <f t="shared" si="25"/>
        <v>0</v>
      </c>
      <c r="AJ110" s="692">
        <f t="shared" si="26"/>
        <v>0</v>
      </c>
      <c r="AL110" s="38">
        <f t="shared" si="27"/>
        <v>23975.48</v>
      </c>
      <c r="AM110" s="123" t="s">
        <v>997</v>
      </c>
    </row>
    <row r="111" spans="1:39" s="232" customFormat="1" ht="12.75" customHeight="1">
      <c r="A111" s="283"/>
      <c r="B111" s="283" t="s">
        <v>110</v>
      </c>
      <c r="C111" s="667"/>
      <c r="D111" s="123" t="s">
        <v>998</v>
      </c>
      <c r="E111" s="679"/>
      <c r="F111" s="529">
        <f>VLOOKUP(D111,'Oct13 Revenue'!D:V,19,FALSE)</f>
        <v>0</v>
      </c>
      <c r="G111" s="680"/>
      <c r="H111" s="680"/>
      <c r="I111" s="770">
        <v>26754.29</v>
      </c>
      <c r="J111" s="682">
        <f t="shared" si="16"/>
        <v>26754.29</v>
      </c>
      <c r="K111" s="683"/>
      <c r="L111" s="684"/>
      <c r="M111" s="753"/>
      <c r="N111" s="683">
        <v>0</v>
      </c>
      <c r="O111" s="686"/>
      <c r="P111" s="683">
        <v>0</v>
      </c>
      <c r="Q111" s="687">
        <f t="shared" si="1"/>
        <v>0</v>
      </c>
      <c r="R111" s="687"/>
      <c r="S111" s="687"/>
      <c r="T111" s="688">
        <v>0</v>
      </c>
      <c r="U111" s="693"/>
      <c r="V111" s="690">
        <f t="shared" si="15"/>
        <v>0</v>
      </c>
      <c r="W111" s="683"/>
      <c r="X111" s="474">
        <f t="shared" si="20"/>
        <v>0</v>
      </c>
      <c r="Y111" s="474">
        <f t="shared" si="21"/>
        <v>0</v>
      </c>
      <c r="Z111" s="475">
        <f t="shared" si="22"/>
        <v>0</v>
      </c>
      <c r="AA111" s="475">
        <v>0</v>
      </c>
      <c r="AB111" s="476">
        <v>0</v>
      </c>
      <c r="AC111" s="38">
        <f t="shared" si="23"/>
        <v>0</v>
      </c>
      <c r="AD111" s="692">
        <f t="shared" si="17"/>
        <v>26754.29</v>
      </c>
      <c r="AE111" s="692">
        <f t="shared" si="18"/>
        <v>0</v>
      </c>
      <c r="AF111" s="692">
        <f t="shared" si="19"/>
        <v>0</v>
      </c>
      <c r="AG111" s="38"/>
      <c r="AH111" s="692">
        <f t="shared" si="24"/>
        <v>0</v>
      </c>
      <c r="AI111" s="692">
        <f t="shared" si="25"/>
        <v>0</v>
      </c>
      <c r="AJ111" s="692">
        <f t="shared" si="26"/>
        <v>0</v>
      </c>
      <c r="AL111" s="38">
        <f t="shared" si="27"/>
        <v>26754.29</v>
      </c>
      <c r="AM111" s="123" t="s">
        <v>998</v>
      </c>
    </row>
    <row r="112" spans="1:39" s="232" customFormat="1" ht="12" customHeight="1">
      <c r="A112" s="283"/>
      <c r="B112" s="283" t="s">
        <v>110</v>
      </c>
      <c r="C112" s="667"/>
      <c r="D112" s="123" t="s">
        <v>999</v>
      </c>
      <c r="E112" s="679"/>
      <c r="F112" s="529">
        <f>VLOOKUP(D112,'Oct13 Revenue'!D:V,19,FALSE)</f>
        <v>0</v>
      </c>
      <c r="G112" s="680"/>
      <c r="H112" s="680"/>
      <c r="I112" s="770">
        <v>13417.36</v>
      </c>
      <c r="J112" s="682">
        <f t="shared" si="16"/>
        <v>13417.36</v>
      </c>
      <c r="K112" s="683"/>
      <c r="L112" s="684"/>
      <c r="M112" s="753"/>
      <c r="N112" s="683">
        <v>0</v>
      </c>
      <c r="O112" s="686"/>
      <c r="P112" s="683">
        <v>0</v>
      </c>
      <c r="Q112" s="687">
        <f t="shared" si="1"/>
        <v>0</v>
      </c>
      <c r="R112" s="687"/>
      <c r="S112" s="687"/>
      <c r="T112" s="688">
        <v>0</v>
      </c>
      <c r="U112" s="693"/>
      <c r="V112" s="690">
        <f t="shared" si="15"/>
        <v>0</v>
      </c>
      <c r="W112" s="683"/>
      <c r="X112" s="474">
        <f t="shared" si="20"/>
        <v>0</v>
      </c>
      <c r="Y112" s="474">
        <f t="shared" si="21"/>
        <v>0</v>
      </c>
      <c r="Z112" s="475">
        <f t="shared" si="22"/>
        <v>0</v>
      </c>
      <c r="AA112" s="475">
        <v>0</v>
      </c>
      <c r="AB112" s="476">
        <v>0</v>
      </c>
      <c r="AC112" s="38">
        <f t="shared" si="23"/>
        <v>0</v>
      </c>
      <c r="AD112" s="692">
        <f t="shared" si="17"/>
        <v>13417.36</v>
      </c>
      <c r="AE112" s="692">
        <f t="shared" si="18"/>
        <v>0</v>
      </c>
      <c r="AF112" s="692">
        <f t="shared" si="19"/>
        <v>0</v>
      </c>
      <c r="AG112" s="38"/>
      <c r="AH112" s="692">
        <f t="shared" si="24"/>
        <v>0</v>
      </c>
      <c r="AI112" s="692">
        <f t="shared" si="25"/>
        <v>0</v>
      </c>
      <c r="AJ112" s="692">
        <f t="shared" si="26"/>
        <v>0</v>
      </c>
      <c r="AL112" s="38">
        <f t="shared" si="27"/>
        <v>13417.36</v>
      </c>
      <c r="AM112" s="123" t="s">
        <v>999</v>
      </c>
    </row>
    <row r="113" spans="1:39" s="232" customFormat="1" ht="12" customHeight="1">
      <c r="A113" s="283"/>
      <c r="B113" s="283" t="s">
        <v>110</v>
      </c>
      <c r="C113" s="667"/>
      <c r="D113" s="123" t="s">
        <v>1000</v>
      </c>
      <c r="E113" s="679"/>
      <c r="F113" s="529">
        <f>VLOOKUP(D113,'Oct13 Revenue'!D:V,19,FALSE)</f>
        <v>0</v>
      </c>
      <c r="G113" s="680"/>
      <c r="H113" s="680"/>
      <c r="I113" s="770">
        <v>8007.09</v>
      </c>
      <c r="J113" s="682">
        <f t="shared" si="16"/>
        <v>8007.09</v>
      </c>
      <c r="K113" s="683"/>
      <c r="L113" s="684"/>
      <c r="M113" s="753"/>
      <c r="N113" s="683">
        <v>0</v>
      </c>
      <c r="O113" s="686"/>
      <c r="P113" s="683">
        <v>0</v>
      </c>
      <c r="Q113" s="687">
        <f t="shared" si="1"/>
        <v>0</v>
      </c>
      <c r="R113" s="687"/>
      <c r="S113" s="687"/>
      <c r="T113" s="688">
        <v>0</v>
      </c>
      <c r="U113" s="693"/>
      <c r="V113" s="690">
        <f t="shared" si="15"/>
        <v>0</v>
      </c>
      <c r="W113" s="683"/>
      <c r="X113" s="474">
        <f t="shared" si="20"/>
        <v>0</v>
      </c>
      <c r="Y113" s="474">
        <f t="shared" si="21"/>
        <v>0</v>
      </c>
      <c r="Z113" s="475">
        <f t="shared" si="22"/>
        <v>0</v>
      </c>
      <c r="AA113" s="475">
        <v>0</v>
      </c>
      <c r="AB113" s="476">
        <v>0</v>
      </c>
      <c r="AC113" s="38">
        <f t="shared" si="23"/>
        <v>0</v>
      </c>
      <c r="AD113" s="692">
        <f t="shared" si="17"/>
        <v>8007.09</v>
      </c>
      <c r="AE113" s="692">
        <f t="shared" si="18"/>
        <v>0</v>
      </c>
      <c r="AF113" s="692">
        <f t="shared" si="19"/>
        <v>0</v>
      </c>
      <c r="AG113" s="38"/>
      <c r="AH113" s="692">
        <f t="shared" si="24"/>
        <v>0</v>
      </c>
      <c r="AI113" s="692">
        <f t="shared" si="25"/>
        <v>0</v>
      </c>
      <c r="AJ113" s="692">
        <f t="shared" si="26"/>
        <v>0</v>
      </c>
      <c r="AL113" s="38">
        <f t="shared" si="27"/>
        <v>8007.09</v>
      </c>
      <c r="AM113" s="123" t="s">
        <v>1000</v>
      </c>
    </row>
    <row r="114" spans="1:39" s="232" customFormat="1" ht="12" customHeight="1">
      <c r="A114" s="283"/>
      <c r="B114" s="283" t="s">
        <v>110</v>
      </c>
      <c r="C114" s="667"/>
      <c r="D114" s="123" t="s">
        <v>1001</v>
      </c>
      <c r="E114" s="679"/>
      <c r="F114" s="529">
        <f>VLOOKUP(D114,'Oct13 Revenue'!D:V,19,FALSE)</f>
        <v>0</v>
      </c>
      <c r="G114" s="680"/>
      <c r="H114" s="680"/>
      <c r="I114" s="755"/>
      <c r="J114" s="682">
        <f t="shared" si="16"/>
        <v>0</v>
      </c>
      <c r="K114" s="683"/>
      <c r="L114" s="684"/>
      <c r="M114" s="753"/>
      <c r="N114" s="683">
        <v>0</v>
      </c>
      <c r="O114" s="686"/>
      <c r="P114" s="683">
        <v>0</v>
      </c>
      <c r="Q114" s="687">
        <f t="shared" si="1"/>
        <v>0</v>
      </c>
      <c r="R114" s="687"/>
      <c r="S114" s="687"/>
      <c r="T114" s="688">
        <v>0</v>
      </c>
      <c r="U114" s="693"/>
      <c r="V114" s="690">
        <f t="shared" si="15"/>
        <v>0</v>
      </c>
      <c r="W114" s="683"/>
      <c r="X114" s="474">
        <f t="shared" si="20"/>
        <v>0</v>
      </c>
      <c r="Y114" s="474">
        <f t="shared" si="21"/>
        <v>0</v>
      </c>
      <c r="Z114" s="475">
        <f t="shared" si="22"/>
        <v>0</v>
      </c>
      <c r="AA114" s="475">
        <v>0</v>
      </c>
      <c r="AB114" s="476">
        <v>0</v>
      </c>
      <c r="AC114" s="38">
        <f t="shared" si="23"/>
        <v>0</v>
      </c>
      <c r="AD114" s="692">
        <f t="shared" si="17"/>
        <v>0</v>
      </c>
      <c r="AE114" s="692">
        <f t="shared" si="18"/>
        <v>0</v>
      </c>
      <c r="AF114" s="692">
        <f t="shared" si="19"/>
        <v>0</v>
      </c>
      <c r="AG114" s="38"/>
      <c r="AH114" s="692">
        <f t="shared" si="24"/>
        <v>0</v>
      </c>
      <c r="AI114" s="692">
        <f t="shared" si="25"/>
        <v>0</v>
      </c>
      <c r="AJ114" s="692">
        <f t="shared" si="26"/>
        <v>0</v>
      </c>
      <c r="AL114" s="38">
        <f t="shared" si="27"/>
        <v>0</v>
      </c>
      <c r="AM114" s="123" t="s">
        <v>1001</v>
      </c>
    </row>
    <row r="115" spans="1:39" s="24" customFormat="1" ht="12" customHeight="1">
      <c r="A115" s="32"/>
      <c r="B115" s="32" t="s">
        <v>110</v>
      </c>
      <c r="C115" s="667"/>
      <c r="D115" s="68" t="s">
        <v>588</v>
      </c>
      <c r="E115" s="679"/>
      <c r="F115" s="529">
        <f>VLOOKUP(D115,'Oct13 Revenue'!D:V,19,FALSE)</f>
        <v>0</v>
      </c>
      <c r="G115" s="680"/>
      <c r="H115" s="680"/>
      <c r="I115" s="755"/>
      <c r="J115" s="682">
        <f t="shared" si="16"/>
        <v>0</v>
      </c>
      <c r="K115" s="683"/>
      <c r="L115" s="684"/>
      <c r="M115" s="753"/>
      <c r="N115" s="698"/>
      <c r="O115" s="699"/>
      <c r="P115" s="698"/>
      <c r="Q115" s="687">
        <f t="shared" si="1"/>
        <v>0</v>
      </c>
      <c r="R115" s="687"/>
      <c r="S115" s="687"/>
      <c r="T115" s="688">
        <v>0</v>
      </c>
      <c r="U115" s="693"/>
      <c r="V115" s="690">
        <f t="shared" si="15"/>
        <v>0</v>
      </c>
      <c r="W115" s="683"/>
      <c r="X115" s="474">
        <f t="shared" si="20"/>
        <v>0</v>
      </c>
      <c r="Y115" s="474">
        <f t="shared" si="21"/>
        <v>0</v>
      </c>
      <c r="Z115" s="475">
        <f t="shared" si="22"/>
        <v>0</v>
      </c>
      <c r="AA115" s="475">
        <v>0</v>
      </c>
      <c r="AB115" s="476">
        <v>0</v>
      </c>
      <c r="AC115" s="38">
        <f t="shared" si="23"/>
        <v>0</v>
      </c>
      <c r="AD115" s="692">
        <f t="shared" si="17"/>
        <v>0</v>
      </c>
      <c r="AE115" s="692">
        <f t="shared" si="18"/>
        <v>0</v>
      </c>
      <c r="AF115" s="692">
        <f t="shared" si="19"/>
        <v>0</v>
      </c>
      <c r="AG115" s="38"/>
      <c r="AH115" s="692">
        <f t="shared" si="24"/>
        <v>0</v>
      </c>
      <c r="AI115" s="692">
        <f t="shared" si="25"/>
        <v>0</v>
      </c>
      <c r="AJ115" s="692">
        <f t="shared" si="26"/>
        <v>0</v>
      </c>
      <c r="AL115" s="38">
        <f t="shared" si="27"/>
        <v>0</v>
      </c>
      <c r="AM115" s="68" t="s">
        <v>588</v>
      </c>
    </row>
    <row r="116" spans="1:39" s="24" customFormat="1" ht="12" customHeight="1">
      <c r="A116" s="32"/>
      <c r="B116" s="32" t="s">
        <v>110</v>
      </c>
      <c r="C116" s="667"/>
      <c r="D116" s="68" t="s">
        <v>935</v>
      </c>
      <c r="E116" s="679"/>
      <c r="F116" s="529">
        <f>VLOOKUP(D116,'Oct13 Revenue'!D:V,19,FALSE)</f>
        <v>-10000</v>
      </c>
      <c r="G116" s="680"/>
      <c r="H116" s="680"/>
      <c r="I116" s="755"/>
      <c r="J116" s="682">
        <f t="shared" si="16"/>
        <v>-10000</v>
      </c>
      <c r="K116" s="683"/>
      <c r="L116" s="684"/>
      <c r="M116" s="753">
        <v>15000</v>
      </c>
      <c r="N116" s="698"/>
      <c r="O116" s="699"/>
      <c r="P116" s="698"/>
      <c r="Q116" s="687">
        <f t="shared" si="1"/>
        <v>15000</v>
      </c>
      <c r="R116" s="687"/>
      <c r="S116" s="687"/>
      <c r="T116" s="688">
        <v>0</v>
      </c>
      <c r="U116" s="693"/>
      <c r="V116" s="690">
        <f t="shared" si="15"/>
        <v>-15000</v>
      </c>
      <c r="W116" s="683"/>
      <c r="X116" s="474">
        <f t="shared" si="20"/>
        <v>15000</v>
      </c>
      <c r="Y116" s="474">
        <f t="shared" si="21"/>
        <v>0</v>
      </c>
      <c r="Z116" s="475">
        <f t="shared" si="22"/>
        <v>0</v>
      </c>
      <c r="AA116" s="475">
        <v>0</v>
      </c>
      <c r="AB116" s="476">
        <v>0</v>
      </c>
      <c r="AC116" s="38">
        <f t="shared" si="23"/>
        <v>0</v>
      </c>
      <c r="AD116" s="692">
        <f t="shared" si="17"/>
        <v>-10000</v>
      </c>
      <c r="AE116" s="692">
        <f t="shared" si="18"/>
        <v>0</v>
      </c>
      <c r="AF116" s="692">
        <f t="shared" si="19"/>
        <v>0</v>
      </c>
      <c r="AG116" s="38"/>
      <c r="AH116" s="692">
        <f t="shared" si="24"/>
        <v>15000</v>
      </c>
      <c r="AI116" s="692">
        <f t="shared" si="25"/>
        <v>0</v>
      </c>
      <c r="AJ116" s="692">
        <f t="shared" si="26"/>
        <v>0</v>
      </c>
      <c r="AL116" s="38">
        <f t="shared" si="27"/>
        <v>5000</v>
      </c>
      <c r="AM116" s="68" t="s">
        <v>935</v>
      </c>
    </row>
    <row r="117" spans="1:39" ht="12" customHeight="1">
      <c r="A117" s="21"/>
      <c r="B117" s="21" t="s">
        <v>109</v>
      </c>
      <c r="C117" s="666" t="s">
        <v>548</v>
      </c>
      <c r="D117" s="68" t="s">
        <v>461</v>
      </c>
      <c r="E117" s="679"/>
      <c r="F117" s="529">
        <f>VLOOKUP(D117,'Oct13 Revenue'!D:V,19,FALSE)</f>
        <v>1956.56</v>
      </c>
      <c r="G117" s="680"/>
      <c r="H117" s="680"/>
      <c r="I117" s="755"/>
      <c r="J117" s="682">
        <f t="shared" si="16"/>
        <v>1956.56</v>
      </c>
      <c r="K117" s="683"/>
      <c r="L117" s="684"/>
      <c r="M117" s="753"/>
      <c r="N117" s="683">
        <v>0</v>
      </c>
      <c r="O117" s="686"/>
      <c r="P117" s="683">
        <v>0</v>
      </c>
      <c r="Q117" s="687">
        <f t="shared" si="1"/>
        <v>0</v>
      </c>
      <c r="R117" s="687"/>
      <c r="S117" s="687"/>
      <c r="T117" s="688">
        <v>800.39</v>
      </c>
      <c r="U117" s="693"/>
      <c r="V117" s="690">
        <f t="shared" si="15"/>
        <v>800.39</v>
      </c>
      <c r="W117" s="683"/>
      <c r="X117" s="474">
        <f t="shared" si="20"/>
        <v>0</v>
      </c>
      <c r="Y117" s="474">
        <f t="shared" si="21"/>
        <v>0</v>
      </c>
      <c r="Z117" s="475">
        <f t="shared" si="22"/>
        <v>0</v>
      </c>
      <c r="AA117" s="475">
        <v>0</v>
      </c>
      <c r="AB117" s="476">
        <v>0</v>
      </c>
      <c r="AC117" s="38">
        <f t="shared" si="23"/>
        <v>0</v>
      </c>
      <c r="AD117" s="692">
        <f t="shared" si="17"/>
        <v>0</v>
      </c>
      <c r="AE117" s="692">
        <f t="shared" si="18"/>
        <v>1956.56</v>
      </c>
      <c r="AF117" s="692">
        <f t="shared" si="19"/>
        <v>0</v>
      </c>
      <c r="AG117" s="38"/>
      <c r="AH117" s="692">
        <f t="shared" si="24"/>
        <v>0</v>
      </c>
      <c r="AI117" s="692">
        <f t="shared" si="25"/>
        <v>0</v>
      </c>
      <c r="AJ117" s="692">
        <f t="shared" si="26"/>
        <v>0</v>
      </c>
      <c r="AL117" s="38">
        <f t="shared" si="27"/>
        <v>1956.56</v>
      </c>
      <c r="AM117" s="68" t="s">
        <v>461</v>
      </c>
    </row>
    <row r="118" spans="1:39">
      <c r="A118" s="20"/>
      <c r="B118" s="20" t="s">
        <v>109</v>
      </c>
      <c r="C118" s="667" t="s">
        <v>549</v>
      </c>
      <c r="D118" s="68" t="s">
        <v>22</v>
      </c>
      <c r="E118" s="679"/>
      <c r="F118" s="529">
        <f>VLOOKUP(D118,'Oct13 Revenue'!D:V,19,FALSE)</f>
        <v>0</v>
      </c>
      <c r="G118" s="680"/>
      <c r="H118" s="680"/>
      <c r="I118" s="755"/>
      <c r="J118" s="682">
        <f t="shared" si="16"/>
        <v>0</v>
      </c>
      <c r="K118" s="683"/>
      <c r="L118" s="684"/>
      <c r="M118" s="753"/>
      <c r="N118" s="683">
        <v>0</v>
      </c>
      <c r="O118" s="686"/>
      <c r="P118" s="683">
        <v>0</v>
      </c>
      <c r="Q118" s="687">
        <f t="shared" si="1"/>
        <v>0</v>
      </c>
      <c r="R118" s="687"/>
      <c r="S118" s="687"/>
      <c r="T118" s="688">
        <v>0</v>
      </c>
      <c r="U118" s="693"/>
      <c r="V118" s="690">
        <f t="shared" si="15"/>
        <v>0</v>
      </c>
      <c r="W118" s="683"/>
      <c r="X118" s="474">
        <f t="shared" si="20"/>
        <v>0</v>
      </c>
      <c r="Y118" s="474">
        <f t="shared" si="21"/>
        <v>0</v>
      </c>
      <c r="Z118" s="475">
        <f t="shared" si="22"/>
        <v>0</v>
      </c>
      <c r="AA118" s="475">
        <v>0</v>
      </c>
      <c r="AB118" s="476">
        <v>0</v>
      </c>
      <c r="AC118" s="38">
        <f t="shared" si="23"/>
        <v>0</v>
      </c>
      <c r="AD118" s="692">
        <f t="shared" si="17"/>
        <v>0</v>
      </c>
      <c r="AE118" s="692">
        <f t="shared" si="18"/>
        <v>0</v>
      </c>
      <c r="AF118" s="692">
        <f t="shared" si="19"/>
        <v>0</v>
      </c>
      <c r="AG118" s="38"/>
      <c r="AH118" s="692">
        <f t="shared" si="24"/>
        <v>0</v>
      </c>
      <c r="AI118" s="692">
        <f t="shared" si="25"/>
        <v>0</v>
      </c>
      <c r="AJ118" s="692">
        <f t="shared" si="26"/>
        <v>0</v>
      </c>
      <c r="AL118" s="38">
        <f t="shared" si="27"/>
        <v>0</v>
      </c>
      <c r="AM118" s="68" t="s">
        <v>22</v>
      </c>
    </row>
    <row r="119" spans="1:39">
      <c r="A119" s="20"/>
      <c r="B119" s="20" t="s">
        <v>110</v>
      </c>
      <c r="C119" s="667"/>
      <c r="D119" s="68" t="s">
        <v>24</v>
      </c>
      <c r="E119" s="679">
        <v>10710.86</v>
      </c>
      <c r="F119" s="529">
        <f>VLOOKUP(D119,'Oct13 Revenue'!D:V,19,FALSE)</f>
        <v>2661.08</v>
      </c>
      <c r="G119" s="680"/>
      <c r="H119" s="680"/>
      <c r="I119" s="770">
        <v>10764.87</v>
      </c>
      <c r="J119" s="682">
        <f t="shared" si="16"/>
        <v>24136.81</v>
      </c>
      <c r="K119" s="683"/>
      <c r="L119" s="684"/>
      <c r="M119" s="753"/>
      <c r="N119" s="683">
        <v>0</v>
      </c>
      <c r="O119" s="686"/>
      <c r="P119" s="683">
        <v>0</v>
      </c>
      <c r="Q119" s="687">
        <f t="shared" si="1"/>
        <v>0</v>
      </c>
      <c r="R119" s="687"/>
      <c r="S119" s="687"/>
      <c r="T119" s="688">
        <v>0</v>
      </c>
      <c r="U119" s="693"/>
      <c r="V119" s="690">
        <f t="shared" si="15"/>
        <v>0</v>
      </c>
      <c r="W119" s="683"/>
      <c r="X119" s="474">
        <f t="shared" si="20"/>
        <v>0</v>
      </c>
      <c r="Y119" s="474">
        <f t="shared" si="21"/>
        <v>0</v>
      </c>
      <c r="Z119" s="475">
        <f t="shared" si="22"/>
        <v>0</v>
      </c>
      <c r="AA119" s="475">
        <v>0</v>
      </c>
      <c r="AB119" s="476">
        <v>0</v>
      </c>
      <c r="AC119" s="38">
        <f t="shared" si="23"/>
        <v>0</v>
      </c>
      <c r="AD119" s="692">
        <f t="shared" si="17"/>
        <v>24136.81</v>
      </c>
      <c r="AE119" s="692">
        <f t="shared" si="18"/>
        <v>0</v>
      </c>
      <c r="AF119" s="692">
        <f t="shared" si="19"/>
        <v>0</v>
      </c>
      <c r="AG119" s="38"/>
      <c r="AH119" s="692">
        <f t="shared" si="24"/>
        <v>0</v>
      </c>
      <c r="AI119" s="692">
        <f t="shared" si="25"/>
        <v>0</v>
      </c>
      <c r="AJ119" s="692">
        <f t="shared" si="26"/>
        <v>0</v>
      </c>
      <c r="AL119" s="38">
        <f t="shared" si="27"/>
        <v>24136.81</v>
      </c>
      <c r="AM119" s="68" t="s">
        <v>24</v>
      </c>
    </row>
    <row r="120" spans="1:39">
      <c r="A120" s="21"/>
      <c r="B120" s="21" t="s">
        <v>110</v>
      </c>
      <c r="C120" s="666"/>
      <c r="D120" s="68" t="s">
        <v>1019</v>
      </c>
      <c r="E120" s="679"/>
      <c r="F120" s="529">
        <f>VLOOKUP(D120,'Oct13 Revenue'!D:V,19,FALSE)</f>
        <v>0</v>
      </c>
      <c r="G120" s="680"/>
      <c r="H120" s="680"/>
      <c r="I120" s="755"/>
      <c r="J120" s="682">
        <f t="shared" si="16"/>
        <v>0</v>
      </c>
      <c r="K120" s="683"/>
      <c r="L120" s="684"/>
      <c r="M120" s="753"/>
      <c r="N120" s="683">
        <v>0</v>
      </c>
      <c r="O120" s="686"/>
      <c r="P120" s="683">
        <v>0</v>
      </c>
      <c r="Q120" s="687">
        <f t="shared" si="1"/>
        <v>0</v>
      </c>
      <c r="R120" s="687"/>
      <c r="S120" s="687"/>
      <c r="T120" s="688">
        <v>0</v>
      </c>
      <c r="U120" s="693"/>
      <c r="V120" s="690">
        <f t="shared" si="15"/>
        <v>0</v>
      </c>
      <c r="W120" s="683"/>
      <c r="X120" s="474">
        <f t="shared" si="20"/>
        <v>0</v>
      </c>
      <c r="Y120" s="474">
        <f t="shared" si="21"/>
        <v>0</v>
      </c>
      <c r="Z120" s="475">
        <f t="shared" si="22"/>
        <v>0</v>
      </c>
      <c r="AA120" s="475">
        <v>0</v>
      </c>
      <c r="AB120" s="476">
        <v>0</v>
      </c>
      <c r="AC120" s="38">
        <f t="shared" si="23"/>
        <v>0</v>
      </c>
      <c r="AD120" s="692">
        <f t="shared" si="17"/>
        <v>0</v>
      </c>
      <c r="AE120" s="692">
        <f t="shared" si="18"/>
        <v>0</v>
      </c>
      <c r="AF120" s="692">
        <f t="shared" si="19"/>
        <v>0</v>
      </c>
      <c r="AG120" s="38"/>
      <c r="AH120" s="692">
        <f t="shared" si="24"/>
        <v>0</v>
      </c>
      <c r="AI120" s="692">
        <f t="shared" si="25"/>
        <v>0</v>
      </c>
      <c r="AJ120" s="692">
        <f t="shared" si="26"/>
        <v>0</v>
      </c>
      <c r="AL120" s="38">
        <f t="shared" si="27"/>
        <v>0</v>
      </c>
      <c r="AM120" s="68" t="s">
        <v>1019</v>
      </c>
    </row>
    <row r="121" spans="1:39">
      <c r="A121" s="21"/>
      <c r="B121" s="21" t="s">
        <v>110</v>
      </c>
      <c r="C121" s="666"/>
      <c r="D121" s="68" t="s">
        <v>937</v>
      </c>
      <c r="E121" s="679"/>
      <c r="F121" s="529">
        <f>VLOOKUP(D121,'Oct13 Revenue'!D:V,19,FALSE)</f>
        <v>0</v>
      </c>
      <c r="G121" s="680"/>
      <c r="H121" s="680"/>
      <c r="I121" s="755"/>
      <c r="J121" s="682">
        <f t="shared" si="16"/>
        <v>0</v>
      </c>
      <c r="K121" s="683"/>
      <c r="L121" s="684"/>
      <c r="M121" s="753">
        <v>10000</v>
      </c>
      <c r="N121" s="683">
        <v>0</v>
      </c>
      <c r="O121" s="686"/>
      <c r="P121" s="683">
        <v>0</v>
      </c>
      <c r="Q121" s="687">
        <f t="shared" si="1"/>
        <v>10000</v>
      </c>
      <c r="R121" s="687"/>
      <c r="S121" s="687"/>
      <c r="T121" s="688">
        <v>0</v>
      </c>
      <c r="U121" s="693"/>
      <c r="V121" s="690">
        <f t="shared" si="15"/>
        <v>-10000</v>
      </c>
      <c r="W121" s="683"/>
      <c r="X121" s="474">
        <f t="shared" si="20"/>
        <v>10000</v>
      </c>
      <c r="Y121" s="474">
        <f t="shared" si="21"/>
        <v>0</v>
      </c>
      <c r="Z121" s="475">
        <f t="shared" si="22"/>
        <v>0</v>
      </c>
      <c r="AA121" s="475">
        <v>0</v>
      </c>
      <c r="AB121" s="476">
        <v>0</v>
      </c>
      <c r="AC121" s="38">
        <f t="shared" si="23"/>
        <v>0</v>
      </c>
      <c r="AD121" s="692">
        <f t="shared" si="17"/>
        <v>0</v>
      </c>
      <c r="AE121" s="692">
        <f t="shared" si="18"/>
        <v>0</v>
      </c>
      <c r="AF121" s="692">
        <f t="shared" si="19"/>
        <v>0</v>
      </c>
      <c r="AG121" s="38"/>
      <c r="AH121" s="692">
        <f t="shared" si="24"/>
        <v>10000</v>
      </c>
      <c r="AI121" s="692">
        <f t="shared" si="25"/>
        <v>0</v>
      </c>
      <c r="AJ121" s="692">
        <f t="shared" si="26"/>
        <v>0</v>
      </c>
      <c r="AL121" s="38">
        <f t="shared" si="27"/>
        <v>10000</v>
      </c>
      <c r="AM121" s="68" t="s">
        <v>937</v>
      </c>
    </row>
    <row r="122" spans="1:39">
      <c r="A122" s="21"/>
      <c r="B122" s="21" t="s">
        <v>110</v>
      </c>
      <c r="C122" s="666"/>
      <c r="D122" s="68" t="s">
        <v>967</v>
      </c>
      <c r="E122" s="679"/>
      <c r="F122" s="529">
        <f>VLOOKUP(D122,'Oct13 Revenue'!D:V,19,FALSE)</f>
        <v>-65000</v>
      </c>
      <c r="G122" s="680"/>
      <c r="H122" s="680"/>
      <c r="I122" s="755"/>
      <c r="J122" s="682">
        <f t="shared" si="16"/>
        <v>-65000</v>
      </c>
      <c r="K122" s="683"/>
      <c r="L122" s="684"/>
      <c r="M122" s="753">
        <v>130000</v>
      </c>
      <c r="N122" s="683">
        <v>0</v>
      </c>
      <c r="O122" s="686"/>
      <c r="P122" s="683">
        <v>0</v>
      </c>
      <c r="Q122" s="687">
        <f t="shared" si="1"/>
        <v>130000</v>
      </c>
      <c r="R122" s="687"/>
      <c r="S122" s="687"/>
      <c r="T122" s="688">
        <v>0</v>
      </c>
      <c r="U122" s="693"/>
      <c r="V122" s="690">
        <f t="shared" si="15"/>
        <v>-130000</v>
      </c>
      <c r="W122" s="683"/>
      <c r="X122" s="474">
        <f t="shared" si="20"/>
        <v>130000</v>
      </c>
      <c r="Y122" s="474">
        <f t="shared" si="21"/>
        <v>0</v>
      </c>
      <c r="Z122" s="475">
        <f t="shared" si="22"/>
        <v>0</v>
      </c>
      <c r="AA122" s="475">
        <v>0</v>
      </c>
      <c r="AB122" s="476">
        <v>0</v>
      </c>
      <c r="AC122" s="38">
        <f t="shared" si="23"/>
        <v>0</v>
      </c>
      <c r="AD122" s="692">
        <f t="shared" si="17"/>
        <v>-65000</v>
      </c>
      <c r="AE122" s="692">
        <f t="shared" si="18"/>
        <v>0</v>
      </c>
      <c r="AF122" s="692">
        <f t="shared" si="19"/>
        <v>0</v>
      </c>
      <c r="AG122" s="38"/>
      <c r="AH122" s="692">
        <f t="shared" si="24"/>
        <v>130000</v>
      </c>
      <c r="AI122" s="692">
        <f t="shared" si="25"/>
        <v>0</v>
      </c>
      <c r="AJ122" s="692">
        <f t="shared" si="26"/>
        <v>0</v>
      </c>
      <c r="AL122" s="38">
        <f t="shared" si="27"/>
        <v>65000</v>
      </c>
      <c r="AM122" s="68" t="s">
        <v>967</v>
      </c>
    </row>
    <row r="123" spans="1:39">
      <c r="A123" s="21"/>
      <c r="B123" s="21" t="s">
        <v>110</v>
      </c>
      <c r="C123" s="666"/>
      <c r="D123" s="68" t="s">
        <v>1002</v>
      </c>
      <c r="E123" s="679"/>
      <c r="F123" s="529">
        <f>VLOOKUP(D123,'Oct13 Revenue'!D:V,19,FALSE)</f>
        <v>0</v>
      </c>
      <c r="G123" s="680"/>
      <c r="H123" s="680"/>
      <c r="I123" s="755"/>
      <c r="J123" s="682">
        <f t="shared" si="16"/>
        <v>0</v>
      </c>
      <c r="K123" s="683"/>
      <c r="L123" s="684"/>
      <c r="M123" s="753"/>
      <c r="N123" s="683">
        <v>0</v>
      </c>
      <c r="O123" s="686"/>
      <c r="P123" s="683">
        <v>0</v>
      </c>
      <c r="Q123" s="687">
        <f t="shared" si="1"/>
        <v>0</v>
      </c>
      <c r="R123" s="687"/>
      <c r="S123" s="687"/>
      <c r="T123" s="688">
        <v>0</v>
      </c>
      <c r="U123" s="693"/>
      <c r="V123" s="690">
        <f t="shared" si="15"/>
        <v>0</v>
      </c>
      <c r="W123" s="683"/>
      <c r="X123" s="474">
        <f t="shared" si="20"/>
        <v>0</v>
      </c>
      <c r="Y123" s="474">
        <f t="shared" si="21"/>
        <v>0</v>
      </c>
      <c r="Z123" s="475">
        <f t="shared" si="22"/>
        <v>0</v>
      </c>
      <c r="AA123" s="475">
        <v>0</v>
      </c>
      <c r="AB123" s="476">
        <v>0</v>
      </c>
      <c r="AC123" s="38">
        <f t="shared" si="23"/>
        <v>0</v>
      </c>
      <c r="AD123" s="692">
        <f t="shared" si="17"/>
        <v>0</v>
      </c>
      <c r="AE123" s="692">
        <f t="shared" si="18"/>
        <v>0</v>
      </c>
      <c r="AF123" s="692">
        <f t="shared" si="19"/>
        <v>0</v>
      </c>
      <c r="AG123" s="38"/>
      <c r="AH123" s="692">
        <f t="shared" si="24"/>
        <v>0</v>
      </c>
      <c r="AI123" s="692">
        <f t="shared" si="25"/>
        <v>0</v>
      </c>
      <c r="AJ123" s="692">
        <f t="shared" si="26"/>
        <v>0</v>
      </c>
      <c r="AL123" s="38">
        <f t="shared" si="27"/>
        <v>0</v>
      </c>
      <c r="AM123" s="68" t="s">
        <v>1002</v>
      </c>
    </row>
    <row r="124" spans="1:39">
      <c r="A124" s="20"/>
      <c r="B124" s="20" t="s">
        <v>110</v>
      </c>
      <c r="C124" s="667"/>
      <c r="D124" s="68" t="s">
        <v>1013</v>
      </c>
      <c r="E124" s="679"/>
      <c r="F124" s="529">
        <f>VLOOKUP(D124,'Oct13 Revenue'!D:V,19,FALSE)</f>
        <v>118.47</v>
      </c>
      <c r="G124" s="680"/>
      <c r="H124" s="680"/>
      <c r="I124" s="770">
        <v>132.74</v>
      </c>
      <c r="J124" s="682">
        <f t="shared" si="16"/>
        <v>251.21</v>
      </c>
      <c r="K124" s="683"/>
      <c r="L124" s="684"/>
      <c r="M124" s="753"/>
      <c r="N124" s="683">
        <v>0</v>
      </c>
      <c r="O124" s="686"/>
      <c r="P124" s="683">
        <v>0</v>
      </c>
      <c r="Q124" s="687">
        <f t="shared" si="1"/>
        <v>0</v>
      </c>
      <c r="R124" s="687"/>
      <c r="S124" s="687"/>
      <c r="T124" s="688">
        <v>0</v>
      </c>
      <c r="U124" s="693"/>
      <c r="V124" s="690">
        <f t="shared" si="15"/>
        <v>0</v>
      </c>
      <c r="W124" s="683"/>
      <c r="X124" s="474">
        <f t="shared" si="20"/>
        <v>0</v>
      </c>
      <c r="Y124" s="474">
        <f t="shared" si="21"/>
        <v>0</v>
      </c>
      <c r="Z124" s="475">
        <f t="shared" si="22"/>
        <v>0</v>
      </c>
      <c r="AA124" s="475">
        <v>0</v>
      </c>
      <c r="AB124" s="476">
        <v>0</v>
      </c>
      <c r="AC124" s="38">
        <f t="shared" si="23"/>
        <v>0</v>
      </c>
      <c r="AD124" s="692">
        <f t="shared" si="17"/>
        <v>251.21</v>
      </c>
      <c r="AE124" s="692">
        <f t="shared" si="18"/>
        <v>0</v>
      </c>
      <c r="AF124" s="692">
        <f t="shared" si="19"/>
        <v>0</v>
      </c>
      <c r="AG124" s="38"/>
      <c r="AH124" s="692">
        <f t="shared" si="24"/>
        <v>0</v>
      </c>
      <c r="AI124" s="692">
        <f t="shared" si="25"/>
        <v>0</v>
      </c>
      <c r="AJ124" s="692">
        <f t="shared" si="26"/>
        <v>0</v>
      </c>
      <c r="AL124" s="38">
        <f t="shared" si="27"/>
        <v>251.21</v>
      </c>
      <c r="AM124" s="68" t="s">
        <v>1013</v>
      </c>
    </row>
    <row r="125" spans="1:39">
      <c r="A125" s="21"/>
      <c r="B125" s="21" t="s">
        <v>110</v>
      </c>
      <c r="C125" s="666" t="s">
        <v>550</v>
      </c>
      <c r="D125" s="68" t="s">
        <v>282</v>
      </c>
      <c r="E125" s="679"/>
      <c r="F125" s="529">
        <f>VLOOKUP(D125,'Oct13 Revenue'!D:V,19,FALSE)</f>
        <v>-4038.1399999999994</v>
      </c>
      <c r="G125" s="680"/>
      <c r="H125" s="680"/>
      <c r="I125" s="755"/>
      <c r="J125" s="682">
        <f t="shared" si="16"/>
        <v>-4038.1399999999994</v>
      </c>
      <c r="K125" s="683"/>
      <c r="L125" s="684"/>
      <c r="M125" s="753">
        <v>45000</v>
      </c>
      <c r="N125" s="683">
        <v>0</v>
      </c>
      <c r="O125" s="686"/>
      <c r="P125" s="683">
        <v>0</v>
      </c>
      <c r="Q125" s="687">
        <f t="shared" si="1"/>
        <v>45000</v>
      </c>
      <c r="R125" s="687"/>
      <c r="S125" s="687"/>
      <c r="T125" s="688">
        <v>40987.33</v>
      </c>
      <c r="U125" s="693"/>
      <c r="V125" s="690">
        <f t="shared" si="15"/>
        <v>-4012.6699999999983</v>
      </c>
      <c r="W125" s="683"/>
      <c r="X125" s="474">
        <f t="shared" si="20"/>
        <v>45000</v>
      </c>
      <c r="Y125" s="474">
        <f t="shared" si="21"/>
        <v>0</v>
      </c>
      <c r="Z125" s="475">
        <f t="shared" si="22"/>
        <v>0</v>
      </c>
      <c r="AA125" s="475">
        <v>0</v>
      </c>
      <c r="AB125" s="476">
        <v>0</v>
      </c>
      <c r="AC125" s="38">
        <f t="shared" si="23"/>
        <v>0</v>
      </c>
      <c r="AD125" s="692">
        <f t="shared" si="17"/>
        <v>-4038.1399999999994</v>
      </c>
      <c r="AE125" s="692">
        <f t="shared" si="18"/>
        <v>0</v>
      </c>
      <c r="AF125" s="692">
        <f t="shared" si="19"/>
        <v>0</v>
      </c>
      <c r="AG125" s="38"/>
      <c r="AH125" s="692">
        <f t="shared" si="24"/>
        <v>45000</v>
      </c>
      <c r="AI125" s="692">
        <f t="shared" si="25"/>
        <v>0</v>
      </c>
      <c r="AJ125" s="692">
        <f t="shared" si="26"/>
        <v>0</v>
      </c>
      <c r="AL125" s="38">
        <f t="shared" si="27"/>
        <v>40961.86</v>
      </c>
      <c r="AM125" s="68" t="s">
        <v>282</v>
      </c>
    </row>
    <row r="126" spans="1:39">
      <c r="A126" s="21"/>
      <c r="B126" s="21" t="s">
        <v>109</v>
      </c>
      <c r="C126" s="666" t="s">
        <v>551</v>
      </c>
      <c r="D126" s="68" t="s">
        <v>499</v>
      </c>
      <c r="E126" s="679"/>
      <c r="F126" s="529">
        <f>VLOOKUP(D126,'Oct13 Revenue'!D:V,19,FALSE)</f>
        <v>0</v>
      </c>
      <c r="G126" s="680"/>
      <c r="H126" s="680"/>
      <c r="I126" s="755"/>
      <c r="J126" s="682">
        <f t="shared" si="16"/>
        <v>0</v>
      </c>
      <c r="K126" s="683"/>
      <c r="L126" s="684"/>
      <c r="M126" s="753"/>
      <c r="N126" s="683">
        <v>0</v>
      </c>
      <c r="O126" s="686"/>
      <c r="P126" s="683">
        <v>0</v>
      </c>
      <c r="Q126" s="687">
        <f t="shared" si="1"/>
        <v>0</v>
      </c>
      <c r="R126" s="687"/>
      <c r="S126" s="687"/>
      <c r="T126" s="688">
        <v>0</v>
      </c>
      <c r="U126" s="693"/>
      <c r="V126" s="690">
        <f t="shared" si="15"/>
        <v>0</v>
      </c>
      <c r="W126" s="683"/>
      <c r="X126" s="474">
        <f t="shared" si="20"/>
        <v>0</v>
      </c>
      <c r="Y126" s="474">
        <f t="shared" si="21"/>
        <v>0</v>
      </c>
      <c r="Z126" s="475">
        <f t="shared" si="22"/>
        <v>0</v>
      </c>
      <c r="AA126" s="475">
        <v>0</v>
      </c>
      <c r="AB126" s="476">
        <v>0</v>
      </c>
      <c r="AC126" s="38">
        <f t="shared" si="23"/>
        <v>0</v>
      </c>
      <c r="AD126" s="692">
        <f t="shared" si="17"/>
        <v>0</v>
      </c>
      <c r="AE126" s="692">
        <f t="shared" si="18"/>
        <v>0</v>
      </c>
      <c r="AF126" s="692">
        <f t="shared" si="19"/>
        <v>0</v>
      </c>
      <c r="AG126" s="38"/>
      <c r="AH126" s="692">
        <f t="shared" si="24"/>
        <v>0</v>
      </c>
      <c r="AI126" s="692">
        <f t="shared" si="25"/>
        <v>0</v>
      </c>
      <c r="AJ126" s="692">
        <f t="shared" si="26"/>
        <v>0</v>
      </c>
      <c r="AL126" s="38">
        <f t="shared" si="27"/>
        <v>0</v>
      </c>
      <c r="AM126" s="68" t="s">
        <v>499</v>
      </c>
    </row>
    <row r="127" spans="1:39">
      <c r="A127" s="21"/>
      <c r="B127" s="21" t="s">
        <v>110</v>
      </c>
      <c r="C127" s="666"/>
      <c r="D127" s="68" t="s">
        <v>28</v>
      </c>
      <c r="E127" s="679"/>
      <c r="F127" s="529">
        <f>VLOOKUP(D127,'Oct13 Revenue'!D:V,19,FALSE)</f>
        <v>0</v>
      </c>
      <c r="G127" s="680"/>
      <c r="H127" s="680"/>
      <c r="I127" s="770">
        <v>14549.5</v>
      </c>
      <c r="J127" s="682">
        <f t="shared" si="16"/>
        <v>14549.5</v>
      </c>
      <c r="K127" s="683"/>
      <c r="L127" s="684"/>
      <c r="M127" s="753"/>
      <c r="N127" s="683">
        <v>0</v>
      </c>
      <c r="O127" s="686"/>
      <c r="P127" s="683">
        <v>0</v>
      </c>
      <c r="Q127" s="687">
        <f t="shared" si="1"/>
        <v>0</v>
      </c>
      <c r="R127" s="687"/>
      <c r="S127" s="687"/>
      <c r="T127" s="688">
        <v>0</v>
      </c>
      <c r="U127" s="693"/>
      <c r="V127" s="690">
        <f t="shared" si="15"/>
        <v>0</v>
      </c>
      <c r="W127" s="683"/>
      <c r="X127" s="474">
        <f t="shared" si="20"/>
        <v>0</v>
      </c>
      <c r="Y127" s="474">
        <f t="shared" si="21"/>
        <v>0</v>
      </c>
      <c r="Z127" s="475">
        <f t="shared" si="22"/>
        <v>0</v>
      </c>
      <c r="AA127" s="475">
        <v>0</v>
      </c>
      <c r="AB127" s="476">
        <v>0</v>
      </c>
      <c r="AC127" s="38">
        <f t="shared" si="23"/>
        <v>0</v>
      </c>
      <c r="AD127" s="692">
        <f t="shared" si="17"/>
        <v>14549.5</v>
      </c>
      <c r="AE127" s="692">
        <f t="shared" si="18"/>
        <v>0</v>
      </c>
      <c r="AF127" s="692">
        <f t="shared" si="19"/>
        <v>0</v>
      </c>
      <c r="AG127" s="38"/>
      <c r="AH127" s="692">
        <f t="shared" si="24"/>
        <v>0</v>
      </c>
      <c r="AI127" s="692">
        <f t="shared" si="25"/>
        <v>0</v>
      </c>
      <c r="AJ127" s="692">
        <f t="shared" si="26"/>
        <v>0</v>
      </c>
      <c r="AL127" s="38">
        <f t="shared" si="27"/>
        <v>14549.5</v>
      </c>
      <c r="AM127" s="68" t="s">
        <v>28</v>
      </c>
    </row>
    <row r="128" spans="1:39">
      <c r="A128" s="21"/>
      <c r="B128" s="21" t="s">
        <v>114</v>
      </c>
      <c r="C128" s="666" t="s">
        <v>552</v>
      </c>
      <c r="D128" s="68" t="s">
        <v>513</v>
      </c>
      <c r="E128" s="679">
        <f>3093.1+2928.3</f>
        <v>6021.4</v>
      </c>
      <c r="F128" s="529">
        <f>VLOOKUP(D128,'Oct13 Revenue'!D:V,19,FALSE)</f>
        <v>-6000</v>
      </c>
      <c r="G128" s="680"/>
      <c r="H128" s="680"/>
      <c r="I128" s="755"/>
      <c r="J128" s="682">
        <f t="shared" si="16"/>
        <v>21.399999999999636</v>
      </c>
      <c r="K128" s="683"/>
      <c r="L128" s="684"/>
      <c r="M128" s="753"/>
      <c r="N128" s="683">
        <v>0</v>
      </c>
      <c r="O128" s="686"/>
      <c r="P128" s="683">
        <v>0</v>
      </c>
      <c r="Q128" s="687">
        <f>L128+M128</f>
        <v>0</v>
      </c>
      <c r="R128" s="687"/>
      <c r="S128" s="687"/>
      <c r="T128" s="688">
        <v>0</v>
      </c>
      <c r="U128" s="693"/>
      <c r="V128" s="690">
        <f t="shared" si="15"/>
        <v>0</v>
      </c>
      <c r="W128" s="683"/>
      <c r="X128" s="474">
        <f t="shared" si="20"/>
        <v>0</v>
      </c>
      <c r="Y128" s="474">
        <f t="shared" si="21"/>
        <v>0</v>
      </c>
      <c r="Z128" s="475">
        <f t="shared" si="22"/>
        <v>0</v>
      </c>
      <c r="AA128" s="475">
        <v>0</v>
      </c>
      <c r="AB128" s="476">
        <v>0</v>
      </c>
      <c r="AC128" s="38">
        <f t="shared" si="23"/>
        <v>0</v>
      </c>
      <c r="AD128" s="692">
        <f t="shared" si="17"/>
        <v>0</v>
      </c>
      <c r="AE128" s="692">
        <f t="shared" si="18"/>
        <v>0</v>
      </c>
      <c r="AF128" s="692">
        <f t="shared" si="19"/>
        <v>21.399999999999636</v>
      </c>
      <c r="AG128" s="38"/>
      <c r="AH128" s="692">
        <f t="shared" si="24"/>
        <v>0</v>
      </c>
      <c r="AI128" s="692">
        <f t="shared" si="25"/>
        <v>0</v>
      </c>
      <c r="AJ128" s="692">
        <f t="shared" si="26"/>
        <v>0</v>
      </c>
      <c r="AL128" s="38">
        <f t="shared" si="27"/>
        <v>21.399999999999636</v>
      </c>
      <c r="AM128" s="68" t="s">
        <v>513</v>
      </c>
    </row>
    <row r="129" spans="1:39">
      <c r="A129" s="21"/>
      <c r="B129" s="21" t="s">
        <v>109</v>
      </c>
      <c r="C129" s="666" t="s">
        <v>553</v>
      </c>
      <c r="D129" s="68" t="s">
        <v>308</v>
      </c>
      <c r="E129" s="679"/>
      <c r="F129" s="529">
        <f>VLOOKUP(D129,'Oct13 Revenue'!D:V,19,FALSE)</f>
        <v>0</v>
      </c>
      <c r="G129" s="680"/>
      <c r="H129" s="680"/>
      <c r="I129" s="755"/>
      <c r="J129" s="682">
        <f t="shared" si="16"/>
        <v>0</v>
      </c>
      <c r="K129" s="683"/>
      <c r="L129" s="684"/>
      <c r="M129" s="753"/>
      <c r="N129" s="683">
        <v>0</v>
      </c>
      <c r="O129" s="686"/>
      <c r="P129" s="683">
        <v>0</v>
      </c>
      <c r="Q129" s="687">
        <f t="shared" si="1"/>
        <v>0</v>
      </c>
      <c r="R129" s="687"/>
      <c r="S129" s="687"/>
      <c r="T129" s="688">
        <v>0</v>
      </c>
      <c r="U129" s="693"/>
      <c r="V129" s="690">
        <f t="shared" si="15"/>
        <v>0</v>
      </c>
      <c r="W129" s="683"/>
      <c r="X129" s="474">
        <f t="shared" si="20"/>
        <v>0</v>
      </c>
      <c r="Y129" s="474">
        <f t="shared" si="21"/>
        <v>0</v>
      </c>
      <c r="Z129" s="475">
        <f t="shared" si="22"/>
        <v>0</v>
      </c>
      <c r="AA129" s="475">
        <v>0</v>
      </c>
      <c r="AB129" s="476">
        <v>0</v>
      </c>
      <c r="AC129" s="38">
        <f t="shared" si="23"/>
        <v>0</v>
      </c>
      <c r="AD129" s="692">
        <f t="shared" si="17"/>
        <v>0</v>
      </c>
      <c r="AE129" s="692">
        <f t="shared" si="18"/>
        <v>0</v>
      </c>
      <c r="AF129" s="692">
        <f t="shared" si="19"/>
        <v>0</v>
      </c>
      <c r="AG129" s="38"/>
      <c r="AH129" s="692">
        <f t="shared" si="24"/>
        <v>0</v>
      </c>
      <c r="AI129" s="692">
        <f t="shared" si="25"/>
        <v>0</v>
      </c>
      <c r="AJ129" s="692">
        <f t="shared" si="26"/>
        <v>0</v>
      </c>
      <c r="AL129" s="38">
        <f t="shared" si="27"/>
        <v>0</v>
      </c>
      <c r="AM129" s="68" t="s">
        <v>308</v>
      </c>
    </row>
    <row r="130" spans="1:39" s="232" customFormat="1">
      <c r="A130" s="283" t="s">
        <v>211</v>
      </c>
      <c r="B130" s="283" t="s">
        <v>109</v>
      </c>
      <c r="C130" s="667" t="s">
        <v>554</v>
      </c>
      <c r="D130" s="123" t="s">
        <v>389</v>
      </c>
      <c r="E130" s="679"/>
      <c r="F130" s="529">
        <f>VLOOKUP(D130,'Oct13 Revenue'!D:V,19,FALSE)</f>
        <v>0</v>
      </c>
      <c r="G130" s="680"/>
      <c r="H130" s="680"/>
      <c r="I130" s="755"/>
      <c r="J130" s="682">
        <f t="shared" si="16"/>
        <v>0</v>
      </c>
      <c r="K130" s="683"/>
      <c r="L130" s="684"/>
      <c r="M130" s="753"/>
      <c r="N130" s="683">
        <v>0</v>
      </c>
      <c r="O130" s="686"/>
      <c r="P130" s="683">
        <v>0</v>
      </c>
      <c r="Q130" s="687">
        <f t="shared" si="1"/>
        <v>0</v>
      </c>
      <c r="R130" s="687"/>
      <c r="S130" s="687"/>
      <c r="T130" s="688">
        <v>0</v>
      </c>
      <c r="U130" s="693"/>
      <c r="V130" s="690">
        <f t="shared" si="15"/>
        <v>0</v>
      </c>
      <c r="W130" s="683"/>
      <c r="X130" s="474">
        <f t="shared" si="20"/>
        <v>0</v>
      </c>
      <c r="Y130" s="474">
        <f t="shared" si="21"/>
        <v>0</v>
      </c>
      <c r="Z130" s="475">
        <f t="shared" si="22"/>
        <v>0</v>
      </c>
      <c r="AA130" s="475">
        <v>0</v>
      </c>
      <c r="AB130" s="476">
        <v>0</v>
      </c>
      <c r="AC130" s="38">
        <f t="shared" si="23"/>
        <v>0</v>
      </c>
      <c r="AD130" s="692">
        <f t="shared" si="17"/>
        <v>0</v>
      </c>
      <c r="AE130" s="692">
        <f t="shared" si="18"/>
        <v>0</v>
      </c>
      <c r="AF130" s="692">
        <f t="shared" si="19"/>
        <v>0</v>
      </c>
      <c r="AG130" s="38"/>
      <c r="AH130" s="692">
        <f t="shared" si="24"/>
        <v>0</v>
      </c>
      <c r="AI130" s="692">
        <f t="shared" si="25"/>
        <v>0</v>
      </c>
      <c r="AJ130" s="692">
        <f t="shared" si="26"/>
        <v>0</v>
      </c>
      <c r="AL130" s="38">
        <f t="shared" si="27"/>
        <v>0</v>
      </c>
      <c r="AM130" s="123" t="s">
        <v>389</v>
      </c>
    </row>
    <row r="131" spans="1:39" s="232" customFormat="1">
      <c r="A131" s="283"/>
      <c r="B131" s="283" t="s">
        <v>110</v>
      </c>
      <c r="C131" s="667"/>
      <c r="D131" s="123" t="s">
        <v>807</v>
      </c>
      <c r="E131" s="679"/>
      <c r="F131" s="529">
        <f>VLOOKUP(D131,'Oct13 Revenue'!D:V,19,FALSE)</f>
        <v>-1974.58</v>
      </c>
      <c r="G131" s="680"/>
      <c r="H131" s="680"/>
      <c r="I131" s="755"/>
      <c r="J131" s="682">
        <f t="shared" si="16"/>
        <v>-1974.58</v>
      </c>
      <c r="K131" s="683"/>
      <c r="L131" s="684"/>
      <c r="M131" s="753">
        <v>5000</v>
      </c>
      <c r="N131" s="683">
        <v>0</v>
      </c>
      <c r="O131" s="686"/>
      <c r="P131" s="683">
        <v>0</v>
      </c>
      <c r="Q131" s="687">
        <f t="shared" si="1"/>
        <v>5000</v>
      </c>
      <c r="R131" s="687"/>
      <c r="S131" s="687"/>
      <c r="T131" s="688">
        <v>2942.67</v>
      </c>
      <c r="U131" s="693"/>
      <c r="V131" s="690">
        <f t="shared" si="15"/>
        <v>-2057.33</v>
      </c>
      <c r="W131" s="683"/>
      <c r="X131" s="474">
        <f t="shared" si="20"/>
        <v>5000</v>
      </c>
      <c r="Y131" s="474">
        <f t="shared" si="21"/>
        <v>0</v>
      </c>
      <c r="Z131" s="475">
        <f t="shared" si="22"/>
        <v>0</v>
      </c>
      <c r="AA131" s="475">
        <v>0</v>
      </c>
      <c r="AB131" s="476">
        <v>0</v>
      </c>
      <c r="AC131" s="38">
        <f t="shared" si="23"/>
        <v>0</v>
      </c>
      <c r="AD131" s="692">
        <f t="shared" si="17"/>
        <v>-1974.58</v>
      </c>
      <c r="AE131" s="692">
        <f t="shared" si="18"/>
        <v>0</v>
      </c>
      <c r="AF131" s="692">
        <f t="shared" si="19"/>
        <v>0</v>
      </c>
      <c r="AG131" s="38"/>
      <c r="AH131" s="692">
        <f t="shared" si="24"/>
        <v>5000</v>
      </c>
      <c r="AI131" s="692">
        <f t="shared" si="25"/>
        <v>0</v>
      </c>
      <c r="AJ131" s="692">
        <f t="shared" si="26"/>
        <v>0</v>
      </c>
      <c r="AL131" s="38">
        <f t="shared" si="27"/>
        <v>3025.42</v>
      </c>
      <c r="AM131" s="123" t="s">
        <v>807</v>
      </c>
    </row>
    <row r="132" spans="1:39" s="232" customFormat="1">
      <c r="A132" s="283"/>
      <c r="B132" s="283" t="s">
        <v>109</v>
      </c>
      <c r="C132" s="667"/>
      <c r="D132" s="123" t="s">
        <v>808</v>
      </c>
      <c r="E132" s="679"/>
      <c r="F132" s="529">
        <f>VLOOKUP(D132,'Oct13 Revenue'!D:V,19,FALSE)</f>
        <v>1117.1500000000015</v>
      </c>
      <c r="G132" s="680"/>
      <c r="H132" s="680"/>
      <c r="I132" s="755"/>
      <c r="J132" s="682">
        <f t="shared" si="16"/>
        <v>1117.1500000000015</v>
      </c>
      <c r="K132" s="683"/>
      <c r="L132" s="684"/>
      <c r="M132" s="753">
        <v>40000</v>
      </c>
      <c r="N132" s="683">
        <v>0</v>
      </c>
      <c r="O132" s="686"/>
      <c r="P132" s="683">
        <v>0</v>
      </c>
      <c r="Q132" s="687">
        <f t="shared" si="1"/>
        <v>40000</v>
      </c>
      <c r="R132" s="687"/>
      <c r="S132" s="687"/>
      <c r="T132" s="688">
        <f>32769.05+620.2+9806.31</f>
        <v>43195.56</v>
      </c>
      <c r="U132" s="693"/>
      <c r="V132" s="690">
        <f t="shared" si="15"/>
        <v>3195.5599999999977</v>
      </c>
      <c r="W132" s="683"/>
      <c r="X132" s="474">
        <f t="shared" si="20"/>
        <v>0</v>
      </c>
      <c r="Y132" s="474">
        <f t="shared" si="21"/>
        <v>40000</v>
      </c>
      <c r="Z132" s="475">
        <f t="shared" si="22"/>
        <v>0</v>
      </c>
      <c r="AA132" s="475">
        <v>0</v>
      </c>
      <c r="AB132" s="476">
        <v>0</v>
      </c>
      <c r="AC132" s="38">
        <f t="shared" si="23"/>
        <v>0</v>
      </c>
      <c r="AD132" s="692">
        <f t="shared" si="17"/>
        <v>0</v>
      </c>
      <c r="AE132" s="692">
        <f t="shared" si="18"/>
        <v>1117.1500000000015</v>
      </c>
      <c r="AF132" s="692">
        <f t="shared" si="19"/>
        <v>0</v>
      </c>
      <c r="AG132" s="38"/>
      <c r="AH132" s="692">
        <f t="shared" si="24"/>
        <v>0</v>
      </c>
      <c r="AI132" s="692">
        <f t="shared" si="25"/>
        <v>40000</v>
      </c>
      <c r="AJ132" s="692">
        <f t="shared" si="26"/>
        <v>0</v>
      </c>
      <c r="AL132" s="38">
        <f t="shared" si="27"/>
        <v>41117.15</v>
      </c>
      <c r="AM132" s="123" t="s">
        <v>808</v>
      </c>
    </row>
    <row r="133" spans="1:39" s="232" customFormat="1">
      <c r="A133" s="403"/>
      <c r="B133" s="403" t="s">
        <v>110</v>
      </c>
      <c r="C133" s="666" t="s">
        <v>563</v>
      </c>
      <c r="D133" s="123" t="s">
        <v>867</v>
      </c>
      <c r="E133" s="679"/>
      <c r="F133" s="529">
        <f>VLOOKUP(D133,'Oct13 Revenue'!D:V,19,FALSE)</f>
        <v>0</v>
      </c>
      <c r="G133" s="680"/>
      <c r="H133" s="680"/>
      <c r="I133" s="770">
        <v>1110.55</v>
      </c>
      <c r="J133" s="682">
        <f t="shared" si="16"/>
        <v>1110.55</v>
      </c>
      <c r="K133" s="683"/>
      <c r="L133" s="684"/>
      <c r="M133" s="753"/>
      <c r="N133" s="683">
        <v>0</v>
      </c>
      <c r="O133" s="686"/>
      <c r="P133" s="683">
        <v>0</v>
      </c>
      <c r="Q133" s="687">
        <f t="shared" si="1"/>
        <v>0</v>
      </c>
      <c r="R133" s="687"/>
      <c r="S133" s="687"/>
      <c r="T133" s="688">
        <v>0</v>
      </c>
      <c r="U133" s="693"/>
      <c r="V133" s="690">
        <f t="shared" si="15"/>
        <v>0</v>
      </c>
      <c r="W133" s="683"/>
      <c r="X133" s="474">
        <f t="shared" si="20"/>
        <v>0</v>
      </c>
      <c r="Y133" s="474">
        <f t="shared" si="21"/>
        <v>0</v>
      </c>
      <c r="Z133" s="475">
        <f t="shared" si="22"/>
        <v>0</v>
      </c>
      <c r="AA133" s="475">
        <v>0</v>
      </c>
      <c r="AB133" s="476">
        <v>0</v>
      </c>
      <c r="AC133" s="38">
        <f t="shared" si="23"/>
        <v>0</v>
      </c>
      <c r="AD133" s="692">
        <f t="shared" si="17"/>
        <v>1110.55</v>
      </c>
      <c r="AE133" s="692">
        <f t="shared" si="18"/>
        <v>0</v>
      </c>
      <c r="AF133" s="692">
        <f t="shared" si="19"/>
        <v>0</v>
      </c>
      <c r="AG133" s="38"/>
      <c r="AH133" s="692">
        <f t="shared" si="24"/>
        <v>0</v>
      </c>
      <c r="AI133" s="692">
        <f t="shared" si="25"/>
        <v>0</v>
      </c>
      <c r="AJ133" s="692">
        <f t="shared" si="26"/>
        <v>0</v>
      </c>
      <c r="AL133" s="38">
        <f t="shared" si="27"/>
        <v>1110.55</v>
      </c>
      <c r="AM133" s="123" t="s">
        <v>867</v>
      </c>
    </row>
    <row r="134" spans="1:39" s="232" customFormat="1">
      <c r="A134" s="283"/>
      <c r="B134" s="283" t="s">
        <v>110</v>
      </c>
      <c r="C134" s="667"/>
      <c r="D134" s="68" t="s">
        <v>488</v>
      </c>
      <c r="E134" s="679"/>
      <c r="F134" s="529">
        <f>VLOOKUP(D134,'Oct13 Revenue'!D:V,19,FALSE)</f>
        <v>0</v>
      </c>
      <c r="G134" s="680"/>
      <c r="H134" s="680"/>
      <c r="I134" s="755"/>
      <c r="J134" s="682">
        <f t="shared" si="16"/>
        <v>0</v>
      </c>
      <c r="K134" s="683"/>
      <c r="L134" s="684"/>
      <c r="M134" s="753"/>
      <c r="N134" s="683">
        <v>0</v>
      </c>
      <c r="O134" s="686"/>
      <c r="P134" s="683">
        <v>0</v>
      </c>
      <c r="Q134" s="687">
        <f t="shared" si="1"/>
        <v>0</v>
      </c>
      <c r="R134" s="687"/>
      <c r="S134" s="687"/>
      <c r="T134" s="688">
        <v>0</v>
      </c>
      <c r="U134" s="693"/>
      <c r="V134" s="690">
        <f t="shared" si="15"/>
        <v>0</v>
      </c>
      <c r="W134" s="683"/>
      <c r="X134" s="474">
        <f t="shared" si="20"/>
        <v>0</v>
      </c>
      <c r="Y134" s="474">
        <f t="shared" si="21"/>
        <v>0</v>
      </c>
      <c r="Z134" s="475">
        <f t="shared" si="22"/>
        <v>0</v>
      </c>
      <c r="AA134" s="475">
        <v>0</v>
      </c>
      <c r="AB134" s="476">
        <v>0</v>
      </c>
      <c r="AC134" s="38">
        <f t="shared" si="23"/>
        <v>0</v>
      </c>
      <c r="AD134" s="692">
        <f t="shared" si="17"/>
        <v>0</v>
      </c>
      <c r="AE134" s="692">
        <f t="shared" si="18"/>
        <v>0</v>
      </c>
      <c r="AF134" s="692">
        <f t="shared" si="19"/>
        <v>0</v>
      </c>
      <c r="AG134" s="38"/>
      <c r="AH134" s="692">
        <f t="shared" si="24"/>
        <v>0</v>
      </c>
      <c r="AI134" s="692">
        <f t="shared" si="25"/>
        <v>0</v>
      </c>
      <c r="AJ134" s="692">
        <f t="shared" si="26"/>
        <v>0</v>
      </c>
      <c r="AL134" s="38">
        <f t="shared" si="27"/>
        <v>0</v>
      </c>
      <c r="AM134" s="68" t="s">
        <v>488</v>
      </c>
    </row>
    <row r="135" spans="1:39" s="232" customFormat="1">
      <c r="A135" s="283"/>
      <c r="B135" s="283" t="s">
        <v>110</v>
      </c>
      <c r="C135" s="667" t="s">
        <v>555</v>
      </c>
      <c r="D135" s="123" t="s">
        <v>192</v>
      </c>
      <c r="E135" s="679">
        <v>6181.41</v>
      </c>
      <c r="F135" s="529">
        <f>VLOOKUP(D135,'Oct13 Revenue'!D:V,19,FALSE)</f>
        <v>-15000</v>
      </c>
      <c r="G135" s="680"/>
      <c r="H135" s="680"/>
      <c r="I135" s="755"/>
      <c r="J135" s="682">
        <f t="shared" si="16"/>
        <v>-8818.59</v>
      </c>
      <c r="K135" s="683"/>
      <c r="L135" s="684"/>
      <c r="M135" s="753">
        <v>14000</v>
      </c>
      <c r="N135" s="683">
        <v>0</v>
      </c>
      <c r="O135" s="686"/>
      <c r="P135" s="683">
        <v>0</v>
      </c>
      <c r="Q135" s="687">
        <f t="shared" si="1"/>
        <v>14000</v>
      </c>
      <c r="R135" s="687"/>
      <c r="S135" s="687"/>
      <c r="T135" s="688">
        <v>0</v>
      </c>
      <c r="U135" s="693"/>
      <c r="V135" s="690">
        <f t="shared" si="15"/>
        <v>-14000</v>
      </c>
      <c r="W135" s="683"/>
      <c r="X135" s="474">
        <f t="shared" si="20"/>
        <v>14000</v>
      </c>
      <c r="Y135" s="474">
        <f t="shared" si="21"/>
        <v>0</v>
      </c>
      <c r="Z135" s="475">
        <f t="shared" si="22"/>
        <v>0</v>
      </c>
      <c r="AA135" s="475">
        <v>0</v>
      </c>
      <c r="AB135" s="476">
        <v>0</v>
      </c>
      <c r="AC135" s="38">
        <f t="shared" si="23"/>
        <v>0</v>
      </c>
      <c r="AD135" s="692">
        <f t="shared" si="17"/>
        <v>-8818.59</v>
      </c>
      <c r="AE135" s="692">
        <f t="shared" si="18"/>
        <v>0</v>
      </c>
      <c r="AF135" s="692">
        <f t="shared" si="19"/>
        <v>0</v>
      </c>
      <c r="AG135" s="38"/>
      <c r="AH135" s="692">
        <f t="shared" si="24"/>
        <v>14000</v>
      </c>
      <c r="AI135" s="692">
        <f t="shared" si="25"/>
        <v>0</v>
      </c>
      <c r="AJ135" s="692">
        <f t="shared" si="26"/>
        <v>0</v>
      </c>
      <c r="AL135" s="38">
        <f t="shared" si="27"/>
        <v>5181.41</v>
      </c>
      <c r="AM135" s="123" t="s">
        <v>192</v>
      </c>
    </row>
    <row r="136" spans="1:39" s="232" customFormat="1" hidden="1">
      <c r="A136" s="283"/>
      <c r="B136" s="283" t="s">
        <v>110</v>
      </c>
      <c r="C136" s="667" t="s">
        <v>555</v>
      </c>
      <c r="D136" s="123" t="s">
        <v>193</v>
      </c>
      <c r="E136" s="679"/>
      <c r="F136" s="529">
        <f>VLOOKUP(D136,'Oct13 Revenue'!D:V,19,FALSE)</f>
        <v>0</v>
      </c>
      <c r="G136" s="680"/>
      <c r="H136" s="680"/>
      <c r="I136" s="755"/>
      <c r="J136" s="682">
        <f t="shared" si="16"/>
        <v>0</v>
      </c>
      <c r="K136" s="683"/>
      <c r="L136" s="684"/>
      <c r="M136" s="753"/>
      <c r="N136" s="683">
        <v>0</v>
      </c>
      <c r="O136" s="686"/>
      <c r="P136" s="683">
        <v>0</v>
      </c>
      <c r="Q136" s="687">
        <f t="shared" si="1"/>
        <v>0</v>
      </c>
      <c r="R136" s="687"/>
      <c r="S136" s="687"/>
      <c r="T136" s="688">
        <v>0</v>
      </c>
      <c r="U136" s="693"/>
      <c r="V136" s="690">
        <f t="shared" si="15"/>
        <v>0</v>
      </c>
      <c r="W136" s="683"/>
      <c r="X136" s="474">
        <f t="shared" si="20"/>
        <v>0</v>
      </c>
      <c r="Y136" s="474">
        <f t="shared" si="21"/>
        <v>0</v>
      </c>
      <c r="Z136" s="475">
        <f t="shared" si="22"/>
        <v>0</v>
      </c>
      <c r="AA136" s="475">
        <v>0</v>
      </c>
      <c r="AB136" s="476">
        <v>0</v>
      </c>
      <c r="AC136" s="38">
        <f t="shared" si="23"/>
        <v>0</v>
      </c>
      <c r="AD136" s="692">
        <f t="shared" si="17"/>
        <v>0</v>
      </c>
      <c r="AE136" s="692">
        <f t="shared" si="18"/>
        <v>0</v>
      </c>
      <c r="AF136" s="692">
        <f t="shared" si="19"/>
        <v>0</v>
      </c>
      <c r="AG136" s="38"/>
      <c r="AH136" s="692">
        <f t="shared" si="24"/>
        <v>0</v>
      </c>
      <c r="AI136" s="692">
        <f t="shared" si="25"/>
        <v>0</v>
      </c>
      <c r="AJ136" s="692">
        <f t="shared" si="26"/>
        <v>0</v>
      </c>
      <c r="AL136" s="38">
        <f t="shared" si="27"/>
        <v>0</v>
      </c>
      <c r="AM136" s="123" t="s">
        <v>193</v>
      </c>
    </row>
    <row r="137" spans="1:39" s="232" customFormat="1" hidden="1">
      <c r="A137" s="283"/>
      <c r="B137" s="283" t="s">
        <v>110</v>
      </c>
      <c r="C137" s="667" t="s">
        <v>555</v>
      </c>
      <c r="D137" s="123" t="s">
        <v>194</v>
      </c>
      <c r="E137" s="679"/>
      <c r="F137" s="529">
        <f>VLOOKUP(D137,'Oct13 Revenue'!D:V,19,FALSE)</f>
        <v>0</v>
      </c>
      <c r="G137" s="680"/>
      <c r="H137" s="680"/>
      <c r="I137" s="755"/>
      <c r="J137" s="682">
        <f t="shared" si="16"/>
        <v>0</v>
      </c>
      <c r="K137" s="683"/>
      <c r="L137" s="684"/>
      <c r="M137" s="753"/>
      <c r="N137" s="683">
        <v>0</v>
      </c>
      <c r="O137" s="686"/>
      <c r="P137" s="683">
        <v>0</v>
      </c>
      <c r="Q137" s="687">
        <f t="shared" si="1"/>
        <v>0</v>
      </c>
      <c r="R137" s="687"/>
      <c r="S137" s="687"/>
      <c r="T137" s="688">
        <v>0</v>
      </c>
      <c r="U137" s="693"/>
      <c r="V137" s="690">
        <f t="shared" si="15"/>
        <v>0</v>
      </c>
      <c r="W137" s="683"/>
      <c r="X137" s="474">
        <f t="shared" si="20"/>
        <v>0</v>
      </c>
      <c r="Y137" s="474">
        <f t="shared" si="21"/>
        <v>0</v>
      </c>
      <c r="Z137" s="475">
        <f t="shared" si="22"/>
        <v>0</v>
      </c>
      <c r="AA137" s="475">
        <v>0</v>
      </c>
      <c r="AB137" s="476">
        <v>0</v>
      </c>
      <c r="AC137" s="38">
        <f t="shared" si="23"/>
        <v>0</v>
      </c>
      <c r="AD137" s="692">
        <f t="shared" si="17"/>
        <v>0</v>
      </c>
      <c r="AE137" s="692">
        <f t="shared" si="18"/>
        <v>0</v>
      </c>
      <c r="AF137" s="692">
        <f t="shared" si="19"/>
        <v>0</v>
      </c>
      <c r="AG137" s="38"/>
      <c r="AH137" s="692">
        <f t="shared" si="24"/>
        <v>0</v>
      </c>
      <c r="AI137" s="692">
        <f t="shared" si="25"/>
        <v>0</v>
      </c>
      <c r="AJ137" s="692">
        <f t="shared" si="26"/>
        <v>0</v>
      </c>
      <c r="AL137" s="38">
        <f t="shared" si="27"/>
        <v>0</v>
      </c>
      <c r="AM137" s="123" t="s">
        <v>194</v>
      </c>
    </row>
    <row r="138" spans="1:39" s="232" customFormat="1" hidden="1">
      <c r="A138" s="283"/>
      <c r="B138" s="283" t="s">
        <v>110</v>
      </c>
      <c r="C138" s="667" t="s">
        <v>555</v>
      </c>
      <c r="D138" s="123" t="s">
        <v>195</v>
      </c>
      <c r="E138" s="679"/>
      <c r="F138" s="529">
        <f>VLOOKUP(D138,'Oct13 Revenue'!D:V,19,FALSE)</f>
        <v>0</v>
      </c>
      <c r="G138" s="680"/>
      <c r="H138" s="680"/>
      <c r="I138" s="755"/>
      <c r="J138" s="682">
        <f t="shared" si="16"/>
        <v>0</v>
      </c>
      <c r="K138" s="683"/>
      <c r="L138" s="684"/>
      <c r="M138" s="753"/>
      <c r="N138" s="683">
        <v>0</v>
      </c>
      <c r="O138" s="686"/>
      <c r="P138" s="683">
        <v>0</v>
      </c>
      <c r="Q138" s="687">
        <f t="shared" si="1"/>
        <v>0</v>
      </c>
      <c r="R138" s="687"/>
      <c r="S138" s="687"/>
      <c r="T138" s="688">
        <v>0</v>
      </c>
      <c r="U138" s="693"/>
      <c r="V138" s="690">
        <f t="shared" si="15"/>
        <v>0</v>
      </c>
      <c r="W138" s="683"/>
      <c r="X138" s="474">
        <f t="shared" si="20"/>
        <v>0</v>
      </c>
      <c r="Y138" s="474">
        <f t="shared" si="21"/>
        <v>0</v>
      </c>
      <c r="Z138" s="475">
        <f t="shared" si="22"/>
        <v>0</v>
      </c>
      <c r="AA138" s="475">
        <v>0</v>
      </c>
      <c r="AB138" s="476">
        <v>0</v>
      </c>
      <c r="AC138" s="38">
        <f t="shared" si="23"/>
        <v>0</v>
      </c>
      <c r="AD138" s="692">
        <f t="shared" si="17"/>
        <v>0</v>
      </c>
      <c r="AE138" s="692">
        <f t="shared" si="18"/>
        <v>0</v>
      </c>
      <c r="AF138" s="692">
        <f t="shared" si="19"/>
        <v>0</v>
      </c>
      <c r="AG138" s="38"/>
      <c r="AH138" s="692">
        <f t="shared" si="24"/>
        <v>0</v>
      </c>
      <c r="AI138" s="692">
        <f t="shared" si="25"/>
        <v>0</v>
      </c>
      <c r="AJ138" s="692">
        <f t="shared" si="26"/>
        <v>0</v>
      </c>
      <c r="AL138" s="38">
        <f t="shared" si="27"/>
        <v>0</v>
      </c>
      <c r="AM138" s="123" t="s">
        <v>195</v>
      </c>
    </row>
    <row r="139" spans="1:39" s="232" customFormat="1" hidden="1">
      <c r="A139" s="283"/>
      <c r="B139" s="283" t="s">
        <v>110</v>
      </c>
      <c r="C139" s="667" t="s">
        <v>555</v>
      </c>
      <c r="D139" s="123" t="s">
        <v>196</v>
      </c>
      <c r="E139" s="679"/>
      <c r="F139" s="529">
        <f>VLOOKUP(D139,'Oct13 Revenue'!D:V,19,FALSE)</f>
        <v>0</v>
      </c>
      <c r="G139" s="680"/>
      <c r="H139" s="680"/>
      <c r="I139" s="755"/>
      <c r="J139" s="682">
        <f t="shared" si="16"/>
        <v>0</v>
      </c>
      <c r="K139" s="683"/>
      <c r="L139" s="684"/>
      <c r="M139" s="753"/>
      <c r="N139" s="683">
        <v>0</v>
      </c>
      <c r="O139" s="686"/>
      <c r="P139" s="683">
        <v>0</v>
      </c>
      <c r="Q139" s="687">
        <f t="shared" si="1"/>
        <v>0</v>
      </c>
      <c r="R139" s="687"/>
      <c r="S139" s="687"/>
      <c r="T139" s="688">
        <v>0</v>
      </c>
      <c r="U139" s="693"/>
      <c r="V139" s="690">
        <f t="shared" si="15"/>
        <v>0</v>
      </c>
      <c r="W139" s="683"/>
      <c r="X139" s="474">
        <f t="shared" si="20"/>
        <v>0</v>
      </c>
      <c r="Y139" s="474">
        <f t="shared" si="21"/>
        <v>0</v>
      </c>
      <c r="Z139" s="475">
        <f t="shared" si="22"/>
        <v>0</v>
      </c>
      <c r="AA139" s="475">
        <v>0</v>
      </c>
      <c r="AB139" s="476">
        <v>0</v>
      </c>
      <c r="AC139" s="38">
        <f t="shared" si="23"/>
        <v>0</v>
      </c>
      <c r="AD139" s="692">
        <f t="shared" si="17"/>
        <v>0</v>
      </c>
      <c r="AE139" s="692">
        <f t="shared" si="18"/>
        <v>0</v>
      </c>
      <c r="AF139" s="692">
        <f t="shared" si="19"/>
        <v>0</v>
      </c>
      <c r="AG139" s="38"/>
      <c r="AH139" s="692">
        <f t="shared" si="24"/>
        <v>0</v>
      </c>
      <c r="AI139" s="692">
        <f t="shared" si="25"/>
        <v>0</v>
      </c>
      <c r="AJ139" s="692">
        <f t="shared" si="26"/>
        <v>0</v>
      </c>
      <c r="AL139" s="38">
        <f t="shared" si="27"/>
        <v>0</v>
      </c>
      <c r="AM139" s="123" t="s">
        <v>196</v>
      </c>
    </row>
    <row r="140" spans="1:39" s="232" customFormat="1" hidden="1">
      <c r="A140" s="283"/>
      <c r="B140" s="283" t="s">
        <v>110</v>
      </c>
      <c r="C140" s="667" t="s">
        <v>555</v>
      </c>
      <c r="D140" s="123" t="s">
        <v>197</v>
      </c>
      <c r="E140" s="679"/>
      <c r="F140" s="529">
        <f>VLOOKUP(D140,'Oct13 Revenue'!D:V,19,FALSE)</f>
        <v>0</v>
      </c>
      <c r="G140" s="680"/>
      <c r="H140" s="680"/>
      <c r="I140" s="755"/>
      <c r="J140" s="682">
        <f t="shared" si="16"/>
        <v>0</v>
      </c>
      <c r="K140" s="683"/>
      <c r="L140" s="684"/>
      <c r="M140" s="753"/>
      <c r="N140" s="683">
        <v>0</v>
      </c>
      <c r="O140" s="686"/>
      <c r="P140" s="683">
        <v>0</v>
      </c>
      <c r="Q140" s="687">
        <f t="shared" si="1"/>
        <v>0</v>
      </c>
      <c r="R140" s="687"/>
      <c r="S140" s="687"/>
      <c r="T140" s="688">
        <v>0</v>
      </c>
      <c r="U140" s="693"/>
      <c r="V140" s="690">
        <f t="shared" si="15"/>
        <v>0</v>
      </c>
      <c r="W140" s="683"/>
      <c r="X140" s="474">
        <f t="shared" si="20"/>
        <v>0</v>
      </c>
      <c r="Y140" s="474">
        <f t="shared" si="21"/>
        <v>0</v>
      </c>
      <c r="Z140" s="475">
        <f t="shared" si="22"/>
        <v>0</v>
      </c>
      <c r="AA140" s="475">
        <v>0</v>
      </c>
      <c r="AB140" s="476">
        <v>0</v>
      </c>
      <c r="AC140" s="38">
        <f t="shared" si="23"/>
        <v>0</v>
      </c>
      <c r="AD140" s="692">
        <f t="shared" si="17"/>
        <v>0</v>
      </c>
      <c r="AE140" s="692">
        <f t="shared" si="18"/>
        <v>0</v>
      </c>
      <c r="AF140" s="692">
        <f t="shared" si="19"/>
        <v>0</v>
      </c>
      <c r="AG140" s="38"/>
      <c r="AH140" s="692">
        <f t="shared" si="24"/>
        <v>0</v>
      </c>
      <c r="AI140" s="692">
        <f t="shared" si="25"/>
        <v>0</v>
      </c>
      <c r="AJ140" s="692">
        <f t="shared" si="26"/>
        <v>0</v>
      </c>
      <c r="AL140" s="38">
        <f t="shared" si="27"/>
        <v>0</v>
      </c>
      <c r="AM140" s="123" t="s">
        <v>197</v>
      </c>
    </row>
    <row r="141" spans="1:39" s="232" customFormat="1" hidden="1">
      <c r="A141" s="283"/>
      <c r="B141" s="283" t="s">
        <v>110</v>
      </c>
      <c r="C141" s="667" t="s">
        <v>555</v>
      </c>
      <c r="D141" s="123" t="s">
        <v>440</v>
      </c>
      <c r="E141" s="679"/>
      <c r="F141" s="529">
        <f>VLOOKUP(D141,'Oct13 Revenue'!D:V,19,FALSE)</f>
        <v>0</v>
      </c>
      <c r="G141" s="680"/>
      <c r="H141" s="680"/>
      <c r="I141" s="755"/>
      <c r="J141" s="682">
        <f t="shared" si="16"/>
        <v>0</v>
      </c>
      <c r="K141" s="683"/>
      <c r="L141" s="684"/>
      <c r="M141" s="753"/>
      <c r="N141" s="683">
        <v>0</v>
      </c>
      <c r="O141" s="686"/>
      <c r="P141" s="683">
        <v>0</v>
      </c>
      <c r="Q141" s="687">
        <f t="shared" si="1"/>
        <v>0</v>
      </c>
      <c r="R141" s="687"/>
      <c r="S141" s="687"/>
      <c r="T141" s="688">
        <v>0</v>
      </c>
      <c r="U141" s="693"/>
      <c r="V141" s="690">
        <f t="shared" si="15"/>
        <v>0</v>
      </c>
      <c r="W141" s="683"/>
      <c r="X141" s="474">
        <f t="shared" si="20"/>
        <v>0</v>
      </c>
      <c r="Y141" s="474">
        <f t="shared" si="21"/>
        <v>0</v>
      </c>
      <c r="Z141" s="475">
        <f t="shared" si="22"/>
        <v>0</v>
      </c>
      <c r="AA141" s="475">
        <v>0</v>
      </c>
      <c r="AB141" s="476">
        <v>0</v>
      </c>
      <c r="AC141" s="38">
        <f t="shared" si="23"/>
        <v>0</v>
      </c>
      <c r="AD141" s="692">
        <f t="shared" si="17"/>
        <v>0</v>
      </c>
      <c r="AE141" s="692">
        <f t="shared" si="18"/>
        <v>0</v>
      </c>
      <c r="AF141" s="692">
        <f t="shared" si="19"/>
        <v>0</v>
      </c>
      <c r="AG141" s="38"/>
      <c r="AH141" s="692">
        <f t="shared" si="24"/>
        <v>0</v>
      </c>
      <c r="AI141" s="692">
        <f t="shared" si="25"/>
        <v>0</v>
      </c>
      <c r="AJ141" s="692">
        <f t="shared" si="26"/>
        <v>0</v>
      </c>
      <c r="AL141" s="38">
        <f t="shared" si="27"/>
        <v>0</v>
      </c>
      <c r="AM141" s="123" t="s">
        <v>440</v>
      </c>
    </row>
    <row r="142" spans="1:39" s="232" customFormat="1">
      <c r="A142" s="283"/>
      <c r="B142" s="283" t="s">
        <v>110</v>
      </c>
      <c r="C142" s="667" t="s">
        <v>555</v>
      </c>
      <c r="D142" s="123" t="s">
        <v>481</v>
      </c>
      <c r="E142" s="679">
        <v>334.78</v>
      </c>
      <c r="F142" s="529">
        <f>VLOOKUP(D142,'Oct13 Revenue'!D:V,19,FALSE)</f>
        <v>0</v>
      </c>
      <c r="G142" s="680"/>
      <c r="H142" s="680"/>
      <c r="I142" s="755"/>
      <c r="J142" s="682">
        <f t="shared" si="16"/>
        <v>334.78</v>
      </c>
      <c r="K142" s="683"/>
      <c r="L142" s="684"/>
      <c r="M142" s="753"/>
      <c r="N142" s="683">
        <v>0</v>
      </c>
      <c r="O142" s="686"/>
      <c r="P142" s="683">
        <v>0</v>
      </c>
      <c r="Q142" s="687">
        <f t="shared" si="1"/>
        <v>0</v>
      </c>
      <c r="R142" s="687"/>
      <c r="S142" s="687"/>
      <c r="T142" s="688">
        <v>0</v>
      </c>
      <c r="U142" s="693"/>
      <c r="V142" s="690">
        <f t="shared" si="15"/>
        <v>0</v>
      </c>
      <c r="W142" s="683"/>
      <c r="X142" s="474">
        <f t="shared" si="20"/>
        <v>0</v>
      </c>
      <c r="Y142" s="474">
        <f t="shared" si="21"/>
        <v>0</v>
      </c>
      <c r="Z142" s="475">
        <f t="shared" si="22"/>
        <v>0</v>
      </c>
      <c r="AA142" s="475">
        <v>0</v>
      </c>
      <c r="AB142" s="476">
        <v>0</v>
      </c>
      <c r="AC142" s="38">
        <f t="shared" si="23"/>
        <v>0</v>
      </c>
      <c r="AD142" s="692">
        <f t="shared" si="17"/>
        <v>334.78</v>
      </c>
      <c r="AE142" s="692">
        <f t="shared" si="18"/>
        <v>0</v>
      </c>
      <c r="AF142" s="692">
        <f t="shared" si="19"/>
        <v>0</v>
      </c>
      <c r="AG142" s="38"/>
      <c r="AH142" s="692">
        <f t="shared" si="24"/>
        <v>0</v>
      </c>
      <c r="AI142" s="692">
        <f t="shared" si="25"/>
        <v>0</v>
      </c>
      <c r="AJ142" s="692">
        <f t="shared" si="26"/>
        <v>0</v>
      </c>
      <c r="AL142" s="38">
        <f t="shared" si="27"/>
        <v>334.78</v>
      </c>
      <c r="AM142" s="123" t="s">
        <v>481</v>
      </c>
    </row>
    <row r="143" spans="1:39" s="232" customFormat="1">
      <c r="A143" s="283"/>
      <c r="B143" s="283" t="s">
        <v>109</v>
      </c>
      <c r="C143" s="667" t="s">
        <v>555</v>
      </c>
      <c r="D143" s="123" t="s">
        <v>248</v>
      </c>
      <c r="E143" s="679"/>
      <c r="F143" s="529">
        <f>VLOOKUP(D143,'Oct13 Revenue'!D:V,19,FALSE)</f>
        <v>0</v>
      </c>
      <c r="G143" s="680"/>
      <c r="H143" s="680"/>
      <c r="I143" s="755"/>
      <c r="J143" s="682">
        <f>SUM(E143:I143)</f>
        <v>0</v>
      </c>
      <c r="K143" s="683"/>
      <c r="L143" s="684"/>
      <c r="M143" s="753"/>
      <c r="N143" s="683">
        <v>0</v>
      </c>
      <c r="O143" s="686"/>
      <c r="P143" s="683">
        <v>0</v>
      </c>
      <c r="Q143" s="687">
        <f t="shared" si="1"/>
        <v>0</v>
      </c>
      <c r="R143" s="687"/>
      <c r="S143" s="687"/>
      <c r="T143" s="688">
        <v>0</v>
      </c>
      <c r="U143" s="693"/>
      <c r="V143" s="690">
        <f t="shared" si="15"/>
        <v>0</v>
      </c>
      <c r="W143" s="683"/>
      <c r="X143" s="474">
        <f t="shared" si="20"/>
        <v>0</v>
      </c>
      <c r="Y143" s="474">
        <f t="shared" si="21"/>
        <v>0</v>
      </c>
      <c r="Z143" s="475">
        <f t="shared" si="22"/>
        <v>0</v>
      </c>
      <c r="AA143" s="475">
        <v>0</v>
      </c>
      <c r="AB143" s="476">
        <v>0</v>
      </c>
      <c r="AC143" s="38">
        <f t="shared" si="23"/>
        <v>0</v>
      </c>
      <c r="AD143" s="692">
        <f t="shared" si="17"/>
        <v>0</v>
      </c>
      <c r="AE143" s="692">
        <f t="shared" si="18"/>
        <v>0</v>
      </c>
      <c r="AF143" s="692">
        <f t="shared" si="19"/>
        <v>0</v>
      </c>
      <c r="AG143" s="38"/>
      <c r="AH143" s="692">
        <f t="shared" si="24"/>
        <v>0</v>
      </c>
      <c r="AI143" s="692">
        <f t="shared" si="25"/>
        <v>0</v>
      </c>
      <c r="AJ143" s="692">
        <f t="shared" si="26"/>
        <v>0</v>
      </c>
      <c r="AL143" s="38">
        <f t="shared" si="27"/>
        <v>0</v>
      </c>
      <c r="AM143" s="123" t="s">
        <v>248</v>
      </c>
    </row>
    <row r="144" spans="1:39" s="232" customFormat="1">
      <c r="A144" s="283"/>
      <c r="B144" s="20" t="s">
        <v>109</v>
      </c>
      <c r="C144" s="667"/>
      <c r="D144" s="68" t="s">
        <v>465</v>
      </c>
      <c r="E144" s="679"/>
      <c r="F144" s="529">
        <f>VLOOKUP(D144,'Oct13 Revenue'!D:V,19,FALSE)</f>
        <v>-17000</v>
      </c>
      <c r="G144" s="680"/>
      <c r="H144" s="680"/>
      <c r="I144" s="755"/>
      <c r="J144" s="682">
        <f t="shared" si="16"/>
        <v>-17000</v>
      </c>
      <c r="K144" s="683"/>
      <c r="L144" s="684"/>
      <c r="M144" s="753">
        <v>20000</v>
      </c>
      <c r="N144" s="683">
        <v>0</v>
      </c>
      <c r="O144" s="686"/>
      <c r="P144" s="683">
        <v>0</v>
      </c>
      <c r="Q144" s="687">
        <f t="shared" si="1"/>
        <v>20000</v>
      </c>
      <c r="R144" s="687"/>
      <c r="S144" s="687"/>
      <c r="T144" s="688">
        <v>0</v>
      </c>
      <c r="U144" s="693"/>
      <c r="V144" s="690">
        <f t="shared" ref="V144:V207" si="30">IF(T144="","",T144-Q144)</f>
        <v>-20000</v>
      </c>
      <c r="W144" s="683"/>
      <c r="X144" s="474">
        <f t="shared" si="20"/>
        <v>0</v>
      </c>
      <c r="Y144" s="474">
        <f t="shared" si="21"/>
        <v>20000</v>
      </c>
      <c r="Z144" s="475">
        <f t="shared" si="22"/>
        <v>0</v>
      </c>
      <c r="AA144" s="475">
        <v>0</v>
      </c>
      <c r="AB144" s="476">
        <v>0</v>
      </c>
      <c r="AC144" s="38">
        <f t="shared" si="23"/>
        <v>0</v>
      </c>
      <c r="AD144" s="692">
        <f t="shared" si="17"/>
        <v>0</v>
      </c>
      <c r="AE144" s="692">
        <f t="shared" si="18"/>
        <v>-17000</v>
      </c>
      <c r="AF144" s="692">
        <f t="shared" si="19"/>
        <v>0</v>
      </c>
      <c r="AG144" s="38"/>
      <c r="AH144" s="692">
        <f t="shared" si="24"/>
        <v>0</v>
      </c>
      <c r="AI144" s="692">
        <f t="shared" si="25"/>
        <v>20000</v>
      </c>
      <c r="AJ144" s="692">
        <f t="shared" si="26"/>
        <v>0</v>
      </c>
      <c r="AL144" s="38">
        <f t="shared" si="27"/>
        <v>3000</v>
      </c>
      <c r="AM144" s="68" t="s">
        <v>465</v>
      </c>
    </row>
    <row r="145" spans="1:39">
      <c r="A145" s="21"/>
      <c r="B145" s="21" t="s">
        <v>110</v>
      </c>
      <c r="C145" s="666" t="s">
        <v>556</v>
      </c>
      <c r="D145" s="68" t="s">
        <v>261</v>
      </c>
      <c r="E145" s="679"/>
      <c r="F145" s="529">
        <f>VLOOKUP(D145,'Oct13 Revenue'!D:V,19,FALSE)</f>
        <v>-16700.75</v>
      </c>
      <c r="G145" s="680"/>
      <c r="H145" s="680"/>
      <c r="I145" s="755"/>
      <c r="J145" s="682">
        <f t="shared" si="16"/>
        <v>-16700.75</v>
      </c>
      <c r="K145" s="683"/>
      <c r="L145" s="684"/>
      <c r="M145" s="753">
        <v>270000</v>
      </c>
      <c r="N145" s="683">
        <v>0</v>
      </c>
      <c r="O145" s="686"/>
      <c r="P145" s="683">
        <v>0</v>
      </c>
      <c r="Q145" s="687">
        <f t="shared" si="1"/>
        <v>270000</v>
      </c>
      <c r="R145" s="687"/>
      <c r="S145" s="687"/>
      <c r="T145" s="688">
        <f>283949.78-T146</f>
        <v>268260</v>
      </c>
      <c r="U145" s="693"/>
      <c r="V145" s="690">
        <f t="shared" si="30"/>
        <v>-1740</v>
      </c>
      <c r="W145" s="683"/>
      <c r="X145" s="474">
        <f t="shared" si="20"/>
        <v>270000</v>
      </c>
      <c r="Y145" s="474">
        <f t="shared" si="21"/>
        <v>0</v>
      </c>
      <c r="Z145" s="475">
        <f t="shared" si="22"/>
        <v>0</v>
      </c>
      <c r="AA145" s="475">
        <v>0</v>
      </c>
      <c r="AB145" s="476">
        <v>0</v>
      </c>
      <c r="AC145" s="38">
        <f t="shared" si="23"/>
        <v>0</v>
      </c>
      <c r="AD145" s="692">
        <f t="shared" si="17"/>
        <v>-16700.75</v>
      </c>
      <c r="AE145" s="692">
        <f t="shared" si="18"/>
        <v>0</v>
      </c>
      <c r="AF145" s="692">
        <f t="shared" si="19"/>
        <v>0</v>
      </c>
      <c r="AG145" s="38"/>
      <c r="AH145" s="692">
        <f t="shared" si="24"/>
        <v>270000</v>
      </c>
      <c r="AI145" s="692">
        <f t="shared" si="25"/>
        <v>0</v>
      </c>
      <c r="AJ145" s="692">
        <f t="shared" si="26"/>
        <v>0</v>
      </c>
      <c r="AL145" s="38">
        <f t="shared" si="27"/>
        <v>253299.25</v>
      </c>
      <c r="AM145" s="68" t="s">
        <v>261</v>
      </c>
    </row>
    <row r="146" spans="1:39" s="269" customFormat="1">
      <c r="A146" s="21"/>
      <c r="B146" s="21" t="s">
        <v>110</v>
      </c>
      <c r="C146" s="666" t="s">
        <v>556</v>
      </c>
      <c r="D146" s="68" t="s">
        <v>262</v>
      </c>
      <c r="E146" s="679"/>
      <c r="F146" s="529">
        <f>VLOOKUP(D146,'Oct13 Revenue'!D:V,19,FALSE)</f>
        <v>-3106.2000000000007</v>
      </c>
      <c r="G146" s="680"/>
      <c r="H146" s="680"/>
      <c r="I146" s="755"/>
      <c r="J146" s="682">
        <f t="shared" si="16"/>
        <v>-3106.2000000000007</v>
      </c>
      <c r="K146" s="683"/>
      <c r="L146" s="684"/>
      <c r="M146" s="753">
        <v>15000</v>
      </c>
      <c r="N146" s="683">
        <v>0</v>
      </c>
      <c r="O146" s="686"/>
      <c r="P146" s="683">
        <v>0</v>
      </c>
      <c r="Q146" s="687">
        <f t="shared" si="1"/>
        <v>15000</v>
      </c>
      <c r="R146" s="687"/>
      <c r="S146" s="687"/>
      <c r="T146" s="688">
        <v>15689.78</v>
      </c>
      <c r="U146" s="693"/>
      <c r="V146" s="690">
        <f t="shared" si="30"/>
        <v>689.78000000000065</v>
      </c>
      <c r="W146" s="683"/>
      <c r="X146" s="474">
        <f t="shared" si="20"/>
        <v>15000</v>
      </c>
      <c r="Y146" s="474">
        <f t="shared" si="21"/>
        <v>0</v>
      </c>
      <c r="Z146" s="475">
        <f t="shared" si="22"/>
        <v>0</v>
      </c>
      <c r="AA146" s="475">
        <v>0</v>
      </c>
      <c r="AB146" s="476">
        <v>0</v>
      </c>
      <c r="AC146" s="38">
        <f t="shared" si="23"/>
        <v>0</v>
      </c>
      <c r="AD146" s="692">
        <f t="shared" si="17"/>
        <v>-3106.2000000000007</v>
      </c>
      <c r="AE146" s="692">
        <f t="shared" si="18"/>
        <v>0</v>
      </c>
      <c r="AF146" s="692">
        <f t="shared" si="19"/>
        <v>0</v>
      </c>
      <c r="AG146" s="38"/>
      <c r="AH146" s="692">
        <f t="shared" si="24"/>
        <v>15000</v>
      </c>
      <c r="AI146" s="692">
        <f t="shared" si="25"/>
        <v>0</v>
      </c>
      <c r="AJ146" s="692">
        <f t="shared" si="26"/>
        <v>0</v>
      </c>
      <c r="AL146" s="38">
        <f t="shared" si="27"/>
        <v>11893.8</v>
      </c>
      <c r="AM146" s="68" t="s">
        <v>262</v>
      </c>
    </row>
    <row r="147" spans="1:39" s="269" customFormat="1">
      <c r="A147" s="21"/>
      <c r="B147" s="21" t="s">
        <v>114</v>
      </c>
      <c r="C147" s="675" t="s">
        <v>619</v>
      </c>
      <c r="D147" s="68" t="s">
        <v>626</v>
      </c>
      <c r="E147" s="679"/>
      <c r="F147" s="529">
        <f>VLOOKUP(D147,'Oct13 Revenue'!D:V,19,FALSE)</f>
        <v>0</v>
      </c>
      <c r="G147" s="680"/>
      <c r="H147" s="680"/>
      <c r="I147" s="770">
        <v>5508.98</v>
      </c>
      <c r="J147" s="682">
        <f t="shared" si="16"/>
        <v>5508.98</v>
      </c>
      <c r="K147" s="683"/>
      <c r="L147" s="684"/>
      <c r="M147" s="753"/>
      <c r="N147" s="683">
        <v>0</v>
      </c>
      <c r="O147" s="686"/>
      <c r="P147" s="683">
        <v>0</v>
      </c>
      <c r="Q147" s="687">
        <f t="shared" ref="Q147:Q214" si="31">L147+M147</f>
        <v>0</v>
      </c>
      <c r="R147" s="687"/>
      <c r="S147" s="687"/>
      <c r="T147" s="688">
        <v>0</v>
      </c>
      <c r="U147" s="693"/>
      <c r="V147" s="690">
        <f t="shared" si="30"/>
        <v>0</v>
      </c>
      <c r="W147" s="683"/>
      <c r="X147" s="474">
        <f t="shared" si="20"/>
        <v>0</v>
      </c>
      <c r="Y147" s="474">
        <f t="shared" si="21"/>
        <v>0</v>
      </c>
      <c r="Z147" s="475">
        <f t="shared" si="22"/>
        <v>0</v>
      </c>
      <c r="AA147" s="475">
        <v>0</v>
      </c>
      <c r="AB147" s="476">
        <v>0</v>
      </c>
      <c r="AC147" s="38">
        <f t="shared" si="23"/>
        <v>0</v>
      </c>
      <c r="AD147" s="692">
        <f t="shared" si="17"/>
        <v>0</v>
      </c>
      <c r="AE147" s="692">
        <f t="shared" si="18"/>
        <v>0</v>
      </c>
      <c r="AF147" s="692">
        <f t="shared" si="19"/>
        <v>5508.98</v>
      </c>
      <c r="AG147" s="38"/>
      <c r="AH147" s="692">
        <f t="shared" si="24"/>
        <v>0</v>
      </c>
      <c r="AI147" s="692">
        <f t="shared" si="25"/>
        <v>0</v>
      </c>
      <c r="AJ147" s="692">
        <f t="shared" si="26"/>
        <v>0</v>
      </c>
      <c r="AL147" s="38">
        <f t="shared" si="27"/>
        <v>5508.98</v>
      </c>
      <c r="AM147" s="68" t="s">
        <v>626</v>
      </c>
    </row>
    <row r="148" spans="1:39">
      <c r="A148" s="21"/>
      <c r="B148" s="21" t="s">
        <v>109</v>
      </c>
      <c r="C148" s="666"/>
      <c r="D148" s="68" t="s">
        <v>396</v>
      </c>
      <c r="E148" s="679"/>
      <c r="F148" s="529">
        <f>VLOOKUP(D148,'Oct13 Revenue'!D:V,19,FALSE)</f>
        <v>6.89</v>
      </c>
      <c r="G148" s="680"/>
      <c r="H148" s="680"/>
      <c r="I148" s="755"/>
      <c r="J148" s="682">
        <f t="shared" si="16"/>
        <v>6.89</v>
      </c>
      <c r="K148" s="683"/>
      <c r="L148" s="684"/>
      <c r="M148" s="753"/>
      <c r="N148" s="683">
        <v>0</v>
      </c>
      <c r="O148" s="686"/>
      <c r="P148" s="683">
        <v>0</v>
      </c>
      <c r="Q148" s="687">
        <f t="shared" si="31"/>
        <v>0</v>
      </c>
      <c r="R148" s="687"/>
      <c r="S148" s="687"/>
      <c r="T148" s="688">
        <v>2.7</v>
      </c>
      <c r="U148" s="693"/>
      <c r="V148" s="690">
        <f t="shared" si="30"/>
        <v>2.7</v>
      </c>
      <c r="W148" s="683"/>
      <c r="X148" s="474">
        <f t="shared" si="20"/>
        <v>0</v>
      </c>
      <c r="Y148" s="474">
        <f t="shared" si="21"/>
        <v>0</v>
      </c>
      <c r="Z148" s="475">
        <f t="shared" si="22"/>
        <v>0</v>
      </c>
      <c r="AA148" s="475">
        <v>0</v>
      </c>
      <c r="AB148" s="476">
        <v>0</v>
      </c>
      <c r="AC148" s="38">
        <f t="shared" si="23"/>
        <v>0</v>
      </c>
      <c r="AD148" s="692">
        <f t="shared" si="17"/>
        <v>0</v>
      </c>
      <c r="AE148" s="692">
        <f t="shared" si="18"/>
        <v>6.89</v>
      </c>
      <c r="AF148" s="692">
        <f t="shared" si="19"/>
        <v>0</v>
      </c>
      <c r="AG148" s="38"/>
      <c r="AH148" s="692">
        <f t="shared" si="24"/>
        <v>0</v>
      </c>
      <c r="AI148" s="692">
        <f t="shared" si="25"/>
        <v>0</v>
      </c>
      <c r="AJ148" s="692">
        <f t="shared" si="26"/>
        <v>0</v>
      </c>
      <c r="AL148" s="38">
        <f t="shared" si="27"/>
        <v>6.89</v>
      </c>
      <c r="AM148" s="68" t="s">
        <v>396</v>
      </c>
    </row>
    <row r="149" spans="1:39">
      <c r="A149" s="20"/>
      <c r="B149" s="20" t="s">
        <v>109</v>
      </c>
      <c r="C149" s="667" t="s">
        <v>557</v>
      </c>
      <c r="D149" s="68" t="s">
        <v>32</v>
      </c>
      <c r="E149" s="679"/>
      <c r="F149" s="529">
        <f>VLOOKUP(D149,'Oct13 Revenue'!D:V,19,FALSE)</f>
        <v>0</v>
      </c>
      <c r="G149" s="680"/>
      <c r="H149" s="680"/>
      <c r="I149" s="755"/>
      <c r="J149" s="682">
        <f t="shared" si="16"/>
        <v>0</v>
      </c>
      <c r="K149" s="683"/>
      <c r="L149" s="684"/>
      <c r="M149" s="753"/>
      <c r="N149" s="683">
        <v>0</v>
      </c>
      <c r="O149" s="686"/>
      <c r="P149" s="683">
        <v>0</v>
      </c>
      <c r="Q149" s="687">
        <f t="shared" si="31"/>
        <v>0</v>
      </c>
      <c r="R149" s="687"/>
      <c r="S149" s="687"/>
      <c r="T149" s="688">
        <v>0</v>
      </c>
      <c r="U149" s="693"/>
      <c r="V149" s="690">
        <f t="shared" si="30"/>
        <v>0</v>
      </c>
      <c r="W149" s="683"/>
      <c r="X149" s="474">
        <f t="shared" si="20"/>
        <v>0</v>
      </c>
      <c r="Y149" s="474">
        <f t="shared" si="21"/>
        <v>0</v>
      </c>
      <c r="Z149" s="475">
        <f t="shared" si="22"/>
        <v>0</v>
      </c>
      <c r="AA149" s="475">
        <v>0</v>
      </c>
      <c r="AB149" s="476">
        <v>0</v>
      </c>
      <c r="AC149" s="38">
        <f t="shared" si="23"/>
        <v>0</v>
      </c>
      <c r="AD149" s="692">
        <f t="shared" si="17"/>
        <v>0</v>
      </c>
      <c r="AE149" s="692">
        <f t="shared" si="18"/>
        <v>0</v>
      </c>
      <c r="AF149" s="692">
        <f t="shared" si="19"/>
        <v>0</v>
      </c>
      <c r="AG149" s="38"/>
      <c r="AH149" s="692">
        <f t="shared" si="24"/>
        <v>0</v>
      </c>
      <c r="AI149" s="692">
        <f t="shared" si="25"/>
        <v>0</v>
      </c>
      <c r="AJ149" s="692">
        <f t="shared" si="26"/>
        <v>0</v>
      </c>
      <c r="AL149" s="38">
        <f t="shared" si="27"/>
        <v>0</v>
      </c>
      <c r="AM149" s="68" t="s">
        <v>32</v>
      </c>
    </row>
    <row r="150" spans="1:39">
      <c r="A150" s="21"/>
      <c r="B150" s="21" t="s">
        <v>110</v>
      </c>
      <c r="C150" s="666"/>
      <c r="D150" s="68" t="s">
        <v>448</v>
      </c>
      <c r="E150" s="679"/>
      <c r="F150" s="529">
        <f>VLOOKUP(D150,'Oct13 Revenue'!D:V,19,FALSE)</f>
        <v>0</v>
      </c>
      <c r="G150" s="680"/>
      <c r="H150" s="680"/>
      <c r="I150" s="755"/>
      <c r="J150" s="682">
        <f t="shared" si="16"/>
        <v>0</v>
      </c>
      <c r="K150" s="683"/>
      <c r="L150" s="684"/>
      <c r="M150" s="753"/>
      <c r="N150" s="683">
        <v>0</v>
      </c>
      <c r="O150" s="686"/>
      <c r="P150" s="683">
        <v>0</v>
      </c>
      <c r="Q150" s="687">
        <f t="shared" si="31"/>
        <v>0</v>
      </c>
      <c r="R150" s="687"/>
      <c r="S150" s="687"/>
      <c r="T150" s="688">
        <v>0</v>
      </c>
      <c r="U150" s="693"/>
      <c r="V150" s="690">
        <f t="shared" si="30"/>
        <v>0</v>
      </c>
      <c r="W150" s="683"/>
      <c r="X150" s="474">
        <f t="shared" si="20"/>
        <v>0</v>
      </c>
      <c r="Y150" s="474">
        <f t="shared" si="21"/>
        <v>0</v>
      </c>
      <c r="Z150" s="475">
        <f t="shared" si="22"/>
        <v>0</v>
      </c>
      <c r="AA150" s="475">
        <v>0</v>
      </c>
      <c r="AB150" s="476">
        <v>0</v>
      </c>
      <c r="AC150" s="38">
        <f t="shared" si="23"/>
        <v>0</v>
      </c>
      <c r="AD150" s="692">
        <f t="shared" si="17"/>
        <v>0</v>
      </c>
      <c r="AE150" s="692">
        <f t="shared" si="18"/>
        <v>0</v>
      </c>
      <c r="AF150" s="692">
        <f t="shared" si="19"/>
        <v>0</v>
      </c>
      <c r="AG150" s="38"/>
      <c r="AH150" s="692">
        <f t="shared" si="24"/>
        <v>0</v>
      </c>
      <c r="AI150" s="692">
        <f t="shared" si="25"/>
        <v>0</v>
      </c>
      <c r="AJ150" s="692">
        <f t="shared" si="26"/>
        <v>0</v>
      </c>
      <c r="AL150" s="38">
        <f t="shared" si="27"/>
        <v>0</v>
      </c>
      <c r="AM150" s="68" t="s">
        <v>448</v>
      </c>
    </row>
    <row r="151" spans="1:39">
      <c r="A151" s="21"/>
      <c r="B151" s="21" t="s">
        <v>114</v>
      </c>
      <c r="C151" s="666"/>
      <c r="D151" s="68" t="s">
        <v>936</v>
      </c>
      <c r="E151" s="679"/>
      <c r="F151" s="529">
        <f>VLOOKUP(D151,'Oct13 Revenue'!D:V,19,FALSE)</f>
        <v>0</v>
      </c>
      <c r="G151" s="680"/>
      <c r="H151" s="680"/>
      <c r="I151" s="755"/>
      <c r="J151" s="682">
        <f t="shared" si="16"/>
        <v>0</v>
      </c>
      <c r="K151" s="683"/>
      <c r="L151" s="684"/>
      <c r="M151" s="753"/>
      <c r="N151" s="683">
        <v>0</v>
      </c>
      <c r="O151" s="686"/>
      <c r="P151" s="683">
        <v>0</v>
      </c>
      <c r="Q151" s="687">
        <f t="shared" si="31"/>
        <v>0</v>
      </c>
      <c r="R151" s="687"/>
      <c r="S151" s="687"/>
      <c r="T151" s="688">
        <v>0</v>
      </c>
      <c r="U151" s="693"/>
      <c r="V151" s="690">
        <f t="shared" si="30"/>
        <v>0</v>
      </c>
      <c r="W151" s="683"/>
      <c r="X151" s="474">
        <f t="shared" si="20"/>
        <v>0</v>
      </c>
      <c r="Y151" s="474">
        <f t="shared" si="21"/>
        <v>0</v>
      </c>
      <c r="Z151" s="475">
        <f t="shared" si="22"/>
        <v>0</v>
      </c>
      <c r="AA151" s="475">
        <v>0</v>
      </c>
      <c r="AB151" s="476">
        <v>0</v>
      </c>
      <c r="AC151" s="38">
        <f t="shared" si="23"/>
        <v>0</v>
      </c>
      <c r="AD151" s="692">
        <f t="shared" si="17"/>
        <v>0</v>
      </c>
      <c r="AE151" s="692">
        <f t="shared" si="18"/>
        <v>0</v>
      </c>
      <c r="AF151" s="692">
        <f t="shared" si="19"/>
        <v>0</v>
      </c>
      <c r="AG151" s="38"/>
      <c r="AH151" s="692">
        <f t="shared" si="24"/>
        <v>0</v>
      </c>
      <c r="AI151" s="692">
        <f t="shared" si="25"/>
        <v>0</v>
      </c>
      <c r="AJ151" s="692">
        <f t="shared" si="26"/>
        <v>0</v>
      </c>
      <c r="AL151" s="38">
        <f t="shared" si="27"/>
        <v>0</v>
      </c>
      <c r="AM151" s="68" t="s">
        <v>936</v>
      </c>
    </row>
    <row r="152" spans="1:39">
      <c r="A152" s="21"/>
      <c r="B152" s="21" t="s">
        <v>110</v>
      </c>
      <c r="C152" s="666"/>
      <c r="D152" s="68" t="s">
        <v>877</v>
      </c>
      <c r="E152" s="679"/>
      <c r="F152" s="529">
        <f>VLOOKUP(D152,'Oct13 Revenue'!D:V,19,FALSE)</f>
        <v>0</v>
      </c>
      <c r="G152" s="680"/>
      <c r="H152" s="680"/>
      <c r="I152" s="755"/>
      <c r="J152" s="682">
        <f t="shared" si="16"/>
        <v>0</v>
      </c>
      <c r="K152" s="683"/>
      <c r="L152" s="684"/>
      <c r="M152" s="753"/>
      <c r="N152" s="683">
        <v>0</v>
      </c>
      <c r="O152" s="686"/>
      <c r="P152" s="683">
        <v>0</v>
      </c>
      <c r="Q152" s="687">
        <f t="shared" si="31"/>
        <v>0</v>
      </c>
      <c r="R152" s="687"/>
      <c r="S152" s="687"/>
      <c r="T152" s="688">
        <v>0</v>
      </c>
      <c r="U152" s="693"/>
      <c r="V152" s="690">
        <f t="shared" si="30"/>
        <v>0</v>
      </c>
      <c r="W152" s="683"/>
      <c r="X152" s="474">
        <f t="shared" si="20"/>
        <v>0</v>
      </c>
      <c r="Y152" s="474">
        <f t="shared" si="21"/>
        <v>0</v>
      </c>
      <c r="Z152" s="475">
        <f t="shared" si="22"/>
        <v>0</v>
      </c>
      <c r="AA152" s="475">
        <v>0</v>
      </c>
      <c r="AB152" s="476">
        <v>0</v>
      </c>
      <c r="AC152" s="38">
        <f t="shared" si="23"/>
        <v>0</v>
      </c>
      <c r="AD152" s="692">
        <f t="shared" si="17"/>
        <v>0</v>
      </c>
      <c r="AE152" s="692">
        <f t="shared" si="18"/>
        <v>0</v>
      </c>
      <c r="AF152" s="692">
        <f t="shared" si="19"/>
        <v>0</v>
      </c>
      <c r="AG152" s="38"/>
      <c r="AH152" s="692">
        <f t="shared" si="24"/>
        <v>0</v>
      </c>
      <c r="AI152" s="692">
        <f t="shared" si="25"/>
        <v>0</v>
      </c>
      <c r="AJ152" s="692">
        <f t="shared" si="26"/>
        <v>0</v>
      </c>
      <c r="AL152" s="38">
        <f t="shared" si="27"/>
        <v>0</v>
      </c>
      <c r="AM152" s="68" t="s">
        <v>877</v>
      </c>
    </row>
    <row r="153" spans="1:39">
      <c r="A153" s="21"/>
      <c r="B153" s="21" t="s">
        <v>110</v>
      </c>
      <c r="C153" s="666" t="s">
        <v>558</v>
      </c>
      <c r="D153" s="68" t="s">
        <v>122</v>
      </c>
      <c r="E153" s="679"/>
      <c r="F153" s="529">
        <f>VLOOKUP(D153,'Oct13 Revenue'!D:V,19,FALSE)</f>
        <v>0</v>
      </c>
      <c r="G153" s="680"/>
      <c r="H153" s="680"/>
      <c r="I153" s="755"/>
      <c r="J153" s="682">
        <f t="shared" si="16"/>
        <v>0</v>
      </c>
      <c r="K153" s="683"/>
      <c r="L153" s="684"/>
      <c r="M153" s="753"/>
      <c r="N153" s="683">
        <v>0</v>
      </c>
      <c r="O153" s="686"/>
      <c r="P153" s="683">
        <v>0</v>
      </c>
      <c r="Q153" s="687">
        <f t="shared" si="31"/>
        <v>0</v>
      </c>
      <c r="R153" s="687"/>
      <c r="S153" s="687"/>
      <c r="T153" s="688">
        <v>0</v>
      </c>
      <c r="U153" s="693"/>
      <c r="V153" s="690">
        <f t="shared" si="30"/>
        <v>0</v>
      </c>
      <c r="W153" s="683"/>
      <c r="X153" s="474">
        <f t="shared" si="20"/>
        <v>0</v>
      </c>
      <c r="Y153" s="474">
        <f t="shared" si="21"/>
        <v>0</v>
      </c>
      <c r="Z153" s="475">
        <f t="shared" si="22"/>
        <v>0</v>
      </c>
      <c r="AA153" s="475">
        <v>0</v>
      </c>
      <c r="AB153" s="476">
        <v>0</v>
      </c>
      <c r="AC153" s="38">
        <f t="shared" si="23"/>
        <v>0</v>
      </c>
      <c r="AD153" s="692">
        <f t="shared" si="17"/>
        <v>0</v>
      </c>
      <c r="AE153" s="692">
        <f t="shared" si="18"/>
        <v>0</v>
      </c>
      <c r="AF153" s="692">
        <f t="shared" si="19"/>
        <v>0</v>
      </c>
      <c r="AG153" s="38"/>
      <c r="AH153" s="692">
        <f t="shared" si="24"/>
        <v>0</v>
      </c>
      <c r="AI153" s="692">
        <f t="shared" si="25"/>
        <v>0</v>
      </c>
      <c r="AJ153" s="692">
        <f t="shared" si="26"/>
        <v>0</v>
      </c>
      <c r="AL153" s="38">
        <f t="shared" si="27"/>
        <v>0</v>
      </c>
      <c r="AM153" s="68" t="s">
        <v>122</v>
      </c>
    </row>
    <row r="154" spans="1:39">
      <c r="A154" s="21"/>
      <c r="B154" s="21" t="s">
        <v>114</v>
      </c>
      <c r="C154" s="666" t="s">
        <v>558</v>
      </c>
      <c r="D154" s="68" t="s">
        <v>629</v>
      </c>
      <c r="E154" s="679"/>
      <c r="F154" s="529">
        <f>VLOOKUP(D154,'Oct13 Revenue'!D:V,19,FALSE)</f>
        <v>0</v>
      </c>
      <c r="G154" s="680"/>
      <c r="H154" s="680"/>
      <c r="I154" s="755"/>
      <c r="J154" s="682">
        <f t="shared" ref="J154:J218" si="32">SUM(E154:I154)</f>
        <v>0</v>
      </c>
      <c r="K154" s="683"/>
      <c r="L154" s="684"/>
      <c r="M154" s="753"/>
      <c r="N154" s="683">
        <v>0</v>
      </c>
      <c r="O154" s="686"/>
      <c r="P154" s="683">
        <v>0</v>
      </c>
      <c r="Q154" s="687">
        <f t="shared" si="31"/>
        <v>0</v>
      </c>
      <c r="R154" s="687"/>
      <c r="S154" s="687"/>
      <c r="T154" s="688">
        <v>0</v>
      </c>
      <c r="U154" s="693"/>
      <c r="V154" s="690">
        <f t="shared" si="30"/>
        <v>0</v>
      </c>
      <c r="W154" s="683"/>
      <c r="X154" s="474">
        <f t="shared" si="20"/>
        <v>0</v>
      </c>
      <c r="Y154" s="474">
        <f t="shared" si="21"/>
        <v>0</v>
      </c>
      <c r="Z154" s="475">
        <f t="shared" si="22"/>
        <v>0</v>
      </c>
      <c r="AA154" s="475">
        <v>0</v>
      </c>
      <c r="AB154" s="476">
        <v>0</v>
      </c>
      <c r="AC154" s="38">
        <f t="shared" si="23"/>
        <v>0</v>
      </c>
      <c r="AD154" s="692">
        <f t="shared" ref="AD154:AD218" si="33">IF(B154="D",J154,0)</f>
        <v>0</v>
      </c>
      <c r="AE154" s="692">
        <f t="shared" ref="AE154:AE218" si="34">IF(B154="M",J154,0)</f>
        <v>0</v>
      </c>
      <c r="AF154" s="692">
        <f t="shared" ref="AF154:AF218" si="35">IF(B154="V",J154,0)</f>
        <v>0</v>
      </c>
      <c r="AG154" s="38"/>
      <c r="AH154" s="692">
        <f t="shared" si="24"/>
        <v>0</v>
      </c>
      <c r="AI154" s="692">
        <f t="shared" si="25"/>
        <v>0</v>
      </c>
      <c r="AJ154" s="692">
        <f t="shared" si="26"/>
        <v>0</v>
      </c>
      <c r="AL154" s="38">
        <f t="shared" ref="AL154:AL218" si="36">SUM(AD154:AJ154)</f>
        <v>0</v>
      </c>
      <c r="AM154" s="68" t="s">
        <v>629</v>
      </c>
    </row>
    <row r="155" spans="1:39">
      <c r="A155" s="21"/>
      <c r="B155" s="21" t="s">
        <v>109</v>
      </c>
      <c r="C155" s="666" t="s">
        <v>559</v>
      </c>
      <c r="D155" s="68" t="s">
        <v>33</v>
      </c>
      <c r="E155" s="679"/>
      <c r="F155" s="529">
        <f>VLOOKUP(D155,'Oct13 Revenue'!D:V,19,FALSE)</f>
        <v>0</v>
      </c>
      <c r="G155" s="680"/>
      <c r="H155" s="680"/>
      <c r="I155" s="755"/>
      <c r="J155" s="682">
        <f t="shared" si="32"/>
        <v>0</v>
      </c>
      <c r="K155" s="683"/>
      <c r="L155" s="684"/>
      <c r="M155" s="753"/>
      <c r="N155" s="683">
        <v>0</v>
      </c>
      <c r="O155" s="686"/>
      <c r="P155" s="683">
        <v>0</v>
      </c>
      <c r="Q155" s="687">
        <f t="shared" si="31"/>
        <v>0</v>
      </c>
      <c r="R155" s="687"/>
      <c r="S155" s="687"/>
      <c r="T155" s="688">
        <v>0</v>
      </c>
      <c r="U155" s="693"/>
      <c r="V155" s="690">
        <f t="shared" si="30"/>
        <v>0</v>
      </c>
      <c r="W155" s="683"/>
      <c r="X155" s="474">
        <f t="shared" si="20"/>
        <v>0</v>
      </c>
      <c r="Y155" s="474">
        <f t="shared" si="21"/>
        <v>0</v>
      </c>
      <c r="Z155" s="475">
        <f t="shared" si="22"/>
        <v>0</v>
      </c>
      <c r="AA155" s="475">
        <v>0</v>
      </c>
      <c r="AB155" s="476">
        <v>0</v>
      </c>
      <c r="AC155" s="38">
        <f t="shared" si="23"/>
        <v>0</v>
      </c>
      <c r="AD155" s="692">
        <f t="shared" si="33"/>
        <v>0</v>
      </c>
      <c r="AE155" s="692">
        <f t="shared" si="34"/>
        <v>0</v>
      </c>
      <c r="AF155" s="692">
        <f t="shared" si="35"/>
        <v>0</v>
      </c>
      <c r="AG155" s="38"/>
      <c r="AH155" s="692">
        <f t="shared" ref="AH155:AH219" si="37">IF(B155="D",Q155,0)</f>
        <v>0</v>
      </c>
      <c r="AI155" s="692">
        <f t="shared" ref="AI155:AI219" si="38">IF(B155="M",Q155,0)</f>
        <v>0</v>
      </c>
      <c r="AJ155" s="692">
        <f t="shared" ref="AJ155:AJ219" si="39">IF(B155="V",Q155,0)</f>
        <v>0</v>
      </c>
      <c r="AL155" s="38">
        <f t="shared" si="36"/>
        <v>0</v>
      </c>
      <c r="AM155" s="68" t="s">
        <v>33</v>
      </c>
    </row>
    <row r="156" spans="1:39">
      <c r="A156" s="21"/>
      <c r="B156" s="21" t="s">
        <v>109</v>
      </c>
      <c r="C156" s="666" t="s">
        <v>560</v>
      </c>
      <c r="D156" s="68" t="s">
        <v>379</v>
      </c>
      <c r="E156" s="679"/>
      <c r="F156" s="529">
        <f>VLOOKUP(D156,'Oct13 Revenue'!D:V,19,FALSE)</f>
        <v>0</v>
      </c>
      <c r="G156" s="680"/>
      <c r="H156" s="680"/>
      <c r="I156" s="755"/>
      <c r="J156" s="682">
        <f t="shared" si="32"/>
        <v>0</v>
      </c>
      <c r="K156" s="683"/>
      <c r="L156" s="684"/>
      <c r="M156" s="753"/>
      <c r="N156" s="683">
        <v>0</v>
      </c>
      <c r="O156" s="686"/>
      <c r="P156" s="683">
        <v>0</v>
      </c>
      <c r="Q156" s="687">
        <f t="shared" si="31"/>
        <v>0</v>
      </c>
      <c r="R156" s="687"/>
      <c r="S156" s="687"/>
      <c r="T156" s="688">
        <v>0</v>
      </c>
      <c r="U156" s="693"/>
      <c r="V156" s="690">
        <f t="shared" si="30"/>
        <v>0</v>
      </c>
      <c r="W156" s="683"/>
      <c r="X156" s="474">
        <f t="shared" ref="X156:X220" si="40">IF(B156="D",Q156,0)</f>
        <v>0</v>
      </c>
      <c r="Y156" s="474">
        <f t="shared" ref="Y156:Y220" si="41">IF(B156="M",Q156,0)</f>
        <v>0</v>
      </c>
      <c r="Z156" s="475">
        <f t="shared" ref="Z156:Z220" si="42">IF(B156="V",Q156,0)</f>
        <v>0</v>
      </c>
      <c r="AA156" s="475">
        <v>0</v>
      </c>
      <c r="AB156" s="476">
        <v>0</v>
      </c>
      <c r="AC156" s="38">
        <f t="shared" ref="AC156:AC220" si="43">(L156+M156)-(X156+Y156+Z156+AA156+AB156)</f>
        <v>0</v>
      </c>
      <c r="AD156" s="692">
        <f t="shared" si="33"/>
        <v>0</v>
      </c>
      <c r="AE156" s="692">
        <f t="shared" si="34"/>
        <v>0</v>
      </c>
      <c r="AF156" s="692">
        <f t="shared" si="35"/>
        <v>0</v>
      </c>
      <c r="AG156" s="38"/>
      <c r="AH156" s="692">
        <f t="shared" si="37"/>
        <v>0</v>
      </c>
      <c r="AI156" s="692">
        <f t="shared" si="38"/>
        <v>0</v>
      </c>
      <c r="AJ156" s="692">
        <f t="shared" si="39"/>
        <v>0</v>
      </c>
      <c r="AL156" s="38">
        <f t="shared" si="36"/>
        <v>0</v>
      </c>
      <c r="AM156" s="68" t="s">
        <v>379</v>
      </c>
    </row>
    <row r="157" spans="1:39" s="232" customFormat="1">
      <c r="A157" s="283"/>
      <c r="B157" s="283" t="s">
        <v>114</v>
      </c>
      <c r="C157" s="667"/>
      <c r="D157" s="567" t="s">
        <v>408</v>
      </c>
      <c r="E157" s="679"/>
      <c r="F157" s="529">
        <f>VLOOKUP(D157,'Oct13 Revenue'!D:V,19,FALSE)</f>
        <v>0</v>
      </c>
      <c r="G157" s="680"/>
      <c r="H157" s="680"/>
      <c r="I157" s="770">
        <v>10835</v>
      </c>
      <c r="J157" s="682">
        <f t="shared" si="32"/>
        <v>10835</v>
      </c>
      <c r="K157" s="683"/>
      <c r="L157" s="684"/>
      <c r="M157" s="753"/>
      <c r="N157" s="683">
        <v>0</v>
      </c>
      <c r="O157" s="686"/>
      <c r="P157" s="683">
        <v>0</v>
      </c>
      <c r="Q157" s="687">
        <f t="shared" si="31"/>
        <v>0</v>
      </c>
      <c r="R157" s="687"/>
      <c r="S157" s="687"/>
      <c r="T157" s="688">
        <v>0</v>
      </c>
      <c r="U157" s="693"/>
      <c r="V157" s="690">
        <f t="shared" si="30"/>
        <v>0</v>
      </c>
      <c r="W157" s="683"/>
      <c r="X157" s="474">
        <f t="shared" si="40"/>
        <v>0</v>
      </c>
      <c r="Y157" s="474">
        <f t="shared" si="41"/>
        <v>0</v>
      </c>
      <c r="Z157" s="475">
        <f t="shared" si="42"/>
        <v>0</v>
      </c>
      <c r="AA157" s="475">
        <v>0</v>
      </c>
      <c r="AB157" s="476">
        <v>0</v>
      </c>
      <c r="AC157" s="38">
        <f t="shared" si="43"/>
        <v>0</v>
      </c>
      <c r="AD157" s="692">
        <f t="shared" si="33"/>
        <v>0</v>
      </c>
      <c r="AE157" s="692">
        <f t="shared" si="34"/>
        <v>0</v>
      </c>
      <c r="AF157" s="692">
        <f t="shared" si="35"/>
        <v>10835</v>
      </c>
      <c r="AG157" s="38"/>
      <c r="AH157" s="692">
        <f t="shared" si="37"/>
        <v>0</v>
      </c>
      <c r="AI157" s="692">
        <f t="shared" si="38"/>
        <v>0</v>
      </c>
      <c r="AJ157" s="692">
        <f t="shared" si="39"/>
        <v>0</v>
      </c>
      <c r="AL157" s="38">
        <f t="shared" si="36"/>
        <v>10835</v>
      </c>
      <c r="AM157" s="567" t="s">
        <v>408</v>
      </c>
    </row>
    <row r="158" spans="1:39" s="232" customFormat="1">
      <c r="A158" s="283"/>
      <c r="B158" s="283" t="s">
        <v>110</v>
      </c>
      <c r="C158" s="667"/>
      <c r="D158" s="567" t="s">
        <v>445</v>
      </c>
      <c r="E158" s="679"/>
      <c r="F158" s="529">
        <f>VLOOKUP(D158,'Oct13 Revenue'!D:V,19,FALSE)</f>
        <v>0</v>
      </c>
      <c r="G158" s="680"/>
      <c r="H158" s="680"/>
      <c r="I158" s="755"/>
      <c r="J158" s="682">
        <f t="shared" si="32"/>
        <v>0</v>
      </c>
      <c r="K158" s="683"/>
      <c r="L158" s="684"/>
      <c r="M158" s="753"/>
      <c r="N158" s="683">
        <v>0</v>
      </c>
      <c r="O158" s="686"/>
      <c r="P158" s="683">
        <v>0</v>
      </c>
      <c r="Q158" s="687">
        <f t="shared" si="31"/>
        <v>0</v>
      </c>
      <c r="R158" s="687"/>
      <c r="S158" s="687"/>
      <c r="T158" s="688">
        <v>0</v>
      </c>
      <c r="U158" s="693"/>
      <c r="V158" s="690">
        <f t="shared" si="30"/>
        <v>0</v>
      </c>
      <c r="W158" s="683"/>
      <c r="X158" s="474">
        <f t="shared" si="40"/>
        <v>0</v>
      </c>
      <c r="Y158" s="474">
        <f t="shared" si="41"/>
        <v>0</v>
      </c>
      <c r="Z158" s="475">
        <f t="shared" si="42"/>
        <v>0</v>
      </c>
      <c r="AA158" s="475">
        <v>0</v>
      </c>
      <c r="AB158" s="476">
        <v>0</v>
      </c>
      <c r="AC158" s="38">
        <f t="shared" si="43"/>
        <v>0</v>
      </c>
      <c r="AD158" s="692">
        <f t="shared" si="33"/>
        <v>0</v>
      </c>
      <c r="AE158" s="692">
        <f t="shared" si="34"/>
        <v>0</v>
      </c>
      <c r="AF158" s="692">
        <f t="shared" si="35"/>
        <v>0</v>
      </c>
      <c r="AG158" s="38"/>
      <c r="AH158" s="692">
        <f t="shared" si="37"/>
        <v>0</v>
      </c>
      <c r="AI158" s="692">
        <f t="shared" si="38"/>
        <v>0</v>
      </c>
      <c r="AJ158" s="692">
        <f t="shared" si="39"/>
        <v>0</v>
      </c>
      <c r="AL158" s="38">
        <f t="shared" si="36"/>
        <v>0</v>
      </c>
      <c r="AM158" s="567" t="s">
        <v>445</v>
      </c>
    </row>
    <row r="159" spans="1:39" s="232" customFormat="1">
      <c r="A159" s="283"/>
      <c r="B159" s="283" t="s">
        <v>109</v>
      </c>
      <c r="C159" s="667" t="s">
        <v>562</v>
      </c>
      <c r="D159" s="567" t="s">
        <v>480</v>
      </c>
      <c r="E159" s="679"/>
      <c r="F159" s="529">
        <f>VLOOKUP(D159,'Oct13 Revenue'!D:V,19,FALSE)</f>
        <v>2216.75</v>
      </c>
      <c r="G159" s="680"/>
      <c r="H159" s="680"/>
      <c r="I159" s="770">
        <v>9101.15</v>
      </c>
      <c r="J159" s="682">
        <f t="shared" si="32"/>
        <v>11317.9</v>
      </c>
      <c r="K159" s="683"/>
      <c r="L159" s="684"/>
      <c r="M159" s="753"/>
      <c r="N159" s="683">
        <v>0</v>
      </c>
      <c r="O159" s="686"/>
      <c r="P159" s="683">
        <v>0</v>
      </c>
      <c r="Q159" s="687">
        <f t="shared" si="31"/>
        <v>0</v>
      </c>
      <c r="R159" s="687"/>
      <c r="S159" s="687"/>
      <c r="T159" s="688">
        <v>0</v>
      </c>
      <c r="U159" s="693"/>
      <c r="V159" s="690">
        <f t="shared" si="30"/>
        <v>0</v>
      </c>
      <c r="W159" s="683"/>
      <c r="X159" s="474">
        <f t="shared" si="40"/>
        <v>0</v>
      </c>
      <c r="Y159" s="474">
        <f t="shared" si="41"/>
        <v>0</v>
      </c>
      <c r="Z159" s="475">
        <f t="shared" si="42"/>
        <v>0</v>
      </c>
      <c r="AA159" s="475">
        <v>0</v>
      </c>
      <c r="AB159" s="476">
        <v>0</v>
      </c>
      <c r="AC159" s="38">
        <f t="shared" si="43"/>
        <v>0</v>
      </c>
      <c r="AD159" s="692">
        <f t="shared" si="33"/>
        <v>0</v>
      </c>
      <c r="AE159" s="692">
        <f t="shared" si="34"/>
        <v>11317.9</v>
      </c>
      <c r="AF159" s="692">
        <f t="shared" si="35"/>
        <v>0</v>
      </c>
      <c r="AG159" s="38"/>
      <c r="AH159" s="692">
        <f t="shared" si="37"/>
        <v>0</v>
      </c>
      <c r="AI159" s="692">
        <f t="shared" si="38"/>
        <v>0</v>
      </c>
      <c r="AJ159" s="692">
        <f t="shared" si="39"/>
        <v>0</v>
      </c>
      <c r="AL159" s="38">
        <f t="shared" si="36"/>
        <v>11317.9</v>
      </c>
      <c r="AM159" s="567" t="s">
        <v>480</v>
      </c>
    </row>
    <row r="160" spans="1:39" s="232" customFormat="1">
      <c r="A160" s="403"/>
      <c r="B160" s="403" t="s">
        <v>109</v>
      </c>
      <c r="C160" s="666" t="s">
        <v>563</v>
      </c>
      <c r="D160" s="807" t="s">
        <v>327</v>
      </c>
      <c r="E160" s="679">
        <v>61527.58</v>
      </c>
      <c r="F160" s="529">
        <f>VLOOKUP(D160,'Oct13 Revenue'!D:V,19,FALSE)</f>
        <v>-29229.570000000007</v>
      </c>
      <c r="G160" s="680"/>
      <c r="H160" s="680"/>
      <c r="I160" s="755"/>
      <c r="J160" s="682">
        <f t="shared" si="32"/>
        <v>32298.009999999995</v>
      </c>
      <c r="K160" s="683"/>
      <c r="L160" s="684"/>
      <c r="M160" s="753">
        <v>60000</v>
      </c>
      <c r="N160" s="683">
        <v>0</v>
      </c>
      <c r="O160" s="686"/>
      <c r="P160" s="683">
        <v>0</v>
      </c>
      <c r="Q160" s="687">
        <f t="shared" si="31"/>
        <v>60000</v>
      </c>
      <c r="R160" s="687"/>
      <c r="S160" s="687"/>
      <c r="T160" s="688">
        <v>48831.9</v>
      </c>
      <c r="U160" s="693"/>
      <c r="V160" s="690">
        <f t="shared" si="30"/>
        <v>-11168.099999999999</v>
      </c>
      <c r="W160" s="683"/>
      <c r="X160" s="474">
        <f t="shared" si="40"/>
        <v>0</v>
      </c>
      <c r="Y160" s="474">
        <f t="shared" si="41"/>
        <v>60000</v>
      </c>
      <c r="Z160" s="475">
        <f t="shared" si="42"/>
        <v>0</v>
      </c>
      <c r="AA160" s="475">
        <v>0</v>
      </c>
      <c r="AB160" s="476">
        <v>0</v>
      </c>
      <c r="AC160" s="38">
        <f t="shared" si="43"/>
        <v>0</v>
      </c>
      <c r="AD160" s="692">
        <f t="shared" si="33"/>
        <v>0</v>
      </c>
      <c r="AE160" s="692">
        <f t="shared" si="34"/>
        <v>32298.009999999995</v>
      </c>
      <c r="AF160" s="692">
        <f t="shared" si="35"/>
        <v>0</v>
      </c>
      <c r="AG160" s="38"/>
      <c r="AH160" s="692">
        <f t="shared" si="37"/>
        <v>0</v>
      </c>
      <c r="AI160" s="692">
        <f t="shared" si="38"/>
        <v>60000</v>
      </c>
      <c r="AJ160" s="692">
        <f t="shared" si="39"/>
        <v>0</v>
      </c>
      <c r="AL160" s="38">
        <f t="shared" si="36"/>
        <v>92298.01</v>
      </c>
      <c r="AM160" s="807" t="s">
        <v>327</v>
      </c>
    </row>
    <row r="161" spans="1:39" s="232" customFormat="1">
      <c r="A161" s="403"/>
      <c r="B161" s="403" t="s">
        <v>110</v>
      </c>
      <c r="C161" s="666" t="s">
        <v>563</v>
      </c>
      <c r="D161" s="123" t="s">
        <v>637</v>
      </c>
      <c r="E161" s="679"/>
      <c r="F161" s="529">
        <f>VLOOKUP(D161,'Oct13 Revenue'!D:V,19,FALSE)</f>
        <v>0</v>
      </c>
      <c r="G161" s="680"/>
      <c r="H161" s="680"/>
      <c r="I161" s="755"/>
      <c r="J161" s="682">
        <f t="shared" si="32"/>
        <v>0</v>
      </c>
      <c r="K161" s="683"/>
      <c r="L161" s="684"/>
      <c r="M161" s="753"/>
      <c r="N161" s="683">
        <v>0</v>
      </c>
      <c r="O161" s="686"/>
      <c r="P161" s="683">
        <v>0</v>
      </c>
      <c r="Q161" s="687">
        <f t="shared" si="31"/>
        <v>0</v>
      </c>
      <c r="R161" s="687"/>
      <c r="S161" s="687"/>
      <c r="T161" s="688">
        <v>0</v>
      </c>
      <c r="U161" s="693"/>
      <c r="V161" s="690">
        <f t="shared" si="30"/>
        <v>0</v>
      </c>
      <c r="W161" s="683"/>
      <c r="X161" s="474">
        <f t="shared" si="40"/>
        <v>0</v>
      </c>
      <c r="Y161" s="474">
        <f t="shared" si="41"/>
        <v>0</v>
      </c>
      <c r="Z161" s="475">
        <f t="shared" si="42"/>
        <v>0</v>
      </c>
      <c r="AA161" s="475">
        <v>0</v>
      </c>
      <c r="AB161" s="476">
        <v>0</v>
      </c>
      <c r="AC161" s="38">
        <f t="shared" si="43"/>
        <v>0</v>
      </c>
      <c r="AD161" s="692">
        <f t="shared" si="33"/>
        <v>0</v>
      </c>
      <c r="AE161" s="692">
        <f t="shared" si="34"/>
        <v>0</v>
      </c>
      <c r="AF161" s="692">
        <f t="shared" si="35"/>
        <v>0</v>
      </c>
      <c r="AG161" s="38"/>
      <c r="AH161" s="692">
        <f t="shared" si="37"/>
        <v>0</v>
      </c>
      <c r="AI161" s="692">
        <f t="shared" si="38"/>
        <v>0</v>
      </c>
      <c r="AJ161" s="692">
        <f t="shared" si="39"/>
        <v>0</v>
      </c>
      <c r="AL161" s="38">
        <f t="shared" si="36"/>
        <v>0</v>
      </c>
      <c r="AM161" s="123" t="s">
        <v>637</v>
      </c>
    </row>
    <row r="162" spans="1:39">
      <c r="A162" s="21" t="s">
        <v>212</v>
      </c>
      <c r="B162" s="21" t="s">
        <v>110</v>
      </c>
      <c r="C162" s="666"/>
      <c r="D162" s="68" t="s">
        <v>232</v>
      </c>
      <c r="E162" s="679">
        <v>8896.9</v>
      </c>
      <c r="F162" s="529">
        <f>VLOOKUP(D162,'Oct13 Revenue'!D:V,19,FALSE)</f>
        <v>-13000</v>
      </c>
      <c r="G162" s="680"/>
      <c r="H162" s="680"/>
      <c r="I162" s="755"/>
      <c r="J162" s="682">
        <f t="shared" si="32"/>
        <v>-4103.1000000000004</v>
      </c>
      <c r="K162" s="683"/>
      <c r="L162" s="684"/>
      <c r="M162" s="753">
        <v>10000</v>
      </c>
      <c r="N162" s="683">
        <v>0</v>
      </c>
      <c r="O162" s="686"/>
      <c r="P162" s="683">
        <v>0</v>
      </c>
      <c r="Q162" s="687">
        <f t="shared" si="31"/>
        <v>10000</v>
      </c>
      <c r="R162" s="687"/>
      <c r="S162" s="687"/>
      <c r="T162" s="688">
        <v>0</v>
      </c>
      <c r="U162" s="693"/>
      <c r="V162" s="690">
        <f t="shared" si="30"/>
        <v>-10000</v>
      </c>
      <c r="W162" s="683"/>
      <c r="X162" s="474">
        <f t="shared" si="40"/>
        <v>10000</v>
      </c>
      <c r="Y162" s="474">
        <f t="shared" si="41"/>
        <v>0</v>
      </c>
      <c r="Z162" s="475">
        <f t="shared" si="42"/>
        <v>0</v>
      </c>
      <c r="AA162" s="475">
        <v>0</v>
      </c>
      <c r="AB162" s="476">
        <v>0</v>
      </c>
      <c r="AC162" s="38">
        <f t="shared" si="43"/>
        <v>0</v>
      </c>
      <c r="AD162" s="692">
        <f t="shared" si="33"/>
        <v>-4103.1000000000004</v>
      </c>
      <c r="AE162" s="692">
        <f t="shared" si="34"/>
        <v>0</v>
      </c>
      <c r="AF162" s="692">
        <f t="shared" si="35"/>
        <v>0</v>
      </c>
      <c r="AG162" s="38"/>
      <c r="AH162" s="692">
        <f t="shared" si="37"/>
        <v>10000</v>
      </c>
      <c r="AI162" s="692">
        <f t="shared" si="38"/>
        <v>0</v>
      </c>
      <c r="AJ162" s="692">
        <f t="shared" si="39"/>
        <v>0</v>
      </c>
      <c r="AL162" s="38">
        <f t="shared" si="36"/>
        <v>5896.9</v>
      </c>
      <c r="AM162" s="68" t="s">
        <v>232</v>
      </c>
    </row>
    <row r="163" spans="1:39" hidden="1">
      <c r="A163" s="21"/>
      <c r="B163" s="21" t="s">
        <v>109</v>
      </c>
      <c r="C163" s="666" t="s">
        <v>564</v>
      </c>
      <c r="D163" s="68" t="s">
        <v>876</v>
      </c>
      <c r="E163" s="679"/>
      <c r="F163" s="529">
        <f>VLOOKUP(D163,'Oct13 Revenue'!D:V,19,FALSE)</f>
        <v>0</v>
      </c>
      <c r="G163" s="680"/>
      <c r="H163" s="680"/>
      <c r="I163" s="755"/>
      <c r="J163" s="682">
        <f t="shared" si="32"/>
        <v>0</v>
      </c>
      <c r="K163" s="683"/>
      <c r="L163" s="684"/>
      <c r="M163" s="753"/>
      <c r="N163" s="683">
        <v>0</v>
      </c>
      <c r="O163" s="686"/>
      <c r="P163" s="683">
        <v>0</v>
      </c>
      <c r="Q163" s="687">
        <f t="shared" si="31"/>
        <v>0</v>
      </c>
      <c r="R163" s="687"/>
      <c r="S163" s="687"/>
      <c r="T163" s="688">
        <v>0</v>
      </c>
      <c r="U163" s="693"/>
      <c r="V163" s="690">
        <f t="shared" si="30"/>
        <v>0</v>
      </c>
      <c r="W163" s="683"/>
      <c r="X163" s="474">
        <f t="shared" si="40"/>
        <v>0</v>
      </c>
      <c r="Y163" s="474">
        <f t="shared" si="41"/>
        <v>0</v>
      </c>
      <c r="Z163" s="475">
        <f t="shared" si="42"/>
        <v>0</v>
      </c>
      <c r="AA163" s="475">
        <v>0</v>
      </c>
      <c r="AB163" s="476">
        <v>0</v>
      </c>
      <c r="AC163" s="38">
        <f t="shared" si="43"/>
        <v>0</v>
      </c>
      <c r="AD163" s="692">
        <f t="shared" si="33"/>
        <v>0</v>
      </c>
      <c r="AE163" s="692">
        <f t="shared" si="34"/>
        <v>0</v>
      </c>
      <c r="AF163" s="692">
        <f t="shared" si="35"/>
        <v>0</v>
      </c>
      <c r="AG163" s="38"/>
      <c r="AH163" s="692">
        <f t="shared" si="37"/>
        <v>0</v>
      </c>
      <c r="AI163" s="692">
        <f t="shared" si="38"/>
        <v>0</v>
      </c>
      <c r="AJ163" s="692">
        <f t="shared" si="39"/>
        <v>0</v>
      </c>
      <c r="AL163" s="38">
        <f t="shared" si="36"/>
        <v>0</v>
      </c>
      <c r="AM163" s="68" t="s">
        <v>876</v>
      </c>
    </row>
    <row r="164" spans="1:39" hidden="1">
      <c r="A164" s="21"/>
      <c r="B164" s="21" t="s">
        <v>109</v>
      </c>
      <c r="C164" s="666" t="s">
        <v>564</v>
      </c>
      <c r="D164" s="68" t="s">
        <v>307</v>
      </c>
      <c r="E164" s="679"/>
      <c r="F164" s="529">
        <f>VLOOKUP(D164,'Oct13 Revenue'!D:V,19,FALSE)</f>
        <v>0</v>
      </c>
      <c r="G164" s="680"/>
      <c r="H164" s="680"/>
      <c r="I164" s="755"/>
      <c r="J164" s="682">
        <f t="shared" si="32"/>
        <v>0</v>
      </c>
      <c r="K164" s="683"/>
      <c r="L164" s="684"/>
      <c r="M164" s="753"/>
      <c r="N164" s="683">
        <v>0</v>
      </c>
      <c r="O164" s="686"/>
      <c r="P164" s="683">
        <v>0</v>
      </c>
      <c r="Q164" s="687">
        <f t="shared" si="31"/>
        <v>0</v>
      </c>
      <c r="R164" s="687"/>
      <c r="S164" s="687"/>
      <c r="T164" s="688">
        <v>0</v>
      </c>
      <c r="U164" s="693"/>
      <c r="V164" s="690">
        <f t="shared" si="30"/>
        <v>0</v>
      </c>
      <c r="W164" s="683"/>
      <c r="X164" s="474">
        <f t="shared" si="40"/>
        <v>0</v>
      </c>
      <c r="Y164" s="474">
        <f t="shared" si="41"/>
        <v>0</v>
      </c>
      <c r="Z164" s="475">
        <f t="shared" si="42"/>
        <v>0</v>
      </c>
      <c r="AA164" s="475">
        <v>0</v>
      </c>
      <c r="AB164" s="476">
        <v>0</v>
      </c>
      <c r="AC164" s="38">
        <f t="shared" si="43"/>
        <v>0</v>
      </c>
      <c r="AD164" s="692">
        <f t="shared" si="33"/>
        <v>0</v>
      </c>
      <c r="AE164" s="692">
        <f t="shared" si="34"/>
        <v>0</v>
      </c>
      <c r="AF164" s="692">
        <f t="shared" si="35"/>
        <v>0</v>
      </c>
      <c r="AG164" s="38"/>
      <c r="AH164" s="692">
        <f t="shared" si="37"/>
        <v>0</v>
      </c>
      <c r="AI164" s="692">
        <f t="shared" si="38"/>
        <v>0</v>
      </c>
      <c r="AJ164" s="692">
        <f t="shared" si="39"/>
        <v>0</v>
      </c>
      <c r="AL164" s="38">
        <f t="shared" si="36"/>
        <v>0</v>
      </c>
      <c r="AM164" s="68" t="s">
        <v>307</v>
      </c>
    </row>
    <row r="165" spans="1:39">
      <c r="A165" s="21"/>
      <c r="B165" s="21" t="s">
        <v>109</v>
      </c>
      <c r="C165" s="666" t="s">
        <v>565</v>
      </c>
      <c r="D165" s="68" t="s">
        <v>485</v>
      </c>
      <c r="E165" s="679"/>
      <c r="F165" s="529">
        <f>VLOOKUP(D165,'Oct13 Revenue'!D:V,19,FALSE)</f>
        <v>-10880.870000000003</v>
      </c>
      <c r="G165" s="680"/>
      <c r="H165" s="680"/>
      <c r="I165" s="755"/>
      <c r="J165" s="682">
        <f t="shared" si="32"/>
        <v>-10880.870000000003</v>
      </c>
      <c r="K165" s="683"/>
      <c r="L165" s="684"/>
      <c r="M165" s="753">
        <v>95000</v>
      </c>
      <c r="N165" s="683"/>
      <c r="O165" s="686"/>
      <c r="P165" s="683"/>
      <c r="Q165" s="687">
        <f t="shared" si="31"/>
        <v>95000</v>
      </c>
      <c r="R165" s="687"/>
      <c r="S165" s="687"/>
      <c r="T165" s="688">
        <v>62088.88</v>
      </c>
      <c r="U165" s="693"/>
      <c r="V165" s="690">
        <f t="shared" si="30"/>
        <v>-32911.120000000003</v>
      </c>
      <c r="W165" s="683"/>
      <c r="X165" s="474">
        <f t="shared" si="40"/>
        <v>0</v>
      </c>
      <c r="Y165" s="474">
        <f t="shared" si="41"/>
        <v>95000</v>
      </c>
      <c r="Z165" s="475">
        <f t="shared" si="42"/>
        <v>0</v>
      </c>
      <c r="AA165" s="475">
        <v>0</v>
      </c>
      <c r="AB165" s="476">
        <v>0</v>
      </c>
      <c r="AC165" s="38">
        <f t="shared" si="43"/>
        <v>0</v>
      </c>
      <c r="AD165" s="692">
        <f t="shared" si="33"/>
        <v>0</v>
      </c>
      <c r="AE165" s="692">
        <f t="shared" si="34"/>
        <v>-10880.870000000003</v>
      </c>
      <c r="AF165" s="692">
        <f t="shared" si="35"/>
        <v>0</v>
      </c>
      <c r="AG165" s="38"/>
      <c r="AH165" s="692">
        <f t="shared" si="37"/>
        <v>0</v>
      </c>
      <c r="AI165" s="692">
        <f t="shared" si="38"/>
        <v>95000</v>
      </c>
      <c r="AJ165" s="692">
        <f t="shared" si="39"/>
        <v>0</v>
      </c>
      <c r="AL165" s="38">
        <f t="shared" si="36"/>
        <v>84119.13</v>
      </c>
      <c r="AM165" s="68" t="s">
        <v>485</v>
      </c>
    </row>
    <row r="166" spans="1:39" s="232" customFormat="1">
      <c r="A166" s="403"/>
      <c r="B166" s="403" t="s">
        <v>109</v>
      </c>
      <c r="C166" s="666"/>
      <c r="D166" s="123" t="s">
        <v>220</v>
      </c>
      <c r="E166" s="679"/>
      <c r="F166" s="529">
        <f>VLOOKUP(D166,'Oct13 Revenue'!D:V,19,FALSE)</f>
        <v>0</v>
      </c>
      <c r="G166" s="680"/>
      <c r="H166" s="680"/>
      <c r="I166" s="755"/>
      <c r="J166" s="682">
        <f t="shared" si="32"/>
        <v>0</v>
      </c>
      <c r="K166" s="683"/>
      <c r="L166" s="684"/>
      <c r="M166" s="753"/>
      <c r="N166" s="683">
        <v>0</v>
      </c>
      <c r="O166" s="686"/>
      <c r="P166" s="683">
        <v>0</v>
      </c>
      <c r="Q166" s="687">
        <f t="shared" si="31"/>
        <v>0</v>
      </c>
      <c r="R166" s="687"/>
      <c r="S166" s="687"/>
      <c r="T166" s="688">
        <v>0</v>
      </c>
      <c r="U166" s="693"/>
      <c r="V166" s="690">
        <f t="shared" si="30"/>
        <v>0</v>
      </c>
      <c r="W166" s="683"/>
      <c r="X166" s="474">
        <f t="shared" si="40"/>
        <v>0</v>
      </c>
      <c r="Y166" s="474">
        <f t="shared" si="41"/>
        <v>0</v>
      </c>
      <c r="Z166" s="475">
        <f t="shared" si="42"/>
        <v>0</v>
      </c>
      <c r="AA166" s="475">
        <v>0</v>
      </c>
      <c r="AB166" s="476">
        <v>0</v>
      </c>
      <c r="AC166" s="38">
        <f t="shared" si="43"/>
        <v>0</v>
      </c>
      <c r="AD166" s="692">
        <f t="shared" si="33"/>
        <v>0</v>
      </c>
      <c r="AE166" s="692">
        <f t="shared" si="34"/>
        <v>0</v>
      </c>
      <c r="AF166" s="692">
        <f t="shared" si="35"/>
        <v>0</v>
      </c>
      <c r="AG166" s="38"/>
      <c r="AH166" s="692">
        <f t="shared" si="37"/>
        <v>0</v>
      </c>
      <c r="AI166" s="692">
        <f t="shared" si="38"/>
        <v>0</v>
      </c>
      <c r="AJ166" s="692">
        <f t="shared" si="39"/>
        <v>0</v>
      </c>
      <c r="AL166" s="38">
        <f t="shared" si="36"/>
        <v>0</v>
      </c>
      <c r="AM166" s="123" t="s">
        <v>220</v>
      </c>
    </row>
    <row r="167" spans="1:39" s="24" customFormat="1" hidden="1">
      <c r="A167" s="472"/>
      <c r="B167" s="21" t="s">
        <v>109</v>
      </c>
      <c r="C167" s="666"/>
      <c r="D167" s="68" t="s">
        <v>505</v>
      </c>
      <c r="E167" s="679"/>
      <c r="F167" s="529">
        <f>VLOOKUP(D167,'Oct13 Revenue'!D:V,19,FALSE)</f>
        <v>0</v>
      </c>
      <c r="G167" s="680"/>
      <c r="H167" s="680"/>
      <c r="I167" s="755"/>
      <c r="J167" s="682">
        <f t="shared" si="32"/>
        <v>0</v>
      </c>
      <c r="K167" s="698"/>
      <c r="L167" s="684"/>
      <c r="M167" s="753"/>
      <c r="N167" s="698">
        <v>0</v>
      </c>
      <c r="O167" s="686"/>
      <c r="P167" s="698">
        <v>0</v>
      </c>
      <c r="Q167" s="700">
        <f t="shared" si="31"/>
        <v>0</v>
      </c>
      <c r="R167" s="700"/>
      <c r="S167" s="700"/>
      <c r="T167" s="688">
        <v>0</v>
      </c>
      <c r="U167" s="701"/>
      <c r="V167" s="690">
        <f t="shared" si="30"/>
        <v>0</v>
      </c>
      <c r="W167" s="698"/>
      <c r="X167" s="474">
        <f t="shared" si="40"/>
        <v>0</v>
      </c>
      <c r="Y167" s="474">
        <f t="shared" si="41"/>
        <v>0</v>
      </c>
      <c r="Z167" s="475">
        <f t="shared" si="42"/>
        <v>0</v>
      </c>
      <c r="AA167" s="475">
        <v>0</v>
      </c>
      <c r="AB167" s="476">
        <v>0</v>
      </c>
      <c r="AC167" s="38">
        <f t="shared" si="43"/>
        <v>0</v>
      </c>
      <c r="AD167" s="692">
        <f t="shared" si="33"/>
        <v>0</v>
      </c>
      <c r="AE167" s="692">
        <f t="shared" si="34"/>
        <v>0</v>
      </c>
      <c r="AF167" s="692">
        <f t="shared" si="35"/>
        <v>0</v>
      </c>
      <c r="AG167" s="38"/>
      <c r="AH167" s="692">
        <f t="shared" si="37"/>
        <v>0</v>
      </c>
      <c r="AI167" s="692">
        <f t="shared" si="38"/>
        <v>0</v>
      </c>
      <c r="AJ167" s="692">
        <f t="shared" si="39"/>
        <v>0</v>
      </c>
      <c r="AL167" s="38">
        <f t="shared" si="36"/>
        <v>0</v>
      </c>
      <c r="AM167" s="68" t="s">
        <v>505</v>
      </c>
    </row>
    <row r="168" spans="1:39">
      <c r="A168" s="21"/>
      <c r="B168" s="21" t="s">
        <v>110</v>
      </c>
      <c r="C168" s="666"/>
      <c r="D168" s="68" t="s">
        <v>185</v>
      </c>
      <c r="E168" s="679"/>
      <c r="F168" s="529">
        <f>VLOOKUP(D168,'Oct13 Revenue'!D:V,19,FALSE)</f>
        <v>0</v>
      </c>
      <c r="G168" s="680"/>
      <c r="H168" s="680"/>
      <c r="I168" s="755"/>
      <c r="J168" s="682">
        <f t="shared" si="32"/>
        <v>0</v>
      </c>
      <c r="K168" s="683"/>
      <c r="L168" s="684"/>
      <c r="M168" s="753"/>
      <c r="N168" s="683">
        <v>0</v>
      </c>
      <c r="O168" s="686"/>
      <c r="P168" s="683">
        <v>0</v>
      </c>
      <c r="Q168" s="687">
        <f t="shared" si="31"/>
        <v>0</v>
      </c>
      <c r="R168" s="687"/>
      <c r="S168" s="687"/>
      <c r="T168" s="688">
        <v>0</v>
      </c>
      <c r="U168" s="693"/>
      <c r="V168" s="690">
        <f t="shared" si="30"/>
        <v>0</v>
      </c>
      <c r="W168" s="683"/>
      <c r="X168" s="474">
        <f t="shared" si="40"/>
        <v>0</v>
      </c>
      <c r="Y168" s="474">
        <f t="shared" si="41"/>
        <v>0</v>
      </c>
      <c r="Z168" s="475">
        <f t="shared" si="42"/>
        <v>0</v>
      </c>
      <c r="AA168" s="475">
        <v>0</v>
      </c>
      <c r="AB168" s="476">
        <v>0</v>
      </c>
      <c r="AC168" s="38">
        <f t="shared" si="43"/>
        <v>0</v>
      </c>
      <c r="AD168" s="692">
        <f t="shared" si="33"/>
        <v>0</v>
      </c>
      <c r="AE168" s="692">
        <f t="shared" si="34"/>
        <v>0</v>
      </c>
      <c r="AF168" s="692">
        <f t="shared" si="35"/>
        <v>0</v>
      </c>
      <c r="AG168" s="38"/>
      <c r="AH168" s="692">
        <f t="shared" si="37"/>
        <v>0</v>
      </c>
      <c r="AI168" s="692">
        <f t="shared" si="38"/>
        <v>0</v>
      </c>
      <c r="AJ168" s="692">
        <f t="shared" si="39"/>
        <v>0</v>
      </c>
      <c r="AL168" s="38">
        <f t="shared" si="36"/>
        <v>0</v>
      </c>
      <c r="AM168" s="68" t="s">
        <v>185</v>
      </c>
    </row>
    <row r="169" spans="1:39">
      <c r="A169" s="21"/>
      <c r="B169" s="21" t="s">
        <v>110</v>
      </c>
      <c r="C169" s="21"/>
      <c r="D169" s="68" t="s">
        <v>186</v>
      </c>
      <c r="E169" s="679"/>
      <c r="F169" s="529">
        <f>VLOOKUP(D169,'Oct13 Revenue'!D:V,19,FALSE)</f>
        <v>0</v>
      </c>
      <c r="G169" s="680"/>
      <c r="H169" s="680"/>
      <c r="I169" s="755"/>
      <c r="J169" s="682">
        <f t="shared" si="32"/>
        <v>0</v>
      </c>
      <c r="K169" s="683"/>
      <c r="L169" s="684"/>
      <c r="M169" s="753"/>
      <c r="N169" s="683">
        <v>0</v>
      </c>
      <c r="O169" s="686"/>
      <c r="P169" s="683">
        <v>0</v>
      </c>
      <c r="Q169" s="687">
        <f t="shared" si="31"/>
        <v>0</v>
      </c>
      <c r="R169" s="687"/>
      <c r="S169" s="687"/>
      <c r="T169" s="688">
        <v>0</v>
      </c>
      <c r="U169" s="693"/>
      <c r="V169" s="690">
        <f t="shared" si="30"/>
        <v>0</v>
      </c>
      <c r="W169" s="683"/>
      <c r="X169" s="474">
        <f t="shared" si="40"/>
        <v>0</v>
      </c>
      <c r="Y169" s="474">
        <f t="shared" si="41"/>
        <v>0</v>
      </c>
      <c r="Z169" s="475">
        <f t="shared" si="42"/>
        <v>0</v>
      </c>
      <c r="AA169" s="475">
        <v>0</v>
      </c>
      <c r="AB169" s="476">
        <v>0</v>
      </c>
      <c r="AC169" s="38">
        <f t="shared" si="43"/>
        <v>0</v>
      </c>
      <c r="AD169" s="692">
        <f t="shared" si="33"/>
        <v>0</v>
      </c>
      <c r="AE169" s="692">
        <f t="shared" si="34"/>
        <v>0</v>
      </c>
      <c r="AF169" s="692">
        <f t="shared" si="35"/>
        <v>0</v>
      </c>
      <c r="AG169" s="38"/>
      <c r="AH169" s="692">
        <f t="shared" si="37"/>
        <v>0</v>
      </c>
      <c r="AI169" s="692">
        <f t="shared" si="38"/>
        <v>0</v>
      </c>
      <c r="AJ169" s="692">
        <f t="shared" si="39"/>
        <v>0</v>
      </c>
      <c r="AL169" s="38">
        <f t="shared" si="36"/>
        <v>0</v>
      </c>
      <c r="AM169" s="68" t="s">
        <v>186</v>
      </c>
    </row>
    <row r="170" spans="1:39">
      <c r="A170" s="21"/>
      <c r="B170" s="21" t="s">
        <v>110</v>
      </c>
      <c r="C170" s="666"/>
      <c r="D170" s="68" t="s">
        <v>449</v>
      </c>
      <c r="E170" s="679"/>
      <c r="F170" s="529">
        <f>VLOOKUP(D170,'Oct13 Revenue'!D:V,19,FALSE)</f>
        <v>0</v>
      </c>
      <c r="G170" s="680"/>
      <c r="H170" s="680"/>
      <c r="I170" s="755"/>
      <c r="J170" s="682">
        <f t="shared" si="32"/>
        <v>0</v>
      </c>
      <c r="K170" s="683"/>
      <c r="L170" s="684"/>
      <c r="M170" s="753"/>
      <c r="N170" s="683">
        <v>0</v>
      </c>
      <c r="O170" s="686"/>
      <c r="P170" s="683">
        <v>0</v>
      </c>
      <c r="Q170" s="687">
        <f t="shared" si="31"/>
        <v>0</v>
      </c>
      <c r="R170" s="687"/>
      <c r="S170" s="687"/>
      <c r="T170" s="688">
        <v>0</v>
      </c>
      <c r="U170" s="693"/>
      <c r="V170" s="690">
        <f t="shared" si="30"/>
        <v>0</v>
      </c>
      <c r="W170" s="683"/>
      <c r="X170" s="474">
        <f t="shared" si="40"/>
        <v>0</v>
      </c>
      <c r="Y170" s="474">
        <f t="shared" si="41"/>
        <v>0</v>
      </c>
      <c r="Z170" s="475">
        <f t="shared" si="42"/>
        <v>0</v>
      </c>
      <c r="AA170" s="475">
        <v>0</v>
      </c>
      <c r="AB170" s="476">
        <v>0</v>
      </c>
      <c r="AC170" s="38">
        <f t="shared" si="43"/>
        <v>0</v>
      </c>
      <c r="AD170" s="692">
        <f t="shared" si="33"/>
        <v>0</v>
      </c>
      <c r="AE170" s="692">
        <f t="shared" si="34"/>
        <v>0</v>
      </c>
      <c r="AF170" s="692">
        <f t="shared" si="35"/>
        <v>0</v>
      </c>
      <c r="AG170" s="38"/>
      <c r="AH170" s="692">
        <f t="shared" si="37"/>
        <v>0</v>
      </c>
      <c r="AI170" s="692">
        <f t="shared" si="38"/>
        <v>0</v>
      </c>
      <c r="AJ170" s="692">
        <f t="shared" si="39"/>
        <v>0</v>
      </c>
      <c r="AL170" s="38">
        <f t="shared" si="36"/>
        <v>0</v>
      </c>
      <c r="AM170" s="68" t="s">
        <v>449</v>
      </c>
    </row>
    <row r="171" spans="1:39">
      <c r="A171" s="21"/>
      <c r="B171" s="21" t="s">
        <v>110</v>
      </c>
      <c r="C171" s="666" t="s">
        <v>566</v>
      </c>
      <c r="D171" s="68" t="s">
        <v>39</v>
      </c>
      <c r="E171" s="679">
        <f>7418.67+7304.45</f>
        <v>14723.119999999999</v>
      </c>
      <c r="F171" s="529">
        <f>VLOOKUP(D171,'Oct13 Revenue'!D:V,19,FALSE)</f>
        <v>-10669.16</v>
      </c>
      <c r="G171" s="680"/>
      <c r="H171" s="680"/>
      <c r="I171" s="755"/>
      <c r="J171" s="682">
        <f t="shared" si="32"/>
        <v>4053.9599999999991</v>
      </c>
      <c r="K171" s="683"/>
      <c r="L171" s="684"/>
      <c r="M171" s="753">
        <v>8000</v>
      </c>
      <c r="N171" s="683">
        <v>0</v>
      </c>
      <c r="O171" s="686"/>
      <c r="P171" s="683">
        <v>0</v>
      </c>
      <c r="Q171" s="687">
        <f t="shared" si="31"/>
        <v>8000</v>
      </c>
      <c r="R171" s="687"/>
      <c r="S171" s="687"/>
      <c r="T171" s="688">
        <v>8290.69</v>
      </c>
      <c r="U171" s="693"/>
      <c r="V171" s="690">
        <f t="shared" si="30"/>
        <v>290.69000000000051</v>
      </c>
      <c r="W171" s="683"/>
      <c r="X171" s="474">
        <f t="shared" si="40"/>
        <v>8000</v>
      </c>
      <c r="Y171" s="474">
        <f t="shared" si="41"/>
        <v>0</v>
      </c>
      <c r="Z171" s="475">
        <f t="shared" si="42"/>
        <v>0</v>
      </c>
      <c r="AA171" s="475">
        <v>0</v>
      </c>
      <c r="AB171" s="476">
        <v>0</v>
      </c>
      <c r="AC171" s="38">
        <f t="shared" si="43"/>
        <v>0</v>
      </c>
      <c r="AD171" s="692">
        <f t="shared" si="33"/>
        <v>4053.9599999999991</v>
      </c>
      <c r="AE171" s="692">
        <f t="shared" si="34"/>
        <v>0</v>
      </c>
      <c r="AF171" s="692">
        <f t="shared" si="35"/>
        <v>0</v>
      </c>
      <c r="AG171" s="38"/>
      <c r="AH171" s="692">
        <f t="shared" si="37"/>
        <v>8000</v>
      </c>
      <c r="AI171" s="692">
        <f t="shared" si="38"/>
        <v>0</v>
      </c>
      <c r="AJ171" s="692">
        <f t="shared" si="39"/>
        <v>0</v>
      </c>
      <c r="AL171" s="38">
        <f t="shared" si="36"/>
        <v>12053.96</v>
      </c>
      <c r="AM171" s="68" t="s">
        <v>39</v>
      </c>
    </row>
    <row r="172" spans="1:39">
      <c r="A172" s="21"/>
      <c r="B172" s="21" t="s">
        <v>110</v>
      </c>
      <c r="C172" s="666" t="s">
        <v>567</v>
      </c>
      <c r="D172" s="68" t="s">
        <v>435</v>
      </c>
      <c r="E172" s="679"/>
      <c r="F172" s="529">
        <f>VLOOKUP(D172,'Oct13 Revenue'!D:V,19,FALSE)</f>
        <v>21840.61</v>
      </c>
      <c r="G172" s="680"/>
      <c r="H172" s="680"/>
      <c r="I172" s="755"/>
      <c r="J172" s="682">
        <f t="shared" si="32"/>
        <v>21840.61</v>
      </c>
      <c r="K172" s="683"/>
      <c r="L172" s="684"/>
      <c r="M172" s="753">
        <v>120000</v>
      </c>
      <c r="N172" s="683">
        <v>0</v>
      </c>
      <c r="O172" s="686"/>
      <c r="P172" s="683">
        <v>0</v>
      </c>
      <c r="Q172" s="687">
        <f t="shared" si="31"/>
        <v>120000</v>
      </c>
      <c r="R172" s="687"/>
      <c r="S172" s="687"/>
      <c r="T172" s="688">
        <v>120502.9</v>
      </c>
      <c r="U172" s="693"/>
      <c r="V172" s="690">
        <f t="shared" si="30"/>
        <v>502.89999999999418</v>
      </c>
      <c r="W172" s="683"/>
      <c r="X172" s="474">
        <f t="shared" si="40"/>
        <v>120000</v>
      </c>
      <c r="Y172" s="474">
        <f t="shared" si="41"/>
        <v>0</v>
      </c>
      <c r="Z172" s="475">
        <f t="shared" si="42"/>
        <v>0</v>
      </c>
      <c r="AA172" s="475">
        <v>0</v>
      </c>
      <c r="AB172" s="476">
        <v>0</v>
      </c>
      <c r="AC172" s="38">
        <f t="shared" si="43"/>
        <v>0</v>
      </c>
      <c r="AD172" s="692">
        <f t="shared" si="33"/>
        <v>21840.61</v>
      </c>
      <c r="AE172" s="692">
        <f t="shared" si="34"/>
        <v>0</v>
      </c>
      <c r="AF172" s="692">
        <f t="shared" si="35"/>
        <v>0</v>
      </c>
      <c r="AG172" s="38"/>
      <c r="AH172" s="692">
        <f t="shared" si="37"/>
        <v>120000</v>
      </c>
      <c r="AI172" s="692">
        <f t="shared" si="38"/>
        <v>0</v>
      </c>
      <c r="AJ172" s="692">
        <f t="shared" si="39"/>
        <v>0</v>
      </c>
      <c r="AL172" s="38">
        <f t="shared" si="36"/>
        <v>141840.60999999999</v>
      </c>
      <c r="AM172" s="68" t="s">
        <v>435</v>
      </c>
    </row>
    <row r="173" spans="1:39">
      <c r="A173" s="21"/>
      <c r="B173" s="21" t="s">
        <v>110</v>
      </c>
      <c r="C173" s="675" t="s">
        <v>584</v>
      </c>
      <c r="D173" s="806" t="s">
        <v>99</v>
      </c>
      <c r="E173" s="679">
        <v>9995.91</v>
      </c>
      <c r="F173" s="529">
        <f>VLOOKUP(D173,'Oct13 Revenue'!D:V,19,FALSE)</f>
        <v>-15000</v>
      </c>
      <c r="G173" s="680"/>
      <c r="H173" s="680"/>
      <c r="I173" s="755"/>
      <c r="J173" s="682">
        <f t="shared" si="32"/>
        <v>-5004.09</v>
      </c>
      <c r="K173" s="683"/>
      <c r="L173" s="684"/>
      <c r="M173" s="753">
        <v>20000</v>
      </c>
      <c r="N173" s="683">
        <v>0</v>
      </c>
      <c r="O173" s="686"/>
      <c r="P173" s="683">
        <v>0</v>
      </c>
      <c r="Q173" s="687">
        <f t="shared" si="31"/>
        <v>20000</v>
      </c>
      <c r="R173" s="687"/>
      <c r="S173" s="687"/>
      <c r="T173" s="688">
        <v>0</v>
      </c>
      <c r="U173" s="693"/>
      <c r="V173" s="690">
        <f t="shared" si="30"/>
        <v>-20000</v>
      </c>
      <c r="W173" s="683"/>
      <c r="X173" s="474">
        <f t="shared" si="40"/>
        <v>20000</v>
      </c>
      <c r="Y173" s="474">
        <f t="shared" si="41"/>
        <v>0</v>
      </c>
      <c r="Z173" s="475">
        <f t="shared" si="42"/>
        <v>0</v>
      </c>
      <c r="AA173" s="475">
        <v>0</v>
      </c>
      <c r="AB173" s="476">
        <v>0</v>
      </c>
      <c r="AC173" s="38">
        <f t="shared" si="43"/>
        <v>0</v>
      </c>
      <c r="AD173" s="692">
        <f t="shared" si="33"/>
        <v>-5004.09</v>
      </c>
      <c r="AE173" s="692">
        <f>IF(B173="M",J173,0)</f>
        <v>0</v>
      </c>
      <c r="AF173" s="692">
        <f t="shared" si="35"/>
        <v>0</v>
      </c>
      <c r="AG173" s="38"/>
      <c r="AH173" s="692">
        <f t="shared" si="37"/>
        <v>20000</v>
      </c>
      <c r="AI173" s="692">
        <f t="shared" si="38"/>
        <v>0</v>
      </c>
      <c r="AJ173" s="692">
        <f t="shared" si="39"/>
        <v>0</v>
      </c>
      <c r="AL173" s="38">
        <f t="shared" si="36"/>
        <v>14995.91</v>
      </c>
      <c r="AM173" s="806" t="s">
        <v>99</v>
      </c>
    </row>
    <row r="174" spans="1:39" s="232" customFormat="1">
      <c r="A174" s="403"/>
      <c r="B174" s="403" t="s">
        <v>110</v>
      </c>
      <c r="C174" s="666"/>
      <c r="D174" s="813" t="s">
        <v>966</v>
      </c>
      <c r="E174" s="818">
        <v>151152.23000000001</v>
      </c>
      <c r="F174" s="529">
        <f>VLOOKUP(D174,'Oct13 Revenue'!D:V,19,FALSE)</f>
        <v>-300000</v>
      </c>
      <c r="G174" s="818"/>
      <c r="H174" s="818"/>
      <c r="I174" s="755"/>
      <c r="J174" s="818">
        <f t="shared" si="32"/>
        <v>-148847.76999999999</v>
      </c>
      <c r="K174" s="683"/>
      <c r="L174" s="684"/>
      <c r="M174" s="819">
        <v>300000</v>
      </c>
      <c r="N174" s="683">
        <v>0</v>
      </c>
      <c r="O174" s="686"/>
      <c r="P174" s="683">
        <v>0</v>
      </c>
      <c r="Q174" s="687">
        <f t="shared" si="31"/>
        <v>300000</v>
      </c>
      <c r="R174" s="687"/>
      <c r="S174" s="687"/>
      <c r="T174" s="688">
        <v>0</v>
      </c>
      <c r="U174" s="693"/>
      <c r="V174" s="690">
        <f t="shared" si="30"/>
        <v>-300000</v>
      </c>
      <c r="W174" s="683"/>
      <c r="X174" s="474">
        <f t="shared" si="40"/>
        <v>300000</v>
      </c>
      <c r="Y174" s="474">
        <f t="shared" si="41"/>
        <v>0</v>
      </c>
      <c r="Z174" s="475">
        <f t="shared" si="42"/>
        <v>0</v>
      </c>
      <c r="AA174" s="475">
        <v>0</v>
      </c>
      <c r="AB174" s="476">
        <v>0</v>
      </c>
      <c r="AC174" s="38">
        <f t="shared" si="43"/>
        <v>0</v>
      </c>
      <c r="AD174" s="692">
        <f t="shared" si="33"/>
        <v>-148847.76999999999</v>
      </c>
      <c r="AE174" s="692">
        <f t="shared" si="34"/>
        <v>0</v>
      </c>
      <c r="AF174" s="692">
        <f t="shared" si="35"/>
        <v>0</v>
      </c>
      <c r="AG174" s="38"/>
      <c r="AH174" s="692">
        <f t="shared" si="37"/>
        <v>300000</v>
      </c>
      <c r="AI174" s="692">
        <f t="shared" si="38"/>
        <v>0</v>
      </c>
      <c r="AJ174" s="692">
        <f t="shared" si="39"/>
        <v>0</v>
      </c>
      <c r="AL174" s="38">
        <f t="shared" si="36"/>
        <v>151152.23000000001</v>
      </c>
      <c r="AM174" s="813" t="s">
        <v>966</v>
      </c>
    </row>
    <row r="175" spans="1:39" s="232" customFormat="1">
      <c r="A175" s="403"/>
      <c r="B175" s="403" t="s">
        <v>110</v>
      </c>
      <c r="C175" s="666" t="s">
        <v>568</v>
      </c>
      <c r="D175" s="807" t="s">
        <v>303</v>
      </c>
      <c r="E175" s="679">
        <f>6133.61+284464.89</f>
        <v>290598.5</v>
      </c>
      <c r="F175" s="529">
        <f>VLOOKUP(D175,'Oct13 Revenue'!D:V,19,FALSE)</f>
        <v>-550000</v>
      </c>
      <c r="G175" s="680"/>
      <c r="H175" s="680"/>
      <c r="I175" s="755"/>
      <c r="J175" s="682">
        <f t="shared" si="32"/>
        <v>-259401.5</v>
      </c>
      <c r="K175" s="683"/>
      <c r="L175" s="684"/>
      <c r="M175" s="753">
        <v>600000</v>
      </c>
      <c r="N175" s="683">
        <v>0</v>
      </c>
      <c r="O175" s="686"/>
      <c r="P175" s="683">
        <v>0</v>
      </c>
      <c r="Q175" s="687">
        <f t="shared" si="31"/>
        <v>600000</v>
      </c>
      <c r="R175" s="687"/>
      <c r="S175" s="687"/>
      <c r="T175" s="688">
        <v>0</v>
      </c>
      <c r="U175" s="693"/>
      <c r="V175" s="690">
        <f t="shared" si="30"/>
        <v>-600000</v>
      </c>
      <c r="W175" s="683"/>
      <c r="X175" s="474">
        <f t="shared" si="40"/>
        <v>600000</v>
      </c>
      <c r="Y175" s="474">
        <f t="shared" si="41"/>
        <v>0</v>
      </c>
      <c r="Z175" s="475">
        <f t="shared" si="42"/>
        <v>0</v>
      </c>
      <c r="AA175" s="475">
        <v>0</v>
      </c>
      <c r="AB175" s="476">
        <v>0</v>
      </c>
      <c r="AC175" s="38">
        <f t="shared" si="43"/>
        <v>0</v>
      </c>
      <c r="AD175" s="692">
        <f t="shared" si="33"/>
        <v>-259401.5</v>
      </c>
      <c r="AE175" s="692">
        <f t="shared" si="34"/>
        <v>0</v>
      </c>
      <c r="AF175" s="692">
        <f t="shared" si="35"/>
        <v>0</v>
      </c>
      <c r="AG175" s="38"/>
      <c r="AH175" s="692">
        <f t="shared" si="37"/>
        <v>600000</v>
      </c>
      <c r="AI175" s="692">
        <f t="shared" si="38"/>
        <v>0</v>
      </c>
      <c r="AJ175" s="692">
        <f t="shared" si="39"/>
        <v>0</v>
      </c>
      <c r="AL175" s="38">
        <f t="shared" si="36"/>
        <v>340598.5</v>
      </c>
      <c r="AM175" s="807" t="s">
        <v>303</v>
      </c>
    </row>
    <row r="176" spans="1:39" s="232" customFormat="1">
      <c r="A176" s="403"/>
      <c r="B176" s="403" t="s">
        <v>110</v>
      </c>
      <c r="C176" s="666"/>
      <c r="D176" s="807" t="s">
        <v>856</v>
      </c>
      <c r="E176" s="679"/>
      <c r="F176" s="529">
        <f>VLOOKUP(D176,'Oct13 Revenue'!D:V,19,FALSE)</f>
        <v>0</v>
      </c>
      <c r="G176" s="680"/>
      <c r="H176" s="680"/>
      <c r="I176" s="755"/>
      <c r="J176" s="682">
        <f t="shared" si="32"/>
        <v>0</v>
      </c>
      <c r="K176" s="683"/>
      <c r="L176" s="684"/>
      <c r="M176" s="753"/>
      <c r="N176" s="683">
        <v>0</v>
      </c>
      <c r="O176" s="686"/>
      <c r="P176" s="683">
        <v>0</v>
      </c>
      <c r="Q176" s="687">
        <f t="shared" si="31"/>
        <v>0</v>
      </c>
      <c r="R176" s="687"/>
      <c r="S176" s="687"/>
      <c r="T176" s="688">
        <v>0</v>
      </c>
      <c r="U176" s="693"/>
      <c r="V176" s="690">
        <f t="shared" si="30"/>
        <v>0</v>
      </c>
      <c r="W176" s="683"/>
      <c r="X176" s="474">
        <f t="shared" si="40"/>
        <v>0</v>
      </c>
      <c r="Y176" s="474">
        <f t="shared" si="41"/>
        <v>0</v>
      </c>
      <c r="Z176" s="475">
        <f t="shared" si="42"/>
        <v>0</v>
      </c>
      <c r="AA176" s="475">
        <v>0</v>
      </c>
      <c r="AB176" s="476">
        <v>0</v>
      </c>
      <c r="AC176" s="38">
        <f t="shared" si="43"/>
        <v>0</v>
      </c>
      <c r="AD176" s="692">
        <f t="shared" si="33"/>
        <v>0</v>
      </c>
      <c r="AE176" s="692">
        <f t="shared" si="34"/>
        <v>0</v>
      </c>
      <c r="AF176" s="692">
        <f t="shared" si="35"/>
        <v>0</v>
      </c>
      <c r="AG176" s="38"/>
      <c r="AH176" s="692">
        <f t="shared" si="37"/>
        <v>0</v>
      </c>
      <c r="AI176" s="692">
        <f t="shared" si="38"/>
        <v>0</v>
      </c>
      <c r="AJ176" s="692">
        <f t="shared" si="39"/>
        <v>0</v>
      </c>
      <c r="AL176" s="38">
        <f t="shared" si="36"/>
        <v>0</v>
      </c>
      <c r="AM176" s="807" t="s">
        <v>856</v>
      </c>
    </row>
    <row r="177" spans="1:39" s="232" customFormat="1">
      <c r="A177" s="403"/>
      <c r="B177" s="403" t="s">
        <v>109</v>
      </c>
      <c r="C177" s="666" t="s">
        <v>569</v>
      </c>
      <c r="D177" s="123" t="s">
        <v>468</v>
      </c>
      <c r="E177" s="679"/>
      <c r="F177" s="529">
        <f>VLOOKUP(D177,'Oct13 Revenue'!D:V,19,FALSE)</f>
        <v>0</v>
      </c>
      <c r="G177" s="680"/>
      <c r="H177" s="680"/>
      <c r="I177" s="755"/>
      <c r="J177" s="682">
        <f t="shared" si="32"/>
        <v>0</v>
      </c>
      <c r="K177" s="683"/>
      <c r="L177" s="684"/>
      <c r="M177" s="753"/>
      <c r="N177" s="683">
        <v>0</v>
      </c>
      <c r="O177" s="686"/>
      <c r="P177" s="683">
        <v>0</v>
      </c>
      <c r="Q177" s="687">
        <f t="shared" si="31"/>
        <v>0</v>
      </c>
      <c r="R177" s="687"/>
      <c r="S177" s="687"/>
      <c r="T177" s="688">
        <v>0</v>
      </c>
      <c r="U177" s="693"/>
      <c r="V177" s="690">
        <f t="shared" si="30"/>
        <v>0</v>
      </c>
      <c r="W177" s="683"/>
      <c r="X177" s="474">
        <f t="shared" si="40"/>
        <v>0</v>
      </c>
      <c r="Y177" s="474">
        <f t="shared" si="41"/>
        <v>0</v>
      </c>
      <c r="Z177" s="475">
        <f t="shared" si="42"/>
        <v>0</v>
      </c>
      <c r="AA177" s="475">
        <v>0</v>
      </c>
      <c r="AB177" s="476">
        <v>0</v>
      </c>
      <c r="AC177" s="38">
        <f t="shared" si="43"/>
        <v>0</v>
      </c>
      <c r="AD177" s="692">
        <f t="shared" si="33"/>
        <v>0</v>
      </c>
      <c r="AE177" s="692">
        <f t="shared" si="34"/>
        <v>0</v>
      </c>
      <c r="AF177" s="692">
        <f t="shared" si="35"/>
        <v>0</v>
      </c>
      <c r="AG177" s="38"/>
      <c r="AH177" s="692">
        <f t="shared" si="37"/>
        <v>0</v>
      </c>
      <c r="AI177" s="692">
        <f t="shared" si="38"/>
        <v>0</v>
      </c>
      <c r="AJ177" s="692">
        <f t="shared" si="39"/>
        <v>0</v>
      </c>
      <c r="AL177" s="38">
        <f t="shared" si="36"/>
        <v>0</v>
      </c>
      <c r="AM177" s="123" t="s">
        <v>468</v>
      </c>
    </row>
    <row r="178" spans="1:39">
      <c r="A178" s="20"/>
      <c r="B178" s="20" t="s">
        <v>110</v>
      </c>
      <c r="C178" s="676" t="s">
        <v>844</v>
      </c>
      <c r="D178" s="68" t="s">
        <v>845</v>
      </c>
      <c r="E178" s="679"/>
      <c r="F178" s="529">
        <f>VLOOKUP(D178,'Oct13 Revenue'!D:V,19,FALSE)</f>
        <v>0</v>
      </c>
      <c r="G178" s="680"/>
      <c r="H178" s="680"/>
      <c r="I178" s="755"/>
      <c r="J178" s="682">
        <f t="shared" si="32"/>
        <v>0</v>
      </c>
      <c r="K178" s="683"/>
      <c r="L178" s="684"/>
      <c r="M178" s="753"/>
      <c r="N178" s="683">
        <v>0</v>
      </c>
      <c r="O178" s="686"/>
      <c r="P178" s="683">
        <v>0</v>
      </c>
      <c r="Q178" s="687">
        <f t="shared" si="31"/>
        <v>0</v>
      </c>
      <c r="R178" s="687"/>
      <c r="S178" s="687"/>
      <c r="T178" s="688">
        <v>0</v>
      </c>
      <c r="U178" s="693"/>
      <c r="V178" s="690">
        <f t="shared" si="30"/>
        <v>0</v>
      </c>
      <c r="W178" s="683"/>
      <c r="X178" s="474">
        <f t="shared" si="40"/>
        <v>0</v>
      </c>
      <c r="Y178" s="474">
        <f t="shared" si="41"/>
        <v>0</v>
      </c>
      <c r="Z178" s="475">
        <f t="shared" si="42"/>
        <v>0</v>
      </c>
      <c r="AA178" s="475">
        <v>0</v>
      </c>
      <c r="AB178" s="476">
        <v>0</v>
      </c>
      <c r="AC178" s="38">
        <f t="shared" si="43"/>
        <v>0</v>
      </c>
      <c r="AD178" s="692">
        <f t="shared" si="33"/>
        <v>0</v>
      </c>
      <c r="AE178" s="692">
        <f t="shared" si="34"/>
        <v>0</v>
      </c>
      <c r="AF178" s="692">
        <f t="shared" si="35"/>
        <v>0</v>
      </c>
      <c r="AG178" s="38"/>
      <c r="AH178" s="692">
        <f t="shared" si="37"/>
        <v>0</v>
      </c>
      <c r="AI178" s="692">
        <f t="shared" si="38"/>
        <v>0</v>
      </c>
      <c r="AJ178" s="692">
        <f t="shared" si="39"/>
        <v>0</v>
      </c>
      <c r="AL178" s="38">
        <f t="shared" si="36"/>
        <v>0</v>
      </c>
      <c r="AM178" s="68" t="s">
        <v>845</v>
      </c>
    </row>
    <row r="179" spans="1:39">
      <c r="A179" s="20"/>
      <c r="B179" s="20" t="s">
        <v>110</v>
      </c>
      <c r="C179" s="676" t="s">
        <v>977</v>
      </c>
      <c r="D179" s="68" t="s">
        <v>978</v>
      </c>
      <c r="E179" s="679">
        <v>9726.93</v>
      </c>
      <c r="F179" s="529">
        <f>VLOOKUP(D179,'Oct13 Revenue'!D:V,19,FALSE)</f>
        <v>-30000</v>
      </c>
      <c r="G179" s="680"/>
      <c r="H179" s="680"/>
      <c r="I179" s="755"/>
      <c r="J179" s="682">
        <f t="shared" si="32"/>
        <v>-20273.07</v>
      </c>
      <c r="K179" s="683"/>
      <c r="L179" s="684"/>
      <c r="M179" s="753">
        <v>10000</v>
      </c>
      <c r="N179" s="683">
        <v>0</v>
      </c>
      <c r="O179" s="686"/>
      <c r="P179" s="683">
        <v>0</v>
      </c>
      <c r="Q179" s="687">
        <f t="shared" si="31"/>
        <v>10000</v>
      </c>
      <c r="R179" s="687"/>
      <c r="S179" s="687"/>
      <c r="T179" s="688">
        <v>3070.5</v>
      </c>
      <c r="U179" s="693"/>
      <c r="V179" s="690">
        <f t="shared" si="30"/>
        <v>-6929.5</v>
      </c>
      <c r="W179" s="683"/>
      <c r="X179" s="474">
        <f t="shared" si="40"/>
        <v>10000</v>
      </c>
      <c r="Y179" s="474">
        <f t="shared" si="41"/>
        <v>0</v>
      </c>
      <c r="Z179" s="475">
        <f t="shared" si="42"/>
        <v>0</v>
      </c>
      <c r="AA179" s="475">
        <v>0</v>
      </c>
      <c r="AB179" s="476">
        <v>0</v>
      </c>
      <c r="AC179" s="38">
        <f t="shared" si="43"/>
        <v>0</v>
      </c>
      <c r="AD179" s="692">
        <f t="shared" si="33"/>
        <v>-20273.07</v>
      </c>
      <c r="AE179" s="692">
        <f t="shared" si="34"/>
        <v>0</v>
      </c>
      <c r="AF179" s="692">
        <f t="shared" si="35"/>
        <v>0</v>
      </c>
      <c r="AG179" s="38"/>
      <c r="AH179" s="692">
        <f t="shared" si="37"/>
        <v>10000</v>
      </c>
      <c r="AI179" s="692">
        <f t="shared" si="38"/>
        <v>0</v>
      </c>
      <c r="AJ179" s="692">
        <f t="shared" si="39"/>
        <v>0</v>
      </c>
      <c r="AL179" s="38">
        <f t="shared" si="36"/>
        <v>-10273.07</v>
      </c>
      <c r="AM179" s="68" t="s">
        <v>978</v>
      </c>
    </row>
    <row r="180" spans="1:39">
      <c r="A180" s="20"/>
      <c r="B180" s="20" t="s">
        <v>109</v>
      </c>
      <c r="C180" s="667" t="s">
        <v>570</v>
      </c>
      <c r="D180" s="68" t="s">
        <v>221</v>
      </c>
      <c r="E180" s="679"/>
      <c r="F180" s="529">
        <f>VLOOKUP(D180,'Oct13 Revenue'!D:V,19,FALSE)</f>
        <v>0</v>
      </c>
      <c r="G180" s="680"/>
      <c r="H180" s="680"/>
      <c r="I180" s="755"/>
      <c r="J180" s="682">
        <f t="shared" si="32"/>
        <v>0</v>
      </c>
      <c r="K180" s="683"/>
      <c r="L180" s="684"/>
      <c r="M180" s="753"/>
      <c r="N180" s="683">
        <v>0</v>
      </c>
      <c r="O180" s="686"/>
      <c r="P180" s="683">
        <v>0</v>
      </c>
      <c r="Q180" s="687">
        <f t="shared" si="31"/>
        <v>0</v>
      </c>
      <c r="R180" s="687"/>
      <c r="S180" s="687"/>
      <c r="T180" s="688">
        <v>0</v>
      </c>
      <c r="U180" s="693"/>
      <c r="V180" s="690">
        <f t="shared" si="30"/>
        <v>0</v>
      </c>
      <c r="W180" s="683"/>
      <c r="X180" s="474">
        <f t="shared" si="40"/>
        <v>0</v>
      </c>
      <c r="Y180" s="474">
        <f t="shared" si="41"/>
        <v>0</v>
      </c>
      <c r="Z180" s="475">
        <f t="shared" si="42"/>
        <v>0</v>
      </c>
      <c r="AA180" s="475">
        <v>0</v>
      </c>
      <c r="AB180" s="476">
        <v>0</v>
      </c>
      <c r="AC180" s="38">
        <f t="shared" si="43"/>
        <v>0</v>
      </c>
      <c r="AD180" s="692">
        <f t="shared" si="33"/>
        <v>0</v>
      </c>
      <c r="AE180" s="692">
        <f t="shared" si="34"/>
        <v>0</v>
      </c>
      <c r="AF180" s="692">
        <f t="shared" si="35"/>
        <v>0</v>
      </c>
      <c r="AG180" s="38"/>
      <c r="AH180" s="692">
        <f t="shared" si="37"/>
        <v>0</v>
      </c>
      <c r="AI180" s="692">
        <f t="shared" si="38"/>
        <v>0</v>
      </c>
      <c r="AJ180" s="692">
        <f t="shared" si="39"/>
        <v>0</v>
      </c>
      <c r="AL180" s="38">
        <f t="shared" si="36"/>
        <v>0</v>
      </c>
      <c r="AM180" s="68" t="s">
        <v>221</v>
      </c>
    </row>
    <row r="181" spans="1:39">
      <c r="A181" s="21"/>
      <c r="B181" s="21" t="s">
        <v>110</v>
      </c>
      <c r="C181" s="666"/>
      <c r="D181" s="68" t="s">
        <v>985</v>
      </c>
      <c r="E181" s="679"/>
      <c r="F181" s="529">
        <f>VLOOKUP(D181,'Oct13 Revenue'!D:V,19,FALSE)</f>
        <v>0</v>
      </c>
      <c r="G181" s="680"/>
      <c r="H181" s="680"/>
      <c r="I181" s="755"/>
      <c r="J181" s="682">
        <f t="shared" si="32"/>
        <v>0</v>
      </c>
      <c r="K181" s="683"/>
      <c r="L181" s="684"/>
      <c r="M181" s="753"/>
      <c r="N181" s="683">
        <v>0</v>
      </c>
      <c r="O181" s="686"/>
      <c r="P181" s="683">
        <v>0</v>
      </c>
      <c r="Q181" s="687">
        <f t="shared" si="31"/>
        <v>0</v>
      </c>
      <c r="R181" s="687"/>
      <c r="S181" s="687"/>
      <c r="T181" s="688">
        <v>0</v>
      </c>
      <c r="U181" s="693"/>
      <c r="V181" s="690">
        <f t="shared" si="30"/>
        <v>0</v>
      </c>
      <c r="W181" s="683"/>
      <c r="X181" s="474">
        <f t="shared" si="40"/>
        <v>0</v>
      </c>
      <c r="Y181" s="474">
        <f t="shared" si="41"/>
        <v>0</v>
      </c>
      <c r="Z181" s="475">
        <f t="shared" si="42"/>
        <v>0</v>
      </c>
      <c r="AA181" s="475">
        <v>0</v>
      </c>
      <c r="AB181" s="476">
        <v>0</v>
      </c>
      <c r="AC181" s="38">
        <f t="shared" si="43"/>
        <v>0</v>
      </c>
      <c r="AD181" s="692">
        <f t="shared" si="33"/>
        <v>0</v>
      </c>
      <c r="AE181" s="692">
        <f t="shared" si="34"/>
        <v>0</v>
      </c>
      <c r="AF181" s="692">
        <f t="shared" si="35"/>
        <v>0</v>
      </c>
      <c r="AG181" s="38"/>
      <c r="AH181" s="692">
        <f t="shared" si="37"/>
        <v>0</v>
      </c>
      <c r="AI181" s="692">
        <f t="shared" si="38"/>
        <v>0</v>
      </c>
      <c r="AJ181" s="692">
        <f t="shared" si="39"/>
        <v>0</v>
      </c>
      <c r="AL181" s="38">
        <f t="shared" si="36"/>
        <v>0</v>
      </c>
      <c r="AM181" s="68" t="s">
        <v>985</v>
      </c>
    </row>
    <row r="182" spans="1:39">
      <c r="A182" s="21"/>
      <c r="B182" s="21" t="s">
        <v>109</v>
      </c>
      <c r="C182" s="666" t="s">
        <v>571</v>
      </c>
      <c r="D182" s="68" t="s">
        <v>44</v>
      </c>
      <c r="E182" s="679">
        <v>2119.1999999999998</v>
      </c>
      <c r="F182" s="529">
        <f>VLOOKUP(D182,'Oct13 Revenue'!D:V,19,FALSE)</f>
        <v>-30000</v>
      </c>
      <c r="G182" s="680"/>
      <c r="H182" s="680"/>
      <c r="I182" s="755"/>
      <c r="J182" s="682">
        <f t="shared" si="32"/>
        <v>-27880.799999999999</v>
      </c>
      <c r="K182" s="683"/>
      <c r="L182" s="684"/>
      <c r="M182" s="753"/>
      <c r="N182" s="683">
        <v>0</v>
      </c>
      <c r="O182" s="686"/>
      <c r="P182" s="683">
        <v>0</v>
      </c>
      <c r="Q182" s="687">
        <f t="shared" si="31"/>
        <v>0</v>
      </c>
      <c r="R182" s="687"/>
      <c r="S182" s="687"/>
      <c r="T182" s="688">
        <v>0</v>
      </c>
      <c r="U182" s="693"/>
      <c r="V182" s="690">
        <f t="shared" si="30"/>
        <v>0</v>
      </c>
      <c r="W182" s="683"/>
      <c r="X182" s="474">
        <f t="shared" si="40"/>
        <v>0</v>
      </c>
      <c r="Y182" s="474">
        <f t="shared" si="41"/>
        <v>0</v>
      </c>
      <c r="Z182" s="475">
        <f t="shared" si="42"/>
        <v>0</v>
      </c>
      <c r="AA182" s="475">
        <v>0</v>
      </c>
      <c r="AB182" s="476">
        <v>0</v>
      </c>
      <c r="AC182" s="38">
        <f t="shared" si="43"/>
        <v>0</v>
      </c>
      <c r="AD182" s="692">
        <f t="shared" si="33"/>
        <v>0</v>
      </c>
      <c r="AE182" s="692">
        <f t="shared" si="34"/>
        <v>-27880.799999999999</v>
      </c>
      <c r="AF182" s="692">
        <f t="shared" si="35"/>
        <v>0</v>
      </c>
      <c r="AG182" s="38"/>
      <c r="AH182" s="692">
        <f t="shared" si="37"/>
        <v>0</v>
      </c>
      <c r="AI182" s="692">
        <f t="shared" si="38"/>
        <v>0</v>
      </c>
      <c r="AJ182" s="692">
        <f t="shared" si="39"/>
        <v>0</v>
      </c>
      <c r="AL182" s="38">
        <f t="shared" si="36"/>
        <v>-27880.799999999999</v>
      </c>
      <c r="AM182" s="68" t="s">
        <v>44</v>
      </c>
    </row>
    <row r="183" spans="1:39">
      <c r="A183" s="21"/>
      <c r="B183" s="21" t="s">
        <v>114</v>
      </c>
      <c r="C183" s="666" t="s">
        <v>571</v>
      </c>
      <c r="D183" s="68" t="s">
        <v>44</v>
      </c>
      <c r="E183" s="679"/>
      <c r="F183" s="529">
        <v>0</v>
      </c>
      <c r="G183" s="680"/>
      <c r="H183" s="680"/>
      <c r="I183" s="755"/>
      <c r="J183" s="682">
        <f t="shared" si="32"/>
        <v>0</v>
      </c>
      <c r="K183" s="683"/>
      <c r="L183" s="684"/>
      <c r="M183" s="753"/>
      <c r="N183" s="683">
        <v>0</v>
      </c>
      <c r="O183" s="686"/>
      <c r="P183" s="683">
        <v>0</v>
      </c>
      <c r="Q183" s="687">
        <f t="shared" si="31"/>
        <v>0</v>
      </c>
      <c r="R183" s="687"/>
      <c r="S183" s="687"/>
      <c r="T183" s="688">
        <v>0</v>
      </c>
      <c r="U183" s="693"/>
      <c r="V183" s="690">
        <f t="shared" si="30"/>
        <v>0</v>
      </c>
      <c r="W183" s="683"/>
      <c r="X183" s="474">
        <f t="shared" si="40"/>
        <v>0</v>
      </c>
      <c r="Y183" s="474">
        <f t="shared" si="41"/>
        <v>0</v>
      </c>
      <c r="Z183" s="475">
        <f t="shared" si="42"/>
        <v>0</v>
      </c>
      <c r="AA183" s="475">
        <v>0</v>
      </c>
      <c r="AB183" s="476">
        <v>0</v>
      </c>
      <c r="AC183" s="38">
        <f t="shared" si="43"/>
        <v>0</v>
      </c>
      <c r="AD183" s="692">
        <f t="shared" si="33"/>
        <v>0</v>
      </c>
      <c r="AE183" s="692">
        <f t="shared" si="34"/>
        <v>0</v>
      </c>
      <c r="AF183" s="692">
        <f t="shared" si="35"/>
        <v>0</v>
      </c>
      <c r="AG183" s="38"/>
      <c r="AH183" s="692">
        <f t="shared" si="37"/>
        <v>0</v>
      </c>
      <c r="AI183" s="692">
        <f t="shared" si="38"/>
        <v>0</v>
      </c>
      <c r="AJ183" s="692">
        <f t="shared" si="39"/>
        <v>0</v>
      </c>
      <c r="AL183" s="38">
        <f t="shared" si="36"/>
        <v>0</v>
      </c>
      <c r="AM183" s="68" t="s">
        <v>44</v>
      </c>
    </row>
    <row r="184" spans="1:39">
      <c r="A184" s="21"/>
      <c r="B184" s="21" t="s">
        <v>110</v>
      </c>
      <c r="C184" s="666" t="s">
        <v>572</v>
      </c>
      <c r="D184" s="806" t="s">
        <v>388</v>
      </c>
      <c r="E184" s="679"/>
      <c r="F184" s="529">
        <f>VLOOKUP(D184,'Oct13 Revenue'!D:V,19,FALSE)</f>
        <v>18509.93</v>
      </c>
      <c r="G184" s="680"/>
      <c r="H184" s="680"/>
      <c r="I184" s="755"/>
      <c r="J184" s="682">
        <f t="shared" si="32"/>
        <v>18509.93</v>
      </c>
      <c r="K184" s="683"/>
      <c r="L184" s="684"/>
      <c r="M184" s="753">
        <v>15000</v>
      </c>
      <c r="N184" s="683">
        <v>0</v>
      </c>
      <c r="O184" s="686"/>
      <c r="P184" s="683">
        <v>0</v>
      </c>
      <c r="Q184" s="687">
        <f t="shared" si="31"/>
        <v>15000</v>
      </c>
      <c r="R184" s="687"/>
      <c r="S184" s="687"/>
      <c r="T184" s="688">
        <v>0</v>
      </c>
      <c r="U184" s="693"/>
      <c r="V184" s="690">
        <f t="shared" si="30"/>
        <v>-15000</v>
      </c>
      <c r="W184" s="683"/>
      <c r="X184" s="474">
        <f t="shared" si="40"/>
        <v>15000</v>
      </c>
      <c r="Y184" s="474">
        <f t="shared" si="41"/>
        <v>0</v>
      </c>
      <c r="Z184" s="475">
        <f t="shared" si="42"/>
        <v>0</v>
      </c>
      <c r="AA184" s="475">
        <v>0</v>
      </c>
      <c r="AB184" s="476">
        <v>0</v>
      </c>
      <c r="AC184" s="38">
        <f t="shared" si="43"/>
        <v>0</v>
      </c>
      <c r="AD184" s="692">
        <f t="shared" si="33"/>
        <v>18509.93</v>
      </c>
      <c r="AE184" s="692">
        <f t="shared" si="34"/>
        <v>0</v>
      </c>
      <c r="AF184" s="692">
        <f t="shared" si="35"/>
        <v>0</v>
      </c>
      <c r="AG184" s="38"/>
      <c r="AH184" s="692">
        <f t="shared" si="37"/>
        <v>15000</v>
      </c>
      <c r="AI184" s="692">
        <f t="shared" si="38"/>
        <v>0</v>
      </c>
      <c r="AJ184" s="692">
        <f t="shared" si="39"/>
        <v>0</v>
      </c>
      <c r="AL184" s="38">
        <f t="shared" si="36"/>
        <v>33509.93</v>
      </c>
      <c r="AM184" s="806" t="s">
        <v>388</v>
      </c>
    </row>
    <row r="185" spans="1:39">
      <c r="A185" s="20"/>
      <c r="B185" s="20" t="s">
        <v>109</v>
      </c>
      <c r="C185" s="667"/>
      <c r="D185" s="806" t="s">
        <v>842</v>
      </c>
      <c r="E185" s="679"/>
      <c r="F185" s="529">
        <f>VLOOKUP(D185,'Oct13 Revenue'!D:V,19,FALSE)</f>
        <v>-115000</v>
      </c>
      <c r="G185" s="680"/>
      <c r="H185" s="680"/>
      <c r="I185" s="755"/>
      <c r="J185" s="682">
        <f t="shared" si="32"/>
        <v>-115000</v>
      </c>
      <c r="K185" s="683"/>
      <c r="L185" s="684"/>
      <c r="M185" s="753">
        <v>125000</v>
      </c>
      <c r="N185" s="683">
        <v>0</v>
      </c>
      <c r="O185" s="686"/>
      <c r="P185" s="683">
        <v>0</v>
      </c>
      <c r="Q185" s="687">
        <f t="shared" si="31"/>
        <v>125000</v>
      </c>
      <c r="R185" s="687"/>
      <c r="S185" s="687"/>
      <c r="T185" s="688">
        <v>0</v>
      </c>
      <c r="U185" s="693"/>
      <c r="V185" s="690">
        <f t="shared" si="30"/>
        <v>-125000</v>
      </c>
      <c r="W185" s="683"/>
      <c r="X185" s="474">
        <f t="shared" si="40"/>
        <v>0</v>
      </c>
      <c r="Y185" s="474">
        <f t="shared" si="41"/>
        <v>125000</v>
      </c>
      <c r="Z185" s="475">
        <f t="shared" si="42"/>
        <v>0</v>
      </c>
      <c r="AA185" s="475">
        <v>0</v>
      </c>
      <c r="AB185" s="476">
        <v>0</v>
      </c>
      <c r="AC185" s="38">
        <f t="shared" si="43"/>
        <v>0</v>
      </c>
      <c r="AD185" s="692">
        <f t="shared" si="33"/>
        <v>0</v>
      </c>
      <c r="AE185" s="692">
        <f t="shared" si="34"/>
        <v>-115000</v>
      </c>
      <c r="AF185" s="692">
        <f t="shared" si="35"/>
        <v>0</v>
      </c>
      <c r="AG185" s="38"/>
      <c r="AH185" s="692">
        <f t="shared" si="37"/>
        <v>0</v>
      </c>
      <c r="AI185" s="692">
        <f t="shared" si="38"/>
        <v>125000</v>
      </c>
      <c r="AJ185" s="692">
        <f t="shared" si="39"/>
        <v>0</v>
      </c>
      <c r="AL185" s="38">
        <f t="shared" si="36"/>
        <v>10000</v>
      </c>
      <c r="AM185" s="806" t="s">
        <v>842</v>
      </c>
    </row>
    <row r="186" spans="1:39">
      <c r="A186" s="21"/>
      <c r="B186" s="21" t="s">
        <v>110</v>
      </c>
      <c r="C186" s="666"/>
      <c r="D186" s="68" t="s">
        <v>45</v>
      </c>
      <c r="E186" s="679"/>
      <c r="F186" s="529">
        <f>VLOOKUP(D186,'Oct13 Revenue'!D:V,19,FALSE)</f>
        <v>1217.4499999999971</v>
      </c>
      <c r="G186" s="680"/>
      <c r="H186" s="680"/>
      <c r="I186" s="755"/>
      <c r="J186" s="682">
        <f t="shared" si="32"/>
        <v>1217.4499999999971</v>
      </c>
      <c r="K186" s="683"/>
      <c r="L186" s="684"/>
      <c r="M186" s="753">
        <v>75000</v>
      </c>
      <c r="N186" s="683">
        <v>0</v>
      </c>
      <c r="O186" s="686"/>
      <c r="P186" s="683">
        <v>0</v>
      </c>
      <c r="Q186" s="687">
        <f t="shared" si="31"/>
        <v>75000</v>
      </c>
      <c r="R186" s="687"/>
      <c r="S186" s="687"/>
      <c r="T186" s="749">
        <f>73062.85+4417.41</f>
        <v>77480.260000000009</v>
      </c>
      <c r="U186" s="693"/>
      <c r="V186" s="690">
        <f t="shared" si="30"/>
        <v>2480.2600000000093</v>
      </c>
      <c r="W186" s="683"/>
      <c r="X186" s="474">
        <f t="shared" si="40"/>
        <v>75000</v>
      </c>
      <c r="Y186" s="474">
        <f t="shared" si="41"/>
        <v>0</v>
      </c>
      <c r="Z186" s="475">
        <f t="shared" si="42"/>
        <v>0</v>
      </c>
      <c r="AA186" s="475">
        <v>0</v>
      </c>
      <c r="AB186" s="476">
        <v>0</v>
      </c>
      <c r="AC186" s="38">
        <f t="shared" si="43"/>
        <v>0</v>
      </c>
      <c r="AD186" s="692">
        <f t="shared" si="33"/>
        <v>1217.4499999999971</v>
      </c>
      <c r="AE186" s="692">
        <f t="shared" si="34"/>
        <v>0</v>
      </c>
      <c r="AF186" s="692">
        <f t="shared" si="35"/>
        <v>0</v>
      </c>
      <c r="AG186" s="38"/>
      <c r="AH186" s="692">
        <f t="shared" si="37"/>
        <v>75000</v>
      </c>
      <c r="AI186" s="692">
        <f t="shared" si="38"/>
        <v>0</v>
      </c>
      <c r="AJ186" s="692">
        <f t="shared" si="39"/>
        <v>0</v>
      </c>
      <c r="AL186" s="38">
        <f t="shared" si="36"/>
        <v>76217.45</v>
      </c>
      <c r="AM186" s="68" t="s">
        <v>45</v>
      </c>
    </row>
    <row r="187" spans="1:39">
      <c r="A187" s="20" t="s">
        <v>211</v>
      </c>
      <c r="B187" s="20" t="s">
        <v>109</v>
      </c>
      <c r="C187" s="667"/>
      <c r="D187" s="68" t="s">
        <v>923</v>
      </c>
      <c r="E187" s="679"/>
      <c r="F187" s="529">
        <f>VLOOKUP(D187,'Oct13 Revenue'!D:V,19,FALSE)</f>
        <v>0</v>
      </c>
      <c r="G187" s="680"/>
      <c r="H187" s="680"/>
      <c r="I187" s="755"/>
      <c r="J187" s="682">
        <f t="shared" si="32"/>
        <v>0</v>
      </c>
      <c r="K187" s="683"/>
      <c r="L187" s="684"/>
      <c r="M187" s="753"/>
      <c r="N187" s="683">
        <v>0</v>
      </c>
      <c r="O187" s="686"/>
      <c r="P187" s="683">
        <v>0</v>
      </c>
      <c r="Q187" s="687">
        <f t="shared" si="31"/>
        <v>0</v>
      </c>
      <c r="R187" s="687"/>
      <c r="S187" s="687"/>
      <c r="T187" s="688">
        <v>0</v>
      </c>
      <c r="U187" s="693"/>
      <c r="V187" s="690">
        <f t="shared" si="30"/>
        <v>0</v>
      </c>
      <c r="W187" s="697"/>
      <c r="X187" s="474">
        <f t="shared" si="40"/>
        <v>0</v>
      </c>
      <c r="Y187" s="474">
        <f t="shared" si="41"/>
        <v>0</v>
      </c>
      <c r="Z187" s="475">
        <f t="shared" si="42"/>
        <v>0</v>
      </c>
      <c r="AA187" s="475">
        <v>0</v>
      </c>
      <c r="AB187" s="476">
        <v>0</v>
      </c>
      <c r="AC187" s="38">
        <f t="shared" si="43"/>
        <v>0</v>
      </c>
      <c r="AD187" s="692">
        <f t="shared" si="33"/>
        <v>0</v>
      </c>
      <c r="AE187" s="692">
        <f t="shared" si="34"/>
        <v>0</v>
      </c>
      <c r="AF187" s="692">
        <f t="shared" si="35"/>
        <v>0</v>
      </c>
      <c r="AG187" s="38"/>
      <c r="AH187" s="692">
        <f t="shared" si="37"/>
        <v>0</v>
      </c>
      <c r="AI187" s="692">
        <f t="shared" si="38"/>
        <v>0</v>
      </c>
      <c r="AJ187" s="692">
        <f t="shared" si="39"/>
        <v>0</v>
      </c>
      <c r="AL187" s="38">
        <f t="shared" si="36"/>
        <v>0</v>
      </c>
      <c r="AM187" s="68" t="s">
        <v>923</v>
      </c>
    </row>
    <row r="188" spans="1:39">
      <c r="A188" s="20"/>
      <c r="B188" s="20" t="s">
        <v>110</v>
      </c>
      <c r="C188" s="667" t="s">
        <v>573</v>
      </c>
      <c r="D188" s="68" t="s">
        <v>102</v>
      </c>
      <c r="E188" s="820">
        <v>51523.13</v>
      </c>
      <c r="F188" s="529">
        <f>VLOOKUP(D188,'Oct13 Revenue'!D:V,19,FALSE)</f>
        <v>171393.29999999981</v>
      </c>
      <c r="G188" s="680"/>
      <c r="H188" s="680"/>
      <c r="I188" s="755"/>
      <c r="J188" s="682">
        <f t="shared" si="32"/>
        <v>222916.42999999982</v>
      </c>
      <c r="K188" s="683"/>
      <c r="L188" s="684"/>
      <c r="M188" s="753">
        <v>3700000</v>
      </c>
      <c r="N188" s="683">
        <v>0</v>
      </c>
      <c r="O188" s="686"/>
      <c r="P188" s="683">
        <v>0</v>
      </c>
      <c r="Q188" s="687">
        <f t="shared" si="31"/>
        <v>3700000</v>
      </c>
      <c r="R188" s="687"/>
      <c r="S188" s="687"/>
      <c r="T188" s="688">
        <v>3702485.37</v>
      </c>
      <c r="U188" s="693"/>
      <c r="V188" s="690">
        <f t="shared" si="30"/>
        <v>2485.3700000001118</v>
      </c>
      <c r="W188" s="697"/>
      <c r="X188" s="474">
        <f t="shared" si="40"/>
        <v>3700000</v>
      </c>
      <c r="Y188" s="474">
        <f t="shared" si="41"/>
        <v>0</v>
      </c>
      <c r="Z188" s="475">
        <f t="shared" si="42"/>
        <v>0</v>
      </c>
      <c r="AA188" s="475">
        <v>0</v>
      </c>
      <c r="AB188" s="476">
        <v>0</v>
      </c>
      <c r="AC188" s="38">
        <f t="shared" si="43"/>
        <v>0</v>
      </c>
      <c r="AD188" s="692">
        <f t="shared" si="33"/>
        <v>222916.42999999982</v>
      </c>
      <c r="AE188" s="692">
        <f t="shared" si="34"/>
        <v>0</v>
      </c>
      <c r="AF188" s="692">
        <f t="shared" si="35"/>
        <v>0</v>
      </c>
      <c r="AG188" s="38"/>
      <c r="AH188" s="692">
        <f t="shared" si="37"/>
        <v>3700000</v>
      </c>
      <c r="AI188" s="692">
        <f t="shared" si="38"/>
        <v>0</v>
      </c>
      <c r="AJ188" s="692">
        <f t="shared" si="39"/>
        <v>0</v>
      </c>
      <c r="AL188" s="38">
        <f t="shared" si="36"/>
        <v>3922916.4299999997</v>
      </c>
      <c r="AM188" s="68" t="s">
        <v>102</v>
      </c>
    </row>
    <row r="189" spans="1:39">
      <c r="A189" s="20"/>
      <c r="B189" s="20" t="s">
        <v>110</v>
      </c>
      <c r="C189" s="667" t="s">
        <v>573</v>
      </c>
      <c r="D189" s="68" t="s">
        <v>511</v>
      </c>
      <c r="E189" s="679"/>
      <c r="F189" s="529">
        <f>VLOOKUP(D189,'Oct13 Revenue'!D:V,19,FALSE)</f>
        <v>396.32</v>
      </c>
      <c r="G189" s="680"/>
      <c r="H189" s="680"/>
      <c r="I189" s="755"/>
      <c r="J189" s="682">
        <f t="shared" si="32"/>
        <v>396.32</v>
      </c>
      <c r="K189" s="683"/>
      <c r="L189" s="684"/>
      <c r="M189" s="753"/>
      <c r="N189" s="683">
        <v>0</v>
      </c>
      <c r="O189" s="686"/>
      <c r="P189" s="683">
        <v>0</v>
      </c>
      <c r="Q189" s="687">
        <f t="shared" si="31"/>
        <v>0</v>
      </c>
      <c r="R189" s="687"/>
      <c r="S189" s="687"/>
      <c r="T189" s="688">
        <v>590.48</v>
      </c>
      <c r="U189" s="693"/>
      <c r="V189" s="690">
        <f t="shared" si="30"/>
        <v>590.48</v>
      </c>
      <c r="W189" s="697"/>
      <c r="X189" s="474">
        <f t="shared" si="40"/>
        <v>0</v>
      </c>
      <c r="Y189" s="474">
        <f t="shared" si="41"/>
        <v>0</v>
      </c>
      <c r="Z189" s="475">
        <f t="shared" si="42"/>
        <v>0</v>
      </c>
      <c r="AA189" s="475">
        <v>0</v>
      </c>
      <c r="AB189" s="476">
        <v>0</v>
      </c>
      <c r="AC189" s="38">
        <f t="shared" si="43"/>
        <v>0</v>
      </c>
      <c r="AD189" s="692">
        <f t="shared" si="33"/>
        <v>396.32</v>
      </c>
      <c r="AE189" s="692">
        <f t="shared" si="34"/>
        <v>0</v>
      </c>
      <c r="AF189" s="692">
        <f t="shared" si="35"/>
        <v>0</v>
      </c>
      <c r="AG189" s="38"/>
      <c r="AH189" s="692">
        <f t="shared" si="37"/>
        <v>0</v>
      </c>
      <c r="AI189" s="692">
        <f t="shared" si="38"/>
        <v>0</v>
      </c>
      <c r="AJ189" s="692">
        <f t="shared" si="39"/>
        <v>0</v>
      </c>
      <c r="AL189" s="38">
        <f t="shared" si="36"/>
        <v>396.32</v>
      </c>
      <c r="AM189" s="68" t="s">
        <v>511</v>
      </c>
    </row>
    <row r="190" spans="1:39">
      <c r="A190" s="21"/>
      <c r="B190" s="21" t="s">
        <v>110</v>
      </c>
      <c r="C190" s="666"/>
      <c r="D190" s="68" t="s">
        <v>50</v>
      </c>
      <c r="E190" s="679">
        <v>843.12</v>
      </c>
      <c r="F190" s="529">
        <f>VLOOKUP(D190,'Oct13 Revenue'!D:V,19,FALSE)</f>
        <v>714.7</v>
      </c>
      <c r="G190" s="680"/>
      <c r="H190" s="680"/>
      <c r="I190" s="770">
        <v>745.92</v>
      </c>
      <c r="J190" s="682">
        <f t="shared" si="32"/>
        <v>2303.7400000000002</v>
      </c>
      <c r="K190" s="683"/>
      <c r="L190" s="684"/>
      <c r="M190" s="753"/>
      <c r="N190" s="683">
        <v>0</v>
      </c>
      <c r="O190" s="686"/>
      <c r="P190" s="683">
        <v>0</v>
      </c>
      <c r="Q190" s="687">
        <f t="shared" si="31"/>
        <v>0</v>
      </c>
      <c r="R190" s="687"/>
      <c r="S190" s="687"/>
      <c r="T190" s="688">
        <v>0</v>
      </c>
      <c r="U190" s="693"/>
      <c r="V190" s="690">
        <f t="shared" si="30"/>
        <v>0</v>
      </c>
      <c r="W190" s="683"/>
      <c r="X190" s="474">
        <f t="shared" si="40"/>
        <v>0</v>
      </c>
      <c r="Y190" s="474">
        <f t="shared" si="41"/>
        <v>0</v>
      </c>
      <c r="Z190" s="475">
        <f t="shared" si="42"/>
        <v>0</v>
      </c>
      <c r="AA190" s="475">
        <v>0</v>
      </c>
      <c r="AB190" s="476">
        <v>0</v>
      </c>
      <c r="AC190" s="38">
        <f t="shared" si="43"/>
        <v>0</v>
      </c>
      <c r="AD190" s="692">
        <f t="shared" si="33"/>
        <v>2303.7400000000002</v>
      </c>
      <c r="AE190" s="692">
        <f t="shared" si="34"/>
        <v>0</v>
      </c>
      <c r="AF190" s="692">
        <f t="shared" si="35"/>
        <v>0</v>
      </c>
      <c r="AG190" s="38"/>
      <c r="AH190" s="692">
        <f t="shared" si="37"/>
        <v>0</v>
      </c>
      <c r="AI190" s="692">
        <f t="shared" si="38"/>
        <v>0</v>
      </c>
      <c r="AJ190" s="692">
        <f t="shared" si="39"/>
        <v>0</v>
      </c>
      <c r="AL190" s="38">
        <f t="shared" si="36"/>
        <v>2303.7400000000002</v>
      </c>
      <c r="AM190" s="68" t="s">
        <v>50</v>
      </c>
    </row>
    <row r="191" spans="1:39" hidden="1">
      <c r="A191" s="21"/>
      <c r="B191" s="21" t="s">
        <v>109</v>
      </c>
      <c r="C191" s="666"/>
      <c r="D191" s="68" t="s">
        <v>51</v>
      </c>
      <c r="E191" s="679"/>
      <c r="F191" s="529">
        <f>VLOOKUP(D191,'Oct13 Revenue'!D:V,19,FALSE)</f>
        <v>0</v>
      </c>
      <c r="G191" s="680"/>
      <c r="H191" s="680"/>
      <c r="I191" s="755"/>
      <c r="J191" s="682">
        <f t="shared" si="32"/>
        <v>0</v>
      </c>
      <c r="K191" s="683"/>
      <c r="L191" s="684"/>
      <c r="M191" s="753"/>
      <c r="N191" s="683">
        <v>0</v>
      </c>
      <c r="O191" s="686"/>
      <c r="P191" s="683">
        <v>0</v>
      </c>
      <c r="Q191" s="687">
        <f t="shared" si="31"/>
        <v>0</v>
      </c>
      <c r="R191" s="687"/>
      <c r="S191" s="687"/>
      <c r="T191" s="688">
        <v>0</v>
      </c>
      <c r="U191" s="693"/>
      <c r="V191" s="690">
        <f t="shared" si="30"/>
        <v>0</v>
      </c>
      <c r="W191" s="683"/>
      <c r="X191" s="474">
        <f t="shared" si="40"/>
        <v>0</v>
      </c>
      <c r="Y191" s="474">
        <f t="shared" si="41"/>
        <v>0</v>
      </c>
      <c r="Z191" s="475">
        <f t="shared" si="42"/>
        <v>0</v>
      </c>
      <c r="AA191" s="475">
        <v>0</v>
      </c>
      <c r="AB191" s="476">
        <v>0</v>
      </c>
      <c r="AC191" s="38">
        <f t="shared" si="43"/>
        <v>0</v>
      </c>
      <c r="AD191" s="692">
        <f t="shared" si="33"/>
        <v>0</v>
      </c>
      <c r="AE191" s="692">
        <f t="shared" si="34"/>
        <v>0</v>
      </c>
      <c r="AF191" s="692">
        <f t="shared" si="35"/>
        <v>0</v>
      </c>
      <c r="AG191" s="38"/>
      <c r="AH191" s="692">
        <f t="shared" si="37"/>
        <v>0</v>
      </c>
      <c r="AI191" s="692">
        <f t="shared" si="38"/>
        <v>0</v>
      </c>
      <c r="AJ191" s="692">
        <f t="shared" si="39"/>
        <v>0</v>
      </c>
      <c r="AL191" s="38">
        <f t="shared" si="36"/>
        <v>0</v>
      </c>
      <c r="AM191" s="68" t="s">
        <v>51</v>
      </c>
    </row>
    <row r="192" spans="1:39">
      <c r="A192" s="21"/>
      <c r="B192" s="21" t="s">
        <v>109</v>
      </c>
      <c r="C192" s="666"/>
      <c r="D192" s="68" t="s">
        <v>107</v>
      </c>
      <c r="E192" s="679"/>
      <c r="F192" s="529">
        <f>VLOOKUP(D192,'Oct13 Revenue'!D:V,19,FALSE)</f>
        <v>0</v>
      </c>
      <c r="G192" s="680"/>
      <c r="H192" s="680"/>
      <c r="I192" s="755"/>
      <c r="J192" s="682">
        <f t="shared" si="32"/>
        <v>0</v>
      </c>
      <c r="K192" s="683"/>
      <c r="L192" s="684"/>
      <c r="M192" s="753"/>
      <c r="N192" s="683">
        <v>0</v>
      </c>
      <c r="O192" s="686"/>
      <c r="P192" s="683">
        <v>0</v>
      </c>
      <c r="Q192" s="687">
        <f t="shared" si="31"/>
        <v>0</v>
      </c>
      <c r="R192" s="687"/>
      <c r="S192" s="687"/>
      <c r="T192" s="688">
        <v>0</v>
      </c>
      <c r="U192" s="693"/>
      <c r="V192" s="690">
        <f t="shared" si="30"/>
        <v>0</v>
      </c>
      <c r="W192" s="683"/>
      <c r="X192" s="474">
        <f t="shared" si="40"/>
        <v>0</v>
      </c>
      <c r="Y192" s="474">
        <f t="shared" si="41"/>
        <v>0</v>
      </c>
      <c r="Z192" s="475">
        <f t="shared" si="42"/>
        <v>0</v>
      </c>
      <c r="AA192" s="475">
        <v>0</v>
      </c>
      <c r="AB192" s="476">
        <v>0</v>
      </c>
      <c r="AC192" s="38">
        <f t="shared" si="43"/>
        <v>0</v>
      </c>
      <c r="AD192" s="692">
        <f t="shared" si="33"/>
        <v>0</v>
      </c>
      <c r="AE192" s="692">
        <f t="shared" si="34"/>
        <v>0</v>
      </c>
      <c r="AF192" s="692">
        <f t="shared" si="35"/>
        <v>0</v>
      </c>
      <c r="AG192" s="38"/>
      <c r="AH192" s="692">
        <f t="shared" si="37"/>
        <v>0</v>
      </c>
      <c r="AI192" s="692">
        <f t="shared" si="38"/>
        <v>0</v>
      </c>
      <c r="AJ192" s="692">
        <f t="shared" si="39"/>
        <v>0</v>
      </c>
      <c r="AL192" s="38">
        <f t="shared" si="36"/>
        <v>0</v>
      </c>
      <c r="AM192" s="68" t="s">
        <v>107</v>
      </c>
    </row>
    <row r="193" spans="1:39" hidden="1">
      <c r="A193" s="21"/>
      <c r="B193" s="21" t="s">
        <v>109</v>
      </c>
      <c r="C193" s="666"/>
      <c r="D193" s="68" t="s">
        <v>467</v>
      </c>
      <c r="E193" s="679"/>
      <c r="F193" s="529">
        <f>VLOOKUP(D193,'Oct13 Revenue'!D:V,19,FALSE)</f>
        <v>0</v>
      </c>
      <c r="G193" s="680"/>
      <c r="H193" s="680"/>
      <c r="I193" s="755"/>
      <c r="J193" s="682">
        <f t="shared" si="32"/>
        <v>0</v>
      </c>
      <c r="K193" s="683"/>
      <c r="L193" s="684"/>
      <c r="M193" s="753"/>
      <c r="N193" s="683">
        <v>0</v>
      </c>
      <c r="O193" s="686"/>
      <c r="P193" s="683">
        <v>0</v>
      </c>
      <c r="Q193" s="687">
        <f t="shared" si="31"/>
        <v>0</v>
      </c>
      <c r="R193" s="687"/>
      <c r="S193" s="687"/>
      <c r="T193" s="688">
        <v>0</v>
      </c>
      <c r="U193" s="693"/>
      <c r="V193" s="690">
        <f t="shared" si="30"/>
        <v>0</v>
      </c>
      <c r="W193" s="683"/>
      <c r="X193" s="474">
        <f t="shared" si="40"/>
        <v>0</v>
      </c>
      <c r="Y193" s="474">
        <f t="shared" si="41"/>
        <v>0</v>
      </c>
      <c r="Z193" s="475">
        <f t="shared" si="42"/>
        <v>0</v>
      </c>
      <c r="AA193" s="475">
        <v>0</v>
      </c>
      <c r="AB193" s="476">
        <v>0</v>
      </c>
      <c r="AC193" s="38">
        <f t="shared" si="43"/>
        <v>0</v>
      </c>
      <c r="AD193" s="692">
        <f t="shared" si="33"/>
        <v>0</v>
      </c>
      <c r="AE193" s="692">
        <f t="shared" si="34"/>
        <v>0</v>
      </c>
      <c r="AF193" s="692">
        <f t="shared" si="35"/>
        <v>0</v>
      </c>
      <c r="AG193" s="38"/>
      <c r="AH193" s="692">
        <f t="shared" si="37"/>
        <v>0</v>
      </c>
      <c r="AI193" s="692">
        <f t="shared" si="38"/>
        <v>0</v>
      </c>
      <c r="AJ193" s="692">
        <f t="shared" si="39"/>
        <v>0</v>
      </c>
      <c r="AL193" s="38">
        <f t="shared" si="36"/>
        <v>0</v>
      </c>
      <c r="AM193" s="68" t="s">
        <v>467</v>
      </c>
    </row>
    <row r="194" spans="1:39">
      <c r="A194" s="21"/>
      <c r="B194" s="21" t="s">
        <v>110</v>
      </c>
      <c r="C194" s="666"/>
      <c r="D194" s="68" t="s">
        <v>1012</v>
      </c>
      <c r="E194" s="679"/>
      <c r="F194" s="529">
        <f>VLOOKUP(D194,'Oct13 Revenue'!D:V,19,FALSE)</f>
        <v>0</v>
      </c>
      <c r="G194" s="680"/>
      <c r="H194" s="680"/>
      <c r="I194" s="755"/>
      <c r="J194" s="682">
        <f t="shared" si="32"/>
        <v>0</v>
      </c>
      <c r="K194" s="683"/>
      <c r="L194" s="684"/>
      <c r="M194" s="753"/>
      <c r="N194" s="683">
        <v>0</v>
      </c>
      <c r="O194" s="686"/>
      <c r="P194" s="683">
        <v>0</v>
      </c>
      <c r="Q194" s="687">
        <f t="shared" si="31"/>
        <v>0</v>
      </c>
      <c r="R194" s="687"/>
      <c r="S194" s="687"/>
      <c r="T194" s="688">
        <v>0</v>
      </c>
      <c r="U194" s="693"/>
      <c r="V194" s="690">
        <f t="shared" si="30"/>
        <v>0</v>
      </c>
      <c r="W194" s="683"/>
      <c r="X194" s="474">
        <f t="shared" si="40"/>
        <v>0</v>
      </c>
      <c r="Y194" s="474">
        <f t="shared" si="41"/>
        <v>0</v>
      </c>
      <c r="Z194" s="475">
        <f t="shared" si="42"/>
        <v>0</v>
      </c>
      <c r="AA194" s="475">
        <v>0</v>
      </c>
      <c r="AB194" s="476">
        <v>0</v>
      </c>
      <c r="AC194" s="38">
        <f t="shared" si="43"/>
        <v>0</v>
      </c>
      <c r="AD194" s="692">
        <f t="shared" si="33"/>
        <v>0</v>
      </c>
      <c r="AE194" s="692">
        <f t="shared" si="34"/>
        <v>0</v>
      </c>
      <c r="AF194" s="692">
        <f t="shared" si="35"/>
        <v>0</v>
      </c>
      <c r="AG194" s="38"/>
      <c r="AH194" s="692">
        <f t="shared" si="37"/>
        <v>0</v>
      </c>
      <c r="AI194" s="692">
        <f t="shared" si="38"/>
        <v>0</v>
      </c>
      <c r="AJ194" s="692">
        <f t="shared" si="39"/>
        <v>0</v>
      </c>
      <c r="AL194" s="38">
        <f t="shared" si="36"/>
        <v>0</v>
      </c>
      <c r="AM194" s="68" t="s">
        <v>1012</v>
      </c>
    </row>
    <row r="195" spans="1:39">
      <c r="A195" s="21"/>
      <c r="B195" s="21" t="s">
        <v>109</v>
      </c>
      <c r="C195" s="666" t="s">
        <v>575</v>
      </c>
      <c r="D195" s="68" t="s">
        <v>54</v>
      </c>
      <c r="E195" s="679">
        <v>313.48</v>
      </c>
      <c r="F195" s="529">
        <f>VLOOKUP(D195,'Oct13 Revenue'!D:V,19,FALSE)</f>
        <v>0</v>
      </c>
      <c r="G195" s="680"/>
      <c r="H195" s="680"/>
      <c r="I195" s="755"/>
      <c r="J195" s="682">
        <f t="shared" si="32"/>
        <v>313.48</v>
      </c>
      <c r="K195" s="683"/>
      <c r="L195" s="684"/>
      <c r="M195" s="753"/>
      <c r="N195" s="683">
        <v>0</v>
      </c>
      <c r="O195" s="686"/>
      <c r="P195" s="683">
        <v>0</v>
      </c>
      <c r="Q195" s="687">
        <f t="shared" si="31"/>
        <v>0</v>
      </c>
      <c r="R195" s="687"/>
      <c r="S195" s="687"/>
      <c r="T195" s="688">
        <v>0</v>
      </c>
      <c r="U195" s="693"/>
      <c r="V195" s="690">
        <f t="shared" si="30"/>
        <v>0</v>
      </c>
      <c r="W195" s="683"/>
      <c r="X195" s="474">
        <f t="shared" si="40"/>
        <v>0</v>
      </c>
      <c r="Y195" s="474">
        <f t="shared" si="41"/>
        <v>0</v>
      </c>
      <c r="Z195" s="475">
        <f t="shared" si="42"/>
        <v>0</v>
      </c>
      <c r="AA195" s="475">
        <v>0</v>
      </c>
      <c r="AB195" s="476">
        <v>0</v>
      </c>
      <c r="AC195" s="38">
        <f t="shared" si="43"/>
        <v>0</v>
      </c>
      <c r="AD195" s="692">
        <f t="shared" si="33"/>
        <v>0</v>
      </c>
      <c r="AE195" s="692">
        <f t="shared" si="34"/>
        <v>313.48</v>
      </c>
      <c r="AF195" s="692">
        <f t="shared" si="35"/>
        <v>0</v>
      </c>
      <c r="AG195" s="38"/>
      <c r="AH195" s="692">
        <f t="shared" si="37"/>
        <v>0</v>
      </c>
      <c r="AI195" s="692">
        <f t="shared" si="38"/>
        <v>0</v>
      </c>
      <c r="AJ195" s="692">
        <f t="shared" si="39"/>
        <v>0</v>
      </c>
      <c r="AL195" s="38">
        <f t="shared" si="36"/>
        <v>313.48</v>
      </c>
      <c r="AM195" s="68" t="s">
        <v>54</v>
      </c>
    </row>
    <row r="196" spans="1:39" hidden="1">
      <c r="A196" s="20"/>
      <c r="B196" s="20" t="s">
        <v>110</v>
      </c>
      <c r="C196" s="667" t="s">
        <v>576</v>
      </c>
      <c r="D196" s="68" t="s">
        <v>394</v>
      </c>
      <c r="E196" s="679"/>
      <c r="F196" s="529">
        <f>VLOOKUP(D196,'Oct13 Revenue'!D:V,19,FALSE)</f>
        <v>0</v>
      </c>
      <c r="G196" s="680"/>
      <c r="H196" s="680"/>
      <c r="I196" s="755"/>
      <c r="J196" s="682">
        <f t="shared" si="32"/>
        <v>0</v>
      </c>
      <c r="K196" s="683"/>
      <c r="L196" s="684"/>
      <c r="M196" s="753"/>
      <c r="N196" s="683">
        <v>0</v>
      </c>
      <c r="O196" s="686"/>
      <c r="P196" s="683">
        <v>0</v>
      </c>
      <c r="Q196" s="687">
        <f t="shared" si="31"/>
        <v>0</v>
      </c>
      <c r="R196" s="687"/>
      <c r="S196" s="687"/>
      <c r="T196" s="688">
        <v>0</v>
      </c>
      <c r="U196" s="693"/>
      <c r="V196" s="690">
        <f t="shared" si="30"/>
        <v>0</v>
      </c>
      <c r="W196" s="683"/>
      <c r="X196" s="474">
        <f t="shared" si="40"/>
        <v>0</v>
      </c>
      <c r="Y196" s="474">
        <f t="shared" si="41"/>
        <v>0</v>
      </c>
      <c r="Z196" s="475">
        <f t="shared" si="42"/>
        <v>0</v>
      </c>
      <c r="AA196" s="475">
        <v>0</v>
      </c>
      <c r="AB196" s="476">
        <v>0</v>
      </c>
      <c r="AC196" s="38">
        <f t="shared" si="43"/>
        <v>0</v>
      </c>
      <c r="AD196" s="692">
        <f t="shared" si="33"/>
        <v>0</v>
      </c>
      <c r="AE196" s="692">
        <f t="shared" si="34"/>
        <v>0</v>
      </c>
      <c r="AF196" s="692">
        <f t="shared" si="35"/>
        <v>0</v>
      </c>
      <c r="AG196" s="38"/>
      <c r="AH196" s="692">
        <f t="shared" si="37"/>
        <v>0</v>
      </c>
      <c r="AI196" s="692">
        <f t="shared" si="38"/>
        <v>0</v>
      </c>
      <c r="AJ196" s="692">
        <f t="shared" si="39"/>
        <v>0</v>
      </c>
      <c r="AL196" s="38">
        <f t="shared" si="36"/>
        <v>0</v>
      </c>
      <c r="AM196" s="68" t="s">
        <v>394</v>
      </c>
    </row>
    <row r="197" spans="1:39">
      <c r="A197" s="20"/>
      <c r="B197" s="20" t="s">
        <v>110</v>
      </c>
      <c r="C197" s="667"/>
      <c r="D197" s="68" t="s">
        <v>55</v>
      </c>
      <c r="E197" s="679"/>
      <c r="F197" s="529">
        <f>VLOOKUP(D197,'Oct13 Revenue'!D:V,19,FALSE)</f>
        <v>0</v>
      </c>
      <c r="G197" s="680"/>
      <c r="H197" s="680"/>
      <c r="I197" s="770">
        <v>436.55</v>
      </c>
      <c r="J197" s="682">
        <f t="shared" si="32"/>
        <v>436.55</v>
      </c>
      <c r="K197" s="683"/>
      <c r="L197" s="684"/>
      <c r="M197" s="753"/>
      <c r="N197" s="683">
        <v>0</v>
      </c>
      <c r="O197" s="686"/>
      <c r="P197" s="683">
        <v>0</v>
      </c>
      <c r="Q197" s="687">
        <f t="shared" si="31"/>
        <v>0</v>
      </c>
      <c r="R197" s="687"/>
      <c r="S197" s="687"/>
      <c r="T197" s="688">
        <v>0</v>
      </c>
      <c r="U197" s="693"/>
      <c r="V197" s="690">
        <f t="shared" si="30"/>
        <v>0</v>
      </c>
      <c r="W197" s="683"/>
      <c r="X197" s="474">
        <f t="shared" si="40"/>
        <v>0</v>
      </c>
      <c r="Y197" s="474">
        <f t="shared" si="41"/>
        <v>0</v>
      </c>
      <c r="Z197" s="475">
        <f t="shared" si="42"/>
        <v>0</v>
      </c>
      <c r="AA197" s="475">
        <v>0</v>
      </c>
      <c r="AB197" s="476">
        <v>0</v>
      </c>
      <c r="AC197" s="38">
        <f t="shared" si="43"/>
        <v>0</v>
      </c>
      <c r="AD197" s="692">
        <f t="shared" si="33"/>
        <v>436.55</v>
      </c>
      <c r="AE197" s="692">
        <f t="shared" si="34"/>
        <v>0</v>
      </c>
      <c r="AF197" s="692">
        <f t="shared" si="35"/>
        <v>0</v>
      </c>
      <c r="AG197" s="38"/>
      <c r="AH197" s="692">
        <f t="shared" si="37"/>
        <v>0</v>
      </c>
      <c r="AI197" s="692">
        <f t="shared" si="38"/>
        <v>0</v>
      </c>
      <c r="AJ197" s="692">
        <f t="shared" si="39"/>
        <v>0</v>
      </c>
      <c r="AL197" s="38">
        <f t="shared" si="36"/>
        <v>436.55</v>
      </c>
      <c r="AM197" s="68" t="s">
        <v>55</v>
      </c>
    </row>
    <row r="198" spans="1:39">
      <c r="A198" s="20"/>
      <c r="B198" s="20" t="s">
        <v>110</v>
      </c>
      <c r="C198" s="676" t="s">
        <v>854</v>
      </c>
      <c r="D198" s="68" t="s">
        <v>855</v>
      </c>
      <c r="E198" s="679"/>
      <c r="F198" s="529">
        <f>VLOOKUP(D198,'Oct13 Revenue'!D:V,19,FALSE)</f>
        <v>0</v>
      </c>
      <c r="G198" s="680"/>
      <c r="H198" s="680"/>
      <c r="I198" s="755"/>
      <c r="J198" s="682">
        <f t="shared" si="32"/>
        <v>0</v>
      </c>
      <c r="K198" s="683"/>
      <c r="L198" s="684"/>
      <c r="M198" s="753"/>
      <c r="N198" s="683">
        <v>0</v>
      </c>
      <c r="O198" s="686"/>
      <c r="P198" s="683">
        <v>0</v>
      </c>
      <c r="Q198" s="687">
        <f t="shared" si="31"/>
        <v>0</v>
      </c>
      <c r="R198" s="687"/>
      <c r="S198" s="687"/>
      <c r="T198" s="688">
        <v>521.67999999999995</v>
      </c>
      <c r="U198" s="693"/>
      <c r="V198" s="690">
        <f t="shared" si="30"/>
        <v>521.67999999999995</v>
      </c>
      <c r="W198" s="683"/>
      <c r="X198" s="474">
        <f t="shared" si="40"/>
        <v>0</v>
      </c>
      <c r="Y198" s="474">
        <f t="shared" si="41"/>
        <v>0</v>
      </c>
      <c r="Z198" s="475">
        <f t="shared" si="42"/>
        <v>0</v>
      </c>
      <c r="AA198" s="475">
        <v>0</v>
      </c>
      <c r="AB198" s="476">
        <v>0</v>
      </c>
      <c r="AC198" s="38">
        <f t="shared" si="43"/>
        <v>0</v>
      </c>
      <c r="AD198" s="692">
        <f t="shared" si="33"/>
        <v>0</v>
      </c>
      <c r="AE198" s="692">
        <f t="shared" si="34"/>
        <v>0</v>
      </c>
      <c r="AF198" s="692">
        <f t="shared" si="35"/>
        <v>0</v>
      </c>
      <c r="AG198" s="38"/>
      <c r="AH198" s="692">
        <f t="shared" si="37"/>
        <v>0</v>
      </c>
      <c r="AI198" s="692">
        <f t="shared" si="38"/>
        <v>0</v>
      </c>
      <c r="AJ198" s="692">
        <f t="shared" si="39"/>
        <v>0</v>
      </c>
      <c r="AL198" s="38">
        <f t="shared" si="36"/>
        <v>0</v>
      </c>
      <c r="AM198" s="68" t="s">
        <v>855</v>
      </c>
    </row>
    <row r="199" spans="1:39">
      <c r="A199" s="20"/>
      <c r="B199" s="20" t="s">
        <v>109</v>
      </c>
      <c r="C199" s="667" t="s">
        <v>577</v>
      </c>
      <c r="D199" s="68" t="s">
        <v>159</v>
      </c>
      <c r="E199" s="679"/>
      <c r="F199" s="529">
        <f>VLOOKUP(D199,'Oct13 Revenue'!D:V,19,FALSE)</f>
        <v>3205.58</v>
      </c>
      <c r="G199" s="680"/>
      <c r="H199" s="680"/>
      <c r="I199" s="770">
        <v>11730.24</v>
      </c>
      <c r="J199" s="682">
        <f t="shared" si="32"/>
        <v>14935.82</v>
      </c>
      <c r="K199" s="683"/>
      <c r="L199" s="684"/>
      <c r="M199" s="753"/>
      <c r="N199" s="683">
        <v>0</v>
      </c>
      <c r="O199" s="686"/>
      <c r="P199" s="683">
        <v>0</v>
      </c>
      <c r="Q199" s="687">
        <f t="shared" si="31"/>
        <v>0</v>
      </c>
      <c r="R199" s="687"/>
      <c r="S199" s="687"/>
      <c r="T199" s="688">
        <v>0</v>
      </c>
      <c r="U199" s="693"/>
      <c r="V199" s="690">
        <f t="shared" si="30"/>
        <v>0</v>
      </c>
      <c r="W199" s="683"/>
      <c r="X199" s="474">
        <f t="shared" si="40"/>
        <v>0</v>
      </c>
      <c r="Y199" s="474">
        <f t="shared" si="41"/>
        <v>0</v>
      </c>
      <c r="Z199" s="475">
        <f t="shared" si="42"/>
        <v>0</v>
      </c>
      <c r="AA199" s="475">
        <v>0</v>
      </c>
      <c r="AB199" s="476">
        <v>0</v>
      </c>
      <c r="AC199" s="38">
        <f t="shared" si="43"/>
        <v>0</v>
      </c>
      <c r="AD199" s="692">
        <f t="shared" si="33"/>
        <v>0</v>
      </c>
      <c r="AE199" s="692">
        <f t="shared" si="34"/>
        <v>14935.82</v>
      </c>
      <c r="AF199" s="692">
        <f t="shared" si="35"/>
        <v>0</v>
      </c>
      <c r="AG199" s="38"/>
      <c r="AH199" s="692">
        <f t="shared" si="37"/>
        <v>0</v>
      </c>
      <c r="AI199" s="692">
        <f t="shared" si="38"/>
        <v>0</v>
      </c>
      <c r="AJ199" s="692">
        <f t="shared" si="39"/>
        <v>0</v>
      </c>
      <c r="AL199" s="38">
        <f t="shared" si="36"/>
        <v>14935.82</v>
      </c>
      <c r="AM199" s="68" t="s">
        <v>159</v>
      </c>
    </row>
    <row r="200" spans="1:39">
      <c r="A200" s="20"/>
      <c r="B200" s="20" t="s">
        <v>109</v>
      </c>
      <c r="C200" s="667" t="s">
        <v>577</v>
      </c>
      <c r="D200" s="68" t="s">
        <v>160</v>
      </c>
      <c r="E200" s="679"/>
      <c r="F200" s="529">
        <f>VLOOKUP(D200,'Oct13 Revenue'!D:V,19,FALSE)</f>
        <v>-4861.6100000000006</v>
      </c>
      <c r="G200" s="680"/>
      <c r="H200" s="680"/>
      <c r="I200" s="770">
        <v>8947.98</v>
      </c>
      <c r="J200" s="682">
        <f t="shared" si="32"/>
        <v>4086.369999999999</v>
      </c>
      <c r="K200" s="683"/>
      <c r="L200" s="684"/>
      <c r="M200" s="753"/>
      <c r="N200" s="683">
        <v>0</v>
      </c>
      <c r="O200" s="686"/>
      <c r="P200" s="683">
        <v>0</v>
      </c>
      <c r="Q200" s="687">
        <f t="shared" si="31"/>
        <v>0</v>
      </c>
      <c r="R200" s="687"/>
      <c r="S200" s="687"/>
      <c r="T200" s="688">
        <v>0</v>
      </c>
      <c r="U200" s="693"/>
      <c r="V200" s="690">
        <f t="shared" si="30"/>
        <v>0</v>
      </c>
      <c r="W200" s="683"/>
      <c r="X200" s="474">
        <f t="shared" si="40"/>
        <v>0</v>
      </c>
      <c r="Y200" s="474">
        <f t="shared" si="41"/>
        <v>0</v>
      </c>
      <c r="Z200" s="475">
        <f t="shared" si="42"/>
        <v>0</v>
      </c>
      <c r="AA200" s="475">
        <v>0</v>
      </c>
      <c r="AB200" s="476">
        <v>0</v>
      </c>
      <c r="AC200" s="38">
        <f t="shared" si="43"/>
        <v>0</v>
      </c>
      <c r="AD200" s="692">
        <f t="shared" si="33"/>
        <v>0</v>
      </c>
      <c r="AE200" s="692">
        <f t="shared" si="34"/>
        <v>4086.369999999999</v>
      </c>
      <c r="AF200" s="692">
        <f t="shared" si="35"/>
        <v>0</v>
      </c>
      <c r="AG200" s="38"/>
      <c r="AH200" s="692">
        <f t="shared" si="37"/>
        <v>0</v>
      </c>
      <c r="AI200" s="692">
        <f t="shared" si="38"/>
        <v>0</v>
      </c>
      <c r="AJ200" s="692">
        <f t="shared" si="39"/>
        <v>0</v>
      </c>
      <c r="AL200" s="38">
        <f t="shared" si="36"/>
        <v>4086.369999999999</v>
      </c>
      <c r="AM200" s="68" t="s">
        <v>160</v>
      </c>
    </row>
    <row r="201" spans="1:39" hidden="1">
      <c r="A201" s="21"/>
      <c r="B201" s="21" t="s">
        <v>109</v>
      </c>
      <c r="C201" s="667" t="s">
        <v>577</v>
      </c>
      <c r="D201" s="68" t="s">
        <v>161</v>
      </c>
      <c r="E201" s="679"/>
      <c r="F201" s="529">
        <f>VLOOKUP(D201,'Oct13 Revenue'!D:V,19,FALSE)</f>
        <v>0</v>
      </c>
      <c r="G201" s="680"/>
      <c r="H201" s="680"/>
      <c r="I201" s="755"/>
      <c r="J201" s="682">
        <f t="shared" si="32"/>
        <v>0</v>
      </c>
      <c r="K201" s="683"/>
      <c r="L201" s="684"/>
      <c r="M201" s="753"/>
      <c r="N201" s="683">
        <v>0</v>
      </c>
      <c r="O201" s="686"/>
      <c r="P201" s="683">
        <v>0</v>
      </c>
      <c r="Q201" s="687">
        <f t="shared" si="31"/>
        <v>0</v>
      </c>
      <c r="R201" s="687"/>
      <c r="S201" s="687"/>
      <c r="T201" s="688">
        <v>0</v>
      </c>
      <c r="U201" s="693"/>
      <c r="V201" s="690">
        <f t="shared" si="30"/>
        <v>0</v>
      </c>
      <c r="W201" s="683"/>
      <c r="X201" s="474">
        <f t="shared" si="40"/>
        <v>0</v>
      </c>
      <c r="Y201" s="474">
        <f t="shared" si="41"/>
        <v>0</v>
      </c>
      <c r="Z201" s="475">
        <f t="shared" si="42"/>
        <v>0</v>
      </c>
      <c r="AA201" s="475">
        <v>0</v>
      </c>
      <c r="AB201" s="476">
        <v>0</v>
      </c>
      <c r="AC201" s="38">
        <f t="shared" si="43"/>
        <v>0</v>
      </c>
      <c r="AD201" s="692">
        <f t="shared" si="33"/>
        <v>0</v>
      </c>
      <c r="AE201" s="692">
        <f t="shared" si="34"/>
        <v>0</v>
      </c>
      <c r="AF201" s="692">
        <f t="shared" si="35"/>
        <v>0</v>
      </c>
      <c r="AG201" s="38"/>
      <c r="AH201" s="692">
        <f t="shared" si="37"/>
        <v>0</v>
      </c>
      <c r="AI201" s="692">
        <f t="shared" si="38"/>
        <v>0</v>
      </c>
      <c r="AJ201" s="692">
        <f t="shared" si="39"/>
        <v>0</v>
      </c>
      <c r="AL201" s="38">
        <f t="shared" si="36"/>
        <v>0</v>
      </c>
      <c r="AM201" s="68" t="s">
        <v>161</v>
      </c>
    </row>
    <row r="202" spans="1:39" hidden="1">
      <c r="A202" s="21"/>
      <c r="B202" s="21" t="s">
        <v>109</v>
      </c>
      <c r="C202" s="667" t="s">
        <v>577</v>
      </c>
      <c r="D202" s="68" t="s">
        <v>162</v>
      </c>
      <c r="E202" s="679"/>
      <c r="F202" s="529">
        <f>VLOOKUP(D202,'Oct13 Revenue'!D:V,19,FALSE)</f>
        <v>0</v>
      </c>
      <c r="G202" s="680"/>
      <c r="H202" s="680"/>
      <c r="I202" s="755"/>
      <c r="J202" s="682">
        <f t="shared" si="32"/>
        <v>0</v>
      </c>
      <c r="K202" s="683"/>
      <c r="L202" s="684"/>
      <c r="M202" s="753"/>
      <c r="N202" s="683">
        <v>0</v>
      </c>
      <c r="O202" s="686"/>
      <c r="P202" s="683">
        <v>0</v>
      </c>
      <c r="Q202" s="687">
        <f t="shared" si="31"/>
        <v>0</v>
      </c>
      <c r="R202" s="687"/>
      <c r="S202" s="687"/>
      <c r="T202" s="688">
        <v>0</v>
      </c>
      <c r="U202" s="693"/>
      <c r="V202" s="690">
        <f t="shared" si="30"/>
        <v>0</v>
      </c>
      <c r="W202" s="683"/>
      <c r="X202" s="474">
        <f t="shared" si="40"/>
        <v>0</v>
      </c>
      <c r="Y202" s="474">
        <f t="shared" si="41"/>
        <v>0</v>
      </c>
      <c r="Z202" s="475">
        <f t="shared" si="42"/>
        <v>0</v>
      </c>
      <c r="AA202" s="475">
        <v>0</v>
      </c>
      <c r="AB202" s="476">
        <v>0</v>
      </c>
      <c r="AC202" s="38">
        <f t="shared" si="43"/>
        <v>0</v>
      </c>
      <c r="AD202" s="692">
        <f t="shared" si="33"/>
        <v>0</v>
      </c>
      <c r="AE202" s="692">
        <f t="shared" si="34"/>
        <v>0</v>
      </c>
      <c r="AF202" s="692">
        <f t="shared" si="35"/>
        <v>0</v>
      </c>
      <c r="AG202" s="38"/>
      <c r="AH202" s="692">
        <f t="shared" si="37"/>
        <v>0</v>
      </c>
      <c r="AI202" s="692">
        <f t="shared" si="38"/>
        <v>0</v>
      </c>
      <c r="AJ202" s="692">
        <f t="shared" si="39"/>
        <v>0</v>
      </c>
      <c r="AL202" s="38">
        <f t="shared" si="36"/>
        <v>0</v>
      </c>
      <c r="AM202" s="68" t="s">
        <v>162</v>
      </c>
    </row>
    <row r="203" spans="1:39">
      <c r="A203" s="21"/>
      <c r="B203" s="21" t="s">
        <v>109</v>
      </c>
      <c r="C203" s="666"/>
      <c r="D203" s="68" t="s">
        <v>163</v>
      </c>
      <c r="E203" s="679"/>
      <c r="F203" s="529">
        <f>VLOOKUP(D203,'Oct13 Revenue'!D:V,19,FALSE)</f>
        <v>3465.43</v>
      </c>
      <c r="G203" s="680"/>
      <c r="H203" s="680"/>
      <c r="I203" s="770">
        <v>3450.67</v>
      </c>
      <c r="J203" s="682">
        <f t="shared" si="32"/>
        <v>6916.1</v>
      </c>
      <c r="K203" s="683"/>
      <c r="L203" s="684"/>
      <c r="M203" s="753"/>
      <c r="N203" s="683">
        <v>0</v>
      </c>
      <c r="O203" s="686"/>
      <c r="P203" s="683">
        <v>0</v>
      </c>
      <c r="Q203" s="687">
        <f t="shared" si="31"/>
        <v>0</v>
      </c>
      <c r="R203" s="687"/>
      <c r="S203" s="687"/>
      <c r="T203" s="688">
        <v>0</v>
      </c>
      <c r="U203" s="704"/>
      <c r="V203" s="690">
        <f t="shared" si="30"/>
        <v>0</v>
      </c>
      <c r="W203" s="705"/>
      <c r="X203" s="474">
        <f t="shared" si="40"/>
        <v>0</v>
      </c>
      <c r="Y203" s="474">
        <f t="shared" si="41"/>
        <v>0</v>
      </c>
      <c r="Z203" s="475">
        <f t="shared" si="42"/>
        <v>0</v>
      </c>
      <c r="AA203" s="475">
        <v>0</v>
      </c>
      <c r="AB203" s="476">
        <v>0</v>
      </c>
      <c r="AC203" s="38">
        <f t="shared" si="43"/>
        <v>0</v>
      </c>
      <c r="AD203" s="692">
        <f t="shared" si="33"/>
        <v>0</v>
      </c>
      <c r="AE203" s="692">
        <f t="shared" si="34"/>
        <v>6916.1</v>
      </c>
      <c r="AF203" s="692">
        <f t="shared" si="35"/>
        <v>0</v>
      </c>
      <c r="AG203" s="38"/>
      <c r="AH203" s="692">
        <f t="shared" si="37"/>
        <v>0</v>
      </c>
      <c r="AI203" s="692">
        <f t="shared" si="38"/>
        <v>0</v>
      </c>
      <c r="AJ203" s="692">
        <f t="shared" si="39"/>
        <v>0</v>
      </c>
      <c r="AL203" s="38">
        <f t="shared" si="36"/>
        <v>6916.1</v>
      </c>
      <c r="AM203" s="68" t="s">
        <v>163</v>
      </c>
    </row>
    <row r="204" spans="1:39">
      <c r="A204" s="21"/>
      <c r="B204" s="21" t="s">
        <v>109</v>
      </c>
      <c r="C204" s="666"/>
      <c r="D204" s="412" t="s">
        <v>164</v>
      </c>
      <c r="E204" s="679"/>
      <c r="F204" s="529">
        <f>VLOOKUP(D204,'Oct13 Revenue'!D:V,19,FALSE)</f>
        <v>0</v>
      </c>
      <c r="G204" s="680"/>
      <c r="H204" s="680"/>
      <c r="I204" s="755"/>
      <c r="J204" s="682">
        <f t="shared" si="32"/>
        <v>0</v>
      </c>
      <c r="K204" s="683"/>
      <c r="L204" s="684"/>
      <c r="M204" s="753"/>
      <c r="N204" s="683">
        <v>0</v>
      </c>
      <c r="O204" s="686"/>
      <c r="P204" s="683">
        <v>0</v>
      </c>
      <c r="Q204" s="687">
        <f t="shared" si="31"/>
        <v>0</v>
      </c>
      <c r="R204" s="687"/>
      <c r="S204" s="687"/>
      <c r="T204" s="688">
        <v>0</v>
      </c>
      <c r="U204" s="704"/>
      <c r="V204" s="690">
        <f t="shared" si="30"/>
        <v>0</v>
      </c>
      <c r="W204" s="705"/>
      <c r="X204" s="474">
        <f t="shared" si="40"/>
        <v>0</v>
      </c>
      <c r="Y204" s="474">
        <f t="shared" si="41"/>
        <v>0</v>
      </c>
      <c r="Z204" s="475">
        <f t="shared" si="42"/>
        <v>0</v>
      </c>
      <c r="AA204" s="475">
        <v>0</v>
      </c>
      <c r="AB204" s="476">
        <v>0</v>
      </c>
      <c r="AC204" s="38">
        <f t="shared" si="43"/>
        <v>0</v>
      </c>
      <c r="AD204" s="692">
        <f t="shared" si="33"/>
        <v>0</v>
      </c>
      <c r="AE204" s="692">
        <f t="shared" si="34"/>
        <v>0</v>
      </c>
      <c r="AF204" s="692">
        <f t="shared" si="35"/>
        <v>0</v>
      </c>
      <c r="AG204" s="38"/>
      <c r="AH204" s="692">
        <f t="shared" si="37"/>
        <v>0</v>
      </c>
      <c r="AI204" s="692">
        <f t="shared" si="38"/>
        <v>0</v>
      </c>
      <c r="AJ204" s="692">
        <f t="shared" si="39"/>
        <v>0</v>
      </c>
      <c r="AL204" s="38">
        <f t="shared" si="36"/>
        <v>0</v>
      </c>
      <c r="AM204" s="412" t="s">
        <v>164</v>
      </c>
    </row>
    <row r="205" spans="1:39">
      <c r="A205" s="21" t="s">
        <v>109</v>
      </c>
      <c r="B205" s="21" t="s">
        <v>114</v>
      </c>
      <c r="C205" s="666" t="s">
        <v>578</v>
      </c>
      <c r="D205" s="412" t="s">
        <v>318</v>
      </c>
      <c r="E205" s="679"/>
      <c r="F205" s="529">
        <f>VLOOKUP(D205,'Oct13 Revenue'!D:V,19,FALSE)</f>
        <v>-120000</v>
      </c>
      <c r="G205" s="680"/>
      <c r="H205" s="680"/>
      <c r="I205" s="755"/>
      <c r="J205" s="682">
        <f t="shared" si="32"/>
        <v>-120000</v>
      </c>
      <c r="K205" s="683"/>
      <c r="L205" s="684"/>
      <c r="M205" s="753">
        <v>180000</v>
      </c>
      <c r="N205" s="683">
        <v>0</v>
      </c>
      <c r="O205" s="686"/>
      <c r="P205" s="683">
        <v>0</v>
      </c>
      <c r="Q205" s="687">
        <f t="shared" si="31"/>
        <v>180000</v>
      </c>
      <c r="R205" s="687"/>
      <c r="S205" s="687"/>
      <c r="T205" s="688">
        <v>0</v>
      </c>
      <c r="U205" s="704"/>
      <c r="V205" s="690">
        <f t="shared" si="30"/>
        <v>-180000</v>
      </c>
      <c r="W205" s="683"/>
      <c r="X205" s="474">
        <f t="shared" si="40"/>
        <v>0</v>
      </c>
      <c r="Y205" s="474">
        <f t="shared" si="41"/>
        <v>0</v>
      </c>
      <c r="Z205" s="475">
        <f t="shared" si="42"/>
        <v>180000</v>
      </c>
      <c r="AA205" s="475">
        <v>0</v>
      </c>
      <c r="AB205" s="476">
        <v>0</v>
      </c>
      <c r="AC205" s="38">
        <f t="shared" si="43"/>
        <v>0</v>
      </c>
      <c r="AD205" s="692">
        <f t="shared" si="33"/>
        <v>0</v>
      </c>
      <c r="AE205" s="692">
        <f t="shared" si="34"/>
        <v>0</v>
      </c>
      <c r="AF205" s="692">
        <f t="shared" si="35"/>
        <v>-120000</v>
      </c>
      <c r="AG205" s="38"/>
      <c r="AH205" s="692">
        <f t="shared" si="37"/>
        <v>0</v>
      </c>
      <c r="AI205" s="692">
        <f t="shared" si="38"/>
        <v>0</v>
      </c>
      <c r="AJ205" s="692">
        <f t="shared" si="39"/>
        <v>180000</v>
      </c>
      <c r="AL205" s="38">
        <f t="shared" si="36"/>
        <v>60000</v>
      </c>
      <c r="AM205" s="412" t="s">
        <v>318</v>
      </c>
    </row>
    <row r="206" spans="1:39">
      <c r="A206" s="20" t="s">
        <v>211</v>
      </c>
      <c r="B206" s="20" t="s">
        <v>109</v>
      </c>
      <c r="C206" s="667"/>
      <c r="D206" s="68" t="s">
        <v>57</v>
      </c>
      <c r="E206" s="679">
        <v>772.55</v>
      </c>
      <c r="F206" s="529">
        <f>VLOOKUP(D206,'Oct13 Revenue'!D:V,19,FALSE)</f>
        <v>0</v>
      </c>
      <c r="G206" s="680"/>
      <c r="H206" s="680"/>
      <c r="I206" s="755"/>
      <c r="J206" s="682">
        <f t="shared" si="32"/>
        <v>772.55</v>
      </c>
      <c r="K206" s="683"/>
      <c r="L206" s="684"/>
      <c r="M206" s="753"/>
      <c r="N206" s="683">
        <v>0</v>
      </c>
      <c r="O206" s="686"/>
      <c r="P206" s="683">
        <v>0</v>
      </c>
      <c r="Q206" s="687">
        <f t="shared" si="31"/>
        <v>0</v>
      </c>
      <c r="R206" s="687"/>
      <c r="S206" s="687"/>
      <c r="T206" s="688">
        <v>0</v>
      </c>
      <c r="U206" s="693"/>
      <c r="V206" s="690">
        <f t="shared" si="30"/>
        <v>0</v>
      </c>
      <c r="W206" s="683"/>
      <c r="X206" s="474">
        <f t="shared" si="40"/>
        <v>0</v>
      </c>
      <c r="Y206" s="474">
        <f t="shared" si="41"/>
        <v>0</v>
      </c>
      <c r="Z206" s="475">
        <f t="shared" si="42"/>
        <v>0</v>
      </c>
      <c r="AA206" s="475">
        <v>0</v>
      </c>
      <c r="AB206" s="476">
        <v>0</v>
      </c>
      <c r="AC206" s="38">
        <f t="shared" si="43"/>
        <v>0</v>
      </c>
      <c r="AD206" s="692">
        <f t="shared" si="33"/>
        <v>0</v>
      </c>
      <c r="AE206" s="692">
        <f t="shared" si="34"/>
        <v>772.55</v>
      </c>
      <c r="AF206" s="692">
        <f t="shared" si="35"/>
        <v>0</v>
      </c>
      <c r="AG206" s="38"/>
      <c r="AH206" s="692">
        <f t="shared" si="37"/>
        <v>0</v>
      </c>
      <c r="AI206" s="692">
        <f t="shared" si="38"/>
        <v>0</v>
      </c>
      <c r="AJ206" s="692">
        <f t="shared" si="39"/>
        <v>0</v>
      </c>
      <c r="AL206" s="38">
        <f t="shared" si="36"/>
        <v>772.55</v>
      </c>
      <c r="AM206" s="68" t="s">
        <v>57</v>
      </c>
    </row>
    <row r="207" spans="1:39">
      <c r="A207" s="20"/>
      <c r="B207" s="20" t="s">
        <v>114</v>
      </c>
      <c r="C207" s="676" t="s">
        <v>621</v>
      </c>
      <c r="D207" s="68" t="s">
        <v>622</v>
      </c>
      <c r="E207" s="679"/>
      <c r="F207" s="529">
        <f>VLOOKUP(D207,'Oct13 Revenue'!D:V,19,FALSE)</f>
        <v>0</v>
      </c>
      <c r="G207" s="680"/>
      <c r="H207" s="680"/>
      <c r="I207" s="755"/>
      <c r="J207" s="682">
        <f t="shared" si="32"/>
        <v>0</v>
      </c>
      <c r="K207" s="683"/>
      <c r="L207" s="684"/>
      <c r="M207" s="753"/>
      <c r="N207" s="683">
        <v>0</v>
      </c>
      <c r="O207" s="686"/>
      <c r="P207" s="683">
        <v>0</v>
      </c>
      <c r="Q207" s="687">
        <f t="shared" si="31"/>
        <v>0</v>
      </c>
      <c r="R207" s="687"/>
      <c r="S207" s="687"/>
      <c r="T207" s="688">
        <v>0</v>
      </c>
      <c r="U207" s="704"/>
      <c r="V207" s="690">
        <f t="shared" si="30"/>
        <v>0</v>
      </c>
      <c r="W207" s="683"/>
      <c r="X207" s="474">
        <f t="shared" si="40"/>
        <v>0</v>
      </c>
      <c r="Y207" s="474">
        <f t="shared" si="41"/>
        <v>0</v>
      </c>
      <c r="Z207" s="475">
        <f t="shared" si="42"/>
        <v>0</v>
      </c>
      <c r="AA207" s="475">
        <v>0</v>
      </c>
      <c r="AB207" s="476">
        <v>0</v>
      </c>
      <c r="AC207" s="38">
        <f t="shared" si="43"/>
        <v>0</v>
      </c>
      <c r="AD207" s="692">
        <f t="shared" si="33"/>
        <v>0</v>
      </c>
      <c r="AE207" s="692">
        <f t="shared" si="34"/>
        <v>0</v>
      </c>
      <c r="AF207" s="692">
        <f t="shared" si="35"/>
        <v>0</v>
      </c>
      <c r="AG207" s="38"/>
      <c r="AH207" s="692">
        <f t="shared" si="37"/>
        <v>0</v>
      </c>
      <c r="AI207" s="692">
        <f t="shared" si="38"/>
        <v>0</v>
      </c>
      <c r="AJ207" s="692">
        <f t="shared" si="39"/>
        <v>0</v>
      </c>
      <c r="AL207" s="38">
        <f t="shared" si="36"/>
        <v>0</v>
      </c>
      <c r="AM207" s="68" t="s">
        <v>622</v>
      </c>
    </row>
    <row r="208" spans="1:39">
      <c r="A208" s="20"/>
      <c r="B208" s="20" t="s">
        <v>110</v>
      </c>
      <c r="C208" s="667"/>
      <c r="D208" s="68" t="s">
        <v>497</v>
      </c>
      <c r="E208" s="679"/>
      <c r="F208" s="529">
        <f>VLOOKUP(D208,'Oct13 Revenue'!D:V,19,FALSE)</f>
        <v>0</v>
      </c>
      <c r="G208" s="680"/>
      <c r="H208" s="680"/>
      <c r="I208" s="755"/>
      <c r="J208" s="682">
        <f t="shared" si="32"/>
        <v>0</v>
      </c>
      <c r="K208" s="683"/>
      <c r="L208" s="684"/>
      <c r="M208" s="753"/>
      <c r="N208" s="683">
        <v>0</v>
      </c>
      <c r="O208" s="686"/>
      <c r="P208" s="683">
        <v>0</v>
      </c>
      <c r="Q208" s="687">
        <f t="shared" si="31"/>
        <v>0</v>
      </c>
      <c r="R208" s="687"/>
      <c r="S208" s="687"/>
      <c r="T208" s="688">
        <v>0</v>
      </c>
      <c r="U208" s="693"/>
      <c r="V208" s="690">
        <f t="shared" ref="V208:V228" si="44">IF(T208="","",T208-Q208)</f>
        <v>0</v>
      </c>
      <c r="W208" s="683"/>
      <c r="X208" s="474">
        <f t="shared" si="40"/>
        <v>0</v>
      </c>
      <c r="Y208" s="474">
        <f t="shared" si="41"/>
        <v>0</v>
      </c>
      <c r="Z208" s="475">
        <f t="shared" si="42"/>
        <v>0</v>
      </c>
      <c r="AA208" s="475">
        <v>0</v>
      </c>
      <c r="AB208" s="476">
        <v>0</v>
      </c>
      <c r="AC208" s="38">
        <f t="shared" si="43"/>
        <v>0</v>
      </c>
      <c r="AD208" s="692">
        <f t="shared" si="33"/>
        <v>0</v>
      </c>
      <c r="AE208" s="692">
        <f t="shared" si="34"/>
        <v>0</v>
      </c>
      <c r="AF208" s="692">
        <f t="shared" si="35"/>
        <v>0</v>
      </c>
      <c r="AG208" s="38"/>
      <c r="AH208" s="692">
        <f t="shared" si="37"/>
        <v>0</v>
      </c>
      <c r="AI208" s="692">
        <f t="shared" si="38"/>
        <v>0</v>
      </c>
      <c r="AJ208" s="692">
        <f t="shared" si="39"/>
        <v>0</v>
      </c>
      <c r="AL208" s="38">
        <f t="shared" si="36"/>
        <v>0</v>
      </c>
      <c r="AM208" s="68" t="s">
        <v>497</v>
      </c>
    </row>
    <row r="209" spans="1:39">
      <c r="A209" s="20"/>
      <c r="B209" s="20" t="s">
        <v>110</v>
      </c>
      <c r="C209" s="667"/>
      <c r="D209" s="68" t="s">
        <v>509</v>
      </c>
      <c r="E209" s="679"/>
      <c r="F209" s="529">
        <f>VLOOKUP(D209,'Oct13 Revenue'!D:V,19,FALSE)</f>
        <v>-30000</v>
      </c>
      <c r="G209" s="680"/>
      <c r="H209" s="680"/>
      <c r="I209" s="755"/>
      <c r="J209" s="682">
        <f t="shared" si="32"/>
        <v>-30000</v>
      </c>
      <c r="K209" s="683"/>
      <c r="L209" s="684"/>
      <c r="M209" s="753">
        <v>30000</v>
      </c>
      <c r="N209" s="683"/>
      <c r="O209" s="686"/>
      <c r="P209" s="683"/>
      <c r="Q209" s="687">
        <f t="shared" si="31"/>
        <v>30000</v>
      </c>
      <c r="R209" s="687"/>
      <c r="S209" s="687"/>
      <c r="T209" s="688">
        <v>0</v>
      </c>
      <c r="U209" s="693"/>
      <c r="V209" s="690">
        <f t="shared" si="44"/>
        <v>-30000</v>
      </c>
      <c r="W209" s="683"/>
      <c r="X209" s="474">
        <f t="shared" si="40"/>
        <v>30000</v>
      </c>
      <c r="Y209" s="474">
        <f t="shared" si="41"/>
        <v>0</v>
      </c>
      <c r="Z209" s="475">
        <f t="shared" si="42"/>
        <v>0</v>
      </c>
      <c r="AA209" s="475">
        <v>0</v>
      </c>
      <c r="AB209" s="476">
        <v>0</v>
      </c>
      <c r="AC209" s="38">
        <f t="shared" si="43"/>
        <v>0</v>
      </c>
      <c r="AD209" s="692">
        <f t="shared" si="33"/>
        <v>-30000</v>
      </c>
      <c r="AE209" s="692">
        <f t="shared" si="34"/>
        <v>0</v>
      </c>
      <c r="AF209" s="692">
        <f t="shared" si="35"/>
        <v>0</v>
      </c>
      <c r="AG209" s="38"/>
      <c r="AH209" s="692">
        <f t="shared" si="37"/>
        <v>30000</v>
      </c>
      <c r="AI209" s="692">
        <f t="shared" si="38"/>
        <v>0</v>
      </c>
      <c r="AJ209" s="692">
        <f t="shared" si="39"/>
        <v>0</v>
      </c>
      <c r="AL209" s="38">
        <f t="shared" si="36"/>
        <v>0</v>
      </c>
      <c r="AM209" s="68" t="s">
        <v>509</v>
      </c>
    </row>
    <row r="210" spans="1:39" s="627" customFormat="1">
      <c r="A210" s="610"/>
      <c r="B210" s="610" t="s">
        <v>110</v>
      </c>
      <c r="C210" s="667" t="s">
        <v>580</v>
      </c>
      <c r="D210" s="612" t="s">
        <v>476</v>
      </c>
      <c r="E210" s="679"/>
      <c r="F210" s="529">
        <f>VLOOKUP(D210,'Oct13 Revenue'!D:V,19,FALSE)</f>
        <v>0</v>
      </c>
      <c r="G210" s="680"/>
      <c r="H210" s="680"/>
      <c r="I210" s="755"/>
      <c r="J210" s="682">
        <f t="shared" si="32"/>
        <v>0</v>
      </c>
      <c r="K210" s="683"/>
      <c r="L210" s="684"/>
      <c r="M210" s="753"/>
      <c r="N210" s="683">
        <v>0</v>
      </c>
      <c r="O210" s="686"/>
      <c r="P210" s="683">
        <v>0</v>
      </c>
      <c r="Q210" s="687">
        <f t="shared" si="31"/>
        <v>0</v>
      </c>
      <c r="R210" s="687"/>
      <c r="S210" s="687"/>
      <c r="T210" s="688">
        <v>0</v>
      </c>
      <c r="U210" s="706"/>
      <c r="V210" s="690">
        <f t="shared" si="44"/>
        <v>0</v>
      </c>
      <c r="W210" s="707"/>
      <c r="X210" s="474">
        <f t="shared" si="40"/>
        <v>0</v>
      </c>
      <c r="Y210" s="474">
        <f t="shared" si="41"/>
        <v>0</v>
      </c>
      <c r="Z210" s="475">
        <f t="shared" si="42"/>
        <v>0</v>
      </c>
      <c r="AA210" s="475">
        <v>0</v>
      </c>
      <c r="AB210" s="476">
        <v>0</v>
      </c>
      <c r="AC210" s="38">
        <f t="shared" si="43"/>
        <v>0</v>
      </c>
      <c r="AD210" s="692">
        <f t="shared" si="33"/>
        <v>0</v>
      </c>
      <c r="AE210" s="692">
        <f t="shared" si="34"/>
        <v>0</v>
      </c>
      <c r="AF210" s="692">
        <f t="shared" si="35"/>
        <v>0</v>
      </c>
      <c r="AG210" s="38"/>
      <c r="AH210" s="692">
        <f t="shared" si="37"/>
        <v>0</v>
      </c>
      <c r="AI210" s="692">
        <f t="shared" si="38"/>
        <v>0</v>
      </c>
      <c r="AJ210" s="692">
        <f t="shared" si="39"/>
        <v>0</v>
      </c>
      <c r="AL210" s="38">
        <f t="shared" si="36"/>
        <v>0</v>
      </c>
      <c r="AM210" s="612" t="s">
        <v>476</v>
      </c>
    </row>
    <row r="211" spans="1:39" s="232" customFormat="1">
      <c r="A211" s="283"/>
      <c r="B211" s="283" t="s">
        <v>114</v>
      </c>
      <c r="C211" s="667" t="s">
        <v>580</v>
      </c>
      <c r="D211" s="123" t="s">
        <v>371</v>
      </c>
      <c r="E211" s="679"/>
      <c r="F211" s="529">
        <f>VLOOKUP(D211,'Oct13 Revenue'!D:V,19,FALSE)</f>
        <v>6345.2200000000012</v>
      </c>
      <c r="G211" s="680"/>
      <c r="H211" s="680"/>
      <c r="I211" s="755"/>
      <c r="J211" s="682">
        <f t="shared" si="32"/>
        <v>6345.2200000000012</v>
      </c>
      <c r="K211" s="683"/>
      <c r="L211" s="684"/>
      <c r="M211" s="753">
        <v>15000</v>
      </c>
      <c r="N211" s="683">
        <v>0</v>
      </c>
      <c r="O211" s="686"/>
      <c r="P211" s="683">
        <v>0</v>
      </c>
      <c r="Q211" s="687">
        <f>L211+M211</f>
        <v>15000</v>
      </c>
      <c r="R211" s="687"/>
      <c r="S211" s="687"/>
      <c r="T211" s="688">
        <v>27072.84</v>
      </c>
      <c r="U211" s="693"/>
      <c r="V211" s="690">
        <f t="shared" si="44"/>
        <v>12072.84</v>
      </c>
      <c r="W211" s="683"/>
      <c r="X211" s="474">
        <f t="shared" si="40"/>
        <v>0</v>
      </c>
      <c r="Y211" s="474">
        <f t="shared" si="41"/>
        <v>0</v>
      </c>
      <c r="Z211" s="475">
        <f t="shared" si="42"/>
        <v>15000</v>
      </c>
      <c r="AA211" s="475">
        <v>0</v>
      </c>
      <c r="AB211" s="476">
        <v>0</v>
      </c>
      <c r="AC211" s="38">
        <f>(L211+M211)-(X211+Y211+Z211+AA211+AB211)</f>
        <v>0</v>
      </c>
      <c r="AD211" s="692">
        <f t="shared" si="33"/>
        <v>0</v>
      </c>
      <c r="AE211" s="692">
        <f t="shared" si="34"/>
        <v>0</v>
      </c>
      <c r="AF211" s="692">
        <f t="shared" si="35"/>
        <v>6345.2200000000012</v>
      </c>
      <c r="AG211" s="38"/>
      <c r="AH211" s="692">
        <f t="shared" si="37"/>
        <v>0</v>
      </c>
      <c r="AI211" s="692">
        <f t="shared" si="38"/>
        <v>0</v>
      </c>
      <c r="AJ211" s="692">
        <f t="shared" si="39"/>
        <v>15000</v>
      </c>
      <c r="AL211" s="38">
        <f t="shared" si="36"/>
        <v>21345.22</v>
      </c>
      <c r="AM211" s="123" t="s">
        <v>371</v>
      </c>
    </row>
    <row r="212" spans="1:39" s="232" customFormat="1">
      <c r="A212" s="283"/>
      <c r="B212" s="283" t="s">
        <v>110</v>
      </c>
      <c r="C212" s="667" t="s">
        <v>580</v>
      </c>
      <c r="D212" s="123" t="s">
        <v>422</v>
      </c>
      <c r="E212" s="679"/>
      <c r="F212" s="529">
        <f>VLOOKUP(D212,'Oct13 Revenue'!D:V,19,FALSE)</f>
        <v>0</v>
      </c>
      <c r="G212" s="680"/>
      <c r="H212" s="680"/>
      <c r="I212" s="755"/>
      <c r="J212" s="682">
        <f t="shared" si="32"/>
        <v>0</v>
      </c>
      <c r="K212" s="683"/>
      <c r="L212" s="684"/>
      <c r="M212" s="753"/>
      <c r="N212" s="683">
        <v>0</v>
      </c>
      <c r="O212" s="686"/>
      <c r="P212" s="683">
        <v>0</v>
      </c>
      <c r="Q212" s="687">
        <f t="shared" si="31"/>
        <v>0</v>
      </c>
      <c r="R212" s="687"/>
      <c r="S212" s="687"/>
      <c r="T212" s="688">
        <v>0</v>
      </c>
      <c r="U212" s="693"/>
      <c r="V212" s="690">
        <f t="shared" si="44"/>
        <v>0</v>
      </c>
      <c r="W212" s="683"/>
      <c r="X212" s="474">
        <f t="shared" si="40"/>
        <v>0</v>
      </c>
      <c r="Y212" s="474">
        <f t="shared" si="41"/>
        <v>0</v>
      </c>
      <c r="Z212" s="475">
        <f t="shared" si="42"/>
        <v>0</v>
      </c>
      <c r="AA212" s="475">
        <v>0</v>
      </c>
      <c r="AB212" s="476">
        <v>0</v>
      </c>
      <c r="AC212" s="38">
        <f t="shared" si="43"/>
        <v>0</v>
      </c>
      <c r="AD212" s="692">
        <f t="shared" si="33"/>
        <v>0</v>
      </c>
      <c r="AE212" s="692">
        <f t="shared" si="34"/>
        <v>0</v>
      </c>
      <c r="AF212" s="692">
        <f t="shared" si="35"/>
        <v>0</v>
      </c>
      <c r="AG212" s="38"/>
      <c r="AH212" s="692">
        <f t="shared" si="37"/>
        <v>0</v>
      </c>
      <c r="AI212" s="692">
        <f t="shared" si="38"/>
        <v>0</v>
      </c>
      <c r="AJ212" s="692">
        <f t="shared" si="39"/>
        <v>0</v>
      </c>
      <c r="AL212" s="38">
        <f t="shared" si="36"/>
        <v>0</v>
      </c>
      <c r="AM212" s="123" t="s">
        <v>422</v>
      </c>
    </row>
    <row r="213" spans="1:39" s="232" customFormat="1">
      <c r="A213" s="283"/>
      <c r="B213" s="283" t="s">
        <v>110</v>
      </c>
      <c r="C213" s="667" t="s">
        <v>580</v>
      </c>
      <c r="D213" s="123" t="s">
        <v>442</v>
      </c>
      <c r="E213" s="679"/>
      <c r="F213" s="529">
        <f>VLOOKUP(D213,'Oct13 Revenue'!D:V,19,FALSE)</f>
        <v>916.01000000000931</v>
      </c>
      <c r="G213" s="680"/>
      <c r="H213" s="680"/>
      <c r="I213" s="755"/>
      <c r="J213" s="682">
        <f t="shared" si="32"/>
        <v>916.01000000000931</v>
      </c>
      <c r="K213" s="683"/>
      <c r="L213" s="684"/>
      <c r="M213" s="753">
        <f>789281+752830-111</f>
        <v>1542000</v>
      </c>
      <c r="N213" s="683">
        <v>0</v>
      </c>
      <c r="O213" s="686"/>
      <c r="P213" s="683">
        <v>0</v>
      </c>
      <c r="Q213" s="687">
        <f>L213+M213</f>
        <v>1542000</v>
      </c>
      <c r="R213" s="687"/>
      <c r="S213" s="687"/>
      <c r="T213" s="688">
        <f>789284.12+752830.3</f>
        <v>1542114.42</v>
      </c>
      <c r="U213" s="693"/>
      <c r="V213" s="690">
        <f t="shared" si="44"/>
        <v>114.41999999992549</v>
      </c>
      <c r="W213" s="683"/>
      <c r="X213" s="474">
        <f t="shared" si="40"/>
        <v>1542000</v>
      </c>
      <c r="Y213" s="474">
        <f t="shared" si="41"/>
        <v>0</v>
      </c>
      <c r="Z213" s="475">
        <f t="shared" si="42"/>
        <v>0</v>
      </c>
      <c r="AA213" s="475">
        <v>0</v>
      </c>
      <c r="AB213" s="476">
        <v>0</v>
      </c>
      <c r="AC213" s="38">
        <f>(L213+M213)-(X213+Y213+Z213+AA213+AB213)</f>
        <v>0</v>
      </c>
      <c r="AD213" s="692">
        <f t="shared" si="33"/>
        <v>916.01000000000931</v>
      </c>
      <c r="AE213" s="692">
        <f t="shared" si="34"/>
        <v>0</v>
      </c>
      <c r="AF213" s="692">
        <f t="shared" si="35"/>
        <v>0</v>
      </c>
      <c r="AG213" s="38"/>
      <c r="AH213" s="692">
        <f t="shared" si="37"/>
        <v>1542000</v>
      </c>
      <c r="AI213" s="692">
        <f t="shared" si="38"/>
        <v>0</v>
      </c>
      <c r="AJ213" s="692">
        <f t="shared" si="39"/>
        <v>0</v>
      </c>
      <c r="AL213" s="38">
        <f t="shared" si="36"/>
        <v>1542916.01</v>
      </c>
      <c r="AM213" s="123" t="s">
        <v>442</v>
      </c>
    </row>
    <row r="214" spans="1:39" hidden="1">
      <c r="A214" s="21" t="s">
        <v>97</v>
      </c>
      <c r="B214" s="21" t="s">
        <v>109</v>
      </c>
      <c r="C214" s="666"/>
      <c r="D214" s="68" t="s">
        <v>381</v>
      </c>
      <c r="E214" s="679"/>
      <c r="F214" s="529">
        <f>VLOOKUP(D214,'Oct13 Revenue'!D:V,19,FALSE)</f>
        <v>0</v>
      </c>
      <c r="G214" s="680"/>
      <c r="H214" s="680"/>
      <c r="I214" s="755"/>
      <c r="J214" s="682">
        <f t="shared" si="32"/>
        <v>0</v>
      </c>
      <c r="K214" s="683"/>
      <c r="L214" s="684"/>
      <c r="M214" s="753"/>
      <c r="N214" s="683">
        <v>0</v>
      </c>
      <c r="O214" s="686"/>
      <c r="P214" s="683">
        <v>0</v>
      </c>
      <c r="Q214" s="687">
        <f t="shared" si="31"/>
        <v>0</v>
      </c>
      <c r="R214" s="687"/>
      <c r="S214" s="687"/>
      <c r="T214" s="688">
        <v>0</v>
      </c>
      <c r="U214" s="693"/>
      <c r="V214" s="690">
        <f t="shared" si="44"/>
        <v>0</v>
      </c>
      <c r="W214" s="683"/>
      <c r="X214" s="474">
        <f t="shared" si="40"/>
        <v>0</v>
      </c>
      <c r="Y214" s="474">
        <f t="shared" si="41"/>
        <v>0</v>
      </c>
      <c r="Z214" s="475">
        <f t="shared" si="42"/>
        <v>0</v>
      </c>
      <c r="AA214" s="475">
        <v>0</v>
      </c>
      <c r="AB214" s="476">
        <v>0</v>
      </c>
      <c r="AC214" s="38">
        <f t="shared" si="43"/>
        <v>0</v>
      </c>
      <c r="AD214" s="692">
        <f t="shared" si="33"/>
        <v>0</v>
      </c>
      <c r="AE214" s="692">
        <f t="shared" si="34"/>
        <v>0</v>
      </c>
      <c r="AF214" s="692">
        <f t="shared" si="35"/>
        <v>0</v>
      </c>
      <c r="AG214" s="38"/>
      <c r="AH214" s="692">
        <f t="shared" si="37"/>
        <v>0</v>
      </c>
      <c r="AI214" s="692">
        <f t="shared" si="38"/>
        <v>0</v>
      </c>
      <c r="AJ214" s="692">
        <f t="shared" si="39"/>
        <v>0</v>
      </c>
      <c r="AL214" s="38">
        <f t="shared" si="36"/>
        <v>0</v>
      </c>
      <c r="AM214" s="68" t="s">
        <v>381</v>
      </c>
    </row>
    <row r="215" spans="1:39" hidden="1">
      <c r="A215" s="21" t="s">
        <v>97</v>
      </c>
      <c r="B215" s="21" t="s">
        <v>114</v>
      </c>
      <c r="C215" s="666"/>
      <c r="D215" s="68" t="s">
        <v>376</v>
      </c>
      <c r="E215" s="679"/>
      <c r="F215" s="529">
        <f>VLOOKUP(D215,'Oct13 Revenue'!D:V,19,FALSE)</f>
        <v>0</v>
      </c>
      <c r="G215" s="680"/>
      <c r="H215" s="680"/>
      <c r="I215" s="755"/>
      <c r="J215" s="682">
        <f t="shared" si="32"/>
        <v>0</v>
      </c>
      <c r="K215" s="683"/>
      <c r="L215" s="684"/>
      <c r="M215" s="753"/>
      <c r="N215" s="683">
        <v>0</v>
      </c>
      <c r="O215" s="686"/>
      <c r="P215" s="683">
        <v>0</v>
      </c>
      <c r="Q215" s="687">
        <f t="shared" ref="Q215:Q229" si="45">L215+M215</f>
        <v>0</v>
      </c>
      <c r="R215" s="687"/>
      <c r="S215" s="687"/>
      <c r="T215" s="688">
        <v>0</v>
      </c>
      <c r="U215" s="693"/>
      <c r="V215" s="690">
        <f t="shared" si="44"/>
        <v>0</v>
      </c>
      <c r="W215" s="683"/>
      <c r="X215" s="474">
        <f t="shared" si="40"/>
        <v>0</v>
      </c>
      <c r="Y215" s="474">
        <f t="shared" si="41"/>
        <v>0</v>
      </c>
      <c r="Z215" s="475">
        <f t="shared" si="42"/>
        <v>0</v>
      </c>
      <c r="AA215" s="475">
        <v>0</v>
      </c>
      <c r="AB215" s="476">
        <v>0</v>
      </c>
      <c r="AC215" s="38">
        <f t="shared" si="43"/>
        <v>0</v>
      </c>
      <c r="AD215" s="692">
        <f t="shared" si="33"/>
        <v>0</v>
      </c>
      <c r="AE215" s="692">
        <f t="shared" si="34"/>
        <v>0</v>
      </c>
      <c r="AF215" s="692">
        <f t="shared" si="35"/>
        <v>0</v>
      </c>
      <c r="AG215" s="38"/>
      <c r="AH215" s="692">
        <f t="shared" si="37"/>
        <v>0</v>
      </c>
      <c r="AI215" s="692">
        <f t="shared" si="38"/>
        <v>0</v>
      </c>
      <c r="AJ215" s="692">
        <f t="shared" si="39"/>
        <v>0</v>
      </c>
      <c r="AL215" s="38">
        <f t="shared" si="36"/>
        <v>0</v>
      </c>
      <c r="AM215" s="68" t="s">
        <v>376</v>
      </c>
    </row>
    <row r="216" spans="1:39">
      <c r="A216" s="20"/>
      <c r="B216" s="20" t="s">
        <v>110</v>
      </c>
      <c r="C216" s="667"/>
      <c r="D216" s="68" t="s">
        <v>1032</v>
      </c>
      <c r="E216" s="679">
        <v>1069.98</v>
      </c>
      <c r="F216" s="529">
        <f>VLOOKUP(D216,'Oct13 Revenue'!D:V,19,FALSE)</f>
        <v>0</v>
      </c>
      <c r="G216" s="680"/>
      <c r="H216" s="680"/>
      <c r="I216" s="755"/>
      <c r="J216" s="682">
        <f t="shared" si="32"/>
        <v>1069.98</v>
      </c>
      <c r="K216" s="683"/>
      <c r="L216" s="684"/>
      <c r="M216" s="753"/>
      <c r="N216" s="683">
        <v>0</v>
      </c>
      <c r="O216" s="686"/>
      <c r="P216" s="683">
        <v>0</v>
      </c>
      <c r="Q216" s="687">
        <f>L216+M216</f>
        <v>0</v>
      </c>
      <c r="R216" s="687"/>
      <c r="S216" s="687"/>
      <c r="T216" s="688">
        <v>0</v>
      </c>
      <c r="U216" s="693"/>
      <c r="V216" s="690">
        <f t="shared" si="44"/>
        <v>0</v>
      </c>
      <c r="W216" s="683"/>
      <c r="X216" s="474">
        <f t="shared" si="40"/>
        <v>0</v>
      </c>
      <c r="Y216" s="474">
        <f t="shared" si="41"/>
        <v>0</v>
      </c>
      <c r="Z216" s="475">
        <f t="shared" si="42"/>
        <v>0</v>
      </c>
      <c r="AA216" s="475">
        <v>0</v>
      </c>
      <c r="AB216" s="476">
        <v>0</v>
      </c>
      <c r="AC216" s="38">
        <f>(L216+M216)-(X216+Y216+Z216+AA216+AB216)</f>
        <v>0</v>
      </c>
      <c r="AD216" s="692">
        <f t="shared" si="33"/>
        <v>1069.98</v>
      </c>
      <c r="AE216" s="692">
        <f t="shared" si="34"/>
        <v>0</v>
      </c>
      <c r="AF216" s="692">
        <f t="shared" si="35"/>
        <v>0</v>
      </c>
      <c r="AG216" s="38"/>
      <c r="AH216" s="692">
        <f t="shared" si="37"/>
        <v>0</v>
      </c>
      <c r="AI216" s="692">
        <f t="shared" si="38"/>
        <v>0</v>
      </c>
      <c r="AJ216" s="692">
        <f t="shared" si="39"/>
        <v>0</v>
      </c>
      <c r="AL216" s="38">
        <f t="shared" si="36"/>
        <v>1069.98</v>
      </c>
      <c r="AM216" s="68" t="s">
        <v>390</v>
      </c>
    </row>
    <row r="217" spans="1:39">
      <c r="A217" s="20"/>
      <c r="B217" s="20" t="s">
        <v>110</v>
      </c>
      <c r="C217" s="667" t="s">
        <v>581</v>
      </c>
      <c r="D217" s="123" t="s">
        <v>166</v>
      </c>
      <c r="E217" s="679"/>
      <c r="F217" s="529">
        <f>VLOOKUP(D217,'Oct13 Revenue'!D:V,19,FALSE)</f>
        <v>0</v>
      </c>
      <c r="G217" s="680"/>
      <c r="H217" s="680"/>
      <c r="I217" s="755"/>
      <c r="J217" s="682">
        <f t="shared" si="32"/>
        <v>0</v>
      </c>
      <c r="K217" s="683"/>
      <c r="L217" s="684"/>
      <c r="M217" s="753"/>
      <c r="N217" s="683">
        <v>0</v>
      </c>
      <c r="O217" s="686"/>
      <c r="P217" s="683">
        <v>0</v>
      </c>
      <c r="Q217" s="687">
        <f t="shared" si="45"/>
        <v>0</v>
      </c>
      <c r="R217" s="687"/>
      <c r="S217" s="687"/>
      <c r="T217" s="688">
        <v>5110.3500000000004</v>
      </c>
      <c r="U217" s="693"/>
      <c r="V217" s="690">
        <f t="shared" si="44"/>
        <v>5110.3500000000004</v>
      </c>
      <c r="W217" s="683"/>
      <c r="X217" s="474">
        <f t="shared" si="40"/>
        <v>0</v>
      </c>
      <c r="Y217" s="474">
        <f t="shared" si="41"/>
        <v>0</v>
      </c>
      <c r="Z217" s="475">
        <f t="shared" si="42"/>
        <v>0</v>
      </c>
      <c r="AA217" s="475">
        <v>0</v>
      </c>
      <c r="AB217" s="476">
        <v>0</v>
      </c>
      <c r="AC217" s="38">
        <f t="shared" si="43"/>
        <v>0</v>
      </c>
      <c r="AD217" s="692">
        <f t="shared" si="33"/>
        <v>0</v>
      </c>
      <c r="AE217" s="692">
        <f t="shared" si="34"/>
        <v>0</v>
      </c>
      <c r="AF217" s="692">
        <f t="shared" si="35"/>
        <v>0</v>
      </c>
      <c r="AG217" s="38"/>
      <c r="AH217" s="692">
        <f t="shared" si="37"/>
        <v>0</v>
      </c>
      <c r="AI217" s="692">
        <f t="shared" si="38"/>
        <v>0</v>
      </c>
      <c r="AJ217" s="692">
        <f t="shared" si="39"/>
        <v>0</v>
      </c>
      <c r="AL217" s="38">
        <f t="shared" si="36"/>
        <v>0</v>
      </c>
      <c r="AM217" s="123" t="s">
        <v>166</v>
      </c>
    </row>
    <row r="218" spans="1:39">
      <c r="A218" s="20"/>
      <c r="B218" s="20" t="s">
        <v>109</v>
      </c>
      <c r="C218" s="667" t="s">
        <v>581</v>
      </c>
      <c r="D218" s="123" t="s">
        <v>165</v>
      </c>
      <c r="E218" s="679"/>
      <c r="F218" s="529">
        <f>VLOOKUP(D218,'Oct13 Revenue'!D:V,19,FALSE)</f>
        <v>0</v>
      </c>
      <c r="G218" s="680"/>
      <c r="H218" s="680"/>
      <c r="I218" s="755"/>
      <c r="J218" s="682">
        <f t="shared" si="32"/>
        <v>0</v>
      </c>
      <c r="K218" s="683"/>
      <c r="L218" s="684"/>
      <c r="M218" s="753"/>
      <c r="N218" s="683">
        <v>0</v>
      </c>
      <c r="O218" s="686"/>
      <c r="P218" s="683">
        <v>0</v>
      </c>
      <c r="Q218" s="687">
        <f t="shared" si="45"/>
        <v>0</v>
      </c>
      <c r="R218" s="687"/>
      <c r="S218" s="687"/>
      <c r="T218" s="688">
        <v>0</v>
      </c>
      <c r="U218" s="693"/>
      <c r="V218" s="690">
        <f t="shared" si="44"/>
        <v>0</v>
      </c>
      <c r="W218" s="683"/>
      <c r="X218" s="474">
        <f t="shared" si="40"/>
        <v>0</v>
      </c>
      <c r="Y218" s="474">
        <f t="shared" si="41"/>
        <v>0</v>
      </c>
      <c r="Z218" s="475">
        <f t="shared" si="42"/>
        <v>0</v>
      </c>
      <c r="AA218" s="475">
        <v>0</v>
      </c>
      <c r="AB218" s="476">
        <v>0</v>
      </c>
      <c r="AC218" s="38">
        <f t="shared" si="43"/>
        <v>0</v>
      </c>
      <c r="AD218" s="692">
        <f t="shared" si="33"/>
        <v>0</v>
      </c>
      <c r="AE218" s="692">
        <f t="shared" si="34"/>
        <v>0</v>
      </c>
      <c r="AF218" s="692">
        <f t="shared" si="35"/>
        <v>0</v>
      </c>
      <c r="AG218" s="38"/>
      <c r="AH218" s="692">
        <f t="shared" si="37"/>
        <v>0</v>
      </c>
      <c r="AI218" s="692">
        <f t="shared" si="38"/>
        <v>0</v>
      </c>
      <c r="AJ218" s="692">
        <f t="shared" si="39"/>
        <v>0</v>
      </c>
      <c r="AL218" s="38">
        <f t="shared" si="36"/>
        <v>0</v>
      </c>
      <c r="AM218" s="123" t="s">
        <v>165</v>
      </c>
    </row>
    <row r="219" spans="1:39" hidden="1">
      <c r="A219" s="20"/>
      <c r="B219" s="20" t="s">
        <v>109</v>
      </c>
      <c r="C219" s="667"/>
      <c r="D219" s="123" t="s">
        <v>310</v>
      </c>
      <c r="E219" s="679"/>
      <c r="F219" s="529">
        <f>VLOOKUP(D219,'Oct13 Revenue'!D:V,19,FALSE)</f>
        <v>0</v>
      </c>
      <c r="G219" s="680"/>
      <c r="H219" s="680"/>
      <c r="I219" s="755"/>
      <c r="J219" s="682">
        <f t="shared" ref="J219:J229" si="46">SUM(E219:I219)</f>
        <v>0</v>
      </c>
      <c r="K219" s="683"/>
      <c r="L219" s="684"/>
      <c r="M219" s="753"/>
      <c r="N219" s="683">
        <v>0</v>
      </c>
      <c r="O219" s="686"/>
      <c r="P219" s="683">
        <v>0</v>
      </c>
      <c r="Q219" s="687">
        <f t="shared" si="45"/>
        <v>0</v>
      </c>
      <c r="R219" s="687"/>
      <c r="S219" s="687"/>
      <c r="T219" s="688">
        <v>0</v>
      </c>
      <c r="U219" s="693"/>
      <c r="V219" s="690">
        <f t="shared" si="44"/>
        <v>0</v>
      </c>
      <c r="W219" s="683"/>
      <c r="X219" s="474">
        <f t="shared" si="40"/>
        <v>0</v>
      </c>
      <c r="Y219" s="474">
        <f t="shared" si="41"/>
        <v>0</v>
      </c>
      <c r="Z219" s="475">
        <f t="shared" si="42"/>
        <v>0</v>
      </c>
      <c r="AA219" s="475">
        <v>0</v>
      </c>
      <c r="AB219" s="476">
        <v>0</v>
      </c>
      <c r="AC219" s="38">
        <f t="shared" si="43"/>
        <v>0</v>
      </c>
      <c r="AD219" s="692">
        <f t="shared" ref="AD219:AD229" si="47">IF(B219="D",J219,0)</f>
        <v>0</v>
      </c>
      <c r="AE219" s="692">
        <f t="shared" ref="AE219:AE229" si="48">IF(B219="M",J219,0)</f>
        <v>0</v>
      </c>
      <c r="AF219" s="692">
        <f t="shared" ref="AF219:AF229" si="49">IF(B219="V",J219,0)</f>
        <v>0</v>
      </c>
      <c r="AG219" s="38"/>
      <c r="AH219" s="692">
        <f t="shared" si="37"/>
        <v>0</v>
      </c>
      <c r="AI219" s="692">
        <f t="shared" si="38"/>
        <v>0</v>
      </c>
      <c r="AJ219" s="692">
        <f t="shared" si="39"/>
        <v>0</v>
      </c>
      <c r="AL219" s="38">
        <f t="shared" ref="AL219:AL229" si="50">SUM(AD219:AJ219)</f>
        <v>0</v>
      </c>
      <c r="AM219" s="123" t="s">
        <v>310</v>
      </c>
    </row>
    <row r="220" spans="1:39" hidden="1">
      <c r="A220" s="20"/>
      <c r="B220" s="20" t="s">
        <v>109</v>
      </c>
      <c r="C220" s="667"/>
      <c r="D220" s="123" t="s">
        <v>441</v>
      </c>
      <c r="E220" s="679"/>
      <c r="F220" s="529">
        <f>VLOOKUP(D220,'Oct13 Revenue'!D:V,19,FALSE)</f>
        <v>0</v>
      </c>
      <c r="G220" s="680"/>
      <c r="H220" s="680"/>
      <c r="I220" s="755"/>
      <c r="J220" s="682">
        <f t="shared" si="46"/>
        <v>0</v>
      </c>
      <c r="K220" s="683"/>
      <c r="L220" s="684"/>
      <c r="M220" s="753"/>
      <c r="N220" s="683">
        <v>0</v>
      </c>
      <c r="O220" s="686"/>
      <c r="P220" s="683">
        <v>0</v>
      </c>
      <c r="Q220" s="687">
        <f t="shared" si="45"/>
        <v>0</v>
      </c>
      <c r="R220" s="687"/>
      <c r="S220" s="687"/>
      <c r="T220" s="688">
        <v>0</v>
      </c>
      <c r="U220" s="693"/>
      <c r="V220" s="690">
        <f t="shared" si="44"/>
        <v>0</v>
      </c>
      <c r="W220" s="683"/>
      <c r="X220" s="474">
        <f t="shared" si="40"/>
        <v>0</v>
      </c>
      <c r="Y220" s="474">
        <f t="shared" si="41"/>
        <v>0</v>
      </c>
      <c r="Z220" s="475">
        <f t="shared" si="42"/>
        <v>0</v>
      </c>
      <c r="AA220" s="475">
        <v>0</v>
      </c>
      <c r="AB220" s="476">
        <v>0</v>
      </c>
      <c r="AC220" s="38">
        <f t="shared" si="43"/>
        <v>0</v>
      </c>
      <c r="AD220" s="692">
        <f t="shared" si="47"/>
        <v>0</v>
      </c>
      <c r="AE220" s="692">
        <f t="shared" si="48"/>
        <v>0</v>
      </c>
      <c r="AF220" s="692">
        <f t="shared" si="49"/>
        <v>0</v>
      </c>
      <c r="AG220" s="38"/>
      <c r="AH220" s="692">
        <f t="shared" ref="AH220:AH229" si="51">IF(B220="D",Q220,0)</f>
        <v>0</v>
      </c>
      <c r="AI220" s="692">
        <f t="shared" ref="AI220:AI229" si="52">IF(B220="M",Q220,0)</f>
        <v>0</v>
      </c>
      <c r="AJ220" s="692">
        <f t="shared" ref="AJ220:AJ229" si="53">IF(B220="V",Q220,0)</f>
        <v>0</v>
      </c>
      <c r="AL220" s="38">
        <f t="shared" si="50"/>
        <v>0</v>
      </c>
      <c r="AM220" s="123" t="s">
        <v>441</v>
      </c>
    </row>
    <row r="221" spans="1:39">
      <c r="A221" s="20"/>
      <c r="B221" s="20" t="s">
        <v>109</v>
      </c>
      <c r="C221" s="667"/>
      <c r="D221" s="68" t="s">
        <v>121</v>
      </c>
      <c r="E221" s="679"/>
      <c r="F221" s="529">
        <f>VLOOKUP(D221,'Oct13 Revenue'!D:V,19,FALSE)</f>
        <v>0</v>
      </c>
      <c r="G221" s="680"/>
      <c r="H221" s="680"/>
      <c r="I221" s="755"/>
      <c r="J221" s="682">
        <f t="shared" si="46"/>
        <v>0</v>
      </c>
      <c r="K221" s="683"/>
      <c r="L221" s="684"/>
      <c r="M221" s="753"/>
      <c r="N221" s="683">
        <v>0</v>
      </c>
      <c r="O221" s="686"/>
      <c r="P221" s="683">
        <v>0</v>
      </c>
      <c r="Q221" s="687">
        <f t="shared" si="45"/>
        <v>0</v>
      </c>
      <c r="R221" s="687"/>
      <c r="S221" s="687"/>
      <c r="T221" s="688">
        <v>0</v>
      </c>
      <c r="U221" s="693"/>
      <c r="V221" s="690">
        <f t="shared" si="44"/>
        <v>0</v>
      </c>
      <c r="W221" s="683"/>
      <c r="X221" s="474">
        <f t="shared" ref="X221:X229" si="54">IF(B221="D",Q221,0)</f>
        <v>0</v>
      </c>
      <c r="Y221" s="474">
        <f t="shared" ref="Y221:Y229" si="55">IF(B221="M",Q221,0)</f>
        <v>0</v>
      </c>
      <c r="Z221" s="475">
        <f t="shared" ref="Z221:Z229" si="56">IF(B221="V",Q221,0)</f>
        <v>0</v>
      </c>
      <c r="AA221" s="475">
        <v>0</v>
      </c>
      <c r="AB221" s="476">
        <v>0</v>
      </c>
      <c r="AC221" s="38">
        <f t="shared" ref="AC221:AC229" si="57">(L221+M221)-(X221+Y221+Z221+AA221+AB221)</f>
        <v>0</v>
      </c>
      <c r="AD221" s="692">
        <f t="shared" si="47"/>
        <v>0</v>
      </c>
      <c r="AE221" s="692">
        <f t="shared" si="48"/>
        <v>0</v>
      </c>
      <c r="AF221" s="692">
        <f t="shared" si="49"/>
        <v>0</v>
      </c>
      <c r="AG221" s="38"/>
      <c r="AH221" s="692">
        <f t="shared" si="51"/>
        <v>0</v>
      </c>
      <c r="AI221" s="692">
        <f t="shared" si="52"/>
        <v>0</v>
      </c>
      <c r="AJ221" s="692">
        <f t="shared" si="53"/>
        <v>0</v>
      </c>
      <c r="AL221" s="38">
        <f t="shared" si="50"/>
        <v>0</v>
      </c>
      <c r="AM221" s="68" t="s">
        <v>121</v>
      </c>
    </row>
    <row r="222" spans="1:39">
      <c r="A222" s="20"/>
      <c r="B222" s="20" t="s">
        <v>110</v>
      </c>
      <c r="C222" s="667"/>
      <c r="D222" s="68" t="s">
        <v>168</v>
      </c>
      <c r="E222" s="679"/>
      <c r="F222" s="529">
        <f>VLOOKUP(D222,'Oct13 Revenue'!D:V,19,FALSE)</f>
        <v>0</v>
      </c>
      <c r="G222" s="680"/>
      <c r="H222" s="680"/>
      <c r="I222" s="755"/>
      <c r="J222" s="682">
        <f t="shared" si="46"/>
        <v>0</v>
      </c>
      <c r="K222" s="683"/>
      <c r="L222" s="684"/>
      <c r="M222" s="753"/>
      <c r="N222" s="683">
        <v>0</v>
      </c>
      <c r="O222" s="686"/>
      <c r="P222" s="683">
        <v>0</v>
      </c>
      <c r="Q222" s="687">
        <f t="shared" si="45"/>
        <v>0</v>
      </c>
      <c r="R222" s="687"/>
      <c r="S222" s="687"/>
      <c r="T222" s="688">
        <v>0</v>
      </c>
      <c r="U222" s="693"/>
      <c r="V222" s="690">
        <f t="shared" si="44"/>
        <v>0</v>
      </c>
      <c r="W222" s="683"/>
      <c r="X222" s="474">
        <f t="shared" si="54"/>
        <v>0</v>
      </c>
      <c r="Y222" s="474">
        <f t="shared" si="55"/>
        <v>0</v>
      </c>
      <c r="Z222" s="475">
        <f t="shared" si="56"/>
        <v>0</v>
      </c>
      <c r="AA222" s="475">
        <v>0</v>
      </c>
      <c r="AB222" s="476">
        <v>0</v>
      </c>
      <c r="AC222" s="38">
        <f t="shared" si="57"/>
        <v>0</v>
      </c>
      <c r="AD222" s="692">
        <f t="shared" si="47"/>
        <v>0</v>
      </c>
      <c r="AE222" s="692">
        <f t="shared" si="48"/>
        <v>0</v>
      </c>
      <c r="AF222" s="692">
        <f t="shared" si="49"/>
        <v>0</v>
      </c>
      <c r="AG222" s="38"/>
      <c r="AH222" s="692">
        <f t="shared" si="51"/>
        <v>0</v>
      </c>
      <c r="AI222" s="692">
        <f t="shared" si="52"/>
        <v>0</v>
      </c>
      <c r="AJ222" s="692">
        <f t="shared" si="53"/>
        <v>0</v>
      </c>
      <c r="AL222" s="38">
        <f t="shared" si="50"/>
        <v>0</v>
      </c>
      <c r="AM222" s="68" t="s">
        <v>168</v>
      </c>
    </row>
    <row r="223" spans="1:39">
      <c r="A223" s="20"/>
      <c r="B223" s="20" t="s">
        <v>109</v>
      </c>
      <c r="C223" s="667" t="s">
        <v>582</v>
      </c>
      <c r="D223" s="68" t="s">
        <v>167</v>
      </c>
      <c r="E223" s="679"/>
      <c r="F223" s="529">
        <f>VLOOKUP(D223,'Oct13 Revenue'!D:V,19,FALSE)</f>
        <v>0</v>
      </c>
      <c r="G223" s="680"/>
      <c r="H223" s="680"/>
      <c r="I223" s="755"/>
      <c r="J223" s="682">
        <f t="shared" si="46"/>
        <v>0</v>
      </c>
      <c r="K223" s="683"/>
      <c r="L223" s="684"/>
      <c r="M223" s="753"/>
      <c r="N223" s="683">
        <v>0</v>
      </c>
      <c r="O223" s="686"/>
      <c r="P223" s="683">
        <v>0</v>
      </c>
      <c r="Q223" s="687">
        <f t="shared" si="45"/>
        <v>0</v>
      </c>
      <c r="R223" s="687"/>
      <c r="S223" s="687"/>
      <c r="T223" s="688">
        <v>0</v>
      </c>
      <c r="U223" s="693"/>
      <c r="V223" s="690">
        <f t="shared" si="44"/>
        <v>0</v>
      </c>
      <c r="W223" s="683"/>
      <c r="X223" s="474">
        <f t="shared" si="54"/>
        <v>0</v>
      </c>
      <c r="Y223" s="474">
        <f t="shared" si="55"/>
        <v>0</v>
      </c>
      <c r="Z223" s="475">
        <f t="shared" si="56"/>
        <v>0</v>
      </c>
      <c r="AA223" s="475">
        <v>0</v>
      </c>
      <c r="AB223" s="476">
        <v>0</v>
      </c>
      <c r="AC223" s="38">
        <f t="shared" si="57"/>
        <v>0</v>
      </c>
      <c r="AD223" s="692">
        <f t="shared" si="47"/>
        <v>0</v>
      </c>
      <c r="AE223" s="692">
        <f t="shared" si="48"/>
        <v>0</v>
      </c>
      <c r="AF223" s="692">
        <f t="shared" si="49"/>
        <v>0</v>
      </c>
      <c r="AG223" s="38"/>
      <c r="AH223" s="692">
        <f t="shared" si="51"/>
        <v>0</v>
      </c>
      <c r="AI223" s="692">
        <f t="shared" si="52"/>
        <v>0</v>
      </c>
      <c r="AJ223" s="692">
        <f t="shared" si="53"/>
        <v>0</v>
      </c>
      <c r="AL223" s="38">
        <f t="shared" si="50"/>
        <v>0</v>
      </c>
      <c r="AM223" s="68" t="s">
        <v>167</v>
      </c>
    </row>
    <row r="224" spans="1:39">
      <c r="A224" s="20" t="s">
        <v>218</v>
      </c>
      <c r="B224" s="20" t="s">
        <v>110</v>
      </c>
      <c r="C224" s="667"/>
      <c r="D224" s="68" t="s">
        <v>60</v>
      </c>
      <c r="E224" s="679">
        <v>19953.86</v>
      </c>
      <c r="F224" s="529">
        <f>VLOOKUP(D224,'Oct13 Revenue'!D:V,19,FALSE)</f>
        <v>-13000</v>
      </c>
      <c r="G224" s="680"/>
      <c r="H224" s="680"/>
      <c r="I224" s="755"/>
      <c r="J224" s="682">
        <f t="shared" si="46"/>
        <v>6953.8600000000006</v>
      </c>
      <c r="K224" s="683"/>
      <c r="L224" s="684"/>
      <c r="M224" s="753">
        <v>12000</v>
      </c>
      <c r="N224" s="683">
        <v>0</v>
      </c>
      <c r="O224" s="686"/>
      <c r="P224" s="683">
        <v>0</v>
      </c>
      <c r="Q224" s="687">
        <f t="shared" si="45"/>
        <v>12000</v>
      </c>
      <c r="R224" s="687"/>
      <c r="S224" s="687"/>
      <c r="T224" s="688">
        <v>0</v>
      </c>
      <c r="U224" s="693"/>
      <c r="V224" s="690">
        <f t="shared" si="44"/>
        <v>-12000</v>
      </c>
      <c r="W224" s="697"/>
      <c r="X224" s="474">
        <f t="shared" si="54"/>
        <v>12000</v>
      </c>
      <c r="Y224" s="474">
        <f t="shared" si="55"/>
        <v>0</v>
      </c>
      <c r="Z224" s="475">
        <f t="shared" si="56"/>
        <v>0</v>
      </c>
      <c r="AA224" s="475">
        <v>0</v>
      </c>
      <c r="AB224" s="476">
        <v>0</v>
      </c>
      <c r="AC224" s="38">
        <f t="shared" si="57"/>
        <v>0</v>
      </c>
      <c r="AD224" s="692">
        <f t="shared" si="47"/>
        <v>6953.8600000000006</v>
      </c>
      <c r="AE224" s="692">
        <f t="shared" si="48"/>
        <v>0</v>
      </c>
      <c r="AF224" s="692">
        <f t="shared" si="49"/>
        <v>0</v>
      </c>
      <c r="AG224" s="38"/>
      <c r="AH224" s="692">
        <f t="shared" si="51"/>
        <v>12000</v>
      </c>
      <c r="AI224" s="692">
        <f t="shared" si="52"/>
        <v>0</v>
      </c>
      <c r="AJ224" s="692">
        <f t="shared" si="53"/>
        <v>0</v>
      </c>
      <c r="AL224" s="38">
        <f t="shared" si="50"/>
        <v>18953.86</v>
      </c>
      <c r="AM224" s="68" t="s">
        <v>60</v>
      </c>
    </row>
    <row r="225" spans="1:39">
      <c r="A225" s="20"/>
      <c r="B225" s="20" t="s">
        <v>110</v>
      </c>
      <c r="C225" s="667" t="s">
        <v>583</v>
      </c>
      <c r="D225" s="68" t="s">
        <v>169</v>
      </c>
      <c r="E225" s="679"/>
      <c r="F225" s="529">
        <f>VLOOKUP(D225,'Oct13 Revenue'!D:V,19,FALSE)</f>
        <v>97.64</v>
      </c>
      <c r="G225" s="680"/>
      <c r="H225" s="680"/>
      <c r="I225" s="755"/>
      <c r="J225" s="682">
        <f t="shared" si="46"/>
        <v>97.64</v>
      </c>
      <c r="K225" s="683"/>
      <c r="L225" s="684"/>
      <c r="M225" s="753"/>
      <c r="N225" s="683">
        <v>0</v>
      </c>
      <c r="O225" s="686"/>
      <c r="P225" s="683">
        <v>0</v>
      </c>
      <c r="Q225" s="687">
        <f t="shared" si="45"/>
        <v>0</v>
      </c>
      <c r="R225" s="687"/>
      <c r="S225" s="687"/>
      <c r="T225" s="688">
        <v>0</v>
      </c>
      <c r="U225" s="693"/>
      <c r="V225" s="690">
        <f t="shared" si="44"/>
        <v>0</v>
      </c>
      <c r="W225" s="683"/>
      <c r="X225" s="474">
        <f t="shared" si="54"/>
        <v>0</v>
      </c>
      <c r="Y225" s="474">
        <f t="shared" si="55"/>
        <v>0</v>
      </c>
      <c r="Z225" s="475">
        <f t="shared" si="56"/>
        <v>0</v>
      </c>
      <c r="AA225" s="475">
        <v>0</v>
      </c>
      <c r="AB225" s="476">
        <v>0</v>
      </c>
      <c r="AC225" s="38">
        <f t="shared" si="57"/>
        <v>0</v>
      </c>
      <c r="AD225" s="692">
        <f t="shared" si="47"/>
        <v>97.64</v>
      </c>
      <c r="AE225" s="692">
        <f t="shared" si="48"/>
        <v>0</v>
      </c>
      <c r="AF225" s="692">
        <f t="shared" si="49"/>
        <v>0</v>
      </c>
      <c r="AG225" s="38"/>
      <c r="AH225" s="692">
        <f t="shared" si="51"/>
        <v>0</v>
      </c>
      <c r="AI225" s="692">
        <f t="shared" si="52"/>
        <v>0</v>
      </c>
      <c r="AJ225" s="692">
        <f t="shared" si="53"/>
        <v>0</v>
      </c>
      <c r="AL225" s="38">
        <f t="shared" si="50"/>
        <v>97.64</v>
      </c>
      <c r="AM225" s="68" t="s">
        <v>169</v>
      </c>
    </row>
    <row r="226" spans="1:39">
      <c r="A226" s="21"/>
      <c r="B226" s="21" t="s">
        <v>110</v>
      </c>
      <c r="C226" s="666"/>
      <c r="D226" s="821" t="s">
        <v>981</v>
      </c>
      <c r="E226" s="679"/>
      <c r="F226" s="529">
        <f>VLOOKUP(D226,'Oct13 Revenue'!D:V,19,FALSE)</f>
        <v>0</v>
      </c>
      <c r="G226" s="680"/>
      <c r="H226" s="680"/>
      <c r="I226" s="755"/>
      <c r="J226" s="682">
        <f t="shared" si="46"/>
        <v>0</v>
      </c>
      <c r="K226" s="683"/>
      <c r="L226" s="684"/>
      <c r="M226" s="753"/>
      <c r="N226" s="683">
        <v>0</v>
      </c>
      <c r="O226" s="686"/>
      <c r="P226" s="683">
        <v>0</v>
      </c>
      <c r="Q226" s="687">
        <f t="shared" si="45"/>
        <v>0</v>
      </c>
      <c r="R226" s="687"/>
      <c r="S226" s="687"/>
      <c r="T226" s="688">
        <v>0</v>
      </c>
      <c r="U226" s="693"/>
      <c r="V226" s="690">
        <f t="shared" si="44"/>
        <v>0</v>
      </c>
      <c r="W226" s="683"/>
      <c r="X226" s="474">
        <f t="shared" si="54"/>
        <v>0</v>
      </c>
      <c r="Y226" s="474">
        <f t="shared" si="55"/>
        <v>0</v>
      </c>
      <c r="Z226" s="475">
        <f t="shared" si="56"/>
        <v>0</v>
      </c>
      <c r="AA226" s="475">
        <v>0</v>
      </c>
      <c r="AB226" s="476">
        <v>0</v>
      </c>
      <c r="AC226" s="38">
        <f t="shared" si="57"/>
        <v>0</v>
      </c>
      <c r="AD226" s="692">
        <f t="shared" si="47"/>
        <v>0</v>
      </c>
      <c r="AE226" s="692">
        <f t="shared" si="48"/>
        <v>0</v>
      </c>
      <c r="AF226" s="692">
        <f t="shared" si="49"/>
        <v>0</v>
      </c>
      <c r="AG226" s="38"/>
      <c r="AH226" s="692">
        <f t="shared" si="51"/>
        <v>0</v>
      </c>
      <c r="AI226" s="692">
        <f t="shared" si="52"/>
        <v>0</v>
      </c>
      <c r="AJ226" s="692">
        <f t="shared" si="53"/>
        <v>0</v>
      </c>
      <c r="AL226" s="38">
        <f t="shared" si="50"/>
        <v>0</v>
      </c>
      <c r="AM226" s="821" t="s">
        <v>981</v>
      </c>
    </row>
    <row r="227" spans="1:39">
      <c r="A227" s="21"/>
      <c r="B227" s="21" t="s">
        <v>114</v>
      </c>
      <c r="C227" s="666"/>
      <c r="D227" s="68" t="s">
        <v>591</v>
      </c>
      <c r="E227" s="679"/>
      <c r="F227" s="529">
        <f>VLOOKUP(D227,'Oct13 Revenue'!D:V,19,FALSE)</f>
        <v>1601.86</v>
      </c>
      <c r="G227" s="680"/>
      <c r="H227" s="680"/>
      <c r="I227" s="755"/>
      <c r="J227" s="682">
        <f t="shared" si="46"/>
        <v>1601.86</v>
      </c>
      <c r="K227" s="683"/>
      <c r="L227" s="684"/>
      <c r="M227" s="753"/>
      <c r="N227" s="683">
        <v>0</v>
      </c>
      <c r="O227" s="686"/>
      <c r="P227" s="683">
        <v>0</v>
      </c>
      <c r="Q227" s="687">
        <f t="shared" si="45"/>
        <v>0</v>
      </c>
      <c r="R227" s="687"/>
      <c r="S227" s="687"/>
      <c r="T227" s="688">
        <f>872.68+991.27+452.76+2650.87</f>
        <v>4967.58</v>
      </c>
      <c r="U227" s="693"/>
      <c r="V227" s="690">
        <f t="shared" si="44"/>
        <v>4967.58</v>
      </c>
      <c r="W227" s="683"/>
      <c r="X227" s="474">
        <f t="shared" si="54"/>
        <v>0</v>
      </c>
      <c r="Y227" s="474">
        <f t="shared" si="55"/>
        <v>0</v>
      </c>
      <c r="Z227" s="475">
        <f t="shared" si="56"/>
        <v>0</v>
      </c>
      <c r="AA227" s="475">
        <v>0</v>
      </c>
      <c r="AB227" s="476">
        <v>0</v>
      </c>
      <c r="AC227" s="38">
        <f t="shared" si="57"/>
        <v>0</v>
      </c>
      <c r="AD227" s="692">
        <f t="shared" si="47"/>
        <v>0</v>
      </c>
      <c r="AE227" s="692">
        <f t="shared" si="48"/>
        <v>0</v>
      </c>
      <c r="AF227" s="692">
        <f t="shared" si="49"/>
        <v>1601.86</v>
      </c>
      <c r="AG227" s="38"/>
      <c r="AH227" s="692">
        <f t="shared" si="51"/>
        <v>0</v>
      </c>
      <c r="AI227" s="692">
        <f t="shared" si="52"/>
        <v>0</v>
      </c>
      <c r="AJ227" s="692">
        <f t="shared" si="53"/>
        <v>0</v>
      </c>
      <c r="AL227" s="38">
        <f t="shared" si="50"/>
        <v>1601.86</v>
      </c>
      <c r="AM227" s="68" t="s">
        <v>591</v>
      </c>
    </row>
    <row r="228" spans="1:39">
      <c r="A228" s="21"/>
      <c r="B228" s="21" t="s">
        <v>114</v>
      </c>
      <c r="C228" s="672"/>
      <c r="D228" s="519" t="s">
        <v>433</v>
      </c>
      <c r="E228" s="679"/>
      <c r="F228" s="529">
        <f>VLOOKUP(D228,'Oct13 Revenue'!D:V,19,FALSE)</f>
        <v>0</v>
      </c>
      <c r="G228" s="680"/>
      <c r="H228" s="680"/>
      <c r="I228" s="755"/>
      <c r="J228" s="682">
        <f t="shared" si="46"/>
        <v>0</v>
      </c>
      <c r="K228" s="683"/>
      <c r="L228" s="684"/>
      <c r="M228" s="753"/>
      <c r="N228" s="683">
        <v>0</v>
      </c>
      <c r="O228" s="686"/>
      <c r="P228" s="683">
        <v>0</v>
      </c>
      <c r="Q228" s="687">
        <f t="shared" si="45"/>
        <v>0</v>
      </c>
      <c r="R228" s="687"/>
      <c r="S228" s="687"/>
      <c r="T228" s="688">
        <v>0</v>
      </c>
      <c r="U228" s="693"/>
      <c r="V228" s="690">
        <f t="shared" si="44"/>
        <v>0</v>
      </c>
      <c r="W228" s="683"/>
      <c r="X228" s="474">
        <f t="shared" si="54"/>
        <v>0</v>
      </c>
      <c r="Y228" s="474">
        <f t="shared" si="55"/>
        <v>0</v>
      </c>
      <c r="Z228" s="475">
        <f t="shared" si="56"/>
        <v>0</v>
      </c>
      <c r="AA228" s="475">
        <v>0</v>
      </c>
      <c r="AB228" s="476">
        <v>0</v>
      </c>
      <c r="AC228" s="38">
        <f t="shared" si="57"/>
        <v>0</v>
      </c>
      <c r="AD228" s="692">
        <f t="shared" si="47"/>
        <v>0</v>
      </c>
      <c r="AE228" s="692">
        <f t="shared" si="48"/>
        <v>0</v>
      </c>
      <c r="AF228" s="692">
        <f t="shared" si="49"/>
        <v>0</v>
      </c>
      <c r="AG228" s="38"/>
      <c r="AH228" s="692">
        <f t="shared" si="51"/>
        <v>0</v>
      </c>
      <c r="AI228" s="692">
        <f t="shared" si="52"/>
        <v>0</v>
      </c>
      <c r="AJ228" s="692">
        <f t="shared" si="53"/>
        <v>0</v>
      </c>
      <c r="AL228" s="38">
        <f t="shared" si="50"/>
        <v>0</v>
      </c>
      <c r="AM228" s="519" t="s">
        <v>433</v>
      </c>
    </row>
    <row r="229" spans="1:39" s="146" customFormat="1" ht="13" thickBot="1">
      <c r="A229" s="21"/>
      <c r="B229" s="21" t="s">
        <v>110</v>
      </c>
      <c r="C229" s="666"/>
      <c r="D229" s="68" t="s">
        <v>1020</v>
      </c>
      <c r="E229" s="679"/>
      <c r="F229" s="529">
        <v>0</v>
      </c>
      <c r="G229" s="680"/>
      <c r="H229" s="680"/>
      <c r="I229" s="755"/>
      <c r="J229" s="682">
        <f t="shared" si="46"/>
        <v>0</v>
      </c>
      <c r="K229" s="683"/>
      <c r="L229" s="684"/>
      <c r="M229" s="753"/>
      <c r="N229" s="683">
        <v>0</v>
      </c>
      <c r="O229" s="686"/>
      <c r="P229" s="683">
        <v>0</v>
      </c>
      <c r="Q229" s="687">
        <f t="shared" si="45"/>
        <v>0</v>
      </c>
      <c r="R229" s="687"/>
      <c r="S229" s="687"/>
      <c r="T229" s="688">
        <v>0</v>
      </c>
      <c r="U229" s="693"/>
      <c r="V229" s="690">
        <f t="shared" ref="V229" si="58">IF(T229="","",T229-Q229)</f>
        <v>0</v>
      </c>
      <c r="W229" s="683"/>
      <c r="X229" s="474">
        <f t="shared" si="54"/>
        <v>0</v>
      </c>
      <c r="Y229" s="474">
        <f t="shared" si="55"/>
        <v>0</v>
      </c>
      <c r="Z229" s="475">
        <f t="shared" si="56"/>
        <v>0</v>
      </c>
      <c r="AA229" s="475">
        <v>0</v>
      </c>
      <c r="AB229" s="476">
        <v>0</v>
      </c>
      <c r="AC229" s="38">
        <f t="shared" si="57"/>
        <v>0</v>
      </c>
      <c r="AD229" s="692">
        <f t="shared" si="47"/>
        <v>0</v>
      </c>
      <c r="AE229" s="692">
        <f t="shared" si="48"/>
        <v>0</v>
      </c>
      <c r="AF229" s="692">
        <f t="shared" si="49"/>
        <v>0</v>
      </c>
      <c r="AG229" s="38"/>
      <c r="AH229" s="692">
        <f t="shared" si="51"/>
        <v>0</v>
      </c>
      <c r="AI229" s="692">
        <f t="shared" si="52"/>
        <v>0</v>
      </c>
      <c r="AJ229" s="692">
        <f t="shared" si="53"/>
        <v>0</v>
      </c>
      <c r="AL229" s="38">
        <f t="shared" si="50"/>
        <v>0</v>
      </c>
      <c r="AM229" s="68" t="s">
        <v>593</v>
      </c>
    </row>
    <row r="230" spans="1:39" ht="13" thickBot="1">
      <c r="A230" s="107"/>
      <c r="B230" s="108"/>
      <c r="C230" s="673"/>
      <c r="D230" s="71" t="s">
        <v>86</v>
      </c>
      <c r="E230" s="454">
        <f t="shared" ref="E230:J230" si="59">SUM(E16:E229)</f>
        <v>1317541.46</v>
      </c>
      <c r="F230" s="454">
        <f t="shared" si="59"/>
        <v>-2226348.67</v>
      </c>
      <c r="G230" s="454">
        <f t="shared" si="59"/>
        <v>0</v>
      </c>
      <c r="H230" s="454">
        <f t="shared" si="59"/>
        <v>0</v>
      </c>
      <c r="I230" s="454">
        <f t="shared" si="59"/>
        <v>9367883.4499999993</v>
      </c>
      <c r="J230" s="454">
        <f t="shared" si="59"/>
        <v>8459076.2400000058</v>
      </c>
      <c r="K230" s="454"/>
      <c r="L230" s="454">
        <f>SUM(L16:L229)</f>
        <v>0</v>
      </c>
      <c r="M230" s="454">
        <f>SUM(M16:M229)</f>
        <v>11619000</v>
      </c>
      <c r="N230" s="454">
        <f>SUM(N16:N229)</f>
        <v>0</v>
      </c>
      <c r="O230" s="100">
        <f>SUM(O16:O229)</f>
        <v>0</v>
      </c>
      <c r="P230" s="157">
        <f>SUM(P17:P229)</f>
        <v>0</v>
      </c>
      <c r="Q230" s="100">
        <f>SUM(Q16:Q229)</f>
        <v>11619000</v>
      </c>
      <c r="R230" s="100"/>
      <c r="S230" s="100"/>
      <c r="T230" s="100">
        <f>SUM(T16:T229)</f>
        <v>9146359.0099999998</v>
      </c>
      <c r="U230" s="708"/>
      <c r="V230" s="100">
        <f>SUM(V16:V229)</f>
        <v>-2472640.9899999998</v>
      </c>
      <c r="W230" s="683"/>
      <c r="X230" s="314">
        <f>SUM(X16:X229)</f>
        <v>10281000</v>
      </c>
      <c r="Y230" s="314">
        <f>SUM(Y16:Y229)</f>
        <v>1115000</v>
      </c>
      <c r="Z230" s="314">
        <f>SUM(Z16:Z229)</f>
        <v>223000</v>
      </c>
      <c r="AA230" s="314">
        <f>SUM(AA16:AA229)</f>
        <v>0</v>
      </c>
      <c r="AB230" s="314">
        <f>SUM(AB16:AB229)</f>
        <v>0</v>
      </c>
      <c r="AC230" s="38"/>
      <c r="AD230" s="314">
        <f>SUM(AD16:AD229)</f>
        <v>8725173.2899999991</v>
      </c>
      <c r="AE230" s="314">
        <f>SUM(AE16:AE229)</f>
        <v>-184095.89</v>
      </c>
      <c r="AF230" s="314">
        <f>SUM(AF16:AF229)</f>
        <v>-82001.159999999989</v>
      </c>
      <c r="AG230" s="38"/>
      <c r="AH230" s="314">
        <f>SUM(AH16:AH229)</f>
        <v>10281000</v>
      </c>
      <c r="AI230" s="314">
        <f>SUM(AI16:AI229)</f>
        <v>1115000</v>
      </c>
      <c r="AJ230" s="314">
        <f>SUM(AJ16:AJ229)</f>
        <v>223000</v>
      </c>
    </row>
    <row r="231" spans="1:39" ht="13" thickBot="1">
      <c r="A231" s="65"/>
      <c r="B231" s="65"/>
      <c r="C231" s="674"/>
      <c r="D231" s="141"/>
      <c r="E231" s="709" t="s">
        <v>293</v>
      </c>
      <c r="F231" s="160">
        <f>F230+E230</f>
        <v>-908807.21</v>
      </c>
      <c r="G231" s="153"/>
      <c r="H231" s="153" t="s">
        <v>225</v>
      </c>
      <c r="I231" s="153">
        <f>I230+H230+G230</f>
        <v>9367883.4499999993</v>
      </c>
      <c r="J231" s="323"/>
      <c r="K231" s="153"/>
      <c r="L231" s="153" t="s">
        <v>296</v>
      </c>
      <c r="M231" s="100">
        <f>M230+L230</f>
        <v>11619000</v>
      </c>
      <c r="N231" s="153"/>
      <c r="O231" s="641"/>
      <c r="P231" s="153"/>
      <c r="Q231" s="153"/>
      <c r="R231" s="153"/>
      <c r="S231" s="153"/>
      <c r="T231" s="153"/>
      <c r="U231" s="153"/>
      <c r="V231" s="153"/>
      <c r="W231" s="153"/>
      <c r="X231" s="139"/>
      <c r="Y231" s="139"/>
      <c r="Z231" s="139"/>
      <c r="AA231" s="139"/>
      <c r="AB231" s="104"/>
      <c r="AC231" s="38"/>
      <c r="AD231" s="711"/>
      <c r="AE231" s="711"/>
      <c r="AF231" s="711"/>
      <c r="AG231" s="38"/>
      <c r="AH231" s="38"/>
      <c r="AI231" s="38"/>
      <c r="AJ231" s="38"/>
    </row>
    <row r="232" spans="1:39" ht="13" thickBot="1">
      <c r="A232" s="65"/>
      <c r="B232" s="65"/>
      <c r="C232" s="674"/>
      <c r="E232" s="159"/>
      <c r="F232" s="153"/>
      <c r="G232" s="153"/>
      <c r="H232" s="153"/>
      <c r="I232" s="153"/>
      <c r="J232" s="153"/>
      <c r="K232" s="153"/>
      <c r="L232" s="153"/>
      <c r="M232" s="710"/>
      <c r="N232" s="153"/>
      <c r="O232" s="153"/>
      <c r="P232" s="153"/>
      <c r="Q232" s="153"/>
      <c r="R232" s="153"/>
      <c r="S232" s="153"/>
      <c r="T232" s="153"/>
      <c r="U232" s="153"/>
      <c r="V232" s="153"/>
      <c r="W232" s="153"/>
      <c r="X232" s="331" t="s">
        <v>345</v>
      </c>
      <c r="Y232" s="139"/>
      <c r="Z232" s="139"/>
      <c r="AA232" s="139"/>
      <c r="AB232" s="104"/>
      <c r="AC232" s="164" t="s">
        <v>633</v>
      </c>
      <c r="AD232" s="798"/>
      <c r="AE232" s="798"/>
      <c r="AF232" s="798"/>
      <c r="AG232" s="38"/>
      <c r="AH232" s="711"/>
      <c r="AI232" s="711"/>
      <c r="AJ232" s="711"/>
    </row>
    <row r="233" spans="1:39" ht="17" thickTop="1" thickBot="1">
      <c r="E233" s="712"/>
      <c r="F233" s="713"/>
      <c r="G233" s="714"/>
      <c r="H233" s="715"/>
      <c r="I233" s="715"/>
      <c r="J233" s="164"/>
      <c r="K233" s="169"/>
      <c r="L233" s="233"/>
      <c r="M233" s="233"/>
      <c r="N233" s="38"/>
      <c r="O233" s="642"/>
      <c r="P233" s="139"/>
      <c r="Q233" s="139"/>
      <c r="R233" s="139"/>
      <c r="S233" s="139"/>
      <c r="T233" s="33"/>
      <c r="U233" s="33"/>
      <c r="V233" s="33"/>
      <c r="W233" s="169"/>
      <c r="X233" s="332"/>
      <c r="Y233" s="333"/>
      <c r="Z233" s="491"/>
      <c r="AA233" s="491"/>
      <c r="AB233" s="334"/>
      <c r="AC233" s="164" t="s">
        <v>634</v>
      </c>
      <c r="AD233" s="798"/>
      <c r="AE233" s="798"/>
      <c r="AF233" s="802"/>
      <c r="AG233" s="38"/>
      <c r="AH233" s="38"/>
      <c r="AI233" s="38"/>
      <c r="AJ233" s="38"/>
    </row>
    <row r="234" spans="1:39" ht="17" thickBot="1">
      <c r="E234" s="712"/>
      <c r="F234" s="713"/>
      <c r="G234" s="714"/>
      <c r="H234" s="715"/>
      <c r="J234" s="79">
        <f>J230</f>
        <v>8459076.2400000058</v>
      </c>
      <c r="K234" s="715" t="s">
        <v>1028</v>
      </c>
      <c r="L234" s="169"/>
      <c r="M234" s="493"/>
      <c r="N234" s="38"/>
      <c r="O234" s="80"/>
      <c r="P234" s="104"/>
      <c r="Q234" s="139"/>
      <c r="R234" s="139"/>
      <c r="S234" s="139"/>
      <c r="T234" s="33"/>
      <c r="U234" s="33"/>
      <c r="V234" s="33"/>
      <c r="W234" s="169"/>
      <c r="X234" s="487"/>
      <c r="Y234" s="488"/>
      <c r="Z234" s="492" t="s">
        <v>399</v>
      </c>
      <c r="AA234" s="492" t="s">
        <v>400</v>
      </c>
      <c r="AB234" s="488"/>
      <c r="AC234" s="717" t="s">
        <v>475</v>
      </c>
      <c r="AD234" s="718">
        <f>SUM(AD230:AD233)</f>
        <v>8725173.2899999991</v>
      </c>
      <c r="AE234" s="718">
        <f>AE230</f>
        <v>-184095.89</v>
      </c>
      <c r="AF234" s="718">
        <f>SUM(AF230:AF233)</f>
        <v>-82001.159999999989</v>
      </c>
      <c r="AG234" s="718"/>
      <c r="AH234" s="718">
        <f>AH230</f>
        <v>10281000</v>
      </c>
      <c r="AI234" s="718">
        <f>AI230</f>
        <v>1115000</v>
      </c>
      <c r="AJ234" s="719">
        <f>AJ230</f>
        <v>223000</v>
      </c>
      <c r="AL234" s="38">
        <f>SUM(AL17:AL233)</f>
        <v>20077714.300000008</v>
      </c>
    </row>
    <row r="235" spans="1:39" ht="15" thickBot="1">
      <c r="D235" s="143"/>
      <c r="E235" s="759"/>
      <c r="F235" s="713"/>
      <c r="G235" s="714"/>
      <c r="H235" s="720"/>
      <c r="J235" s="750" t="e">
        <f>SUM('June GL'!#REF!)</f>
        <v>#REF!</v>
      </c>
      <c r="K235" s="757" t="s">
        <v>251</v>
      </c>
      <c r="L235" s="722"/>
      <c r="M235" s="642"/>
      <c r="N235" s="33"/>
      <c r="O235" s="80"/>
      <c r="P235" s="104"/>
      <c r="Q235" s="139"/>
      <c r="R235" s="139"/>
      <c r="S235" s="139"/>
      <c r="T235" s="33"/>
      <c r="U235" s="33"/>
      <c r="V235" s="33"/>
      <c r="W235" s="169"/>
      <c r="X235" s="158" t="s">
        <v>609</v>
      </c>
      <c r="Y235" s="104" t="s">
        <v>352</v>
      </c>
      <c r="Z235" s="104">
        <f>X230+Y230+Z230</f>
        <v>11619000</v>
      </c>
      <c r="AA235" s="104"/>
      <c r="AB235" s="136"/>
      <c r="AC235" s="723"/>
      <c r="AD235" s="38"/>
      <c r="AE235" s="38"/>
      <c r="AF235" s="38"/>
      <c r="AG235" s="38"/>
      <c r="AH235" s="38"/>
      <c r="AI235" s="38"/>
      <c r="AJ235" s="38"/>
    </row>
    <row r="236" spans="1:39" ht="15" thickTop="1">
      <c r="D236" s="143"/>
      <c r="E236" s="712"/>
      <c r="F236" s="713"/>
      <c r="G236" s="714"/>
      <c r="H236" s="714" t="s">
        <v>249</v>
      </c>
      <c r="J236" s="824" t="e">
        <f>J235+J234</f>
        <v>#REF!</v>
      </c>
      <c r="K236" s="714" t="s">
        <v>454</v>
      </c>
      <c r="L236" s="722"/>
      <c r="M236" s="80"/>
      <c r="N236" s="104"/>
      <c r="O236" s="173"/>
      <c r="P236" s="104"/>
      <c r="Q236" s="139"/>
      <c r="R236" s="139"/>
      <c r="S236" s="139"/>
      <c r="T236" s="139"/>
      <c r="U236" s="139"/>
      <c r="V236" s="139"/>
      <c r="W236" s="169"/>
      <c r="X236" s="158"/>
      <c r="Y236" s="104"/>
      <c r="Z236" s="104"/>
      <c r="AA236" s="104"/>
      <c r="AB236" s="136"/>
      <c r="AC236" s="723"/>
      <c r="AD236" s="38"/>
      <c r="AE236" s="38"/>
      <c r="AF236" s="38" t="s">
        <v>86</v>
      </c>
      <c r="AG236" s="38"/>
      <c r="AH236" s="233">
        <f>SUM(AD234+AH234)</f>
        <v>19006173.289999999</v>
      </c>
      <c r="AI236" s="233">
        <f t="shared" ref="AI236:AJ236" si="60">SUM(AE234+AI234)</f>
        <v>930904.11</v>
      </c>
      <c r="AJ236" s="233">
        <f t="shared" si="60"/>
        <v>140998.84000000003</v>
      </c>
    </row>
    <row r="237" spans="1:39" ht="14">
      <c r="D237" s="143"/>
      <c r="E237" s="712"/>
      <c r="F237" s="713"/>
      <c r="G237" s="714"/>
      <c r="H237" s="714"/>
      <c r="J237" s="80"/>
      <c r="K237" s="714"/>
      <c r="L237" s="722"/>
      <c r="M237" s="104"/>
      <c r="N237" s="38"/>
      <c r="O237" s="139"/>
      <c r="P237" s="104"/>
      <c r="Q237" s="139"/>
      <c r="R237" s="139"/>
      <c r="S237" s="139"/>
      <c r="T237" s="139"/>
      <c r="U237" s="139"/>
      <c r="V237" s="139"/>
      <c r="W237" s="169"/>
      <c r="X237" s="158" t="s">
        <v>600</v>
      </c>
      <c r="Y237" s="104" t="s">
        <v>355</v>
      </c>
      <c r="Z237" s="104"/>
      <c r="AA237" s="104">
        <f>X230</f>
        <v>10281000</v>
      </c>
      <c r="AB237" s="136"/>
      <c r="AC237" s="38"/>
      <c r="AD237" s="797" t="s">
        <v>882</v>
      </c>
      <c r="AE237" s="38"/>
      <c r="AF237" s="38"/>
      <c r="AG237" s="38"/>
      <c r="AH237" s="233"/>
      <c r="AI237" s="233"/>
      <c r="AJ237" s="233"/>
    </row>
    <row r="238" spans="1:39" ht="15" thickBot="1">
      <c r="D238" s="143" t="s">
        <v>823</v>
      </c>
      <c r="E238" s="712"/>
      <c r="F238" s="713"/>
      <c r="G238" s="714"/>
      <c r="H238" s="714"/>
      <c r="J238" s="661">
        <f>M231</f>
        <v>11619000</v>
      </c>
      <c r="K238" s="714" t="s">
        <v>1029</v>
      </c>
      <c r="L238" s="645"/>
      <c r="M238" s="173"/>
      <c r="N238" s="38"/>
      <c r="O238" s="139"/>
      <c r="P238" s="104"/>
      <c r="Q238" s="139"/>
      <c r="R238" s="139"/>
      <c r="S238" s="139"/>
      <c r="T238" s="726"/>
      <c r="U238" s="139"/>
      <c r="V238" s="727"/>
      <c r="W238" s="169"/>
      <c r="X238" s="158"/>
      <c r="Y238" s="104" t="s">
        <v>356</v>
      </c>
      <c r="Z238" s="104"/>
      <c r="AA238" s="104">
        <f>AA230</f>
        <v>0</v>
      </c>
      <c r="AB238" s="136"/>
      <c r="AC238" s="38"/>
      <c r="AD238" s="38"/>
      <c r="AE238" s="38"/>
      <c r="AF238" s="38"/>
      <c r="AG238" s="38"/>
      <c r="AH238" s="799" t="s">
        <v>897</v>
      </c>
      <c r="AI238" s="801">
        <f>SUM(AH236:AJ236)</f>
        <v>20078076.239999998</v>
      </c>
      <c r="AJ238" s="800"/>
    </row>
    <row r="239" spans="1:39" ht="16" thickTop="1" thickBot="1">
      <c r="D239" s="143"/>
      <c r="E239" s="712"/>
      <c r="F239" s="713"/>
      <c r="G239" s="714"/>
      <c r="H239" s="714"/>
      <c r="J239" s="173">
        <v>0</v>
      </c>
      <c r="K239" s="714"/>
      <c r="L239" s="722"/>
      <c r="M239" s="173"/>
      <c r="N239" s="38"/>
      <c r="O239" s="33"/>
      <c r="P239" s="38"/>
      <c r="Q239" s="139"/>
      <c r="R239" s="139"/>
      <c r="S239" s="139"/>
      <c r="T239" s="139"/>
      <c r="U239" s="139"/>
      <c r="V239" s="139"/>
      <c r="W239" s="169"/>
      <c r="X239" s="158"/>
      <c r="Y239" s="104"/>
      <c r="Z239" s="104"/>
      <c r="AA239" s="104"/>
      <c r="AB239" s="136"/>
      <c r="AC239" s="38"/>
      <c r="AD239" s="38"/>
      <c r="AE239" s="38"/>
      <c r="AF239" s="38"/>
      <c r="AG239" s="38"/>
    </row>
    <row r="240" spans="1:39" ht="15" thickBot="1">
      <c r="E240" s="712"/>
      <c r="F240" s="713"/>
      <c r="G240" s="714"/>
      <c r="H240" s="714"/>
      <c r="J240" s="754">
        <f>J234+J238</f>
        <v>20078076.240000006</v>
      </c>
      <c r="K240" s="714" t="s">
        <v>1030</v>
      </c>
      <c r="L240" s="722"/>
      <c r="M240" s="173"/>
      <c r="N240" s="38"/>
      <c r="O240" s="33"/>
      <c r="P240" s="38"/>
      <c r="Q240" s="139"/>
      <c r="R240" s="139"/>
      <c r="S240" s="139"/>
      <c r="T240" s="139"/>
      <c r="U240" s="139"/>
      <c r="V240" s="139"/>
      <c r="W240" s="169"/>
      <c r="X240" s="158" t="s">
        <v>601</v>
      </c>
      <c r="Y240" s="104" t="s">
        <v>357</v>
      </c>
      <c r="Z240" s="104"/>
      <c r="AA240" s="104">
        <f>Y230</f>
        <v>1115000</v>
      </c>
      <c r="AB240" s="136"/>
      <c r="AC240" s="38"/>
      <c r="AD240" s="38"/>
      <c r="AE240" s="38"/>
      <c r="AF240" s="38"/>
      <c r="AG240" s="38"/>
      <c r="AH240" s="796" t="s">
        <v>857</v>
      </c>
      <c r="AI240" s="38">
        <f>AI238-AJ236</f>
        <v>19937077.399999999</v>
      </c>
      <c r="AJ240" s="38"/>
    </row>
    <row r="241" spans="4:36">
      <c r="D241" s="161"/>
      <c r="E241" s="712"/>
      <c r="F241" s="713"/>
      <c r="G241" s="714"/>
      <c r="H241" s="714"/>
      <c r="J241" s="637"/>
      <c r="K241" s="714"/>
      <c r="L241" s="173"/>
      <c r="M241" s="731"/>
      <c r="N241" s="38"/>
      <c r="O241" s="33"/>
      <c r="P241" s="38"/>
      <c r="Q241" s="139"/>
      <c r="R241" s="139"/>
      <c r="S241" s="139"/>
      <c r="T241" s="139"/>
      <c r="U241" s="139"/>
      <c r="V241" s="139"/>
      <c r="W241" s="169"/>
      <c r="X241" s="415"/>
      <c r="Y241" s="104" t="s">
        <v>358</v>
      </c>
      <c r="Z241" s="104"/>
      <c r="AA241" s="104">
        <f>AB230</f>
        <v>0</v>
      </c>
      <c r="AB241" s="136"/>
      <c r="AC241" s="38"/>
      <c r="AD241" s="38"/>
      <c r="AE241" s="38"/>
      <c r="AF241" s="38"/>
      <c r="AG241" s="38"/>
      <c r="AH241" s="38"/>
      <c r="AI241" s="38"/>
      <c r="AJ241" s="38"/>
    </row>
    <row r="242" spans="4:36">
      <c r="E242" s="712"/>
      <c r="F242" s="713"/>
      <c r="G242" s="714"/>
      <c r="H242" s="714"/>
      <c r="J242" s="658">
        <f>SUM(AD234:AJ234)</f>
        <v>20078076.239999998</v>
      </c>
      <c r="K242" s="714" t="s">
        <v>518</v>
      </c>
      <c r="L242" s="732"/>
      <c r="M242" s="637"/>
      <c r="N242" s="38"/>
      <c r="O242" s="33"/>
      <c r="P242" s="38"/>
      <c r="Q242" s="139"/>
      <c r="R242" s="139"/>
      <c r="S242" s="139"/>
      <c r="T242" s="139"/>
      <c r="U242" s="139"/>
      <c r="V242" s="139"/>
      <c r="W242" s="169"/>
      <c r="X242" s="415"/>
      <c r="Y242" s="104"/>
      <c r="Z242" s="104"/>
      <c r="AA242" s="104"/>
      <c r="AB242" s="136"/>
      <c r="AC242" s="38"/>
      <c r="AD242" s="38"/>
      <c r="AE242" s="38"/>
      <c r="AF242" s="38"/>
      <c r="AG242" s="38"/>
      <c r="AH242" s="38"/>
      <c r="AI242" s="38"/>
      <c r="AJ242" s="38"/>
    </row>
    <row r="243" spans="4:36" ht="13" thickBot="1">
      <c r="E243" s="712"/>
      <c r="F243" s="713"/>
      <c r="G243" s="714"/>
      <c r="H243" s="714"/>
      <c r="J243" s="169"/>
      <c r="K243" s="714" t="s">
        <v>454</v>
      </c>
      <c r="L243" s="733"/>
      <c r="M243" s="795"/>
      <c r="N243" s="38"/>
      <c r="O243" s="33"/>
      <c r="P243" s="38"/>
      <c r="Q243" s="139"/>
      <c r="R243" s="139"/>
      <c r="S243" s="139"/>
      <c r="T243" s="139"/>
      <c r="U243" s="139"/>
      <c r="V243" s="139"/>
      <c r="W243" s="169"/>
      <c r="X243" s="158" t="s">
        <v>602</v>
      </c>
      <c r="Y243" s="488" t="s">
        <v>359</v>
      </c>
      <c r="Z243" s="488"/>
      <c r="AA243" s="488">
        <f>Z230</f>
        <v>223000</v>
      </c>
      <c r="AB243" s="414"/>
      <c r="AC243" s="38"/>
      <c r="AD243" s="38"/>
      <c r="AE243" s="38"/>
      <c r="AF243" s="38"/>
      <c r="AG243" s="38"/>
      <c r="AH243" s="38"/>
      <c r="AI243" s="38"/>
      <c r="AJ243" s="38"/>
    </row>
    <row r="244" spans="4:36" ht="15" thickBot="1">
      <c r="E244" s="712"/>
      <c r="F244" s="713"/>
      <c r="G244" s="714"/>
      <c r="H244" s="714"/>
      <c r="J244" s="736"/>
      <c r="K244" s="714" t="s">
        <v>519</v>
      </c>
      <c r="L244" s="169"/>
      <c r="M244" s="169"/>
      <c r="N244" s="38"/>
      <c r="O244" s="33"/>
      <c r="P244" s="38"/>
      <c r="Q244" s="33"/>
      <c r="R244" s="33"/>
      <c r="S244" s="33"/>
      <c r="T244" s="33"/>
      <c r="U244" s="33"/>
      <c r="V244" s="33"/>
      <c r="W244" s="169"/>
      <c r="X244" s="416"/>
      <c r="Y244" s="104"/>
      <c r="Z244" s="80">
        <f>SUM(Z235:Z243)</f>
        <v>11619000</v>
      </c>
      <c r="AA244" s="80">
        <f>SUM(AA235:AA243)</f>
        <v>11619000</v>
      </c>
      <c r="AB244" s="136"/>
      <c r="AC244" s="38"/>
      <c r="AD244" s="38"/>
      <c r="AE244" s="38"/>
      <c r="AF244" s="38"/>
      <c r="AG244" s="38"/>
      <c r="AH244" s="38"/>
      <c r="AI244" s="822">
        <f>SUM(AI236/AI240)</f>
        <v>4.6692104932090001E-2</v>
      </c>
      <c r="AJ244" s="38"/>
    </row>
    <row r="245" spans="4:36">
      <c r="E245" s="712"/>
      <c r="F245" s="713"/>
      <c r="G245" s="714"/>
      <c r="H245" s="714"/>
      <c r="I245" s="714"/>
      <c r="J245" s="169"/>
      <c r="K245" s="169"/>
      <c r="L245" s="169"/>
      <c r="M245" s="169"/>
      <c r="N245" s="38"/>
      <c r="O245" s="33"/>
      <c r="P245" s="38"/>
      <c r="Q245" s="33"/>
      <c r="R245" s="33"/>
      <c r="S245" s="33"/>
      <c r="T245" s="33"/>
      <c r="U245" s="33"/>
      <c r="V245" s="33"/>
      <c r="W245" s="169"/>
      <c r="X245" s="416"/>
      <c r="Y245" s="104"/>
      <c r="Z245" s="104"/>
      <c r="AA245" s="104"/>
      <c r="AB245" s="136"/>
      <c r="AC245" s="38"/>
      <c r="AD245" s="38"/>
      <c r="AE245" s="38"/>
      <c r="AF245" s="38"/>
      <c r="AG245" s="38"/>
      <c r="AH245" s="38"/>
      <c r="AI245" s="38"/>
      <c r="AJ245" s="38"/>
    </row>
    <row r="246" spans="4:36" ht="13" thickBot="1">
      <c r="E246" s="712"/>
      <c r="F246" s="713"/>
      <c r="G246" s="714"/>
      <c r="H246" s="714"/>
      <c r="I246" s="714"/>
      <c r="J246" s="169"/>
      <c r="K246" s="169"/>
      <c r="L246" s="169"/>
      <c r="M246" s="169"/>
      <c r="N246" s="38"/>
      <c r="O246" s="33"/>
      <c r="P246" s="38"/>
      <c r="Q246" s="33"/>
      <c r="R246" s="33"/>
      <c r="S246" s="33"/>
      <c r="T246" s="33"/>
      <c r="U246" s="33"/>
      <c r="V246" s="33"/>
      <c r="W246" s="169"/>
      <c r="X246" s="330"/>
      <c r="Y246" s="279"/>
      <c r="Z246" s="279"/>
      <c r="AA246" s="279"/>
      <c r="AB246" s="280"/>
      <c r="AC246" s="38"/>
      <c r="AD246" s="38"/>
      <c r="AE246" s="38"/>
      <c r="AF246" s="38"/>
      <c r="AG246" s="38"/>
      <c r="AH246" s="38"/>
      <c r="AI246" s="38"/>
      <c r="AJ246" s="38"/>
    </row>
    <row r="247" spans="4:36">
      <c r="E247" s="712"/>
      <c r="F247" s="713"/>
      <c r="G247" s="714"/>
      <c r="H247" s="714"/>
      <c r="I247" s="714"/>
      <c r="J247" s="169"/>
      <c r="K247" s="169"/>
      <c r="L247" s="169"/>
      <c r="M247" s="169"/>
      <c r="N247" s="38"/>
      <c r="O247" s="33"/>
      <c r="P247" s="38"/>
      <c r="Q247" s="33"/>
      <c r="R247" s="33"/>
      <c r="S247" s="33"/>
      <c r="T247" s="33"/>
      <c r="U247" s="33"/>
      <c r="V247" s="33"/>
      <c r="W247" s="169"/>
      <c r="X247" s="104"/>
      <c r="Y247" s="104"/>
      <c r="Z247" s="104"/>
      <c r="AA247" s="104"/>
      <c r="AB247" s="104"/>
      <c r="AC247" s="38"/>
      <c r="AD247" s="38"/>
      <c r="AE247" s="38"/>
      <c r="AF247" s="38"/>
      <c r="AG247" s="38"/>
      <c r="AH247" s="38"/>
      <c r="AI247" s="38"/>
      <c r="AJ247" s="38"/>
    </row>
    <row r="248" spans="4:36">
      <c r="E248" s="712"/>
      <c r="F248" s="713"/>
      <c r="G248" s="714"/>
      <c r="H248" s="714"/>
      <c r="I248" s="714"/>
      <c r="J248" s="169"/>
      <c r="K248" s="169"/>
      <c r="L248" s="169"/>
      <c r="M248" s="169"/>
      <c r="N248" s="38"/>
      <c r="O248" s="33"/>
      <c r="P248" s="38"/>
      <c r="Q248" s="33"/>
      <c r="R248" s="33"/>
      <c r="S248" s="33"/>
      <c r="T248" s="33"/>
      <c r="U248" s="33"/>
      <c r="V248" s="33"/>
      <c r="W248" s="169"/>
      <c r="AC248" s="38"/>
      <c r="AD248" s="38"/>
      <c r="AE248" s="38"/>
      <c r="AF248" s="38"/>
      <c r="AG248" s="38"/>
      <c r="AH248" s="38"/>
      <c r="AI248" s="38"/>
      <c r="AJ248" s="38"/>
    </row>
    <row r="249" spans="4:36">
      <c r="E249" s="712"/>
      <c r="F249" s="713"/>
      <c r="G249" s="714"/>
      <c r="H249" s="714"/>
      <c r="I249" s="714"/>
      <c r="J249" s="169"/>
      <c r="K249" s="169"/>
      <c r="L249" s="169"/>
      <c r="M249" s="169"/>
      <c r="N249" s="38"/>
      <c r="O249" s="33"/>
      <c r="P249" s="38"/>
      <c r="Q249" s="33"/>
      <c r="R249" s="33"/>
      <c r="S249" s="33"/>
      <c r="T249" s="33"/>
      <c r="U249" s="33"/>
      <c r="V249" s="33"/>
      <c r="W249" s="169"/>
      <c r="AC249" s="38"/>
      <c r="AD249" s="38"/>
      <c r="AE249" s="38"/>
      <c r="AF249" s="38"/>
      <c r="AG249" s="38"/>
      <c r="AH249" s="38"/>
      <c r="AI249" s="38"/>
      <c r="AJ249" s="38"/>
    </row>
    <row r="250" spans="4:36">
      <c r="E250" s="712"/>
      <c r="F250" s="713"/>
      <c r="G250" s="714"/>
      <c r="H250" s="714"/>
      <c r="I250" s="714"/>
      <c r="J250" s="169"/>
      <c r="K250" s="169"/>
      <c r="L250" s="169"/>
      <c r="M250" s="169"/>
      <c r="N250" s="38"/>
      <c r="O250" s="33"/>
      <c r="P250" s="38"/>
      <c r="Q250" s="33"/>
      <c r="R250" s="33"/>
      <c r="S250" s="33"/>
      <c r="T250" s="33"/>
      <c r="U250" s="33"/>
      <c r="V250" s="33"/>
      <c r="W250" s="169"/>
      <c r="AC250" s="38"/>
      <c r="AD250" s="38"/>
      <c r="AE250" s="38"/>
      <c r="AF250" s="38"/>
      <c r="AG250" s="38"/>
      <c r="AH250" s="38"/>
      <c r="AI250" s="38"/>
      <c r="AJ250" s="38"/>
    </row>
    <row r="251" spans="4:36">
      <c r="E251" s="712"/>
      <c r="F251" s="713"/>
      <c r="G251" s="714"/>
      <c r="H251" s="714"/>
      <c r="I251" s="714"/>
      <c r="J251" s="169"/>
      <c r="K251" s="169"/>
      <c r="L251" s="169"/>
      <c r="M251" s="169"/>
      <c r="N251" s="38"/>
      <c r="O251" s="33"/>
      <c r="P251" s="38"/>
      <c r="Q251" s="33"/>
      <c r="R251" s="33"/>
      <c r="S251" s="33"/>
      <c r="T251" s="33"/>
      <c r="U251" s="33"/>
      <c r="V251" s="33"/>
      <c r="W251" s="169"/>
      <c r="AC251" s="38"/>
      <c r="AD251" s="38"/>
      <c r="AE251" s="38"/>
      <c r="AF251" s="38"/>
      <c r="AG251" s="38"/>
      <c r="AH251" s="38"/>
      <c r="AI251" s="38"/>
      <c r="AJ251" s="38"/>
    </row>
    <row r="252" spans="4:36">
      <c r="E252" s="712"/>
      <c r="F252" s="713"/>
      <c r="G252" s="714"/>
      <c r="H252" s="714"/>
      <c r="I252" s="714"/>
      <c r="J252" s="169"/>
      <c r="K252" s="169"/>
      <c r="L252" s="169"/>
      <c r="M252" s="169"/>
      <c r="N252" s="38"/>
      <c r="O252" s="33"/>
      <c r="P252" s="38"/>
      <c r="Q252" s="33"/>
      <c r="R252" s="33"/>
      <c r="S252" s="33"/>
      <c r="T252" s="33"/>
      <c r="U252" s="33"/>
      <c r="V252" s="33"/>
      <c r="W252" s="169"/>
      <c r="AC252" s="38"/>
      <c r="AD252" s="38"/>
      <c r="AE252" s="38"/>
      <c r="AF252" s="38"/>
      <c r="AG252" s="38"/>
      <c r="AH252" s="38"/>
      <c r="AI252" s="38"/>
      <c r="AJ252" s="38"/>
    </row>
    <row r="253" spans="4:36">
      <c r="E253" s="712"/>
      <c r="F253" s="713"/>
      <c r="G253" s="714"/>
      <c r="H253" s="714"/>
      <c r="I253" s="714"/>
      <c r="J253" s="169"/>
      <c r="K253" s="169"/>
      <c r="L253" s="169"/>
      <c r="M253" s="169"/>
      <c r="N253" s="38"/>
      <c r="O253" s="33"/>
      <c r="P253" s="38"/>
      <c r="Q253" s="33"/>
      <c r="R253" s="33"/>
      <c r="S253" s="33"/>
      <c r="T253" s="33"/>
      <c r="U253" s="33"/>
      <c r="V253" s="33"/>
      <c r="W253" s="169"/>
      <c r="AC253" s="38"/>
      <c r="AD253" s="38"/>
      <c r="AE253" s="38"/>
      <c r="AF253" s="38"/>
      <c r="AG253" s="38"/>
      <c r="AH253" s="38"/>
      <c r="AI253" s="38"/>
      <c r="AJ253"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253"/>
  <sheetViews>
    <sheetView topLeftCell="A58" zoomScale="90" zoomScaleNormal="90" zoomScalePageLayoutView="90" workbookViewId="0">
      <pane xSplit="1" topLeftCell="C1" activePane="topRight" state="frozen"/>
      <selection activeCell="A102" sqref="A102"/>
      <selection pane="topRight" activeCell="J69" sqref="J69"/>
    </sheetView>
  </sheetViews>
  <sheetFormatPr baseColWidth="10" defaultColWidth="9.3984375" defaultRowHeight="12" outlineLevelCol="1" x14ac:dyDescent="0"/>
  <cols>
    <col min="1" max="1" width="9.796875" style="18" customWidth="1" outlineLevel="1"/>
    <col min="2" max="2" width="8.3984375" style="18" customWidth="1" outlineLevel="1"/>
    <col min="3" max="3" width="11.3984375" style="131" customWidth="1" outlineLevel="1"/>
    <col min="4" max="4" width="32.3984375" style="147" customWidth="1"/>
    <col min="5" max="5" width="15.3984375" style="35" customWidth="1"/>
    <col min="6" max="6" width="17" style="152" customWidth="1"/>
    <col min="7" max="8" width="15.3984375" style="17" hidden="1" customWidth="1"/>
    <col min="9" max="9" width="15.3984375" style="17" customWidth="1"/>
    <col min="10" max="10" width="17" style="24" customWidth="1"/>
    <col min="11" max="11" width="3" style="24" customWidth="1"/>
    <col min="12" max="12" width="15.3984375" style="24" customWidth="1"/>
    <col min="13" max="13" width="16.3984375" style="24" customWidth="1"/>
    <col min="14" max="14" width="1.796875" style="16" customWidth="1"/>
    <col min="15" max="15" width="7.3984375" style="146" customWidth="1"/>
    <col min="16" max="16" width="1.796875" style="16" customWidth="1"/>
    <col min="17" max="20" width="15.3984375" style="146"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6.3984375" style="559" bestFit="1" customWidth="1"/>
    <col min="36" max="36" width="14.19921875" style="559" customWidth="1"/>
    <col min="37" max="37" width="9.3984375" style="16"/>
    <col min="38" max="38" width="14.796875" style="16" bestFit="1" customWidth="1"/>
    <col min="39" max="39" width="38.3984375" style="16" bestFit="1" customWidth="1"/>
    <col min="40" max="16384" width="9.398437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1006</v>
      </c>
      <c r="F3" s="29"/>
      <c r="G3" s="18"/>
      <c r="H3" s="168"/>
      <c r="I3" s="168"/>
      <c r="J3" s="169"/>
      <c r="K3" s="169"/>
      <c r="L3" s="169"/>
      <c r="M3" s="169"/>
      <c r="N3" s="169"/>
    </row>
    <row r="4" spans="1:39">
      <c r="D4" s="148"/>
      <c r="G4" s="164"/>
      <c r="H4" s="168"/>
      <c r="I4" s="168"/>
      <c r="J4" s="169"/>
      <c r="K4" s="169"/>
      <c r="L4" s="169"/>
      <c r="M4" s="169"/>
      <c r="N4" s="169"/>
    </row>
    <row r="5" spans="1:39" ht="13"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3" thickBot="1">
      <c r="B12" s="469"/>
      <c r="C12" s="670"/>
      <c r="D12" s="470" t="s">
        <v>103</v>
      </c>
      <c r="E12" s="471" t="s">
        <v>101</v>
      </c>
      <c r="F12" s="29"/>
      <c r="G12" s="166"/>
      <c r="H12" s="150"/>
      <c r="I12" s="150"/>
      <c r="J12" s="76"/>
    </row>
    <row r="13" spans="1:39" ht="13" thickBot="1">
      <c r="A13" s="152"/>
      <c r="B13" s="152"/>
      <c r="C13" s="67"/>
      <c r="D13" s="54"/>
      <c r="E13" s="34"/>
      <c r="G13" s="167"/>
      <c r="H13" s="49"/>
      <c r="I13" s="49"/>
      <c r="J13" s="50"/>
      <c r="K13" s="50"/>
      <c r="L13" s="50"/>
      <c r="M13" s="745"/>
      <c r="N13" s="146"/>
      <c r="P13" s="146"/>
      <c r="W13" s="50"/>
      <c r="X13" s="33"/>
      <c r="Y13" s="33"/>
      <c r="Z13" s="33"/>
      <c r="AA13" s="33"/>
    </row>
    <row r="14" spans="1:39" ht="13" thickBot="1">
      <c r="D14" s="526"/>
      <c r="E14" s="582" t="s">
        <v>1007</v>
      </c>
      <c r="F14" s="583" t="s">
        <v>368</v>
      </c>
      <c r="G14" s="96"/>
      <c r="H14" s="96"/>
      <c r="I14" s="96"/>
      <c r="J14" s="583" t="s">
        <v>427</v>
      </c>
      <c r="K14" s="581"/>
      <c r="L14" s="583" t="s">
        <v>427</v>
      </c>
      <c r="M14" s="583" t="s">
        <v>427</v>
      </c>
      <c r="N14" s="93"/>
      <c r="O14" s="96"/>
      <c r="P14" s="93"/>
      <c r="Q14" s="13"/>
      <c r="R14" s="13"/>
      <c r="S14" s="13"/>
      <c r="T14" s="96"/>
      <c r="U14" s="101"/>
      <c r="V14" s="96"/>
      <c r="W14" s="93"/>
      <c r="X14" s="96"/>
      <c r="Y14" s="96"/>
      <c r="Z14" s="304"/>
      <c r="AA14" s="304"/>
      <c r="AB14" s="304"/>
      <c r="AE14" s="560" t="s">
        <v>266</v>
      </c>
      <c r="AI14" s="561" t="s">
        <v>267</v>
      </c>
    </row>
    <row r="15" spans="1:39" ht="13" thickBot="1">
      <c r="A15" s="22" t="s">
        <v>95</v>
      </c>
      <c r="B15" s="22" t="s">
        <v>100</v>
      </c>
      <c r="C15" s="36" t="s">
        <v>522</v>
      </c>
      <c r="D15" s="36" t="s">
        <v>67</v>
      </c>
      <c r="E15" s="450" t="s">
        <v>230</v>
      </c>
      <c r="F15" s="528" t="s">
        <v>229</v>
      </c>
      <c r="G15" s="176" t="s">
        <v>288</v>
      </c>
      <c r="H15" s="545" t="s">
        <v>289</v>
      </c>
      <c r="I15" s="758" t="s">
        <v>427</v>
      </c>
      <c r="J15" s="313" t="s">
        <v>105</v>
      </c>
      <c r="K15" s="93"/>
      <c r="L15" s="94" t="s">
        <v>104</v>
      </c>
      <c r="M15" s="95" t="s">
        <v>106</v>
      </c>
      <c r="N15" s="102"/>
      <c r="O15" s="427" t="s">
        <v>839</v>
      </c>
      <c r="P15" s="102"/>
      <c r="Q15" s="313" t="s">
        <v>984</v>
      </c>
      <c r="R15" s="313" t="s">
        <v>946</v>
      </c>
      <c r="S15" s="313" t="s">
        <v>947</v>
      </c>
      <c r="T15" s="156" t="s">
        <v>961</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1027</v>
      </c>
      <c r="E16" s="679"/>
      <c r="F16" s="529">
        <v>0</v>
      </c>
      <c r="G16" s="680"/>
      <c r="H16" s="680"/>
      <c r="I16" s="755"/>
      <c r="J16" s="682">
        <f t="shared" ref="J16:J85" si="0">SUM(E16:I16)</f>
        <v>0</v>
      </c>
      <c r="K16" s="683"/>
      <c r="L16" s="684"/>
      <c r="M16" s="753"/>
      <c r="N16" s="683">
        <v>0</v>
      </c>
      <c r="O16" s="686"/>
      <c r="P16" s="683">
        <v>0</v>
      </c>
      <c r="Q16" s="687">
        <f t="shared" ref="Q16:Q146" si="1">L16+M16</f>
        <v>0</v>
      </c>
      <c r="R16" s="687"/>
      <c r="S16" s="687"/>
      <c r="T16" s="688">
        <v>0</v>
      </c>
      <c r="U16" s="689"/>
      <c r="V16" s="690">
        <f t="shared" ref="V16:V86" si="2">IF(T16="","",T16-Q16)</f>
        <v>0</v>
      </c>
      <c r="W16" s="691"/>
      <c r="X16" s="474">
        <f t="shared" ref="X16:X86" si="3">IF(B16="D",Q16,0)</f>
        <v>0</v>
      </c>
      <c r="Y16" s="474">
        <f t="shared" ref="Y16:Y86" si="4">IF(B16="M",Q16,0)</f>
        <v>0</v>
      </c>
      <c r="Z16" s="475">
        <f t="shared" ref="Z16:Z86" si="5">IF(B16="V",Q16,0)</f>
        <v>0</v>
      </c>
      <c r="AA16" s="475">
        <v>0</v>
      </c>
      <c r="AB16" s="476">
        <v>0</v>
      </c>
      <c r="AC16" s="38">
        <f t="shared" ref="AC16:AC86" si="6">(L16+M16)-(X16+Y16+Z16+AA16+AB16)</f>
        <v>0</v>
      </c>
      <c r="AD16" s="692">
        <f t="shared" ref="AD16:AD85" si="7">IF(B16="D",J16,0)</f>
        <v>0</v>
      </c>
      <c r="AE16" s="692">
        <f t="shared" ref="AE16:AE85" si="8">IF(B16="M",J16,0)</f>
        <v>0</v>
      </c>
      <c r="AF16" s="692">
        <f t="shared" ref="AF16:AF85" si="9">IF(B16="V",J16,0)</f>
        <v>0</v>
      </c>
      <c r="AG16" s="38"/>
      <c r="AH16" s="692">
        <f t="shared" ref="AH16:AH86" si="10">IF(B16="D",Q16,0)</f>
        <v>0</v>
      </c>
      <c r="AI16" s="692">
        <f t="shared" ref="AI16:AI86" si="11">IF(B16="M",Q16,0)</f>
        <v>0</v>
      </c>
      <c r="AJ16" s="692">
        <f t="shared" ref="AJ16:AJ86" si="12">IF(B16="V",Q16,0)</f>
        <v>0</v>
      </c>
      <c r="AM16" s="373" t="s">
        <v>382</v>
      </c>
    </row>
    <row r="17" spans="1:39">
      <c r="A17" s="20" t="s">
        <v>109</v>
      </c>
      <c r="B17" s="20" t="s">
        <v>110</v>
      </c>
      <c r="C17" s="671" t="s">
        <v>523</v>
      </c>
      <c r="D17" s="123" t="s">
        <v>317</v>
      </c>
      <c r="E17" s="679"/>
      <c r="F17" s="529">
        <f>VLOOKUP(D17,'Sept13 Revenue'!D:V,19,FALSE)</f>
        <v>-1128.9099999999999</v>
      </c>
      <c r="G17" s="680"/>
      <c r="H17" s="680"/>
      <c r="I17" s="755"/>
      <c r="J17" s="682">
        <f t="shared" si="0"/>
        <v>-1128.9099999999999</v>
      </c>
      <c r="K17" s="683"/>
      <c r="L17" s="684"/>
      <c r="M17" s="753">
        <v>10000</v>
      </c>
      <c r="N17" s="683">
        <v>0</v>
      </c>
      <c r="O17" s="686"/>
      <c r="P17" s="683">
        <v>0</v>
      </c>
      <c r="Q17" s="687">
        <f t="shared" si="1"/>
        <v>10000</v>
      </c>
      <c r="R17" s="687"/>
      <c r="S17" s="687"/>
      <c r="T17" s="688">
        <v>0</v>
      </c>
      <c r="U17" s="693"/>
      <c r="V17" s="690">
        <f t="shared" si="2"/>
        <v>-10000</v>
      </c>
      <c r="W17" s="683"/>
      <c r="X17" s="474">
        <f t="shared" si="3"/>
        <v>10000</v>
      </c>
      <c r="Y17" s="474">
        <f t="shared" si="4"/>
        <v>0</v>
      </c>
      <c r="Z17" s="475">
        <f t="shared" si="5"/>
        <v>0</v>
      </c>
      <c r="AA17" s="475">
        <v>0</v>
      </c>
      <c r="AB17" s="476">
        <v>0</v>
      </c>
      <c r="AC17" s="38">
        <f t="shared" si="6"/>
        <v>0</v>
      </c>
      <c r="AD17" s="692">
        <f t="shared" si="7"/>
        <v>-1128.9099999999999</v>
      </c>
      <c r="AE17" s="692">
        <f t="shared" si="8"/>
        <v>0</v>
      </c>
      <c r="AF17" s="692">
        <f t="shared" si="9"/>
        <v>0</v>
      </c>
      <c r="AG17" s="38"/>
      <c r="AH17" s="692">
        <f t="shared" si="10"/>
        <v>10000</v>
      </c>
      <c r="AI17" s="692">
        <f t="shared" si="11"/>
        <v>0</v>
      </c>
      <c r="AJ17" s="692">
        <f t="shared" si="12"/>
        <v>0</v>
      </c>
      <c r="AL17" s="38">
        <f>SUM(AD17:AJ17)</f>
        <v>8871.09</v>
      </c>
      <c r="AM17" s="123" t="s">
        <v>317</v>
      </c>
    </row>
    <row r="18" spans="1:39">
      <c r="A18" s="20" t="s">
        <v>109</v>
      </c>
      <c r="B18" s="20" t="s">
        <v>109</v>
      </c>
      <c r="C18" s="671" t="s">
        <v>523</v>
      </c>
      <c r="D18" s="68" t="s">
        <v>393</v>
      </c>
      <c r="E18" s="679"/>
      <c r="F18" s="529">
        <f>VLOOKUP(D18,'Sept13 Revenue'!D:V,19,FALSE)</f>
        <v>275.44999999999709</v>
      </c>
      <c r="G18" s="680"/>
      <c r="H18" s="680"/>
      <c r="I18" s="755"/>
      <c r="J18" s="682">
        <f t="shared" si="0"/>
        <v>275.44999999999709</v>
      </c>
      <c r="K18" s="683"/>
      <c r="L18" s="684"/>
      <c r="M18" s="753">
        <v>45000</v>
      </c>
      <c r="N18" s="683">
        <v>0</v>
      </c>
      <c r="O18" s="686"/>
      <c r="P18" s="683">
        <v>0</v>
      </c>
      <c r="Q18" s="687">
        <f t="shared" si="1"/>
        <v>45000</v>
      </c>
      <c r="R18" s="687"/>
      <c r="S18" s="687"/>
      <c r="T18" s="688">
        <v>0</v>
      </c>
      <c r="U18" s="693"/>
      <c r="V18" s="690">
        <f t="shared" si="2"/>
        <v>-45000</v>
      </c>
      <c r="W18" s="683"/>
      <c r="X18" s="474">
        <f t="shared" si="3"/>
        <v>0</v>
      </c>
      <c r="Y18" s="474">
        <f t="shared" si="4"/>
        <v>45000</v>
      </c>
      <c r="Z18" s="475">
        <f t="shared" si="5"/>
        <v>0</v>
      </c>
      <c r="AA18" s="475">
        <v>0</v>
      </c>
      <c r="AB18" s="476">
        <v>0</v>
      </c>
      <c r="AC18" s="38">
        <f t="shared" si="6"/>
        <v>0</v>
      </c>
      <c r="AD18" s="692">
        <f t="shared" si="7"/>
        <v>0</v>
      </c>
      <c r="AE18" s="692">
        <f t="shared" si="8"/>
        <v>275.44999999999709</v>
      </c>
      <c r="AF18" s="692">
        <f t="shared" si="9"/>
        <v>0</v>
      </c>
      <c r="AG18" s="38"/>
      <c r="AH18" s="692">
        <f t="shared" si="10"/>
        <v>0</v>
      </c>
      <c r="AI18" s="692">
        <f t="shared" si="11"/>
        <v>45000</v>
      </c>
      <c r="AJ18" s="692">
        <f t="shared" si="12"/>
        <v>0</v>
      </c>
      <c r="AL18" s="38">
        <f t="shared" ref="AL18:AL87" si="13">SUM(AD18:AJ18)</f>
        <v>45275.45</v>
      </c>
      <c r="AM18" s="68" t="s">
        <v>393</v>
      </c>
    </row>
    <row r="19" spans="1:39">
      <c r="A19" s="20" t="s">
        <v>109</v>
      </c>
      <c r="B19" s="20" t="s">
        <v>109</v>
      </c>
      <c r="C19" s="671" t="s">
        <v>523</v>
      </c>
      <c r="D19" s="68" t="s">
        <v>129</v>
      </c>
      <c r="E19" s="679"/>
      <c r="F19" s="529">
        <f>VLOOKUP(D19,'Sept13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VLOOKUP(D20,'Sept13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c r="F21" s="529">
        <f>VLOOKUP(D21,'Sept13 Revenue'!D:V,19,FALSE)</f>
        <v>28573.1</v>
      </c>
      <c r="G21" s="680"/>
      <c r="H21" s="680"/>
      <c r="I21" s="755"/>
      <c r="J21" s="682">
        <f t="shared" si="0"/>
        <v>28573.1</v>
      </c>
      <c r="K21" s="683"/>
      <c r="L21" s="684"/>
      <c r="M21" s="753">
        <v>10000</v>
      </c>
      <c r="N21" s="683">
        <v>0</v>
      </c>
      <c r="O21" s="686"/>
      <c r="P21" s="683">
        <v>0</v>
      </c>
      <c r="Q21" s="687">
        <f t="shared" si="1"/>
        <v>10000</v>
      </c>
      <c r="R21" s="687"/>
      <c r="S21" s="687"/>
      <c r="T21" s="688">
        <v>0</v>
      </c>
      <c r="U21" s="693"/>
      <c r="V21" s="690">
        <f t="shared" si="2"/>
        <v>-10000</v>
      </c>
      <c r="W21" s="683"/>
      <c r="X21" s="474">
        <f t="shared" si="3"/>
        <v>10000</v>
      </c>
      <c r="Y21" s="474">
        <f t="shared" si="4"/>
        <v>0</v>
      </c>
      <c r="Z21" s="475">
        <f t="shared" si="5"/>
        <v>0</v>
      </c>
      <c r="AA21" s="475">
        <v>0</v>
      </c>
      <c r="AB21" s="476">
        <v>0</v>
      </c>
      <c r="AC21" s="38">
        <f t="shared" si="6"/>
        <v>0</v>
      </c>
      <c r="AD21" s="692">
        <f t="shared" si="7"/>
        <v>28573.1</v>
      </c>
      <c r="AE21" s="692">
        <f t="shared" si="8"/>
        <v>0</v>
      </c>
      <c r="AF21" s="692">
        <f t="shared" si="9"/>
        <v>0</v>
      </c>
      <c r="AG21" s="38"/>
      <c r="AH21" s="692">
        <f t="shared" si="10"/>
        <v>10000</v>
      </c>
      <c r="AI21" s="692">
        <f t="shared" si="11"/>
        <v>0</v>
      </c>
      <c r="AJ21" s="692">
        <f t="shared" si="12"/>
        <v>0</v>
      </c>
      <c r="AL21" s="38">
        <f t="shared" si="13"/>
        <v>38573.1</v>
      </c>
      <c r="AM21" s="123" t="s">
        <v>380</v>
      </c>
    </row>
    <row r="22" spans="1:39">
      <c r="A22" s="20"/>
      <c r="B22" s="20" t="s">
        <v>110</v>
      </c>
      <c r="C22" s="667" t="s">
        <v>524</v>
      </c>
      <c r="D22" s="123" t="s">
        <v>132</v>
      </c>
      <c r="E22" s="679"/>
      <c r="F22" s="529">
        <f>VLOOKUP(D22,'Sept13 Revenue'!D:V,19,FALSE)</f>
        <v>25246.58</v>
      </c>
      <c r="G22" s="680"/>
      <c r="H22" s="680"/>
      <c r="I22" s="755"/>
      <c r="J22" s="682">
        <f t="shared" si="0"/>
        <v>25246.58</v>
      </c>
      <c r="K22" s="683"/>
      <c r="L22" s="684"/>
      <c r="M22" s="753">
        <v>10000</v>
      </c>
      <c r="N22" s="683">
        <v>0</v>
      </c>
      <c r="O22" s="686"/>
      <c r="P22" s="683">
        <v>0</v>
      </c>
      <c r="Q22" s="687">
        <f t="shared" si="1"/>
        <v>10000</v>
      </c>
      <c r="R22" s="687"/>
      <c r="S22" s="687"/>
      <c r="T22" s="688">
        <v>47898.64</v>
      </c>
      <c r="U22" s="693"/>
      <c r="V22" s="690">
        <f t="shared" si="2"/>
        <v>37898.639999999999</v>
      </c>
      <c r="W22" s="683"/>
      <c r="X22" s="474">
        <f t="shared" si="3"/>
        <v>10000</v>
      </c>
      <c r="Y22" s="474">
        <f t="shared" si="4"/>
        <v>0</v>
      </c>
      <c r="Z22" s="475">
        <f t="shared" si="5"/>
        <v>0</v>
      </c>
      <c r="AA22" s="475">
        <v>0</v>
      </c>
      <c r="AB22" s="476">
        <v>0</v>
      </c>
      <c r="AC22" s="38">
        <f t="shared" si="6"/>
        <v>0</v>
      </c>
      <c r="AD22" s="692">
        <f t="shared" si="7"/>
        <v>25246.58</v>
      </c>
      <c r="AE22" s="692">
        <f t="shared" si="8"/>
        <v>0</v>
      </c>
      <c r="AF22" s="692">
        <f t="shared" si="9"/>
        <v>0</v>
      </c>
      <c r="AG22" s="38"/>
      <c r="AH22" s="692">
        <f t="shared" si="10"/>
        <v>10000</v>
      </c>
      <c r="AI22" s="692">
        <f t="shared" si="11"/>
        <v>0</v>
      </c>
      <c r="AJ22" s="692">
        <f t="shared" si="12"/>
        <v>0</v>
      </c>
      <c r="AL22" s="38">
        <f t="shared" si="13"/>
        <v>35246.58</v>
      </c>
      <c r="AM22" s="123" t="s">
        <v>132</v>
      </c>
    </row>
    <row r="23" spans="1:39">
      <c r="A23" s="20"/>
      <c r="B23" s="20" t="s">
        <v>110</v>
      </c>
      <c r="C23" s="667" t="s">
        <v>524</v>
      </c>
      <c r="D23" s="123" t="s">
        <v>133</v>
      </c>
      <c r="E23" s="679"/>
      <c r="F23" s="529">
        <f>VLOOKUP(D23,'Sept13 Revenue'!D:V,19,FALSE)</f>
        <v>-53514</v>
      </c>
      <c r="G23" s="680"/>
      <c r="H23" s="680"/>
      <c r="I23" s="755"/>
      <c r="J23" s="682">
        <f t="shared" si="0"/>
        <v>-53514</v>
      </c>
      <c r="K23" s="683"/>
      <c r="L23" s="684"/>
      <c r="M23" s="753">
        <v>25000</v>
      </c>
      <c r="N23" s="683">
        <v>0</v>
      </c>
      <c r="O23" s="686"/>
      <c r="P23" s="683">
        <v>0</v>
      </c>
      <c r="Q23" s="687">
        <f t="shared" si="1"/>
        <v>25000</v>
      </c>
      <c r="R23" s="687"/>
      <c r="S23" s="687"/>
      <c r="T23" s="688">
        <v>0</v>
      </c>
      <c r="U23" s="693"/>
      <c r="V23" s="690">
        <f t="shared" si="2"/>
        <v>-25000</v>
      </c>
      <c r="W23" s="683"/>
      <c r="X23" s="474">
        <f t="shared" si="3"/>
        <v>25000</v>
      </c>
      <c r="Y23" s="474">
        <f t="shared" si="4"/>
        <v>0</v>
      </c>
      <c r="Z23" s="475">
        <f t="shared" si="5"/>
        <v>0</v>
      </c>
      <c r="AA23" s="475">
        <v>0</v>
      </c>
      <c r="AB23" s="476">
        <v>0</v>
      </c>
      <c r="AC23" s="38">
        <f t="shared" si="6"/>
        <v>0</v>
      </c>
      <c r="AD23" s="692">
        <f t="shared" si="7"/>
        <v>-53514</v>
      </c>
      <c r="AE23" s="692">
        <f t="shared" si="8"/>
        <v>0</v>
      </c>
      <c r="AF23" s="692">
        <f t="shared" si="9"/>
        <v>0</v>
      </c>
      <c r="AG23" s="38"/>
      <c r="AH23" s="692">
        <f t="shared" si="10"/>
        <v>25000</v>
      </c>
      <c r="AI23" s="692">
        <f t="shared" si="11"/>
        <v>0</v>
      </c>
      <c r="AJ23" s="692">
        <f t="shared" si="12"/>
        <v>0</v>
      </c>
      <c r="AL23" s="38">
        <f t="shared" si="13"/>
        <v>-28514</v>
      </c>
      <c r="AM23" s="123" t="s">
        <v>133</v>
      </c>
    </row>
    <row r="24" spans="1:39">
      <c r="A24" s="20"/>
      <c r="B24" s="20" t="s">
        <v>110</v>
      </c>
      <c r="C24" s="667"/>
      <c r="D24" s="123" t="s">
        <v>1015</v>
      </c>
      <c r="E24" s="679"/>
      <c r="F24" s="529">
        <f>VLOOKUP(D24,'Sept13 Revenue'!D:V,19,FALSE)</f>
        <v>0</v>
      </c>
      <c r="G24" s="680"/>
      <c r="H24" s="680"/>
      <c r="I24" s="755"/>
      <c r="J24" s="682">
        <f t="shared" ref="J24" si="14">SUM(E24:I24)</f>
        <v>0</v>
      </c>
      <c r="K24" s="683"/>
      <c r="L24" s="684"/>
      <c r="M24" s="753"/>
      <c r="N24" s="683">
        <v>0</v>
      </c>
      <c r="O24" s="686"/>
      <c r="P24" s="683">
        <v>0</v>
      </c>
      <c r="Q24" s="687">
        <f t="shared" ref="Q24" si="15">L24+M24</f>
        <v>0</v>
      </c>
      <c r="R24" s="687"/>
      <c r="S24" s="687"/>
      <c r="T24" s="688">
        <v>0</v>
      </c>
      <c r="U24" s="693"/>
      <c r="V24" s="690">
        <f t="shared" si="2"/>
        <v>0</v>
      </c>
      <c r="W24" s="683"/>
      <c r="X24" s="474">
        <f t="shared" ref="X24" si="16">IF(B24="D",Q24,0)</f>
        <v>0</v>
      </c>
      <c r="Y24" s="474">
        <f t="shared" ref="Y24" si="17">IF(B24="M",Q24,0)</f>
        <v>0</v>
      </c>
      <c r="Z24" s="475">
        <f t="shared" ref="Z24" si="18">IF(B24="V",Q24,0)</f>
        <v>0</v>
      </c>
      <c r="AA24" s="475">
        <v>0</v>
      </c>
      <c r="AB24" s="476">
        <v>0</v>
      </c>
      <c r="AC24" s="38">
        <f t="shared" ref="AC24" si="19">(L24+M24)-(X24+Y24+Z24+AA24+AB24)</f>
        <v>0</v>
      </c>
      <c r="AD24" s="692">
        <f t="shared" ref="AD24" si="20">IF(B24="D",J24,0)</f>
        <v>0</v>
      </c>
      <c r="AE24" s="692">
        <f t="shared" ref="AE24" si="21">IF(B24="M",J24,0)</f>
        <v>0</v>
      </c>
      <c r="AF24" s="692">
        <f t="shared" ref="AF24" si="22">IF(B24="V",J24,0)</f>
        <v>0</v>
      </c>
      <c r="AG24" s="38"/>
      <c r="AH24" s="692">
        <f t="shared" ref="AH24" si="23">IF(B24="D",Q24,0)</f>
        <v>0</v>
      </c>
      <c r="AI24" s="692">
        <f t="shared" ref="AI24" si="24">IF(B24="M",Q24,0)</f>
        <v>0</v>
      </c>
      <c r="AJ24" s="692">
        <f t="shared" ref="AJ24" si="25">IF(B24="V",Q24,0)</f>
        <v>0</v>
      </c>
      <c r="AL24" s="38">
        <f t="shared" ref="AL24" si="26">SUM(AD24:AJ24)</f>
        <v>0</v>
      </c>
      <c r="AM24" s="123" t="s">
        <v>1015</v>
      </c>
    </row>
    <row r="25" spans="1:39" s="232" customFormat="1">
      <c r="A25" s="283" t="s">
        <v>211</v>
      </c>
      <c r="B25" s="283" t="s">
        <v>109</v>
      </c>
      <c r="C25" s="667" t="s">
        <v>525</v>
      </c>
      <c r="D25" s="123" t="s">
        <v>419</v>
      </c>
      <c r="E25" s="679"/>
      <c r="F25" s="529">
        <f>VLOOKUP(D25,'Sept13 Revenue'!D:V,19,FALSE)</f>
        <v>-20000</v>
      </c>
      <c r="G25" s="680"/>
      <c r="H25" s="680"/>
      <c r="I25" s="755"/>
      <c r="J25" s="682">
        <f t="shared" si="0"/>
        <v>-20000</v>
      </c>
      <c r="K25" s="683"/>
      <c r="L25" s="684"/>
      <c r="M25" s="753">
        <v>30000</v>
      </c>
      <c r="N25" s="683">
        <v>0</v>
      </c>
      <c r="O25" s="686"/>
      <c r="P25" s="683">
        <v>0</v>
      </c>
      <c r="Q25" s="687">
        <f t="shared" si="1"/>
        <v>30000</v>
      </c>
      <c r="R25" s="687"/>
      <c r="S25" s="687"/>
      <c r="T25" s="688">
        <v>0</v>
      </c>
      <c r="U25" s="693"/>
      <c r="V25" s="690">
        <f t="shared" si="2"/>
        <v>-30000</v>
      </c>
      <c r="W25" s="683"/>
      <c r="X25" s="474">
        <f t="shared" si="3"/>
        <v>0</v>
      </c>
      <c r="Y25" s="474">
        <f t="shared" si="4"/>
        <v>30000</v>
      </c>
      <c r="Z25" s="475">
        <f t="shared" si="5"/>
        <v>0</v>
      </c>
      <c r="AA25" s="475">
        <v>0</v>
      </c>
      <c r="AB25" s="476">
        <v>0</v>
      </c>
      <c r="AC25" s="38">
        <f t="shared" si="6"/>
        <v>0</v>
      </c>
      <c r="AD25" s="692">
        <f t="shared" si="7"/>
        <v>0</v>
      </c>
      <c r="AE25" s="692">
        <f t="shared" si="8"/>
        <v>-20000</v>
      </c>
      <c r="AF25" s="692">
        <f t="shared" si="9"/>
        <v>0</v>
      </c>
      <c r="AG25" s="38"/>
      <c r="AH25" s="692">
        <f t="shared" si="10"/>
        <v>0</v>
      </c>
      <c r="AI25" s="692">
        <f t="shared" si="11"/>
        <v>30000</v>
      </c>
      <c r="AJ25" s="692">
        <f t="shared" si="12"/>
        <v>0</v>
      </c>
      <c r="AL25" s="38">
        <f t="shared" si="13"/>
        <v>10000</v>
      </c>
      <c r="AM25" s="123" t="s">
        <v>419</v>
      </c>
    </row>
    <row r="26" spans="1:39">
      <c r="A26" s="20"/>
      <c r="B26" s="20" t="s">
        <v>110</v>
      </c>
      <c r="C26" s="667"/>
      <c r="D26" s="68" t="s">
        <v>922</v>
      </c>
      <c r="E26" s="679">
        <v>903.66</v>
      </c>
      <c r="F26" s="529">
        <f>VLOOKUP(D26,'Sept13 Revenue'!D:V,19,FALSE)</f>
        <v>0</v>
      </c>
      <c r="G26" s="680"/>
      <c r="H26" s="680"/>
      <c r="I26" s="755"/>
      <c r="J26" s="682">
        <f t="shared" si="0"/>
        <v>903.66</v>
      </c>
      <c r="K26" s="683"/>
      <c r="L26" s="684"/>
      <c r="M26" s="753"/>
      <c r="N26" s="683">
        <v>0</v>
      </c>
      <c r="O26" s="686"/>
      <c r="P26" s="683">
        <v>0</v>
      </c>
      <c r="Q26" s="687">
        <f t="shared" si="1"/>
        <v>0</v>
      </c>
      <c r="R26" s="687"/>
      <c r="S26" s="687"/>
      <c r="T26" s="688">
        <v>802.72</v>
      </c>
      <c r="U26" s="693"/>
      <c r="V26" s="690">
        <f t="shared" si="2"/>
        <v>802.72</v>
      </c>
      <c r="W26" s="683"/>
      <c r="X26" s="474">
        <f t="shared" si="3"/>
        <v>0</v>
      </c>
      <c r="Y26" s="474">
        <f t="shared" si="4"/>
        <v>0</v>
      </c>
      <c r="Z26" s="475">
        <f t="shared" si="5"/>
        <v>0</v>
      </c>
      <c r="AA26" s="475">
        <v>0</v>
      </c>
      <c r="AB26" s="476">
        <v>0</v>
      </c>
      <c r="AC26" s="38">
        <f t="shared" si="6"/>
        <v>0</v>
      </c>
      <c r="AD26" s="692">
        <f t="shared" si="7"/>
        <v>903.66</v>
      </c>
      <c r="AE26" s="692">
        <f t="shared" si="8"/>
        <v>0</v>
      </c>
      <c r="AF26" s="692">
        <f t="shared" si="9"/>
        <v>0</v>
      </c>
      <c r="AG26" s="38"/>
      <c r="AH26" s="692">
        <f t="shared" si="10"/>
        <v>0</v>
      </c>
      <c r="AI26" s="692">
        <f t="shared" si="11"/>
        <v>0</v>
      </c>
      <c r="AJ26" s="692">
        <f t="shared" si="12"/>
        <v>0</v>
      </c>
      <c r="AL26" s="38">
        <f t="shared" si="13"/>
        <v>903.66</v>
      </c>
      <c r="AM26" s="68" t="s">
        <v>922</v>
      </c>
    </row>
    <row r="27" spans="1:39">
      <c r="A27" s="20"/>
      <c r="B27" s="20" t="s">
        <v>110</v>
      </c>
      <c r="C27" s="667"/>
      <c r="D27" s="68" t="s">
        <v>589</v>
      </c>
      <c r="E27" s="679"/>
      <c r="F27" s="529">
        <f>VLOOKUP(D27,'Sept13 Revenue'!D:V,19,FALSE)</f>
        <v>8355.3499999999985</v>
      </c>
      <c r="G27" s="680"/>
      <c r="H27" s="680"/>
      <c r="I27" s="755"/>
      <c r="J27" s="682">
        <f t="shared" si="0"/>
        <v>8355.3499999999985</v>
      </c>
      <c r="K27" s="683"/>
      <c r="L27" s="684"/>
      <c r="M27" s="753">
        <v>10000</v>
      </c>
      <c r="N27" s="683">
        <v>0</v>
      </c>
      <c r="O27" s="686"/>
      <c r="P27" s="683">
        <v>0</v>
      </c>
      <c r="Q27" s="687">
        <f t="shared" si="1"/>
        <v>10000</v>
      </c>
      <c r="R27" s="687"/>
      <c r="S27" s="687"/>
      <c r="T27" s="688">
        <v>0</v>
      </c>
      <c r="U27" s="693"/>
      <c r="V27" s="690">
        <f t="shared" si="2"/>
        <v>-10000</v>
      </c>
      <c r="W27" s="683"/>
      <c r="X27" s="474">
        <f t="shared" si="3"/>
        <v>10000</v>
      </c>
      <c r="Y27" s="474">
        <f t="shared" si="4"/>
        <v>0</v>
      </c>
      <c r="Z27" s="475">
        <f t="shared" si="5"/>
        <v>0</v>
      </c>
      <c r="AA27" s="475">
        <v>0</v>
      </c>
      <c r="AB27" s="476">
        <v>0</v>
      </c>
      <c r="AC27" s="38">
        <f t="shared" si="6"/>
        <v>0</v>
      </c>
      <c r="AD27" s="692">
        <f t="shared" si="7"/>
        <v>8355.3499999999985</v>
      </c>
      <c r="AE27" s="692">
        <f t="shared" si="8"/>
        <v>0</v>
      </c>
      <c r="AF27" s="692">
        <f t="shared" si="9"/>
        <v>0</v>
      </c>
      <c r="AG27" s="38"/>
      <c r="AH27" s="692">
        <f t="shared" si="10"/>
        <v>10000</v>
      </c>
      <c r="AI27" s="692">
        <f t="shared" si="11"/>
        <v>0</v>
      </c>
      <c r="AJ27" s="692">
        <f t="shared" si="12"/>
        <v>0</v>
      </c>
      <c r="AL27" s="38">
        <f t="shared" si="13"/>
        <v>18355.349999999999</v>
      </c>
      <c r="AM27" s="68" t="s">
        <v>589</v>
      </c>
    </row>
    <row r="28" spans="1:39">
      <c r="A28" s="20"/>
      <c r="B28" s="20" t="s">
        <v>110</v>
      </c>
      <c r="C28" s="667"/>
      <c r="D28" s="68" t="s">
        <v>829</v>
      </c>
      <c r="E28" s="679"/>
      <c r="F28" s="529">
        <f>VLOOKUP(D28,'Sept13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c r="F29" s="529">
        <f>VLOOKUP(D29,'Sept13 Revenue'!D:V,19,FALSE)</f>
        <v>1167.6500000000001</v>
      </c>
      <c r="G29" s="680"/>
      <c r="H29" s="680"/>
      <c r="I29" s="755"/>
      <c r="J29" s="682">
        <f t="shared" si="0"/>
        <v>1167.6500000000001</v>
      </c>
      <c r="K29" s="683"/>
      <c r="L29" s="684"/>
      <c r="M29" s="753"/>
      <c r="N29" s="683">
        <v>0</v>
      </c>
      <c r="O29" s="686"/>
      <c r="P29" s="683">
        <v>0</v>
      </c>
      <c r="Q29" s="687">
        <f t="shared" si="1"/>
        <v>0</v>
      </c>
      <c r="R29" s="687"/>
      <c r="S29" s="687"/>
      <c r="T29" s="688">
        <v>1297.75</v>
      </c>
      <c r="U29" s="693"/>
      <c r="V29" s="690">
        <f t="shared" si="2"/>
        <v>1297.75</v>
      </c>
      <c r="W29" s="691"/>
      <c r="X29" s="474">
        <f t="shared" si="3"/>
        <v>0</v>
      </c>
      <c r="Y29" s="474">
        <f t="shared" si="4"/>
        <v>0</v>
      </c>
      <c r="Z29" s="475">
        <f t="shared" si="5"/>
        <v>0</v>
      </c>
      <c r="AA29" s="475">
        <v>0</v>
      </c>
      <c r="AB29" s="476">
        <v>0</v>
      </c>
      <c r="AC29" s="38">
        <f t="shared" si="6"/>
        <v>0</v>
      </c>
      <c r="AD29" s="692">
        <f t="shared" si="7"/>
        <v>0</v>
      </c>
      <c r="AE29" s="692">
        <f t="shared" si="8"/>
        <v>1167.6500000000001</v>
      </c>
      <c r="AF29" s="692">
        <f t="shared" si="9"/>
        <v>0</v>
      </c>
      <c r="AG29" s="38"/>
      <c r="AH29" s="692">
        <f t="shared" si="10"/>
        <v>0</v>
      </c>
      <c r="AI29" s="692">
        <f t="shared" si="11"/>
        <v>0</v>
      </c>
      <c r="AJ29" s="692">
        <f t="shared" si="12"/>
        <v>0</v>
      </c>
      <c r="AL29" s="38">
        <f t="shared" si="13"/>
        <v>1167.6500000000001</v>
      </c>
      <c r="AM29" s="68" t="s">
        <v>385</v>
      </c>
    </row>
    <row r="30" spans="1:39" s="232" customFormat="1">
      <c r="A30" s="283"/>
      <c r="B30" s="283" t="s">
        <v>110</v>
      </c>
      <c r="C30" s="667" t="s">
        <v>527</v>
      </c>
      <c r="D30" s="123" t="s">
        <v>401</v>
      </c>
      <c r="E30" s="679"/>
      <c r="F30" s="529">
        <f>VLOOKUP(D30,'Sept13 Revenue'!D:V,19,FALSE)</f>
        <v>-74021.5</v>
      </c>
      <c r="G30" s="680"/>
      <c r="H30" s="680"/>
      <c r="I30" s="755"/>
      <c r="J30" s="682">
        <f t="shared" si="0"/>
        <v>-74021.5</v>
      </c>
      <c r="K30" s="683"/>
      <c r="L30" s="684"/>
      <c r="M30" s="753">
        <v>850000</v>
      </c>
      <c r="N30" s="683">
        <v>0</v>
      </c>
      <c r="O30" s="686"/>
      <c r="P30" s="683">
        <v>0</v>
      </c>
      <c r="Q30" s="687">
        <f t="shared" si="1"/>
        <v>850000</v>
      </c>
      <c r="R30" s="687"/>
      <c r="S30" s="687"/>
      <c r="T30" s="688">
        <v>948788.1</v>
      </c>
      <c r="U30" s="693"/>
      <c r="V30" s="690">
        <f t="shared" si="2"/>
        <v>98788.099999999977</v>
      </c>
      <c r="W30" s="683"/>
      <c r="X30" s="474">
        <f t="shared" si="3"/>
        <v>850000</v>
      </c>
      <c r="Y30" s="474">
        <f t="shared" si="4"/>
        <v>0</v>
      </c>
      <c r="Z30" s="475">
        <f t="shared" si="5"/>
        <v>0</v>
      </c>
      <c r="AA30" s="475">
        <v>0</v>
      </c>
      <c r="AB30" s="476">
        <v>0</v>
      </c>
      <c r="AC30" s="38">
        <f t="shared" si="6"/>
        <v>0</v>
      </c>
      <c r="AD30" s="692">
        <f t="shared" si="7"/>
        <v>-74021.5</v>
      </c>
      <c r="AE30" s="692">
        <f t="shared" si="8"/>
        <v>0</v>
      </c>
      <c r="AF30" s="692">
        <f t="shared" si="9"/>
        <v>0</v>
      </c>
      <c r="AG30" s="38"/>
      <c r="AH30" s="692">
        <f t="shared" si="10"/>
        <v>850000</v>
      </c>
      <c r="AI30" s="692">
        <f t="shared" si="11"/>
        <v>0</v>
      </c>
      <c r="AJ30" s="692">
        <f t="shared" si="12"/>
        <v>0</v>
      </c>
      <c r="AL30" s="38">
        <f t="shared" si="13"/>
        <v>775978.5</v>
      </c>
      <c r="AM30" s="123" t="s">
        <v>401</v>
      </c>
    </row>
    <row r="31" spans="1:39" s="232" customFormat="1">
      <c r="A31" s="283"/>
      <c r="B31" s="283" t="s">
        <v>110</v>
      </c>
      <c r="C31" s="667" t="s">
        <v>528</v>
      </c>
      <c r="D31" s="123" t="s">
        <v>403</v>
      </c>
      <c r="E31" s="679"/>
      <c r="F31" s="529">
        <f>VLOOKUP(D31,'Sept13 Revenue'!D:V,19,FALSE)</f>
        <v>11256.359999999986</v>
      </c>
      <c r="G31" s="680"/>
      <c r="H31" s="680"/>
      <c r="I31" s="755"/>
      <c r="J31" s="682">
        <f t="shared" si="0"/>
        <v>11256.359999999986</v>
      </c>
      <c r="K31" s="683"/>
      <c r="L31" s="684"/>
      <c r="M31" s="753">
        <v>150000</v>
      </c>
      <c r="N31" s="683">
        <v>0</v>
      </c>
      <c r="O31" s="686"/>
      <c r="P31" s="683">
        <v>0</v>
      </c>
      <c r="Q31" s="687">
        <f t="shared" si="1"/>
        <v>150000</v>
      </c>
      <c r="R31" s="687"/>
      <c r="S31" s="687"/>
      <c r="T31" s="688">
        <v>172751.48</v>
      </c>
      <c r="U31" s="693"/>
      <c r="V31" s="690">
        <f t="shared" si="2"/>
        <v>22751.48000000001</v>
      </c>
      <c r="W31" s="683"/>
      <c r="X31" s="474">
        <f t="shared" si="3"/>
        <v>150000</v>
      </c>
      <c r="Y31" s="474">
        <f t="shared" si="4"/>
        <v>0</v>
      </c>
      <c r="Z31" s="475">
        <f t="shared" si="5"/>
        <v>0</v>
      </c>
      <c r="AA31" s="475">
        <v>0</v>
      </c>
      <c r="AB31" s="476">
        <v>0</v>
      </c>
      <c r="AC31" s="38">
        <f t="shared" si="6"/>
        <v>0</v>
      </c>
      <c r="AD31" s="692">
        <f t="shared" si="7"/>
        <v>11256.359999999986</v>
      </c>
      <c r="AE31" s="692">
        <f t="shared" si="8"/>
        <v>0</v>
      </c>
      <c r="AF31" s="692">
        <f t="shared" si="9"/>
        <v>0</v>
      </c>
      <c r="AG31" s="38"/>
      <c r="AH31" s="692">
        <f t="shared" si="10"/>
        <v>150000</v>
      </c>
      <c r="AI31" s="692">
        <f t="shared" si="11"/>
        <v>0</v>
      </c>
      <c r="AJ31" s="692">
        <f t="shared" si="12"/>
        <v>0</v>
      </c>
      <c r="AL31" s="38">
        <f t="shared" si="13"/>
        <v>161256.35999999999</v>
      </c>
      <c r="AM31" s="123" t="s">
        <v>403</v>
      </c>
    </row>
    <row r="32" spans="1:39" s="232" customFormat="1">
      <c r="A32" s="283"/>
      <c r="B32" s="283" t="s">
        <v>110</v>
      </c>
      <c r="C32" s="667" t="s">
        <v>528</v>
      </c>
      <c r="D32" s="123" t="s">
        <v>404</v>
      </c>
      <c r="E32" s="679"/>
      <c r="F32" s="529">
        <f>VLOOKUP(D32,'Sept13 Revenue'!D:V,19,FALSE)</f>
        <v>4448.5599999999977</v>
      </c>
      <c r="G32" s="680"/>
      <c r="H32" s="680"/>
      <c r="I32" s="755"/>
      <c r="J32" s="682">
        <f t="shared" si="0"/>
        <v>4448.5599999999977</v>
      </c>
      <c r="K32" s="683"/>
      <c r="L32" s="684"/>
      <c r="M32" s="753">
        <v>150000</v>
      </c>
      <c r="N32" s="683">
        <v>0</v>
      </c>
      <c r="O32" s="686"/>
      <c r="P32" s="683">
        <v>0</v>
      </c>
      <c r="Q32" s="687">
        <f t="shared" si="1"/>
        <v>150000</v>
      </c>
      <c r="R32" s="687"/>
      <c r="S32" s="687"/>
      <c r="T32" s="688">
        <v>162172.34</v>
      </c>
      <c r="U32" s="693"/>
      <c r="V32" s="690">
        <f t="shared" si="2"/>
        <v>12172.339999999997</v>
      </c>
      <c r="W32" s="683"/>
      <c r="X32" s="474">
        <f t="shared" si="3"/>
        <v>150000</v>
      </c>
      <c r="Y32" s="474">
        <f t="shared" si="4"/>
        <v>0</v>
      </c>
      <c r="Z32" s="475">
        <f t="shared" si="5"/>
        <v>0</v>
      </c>
      <c r="AA32" s="475">
        <v>0</v>
      </c>
      <c r="AB32" s="476">
        <v>0</v>
      </c>
      <c r="AC32" s="38">
        <f t="shared" si="6"/>
        <v>0</v>
      </c>
      <c r="AD32" s="692">
        <f t="shared" si="7"/>
        <v>4448.5599999999977</v>
      </c>
      <c r="AE32" s="692">
        <f t="shared" si="8"/>
        <v>0</v>
      </c>
      <c r="AF32" s="692">
        <f t="shared" si="9"/>
        <v>0</v>
      </c>
      <c r="AG32" s="38"/>
      <c r="AH32" s="692">
        <f t="shared" si="10"/>
        <v>150000</v>
      </c>
      <c r="AI32" s="692">
        <f t="shared" si="11"/>
        <v>0</v>
      </c>
      <c r="AJ32" s="692">
        <f t="shared" si="12"/>
        <v>0</v>
      </c>
      <c r="AL32" s="38">
        <f t="shared" si="13"/>
        <v>154448.56</v>
      </c>
      <c r="AM32" s="123" t="s">
        <v>404</v>
      </c>
    </row>
    <row r="33" spans="1:39" s="232" customFormat="1">
      <c r="A33" s="283"/>
      <c r="B33" s="283" t="s">
        <v>110</v>
      </c>
      <c r="C33" s="667" t="s">
        <v>528</v>
      </c>
      <c r="D33" s="123" t="s">
        <v>405</v>
      </c>
      <c r="E33" s="679"/>
      <c r="F33" s="529">
        <f>VLOOKUP(D33,'Sept13 Revenue'!D:V,19,FALSE)</f>
        <v>3902.1399999999994</v>
      </c>
      <c r="G33" s="680"/>
      <c r="H33" s="680"/>
      <c r="I33" s="755"/>
      <c r="J33" s="682">
        <f t="shared" si="0"/>
        <v>3902.1399999999994</v>
      </c>
      <c r="K33" s="683"/>
      <c r="L33" s="684"/>
      <c r="M33" s="753">
        <v>25000</v>
      </c>
      <c r="N33" s="683">
        <v>0</v>
      </c>
      <c r="O33" s="686"/>
      <c r="P33" s="683">
        <v>0</v>
      </c>
      <c r="Q33" s="687">
        <f t="shared" si="1"/>
        <v>25000</v>
      </c>
      <c r="R33" s="687"/>
      <c r="S33" s="687"/>
      <c r="T33" s="688">
        <v>29787.41</v>
      </c>
      <c r="U33" s="693"/>
      <c r="V33" s="690">
        <f t="shared" si="2"/>
        <v>4787.41</v>
      </c>
      <c r="W33" s="683"/>
      <c r="X33" s="474">
        <f t="shared" si="3"/>
        <v>25000</v>
      </c>
      <c r="Y33" s="474">
        <f t="shared" si="4"/>
        <v>0</v>
      </c>
      <c r="Z33" s="475">
        <f t="shared" si="5"/>
        <v>0</v>
      </c>
      <c r="AA33" s="475">
        <v>0</v>
      </c>
      <c r="AB33" s="476">
        <v>0</v>
      </c>
      <c r="AC33" s="38">
        <f t="shared" si="6"/>
        <v>0</v>
      </c>
      <c r="AD33" s="692">
        <f t="shared" si="7"/>
        <v>3902.1399999999994</v>
      </c>
      <c r="AE33" s="692">
        <f t="shared" si="8"/>
        <v>0</v>
      </c>
      <c r="AF33" s="692">
        <f t="shared" si="9"/>
        <v>0</v>
      </c>
      <c r="AG33" s="38"/>
      <c r="AH33" s="692">
        <f t="shared" si="10"/>
        <v>25000</v>
      </c>
      <c r="AI33" s="692">
        <f t="shared" si="11"/>
        <v>0</v>
      </c>
      <c r="AJ33" s="692">
        <f t="shared" si="12"/>
        <v>0</v>
      </c>
      <c r="AL33" s="38">
        <f t="shared" si="13"/>
        <v>28902.14</v>
      </c>
      <c r="AM33" s="123" t="s">
        <v>405</v>
      </c>
    </row>
    <row r="34" spans="1:39" s="232" customFormat="1">
      <c r="A34" s="283"/>
      <c r="B34" s="283" t="s">
        <v>110</v>
      </c>
      <c r="C34" s="667" t="s">
        <v>528</v>
      </c>
      <c r="D34" s="123" t="s">
        <v>406</v>
      </c>
      <c r="E34" s="679"/>
      <c r="F34" s="529">
        <f>VLOOKUP(D34,'Sept13 Revenue'!D:V,19,FALSE)</f>
        <v>583.45999999999913</v>
      </c>
      <c r="G34" s="680"/>
      <c r="H34" s="680"/>
      <c r="I34" s="755"/>
      <c r="J34" s="682">
        <f t="shared" si="0"/>
        <v>583.45999999999913</v>
      </c>
      <c r="K34" s="683"/>
      <c r="L34" s="684"/>
      <c r="M34" s="753">
        <v>12000</v>
      </c>
      <c r="N34" s="683">
        <v>0</v>
      </c>
      <c r="O34" s="686"/>
      <c r="P34" s="683">
        <v>0</v>
      </c>
      <c r="Q34" s="687">
        <f t="shared" si="1"/>
        <v>12000</v>
      </c>
      <c r="R34" s="687"/>
      <c r="S34" s="687"/>
      <c r="T34" s="688">
        <v>13555.97</v>
      </c>
      <c r="U34" s="693"/>
      <c r="V34" s="690">
        <f t="shared" si="2"/>
        <v>1555.9699999999993</v>
      </c>
      <c r="W34" s="683"/>
      <c r="X34" s="474">
        <f t="shared" si="3"/>
        <v>12000</v>
      </c>
      <c r="Y34" s="474">
        <f t="shared" si="4"/>
        <v>0</v>
      </c>
      <c r="Z34" s="475">
        <f t="shared" si="5"/>
        <v>0</v>
      </c>
      <c r="AA34" s="475">
        <v>0</v>
      </c>
      <c r="AB34" s="476">
        <v>0</v>
      </c>
      <c r="AC34" s="38">
        <f t="shared" si="6"/>
        <v>0</v>
      </c>
      <c r="AD34" s="692">
        <f t="shared" si="7"/>
        <v>583.45999999999913</v>
      </c>
      <c r="AE34" s="692">
        <f t="shared" si="8"/>
        <v>0</v>
      </c>
      <c r="AF34" s="692">
        <f t="shared" si="9"/>
        <v>0</v>
      </c>
      <c r="AG34" s="38"/>
      <c r="AH34" s="692">
        <f t="shared" si="10"/>
        <v>12000</v>
      </c>
      <c r="AI34" s="692">
        <f t="shared" si="11"/>
        <v>0</v>
      </c>
      <c r="AJ34" s="692">
        <f t="shared" si="12"/>
        <v>0</v>
      </c>
      <c r="AL34" s="38">
        <f t="shared" si="13"/>
        <v>12583.46</v>
      </c>
      <c r="AM34" s="123" t="s">
        <v>406</v>
      </c>
    </row>
    <row r="35" spans="1:39" s="232" customFormat="1">
      <c r="A35" s="283"/>
      <c r="B35" s="283" t="s">
        <v>110</v>
      </c>
      <c r="C35" s="667" t="s">
        <v>528</v>
      </c>
      <c r="D35" s="123" t="s">
        <v>407</v>
      </c>
      <c r="E35" s="679"/>
      <c r="F35" s="529">
        <f>VLOOKUP(D35,'Sept13 Revenue'!D:V,19,FALSE)</f>
        <v>169.80000000000018</v>
      </c>
      <c r="G35" s="680"/>
      <c r="H35" s="680"/>
      <c r="I35" s="755"/>
      <c r="J35" s="682">
        <f t="shared" si="0"/>
        <v>169.80000000000018</v>
      </c>
      <c r="K35" s="683"/>
      <c r="L35" s="684"/>
      <c r="M35" s="753">
        <v>5000</v>
      </c>
      <c r="N35" s="683">
        <v>0</v>
      </c>
      <c r="O35" s="686"/>
      <c r="P35" s="683">
        <v>0</v>
      </c>
      <c r="Q35" s="687">
        <f t="shared" si="1"/>
        <v>5000</v>
      </c>
      <c r="R35" s="687"/>
      <c r="S35" s="687"/>
      <c r="T35" s="688">
        <v>5451.95</v>
      </c>
      <c r="U35" s="693"/>
      <c r="V35" s="690">
        <f t="shared" si="2"/>
        <v>451.94999999999982</v>
      </c>
      <c r="W35" s="683"/>
      <c r="X35" s="474">
        <f t="shared" si="3"/>
        <v>5000</v>
      </c>
      <c r="Y35" s="474">
        <f t="shared" si="4"/>
        <v>0</v>
      </c>
      <c r="Z35" s="475">
        <f t="shared" si="5"/>
        <v>0</v>
      </c>
      <c r="AA35" s="475">
        <v>0</v>
      </c>
      <c r="AB35" s="476">
        <v>0</v>
      </c>
      <c r="AC35" s="38">
        <f t="shared" si="6"/>
        <v>0</v>
      </c>
      <c r="AD35" s="692">
        <f t="shared" si="7"/>
        <v>169.80000000000018</v>
      </c>
      <c r="AE35" s="692">
        <f t="shared" si="8"/>
        <v>0</v>
      </c>
      <c r="AF35" s="692">
        <f t="shared" si="9"/>
        <v>0</v>
      </c>
      <c r="AG35" s="38"/>
      <c r="AH35" s="692">
        <f t="shared" si="10"/>
        <v>5000</v>
      </c>
      <c r="AI35" s="692">
        <f t="shared" si="11"/>
        <v>0</v>
      </c>
      <c r="AJ35" s="692">
        <f t="shared" si="12"/>
        <v>0</v>
      </c>
      <c r="AL35" s="38">
        <f t="shared" si="13"/>
        <v>5169.8</v>
      </c>
      <c r="AM35" s="123" t="s">
        <v>407</v>
      </c>
    </row>
    <row r="36" spans="1:39" s="232" customFormat="1">
      <c r="A36" s="283"/>
      <c r="B36" s="283" t="s">
        <v>110</v>
      </c>
      <c r="C36" s="667" t="s">
        <v>528</v>
      </c>
      <c r="D36" s="123" t="s">
        <v>880</v>
      </c>
      <c r="E36" s="679"/>
      <c r="F36" s="529">
        <f>VLOOKUP(D36,'Sept13 Revenue'!D:V,19,FALSE)</f>
        <v>-145.73999999999978</v>
      </c>
      <c r="G36" s="680"/>
      <c r="H36" s="680"/>
      <c r="I36" s="755"/>
      <c r="J36" s="682">
        <f t="shared" si="0"/>
        <v>-145.73999999999978</v>
      </c>
      <c r="K36" s="683"/>
      <c r="L36" s="684"/>
      <c r="M36" s="753">
        <v>5000</v>
      </c>
      <c r="N36" s="683">
        <v>0</v>
      </c>
      <c r="O36" s="686"/>
      <c r="P36" s="683">
        <v>0</v>
      </c>
      <c r="Q36" s="687">
        <f t="shared" si="1"/>
        <v>5000</v>
      </c>
      <c r="R36" s="687"/>
      <c r="S36" s="687"/>
      <c r="T36" s="688">
        <v>6798.13</v>
      </c>
      <c r="U36" s="693"/>
      <c r="V36" s="690">
        <f t="shared" si="2"/>
        <v>1798.13</v>
      </c>
      <c r="W36" s="683"/>
      <c r="X36" s="474">
        <f t="shared" si="3"/>
        <v>5000</v>
      </c>
      <c r="Y36" s="474">
        <f t="shared" si="4"/>
        <v>0</v>
      </c>
      <c r="Z36" s="475">
        <f t="shared" si="5"/>
        <v>0</v>
      </c>
      <c r="AA36" s="475">
        <v>0</v>
      </c>
      <c r="AB36" s="476">
        <v>0</v>
      </c>
      <c r="AC36" s="38">
        <f t="shared" si="6"/>
        <v>0</v>
      </c>
      <c r="AD36" s="692">
        <f t="shared" si="7"/>
        <v>-145.73999999999978</v>
      </c>
      <c r="AE36" s="692">
        <f t="shared" si="8"/>
        <v>0</v>
      </c>
      <c r="AF36" s="692">
        <f t="shared" si="9"/>
        <v>0</v>
      </c>
      <c r="AG36" s="38"/>
      <c r="AH36" s="692">
        <f t="shared" si="10"/>
        <v>5000</v>
      </c>
      <c r="AI36" s="692">
        <f t="shared" si="11"/>
        <v>0</v>
      </c>
      <c r="AJ36" s="692">
        <f t="shared" si="12"/>
        <v>0</v>
      </c>
      <c r="AL36" s="38">
        <f t="shared" si="13"/>
        <v>4854.26</v>
      </c>
      <c r="AM36" s="123" t="s">
        <v>880</v>
      </c>
    </row>
    <row r="37" spans="1:39" s="232" customFormat="1">
      <c r="A37" s="283"/>
      <c r="B37" s="283" t="s">
        <v>110</v>
      </c>
      <c r="C37" s="667" t="s">
        <v>528</v>
      </c>
      <c r="D37" s="123" t="s">
        <v>881</v>
      </c>
      <c r="E37" s="679"/>
      <c r="F37" s="529">
        <f>VLOOKUP(D37,'Sept13 Revenue'!D:V,19,FALSE)</f>
        <v>-891.35999999999967</v>
      </c>
      <c r="G37" s="680"/>
      <c r="H37" s="680"/>
      <c r="I37" s="755"/>
      <c r="J37" s="682">
        <f t="shared" si="0"/>
        <v>-891.35999999999967</v>
      </c>
      <c r="K37" s="683"/>
      <c r="L37" s="684"/>
      <c r="M37" s="753">
        <v>5000</v>
      </c>
      <c r="N37" s="683">
        <v>0</v>
      </c>
      <c r="O37" s="686"/>
      <c r="P37" s="683">
        <v>0</v>
      </c>
      <c r="Q37" s="687">
        <f t="shared" si="1"/>
        <v>5000</v>
      </c>
      <c r="R37" s="687"/>
      <c r="S37" s="687"/>
      <c r="T37" s="688">
        <v>4315.5200000000004</v>
      </c>
      <c r="U37" s="693"/>
      <c r="V37" s="690">
        <f t="shared" si="2"/>
        <v>-684.47999999999956</v>
      </c>
      <c r="W37" s="683"/>
      <c r="X37" s="474">
        <f t="shared" si="3"/>
        <v>5000</v>
      </c>
      <c r="Y37" s="474">
        <f t="shared" si="4"/>
        <v>0</v>
      </c>
      <c r="Z37" s="475">
        <f t="shared" si="5"/>
        <v>0</v>
      </c>
      <c r="AA37" s="475">
        <v>0</v>
      </c>
      <c r="AB37" s="476">
        <v>0</v>
      </c>
      <c r="AC37" s="38">
        <f t="shared" si="6"/>
        <v>0</v>
      </c>
      <c r="AD37" s="692">
        <f t="shared" si="7"/>
        <v>-891.35999999999967</v>
      </c>
      <c r="AE37" s="692">
        <f t="shared" si="8"/>
        <v>0</v>
      </c>
      <c r="AF37" s="692">
        <f t="shared" si="9"/>
        <v>0</v>
      </c>
      <c r="AG37" s="38"/>
      <c r="AH37" s="692">
        <f t="shared" si="10"/>
        <v>5000</v>
      </c>
      <c r="AI37" s="692">
        <f t="shared" si="11"/>
        <v>0</v>
      </c>
      <c r="AJ37" s="692">
        <f t="shared" si="12"/>
        <v>0</v>
      </c>
      <c r="AL37" s="38">
        <f t="shared" si="13"/>
        <v>4108.6400000000003</v>
      </c>
      <c r="AM37" s="123" t="s">
        <v>881</v>
      </c>
    </row>
    <row r="38" spans="1:39" s="232" customFormat="1">
      <c r="A38" s="283"/>
      <c r="B38" s="283" t="s">
        <v>110</v>
      </c>
      <c r="C38" s="667" t="s">
        <v>528</v>
      </c>
      <c r="D38" s="123" t="s">
        <v>820</v>
      </c>
      <c r="E38" s="679"/>
      <c r="F38" s="529">
        <f>VLOOKUP(D38,'Sept13 Revenue'!D:V,19,FALSE)</f>
        <v>-1021.2799999999988</v>
      </c>
      <c r="G38" s="680"/>
      <c r="H38" s="680"/>
      <c r="I38" s="755"/>
      <c r="J38" s="682">
        <f t="shared" si="0"/>
        <v>-1021.2799999999988</v>
      </c>
      <c r="K38" s="683"/>
      <c r="L38" s="684"/>
      <c r="M38" s="753">
        <v>25000</v>
      </c>
      <c r="N38" s="683">
        <v>0</v>
      </c>
      <c r="O38" s="686"/>
      <c r="P38" s="683">
        <v>0</v>
      </c>
      <c r="Q38" s="687">
        <f t="shared" si="1"/>
        <v>25000</v>
      </c>
      <c r="R38" s="687"/>
      <c r="S38" s="687"/>
      <c r="T38" s="688">
        <v>52275.88</v>
      </c>
      <c r="U38" s="693"/>
      <c r="V38" s="690">
        <f t="shared" si="2"/>
        <v>27275.879999999997</v>
      </c>
      <c r="W38" s="683"/>
      <c r="X38" s="474">
        <f t="shared" si="3"/>
        <v>25000</v>
      </c>
      <c r="Y38" s="474">
        <f t="shared" si="4"/>
        <v>0</v>
      </c>
      <c r="Z38" s="475">
        <f t="shared" si="5"/>
        <v>0</v>
      </c>
      <c r="AA38" s="475">
        <v>0</v>
      </c>
      <c r="AB38" s="476">
        <v>0</v>
      </c>
      <c r="AC38" s="38">
        <f t="shared" si="6"/>
        <v>0</v>
      </c>
      <c r="AD38" s="692">
        <f t="shared" si="7"/>
        <v>-1021.2799999999988</v>
      </c>
      <c r="AE38" s="692">
        <f t="shared" si="8"/>
        <v>0</v>
      </c>
      <c r="AF38" s="692">
        <f t="shared" si="9"/>
        <v>0</v>
      </c>
      <c r="AG38" s="38"/>
      <c r="AH38" s="692">
        <f t="shared" si="10"/>
        <v>25000</v>
      </c>
      <c r="AI38" s="692">
        <f t="shared" si="11"/>
        <v>0</v>
      </c>
      <c r="AJ38" s="692">
        <f t="shared" si="12"/>
        <v>0</v>
      </c>
      <c r="AL38" s="38">
        <f t="shared" si="13"/>
        <v>23978.720000000001</v>
      </c>
      <c r="AM38" s="123" t="s">
        <v>820</v>
      </c>
    </row>
    <row r="39" spans="1:39" s="232" customFormat="1">
      <c r="A39" s="283"/>
      <c r="B39" s="283" t="s">
        <v>110</v>
      </c>
      <c r="C39" s="667" t="s">
        <v>527</v>
      </c>
      <c r="D39" s="123" t="s">
        <v>460</v>
      </c>
      <c r="E39" s="679"/>
      <c r="F39" s="529">
        <f>VLOOKUP(D39,'Sept13 Revenue'!D:V,19,FALSE)</f>
        <v>0</v>
      </c>
      <c r="G39" s="680"/>
      <c r="H39" s="680"/>
      <c r="I39" s="770">
        <v>42628.49</v>
      </c>
      <c r="J39" s="682">
        <f t="shared" si="0"/>
        <v>42628.49</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42628.49</v>
      </c>
      <c r="AE39" s="692">
        <f t="shared" si="8"/>
        <v>0</v>
      </c>
      <c r="AF39" s="692">
        <f t="shared" si="9"/>
        <v>0</v>
      </c>
      <c r="AG39" s="38"/>
      <c r="AH39" s="692">
        <f t="shared" si="10"/>
        <v>0</v>
      </c>
      <c r="AI39" s="692">
        <f t="shared" si="11"/>
        <v>0</v>
      </c>
      <c r="AJ39" s="692">
        <f t="shared" si="12"/>
        <v>0</v>
      </c>
      <c r="AL39" s="38">
        <f t="shared" si="13"/>
        <v>42628.49</v>
      </c>
      <c r="AM39" s="123" t="s">
        <v>460</v>
      </c>
    </row>
    <row r="40" spans="1:39" s="232" customFormat="1">
      <c r="A40" s="283"/>
      <c r="B40" s="283" t="s">
        <v>110</v>
      </c>
      <c r="C40" s="676" t="s">
        <v>528</v>
      </c>
      <c r="D40" s="123" t="s">
        <v>623</v>
      </c>
      <c r="E40" s="679"/>
      <c r="F40" s="529">
        <f>VLOOKUP(D40,'Sept13 Revenue'!D:V,19,FALSE)</f>
        <v>0</v>
      </c>
      <c r="G40" s="680"/>
      <c r="H40" s="680"/>
      <c r="I40" s="755"/>
      <c r="J40" s="682">
        <f t="shared" si="0"/>
        <v>0</v>
      </c>
      <c r="K40" s="683"/>
      <c r="L40" s="684"/>
      <c r="M40" s="753">
        <v>7000</v>
      </c>
      <c r="N40" s="683">
        <v>0</v>
      </c>
      <c r="O40" s="686"/>
      <c r="P40" s="683">
        <v>0</v>
      </c>
      <c r="Q40" s="687">
        <f t="shared" si="1"/>
        <v>7000</v>
      </c>
      <c r="R40" s="687"/>
      <c r="S40" s="687"/>
      <c r="T40" s="688">
        <v>7180.88</v>
      </c>
      <c r="U40" s="693"/>
      <c r="V40" s="690">
        <f t="shared" si="2"/>
        <v>180.88000000000011</v>
      </c>
      <c r="W40" s="683"/>
      <c r="X40" s="474">
        <f t="shared" si="3"/>
        <v>7000</v>
      </c>
      <c r="Y40" s="474">
        <f t="shared" si="4"/>
        <v>0</v>
      </c>
      <c r="Z40" s="475">
        <f t="shared" si="5"/>
        <v>0</v>
      </c>
      <c r="AA40" s="475">
        <v>0</v>
      </c>
      <c r="AB40" s="476">
        <v>0</v>
      </c>
      <c r="AC40" s="38">
        <f t="shared" si="6"/>
        <v>0</v>
      </c>
      <c r="AD40" s="692">
        <f t="shared" si="7"/>
        <v>0</v>
      </c>
      <c r="AE40" s="692">
        <f t="shared" si="8"/>
        <v>0</v>
      </c>
      <c r="AF40" s="692">
        <f t="shared" si="9"/>
        <v>0</v>
      </c>
      <c r="AG40" s="38"/>
      <c r="AH40" s="692">
        <f t="shared" si="10"/>
        <v>7000</v>
      </c>
      <c r="AI40" s="692">
        <f t="shared" si="11"/>
        <v>0</v>
      </c>
      <c r="AJ40" s="692">
        <f t="shared" si="12"/>
        <v>0</v>
      </c>
      <c r="AL40" s="38">
        <f t="shared" si="13"/>
        <v>7000</v>
      </c>
      <c r="AM40" s="123" t="s">
        <v>623</v>
      </c>
    </row>
    <row r="41" spans="1:39" s="232" customFormat="1">
      <c r="A41" s="403"/>
      <c r="B41" s="403" t="s">
        <v>114</v>
      </c>
      <c r="C41" s="666" t="s">
        <v>529</v>
      </c>
      <c r="D41" s="123" t="s">
        <v>108</v>
      </c>
      <c r="E41" s="679"/>
      <c r="F41" s="529">
        <f>VLOOKUP(D41,'Sept13 Revenue'!D:V,19,FALSE)</f>
        <v>-282.64000000000033</v>
      </c>
      <c r="G41" s="680"/>
      <c r="H41" s="680"/>
      <c r="I41" s="755"/>
      <c r="J41" s="682">
        <f t="shared" si="0"/>
        <v>-282.64000000000033</v>
      </c>
      <c r="K41" s="683"/>
      <c r="L41" s="684"/>
      <c r="M41" s="753">
        <v>8000</v>
      </c>
      <c r="N41" s="683">
        <v>0</v>
      </c>
      <c r="O41" s="686"/>
      <c r="P41" s="683">
        <v>0</v>
      </c>
      <c r="Q41" s="687">
        <f t="shared" si="1"/>
        <v>8000</v>
      </c>
      <c r="R41" s="687"/>
      <c r="S41" s="687"/>
      <c r="T41" s="688">
        <v>16575.64</v>
      </c>
      <c r="U41" s="693"/>
      <c r="V41" s="690">
        <f t="shared" si="2"/>
        <v>8575.64</v>
      </c>
      <c r="W41" s="683"/>
      <c r="X41" s="474">
        <f t="shared" si="3"/>
        <v>0</v>
      </c>
      <c r="Y41" s="474">
        <f t="shared" si="4"/>
        <v>0</v>
      </c>
      <c r="Z41" s="475">
        <f t="shared" si="5"/>
        <v>8000</v>
      </c>
      <c r="AA41" s="475">
        <v>0</v>
      </c>
      <c r="AB41" s="476">
        <v>0</v>
      </c>
      <c r="AC41" s="38">
        <f t="shared" si="6"/>
        <v>0</v>
      </c>
      <c r="AD41" s="692">
        <f t="shared" si="7"/>
        <v>0</v>
      </c>
      <c r="AE41" s="692">
        <f t="shared" si="8"/>
        <v>0</v>
      </c>
      <c r="AF41" s="692">
        <f t="shared" si="9"/>
        <v>-282.64000000000033</v>
      </c>
      <c r="AG41" s="38"/>
      <c r="AH41" s="692">
        <f t="shared" si="10"/>
        <v>0</v>
      </c>
      <c r="AI41" s="692">
        <f t="shared" si="11"/>
        <v>0</v>
      </c>
      <c r="AJ41" s="692">
        <f t="shared" si="12"/>
        <v>8000</v>
      </c>
      <c r="AL41" s="38">
        <f t="shared" si="13"/>
        <v>7717.36</v>
      </c>
      <c r="AM41" s="123" t="s">
        <v>108</v>
      </c>
    </row>
    <row r="42" spans="1:39" s="232" customFormat="1">
      <c r="A42" s="403"/>
      <c r="B42" s="403" t="s">
        <v>110</v>
      </c>
      <c r="C42" s="666"/>
      <c r="D42" s="123" t="s">
        <v>911</v>
      </c>
      <c r="E42" s="679"/>
      <c r="F42" s="529">
        <f>VLOOKUP(D42,'Sept13 Revenue'!D:V,19,FALSE)</f>
        <v>-268.65999999999985</v>
      </c>
      <c r="G42" s="680"/>
      <c r="H42" s="680"/>
      <c r="I42" s="755"/>
      <c r="J42" s="682">
        <f t="shared" si="0"/>
        <v>-268.65999999999985</v>
      </c>
      <c r="K42" s="683"/>
      <c r="L42" s="684"/>
      <c r="M42" s="753">
        <v>14000</v>
      </c>
      <c r="N42" s="683">
        <v>0</v>
      </c>
      <c r="O42" s="686"/>
      <c r="P42" s="683">
        <v>0</v>
      </c>
      <c r="Q42" s="687">
        <f t="shared" si="1"/>
        <v>14000</v>
      </c>
      <c r="R42" s="687"/>
      <c r="S42" s="687"/>
      <c r="T42" s="688">
        <v>14429.15</v>
      </c>
      <c r="U42" s="693"/>
      <c r="V42" s="690">
        <f t="shared" si="2"/>
        <v>429.14999999999964</v>
      </c>
      <c r="W42" s="683"/>
      <c r="X42" s="474">
        <f t="shared" si="3"/>
        <v>14000</v>
      </c>
      <c r="Y42" s="474">
        <f t="shared" si="4"/>
        <v>0</v>
      </c>
      <c r="Z42" s="475">
        <f t="shared" si="5"/>
        <v>0</v>
      </c>
      <c r="AA42" s="475">
        <v>0</v>
      </c>
      <c r="AB42" s="476">
        <v>0</v>
      </c>
      <c r="AC42" s="38">
        <f t="shared" si="6"/>
        <v>0</v>
      </c>
      <c r="AD42" s="692">
        <f t="shared" si="7"/>
        <v>-268.65999999999985</v>
      </c>
      <c r="AE42" s="692">
        <f t="shared" si="8"/>
        <v>0</v>
      </c>
      <c r="AF42" s="692">
        <f t="shared" si="9"/>
        <v>0</v>
      </c>
      <c r="AG42" s="38"/>
      <c r="AH42" s="692">
        <f t="shared" si="10"/>
        <v>14000</v>
      </c>
      <c r="AI42" s="692">
        <f t="shared" si="11"/>
        <v>0</v>
      </c>
      <c r="AJ42" s="692">
        <f t="shared" si="12"/>
        <v>0</v>
      </c>
      <c r="AL42" s="38">
        <f t="shared" si="13"/>
        <v>13731.34</v>
      </c>
      <c r="AM42" s="123" t="s">
        <v>911</v>
      </c>
    </row>
    <row r="43" spans="1:39">
      <c r="A43" s="21"/>
      <c r="B43" s="21" t="s">
        <v>110</v>
      </c>
      <c r="C43" s="666"/>
      <c r="D43" s="68" t="s">
        <v>234</v>
      </c>
      <c r="E43" s="679"/>
      <c r="F43" s="529">
        <f>VLOOKUP(D43,'Sept13 Revenue'!D:V,19,FALSE)</f>
        <v>-15000</v>
      </c>
      <c r="G43" s="680"/>
      <c r="H43" s="680"/>
      <c r="I43" s="755"/>
      <c r="J43" s="682">
        <f t="shared" si="0"/>
        <v>-15000</v>
      </c>
      <c r="K43" s="683"/>
      <c r="L43" s="684"/>
      <c r="M43" s="753">
        <v>20000</v>
      </c>
      <c r="N43" s="683">
        <v>0</v>
      </c>
      <c r="O43" s="686"/>
      <c r="P43" s="683">
        <v>0</v>
      </c>
      <c r="Q43" s="687">
        <f t="shared" si="1"/>
        <v>20000</v>
      </c>
      <c r="R43" s="687"/>
      <c r="S43" s="687"/>
      <c r="T43" s="688">
        <v>0</v>
      </c>
      <c r="U43" s="693"/>
      <c r="V43" s="690">
        <f t="shared" si="2"/>
        <v>-20000</v>
      </c>
      <c r="W43" s="683"/>
      <c r="X43" s="474">
        <f t="shared" si="3"/>
        <v>20000</v>
      </c>
      <c r="Y43" s="474">
        <f t="shared" si="4"/>
        <v>0</v>
      </c>
      <c r="Z43" s="475">
        <f t="shared" si="5"/>
        <v>0</v>
      </c>
      <c r="AA43" s="475">
        <v>0</v>
      </c>
      <c r="AB43" s="476">
        <v>0</v>
      </c>
      <c r="AC43" s="38">
        <f t="shared" si="6"/>
        <v>0</v>
      </c>
      <c r="AD43" s="692">
        <f t="shared" si="7"/>
        <v>-15000</v>
      </c>
      <c r="AE43" s="692">
        <f t="shared" si="8"/>
        <v>0</v>
      </c>
      <c r="AF43" s="692">
        <f t="shared" si="9"/>
        <v>0</v>
      </c>
      <c r="AG43" s="38"/>
      <c r="AH43" s="692">
        <f t="shared" si="10"/>
        <v>20000</v>
      </c>
      <c r="AI43" s="692">
        <f t="shared" si="11"/>
        <v>0</v>
      </c>
      <c r="AJ43" s="692">
        <f t="shared" si="12"/>
        <v>0</v>
      </c>
      <c r="AL43" s="38">
        <f t="shared" si="13"/>
        <v>5000</v>
      </c>
      <c r="AM43" s="68" t="s">
        <v>234</v>
      </c>
    </row>
    <row r="44" spans="1:39">
      <c r="A44" s="20"/>
      <c r="B44" s="20" t="s">
        <v>109</v>
      </c>
      <c r="C44" s="667"/>
      <c r="D44" s="68" t="s">
        <v>598</v>
      </c>
      <c r="E44" s="679">
        <v>842.96</v>
      </c>
      <c r="F44" s="529">
        <f>VLOOKUP(D44,'Sept13 Revenue'!D:V,19,FALSE)</f>
        <v>0</v>
      </c>
      <c r="G44" s="680"/>
      <c r="H44" s="680"/>
      <c r="I44" s="755"/>
      <c r="J44" s="682">
        <f t="shared" si="0"/>
        <v>842.96</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842.96</v>
      </c>
      <c r="AF44" s="692">
        <f t="shared" si="9"/>
        <v>0</v>
      </c>
      <c r="AG44" s="38"/>
      <c r="AH44" s="692">
        <f t="shared" si="10"/>
        <v>0</v>
      </c>
      <c r="AI44" s="692">
        <f t="shared" si="11"/>
        <v>0</v>
      </c>
      <c r="AJ44" s="692">
        <f t="shared" si="12"/>
        <v>0</v>
      </c>
      <c r="AL44" s="38">
        <f t="shared" si="13"/>
        <v>842.96</v>
      </c>
      <c r="AM44" s="68" t="s">
        <v>598</v>
      </c>
    </row>
    <row r="45" spans="1:39">
      <c r="A45" s="20"/>
      <c r="B45" s="20" t="s">
        <v>110</v>
      </c>
      <c r="C45" s="667"/>
      <c r="D45" s="68" t="s">
        <v>311</v>
      </c>
      <c r="E45" s="679"/>
      <c r="F45" s="529">
        <f>VLOOKUP(D45,'Sept13 Revenue'!D:V,19,FALSE)</f>
        <v>0</v>
      </c>
      <c r="G45" s="680"/>
      <c r="H45" s="680"/>
      <c r="I45" s="755"/>
      <c r="J45" s="682">
        <f t="shared" si="0"/>
        <v>0</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0</v>
      </c>
      <c r="AF45" s="692">
        <f t="shared" si="9"/>
        <v>0</v>
      </c>
      <c r="AG45" s="38"/>
      <c r="AH45" s="692">
        <f t="shared" si="10"/>
        <v>0</v>
      </c>
      <c r="AI45" s="692">
        <f t="shared" si="11"/>
        <v>0</v>
      </c>
      <c r="AJ45" s="692">
        <f t="shared" si="12"/>
        <v>0</v>
      </c>
      <c r="AL45" s="38">
        <f t="shared" si="13"/>
        <v>0</v>
      </c>
      <c r="AM45" s="68" t="s">
        <v>311</v>
      </c>
    </row>
    <row r="46" spans="1:39">
      <c r="A46" s="20"/>
      <c r="B46" s="20" t="s">
        <v>110</v>
      </c>
      <c r="C46" s="667"/>
      <c r="D46" s="68" t="s">
        <v>451</v>
      </c>
      <c r="E46" s="679"/>
      <c r="F46" s="529">
        <f>VLOOKUP(D46,'Sept13 Revenue'!D:V,19,FALSE)</f>
        <v>-100000</v>
      </c>
      <c r="G46" s="680"/>
      <c r="H46" s="680"/>
      <c r="I46" s="755"/>
      <c r="J46" s="682">
        <f t="shared" si="0"/>
        <v>-100000</v>
      </c>
      <c r="K46" s="683"/>
      <c r="L46" s="684"/>
      <c r="M46" s="753">
        <v>330000</v>
      </c>
      <c r="N46" s="683">
        <v>0</v>
      </c>
      <c r="O46" s="686"/>
      <c r="P46" s="683">
        <v>0</v>
      </c>
      <c r="Q46" s="687">
        <f t="shared" si="1"/>
        <v>330000</v>
      </c>
      <c r="R46" s="687"/>
      <c r="S46" s="687"/>
      <c r="T46" s="688">
        <v>0</v>
      </c>
      <c r="U46" s="693"/>
      <c r="V46" s="690">
        <f t="shared" si="2"/>
        <v>-330000</v>
      </c>
      <c r="W46" s="683"/>
      <c r="X46" s="474">
        <f t="shared" si="3"/>
        <v>330000</v>
      </c>
      <c r="Y46" s="474">
        <f t="shared" si="4"/>
        <v>0</v>
      </c>
      <c r="Z46" s="475">
        <f t="shared" si="5"/>
        <v>0</v>
      </c>
      <c r="AA46" s="475">
        <v>0</v>
      </c>
      <c r="AB46" s="476">
        <v>0</v>
      </c>
      <c r="AC46" s="38">
        <f t="shared" si="6"/>
        <v>0</v>
      </c>
      <c r="AD46" s="692">
        <f t="shared" si="7"/>
        <v>-100000</v>
      </c>
      <c r="AE46" s="692">
        <f t="shared" si="8"/>
        <v>0</v>
      </c>
      <c r="AF46" s="692">
        <f t="shared" si="9"/>
        <v>0</v>
      </c>
      <c r="AG46" s="38"/>
      <c r="AH46" s="692">
        <f t="shared" si="10"/>
        <v>330000</v>
      </c>
      <c r="AI46" s="692">
        <f t="shared" si="11"/>
        <v>0</v>
      </c>
      <c r="AJ46" s="692">
        <f t="shared" si="12"/>
        <v>0</v>
      </c>
      <c r="AL46" s="38">
        <f t="shared" si="13"/>
        <v>230000</v>
      </c>
      <c r="AM46" s="68" t="s">
        <v>451</v>
      </c>
    </row>
    <row r="47" spans="1:39">
      <c r="A47" s="20"/>
      <c r="B47" s="20" t="s">
        <v>109</v>
      </c>
      <c r="C47" s="667"/>
      <c r="D47" s="68" t="s">
        <v>469</v>
      </c>
      <c r="E47" s="679"/>
      <c r="F47" s="529">
        <f>VLOOKUP(D47,'Sept13 Revenue'!D:V,19,FALSE)</f>
        <v>0</v>
      </c>
      <c r="G47" s="680"/>
      <c r="H47" s="680"/>
      <c r="I47" s="770">
        <v>5429.24</v>
      </c>
      <c r="J47" s="682">
        <f t="shared" si="0"/>
        <v>5429.24</v>
      </c>
      <c r="K47" s="683"/>
      <c r="L47" s="684"/>
      <c r="M47" s="753"/>
      <c r="N47" s="683">
        <v>0</v>
      </c>
      <c r="O47" s="686"/>
      <c r="P47" s="683">
        <v>0</v>
      </c>
      <c r="Q47" s="687">
        <f t="shared" si="1"/>
        <v>0</v>
      </c>
      <c r="R47" s="687"/>
      <c r="S47" s="687"/>
      <c r="T47" s="688">
        <v>0</v>
      </c>
      <c r="U47" s="693"/>
      <c r="V47" s="690">
        <f t="shared" si="2"/>
        <v>0</v>
      </c>
      <c r="W47" s="683"/>
      <c r="X47" s="474">
        <f t="shared" si="3"/>
        <v>0</v>
      </c>
      <c r="Y47" s="474">
        <f t="shared" si="4"/>
        <v>0</v>
      </c>
      <c r="Z47" s="475">
        <f t="shared" si="5"/>
        <v>0</v>
      </c>
      <c r="AA47" s="475">
        <v>0</v>
      </c>
      <c r="AB47" s="476">
        <v>0</v>
      </c>
      <c r="AC47" s="38">
        <f t="shared" si="6"/>
        <v>0</v>
      </c>
      <c r="AD47" s="692">
        <f t="shared" si="7"/>
        <v>0</v>
      </c>
      <c r="AE47" s="692">
        <f t="shared" si="8"/>
        <v>5429.24</v>
      </c>
      <c r="AF47" s="692">
        <f t="shared" si="9"/>
        <v>0</v>
      </c>
      <c r="AG47" s="38"/>
      <c r="AH47" s="692">
        <f t="shared" si="10"/>
        <v>0</v>
      </c>
      <c r="AI47" s="692">
        <f t="shared" si="11"/>
        <v>0</v>
      </c>
      <c r="AJ47" s="692">
        <f t="shared" si="12"/>
        <v>0</v>
      </c>
      <c r="AL47" s="38">
        <f t="shared" si="13"/>
        <v>5429.24</v>
      </c>
      <c r="AM47" s="68" t="s">
        <v>469</v>
      </c>
    </row>
    <row r="48" spans="1:39">
      <c r="A48" s="20"/>
      <c r="B48" s="20" t="s">
        <v>110</v>
      </c>
      <c r="C48" s="667" t="s">
        <v>530</v>
      </c>
      <c r="D48" s="68" t="s">
        <v>69</v>
      </c>
      <c r="E48" s="679"/>
      <c r="F48" s="529">
        <f>VLOOKUP(D48,'Sept13 Revenue'!D:V,19,FALSE)</f>
        <v>1667.48</v>
      </c>
      <c r="G48" s="680"/>
      <c r="H48" s="680"/>
      <c r="I48" s="755"/>
      <c r="J48" s="682">
        <f t="shared" si="0"/>
        <v>1667.48</v>
      </c>
      <c r="K48" s="683"/>
      <c r="L48" s="684"/>
      <c r="M48" s="753"/>
      <c r="N48" s="683">
        <v>0</v>
      </c>
      <c r="O48" s="686"/>
      <c r="P48" s="683">
        <v>0</v>
      </c>
      <c r="Q48" s="687">
        <f t="shared" si="1"/>
        <v>0</v>
      </c>
      <c r="R48" s="687"/>
      <c r="S48" s="687"/>
      <c r="T48" s="688">
        <v>2040.88</v>
      </c>
      <c r="U48" s="693"/>
      <c r="V48" s="690">
        <f t="shared" si="2"/>
        <v>2040.88</v>
      </c>
      <c r="W48" s="683"/>
      <c r="X48" s="474">
        <f t="shared" si="3"/>
        <v>0</v>
      </c>
      <c r="Y48" s="474">
        <f t="shared" si="4"/>
        <v>0</v>
      </c>
      <c r="Z48" s="475">
        <f t="shared" si="5"/>
        <v>0</v>
      </c>
      <c r="AA48" s="475">
        <v>0</v>
      </c>
      <c r="AB48" s="476">
        <v>0</v>
      </c>
      <c r="AC48" s="38">
        <f t="shared" si="6"/>
        <v>0</v>
      </c>
      <c r="AD48" s="692">
        <f t="shared" si="7"/>
        <v>1667.48</v>
      </c>
      <c r="AE48" s="692">
        <f t="shared" si="8"/>
        <v>0</v>
      </c>
      <c r="AF48" s="692">
        <f t="shared" si="9"/>
        <v>0</v>
      </c>
      <c r="AG48" s="38"/>
      <c r="AH48" s="692">
        <f t="shared" si="10"/>
        <v>0</v>
      </c>
      <c r="AI48" s="692">
        <f t="shared" si="11"/>
        <v>0</v>
      </c>
      <c r="AJ48" s="692">
        <f t="shared" si="12"/>
        <v>0</v>
      </c>
      <c r="AL48" s="38">
        <f t="shared" si="13"/>
        <v>1667.48</v>
      </c>
      <c r="AM48" s="68" t="s">
        <v>69</v>
      </c>
    </row>
    <row r="49" spans="1:39" hidden="1">
      <c r="A49" s="20"/>
      <c r="B49" s="20" t="s">
        <v>110</v>
      </c>
      <c r="C49" s="667" t="s">
        <v>531</v>
      </c>
      <c r="D49" s="68" t="s">
        <v>237</v>
      </c>
      <c r="E49" s="679"/>
      <c r="F49" s="529">
        <f>VLOOKUP(D49,'Sept13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237</v>
      </c>
    </row>
    <row r="50" spans="1:39">
      <c r="A50" s="20" t="s">
        <v>211</v>
      </c>
      <c r="B50" s="20" t="s">
        <v>110</v>
      </c>
      <c r="C50" s="667" t="s">
        <v>532</v>
      </c>
      <c r="D50" s="68" t="s">
        <v>7</v>
      </c>
      <c r="E50" s="679"/>
      <c r="F50" s="529">
        <f>VLOOKUP(D50,'Sept13 Revenue'!D:V,19,FALSE)</f>
        <v>-5837.1100000000006</v>
      </c>
      <c r="G50" s="680"/>
      <c r="H50" s="680"/>
      <c r="I50" s="755"/>
      <c r="J50" s="682">
        <f t="shared" si="0"/>
        <v>-5837.1100000000006</v>
      </c>
      <c r="K50" s="683"/>
      <c r="L50" s="684"/>
      <c r="M50" s="753">
        <v>30000</v>
      </c>
      <c r="N50" s="683">
        <v>0</v>
      </c>
      <c r="O50" s="686"/>
      <c r="P50" s="683">
        <v>0</v>
      </c>
      <c r="Q50" s="687">
        <f t="shared" si="1"/>
        <v>30000</v>
      </c>
      <c r="R50" s="687"/>
      <c r="S50" s="687"/>
      <c r="T50" s="688">
        <v>0</v>
      </c>
      <c r="U50" s="693"/>
      <c r="V50" s="690">
        <f t="shared" si="2"/>
        <v>-30000</v>
      </c>
      <c r="W50" s="697"/>
      <c r="X50" s="474">
        <f t="shared" si="3"/>
        <v>30000</v>
      </c>
      <c r="Y50" s="474">
        <f t="shared" si="4"/>
        <v>0</v>
      </c>
      <c r="Z50" s="475">
        <f t="shared" si="5"/>
        <v>0</v>
      </c>
      <c r="AA50" s="475">
        <v>0</v>
      </c>
      <c r="AB50" s="476">
        <v>0</v>
      </c>
      <c r="AC50" s="38">
        <f t="shared" si="6"/>
        <v>0</v>
      </c>
      <c r="AD50" s="692">
        <f t="shared" si="7"/>
        <v>-5837.1100000000006</v>
      </c>
      <c r="AE50" s="692">
        <f t="shared" si="8"/>
        <v>0</v>
      </c>
      <c r="AF50" s="692">
        <f t="shared" si="9"/>
        <v>0</v>
      </c>
      <c r="AG50" s="38"/>
      <c r="AH50" s="692">
        <f t="shared" si="10"/>
        <v>30000</v>
      </c>
      <c r="AI50" s="692">
        <f t="shared" si="11"/>
        <v>0</v>
      </c>
      <c r="AJ50" s="692">
        <f t="shared" si="12"/>
        <v>0</v>
      </c>
      <c r="AL50" s="38">
        <f t="shared" si="13"/>
        <v>24162.89</v>
      </c>
      <c r="AM50" s="68" t="s">
        <v>7</v>
      </c>
    </row>
    <row r="51" spans="1:39" s="232" customFormat="1" hidden="1">
      <c r="A51" s="283" t="s">
        <v>97</v>
      </c>
      <c r="B51" s="283" t="s">
        <v>109</v>
      </c>
      <c r="C51" s="667" t="s">
        <v>533</v>
      </c>
      <c r="D51" s="123" t="s">
        <v>415</v>
      </c>
      <c r="E51" s="679"/>
      <c r="F51" s="529">
        <f>VLOOKUP(D51,'Sept13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c r="AM51" s="123" t="s">
        <v>415</v>
      </c>
    </row>
    <row r="52" spans="1:39" s="232" customFormat="1" hidden="1">
      <c r="A52" s="283"/>
      <c r="B52" s="283" t="s">
        <v>109</v>
      </c>
      <c r="C52" s="667" t="s">
        <v>533</v>
      </c>
      <c r="D52" s="123" t="s">
        <v>416</v>
      </c>
      <c r="E52" s="679"/>
      <c r="F52" s="529">
        <f>VLOOKUP(D52,'Sept13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c r="AM52" s="123" t="s">
        <v>416</v>
      </c>
    </row>
    <row r="53" spans="1:39" s="232" customFormat="1" hidden="1">
      <c r="A53" s="283"/>
      <c r="B53" s="283" t="s">
        <v>109</v>
      </c>
      <c r="C53" s="667" t="s">
        <v>533</v>
      </c>
      <c r="D53" s="123" t="s">
        <v>417</v>
      </c>
      <c r="E53" s="679"/>
      <c r="F53" s="529">
        <f>VLOOKUP(D53,'Sept13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417</v>
      </c>
    </row>
    <row r="54" spans="1:39" s="232" customFormat="1" hidden="1">
      <c r="A54" s="283"/>
      <c r="B54" s="283" t="s">
        <v>109</v>
      </c>
      <c r="C54" s="667" t="s">
        <v>533</v>
      </c>
      <c r="D54" s="123" t="s">
        <v>418</v>
      </c>
      <c r="E54" s="679"/>
      <c r="F54" s="529">
        <f>VLOOKUP(D54,'Sept13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418</v>
      </c>
    </row>
    <row r="55" spans="1:39">
      <c r="A55" s="20"/>
      <c r="B55" s="20" t="s">
        <v>110</v>
      </c>
      <c r="C55" s="667"/>
      <c r="D55" s="68" t="s">
        <v>992</v>
      </c>
      <c r="E55" s="679"/>
      <c r="F55" s="529">
        <f>VLOOKUP(D55,'Sept13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ref="AL55:AL56" si="27">SUM(AD55:AJ55)</f>
        <v>0</v>
      </c>
      <c r="AM55" s="68" t="s">
        <v>992</v>
      </c>
    </row>
    <row r="56" spans="1:39" s="232" customFormat="1">
      <c r="A56" s="283"/>
      <c r="B56" s="283" t="s">
        <v>110</v>
      </c>
      <c r="C56" s="676" t="s">
        <v>986</v>
      </c>
      <c r="D56" s="68" t="s">
        <v>987</v>
      </c>
      <c r="E56" s="679"/>
      <c r="F56" s="529">
        <f>VLOOKUP(D56,'Sept13 Revenue'!D:V,19,FALSE)</f>
        <v>0</v>
      </c>
      <c r="G56" s="680"/>
      <c r="H56" s="680"/>
      <c r="I56" s="755"/>
      <c r="J56" s="682">
        <f t="shared" ref="J56" si="28">SUM(E56:I56)</f>
        <v>0</v>
      </c>
      <c r="K56" s="683"/>
      <c r="L56" s="684"/>
      <c r="M56" s="753"/>
      <c r="N56" s="683">
        <v>0</v>
      </c>
      <c r="O56" s="686"/>
      <c r="P56" s="683">
        <v>0</v>
      </c>
      <c r="Q56" s="687">
        <f t="shared" si="1"/>
        <v>0</v>
      </c>
      <c r="R56" s="687"/>
      <c r="S56" s="687"/>
      <c r="T56" s="688">
        <v>0</v>
      </c>
      <c r="U56" s="693"/>
      <c r="V56" s="690">
        <f t="shared" si="2"/>
        <v>0</v>
      </c>
      <c r="W56" s="683"/>
      <c r="X56" s="474">
        <f t="shared" si="3"/>
        <v>0</v>
      </c>
      <c r="Y56" s="474">
        <f t="shared" si="4"/>
        <v>0</v>
      </c>
      <c r="Z56" s="475">
        <f t="shared" si="5"/>
        <v>0</v>
      </c>
      <c r="AA56" s="475">
        <v>0</v>
      </c>
      <c r="AB56" s="476">
        <v>0</v>
      </c>
      <c r="AC56" s="38">
        <f t="shared" si="6"/>
        <v>0</v>
      </c>
      <c r="AD56" s="692">
        <f t="shared" si="7"/>
        <v>0</v>
      </c>
      <c r="AE56" s="692">
        <f t="shared" si="8"/>
        <v>0</v>
      </c>
      <c r="AF56" s="692">
        <f t="shared" si="9"/>
        <v>0</v>
      </c>
      <c r="AG56" s="38"/>
      <c r="AH56" s="692">
        <f t="shared" si="10"/>
        <v>0</v>
      </c>
      <c r="AI56" s="692">
        <f t="shared" si="11"/>
        <v>0</v>
      </c>
      <c r="AJ56" s="692">
        <f t="shared" si="12"/>
        <v>0</v>
      </c>
      <c r="AK56" s="16"/>
      <c r="AL56" s="38">
        <f t="shared" si="27"/>
        <v>0</v>
      </c>
      <c r="AM56" s="68" t="s">
        <v>987</v>
      </c>
    </row>
    <row r="57" spans="1:39">
      <c r="A57" s="20" t="s">
        <v>211</v>
      </c>
      <c r="B57" s="20" t="s">
        <v>109</v>
      </c>
      <c r="C57" s="667" t="s">
        <v>534</v>
      </c>
      <c r="D57" s="68" t="s">
        <v>9</v>
      </c>
      <c r="E57" s="679"/>
      <c r="F57" s="529">
        <f>VLOOKUP(D57,'Sept13 Revenue'!D:V,19,FALSE)</f>
        <v>0</v>
      </c>
      <c r="G57" s="680"/>
      <c r="H57" s="680"/>
      <c r="I57" s="755"/>
      <c r="J57" s="682">
        <f>SUM(E57:I57)</f>
        <v>0</v>
      </c>
      <c r="K57" s="683"/>
      <c r="L57" s="684"/>
      <c r="M57" s="753"/>
      <c r="N57" s="683">
        <v>0</v>
      </c>
      <c r="O57" s="686"/>
      <c r="P57" s="683">
        <v>0</v>
      </c>
      <c r="Q57" s="687">
        <f t="shared" si="1"/>
        <v>0</v>
      </c>
      <c r="R57" s="687"/>
      <c r="S57" s="687"/>
      <c r="T57" s="688">
        <v>0</v>
      </c>
      <c r="U57" s="693"/>
      <c r="V57" s="690">
        <f t="shared" si="2"/>
        <v>0</v>
      </c>
      <c r="W57" s="697"/>
      <c r="X57" s="474">
        <f t="shared" si="3"/>
        <v>0</v>
      </c>
      <c r="Y57" s="474">
        <f t="shared" si="4"/>
        <v>0</v>
      </c>
      <c r="Z57" s="475">
        <f t="shared" si="5"/>
        <v>0</v>
      </c>
      <c r="AA57" s="475">
        <v>0</v>
      </c>
      <c r="AB57" s="476">
        <v>0</v>
      </c>
      <c r="AC57" s="38">
        <f t="shared" si="6"/>
        <v>0</v>
      </c>
      <c r="AD57" s="692">
        <f t="shared" si="7"/>
        <v>0</v>
      </c>
      <c r="AE57" s="692">
        <f t="shared" si="8"/>
        <v>0</v>
      </c>
      <c r="AF57" s="692">
        <f t="shared" si="9"/>
        <v>0</v>
      </c>
      <c r="AG57" s="38"/>
      <c r="AH57" s="692">
        <f t="shared" si="10"/>
        <v>0</v>
      </c>
      <c r="AI57" s="692">
        <f t="shared" si="11"/>
        <v>0</v>
      </c>
      <c r="AJ57" s="692">
        <f t="shared" si="12"/>
        <v>0</v>
      </c>
      <c r="AL57" s="38">
        <f t="shared" si="13"/>
        <v>0</v>
      </c>
      <c r="AM57" s="68" t="s">
        <v>9</v>
      </c>
    </row>
    <row r="58" spans="1:39">
      <c r="A58" s="20" t="s">
        <v>211</v>
      </c>
      <c r="B58" s="20" t="s">
        <v>114</v>
      </c>
      <c r="C58" s="667"/>
      <c r="D58" s="68" t="s">
        <v>487</v>
      </c>
      <c r="E58" s="679"/>
      <c r="F58" s="529">
        <f>VLOOKUP(D58,'Sept13 Revenue'!D:V,19,FALSE)</f>
        <v>0</v>
      </c>
      <c r="G58" s="680"/>
      <c r="H58" s="680"/>
      <c r="I58" s="755"/>
      <c r="J58" s="682">
        <f t="shared" si="0"/>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c r="AM58" s="68" t="s">
        <v>487</v>
      </c>
    </row>
    <row r="59" spans="1:39">
      <c r="A59" s="20"/>
      <c r="B59" s="20" t="s">
        <v>109</v>
      </c>
      <c r="C59" s="676" t="s">
        <v>906</v>
      </c>
      <c r="D59" s="68" t="s">
        <v>830</v>
      </c>
      <c r="E59" s="679"/>
      <c r="F59" s="529">
        <f>VLOOKUP(D59,'Sept13 Revenue'!D:V,19,FALSE)</f>
        <v>12412.280000000028</v>
      </c>
      <c r="G59" s="680"/>
      <c r="H59" s="680"/>
      <c r="I59" s="770">
        <v>599773.47</v>
      </c>
      <c r="J59" s="682">
        <f t="shared" si="0"/>
        <v>612185.75</v>
      </c>
      <c r="K59" s="683"/>
      <c r="L59" s="684"/>
      <c r="M59" s="753"/>
      <c r="N59" s="683">
        <v>0</v>
      </c>
      <c r="O59" s="686"/>
      <c r="P59" s="683">
        <v>0</v>
      </c>
      <c r="Q59" s="687">
        <f t="shared" si="1"/>
        <v>0</v>
      </c>
      <c r="R59" s="687"/>
      <c r="S59" s="687"/>
      <c r="T59" s="688">
        <v>0</v>
      </c>
      <c r="U59" s="693"/>
      <c r="V59" s="690">
        <f t="shared" si="2"/>
        <v>0</v>
      </c>
      <c r="W59" s="683"/>
      <c r="X59" s="474">
        <f t="shared" si="3"/>
        <v>0</v>
      </c>
      <c r="Y59" s="474">
        <f t="shared" si="4"/>
        <v>0</v>
      </c>
      <c r="Z59" s="475">
        <f t="shared" si="5"/>
        <v>0</v>
      </c>
      <c r="AA59" s="475">
        <v>0</v>
      </c>
      <c r="AB59" s="476">
        <v>0</v>
      </c>
      <c r="AC59" s="38">
        <f t="shared" si="6"/>
        <v>0</v>
      </c>
      <c r="AD59" s="692">
        <f t="shared" si="7"/>
        <v>0</v>
      </c>
      <c r="AE59" s="692">
        <f t="shared" si="8"/>
        <v>612185.75</v>
      </c>
      <c r="AF59" s="692">
        <f t="shared" si="9"/>
        <v>0</v>
      </c>
      <c r="AG59" s="38"/>
      <c r="AH59" s="692">
        <f t="shared" si="10"/>
        <v>0</v>
      </c>
      <c r="AI59" s="692">
        <f t="shared" si="11"/>
        <v>0</v>
      </c>
      <c r="AJ59" s="692">
        <f t="shared" si="12"/>
        <v>0</v>
      </c>
      <c r="AL59" s="38">
        <f t="shared" si="13"/>
        <v>612185.75</v>
      </c>
      <c r="AM59" s="68" t="s">
        <v>830</v>
      </c>
    </row>
    <row r="60" spans="1:39">
      <c r="A60" s="20"/>
      <c r="B60" s="20" t="s">
        <v>109</v>
      </c>
      <c r="C60" s="667"/>
      <c r="D60" s="68" t="s">
        <v>374</v>
      </c>
      <c r="E60" s="679"/>
      <c r="F60" s="529">
        <f>VLOOKUP(D60,'Sept13 Revenue'!D:V,19,FALSE)</f>
        <v>-15000</v>
      </c>
      <c r="G60" s="680"/>
      <c r="H60" s="680"/>
      <c r="I60" s="755"/>
      <c r="J60" s="682">
        <f t="shared" si="0"/>
        <v>-15000</v>
      </c>
      <c r="K60" s="683"/>
      <c r="L60" s="684"/>
      <c r="M60" s="753">
        <v>20000</v>
      </c>
      <c r="N60" s="683">
        <v>0</v>
      </c>
      <c r="O60" s="686"/>
      <c r="P60" s="683">
        <v>0</v>
      </c>
      <c r="Q60" s="687">
        <f t="shared" si="1"/>
        <v>20000</v>
      </c>
      <c r="R60" s="687"/>
      <c r="S60" s="687"/>
      <c r="T60" s="688">
        <v>0</v>
      </c>
      <c r="U60" s="693"/>
      <c r="V60" s="690">
        <f t="shared" si="2"/>
        <v>-20000</v>
      </c>
      <c r="W60" s="683"/>
      <c r="X60" s="474">
        <f t="shared" si="3"/>
        <v>0</v>
      </c>
      <c r="Y60" s="474">
        <f t="shared" si="4"/>
        <v>20000</v>
      </c>
      <c r="Z60" s="475">
        <f t="shared" si="5"/>
        <v>0</v>
      </c>
      <c r="AA60" s="475">
        <v>0</v>
      </c>
      <c r="AB60" s="476">
        <v>0</v>
      </c>
      <c r="AC60" s="38">
        <f t="shared" si="6"/>
        <v>0</v>
      </c>
      <c r="AD60" s="692">
        <f t="shared" si="7"/>
        <v>0</v>
      </c>
      <c r="AE60" s="692">
        <f t="shared" si="8"/>
        <v>-15000</v>
      </c>
      <c r="AF60" s="692">
        <f t="shared" si="9"/>
        <v>0</v>
      </c>
      <c r="AG60" s="38"/>
      <c r="AH60" s="692">
        <f t="shared" si="10"/>
        <v>0</v>
      </c>
      <c r="AI60" s="692">
        <f t="shared" si="11"/>
        <v>20000</v>
      </c>
      <c r="AJ60" s="692">
        <f t="shared" si="12"/>
        <v>0</v>
      </c>
      <c r="AL60" s="38">
        <f t="shared" si="13"/>
        <v>5000</v>
      </c>
      <c r="AM60" s="68" t="s">
        <v>374</v>
      </c>
    </row>
    <row r="61" spans="1:39">
      <c r="A61" s="20"/>
      <c r="B61" s="20" t="s">
        <v>114</v>
      </c>
      <c r="C61" s="667"/>
      <c r="D61" s="68" t="s">
        <v>502</v>
      </c>
      <c r="E61" s="679"/>
      <c r="F61" s="529">
        <f>VLOOKUP(D61,'Sept13 Revenue'!D:V,19,FALSE)</f>
        <v>0</v>
      </c>
      <c r="G61" s="680"/>
      <c r="H61" s="680"/>
      <c r="I61" s="755"/>
      <c r="J61" s="682">
        <f t="shared" si="0"/>
        <v>0</v>
      </c>
      <c r="K61" s="683"/>
      <c r="L61" s="684"/>
      <c r="M61" s="753"/>
      <c r="N61" s="683">
        <v>0</v>
      </c>
      <c r="O61" s="686"/>
      <c r="P61" s="683">
        <v>0</v>
      </c>
      <c r="Q61" s="687">
        <f t="shared" si="1"/>
        <v>0</v>
      </c>
      <c r="R61" s="687"/>
      <c r="S61" s="687"/>
      <c r="T61" s="688">
        <v>0</v>
      </c>
      <c r="U61" s="693"/>
      <c r="V61" s="690">
        <f t="shared" si="2"/>
        <v>0</v>
      </c>
      <c r="W61" s="683"/>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c r="AM61" s="68" t="s">
        <v>502</v>
      </c>
    </row>
    <row r="62" spans="1:39">
      <c r="A62" s="21"/>
      <c r="B62" s="21" t="s">
        <v>110</v>
      </c>
      <c r="C62" s="666" t="s">
        <v>535</v>
      </c>
      <c r="D62" s="123" t="s">
        <v>517</v>
      </c>
      <c r="E62" s="679"/>
      <c r="F62" s="529">
        <f>VLOOKUP(D62,'Sept13 Revenue'!D:V,19,FALSE)</f>
        <v>27205.590000000026</v>
      </c>
      <c r="G62" s="680"/>
      <c r="H62" s="680"/>
      <c r="I62" s="755"/>
      <c r="J62" s="682">
        <f t="shared" si="0"/>
        <v>27205.590000000026</v>
      </c>
      <c r="K62" s="683"/>
      <c r="L62" s="684"/>
      <c r="M62" s="753">
        <v>350000</v>
      </c>
      <c r="N62" s="683">
        <v>0</v>
      </c>
      <c r="O62" s="686"/>
      <c r="P62" s="683">
        <v>0</v>
      </c>
      <c r="Q62" s="687">
        <f t="shared" si="1"/>
        <v>350000</v>
      </c>
      <c r="R62" s="687"/>
      <c r="S62" s="687"/>
      <c r="T62" s="688">
        <v>385443.21</v>
      </c>
      <c r="U62" s="693"/>
      <c r="V62" s="690">
        <f t="shared" si="2"/>
        <v>35443.210000000021</v>
      </c>
      <c r="W62" s="697"/>
      <c r="X62" s="474">
        <f t="shared" si="3"/>
        <v>350000</v>
      </c>
      <c r="Y62" s="474">
        <f t="shared" si="4"/>
        <v>0</v>
      </c>
      <c r="Z62" s="475">
        <f t="shared" si="5"/>
        <v>0</v>
      </c>
      <c r="AA62" s="475">
        <v>0</v>
      </c>
      <c r="AB62" s="476">
        <v>0</v>
      </c>
      <c r="AC62" s="38">
        <f t="shared" si="6"/>
        <v>0</v>
      </c>
      <c r="AD62" s="692">
        <f t="shared" si="7"/>
        <v>27205.590000000026</v>
      </c>
      <c r="AE62" s="692">
        <f t="shared" si="8"/>
        <v>0</v>
      </c>
      <c r="AF62" s="692">
        <f t="shared" si="9"/>
        <v>0</v>
      </c>
      <c r="AG62" s="38"/>
      <c r="AH62" s="692">
        <f t="shared" si="10"/>
        <v>350000</v>
      </c>
      <c r="AI62" s="692">
        <f t="shared" si="11"/>
        <v>0</v>
      </c>
      <c r="AJ62" s="692">
        <f t="shared" si="12"/>
        <v>0</v>
      </c>
      <c r="AL62" s="38">
        <f t="shared" si="13"/>
        <v>377205.59</v>
      </c>
      <c r="AM62" s="123" t="s">
        <v>517</v>
      </c>
    </row>
    <row r="63" spans="1:39">
      <c r="A63" s="20"/>
      <c r="B63" s="20" t="s">
        <v>110</v>
      </c>
      <c r="C63" s="667" t="s">
        <v>536</v>
      </c>
      <c r="D63" s="68" t="s">
        <v>450</v>
      </c>
      <c r="E63" s="679"/>
      <c r="F63" s="529">
        <f>VLOOKUP(D63,'Sept13 Revenue'!D:V,19,FALSE)</f>
        <v>0</v>
      </c>
      <c r="G63" s="680"/>
      <c r="H63" s="680"/>
      <c r="I63" s="755"/>
      <c r="J63" s="682">
        <f t="shared" si="0"/>
        <v>0</v>
      </c>
      <c r="K63" s="683"/>
      <c r="L63" s="684"/>
      <c r="M63" s="753"/>
      <c r="N63" s="683">
        <v>0</v>
      </c>
      <c r="O63" s="686"/>
      <c r="P63" s="683">
        <v>0</v>
      </c>
      <c r="Q63" s="687">
        <f t="shared" si="1"/>
        <v>0</v>
      </c>
      <c r="R63" s="687"/>
      <c r="S63" s="687"/>
      <c r="T63" s="688">
        <v>0</v>
      </c>
      <c r="U63" s="693"/>
      <c r="V63" s="690">
        <f t="shared" si="2"/>
        <v>0</v>
      </c>
      <c r="W63" s="683"/>
      <c r="X63" s="474">
        <f t="shared" si="3"/>
        <v>0</v>
      </c>
      <c r="Y63" s="474">
        <f t="shared" si="4"/>
        <v>0</v>
      </c>
      <c r="Z63" s="475">
        <f t="shared" si="5"/>
        <v>0</v>
      </c>
      <c r="AA63" s="475">
        <v>0</v>
      </c>
      <c r="AB63" s="476">
        <v>0</v>
      </c>
      <c r="AC63" s="38">
        <f t="shared" si="6"/>
        <v>0</v>
      </c>
      <c r="AD63" s="692">
        <f t="shared" si="7"/>
        <v>0</v>
      </c>
      <c r="AE63" s="692">
        <f t="shared" si="8"/>
        <v>0</v>
      </c>
      <c r="AF63" s="692">
        <f t="shared" si="9"/>
        <v>0</v>
      </c>
      <c r="AG63" s="38"/>
      <c r="AH63" s="692">
        <f t="shared" si="10"/>
        <v>0</v>
      </c>
      <c r="AI63" s="692">
        <f t="shared" si="11"/>
        <v>0</v>
      </c>
      <c r="AJ63" s="692">
        <f t="shared" si="12"/>
        <v>0</v>
      </c>
      <c r="AL63" s="38">
        <f t="shared" si="13"/>
        <v>0</v>
      </c>
      <c r="AM63" s="68" t="s">
        <v>450</v>
      </c>
    </row>
    <row r="64" spans="1:39">
      <c r="A64" s="20"/>
      <c r="B64" s="20" t="s">
        <v>110</v>
      </c>
      <c r="C64" s="676"/>
      <c r="D64" s="68" t="s">
        <v>991</v>
      </c>
      <c r="E64" s="679"/>
      <c r="F64" s="529">
        <f>VLOOKUP(D64,'Sept13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c r="AM64" s="68" t="s">
        <v>991</v>
      </c>
    </row>
    <row r="65" spans="1:39">
      <c r="A65" s="20"/>
      <c r="B65" s="20" t="s">
        <v>110</v>
      </c>
      <c r="C65" s="676" t="s">
        <v>975</v>
      </c>
      <c r="D65" s="68" t="s">
        <v>976</v>
      </c>
      <c r="E65" s="679"/>
      <c r="F65" s="529">
        <f>VLOOKUP(D65,'Sept13 Revenue'!D:V,19,FALSE)</f>
        <v>0</v>
      </c>
      <c r="G65" s="680"/>
      <c r="H65" s="680"/>
      <c r="I65" s="755"/>
      <c r="J65" s="682">
        <f t="shared" si="0"/>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c r="AM65" s="68" t="s">
        <v>976</v>
      </c>
    </row>
    <row r="66" spans="1:39">
      <c r="A66" s="21" t="s">
        <v>109</v>
      </c>
      <c r="B66" s="21" t="s">
        <v>110</v>
      </c>
      <c r="C66" s="666"/>
      <c r="D66" s="68" t="s">
        <v>438</v>
      </c>
      <c r="E66" s="679"/>
      <c r="F66" s="529">
        <f>VLOOKUP(D66,'Sept13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97"/>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c r="AM66" s="68" t="s">
        <v>438</v>
      </c>
    </row>
    <row r="67" spans="1:39">
      <c r="A67" s="21"/>
      <c r="B67" s="21" t="s">
        <v>110</v>
      </c>
      <c r="C67" s="666"/>
      <c r="D67" s="68" t="s">
        <v>628</v>
      </c>
      <c r="E67" s="679"/>
      <c r="F67" s="529">
        <f>VLOOKUP(D67,'Sept13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628</v>
      </c>
    </row>
    <row r="68" spans="1:39">
      <c r="A68" s="21"/>
      <c r="B68" s="21" t="s">
        <v>110</v>
      </c>
      <c r="C68" s="666"/>
      <c r="D68" s="68" t="s">
        <v>956</v>
      </c>
      <c r="E68" s="679">
        <v>596.17999999999995</v>
      </c>
      <c r="F68" s="529">
        <f>VLOOKUP(D68,'Sept13 Revenue'!D:V,19,FALSE)</f>
        <v>0</v>
      </c>
      <c r="G68" s="680"/>
      <c r="H68" s="680"/>
      <c r="I68" s="755"/>
      <c r="J68" s="682">
        <f t="shared" si="0"/>
        <v>596.17999999999995</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596.17999999999995</v>
      </c>
      <c r="AE68" s="692">
        <f t="shared" si="8"/>
        <v>0</v>
      </c>
      <c r="AF68" s="692">
        <f t="shared" si="9"/>
        <v>0</v>
      </c>
      <c r="AG68" s="38"/>
      <c r="AH68" s="692">
        <f t="shared" si="10"/>
        <v>0</v>
      </c>
      <c r="AI68" s="692">
        <f t="shared" si="11"/>
        <v>0</v>
      </c>
      <c r="AJ68" s="692">
        <f t="shared" si="12"/>
        <v>0</v>
      </c>
      <c r="AL68" s="38">
        <f t="shared" si="13"/>
        <v>596.17999999999995</v>
      </c>
      <c r="AM68" s="68" t="s">
        <v>956</v>
      </c>
    </row>
    <row r="69" spans="1:39" s="232" customFormat="1">
      <c r="A69" s="283" t="s">
        <v>211</v>
      </c>
      <c r="B69" s="283" t="s">
        <v>110</v>
      </c>
      <c r="C69" s="667" t="s">
        <v>538</v>
      </c>
      <c r="D69" s="123" t="s">
        <v>170</v>
      </c>
      <c r="E69" s="679"/>
      <c r="F69" s="529">
        <f>VLOOKUP(D69,'Sept13 Revenue'!D:V,19,FALSE)</f>
        <v>-47309.300000000047</v>
      </c>
      <c r="G69" s="680"/>
      <c r="H69" s="680"/>
      <c r="I69" s="755"/>
      <c r="J69" s="682">
        <f t="shared" si="0"/>
        <v>-47309.300000000047</v>
      </c>
      <c r="K69" s="683"/>
      <c r="L69" s="684"/>
      <c r="M69" s="753">
        <v>200000</v>
      </c>
      <c r="N69" s="683">
        <v>0</v>
      </c>
      <c r="O69" s="686"/>
      <c r="P69" s="683">
        <v>0</v>
      </c>
      <c r="Q69" s="687">
        <f t="shared" si="1"/>
        <v>200000</v>
      </c>
      <c r="R69" s="687"/>
      <c r="S69" s="687"/>
      <c r="T69" s="688">
        <v>0</v>
      </c>
      <c r="U69" s="693"/>
      <c r="V69" s="690">
        <f t="shared" si="2"/>
        <v>-200000</v>
      </c>
      <c r="W69" s="683"/>
      <c r="X69" s="474">
        <f t="shared" si="3"/>
        <v>200000</v>
      </c>
      <c r="Y69" s="474">
        <f t="shared" si="4"/>
        <v>0</v>
      </c>
      <c r="Z69" s="475">
        <f t="shared" si="5"/>
        <v>0</v>
      </c>
      <c r="AA69" s="475">
        <v>0</v>
      </c>
      <c r="AB69" s="476">
        <v>0</v>
      </c>
      <c r="AC69" s="38">
        <f t="shared" si="6"/>
        <v>0</v>
      </c>
      <c r="AD69" s="692">
        <f t="shared" si="7"/>
        <v>-47309.300000000047</v>
      </c>
      <c r="AE69" s="692">
        <f t="shared" si="8"/>
        <v>0</v>
      </c>
      <c r="AF69" s="692">
        <f t="shared" si="9"/>
        <v>0</v>
      </c>
      <c r="AG69" s="38"/>
      <c r="AH69" s="692">
        <f t="shared" si="10"/>
        <v>200000</v>
      </c>
      <c r="AI69" s="692">
        <f t="shared" si="11"/>
        <v>0</v>
      </c>
      <c r="AJ69" s="692">
        <f t="shared" si="12"/>
        <v>0</v>
      </c>
      <c r="AL69" s="38">
        <f t="shared" si="13"/>
        <v>152690.69999999995</v>
      </c>
      <c r="AM69" s="123" t="s">
        <v>170</v>
      </c>
    </row>
    <row r="70" spans="1:39" s="232" customFormat="1">
      <c r="A70" s="283" t="s">
        <v>211</v>
      </c>
      <c r="B70" s="283" t="s">
        <v>110</v>
      </c>
      <c r="C70" s="667" t="s">
        <v>538</v>
      </c>
      <c r="D70" s="123" t="s">
        <v>171</v>
      </c>
      <c r="E70" s="679"/>
      <c r="F70" s="529">
        <f>VLOOKUP(D70,'Sept13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c r="AM70" s="123" t="s">
        <v>171</v>
      </c>
    </row>
    <row r="71" spans="1:39" s="232" customFormat="1" hidden="1">
      <c r="A71" s="283" t="s">
        <v>211</v>
      </c>
      <c r="B71" s="283" t="s">
        <v>110</v>
      </c>
      <c r="C71" s="667" t="s">
        <v>538</v>
      </c>
      <c r="D71" s="123" t="s">
        <v>13</v>
      </c>
      <c r="E71" s="679"/>
      <c r="F71" s="529">
        <f>VLOOKUP(D71,'Sept13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13</v>
      </c>
    </row>
    <row r="72" spans="1:39" s="232" customFormat="1" hidden="1">
      <c r="A72" s="283" t="s">
        <v>211</v>
      </c>
      <c r="B72" s="283" t="s">
        <v>110</v>
      </c>
      <c r="C72" s="667" t="s">
        <v>538</v>
      </c>
      <c r="D72" s="123" t="s">
        <v>172</v>
      </c>
      <c r="E72" s="679"/>
      <c r="F72" s="529">
        <f>VLOOKUP(D72,'Sept13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172</v>
      </c>
    </row>
    <row r="73" spans="1:39" s="232" customFormat="1" hidden="1">
      <c r="A73" s="283" t="s">
        <v>211</v>
      </c>
      <c r="B73" s="283" t="s">
        <v>110</v>
      </c>
      <c r="C73" s="667" t="s">
        <v>538</v>
      </c>
      <c r="D73" s="123" t="s">
        <v>173</v>
      </c>
      <c r="E73" s="679"/>
      <c r="F73" s="529">
        <f>VLOOKUP(D73,'Sept13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173</v>
      </c>
    </row>
    <row r="74" spans="1:39" s="232" customFormat="1" hidden="1">
      <c r="A74" s="283" t="s">
        <v>211</v>
      </c>
      <c r="B74" s="283" t="s">
        <v>110</v>
      </c>
      <c r="C74" s="667" t="s">
        <v>538</v>
      </c>
      <c r="D74" s="123" t="s">
        <v>174</v>
      </c>
      <c r="E74" s="679"/>
      <c r="F74" s="529">
        <f>VLOOKUP(D74,'Sept13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174</v>
      </c>
    </row>
    <row r="75" spans="1:39" s="232" customFormat="1">
      <c r="A75" s="283"/>
      <c r="B75" s="283" t="s">
        <v>109</v>
      </c>
      <c r="C75" s="794"/>
      <c r="D75" s="351" t="s">
        <v>14</v>
      </c>
      <c r="E75" s="679"/>
      <c r="F75" s="529">
        <f>VLOOKUP(D75,'Sept13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351" t="s">
        <v>14</v>
      </c>
    </row>
    <row r="76" spans="1:39" hidden="1">
      <c r="A76" s="20"/>
      <c r="B76" s="20" t="s">
        <v>110</v>
      </c>
      <c r="C76" s="667"/>
      <c r="D76" s="68" t="s">
        <v>15</v>
      </c>
      <c r="E76" s="679"/>
      <c r="F76" s="529">
        <f>VLOOKUP(D76,'Sept13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68" t="s">
        <v>15</v>
      </c>
    </row>
    <row r="77" spans="1:39">
      <c r="A77" s="20"/>
      <c r="B77" s="20" t="s">
        <v>110</v>
      </c>
      <c r="C77" s="667"/>
      <c r="D77" s="68" t="s">
        <v>646</v>
      </c>
      <c r="E77" s="679"/>
      <c r="F77" s="529">
        <f>VLOOKUP(D77,'Sept13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68" t="s">
        <v>646</v>
      </c>
    </row>
    <row r="78" spans="1:39">
      <c r="A78" s="20"/>
      <c r="B78" s="20" t="s">
        <v>110</v>
      </c>
      <c r="C78" s="667"/>
      <c r="D78" s="68" t="s">
        <v>988</v>
      </c>
      <c r="E78" s="679"/>
      <c r="F78" s="529">
        <f>VLOOKUP(D78,'Sept13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ref="AL78" si="29">SUM(AD78:AJ78)</f>
        <v>0</v>
      </c>
      <c r="AM78" s="68" t="s">
        <v>988</v>
      </c>
    </row>
    <row r="79" spans="1:39">
      <c r="A79" s="20" t="s">
        <v>109</v>
      </c>
      <c r="B79" s="20" t="s">
        <v>109</v>
      </c>
      <c r="C79" s="667" t="s">
        <v>539</v>
      </c>
      <c r="D79" s="68" t="s">
        <v>510</v>
      </c>
      <c r="E79" s="679"/>
      <c r="F79" s="529">
        <f>VLOOKUP(D79,'Sept13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c r="AM79" s="68" t="s">
        <v>510</v>
      </c>
    </row>
    <row r="80" spans="1:39">
      <c r="A80" s="20"/>
      <c r="B80" s="20" t="s">
        <v>109</v>
      </c>
      <c r="C80" s="667"/>
      <c r="D80" s="68" t="s">
        <v>16</v>
      </c>
      <c r="E80" s="679"/>
      <c r="F80" s="529">
        <f>VLOOKUP(D80,'Sept13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16</v>
      </c>
    </row>
    <row r="81" spans="1:39">
      <c r="A81" s="20"/>
      <c r="B81" s="20" t="s">
        <v>110</v>
      </c>
      <c r="C81" s="667"/>
      <c r="D81" s="68" t="s">
        <v>597</v>
      </c>
      <c r="E81" s="679"/>
      <c r="F81" s="529">
        <f>VLOOKUP(D81,'Sept13 Revenue'!D:V,19,FALSE)</f>
        <v>-23483.960000000021</v>
      </c>
      <c r="G81" s="680"/>
      <c r="H81" s="680"/>
      <c r="I81" s="755"/>
      <c r="J81" s="682">
        <f t="shared" si="0"/>
        <v>-23483.960000000021</v>
      </c>
      <c r="K81" s="683"/>
      <c r="L81" s="684"/>
      <c r="M81" s="753">
        <v>1175000</v>
      </c>
      <c r="N81" s="683">
        <v>0</v>
      </c>
      <c r="O81" s="686"/>
      <c r="P81" s="683">
        <v>0</v>
      </c>
      <c r="Q81" s="687">
        <f t="shared" si="1"/>
        <v>1175000</v>
      </c>
      <c r="R81" s="687"/>
      <c r="S81" s="687"/>
      <c r="T81" s="688">
        <f>275232.4+44616.8+41245.18+2137.43+3423.05+60429.54+162811.49+14319.11+26114.12</f>
        <v>630329.11999999988</v>
      </c>
      <c r="U81" s="693"/>
      <c r="V81" s="690">
        <f t="shared" si="2"/>
        <v>-544670.88000000012</v>
      </c>
      <c r="W81" s="683"/>
      <c r="X81" s="474">
        <f t="shared" si="3"/>
        <v>1175000</v>
      </c>
      <c r="Y81" s="474">
        <f t="shared" si="4"/>
        <v>0</v>
      </c>
      <c r="Z81" s="475">
        <f t="shared" si="5"/>
        <v>0</v>
      </c>
      <c r="AA81" s="475">
        <v>0</v>
      </c>
      <c r="AB81" s="476">
        <v>0</v>
      </c>
      <c r="AC81" s="38">
        <f t="shared" si="6"/>
        <v>0</v>
      </c>
      <c r="AD81" s="692">
        <f t="shared" si="7"/>
        <v>-23483.960000000021</v>
      </c>
      <c r="AE81" s="692">
        <f t="shared" si="8"/>
        <v>0</v>
      </c>
      <c r="AF81" s="692">
        <f t="shared" si="9"/>
        <v>0</v>
      </c>
      <c r="AG81" s="38"/>
      <c r="AH81" s="692">
        <f t="shared" si="10"/>
        <v>1175000</v>
      </c>
      <c r="AI81" s="692">
        <f t="shared" si="11"/>
        <v>0</v>
      </c>
      <c r="AJ81" s="692">
        <f t="shared" si="12"/>
        <v>0</v>
      </c>
      <c r="AL81" s="38">
        <f t="shared" si="13"/>
        <v>1151516.04</v>
      </c>
      <c r="AM81" s="68" t="s">
        <v>597</v>
      </c>
    </row>
    <row r="82" spans="1:39" s="232" customFormat="1">
      <c r="A82" s="283"/>
      <c r="B82" s="283" t="s">
        <v>109</v>
      </c>
      <c r="C82" s="667" t="s">
        <v>540</v>
      </c>
      <c r="D82" s="373" t="s">
        <v>410</v>
      </c>
      <c r="E82" s="679"/>
      <c r="F82" s="529">
        <f>VLOOKUP(D82,'Sept13 Revenue'!D:V,19,FALSE)</f>
        <v>-37949.56</v>
      </c>
      <c r="G82" s="680"/>
      <c r="H82" s="680"/>
      <c r="I82" s="755"/>
      <c r="J82" s="682">
        <f t="shared" si="0"/>
        <v>-37949.56</v>
      </c>
      <c r="K82" s="683"/>
      <c r="L82" s="684"/>
      <c r="M82" s="753">
        <v>30000</v>
      </c>
      <c r="N82" s="683">
        <v>0</v>
      </c>
      <c r="O82" s="686"/>
      <c r="P82" s="683">
        <v>0</v>
      </c>
      <c r="Q82" s="687">
        <f t="shared" si="1"/>
        <v>30000</v>
      </c>
      <c r="R82" s="687"/>
      <c r="S82" s="687"/>
      <c r="T82" s="688">
        <v>0</v>
      </c>
      <c r="U82" s="693"/>
      <c r="V82" s="690">
        <f t="shared" si="2"/>
        <v>-30000</v>
      </c>
      <c r="W82" s="683"/>
      <c r="X82" s="474">
        <f t="shared" si="3"/>
        <v>0</v>
      </c>
      <c r="Y82" s="474">
        <f t="shared" si="4"/>
        <v>30000</v>
      </c>
      <c r="Z82" s="475">
        <f t="shared" si="5"/>
        <v>0</v>
      </c>
      <c r="AA82" s="475">
        <v>0</v>
      </c>
      <c r="AB82" s="476">
        <v>0</v>
      </c>
      <c r="AC82" s="38">
        <f t="shared" si="6"/>
        <v>0</v>
      </c>
      <c r="AD82" s="692">
        <f t="shared" si="7"/>
        <v>0</v>
      </c>
      <c r="AE82" s="692">
        <f t="shared" si="8"/>
        <v>-37949.56</v>
      </c>
      <c r="AF82" s="692">
        <f t="shared" si="9"/>
        <v>0</v>
      </c>
      <c r="AG82" s="38"/>
      <c r="AH82" s="692">
        <f t="shared" si="10"/>
        <v>0</v>
      </c>
      <c r="AI82" s="692">
        <f t="shared" si="11"/>
        <v>30000</v>
      </c>
      <c r="AJ82" s="692">
        <f t="shared" si="12"/>
        <v>0</v>
      </c>
      <c r="AL82" s="38">
        <f t="shared" si="13"/>
        <v>-7949.5599999999977</v>
      </c>
      <c r="AM82" s="373" t="s">
        <v>410</v>
      </c>
    </row>
    <row r="83" spans="1:39" s="232" customFormat="1">
      <c r="A83" s="283"/>
      <c r="B83" s="283" t="s">
        <v>109</v>
      </c>
      <c r="C83" s="667" t="s">
        <v>540</v>
      </c>
      <c r="D83" s="373" t="s">
        <v>879</v>
      </c>
      <c r="E83" s="679"/>
      <c r="F83" s="529">
        <f>VLOOKUP(D83,'Sept13 Revenue'!D:V,19,FALSE)</f>
        <v>0</v>
      </c>
      <c r="G83" s="680"/>
      <c r="H83" s="680"/>
      <c r="I83" s="755"/>
      <c r="J83" s="682">
        <f t="shared" si="0"/>
        <v>0</v>
      </c>
      <c r="K83" s="683"/>
      <c r="L83" s="684"/>
      <c r="M83" s="753"/>
      <c r="N83" s="683">
        <v>0</v>
      </c>
      <c r="O83" s="686"/>
      <c r="P83" s="683">
        <v>0</v>
      </c>
      <c r="Q83" s="687">
        <f t="shared" si="1"/>
        <v>0</v>
      </c>
      <c r="R83" s="687"/>
      <c r="S83" s="687"/>
      <c r="T83" s="688">
        <v>0</v>
      </c>
      <c r="U83" s="693"/>
      <c r="V83" s="690">
        <f t="shared" si="2"/>
        <v>0</v>
      </c>
      <c r="W83" s="683"/>
      <c r="X83" s="474">
        <f t="shared" si="3"/>
        <v>0</v>
      </c>
      <c r="Y83" s="474">
        <f t="shared" si="4"/>
        <v>0</v>
      </c>
      <c r="Z83" s="475">
        <f t="shared" si="5"/>
        <v>0</v>
      </c>
      <c r="AA83" s="475">
        <v>0</v>
      </c>
      <c r="AB83" s="476">
        <v>0</v>
      </c>
      <c r="AC83" s="38">
        <f t="shared" si="6"/>
        <v>0</v>
      </c>
      <c r="AD83" s="692">
        <f t="shared" si="7"/>
        <v>0</v>
      </c>
      <c r="AE83" s="692">
        <f t="shared" si="8"/>
        <v>0</v>
      </c>
      <c r="AF83" s="692">
        <f t="shared" si="9"/>
        <v>0</v>
      </c>
      <c r="AG83" s="38"/>
      <c r="AH83" s="692">
        <f t="shared" si="10"/>
        <v>0</v>
      </c>
      <c r="AI83" s="692">
        <f t="shared" si="11"/>
        <v>0</v>
      </c>
      <c r="AJ83" s="692">
        <f t="shared" si="12"/>
        <v>0</v>
      </c>
      <c r="AL83" s="38">
        <f t="shared" si="13"/>
        <v>0</v>
      </c>
      <c r="AM83" s="373" t="s">
        <v>879</v>
      </c>
    </row>
    <row r="84" spans="1:39" s="232" customFormat="1">
      <c r="A84" s="283"/>
      <c r="B84" s="283" t="s">
        <v>109</v>
      </c>
      <c r="C84" s="667" t="s">
        <v>540</v>
      </c>
      <c r="D84" s="373" t="s">
        <v>620</v>
      </c>
      <c r="E84" s="679"/>
      <c r="F84" s="529">
        <f>VLOOKUP(D84,'Sept13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2"/>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620</v>
      </c>
    </row>
    <row r="85" spans="1:39">
      <c r="A85" s="20"/>
      <c r="B85" s="20" t="s">
        <v>110</v>
      </c>
      <c r="C85" s="667" t="s">
        <v>541</v>
      </c>
      <c r="D85" s="351" t="s">
        <v>507</v>
      </c>
      <c r="E85" s="679"/>
      <c r="F85" s="529">
        <f>VLOOKUP(D85,'Sept13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2"/>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51" t="s">
        <v>507</v>
      </c>
    </row>
    <row r="86" spans="1:39">
      <c r="A86" s="20"/>
      <c r="B86" s="20" t="s">
        <v>110</v>
      </c>
      <c r="C86" s="667" t="s">
        <v>541</v>
      </c>
      <c r="D86" s="351" t="s">
        <v>506</v>
      </c>
      <c r="E86" s="679"/>
      <c r="F86" s="529">
        <f>VLOOKUP(D86,'Sept13 Revenue'!D:V,19,FALSE)</f>
        <v>0</v>
      </c>
      <c r="G86" s="680"/>
      <c r="H86" s="680"/>
      <c r="I86" s="755"/>
      <c r="J86" s="682">
        <f t="shared" ref="J86:J153" si="30">SUM(E86:I86)</f>
        <v>0</v>
      </c>
      <c r="K86" s="683"/>
      <c r="L86" s="684"/>
      <c r="M86" s="753"/>
      <c r="N86" s="683">
        <v>0</v>
      </c>
      <c r="O86" s="686"/>
      <c r="P86" s="683">
        <v>0</v>
      </c>
      <c r="Q86" s="687">
        <f t="shared" si="1"/>
        <v>0</v>
      </c>
      <c r="R86" s="687"/>
      <c r="S86" s="687"/>
      <c r="T86" s="688">
        <v>0</v>
      </c>
      <c r="U86" s="693"/>
      <c r="V86" s="690">
        <f t="shared" si="2"/>
        <v>0</v>
      </c>
      <c r="W86" s="683"/>
      <c r="X86" s="474">
        <f t="shared" si="3"/>
        <v>0</v>
      </c>
      <c r="Y86" s="474">
        <f t="shared" si="4"/>
        <v>0</v>
      </c>
      <c r="Z86" s="475">
        <f t="shared" si="5"/>
        <v>0</v>
      </c>
      <c r="AA86" s="475">
        <v>0</v>
      </c>
      <c r="AB86" s="476">
        <v>0</v>
      </c>
      <c r="AC86" s="38">
        <f t="shared" si="6"/>
        <v>0</v>
      </c>
      <c r="AD86" s="692">
        <f t="shared" ref="AD86:AD153" si="31">IF(B86="D",J86,0)</f>
        <v>0</v>
      </c>
      <c r="AE86" s="692">
        <f t="shared" ref="AE86:AE153" si="32">IF(B86="M",J86,0)</f>
        <v>0</v>
      </c>
      <c r="AF86" s="692">
        <f t="shared" ref="AF86:AF153" si="33">IF(B86="V",J86,0)</f>
        <v>0</v>
      </c>
      <c r="AG86" s="38"/>
      <c r="AH86" s="692">
        <f t="shared" si="10"/>
        <v>0</v>
      </c>
      <c r="AI86" s="692">
        <f t="shared" si="11"/>
        <v>0</v>
      </c>
      <c r="AJ86" s="692">
        <f t="shared" si="12"/>
        <v>0</v>
      </c>
      <c r="AL86" s="38">
        <f t="shared" si="13"/>
        <v>0</v>
      </c>
      <c r="AM86" s="351" t="s">
        <v>506</v>
      </c>
    </row>
    <row r="87" spans="1:39">
      <c r="A87" s="20"/>
      <c r="B87" s="20" t="s">
        <v>110</v>
      </c>
      <c r="C87" s="667" t="s">
        <v>542</v>
      </c>
      <c r="D87" s="68" t="s">
        <v>305</v>
      </c>
      <c r="E87" s="679">
        <v>13280.74</v>
      </c>
      <c r="F87" s="529">
        <f>VLOOKUP(D87,'Sept13 Revenue'!D:V,19,FALSE)</f>
        <v>-7000</v>
      </c>
      <c r="G87" s="680"/>
      <c r="H87" s="680"/>
      <c r="I87" s="755"/>
      <c r="J87" s="682">
        <f t="shared" si="30"/>
        <v>6280.74</v>
      </c>
      <c r="K87" s="683"/>
      <c r="L87" s="684"/>
      <c r="M87" s="753">
        <v>14000</v>
      </c>
      <c r="N87" s="683">
        <v>0</v>
      </c>
      <c r="O87" s="686"/>
      <c r="P87" s="683">
        <v>0</v>
      </c>
      <c r="Q87" s="687">
        <f t="shared" si="1"/>
        <v>14000</v>
      </c>
      <c r="R87" s="687"/>
      <c r="S87" s="687"/>
      <c r="T87" s="688">
        <v>0</v>
      </c>
      <c r="U87" s="693"/>
      <c r="V87" s="690">
        <f t="shared" ref="V87:V151" si="34">IF(T87="","",T87-Q87)</f>
        <v>-14000</v>
      </c>
      <c r="W87" s="683"/>
      <c r="X87" s="474">
        <f t="shared" ref="X87:X155" si="35">IF(B87="D",Q87,0)</f>
        <v>14000</v>
      </c>
      <c r="Y87" s="474">
        <f t="shared" ref="Y87:Y155" si="36">IF(B87="M",Q87,0)</f>
        <v>0</v>
      </c>
      <c r="Z87" s="475">
        <f t="shared" ref="Z87:Z155" si="37">IF(B87="V",Q87,0)</f>
        <v>0</v>
      </c>
      <c r="AA87" s="475">
        <v>0</v>
      </c>
      <c r="AB87" s="476">
        <v>0</v>
      </c>
      <c r="AC87" s="38">
        <f t="shared" ref="AC87:AC155" si="38">(L87+M87)-(X87+Y87+Z87+AA87+AB87)</f>
        <v>0</v>
      </c>
      <c r="AD87" s="692">
        <f t="shared" si="31"/>
        <v>6280.74</v>
      </c>
      <c r="AE87" s="692">
        <f t="shared" si="32"/>
        <v>0</v>
      </c>
      <c r="AF87" s="692">
        <f t="shared" si="33"/>
        <v>0</v>
      </c>
      <c r="AG87" s="38"/>
      <c r="AH87" s="692">
        <f t="shared" ref="AH87:AH154" si="39">IF(B87="D",Q87,0)</f>
        <v>14000</v>
      </c>
      <c r="AI87" s="692">
        <f t="shared" ref="AI87:AI154" si="40">IF(B87="M",Q87,0)</f>
        <v>0</v>
      </c>
      <c r="AJ87" s="692">
        <f t="shared" ref="AJ87:AJ154" si="41">IF(B87="V",Q87,0)</f>
        <v>0</v>
      </c>
      <c r="AL87" s="38">
        <f t="shared" si="13"/>
        <v>20280.739999999998</v>
      </c>
      <c r="AM87" s="68" t="s">
        <v>305</v>
      </c>
    </row>
    <row r="88" spans="1:39">
      <c r="A88" s="20"/>
      <c r="B88" s="20" t="s">
        <v>110</v>
      </c>
      <c r="C88" s="667" t="s">
        <v>543</v>
      </c>
      <c r="D88" s="68" t="s">
        <v>199</v>
      </c>
      <c r="E88" s="679"/>
      <c r="F88" s="529">
        <f>VLOOKUP(D88,'Sept13 Revenue'!D:V,19,FALSE)</f>
        <v>0</v>
      </c>
      <c r="G88" s="680"/>
      <c r="H88" s="680"/>
      <c r="I88" s="755"/>
      <c r="J88" s="682">
        <f t="shared" si="30"/>
        <v>0</v>
      </c>
      <c r="K88" s="683"/>
      <c r="L88" s="684"/>
      <c r="M88" s="753"/>
      <c r="N88" s="683">
        <v>0</v>
      </c>
      <c r="O88" s="686"/>
      <c r="P88" s="683">
        <v>0</v>
      </c>
      <c r="Q88" s="687">
        <f t="shared" si="1"/>
        <v>0</v>
      </c>
      <c r="R88" s="687"/>
      <c r="S88" s="687"/>
      <c r="T88" s="688">
        <v>529.05999999999995</v>
      </c>
      <c r="U88" s="693"/>
      <c r="V88" s="690">
        <f t="shared" si="34"/>
        <v>529.05999999999995</v>
      </c>
      <c r="W88" s="683"/>
      <c r="X88" s="474">
        <f t="shared" si="35"/>
        <v>0</v>
      </c>
      <c r="Y88" s="474">
        <f t="shared" si="36"/>
        <v>0</v>
      </c>
      <c r="Z88" s="475">
        <f t="shared" si="37"/>
        <v>0</v>
      </c>
      <c r="AA88" s="475">
        <v>0</v>
      </c>
      <c r="AB88" s="476">
        <v>0</v>
      </c>
      <c r="AC88" s="38">
        <f t="shared" si="38"/>
        <v>0</v>
      </c>
      <c r="AD88" s="692">
        <f t="shared" si="31"/>
        <v>0</v>
      </c>
      <c r="AE88" s="692">
        <f t="shared" si="32"/>
        <v>0</v>
      </c>
      <c r="AF88" s="692">
        <f t="shared" si="33"/>
        <v>0</v>
      </c>
      <c r="AG88" s="38"/>
      <c r="AH88" s="692">
        <f t="shared" si="39"/>
        <v>0</v>
      </c>
      <c r="AI88" s="692">
        <f t="shared" si="40"/>
        <v>0</v>
      </c>
      <c r="AJ88" s="692">
        <f t="shared" si="41"/>
        <v>0</v>
      </c>
      <c r="AL88" s="38">
        <f t="shared" ref="AL88:AL153" si="42">SUM(AD88:AJ88)</f>
        <v>0</v>
      </c>
      <c r="AM88" s="68" t="s">
        <v>199</v>
      </c>
    </row>
    <row r="89" spans="1:39">
      <c r="A89" s="20"/>
      <c r="B89" s="20" t="s">
        <v>110</v>
      </c>
      <c r="C89" s="667" t="s">
        <v>543</v>
      </c>
      <c r="D89" s="68" t="s">
        <v>200</v>
      </c>
      <c r="E89" s="679"/>
      <c r="F89" s="529">
        <f>VLOOKUP(D89,'Sept13 Revenue'!D:V,19,FALSE)</f>
        <v>0</v>
      </c>
      <c r="G89" s="680"/>
      <c r="H89" s="680"/>
      <c r="I89" s="755"/>
      <c r="J89" s="682">
        <f t="shared" si="30"/>
        <v>0</v>
      </c>
      <c r="K89" s="683"/>
      <c r="L89" s="684"/>
      <c r="M89" s="753"/>
      <c r="N89" s="683">
        <v>0</v>
      </c>
      <c r="O89" s="686"/>
      <c r="P89" s="683">
        <v>0</v>
      </c>
      <c r="Q89" s="687">
        <f t="shared" si="1"/>
        <v>0</v>
      </c>
      <c r="R89" s="687"/>
      <c r="S89" s="687"/>
      <c r="T89" s="688">
        <v>3334.1</v>
      </c>
      <c r="U89" s="693"/>
      <c r="V89" s="690">
        <f t="shared" si="34"/>
        <v>3334.1</v>
      </c>
      <c r="W89" s="683"/>
      <c r="X89" s="474">
        <f t="shared" si="35"/>
        <v>0</v>
      </c>
      <c r="Y89" s="474">
        <f t="shared" si="36"/>
        <v>0</v>
      </c>
      <c r="Z89" s="475">
        <f t="shared" si="37"/>
        <v>0</v>
      </c>
      <c r="AA89" s="475">
        <v>0</v>
      </c>
      <c r="AB89" s="476">
        <v>0</v>
      </c>
      <c r="AC89" s="38">
        <f t="shared" si="38"/>
        <v>0</v>
      </c>
      <c r="AD89" s="692">
        <f t="shared" si="31"/>
        <v>0</v>
      </c>
      <c r="AE89" s="692">
        <f t="shared" si="32"/>
        <v>0</v>
      </c>
      <c r="AF89" s="692">
        <f t="shared" si="33"/>
        <v>0</v>
      </c>
      <c r="AG89" s="38"/>
      <c r="AH89" s="692">
        <f t="shared" si="39"/>
        <v>0</v>
      </c>
      <c r="AI89" s="692">
        <f t="shared" si="40"/>
        <v>0</v>
      </c>
      <c r="AJ89" s="692">
        <f t="shared" si="41"/>
        <v>0</v>
      </c>
      <c r="AL89" s="38">
        <f t="shared" si="42"/>
        <v>0</v>
      </c>
      <c r="AM89" s="68" t="s">
        <v>200</v>
      </c>
    </row>
    <row r="90" spans="1:39">
      <c r="A90" s="20"/>
      <c r="B90" s="20" t="s">
        <v>110</v>
      </c>
      <c r="C90" s="667" t="s">
        <v>543</v>
      </c>
      <c r="D90" s="68" t="s">
        <v>201</v>
      </c>
      <c r="E90" s="679"/>
      <c r="F90" s="529">
        <f>VLOOKUP(D90,'Sept13 Revenue'!D:V,19,FALSE)</f>
        <v>0</v>
      </c>
      <c r="G90" s="680"/>
      <c r="H90" s="680"/>
      <c r="I90" s="755"/>
      <c r="J90" s="682">
        <f t="shared" si="30"/>
        <v>0</v>
      </c>
      <c r="K90" s="683"/>
      <c r="L90" s="684"/>
      <c r="M90" s="753"/>
      <c r="N90" s="683">
        <v>0</v>
      </c>
      <c r="O90" s="686"/>
      <c r="P90" s="683">
        <v>0</v>
      </c>
      <c r="Q90" s="687">
        <f t="shared" si="1"/>
        <v>0</v>
      </c>
      <c r="R90" s="687"/>
      <c r="S90" s="687"/>
      <c r="T90" s="688">
        <v>390.21</v>
      </c>
      <c r="U90" s="693"/>
      <c r="V90" s="690">
        <f t="shared" si="34"/>
        <v>390.21</v>
      </c>
      <c r="W90" s="683"/>
      <c r="X90" s="474">
        <f t="shared" si="35"/>
        <v>0</v>
      </c>
      <c r="Y90" s="474">
        <f t="shared" si="36"/>
        <v>0</v>
      </c>
      <c r="Z90" s="475">
        <f t="shared" si="37"/>
        <v>0</v>
      </c>
      <c r="AA90" s="475">
        <v>0</v>
      </c>
      <c r="AB90" s="476">
        <v>0</v>
      </c>
      <c r="AC90" s="38">
        <f t="shared" si="38"/>
        <v>0</v>
      </c>
      <c r="AD90" s="692">
        <f t="shared" si="31"/>
        <v>0</v>
      </c>
      <c r="AE90" s="692">
        <f t="shared" si="32"/>
        <v>0</v>
      </c>
      <c r="AF90" s="692">
        <f t="shared" si="33"/>
        <v>0</v>
      </c>
      <c r="AG90" s="38"/>
      <c r="AH90" s="692">
        <f t="shared" si="39"/>
        <v>0</v>
      </c>
      <c r="AI90" s="692">
        <f t="shared" si="40"/>
        <v>0</v>
      </c>
      <c r="AJ90" s="692">
        <f t="shared" si="41"/>
        <v>0</v>
      </c>
      <c r="AL90" s="38">
        <f t="shared" si="42"/>
        <v>0</v>
      </c>
      <c r="AM90" s="68" t="s">
        <v>201</v>
      </c>
    </row>
    <row r="91" spans="1:39">
      <c r="A91" s="21"/>
      <c r="B91" s="21" t="s">
        <v>110</v>
      </c>
      <c r="C91" s="666"/>
      <c r="D91" s="68" t="s">
        <v>1033</v>
      </c>
      <c r="E91" s="679"/>
      <c r="F91" s="529">
        <v>0</v>
      </c>
      <c r="G91" s="680"/>
      <c r="H91" s="680"/>
      <c r="I91" s="755"/>
      <c r="J91" s="682">
        <f t="shared" ref="J91" si="43">SUM(E91:I91)</f>
        <v>0</v>
      </c>
      <c r="K91" s="683"/>
      <c r="L91" s="684"/>
      <c r="M91" s="753"/>
      <c r="N91" s="683">
        <v>0</v>
      </c>
      <c r="O91" s="686"/>
      <c r="P91" s="683">
        <v>0</v>
      </c>
      <c r="Q91" s="687">
        <f t="shared" ref="Q91" si="44">L91+M91</f>
        <v>0</v>
      </c>
      <c r="R91" s="687"/>
      <c r="S91" s="687"/>
      <c r="T91" s="688">
        <v>0</v>
      </c>
      <c r="U91" s="693"/>
      <c r="V91" s="690">
        <f t="shared" si="34"/>
        <v>0</v>
      </c>
      <c r="W91" s="697"/>
      <c r="X91" s="474">
        <f t="shared" si="35"/>
        <v>0</v>
      </c>
      <c r="Y91" s="474">
        <f t="shared" si="36"/>
        <v>0</v>
      </c>
      <c r="Z91" s="475">
        <f t="shared" si="37"/>
        <v>0</v>
      </c>
      <c r="AA91" s="475">
        <v>0</v>
      </c>
      <c r="AB91" s="476">
        <v>0</v>
      </c>
      <c r="AC91" s="38">
        <f t="shared" si="38"/>
        <v>0</v>
      </c>
      <c r="AD91" s="692">
        <f t="shared" si="31"/>
        <v>0</v>
      </c>
      <c r="AE91" s="692">
        <f t="shared" si="32"/>
        <v>0</v>
      </c>
      <c r="AF91" s="692">
        <f t="shared" si="33"/>
        <v>0</v>
      </c>
      <c r="AG91" s="38"/>
      <c r="AH91" s="692">
        <f t="shared" si="39"/>
        <v>0</v>
      </c>
      <c r="AI91" s="692">
        <f t="shared" si="40"/>
        <v>0</v>
      </c>
      <c r="AJ91" s="692">
        <f t="shared" si="41"/>
        <v>0</v>
      </c>
      <c r="AL91" s="38">
        <f t="shared" si="42"/>
        <v>0</v>
      </c>
      <c r="AM91" s="68" t="s">
        <v>628</v>
      </c>
    </row>
    <row r="92" spans="1:39">
      <c r="A92" s="20" t="s">
        <v>97</v>
      </c>
      <c r="B92" s="20" t="s">
        <v>114</v>
      </c>
      <c r="C92" s="667"/>
      <c r="D92" s="68" t="s">
        <v>387</v>
      </c>
      <c r="E92" s="679"/>
      <c r="F92" s="529">
        <f>VLOOKUP(D92,'Sept13 Revenue'!D:V,19,FALSE)</f>
        <v>-2646.9799999999996</v>
      </c>
      <c r="G92" s="680"/>
      <c r="H92" s="680"/>
      <c r="I92" s="755"/>
      <c r="J92" s="682">
        <f t="shared" si="30"/>
        <v>-2646.9799999999996</v>
      </c>
      <c r="K92" s="683"/>
      <c r="L92" s="684"/>
      <c r="M92" s="753">
        <v>15000</v>
      </c>
      <c r="N92" s="683">
        <v>0</v>
      </c>
      <c r="O92" s="686"/>
      <c r="P92" s="683">
        <v>0</v>
      </c>
      <c r="Q92" s="687">
        <f t="shared" si="1"/>
        <v>15000</v>
      </c>
      <c r="R92" s="687"/>
      <c r="S92" s="687"/>
      <c r="T92" s="688">
        <v>20110.740000000002</v>
      </c>
      <c r="U92" s="693"/>
      <c r="V92" s="690">
        <f t="shared" si="34"/>
        <v>5110.7400000000016</v>
      </c>
      <c r="W92" s="683"/>
      <c r="X92" s="474">
        <f t="shared" si="35"/>
        <v>0</v>
      </c>
      <c r="Y92" s="474">
        <f t="shared" si="36"/>
        <v>0</v>
      </c>
      <c r="Z92" s="475">
        <f t="shared" si="37"/>
        <v>15000</v>
      </c>
      <c r="AA92" s="475">
        <v>0</v>
      </c>
      <c r="AB92" s="476">
        <v>0</v>
      </c>
      <c r="AC92" s="38">
        <f t="shared" si="38"/>
        <v>0</v>
      </c>
      <c r="AD92" s="692">
        <f t="shared" si="31"/>
        <v>0</v>
      </c>
      <c r="AE92" s="692">
        <f t="shared" si="32"/>
        <v>0</v>
      </c>
      <c r="AF92" s="692">
        <f t="shared" si="33"/>
        <v>-2646.9799999999996</v>
      </c>
      <c r="AG92" s="38"/>
      <c r="AH92" s="692">
        <f t="shared" si="39"/>
        <v>0</v>
      </c>
      <c r="AI92" s="692">
        <f t="shared" si="40"/>
        <v>0</v>
      </c>
      <c r="AJ92" s="692">
        <f t="shared" si="41"/>
        <v>15000</v>
      </c>
      <c r="AL92" s="38">
        <f t="shared" si="42"/>
        <v>12353.02</v>
      </c>
      <c r="AM92" s="68" t="s">
        <v>387</v>
      </c>
    </row>
    <row r="93" spans="1:39" hidden="1">
      <c r="A93" s="20" t="s">
        <v>97</v>
      </c>
      <c r="B93" s="20" t="s">
        <v>114</v>
      </c>
      <c r="C93" s="667"/>
      <c r="D93" s="68" t="s">
        <v>482</v>
      </c>
      <c r="E93" s="679"/>
      <c r="F93" s="529">
        <f>VLOOKUP(D93,'Sept13 Revenue'!D:V,19,FALSE)</f>
        <v>0</v>
      </c>
      <c r="G93" s="680"/>
      <c r="H93" s="680"/>
      <c r="I93" s="755"/>
      <c r="J93" s="682">
        <f t="shared" si="30"/>
        <v>0</v>
      </c>
      <c r="K93" s="683"/>
      <c r="L93" s="684"/>
      <c r="M93" s="753"/>
      <c r="N93" s="683"/>
      <c r="O93" s="686"/>
      <c r="P93" s="683"/>
      <c r="Q93" s="687">
        <f t="shared" si="1"/>
        <v>0</v>
      </c>
      <c r="R93" s="687"/>
      <c r="S93" s="687"/>
      <c r="T93" s="688">
        <v>0</v>
      </c>
      <c r="U93" s="693"/>
      <c r="V93" s="690">
        <f t="shared" si="34"/>
        <v>0</v>
      </c>
      <c r="W93" s="683"/>
      <c r="X93" s="474">
        <f t="shared" si="35"/>
        <v>0</v>
      </c>
      <c r="Y93" s="474">
        <f t="shared" si="36"/>
        <v>0</v>
      </c>
      <c r="Z93" s="475">
        <f t="shared" si="37"/>
        <v>0</v>
      </c>
      <c r="AA93" s="475">
        <v>0</v>
      </c>
      <c r="AB93" s="476">
        <v>0</v>
      </c>
      <c r="AC93" s="38">
        <f t="shared" si="38"/>
        <v>0</v>
      </c>
      <c r="AD93" s="692">
        <f t="shared" si="31"/>
        <v>0</v>
      </c>
      <c r="AE93" s="692">
        <f t="shared" si="32"/>
        <v>0</v>
      </c>
      <c r="AF93" s="692">
        <f t="shared" si="33"/>
        <v>0</v>
      </c>
      <c r="AG93" s="38"/>
      <c r="AH93" s="692">
        <f t="shared" si="39"/>
        <v>0</v>
      </c>
      <c r="AI93" s="692">
        <f t="shared" si="40"/>
        <v>0</v>
      </c>
      <c r="AJ93" s="692">
        <f t="shared" si="41"/>
        <v>0</v>
      </c>
      <c r="AL93" s="38">
        <f t="shared" si="42"/>
        <v>0</v>
      </c>
      <c r="AM93" s="68" t="s">
        <v>482</v>
      </c>
    </row>
    <row r="94" spans="1:39" hidden="1">
      <c r="A94" s="20" t="s">
        <v>109</v>
      </c>
      <c r="B94" s="20" t="s">
        <v>109</v>
      </c>
      <c r="C94" s="667" t="s">
        <v>544</v>
      </c>
      <c r="D94" s="68" t="s">
        <v>383</v>
      </c>
      <c r="E94" s="679"/>
      <c r="F94" s="529">
        <f>VLOOKUP(D94,'Sept13 Revenue'!D:V,19,FALSE)</f>
        <v>0</v>
      </c>
      <c r="G94" s="680"/>
      <c r="H94" s="680"/>
      <c r="I94" s="755"/>
      <c r="J94" s="682">
        <f t="shared" si="30"/>
        <v>0</v>
      </c>
      <c r="K94" s="683"/>
      <c r="L94" s="684"/>
      <c r="M94" s="753"/>
      <c r="N94" s="683">
        <v>0</v>
      </c>
      <c r="O94" s="686"/>
      <c r="P94" s="683">
        <v>0</v>
      </c>
      <c r="Q94" s="687">
        <f t="shared" si="1"/>
        <v>0</v>
      </c>
      <c r="R94" s="687"/>
      <c r="S94" s="687"/>
      <c r="T94" s="688">
        <v>0</v>
      </c>
      <c r="U94" s="693"/>
      <c r="V94" s="690">
        <f t="shared" si="34"/>
        <v>0</v>
      </c>
      <c r="W94" s="683"/>
      <c r="X94" s="474">
        <f t="shared" si="35"/>
        <v>0</v>
      </c>
      <c r="Y94" s="474">
        <f t="shared" si="36"/>
        <v>0</v>
      </c>
      <c r="Z94" s="475">
        <f t="shared" si="37"/>
        <v>0</v>
      </c>
      <c r="AA94" s="475">
        <v>0</v>
      </c>
      <c r="AB94" s="476">
        <v>0</v>
      </c>
      <c r="AC94" s="38">
        <f t="shared" si="38"/>
        <v>0</v>
      </c>
      <c r="AD94" s="692">
        <f t="shared" si="31"/>
        <v>0</v>
      </c>
      <c r="AE94" s="692">
        <f t="shared" si="32"/>
        <v>0</v>
      </c>
      <c r="AF94" s="692">
        <f t="shared" si="33"/>
        <v>0</v>
      </c>
      <c r="AG94" s="38"/>
      <c r="AH94" s="692">
        <f t="shared" si="39"/>
        <v>0</v>
      </c>
      <c r="AI94" s="692">
        <f t="shared" si="40"/>
        <v>0</v>
      </c>
      <c r="AJ94" s="692">
        <f t="shared" si="41"/>
        <v>0</v>
      </c>
      <c r="AL94" s="38">
        <f t="shared" si="42"/>
        <v>0</v>
      </c>
      <c r="AM94" s="68" t="s">
        <v>383</v>
      </c>
    </row>
    <row r="95" spans="1:39" hidden="1">
      <c r="A95" s="21" t="s">
        <v>211</v>
      </c>
      <c r="B95" s="21" t="s">
        <v>109</v>
      </c>
      <c r="C95" s="666" t="s">
        <v>545</v>
      </c>
      <c r="D95" s="68" t="s">
        <v>181</v>
      </c>
      <c r="E95" s="679"/>
      <c r="F95" s="529">
        <f>VLOOKUP(D95,'Sept13 Revenue'!D:V,19,FALSE)</f>
        <v>0</v>
      </c>
      <c r="G95" s="680"/>
      <c r="H95" s="680"/>
      <c r="I95" s="755"/>
      <c r="J95" s="682">
        <f t="shared" si="30"/>
        <v>0</v>
      </c>
      <c r="K95" s="683"/>
      <c r="L95" s="684"/>
      <c r="M95" s="753"/>
      <c r="N95" s="683">
        <v>0</v>
      </c>
      <c r="O95" s="686"/>
      <c r="P95" s="683">
        <v>0</v>
      </c>
      <c r="Q95" s="687">
        <f t="shared" si="1"/>
        <v>0</v>
      </c>
      <c r="R95" s="687"/>
      <c r="S95" s="687"/>
      <c r="T95" s="688">
        <v>0</v>
      </c>
      <c r="U95" s="693"/>
      <c r="V95" s="690">
        <f t="shared" si="34"/>
        <v>0</v>
      </c>
      <c r="W95" s="683"/>
      <c r="X95" s="474">
        <f t="shared" si="35"/>
        <v>0</v>
      </c>
      <c r="Y95" s="474">
        <f t="shared" si="36"/>
        <v>0</v>
      </c>
      <c r="Z95" s="475">
        <f t="shared" si="37"/>
        <v>0</v>
      </c>
      <c r="AA95" s="475">
        <v>0</v>
      </c>
      <c r="AB95" s="476">
        <v>0</v>
      </c>
      <c r="AC95" s="38">
        <f t="shared" si="38"/>
        <v>0</v>
      </c>
      <c r="AD95" s="692">
        <f t="shared" si="31"/>
        <v>0</v>
      </c>
      <c r="AE95" s="692">
        <f t="shared" si="32"/>
        <v>0</v>
      </c>
      <c r="AF95" s="692">
        <f t="shared" si="33"/>
        <v>0</v>
      </c>
      <c r="AG95" s="38"/>
      <c r="AH95" s="692">
        <f t="shared" si="39"/>
        <v>0</v>
      </c>
      <c r="AI95" s="692">
        <f t="shared" si="40"/>
        <v>0</v>
      </c>
      <c r="AJ95" s="692">
        <f t="shared" si="41"/>
        <v>0</v>
      </c>
      <c r="AL95" s="38">
        <f t="shared" si="42"/>
        <v>0</v>
      </c>
      <c r="AM95" s="68" t="s">
        <v>181</v>
      </c>
    </row>
    <row r="96" spans="1:39" hidden="1">
      <c r="A96" s="21" t="s">
        <v>211</v>
      </c>
      <c r="B96" s="21" t="s">
        <v>110</v>
      </c>
      <c r="C96" s="666"/>
      <c r="D96" s="68" t="s">
        <v>504</v>
      </c>
      <c r="E96" s="679"/>
      <c r="F96" s="529">
        <f>VLOOKUP(D96,'Sept13 Revenue'!D:V,19,FALSE)</f>
        <v>0</v>
      </c>
      <c r="G96" s="680"/>
      <c r="H96" s="680"/>
      <c r="I96" s="755"/>
      <c r="J96" s="682">
        <f t="shared" si="30"/>
        <v>0</v>
      </c>
      <c r="K96" s="683"/>
      <c r="L96" s="684"/>
      <c r="M96" s="753"/>
      <c r="N96" s="683">
        <v>0</v>
      </c>
      <c r="O96" s="686"/>
      <c r="P96" s="683">
        <v>0</v>
      </c>
      <c r="Q96" s="687">
        <f t="shared" si="1"/>
        <v>0</v>
      </c>
      <c r="R96" s="687"/>
      <c r="S96" s="687"/>
      <c r="T96" s="688">
        <v>0</v>
      </c>
      <c r="U96" s="693"/>
      <c r="V96" s="690">
        <f t="shared" si="34"/>
        <v>0</v>
      </c>
      <c r="W96" s="683"/>
      <c r="X96" s="474">
        <f t="shared" si="35"/>
        <v>0</v>
      </c>
      <c r="Y96" s="474">
        <f t="shared" si="36"/>
        <v>0</v>
      </c>
      <c r="Z96" s="475">
        <f t="shared" si="37"/>
        <v>0</v>
      </c>
      <c r="AA96" s="475">
        <v>0</v>
      </c>
      <c r="AB96" s="476">
        <v>0</v>
      </c>
      <c r="AC96" s="38">
        <f t="shared" si="38"/>
        <v>0</v>
      </c>
      <c r="AD96" s="692">
        <f t="shared" si="31"/>
        <v>0</v>
      </c>
      <c r="AE96" s="692">
        <f t="shared" si="32"/>
        <v>0</v>
      </c>
      <c r="AF96" s="692">
        <f t="shared" si="33"/>
        <v>0</v>
      </c>
      <c r="AG96" s="38"/>
      <c r="AH96" s="692">
        <f t="shared" si="39"/>
        <v>0</v>
      </c>
      <c r="AI96" s="692">
        <f t="shared" si="40"/>
        <v>0</v>
      </c>
      <c r="AJ96" s="692">
        <f t="shared" si="41"/>
        <v>0</v>
      </c>
      <c r="AL96" s="38">
        <f t="shared" si="42"/>
        <v>0</v>
      </c>
      <c r="AM96" s="68" t="s">
        <v>504</v>
      </c>
    </row>
    <row r="97" spans="1:39">
      <c r="A97" s="20" t="s">
        <v>211</v>
      </c>
      <c r="B97" s="20" t="s">
        <v>109</v>
      </c>
      <c r="C97" s="667" t="s">
        <v>546</v>
      </c>
      <c r="D97" s="68" t="s">
        <v>142</v>
      </c>
      <c r="E97" s="679"/>
      <c r="F97" s="529">
        <f>VLOOKUP(D97,'Sept13 Revenue'!D:V,19,FALSE)</f>
        <v>0</v>
      </c>
      <c r="G97" s="680"/>
      <c r="H97" s="680"/>
      <c r="I97" s="755"/>
      <c r="J97" s="682">
        <f t="shared" si="30"/>
        <v>0</v>
      </c>
      <c r="K97" s="683"/>
      <c r="L97" s="684"/>
      <c r="M97" s="753"/>
      <c r="N97" s="683">
        <v>0</v>
      </c>
      <c r="O97" s="686"/>
      <c r="P97" s="683">
        <v>0</v>
      </c>
      <c r="Q97" s="687">
        <f t="shared" si="1"/>
        <v>0</v>
      </c>
      <c r="R97" s="687"/>
      <c r="S97" s="687"/>
      <c r="T97" s="688">
        <v>0</v>
      </c>
      <c r="U97" s="693"/>
      <c r="V97" s="690">
        <f t="shared" si="34"/>
        <v>0</v>
      </c>
      <c r="W97" s="697"/>
      <c r="X97" s="474">
        <f t="shared" si="35"/>
        <v>0</v>
      </c>
      <c r="Y97" s="474">
        <f t="shared" si="36"/>
        <v>0</v>
      </c>
      <c r="Z97" s="475">
        <f t="shared" si="37"/>
        <v>0</v>
      </c>
      <c r="AA97" s="475">
        <v>0</v>
      </c>
      <c r="AB97" s="476">
        <v>0</v>
      </c>
      <c r="AC97" s="38">
        <f t="shared" si="38"/>
        <v>0</v>
      </c>
      <c r="AD97" s="692">
        <f t="shared" si="31"/>
        <v>0</v>
      </c>
      <c r="AE97" s="692">
        <f t="shared" si="32"/>
        <v>0</v>
      </c>
      <c r="AF97" s="692">
        <f t="shared" si="33"/>
        <v>0</v>
      </c>
      <c r="AG97" s="38"/>
      <c r="AH97" s="692">
        <f t="shared" si="39"/>
        <v>0</v>
      </c>
      <c r="AI97" s="692">
        <f t="shared" si="40"/>
        <v>0</v>
      </c>
      <c r="AJ97" s="692">
        <f t="shared" si="41"/>
        <v>0</v>
      </c>
      <c r="AL97" s="38">
        <f t="shared" si="42"/>
        <v>0</v>
      </c>
      <c r="AM97" s="68" t="s">
        <v>142</v>
      </c>
    </row>
    <row r="98" spans="1:39">
      <c r="A98" s="20" t="s">
        <v>211</v>
      </c>
      <c r="B98" s="20" t="s">
        <v>109</v>
      </c>
      <c r="C98" s="667" t="s">
        <v>546</v>
      </c>
      <c r="D98" s="68" t="s">
        <v>143</v>
      </c>
      <c r="E98" s="679"/>
      <c r="F98" s="529">
        <f>VLOOKUP(D98,'Sept13 Revenue'!D:V,19,FALSE)</f>
        <v>0</v>
      </c>
      <c r="G98" s="680"/>
      <c r="H98" s="680"/>
      <c r="I98" s="755"/>
      <c r="J98" s="682">
        <f t="shared" si="30"/>
        <v>0</v>
      </c>
      <c r="K98" s="683"/>
      <c r="L98" s="684"/>
      <c r="M98" s="753"/>
      <c r="N98" s="683">
        <v>0</v>
      </c>
      <c r="O98" s="686"/>
      <c r="P98" s="683">
        <v>0</v>
      </c>
      <c r="Q98" s="687">
        <f t="shared" si="1"/>
        <v>0</v>
      </c>
      <c r="R98" s="687"/>
      <c r="S98" s="687"/>
      <c r="T98" s="688">
        <v>0</v>
      </c>
      <c r="U98" s="693"/>
      <c r="V98" s="690">
        <f t="shared" si="34"/>
        <v>0</v>
      </c>
      <c r="W98" s="697"/>
      <c r="X98" s="474">
        <f t="shared" si="35"/>
        <v>0</v>
      </c>
      <c r="Y98" s="474">
        <f t="shared" si="36"/>
        <v>0</v>
      </c>
      <c r="Z98" s="475">
        <f t="shared" si="37"/>
        <v>0</v>
      </c>
      <c r="AA98" s="475">
        <v>0</v>
      </c>
      <c r="AB98" s="476">
        <v>0</v>
      </c>
      <c r="AC98" s="38">
        <f t="shared" si="38"/>
        <v>0</v>
      </c>
      <c r="AD98" s="692">
        <f t="shared" si="31"/>
        <v>0</v>
      </c>
      <c r="AE98" s="692">
        <f t="shared" si="32"/>
        <v>0</v>
      </c>
      <c r="AF98" s="692">
        <f t="shared" si="33"/>
        <v>0</v>
      </c>
      <c r="AG98" s="38"/>
      <c r="AH98" s="692">
        <f t="shared" si="39"/>
        <v>0</v>
      </c>
      <c r="AI98" s="692">
        <f t="shared" si="40"/>
        <v>0</v>
      </c>
      <c r="AJ98" s="692">
        <f t="shared" si="41"/>
        <v>0</v>
      </c>
      <c r="AL98" s="38">
        <f t="shared" si="42"/>
        <v>0</v>
      </c>
      <c r="AM98" s="68" t="s">
        <v>143</v>
      </c>
    </row>
    <row r="99" spans="1:39">
      <c r="A99" s="20"/>
      <c r="B99" s="20" t="s">
        <v>109</v>
      </c>
      <c r="C99" s="667"/>
      <c r="D99" s="68" t="s">
        <v>1014</v>
      </c>
      <c r="E99" s="679"/>
      <c r="F99" s="529">
        <f>VLOOKUP(D99,'Sept13 Revenue'!D:V,19,FALSE)</f>
        <v>0</v>
      </c>
      <c r="G99" s="680"/>
      <c r="H99" s="680"/>
      <c r="I99" s="755"/>
      <c r="J99" s="682">
        <f t="shared" ref="J99" si="45">SUM(E99:I99)</f>
        <v>0</v>
      </c>
      <c r="K99" s="683"/>
      <c r="L99" s="684"/>
      <c r="M99" s="753"/>
      <c r="N99" s="683">
        <v>0</v>
      </c>
      <c r="O99" s="686"/>
      <c r="P99" s="683">
        <v>0</v>
      </c>
      <c r="Q99" s="687">
        <f t="shared" ref="Q99" si="46">L99+M99</f>
        <v>0</v>
      </c>
      <c r="R99" s="687"/>
      <c r="S99" s="687"/>
      <c r="T99" s="688">
        <v>72.38</v>
      </c>
      <c r="U99" s="693"/>
      <c r="V99" s="690">
        <f t="shared" si="34"/>
        <v>72.38</v>
      </c>
      <c r="W99" s="683"/>
      <c r="X99" s="474">
        <f t="shared" ref="X99" si="47">IF(B99="D",Q99,0)</f>
        <v>0</v>
      </c>
      <c r="Y99" s="474">
        <f t="shared" ref="Y99" si="48">IF(B99="M",Q99,0)</f>
        <v>0</v>
      </c>
      <c r="Z99" s="475">
        <f t="shared" ref="Z99" si="49">IF(B99="V",Q99,0)</f>
        <v>0</v>
      </c>
      <c r="AA99" s="475">
        <v>0</v>
      </c>
      <c r="AB99" s="476">
        <v>0</v>
      </c>
      <c r="AC99" s="38">
        <f t="shared" ref="AC99" si="50">(L99+M99)-(X99+Y99+Z99+AA99+AB99)</f>
        <v>0</v>
      </c>
      <c r="AD99" s="692">
        <f t="shared" ref="AD99" si="51">IF(B99="D",J99,0)</f>
        <v>0</v>
      </c>
      <c r="AE99" s="692">
        <f t="shared" ref="AE99" si="52">IF(B99="M",J99,0)</f>
        <v>0</v>
      </c>
      <c r="AF99" s="692">
        <f t="shared" ref="AF99" si="53">IF(B99="V",J99,0)</f>
        <v>0</v>
      </c>
      <c r="AG99" s="38"/>
      <c r="AH99" s="692">
        <f t="shared" ref="AH99" si="54">IF(B99="D",Q99,0)</f>
        <v>0</v>
      </c>
      <c r="AI99" s="692">
        <f t="shared" ref="AI99" si="55">IF(B99="M",Q99,0)</f>
        <v>0</v>
      </c>
      <c r="AJ99" s="692">
        <f t="shared" ref="AJ99" si="56">IF(B99="V",Q99,0)</f>
        <v>0</v>
      </c>
      <c r="AL99" s="38">
        <f t="shared" ref="AL99" si="57">SUM(AD99:AJ99)</f>
        <v>0</v>
      </c>
      <c r="AM99" s="68" t="s">
        <v>1014</v>
      </c>
    </row>
    <row r="100" spans="1:39">
      <c r="A100" s="20" t="s">
        <v>109</v>
      </c>
      <c r="B100" s="20" t="s">
        <v>109</v>
      </c>
      <c r="C100" s="667"/>
      <c r="D100" s="68" t="s">
        <v>498</v>
      </c>
      <c r="E100" s="679"/>
      <c r="F100" s="529">
        <f>VLOOKUP(D100,'Sept13 Revenue'!D:V,19,FALSE)</f>
        <v>0</v>
      </c>
      <c r="G100" s="680"/>
      <c r="H100" s="680"/>
      <c r="I100" s="755"/>
      <c r="J100" s="682">
        <f t="shared" si="30"/>
        <v>0</v>
      </c>
      <c r="K100" s="683"/>
      <c r="L100" s="684"/>
      <c r="M100" s="753"/>
      <c r="N100" s="683">
        <v>0</v>
      </c>
      <c r="O100" s="686"/>
      <c r="P100" s="683">
        <v>0</v>
      </c>
      <c r="Q100" s="687">
        <f t="shared" si="1"/>
        <v>0</v>
      </c>
      <c r="R100" s="687"/>
      <c r="S100" s="687"/>
      <c r="T100" s="688">
        <v>0</v>
      </c>
      <c r="U100" s="693"/>
      <c r="V100" s="690">
        <f t="shared" si="34"/>
        <v>0</v>
      </c>
      <c r="W100" s="683"/>
      <c r="X100" s="474">
        <f t="shared" si="35"/>
        <v>0</v>
      </c>
      <c r="Y100" s="474">
        <f t="shared" si="36"/>
        <v>0</v>
      </c>
      <c r="Z100" s="475">
        <f t="shared" si="37"/>
        <v>0</v>
      </c>
      <c r="AA100" s="475">
        <v>0</v>
      </c>
      <c r="AB100" s="476">
        <v>0</v>
      </c>
      <c r="AC100" s="38">
        <f t="shared" si="38"/>
        <v>0</v>
      </c>
      <c r="AD100" s="692">
        <f t="shared" si="31"/>
        <v>0</v>
      </c>
      <c r="AE100" s="692">
        <f t="shared" si="32"/>
        <v>0</v>
      </c>
      <c r="AF100" s="692">
        <f t="shared" si="33"/>
        <v>0</v>
      </c>
      <c r="AG100" s="38"/>
      <c r="AH100" s="692">
        <f t="shared" si="39"/>
        <v>0</v>
      </c>
      <c r="AI100" s="692">
        <f t="shared" si="40"/>
        <v>0</v>
      </c>
      <c r="AJ100" s="692">
        <f t="shared" si="41"/>
        <v>0</v>
      </c>
      <c r="AL100" s="38">
        <f t="shared" si="42"/>
        <v>0</v>
      </c>
      <c r="AM100" s="68" t="s">
        <v>498</v>
      </c>
    </row>
    <row r="101" spans="1:39">
      <c r="A101" s="21"/>
      <c r="B101" s="21" t="s">
        <v>110</v>
      </c>
      <c r="C101" s="666"/>
      <c r="D101" s="68" t="s">
        <v>20</v>
      </c>
      <c r="E101" s="679"/>
      <c r="F101" s="529">
        <f>VLOOKUP(D101,'Sept13 Revenue'!D:V,19,FALSE)</f>
        <v>0</v>
      </c>
      <c r="G101" s="680"/>
      <c r="H101" s="680"/>
      <c r="I101" s="770">
        <v>210.99</v>
      </c>
      <c r="J101" s="682">
        <f t="shared" si="30"/>
        <v>210.99</v>
      </c>
      <c r="K101" s="683"/>
      <c r="L101" s="684"/>
      <c r="M101" s="753"/>
      <c r="N101" s="683">
        <v>0</v>
      </c>
      <c r="O101" s="686"/>
      <c r="P101" s="683">
        <v>0</v>
      </c>
      <c r="Q101" s="687">
        <f t="shared" si="1"/>
        <v>0</v>
      </c>
      <c r="R101" s="687"/>
      <c r="S101" s="687"/>
      <c r="T101" s="688">
        <v>0</v>
      </c>
      <c r="U101" s="693"/>
      <c r="V101" s="690">
        <f t="shared" si="34"/>
        <v>0</v>
      </c>
      <c r="W101" s="683"/>
      <c r="X101" s="474">
        <f t="shared" si="35"/>
        <v>0</v>
      </c>
      <c r="Y101" s="474">
        <f t="shared" si="36"/>
        <v>0</v>
      </c>
      <c r="Z101" s="475">
        <f t="shared" si="37"/>
        <v>0</v>
      </c>
      <c r="AA101" s="475">
        <v>0</v>
      </c>
      <c r="AB101" s="476">
        <v>0</v>
      </c>
      <c r="AC101" s="38">
        <f t="shared" si="38"/>
        <v>0</v>
      </c>
      <c r="AD101" s="692">
        <f t="shared" si="31"/>
        <v>210.99</v>
      </c>
      <c r="AE101" s="692">
        <f t="shared" si="32"/>
        <v>0</v>
      </c>
      <c r="AF101" s="692">
        <f t="shared" si="33"/>
        <v>0</v>
      </c>
      <c r="AG101" s="38"/>
      <c r="AH101" s="692">
        <f t="shared" si="39"/>
        <v>0</v>
      </c>
      <c r="AI101" s="692">
        <f t="shared" si="40"/>
        <v>0</v>
      </c>
      <c r="AJ101" s="692">
        <f t="shared" si="41"/>
        <v>0</v>
      </c>
      <c r="AL101" s="38">
        <f t="shared" si="42"/>
        <v>210.99</v>
      </c>
      <c r="AM101" s="68" t="s">
        <v>20</v>
      </c>
    </row>
    <row r="102" spans="1:39">
      <c r="A102" s="21"/>
      <c r="B102" s="21" t="s">
        <v>110</v>
      </c>
      <c r="C102" s="666" t="s">
        <v>547</v>
      </c>
      <c r="D102" s="68" t="s">
        <v>203</v>
      </c>
      <c r="E102" s="679"/>
      <c r="F102" s="529">
        <f>VLOOKUP(D102,'Sept13 Revenue'!D:V,19,FALSE)</f>
        <v>0</v>
      </c>
      <c r="G102" s="680"/>
      <c r="H102" s="680"/>
      <c r="I102" s="755"/>
      <c r="J102" s="682">
        <f t="shared" si="30"/>
        <v>0</v>
      </c>
      <c r="K102" s="683"/>
      <c r="L102" s="684"/>
      <c r="M102" s="753"/>
      <c r="N102" s="683">
        <v>0</v>
      </c>
      <c r="O102" s="686"/>
      <c r="P102" s="683">
        <v>0</v>
      </c>
      <c r="Q102" s="687">
        <f t="shared" si="1"/>
        <v>0</v>
      </c>
      <c r="R102" s="687"/>
      <c r="S102" s="687"/>
      <c r="T102" s="688">
        <v>0</v>
      </c>
      <c r="U102" s="693"/>
      <c r="V102" s="690">
        <f t="shared" si="34"/>
        <v>0</v>
      </c>
      <c r="W102" s="683"/>
      <c r="X102" s="474">
        <f t="shared" si="35"/>
        <v>0</v>
      </c>
      <c r="Y102" s="474">
        <f t="shared" si="36"/>
        <v>0</v>
      </c>
      <c r="Z102" s="475">
        <f t="shared" si="37"/>
        <v>0</v>
      </c>
      <c r="AA102" s="475">
        <v>0</v>
      </c>
      <c r="AB102" s="476">
        <v>0</v>
      </c>
      <c r="AC102" s="38">
        <f t="shared" si="38"/>
        <v>0</v>
      </c>
      <c r="AD102" s="692">
        <f t="shared" si="31"/>
        <v>0</v>
      </c>
      <c r="AE102" s="692">
        <f t="shared" si="32"/>
        <v>0</v>
      </c>
      <c r="AF102" s="692">
        <f t="shared" si="33"/>
        <v>0</v>
      </c>
      <c r="AG102" s="38"/>
      <c r="AH102" s="692">
        <f t="shared" si="39"/>
        <v>0</v>
      </c>
      <c r="AI102" s="692">
        <f t="shared" si="40"/>
        <v>0</v>
      </c>
      <c r="AJ102" s="692">
        <f t="shared" si="41"/>
        <v>0</v>
      </c>
      <c r="AL102" s="38">
        <f t="shared" si="42"/>
        <v>0</v>
      </c>
      <c r="AM102" s="68" t="s">
        <v>203</v>
      </c>
    </row>
    <row r="103" spans="1:39">
      <c r="A103" s="21"/>
      <c r="B103" s="21" t="s">
        <v>110</v>
      </c>
      <c r="C103" s="666" t="s">
        <v>547</v>
      </c>
      <c r="D103" s="68" t="s">
        <v>202</v>
      </c>
      <c r="E103" s="679"/>
      <c r="F103" s="529">
        <f>VLOOKUP(D103,'Sept13 Revenue'!D:V,19,FALSE)</f>
        <v>0</v>
      </c>
      <c r="G103" s="680"/>
      <c r="H103" s="680"/>
      <c r="I103" s="755"/>
      <c r="J103" s="682">
        <f t="shared" si="30"/>
        <v>0</v>
      </c>
      <c r="K103" s="683"/>
      <c r="L103" s="684"/>
      <c r="M103" s="753"/>
      <c r="N103" s="683">
        <v>0</v>
      </c>
      <c r="O103" s="686"/>
      <c r="P103" s="683">
        <v>0</v>
      </c>
      <c r="Q103" s="687">
        <f t="shared" si="1"/>
        <v>0</v>
      </c>
      <c r="R103" s="687"/>
      <c r="S103" s="687"/>
      <c r="T103" s="688">
        <v>0</v>
      </c>
      <c r="U103" s="693"/>
      <c r="V103" s="690">
        <f t="shared" si="34"/>
        <v>0</v>
      </c>
      <c r="W103" s="683"/>
      <c r="X103" s="474">
        <f t="shared" si="35"/>
        <v>0</v>
      </c>
      <c r="Y103" s="474">
        <f t="shared" si="36"/>
        <v>0</v>
      </c>
      <c r="Z103" s="475">
        <f t="shared" si="37"/>
        <v>0</v>
      </c>
      <c r="AA103" s="475">
        <v>0</v>
      </c>
      <c r="AB103" s="476">
        <v>0</v>
      </c>
      <c r="AC103" s="38">
        <f t="shared" si="38"/>
        <v>0</v>
      </c>
      <c r="AD103" s="692">
        <f t="shared" si="31"/>
        <v>0</v>
      </c>
      <c r="AE103" s="692">
        <f t="shared" si="32"/>
        <v>0</v>
      </c>
      <c r="AF103" s="692">
        <f t="shared" si="33"/>
        <v>0</v>
      </c>
      <c r="AG103" s="38"/>
      <c r="AH103" s="692">
        <f t="shared" si="39"/>
        <v>0</v>
      </c>
      <c r="AI103" s="692">
        <f t="shared" si="40"/>
        <v>0</v>
      </c>
      <c r="AJ103" s="692">
        <f t="shared" si="41"/>
        <v>0</v>
      </c>
      <c r="AL103" s="38">
        <f t="shared" si="42"/>
        <v>0</v>
      </c>
      <c r="AM103" s="68" t="s">
        <v>202</v>
      </c>
    </row>
    <row r="104" spans="1:39">
      <c r="A104" s="20" t="s">
        <v>211</v>
      </c>
      <c r="B104" s="20" t="s">
        <v>110</v>
      </c>
      <c r="C104" s="667"/>
      <c r="D104" s="373" t="s">
        <v>466</v>
      </c>
      <c r="E104" s="679"/>
      <c r="F104" s="529">
        <f>VLOOKUP(D104,'Sept13 Revenue'!D:V,19,FALSE)</f>
        <v>0</v>
      </c>
      <c r="G104" s="680"/>
      <c r="H104" s="680"/>
      <c r="I104" s="770">
        <v>915.5</v>
      </c>
      <c r="J104" s="682">
        <f t="shared" si="30"/>
        <v>915.5</v>
      </c>
      <c r="K104" s="683"/>
      <c r="L104" s="684"/>
      <c r="M104" s="753"/>
      <c r="N104" s="683">
        <v>0</v>
      </c>
      <c r="O104" s="686"/>
      <c r="P104" s="683">
        <v>0</v>
      </c>
      <c r="Q104" s="687">
        <f t="shared" si="1"/>
        <v>0</v>
      </c>
      <c r="R104" s="687"/>
      <c r="S104" s="687"/>
      <c r="T104" s="688">
        <v>0</v>
      </c>
      <c r="U104" s="693"/>
      <c r="V104" s="690">
        <f t="shared" si="34"/>
        <v>0</v>
      </c>
      <c r="W104" s="683"/>
      <c r="X104" s="474">
        <f t="shared" si="35"/>
        <v>0</v>
      </c>
      <c r="Y104" s="474">
        <f t="shared" si="36"/>
        <v>0</v>
      </c>
      <c r="Z104" s="475">
        <f t="shared" si="37"/>
        <v>0</v>
      </c>
      <c r="AA104" s="475">
        <v>0</v>
      </c>
      <c r="AB104" s="476">
        <v>0</v>
      </c>
      <c r="AC104" s="38">
        <f t="shared" si="38"/>
        <v>0</v>
      </c>
      <c r="AD104" s="692">
        <f t="shared" si="31"/>
        <v>915.5</v>
      </c>
      <c r="AE104" s="692">
        <f t="shared" si="32"/>
        <v>0</v>
      </c>
      <c r="AF104" s="692">
        <f t="shared" si="33"/>
        <v>0</v>
      </c>
      <c r="AG104" s="38"/>
      <c r="AH104" s="692">
        <f t="shared" si="39"/>
        <v>0</v>
      </c>
      <c r="AI104" s="692">
        <f t="shared" si="40"/>
        <v>0</v>
      </c>
      <c r="AJ104" s="692">
        <f t="shared" si="41"/>
        <v>0</v>
      </c>
      <c r="AL104" s="38">
        <f t="shared" si="42"/>
        <v>915.5</v>
      </c>
      <c r="AM104" s="373" t="s">
        <v>466</v>
      </c>
    </row>
    <row r="105" spans="1:39">
      <c r="A105" s="20"/>
      <c r="B105" s="20" t="s">
        <v>110</v>
      </c>
      <c r="C105" s="667"/>
      <c r="D105" s="373" t="s">
        <v>627</v>
      </c>
      <c r="E105" s="679"/>
      <c r="F105" s="529">
        <f>VLOOKUP(D105,'Sept13 Revenue'!D:V,19,FALSE)</f>
        <v>0</v>
      </c>
      <c r="G105" s="680"/>
      <c r="H105" s="680"/>
      <c r="I105" s="755"/>
      <c r="J105" s="682">
        <f t="shared" si="30"/>
        <v>0</v>
      </c>
      <c r="K105" s="683"/>
      <c r="L105" s="684"/>
      <c r="M105" s="753"/>
      <c r="N105" s="683">
        <v>0</v>
      </c>
      <c r="O105" s="686"/>
      <c r="P105" s="683">
        <v>0</v>
      </c>
      <c r="Q105" s="687">
        <f t="shared" si="1"/>
        <v>0</v>
      </c>
      <c r="R105" s="687"/>
      <c r="S105" s="687"/>
      <c r="T105" s="688">
        <v>0</v>
      </c>
      <c r="U105" s="693"/>
      <c r="V105" s="690">
        <f t="shared" si="34"/>
        <v>0</v>
      </c>
      <c r="W105" s="683"/>
      <c r="X105" s="474">
        <f t="shared" si="35"/>
        <v>0</v>
      </c>
      <c r="Y105" s="474">
        <f t="shared" si="36"/>
        <v>0</v>
      </c>
      <c r="Z105" s="475">
        <f t="shared" si="37"/>
        <v>0</v>
      </c>
      <c r="AA105" s="475">
        <v>0</v>
      </c>
      <c r="AB105" s="476">
        <v>0</v>
      </c>
      <c r="AC105" s="38">
        <f t="shared" si="38"/>
        <v>0</v>
      </c>
      <c r="AD105" s="692">
        <f t="shared" si="31"/>
        <v>0</v>
      </c>
      <c r="AE105" s="692">
        <f t="shared" si="32"/>
        <v>0</v>
      </c>
      <c r="AF105" s="692">
        <f t="shared" si="33"/>
        <v>0</v>
      </c>
      <c r="AG105" s="38"/>
      <c r="AH105" s="692">
        <f t="shared" si="39"/>
        <v>0</v>
      </c>
      <c r="AI105" s="692">
        <f t="shared" si="40"/>
        <v>0</v>
      </c>
      <c r="AJ105" s="692">
        <f t="shared" si="41"/>
        <v>0</v>
      </c>
      <c r="AL105" s="38">
        <f t="shared" si="42"/>
        <v>0</v>
      </c>
      <c r="AM105" s="373" t="s">
        <v>627</v>
      </c>
    </row>
    <row r="106" spans="1:39" s="232" customFormat="1" ht="12.75" customHeight="1">
      <c r="A106" s="283"/>
      <c r="B106" s="283" t="s">
        <v>110</v>
      </c>
      <c r="C106" s="667"/>
      <c r="D106" s="123" t="s">
        <v>994</v>
      </c>
      <c r="E106" s="679"/>
      <c r="F106" s="529">
        <f>VLOOKUP(D106,'Sept13 Revenue'!D:V,19,FALSE)</f>
        <v>0</v>
      </c>
      <c r="G106" s="680"/>
      <c r="H106" s="680"/>
      <c r="I106" s="770">
        <v>7015441.2699999996</v>
      </c>
      <c r="J106" s="682">
        <f t="shared" si="30"/>
        <v>7015441.2699999996</v>
      </c>
      <c r="K106" s="683"/>
      <c r="L106" s="684"/>
      <c r="M106" s="753"/>
      <c r="N106" s="683">
        <v>0</v>
      </c>
      <c r="O106" s="686"/>
      <c r="P106" s="683">
        <v>0</v>
      </c>
      <c r="Q106" s="687">
        <f t="shared" si="1"/>
        <v>0</v>
      </c>
      <c r="R106" s="687"/>
      <c r="S106" s="687"/>
      <c r="T106" s="688">
        <v>0</v>
      </c>
      <c r="U106" s="693"/>
      <c r="V106" s="690">
        <f t="shared" si="34"/>
        <v>0</v>
      </c>
      <c r="W106" s="683"/>
      <c r="X106" s="474">
        <f t="shared" si="35"/>
        <v>0</v>
      </c>
      <c r="Y106" s="474">
        <f t="shared" si="36"/>
        <v>0</v>
      </c>
      <c r="Z106" s="475">
        <f t="shared" si="37"/>
        <v>0</v>
      </c>
      <c r="AA106" s="475">
        <v>0</v>
      </c>
      <c r="AB106" s="476">
        <v>0</v>
      </c>
      <c r="AC106" s="38">
        <f t="shared" si="38"/>
        <v>0</v>
      </c>
      <c r="AD106" s="692">
        <f t="shared" si="31"/>
        <v>7015441.2699999996</v>
      </c>
      <c r="AE106" s="692">
        <f t="shared" si="32"/>
        <v>0</v>
      </c>
      <c r="AF106" s="692">
        <f t="shared" si="33"/>
        <v>0</v>
      </c>
      <c r="AG106" s="38"/>
      <c r="AH106" s="692">
        <f t="shared" si="39"/>
        <v>0</v>
      </c>
      <c r="AI106" s="692">
        <f t="shared" si="40"/>
        <v>0</v>
      </c>
      <c r="AJ106" s="692">
        <f t="shared" si="41"/>
        <v>0</v>
      </c>
      <c r="AL106" s="38">
        <f t="shared" si="42"/>
        <v>7015441.2699999996</v>
      </c>
      <c r="AM106" s="123" t="s">
        <v>994</v>
      </c>
    </row>
    <row r="107" spans="1:39" s="232" customFormat="1" ht="12.75" customHeight="1">
      <c r="A107" s="283"/>
      <c r="B107" s="283" t="s">
        <v>110</v>
      </c>
      <c r="C107" s="667"/>
      <c r="D107" s="123" t="s">
        <v>995</v>
      </c>
      <c r="E107" s="679"/>
      <c r="F107" s="529">
        <f>VLOOKUP(D107,'Sept13 Revenue'!D:V,19,FALSE)</f>
        <v>0</v>
      </c>
      <c r="G107" s="680"/>
      <c r="H107" s="680"/>
      <c r="I107" s="770">
        <v>14366.64</v>
      </c>
      <c r="J107" s="682">
        <f t="shared" si="30"/>
        <v>14366.64</v>
      </c>
      <c r="K107" s="683"/>
      <c r="L107" s="684"/>
      <c r="M107" s="753"/>
      <c r="N107" s="683">
        <v>0</v>
      </c>
      <c r="O107" s="686"/>
      <c r="P107" s="683">
        <v>0</v>
      </c>
      <c r="Q107" s="687">
        <f t="shared" si="1"/>
        <v>0</v>
      </c>
      <c r="R107" s="687"/>
      <c r="S107" s="687"/>
      <c r="T107" s="688">
        <v>0</v>
      </c>
      <c r="U107" s="693"/>
      <c r="V107" s="690">
        <f t="shared" si="34"/>
        <v>0</v>
      </c>
      <c r="W107" s="683"/>
      <c r="X107" s="474">
        <f t="shared" si="35"/>
        <v>0</v>
      </c>
      <c r="Y107" s="474">
        <f t="shared" si="36"/>
        <v>0</v>
      </c>
      <c r="Z107" s="475">
        <f t="shared" si="37"/>
        <v>0</v>
      </c>
      <c r="AA107" s="475">
        <v>0</v>
      </c>
      <c r="AB107" s="476">
        <v>0</v>
      </c>
      <c r="AC107" s="38">
        <f t="shared" si="38"/>
        <v>0</v>
      </c>
      <c r="AD107" s="692">
        <f t="shared" si="31"/>
        <v>14366.64</v>
      </c>
      <c r="AE107" s="692">
        <f t="shared" si="32"/>
        <v>0</v>
      </c>
      <c r="AF107" s="692">
        <f t="shared" si="33"/>
        <v>0</v>
      </c>
      <c r="AG107" s="38"/>
      <c r="AH107" s="692">
        <f t="shared" si="39"/>
        <v>0</v>
      </c>
      <c r="AI107" s="692">
        <f t="shared" si="40"/>
        <v>0</v>
      </c>
      <c r="AJ107" s="692">
        <f t="shared" si="41"/>
        <v>0</v>
      </c>
      <c r="AL107" s="38">
        <f t="shared" si="42"/>
        <v>14366.64</v>
      </c>
      <c r="AM107" s="123" t="s">
        <v>995</v>
      </c>
    </row>
    <row r="108" spans="1:39" s="232" customFormat="1" ht="12.75" customHeight="1">
      <c r="A108" s="283"/>
      <c r="B108" s="283" t="s">
        <v>110</v>
      </c>
      <c r="C108" s="667"/>
      <c r="D108" s="123" t="s">
        <v>993</v>
      </c>
      <c r="E108" s="679"/>
      <c r="F108" s="529">
        <f>VLOOKUP(D108,'Sept13 Revenue'!D:V,19,FALSE)</f>
        <v>0</v>
      </c>
      <c r="G108" s="680"/>
      <c r="H108" s="680"/>
      <c r="I108" s="770">
        <v>4112082.11</v>
      </c>
      <c r="J108" s="682">
        <f t="shared" si="30"/>
        <v>4112082.11</v>
      </c>
      <c r="K108" s="683"/>
      <c r="L108" s="684"/>
      <c r="M108" s="753"/>
      <c r="N108" s="683">
        <v>0</v>
      </c>
      <c r="O108" s="686"/>
      <c r="P108" s="683">
        <v>0</v>
      </c>
      <c r="Q108" s="687">
        <f t="shared" si="1"/>
        <v>0</v>
      </c>
      <c r="R108" s="687"/>
      <c r="S108" s="687"/>
      <c r="T108" s="688">
        <v>0</v>
      </c>
      <c r="U108" s="693"/>
      <c r="V108" s="690">
        <f t="shared" si="34"/>
        <v>0</v>
      </c>
      <c r="W108" s="683"/>
      <c r="X108" s="474">
        <f t="shared" si="35"/>
        <v>0</v>
      </c>
      <c r="Y108" s="474">
        <f t="shared" si="36"/>
        <v>0</v>
      </c>
      <c r="Z108" s="475">
        <f t="shared" si="37"/>
        <v>0</v>
      </c>
      <c r="AA108" s="475">
        <v>0</v>
      </c>
      <c r="AB108" s="476">
        <v>0</v>
      </c>
      <c r="AC108" s="38">
        <f t="shared" si="38"/>
        <v>0</v>
      </c>
      <c r="AD108" s="692">
        <f t="shared" si="31"/>
        <v>4112082.11</v>
      </c>
      <c r="AE108" s="692">
        <f t="shared" si="32"/>
        <v>0</v>
      </c>
      <c r="AF108" s="692">
        <f t="shared" si="33"/>
        <v>0</v>
      </c>
      <c r="AG108" s="38"/>
      <c r="AH108" s="692">
        <f t="shared" si="39"/>
        <v>0</v>
      </c>
      <c r="AI108" s="692">
        <f t="shared" si="40"/>
        <v>0</v>
      </c>
      <c r="AJ108" s="692">
        <f t="shared" si="41"/>
        <v>0</v>
      </c>
      <c r="AL108" s="38">
        <f t="shared" si="42"/>
        <v>4112082.11</v>
      </c>
      <c r="AM108" s="123" t="s">
        <v>993</v>
      </c>
    </row>
    <row r="109" spans="1:39" s="232" customFormat="1" ht="12.75" customHeight="1">
      <c r="A109" s="283"/>
      <c r="B109" s="283" t="s">
        <v>110</v>
      </c>
      <c r="C109" s="667"/>
      <c r="D109" s="123" t="s">
        <v>996</v>
      </c>
      <c r="E109" s="679"/>
      <c r="F109" s="529">
        <f>VLOOKUP(D109,'Sept13 Revenue'!D:V,19,FALSE)</f>
        <v>0</v>
      </c>
      <c r="G109" s="680"/>
      <c r="H109" s="680"/>
      <c r="I109" s="770">
        <v>203668.5</v>
      </c>
      <c r="J109" s="682">
        <f t="shared" si="30"/>
        <v>203668.5</v>
      </c>
      <c r="K109" s="683"/>
      <c r="L109" s="684"/>
      <c r="M109" s="753"/>
      <c r="N109" s="683">
        <v>0</v>
      </c>
      <c r="O109" s="686"/>
      <c r="P109" s="683">
        <v>0</v>
      </c>
      <c r="Q109" s="687">
        <f t="shared" si="1"/>
        <v>0</v>
      </c>
      <c r="R109" s="687"/>
      <c r="S109" s="687"/>
      <c r="T109" s="688">
        <v>0</v>
      </c>
      <c r="U109" s="693"/>
      <c r="V109" s="690">
        <f t="shared" si="34"/>
        <v>0</v>
      </c>
      <c r="W109" s="683"/>
      <c r="X109" s="474">
        <f t="shared" si="35"/>
        <v>0</v>
      </c>
      <c r="Y109" s="474">
        <f t="shared" si="36"/>
        <v>0</v>
      </c>
      <c r="Z109" s="475">
        <f t="shared" si="37"/>
        <v>0</v>
      </c>
      <c r="AA109" s="475">
        <v>0</v>
      </c>
      <c r="AB109" s="476">
        <v>0</v>
      </c>
      <c r="AC109" s="38">
        <f t="shared" si="38"/>
        <v>0</v>
      </c>
      <c r="AD109" s="692">
        <f t="shared" si="31"/>
        <v>203668.5</v>
      </c>
      <c r="AE109" s="692">
        <f t="shared" si="32"/>
        <v>0</v>
      </c>
      <c r="AF109" s="692">
        <f t="shared" si="33"/>
        <v>0</v>
      </c>
      <c r="AG109" s="38"/>
      <c r="AH109" s="692">
        <f t="shared" si="39"/>
        <v>0</v>
      </c>
      <c r="AI109" s="692">
        <f t="shared" si="40"/>
        <v>0</v>
      </c>
      <c r="AJ109" s="692">
        <f t="shared" si="41"/>
        <v>0</v>
      </c>
      <c r="AL109" s="38">
        <f t="shared" si="42"/>
        <v>203668.5</v>
      </c>
      <c r="AM109" s="123" t="s">
        <v>996</v>
      </c>
    </row>
    <row r="110" spans="1:39" s="232" customFormat="1" ht="12.75" customHeight="1">
      <c r="A110" s="283"/>
      <c r="B110" s="283" t="s">
        <v>110</v>
      </c>
      <c r="C110" s="667"/>
      <c r="D110" s="123" t="s">
        <v>997</v>
      </c>
      <c r="E110" s="679"/>
      <c r="F110" s="529">
        <f>VLOOKUP(D110,'Sept13 Revenue'!D:V,19,FALSE)</f>
        <v>0</v>
      </c>
      <c r="G110" s="680"/>
      <c r="H110" s="680"/>
      <c r="I110" s="770">
        <v>27261.71</v>
      </c>
      <c r="J110" s="682">
        <f t="shared" si="30"/>
        <v>27261.71</v>
      </c>
      <c r="K110" s="683"/>
      <c r="L110" s="684"/>
      <c r="M110" s="753"/>
      <c r="N110" s="683">
        <v>0</v>
      </c>
      <c r="O110" s="686"/>
      <c r="P110" s="683">
        <v>0</v>
      </c>
      <c r="Q110" s="687">
        <f t="shared" si="1"/>
        <v>0</v>
      </c>
      <c r="R110" s="687"/>
      <c r="S110" s="687"/>
      <c r="T110" s="688">
        <v>0</v>
      </c>
      <c r="U110" s="693"/>
      <c r="V110" s="690">
        <f t="shared" si="34"/>
        <v>0</v>
      </c>
      <c r="W110" s="683"/>
      <c r="X110" s="474">
        <f t="shared" si="35"/>
        <v>0</v>
      </c>
      <c r="Y110" s="474">
        <f t="shared" si="36"/>
        <v>0</v>
      </c>
      <c r="Z110" s="475">
        <f t="shared" si="37"/>
        <v>0</v>
      </c>
      <c r="AA110" s="475">
        <v>0</v>
      </c>
      <c r="AB110" s="476">
        <v>0</v>
      </c>
      <c r="AC110" s="38">
        <f t="shared" si="38"/>
        <v>0</v>
      </c>
      <c r="AD110" s="692">
        <f t="shared" si="31"/>
        <v>27261.71</v>
      </c>
      <c r="AE110" s="692">
        <f t="shared" si="32"/>
        <v>0</v>
      </c>
      <c r="AF110" s="692">
        <f t="shared" si="33"/>
        <v>0</v>
      </c>
      <c r="AG110" s="38"/>
      <c r="AH110" s="692">
        <f t="shared" si="39"/>
        <v>0</v>
      </c>
      <c r="AI110" s="692">
        <f t="shared" si="40"/>
        <v>0</v>
      </c>
      <c r="AJ110" s="692">
        <f t="shared" si="41"/>
        <v>0</v>
      </c>
      <c r="AL110" s="38">
        <f t="shared" si="42"/>
        <v>27261.71</v>
      </c>
      <c r="AM110" s="123" t="s">
        <v>997</v>
      </c>
    </row>
    <row r="111" spans="1:39" s="232" customFormat="1" ht="12.75" customHeight="1">
      <c r="A111" s="283"/>
      <c r="B111" s="283" t="s">
        <v>110</v>
      </c>
      <c r="C111" s="667"/>
      <c r="D111" s="123" t="s">
        <v>998</v>
      </c>
      <c r="E111" s="679"/>
      <c r="F111" s="529">
        <f>VLOOKUP(D111,'Sept13 Revenue'!D:V,19,FALSE)</f>
        <v>0</v>
      </c>
      <c r="G111" s="680"/>
      <c r="H111" s="680"/>
      <c r="I111" s="770">
        <v>33791.72</v>
      </c>
      <c r="J111" s="682">
        <f t="shared" si="30"/>
        <v>33791.72</v>
      </c>
      <c r="K111" s="683"/>
      <c r="L111" s="684"/>
      <c r="M111" s="753"/>
      <c r="N111" s="683">
        <v>0</v>
      </c>
      <c r="O111" s="686"/>
      <c r="P111" s="683">
        <v>0</v>
      </c>
      <c r="Q111" s="687">
        <f t="shared" si="1"/>
        <v>0</v>
      </c>
      <c r="R111" s="687"/>
      <c r="S111" s="687"/>
      <c r="T111" s="688">
        <v>0</v>
      </c>
      <c r="U111" s="693"/>
      <c r="V111" s="690">
        <f t="shared" si="34"/>
        <v>0</v>
      </c>
      <c r="W111" s="683"/>
      <c r="X111" s="474">
        <f t="shared" si="35"/>
        <v>0</v>
      </c>
      <c r="Y111" s="474">
        <f t="shared" si="36"/>
        <v>0</v>
      </c>
      <c r="Z111" s="475">
        <f t="shared" si="37"/>
        <v>0</v>
      </c>
      <c r="AA111" s="475">
        <v>0</v>
      </c>
      <c r="AB111" s="476">
        <v>0</v>
      </c>
      <c r="AC111" s="38">
        <f t="shared" si="38"/>
        <v>0</v>
      </c>
      <c r="AD111" s="692">
        <f t="shared" si="31"/>
        <v>33791.72</v>
      </c>
      <c r="AE111" s="692">
        <f t="shared" si="32"/>
        <v>0</v>
      </c>
      <c r="AF111" s="692">
        <f t="shared" si="33"/>
        <v>0</v>
      </c>
      <c r="AG111" s="38"/>
      <c r="AH111" s="692">
        <f t="shared" si="39"/>
        <v>0</v>
      </c>
      <c r="AI111" s="692">
        <f t="shared" si="40"/>
        <v>0</v>
      </c>
      <c r="AJ111" s="692">
        <f t="shared" si="41"/>
        <v>0</v>
      </c>
      <c r="AL111" s="38">
        <f t="shared" si="42"/>
        <v>33791.72</v>
      </c>
      <c r="AM111" s="123" t="s">
        <v>998</v>
      </c>
    </row>
    <row r="112" spans="1:39" s="232" customFormat="1" ht="12" customHeight="1">
      <c r="A112" s="283"/>
      <c r="B112" s="283" t="s">
        <v>110</v>
      </c>
      <c r="C112" s="667"/>
      <c r="D112" s="123" t="s">
        <v>999</v>
      </c>
      <c r="E112" s="679"/>
      <c r="F112" s="529">
        <f>VLOOKUP(D112,'Sept13 Revenue'!D:V,19,FALSE)</f>
        <v>0</v>
      </c>
      <c r="G112" s="680"/>
      <c r="H112" s="680"/>
      <c r="I112" s="770">
        <v>34178.82</v>
      </c>
      <c r="J112" s="682">
        <f t="shared" si="30"/>
        <v>34178.82</v>
      </c>
      <c r="K112" s="683"/>
      <c r="L112" s="684"/>
      <c r="M112" s="753"/>
      <c r="N112" s="683">
        <v>0</v>
      </c>
      <c r="O112" s="686"/>
      <c r="P112" s="683">
        <v>0</v>
      </c>
      <c r="Q112" s="687">
        <f t="shared" si="1"/>
        <v>0</v>
      </c>
      <c r="R112" s="687"/>
      <c r="S112" s="687"/>
      <c r="T112" s="688">
        <v>0</v>
      </c>
      <c r="U112" s="693"/>
      <c r="V112" s="690">
        <f t="shared" si="34"/>
        <v>0</v>
      </c>
      <c r="W112" s="683"/>
      <c r="X112" s="474">
        <f t="shared" si="35"/>
        <v>0</v>
      </c>
      <c r="Y112" s="474">
        <f t="shared" si="36"/>
        <v>0</v>
      </c>
      <c r="Z112" s="475">
        <f t="shared" si="37"/>
        <v>0</v>
      </c>
      <c r="AA112" s="475">
        <v>0</v>
      </c>
      <c r="AB112" s="476">
        <v>0</v>
      </c>
      <c r="AC112" s="38">
        <f t="shared" si="38"/>
        <v>0</v>
      </c>
      <c r="AD112" s="692">
        <f t="shared" si="31"/>
        <v>34178.82</v>
      </c>
      <c r="AE112" s="692">
        <f t="shared" si="32"/>
        <v>0</v>
      </c>
      <c r="AF112" s="692">
        <f t="shared" si="33"/>
        <v>0</v>
      </c>
      <c r="AG112" s="38"/>
      <c r="AH112" s="692">
        <f t="shared" si="39"/>
        <v>0</v>
      </c>
      <c r="AI112" s="692">
        <f t="shared" si="40"/>
        <v>0</v>
      </c>
      <c r="AJ112" s="692">
        <f t="shared" si="41"/>
        <v>0</v>
      </c>
      <c r="AL112" s="38">
        <f t="shared" si="42"/>
        <v>34178.82</v>
      </c>
      <c r="AM112" s="123" t="s">
        <v>999</v>
      </c>
    </row>
    <row r="113" spans="1:39" s="232" customFormat="1" ht="12" customHeight="1">
      <c r="A113" s="283"/>
      <c r="B113" s="283" t="s">
        <v>110</v>
      </c>
      <c r="C113" s="667"/>
      <c r="D113" s="123" t="s">
        <v>1000</v>
      </c>
      <c r="E113" s="679"/>
      <c r="F113" s="529">
        <f>VLOOKUP(D113,'Sept13 Revenue'!D:V,19,FALSE)</f>
        <v>0</v>
      </c>
      <c r="G113" s="680"/>
      <c r="H113" s="680"/>
      <c r="I113" s="770">
        <v>9928.6299999999992</v>
      </c>
      <c r="J113" s="682">
        <f t="shared" si="30"/>
        <v>9928.6299999999992</v>
      </c>
      <c r="K113" s="683"/>
      <c r="L113" s="684"/>
      <c r="M113" s="753"/>
      <c r="N113" s="683">
        <v>0</v>
      </c>
      <c r="O113" s="686"/>
      <c r="P113" s="683">
        <v>0</v>
      </c>
      <c r="Q113" s="687">
        <f t="shared" si="1"/>
        <v>0</v>
      </c>
      <c r="R113" s="687"/>
      <c r="S113" s="687"/>
      <c r="T113" s="688">
        <v>0</v>
      </c>
      <c r="U113" s="693"/>
      <c r="V113" s="690">
        <f t="shared" si="34"/>
        <v>0</v>
      </c>
      <c r="W113" s="683"/>
      <c r="X113" s="474">
        <f t="shared" si="35"/>
        <v>0</v>
      </c>
      <c r="Y113" s="474">
        <f t="shared" si="36"/>
        <v>0</v>
      </c>
      <c r="Z113" s="475">
        <f t="shared" si="37"/>
        <v>0</v>
      </c>
      <c r="AA113" s="475">
        <v>0</v>
      </c>
      <c r="AB113" s="476">
        <v>0</v>
      </c>
      <c r="AC113" s="38">
        <f t="shared" si="38"/>
        <v>0</v>
      </c>
      <c r="AD113" s="692">
        <f t="shared" si="31"/>
        <v>9928.6299999999992</v>
      </c>
      <c r="AE113" s="692">
        <f t="shared" si="32"/>
        <v>0</v>
      </c>
      <c r="AF113" s="692">
        <f t="shared" si="33"/>
        <v>0</v>
      </c>
      <c r="AG113" s="38"/>
      <c r="AH113" s="692">
        <f t="shared" si="39"/>
        <v>0</v>
      </c>
      <c r="AI113" s="692">
        <f t="shared" si="40"/>
        <v>0</v>
      </c>
      <c r="AJ113" s="692">
        <f t="shared" si="41"/>
        <v>0</v>
      </c>
      <c r="AL113" s="38">
        <f t="shared" si="42"/>
        <v>9928.6299999999992</v>
      </c>
      <c r="AM113" s="123" t="s">
        <v>1000</v>
      </c>
    </row>
    <row r="114" spans="1:39" s="232" customFormat="1" ht="12" customHeight="1">
      <c r="A114" s="283"/>
      <c r="B114" s="283" t="s">
        <v>110</v>
      </c>
      <c r="C114" s="667"/>
      <c r="D114" s="123" t="s">
        <v>1001</v>
      </c>
      <c r="E114" s="679"/>
      <c r="F114" s="529">
        <f>VLOOKUP(D114,'Sept13 Revenue'!D:V,19,FALSE)</f>
        <v>0</v>
      </c>
      <c r="G114" s="680"/>
      <c r="H114" s="680"/>
      <c r="I114" s="755"/>
      <c r="J114" s="682">
        <f t="shared" si="30"/>
        <v>0</v>
      </c>
      <c r="K114" s="683"/>
      <c r="L114" s="684"/>
      <c r="M114" s="753"/>
      <c r="N114" s="683">
        <v>0</v>
      </c>
      <c r="O114" s="686"/>
      <c r="P114" s="683">
        <v>0</v>
      </c>
      <c r="Q114" s="687">
        <f t="shared" si="1"/>
        <v>0</v>
      </c>
      <c r="R114" s="687"/>
      <c r="S114" s="687"/>
      <c r="T114" s="688">
        <v>0</v>
      </c>
      <c r="U114" s="693"/>
      <c r="V114" s="690">
        <f t="shared" si="34"/>
        <v>0</v>
      </c>
      <c r="W114" s="683"/>
      <c r="X114" s="474">
        <f t="shared" si="35"/>
        <v>0</v>
      </c>
      <c r="Y114" s="474">
        <f t="shared" si="36"/>
        <v>0</v>
      </c>
      <c r="Z114" s="475">
        <f t="shared" si="37"/>
        <v>0</v>
      </c>
      <c r="AA114" s="475">
        <v>0</v>
      </c>
      <c r="AB114" s="476">
        <v>0</v>
      </c>
      <c r="AC114" s="38">
        <f t="shared" si="38"/>
        <v>0</v>
      </c>
      <c r="AD114" s="692">
        <f t="shared" si="31"/>
        <v>0</v>
      </c>
      <c r="AE114" s="692">
        <f t="shared" si="32"/>
        <v>0</v>
      </c>
      <c r="AF114" s="692">
        <f t="shared" si="33"/>
        <v>0</v>
      </c>
      <c r="AG114" s="38"/>
      <c r="AH114" s="692">
        <f t="shared" si="39"/>
        <v>0</v>
      </c>
      <c r="AI114" s="692">
        <f t="shared" si="40"/>
        <v>0</v>
      </c>
      <c r="AJ114" s="692">
        <f t="shared" si="41"/>
        <v>0</v>
      </c>
      <c r="AL114" s="38">
        <f t="shared" si="42"/>
        <v>0</v>
      </c>
      <c r="AM114" s="123" t="s">
        <v>1001</v>
      </c>
    </row>
    <row r="115" spans="1:39" s="24" customFormat="1" ht="12" customHeight="1">
      <c r="A115" s="32"/>
      <c r="B115" s="32" t="s">
        <v>110</v>
      </c>
      <c r="C115" s="667"/>
      <c r="D115" s="68" t="s">
        <v>588</v>
      </c>
      <c r="E115" s="679"/>
      <c r="F115" s="529">
        <f>VLOOKUP(D115,'Sept13 Revenue'!D:V,19,FALSE)</f>
        <v>0</v>
      </c>
      <c r="G115" s="680"/>
      <c r="H115" s="680"/>
      <c r="I115" s="755"/>
      <c r="J115" s="682">
        <f t="shared" si="30"/>
        <v>0</v>
      </c>
      <c r="K115" s="683"/>
      <c r="L115" s="684"/>
      <c r="M115" s="753"/>
      <c r="N115" s="698"/>
      <c r="O115" s="699"/>
      <c r="P115" s="698"/>
      <c r="Q115" s="687">
        <f t="shared" si="1"/>
        <v>0</v>
      </c>
      <c r="R115" s="687"/>
      <c r="S115" s="687"/>
      <c r="T115" s="688">
        <v>0</v>
      </c>
      <c r="U115" s="693"/>
      <c r="V115" s="690">
        <f t="shared" si="34"/>
        <v>0</v>
      </c>
      <c r="W115" s="683"/>
      <c r="X115" s="474">
        <f t="shared" si="35"/>
        <v>0</v>
      </c>
      <c r="Y115" s="474">
        <f t="shared" si="36"/>
        <v>0</v>
      </c>
      <c r="Z115" s="475">
        <f t="shared" si="37"/>
        <v>0</v>
      </c>
      <c r="AA115" s="475">
        <v>0</v>
      </c>
      <c r="AB115" s="476">
        <v>0</v>
      </c>
      <c r="AC115" s="38">
        <f t="shared" si="38"/>
        <v>0</v>
      </c>
      <c r="AD115" s="692">
        <f t="shared" si="31"/>
        <v>0</v>
      </c>
      <c r="AE115" s="692">
        <f t="shared" si="32"/>
        <v>0</v>
      </c>
      <c r="AF115" s="692">
        <f t="shared" si="33"/>
        <v>0</v>
      </c>
      <c r="AG115" s="38"/>
      <c r="AH115" s="692">
        <f t="shared" si="39"/>
        <v>0</v>
      </c>
      <c r="AI115" s="692">
        <f t="shared" si="40"/>
        <v>0</v>
      </c>
      <c r="AJ115" s="692">
        <f t="shared" si="41"/>
        <v>0</v>
      </c>
      <c r="AL115" s="38">
        <f t="shared" si="42"/>
        <v>0</v>
      </c>
      <c r="AM115" s="68" t="s">
        <v>588</v>
      </c>
    </row>
    <row r="116" spans="1:39" s="24" customFormat="1" ht="12" customHeight="1">
      <c r="A116" s="32"/>
      <c r="B116" s="32" t="s">
        <v>110</v>
      </c>
      <c r="C116" s="667"/>
      <c r="D116" s="68" t="s">
        <v>935</v>
      </c>
      <c r="E116" s="679"/>
      <c r="F116" s="529">
        <f>VLOOKUP(D116,'Sept13 Revenue'!D:V,19,FALSE)</f>
        <v>-5000</v>
      </c>
      <c r="G116" s="680"/>
      <c r="H116" s="680"/>
      <c r="I116" s="755"/>
      <c r="J116" s="682">
        <f t="shared" si="30"/>
        <v>-5000</v>
      </c>
      <c r="K116" s="683"/>
      <c r="L116" s="684"/>
      <c r="M116" s="753">
        <v>10000</v>
      </c>
      <c r="N116" s="698"/>
      <c r="O116" s="699"/>
      <c r="P116" s="698"/>
      <c r="Q116" s="687">
        <f t="shared" si="1"/>
        <v>10000</v>
      </c>
      <c r="R116" s="687"/>
      <c r="S116" s="687"/>
      <c r="T116" s="688">
        <v>0</v>
      </c>
      <c r="U116" s="693"/>
      <c r="V116" s="690">
        <f t="shared" si="34"/>
        <v>-10000</v>
      </c>
      <c r="W116" s="683"/>
      <c r="X116" s="474">
        <f t="shared" si="35"/>
        <v>10000</v>
      </c>
      <c r="Y116" s="474">
        <f t="shared" si="36"/>
        <v>0</v>
      </c>
      <c r="Z116" s="475">
        <f t="shared" si="37"/>
        <v>0</v>
      </c>
      <c r="AA116" s="475">
        <v>0</v>
      </c>
      <c r="AB116" s="476">
        <v>0</v>
      </c>
      <c r="AC116" s="38">
        <f t="shared" si="38"/>
        <v>0</v>
      </c>
      <c r="AD116" s="692">
        <f t="shared" si="31"/>
        <v>-5000</v>
      </c>
      <c r="AE116" s="692">
        <f t="shared" si="32"/>
        <v>0</v>
      </c>
      <c r="AF116" s="692">
        <f t="shared" si="33"/>
        <v>0</v>
      </c>
      <c r="AG116" s="38"/>
      <c r="AH116" s="692">
        <f t="shared" si="39"/>
        <v>10000</v>
      </c>
      <c r="AI116" s="692">
        <f t="shared" si="40"/>
        <v>0</v>
      </c>
      <c r="AJ116" s="692">
        <f t="shared" si="41"/>
        <v>0</v>
      </c>
      <c r="AL116" s="38">
        <f t="shared" si="42"/>
        <v>5000</v>
      </c>
      <c r="AM116" s="68" t="s">
        <v>935</v>
      </c>
    </row>
    <row r="117" spans="1:39" ht="12" customHeight="1">
      <c r="A117" s="21"/>
      <c r="B117" s="21" t="s">
        <v>109</v>
      </c>
      <c r="C117" s="666" t="s">
        <v>548</v>
      </c>
      <c r="D117" s="68" t="s">
        <v>461</v>
      </c>
      <c r="E117" s="679"/>
      <c r="F117" s="529">
        <f>VLOOKUP(D117,'Sept13 Revenue'!D:V,19,FALSE)</f>
        <v>0</v>
      </c>
      <c r="G117" s="680"/>
      <c r="H117" s="680"/>
      <c r="I117" s="755"/>
      <c r="J117" s="682">
        <f t="shared" si="30"/>
        <v>0</v>
      </c>
      <c r="K117" s="683"/>
      <c r="L117" s="684"/>
      <c r="M117" s="753"/>
      <c r="N117" s="683">
        <v>0</v>
      </c>
      <c r="O117" s="686"/>
      <c r="P117" s="683">
        <v>0</v>
      </c>
      <c r="Q117" s="687">
        <f t="shared" si="1"/>
        <v>0</v>
      </c>
      <c r="R117" s="687"/>
      <c r="S117" s="687"/>
      <c r="T117" s="688">
        <v>1956.56</v>
      </c>
      <c r="U117" s="693"/>
      <c r="V117" s="690">
        <f t="shared" si="34"/>
        <v>1956.56</v>
      </c>
      <c r="W117" s="683"/>
      <c r="X117" s="474">
        <f t="shared" si="35"/>
        <v>0</v>
      </c>
      <c r="Y117" s="474">
        <f t="shared" si="36"/>
        <v>0</v>
      </c>
      <c r="Z117" s="475">
        <f t="shared" si="37"/>
        <v>0</v>
      </c>
      <c r="AA117" s="475">
        <v>0</v>
      </c>
      <c r="AB117" s="476">
        <v>0</v>
      </c>
      <c r="AC117" s="38">
        <f t="shared" si="38"/>
        <v>0</v>
      </c>
      <c r="AD117" s="692">
        <f t="shared" si="31"/>
        <v>0</v>
      </c>
      <c r="AE117" s="692">
        <f t="shared" si="32"/>
        <v>0</v>
      </c>
      <c r="AF117" s="692">
        <f t="shared" si="33"/>
        <v>0</v>
      </c>
      <c r="AG117" s="38"/>
      <c r="AH117" s="692">
        <f t="shared" si="39"/>
        <v>0</v>
      </c>
      <c r="AI117" s="692">
        <f t="shared" si="40"/>
        <v>0</v>
      </c>
      <c r="AJ117" s="692">
        <f t="shared" si="41"/>
        <v>0</v>
      </c>
      <c r="AL117" s="38">
        <f t="shared" si="42"/>
        <v>0</v>
      </c>
      <c r="AM117" s="68" t="s">
        <v>461</v>
      </c>
    </row>
    <row r="118" spans="1:39">
      <c r="A118" s="20"/>
      <c r="B118" s="20" t="s">
        <v>109</v>
      </c>
      <c r="C118" s="667" t="s">
        <v>549</v>
      </c>
      <c r="D118" s="68" t="s">
        <v>22</v>
      </c>
      <c r="E118" s="679"/>
      <c r="F118" s="529">
        <f>VLOOKUP(D118,'Sept13 Revenue'!D:V,19,FALSE)</f>
        <v>0</v>
      </c>
      <c r="G118" s="680"/>
      <c r="H118" s="680"/>
      <c r="I118" s="755"/>
      <c r="J118" s="682">
        <f t="shared" si="30"/>
        <v>0</v>
      </c>
      <c r="K118" s="683"/>
      <c r="L118" s="684"/>
      <c r="M118" s="753"/>
      <c r="N118" s="683">
        <v>0</v>
      </c>
      <c r="O118" s="686"/>
      <c r="P118" s="683">
        <v>0</v>
      </c>
      <c r="Q118" s="687">
        <f t="shared" si="1"/>
        <v>0</v>
      </c>
      <c r="R118" s="687"/>
      <c r="S118" s="687"/>
      <c r="T118" s="688">
        <v>0</v>
      </c>
      <c r="U118" s="693"/>
      <c r="V118" s="690">
        <f t="shared" si="34"/>
        <v>0</v>
      </c>
      <c r="W118" s="683"/>
      <c r="X118" s="474">
        <f t="shared" si="35"/>
        <v>0</v>
      </c>
      <c r="Y118" s="474">
        <f t="shared" si="36"/>
        <v>0</v>
      </c>
      <c r="Z118" s="475">
        <f t="shared" si="37"/>
        <v>0</v>
      </c>
      <c r="AA118" s="475">
        <v>0</v>
      </c>
      <c r="AB118" s="476">
        <v>0</v>
      </c>
      <c r="AC118" s="38">
        <f t="shared" si="38"/>
        <v>0</v>
      </c>
      <c r="AD118" s="692">
        <f t="shared" si="31"/>
        <v>0</v>
      </c>
      <c r="AE118" s="692">
        <f t="shared" si="32"/>
        <v>0</v>
      </c>
      <c r="AF118" s="692">
        <f t="shared" si="33"/>
        <v>0</v>
      </c>
      <c r="AG118" s="38"/>
      <c r="AH118" s="692">
        <f t="shared" si="39"/>
        <v>0</v>
      </c>
      <c r="AI118" s="692">
        <f t="shared" si="40"/>
        <v>0</v>
      </c>
      <c r="AJ118" s="692">
        <f t="shared" si="41"/>
        <v>0</v>
      </c>
      <c r="AL118" s="38">
        <f t="shared" si="42"/>
        <v>0</v>
      </c>
      <c r="AM118" s="68" t="s">
        <v>22</v>
      </c>
    </row>
    <row r="119" spans="1:39">
      <c r="A119" s="20"/>
      <c r="B119" s="20" t="s">
        <v>110</v>
      </c>
      <c r="C119" s="667"/>
      <c r="D119" s="68" t="s">
        <v>24</v>
      </c>
      <c r="E119" s="679"/>
      <c r="F119" s="529">
        <f>VLOOKUP(D119,'Sept13 Revenue'!D:V,19,FALSE)</f>
        <v>7930.09</v>
      </c>
      <c r="G119" s="680"/>
      <c r="H119" s="680"/>
      <c r="I119" s="755"/>
      <c r="J119" s="682">
        <f t="shared" si="30"/>
        <v>7930.09</v>
      </c>
      <c r="K119" s="683"/>
      <c r="L119" s="684"/>
      <c r="M119" s="753">
        <v>8000</v>
      </c>
      <c r="N119" s="683">
        <v>0</v>
      </c>
      <c r="O119" s="686"/>
      <c r="P119" s="683">
        <v>0</v>
      </c>
      <c r="Q119" s="687">
        <f t="shared" si="1"/>
        <v>8000</v>
      </c>
      <c r="R119" s="687"/>
      <c r="S119" s="687"/>
      <c r="T119" s="688">
        <v>10661.08</v>
      </c>
      <c r="U119" s="693"/>
      <c r="V119" s="690">
        <f t="shared" si="34"/>
        <v>2661.08</v>
      </c>
      <c r="W119" s="683"/>
      <c r="X119" s="474">
        <f t="shared" si="35"/>
        <v>8000</v>
      </c>
      <c r="Y119" s="474">
        <f t="shared" si="36"/>
        <v>0</v>
      </c>
      <c r="Z119" s="475">
        <f t="shared" si="37"/>
        <v>0</v>
      </c>
      <c r="AA119" s="475">
        <v>0</v>
      </c>
      <c r="AB119" s="476">
        <v>0</v>
      </c>
      <c r="AC119" s="38">
        <f t="shared" si="38"/>
        <v>0</v>
      </c>
      <c r="AD119" s="692">
        <f t="shared" si="31"/>
        <v>7930.09</v>
      </c>
      <c r="AE119" s="692">
        <f t="shared" si="32"/>
        <v>0</v>
      </c>
      <c r="AF119" s="692">
        <f t="shared" si="33"/>
        <v>0</v>
      </c>
      <c r="AG119" s="38"/>
      <c r="AH119" s="692">
        <f t="shared" si="39"/>
        <v>8000</v>
      </c>
      <c r="AI119" s="692">
        <f t="shared" si="40"/>
        <v>0</v>
      </c>
      <c r="AJ119" s="692">
        <f t="shared" si="41"/>
        <v>0</v>
      </c>
      <c r="AL119" s="38">
        <f t="shared" si="42"/>
        <v>15930.09</v>
      </c>
      <c r="AM119" s="68" t="s">
        <v>24</v>
      </c>
    </row>
    <row r="120" spans="1:39">
      <c r="A120" s="21"/>
      <c r="B120" s="21" t="s">
        <v>110</v>
      </c>
      <c r="C120" s="666"/>
      <c r="D120" s="68" t="s">
        <v>1019</v>
      </c>
      <c r="E120" s="679">
        <v>21194.93</v>
      </c>
      <c r="F120" s="529">
        <f>VLOOKUP(D120,'Sept13 Revenue'!D:V,19,FALSE)</f>
        <v>0</v>
      </c>
      <c r="G120" s="680"/>
      <c r="H120" s="680"/>
      <c r="I120" s="755"/>
      <c r="J120" s="682">
        <f t="shared" ref="J120" si="58">SUM(E120:I120)</f>
        <v>21194.93</v>
      </c>
      <c r="K120" s="683"/>
      <c r="L120" s="684"/>
      <c r="M120" s="753"/>
      <c r="N120" s="683">
        <v>0</v>
      </c>
      <c r="O120" s="686"/>
      <c r="P120" s="683">
        <v>0</v>
      </c>
      <c r="Q120" s="687">
        <f t="shared" ref="Q120" si="59">L120+M120</f>
        <v>0</v>
      </c>
      <c r="R120" s="687"/>
      <c r="S120" s="687"/>
      <c r="T120" s="688">
        <v>0</v>
      </c>
      <c r="U120" s="693"/>
      <c r="V120" s="690">
        <f t="shared" si="34"/>
        <v>0</v>
      </c>
      <c r="W120" s="683"/>
      <c r="X120" s="474">
        <f t="shared" ref="X120" si="60">IF(B120="D",Q120,0)</f>
        <v>0</v>
      </c>
      <c r="Y120" s="474">
        <f t="shared" ref="Y120" si="61">IF(B120="M",Q120,0)</f>
        <v>0</v>
      </c>
      <c r="Z120" s="475">
        <f t="shared" ref="Z120" si="62">IF(B120="V",Q120,0)</f>
        <v>0</v>
      </c>
      <c r="AA120" s="475">
        <v>0</v>
      </c>
      <c r="AB120" s="476">
        <v>0</v>
      </c>
      <c r="AC120" s="38">
        <f t="shared" ref="AC120" si="63">(L120+M120)-(X120+Y120+Z120+AA120+AB120)</f>
        <v>0</v>
      </c>
      <c r="AD120" s="692">
        <f t="shared" ref="AD120" si="64">IF(B120="D",J120,0)</f>
        <v>21194.93</v>
      </c>
      <c r="AE120" s="692">
        <f t="shared" ref="AE120" si="65">IF(B120="M",J120,0)</f>
        <v>0</v>
      </c>
      <c r="AF120" s="692">
        <f t="shared" ref="AF120" si="66">IF(B120="V",J120,0)</f>
        <v>0</v>
      </c>
      <c r="AG120" s="38"/>
      <c r="AH120" s="692">
        <f t="shared" ref="AH120" si="67">IF(B120="D",Q120,0)</f>
        <v>0</v>
      </c>
      <c r="AI120" s="692">
        <f t="shared" ref="AI120" si="68">IF(B120="M",Q120,0)</f>
        <v>0</v>
      </c>
      <c r="AJ120" s="692">
        <f t="shared" ref="AJ120" si="69">IF(B120="V",Q120,0)</f>
        <v>0</v>
      </c>
      <c r="AL120" s="38">
        <f t="shared" si="42"/>
        <v>21194.93</v>
      </c>
      <c r="AM120" s="68" t="s">
        <v>1019</v>
      </c>
    </row>
    <row r="121" spans="1:39">
      <c r="A121" s="21"/>
      <c r="B121" s="21" t="s">
        <v>110</v>
      </c>
      <c r="C121" s="666"/>
      <c r="D121" s="68" t="s">
        <v>937</v>
      </c>
      <c r="E121" s="679"/>
      <c r="F121" s="529">
        <f>VLOOKUP(D121,'Sept13 Revenue'!D:V,19,FALSE)</f>
        <v>2211.7900000000009</v>
      </c>
      <c r="G121" s="680"/>
      <c r="H121" s="680"/>
      <c r="I121" s="755"/>
      <c r="J121" s="682">
        <f t="shared" si="30"/>
        <v>2211.7900000000009</v>
      </c>
      <c r="K121" s="683"/>
      <c r="L121" s="684"/>
      <c r="M121" s="753"/>
      <c r="N121" s="683">
        <v>0</v>
      </c>
      <c r="O121" s="686"/>
      <c r="P121" s="683">
        <v>0</v>
      </c>
      <c r="Q121" s="687">
        <f t="shared" si="1"/>
        <v>0</v>
      </c>
      <c r="R121" s="687"/>
      <c r="S121" s="687"/>
      <c r="T121" s="688">
        <v>0</v>
      </c>
      <c r="U121" s="693"/>
      <c r="V121" s="690">
        <f t="shared" si="34"/>
        <v>0</v>
      </c>
      <c r="W121" s="683"/>
      <c r="X121" s="474">
        <f t="shared" si="35"/>
        <v>0</v>
      </c>
      <c r="Y121" s="474">
        <f t="shared" si="36"/>
        <v>0</v>
      </c>
      <c r="Z121" s="475">
        <f t="shared" si="37"/>
        <v>0</v>
      </c>
      <c r="AA121" s="475">
        <v>0</v>
      </c>
      <c r="AB121" s="476">
        <v>0</v>
      </c>
      <c r="AC121" s="38">
        <f t="shared" si="38"/>
        <v>0</v>
      </c>
      <c r="AD121" s="692">
        <f t="shared" si="31"/>
        <v>2211.7900000000009</v>
      </c>
      <c r="AE121" s="692">
        <f t="shared" si="32"/>
        <v>0</v>
      </c>
      <c r="AF121" s="692">
        <f t="shared" si="33"/>
        <v>0</v>
      </c>
      <c r="AG121" s="38"/>
      <c r="AH121" s="692">
        <f t="shared" si="39"/>
        <v>0</v>
      </c>
      <c r="AI121" s="692">
        <f t="shared" si="40"/>
        <v>0</v>
      </c>
      <c r="AJ121" s="692">
        <f t="shared" si="41"/>
        <v>0</v>
      </c>
      <c r="AL121" s="38">
        <f t="shared" si="42"/>
        <v>2211.7900000000009</v>
      </c>
      <c r="AM121" s="68" t="s">
        <v>937</v>
      </c>
    </row>
    <row r="122" spans="1:39">
      <c r="A122" s="21"/>
      <c r="B122" s="21" t="s">
        <v>110</v>
      </c>
      <c r="C122" s="666"/>
      <c r="D122" s="68" t="s">
        <v>967</v>
      </c>
      <c r="E122" s="679"/>
      <c r="F122" s="529">
        <f>VLOOKUP(D122,'Sept13 Revenue'!D:V,19,FALSE)</f>
        <v>197489</v>
      </c>
      <c r="G122" s="680"/>
      <c r="H122" s="680"/>
      <c r="I122" s="755"/>
      <c r="J122" s="682">
        <f t="shared" si="30"/>
        <v>197489</v>
      </c>
      <c r="K122" s="683"/>
      <c r="L122" s="684"/>
      <c r="M122" s="753">
        <v>65000</v>
      </c>
      <c r="N122" s="683">
        <v>0</v>
      </c>
      <c r="O122" s="686"/>
      <c r="P122" s="683">
        <v>0</v>
      </c>
      <c r="Q122" s="687">
        <f t="shared" si="1"/>
        <v>65000</v>
      </c>
      <c r="R122" s="687"/>
      <c r="S122" s="687"/>
      <c r="T122" s="688">
        <v>0</v>
      </c>
      <c r="U122" s="693"/>
      <c r="V122" s="690">
        <f t="shared" si="34"/>
        <v>-65000</v>
      </c>
      <c r="W122" s="683"/>
      <c r="X122" s="474">
        <f t="shared" si="35"/>
        <v>65000</v>
      </c>
      <c r="Y122" s="474">
        <f t="shared" si="36"/>
        <v>0</v>
      </c>
      <c r="Z122" s="475">
        <f t="shared" si="37"/>
        <v>0</v>
      </c>
      <c r="AA122" s="475">
        <v>0</v>
      </c>
      <c r="AB122" s="476">
        <v>0</v>
      </c>
      <c r="AC122" s="38">
        <f t="shared" si="38"/>
        <v>0</v>
      </c>
      <c r="AD122" s="692">
        <f t="shared" si="31"/>
        <v>197489</v>
      </c>
      <c r="AE122" s="692">
        <f t="shared" si="32"/>
        <v>0</v>
      </c>
      <c r="AF122" s="692">
        <f t="shared" si="33"/>
        <v>0</v>
      </c>
      <c r="AG122" s="38"/>
      <c r="AH122" s="692">
        <f t="shared" si="39"/>
        <v>65000</v>
      </c>
      <c r="AI122" s="692">
        <f t="shared" si="40"/>
        <v>0</v>
      </c>
      <c r="AJ122" s="692">
        <f t="shared" si="41"/>
        <v>0</v>
      </c>
      <c r="AL122" s="38">
        <f t="shared" si="42"/>
        <v>262489</v>
      </c>
      <c r="AM122" s="68" t="s">
        <v>967</v>
      </c>
    </row>
    <row r="123" spans="1:39">
      <c r="A123" s="21"/>
      <c r="B123" s="21" t="s">
        <v>110</v>
      </c>
      <c r="C123" s="666"/>
      <c r="D123" s="68" t="s">
        <v>1002</v>
      </c>
      <c r="E123" s="679"/>
      <c r="F123" s="529">
        <f>VLOOKUP(D123,'Sept13 Revenue'!D:V,19,FALSE)</f>
        <v>0</v>
      </c>
      <c r="G123" s="680"/>
      <c r="H123" s="680"/>
      <c r="I123" s="755"/>
      <c r="J123" s="682">
        <f t="shared" si="30"/>
        <v>0</v>
      </c>
      <c r="K123" s="683"/>
      <c r="L123" s="684"/>
      <c r="M123" s="753"/>
      <c r="N123" s="683">
        <v>0</v>
      </c>
      <c r="O123" s="686"/>
      <c r="P123" s="683">
        <v>0</v>
      </c>
      <c r="Q123" s="687">
        <f t="shared" si="1"/>
        <v>0</v>
      </c>
      <c r="R123" s="687"/>
      <c r="S123" s="687"/>
      <c r="T123" s="688">
        <v>0</v>
      </c>
      <c r="U123" s="693"/>
      <c r="V123" s="690">
        <f t="shared" si="34"/>
        <v>0</v>
      </c>
      <c r="W123" s="683"/>
      <c r="X123" s="474">
        <f t="shared" si="35"/>
        <v>0</v>
      </c>
      <c r="Y123" s="474">
        <f t="shared" si="36"/>
        <v>0</v>
      </c>
      <c r="Z123" s="475">
        <f t="shared" si="37"/>
        <v>0</v>
      </c>
      <c r="AA123" s="475">
        <v>0</v>
      </c>
      <c r="AB123" s="476">
        <v>0</v>
      </c>
      <c r="AC123" s="38">
        <f t="shared" si="38"/>
        <v>0</v>
      </c>
      <c r="AD123" s="692">
        <f t="shared" si="31"/>
        <v>0</v>
      </c>
      <c r="AE123" s="692">
        <f t="shared" si="32"/>
        <v>0</v>
      </c>
      <c r="AF123" s="692">
        <f t="shared" si="33"/>
        <v>0</v>
      </c>
      <c r="AG123" s="38"/>
      <c r="AH123" s="692">
        <f t="shared" si="39"/>
        <v>0</v>
      </c>
      <c r="AI123" s="692">
        <f t="shared" si="40"/>
        <v>0</v>
      </c>
      <c r="AJ123" s="692">
        <f t="shared" si="41"/>
        <v>0</v>
      </c>
      <c r="AL123" s="38">
        <f t="shared" ref="AL123:AL124" si="70">SUM(AD123:AJ123)</f>
        <v>0</v>
      </c>
      <c r="AM123" s="68" t="s">
        <v>1002</v>
      </c>
    </row>
    <row r="124" spans="1:39">
      <c r="A124" s="20"/>
      <c r="B124" s="20" t="s">
        <v>110</v>
      </c>
      <c r="C124" s="667"/>
      <c r="D124" s="68" t="s">
        <v>1013</v>
      </c>
      <c r="E124" s="679"/>
      <c r="F124" s="529">
        <f>VLOOKUP(D124,'Sept13 Revenue'!D:V,19,FALSE)</f>
        <v>620.79999999999995</v>
      </c>
      <c r="G124" s="680"/>
      <c r="H124" s="680"/>
      <c r="I124" s="755"/>
      <c r="J124" s="682">
        <f t="shared" ref="J124" si="71">SUM(E124:I124)</f>
        <v>620.79999999999995</v>
      </c>
      <c r="K124" s="683"/>
      <c r="L124" s="684"/>
      <c r="M124" s="753"/>
      <c r="N124" s="683">
        <v>0</v>
      </c>
      <c r="O124" s="686"/>
      <c r="P124" s="683">
        <v>0</v>
      </c>
      <c r="Q124" s="687">
        <f t="shared" ref="Q124" si="72">L124+M124</f>
        <v>0</v>
      </c>
      <c r="R124" s="687"/>
      <c r="S124" s="687"/>
      <c r="T124" s="688">
        <v>118.47</v>
      </c>
      <c r="U124" s="693"/>
      <c r="V124" s="690">
        <f t="shared" si="34"/>
        <v>118.47</v>
      </c>
      <c r="W124" s="683"/>
      <c r="X124" s="474">
        <f t="shared" ref="X124" si="73">IF(B124="D",Q124,0)</f>
        <v>0</v>
      </c>
      <c r="Y124" s="474">
        <f t="shared" ref="Y124" si="74">IF(B124="M",Q124,0)</f>
        <v>0</v>
      </c>
      <c r="Z124" s="475">
        <f t="shared" ref="Z124" si="75">IF(B124="V",Q124,0)</f>
        <v>0</v>
      </c>
      <c r="AA124" s="475">
        <v>0</v>
      </c>
      <c r="AB124" s="476">
        <v>0</v>
      </c>
      <c r="AC124" s="38">
        <f t="shared" ref="AC124" si="76">(L124+M124)-(X124+Y124+Z124+AA124+AB124)</f>
        <v>0</v>
      </c>
      <c r="AD124" s="692">
        <f t="shared" ref="AD124" si="77">IF(B124="D",J124,0)</f>
        <v>620.79999999999995</v>
      </c>
      <c r="AE124" s="692">
        <f t="shared" ref="AE124" si="78">IF(B124="M",J124,0)</f>
        <v>0</v>
      </c>
      <c r="AF124" s="692">
        <f t="shared" ref="AF124" si="79">IF(B124="V",J124,0)</f>
        <v>0</v>
      </c>
      <c r="AG124" s="38"/>
      <c r="AH124" s="692">
        <f t="shared" ref="AH124" si="80">IF(B124="D",Q124,0)</f>
        <v>0</v>
      </c>
      <c r="AI124" s="692">
        <f t="shared" ref="AI124" si="81">IF(B124="M",Q124,0)</f>
        <v>0</v>
      </c>
      <c r="AJ124" s="692">
        <f t="shared" ref="AJ124" si="82">IF(B124="V",Q124,0)</f>
        <v>0</v>
      </c>
      <c r="AL124" s="38">
        <f t="shared" si="70"/>
        <v>620.79999999999995</v>
      </c>
      <c r="AM124" s="68" t="s">
        <v>1013</v>
      </c>
    </row>
    <row r="125" spans="1:39">
      <c r="A125" s="21"/>
      <c r="B125" s="21" t="s">
        <v>110</v>
      </c>
      <c r="C125" s="666" t="s">
        <v>550</v>
      </c>
      <c r="D125" s="68" t="s">
        <v>282</v>
      </c>
      <c r="E125" s="679"/>
      <c r="F125" s="529">
        <f>VLOOKUP(D125,'Sept13 Revenue'!D:V,19,FALSE)</f>
        <v>-2439.7099999999991</v>
      </c>
      <c r="G125" s="680"/>
      <c r="H125" s="680"/>
      <c r="I125" s="755"/>
      <c r="J125" s="682">
        <f t="shared" si="30"/>
        <v>-2439.7099999999991</v>
      </c>
      <c r="K125" s="683"/>
      <c r="L125" s="684"/>
      <c r="M125" s="753">
        <v>50000</v>
      </c>
      <c r="N125" s="683">
        <v>0</v>
      </c>
      <c r="O125" s="686"/>
      <c r="P125" s="683">
        <v>0</v>
      </c>
      <c r="Q125" s="687">
        <f t="shared" si="1"/>
        <v>50000</v>
      </c>
      <c r="R125" s="687"/>
      <c r="S125" s="687"/>
      <c r="T125" s="688">
        <v>45961.86</v>
      </c>
      <c r="U125" s="693"/>
      <c r="V125" s="690">
        <f t="shared" si="34"/>
        <v>-4038.1399999999994</v>
      </c>
      <c r="W125" s="683"/>
      <c r="X125" s="474">
        <f t="shared" si="35"/>
        <v>50000</v>
      </c>
      <c r="Y125" s="474">
        <f t="shared" si="36"/>
        <v>0</v>
      </c>
      <c r="Z125" s="475">
        <f t="shared" si="37"/>
        <v>0</v>
      </c>
      <c r="AA125" s="475">
        <v>0</v>
      </c>
      <c r="AB125" s="476">
        <v>0</v>
      </c>
      <c r="AC125" s="38">
        <f t="shared" si="38"/>
        <v>0</v>
      </c>
      <c r="AD125" s="692">
        <f t="shared" si="31"/>
        <v>-2439.7099999999991</v>
      </c>
      <c r="AE125" s="692">
        <f t="shared" si="32"/>
        <v>0</v>
      </c>
      <c r="AF125" s="692">
        <f t="shared" si="33"/>
        <v>0</v>
      </c>
      <c r="AG125" s="38"/>
      <c r="AH125" s="692">
        <f t="shared" si="39"/>
        <v>50000</v>
      </c>
      <c r="AI125" s="692">
        <f t="shared" si="40"/>
        <v>0</v>
      </c>
      <c r="AJ125" s="692">
        <f t="shared" si="41"/>
        <v>0</v>
      </c>
      <c r="AL125" s="38">
        <f t="shared" si="42"/>
        <v>47560.29</v>
      </c>
      <c r="AM125" s="68" t="s">
        <v>282</v>
      </c>
    </row>
    <row r="126" spans="1:39">
      <c r="A126" s="21"/>
      <c r="B126" s="21" t="s">
        <v>109</v>
      </c>
      <c r="C126" s="666" t="s">
        <v>551</v>
      </c>
      <c r="D126" s="68" t="s">
        <v>499</v>
      </c>
      <c r="E126" s="679"/>
      <c r="F126" s="529">
        <f>VLOOKUP(D126,'Sept13 Revenue'!D:V,19,FALSE)</f>
        <v>0</v>
      </c>
      <c r="G126" s="680"/>
      <c r="H126" s="680"/>
      <c r="I126" s="755"/>
      <c r="J126" s="682">
        <f t="shared" si="30"/>
        <v>0</v>
      </c>
      <c r="K126" s="683"/>
      <c r="L126" s="684"/>
      <c r="M126" s="753"/>
      <c r="N126" s="683">
        <v>0</v>
      </c>
      <c r="O126" s="686"/>
      <c r="P126" s="683">
        <v>0</v>
      </c>
      <c r="Q126" s="687">
        <f t="shared" si="1"/>
        <v>0</v>
      </c>
      <c r="R126" s="687"/>
      <c r="S126" s="687"/>
      <c r="T126" s="688">
        <v>0</v>
      </c>
      <c r="U126" s="693"/>
      <c r="V126" s="690">
        <f t="shared" si="34"/>
        <v>0</v>
      </c>
      <c r="W126" s="683"/>
      <c r="X126" s="474">
        <f t="shared" si="35"/>
        <v>0</v>
      </c>
      <c r="Y126" s="474">
        <f t="shared" si="36"/>
        <v>0</v>
      </c>
      <c r="Z126" s="475">
        <f t="shared" si="37"/>
        <v>0</v>
      </c>
      <c r="AA126" s="475">
        <v>0</v>
      </c>
      <c r="AB126" s="476">
        <v>0</v>
      </c>
      <c r="AC126" s="38">
        <f t="shared" si="38"/>
        <v>0</v>
      </c>
      <c r="AD126" s="692">
        <f t="shared" si="31"/>
        <v>0</v>
      </c>
      <c r="AE126" s="692">
        <f t="shared" si="32"/>
        <v>0</v>
      </c>
      <c r="AF126" s="692">
        <f t="shared" si="33"/>
        <v>0</v>
      </c>
      <c r="AG126" s="38"/>
      <c r="AH126" s="692">
        <f t="shared" si="39"/>
        <v>0</v>
      </c>
      <c r="AI126" s="692">
        <f t="shared" si="40"/>
        <v>0</v>
      </c>
      <c r="AJ126" s="692">
        <f t="shared" si="41"/>
        <v>0</v>
      </c>
      <c r="AL126" s="38">
        <f t="shared" si="42"/>
        <v>0</v>
      </c>
      <c r="AM126" s="68" t="s">
        <v>499</v>
      </c>
    </row>
    <row r="127" spans="1:39">
      <c r="A127" s="21"/>
      <c r="B127" s="21" t="s">
        <v>110</v>
      </c>
      <c r="C127" s="666"/>
      <c r="D127" s="68" t="s">
        <v>28</v>
      </c>
      <c r="E127" s="679"/>
      <c r="F127" s="529">
        <f>VLOOKUP(D127,'Sept13 Revenue'!D:V,19,FALSE)</f>
        <v>0</v>
      </c>
      <c r="G127" s="680"/>
      <c r="H127" s="680"/>
      <c r="I127" s="770">
        <v>11757.2</v>
      </c>
      <c r="J127" s="682">
        <f t="shared" si="30"/>
        <v>11757.2</v>
      </c>
      <c r="K127" s="683"/>
      <c r="L127" s="684"/>
      <c r="M127" s="753"/>
      <c r="N127" s="683">
        <v>0</v>
      </c>
      <c r="O127" s="686"/>
      <c r="P127" s="683">
        <v>0</v>
      </c>
      <c r="Q127" s="687">
        <f t="shared" si="1"/>
        <v>0</v>
      </c>
      <c r="R127" s="687"/>
      <c r="S127" s="687"/>
      <c r="T127" s="688">
        <v>0</v>
      </c>
      <c r="U127" s="693"/>
      <c r="V127" s="690">
        <f t="shared" si="34"/>
        <v>0</v>
      </c>
      <c r="W127" s="683"/>
      <c r="X127" s="474">
        <f t="shared" si="35"/>
        <v>0</v>
      </c>
      <c r="Y127" s="474">
        <f t="shared" si="36"/>
        <v>0</v>
      </c>
      <c r="Z127" s="475">
        <f t="shared" si="37"/>
        <v>0</v>
      </c>
      <c r="AA127" s="475">
        <v>0</v>
      </c>
      <c r="AB127" s="476">
        <v>0</v>
      </c>
      <c r="AC127" s="38">
        <f t="shared" si="38"/>
        <v>0</v>
      </c>
      <c r="AD127" s="692">
        <f t="shared" si="31"/>
        <v>11757.2</v>
      </c>
      <c r="AE127" s="692">
        <f t="shared" si="32"/>
        <v>0</v>
      </c>
      <c r="AF127" s="692">
        <f t="shared" si="33"/>
        <v>0</v>
      </c>
      <c r="AG127" s="38"/>
      <c r="AH127" s="692">
        <f t="shared" si="39"/>
        <v>0</v>
      </c>
      <c r="AI127" s="692">
        <f t="shared" si="40"/>
        <v>0</v>
      </c>
      <c r="AJ127" s="692">
        <f t="shared" si="41"/>
        <v>0</v>
      </c>
      <c r="AL127" s="38">
        <f t="shared" si="42"/>
        <v>11757.2</v>
      </c>
      <c r="AM127" s="68" t="s">
        <v>28</v>
      </c>
    </row>
    <row r="128" spans="1:39">
      <c r="A128" s="21"/>
      <c r="B128" s="21" t="s">
        <v>114</v>
      </c>
      <c r="C128" s="666" t="s">
        <v>552</v>
      </c>
      <c r="D128" s="68" t="s">
        <v>513</v>
      </c>
      <c r="E128" s="679"/>
      <c r="F128" s="529">
        <f>VLOOKUP(D128,'Sept13 Revenue'!D:V,19,FALSE)</f>
        <v>-6000</v>
      </c>
      <c r="G128" s="680"/>
      <c r="H128" s="680"/>
      <c r="I128" s="755"/>
      <c r="J128" s="682">
        <f t="shared" si="30"/>
        <v>-6000</v>
      </c>
      <c r="K128" s="683"/>
      <c r="L128" s="684"/>
      <c r="M128" s="753">
        <v>6000</v>
      </c>
      <c r="N128" s="683">
        <v>0</v>
      </c>
      <c r="O128" s="686"/>
      <c r="P128" s="683">
        <v>0</v>
      </c>
      <c r="Q128" s="687">
        <f>L128+M128</f>
        <v>6000</v>
      </c>
      <c r="R128" s="687"/>
      <c r="S128" s="687"/>
      <c r="T128" s="688">
        <v>0</v>
      </c>
      <c r="U128" s="693"/>
      <c r="V128" s="690">
        <f t="shared" si="34"/>
        <v>-6000</v>
      </c>
      <c r="W128" s="683"/>
      <c r="X128" s="474">
        <f t="shared" si="35"/>
        <v>0</v>
      </c>
      <c r="Y128" s="474">
        <f t="shared" si="36"/>
        <v>0</v>
      </c>
      <c r="Z128" s="475">
        <f t="shared" si="37"/>
        <v>6000</v>
      </c>
      <c r="AA128" s="475">
        <v>0</v>
      </c>
      <c r="AB128" s="476">
        <v>0</v>
      </c>
      <c r="AC128" s="38">
        <f t="shared" si="38"/>
        <v>0</v>
      </c>
      <c r="AD128" s="692">
        <f t="shared" si="31"/>
        <v>0</v>
      </c>
      <c r="AE128" s="692">
        <f t="shared" si="32"/>
        <v>0</v>
      </c>
      <c r="AF128" s="692">
        <f t="shared" si="33"/>
        <v>-6000</v>
      </c>
      <c r="AG128" s="38"/>
      <c r="AH128" s="692">
        <f t="shared" si="39"/>
        <v>0</v>
      </c>
      <c r="AI128" s="692">
        <f t="shared" si="40"/>
        <v>0</v>
      </c>
      <c r="AJ128" s="692">
        <f t="shared" si="41"/>
        <v>6000</v>
      </c>
      <c r="AL128" s="38">
        <f t="shared" si="42"/>
        <v>0</v>
      </c>
      <c r="AM128" s="68" t="s">
        <v>513</v>
      </c>
    </row>
    <row r="129" spans="1:39">
      <c r="A129" s="21"/>
      <c r="B129" s="21" t="s">
        <v>109</v>
      </c>
      <c r="C129" s="666" t="s">
        <v>553</v>
      </c>
      <c r="D129" s="68" t="s">
        <v>308</v>
      </c>
      <c r="E129" s="679"/>
      <c r="F129" s="529">
        <f>VLOOKUP(D129,'Sept13 Revenue'!D:V,19,FALSE)</f>
        <v>974.15</v>
      </c>
      <c r="G129" s="680"/>
      <c r="H129" s="680"/>
      <c r="I129" s="755"/>
      <c r="J129" s="682">
        <f t="shared" si="30"/>
        <v>974.15</v>
      </c>
      <c r="K129" s="683"/>
      <c r="L129" s="684"/>
      <c r="M129" s="753"/>
      <c r="N129" s="683">
        <v>0</v>
      </c>
      <c r="O129" s="686"/>
      <c r="P129" s="683">
        <v>0</v>
      </c>
      <c r="Q129" s="687">
        <f t="shared" si="1"/>
        <v>0</v>
      </c>
      <c r="R129" s="687"/>
      <c r="S129" s="687"/>
      <c r="T129" s="688">
        <v>0</v>
      </c>
      <c r="U129" s="693"/>
      <c r="V129" s="690">
        <f t="shared" si="34"/>
        <v>0</v>
      </c>
      <c r="W129" s="683"/>
      <c r="X129" s="474">
        <f t="shared" si="35"/>
        <v>0</v>
      </c>
      <c r="Y129" s="474">
        <f t="shared" si="36"/>
        <v>0</v>
      </c>
      <c r="Z129" s="475">
        <f t="shared" si="37"/>
        <v>0</v>
      </c>
      <c r="AA129" s="475">
        <v>0</v>
      </c>
      <c r="AB129" s="476">
        <v>0</v>
      </c>
      <c r="AC129" s="38">
        <f t="shared" si="38"/>
        <v>0</v>
      </c>
      <c r="AD129" s="692">
        <f t="shared" si="31"/>
        <v>0</v>
      </c>
      <c r="AE129" s="692">
        <f t="shared" si="32"/>
        <v>974.15</v>
      </c>
      <c r="AF129" s="692">
        <f t="shared" si="33"/>
        <v>0</v>
      </c>
      <c r="AG129" s="38"/>
      <c r="AH129" s="692">
        <f t="shared" si="39"/>
        <v>0</v>
      </c>
      <c r="AI129" s="692">
        <f t="shared" si="40"/>
        <v>0</v>
      </c>
      <c r="AJ129" s="692">
        <f t="shared" si="41"/>
        <v>0</v>
      </c>
      <c r="AL129" s="38">
        <f t="shared" si="42"/>
        <v>974.15</v>
      </c>
      <c r="AM129" s="68" t="s">
        <v>308</v>
      </c>
    </row>
    <row r="130" spans="1:39" s="232" customFormat="1">
      <c r="A130" s="283" t="s">
        <v>211</v>
      </c>
      <c r="B130" s="283" t="s">
        <v>109</v>
      </c>
      <c r="C130" s="667" t="s">
        <v>554</v>
      </c>
      <c r="D130" s="123" t="s">
        <v>389</v>
      </c>
      <c r="E130" s="679"/>
      <c r="F130" s="529">
        <f>VLOOKUP(D130,'Sept13 Revenue'!D:V,19,FALSE)</f>
        <v>0</v>
      </c>
      <c r="G130" s="680"/>
      <c r="H130" s="680"/>
      <c r="I130" s="755"/>
      <c r="J130" s="682">
        <f t="shared" si="30"/>
        <v>0</v>
      </c>
      <c r="K130" s="683"/>
      <c r="L130" s="684"/>
      <c r="M130" s="753"/>
      <c r="N130" s="683">
        <v>0</v>
      </c>
      <c r="O130" s="686"/>
      <c r="P130" s="683">
        <v>0</v>
      </c>
      <c r="Q130" s="687">
        <f t="shared" si="1"/>
        <v>0</v>
      </c>
      <c r="R130" s="687"/>
      <c r="S130" s="687"/>
      <c r="T130" s="688">
        <v>0</v>
      </c>
      <c r="U130" s="693"/>
      <c r="V130" s="690">
        <f t="shared" si="34"/>
        <v>0</v>
      </c>
      <c r="W130" s="683"/>
      <c r="X130" s="474">
        <f t="shared" si="35"/>
        <v>0</v>
      </c>
      <c r="Y130" s="474">
        <f t="shared" si="36"/>
        <v>0</v>
      </c>
      <c r="Z130" s="475">
        <f t="shared" si="37"/>
        <v>0</v>
      </c>
      <c r="AA130" s="475">
        <v>0</v>
      </c>
      <c r="AB130" s="476">
        <v>0</v>
      </c>
      <c r="AC130" s="38">
        <f t="shared" si="38"/>
        <v>0</v>
      </c>
      <c r="AD130" s="692">
        <f t="shared" si="31"/>
        <v>0</v>
      </c>
      <c r="AE130" s="692">
        <f t="shared" si="32"/>
        <v>0</v>
      </c>
      <c r="AF130" s="692">
        <f t="shared" si="33"/>
        <v>0</v>
      </c>
      <c r="AG130" s="38"/>
      <c r="AH130" s="692">
        <f t="shared" si="39"/>
        <v>0</v>
      </c>
      <c r="AI130" s="692">
        <f t="shared" si="40"/>
        <v>0</v>
      </c>
      <c r="AJ130" s="692">
        <f t="shared" si="41"/>
        <v>0</v>
      </c>
      <c r="AL130" s="38">
        <f t="shared" si="42"/>
        <v>0</v>
      </c>
      <c r="AM130" s="123" t="s">
        <v>389</v>
      </c>
    </row>
    <row r="131" spans="1:39" s="232" customFormat="1">
      <c r="A131" s="283"/>
      <c r="B131" s="283" t="s">
        <v>110</v>
      </c>
      <c r="C131" s="667"/>
      <c r="D131" s="123" t="s">
        <v>807</v>
      </c>
      <c r="E131" s="679"/>
      <c r="F131" s="529">
        <f>VLOOKUP(D131,'Sept13 Revenue'!D:V,19,FALSE)</f>
        <v>-2030.2199999999998</v>
      </c>
      <c r="G131" s="680"/>
      <c r="H131" s="680"/>
      <c r="I131" s="755"/>
      <c r="J131" s="682">
        <f t="shared" si="30"/>
        <v>-2030.2199999999998</v>
      </c>
      <c r="K131" s="683"/>
      <c r="L131" s="684"/>
      <c r="M131" s="753">
        <v>5000</v>
      </c>
      <c r="N131" s="683">
        <v>0</v>
      </c>
      <c r="O131" s="686"/>
      <c r="P131" s="683">
        <v>0</v>
      </c>
      <c r="Q131" s="687">
        <f t="shared" si="1"/>
        <v>5000</v>
      </c>
      <c r="R131" s="687"/>
      <c r="S131" s="687"/>
      <c r="T131" s="688">
        <v>3025.42</v>
      </c>
      <c r="U131" s="693"/>
      <c r="V131" s="690">
        <f t="shared" si="34"/>
        <v>-1974.58</v>
      </c>
      <c r="W131" s="683"/>
      <c r="X131" s="474">
        <f t="shared" si="35"/>
        <v>5000</v>
      </c>
      <c r="Y131" s="474">
        <f t="shared" si="36"/>
        <v>0</v>
      </c>
      <c r="Z131" s="475">
        <f t="shared" si="37"/>
        <v>0</v>
      </c>
      <c r="AA131" s="475">
        <v>0</v>
      </c>
      <c r="AB131" s="476">
        <v>0</v>
      </c>
      <c r="AC131" s="38">
        <f t="shared" si="38"/>
        <v>0</v>
      </c>
      <c r="AD131" s="692">
        <f t="shared" si="31"/>
        <v>-2030.2199999999998</v>
      </c>
      <c r="AE131" s="692">
        <f t="shared" si="32"/>
        <v>0</v>
      </c>
      <c r="AF131" s="692">
        <f t="shared" si="33"/>
        <v>0</v>
      </c>
      <c r="AG131" s="38"/>
      <c r="AH131" s="692">
        <f t="shared" si="39"/>
        <v>5000</v>
      </c>
      <c r="AI131" s="692">
        <f t="shared" si="40"/>
        <v>0</v>
      </c>
      <c r="AJ131" s="692">
        <f t="shared" si="41"/>
        <v>0</v>
      </c>
      <c r="AL131" s="38">
        <f t="shared" si="42"/>
        <v>2969.78</v>
      </c>
      <c r="AM131" s="123" t="s">
        <v>807</v>
      </c>
    </row>
    <row r="132" spans="1:39" s="232" customFormat="1">
      <c r="A132" s="283"/>
      <c r="B132" s="283" t="s">
        <v>109</v>
      </c>
      <c r="C132" s="667"/>
      <c r="D132" s="123" t="s">
        <v>808</v>
      </c>
      <c r="E132" s="679"/>
      <c r="F132" s="529">
        <f>VLOOKUP(D132,'Sept13 Revenue'!D:V,19,FALSE)</f>
        <v>-353.20999999999913</v>
      </c>
      <c r="G132" s="680"/>
      <c r="H132" s="680"/>
      <c r="I132" s="755"/>
      <c r="J132" s="682">
        <f t="shared" si="30"/>
        <v>-353.20999999999913</v>
      </c>
      <c r="K132" s="683"/>
      <c r="L132" s="684"/>
      <c r="M132" s="753">
        <v>40000</v>
      </c>
      <c r="N132" s="683">
        <v>0</v>
      </c>
      <c r="O132" s="686"/>
      <c r="P132" s="683">
        <v>0</v>
      </c>
      <c r="Q132" s="687">
        <f t="shared" si="1"/>
        <v>40000</v>
      </c>
      <c r="R132" s="687"/>
      <c r="S132" s="687"/>
      <c r="T132" s="688">
        <f>31474.38+662.04+8980.73</f>
        <v>41117.15</v>
      </c>
      <c r="U132" s="693"/>
      <c r="V132" s="690">
        <f t="shared" si="34"/>
        <v>1117.1500000000015</v>
      </c>
      <c r="W132" s="683"/>
      <c r="X132" s="474">
        <f t="shared" si="35"/>
        <v>0</v>
      </c>
      <c r="Y132" s="474">
        <f t="shared" si="36"/>
        <v>40000</v>
      </c>
      <c r="Z132" s="475">
        <f t="shared" si="37"/>
        <v>0</v>
      </c>
      <c r="AA132" s="475">
        <v>0</v>
      </c>
      <c r="AB132" s="476">
        <v>0</v>
      </c>
      <c r="AC132" s="38">
        <f t="shared" si="38"/>
        <v>0</v>
      </c>
      <c r="AD132" s="692">
        <f t="shared" si="31"/>
        <v>0</v>
      </c>
      <c r="AE132" s="692">
        <f t="shared" si="32"/>
        <v>-353.20999999999913</v>
      </c>
      <c r="AF132" s="692">
        <f t="shared" si="33"/>
        <v>0</v>
      </c>
      <c r="AG132" s="38"/>
      <c r="AH132" s="692">
        <f t="shared" si="39"/>
        <v>0</v>
      </c>
      <c r="AI132" s="692">
        <f t="shared" si="40"/>
        <v>40000</v>
      </c>
      <c r="AJ132" s="692">
        <f t="shared" si="41"/>
        <v>0</v>
      </c>
      <c r="AL132" s="38">
        <f t="shared" si="42"/>
        <v>39646.79</v>
      </c>
      <c r="AM132" s="123" t="s">
        <v>808</v>
      </c>
    </row>
    <row r="133" spans="1:39" s="232" customFormat="1">
      <c r="A133" s="403"/>
      <c r="B133" s="403" t="s">
        <v>110</v>
      </c>
      <c r="C133" s="666" t="s">
        <v>563</v>
      </c>
      <c r="D133" s="123" t="s">
        <v>867</v>
      </c>
      <c r="E133" s="679"/>
      <c r="F133" s="529">
        <f>VLOOKUP(D133,'Sept13 Revenue'!D:V,19,FALSE)</f>
        <v>1419.26</v>
      </c>
      <c r="G133" s="680"/>
      <c r="H133" s="680"/>
      <c r="I133" s="770">
        <v>1357.06</v>
      </c>
      <c r="J133" s="682">
        <f t="shared" si="30"/>
        <v>2776.3199999999997</v>
      </c>
      <c r="K133" s="683"/>
      <c r="L133" s="684"/>
      <c r="M133" s="753"/>
      <c r="N133" s="683">
        <v>0</v>
      </c>
      <c r="O133" s="686"/>
      <c r="P133" s="683">
        <v>0</v>
      </c>
      <c r="Q133" s="687">
        <f t="shared" si="1"/>
        <v>0</v>
      </c>
      <c r="R133" s="687"/>
      <c r="S133" s="687"/>
      <c r="T133" s="688">
        <v>0</v>
      </c>
      <c r="U133" s="693"/>
      <c r="V133" s="690">
        <f t="shared" si="34"/>
        <v>0</v>
      </c>
      <c r="W133" s="683"/>
      <c r="X133" s="474">
        <f t="shared" si="35"/>
        <v>0</v>
      </c>
      <c r="Y133" s="474">
        <f t="shared" si="36"/>
        <v>0</v>
      </c>
      <c r="Z133" s="475">
        <f t="shared" si="37"/>
        <v>0</v>
      </c>
      <c r="AA133" s="475">
        <v>0</v>
      </c>
      <c r="AB133" s="476">
        <v>0</v>
      </c>
      <c r="AC133" s="38">
        <f t="shared" si="38"/>
        <v>0</v>
      </c>
      <c r="AD133" s="692">
        <f t="shared" si="31"/>
        <v>2776.3199999999997</v>
      </c>
      <c r="AE133" s="692">
        <f t="shared" si="32"/>
        <v>0</v>
      </c>
      <c r="AF133" s="692">
        <f t="shared" si="33"/>
        <v>0</v>
      </c>
      <c r="AG133" s="38"/>
      <c r="AH133" s="692">
        <f t="shared" si="39"/>
        <v>0</v>
      </c>
      <c r="AI133" s="692">
        <f t="shared" si="40"/>
        <v>0</v>
      </c>
      <c r="AJ133" s="692">
        <f t="shared" si="41"/>
        <v>0</v>
      </c>
      <c r="AL133" s="38">
        <f t="shared" si="42"/>
        <v>2776.3199999999997</v>
      </c>
      <c r="AM133" s="123" t="s">
        <v>867</v>
      </c>
    </row>
    <row r="134" spans="1:39" s="232" customFormat="1">
      <c r="A134" s="283"/>
      <c r="B134" s="283" t="s">
        <v>110</v>
      </c>
      <c r="C134" s="667"/>
      <c r="D134" s="68" t="s">
        <v>488</v>
      </c>
      <c r="E134" s="679"/>
      <c r="F134" s="529">
        <f>VLOOKUP(D134,'Sept13 Revenue'!D:V,19,FALSE)</f>
        <v>0</v>
      </c>
      <c r="G134" s="680"/>
      <c r="H134" s="680"/>
      <c r="I134" s="755"/>
      <c r="J134" s="682">
        <f t="shared" si="30"/>
        <v>0</v>
      </c>
      <c r="K134" s="683"/>
      <c r="L134" s="684"/>
      <c r="M134" s="753"/>
      <c r="N134" s="683">
        <v>0</v>
      </c>
      <c r="O134" s="686"/>
      <c r="P134" s="683">
        <v>0</v>
      </c>
      <c r="Q134" s="687">
        <f t="shared" si="1"/>
        <v>0</v>
      </c>
      <c r="R134" s="687"/>
      <c r="S134" s="687"/>
      <c r="T134" s="688">
        <v>0</v>
      </c>
      <c r="U134" s="693"/>
      <c r="V134" s="690">
        <f t="shared" si="34"/>
        <v>0</v>
      </c>
      <c r="W134" s="683"/>
      <c r="X134" s="474">
        <f t="shared" si="35"/>
        <v>0</v>
      </c>
      <c r="Y134" s="474">
        <f t="shared" si="36"/>
        <v>0</v>
      </c>
      <c r="Z134" s="475">
        <f t="shared" si="37"/>
        <v>0</v>
      </c>
      <c r="AA134" s="475">
        <v>0</v>
      </c>
      <c r="AB134" s="476">
        <v>0</v>
      </c>
      <c r="AC134" s="38">
        <f t="shared" si="38"/>
        <v>0</v>
      </c>
      <c r="AD134" s="692">
        <f t="shared" si="31"/>
        <v>0</v>
      </c>
      <c r="AE134" s="692">
        <f t="shared" si="32"/>
        <v>0</v>
      </c>
      <c r="AF134" s="692">
        <f t="shared" si="33"/>
        <v>0</v>
      </c>
      <c r="AG134" s="38"/>
      <c r="AH134" s="692">
        <f t="shared" si="39"/>
        <v>0</v>
      </c>
      <c r="AI134" s="692">
        <f t="shared" si="40"/>
        <v>0</v>
      </c>
      <c r="AJ134" s="692">
        <f t="shared" si="41"/>
        <v>0</v>
      </c>
      <c r="AL134" s="38">
        <f t="shared" si="42"/>
        <v>0</v>
      </c>
      <c r="AM134" s="68" t="s">
        <v>488</v>
      </c>
    </row>
    <row r="135" spans="1:39" s="232" customFormat="1">
      <c r="A135" s="283"/>
      <c r="B135" s="283" t="s">
        <v>110</v>
      </c>
      <c r="C135" s="667" t="s">
        <v>555</v>
      </c>
      <c r="D135" s="123" t="s">
        <v>192</v>
      </c>
      <c r="E135" s="679">
        <v>11613.91</v>
      </c>
      <c r="F135" s="529">
        <f>VLOOKUP(D135,'Sept13 Revenue'!D:V,19,FALSE)</f>
        <v>-15000</v>
      </c>
      <c r="G135" s="680"/>
      <c r="H135" s="680"/>
      <c r="I135" s="755"/>
      <c r="J135" s="682">
        <f t="shared" si="30"/>
        <v>-3386.09</v>
      </c>
      <c r="K135" s="683"/>
      <c r="L135" s="684"/>
      <c r="M135" s="753">
        <v>15000</v>
      </c>
      <c r="N135" s="683">
        <v>0</v>
      </c>
      <c r="O135" s="686"/>
      <c r="P135" s="683">
        <v>0</v>
      </c>
      <c r="Q135" s="687">
        <f t="shared" si="1"/>
        <v>15000</v>
      </c>
      <c r="R135" s="687"/>
      <c r="S135" s="687"/>
      <c r="T135" s="688">
        <v>0</v>
      </c>
      <c r="U135" s="693"/>
      <c r="V135" s="690">
        <f t="shared" si="34"/>
        <v>-15000</v>
      </c>
      <c r="W135" s="683"/>
      <c r="X135" s="474">
        <f t="shared" si="35"/>
        <v>15000</v>
      </c>
      <c r="Y135" s="474">
        <f t="shared" si="36"/>
        <v>0</v>
      </c>
      <c r="Z135" s="475">
        <f t="shared" si="37"/>
        <v>0</v>
      </c>
      <c r="AA135" s="475">
        <v>0</v>
      </c>
      <c r="AB135" s="476">
        <v>0</v>
      </c>
      <c r="AC135" s="38">
        <f t="shared" si="38"/>
        <v>0</v>
      </c>
      <c r="AD135" s="692">
        <f t="shared" si="31"/>
        <v>-3386.09</v>
      </c>
      <c r="AE135" s="692">
        <f t="shared" si="32"/>
        <v>0</v>
      </c>
      <c r="AF135" s="692">
        <f t="shared" si="33"/>
        <v>0</v>
      </c>
      <c r="AG135" s="38"/>
      <c r="AH135" s="692">
        <f t="shared" si="39"/>
        <v>15000</v>
      </c>
      <c r="AI135" s="692">
        <f t="shared" si="40"/>
        <v>0</v>
      </c>
      <c r="AJ135" s="692">
        <f t="shared" si="41"/>
        <v>0</v>
      </c>
      <c r="AL135" s="38">
        <f t="shared" si="42"/>
        <v>11613.91</v>
      </c>
      <c r="AM135" s="123" t="s">
        <v>192</v>
      </c>
    </row>
    <row r="136" spans="1:39" s="232" customFormat="1" hidden="1">
      <c r="A136" s="283"/>
      <c r="B136" s="283" t="s">
        <v>110</v>
      </c>
      <c r="C136" s="667" t="s">
        <v>555</v>
      </c>
      <c r="D136" s="123" t="s">
        <v>193</v>
      </c>
      <c r="E136" s="679"/>
      <c r="F136" s="529">
        <f>VLOOKUP(D136,'Sept13 Revenue'!D:V,19,FALSE)</f>
        <v>0</v>
      </c>
      <c r="G136" s="680"/>
      <c r="H136" s="680"/>
      <c r="I136" s="755"/>
      <c r="J136" s="682">
        <f t="shared" si="30"/>
        <v>0</v>
      </c>
      <c r="K136" s="683"/>
      <c r="L136" s="684"/>
      <c r="M136" s="753"/>
      <c r="N136" s="683">
        <v>0</v>
      </c>
      <c r="O136" s="686"/>
      <c r="P136" s="683">
        <v>0</v>
      </c>
      <c r="Q136" s="687">
        <f t="shared" si="1"/>
        <v>0</v>
      </c>
      <c r="R136" s="687"/>
      <c r="S136" s="687"/>
      <c r="T136" s="688">
        <v>0</v>
      </c>
      <c r="U136" s="693"/>
      <c r="V136" s="690">
        <f t="shared" si="34"/>
        <v>0</v>
      </c>
      <c r="W136" s="683"/>
      <c r="X136" s="474">
        <f t="shared" si="35"/>
        <v>0</v>
      </c>
      <c r="Y136" s="474">
        <f t="shared" si="36"/>
        <v>0</v>
      </c>
      <c r="Z136" s="475">
        <f t="shared" si="37"/>
        <v>0</v>
      </c>
      <c r="AA136" s="475">
        <v>0</v>
      </c>
      <c r="AB136" s="476">
        <v>0</v>
      </c>
      <c r="AC136" s="38">
        <f t="shared" si="38"/>
        <v>0</v>
      </c>
      <c r="AD136" s="692">
        <f t="shared" si="31"/>
        <v>0</v>
      </c>
      <c r="AE136" s="692">
        <f t="shared" si="32"/>
        <v>0</v>
      </c>
      <c r="AF136" s="692">
        <f t="shared" si="33"/>
        <v>0</v>
      </c>
      <c r="AG136" s="38"/>
      <c r="AH136" s="692">
        <f t="shared" si="39"/>
        <v>0</v>
      </c>
      <c r="AI136" s="692">
        <f t="shared" si="40"/>
        <v>0</v>
      </c>
      <c r="AJ136" s="692">
        <f t="shared" si="41"/>
        <v>0</v>
      </c>
      <c r="AL136" s="38">
        <f t="shared" si="42"/>
        <v>0</v>
      </c>
      <c r="AM136" s="123" t="s">
        <v>193</v>
      </c>
    </row>
    <row r="137" spans="1:39" s="232" customFormat="1" hidden="1">
      <c r="A137" s="283"/>
      <c r="B137" s="283" t="s">
        <v>110</v>
      </c>
      <c r="C137" s="667" t="s">
        <v>555</v>
      </c>
      <c r="D137" s="123" t="s">
        <v>194</v>
      </c>
      <c r="E137" s="679"/>
      <c r="F137" s="529">
        <f>VLOOKUP(D137,'Sept13 Revenue'!D:V,19,FALSE)</f>
        <v>0</v>
      </c>
      <c r="G137" s="680"/>
      <c r="H137" s="680"/>
      <c r="I137" s="755"/>
      <c r="J137" s="682">
        <f t="shared" si="30"/>
        <v>0</v>
      </c>
      <c r="K137" s="683"/>
      <c r="L137" s="684"/>
      <c r="M137" s="753"/>
      <c r="N137" s="683">
        <v>0</v>
      </c>
      <c r="O137" s="686"/>
      <c r="P137" s="683">
        <v>0</v>
      </c>
      <c r="Q137" s="687">
        <f t="shared" si="1"/>
        <v>0</v>
      </c>
      <c r="R137" s="687"/>
      <c r="S137" s="687"/>
      <c r="T137" s="688">
        <v>0</v>
      </c>
      <c r="U137" s="693"/>
      <c r="V137" s="690">
        <f t="shared" si="34"/>
        <v>0</v>
      </c>
      <c r="W137" s="683"/>
      <c r="X137" s="474">
        <f t="shared" si="35"/>
        <v>0</v>
      </c>
      <c r="Y137" s="474">
        <f t="shared" si="36"/>
        <v>0</v>
      </c>
      <c r="Z137" s="475">
        <f t="shared" si="37"/>
        <v>0</v>
      </c>
      <c r="AA137" s="475">
        <v>0</v>
      </c>
      <c r="AB137" s="476">
        <v>0</v>
      </c>
      <c r="AC137" s="38">
        <f t="shared" si="38"/>
        <v>0</v>
      </c>
      <c r="AD137" s="692">
        <f t="shared" si="31"/>
        <v>0</v>
      </c>
      <c r="AE137" s="692">
        <f t="shared" si="32"/>
        <v>0</v>
      </c>
      <c r="AF137" s="692">
        <f t="shared" si="33"/>
        <v>0</v>
      </c>
      <c r="AG137" s="38"/>
      <c r="AH137" s="692">
        <f t="shared" si="39"/>
        <v>0</v>
      </c>
      <c r="AI137" s="692">
        <f t="shared" si="40"/>
        <v>0</v>
      </c>
      <c r="AJ137" s="692">
        <f t="shared" si="41"/>
        <v>0</v>
      </c>
      <c r="AL137" s="38">
        <f t="shared" si="42"/>
        <v>0</v>
      </c>
      <c r="AM137" s="123" t="s">
        <v>194</v>
      </c>
    </row>
    <row r="138" spans="1:39" s="232" customFormat="1" hidden="1">
      <c r="A138" s="283"/>
      <c r="B138" s="283" t="s">
        <v>110</v>
      </c>
      <c r="C138" s="667" t="s">
        <v>555</v>
      </c>
      <c r="D138" s="123" t="s">
        <v>195</v>
      </c>
      <c r="E138" s="679"/>
      <c r="F138" s="529">
        <f>VLOOKUP(D138,'Sept13 Revenue'!D:V,19,FALSE)</f>
        <v>0</v>
      </c>
      <c r="G138" s="680"/>
      <c r="H138" s="680"/>
      <c r="I138" s="755"/>
      <c r="J138" s="682">
        <f t="shared" si="30"/>
        <v>0</v>
      </c>
      <c r="K138" s="683"/>
      <c r="L138" s="684"/>
      <c r="M138" s="753"/>
      <c r="N138" s="683">
        <v>0</v>
      </c>
      <c r="O138" s="686"/>
      <c r="P138" s="683">
        <v>0</v>
      </c>
      <c r="Q138" s="687">
        <f t="shared" si="1"/>
        <v>0</v>
      </c>
      <c r="R138" s="687"/>
      <c r="S138" s="687"/>
      <c r="T138" s="688">
        <v>0</v>
      </c>
      <c r="U138" s="693"/>
      <c r="V138" s="690">
        <f t="shared" si="34"/>
        <v>0</v>
      </c>
      <c r="W138" s="683"/>
      <c r="X138" s="474">
        <f t="shared" si="35"/>
        <v>0</v>
      </c>
      <c r="Y138" s="474">
        <f t="shared" si="36"/>
        <v>0</v>
      </c>
      <c r="Z138" s="475">
        <f t="shared" si="37"/>
        <v>0</v>
      </c>
      <c r="AA138" s="475">
        <v>0</v>
      </c>
      <c r="AB138" s="476">
        <v>0</v>
      </c>
      <c r="AC138" s="38">
        <f t="shared" si="38"/>
        <v>0</v>
      </c>
      <c r="AD138" s="692">
        <f t="shared" si="31"/>
        <v>0</v>
      </c>
      <c r="AE138" s="692">
        <f t="shared" si="32"/>
        <v>0</v>
      </c>
      <c r="AF138" s="692">
        <f t="shared" si="33"/>
        <v>0</v>
      </c>
      <c r="AG138" s="38"/>
      <c r="AH138" s="692">
        <f t="shared" si="39"/>
        <v>0</v>
      </c>
      <c r="AI138" s="692">
        <f t="shared" si="40"/>
        <v>0</v>
      </c>
      <c r="AJ138" s="692">
        <f t="shared" si="41"/>
        <v>0</v>
      </c>
      <c r="AL138" s="38">
        <f t="shared" si="42"/>
        <v>0</v>
      </c>
      <c r="AM138" s="123" t="s">
        <v>195</v>
      </c>
    </row>
    <row r="139" spans="1:39" s="232" customFormat="1" hidden="1">
      <c r="A139" s="283"/>
      <c r="B139" s="283" t="s">
        <v>110</v>
      </c>
      <c r="C139" s="667" t="s">
        <v>555</v>
      </c>
      <c r="D139" s="123" t="s">
        <v>196</v>
      </c>
      <c r="E139" s="679"/>
      <c r="F139" s="529">
        <f>VLOOKUP(D139,'Sept13 Revenue'!D:V,19,FALSE)</f>
        <v>0</v>
      </c>
      <c r="G139" s="680"/>
      <c r="H139" s="680"/>
      <c r="I139" s="755"/>
      <c r="J139" s="682">
        <f t="shared" si="30"/>
        <v>0</v>
      </c>
      <c r="K139" s="683"/>
      <c r="L139" s="684"/>
      <c r="M139" s="753"/>
      <c r="N139" s="683">
        <v>0</v>
      </c>
      <c r="O139" s="686"/>
      <c r="P139" s="683">
        <v>0</v>
      </c>
      <c r="Q139" s="687">
        <f t="shared" si="1"/>
        <v>0</v>
      </c>
      <c r="R139" s="687"/>
      <c r="S139" s="687"/>
      <c r="T139" s="688">
        <v>0</v>
      </c>
      <c r="U139" s="693"/>
      <c r="V139" s="690">
        <f t="shared" si="34"/>
        <v>0</v>
      </c>
      <c r="W139" s="683"/>
      <c r="X139" s="474">
        <f t="shared" si="35"/>
        <v>0</v>
      </c>
      <c r="Y139" s="474">
        <f t="shared" si="36"/>
        <v>0</v>
      </c>
      <c r="Z139" s="475">
        <f t="shared" si="37"/>
        <v>0</v>
      </c>
      <c r="AA139" s="475">
        <v>0</v>
      </c>
      <c r="AB139" s="476">
        <v>0</v>
      </c>
      <c r="AC139" s="38">
        <f t="shared" si="38"/>
        <v>0</v>
      </c>
      <c r="AD139" s="692">
        <f t="shared" si="31"/>
        <v>0</v>
      </c>
      <c r="AE139" s="692">
        <f t="shared" si="32"/>
        <v>0</v>
      </c>
      <c r="AF139" s="692">
        <f t="shared" si="33"/>
        <v>0</v>
      </c>
      <c r="AG139" s="38"/>
      <c r="AH139" s="692">
        <f t="shared" si="39"/>
        <v>0</v>
      </c>
      <c r="AI139" s="692">
        <f t="shared" si="40"/>
        <v>0</v>
      </c>
      <c r="AJ139" s="692">
        <f t="shared" si="41"/>
        <v>0</v>
      </c>
      <c r="AL139" s="38">
        <f t="shared" si="42"/>
        <v>0</v>
      </c>
      <c r="AM139" s="123" t="s">
        <v>196</v>
      </c>
    </row>
    <row r="140" spans="1:39" s="232" customFormat="1" hidden="1">
      <c r="A140" s="283"/>
      <c r="B140" s="283" t="s">
        <v>110</v>
      </c>
      <c r="C140" s="667" t="s">
        <v>555</v>
      </c>
      <c r="D140" s="123" t="s">
        <v>197</v>
      </c>
      <c r="E140" s="679"/>
      <c r="F140" s="529">
        <f>VLOOKUP(D140,'Sept13 Revenue'!D:V,19,FALSE)</f>
        <v>0</v>
      </c>
      <c r="G140" s="680"/>
      <c r="H140" s="680"/>
      <c r="I140" s="755"/>
      <c r="J140" s="682">
        <f t="shared" si="30"/>
        <v>0</v>
      </c>
      <c r="K140" s="683"/>
      <c r="L140" s="684"/>
      <c r="M140" s="753"/>
      <c r="N140" s="683">
        <v>0</v>
      </c>
      <c r="O140" s="686"/>
      <c r="P140" s="683">
        <v>0</v>
      </c>
      <c r="Q140" s="687">
        <f t="shared" si="1"/>
        <v>0</v>
      </c>
      <c r="R140" s="687"/>
      <c r="S140" s="687"/>
      <c r="T140" s="688">
        <v>0</v>
      </c>
      <c r="U140" s="693"/>
      <c r="V140" s="690">
        <f t="shared" si="34"/>
        <v>0</v>
      </c>
      <c r="W140" s="683"/>
      <c r="X140" s="474">
        <f t="shared" si="35"/>
        <v>0</v>
      </c>
      <c r="Y140" s="474">
        <f t="shared" si="36"/>
        <v>0</v>
      </c>
      <c r="Z140" s="475">
        <f t="shared" si="37"/>
        <v>0</v>
      </c>
      <c r="AA140" s="475">
        <v>0</v>
      </c>
      <c r="AB140" s="476">
        <v>0</v>
      </c>
      <c r="AC140" s="38">
        <f t="shared" si="38"/>
        <v>0</v>
      </c>
      <c r="AD140" s="692">
        <f t="shared" si="31"/>
        <v>0</v>
      </c>
      <c r="AE140" s="692">
        <f t="shared" si="32"/>
        <v>0</v>
      </c>
      <c r="AF140" s="692">
        <f t="shared" si="33"/>
        <v>0</v>
      </c>
      <c r="AG140" s="38"/>
      <c r="AH140" s="692">
        <f t="shared" si="39"/>
        <v>0</v>
      </c>
      <c r="AI140" s="692">
        <f t="shared" si="40"/>
        <v>0</v>
      </c>
      <c r="AJ140" s="692">
        <f t="shared" si="41"/>
        <v>0</v>
      </c>
      <c r="AL140" s="38">
        <f t="shared" si="42"/>
        <v>0</v>
      </c>
      <c r="AM140" s="123" t="s">
        <v>197</v>
      </c>
    </row>
    <row r="141" spans="1:39" s="232" customFormat="1" hidden="1">
      <c r="A141" s="283"/>
      <c r="B141" s="283" t="s">
        <v>110</v>
      </c>
      <c r="C141" s="667" t="s">
        <v>555</v>
      </c>
      <c r="D141" s="123" t="s">
        <v>440</v>
      </c>
      <c r="E141" s="679"/>
      <c r="F141" s="529">
        <f>VLOOKUP(D141,'Sept13 Revenue'!D:V,19,FALSE)</f>
        <v>0</v>
      </c>
      <c r="G141" s="680"/>
      <c r="H141" s="680"/>
      <c r="I141" s="755"/>
      <c r="J141" s="682">
        <f t="shared" si="30"/>
        <v>0</v>
      </c>
      <c r="K141" s="683"/>
      <c r="L141" s="684"/>
      <c r="M141" s="753"/>
      <c r="N141" s="683">
        <v>0</v>
      </c>
      <c r="O141" s="686"/>
      <c r="P141" s="683">
        <v>0</v>
      </c>
      <c r="Q141" s="687">
        <f t="shared" si="1"/>
        <v>0</v>
      </c>
      <c r="R141" s="687"/>
      <c r="S141" s="687"/>
      <c r="T141" s="688">
        <v>0</v>
      </c>
      <c r="U141" s="693"/>
      <c r="V141" s="690">
        <f t="shared" si="34"/>
        <v>0</v>
      </c>
      <c r="W141" s="683"/>
      <c r="X141" s="474">
        <f t="shared" si="35"/>
        <v>0</v>
      </c>
      <c r="Y141" s="474">
        <f t="shared" si="36"/>
        <v>0</v>
      </c>
      <c r="Z141" s="475">
        <f t="shared" si="37"/>
        <v>0</v>
      </c>
      <c r="AA141" s="475">
        <v>0</v>
      </c>
      <c r="AB141" s="476">
        <v>0</v>
      </c>
      <c r="AC141" s="38">
        <f t="shared" si="38"/>
        <v>0</v>
      </c>
      <c r="AD141" s="692">
        <f t="shared" si="31"/>
        <v>0</v>
      </c>
      <c r="AE141" s="692">
        <f t="shared" si="32"/>
        <v>0</v>
      </c>
      <c r="AF141" s="692">
        <f t="shared" si="33"/>
        <v>0</v>
      </c>
      <c r="AG141" s="38"/>
      <c r="AH141" s="692">
        <f t="shared" si="39"/>
        <v>0</v>
      </c>
      <c r="AI141" s="692">
        <f t="shared" si="40"/>
        <v>0</v>
      </c>
      <c r="AJ141" s="692">
        <f t="shared" si="41"/>
        <v>0</v>
      </c>
      <c r="AL141" s="38">
        <f t="shared" si="42"/>
        <v>0</v>
      </c>
      <c r="AM141" s="123" t="s">
        <v>440</v>
      </c>
    </row>
    <row r="142" spans="1:39" s="232" customFormat="1">
      <c r="A142" s="283"/>
      <c r="B142" s="283" t="s">
        <v>110</v>
      </c>
      <c r="C142" s="667" t="s">
        <v>555</v>
      </c>
      <c r="D142" s="123" t="s">
        <v>481</v>
      </c>
      <c r="E142" s="679">
        <v>622.05999999999995</v>
      </c>
      <c r="F142" s="529">
        <f>VLOOKUP(D142,'Sept13 Revenue'!D:V,19,FALSE)</f>
        <v>0</v>
      </c>
      <c r="G142" s="680"/>
      <c r="H142" s="680"/>
      <c r="I142" s="755"/>
      <c r="J142" s="682">
        <f t="shared" si="30"/>
        <v>622.05999999999995</v>
      </c>
      <c r="K142" s="683"/>
      <c r="L142" s="684"/>
      <c r="M142" s="753"/>
      <c r="N142" s="683">
        <v>0</v>
      </c>
      <c r="O142" s="686"/>
      <c r="P142" s="683">
        <v>0</v>
      </c>
      <c r="Q142" s="687">
        <f t="shared" si="1"/>
        <v>0</v>
      </c>
      <c r="R142" s="687"/>
      <c r="S142" s="687"/>
      <c r="T142" s="688">
        <v>0</v>
      </c>
      <c r="U142" s="693"/>
      <c r="V142" s="690">
        <f t="shared" si="34"/>
        <v>0</v>
      </c>
      <c r="W142" s="683"/>
      <c r="X142" s="474">
        <f t="shared" si="35"/>
        <v>0</v>
      </c>
      <c r="Y142" s="474">
        <f t="shared" si="36"/>
        <v>0</v>
      </c>
      <c r="Z142" s="475">
        <f t="shared" si="37"/>
        <v>0</v>
      </c>
      <c r="AA142" s="475">
        <v>0</v>
      </c>
      <c r="AB142" s="476">
        <v>0</v>
      </c>
      <c r="AC142" s="38">
        <f t="shared" si="38"/>
        <v>0</v>
      </c>
      <c r="AD142" s="692">
        <f t="shared" si="31"/>
        <v>622.05999999999995</v>
      </c>
      <c r="AE142" s="692">
        <f t="shared" si="32"/>
        <v>0</v>
      </c>
      <c r="AF142" s="692">
        <f t="shared" si="33"/>
        <v>0</v>
      </c>
      <c r="AG142" s="38"/>
      <c r="AH142" s="692">
        <f t="shared" si="39"/>
        <v>0</v>
      </c>
      <c r="AI142" s="692">
        <f t="shared" si="40"/>
        <v>0</v>
      </c>
      <c r="AJ142" s="692">
        <f t="shared" si="41"/>
        <v>0</v>
      </c>
      <c r="AL142" s="38">
        <f t="shared" si="42"/>
        <v>622.05999999999995</v>
      </c>
      <c r="AM142" s="123" t="s">
        <v>481</v>
      </c>
    </row>
    <row r="143" spans="1:39" s="232" customFormat="1">
      <c r="A143" s="283"/>
      <c r="B143" s="283" t="s">
        <v>109</v>
      </c>
      <c r="C143" s="667" t="s">
        <v>555</v>
      </c>
      <c r="D143" s="123" t="s">
        <v>248</v>
      </c>
      <c r="E143" s="679"/>
      <c r="F143" s="529">
        <f>VLOOKUP(D143,'Sept13 Revenue'!D:V,19,FALSE)</f>
        <v>0</v>
      </c>
      <c r="G143" s="680"/>
      <c r="H143" s="680"/>
      <c r="I143" s="755"/>
      <c r="J143" s="682">
        <f>SUM(E143:I143)</f>
        <v>0</v>
      </c>
      <c r="K143" s="683"/>
      <c r="L143" s="684"/>
      <c r="M143" s="753"/>
      <c r="N143" s="683">
        <v>0</v>
      </c>
      <c r="O143" s="686"/>
      <c r="P143" s="683">
        <v>0</v>
      </c>
      <c r="Q143" s="687">
        <f t="shared" si="1"/>
        <v>0</v>
      </c>
      <c r="R143" s="687"/>
      <c r="S143" s="687"/>
      <c r="T143" s="688">
        <v>0</v>
      </c>
      <c r="U143" s="693"/>
      <c r="V143" s="690">
        <f t="shared" si="34"/>
        <v>0</v>
      </c>
      <c r="W143" s="683"/>
      <c r="X143" s="474">
        <f t="shared" si="35"/>
        <v>0</v>
      </c>
      <c r="Y143" s="474">
        <f t="shared" si="36"/>
        <v>0</v>
      </c>
      <c r="Z143" s="475">
        <f t="shared" si="37"/>
        <v>0</v>
      </c>
      <c r="AA143" s="475">
        <v>0</v>
      </c>
      <c r="AB143" s="476">
        <v>0</v>
      </c>
      <c r="AC143" s="38">
        <f t="shared" si="38"/>
        <v>0</v>
      </c>
      <c r="AD143" s="692">
        <f t="shared" si="31"/>
        <v>0</v>
      </c>
      <c r="AE143" s="692">
        <f t="shared" si="32"/>
        <v>0</v>
      </c>
      <c r="AF143" s="692">
        <f t="shared" si="33"/>
        <v>0</v>
      </c>
      <c r="AG143" s="38"/>
      <c r="AH143" s="692">
        <f t="shared" si="39"/>
        <v>0</v>
      </c>
      <c r="AI143" s="692">
        <f t="shared" si="40"/>
        <v>0</v>
      </c>
      <c r="AJ143" s="692">
        <f t="shared" si="41"/>
        <v>0</v>
      </c>
      <c r="AL143" s="38">
        <f t="shared" si="42"/>
        <v>0</v>
      </c>
      <c r="AM143" s="123" t="s">
        <v>248</v>
      </c>
    </row>
    <row r="144" spans="1:39" s="232" customFormat="1">
      <c r="A144" s="283"/>
      <c r="B144" s="20" t="s">
        <v>109</v>
      </c>
      <c r="C144" s="667"/>
      <c r="D144" s="68" t="s">
        <v>465</v>
      </c>
      <c r="E144" s="679"/>
      <c r="F144" s="529">
        <f>VLOOKUP(D144,'Sept13 Revenue'!D:V,19,FALSE)</f>
        <v>-14000</v>
      </c>
      <c r="G144" s="680"/>
      <c r="H144" s="680"/>
      <c r="I144" s="755"/>
      <c r="J144" s="682">
        <f t="shared" si="30"/>
        <v>-14000</v>
      </c>
      <c r="K144" s="683"/>
      <c r="L144" s="684"/>
      <c r="M144" s="753">
        <v>17000</v>
      </c>
      <c r="N144" s="683">
        <v>0</v>
      </c>
      <c r="O144" s="686"/>
      <c r="P144" s="683">
        <v>0</v>
      </c>
      <c r="Q144" s="687">
        <f t="shared" si="1"/>
        <v>17000</v>
      </c>
      <c r="R144" s="687"/>
      <c r="S144" s="687"/>
      <c r="T144" s="688">
        <v>0</v>
      </c>
      <c r="U144" s="693"/>
      <c r="V144" s="690">
        <f t="shared" si="34"/>
        <v>-17000</v>
      </c>
      <c r="W144" s="683"/>
      <c r="X144" s="474">
        <f t="shared" si="35"/>
        <v>0</v>
      </c>
      <c r="Y144" s="474">
        <f t="shared" si="36"/>
        <v>17000</v>
      </c>
      <c r="Z144" s="475">
        <f t="shared" si="37"/>
        <v>0</v>
      </c>
      <c r="AA144" s="475">
        <v>0</v>
      </c>
      <c r="AB144" s="476">
        <v>0</v>
      </c>
      <c r="AC144" s="38">
        <f t="shared" si="38"/>
        <v>0</v>
      </c>
      <c r="AD144" s="692">
        <f t="shared" si="31"/>
        <v>0</v>
      </c>
      <c r="AE144" s="692">
        <f t="shared" si="32"/>
        <v>-14000</v>
      </c>
      <c r="AF144" s="692">
        <f t="shared" si="33"/>
        <v>0</v>
      </c>
      <c r="AG144" s="38"/>
      <c r="AH144" s="692">
        <f t="shared" si="39"/>
        <v>0</v>
      </c>
      <c r="AI144" s="692">
        <f t="shared" si="40"/>
        <v>17000</v>
      </c>
      <c r="AJ144" s="692">
        <f t="shared" si="41"/>
        <v>0</v>
      </c>
      <c r="AL144" s="38">
        <f t="shared" si="42"/>
        <v>3000</v>
      </c>
      <c r="AM144" s="68" t="s">
        <v>465</v>
      </c>
    </row>
    <row r="145" spans="1:39">
      <c r="A145" s="21"/>
      <c r="B145" s="21" t="s">
        <v>110</v>
      </c>
      <c r="C145" s="666" t="s">
        <v>556</v>
      </c>
      <c r="D145" s="68" t="s">
        <v>261</v>
      </c>
      <c r="E145" s="679"/>
      <c r="F145" s="529">
        <f>VLOOKUP(D145,'Sept13 Revenue'!D:V,19,FALSE)</f>
        <v>-22240.089999999967</v>
      </c>
      <c r="G145" s="680"/>
      <c r="H145" s="680"/>
      <c r="I145" s="755"/>
      <c r="J145" s="682">
        <f t="shared" si="30"/>
        <v>-22240.089999999967</v>
      </c>
      <c r="K145" s="683"/>
      <c r="L145" s="684"/>
      <c r="M145" s="753">
        <v>275000</v>
      </c>
      <c r="N145" s="683">
        <v>0</v>
      </c>
      <c r="O145" s="686"/>
      <c r="P145" s="683">
        <v>0</v>
      </c>
      <c r="Q145" s="687">
        <f t="shared" si="1"/>
        <v>275000</v>
      </c>
      <c r="R145" s="687"/>
      <c r="S145" s="687"/>
      <c r="T145" s="688">
        <f>275193.05-T146</f>
        <v>258299.25</v>
      </c>
      <c r="U145" s="693"/>
      <c r="V145" s="690">
        <f t="shared" si="34"/>
        <v>-16700.75</v>
      </c>
      <c r="W145" s="683"/>
      <c r="X145" s="474">
        <f t="shared" si="35"/>
        <v>275000</v>
      </c>
      <c r="Y145" s="474">
        <f t="shared" si="36"/>
        <v>0</v>
      </c>
      <c r="Z145" s="475">
        <f t="shared" si="37"/>
        <v>0</v>
      </c>
      <c r="AA145" s="475">
        <v>0</v>
      </c>
      <c r="AB145" s="476">
        <v>0</v>
      </c>
      <c r="AC145" s="38">
        <f t="shared" si="38"/>
        <v>0</v>
      </c>
      <c r="AD145" s="692">
        <f t="shared" si="31"/>
        <v>-22240.089999999967</v>
      </c>
      <c r="AE145" s="692">
        <f t="shared" si="32"/>
        <v>0</v>
      </c>
      <c r="AF145" s="692">
        <f t="shared" si="33"/>
        <v>0</v>
      </c>
      <c r="AG145" s="38"/>
      <c r="AH145" s="692">
        <f t="shared" si="39"/>
        <v>275000</v>
      </c>
      <c r="AI145" s="692">
        <f t="shared" si="40"/>
        <v>0</v>
      </c>
      <c r="AJ145" s="692">
        <f t="shared" si="41"/>
        <v>0</v>
      </c>
      <c r="AL145" s="38">
        <f t="shared" si="42"/>
        <v>252759.91000000003</v>
      </c>
      <c r="AM145" s="68" t="s">
        <v>261</v>
      </c>
    </row>
    <row r="146" spans="1:39" s="269" customFormat="1">
      <c r="A146" s="21"/>
      <c r="B146" s="21" t="s">
        <v>110</v>
      </c>
      <c r="C146" s="666" t="s">
        <v>556</v>
      </c>
      <c r="D146" s="68" t="s">
        <v>262</v>
      </c>
      <c r="E146" s="679"/>
      <c r="F146" s="529">
        <f>VLOOKUP(D146,'Sept13 Revenue'!D:V,19,FALSE)</f>
        <v>-2459.2799999999988</v>
      </c>
      <c r="G146" s="680"/>
      <c r="H146" s="680"/>
      <c r="I146" s="755"/>
      <c r="J146" s="682">
        <f t="shared" si="30"/>
        <v>-2459.2799999999988</v>
      </c>
      <c r="K146" s="683"/>
      <c r="L146" s="684"/>
      <c r="M146" s="753">
        <v>20000</v>
      </c>
      <c r="N146" s="683">
        <v>0</v>
      </c>
      <c r="O146" s="686"/>
      <c r="P146" s="683">
        <v>0</v>
      </c>
      <c r="Q146" s="687">
        <f t="shared" si="1"/>
        <v>20000</v>
      </c>
      <c r="R146" s="687"/>
      <c r="S146" s="687"/>
      <c r="T146" s="688">
        <v>16893.8</v>
      </c>
      <c r="U146" s="693"/>
      <c r="V146" s="690">
        <f t="shared" si="34"/>
        <v>-3106.2000000000007</v>
      </c>
      <c r="W146" s="683"/>
      <c r="X146" s="474">
        <f t="shared" si="35"/>
        <v>20000</v>
      </c>
      <c r="Y146" s="474">
        <f t="shared" si="36"/>
        <v>0</v>
      </c>
      <c r="Z146" s="475">
        <f t="shared" si="37"/>
        <v>0</v>
      </c>
      <c r="AA146" s="475">
        <v>0</v>
      </c>
      <c r="AB146" s="476">
        <v>0</v>
      </c>
      <c r="AC146" s="38">
        <f t="shared" si="38"/>
        <v>0</v>
      </c>
      <c r="AD146" s="692">
        <f t="shared" si="31"/>
        <v>-2459.2799999999988</v>
      </c>
      <c r="AE146" s="692">
        <f t="shared" si="32"/>
        <v>0</v>
      </c>
      <c r="AF146" s="692">
        <f t="shared" si="33"/>
        <v>0</v>
      </c>
      <c r="AG146" s="38"/>
      <c r="AH146" s="692">
        <f t="shared" si="39"/>
        <v>20000</v>
      </c>
      <c r="AI146" s="692">
        <f t="shared" si="40"/>
        <v>0</v>
      </c>
      <c r="AJ146" s="692">
        <f t="shared" si="41"/>
        <v>0</v>
      </c>
      <c r="AL146" s="38">
        <f t="shared" si="42"/>
        <v>17540.72</v>
      </c>
      <c r="AM146" s="68" t="s">
        <v>262</v>
      </c>
    </row>
    <row r="147" spans="1:39" s="269" customFormat="1">
      <c r="A147" s="21"/>
      <c r="B147" s="21" t="s">
        <v>114</v>
      </c>
      <c r="C147" s="675" t="s">
        <v>619</v>
      </c>
      <c r="D147" s="68" t="s">
        <v>626</v>
      </c>
      <c r="E147" s="679"/>
      <c r="F147" s="529">
        <f>VLOOKUP(D147,'Sept13 Revenue'!D:V,19,FALSE)</f>
        <v>0</v>
      </c>
      <c r="G147" s="680"/>
      <c r="H147" s="680"/>
      <c r="I147" s="770">
        <v>9646.0300000000007</v>
      </c>
      <c r="J147" s="682">
        <f t="shared" si="30"/>
        <v>9646.0300000000007</v>
      </c>
      <c r="K147" s="683"/>
      <c r="L147" s="684"/>
      <c r="M147" s="753"/>
      <c r="N147" s="683">
        <v>0</v>
      </c>
      <c r="O147" s="686"/>
      <c r="P147" s="683">
        <v>0</v>
      </c>
      <c r="Q147" s="687">
        <f t="shared" ref="Q147:Q214" si="83">L147+M147</f>
        <v>0</v>
      </c>
      <c r="R147" s="687"/>
      <c r="S147" s="687"/>
      <c r="T147" s="688">
        <v>0</v>
      </c>
      <c r="U147" s="693"/>
      <c r="V147" s="690">
        <f t="shared" si="34"/>
        <v>0</v>
      </c>
      <c r="W147" s="683"/>
      <c r="X147" s="474">
        <f t="shared" si="35"/>
        <v>0</v>
      </c>
      <c r="Y147" s="474">
        <f t="shared" si="36"/>
        <v>0</v>
      </c>
      <c r="Z147" s="475">
        <f t="shared" si="37"/>
        <v>0</v>
      </c>
      <c r="AA147" s="475">
        <v>0</v>
      </c>
      <c r="AB147" s="476">
        <v>0</v>
      </c>
      <c r="AC147" s="38">
        <f t="shared" si="38"/>
        <v>0</v>
      </c>
      <c r="AD147" s="692">
        <f t="shared" si="31"/>
        <v>0</v>
      </c>
      <c r="AE147" s="692">
        <f t="shared" si="32"/>
        <v>0</v>
      </c>
      <c r="AF147" s="692">
        <f t="shared" si="33"/>
        <v>9646.0300000000007</v>
      </c>
      <c r="AG147" s="38"/>
      <c r="AH147" s="692">
        <f t="shared" si="39"/>
        <v>0</v>
      </c>
      <c r="AI147" s="692">
        <f t="shared" si="40"/>
        <v>0</v>
      </c>
      <c r="AJ147" s="692">
        <f t="shared" si="41"/>
        <v>0</v>
      </c>
      <c r="AL147" s="38">
        <f t="shared" si="42"/>
        <v>9646.0300000000007</v>
      </c>
      <c r="AM147" s="68" t="s">
        <v>626</v>
      </c>
    </row>
    <row r="148" spans="1:39">
      <c r="A148" s="21"/>
      <c r="B148" s="21" t="s">
        <v>109</v>
      </c>
      <c r="C148" s="666"/>
      <c r="D148" s="68" t="s">
        <v>396</v>
      </c>
      <c r="E148" s="679"/>
      <c r="F148" s="529">
        <f>VLOOKUP(D148,'Sept13 Revenue'!D:V,19,FALSE)</f>
        <v>0</v>
      </c>
      <c r="G148" s="680"/>
      <c r="H148" s="680"/>
      <c r="I148" s="755"/>
      <c r="J148" s="682">
        <f t="shared" si="30"/>
        <v>0</v>
      </c>
      <c r="K148" s="683"/>
      <c r="L148" s="684"/>
      <c r="M148" s="753"/>
      <c r="N148" s="683">
        <v>0</v>
      </c>
      <c r="O148" s="686"/>
      <c r="P148" s="683">
        <v>0</v>
      </c>
      <c r="Q148" s="687">
        <f t="shared" si="83"/>
        <v>0</v>
      </c>
      <c r="R148" s="687"/>
      <c r="S148" s="687"/>
      <c r="T148" s="688">
        <v>6.89</v>
      </c>
      <c r="U148" s="693"/>
      <c r="V148" s="690">
        <f t="shared" si="34"/>
        <v>6.89</v>
      </c>
      <c r="W148" s="683"/>
      <c r="X148" s="474">
        <f t="shared" si="35"/>
        <v>0</v>
      </c>
      <c r="Y148" s="474">
        <f t="shared" si="36"/>
        <v>0</v>
      </c>
      <c r="Z148" s="475">
        <f t="shared" si="37"/>
        <v>0</v>
      </c>
      <c r="AA148" s="475">
        <v>0</v>
      </c>
      <c r="AB148" s="476">
        <v>0</v>
      </c>
      <c r="AC148" s="38">
        <f t="shared" si="38"/>
        <v>0</v>
      </c>
      <c r="AD148" s="692">
        <f t="shared" si="31"/>
        <v>0</v>
      </c>
      <c r="AE148" s="692">
        <f t="shared" si="32"/>
        <v>0</v>
      </c>
      <c r="AF148" s="692">
        <f t="shared" si="33"/>
        <v>0</v>
      </c>
      <c r="AG148" s="38"/>
      <c r="AH148" s="692">
        <f t="shared" si="39"/>
        <v>0</v>
      </c>
      <c r="AI148" s="692">
        <f t="shared" si="40"/>
        <v>0</v>
      </c>
      <c r="AJ148" s="692">
        <f t="shared" si="41"/>
        <v>0</v>
      </c>
      <c r="AL148" s="38">
        <f t="shared" si="42"/>
        <v>0</v>
      </c>
      <c r="AM148" s="68" t="s">
        <v>396</v>
      </c>
    </row>
    <row r="149" spans="1:39">
      <c r="A149" s="20"/>
      <c r="B149" s="20" t="s">
        <v>109</v>
      </c>
      <c r="C149" s="667" t="s">
        <v>557</v>
      </c>
      <c r="D149" s="68" t="s">
        <v>32</v>
      </c>
      <c r="E149" s="679"/>
      <c r="F149" s="529">
        <f>VLOOKUP(D149,'Sept13 Revenue'!D:V,19,FALSE)</f>
        <v>41.2</v>
      </c>
      <c r="G149" s="680"/>
      <c r="H149" s="680"/>
      <c r="I149" s="755"/>
      <c r="J149" s="682">
        <f t="shared" si="30"/>
        <v>41.2</v>
      </c>
      <c r="K149" s="683"/>
      <c r="L149" s="684"/>
      <c r="M149" s="753"/>
      <c r="N149" s="683">
        <v>0</v>
      </c>
      <c r="O149" s="686"/>
      <c r="P149" s="683">
        <v>0</v>
      </c>
      <c r="Q149" s="687">
        <f t="shared" si="83"/>
        <v>0</v>
      </c>
      <c r="R149" s="687"/>
      <c r="S149" s="687"/>
      <c r="T149" s="688">
        <v>0</v>
      </c>
      <c r="U149" s="693"/>
      <c r="V149" s="690">
        <f t="shared" si="34"/>
        <v>0</v>
      </c>
      <c r="W149" s="683"/>
      <c r="X149" s="474">
        <f t="shared" si="35"/>
        <v>0</v>
      </c>
      <c r="Y149" s="474">
        <f t="shared" si="36"/>
        <v>0</v>
      </c>
      <c r="Z149" s="475">
        <f t="shared" si="37"/>
        <v>0</v>
      </c>
      <c r="AA149" s="475">
        <v>0</v>
      </c>
      <c r="AB149" s="476">
        <v>0</v>
      </c>
      <c r="AC149" s="38">
        <f t="shared" si="38"/>
        <v>0</v>
      </c>
      <c r="AD149" s="692">
        <f t="shared" si="31"/>
        <v>0</v>
      </c>
      <c r="AE149" s="692">
        <f t="shared" si="32"/>
        <v>41.2</v>
      </c>
      <c r="AF149" s="692">
        <f t="shared" si="33"/>
        <v>0</v>
      </c>
      <c r="AG149" s="38"/>
      <c r="AH149" s="692">
        <f t="shared" si="39"/>
        <v>0</v>
      </c>
      <c r="AI149" s="692">
        <f t="shared" si="40"/>
        <v>0</v>
      </c>
      <c r="AJ149" s="692">
        <f t="shared" si="41"/>
        <v>0</v>
      </c>
      <c r="AL149" s="38">
        <f t="shared" si="42"/>
        <v>41.2</v>
      </c>
      <c r="AM149" s="68" t="s">
        <v>32</v>
      </c>
    </row>
    <row r="150" spans="1:39">
      <c r="A150" s="21"/>
      <c r="B150" s="21" t="s">
        <v>110</v>
      </c>
      <c r="C150" s="666"/>
      <c r="D150" s="68" t="s">
        <v>448</v>
      </c>
      <c r="E150" s="679"/>
      <c r="F150" s="529">
        <f>VLOOKUP(D150,'Sept13 Revenue'!D:V,19,FALSE)</f>
        <v>0</v>
      </c>
      <c r="G150" s="680"/>
      <c r="H150" s="680"/>
      <c r="I150" s="755"/>
      <c r="J150" s="682">
        <f t="shared" si="30"/>
        <v>0</v>
      </c>
      <c r="K150" s="683"/>
      <c r="L150" s="684"/>
      <c r="M150" s="753"/>
      <c r="N150" s="683">
        <v>0</v>
      </c>
      <c r="O150" s="686"/>
      <c r="P150" s="683">
        <v>0</v>
      </c>
      <c r="Q150" s="687">
        <f t="shared" si="83"/>
        <v>0</v>
      </c>
      <c r="R150" s="687"/>
      <c r="S150" s="687"/>
      <c r="T150" s="688">
        <v>0</v>
      </c>
      <c r="U150" s="693"/>
      <c r="V150" s="690">
        <f t="shared" si="34"/>
        <v>0</v>
      </c>
      <c r="W150" s="683"/>
      <c r="X150" s="474">
        <f t="shared" si="35"/>
        <v>0</v>
      </c>
      <c r="Y150" s="474">
        <f t="shared" si="36"/>
        <v>0</v>
      </c>
      <c r="Z150" s="475">
        <f t="shared" si="37"/>
        <v>0</v>
      </c>
      <c r="AA150" s="475">
        <v>0</v>
      </c>
      <c r="AB150" s="476">
        <v>0</v>
      </c>
      <c r="AC150" s="38">
        <f t="shared" si="38"/>
        <v>0</v>
      </c>
      <c r="AD150" s="692">
        <f t="shared" si="31"/>
        <v>0</v>
      </c>
      <c r="AE150" s="692">
        <f t="shared" si="32"/>
        <v>0</v>
      </c>
      <c r="AF150" s="692">
        <f t="shared" si="33"/>
        <v>0</v>
      </c>
      <c r="AG150" s="38"/>
      <c r="AH150" s="692">
        <f t="shared" si="39"/>
        <v>0</v>
      </c>
      <c r="AI150" s="692">
        <f t="shared" si="40"/>
        <v>0</v>
      </c>
      <c r="AJ150" s="692">
        <f t="shared" si="41"/>
        <v>0</v>
      </c>
      <c r="AL150" s="38">
        <f t="shared" si="42"/>
        <v>0</v>
      </c>
      <c r="AM150" s="68" t="s">
        <v>448</v>
      </c>
    </row>
    <row r="151" spans="1:39">
      <c r="A151" s="21"/>
      <c r="B151" s="21" t="s">
        <v>114</v>
      </c>
      <c r="C151" s="666"/>
      <c r="D151" s="68" t="s">
        <v>936</v>
      </c>
      <c r="E151" s="679">
        <v>4157.21</v>
      </c>
      <c r="F151" s="529">
        <f>VLOOKUP(D151,'Sept13 Revenue'!D:V,19,FALSE)</f>
        <v>6683.2</v>
      </c>
      <c r="G151" s="680"/>
      <c r="H151" s="680"/>
      <c r="I151" s="755"/>
      <c r="J151" s="682">
        <f t="shared" si="30"/>
        <v>10840.41</v>
      </c>
      <c r="K151" s="683"/>
      <c r="L151" s="684"/>
      <c r="M151" s="753"/>
      <c r="N151" s="683">
        <v>0</v>
      </c>
      <c r="O151" s="686"/>
      <c r="P151" s="683">
        <v>0</v>
      </c>
      <c r="Q151" s="687">
        <f t="shared" si="83"/>
        <v>0</v>
      </c>
      <c r="R151" s="687"/>
      <c r="S151" s="687"/>
      <c r="T151" s="688">
        <v>0</v>
      </c>
      <c r="U151" s="693"/>
      <c r="V151" s="690">
        <f t="shared" si="34"/>
        <v>0</v>
      </c>
      <c r="W151" s="683"/>
      <c r="X151" s="474">
        <f t="shared" si="35"/>
        <v>0</v>
      </c>
      <c r="Y151" s="474">
        <f t="shared" si="36"/>
        <v>0</v>
      </c>
      <c r="Z151" s="475">
        <f t="shared" si="37"/>
        <v>0</v>
      </c>
      <c r="AA151" s="475">
        <v>0</v>
      </c>
      <c r="AB151" s="476">
        <v>0</v>
      </c>
      <c r="AC151" s="38">
        <f t="shared" si="38"/>
        <v>0</v>
      </c>
      <c r="AD151" s="692">
        <f t="shared" si="31"/>
        <v>0</v>
      </c>
      <c r="AE151" s="692">
        <f t="shared" si="32"/>
        <v>0</v>
      </c>
      <c r="AF151" s="692">
        <f t="shared" si="33"/>
        <v>10840.41</v>
      </c>
      <c r="AG151" s="38"/>
      <c r="AH151" s="692">
        <f t="shared" si="39"/>
        <v>0</v>
      </c>
      <c r="AI151" s="692">
        <f t="shared" si="40"/>
        <v>0</v>
      </c>
      <c r="AJ151" s="692">
        <f t="shared" si="41"/>
        <v>0</v>
      </c>
      <c r="AL151" s="38">
        <f t="shared" si="42"/>
        <v>10840.41</v>
      </c>
      <c r="AM151" s="68" t="s">
        <v>936</v>
      </c>
    </row>
    <row r="152" spans="1:39">
      <c r="A152" s="21"/>
      <c r="B152" s="21" t="s">
        <v>110</v>
      </c>
      <c r="C152" s="666"/>
      <c r="D152" s="68" t="s">
        <v>877</v>
      </c>
      <c r="E152" s="679"/>
      <c r="F152" s="529">
        <f>VLOOKUP(D152,'Sept13 Revenue'!D:V,19,FALSE)</f>
        <v>0</v>
      </c>
      <c r="G152" s="680"/>
      <c r="H152" s="680"/>
      <c r="I152" s="755"/>
      <c r="J152" s="682">
        <f t="shared" si="30"/>
        <v>0</v>
      </c>
      <c r="K152" s="683"/>
      <c r="L152" s="684"/>
      <c r="M152" s="753"/>
      <c r="N152" s="683">
        <v>0</v>
      </c>
      <c r="O152" s="686"/>
      <c r="P152" s="683">
        <v>0</v>
      </c>
      <c r="Q152" s="687">
        <f t="shared" si="83"/>
        <v>0</v>
      </c>
      <c r="R152" s="687"/>
      <c r="S152" s="687"/>
      <c r="T152" s="688">
        <v>0</v>
      </c>
      <c r="U152" s="693"/>
      <c r="V152" s="690">
        <f t="shared" ref="V152:V213" si="84">IF(T152="","",T152-Q152)</f>
        <v>0</v>
      </c>
      <c r="W152" s="683"/>
      <c r="X152" s="474">
        <f t="shared" si="35"/>
        <v>0</v>
      </c>
      <c r="Y152" s="474">
        <f t="shared" si="36"/>
        <v>0</v>
      </c>
      <c r="Z152" s="475">
        <f t="shared" si="37"/>
        <v>0</v>
      </c>
      <c r="AA152" s="475">
        <v>0</v>
      </c>
      <c r="AB152" s="476">
        <v>0</v>
      </c>
      <c r="AC152" s="38">
        <f t="shared" si="38"/>
        <v>0</v>
      </c>
      <c r="AD152" s="692">
        <f t="shared" si="31"/>
        <v>0</v>
      </c>
      <c r="AE152" s="692">
        <f t="shared" si="32"/>
        <v>0</v>
      </c>
      <c r="AF152" s="692">
        <f t="shared" si="33"/>
        <v>0</v>
      </c>
      <c r="AG152" s="38"/>
      <c r="AH152" s="692">
        <f t="shared" si="39"/>
        <v>0</v>
      </c>
      <c r="AI152" s="692">
        <f t="shared" si="40"/>
        <v>0</v>
      </c>
      <c r="AJ152" s="692">
        <f t="shared" si="41"/>
        <v>0</v>
      </c>
      <c r="AL152" s="38">
        <f t="shared" si="42"/>
        <v>0</v>
      </c>
      <c r="AM152" s="68" t="s">
        <v>877</v>
      </c>
    </row>
    <row r="153" spans="1:39">
      <c r="A153" s="21"/>
      <c r="B153" s="21" t="s">
        <v>110</v>
      </c>
      <c r="C153" s="666" t="s">
        <v>558</v>
      </c>
      <c r="D153" s="68" t="s">
        <v>122</v>
      </c>
      <c r="E153" s="679"/>
      <c r="F153" s="529">
        <f>VLOOKUP(D153,'Sept13 Revenue'!D:V,19,FALSE)</f>
        <v>0</v>
      </c>
      <c r="G153" s="680"/>
      <c r="H153" s="680"/>
      <c r="I153" s="755"/>
      <c r="J153" s="682">
        <f t="shared" si="30"/>
        <v>0</v>
      </c>
      <c r="K153" s="683"/>
      <c r="L153" s="684"/>
      <c r="M153" s="753"/>
      <c r="N153" s="683">
        <v>0</v>
      </c>
      <c r="O153" s="686"/>
      <c r="P153" s="683">
        <v>0</v>
      </c>
      <c r="Q153" s="687">
        <f t="shared" si="83"/>
        <v>0</v>
      </c>
      <c r="R153" s="687"/>
      <c r="S153" s="687"/>
      <c r="T153" s="688">
        <v>0</v>
      </c>
      <c r="U153" s="693"/>
      <c r="V153" s="690">
        <f t="shared" si="84"/>
        <v>0</v>
      </c>
      <c r="W153" s="683"/>
      <c r="X153" s="474">
        <f t="shared" si="35"/>
        <v>0</v>
      </c>
      <c r="Y153" s="474">
        <f t="shared" si="36"/>
        <v>0</v>
      </c>
      <c r="Z153" s="475">
        <f t="shared" si="37"/>
        <v>0</v>
      </c>
      <c r="AA153" s="475">
        <v>0</v>
      </c>
      <c r="AB153" s="476">
        <v>0</v>
      </c>
      <c r="AC153" s="38">
        <f t="shared" si="38"/>
        <v>0</v>
      </c>
      <c r="AD153" s="692">
        <f t="shared" si="31"/>
        <v>0</v>
      </c>
      <c r="AE153" s="692">
        <f t="shared" si="32"/>
        <v>0</v>
      </c>
      <c r="AF153" s="692">
        <f t="shared" si="33"/>
        <v>0</v>
      </c>
      <c r="AG153" s="38"/>
      <c r="AH153" s="692">
        <f t="shared" si="39"/>
        <v>0</v>
      </c>
      <c r="AI153" s="692">
        <f t="shared" si="40"/>
        <v>0</v>
      </c>
      <c r="AJ153" s="692">
        <f t="shared" si="41"/>
        <v>0</v>
      </c>
      <c r="AL153" s="38">
        <f t="shared" si="42"/>
        <v>0</v>
      </c>
      <c r="AM153" s="68" t="s">
        <v>122</v>
      </c>
    </row>
    <row r="154" spans="1:39">
      <c r="A154" s="21"/>
      <c r="B154" s="21" t="s">
        <v>114</v>
      </c>
      <c r="C154" s="666" t="s">
        <v>558</v>
      </c>
      <c r="D154" s="68" t="s">
        <v>629</v>
      </c>
      <c r="E154" s="679"/>
      <c r="F154" s="529">
        <f>VLOOKUP(D154,'Sept13 Revenue'!D:V,19,FALSE)</f>
        <v>0</v>
      </c>
      <c r="G154" s="680"/>
      <c r="H154" s="680"/>
      <c r="I154" s="755"/>
      <c r="J154" s="682">
        <f t="shared" ref="J154:J218" si="85">SUM(E154:I154)</f>
        <v>0</v>
      </c>
      <c r="K154" s="683"/>
      <c r="L154" s="684"/>
      <c r="M154" s="753"/>
      <c r="N154" s="683">
        <v>0</v>
      </c>
      <c r="O154" s="686"/>
      <c r="P154" s="683">
        <v>0</v>
      </c>
      <c r="Q154" s="687">
        <f t="shared" si="83"/>
        <v>0</v>
      </c>
      <c r="R154" s="687"/>
      <c r="S154" s="687"/>
      <c r="T154" s="688">
        <v>0</v>
      </c>
      <c r="U154" s="693"/>
      <c r="V154" s="690">
        <f t="shared" si="84"/>
        <v>0</v>
      </c>
      <c r="W154" s="683"/>
      <c r="X154" s="474">
        <f t="shared" si="35"/>
        <v>0</v>
      </c>
      <c r="Y154" s="474">
        <f t="shared" si="36"/>
        <v>0</v>
      </c>
      <c r="Z154" s="475">
        <f t="shared" si="37"/>
        <v>0</v>
      </c>
      <c r="AA154" s="475">
        <v>0</v>
      </c>
      <c r="AB154" s="476">
        <v>0</v>
      </c>
      <c r="AC154" s="38">
        <f t="shared" si="38"/>
        <v>0</v>
      </c>
      <c r="AD154" s="692">
        <f t="shared" ref="AD154:AD218" si="86">IF(B154="D",J154,0)</f>
        <v>0</v>
      </c>
      <c r="AE154" s="692">
        <f t="shared" ref="AE154:AE218" si="87">IF(B154="M",J154,0)</f>
        <v>0</v>
      </c>
      <c r="AF154" s="692">
        <f t="shared" ref="AF154:AF218" si="88">IF(B154="V",J154,0)</f>
        <v>0</v>
      </c>
      <c r="AG154" s="38"/>
      <c r="AH154" s="692">
        <f t="shared" si="39"/>
        <v>0</v>
      </c>
      <c r="AI154" s="692">
        <f t="shared" si="40"/>
        <v>0</v>
      </c>
      <c r="AJ154" s="692">
        <f t="shared" si="41"/>
        <v>0</v>
      </c>
      <c r="AL154" s="38">
        <f t="shared" ref="AL154:AL218" si="89">SUM(AD154:AJ154)</f>
        <v>0</v>
      </c>
      <c r="AM154" s="68" t="s">
        <v>629</v>
      </c>
    </row>
    <row r="155" spans="1:39">
      <c r="A155" s="21"/>
      <c r="B155" s="21" t="s">
        <v>109</v>
      </c>
      <c r="C155" s="666" t="s">
        <v>559</v>
      </c>
      <c r="D155" s="68" t="s">
        <v>33</v>
      </c>
      <c r="E155" s="679"/>
      <c r="F155" s="529">
        <f>VLOOKUP(D155,'Sept13 Revenue'!D:V,19,FALSE)</f>
        <v>0</v>
      </c>
      <c r="G155" s="680"/>
      <c r="H155" s="680"/>
      <c r="I155" s="755"/>
      <c r="J155" s="682">
        <f t="shared" si="85"/>
        <v>0</v>
      </c>
      <c r="K155" s="683"/>
      <c r="L155" s="684"/>
      <c r="M155" s="753"/>
      <c r="N155" s="683">
        <v>0</v>
      </c>
      <c r="O155" s="686"/>
      <c r="P155" s="683">
        <v>0</v>
      </c>
      <c r="Q155" s="687">
        <f t="shared" si="83"/>
        <v>0</v>
      </c>
      <c r="R155" s="687"/>
      <c r="S155" s="687"/>
      <c r="T155" s="688">
        <v>0</v>
      </c>
      <c r="U155" s="693"/>
      <c r="V155" s="690">
        <f t="shared" si="84"/>
        <v>0</v>
      </c>
      <c r="W155" s="683"/>
      <c r="X155" s="474">
        <f t="shared" si="35"/>
        <v>0</v>
      </c>
      <c r="Y155" s="474">
        <f t="shared" si="36"/>
        <v>0</v>
      </c>
      <c r="Z155" s="475">
        <f t="shared" si="37"/>
        <v>0</v>
      </c>
      <c r="AA155" s="475">
        <v>0</v>
      </c>
      <c r="AB155" s="476">
        <v>0</v>
      </c>
      <c r="AC155" s="38">
        <f t="shared" si="38"/>
        <v>0</v>
      </c>
      <c r="AD155" s="692">
        <f t="shared" si="86"/>
        <v>0</v>
      </c>
      <c r="AE155" s="692">
        <f t="shared" si="87"/>
        <v>0</v>
      </c>
      <c r="AF155" s="692">
        <f t="shared" si="88"/>
        <v>0</v>
      </c>
      <c r="AG155" s="38"/>
      <c r="AH155" s="692">
        <f t="shared" ref="AH155:AH219" si="90">IF(B155="D",Q155,0)</f>
        <v>0</v>
      </c>
      <c r="AI155" s="692">
        <f t="shared" ref="AI155:AI219" si="91">IF(B155="M",Q155,0)</f>
        <v>0</v>
      </c>
      <c r="AJ155" s="692">
        <f t="shared" ref="AJ155:AJ219" si="92">IF(B155="V",Q155,0)</f>
        <v>0</v>
      </c>
      <c r="AL155" s="38">
        <f t="shared" si="89"/>
        <v>0</v>
      </c>
      <c r="AM155" s="68" t="s">
        <v>33</v>
      </c>
    </row>
    <row r="156" spans="1:39">
      <c r="A156" s="21"/>
      <c r="B156" s="21" t="s">
        <v>109</v>
      </c>
      <c r="C156" s="666" t="s">
        <v>560</v>
      </c>
      <c r="D156" s="68" t="s">
        <v>379</v>
      </c>
      <c r="E156" s="679"/>
      <c r="F156" s="529">
        <f>VLOOKUP(D156,'Sept13 Revenue'!D:V,19,FALSE)</f>
        <v>0</v>
      </c>
      <c r="G156" s="680"/>
      <c r="H156" s="680"/>
      <c r="I156" s="755"/>
      <c r="J156" s="682">
        <f t="shared" si="85"/>
        <v>0</v>
      </c>
      <c r="K156" s="683"/>
      <c r="L156" s="684"/>
      <c r="M156" s="753"/>
      <c r="N156" s="683">
        <v>0</v>
      </c>
      <c r="O156" s="686"/>
      <c r="P156" s="683">
        <v>0</v>
      </c>
      <c r="Q156" s="687">
        <f t="shared" si="83"/>
        <v>0</v>
      </c>
      <c r="R156" s="687"/>
      <c r="S156" s="687"/>
      <c r="T156" s="688">
        <v>0</v>
      </c>
      <c r="U156" s="693"/>
      <c r="V156" s="690">
        <f t="shared" si="84"/>
        <v>0</v>
      </c>
      <c r="W156" s="683"/>
      <c r="X156" s="474">
        <f t="shared" ref="X156:X220" si="93">IF(B156="D",Q156,0)</f>
        <v>0</v>
      </c>
      <c r="Y156" s="474">
        <f t="shared" ref="Y156:Y220" si="94">IF(B156="M",Q156,0)</f>
        <v>0</v>
      </c>
      <c r="Z156" s="475">
        <f t="shared" ref="Z156:Z220" si="95">IF(B156="V",Q156,0)</f>
        <v>0</v>
      </c>
      <c r="AA156" s="475">
        <v>0</v>
      </c>
      <c r="AB156" s="476">
        <v>0</v>
      </c>
      <c r="AC156" s="38">
        <f t="shared" ref="AC156:AC220" si="96">(L156+M156)-(X156+Y156+Z156+AA156+AB156)</f>
        <v>0</v>
      </c>
      <c r="AD156" s="692">
        <f t="shared" si="86"/>
        <v>0</v>
      </c>
      <c r="AE156" s="692">
        <f t="shared" si="87"/>
        <v>0</v>
      </c>
      <c r="AF156" s="692">
        <f t="shared" si="88"/>
        <v>0</v>
      </c>
      <c r="AG156" s="38"/>
      <c r="AH156" s="692">
        <f t="shared" si="90"/>
        <v>0</v>
      </c>
      <c r="AI156" s="692">
        <f t="shared" si="91"/>
        <v>0</v>
      </c>
      <c r="AJ156" s="692">
        <f t="shared" si="92"/>
        <v>0</v>
      </c>
      <c r="AL156" s="38">
        <f t="shared" si="89"/>
        <v>0</v>
      </c>
      <c r="AM156" s="68" t="s">
        <v>379</v>
      </c>
    </row>
    <row r="157" spans="1:39" s="232" customFormat="1">
      <c r="A157" s="283"/>
      <c r="B157" s="283" t="s">
        <v>114</v>
      </c>
      <c r="C157" s="667"/>
      <c r="D157" s="567" t="s">
        <v>408</v>
      </c>
      <c r="E157" s="679">
        <f>2054+3292</f>
        <v>5346</v>
      </c>
      <c r="F157" s="529">
        <f>VLOOKUP(D157,'Sept13 Revenue'!D:V,19,FALSE)</f>
        <v>0</v>
      </c>
      <c r="G157" s="680"/>
      <c r="H157" s="680"/>
      <c r="I157" s="770">
        <f>10835+7837.5</f>
        <v>18672.5</v>
      </c>
      <c r="J157" s="682">
        <f t="shared" si="85"/>
        <v>24018.5</v>
      </c>
      <c r="K157" s="683"/>
      <c r="L157" s="684"/>
      <c r="M157" s="753"/>
      <c r="N157" s="683">
        <v>0</v>
      </c>
      <c r="O157" s="686"/>
      <c r="P157" s="683">
        <v>0</v>
      </c>
      <c r="Q157" s="687">
        <f t="shared" si="83"/>
        <v>0</v>
      </c>
      <c r="R157" s="687"/>
      <c r="S157" s="687"/>
      <c r="T157" s="688">
        <v>0</v>
      </c>
      <c r="U157" s="693"/>
      <c r="V157" s="690">
        <f t="shared" si="84"/>
        <v>0</v>
      </c>
      <c r="W157" s="683"/>
      <c r="X157" s="474">
        <f t="shared" si="93"/>
        <v>0</v>
      </c>
      <c r="Y157" s="474">
        <f t="shared" si="94"/>
        <v>0</v>
      </c>
      <c r="Z157" s="475">
        <f t="shared" si="95"/>
        <v>0</v>
      </c>
      <c r="AA157" s="475">
        <v>0</v>
      </c>
      <c r="AB157" s="476">
        <v>0</v>
      </c>
      <c r="AC157" s="38">
        <f t="shared" si="96"/>
        <v>0</v>
      </c>
      <c r="AD157" s="692">
        <f t="shared" si="86"/>
        <v>0</v>
      </c>
      <c r="AE157" s="692">
        <f t="shared" si="87"/>
        <v>0</v>
      </c>
      <c r="AF157" s="692">
        <f t="shared" si="88"/>
        <v>24018.5</v>
      </c>
      <c r="AG157" s="38"/>
      <c r="AH157" s="692">
        <f t="shared" si="90"/>
        <v>0</v>
      </c>
      <c r="AI157" s="692">
        <f t="shared" si="91"/>
        <v>0</v>
      </c>
      <c r="AJ157" s="692">
        <f t="shared" si="92"/>
        <v>0</v>
      </c>
      <c r="AL157" s="38">
        <f t="shared" si="89"/>
        <v>24018.5</v>
      </c>
      <c r="AM157" s="567" t="s">
        <v>408</v>
      </c>
    </row>
    <row r="158" spans="1:39" s="232" customFormat="1">
      <c r="A158" s="283"/>
      <c r="B158" s="283" t="s">
        <v>110</v>
      </c>
      <c r="C158" s="667"/>
      <c r="D158" s="567" t="s">
        <v>445</v>
      </c>
      <c r="E158" s="679"/>
      <c r="F158" s="529">
        <f>VLOOKUP(D158,'Sept13 Revenue'!D:V,19,FALSE)</f>
        <v>8756</v>
      </c>
      <c r="G158" s="680"/>
      <c r="H158" s="680"/>
      <c r="I158" s="755"/>
      <c r="J158" s="682">
        <f t="shared" si="85"/>
        <v>8756</v>
      </c>
      <c r="K158" s="683"/>
      <c r="L158" s="684"/>
      <c r="M158" s="753"/>
      <c r="N158" s="683">
        <v>0</v>
      </c>
      <c r="O158" s="686"/>
      <c r="P158" s="683">
        <v>0</v>
      </c>
      <c r="Q158" s="687">
        <f t="shared" si="83"/>
        <v>0</v>
      </c>
      <c r="R158" s="687"/>
      <c r="S158" s="687"/>
      <c r="T158" s="688">
        <v>0</v>
      </c>
      <c r="U158" s="693"/>
      <c r="V158" s="690">
        <f t="shared" si="84"/>
        <v>0</v>
      </c>
      <c r="W158" s="683"/>
      <c r="X158" s="474">
        <f t="shared" si="93"/>
        <v>0</v>
      </c>
      <c r="Y158" s="474">
        <f t="shared" si="94"/>
        <v>0</v>
      </c>
      <c r="Z158" s="475">
        <f t="shared" si="95"/>
        <v>0</v>
      </c>
      <c r="AA158" s="475">
        <v>0</v>
      </c>
      <c r="AB158" s="476">
        <v>0</v>
      </c>
      <c r="AC158" s="38">
        <f t="shared" si="96"/>
        <v>0</v>
      </c>
      <c r="AD158" s="692">
        <f t="shared" si="86"/>
        <v>8756</v>
      </c>
      <c r="AE158" s="692">
        <f t="shared" si="87"/>
        <v>0</v>
      </c>
      <c r="AF158" s="692">
        <f t="shared" si="88"/>
        <v>0</v>
      </c>
      <c r="AG158" s="38"/>
      <c r="AH158" s="692">
        <f t="shared" si="90"/>
        <v>0</v>
      </c>
      <c r="AI158" s="692">
        <f t="shared" si="91"/>
        <v>0</v>
      </c>
      <c r="AJ158" s="692">
        <f t="shared" si="92"/>
        <v>0</v>
      </c>
      <c r="AL158" s="38">
        <f t="shared" si="89"/>
        <v>8756</v>
      </c>
      <c r="AM158" s="567" t="s">
        <v>445</v>
      </c>
    </row>
    <row r="159" spans="1:39" s="232" customFormat="1">
      <c r="A159" s="283"/>
      <c r="B159" s="283" t="s">
        <v>109</v>
      </c>
      <c r="C159" s="667" t="s">
        <v>562</v>
      </c>
      <c r="D159" s="567" t="s">
        <v>480</v>
      </c>
      <c r="E159" s="679"/>
      <c r="F159" s="529">
        <f>VLOOKUP(D159,'Sept13 Revenue'!D:V,19,FALSE)</f>
        <v>0</v>
      </c>
      <c r="G159" s="680"/>
      <c r="H159" s="680"/>
      <c r="I159" s="755"/>
      <c r="J159" s="682">
        <f t="shared" si="85"/>
        <v>0</v>
      </c>
      <c r="K159" s="683"/>
      <c r="L159" s="684"/>
      <c r="M159" s="753">
        <v>8000</v>
      </c>
      <c r="N159" s="683">
        <v>0</v>
      </c>
      <c r="O159" s="686"/>
      <c r="P159" s="683">
        <v>0</v>
      </c>
      <c r="Q159" s="687">
        <f t="shared" si="83"/>
        <v>8000</v>
      </c>
      <c r="R159" s="687"/>
      <c r="S159" s="687"/>
      <c r="T159" s="688">
        <v>10216.75</v>
      </c>
      <c r="U159" s="693"/>
      <c r="V159" s="690">
        <f t="shared" si="84"/>
        <v>2216.75</v>
      </c>
      <c r="W159" s="683"/>
      <c r="X159" s="474">
        <f t="shared" si="93"/>
        <v>0</v>
      </c>
      <c r="Y159" s="474">
        <f t="shared" si="94"/>
        <v>8000</v>
      </c>
      <c r="Z159" s="475">
        <f t="shared" si="95"/>
        <v>0</v>
      </c>
      <c r="AA159" s="475">
        <v>0</v>
      </c>
      <c r="AB159" s="476">
        <v>0</v>
      </c>
      <c r="AC159" s="38">
        <f t="shared" si="96"/>
        <v>0</v>
      </c>
      <c r="AD159" s="692">
        <f t="shared" si="86"/>
        <v>0</v>
      </c>
      <c r="AE159" s="692">
        <f t="shared" si="87"/>
        <v>0</v>
      </c>
      <c r="AF159" s="692">
        <f t="shared" si="88"/>
        <v>0</v>
      </c>
      <c r="AG159" s="38"/>
      <c r="AH159" s="692">
        <f t="shared" si="90"/>
        <v>0</v>
      </c>
      <c r="AI159" s="692">
        <f t="shared" si="91"/>
        <v>8000</v>
      </c>
      <c r="AJ159" s="692">
        <f t="shared" si="92"/>
        <v>0</v>
      </c>
      <c r="AL159" s="38">
        <f t="shared" si="89"/>
        <v>8000</v>
      </c>
      <c r="AM159" s="567" t="s">
        <v>480</v>
      </c>
    </row>
    <row r="160" spans="1:39" s="232" customFormat="1">
      <c r="A160" s="403"/>
      <c r="B160" s="403" t="s">
        <v>109</v>
      </c>
      <c r="C160" s="666" t="s">
        <v>563</v>
      </c>
      <c r="D160" s="807" t="s">
        <v>327</v>
      </c>
      <c r="E160" s="679">
        <f>42881.73+68705.32</f>
        <v>111587.05000000002</v>
      </c>
      <c r="F160" s="529">
        <f>VLOOKUP(D160,'Sept13 Revenue'!D:V,19,FALSE)</f>
        <v>-105000</v>
      </c>
      <c r="G160" s="680"/>
      <c r="H160" s="680"/>
      <c r="I160" s="755"/>
      <c r="J160" s="682">
        <f t="shared" si="85"/>
        <v>6587.0500000000175</v>
      </c>
      <c r="K160" s="683"/>
      <c r="L160" s="684"/>
      <c r="M160" s="753">
        <v>100000</v>
      </c>
      <c r="N160" s="683">
        <v>0</v>
      </c>
      <c r="O160" s="686"/>
      <c r="P160" s="683">
        <v>0</v>
      </c>
      <c r="Q160" s="687">
        <f t="shared" si="83"/>
        <v>100000</v>
      </c>
      <c r="R160" s="687"/>
      <c r="S160" s="687"/>
      <c r="T160" s="688">
        <v>70770.429999999993</v>
      </c>
      <c r="U160" s="693"/>
      <c r="V160" s="690">
        <f t="shared" si="84"/>
        <v>-29229.570000000007</v>
      </c>
      <c r="W160" s="683"/>
      <c r="X160" s="474">
        <f t="shared" si="93"/>
        <v>0</v>
      </c>
      <c r="Y160" s="474">
        <f t="shared" si="94"/>
        <v>100000</v>
      </c>
      <c r="Z160" s="475">
        <f t="shared" si="95"/>
        <v>0</v>
      </c>
      <c r="AA160" s="475">
        <v>0</v>
      </c>
      <c r="AB160" s="476">
        <v>0</v>
      </c>
      <c r="AC160" s="38">
        <f t="shared" si="96"/>
        <v>0</v>
      </c>
      <c r="AD160" s="692">
        <f t="shared" si="86"/>
        <v>0</v>
      </c>
      <c r="AE160" s="692">
        <f t="shared" si="87"/>
        <v>6587.0500000000175</v>
      </c>
      <c r="AF160" s="692">
        <f t="shared" si="88"/>
        <v>0</v>
      </c>
      <c r="AG160" s="38"/>
      <c r="AH160" s="692">
        <f t="shared" si="90"/>
        <v>0</v>
      </c>
      <c r="AI160" s="692">
        <f t="shared" si="91"/>
        <v>100000</v>
      </c>
      <c r="AJ160" s="692">
        <f t="shared" si="92"/>
        <v>0</v>
      </c>
      <c r="AL160" s="38">
        <f t="shared" si="89"/>
        <v>106587.05000000002</v>
      </c>
      <c r="AM160" s="807" t="s">
        <v>327</v>
      </c>
    </row>
    <row r="161" spans="1:39" s="232" customFormat="1">
      <c r="A161" s="403"/>
      <c r="B161" s="403" t="s">
        <v>110</v>
      </c>
      <c r="C161" s="666" t="s">
        <v>563</v>
      </c>
      <c r="D161" s="123" t="s">
        <v>637</v>
      </c>
      <c r="E161" s="679"/>
      <c r="F161" s="529">
        <f>VLOOKUP(D161,'Sept13 Revenue'!D:V,19,FALSE)</f>
        <v>0</v>
      </c>
      <c r="G161" s="680"/>
      <c r="H161" s="680"/>
      <c r="I161" s="755"/>
      <c r="J161" s="682">
        <f t="shared" si="85"/>
        <v>0</v>
      </c>
      <c r="K161" s="683"/>
      <c r="L161" s="684"/>
      <c r="M161" s="753"/>
      <c r="N161" s="683">
        <v>0</v>
      </c>
      <c r="O161" s="686"/>
      <c r="P161" s="683">
        <v>0</v>
      </c>
      <c r="Q161" s="687">
        <f t="shared" si="83"/>
        <v>0</v>
      </c>
      <c r="R161" s="687"/>
      <c r="S161" s="687"/>
      <c r="T161" s="688">
        <v>0</v>
      </c>
      <c r="U161" s="693"/>
      <c r="V161" s="690">
        <f t="shared" si="84"/>
        <v>0</v>
      </c>
      <c r="W161" s="683"/>
      <c r="X161" s="474">
        <f t="shared" si="93"/>
        <v>0</v>
      </c>
      <c r="Y161" s="474">
        <f t="shared" si="94"/>
        <v>0</v>
      </c>
      <c r="Z161" s="475">
        <f t="shared" si="95"/>
        <v>0</v>
      </c>
      <c r="AA161" s="475">
        <v>0</v>
      </c>
      <c r="AB161" s="476">
        <v>0</v>
      </c>
      <c r="AC161" s="38">
        <f t="shared" si="96"/>
        <v>0</v>
      </c>
      <c r="AD161" s="692">
        <f t="shared" si="86"/>
        <v>0</v>
      </c>
      <c r="AE161" s="692">
        <f t="shared" si="87"/>
        <v>0</v>
      </c>
      <c r="AF161" s="692">
        <f t="shared" si="88"/>
        <v>0</v>
      </c>
      <c r="AG161" s="38"/>
      <c r="AH161" s="692">
        <f t="shared" si="90"/>
        <v>0</v>
      </c>
      <c r="AI161" s="692">
        <f t="shared" si="91"/>
        <v>0</v>
      </c>
      <c r="AJ161" s="692">
        <f t="shared" si="92"/>
        <v>0</v>
      </c>
      <c r="AL161" s="38">
        <f t="shared" si="89"/>
        <v>0</v>
      </c>
      <c r="AM161" s="123" t="s">
        <v>637</v>
      </c>
    </row>
    <row r="162" spans="1:39">
      <c r="A162" s="21" t="s">
        <v>212</v>
      </c>
      <c r="B162" s="21" t="s">
        <v>110</v>
      </c>
      <c r="C162" s="666"/>
      <c r="D162" s="68" t="s">
        <v>232</v>
      </c>
      <c r="E162" s="679"/>
      <c r="F162" s="529">
        <f>VLOOKUP(D162,'Sept13 Revenue'!D:V,19,FALSE)</f>
        <v>-10000</v>
      </c>
      <c r="G162" s="680"/>
      <c r="H162" s="680"/>
      <c r="I162" s="755"/>
      <c r="J162" s="682">
        <f t="shared" si="85"/>
        <v>-10000</v>
      </c>
      <c r="K162" s="683"/>
      <c r="L162" s="684"/>
      <c r="M162" s="753">
        <v>13000</v>
      </c>
      <c r="N162" s="683">
        <v>0</v>
      </c>
      <c r="O162" s="686"/>
      <c r="P162" s="683">
        <v>0</v>
      </c>
      <c r="Q162" s="687">
        <f t="shared" si="83"/>
        <v>13000</v>
      </c>
      <c r="R162" s="687"/>
      <c r="S162" s="687"/>
      <c r="T162" s="688">
        <v>0</v>
      </c>
      <c r="U162" s="693"/>
      <c r="V162" s="690">
        <f t="shared" si="84"/>
        <v>-13000</v>
      </c>
      <c r="W162" s="683"/>
      <c r="X162" s="474">
        <f t="shared" si="93"/>
        <v>13000</v>
      </c>
      <c r="Y162" s="474">
        <f t="shared" si="94"/>
        <v>0</v>
      </c>
      <c r="Z162" s="475">
        <f t="shared" si="95"/>
        <v>0</v>
      </c>
      <c r="AA162" s="475">
        <v>0</v>
      </c>
      <c r="AB162" s="476">
        <v>0</v>
      </c>
      <c r="AC162" s="38">
        <f t="shared" si="96"/>
        <v>0</v>
      </c>
      <c r="AD162" s="692">
        <f t="shared" si="86"/>
        <v>-10000</v>
      </c>
      <c r="AE162" s="692">
        <f t="shared" si="87"/>
        <v>0</v>
      </c>
      <c r="AF162" s="692">
        <f t="shared" si="88"/>
        <v>0</v>
      </c>
      <c r="AG162" s="38"/>
      <c r="AH162" s="692">
        <f t="shared" si="90"/>
        <v>13000</v>
      </c>
      <c r="AI162" s="692">
        <f t="shared" si="91"/>
        <v>0</v>
      </c>
      <c r="AJ162" s="692">
        <f t="shared" si="92"/>
        <v>0</v>
      </c>
      <c r="AL162" s="38">
        <f t="shared" si="89"/>
        <v>3000</v>
      </c>
      <c r="AM162" s="68" t="s">
        <v>232</v>
      </c>
    </row>
    <row r="163" spans="1:39">
      <c r="A163" s="21"/>
      <c r="B163" s="21" t="s">
        <v>109</v>
      </c>
      <c r="C163" s="666" t="s">
        <v>564</v>
      </c>
      <c r="D163" s="68" t="s">
        <v>876</v>
      </c>
      <c r="E163" s="679"/>
      <c r="F163" s="529">
        <f>VLOOKUP(D163,'Sept13 Revenue'!D:V,19,FALSE)</f>
        <v>0</v>
      </c>
      <c r="G163" s="680"/>
      <c r="H163" s="680"/>
      <c r="I163" s="755"/>
      <c r="J163" s="682">
        <f t="shared" si="85"/>
        <v>0</v>
      </c>
      <c r="K163" s="683"/>
      <c r="L163" s="684"/>
      <c r="M163" s="753"/>
      <c r="N163" s="683">
        <v>0</v>
      </c>
      <c r="O163" s="686"/>
      <c r="P163" s="683">
        <v>0</v>
      </c>
      <c r="Q163" s="687">
        <f t="shared" si="83"/>
        <v>0</v>
      </c>
      <c r="R163" s="687"/>
      <c r="S163" s="687"/>
      <c r="T163" s="688">
        <v>0</v>
      </c>
      <c r="U163" s="693"/>
      <c r="V163" s="690">
        <f t="shared" si="84"/>
        <v>0</v>
      </c>
      <c r="W163" s="683"/>
      <c r="X163" s="474">
        <f t="shared" si="93"/>
        <v>0</v>
      </c>
      <c r="Y163" s="474">
        <f t="shared" si="94"/>
        <v>0</v>
      </c>
      <c r="Z163" s="475">
        <f t="shared" si="95"/>
        <v>0</v>
      </c>
      <c r="AA163" s="475">
        <v>0</v>
      </c>
      <c r="AB163" s="476">
        <v>0</v>
      </c>
      <c r="AC163" s="38">
        <f t="shared" si="96"/>
        <v>0</v>
      </c>
      <c r="AD163" s="692">
        <f t="shared" si="86"/>
        <v>0</v>
      </c>
      <c r="AE163" s="692">
        <f t="shared" si="87"/>
        <v>0</v>
      </c>
      <c r="AF163" s="692">
        <f t="shared" si="88"/>
        <v>0</v>
      </c>
      <c r="AG163" s="38"/>
      <c r="AH163" s="692">
        <f t="shared" si="90"/>
        <v>0</v>
      </c>
      <c r="AI163" s="692">
        <f t="shared" si="91"/>
        <v>0</v>
      </c>
      <c r="AJ163" s="692">
        <f t="shared" si="92"/>
        <v>0</v>
      </c>
      <c r="AL163" s="38">
        <f t="shared" si="89"/>
        <v>0</v>
      </c>
      <c r="AM163" s="68" t="s">
        <v>876</v>
      </c>
    </row>
    <row r="164" spans="1:39">
      <c r="A164" s="21"/>
      <c r="B164" s="21" t="s">
        <v>109</v>
      </c>
      <c r="C164" s="666" t="s">
        <v>564</v>
      </c>
      <c r="D164" s="68" t="s">
        <v>307</v>
      </c>
      <c r="E164" s="679"/>
      <c r="F164" s="529">
        <f>VLOOKUP(D164,'Sept13 Revenue'!D:V,19,FALSE)</f>
        <v>0</v>
      </c>
      <c r="G164" s="680"/>
      <c r="H164" s="680"/>
      <c r="I164" s="755"/>
      <c r="J164" s="682">
        <f t="shared" si="85"/>
        <v>0</v>
      </c>
      <c r="K164" s="683"/>
      <c r="L164" s="684"/>
      <c r="M164" s="753"/>
      <c r="N164" s="683">
        <v>0</v>
      </c>
      <c r="O164" s="686"/>
      <c r="P164" s="683">
        <v>0</v>
      </c>
      <c r="Q164" s="687">
        <f t="shared" si="83"/>
        <v>0</v>
      </c>
      <c r="R164" s="687"/>
      <c r="S164" s="687"/>
      <c r="T164" s="688">
        <v>0</v>
      </c>
      <c r="U164" s="693"/>
      <c r="V164" s="690">
        <f t="shared" si="84"/>
        <v>0</v>
      </c>
      <c r="W164" s="683"/>
      <c r="X164" s="474">
        <f t="shared" si="93"/>
        <v>0</v>
      </c>
      <c r="Y164" s="474">
        <f t="shared" si="94"/>
        <v>0</v>
      </c>
      <c r="Z164" s="475">
        <f t="shared" si="95"/>
        <v>0</v>
      </c>
      <c r="AA164" s="475">
        <v>0</v>
      </c>
      <c r="AB164" s="476">
        <v>0</v>
      </c>
      <c r="AC164" s="38">
        <f t="shared" si="96"/>
        <v>0</v>
      </c>
      <c r="AD164" s="692">
        <f t="shared" si="86"/>
        <v>0</v>
      </c>
      <c r="AE164" s="692">
        <f t="shared" si="87"/>
        <v>0</v>
      </c>
      <c r="AF164" s="692">
        <f t="shared" si="88"/>
        <v>0</v>
      </c>
      <c r="AG164" s="38"/>
      <c r="AH164" s="692">
        <f t="shared" si="90"/>
        <v>0</v>
      </c>
      <c r="AI164" s="692">
        <f t="shared" si="91"/>
        <v>0</v>
      </c>
      <c r="AJ164" s="692">
        <f t="shared" si="92"/>
        <v>0</v>
      </c>
      <c r="AL164" s="38">
        <f t="shared" si="89"/>
        <v>0</v>
      </c>
      <c r="AM164" s="68" t="s">
        <v>307</v>
      </c>
    </row>
    <row r="165" spans="1:39">
      <c r="A165" s="21"/>
      <c r="B165" s="21" t="s">
        <v>109</v>
      </c>
      <c r="C165" s="666" t="s">
        <v>565</v>
      </c>
      <c r="D165" s="68" t="s">
        <v>485</v>
      </c>
      <c r="E165" s="679">
        <v>3462.87</v>
      </c>
      <c r="F165" s="529">
        <f>VLOOKUP(D165,'Sept13 Revenue'!D:V,19,FALSE)</f>
        <v>-14826.96</v>
      </c>
      <c r="G165" s="680"/>
      <c r="H165" s="680"/>
      <c r="I165" s="755"/>
      <c r="J165" s="682">
        <f t="shared" si="85"/>
        <v>-11364.09</v>
      </c>
      <c r="K165" s="683"/>
      <c r="L165" s="684"/>
      <c r="M165" s="753">
        <v>70000</v>
      </c>
      <c r="N165" s="683"/>
      <c r="O165" s="686"/>
      <c r="P165" s="683"/>
      <c r="Q165" s="687">
        <f t="shared" si="83"/>
        <v>70000</v>
      </c>
      <c r="R165" s="687"/>
      <c r="S165" s="687"/>
      <c r="T165" s="688">
        <v>59119.13</v>
      </c>
      <c r="U165" s="693"/>
      <c r="V165" s="690">
        <f t="shared" si="84"/>
        <v>-10880.870000000003</v>
      </c>
      <c r="W165" s="683"/>
      <c r="X165" s="474">
        <f t="shared" si="93"/>
        <v>0</v>
      </c>
      <c r="Y165" s="474">
        <f t="shared" si="94"/>
        <v>70000</v>
      </c>
      <c r="Z165" s="475">
        <f t="shared" si="95"/>
        <v>0</v>
      </c>
      <c r="AA165" s="475">
        <v>0</v>
      </c>
      <c r="AB165" s="476">
        <v>0</v>
      </c>
      <c r="AC165" s="38">
        <f t="shared" si="96"/>
        <v>0</v>
      </c>
      <c r="AD165" s="692">
        <f t="shared" si="86"/>
        <v>0</v>
      </c>
      <c r="AE165" s="692">
        <f t="shared" si="87"/>
        <v>-11364.09</v>
      </c>
      <c r="AF165" s="692">
        <f t="shared" si="88"/>
        <v>0</v>
      </c>
      <c r="AG165" s="38"/>
      <c r="AH165" s="692">
        <f t="shared" si="90"/>
        <v>0</v>
      </c>
      <c r="AI165" s="692">
        <f t="shared" si="91"/>
        <v>70000</v>
      </c>
      <c r="AJ165" s="692">
        <f t="shared" si="92"/>
        <v>0</v>
      </c>
      <c r="AL165" s="38">
        <f t="shared" si="89"/>
        <v>58635.91</v>
      </c>
      <c r="AM165" s="68" t="s">
        <v>485</v>
      </c>
    </row>
    <row r="166" spans="1:39" s="232" customFormat="1">
      <c r="A166" s="403"/>
      <c r="B166" s="403" t="s">
        <v>109</v>
      </c>
      <c r="C166" s="666"/>
      <c r="D166" s="123" t="s">
        <v>220</v>
      </c>
      <c r="E166" s="679"/>
      <c r="F166" s="529">
        <f>VLOOKUP(D166,'Sept13 Revenue'!D:V,19,FALSE)</f>
        <v>0</v>
      </c>
      <c r="G166" s="680"/>
      <c r="H166" s="680"/>
      <c r="I166" s="755"/>
      <c r="J166" s="682">
        <f t="shared" si="85"/>
        <v>0</v>
      </c>
      <c r="K166" s="683"/>
      <c r="L166" s="684"/>
      <c r="M166" s="753"/>
      <c r="N166" s="683">
        <v>0</v>
      </c>
      <c r="O166" s="686"/>
      <c r="P166" s="683">
        <v>0</v>
      </c>
      <c r="Q166" s="687">
        <f t="shared" si="83"/>
        <v>0</v>
      </c>
      <c r="R166" s="687"/>
      <c r="S166" s="687"/>
      <c r="T166" s="688">
        <v>0</v>
      </c>
      <c r="U166" s="693"/>
      <c r="V166" s="690">
        <f t="shared" si="84"/>
        <v>0</v>
      </c>
      <c r="W166" s="683"/>
      <c r="X166" s="474">
        <f t="shared" si="93"/>
        <v>0</v>
      </c>
      <c r="Y166" s="474">
        <f t="shared" si="94"/>
        <v>0</v>
      </c>
      <c r="Z166" s="475">
        <f t="shared" si="95"/>
        <v>0</v>
      </c>
      <c r="AA166" s="475">
        <v>0</v>
      </c>
      <c r="AB166" s="476">
        <v>0</v>
      </c>
      <c r="AC166" s="38">
        <f t="shared" si="96"/>
        <v>0</v>
      </c>
      <c r="AD166" s="692">
        <f t="shared" si="86"/>
        <v>0</v>
      </c>
      <c r="AE166" s="692">
        <f t="shared" si="87"/>
        <v>0</v>
      </c>
      <c r="AF166" s="692">
        <f t="shared" si="88"/>
        <v>0</v>
      </c>
      <c r="AG166" s="38"/>
      <c r="AH166" s="692">
        <f t="shared" si="90"/>
        <v>0</v>
      </c>
      <c r="AI166" s="692">
        <f t="shared" si="91"/>
        <v>0</v>
      </c>
      <c r="AJ166" s="692">
        <f t="shared" si="92"/>
        <v>0</v>
      </c>
      <c r="AL166" s="38">
        <f t="shared" si="89"/>
        <v>0</v>
      </c>
      <c r="AM166" s="123" t="s">
        <v>220</v>
      </c>
    </row>
    <row r="167" spans="1:39" s="24" customFormat="1" hidden="1">
      <c r="A167" s="472"/>
      <c r="B167" s="21" t="s">
        <v>109</v>
      </c>
      <c r="C167" s="666"/>
      <c r="D167" s="68" t="s">
        <v>505</v>
      </c>
      <c r="E167" s="679"/>
      <c r="F167" s="529">
        <f>VLOOKUP(D167,'Sept13 Revenue'!D:V,19,FALSE)</f>
        <v>0</v>
      </c>
      <c r="G167" s="680"/>
      <c r="H167" s="680"/>
      <c r="I167" s="755"/>
      <c r="J167" s="682">
        <f t="shared" si="85"/>
        <v>0</v>
      </c>
      <c r="K167" s="698"/>
      <c r="L167" s="684"/>
      <c r="M167" s="753"/>
      <c r="N167" s="698">
        <v>0</v>
      </c>
      <c r="O167" s="686"/>
      <c r="P167" s="698">
        <v>0</v>
      </c>
      <c r="Q167" s="700">
        <f t="shared" si="83"/>
        <v>0</v>
      </c>
      <c r="R167" s="700"/>
      <c r="S167" s="700"/>
      <c r="T167" s="688">
        <v>0</v>
      </c>
      <c r="U167" s="701"/>
      <c r="V167" s="690">
        <f t="shared" si="84"/>
        <v>0</v>
      </c>
      <c r="W167" s="698"/>
      <c r="X167" s="474">
        <f t="shared" si="93"/>
        <v>0</v>
      </c>
      <c r="Y167" s="474">
        <f t="shared" si="94"/>
        <v>0</v>
      </c>
      <c r="Z167" s="475">
        <f t="shared" si="95"/>
        <v>0</v>
      </c>
      <c r="AA167" s="475">
        <v>0</v>
      </c>
      <c r="AB167" s="476">
        <v>0</v>
      </c>
      <c r="AC167" s="38">
        <f t="shared" si="96"/>
        <v>0</v>
      </c>
      <c r="AD167" s="692">
        <f t="shared" si="86"/>
        <v>0</v>
      </c>
      <c r="AE167" s="692">
        <f t="shared" si="87"/>
        <v>0</v>
      </c>
      <c r="AF167" s="692">
        <f t="shared" si="88"/>
        <v>0</v>
      </c>
      <c r="AG167" s="38"/>
      <c r="AH167" s="692">
        <f t="shared" si="90"/>
        <v>0</v>
      </c>
      <c r="AI167" s="692">
        <f t="shared" si="91"/>
        <v>0</v>
      </c>
      <c r="AJ167" s="692">
        <f t="shared" si="92"/>
        <v>0</v>
      </c>
      <c r="AL167" s="38">
        <f t="shared" si="89"/>
        <v>0</v>
      </c>
      <c r="AM167" s="68" t="s">
        <v>505</v>
      </c>
    </row>
    <row r="168" spans="1:39">
      <c r="A168" s="21"/>
      <c r="B168" s="21" t="s">
        <v>110</v>
      </c>
      <c r="C168" s="666"/>
      <c r="D168" s="68" t="s">
        <v>185</v>
      </c>
      <c r="E168" s="679"/>
      <c r="F168" s="529">
        <f>VLOOKUP(D168,'Sept13 Revenue'!D:V,19,FALSE)</f>
        <v>0</v>
      </c>
      <c r="G168" s="680"/>
      <c r="H168" s="680"/>
      <c r="I168" s="755"/>
      <c r="J168" s="682">
        <f t="shared" si="85"/>
        <v>0</v>
      </c>
      <c r="K168" s="683"/>
      <c r="L168" s="684"/>
      <c r="M168" s="753"/>
      <c r="N168" s="683">
        <v>0</v>
      </c>
      <c r="O168" s="686"/>
      <c r="P168" s="683">
        <v>0</v>
      </c>
      <c r="Q168" s="687">
        <f t="shared" si="83"/>
        <v>0</v>
      </c>
      <c r="R168" s="687"/>
      <c r="S168" s="687"/>
      <c r="T168" s="688">
        <v>0</v>
      </c>
      <c r="U168" s="693"/>
      <c r="V168" s="690">
        <f t="shared" si="84"/>
        <v>0</v>
      </c>
      <c r="W168" s="683"/>
      <c r="X168" s="474">
        <f t="shared" si="93"/>
        <v>0</v>
      </c>
      <c r="Y168" s="474">
        <f t="shared" si="94"/>
        <v>0</v>
      </c>
      <c r="Z168" s="475">
        <f t="shared" si="95"/>
        <v>0</v>
      </c>
      <c r="AA168" s="475">
        <v>0</v>
      </c>
      <c r="AB168" s="476">
        <v>0</v>
      </c>
      <c r="AC168" s="38">
        <f t="shared" si="96"/>
        <v>0</v>
      </c>
      <c r="AD168" s="692">
        <f t="shared" si="86"/>
        <v>0</v>
      </c>
      <c r="AE168" s="692">
        <f t="shared" si="87"/>
        <v>0</v>
      </c>
      <c r="AF168" s="692">
        <f t="shared" si="88"/>
        <v>0</v>
      </c>
      <c r="AG168" s="38"/>
      <c r="AH168" s="692">
        <f t="shared" si="90"/>
        <v>0</v>
      </c>
      <c r="AI168" s="692">
        <f t="shared" si="91"/>
        <v>0</v>
      </c>
      <c r="AJ168" s="692">
        <f t="shared" si="92"/>
        <v>0</v>
      </c>
      <c r="AL168" s="38">
        <f t="shared" si="89"/>
        <v>0</v>
      </c>
      <c r="AM168" s="68" t="s">
        <v>185</v>
      </c>
    </row>
    <row r="169" spans="1:39">
      <c r="A169" s="21"/>
      <c r="B169" s="21" t="s">
        <v>110</v>
      </c>
      <c r="C169" s="21"/>
      <c r="D169" s="68" t="s">
        <v>186</v>
      </c>
      <c r="E169" s="679"/>
      <c r="F169" s="529">
        <f>VLOOKUP(D169,'Sept13 Revenue'!D:V,19,FALSE)</f>
        <v>0</v>
      </c>
      <c r="G169" s="680"/>
      <c r="H169" s="680"/>
      <c r="I169" s="755"/>
      <c r="J169" s="682">
        <f t="shared" si="85"/>
        <v>0</v>
      </c>
      <c r="K169" s="683"/>
      <c r="L169" s="684"/>
      <c r="M169" s="753"/>
      <c r="N169" s="683">
        <v>0</v>
      </c>
      <c r="O169" s="686"/>
      <c r="P169" s="683">
        <v>0</v>
      </c>
      <c r="Q169" s="687">
        <f t="shared" si="83"/>
        <v>0</v>
      </c>
      <c r="R169" s="687"/>
      <c r="S169" s="687"/>
      <c r="T169" s="688">
        <v>0</v>
      </c>
      <c r="U169" s="693"/>
      <c r="V169" s="690">
        <f t="shared" si="84"/>
        <v>0</v>
      </c>
      <c r="W169" s="683"/>
      <c r="X169" s="474">
        <f t="shared" si="93"/>
        <v>0</v>
      </c>
      <c r="Y169" s="474">
        <f t="shared" si="94"/>
        <v>0</v>
      </c>
      <c r="Z169" s="475">
        <f t="shared" si="95"/>
        <v>0</v>
      </c>
      <c r="AA169" s="475">
        <v>0</v>
      </c>
      <c r="AB169" s="476">
        <v>0</v>
      </c>
      <c r="AC169" s="38">
        <f t="shared" si="96"/>
        <v>0</v>
      </c>
      <c r="AD169" s="692">
        <f t="shared" si="86"/>
        <v>0</v>
      </c>
      <c r="AE169" s="692">
        <f t="shared" si="87"/>
        <v>0</v>
      </c>
      <c r="AF169" s="692">
        <f t="shared" si="88"/>
        <v>0</v>
      </c>
      <c r="AG169" s="38"/>
      <c r="AH169" s="692">
        <f t="shared" si="90"/>
        <v>0</v>
      </c>
      <c r="AI169" s="692">
        <f t="shared" si="91"/>
        <v>0</v>
      </c>
      <c r="AJ169" s="692">
        <f t="shared" si="92"/>
        <v>0</v>
      </c>
      <c r="AL169" s="38">
        <f t="shared" si="89"/>
        <v>0</v>
      </c>
      <c r="AM169" s="68" t="s">
        <v>186</v>
      </c>
    </row>
    <row r="170" spans="1:39">
      <c r="A170" s="21"/>
      <c r="B170" s="21" t="s">
        <v>110</v>
      </c>
      <c r="C170" s="666"/>
      <c r="D170" s="68" t="s">
        <v>449</v>
      </c>
      <c r="E170" s="679"/>
      <c r="F170" s="529">
        <f>VLOOKUP(D170,'Sept13 Revenue'!D:V,19,FALSE)</f>
        <v>0</v>
      </c>
      <c r="G170" s="680"/>
      <c r="H170" s="680"/>
      <c r="I170" s="755"/>
      <c r="J170" s="682">
        <f t="shared" si="85"/>
        <v>0</v>
      </c>
      <c r="K170" s="683"/>
      <c r="L170" s="684"/>
      <c r="M170" s="753"/>
      <c r="N170" s="683">
        <v>0</v>
      </c>
      <c r="O170" s="686"/>
      <c r="P170" s="683">
        <v>0</v>
      </c>
      <c r="Q170" s="687">
        <f t="shared" si="83"/>
        <v>0</v>
      </c>
      <c r="R170" s="687"/>
      <c r="S170" s="687"/>
      <c r="T170" s="688">
        <v>0</v>
      </c>
      <c r="U170" s="693"/>
      <c r="V170" s="690">
        <f t="shared" si="84"/>
        <v>0</v>
      </c>
      <c r="W170" s="683"/>
      <c r="X170" s="474">
        <f t="shared" si="93"/>
        <v>0</v>
      </c>
      <c r="Y170" s="474">
        <f t="shared" si="94"/>
        <v>0</v>
      </c>
      <c r="Z170" s="475">
        <f t="shared" si="95"/>
        <v>0</v>
      </c>
      <c r="AA170" s="475">
        <v>0</v>
      </c>
      <c r="AB170" s="476">
        <v>0</v>
      </c>
      <c r="AC170" s="38">
        <f t="shared" si="96"/>
        <v>0</v>
      </c>
      <c r="AD170" s="692">
        <f t="shared" si="86"/>
        <v>0</v>
      </c>
      <c r="AE170" s="692">
        <f t="shared" si="87"/>
        <v>0</v>
      </c>
      <c r="AF170" s="692">
        <f t="shared" si="88"/>
        <v>0</v>
      </c>
      <c r="AG170" s="38"/>
      <c r="AH170" s="692">
        <f t="shared" si="90"/>
        <v>0</v>
      </c>
      <c r="AI170" s="692">
        <f t="shared" si="91"/>
        <v>0</v>
      </c>
      <c r="AJ170" s="692">
        <f t="shared" si="92"/>
        <v>0</v>
      </c>
      <c r="AL170" s="38">
        <f t="shared" si="89"/>
        <v>0</v>
      </c>
      <c r="AM170" s="68" t="s">
        <v>449</v>
      </c>
    </row>
    <row r="171" spans="1:39">
      <c r="A171" s="21"/>
      <c r="B171" s="21" t="s">
        <v>110</v>
      </c>
      <c r="C171" s="666" t="s">
        <v>566</v>
      </c>
      <c r="D171" s="68" t="s">
        <v>39</v>
      </c>
      <c r="E171" s="679"/>
      <c r="F171" s="529">
        <f>VLOOKUP(D171,'Sept13 Revenue'!D:V,19,FALSE)</f>
        <v>-12000</v>
      </c>
      <c r="G171" s="680"/>
      <c r="H171" s="680"/>
      <c r="I171" s="755"/>
      <c r="J171" s="682">
        <f t="shared" si="85"/>
        <v>-12000</v>
      </c>
      <c r="K171" s="683"/>
      <c r="L171" s="684"/>
      <c r="M171" s="753">
        <v>18000</v>
      </c>
      <c r="N171" s="683">
        <v>0</v>
      </c>
      <c r="O171" s="686"/>
      <c r="P171" s="683">
        <v>0</v>
      </c>
      <c r="Q171" s="687">
        <f t="shared" si="83"/>
        <v>18000</v>
      </c>
      <c r="R171" s="687"/>
      <c r="S171" s="687"/>
      <c r="T171" s="688">
        <v>7330.84</v>
      </c>
      <c r="U171" s="693"/>
      <c r="V171" s="690">
        <f t="shared" si="84"/>
        <v>-10669.16</v>
      </c>
      <c r="W171" s="683"/>
      <c r="X171" s="474">
        <f t="shared" si="93"/>
        <v>18000</v>
      </c>
      <c r="Y171" s="474">
        <f t="shared" si="94"/>
        <v>0</v>
      </c>
      <c r="Z171" s="475">
        <f t="shared" si="95"/>
        <v>0</v>
      </c>
      <c r="AA171" s="475">
        <v>0</v>
      </c>
      <c r="AB171" s="476">
        <v>0</v>
      </c>
      <c r="AC171" s="38">
        <f t="shared" si="96"/>
        <v>0</v>
      </c>
      <c r="AD171" s="692">
        <f t="shared" si="86"/>
        <v>-12000</v>
      </c>
      <c r="AE171" s="692">
        <f t="shared" si="87"/>
        <v>0</v>
      </c>
      <c r="AF171" s="692">
        <f t="shared" si="88"/>
        <v>0</v>
      </c>
      <c r="AG171" s="38"/>
      <c r="AH171" s="692">
        <f t="shared" si="90"/>
        <v>18000</v>
      </c>
      <c r="AI171" s="692">
        <f t="shared" si="91"/>
        <v>0</v>
      </c>
      <c r="AJ171" s="692">
        <f t="shared" si="92"/>
        <v>0</v>
      </c>
      <c r="AL171" s="38">
        <f t="shared" si="89"/>
        <v>6000</v>
      </c>
      <c r="AM171" s="68" t="s">
        <v>39</v>
      </c>
    </row>
    <row r="172" spans="1:39">
      <c r="A172" s="21"/>
      <c r="B172" s="21" t="s">
        <v>110</v>
      </c>
      <c r="C172" s="666" t="s">
        <v>567</v>
      </c>
      <c r="D172" s="68" t="s">
        <v>435</v>
      </c>
      <c r="E172" s="679"/>
      <c r="F172" s="529">
        <f>VLOOKUP(D172,'Sept13 Revenue'!D:V,19,FALSE)</f>
        <v>33546.410000000003</v>
      </c>
      <c r="G172" s="680"/>
      <c r="H172" s="680"/>
      <c r="I172" s="755"/>
      <c r="J172" s="682">
        <f t="shared" si="85"/>
        <v>33546.410000000003</v>
      </c>
      <c r="K172" s="683"/>
      <c r="L172" s="684"/>
      <c r="M172" s="753">
        <v>100000</v>
      </c>
      <c r="N172" s="683">
        <v>0</v>
      </c>
      <c r="O172" s="686"/>
      <c r="P172" s="683">
        <v>0</v>
      </c>
      <c r="Q172" s="687">
        <f t="shared" si="83"/>
        <v>100000</v>
      </c>
      <c r="R172" s="687"/>
      <c r="S172" s="687"/>
      <c r="T172" s="688">
        <v>121840.61</v>
      </c>
      <c r="U172" s="693"/>
      <c r="V172" s="690">
        <f t="shared" si="84"/>
        <v>21840.61</v>
      </c>
      <c r="W172" s="683"/>
      <c r="X172" s="474">
        <f t="shared" si="93"/>
        <v>100000</v>
      </c>
      <c r="Y172" s="474">
        <f t="shared" si="94"/>
        <v>0</v>
      </c>
      <c r="Z172" s="475">
        <f t="shared" si="95"/>
        <v>0</v>
      </c>
      <c r="AA172" s="475">
        <v>0</v>
      </c>
      <c r="AB172" s="476">
        <v>0</v>
      </c>
      <c r="AC172" s="38">
        <f t="shared" si="96"/>
        <v>0</v>
      </c>
      <c r="AD172" s="692">
        <f t="shared" si="86"/>
        <v>33546.410000000003</v>
      </c>
      <c r="AE172" s="692">
        <f t="shared" si="87"/>
        <v>0</v>
      </c>
      <c r="AF172" s="692">
        <f t="shared" si="88"/>
        <v>0</v>
      </c>
      <c r="AG172" s="38"/>
      <c r="AH172" s="692">
        <f t="shared" si="90"/>
        <v>100000</v>
      </c>
      <c r="AI172" s="692">
        <f t="shared" si="91"/>
        <v>0</v>
      </c>
      <c r="AJ172" s="692">
        <f t="shared" si="92"/>
        <v>0</v>
      </c>
      <c r="AL172" s="38">
        <f t="shared" si="89"/>
        <v>133546.41</v>
      </c>
      <c r="AM172" s="68" t="s">
        <v>435</v>
      </c>
    </row>
    <row r="173" spans="1:39">
      <c r="A173" s="21"/>
      <c r="B173" s="21" t="s">
        <v>110</v>
      </c>
      <c r="C173" s="675" t="s">
        <v>584</v>
      </c>
      <c r="D173" s="806" t="s">
        <v>99</v>
      </c>
      <c r="E173" s="679">
        <v>17129.740000000002</v>
      </c>
      <c r="F173" s="529">
        <f>VLOOKUP(D173,'Sept13 Revenue'!D:V,19,FALSE)</f>
        <v>-30000</v>
      </c>
      <c r="G173" s="680"/>
      <c r="H173" s="680"/>
      <c r="I173" s="755"/>
      <c r="J173" s="682">
        <f t="shared" si="85"/>
        <v>-12870.259999999998</v>
      </c>
      <c r="K173" s="683"/>
      <c r="L173" s="684"/>
      <c r="M173" s="753">
        <v>15000</v>
      </c>
      <c r="N173" s="683">
        <v>0</v>
      </c>
      <c r="O173" s="686"/>
      <c r="P173" s="683">
        <v>0</v>
      </c>
      <c r="Q173" s="687">
        <f t="shared" si="83"/>
        <v>15000</v>
      </c>
      <c r="R173" s="687"/>
      <c r="S173" s="687"/>
      <c r="T173" s="688">
        <v>0</v>
      </c>
      <c r="U173" s="693"/>
      <c r="V173" s="690">
        <f t="shared" si="84"/>
        <v>-15000</v>
      </c>
      <c r="W173" s="683"/>
      <c r="X173" s="474">
        <f t="shared" si="93"/>
        <v>15000</v>
      </c>
      <c r="Y173" s="474">
        <f t="shared" si="94"/>
        <v>0</v>
      </c>
      <c r="Z173" s="475">
        <f t="shared" si="95"/>
        <v>0</v>
      </c>
      <c r="AA173" s="475">
        <v>0</v>
      </c>
      <c r="AB173" s="476">
        <v>0</v>
      </c>
      <c r="AC173" s="38">
        <f t="shared" si="96"/>
        <v>0</v>
      </c>
      <c r="AD173" s="692">
        <f t="shared" si="86"/>
        <v>-12870.259999999998</v>
      </c>
      <c r="AE173" s="692">
        <f>IF(B173="M",J173,0)</f>
        <v>0</v>
      </c>
      <c r="AF173" s="692">
        <f t="shared" si="88"/>
        <v>0</v>
      </c>
      <c r="AG173" s="38"/>
      <c r="AH173" s="692">
        <f t="shared" si="90"/>
        <v>15000</v>
      </c>
      <c r="AI173" s="692">
        <f t="shared" si="91"/>
        <v>0</v>
      </c>
      <c r="AJ173" s="692">
        <f t="shared" si="92"/>
        <v>0</v>
      </c>
      <c r="AL173" s="38">
        <f t="shared" si="89"/>
        <v>2129.7400000000016</v>
      </c>
      <c r="AM173" s="806" t="s">
        <v>99</v>
      </c>
    </row>
    <row r="174" spans="1:39" s="232" customFormat="1">
      <c r="A174" s="403"/>
      <c r="B174" s="403" t="s">
        <v>110</v>
      </c>
      <c r="C174" s="666"/>
      <c r="D174" s="813" t="s">
        <v>966</v>
      </c>
      <c r="E174" s="818">
        <v>155517.81</v>
      </c>
      <c r="F174" s="529">
        <f>VLOOKUP(D174,'Sept13 Revenue'!D:V,19,FALSE)</f>
        <v>-300000</v>
      </c>
      <c r="G174" s="818"/>
      <c r="H174" s="818"/>
      <c r="I174" s="755"/>
      <c r="J174" s="818">
        <f t="shared" si="85"/>
        <v>-144482.19</v>
      </c>
      <c r="K174" s="683"/>
      <c r="L174" s="684"/>
      <c r="M174" s="819">
        <v>300000</v>
      </c>
      <c r="N174" s="683">
        <v>0</v>
      </c>
      <c r="O174" s="686"/>
      <c r="P174" s="683">
        <v>0</v>
      </c>
      <c r="Q174" s="687">
        <f t="shared" si="83"/>
        <v>300000</v>
      </c>
      <c r="R174" s="687"/>
      <c r="S174" s="687"/>
      <c r="T174" s="688">
        <v>0</v>
      </c>
      <c r="U174" s="693"/>
      <c r="V174" s="690">
        <f t="shared" si="84"/>
        <v>-300000</v>
      </c>
      <c r="W174" s="683"/>
      <c r="X174" s="474">
        <f t="shared" si="93"/>
        <v>300000</v>
      </c>
      <c r="Y174" s="474">
        <f t="shared" si="94"/>
        <v>0</v>
      </c>
      <c r="Z174" s="475">
        <f t="shared" si="95"/>
        <v>0</v>
      </c>
      <c r="AA174" s="475">
        <v>0</v>
      </c>
      <c r="AB174" s="476">
        <v>0</v>
      </c>
      <c r="AC174" s="38">
        <f t="shared" si="96"/>
        <v>0</v>
      </c>
      <c r="AD174" s="692">
        <f t="shared" si="86"/>
        <v>-144482.19</v>
      </c>
      <c r="AE174" s="692">
        <f t="shared" si="87"/>
        <v>0</v>
      </c>
      <c r="AF174" s="692">
        <f t="shared" si="88"/>
        <v>0</v>
      </c>
      <c r="AG174" s="38"/>
      <c r="AH174" s="692">
        <f t="shared" si="90"/>
        <v>300000</v>
      </c>
      <c r="AI174" s="692">
        <f t="shared" si="91"/>
        <v>0</v>
      </c>
      <c r="AJ174" s="692">
        <f t="shared" si="92"/>
        <v>0</v>
      </c>
      <c r="AL174" s="38">
        <f t="shared" si="89"/>
        <v>155517.81</v>
      </c>
      <c r="AM174" s="813" t="s">
        <v>966</v>
      </c>
    </row>
    <row r="175" spans="1:39" s="232" customFormat="1">
      <c r="A175" s="403"/>
      <c r="B175" s="403" t="s">
        <v>110</v>
      </c>
      <c r="C175" s="666" t="s">
        <v>568</v>
      </c>
      <c r="D175" s="807" t="s">
        <v>303</v>
      </c>
      <c r="E175" s="679">
        <f>6542.33+280801.69</f>
        <v>287344.02</v>
      </c>
      <c r="F175" s="529">
        <f>VLOOKUP(D175,'Sept13 Revenue'!D:V,19,FALSE)</f>
        <v>-550000</v>
      </c>
      <c r="G175" s="680"/>
      <c r="H175" s="680"/>
      <c r="I175" s="755"/>
      <c r="J175" s="682">
        <f t="shared" si="85"/>
        <v>-262655.98</v>
      </c>
      <c r="K175" s="683"/>
      <c r="L175" s="684"/>
      <c r="M175" s="753">
        <v>550000</v>
      </c>
      <c r="N175" s="683">
        <v>0</v>
      </c>
      <c r="O175" s="686"/>
      <c r="P175" s="683">
        <v>0</v>
      </c>
      <c r="Q175" s="687">
        <f t="shared" si="83"/>
        <v>550000</v>
      </c>
      <c r="R175" s="687"/>
      <c r="S175" s="687"/>
      <c r="T175" s="688">
        <v>0</v>
      </c>
      <c r="U175" s="693"/>
      <c r="V175" s="690">
        <f t="shared" si="84"/>
        <v>-550000</v>
      </c>
      <c r="W175" s="683"/>
      <c r="X175" s="474">
        <f t="shared" si="93"/>
        <v>550000</v>
      </c>
      <c r="Y175" s="474">
        <f t="shared" si="94"/>
        <v>0</v>
      </c>
      <c r="Z175" s="475">
        <f t="shared" si="95"/>
        <v>0</v>
      </c>
      <c r="AA175" s="475">
        <v>0</v>
      </c>
      <c r="AB175" s="476">
        <v>0</v>
      </c>
      <c r="AC175" s="38">
        <f t="shared" si="96"/>
        <v>0</v>
      </c>
      <c r="AD175" s="692">
        <f t="shared" si="86"/>
        <v>-262655.98</v>
      </c>
      <c r="AE175" s="692">
        <f t="shared" si="87"/>
        <v>0</v>
      </c>
      <c r="AF175" s="692">
        <f t="shared" si="88"/>
        <v>0</v>
      </c>
      <c r="AG175" s="38"/>
      <c r="AH175" s="692">
        <f t="shared" si="90"/>
        <v>550000</v>
      </c>
      <c r="AI175" s="692">
        <f t="shared" si="91"/>
        <v>0</v>
      </c>
      <c r="AJ175" s="692">
        <f t="shared" si="92"/>
        <v>0</v>
      </c>
      <c r="AL175" s="38">
        <f t="shared" si="89"/>
        <v>287344.02</v>
      </c>
      <c r="AM175" s="807" t="s">
        <v>303</v>
      </c>
    </row>
    <row r="176" spans="1:39" s="232" customFormat="1">
      <c r="A176" s="403"/>
      <c r="B176" s="403" t="s">
        <v>110</v>
      </c>
      <c r="C176" s="666"/>
      <c r="D176" s="807" t="s">
        <v>856</v>
      </c>
      <c r="E176" s="679"/>
      <c r="F176" s="529">
        <f>VLOOKUP(D176,'Sept13 Revenue'!D:V,19,FALSE)</f>
        <v>0</v>
      </c>
      <c r="G176" s="680"/>
      <c r="H176" s="680"/>
      <c r="I176" s="755"/>
      <c r="J176" s="682">
        <f t="shared" si="85"/>
        <v>0</v>
      </c>
      <c r="K176" s="683"/>
      <c r="L176" s="684"/>
      <c r="M176" s="753"/>
      <c r="N176" s="683">
        <v>0</v>
      </c>
      <c r="O176" s="686"/>
      <c r="P176" s="683">
        <v>0</v>
      </c>
      <c r="Q176" s="687">
        <f t="shared" si="83"/>
        <v>0</v>
      </c>
      <c r="R176" s="687"/>
      <c r="S176" s="687"/>
      <c r="T176" s="688">
        <v>0</v>
      </c>
      <c r="U176" s="693"/>
      <c r="V176" s="690">
        <f t="shared" si="84"/>
        <v>0</v>
      </c>
      <c r="W176" s="683"/>
      <c r="X176" s="474">
        <f t="shared" si="93"/>
        <v>0</v>
      </c>
      <c r="Y176" s="474">
        <f t="shared" si="94"/>
        <v>0</v>
      </c>
      <c r="Z176" s="475">
        <f t="shared" si="95"/>
        <v>0</v>
      </c>
      <c r="AA176" s="475">
        <v>0</v>
      </c>
      <c r="AB176" s="476">
        <v>0</v>
      </c>
      <c r="AC176" s="38">
        <f t="shared" si="96"/>
        <v>0</v>
      </c>
      <c r="AD176" s="692">
        <f t="shared" si="86"/>
        <v>0</v>
      </c>
      <c r="AE176" s="692">
        <f t="shared" si="87"/>
        <v>0</v>
      </c>
      <c r="AF176" s="692">
        <f t="shared" si="88"/>
        <v>0</v>
      </c>
      <c r="AG176" s="38"/>
      <c r="AH176" s="692">
        <f t="shared" si="90"/>
        <v>0</v>
      </c>
      <c r="AI176" s="692">
        <f t="shared" si="91"/>
        <v>0</v>
      </c>
      <c r="AJ176" s="692">
        <f t="shared" si="92"/>
        <v>0</v>
      </c>
      <c r="AL176" s="38">
        <f t="shared" si="89"/>
        <v>0</v>
      </c>
      <c r="AM176" s="807" t="s">
        <v>856</v>
      </c>
    </row>
    <row r="177" spans="1:39" s="232" customFormat="1">
      <c r="A177" s="403"/>
      <c r="B177" s="403" t="s">
        <v>109</v>
      </c>
      <c r="C177" s="666" t="s">
        <v>569</v>
      </c>
      <c r="D177" s="123" t="s">
        <v>468</v>
      </c>
      <c r="E177" s="679"/>
      <c r="F177" s="529">
        <f>VLOOKUP(D177,'Sept13 Revenue'!D:V,19,FALSE)</f>
        <v>0</v>
      </c>
      <c r="G177" s="680"/>
      <c r="H177" s="680"/>
      <c r="I177" s="755"/>
      <c r="J177" s="682">
        <f t="shared" si="85"/>
        <v>0</v>
      </c>
      <c r="K177" s="683"/>
      <c r="L177" s="684"/>
      <c r="M177" s="753"/>
      <c r="N177" s="683">
        <v>0</v>
      </c>
      <c r="O177" s="686"/>
      <c r="P177" s="683">
        <v>0</v>
      </c>
      <c r="Q177" s="687">
        <f t="shared" si="83"/>
        <v>0</v>
      </c>
      <c r="R177" s="687"/>
      <c r="S177" s="687"/>
      <c r="T177" s="688">
        <v>0</v>
      </c>
      <c r="U177" s="693"/>
      <c r="V177" s="690">
        <f t="shared" si="84"/>
        <v>0</v>
      </c>
      <c r="W177" s="683"/>
      <c r="X177" s="474">
        <f t="shared" si="93"/>
        <v>0</v>
      </c>
      <c r="Y177" s="474">
        <f t="shared" si="94"/>
        <v>0</v>
      </c>
      <c r="Z177" s="475">
        <f t="shared" si="95"/>
        <v>0</v>
      </c>
      <c r="AA177" s="475">
        <v>0</v>
      </c>
      <c r="AB177" s="476">
        <v>0</v>
      </c>
      <c r="AC177" s="38">
        <f t="shared" si="96"/>
        <v>0</v>
      </c>
      <c r="AD177" s="692">
        <f t="shared" si="86"/>
        <v>0</v>
      </c>
      <c r="AE177" s="692">
        <f t="shared" si="87"/>
        <v>0</v>
      </c>
      <c r="AF177" s="692">
        <f t="shared" si="88"/>
        <v>0</v>
      </c>
      <c r="AG177" s="38"/>
      <c r="AH177" s="692">
        <f t="shared" si="90"/>
        <v>0</v>
      </c>
      <c r="AI177" s="692">
        <f t="shared" si="91"/>
        <v>0</v>
      </c>
      <c r="AJ177" s="692">
        <f t="shared" si="92"/>
        <v>0</v>
      </c>
      <c r="AL177" s="38">
        <f t="shared" si="89"/>
        <v>0</v>
      </c>
      <c r="AM177" s="123" t="s">
        <v>468</v>
      </c>
    </row>
    <row r="178" spans="1:39">
      <c r="A178" s="20"/>
      <c r="B178" s="20" t="s">
        <v>110</v>
      </c>
      <c r="C178" s="676" t="s">
        <v>844</v>
      </c>
      <c r="D178" s="68" t="s">
        <v>845</v>
      </c>
      <c r="E178" s="679"/>
      <c r="F178" s="529">
        <f>VLOOKUP(D178,'Sept13 Revenue'!D:V,19,FALSE)</f>
        <v>0</v>
      </c>
      <c r="G178" s="680"/>
      <c r="H178" s="680"/>
      <c r="I178" s="755"/>
      <c r="J178" s="682">
        <f t="shared" si="85"/>
        <v>0</v>
      </c>
      <c r="K178" s="683"/>
      <c r="L178" s="684"/>
      <c r="M178" s="753"/>
      <c r="N178" s="683">
        <v>0</v>
      </c>
      <c r="O178" s="686"/>
      <c r="P178" s="683">
        <v>0</v>
      </c>
      <c r="Q178" s="687">
        <f t="shared" si="83"/>
        <v>0</v>
      </c>
      <c r="R178" s="687"/>
      <c r="S178" s="687"/>
      <c r="T178" s="688">
        <v>0</v>
      </c>
      <c r="U178" s="693"/>
      <c r="V178" s="690">
        <f t="shared" si="84"/>
        <v>0</v>
      </c>
      <c r="W178" s="683"/>
      <c r="X178" s="474">
        <f t="shared" si="93"/>
        <v>0</v>
      </c>
      <c r="Y178" s="474">
        <f t="shared" si="94"/>
        <v>0</v>
      </c>
      <c r="Z178" s="475">
        <f t="shared" si="95"/>
        <v>0</v>
      </c>
      <c r="AA178" s="475">
        <v>0</v>
      </c>
      <c r="AB178" s="476">
        <v>0</v>
      </c>
      <c r="AC178" s="38">
        <f t="shared" si="96"/>
        <v>0</v>
      </c>
      <c r="AD178" s="692">
        <f t="shared" si="86"/>
        <v>0</v>
      </c>
      <c r="AE178" s="692">
        <f t="shared" si="87"/>
        <v>0</v>
      </c>
      <c r="AF178" s="692">
        <f t="shared" si="88"/>
        <v>0</v>
      </c>
      <c r="AG178" s="38"/>
      <c r="AH178" s="692">
        <f t="shared" si="90"/>
        <v>0</v>
      </c>
      <c r="AI178" s="692">
        <f t="shared" si="91"/>
        <v>0</v>
      </c>
      <c r="AJ178" s="692">
        <f t="shared" si="92"/>
        <v>0</v>
      </c>
      <c r="AL178" s="38">
        <f t="shared" si="89"/>
        <v>0</v>
      </c>
      <c r="AM178" s="68" t="s">
        <v>845</v>
      </c>
    </row>
    <row r="179" spans="1:39">
      <c r="A179" s="20"/>
      <c r="B179" s="20" t="s">
        <v>110</v>
      </c>
      <c r="C179" s="676" t="s">
        <v>977</v>
      </c>
      <c r="D179" s="68" t="s">
        <v>978</v>
      </c>
      <c r="E179" s="679"/>
      <c r="F179" s="529">
        <f>VLOOKUP(D179,'Sept13 Revenue'!D:V,19,FALSE)</f>
        <v>-20000</v>
      </c>
      <c r="G179" s="680"/>
      <c r="H179" s="680"/>
      <c r="I179" s="755"/>
      <c r="J179" s="682">
        <f t="shared" si="85"/>
        <v>-20000</v>
      </c>
      <c r="K179" s="683"/>
      <c r="L179" s="684"/>
      <c r="M179" s="753">
        <v>30000</v>
      </c>
      <c r="N179" s="683">
        <v>0</v>
      </c>
      <c r="O179" s="686"/>
      <c r="P179" s="683">
        <v>0</v>
      </c>
      <c r="Q179" s="687">
        <f t="shared" si="83"/>
        <v>30000</v>
      </c>
      <c r="R179" s="687"/>
      <c r="S179" s="687"/>
      <c r="T179" s="688">
        <v>0</v>
      </c>
      <c r="U179" s="693"/>
      <c r="V179" s="690">
        <f t="shared" si="84"/>
        <v>-30000</v>
      </c>
      <c r="W179" s="683"/>
      <c r="X179" s="474">
        <f t="shared" si="93"/>
        <v>30000</v>
      </c>
      <c r="Y179" s="474">
        <f t="shared" si="94"/>
        <v>0</v>
      </c>
      <c r="Z179" s="475">
        <f t="shared" si="95"/>
        <v>0</v>
      </c>
      <c r="AA179" s="475">
        <v>0</v>
      </c>
      <c r="AB179" s="476">
        <v>0</v>
      </c>
      <c r="AC179" s="38">
        <f t="shared" si="96"/>
        <v>0</v>
      </c>
      <c r="AD179" s="692">
        <f t="shared" si="86"/>
        <v>-20000</v>
      </c>
      <c r="AE179" s="692">
        <f t="shared" si="87"/>
        <v>0</v>
      </c>
      <c r="AF179" s="692">
        <f t="shared" si="88"/>
        <v>0</v>
      </c>
      <c r="AG179" s="38"/>
      <c r="AH179" s="692">
        <f t="shared" si="90"/>
        <v>30000</v>
      </c>
      <c r="AI179" s="692">
        <f t="shared" si="91"/>
        <v>0</v>
      </c>
      <c r="AJ179" s="692">
        <f t="shared" si="92"/>
        <v>0</v>
      </c>
      <c r="AL179" s="38">
        <f t="shared" si="89"/>
        <v>10000</v>
      </c>
      <c r="AM179" s="68" t="s">
        <v>978</v>
      </c>
    </row>
    <row r="180" spans="1:39">
      <c r="A180" s="20"/>
      <c r="B180" s="20" t="s">
        <v>109</v>
      </c>
      <c r="C180" s="667" t="s">
        <v>570</v>
      </c>
      <c r="D180" s="68" t="s">
        <v>221</v>
      </c>
      <c r="E180" s="679"/>
      <c r="F180" s="529">
        <f>VLOOKUP(D180,'Sept13 Revenue'!D:V,19,FALSE)</f>
        <v>0</v>
      </c>
      <c r="G180" s="680"/>
      <c r="H180" s="680"/>
      <c r="I180" s="755"/>
      <c r="J180" s="682">
        <f t="shared" si="85"/>
        <v>0</v>
      </c>
      <c r="K180" s="683"/>
      <c r="L180" s="684"/>
      <c r="M180" s="753"/>
      <c r="N180" s="683">
        <v>0</v>
      </c>
      <c r="O180" s="686"/>
      <c r="P180" s="683">
        <v>0</v>
      </c>
      <c r="Q180" s="687">
        <f t="shared" si="83"/>
        <v>0</v>
      </c>
      <c r="R180" s="687"/>
      <c r="S180" s="687"/>
      <c r="T180" s="688">
        <v>0</v>
      </c>
      <c r="U180" s="693"/>
      <c r="V180" s="690">
        <f t="shared" si="84"/>
        <v>0</v>
      </c>
      <c r="W180" s="683"/>
      <c r="X180" s="474">
        <f t="shared" si="93"/>
        <v>0</v>
      </c>
      <c r="Y180" s="474">
        <f t="shared" si="94"/>
        <v>0</v>
      </c>
      <c r="Z180" s="475">
        <f t="shared" si="95"/>
        <v>0</v>
      </c>
      <c r="AA180" s="475">
        <v>0</v>
      </c>
      <c r="AB180" s="476">
        <v>0</v>
      </c>
      <c r="AC180" s="38">
        <f t="shared" si="96"/>
        <v>0</v>
      </c>
      <c r="AD180" s="692">
        <f t="shared" si="86"/>
        <v>0</v>
      </c>
      <c r="AE180" s="692">
        <f t="shared" si="87"/>
        <v>0</v>
      </c>
      <c r="AF180" s="692">
        <f t="shared" si="88"/>
        <v>0</v>
      </c>
      <c r="AG180" s="38"/>
      <c r="AH180" s="692">
        <f t="shared" si="90"/>
        <v>0</v>
      </c>
      <c r="AI180" s="692">
        <f t="shared" si="91"/>
        <v>0</v>
      </c>
      <c r="AJ180" s="692">
        <f t="shared" si="92"/>
        <v>0</v>
      </c>
      <c r="AL180" s="38">
        <f t="shared" si="89"/>
        <v>0</v>
      </c>
      <c r="AM180" s="68" t="s">
        <v>221</v>
      </c>
    </row>
    <row r="181" spans="1:39">
      <c r="A181" s="21"/>
      <c r="B181" s="21" t="s">
        <v>110</v>
      </c>
      <c r="C181" s="666"/>
      <c r="D181" s="68" t="s">
        <v>985</v>
      </c>
      <c r="E181" s="679"/>
      <c r="F181" s="529">
        <f>VLOOKUP(D181,'Sept13 Revenue'!D:V,19,FALSE)</f>
        <v>0</v>
      </c>
      <c r="G181" s="680"/>
      <c r="H181" s="680"/>
      <c r="I181" s="770">
        <v>77.349999999999994</v>
      </c>
      <c r="J181" s="682">
        <f t="shared" si="85"/>
        <v>77.349999999999994</v>
      </c>
      <c r="K181" s="683"/>
      <c r="L181" s="684"/>
      <c r="M181" s="753"/>
      <c r="N181" s="683">
        <v>0</v>
      </c>
      <c r="O181" s="686"/>
      <c r="P181" s="683">
        <v>0</v>
      </c>
      <c r="Q181" s="687">
        <f t="shared" si="83"/>
        <v>0</v>
      </c>
      <c r="R181" s="687"/>
      <c r="S181" s="687"/>
      <c r="T181" s="688">
        <v>0</v>
      </c>
      <c r="U181" s="693"/>
      <c r="V181" s="690">
        <f t="shared" si="84"/>
        <v>0</v>
      </c>
      <c r="W181" s="683"/>
      <c r="X181" s="474">
        <f t="shared" si="93"/>
        <v>0</v>
      </c>
      <c r="Y181" s="474">
        <f t="shared" si="94"/>
        <v>0</v>
      </c>
      <c r="Z181" s="475">
        <f t="shared" si="95"/>
        <v>0</v>
      </c>
      <c r="AA181" s="475">
        <v>0</v>
      </c>
      <c r="AB181" s="476">
        <v>0</v>
      </c>
      <c r="AC181" s="38">
        <f t="shared" si="96"/>
        <v>0</v>
      </c>
      <c r="AD181" s="692">
        <f t="shared" si="86"/>
        <v>77.349999999999994</v>
      </c>
      <c r="AE181" s="692">
        <f t="shared" si="87"/>
        <v>0</v>
      </c>
      <c r="AF181" s="692">
        <f t="shared" si="88"/>
        <v>0</v>
      </c>
      <c r="AG181" s="38"/>
      <c r="AH181" s="692">
        <f t="shared" si="90"/>
        <v>0</v>
      </c>
      <c r="AI181" s="692">
        <f t="shared" si="91"/>
        <v>0</v>
      </c>
      <c r="AJ181" s="692">
        <f t="shared" si="92"/>
        <v>0</v>
      </c>
      <c r="AL181" s="38">
        <f t="shared" si="89"/>
        <v>77.349999999999994</v>
      </c>
      <c r="AM181" s="68" t="s">
        <v>985</v>
      </c>
    </row>
    <row r="182" spans="1:39">
      <c r="A182" s="21"/>
      <c r="B182" s="21" t="s">
        <v>109</v>
      </c>
      <c r="C182" s="666" t="s">
        <v>571</v>
      </c>
      <c r="D182" s="68" t="s">
        <v>44</v>
      </c>
      <c r="E182" s="679"/>
      <c r="F182" s="529">
        <f>VLOOKUP(D182,'Sept13 Revenue'!D:V,19,FALSE)</f>
        <v>-25000</v>
      </c>
      <c r="G182" s="680"/>
      <c r="H182" s="680"/>
      <c r="I182" s="755"/>
      <c r="J182" s="682">
        <f t="shared" si="85"/>
        <v>-25000</v>
      </c>
      <c r="K182" s="683"/>
      <c r="L182" s="684"/>
      <c r="M182" s="753">
        <v>30000</v>
      </c>
      <c r="N182" s="683">
        <v>0</v>
      </c>
      <c r="O182" s="686"/>
      <c r="P182" s="683">
        <v>0</v>
      </c>
      <c r="Q182" s="687">
        <f t="shared" si="83"/>
        <v>30000</v>
      </c>
      <c r="R182" s="687"/>
      <c r="S182" s="687"/>
      <c r="T182" s="688">
        <v>0</v>
      </c>
      <c r="U182" s="693"/>
      <c r="V182" s="690">
        <f t="shared" si="84"/>
        <v>-30000</v>
      </c>
      <c r="W182" s="683"/>
      <c r="X182" s="474">
        <f t="shared" si="93"/>
        <v>0</v>
      </c>
      <c r="Y182" s="474">
        <f t="shared" si="94"/>
        <v>30000</v>
      </c>
      <c r="Z182" s="475">
        <f t="shared" si="95"/>
        <v>0</v>
      </c>
      <c r="AA182" s="475">
        <v>0</v>
      </c>
      <c r="AB182" s="476">
        <v>0</v>
      </c>
      <c r="AC182" s="38">
        <f t="shared" si="96"/>
        <v>0</v>
      </c>
      <c r="AD182" s="692">
        <f t="shared" si="86"/>
        <v>0</v>
      </c>
      <c r="AE182" s="692">
        <f t="shared" si="87"/>
        <v>-25000</v>
      </c>
      <c r="AF182" s="692">
        <f t="shared" si="88"/>
        <v>0</v>
      </c>
      <c r="AG182" s="38"/>
      <c r="AH182" s="692">
        <f t="shared" si="90"/>
        <v>0</v>
      </c>
      <c r="AI182" s="692">
        <f t="shared" si="91"/>
        <v>30000</v>
      </c>
      <c r="AJ182" s="692">
        <f t="shared" si="92"/>
        <v>0</v>
      </c>
      <c r="AL182" s="38">
        <f t="shared" si="89"/>
        <v>5000</v>
      </c>
      <c r="AM182" s="68" t="s">
        <v>44</v>
      </c>
    </row>
    <row r="183" spans="1:39">
      <c r="A183" s="21"/>
      <c r="B183" s="21" t="s">
        <v>114</v>
      </c>
      <c r="C183" s="666" t="s">
        <v>571</v>
      </c>
      <c r="D183" s="68" t="s">
        <v>44</v>
      </c>
      <c r="E183" s="679"/>
      <c r="F183" s="529"/>
      <c r="G183" s="680"/>
      <c r="H183" s="680"/>
      <c r="I183" s="755"/>
      <c r="J183" s="682">
        <f t="shared" si="85"/>
        <v>0</v>
      </c>
      <c r="K183" s="683"/>
      <c r="L183" s="684"/>
      <c r="M183" s="753"/>
      <c r="N183" s="683">
        <v>0</v>
      </c>
      <c r="O183" s="686"/>
      <c r="P183" s="683">
        <v>0</v>
      </c>
      <c r="Q183" s="687">
        <f t="shared" si="83"/>
        <v>0</v>
      </c>
      <c r="R183" s="687"/>
      <c r="S183" s="687"/>
      <c r="T183" s="688">
        <v>0</v>
      </c>
      <c r="U183" s="693"/>
      <c r="V183" s="690">
        <f t="shared" si="84"/>
        <v>0</v>
      </c>
      <c r="W183" s="683"/>
      <c r="X183" s="474">
        <f t="shared" si="93"/>
        <v>0</v>
      </c>
      <c r="Y183" s="474">
        <f t="shared" si="94"/>
        <v>0</v>
      </c>
      <c r="Z183" s="475">
        <f t="shared" si="95"/>
        <v>0</v>
      </c>
      <c r="AA183" s="475">
        <v>0</v>
      </c>
      <c r="AB183" s="476">
        <v>0</v>
      </c>
      <c r="AC183" s="38">
        <f t="shared" si="96"/>
        <v>0</v>
      </c>
      <c r="AD183" s="692">
        <f t="shared" si="86"/>
        <v>0</v>
      </c>
      <c r="AE183" s="692">
        <f t="shared" si="87"/>
        <v>0</v>
      </c>
      <c r="AF183" s="692">
        <f t="shared" si="88"/>
        <v>0</v>
      </c>
      <c r="AG183" s="38"/>
      <c r="AH183" s="692">
        <f t="shared" si="90"/>
        <v>0</v>
      </c>
      <c r="AI183" s="692">
        <f t="shared" si="91"/>
        <v>0</v>
      </c>
      <c r="AJ183" s="692">
        <f t="shared" si="92"/>
        <v>0</v>
      </c>
      <c r="AL183" s="38">
        <f t="shared" si="89"/>
        <v>0</v>
      </c>
      <c r="AM183" s="68" t="s">
        <v>44</v>
      </c>
    </row>
    <row r="184" spans="1:39">
      <c r="A184" s="21"/>
      <c r="B184" s="21" t="s">
        <v>110</v>
      </c>
      <c r="C184" s="666" t="s">
        <v>572</v>
      </c>
      <c r="D184" s="806" t="s">
        <v>388</v>
      </c>
      <c r="E184" s="679">
        <v>93016.53</v>
      </c>
      <c r="F184" s="529">
        <f>VLOOKUP(D184,'Sept13 Revenue'!D:V,19,FALSE)</f>
        <v>-40000</v>
      </c>
      <c r="G184" s="680"/>
      <c r="H184" s="680"/>
      <c r="I184" s="755"/>
      <c r="J184" s="682">
        <f t="shared" si="85"/>
        <v>53016.53</v>
      </c>
      <c r="K184" s="683"/>
      <c r="L184" s="684"/>
      <c r="M184" s="753"/>
      <c r="N184" s="683">
        <v>0</v>
      </c>
      <c r="O184" s="686"/>
      <c r="P184" s="683">
        <v>0</v>
      </c>
      <c r="Q184" s="687">
        <f t="shared" si="83"/>
        <v>0</v>
      </c>
      <c r="R184" s="687"/>
      <c r="S184" s="687"/>
      <c r="T184" s="688">
        <v>18509.93</v>
      </c>
      <c r="U184" s="693"/>
      <c r="V184" s="690">
        <f t="shared" si="84"/>
        <v>18509.93</v>
      </c>
      <c r="W184" s="683"/>
      <c r="X184" s="474">
        <f t="shared" si="93"/>
        <v>0</v>
      </c>
      <c r="Y184" s="474">
        <f t="shared" si="94"/>
        <v>0</v>
      </c>
      <c r="Z184" s="475">
        <f t="shared" si="95"/>
        <v>0</v>
      </c>
      <c r="AA184" s="475">
        <v>0</v>
      </c>
      <c r="AB184" s="476">
        <v>0</v>
      </c>
      <c r="AC184" s="38">
        <f t="shared" si="96"/>
        <v>0</v>
      </c>
      <c r="AD184" s="692">
        <f t="shared" si="86"/>
        <v>53016.53</v>
      </c>
      <c r="AE184" s="692">
        <f t="shared" si="87"/>
        <v>0</v>
      </c>
      <c r="AF184" s="692">
        <f t="shared" si="88"/>
        <v>0</v>
      </c>
      <c r="AG184" s="38"/>
      <c r="AH184" s="692">
        <f t="shared" si="90"/>
        <v>0</v>
      </c>
      <c r="AI184" s="692">
        <f t="shared" si="91"/>
        <v>0</v>
      </c>
      <c r="AJ184" s="692">
        <f t="shared" si="92"/>
        <v>0</v>
      </c>
      <c r="AL184" s="38">
        <f t="shared" si="89"/>
        <v>53016.53</v>
      </c>
      <c r="AM184" s="806" t="s">
        <v>388</v>
      </c>
    </row>
    <row r="185" spans="1:39">
      <c r="A185" s="20"/>
      <c r="B185" s="20" t="s">
        <v>109</v>
      </c>
      <c r="C185" s="667"/>
      <c r="D185" s="806" t="s">
        <v>842</v>
      </c>
      <c r="E185" s="679"/>
      <c r="F185" s="529">
        <f>VLOOKUP(D185,'Sept13 Revenue'!D:V,19,FALSE)</f>
        <v>-105000</v>
      </c>
      <c r="G185" s="680"/>
      <c r="H185" s="680"/>
      <c r="I185" s="755"/>
      <c r="J185" s="682">
        <f t="shared" si="85"/>
        <v>-105000</v>
      </c>
      <c r="K185" s="683"/>
      <c r="L185" s="684"/>
      <c r="M185" s="753">
        <v>115000</v>
      </c>
      <c r="N185" s="683">
        <v>0</v>
      </c>
      <c r="O185" s="686"/>
      <c r="P185" s="683">
        <v>0</v>
      </c>
      <c r="Q185" s="687">
        <f t="shared" si="83"/>
        <v>115000</v>
      </c>
      <c r="R185" s="687"/>
      <c r="S185" s="687"/>
      <c r="T185" s="688">
        <v>0</v>
      </c>
      <c r="U185" s="693"/>
      <c r="V185" s="690">
        <f t="shared" si="84"/>
        <v>-115000</v>
      </c>
      <c r="W185" s="683"/>
      <c r="X185" s="474">
        <f t="shared" si="93"/>
        <v>0</v>
      </c>
      <c r="Y185" s="474">
        <f t="shared" si="94"/>
        <v>115000</v>
      </c>
      <c r="Z185" s="475">
        <f t="shared" si="95"/>
        <v>0</v>
      </c>
      <c r="AA185" s="475">
        <v>0</v>
      </c>
      <c r="AB185" s="476">
        <v>0</v>
      </c>
      <c r="AC185" s="38">
        <f t="shared" si="96"/>
        <v>0</v>
      </c>
      <c r="AD185" s="692">
        <f t="shared" si="86"/>
        <v>0</v>
      </c>
      <c r="AE185" s="692">
        <f t="shared" si="87"/>
        <v>-105000</v>
      </c>
      <c r="AF185" s="692">
        <f t="shared" si="88"/>
        <v>0</v>
      </c>
      <c r="AG185" s="38"/>
      <c r="AH185" s="692">
        <f t="shared" si="90"/>
        <v>0</v>
      </c>
      <c r="AI185" s="692">
        <f t="shared" si="91"/>
        <v>115000</v>
      </c>
      <c r="AJ185" s="692">
        <f t="shared" si="92"/>
        <v>0</v>
      </c>
      <c r="AL185" s="38">
        <f t="shared" si="89"/>
        <v>10000</v>
      </c>
      <c r="AM185" s="806" t="s">
        <v>842</v>
      </c>
    </row>
    <row r="186" spans="1:39">
      <c r="A186" s="21"/>
      <c r="B186" s="21" t="s">
        <v>110</v>
      </c>
      <c r="C186" s="666"/>
      <c r="D186" s="68" t="s">
        <v>45</v>
      </c>
      <c r="E186" s="679"/>
      <c r="F186" s="529">
        <f>VLOOKUP(D186,'Sept13 Revenue'!D:V,19,FALSE)</f>
        <v>-714.81000000001222</v>
      </c>
      <c r="G186" s="680"/>
      <c r="H186" s="680"/>
      <c r="I186" s="755"/>
      <c r="J186" s="682">
        <f t="shared" si="85"/>
        <v>-714.81000000001222</v>
      </c>
      <c r="K186" s="683"/>
      <c r="L186" s="684"/>
      <c r="M186" s="753">
        <v>75000</v>
      </c>
      <c r="N186" s="683">
        <v>0</v>
      </c>
      <c r="O186" s="686"/>
      <c r="P186" s="683">
        <v>0</v>
      </c>
      <c r="Q186" s="687">
        <f t="shared" si="83"/>
        <v>75000</v>
      </c>
      <c r="R186" s="687"/>
      <c r="S186" s="687"/>
      <c r="T186" s="688">
        <v>76217.45</v>
      </c>
      <c r="U186" s="693"/>
      <c r="V186" s="690">
        <f t="shared" si="84"/>
        <v>1217.4499999999971</v>
      </c>
      <c r="W186" s="683"/>
      <c r="X186" s="474">
        <f t="shared" si="93"/>
        <v>75000</v>
      </c>
      <c r="Y186" s="474">
        <f t="shared" si="94"/>
        <v>0</v>
      </c>
      <c r="Z186" s="475">
        <f t="shared" si="95"/>
        <v>0</v>
      </c>
      <c r="AA186" s="475">
        <v>0</v>
      </c>
      <c r="AB186" s="476">
        <v>0</v>
      </c>
      <c r="AC186" s="38">
        <f t="shared" si="96"/>
        <v>0</v>
      </c>
      <c r="AD186" s="692">
        <f t="shared" si="86"/>
        <v>-714.81000000001222</v>
      </c>
      <c r="AE186" s="692">
        <f t="shared" si="87"/>
        <v>0</v>
      </c>
      <c r="AF186" s="692">
        <f t="shared" si="88"/>
        <v>0</v>
      </c>
      <c r="AG186" s="38"/>
      <c r="AH186" s="692">
        <f t="shared" si="90"/>
        <v>75000</v>
      </c>
      <c r="AI186" s="692">
        <f t="shared" si="91"/>
        <v>0</v>
      </c>
      <c r="AJ186" s="692">
        <f t="shared" si="92"/>
        <v>0</v>
      </c>
      <c r="AL186" s="38">
        <f t="shared" si="89"/>
        <v>74285.189999999988</v>
      </c>
      <c r="AM186" s="68" t="s">
        <v>45</v>
      </c>
    </row>
    <row r="187" spans="1:39">
      <c r="A187" s="20" t="s">
        <v>211</v>
      </c>
      <c r="B187" s="20" t="s">
        <v>109</v>
      </c>
      <c r="C187" s="667"/>
      <c r="D187" s="68" t="s">
        <v>923</v>
      </c>
      <c r="E187" s="679"/>
      <c r="F187" s="529">
        <f>VLOOKUP(D187,'Sept13 Revenue'!D:V,19,FALSE)</f>
        <v>0</v>
      </c>
      <c r="G187" s="680"/>
      <c r="H187" s="680"/>
      <c r="I187" s="755"/>
      <c r="J187" s="682">
        <f t="shared" si="85"/>
        <v>0</v>
      </c>
      <c r="K187" s="683"/>
      <c r="L187" s="684"/>
      <c r="M187" s="753"/>
      <c r="N187" s="683">
        <v>0</v>
      </c>
      <c r="O187" s="686"/>
      <c r="P187" s="683">
        <v>0</v>
      </c>
      <c r="Q187" s="687">
        <f t="shared" si="83"/>
        <v>0</v>
      </c>
      <c r="R187" s="687"/>
      <c r="S187" s="687"/>
      <c r="T187" s="688">
        <v>0</v>
      </c>
      <c r="U187" s="693"/>
      <c r="V187" s="690">
        <f t="shared" si="84"/>
        <v>0</v>
      </c>
      <c r="W187" s="697"/>
      <c r="X187" s="474">
        <f t="shared" si="93"/>
        <v>0</v>
      </c>
      <c r="Y187" s="474">
        <f t="shared" si="94"/>
        <v>0</v>
      </c>
      <c r="Z187" s="475">
        <f t="shared" si="95"/>
        <v>0</v>
      </c>
      <c r="AA187" s="475">
        <v>0</v>
      </c>
      <c r="AB187" s="476">
        <v>0</v>
      </c>
      <c r="AC187" s="38">
        <f t="shared" si="96"/>
        <v>0</v>
      </c>
      <c r="AD187" s="692">
        <f t="shared" si="86"/>
        <v>0</v>
      </c>
      <c r="AE187" s="692">
        <f t="shared" si="87"/>
        <v>0</v>
      </c>
      <c r="AF187" s="692">
        <f t="shared" si="88"/>
        <v>0</v>
      </c>
      <c r="AG187" s="38"/>
      <c r="AH187" s="692">
        <f t="shared" si="90"/>
        <v>0</v>
      </c>
      <c r="AI187" s="692">
        <f t="shared" si="91"/>
        <v>0</v>
      </c>
      <c r="AJ187" s="692">
        <f t="shared" si="92"/>
        <v>0</v>
      </c>
      <c r="AL187" s="38">
        <f t="shared" si="89"/>
        <v>0</v>
      </c>
      <c r="AM187" s="68" t="s">
        <v>923</v>
      </c>
    </row>
    <row r="188" spans="1:39">
      <c r="A188" s="20"/>
      <c r="B188" s="20" t="s">
        <v>110</v>
      </c>
      <c r="C188" s="667" t="s">
        <v>573</v>
      </c>
      <c r="D188" s="68" t="s">
        <v>102</v>
      </c>
      <c r="E188" s="820">
        <v>43497.01</v>
      </c>
      <c r="F188" s="529">
        <f>VLOOKUP(D188,'Sept13 Revenue'!D:V,19,FALSE)</f>
        <v>597877.60000000009</v>
      </c>
      <c r="G188" s="680"/>
      <c r="H188" s="680"/>
      <c r="I188" s="755"/>
      <c r="J188" s="682">
        <f t="shared" si="85"/>
        <v>641374.6100000001</v>
      </c>
      <c r="K188" s="683"/>
      <c r="L188" s="684"/>
      <c r="M188" s="753">
        <v>3500000</v>
      </c>
      <c r="N188" s="683">
        <v>0</v>
      </c>
      <c r="O188" s="686"/>
      <c r="P188" s="683">
        <v>0</v>
      </c>
      <c r="Q188" s="687">
        <f t="shared" si="83"/>
        <v>3500000</v>
      </c>
      <c r="R188" s="687"/>
      <c r="S188" s="687"/>
      <c r="T188" s="688">
        <v>3671393.3</v>
      </c>
      <c r="U188" s="693"/>
      <c r="V188" s="690">
        <f t="shared" si="84"/>
        <v>171393.29999999981</v>
      </c>
      <c r="W188" s="697"/>
      <c r="X188" s="474">
        <f t="shared" si="93"/>
        <v>3500000</v>
      </c>
      <c r="Y188" s="474">
        <f t="shared" si="94"/>
        <v>0</v>
      </c>
      <c r="Z188" s="475">
        <f t="shared" si="95"/>
        <v>0</v>
      </c>
      <c r="AA188" s="475">
        <v>0</v>
      </c>
      <c r="AB188" s="476">
        <v>0</v>
      </c>
      <c r="AC188" s="38">
        <f t="shared" si="96"/>
        <v>0</v>
      </c>
      <c r="AD188" s="692">
        <f t="shared" si="86"/>
        <v>641374.6100000001</v>
      </c>
      <c r="AE188" s="692">
        <f t="shared" si="87"/>
        <v>0</v>
      </c>
      <c r="AF188" s="692">
        <f t="shared" si="88"/>
        <v>0</v>
      </c>
      <c r="AG188" s="38"/>
      <c r="AH188" s="692">
        <f t="shared" si="90"/>
        <v>3500000</v>
      </c>
      <c r="AI188" s="692">
        <f t="shared" si="91"/>
        <v>0</v>
      </c>
      <c r="AJ188" s="692">
        <f t="shared" si="92"/>
        <v>0</v>
      </c>
      <c r="AL188" s="38">
        <f t="shared" si="89"/>
        <v>4141374.6100000003</v>
      </c>
      <c r="AM188" s="68" t="s">
        <v>102</v>
      </c>
    </row>
    <row r="189" spans="1:39">
      <c r="A189" s="20"/>
      <c r="B189" s="20" t="s">
        <v>110</v>
      </c>
      <c r="C189" s="667" t="s">
        <v>573</v>
      </c>
      <c r="D189" s="68" t="s">
        <v>511</v>
      </c>
      <c r="E189" s="679"/>
      <c r="F189" s="529">
        <f>VLOOKUP(D189,'Sept13 Revenue'!D:V,19,FALSE)</f>
        <v>387.28</v>
      </c>
      <c r="G189" s="680"/>
      <c r="H189" s="680"/>
      <c r="I189" s="755"/>
      <c r="J189" s="682">
        <f t="shared" si="85"/>
        <v>387.28</v>
      </c>
      <c r="K189" s="683"/>
      <c r="L189" s="684"/>
      <c r="M189" s="753"/>
      <c r="N189" s="683">
        <v>0</v>
      </c>
      <c r="O189" s="686"/>
      <c r="P189" s="683">
        <v>0</v>
      </c>
      <c r="Q189" s="687">
        <f t="shared" si="83"/>
        <v>0</v>
      </c>
      <c r="R189" s="687"/>
      <c r="S189" s="687"/>
      <c r="T189" s="688">
        <v>396.32</v>
      </c>
      <c r="U189" s="693"/>
      <c r="V189" s="690">
        <f t="shared" si="84"/>
        <v>396.32</v>
      </c>
      <c r="W189" s="697"/>
      <c r="X189" s="474">
        <f t="shared" si="93"/>
        <v>0</v>
      </c>
      <c r="Y189" s="474">
        <f t="shared" si="94"/>
        <v>0</v>
      </c>
      <c r="Z189" s="475">
        <f t="shared" si="95"/>
        <v>0</v>
      </c>
      <c r="AA189" s="475">
        <v>0</v>
      </c>
      <c r="AB189" s="476">
        <v>0</v>
      </c>
      <c r="AC189" s="38">
        <f t="shared" si="96"/>
        <v>0</v>
      </c>
      <c r="AD189" s="692">
        <f t="shared" si="86"/>
        <v>387.28</v>
      </c>
      <c r="AE189" s="692">
        <f t="shared" si="87"/>
        <v>0</v>
      </c>
      <c r="AF189" s="692">
        <f t="shared" si="88"/>
        <v>0</v>
      </c>
      <c r="AG189" s="38"/>
      <c r="AH189" s="692">
        <f t="shared" si="90"/>
        <v>0</v>
      </c>
      <c r="AI189" s="692">
        <f t="shared" si="91"/>
        <v>0</v>
      </c>
      <c r="AJ189" s="692">
        <f t="shared" si="92"/>
        <v>0</v>
      </c>
      <c r="AL189" s="38">
        <f t="shared" si="89"/>
        <v>387.28</v>
      </c>
      <c r="AM189" s="68" t="s">
        <v>511</v>
      </c>
    </row>
    <row r="190" spans="1:39">
      <c r="A190" s="21"/>
      <c r="B190" s="21" t="s">
        <v>110</v>
      </c>
      <c r="C190" s="666"/>
      <c r="D190" s="68" t="s">
        <v>50</v>
      </c>
      <c r="E190" s="679"/>
      <c r="F190" s="529">
        <f>VLOOKUP(D190,'Sept13 Revenue'!D:V,19,FALSE)</f>
        <v>0</v>
      </c>
      <c r="G190" s="680"/>
      <c r="H190" s="680"/>
      <c r="I190" s="755"/>
      <c r="J190" s="682">
        <f t="shared" si="85"/>
        <v>0</v>
      </c>
      <c r="K190" s="683"/>
      <c r="L190" s="684"/>
      <c r="M190" s="753"/>
      <c r="N190" s="683">
        <v>0</v>
      </c>
      <c r="O190" s="686"/>
      <c r="P190" s="683">
        <v>0</v>
      </c>
      <c r="Q190" s="687">
        <f t="shared" si="83"/>
        <v>0</v>
      </c>
      <c r="R190" s="687"/>
      <c r="S190" s="687"/>
      <c r="T190" s="688">
        <v>714.7</v>
      </c>
      <c r="U190" s="693"/>
      <c r="V190" s="690">
        <f t="shared" si="84"/>
        <v>714.7</v>
      </c>
      <c r="W190" s="683"/>
      <c r="X190" s="474">
        <f t="shared" si="93"/>
        <v>0</v>
      </c>
      <c r="Y190" s="474">
        <f t="shared" si="94"/>
        <v>0</v>
      </c>
      <c r="Z190" s="475">
        <f t="shared" si="95"/>
        <v>0</v>
      </c>
      <c r="AA190" s="475">
        <v>0</v>
      </c>
      <c r="AB190" s="476">
        <v>0</v>
      </c>
      <c r="AC190" s="38">
        <f t="shared" si="96"/>
        <v>0</v>
      </c>
      <c r="AD190" s="692">
        <f t="shared" si="86"/>
        <v>0</v>
      </c>
      <c r="AE190" s="692">
        <f t="shared" si="87"/>
        <v>0</v>
      </c>
      <c r="AF190" s="692">
        <f t="shared" si="88"/>
        <v>0</v>
      </c>
      <c r="AG190" s="38"/>
      <c r="AH190" s="692">
        <f t="shared" si="90"/>
        <v>0</v>
      </c>
      <c r="AI190" s="692">
        <f t="shared" si="91"/>
        <v>0</v>
      </c>
      <c r="AJ190" s="692">
        <f t="shared" si="92"/>
        <v>0</v>
      </c>
      <c r="AL190" s="38">
        <f t="shared" si="89"/>
        <v>0</v>
      </c>
      <c r="AM190" s="68" t="s">
        <v>50</v>
      </c>
    </row>
    <row r="191" spans="1:39" hidden="1">
      <c r="A191" s="21"/>
      <c r="B191" s="21" t="s">
        <v>109</v>
      </c>
      <c r="C191" s="666"/>
      <c r="D191" s="68" t="s">
        <v>51</v>
      </c>
      <c r="E191" s="679"/>
      <c r="F191" s="529">
        <f>VLOOKUP(D191,'Sept13 Revenue'!D:V,19,FALSE)</f>
        <v>0</v>
      </c>
      <c r="G191" s="680"/>
      <c r="H191" s="680"/>
      <c r="I191" s="755"/>
      <c r="J191" s="682">
        <f t="shared" si="85"/>
        <v>0</v>
      </c>
      <c r="K191" s="683"/>
      <c r="L191" s="684"/>
      <c r="M191" s="753"/>
      <c r="N191" s="683">
        <v>0</v>
      </c>
      <c r="O191" s="686"/>
      <c r="P191" s="683">
        <v>0</v>
      </c>
      <c r="Q191" s="687">
        <f t="shared" si="83"/>
        <v>0</v>
      </c>
      <c r="R191" s="687"/>
      <c r="S191" s="687"/>
      <c r="T191" s="688">
        <v>0</v>
      </c>
      <c r="U191" s="693"/>
      <c r="V191" s="690">
        <f t="shared" si="84"/>
        <v>0</v>
      </c>
      <c r="W191" s="683"/>
      <c r="X191" s="474">
        <f t="shared" si="93"/>
        <v>0</v>
      </c>
      <c r="Y191" s="474">
        <f t="shared" si="94"/>
        <v>0</v>
      </c>
      <c r="Z191" s="475">
        <f t="shared" si="95"/>
        <v>0</v>
      </c>
      <c r="AA191" s="475">
        <v>0</v>
      </c>
      <c r="AB191" s="476">
        <v>0</v>
      </c>
      <c r="AC191" s="38">
        <f t="shared" si="96"/>
        <v>0</v>
      </c>
      <c r="AD191" s="692">
        <f t="shared" si="86"/>
        <v>0</v>
      </c>
      <c r="AE191" s="692">
        <f t="shared" si="87"/>
        <v>0</v>
      </c>
      <c r="AF191" s="692">
        <f t="shared" si="88"/>
        <v>0</v>
      </c>
      <c r="AG191" s="38"/>
      <c r="AH191" s="692">
        <f t="shared" si="90"/>
        <v>0</v>
      </c>
      <c r="AI191" s="692">
        <f t="shared" si="91"/>
        <v>0</v>
      </c>
      <c r="AJ191" s="692">
        <f t="shared" si="92"/>
        <v>0</v>
      </c>
      <c r="AL191" s="38">
        <f t="shared" si="89"/>
        <v>0</v>
      </c>
      <c r="AM191" s="68" t="s">
        <v>51</v>
      </c>
    </row>
    <row r="192" spans="1:39">
      <c r="A192" s="21"/>
      <c r="B192" s="21" t="s">
        <v>109</v>
      </c>
      <c r="C192" s="666"/>
      <c r="D192" s="68" t="s">
        <v>107</v>
      </c>
      <c r="E192" s="679"/>
      <c r="F192" s="529">
        <f>VLOOKUP(D192,'Sept13 Revenue'!D:V,19,FALSE)</f>
        <v>0</v>
      </c>
      <c r="G192" s="680"/>
      <c r="H192" s="680"/>
      <c r="I192" s="755"/>
      <c r="J192" s="682">
        <f t="shared" si="85"/>
        <v>0</v>
      </c>
      <c r="K192" s="683"/>
      <c r="L192" s="684"/>
      <c r="M192" s="753"/>
      <c r="N192" s="683">
        <v>0</v>
      </c>
      <c r="O192" s="686"/>
      <c r="P192" s="683">
        <v>0</v>
      </c>
      <c r="Q192" s="687">
        <f t="shared" si="83"/>
        <v>0</v>
      </c>
      <c r="R192" s="687"/>
      <c r="S192" s="687"/>
      <c r="T192" s="688">
        <v>0</v>
      </c>
      <c r="U192" s="693"/>
      <c r="V192" s="690">
        <f t="shared" si="84"/>
        <v>0</v>
      </c>
      <c r="W192" s="683"/>
      <c r="X192" s="474">
        <f t="shared" si="93"/>
        <v>0</v>
      </c>
      <c r="Y192" s="474">
        <f t="shared" si="94"/>
        <v>0</v>
      </c>
      <c r="Z192" s="475">
        <f t="shared" si="95"/>
        <v>0</v>
      </c>
      <c r="AA192" s="475">
        <v>0</v>
      </c>
      <c r="AB192" s="476">
        <v>0</v>
      </c>
      <c r="AC192" s="38">
        <f t="shared" si="96"/>
        <v>0</v>
      </c>
      <c r="AD192" s="692">
        <f t="shared" si="86"/>
        <v>0</v>
      </c>
      <c r="AE192" s="692">
        <f t="shared" si="87"/>
        <v>0</v>
      </c>
      <c r="AF192" s="692">
        <f t="shared" si="88"/>
        <v>0</v>
      </c>
      <c r="AG192" s="38"/>
      <c r="AH192" s="692">
        <f t="shared" si="90"/>
        <v>0</v>
      </c>
      <c r="AI192" s="692">
        <f t="shared" si="91"/>
        <v>0</v>
      </c>
      <c r="AJ192" s="692">
        <f t="shared" si="92"/>
        <v>0</v>
      </c>
      <c r="AL192" s="38">
        <f t="shared" si="89"/>
        <v>0</v>
      </c>
      <c r="AM192" s="68" t="s">
        <v>107</v>
      </c>
    </row>
    <row r="193" spans="1:39" hidden="1">
      <c r="A193" s="21"/>
      <c r="B193" s="21" t="s">
        <v>109</v>
      </c>
      <c r="C193" s="666"/>
      <c r="D193" s="68" t="s">
        <v>467</v>
      </c>
      <c r="E193" s="679"/>
      <c r="F193" s="529">
        <f>VLOOKUP(D193,'Sept13 Revenue'!D:V,19,FALSE)</f>
        <v>0</v>
      </c>
      <c r="G193" s="680"/>
      <c r="H193" s="680"/>
      <c r="I193" s="755"/>
      <c r="J193" s="682">
        <f t="shared" si="85"/>
        <v>0</v>
      </c>
      <c r="K193" s="683"/>
      <c r="L193" s="684"/>
      <c r="M193" s="753"/>
      <c r="N193" s="683">
        <v>0</v>
      </c>
      <c r="O193" s="686"/>
      <c r="P193" s="683">
        <v>0</v>
      </c>
      <c r="Q193" s="687">
        <f t="shared" si="83"/>
        <v>0</v>
      </c>
      <c r="R193" s="687"/>
      <c r="S193" s="687"/>
      <c r="T193" s="688">
        <v>0</v>
      </c>
      <c r="U193" s="693"/>
      <c r="V193" s="690">
        <f t="shared" si="84"/>
        <v>0</v>
      </c>
      <c r="W193" s="683"/>
      <c r="X193" s="474">
        <f t="shared" si="93"/>
        <v>0</v>
      </c>
      <c r="Y193" s="474">
        <f t="shared" si="94"/>
        <v>0</v>
      </c>
      <c r="Z193" s="475">
        <f t="shared" si="95"/>
        <v>0</v>
      </c>
      <c r="AA193" s="475">
        <v>0</v>
      </c>
      <c r="AB193" s="476">
        <v>0</v>
      </c>
      <c r="AC193" s="38">
        <f t="shared" si="96"/>
        <v>0</v>
      </c>
      <c r="AD193" s="692">
        <f t="shared" si="86"/>
        <v>0</v>
      </c>
      <c r="AE193" s="692">
        <f t="shared" si="87"/>
        <v>0</v>
      </c>
      <c r="AF193" s="692">
        <f t="shared" si="88"/>
        <v>0</v>
      </c>
      <c r="AG193" s="38"/>
      <c r="AH193" s="692">
        <f t="shared" si="90"/>
        <v>0</v>
      </c>
      <c r="AI193" s="692">
        <f t="shared" si="91"/>
        <v>0</v>
      </c>
      <c r="AJ193" s="692">
        <f t="shared" si="92"/>
        <v>0</v>
      </c>
      <c r="AL193" s="38">
        <f t="shared" si="89"/>
        <v>0</v>
      </c>
      <c r="AM193" s="68" t="s">
        <v>467</v>
      </c>
    </row>
    <row r="194" spans="1:39">
      <c r="A194" s="21"/>
      <c r="B194" s="21" t="s">
        <v>110</v>
      </c>
      <c r="C194" s="666"/>
      <c r="D194" s="68" t="s">
        <v>1012</v>
      </c>
      <c r="E194" s="679">
        <v>12283.89</v>
      </c>
      <c r="F194" s="529">
        <f>VLOOKUP(D194,'Sept13 Revenue'!D:V,19,FALSE)</f>
        <v>0</v>
      </c>
      <c r="G194" s="680"/>
      <c r="H194" s="680"/>
      <c r="I194" s="755"/>
      <c r="J194" s="682">
        <f t="shared" ref="J194" si="97">SUM(E194:I194)</f>
        <v>12283.89</v>
      </c>
      <c r="K194" s="683"/>
      <c r="L194" s="684"/>
      <c r="M194" s="753"/>
      <c r="N194" s="683">
        <v>0</v>
      </c>
      <c r="O194" s="686"/>
      <c r="P194" s="683">
        <v>0</v>
      </c>
      <c r="Q194" s="687">
        <f t="shared" ref="Q194" si="98">L194+M194</f>
        <v>0</v>
      </c>
      <c r="R194" s="687"/>
      <c r="S194" s="687"/>
      <c r="T194" s="688">
        <v>0</v>
      </c>
      <c r="U194" s="693"/>
      <c r="V194" s="690">
        <f t="shared" si="84"/>
        <v>0</v>
      </c>
      <c r="W194" s="683"/>
      <c r="X194" s="474">
        <f t="shared" ref="X194" si="99">IF(B194="D",Q194,0)</f>
        <v>0</v>
      </c>
      <c r="Y194" s="474">
        <f t="shared" ref="Y194" si="100">IF(B194="M",Q194,0)</f>
        <v>0</v>
      </c>
      <c r="Z194" s="475">
        <f t="shared" ref="Z194" si="101">IF(B194="V",Q194,0)</f>
        <v>0</v>
      </c>
      <c r="AA194" s="475">
        <v>0</v>
      </c>
      <c r="AB194" s="476">
        <v>0</v>
      </c>
      <c r="AC194" s="38">
        <f t="shared" ref="AC194" si="102">(L194+M194)-(X194+Y194+Z194+AA194+AB194)</f>
        <v>0</v>
      </c>
      <c r="AD194" s="692">
        <f t="shared" ref="AD194" si="103">IF(B194="D",J194,0)</f>
        <v>12283.89</v>
      </c>
      <c r="AE194" s="692">
        <f t="shared" ref="AE194" si="104">IF(B194="M",J194,0)</f>
        <v>0</v>
      </c>
      <c r="AF194" s="692">
        <f t="shared" ref="AF194" si="105">IF(B194="V",J194,0)</f>
        <v>0</v>
      </c>
      <c r="AG194" s="38"/>
      <c r="AH194" s="692">
        <f t="shared" ref="AH194" si="106">IF(B194="D",Q194,0)</f>
        <v>0</v>
      </c>
      <c r="AI194" s="692">
        <f t="shared" ref="AI194" si="107">IF(B194="M",Q194,0)</f>
        <v>0</v>
      </c>
      <c r="AJ194" s="692">
        <f t="shared" ref="AJ194" si="108">IF(B194="V",Q194,0)</f>
        <v>0</v>
      </c>
      <c r="AL194" s="38">
        <f t="shared" ref="AL194" si="109">SUM(AD194:AJ194)</f>
        <v>12283.89</v>
      </c>
      <c r="AM194" s="68" t="s">
        <v>1012</v>
      </c>
    </row>
    <row r="195" spans="1:39">
      <c r="A195" s="21"/>
      <c r="B195" s="21" t="s">
        <v>109</v>
      </c>
      <c r="C195" s="666" t="s">
        <v>575</v>
      </c>
      <c r="D195" s="68" t="s">
        <v>54</v>
      </c>
      <c r="E195" s="679"/>
      <c r="F195" s="529">
        <f>VLOOKUP(D195,'Sept13 Revenue'!D:V,19,FALSE)</f>
        <v>1175.0999999999999</v>
      </c>
      <c r="G195" s="680"/>
      <c r="H195" s="680"/>
      <c r="I195" s="755"/>
      <c r="J195" s="682">
        <f t="shared" si="85"/>
        <v>1175.0999999999999</v>
      </c>
      <c r="K195" s="683"/>
      <c r="L195" s="684"/>
      <c r="M195" s="753"/>
      <c r="N195" s="683">
        <v>0</v>
      </c>
      <c r="O195" s="686"/>
      <c r="P195" s="683">
        <v>0</v>
      </c>
      <c r="Q195" s="687">
        <f t="shared" si="83"/>
        <v>0</v>
      </c>
      <c r="R195" s="687"/>
      <c r="S195" s="687"/>
      <c r="T195" s="688">
        <v>0</v>
      </c>
      <c r="U195" s="693"/>
      <c r="V195" s="690">
        <f t="shared" si="84"/>
        <v>0</v>
      </c>
      <c r="W195" s="683"/>
      <c r="X195" s="474">
        <f t="shared" si="93"/>
        <v>0</v>
      </c>
      <c r="Y195" s="474">
        <f t="shared" si="94"/>
        <v>0</v>
      </c>
      <c r="Z195" s="475">
        <f t="shared" si="95"/>
        <v>0</v>
      </c>
      <c r="AA195" s="475">
        <v>0</v>
      </c>
      <c r="AB195" s="476">
        <v>0</v>
      </c>
      <c r="AC195" s="38">
        <f t="shared" si="96"/>
        <v>0</v>
      </c>
      <c r="AD195" s="692">
        <f t="shared" si="86"/>
        <v>0</v>
      </c>
      <c r="AE195" s="692">
        <f t="shared" si="87"/>
        <v>1175.0999999999999</v>
      </c>
      <c r="AF195" s="692">
        <f t="shared" si="88"/>
        <v>0</v>
      </c>
      <c r="AG195" s="38"/>
      <c r="AH195" s="692">
        <f t="shared" si="90"/>
        <v>0</v>
      </c>
      <c r="AI195" s="692">
        <f t="shared" si="91"/>
        <v>0</v>
      </c>
      <c r="AJ195" s="692">
        <f t="shared" si="92"/>
        <v>0</v>
      </c>
      <c r="AL195" s="38">
        <f t="shared" si="89"/>
        <v>1175.0999999999999</v>
      </c>
      <c r="AM195" s="68" t="s">
        <v>54</v>
      </c>
    </row>
    <row r="196" spans="1:39" hidden="1">
      <c r="A196" s="20"/>
      <c r="B196" s="20" t="s">
        <v>110</v>
      </c>
      <c r="C196" s="667" t="s">
        <v>576</v>
      </c>
      <c r="D196" s="68" t="s">
        <v>394</v>
      </c>
      <c r="E196" s="679"/>
      <c r="F196" s="529">
        <f>VLOOKUP(D196,'Sept13 Revenue'!D:V,19,FALSE)</f>
        <v>0</v>
      </c>
      <c r="G196" s="680"/>
      <c r="H196" s="680"/>
      <c r="I196" s="755"/>
      <c r="J196" s="682">
        <f t="shared" si="85"/>
        <v>0</v>
      </c>
      <c r="K196" s="683"/>
      <c r="L196" s="684"/>
      <c r="M196" s="753"/>
      <c r="N196" s="683">
        <v>0</v>
      </c>
      <c r="O196" s="686"/>
      <c r="P196" s="683">
        <v>0</v>
      </c>
      <c r="Q196" s="687">
        <f t="shared" si="83"/>
        <v>0</v>
      </c>
      <c r="R196" s="687"/>
      <c r="S196" s="687"/>
      <c r="T196" s="688">
        <v>0</v>
      </c>
      <c r="U196" s="693"/>
      <c r="V196" s="690">
        <f t="shared" si="84"/>
        <v>0</v>
      </c>
      <c r="W196" s="683"/>
      <c r="X196" s="474">
        <f t="shared" si="93"/>
        <v>0</v>
      </c>
      <c r="Y196" s="474">
        <f t="shared" si="94"/>
        <v>0</v>
      </c>
      <c r="Z196" s="475">
        <f t="shared" si="95"/>
        <v>0</v>
      </c>
      <c r="AA196" s="475">
        <v>0</v>
      </c>
      <c r="AB196" s="476">
        <v>0</v>
      </c>
      <c r="AC196" s="38">
        <f t="shared" si="96"/>
        <v>0</v>
      </c>
      <c r="AD196" s="692">
        <f t="shared" si="86"/>
        <v>0</v>
      </c>
      <c r="AE196" s="692">
        <f t="shared" si="87"/>
        <v>0</v>
      </c>
      <c r="AF196" s="692">
        <f t="shared" si="88"/>
        <v>0</v>
      </c>
      <c r="AG196" s="38"/>
      <c r="AH196" s="692">
        <f t="shared" si="90"/>
        <v>0</v>
      </c>
      <c r="AI196" s="692">
        <f t="shared" si="91"/>
        <v>0</v>
      </c>
      <c r="AJ196" s="692">
        <f t="shared" si="92"/>
        <v>0</v>
      </c>
      <c r="AL196" s="38">
        <f t="shared" si="89"/>
        <v>0</v>
      </c>
      <c r="AM196" s="68" t="s">
        <v>394</v>
      </c>
    </row>
    <row r="197" spans="1:39">
      <c r="A197" s="20"/>
      <c r="B197" s="20" t="s">
        <v>110</v>
      </c>
      <c r="C197" s="667"/>
      <c r="D197" s="68" t="s">
        <v>55</v>
      </c>
      <c r="E197" s="679">
        <v>1124.3599999999999</v>
      </c>
      <c r="F197" s="529">
        <f>VLOOKUP(D197,'Sept13 Revenue'!D:V,19,FALSE)</f>
        <v>452.25</v>
      </c>
      <c r="G197" s="680"/>
      <c r="H197" s="680"/>
      <c r="I197" s="770">
        <v>523.19000000000005</v>
      </c>
      <c r="J197" s="682">
        <f t="shared" si="85"/>
        <v>2099.8000000000002</v>
      </c>
      <c r="K197" s="683"/>
      <c r="L197" s="684"/>
      <c r="M197" s="753"/>
      <c r="N197" s="683">
        <v>0</v>
      </c>
      <c r="O197" s="686"/>
      <c r="P197" s="683">
        <v>0</v>
      </c>
      <c r="Q197" s="687">
        <f t="shared" si="83"/>
        <v>0</v>
      </c>
      <c r="R197" s="687"/>
      <c r="S197" s="687"/>
      <c r="T197" s="688">
        <v>0</v>
      </c>
      <c r="U197" s="693"/>
      <c r="V197" s="690">
        <f t="shared" si="84"/>
        <v>0</v>
      </c>
      <c r="W197" s="683"/>
      <c r="X197" s="474">
        <f t="shared" si="93"/>
        <v>0</v>
      </c>
      <c r="Y197" s="474">
        <f t="shared" si="94"/>
        <v>0</v>
      </c>
      <c r="Z197" s="475">
        <f t="shared" si="95"/>
        <v>0</v>
      </c>
      <c r="AA197" s="475">
        <v>0</v>
      </c>
      <c r="AB197" s="476">
        <v>0</v>
      </c>
      <c r="AC197" s="38">
        <f t="shared" si="96"/>
        <v>0</v>
      </c>
      <c r="AD197" s="692">
        <f t="shared" si="86"/>
        <v>2099.8000000000002</v>
      </c>
      <c r="AE197" s="692">
        <f t="shared" si="87"/>
        <v>0</v>
      </c>
      <c r="AF197" s="692">
        <f t="shared" si="88"/>
        <v>0</v>
      </c>
      <c r="AG197" s="38"/>
      <c r="AH197" s="692">
        <f t="shared" si="90"/>
        <v>0</v>
      </c>
      <c r="AI197" s="692">
        <f t="shared" si="91"/>
        <v>0</v>
      </c>
      <c r="AJ197" s="692">
        <f t="shared" si="92"/>
        <v>0</v>
      </c>
      <c r="AL197" s="38">
        <f t="shared" si="89"/>
        <v>2099.8000000000002</v>
      </c>
      <c r="AM197" s="68" t="s">
        <v>55</v>
      </c>
    </row>
    <row r="198" spans="1:39">
      <c r="A198" s="20"/>
      <c r="B198" s="20" t="s">
        <v>110</v>
      </c>
      <c r="C198" s="676" t="s">
        <v>854</v>
      </c>
      <c r="D198" s="68" t="s">
        <v>855</v>
      </c>
      <c r="E198" s="679"/>
      <c r="F198" s="529">
        <f>VLOOKUP(D198,'Sept13 Revenue'!D:V,19,FALSE)</f>
        <v>747.8</v>
      </c>
      <c r="G198" s="680"/>
      <c r="H198" s="680"/>
      <c r="I198" s="755"/>
      <c r="J198" s="682">
        <f t="shared" si="85"/>
        <v>747.8</v>
      </c>
      <c r="K198" s="683"/>
      <c r="L198" s="684"/>
      <c r="M198" s="753"/>
      <c r="N198" s="683">
        <v>0</v>
      </c>
      <c r="O198" s="686"/>
      <c r="P198" s="683">
        <v>0</v>
      </c>
      <c r="Q198" s="687">
        <f t="shared" si="83"/>
        <v>0</v>
      </c>
      <c r="R198" s="687"/>
      <c r="S198" s="687"/>
      <c r="T198" s="688">
        <v>0</v>
      </c>
      <c r="U198" s="693"/>
      <c r="V198" s="690">
        <f t="shared" si="84"/>
        <v>0</v>
      </c>
      <c r="W198" s="683"/>
      <c r="X198" s="474">
        <f t="shared" si="93"/>
        <v>0</v>
      </c>
      <c r="Y198" s="474">
        <f t="shared" si="94"/>
        <v>0</v>
      </c>
      <c r="Z198" s="475">
        <f t="shared" si="95"/>
        <v>0</v>
      </c>
      <c r="AA198" s="475">
        <v>0</v>
      </c>
      <c r="AB198" s="476">
        <v>0</v>
      </c>
      <c r="AC198" s="38">
        <f t="shared" si="96"/>
        <v>0</v>
      </c>
      <c r="AD198" s="692">
        <f t="shared" si="86"/>
        <v>747.8</v>
      </c>
      <c r="AE198" s="692">
        <f t="shared" si="87"/>
        <v>0</v>
      </c>
      <c r="AF198" s="692">
        <f t="shared" si="88"/>
        <v>0</v>
      </c>
      <c r="AG198" s="38"/>
      <c r="AH198" s="692">
        <f t="shared" si="90"/>
        <v>0</v>
      </c>
      <c r="AI198" s="692">
        <f t="shared" si="91"/>
        <v>0</v>
      </c>
      <c r="AJ198" s="692">
        <f t="shared" si="92"/>
        <v>0</v>
      </c>
      <c r="AL198" s="38">
        <f t="shared" si="89"/>
        <v>747.8</v>
      </c>
      <c r="AM198" s="68" t="s">
        <v>855</v>
      </c>
    </row>
    <row r="199" spans="1:39">
      <c r="A199" s="20"/>
      <c r="B199" s="20" t="s">
        <v>109</v>
      </c>
      <c r="C199" s="667" t="s">
        <v>577</v>
      </c>
      <c r="D199" s="68" t="s">
        <v>159</v>
      </c>
      <c r="E199" s="679">
        <v>13205.58</v>
      </c>
      <c r="F199" s="529">
        <f>VLOOKUP(D199,'Sept13 Revenue'!D:V,19,FALSE)</f>
        <v>0</v>
      </c>
      <c r="G199" s="680"/>
      <c r="H199" s="680"/>
      <c r="I199" s="755"/>
      <c r="J199" s="682">
        <f t="shared" si="85"/>
        <v>13205.58</v>
      </c>
      <c r="K199" s="683"/>
      <c r="L199" s="684"/>
      <c r="M199" s="753">
        <v>10000</v>
      </c>
      <c r="N199" s="683">
        <v>0</v>
      </c>
      <c r="O199" s="686"/>
      <c r="P199" s="683">
        <v>0</v>
      </c>
      <c r="Q199" s="687">
        <f t="shared" si="83"/>
        <v>10000</v>
      </c>
      <c r="R199" s="687"/>
      <c r="S199" s="687"/>
      <c r="T199" s="688">
        <v>13205.58</v>
      </c>
      <c r="U199" s="693"/>
      <c r="V199" s="690">
        <f t="shared" si="84"/>
        <v>3205.58</v>
      </c>
      <c r="W199" s="683"/>
      <c r="X199" s="474">
        <f t="shared" si="93"/>
        <v>0</v>
      </c>
      <c r="Y199" s="474">
        <f t="shared" si="94"/>
        <v>10000</v>
      </c>
      <c r="Z199" s="475">
        <f t="shared" si="95"/>
        <v>0</v>
      </c>
      <c r="AA199" s="475">
        <v>0</v>
      </c>
      <c r="AB199" s="476">
        <v>0</v>
      </c>
      <c r="AC199" s="38">
        <f t="shared" si="96"/>
        <v>0</v>
      </c>
      <c r="AD199" s="692">
        <f t="shared" si="86"/>
        <v>0</v>
      </c>
      <c r="AE199" s="692">
        <f t="shared" si="87"/>
        <v>13205.58</v>
      </c>
      <c r="AF199" s="692">
        <f t="shared" si="88"/>
        <v>0</v>
      </c>
      <c r="AG199" s="38"/>
      <c r="AH199" s="692">
        <f t="shared" si="90"/>
        <v>0</v>
      </c>
      <c r="AI199" s="692">
        <f t="shared" si="91"/>
        <v>10000</v>
      </c>
      <c r="AJ199" s="692">
        <f t="shared" si="92"/>
        <v>0</v>
      </c>
      <c r="AL199" s="38">
        <f t="shared" si="89"/>
        <v>23205.58</v>
      </c>
      <c r="AM199" s="68" t="s">
        <v>159</v>
      </c>
    </row>
    <row r="200" spans="1:39">
      <c r="A200" s="20"/>
      <c r="B200" s="20" t="s">
        <v>109</v>
      </c>
      <c r="C200" s="667" t="s">
        <v>577</v>
      </c>
      <c r="D200" s="68" t="s">
        <v>160</v>
      </c>
      <c r="E200" s="679">
        <v>10138.39</v>
      </c>
      <c r="F200" s="529">
        <f>VLOOKUP(D200,'Sept13 Revenue'!D:V,19,FALSE)</f>
        <v>-363.20000000000073</v>
      </c>
      <c r="G200" s="680"/>
      <c r="H200" s="680"/>
      <c r="I200" s="755"/>
      <c r="J200" s="682">
        <f t="shared" si="85"/>
        <v>9775.1899999999987</v>
      </c>
      <c r="K200" s="683"/>
      <c r="L200" s="684"/>
      <c r="M200" s="753">
        <v>15000</v>
      </c>
      <c r="N200" s="683">
        <v>0</v>
      </c>
      <c r="O200" s="686"/>
      <c r="P200" s="683">
        <v>0</v>
      </c>
      <c r="Q200" s="687">
        <f t="shared" si="83"/>
        <v>15000</v>
      </c>
      <c r="R200" s="687"/>
      <c r="S200" s="687"/>
      <c r="T200" s="688">
        <v>10138.39</v>
      </c>
      <c r="U200" s="693"/>
      <c r="V200" s="690">
        <f t="shared" si="84"/>
        <v>-4861.6100000000006</v>
      </c>
      <c r="W200" s="683"/>
      <c r="X200" s="474">
        <f t="shared" si="93"/>
        <v>0</v>
      </c>
      <c r="Y200" s="474">
        <f t="shared" si="94"/>
        <v>15000</v>
      </c>
      <c r="Z200" s="475">
        <f t="shared" si="95"/>
        <v>0</v>
      </c>
      <c r="AA200" s="475">
        <v>0</v>
      </c>
      <c r="AB200" s="476">
        <v>0</v>
      </c>
      <c r="AC200" s="38">
        <f t="shared" si="96"/>
        <v>0</v>
      </c>
      <c r="AD200" s="692">
        <f t="shared" si="86"/>
        <v>0</v>
      </c>
      <c r="AE200" s="692">
        <f t="shared" si="87"/>
        <v>9775.1899999999987</v>
      </c>
      <c r="AF200" s="692">
        <f t="shared" si="88"/>
        <v>0</v>
      </c>
      <c r="AG200" s="38"/>
      <c r="AH200" s="692">
        <f t="shared" si="90"/>
        <v>0</v>
      </c>
      <c r="AI200" s="692">
        <f t="shared" si="91"/>
        <v>15000</v>
      </c>
      <c r="AJ200" s="692">
        <f t="shared" si="92"/>
        <v>0</v>
      </c>
      <c r="AL200" s="38">
        <f t="shared" si="89"/>
        <v>24775.19</v>
      </c>
      <c r="AM200" s="68" t="s">
        <v>160</v>
      </c>
    </row>
    <row r="201" spans="1:39" hidden="1">
      <c r="A201" s="21"/>
      <c r="B201" s="21" t="s">
        <v>109</v>
      </c>
      <c r="C201" s="667" t="s">
        <v>577</v>
      </c>
      <c r="D201" s="68" t="s">
        <v>161</v>
      </c>
      <c r="E201" s="679"/>
      <c r="F201" s="529">
        <f>VLOOKUP(D201,'Sept13 Revenue'!D:V,19,FALSE)</f>
        <v>0</v>
      </c>
      <c r="G201" s="680"/>
      <c r="H201" s="680"/>
      <c r="I201" s="755"/>
      <c r="J201" s="682">
        <f t="shared" si="85"/>
        <v>0</v>
      </c>
      <c r="K201" s="683"/>
      <c r="L201" s="684"/>
      <c r="M201" s="753"/>
      <c r="N201" s="683">
        <v>0</v>
      </c>
      <c r="O201" s="686"/>
      <c r="P201" s="683">
        <v>0</v>
      </c>
      <c r="Q201" s="687">
        <f t="shared" si="83"/>
        <v>0</v>
      </c>
      <c r="R201" s="687"/>
      <c r="S201" s="687"/>
      <c r="T201" s="688">
        <v>0</v>
      </c>
      <c r="U201" s="693"/>
      <c r="V201" s="690">
        <f t="shared" si="84"/>
        <v>0</v>
      </c>
      <c r="W201" s="683"/>
      <c r="X201" s="474">
        <f t="shared" si="93"/>
        <v>0</v>
      </c>
      <c r="Y201" s="474">
        <f t="shared" si="94"/>
        <v>0</v>
      </c>
      <c r="Z201" s="475">
        <f t="shared" si="95"/>
        <v>0</v>
      </c>
      <c r="AA201" s="475">
        <v>0</v>
      </c>
      <c r="AB201" s="476">
        <v>0</v>
      </c>
      <c r="AC201" s="38">
        <f t="shared" si="96"/>
        <v>0</v>
      </c>
      <c r="AD201" s="692">
        <f t="shared" si="86"/>
        <v>0</v>
      </c>
      <c r="AE201" s="692">
        <f t="shared" si="87"/>
        <v>0</v>
      </c>
      <c r="AF201" s="692">
        <f t="shared" si="88"/>
        <v>0</v>
      </c>
      <c r="AG201" s="38"/>
      <c r="AH201" s="692">
        <f t="shared" si="90"/>
        <v>0</v>
      </c>
      <c r="AI201" s="692">
        <f t="shared" si="91"/>
        <v>0</v>
      </c>
      <c r="AJ201" s="692">
        <f t="shared" si="92"/>
        <v>0</v>
      </c>
      <c r="AL201" s="38">
        <f t="shared" si="89"/>
        <v>0</v>
      </c>
      <c r="AM201" s="68" t="s">
        <v>161</v>
      </c>
    </row>
    <row r="202" spans="1:39" hidden="1">
      <c r="A202" s="21"/>
      <c r="B202" s="21" t="s">
        <v>109</v>
      </c>
      <c r="C202" s="667" t="s">
        <v>577</v>
      </c>
      <c r="D202" s="68" t="s">
        <v>162</v>
      </c>
      <c r="E202" s="679"/>
      <c r="F202" s="529">
        <f>VLOOKUP(D202,'Sept13 Revenue'!D:V,19,FALSE)</f>
        <v>0</v>
      </c>
      <c r="G202" s="680"/>
      <c r="H202" s="680"/>
      <c r="I202" s="755"/>
      <c r="J202" s="682">
        <f t="shared" si="85"/>
        <v>0</v>
      </c>
      <c r="K202" s="683"/>
      <c r="L202" s="684"/>
      <c r="M202" s="753"/>
      <c r="N202" s="683">
        <v>0</v>
      </c>
      <c r="O202" s="686"/>
      <c r="P202" s="683">
        <v>0</v>
      </c>
      <c r="Q202" s="687">
        <f t="shared" si="83"/>
        <v>0</v>
      </c>
      <c r="R202" s="687"/>
      <c r="S202" s="687"/>
      <c r="T202" s="688">
        <v>0</v>
      </c>
      <c r="U202" s="693"/>
      <c r="V202" s="690">
        <f t="shared" si="84"/>
        <v>0</v>
      </c>
      <c r="W202" s="683"/>
      <c r="X202" s="474">
        <f t="shared" si="93"/>
        <v>0</v>
      </c>
      <c r="Y202" s="474">
        <f t="shared" si="94"/>
        <v>0</v>
      </c>
      <c r="Z202" s="475">
        <f t="shared" si="95"/>
        <v>0</v>
      </c>
      <c r="AA202" s="475">
        <v>0</v>
      </c>
      <c r="AB202" s="476">
        <v>0</v>
      </c>
      <c r="AC202" s="38">
        <f t="shared" si="96"/>
        <v>0</v>
      </c>
      <c r="AD202" s="692">
        <f t="shared" si="86"/>
        <v>0</v>
      </c>
      <c r="AE202" s="692">
        <f t="shared" si="87"/>
        <v>0</v>
      </c>
      <c r="AF202" s="692">
        <f t="shared" si="88"/>
        <v>0</v>
      </c>
      <c r="AG202" s="38"/>
      <c r="AH202" s="692">
        <f t="shared" si="90"/>
        <v>0</v>
      </c>
      <c r="AI202" s="692">
        <f t="shared" si="91"/>
        <v>0</v>
      </c>
      <c r="AJ202" s="692">
        <f t="shared" si="92"/>
        <v>0</v>
      </c>
      <c r="AL202" s="38">
        <f t="shared" si="89"/>
        <v>0</v>
      </c>
      <c r="AM202" s="68" t="s">
        <v>162</v>
      </c>
    </row>
    <row r="203" spans="1:39">
      <c r="A203" s="21"/>
      <c r="B203" s="21" t="s">
        <v>109</v>
      </c>
      <c r="C203" s="666"/>
      <c r="D203" s="68" t="s">
        <v>163</v>
      </c>
      <c r="E203" s="679"/>
      <c r="F203" s="529">
        <f>VLOOKUP(D203,'Sept13 Revenue'!D:V,19,FALSE)</f>
        <v>3737.61</v>
      </c>
      <c r="G203" s="680"/>
      <c r="H203" s="680"/>
      <c r="I203" s="755"/>
      <c r="J203" s="682">
        <f t="shared" si="85"/>
        <v>3737.61</v>
      </c>
      <c r="K203" s="683"/>
      <c r="L203" s="684"/>
      <c r="M203" s="753"/>
      <c r="N203" s="683">
        <v>0</v>
      </c>
      <c r="O203" s="686"/>
      <c r="P203" s="683">
        <v>0</v>
      </c>
      <c r="Q203" s="687">
        <f t="shared" si="83"/>
        <v>0</v>
      </c>
      <c r="R203" s="687"/>
      <c r="S203" s="687"/>
      <c r="T203" s="688">
        <v>3465.43</v>
      </c>
      <c r="U203" s="704"/>
      <c r="V203" s="690">
        <f t="shared" si="84"/>
        <v>3465.43</v>
      </c>
      <c r="W203" s="705"/>
      <c r="X203" s="474">
        <f t="shared" si="93"/>
        <v>0</v>
      </c>
      <c r="Y203" s="474">
        <f t="shared" si="94"/>
        <v>0</v>
      </c>
      <c r="Z203" s="475">
        <f t="shared" si="95"/>
        <v>0</v>
      </c>
      <c r="AA203" s="475">
        <v>0</v>
      </c>
      <c r="AB203" s="476">
        <v>0</v>
      </c>
      <c r="AC203" s="38">
        <f t="shared" si="96"/>
        <v>0</v>
      </c>
      <c r="AD203" s="692">
        <f t="shared" si="86"/>
        <v>0</v>
      </c>
      <c r="AE203" s="692">
        <f t="shared" si="87"/>
        <v>3737.61</v>
      </c>
      <c r="AF203" s="692">
        <f t="shared" si="88"/>
        <v>0</v>
      </c>
      <c r="AG203" s="38"/>
      <c r="AH203" s="692">
        <f t="shared" si="90"/>
        <v>0</v>
      </c>
      <c r="AI203" s="692">
        <f t="shared" si="91"/>
        <v>0</v>
      </c>
      <c r="AJ203" s="692">
        <f t="shared" si="92"/>
        <v>0</v>
      </c>
      <c r="AL203" s="38">
        <f t="shared" si="89"/>
        <v>3737.61</v>
      </c>
      <c r="AM203" s="68" t="s">
        <v>163</v>
      </c>
    </row>
    <row r="204" spans="1:39">
      <c r="A204" s="21"/>
      <c r="B204" s="21" t="s">
        <v>109</v>
      </c>
      <c r="C204" s="666"/>
      <c r="D204" s="412" t="s">
        <v>164</v>
      </c>
      <c r="E204" s="679"/>
      <c r="F204" s="529">
        <f>VLOOKUP(D204,'Sept13 Revenue'!D:V,19,FALSE)</f>
        <v>0</v>
      </c>
      <c r="G204" s="680"/>
      <c r="H204" s="680"/>
      <c r="I204" s="755"/>
      <c r="J204" s="682">
        <f t="shared" si="85"/>
        <v>0</v>
      </c>
      <c r="K204" s="683"/>
      <c r="L204" s="684"/>
      <c r="M204" s="753"/>
      <c r="N204" s="683">
        <v>0</v>
      </c>
      <c r="O204" s="686"/>
      <c r="P204" s="683">
        <v>0</v>
      </c>
      <c r="Q204" s="687">
        <f t="shared" si="83"/>
        <v>0</v>
      </c>
      <c r="R204" s="687"/>
      <c r="S204" s="687"/>
      <c r="T204" s="688">
        <v>0</v>
      </c>
      <c r="U204" s="704"/>
      <c r="V204" s="690">
        <f t="shared" si="84"/>
        <v>0</v>
      </c>
      <c r="W204" s="705"/>
      <c r="X204" s="474">
        <f t="shared" si="93"/>
        <v>0</v>
      </c>
      <c r="Y204" s="474">
        <f t="shared" si="94"/>
        <v>0</v>
      </c>
      <c r="Z204" s="475">
        <f t="shared" si="95"/>
        <v>0</v>
      </c>
      <c r="AA204" s="475">
        <v>0</v>
      </c>
      <c r="AB204" s="476">
        <v>0</v>
      </c>
      <c r="AC204" s="38">
        <f t="shared" si="96"/>
        <v>0</v>
      </c>
      <c r="AD204" s="692">
        <f t="shared" si="86"/>
        <v>0</v>
      </c>
      <c r="AE204" s="692">
        <f t="shared" si="87"/>
        <v>0</v>
      </c>
      <c r="AF204" s="692">
        <f t="shared" si="88"/>
        <v>0</v>
      </c>
      <c r="AG204" s="38"/>
      <c r="AH204" s="692">
        <f t="shared" si="90"/>
        <v>0</v>
      </c>
      <c r="AI204" s="692">
        <f t="shared" si="91"/>
        <v>0</v>
      </c>
      <c r="AJ204" s="692">
        <f t="shared" si="92"/>
        <v>0</v>
      </c>
      <c r="AL204" s="38">
        <f t="shared" si="89"/>
        <v>0</v>
      </c>
      <c r="AM204" s="412" t="s">
        <v>164</v>
      </c>
    </row>
    <row r="205" spans="1:39">
      <c r="A205" s="21" t="s">
        <v>109</v>
      </c>
      <c r="B205" s="21" t="s">
        <v>114</v>
      </c>
      <c r="C205" s="666" t="s">
        <v>578</v>
      </c>
      <c r="D205" s="412" t="s">
        <v>318</v>
      </c>
      <c r="E205" s="679"/>
      <c r="F205" s="529">
        <f>VLOOKUP(D205,'Sept13 Revenue'!D:V,19,FALSE)</f>
        <v>-18892.419999999998</v>
      </c>
      <c r="G205" s="680"/>
      <c r="H205" s="680"/>
      <c r="I205" s="755"/>
      <c r="J205" s="682">
        <f t="shared" si="85"/>
        <v>-18892.419999999998</v>
      </c>
      <c r="K205" s="683"/>
      <c r="L205" s="684"/>
      <c r="M205" s="753">
        <v>120000</v>
      </c>
      <c r="N205" s="683">
        <v>0</v>
      </c>
      <c r="O205" s="686"/>
      <c r="P205" s="683">
        <v>0</v>
      </c>
      <c r="Q205" s="687">
        <f t="shared" si="83"/>
        <v>120000</v>
      </c>
      <c r="R205" s="687"/>
      <c r="S205" s="687"/>
      <c r="T205" s="688">
        <v>0</v>
      </c>
      <c r="U205" s="704"/>
      <c r="V205" s="690">
        <f t="shared" si="84"/>
        <v>-120000</v>
      </c>
      <c r="W205" s="683"/>
      <c r="X205" s="474">
        <f t="shared" si="93"/>
        <v>0</v>
      </c>
      <c r="Y205" s="474">
        <f t="shared" si="94"/>
        <v>0</v>
      </c>
      <c r="Z205" s="475">
        <f t="shared" si="95"/>
        <v>120000</v>
      </c>
      <c r="AA205" s="475">
        <v>0</v>
      </c>
      <c r="AB205" s="476">
        <v>0</v>
      </c>
      <c r="AC205" s="38">
        <f t="shared" si="96"/>
        <v>0</v>
      </c>
      <c r="AD205" s="692">
        <f t="shared" si="86"/>
        <v>0</v>
      </c>
      <c r="AE205" s="692">
        <f t="shared" si="87"/>
        <v>0</v>
      </c>
      <c r="AF205" s="692">
        <f t="shared" si="88"/>
        <v>-18892.419999999998</v>
      </c>
      <c r="AG205" s="38"/>
      <c r="AH205" s="692">
        <f t="shared" si="90"/>
        <v>0</v>
      </c>
      <c r="AI205" s="692">
        <f t="shared" si="91"/>
        <v>0</v>
      </c>
      <c r="AJ205" s="692">
        <f t="shared" si="92"/>
        <v>120000</v>
      </c>
      <c r="AL205" s="38">
        <f t="shared" si="89"/>
        <v>101107.58</v>
      </c>
      <c r="AM205" s="412" t="s">
        <v>318</v>
      </c>
    </row>
    <row r="206" spans="1:39">
      <c r="A206" s="20" t="s">
        <v>211</v>
      </c>
      <c r="B206" s="20" t="s">
        <v>109</v>
      </c>
      <c r="C206" s="667"/>
      <c r="D206" s="68" t="s">
        <v>57</v>
      </c>
      <c r="E206" s="679"/>
      <c r="F206" s="529">
        <f>VLOOKUP(D206,'Sept13 Revenue'!D:V,19,FALSE)</f>
        <v>0</v>
      </c>
      <c r="G206" s="680"/>
      <c r="H206" s="680"/>
      <c r="I206" s="755"/>
      <c r="J206" s="682">
        <f t="shared" si="85"/>
        <v>0</v>
      </c>
      <c r="K206" s="683"/>
      <c r="L206" s="684"/>
      <c r="M206" s="753"/>
      <c r="N206" s="683">
        <v>0</v>
      </c>
      <c r="O206" s="686"/>
      <c r="P206" s="683">
        <v>0</v>
      </c>
      <c r="Q206" s="687">
        <f t="shared" si="83"/>
        <v>0</v>
      </c>
      <c r="R206" s="687"/>
      <c r="S206" s="687"/>
      <c r="T206" s="688">
        <v>0</v>
      </c>
      <c r="U206" s="693"/>
      <c r="V206" s="690">
        <f t="shared" si="84"/>
        <v>0</v>
      </c>
      <c r="W206" s="683"/>
      <c r="X206" s="474">
        <f t="shared" si="93"/>
        <v>0</v>
      </c>
      <c r="Y206" s="474">
        <f t="shared" si="94"/>
        <v>0</v>
      </c>
      <c r="Z206" s="475">
        <f t="shared" si="95"/>
        <v>0</v>
      </c>
      <c r="AA206" s="475">
        <v>0</v>
      </c>
      <c r="AB206" s="476">
        <v>0</v>
      </c>
      <c r="AC206" s="38">
        <f t="shared" si="96"/>
        <v>0</v>
      </c>
      <c r="AD206" s="692">
        <f t="shared" si="86"/>
        <v>0</v>
      </c>
      <c r="AE206" s="692">
        <f t="shared" si="87"/>
        <v>0</v>
      </c>
      <c r="AF206" s="692">
        <f t="shared" si="88"/>
        <v>0</v>
      </c>
      <c r="AG206" s="38"/>
      <c r="AH206" s="692">
        <f t="shared" si="90"/>
        <v>0</v>
      </c>
      <c r="AI206" s="692">
        <f t="shared" si="91"/>
        <v>0</v>
      </c>
      <c r="AJ206" s="692">
        <f t="shared" si="92"/>
        <v>0</v>
      </c>
      <c r="AL206" s="38">
        <f t="shared" si="89"/>
        <v>0</v>
      </c>
      <c r="AM206" s="68" t="s">
        <v>57</v>
      </c>
    </row>
    <row r="207" spans="1:39">
      <c r="A207" s="20"/>
      <c r="B207" s="20" t="s">
        <v>114</v>
      </c>
      <c r="C207" s="676" t="s">
        <v>621</v>
      </c>
      <c r="D207" s="68" t="s">
        <v>622</v>
      </c>
      <c r="E207" s="679"/>
      <c r="F207" s="529">
        <f>VLOOKUP(D207,'Sept13 Revenue'!D:V,19,FALSE)</f>
        <v>0</v>
      </c>
      <c r="G207" s="680"/>
      <c r="H207" s="680"/>
      <c r="I207" s="755"/>
      <c r="J207" s="682">
        <f t="shared" si="85"/>
        <v>0</v>
      </c>
      <c r="K207" s="683"/>
      <c r="L207" s="684"/>
      <c r="M207" s="753"/>
      <c r="N207" s="683">
        <v>0</v>
      </c>
      <c r="O207" s="686"/>
      <c r="P207" s="683">
        <v>0</v>
      </c>
      <c r="Q207" s="687">
        <f t="shared" si="83"/>
        <v>0</v>
      </c>
      <c r="R207" s="687"/>
      <c r="S207" s="687"/>
      <c r="T207" s="688">
        <v>0</v>
      </c>
      <c r="U207" s="704"/>
      <c r="V207" s="690">
        <f t="shared" si="84"/>
        <v>0</v>
      </c>
      <c r="W207" s="683"/>
      <c r="X207" s="474">
        <f t="shared" si="93"/>
        <v>0</v>
      </c>
      <c r="Y207" s="474">
        <f t="shared" si="94"/>
        <v>0</v>
      </c>
      <c r="Z207" s="475">
        <f t="shared" si="95"/>
        <v>0</v>
      </c>
      <c r="AA207" s="475">
        <v>0</v>
      </c>
      <c r="AB207" s="476">
        <v>0</v>
      </c>
      <c r="AC207" s="38">
        <f t="shared" si="96"/>
        <v>0</v>
      </c>
      <c r="AD207" s="692">
        <f t="shared" si="86"/>
        <v>0</v>
      </c>
      <c r="AE207" s="692">
        <f t="shared" si="87"/>
        <v>0</v>
      </c>
      <c r="AF207" s="692">
        <f t="shared" si="88"/>
        <v>0</v>
      </c>
      <c r="AG207" s="38"/>
      <c r="AH207" s="692">
        <f t="shared" si="90"/>
        <v>0</v>
      </c>
      <c r="AI207" s="692">
        <f t="shared" si="91"/>
        <v>0</v>
      </c>
      <c r="AJ207" s="692">
        <f t="shared" si="92"/>
        <v>0</v>
      </c>
      <c r="AL207" s="38">
        <f t="shared" si="89"/>
        <v>0</v>
      </c>
      <c r="AM207" s="68" t="s">
        <v>622</v>
      </c>
    </row>
    <row r="208" spans="1:39">
      <c r="A208" s="20"/>
      <c r="B208" s="20" t="s">
        <v>110</v>
      </c>
      <c r="C208" s="667"/>
      <c r="D208" s="68" t="s">
        <v>497</v>
      </c>
      <c r="E208" s="679"/>
      <c r="F208" s="529">
        <f>VLOOKUP(D208,'Sept13 Revenue'!D:V,19,FALSE)</f>
        <v>0</v>
      </c>
      <c r="G208" s="680"/>
      <c r="H208" s="680"/>
      <c r="I208" s="755"/>
      <c r="J208" s="682">
        <f t="shared" si="85"/>
        <v>0</v>
      </c>
      <c r="K208" s="683"/>
      <c r="L208" s="684"/>
      <c r="M208" s="753"/>
      <c r="N208" s="683">
        <v>0</v>
      </c>
      <c r="O208" s="686"/>
      <c r="P208" s="683">
        <v>0</v>
      </c>
      <c r="Q208" s="687">
        <f t="shared" si="83"/>
        <v>0</v>
      </c>
      <c r="R208" s="687"/>
      <c r="S208" s="687"/>
      <c r="T208" s="688">
        <v>0</v>
      </c>
      <c r="U208" s="693"/>
      <c r="V208" s="690">
        <f t="shared" si="84"/>
        <v>0</v>
      </c>
      <c r="W208" s="683"/>
      <c r="X208" s="474">
        <f t="shared" si="93"/>
        <v>0</v>
      </c>
      <c r="Y208" s="474">
        <f t="shared" si="94"/>
        <v>0</v>
      </c>
      <c r="Z208" s="475">
        <f t="shared" si="95"/>
        <v>0</v>
      </c>
      <c r="AA208" s="475">
        <v>0</v>
      </c>
      <c r="AB208" s="476">
        <v>0</v>
      </c>
      <c r="AC208" s="38">
        <f t="shared" si="96"/>
        <v>0</v>
      </c>
      <c r="AD208" s="692">
        <f t="shared" si="86"/>
        <v>0</v>
      </c>
      <c r="AE208" s="692">
        <f t="shared" si="87"/>
        <v>0</v>
      </c>
      <c r="AF208" s="692">
        <f t="shared" si="88"/>
        <v>0</v>
      </c>
      <c r="AG208" s="38"/>
      <c r="AH208" s="692">
        <f t="shared" si="90"/>
        <v>0</v>
      </c>
      <c r="AI208" s="692">
        <f t="shared" si="91"/>
        <v>0</v>
      </c>
      <c r="AJ208" s="692">
        <f t="shared" si="92"/>
        <v>0</v>
      </c>
      <c r="AL208" s="38">
        <f t="shared" si="89"/>
        <v>0</v>
      </c>
      <c r="AM208" s="68" t="s">
        <v>497</v>
      </c>
    </row>
    <row r="209" spans="1:39">
      <c r="A209" s="20"/>
      <c r="B209" s="20" t="s">
        <v>110</v>
      </c>
      <c r="C209" s="667"/>
      <c r="D209" s="68" t="s">
        <v>509</v>
      </c>
      <c r="E209" s="679"/>
      <c r="F209" s="529">
        <f>VLOOKUP(D209,'Sept13 Revenue'!D:V,19,FALSE)</f>
        <v>-30000</v>
      </c>
      <c r="G209" s="680"/>
      <c r="H209" s="680"/>
      <c r="I209" s="755"/>
      <c r="J209" s="682">
        <f t="shared" si="85"/>
        <v>-30000</v>
      </c>
      <c r="K209" s="683"/>
      <c r="L209" s="684"/>
      <c r="M209" s="753">
        <v>30000</v>
      </c>
      <c r="N209" s="683"/>
      <c r="O209" s="686"/>
      <c r="P209" s="683"/>
      <c r="Q209" s="687">
        <f t="shared" si="83"/>
        <v>30000</v>
      </c>
      <c r="R209" s="687"/>
      <c r="S209" s="687"/>
      <c r="T209" s="688">
        <v>0</v>
      </c>
      <c r="U209" s="693"/>
      <c r="V209" s="690">
        <f t="shared" si="84"/>
        <v>-30000</v>
      </c>
      <c r="W209" s="683"/>
      <c r="X209" s="474">
        <f t="shared" si="93"/>
        <v>30000</v>
      </c>
      <c r="Y209" s="474">
        <f t="shared" si="94"/>
        <v>0</v>
      </c>
      <c r="Z209" s="475">
        <f t="shared" si="95"/>
        <v>0</v>
      </c>
      <c r="AA209" s="475">
        <v>0</v>
      </c>
      <c r="AB209" s="476">
        <v>0</v>
      </c>
      <c r="AC209" s="38">
        <f t="shared" si="96"/>
        <v>0</v>
      </c>
      <c r="AD209" s="692">
        <f t="shared" si="86"/>
        <v>-30000</v>
      </c>
      <c r="AE209" s="692">
        <f t="shared" si="87"/>
        <v>0</v>
      </c>
      <c r="AF209" s="692">
        <f t="shared" si="88"/>
        <v>0</v>
      </c>
      <c r="AG209" s="38"/>
      <c r="AH209" s="692">
        <f t="shared" si="90"/>
        <v>30000</v>
      </c>
      <c r="AI209" s="692">
        <f t="shared" si="91"/>
        <v>0</v>
      </c>
      <c r="AJ209" s="692">
        <f t="shared" si="92"/>
        <v>0</v>
      </c>
      <c r="AL209" s="38">
        <f t="shared" si="89"/>
        <v>0</v>
      </c>
      <c r="AM209" s="68" t="s">
        <v>509</v>
      </c>
    </row>
    <row r="210" spans="1:39" s="627" customFormat="1">
      <c r="A210" s="610"/>
      <c r="B210" s="610" t="s">
        <v>110</v>
      </c>
      <c r="C210" s="667" t="s">
        <v>580</v>
      </c>
      <c r="D210" s="612" t="s">
        <v>476</v>
      </c>
      <c r="E210" s="679"/>
      <c r="F210" s="529">
        <f>VLOOKUP(D210,'Sept13 Revenue'!D:V,19,FALSE)</f>
        <v>0</v>
      </c>
      <c r="G210" s="680"/>
      <c r="H210" s="680"/>
      <c r="I210" s="755"/>
      <c r="J210" s="682">
        <f t="shared" si="85"/>
        <v>0</v>
      </c>
      <c r="K210" s="683"/>
      <c r="L210" s="684"/>
      <c r="M210" s="753"/>
      <c r="N210" s="683">
        <v>0</v>
      </c>
      <c r="O210" s="686"/>
      <c r="P210" s="683">
        <v>0</v>
      </c>
      <c r="Q210" s="687">
        <f t="shared" si="83"/>
        <v>0</v>
      </c>
      <c r="R210" s="687"/>
      <c r="S210" s="687"/>
      <c r="T210" s="688">
        <v>0</v>
      </c>
      <c r="U210" s="706"/>
      <c r="V210" s="690">
        <f t="shared" si="84"/>
        <v>0</v>
      </c>
      <c r="W210" s="707"/>
      <c r="X210" s="474">
        <f t="shared" si="93"/>
        <v>0</v>
      </c>
      <c r="Y210" s="474">
        <f t="shared" si="94"/>
        <v>0</v>
      </c>
      <c r="Z210" s="475">
        <f t="shared" si="95"/>
        <v>0</v>
      </c>
      <c r="AA210" s="475">
        <v>0</v>
      </c>
      <c r="AB210" s="476">
        <v>0</v>
      </c>
      <c r="AC210" s="38">
        <f t="shared" si="96"/>
        <v>0</v>
      </c>
      <c r="AD210" s="692">
        <f t="shared" si="86"/>
        <v>0</v>
      </c>
      <c r="AE210" s="692">
        <f t="shared" si="87"/>
        <v>0</v>
      </c>
      <c r="AF210" s="692">
        <f t="shared" si="88"/>
        <v>0</v>
      </c>
      <c r="AG210" s="38"/>
      <c r="AH210" s="692">
        <f t="shared" si="90"/>
        <v>0</v>
      </c>
      <c r="AI210" s="692">
        <f t="shared" si="91"/>
        <v>0</v>
      </c>
      <c r="AJ210" s="692">
        <f t="shared" si="92"/>
        <v>0</v>
      </c>
      <c r="AL210" s="38">
        <f t="shared" si="89"/>
        <v>0</v>
      </c>
      <c r="AM210" s="612" t="s">
        <v>476</v>
      </c>
    </row>
    <row r="211" spans="1:39" s="232" customFormat="1">
      <c r="A211" s="283"/>
      <c r="B211" s="283" t="s">
        <v>114</v>
      </c>
      <c r="C211" s="667" t="s">
        <v>580</v>
      </c>
      <c r="D211" s="123" t="s">
        <v>371</v>
      </c>
      <c r="E211" s="679"/>
      <c r="F211" s="529">
        <f>VLOOKUP(D211,'Sept13 Revenue'!D:V,19,FALSE)</f>
        <v>2031.0900000000001</v>
      </c>
      <c r="G211" s="680"/>
      <c r="H211" s="680"/>
      <c r="I211" s="755"/>
      <c r="J211" s="682">
        <f t="shared" si="85"/>
        <v>2031.0900000000001</v>
      </c>
      <c r="K211" s="683"/>
      <c r="L211" s="684"/>
      <c r="M211" s="753">
        <v>12860</v>
      </c>
      <c r="N211" s="683">
        <v>0</v>
      </c>
      <c r="O211" s="686"/>
      <c r="P211" s="683">
        <v>0</v>
      </c>
      <c r="Q211" s="687">
        <f>L211+M211</f>
        <v>12860</v>
      </c>
      <c r="R211" s="687"/>
      <c r="S211" s="687"/>
      <c r="T211" s="688">
        <v>19205.22</v>
      </c>
      <c r="U211" s="693"/>
      <c r="V211" s="690">
        <f t="shared" si="84"/>
        <v>6345.2200000000012</v>
      </c>
      <c r="W211" s="683"/>
      <c r="X211" s="474">
        <f t="shared" si="93"/>
        <v>0</v>
      </c>
      <c r="Y211" s="474">
        <f t="shared" si="94"/>
        <v>0</v>
      </c>
      <c r="Z211" s="475">
        <f t="shared" si="95"/>
        <v>12860</v>
      </c>
      <c r="AA211" s="475">
        <v>0</v>
      </c>
      <c r="AB211" s="476">
        <v>0</v>
      </c>
      <c r="AC211" s="38">
        <f>(L211+M211)-(X211+Y211+Z211+AA211+AB211)</f>
        <v>0</v>
      </c>
      <c r="AD211" s="692">
        <f t="shared" si="86"/>
        <v>0</v>
      </c>
      <c r="AE211" s="692">
        <f t="shared" si="87"/>
        <v>0</v>
      </c>
      <c r="AF211" s="692">
        <f t="shared" si="88"/>
        <v>2031.0900000000001</v>
      </c>
      <c r="AG211" s="38"/>
      <c r="AH211" s="692">
        <f t="shared" si="90"/>
        <v>0</v>
      </c>
      <c r="AI211" s="692">
        <f t="shared" si="91"/>
        <v>0</v>
      </c>
      <c r="AJ211" s="692">
        <f t="shared" si="92"/>
        <v>12860</v>
      </c>
      <c r="AL211" s="38">
        <f t="shared" si="89"/>
        <v>14891.09</v>
      </c>
      <c r="AM211" s="123" t="s">
        <v>371</v>
      </c>
    </row>
    <row r="212" spans="1:39" s="232" customFormat="1">
      <c r="A212" s="283"/>
      <c r="B212" s="283" t="s">
        <v>110</v>
      </c>
      <c r="C212" s="667" t="s">
        <v>580</v>
      </c>
      <c r="D212" s="123" t="s">
        <v>422</v>
      </c>
      <c r="E212" s="679"/>
      <c r="F212" s="529">
        <f>VLOOKUP(D212,'Sept13 Revenue'!D:V,19,FALSE)</f>
        <v>0</v>
      </c>
      <c r="G212" s="680"/>
      <c r="H212" s="680"/>
      <c r="I212" s="755"/>
      <c r="J212" s="682">
        <f t="shared" si="85"/>
        <v>0</v>
      </c>
      <c r="K212" s="683"/>
      <c r="L212" s="684"/>
      <c r="M212" s="753"/>
      <c r="N212" s="683">
        <v>0</v>
      </c>
      <c r="O212" s="686"/>
      <c r="P212" s="683">
        <v>0</v>
      </c>
      <c r="Q212" s="687">
        <f t="shared" si="83"/>
        <v>0</v>
      </c>
      <c r="R212" s="687"/>
      <c r="S212" s="687"/>
      <c r="T212" s="688">
        <v>0</v>
      </c>
      <c r="U212" s="693"/>
      <c r="V212" s="690">
        <f t="shared" si="84"/>
        <v>0</v>
      </c>
      <c r="W212" s="683"/>
      <c r="X212" s="474">
        <f t="shared" si="93"/>
        <v>0</v>
      </c>
      <c r="Y212" s="474">
        <f t="shared" si="94"/>
        <v>0</v>
      </c>
      <c r="Z212" s="475">
        <f t="shared" si="95"/>
        <v>0</v>
      </c>
      <c r="AA212" s="475">
        <v>0</v>
      </c>
      <c r="AB212" s="476">
        <v>0</v>
      </c>
      <c r="AC212" s="38">
        <f t="shared" si="96"/>
        <v>0</v>
      </c>
      <c r="AD212" s="692">
        <f t="shared" si="86"/>
        <v>0</v>
      </c>
      <c r="AE212" s="692">
        <f t="shared" si="87"/>
        <v>0</v>
      </c>
      <c r="AF212" s="692">
        <f t="shared" si="88"/>
        <v>0</v>
      </c>
      <c r="AG212" s="38"/>
      <c r="AH212" s="692">
        <f t="shared" si="90"/>
        <v>0</v>
      </c>
      <c r="AI212" s="692">
        <f t="shared" si="91"/>
        <v>0</v>
      </c>
      <c r="AJ212" s="692">
        <f t="shared" si="92"/>
        <v>0</v>
      </c>
      <c r="AL212" s="38">
        <f t="shared" si="89"/>
        <v>0</v>
      </c>
      <c r="AM212" s="123" t="s">
        <v>422</v>
      </c>
    </row>
    <row r="213" spans="1:39" s="232" customFormat="1">
      <c r="A213" s="283"/>
      <c r="B213" s="283" t="s">
        <v>110</v>
      </c>
      <c r="C213" s="667" t="s">
        <v>580</v>
      </c>
      <c r="D213" s="123" t="s">
        <v>442</v>
      </c>
      <c r="E213" s="679"/>
      <c r="F213" s="529">
        <f>VLOOKUP(D213,'Sept13 Revenue'!D:V,19,FALSE)</f>
        <v>-1368.3999999999069</v>
      </c>
      <c r="G213" s="680"/>
      <c r="H213" s="680"/>
      <c r="I213" s="755"/>
      <c r="J213" s="682">
        <f t="shared" si="85"/>
        <v>-1368.3999999999069</v>
      </c>
      <c r="K213" s="683"/>
      <c r="L213" s="684"/>
      <c r="M213" s="753">
        <v>1337921</v>
      </c>
      <c r="N213" s="683">
        <v>0</v>
      </c>
      <c r="O213" s="686"/>
      <c r="P213" s="683">
        <v>0</v>
      </c>
      <c r="Q213" s="687">
        <f>L213+M213</f>
        <v>1337921</v>
      </c>
      <c r="R213" s="687"/>
      <c r="S213" s="687"/>
      <c r="T213" s="688">
        <f>670915.87+667921.14</f>
        <v>1338837.01</v>
      </c>
      <c r="U213" s="693"/>
      <c r="V213" s="690">
        <f t="shared" si="84"/>
        <v>916.01000000000931</v>
      </c>
      <c r="W213" s="683"/>
      <c r="X213" s="474">
        <f t="shared" si="93"/>
        <v>1337921</v>
      </c>
      <c r="Y213" s="474">
        <f t="shared" si="94"/>
        <v>0</v>
      </c>
      <c r="Z213" s="475">
        <f t="shared" si="95"/>
        <v>0</v>
      </c>
      <c r="AA213" s="475">
        <v>0</v>
      </c>
      <c r="AB213" s="476">
        <v>0</v>
      </c>
      <c r="AC213" s="38">
        <f>(L213+M213)-(X213+Y213+Z213+AA213+AB213)</f>
        <v>0</v>
      </c>
      <c r="AD213" s="692">
        <f t="shared" si="86"/>
        <v>-1368.3999999999069</v>
      </c>
      <c r="AE213" s="692">
        <f t="shared" si="87"/>
        <v>0</v>
      </c>
      <c r="AF213" s="692">
        <f t="shared" si="88"/>
        <v>0</v>
      </c>
      <c r="AG213" s="38"/>
      <c r="AH213" s="692">
        <f t="shared" si="90"/>
        <v>1337921</v>
      </c>
      <c r="AI213" s="692">
        <f t="shared" si="91"/>
        <v>0</v>
      </c>
      <c r="AJ213" s="692">
        <f t="shared" si="92"/>
        <v>0</v>
      </c>
      <c r="AL213" s="38">
        <f t="shared" si="89"/>
        <v>1336552.6000000001</v>
      </c>
      <c r="AM213" s="123" t="s">
        <v>442</v>
      </c>
    </row>
    <row r="214" spans="1:39" hidden="1">
      <c r="A214" s="21" t="s">
        <v>97</v>
      </c>
      <c r="B214" s="21" t="s">
        <v>109</v>
      </c>
      <c r="C214" s="666"/>
      <c r="D214" s="68" t="s">
        <v>381</v>
      </c>
      <c r="E214" s="679"/>
      <c r="F214" s="529">
        <f>VLOOKUP(D214,'Sept13 Revenue'!D:V,19,FALSE)</f>
        <v>0</v>
      </c>
      <c r="G214" s="680"/>
      <c r="H214" s="680"/>
      <c r="I214" s="755"/>
      <c r="J214" s="682">
        <f t="shared" si="85"/>
        <v>0</v>
      </c>
      <c r="K214" s="683"/>
      <c r="L214" s="684"/>
      <c r="M214" s="753"/>
      <c r="N214" s="683">
        <v>0</v>
      </c>
      <c r="O214" s="686"/>
      <c r="P214" s="683">
        <v>0</v>
      </c>
      <c r="Q214" s="687">
        <f t="shared" si="83"/>
        <v>0</v>
      </c>
      <c r="R214" s="687"/>
      <c r="S214" s="687"/>
      <c r="T214" s="688">
        <v>0</v>
      </c>
      <c r="U214" s="693"/>
      <c r="V214" s="690">
        <f t="shared" ref="V214:V220" si="110">IF(T214="","",T214-Q214)</f>
        <v>0</v>
      </c>
      <c r="W214" s="683"/>
      <c r="X214" s="474">
        <f t="shared" si="93"/>
        <v>0</v>
      </c>
      <c r="Y214" s="474">
        <f t="shared" si="94"/>
        <v>0</v>
      </c>
      <c r="Z214" s="475">
        <f t="shared" si="95"/>
        <v>0</v>
      </c>
      <c r="AA214" s="475">
        <v>0</v>
      </c>
      <c r="AB214" s="476">
        <v>0</v>
      </c>
      <c r="AC214" s="38">
        <f t="shared" si="96"/>
        <v>0</v>
      </c>
      <c r="AD214" s="692">
        <f t="shared" si="86"/>
        <v>0</v>
      </c>
      <c r="AE214" s="692">
        <f t="shared" si="87"/>
        <v>0</v>
      </c>
      <c r="AF214" s="692">
        <f t="shared" si="88"/>
        <v>0</v>
      </c>
      <c r="AG214" s="38"/>
      <c r="AH214" s="692">
        <f t="shared" si="90"/>
        <v>0</v>
      </c>
      <c r="AI214" s="692">
        <f t="shared" si="91"/>
        <v>0</v>
      </c>
      <c r="AJ214" s="692">
        <f t="shared" si="92"/>
        <v>0</v>
      </c>
      <c r="AL214" s="38">
        <f t="shared" si="89"/>
        <v>0</v>
      </c>
      <c r="AM214" s="68" t="s">
        <v>381</v>
      </c>
    </row>
    <row r="215" spans="1:39" hidden="1">
      <c r="A215" s="21" t="s">
        <v>97</v>
      </c>
      <c r="B215" s="21" t="s">
        <v>114</v>
      </c>
      <c r="C215" s="666"/>
      <c r="D215" s="68" t="s">
        <v>376</v>
      </c>
      <c r="E215" s="679"/>
      <c r="F215" s="529">
        <f>VLOOKUP(D215,'Sept13 Revenue'!D:V,19,FALSE)</f>
        <v>0</v>
      </c>
      <c r="G215" s="680"/>
      <c r="H215" s="680"/>
      <c r="I215" s="755"/>
      <c r="J215" s="682">
        <f t="shared" si="85"/>
        <v>0</v>
      </c>
      <c r="K215" s="683"/>
      <c r="L215" s="684"/>
      <c r="M215" s="753"/>
      <c r="N215" s="683">
        <v>0</v>
      </c>
      <c r="O215" s="686"/>
      <c r="P215" s="683">
        <v>0</v>
      </c>
      <c r="Q215" s="687">
        <f t="shared" ref="Q215:Q229" si="111">L215+M215</f>
        <v>0</v>
      </c>
      <c r="R215" s="687"/>
      <c r="S215" s="687"/>
      <c r="T215" s="688">
        <v>0</v>
      </c>
      <c r="U215" s="693"/>
      <c r="V215" s="690">
        <f t="shared" si="110"/>
        <v>0</v>
      </c>
      <c r="W215" s="683"/>
      <c r="X215" s="474">
        <f t="shared" si="93"/>
        <v>0</v>
      </c>
      <c r="Y215" s="474">
        <f t="shared" si="94"/>
        <v>0</v>
      </c>
      <c r="Z215" s="475">
        <f t="shared" si="95"/>
        <v>0</v>
      </c>
      <c r="AA215" s="475">
        <v>0</v>
      </c>
      <c r="AB215" s="476">
        <v>0</v>
      </c>
      <c r="AC215" s="38">
        <f t="shared" si="96"/>
        <v>0</v>
      </c>
      <c r="AD215" s="692">
        <f t="shared" si="86"/>
        <v>0</v>
      </c>
      <c r="AE215" s="692">
        <f t="shared" si="87"/>
        <v>0</v>
      </c>
      <c r="AF215" s="692">
        <f t="shared" si="88"/>
        <v>0</v>
      </c>
      <c r="AG215" s="38"/>
      <c r="AH215" s="692">
        <f t="shared" si="90"/>
        <v>0</v>
      </c>
      <c r="AI215" s="692">
        <f t="shared" si="91"/>
        <v>0</v>
      </c>
      <c r="AJ215" s="692">
        <f t="shared" si="92"/>
        <v>0</v>
      </c>
      <c r="AL215" s="38">
        <f t="shared" si="89"/>
        <v>0</v>
      </c>
      <c r="AM215" s="68" t="s">
        <v>376</v>
      </c>
    </row>
    <row r="216" spans="1:39">
      <c r="A216" s="20"/>
      <c r="B216" s="20" t="s">
        <v>110</v>
      </c>
      <c r="C216" s="667"/>
      <c r="D216" s="68" t="s">
        <v>1032</v>
      </c>
      <c r="E216" s="679"/>
      <c r="F216" s="529">
        <v>0</v>
      </c>
      <c r="G216" s="680"/>
      <c r="H216" s="680"/>
      <c r="I216" s="755"/>
      <c r="J216" s="682">
        <f t="shared" si="85"/>
        <v>0</v>
      </c>
      <c r="K216" s="683"/>
      <c r="L216" s="684"/>
      <c r="M216" s="753"/>
      <c r="N216" s="683">
        <v>0</v>
      </c>
      <c r="O216" s="686"/>
      <c r="P216" s="683">
        <v>0</v>
      </c>
      <c r="Q216" s="687">
        <f>L216+M216</f>
        <v>0</v>
      </c>
      <c r="R216" s="687"/>
      <c r="S216" s="687"/>
      <c r="T216" s="688">
        <v>0</v>
      </c>
      <c r="U216" s="693"/>
      <c r="V216" s="690">
        <f t="shared" si="110"/>
        <v>0</v>
      </c>
      <c r="W216" s="683"/>
      <c r="X216" s="474">
        <f t="shared" si="93"/>
        <v>0</v>
      </c>
      <c r="Y216" s="474">
        <f t="shared" si="94"/>
        <v>0</v>
      </c>
      <c r="Z216" s="475">
        <f t="shared" si="95"/>
        <v>0</v>
      </c>
      <c r="AA216" s="475">
        <v>0</v>
      </c>
      <c r="AB216" s="476">
        <v>0</v>
      </c>
      <c r="AC216" s="38">
        <f>(L216+M216)-(X216+Y216+Z216+AA216+AB216)</f>
        <v>0</v>
      </c>
      <c r="AD216" s="692">
        <f t="shared" si="86"/>
        <v>0</v>
      </c>
      <c r="AE216" s="692">
        <f t="shared" si="87"/>
        <v>0</v>
      </c>
      <c r="AF216" s="692">
        <f t="shared" si="88"/>
        <v>0</v>
      </c>
      <c r="AG216" s="38"/>
      <c r="AH216" s="692">
        <f t="shared" si="90"/>
        <v>0</v>
      </c>
      <c r="AI216" s="692">
        <f t="shared" si="91"/>
        <v>0</v>
      </c>
      <c r="AJ216" s="692">
        <f t="shared" si="92"/>
        <v>0</v>
      </c>
      <c r="AL216" s="38">
        <f t="shared" si="89"/>
        <v>0</v>
      </c>
      <c r="AM216" s="68" t="s">
        <v>390</v>
      </c>
    </row>
    <row r="217" spans="1:39">
      <c r="A217" s="20"/>
      <c r="B217" s="20" t="s">
        <v>110</v>
      </c>
      <c r="C217" s="667" t="s">
        <v>581</v>
      </c>
      <c r="D217" s="123" t="s">
        <v>166</v>
      </c>
      <c r="E217" s="679">
        <v>36516.949999999997</v>
      </c>
      <c r="F217" s="529">
        <f>VLOOKUP(D217,'Sept13 Revenue'!D:V,19,FALSE)</f>
        <v>0</v>
      </c>
      <c r="G217" s="680"/>
      <c r="H217" s="680"/>
      <c r="I217" s="755"/>
      <c r="J217" s="682">
        <f t="shared" si="85"/>
        <v>36516.949999999997</v>
      </c>
      <c r="K217" s="683"/>
      <c r="L217" s="684"/>
      <c r="M217" s="753"/>
      <c r="N217" s="683">
        <v>0</v>
      </c>
      <c r="O217" s="686"/>
      <c r="P217" s="683">
        <v>0</v>
      </c>
      <c r="Q217" s="687">
        <f t="shared" si="111"/>
        <v>0</v>
      </c>
      <c r="R217" s="687"/>
      <c r="S217" s="687"/>
      <c r="T217" s="688">
        <v>0</v>
      </c>
      <c r="U217" s="693"/>
      <c r="V217" s="690">
        <f t="shared" si="110"/>
        <v>0</v>
      </c>
      <c r="W217" s="683"/>
      <c r="X217" s="474">
        <f t="shared" si="93"/>
        <v>0</v>
      </c>
      <c r="Y217" s="474">
        <f t="shared" si="94"/>
        <v>0</v>
      </c>
      <c r="Z217" s="475">
        <f t="shared" si="95"/>
        <v>0</v>
      </c>
      <c r="AA217" s="475">
        <v>0</v>
      </c>
      <c r="AB217" s="476">
        <v>0</v>
      </c>
      <c r="AC217" s="38">
        <f t="shared" si="96"/>
        <v>0</v>
      </c>
      <c r="AD217" s="692">
        <f t="shared" si="86"/>
        <v>36516.949999999997</v>
      </c>
      <c r="AE217" s="692">
        <f t="shared" si="87"/>
        <v>0</v>
      </c>
      <c r="AF217" s="692">
        <f t="shared" si="88"/>
        <v>0</v>
      </c>
      <c r="AG217" s="38"/>
      <c r="AH217" s="692">
        <f t="shared" si="90"/>
        <v>0</v>
      </c>
      <c r="AI217" s="692">
        <f t="shared" si="91"/>
        <v>0</v>
      </c>
      <c r="AJ217" s="692">
        <f t="shared" si="92"/>
        <v>0</v>
      </c>
      <c r="AL217" s="38">
        <f t="shared" si="89"/>
        <v>36516.949999999997</v>
      </c>
      <c r="AM217" s="123" t="s">
        <v>166</v>
      </c>
    </row>
    <row r="218" spans="1:39">
      <c r="A218" s="20"/>
      <c r="B218" s="20" t="s">
        <v>109</v>
      </c>
      <c r="C218" s="667" t="s">
        <v>581</v>
      </c>
      <c r="D218" s="123" t="s">
        <v>165</v>
      </c>
      <c r="E218" s="679"/>
      <c r="F218" s="529">
        <f>VLOOKUP(D218,'Sept13 Revenue'!D:V,19,FALSE)</f>
        <v>0</v>
      </c>
      <c r="G218" s="680"/>
      <c r="H218" s="680"/>
      <c r="I218" s="755"/>
      <c r="J218" s="682">
        <f t="shared" si="85"/>
        <v>0</v>
      </c>
      <c r="K218" s="683"/>
      <c r="L218" s="684"/>
      <c r="M218" s="753"/>
      <c r="N218" s="683">
        <v>0</v>
      </c>
      <c r="O218" s="686"/>
      <c r="P218" s="683">
        <v>0</v>
      </c>
      <c r="Q218" s="687">
        <f t="shared" si="111"/>
        <v>0</v>
      </c>
      <c r="R218" s="687"/>
      <c r="S218" s="687"/>
      <c r="T218" s="688">
        <v>0</v>
      </c>
      <c r="U218" s="693"/>
      <c r="V218" s="690">
        <f t="shared" si="110"/>
        <v>0</v>
      </c>
      <c r="W218" s="683"/>
      <c r="X218" s="474">
        <f t="shared" si="93"/>
        <v>0</v>
      </c>
      <c r="Y218" s="474">
        <f t="shared" si="94"/>
        <v>0</v>
      </c>
      <c r="Z218" s="475">
        <f t="shared" si="95"/>
        <v>0</v>
      </c>
      <c r="AA218" s="475">
        <v>0</v>
      </c>
      <c r="AB218" s="476">
        <v>0</v>
      </c>
      <c r="AC218" s="38">
        <f t="shared" si="96"/>
        <v>0</v>
      </c>
      <c r="AD218" s="692">
        <f t="shared" si="86"/>
        <v>0</v>
      </c>
      <c r="AE218" s="692">
        <f t="shared" si="87"/>
        <v>0</v>
      </c>
      <c r="AF218" s="692">
        <f t="shared" si="88"/>
        <v>0</v>
      </c>
      <c r="AG218" s="38"/>
      <c r="AH218" s="692">
        <f t="shared" si="90"/>
        <v>0</v>
      </c>
      <c r="AI218" s="692">
        <f t="shared" si="91"/>
        <v>0</v>
      </c>
      <c r="AJ218" s="692">
        <f t="shared" si="92"/>
        <v>0</v>
      </c>
      <c r="AL218" s="38">
        <f t="shared" si="89"/>
        <v>0</v>
      </c>
      <c r="AM218" s="123" t="s">
        <v>165</v>
      </c>
    </row>
    <row r="219" spans="1:39" hidden="1">
      <c r="A219" s="20"/>
      <c r="B219" s="20" t="s">
        <v>109</v>
      </c>
      <c r="C219" s="667"/>
      <c r="D219" s="123" t="s">
        <v>310</v>
      </c>
      <c r="E219" s="679"/>
      <c r="F219" s="529">
        <f>VLOOKUP(D219,'Sept13 Revenue'!D:V,19,FALSE)</f>
        <v>0</v>
      </c>
      <c r="G219" s="680"/>
      <c r="H219" s="680"/>
      <c r="I219" s="755"/>
      <c r="J219" s="682">
        <f t="shared" ref="J219:J229" si="112">SUM(E219:I219)</f>
        <v>0</v>
      </c>
      <c r="K219" s="683"/>
      <c r="L219" s="684"/>
      <c r="M219" s="753"/>
      <c r="N219" s="683">
        <v>0</v>
      </c>
      <c r="O219" s="686"/>
      <c r="P219" s="683">
        <v>0</v>
      </c>
      <c r="Q219" s="687">
        <f t="shared" si="111"/>
        <v>0</v>
      </c>
      <c r="R219" s="687"/>
      <c r="S219" s="687"/>
      <c r="T219" s="688">
        <v>0</v>
      </c>
      <c r="U219" s="693"/>
      <c r="V219" s="690">
        <f t="shared" si="110"/>
        <v>0</v>
      </c>
      <c r="W219" s="683"/>
      <c r="X219" s="474">
        <f t="shared" si="93"/>
        <v>0</v>
      </c>
      <c r="Y219" s="474">
        <f t="shared" si="94"/>
        <v>0</v>
      </c>
      <c r="Z219" s="475">
        <f t="shared" si="95"/>
        <v>0</v>
      </c>
      <c r="AA219" s="475">
        <v>0</v>
      </c>
      <c r="AB219" s="476">
        <v>0</v>
      </c>
      <c r="AC219" s="38">
        <f t="shared" si="96"/>
        <v>0</v>
      </c>
      <c r="AD219" s="692">
        <f t="shared" ref="AD219:AD229" si="113">IF(B219="D",J219,0)</f>
        <v>0</v>
      </c>
      <c r="AE219" s="692">
        <f t="shared" ref="AE219:AE229" si="114">IF(B219="M",J219,0)</f>
        <v>0</v>
      </c>
      <c r="AF219" s="692">
        <f t="shared" ref="AF219:AF229" si="115">IF(B219="V",J219,0)</f>
        <v>0</v>
      </c>
      <c r="AG219" s="38"/>
      <c r="AH219" s="692">
        <f t="shared" si="90"/>
        <v>0</v>
      </c>
      <c r="AI219" s="692">
        <f t="shared" si="91"/>
        <v>0</v>
      </c>
      <c r="AJ219" s="692">
        <f t="shared" si="92"/>
        <v>0</v>
      </c>
      <c r="AL219" s="38">
        <f t="shared" ref="AL219:AL229" si="116">SUM(AD219:AJ219)</f>
        <v>0</v>
      </c>
      <c r="AM219" s="123" t="s">
        <v>310</v>
      </c>
    </row>
    <row r="220" spans="1:39" hidden="1">
      <c r="A220" s="20"/>
      <c r="B220" s="20" t="s">
        <v>109</v>
      </c>
      <c r="C220" s="667"/>
      <c r="D220" s="123" t="s">
        <v>441</v>
      </c>
      <c r="E220" s="679"/>
      <c r="F220" s="529">
        <f>VLOOKUP(D220,'Sept13 Revenue'!D:V,19,FALSE)</f>
        <v>0</v>
      </c>
      <c r="G220" s="680"/>
      <c r="H220" s="680"/>
      <c r="I220" s="755"/>
      <c r="J220" s="682">
        <f t="shared" si="112"/>
        <v>0</v>
      </c>
      <c r="K220" s="683"/>
      <c r="L220" s="684"/>
      <c r="M220" s="753"/>
      <c r="N220" s="683">
        <v>0</v>
      </c>
      <c r="O220" s="686"/>
      <c r="P220" s="683">
        <v>0</v>
      </c>
      <c r="Q220" s="687">
        <f t="shared" si="111"/>
        <v>0</v>
      </c>
      <c r="R220" s="687"/>
      <c r="S220" s="687"/>
      <c r="T220" s="688">
        <v>0</v>
      </c>
      <c r="U220" s="693"/>
      <c r="V220" s="690">
        <f t="shared" si="110"/>
        <v>0</v>
      </c>
      <c r="W220" s="683"/>
      <c r="X220" s="474">
        <f t="shared" si="93"/>
        <v>0</v>
      </c>
      <c r="Y220" s="474">
        <f t="shared" si="94"/>
        <v>0</v>
      </c>
      <c r="Z220" s="475">
        <f t="shared" si="95"/>
        <v>0</v>
      </c>
      <c r="AA220" s="475">
        <v>0</v>
      </c>
      <c r="AB220" s="476">
        <v>0</v>
      </c>
      <c r="AC220" s="38">
        <f t="shared" si="96"/>
        <v>0</v>
      </c>
      <c r="AD220" s="692">
        <f t="shared" si="113"/>
        <v>0</v>
      </c>
      <c r="AE220" s="692">
        <f t="shared" si="114"/>
        <v>0</v>
      </c>
      <c r="AF220" s="692">
        <f t="shared" si="115"/>
        <v>0</v>
      </c>
      <c r="AG220" s="38"/>
      <c r="AH220" s="692">
        <f t="shared" ref="AH220:AH229" si="117">IF(B220="D",Q220,0)</f>
        <v>0</v>
      </c>
      <c r="AI220" s="692">
        <f t="shared" ref="AI220:AI229" si="118">IF(B220="M",Q220,0)</f>
        <v>0</v>
      </c>
      <c r="AJ220" s="692">
        <f t="shared" ref="AJ220:AJ229" si="119">IF(B220="V",Q220,0)</f>
        <v>0</v>
      </c>
      <c r="AL220" s="38">
        <f t="shared" si="116"/>
        <v>0</v>
      </c>
      <c r="AM220" s="123" t="s">
        <v>441</v>
      </c>
    </row>
    <row r="221" spans="1:39">
      <c r="A221" s="20"/>
      <c r="B221" s="20" t="s">
        <v>109</v>
      </c>
      <c r="C221" s="667"/>
      <c r="D221" s="68" t="s">
        <v>121</v>
      </c>
      <c r="E221" s="679"/>
      <c r="F221" s="529">
        <f>VLOOKUP(D221,'Sept13 Revenue'!D:V,19,FALSE)</f>
        <v>0</v>
      </c>
      <c r="G221" s="680"/>
      <c r="H221" s="680"/>
      <c r="I221" s="755"/>
      <c r="J221" s="682">
        <f t="shared" si="112"/>
        <v>0</v>
      </c>
      <c r="K221" s="683"/>
      <c r="L221" s="684"/>
      <c r="M221" s="753"/>
      <c r="N221" s="683">
        <v>0</v>
      </c>
      <c r="O221" s="686"/>
      <c r="P221" s="683">
        <v>0</v>
      </c>
      <c r="Q221" s="687">
        <f t="shared" si="111"/>
        <v>0</v>
      </c>
      <c r="R221" s="687"/>
      <c r="S221" s="687"/>
      <c r="T221" s="688">
        <v>0</v>
      </c>
      <c r="U221" s="693"/>
      <c r="V221" s="690">
        <f t="shared" ref="V221:V229" si="120">IF(T221="","",T221-Q221)</f>
        <v>0</v>
      </c>
      <c r="W221" s="683"/>
      <c r="X221" s="474">
        <f t="shared" ref="X221:X229" si="121">IF(B221="D",Q221,0)</f>
        <v>0</v>
      </c>
      <c r="Y221" s="474">
        <f t="shared" ref="Y221:Y229" si="122">IF(B221="M",Q221,0)</f>
        <v>0</v>
      </c>
      <c r="Z221" s="475">
        <f t="shared" ref="Z221:Z229" si="123">IF(B221="V",Q221,0)</f>
        <v>0</v>
      </c>
      <c r="AA221" s="475">
        <v>0</v>
      </c>
      <c r="AB221" s="476">
        <v>0</v>
      </c>
      <c r="AC221" s="38">
        <f t="shared" ref="AC221:AC229" si="124">(L221+M221)-(X221+Y221+Z221+AA221+AB221)</f>
        <v>0</v>
      </c>
      <c r="AD221" s="692">
        <f t="shared" si="113"/>
        <v>0</v>
      </c>
      <c r="AE221" s="692">
        <f t="shared" si="114"/>
        <v>0</v>
      </c>
      <c r="AF221" s="692">
        <f t="shared" si="115"/>
        <v>0</v>
      </c>
      <c r="AG221" s="38"/>
      <c r="AH221" s="692">
        <f t="shared" si="117"/>
        <v>0</v>
      </c>
      <c r="AI221" s="692">
        <f t="shared" si="118"/>
        <v>0</v>
      </c>
      <c r="AJ221" s="692">
        <f t="shared" si="119"/>
        <v>0</v>
      </c>
      <c r="AL221" s="38">
        <f t="shared" si="116"/>
        <v>0</v>
      </c>
      <c r="AM221" s="68" t="s">
        <v>121</v>
      </c>
    </row>
    <row r="222" spans="1:39">
      <c r="A222" s="20"/>
      <c r="B222" s="20" t="s">
        <v>110</v>
      </c>
      <c r="C222" s="667"/>
      <c r="D222" s="68" t="s">
        <v>168</v>
      </c>
      <c r="E222" s="679"/>
      <c r="F222" s="529">
        <f>VLOOKUP(D222,'Sept13 Revenue'!D:V,19,FALSE)</f>
        <v>0</v>
      </c>
      <c r="G222" s="680"/>
      <c r="H222" s="680"/>
      <c r="I222" s="755"/>
      <c r="J222" s="682">
        <f t="shared" si="112"/>
        <v>0</v>
      </c>
      <c r="K222" s="683"/>
      <c r="L222" s="684"/>
      <c r="M222" s="753"/>
      <c r="N222" s="683">
        <v>0</v>
      </c>
      <c r="O222" s="686"/>
      <c r="P222" s="683">
        <v>0</v>
      </c>
      <c r="Q222" s="687">
        <f t="shared" si="111"/>
        <v>0</v>
      </c>
      <c r="R222" s="687"/>
      <c r="S222" s="687"/>
      <c r="T222" s="688">
        <v>0</v>
      </c>
      <c r="U222" s="693"/>
      <c r="V222" s="690">
        <f t="shared" si="120"/>
        <v>0</v>
      </c>
      <c r="W222" s="683"/>
      <c r="X222" s="474">
        <f t="shared" si="121"/>
        <v>0</v>
      </c>
      <c r="Y222" s="474">
        <f t="shared" si="122"/>
        <v>0</v>
      </c>
      <c r="Z222" s="475">
        <f t="shared" si="123"/>
        <v>0</v>
      </c>
      <c r="AA222" s="475">
        <v>0</v>
      </c>
      <c r="AB222" s="476">
        <v>0</v>
      </c>
      <c r="AC222" s="38">
        <f t="shared" si="124"/>
        <v>0</v>
      </c>
      <c r="AD222" s="692">
        <f t="shared" si="113"/>
        <v>0</v>
      </c>
      <c r="AE222" s="692">
        <f t="shared" si="114"/>
        <v>0</v>
      </c>
      <c r="AF222" s="692">
        <f t="shared" si="115"/>
        <v>0</v>
      </c>
      <c r="AG222" s="38"/>
      <c r="AH222" s="692">
        <f t="shared" si="117"/>
        <v>0</v>
      </c>
      <c r="AI222" s="692">
        <f t="shared" si="118"/>
        <v>0</v>
      </c>
      <c r="AJ222" s="692">
        <f t="shared" si="119"/>
        <v>0</v>
      </c>
      <c r="AL222" s="38">
        <f t="shared" si="116"/>
        <v>0</v>
      </c>
      <c r="AM222" s="68" t="s">
        <v>168</v>
      </c>
    </row>
    <row r="223" spans="1:39">
      <c r="A223" s="20"/>
      <c r="B223" s="20" t="s">
        <v>109</v>
      </c>
      <c r="C223" s="667" t="s">
        <v>582</v>
      </c>
      <c r="D223" s="68" t="s">
        <v>167</v>
      </c>
      <c r="E223" s="679"/>
      <c r="F223" s="529">
        <f>VLOOKUP(D223,'Sept13 Revenue'!D:V,19,FALSE)</f>
        <v>0</v>
      </c>
      <c r="G223" s="680"/>
      <c r="H223" s="680"/>
      <c r="I223" s="755"/>
      <c r="J223" s="682">
        <f t="shared" si="112"/>
        <v>0</v>
      </c>
      <c r="K223" s="683"/>
      <c r="L223" s="684"/>
      <c r="M223" s="753"/>
      <c r="N223" s="683">
        <v>0</v>
      </c>
      <c r="O223" s="686"/>
      <c r="P223" s="683">
        <v>0</v>
      </c>
      <c r="Q223" s="687">
        <f t="shared" si="111"/>
        <v>0</v>
      </c>
      <c r="R223" s="687"/>
      <c r="S223" s="687"/>
      <c r="T223" s="688">
        <v>0</v>
      </c>
      <c r="U223" s="693"/>
      <c r="V223" s="690">
        <f t="shared" si="120"/>
        <v>0</v>
      </c>
      <c r="W223" s="683"/>
      <c r="X223" s="474">
        <f t="shared" si="121"/>
        <v>0</v>
      </c>
      <c r="Y223" s="474">
        <f t="shared" si="122"/>
        <v>0</v>
      </c>
      <c r="Z223" s="475">
        <f t="shared" si="123"/>
        <v>0</v>
      </c>
      <c r="AA223" s="475">
        <v>0</v>
      </c>
      <c r="AB223" s="476">
        <v>0</v>
      </c>
      <c r="AC223" s="38">
        <f t="shared" si="124"/>
        <v>0</v>
      </c>
      <c r="AD223" s="692">
        <f t="shared" si="113"/>
        <v>0</v>
      </c>
      <c r="AE223" s="692">
        <f t="shared" si="114"/>
        <v>0</v>
      </c>
      <c r="AF223" s="692">
        <f t="shared" si="115"/>
        <v>0</v>
      </c>
      <c r="AG223" s="38"/>
      <c r="AH223" s="692">
        <f t="shared" si="117"/>
        <v>0</v>
      </c>
      <c r="AI223" s="692">
        <f t="shared" si="118"/>
        <v>0</v>
      </c>
      <c r="AJ223" s="692">
        <f t="shared" si="119"/>
        <v>0</v>
      </c>
      <c r="AL223" s="38">
        <f t="shared" si="116"/>
        <v>0</v>
      </c>
      <c r="AM223" s="68" t="s">
        <v>167</v>
      </c>
    </row>
    <row r="224" spans="1:39">
      <c r="A224" s="20" t="s">
        <v>218</v>
      </c>
      <c r="B224" s="20" t="s">
        <v>110</v>
      </c>
      <c r="C224" s="667"/>
      <c r="D224" s="68" t="s">
        <v>60</v>
      </c>
      <c r="E224" s="679"/>
      <c r="F224" s="529">
        <f>VLOOKUP(D224,'Sept13 Revenue'!D:V,19,FALSE)</f>
        <v>-10000</v>
      </c>
      <c r="G224" s="680"/>
      <c r="H224" s="680"/>
      <c r="I224" s="755"/>
      <c r="J224" s="682">
        <f t="shared" si="112"/>
        <v>-10000</v>
      </c>
      <c r="K224" s="683"/>
      <c r="L224" s="684"/>
      <c r="M224" s="753">
        <v>13000</v>
      </c>
      <c r="N224" s="683">
        <v>0</v>
      </c>
      <c r="O224" s="686"/>
      <c r="P224" s="683">
        <v>0</v>
      </c>
      <c r="Q224" s="687">
        <f t="shared" si="111"/>
        <v>13000</v>
      </c>
      <c r="R224" s="687"/>
      <c r="S224" s="687"/>
      <c r="T224" s="688">
        <v>0</v>
      </c>
      <c r="U224" s="693"/>
      <c r="V224" s="690">
        <f t="shared" si="120"/>
        <v>-13000</v>
      </c>
      <c r="W224" s="697"/>
      <c r="X224" s="474">
        <f t="shared" si="121"/>
        <v>13000</v>
      </c>
      <c r="Y224" s="474">
        <f t="shared" si="122"/>
        <v>0</v>
      </c>
      <c r="Z224" s="475">
        <f t="shared" si="123"/>
        <v>0</v>
      </c>
      <c r="AA224" s="475">
        <v>0</v>
      </c>
      <c r="AB224" s="476">
        <v>0</v>
      </c>
      <c r="AC224" s="38">
        <f t="shared" si="124"/>
        <v>0</v>
      </c>
      <c r="AD224" s="692">
        <f t="shared" si="113"/>
        <v>-10000</v>
      </c>
      <c r="AE224" s="692">
        <f t="shared" si="114"/>
        <v>0</v>
      </c>
      <c r="AF224" s="692">
        <f t="shared" si="115"/>
        <v>0</v>
      </c>
      <c r="AG224" s="38"/>
      <c r="AH224" s="692">
        <f t="shared" si="117"/>
        <v>13000</v>
      </c>
      <c r="AI224" s="692">
        <f t="shared" si="118"/>
        <v>0</v>
      </c>
      <c r="AJ224" s="692">
        <f t="shared" si="119"/>
        <v>0</v>
      </c>
      <c r="AL224" s="38">
        <f t="shared" si="116"/>
        <v>3000</v>
      </c>
      <c r="AM224" s="68" t="s">
        <v>60</v>
      </c>
    </row>
    <row r="225" spans="1:39">
      <c r="A225" s="20"/>
      <c r="B225" s="20" t="s">
        <v>110</v>
      </c>
      <c r="C225" s="667" t="s">
        <v>583</v>
      </c>
      <c r="D225" s="68" t="s">
        <v>169</v>
      </c>
      <c r="E225" s="679"/>
      <c r="F225" s="529">
        <f>VLOOKUP(D225,'Sept13 Revenue'!D:V,19,FALSE)</f>
        <v>0</v>
      </c>
      <c r="G225" s="680"/>
      <c r="H225" s="680"/>
      <c r="I225" s="755"/>
      <c r="J225" s="682">
        <f t="shared" si="112"/>
        <v>0</v>
      </c>
      <c r="K225" s="683"/>
      <c r="L225" s="684"/>
      <c r="M225" s="753"/>
      <c r="N225" s="683">
        <v>0</v>
      </c>
      <c r="O225" s="686"/>
      <c r="P225" s="683">
        <v>0</v>
      </c>
      <c r="Q225" s="687">
        <f t="shared" si="111"/>
        <v>0</v>
      </c>
      <c r="R225" s="687"/>
      <c r="S225" s="687"/>
      <c r="T225" s="688">
        <v>97.64</v>
      </c>
      <c r="U225" s="693"/>
      <c r="V225" s="690">
        <f t="shared" si="120"/>
        <v>97.64</v>
      </c>
      <c r="W225" s="683"/>
      <c r="X225" s="474">
        <f t="shared" si="121"/>
        <v>0</v>
      </c>
      <c r="Y225" s="474">
        <f t="shared" si="122"/>
        <v>0</v>
      </c>
      <c r="Z225" s="475">
        <f t="shared" si="123"/>
        <v>0</v>
      </c>
      <c r="AA225" s="475">
        <v>0</v>
      </c>
      <c r="AB225" s="476">
        <v>0</v>
      </c>
      <c r="AC225" s="38">
        <f t="shared" si="124"/>
        <v>0</v>
      </c>
      <c r="AD225" s="692">
        <f t="shared" si="113"/>
        <v>0</v>
      </c>
      <c r="AE225" s="692">
        <f t="shared" si="114"/>
        <v>0</v>
      </c>
      <c r="AF225" s="692">
        <f t="shared" si="115"/>
        <v>0</v>
      </c>
      <c r="AG225" s="38"/>
      <c r="AH225" s="692">
        <f t="shared" si="117"/>
        <v>0</v>
      </c>
      <c r="AI225" s="692">
        <f t="shared" si="118"/>
        <v>0</v>
      </c>
      <c r="AJ225" s="692">
        <f t="shared" si="119"/>
        <v>0</v>
      </c>
      <c r="AL225" s="38">
        <f t="shared" si="116"/>
        <v>0</v>
      </c>
      <c r="AM225" s="68" t="s">
        <v>169</v>
      </c>
    </row>
    <row r="226" spans="1:39">
      <c r="A226" s="21"/>
      <c r="B226" s="21" t="s">
        <v>110</v>
      </c>
      <c r="C226" s="666"/>
      <c r="D226" s="821" t="s">
        <v>981</v>
      </c>
      <c r="E226" s="679"/>
      <c r="F226" s="529">
        <f>VLOOKUP(D226,'Sept13 Revenue'!D:V,19,FALSE)</f>
        <v>0</v>
      </c>
      <c r="G226" s="680"/>
      <c r="H226" s="680"/>
      <c r="I226" s="755"/>
      <c r="J226" s="682">
        <f t="shared" si="112"/>
        <v>0</v>
      </c>
      <c r="K226" s="683"/>
      <c r="L226" s="684"/>
      <c r="M226" s="753"/>
      <c r="N226" s="683">
        <v>0</v>
      </c>
      <c r="O226" s="686"/>
      <c r="P226" s="683">
        <v>0</v>
      </c>
      <c r="Q226" s="687">
        <f t="shared" si="111"/>
        <v>0</v>
      </c>
      <c r="R226" s="687"/>
      <c r="S226" s="687"/>
      <c r="T226" s="688">
        <v>0</v>
      </c>
      <c r="U226" s="693"/>
      <c r="V226" s="690">
        <f t="shared" si="120"/>
        <v>0</v>
      </c>
      <c r="W226" s="683"/>
      <c r="X226" s="474">
        <f t="shared" si="121"/>
        <v>0</v>
      </c>
      <c r="Y226" s="474">
        <f t="shared" si="122"/>
        <v>0</v>
      </c>
      <c r="Z226" s="475">
        <f t="shared" si="123"/>
        <v>0</v>
      </c>
      <c r="AA226" s="475">
        <v>0</v>
      </c>
      <c r="AB226" s="476">
        <v>0</v>
      </c>
      <c r="AC226" s="38">
        <f t="shared" si="124"/>
        <v>0</v>
      </c>
      <c r="AD226" s="692">
        <f t="shared" si="113"/>
        <v>0</v>
      </c>
      <c r="AE226" s="692">
        <f t="shared" si="114"/>
        <v>0</v>
      </c>
      <c r="AF226" s="692">
        <f t="shared" si="115"/>
        <v>0</v>
      </c>
      <c r="AG226" s="38"/>
      <c r="AH226" s="692">
        <f t="shared" si="117"/>
        <v>0</v>
      </c>
      <c r="AI226" s="692">
        <f t="shared" si="118"/>
        <v>0</v>
      </c>
      <c r="AJ226" s="692">
        <f t="shared" si="119"/>
        <v>0</v>
      </c>
      <c r="AL226" s="38">
        <f t="shared" si="116"/>
        <v>0</v>
      </c>
      <c r="AM226" s="821" t="s">
        <v>981</v>
      </c>
    </row>
    <row r="227" spans="1:39">
      <c r="A227" s="21"/>
      <c r="B227" s="21" t="s">
        <v>114</v>
      </c>
      <c r="C227" s="666"/>
      <c r="D227" s="68" t="s">
        <v>591</v>
      </c>
      <c r="E227" s="679"/>
      <c r="F227" s="529">
        <f>VLOOKUP(D227,'Sept13 Revenue'!D:V,19,FALSE)</f>
        <v>1368.8899999999999</v>
      </c>
      <c r="G227" s="680"/>
      <c r="H227" s="680"/>
      <c r="I227" s="755"/>
      <c r="J227" s="682">
        <f t="shared" si="112"/>
        <v>1368.8899999999999</v>
      </c>
      <c r="K227" s="683"/>
      <c r="L227" s="684"/>
      <c r="M227" s="753"/>
      <c r="N227" s="683">
        <v>0</v>
      </c>
      <c r="O227" s="686"/>
      <c r="P227" s="683">
        <v>0</v>
      </c>
      <c r="Q227" s="687">
        <f t="shared" si="111"/>
        <v>0</v>
      </c>
      <c r="R227" s="687"/>
      <c r="S227" s="687"/>
      <c r="T227" s="688">
        <v>1601.86</v>
      </c>
      <c r="U227" s="693"/>
      <c r="V227" s="690">
        <f t="shared" si="120"/>
        <v>1601.86</v>
      </c>
      <c r="W227" s="683"/>
      <c r="X227" s="474">
        <f t="shared" si="121"/>
        <v>0</v>
      </c>
      <c r="Y227" s="474">
        <f t="shared" si="122"/>
        <v>0</v>
      </c>
      <c r="Z227" s="475">
        <f t="shared" si="123"/>
        <v>0</v>
      </c>
      <c r="AA227" s="475">
        <v>0</v>
      </c>
      <c r="AB227" s="476">
        <v>0</v>
      </c>
      <c r="AC227" s="38">
        <f t="shared" si="124"/>
        <v>0</v>
      </c>
      <c r="AD227" s="692">
        <f t="shared" si="113"/>
        <v>0</v>
      </c>
      <c r="AE227" s="692">
        <f t="shared" si="114"/>
        <v>0</v>
      </c>
      <c r="AF227" s="692">
        <f t="shared" si="115"/>
        <v>1368.8899999999999</v>
      </c>
      <c r="AG227" s="38"/>
      <c r="AH227" s="692">
        <f t="shared" si="117"/>
        <v>0</v>
      </c>
      <c r="AI227" s="692">
        <f t="shared" si="118"/>
        <v>0</v>
      </c>
      <c r="AJ227" s="692">
        <f t="shared" si="119"/>
        <v>0</v>
      </c>
      <c r="AL227" s="38">
        <f t="shared" si="116"/>
        <v>1368.8899999999999</v>
      </c>
      <c r="AM227" s="68" t="s">
        <v>591</v>
      </c>
    </row>
    <row r="228" spans="1:39">
      <c r="A228" s="21"/>
      <c r="B228" s="21" t="s">
        <v>114</v>
      </c>
      <c r="C228" s="672"/>
      <c r="D228" s="519" t="s">
        <v>433</v>
      </c>
      <c r="E228" s="679"/>
      <c r="F228" s="529">
        <f>VLOOKUP(D228,'Sept13 Revenue'!D:V,19,FALSE)</f>
        <v>0</v>
      </c>
      <c r="G228" s="680"/>
      <c r="H228" s="680"/>
      <c r="I228" s="755"/>
      <c r="J228" s="682">
        <f t="shared" si="112"/>
        <v>0</v>
      </c>
      <c r="K228" s="683"/>
      <c r="L228" s="684"/>
      <c r="M228" s="753"/>
      <c r="N228" s="683">
        <v>0</v>
      </c>
      <c r="O228" s="686"/>
      <c r="P228" s="683">
        <v>0</v>
      </c>
      <c r="Q228" s="687">
        <f t="shared" si="111"/>
        <v>0</v>
      </c>
      <c r="R228" s="687"/>
      <c r="S228" s="687"/>
      <c r="T228" s="688">
        <v>0</v>
      </c>
      <c r="U228" s="693"/>
      <c r="V228" s="690">
        <f t="shared" si="120"/>
        <v>0</v>
      </c>
      <c r="W228" s="683"/>
      <c r="X228" s="474">
        <f t="shared" si="121"/>
        <v>0</v>
      </c>
      <c r="Y228" s="474">
        <f t="shared" si="122"/>
        <v>0</v>
      </c>
      <c r="Z228" s="475">
        <f t="shared" si="123"/>
        <v>0</v>
      </c>
      <c r="AA228" s="475">
        <v>0</v>
      </c>
      <c r="AB228" s="476">
        <v>0</v>
      </c>
      <c r="AC228" s="38">
        <f t="shared" si="124"/>
        <v>0</v>
      </c>
      <c r="AD228" s="692">
        <f t="shared" si="113"/>
        <v>0</v>
      </c>
      <c r="AE228" s="692">
        <f t="shared" si="114"/>
        <v>0</v>
      </c>
      <c r="AF228" s="692">
        <f t="shared" si="115"/>
        <v>0</v>
      </c>
      <c r="AG228" s="38"/>
      <c r="AH228" s="692">
        <f t="shared" si="117"/>
        <v>0</v>
      </c>
      <c r="AI228" s="692">
        <f t="shared" si="118"/>
        <v>0</v>
      </c>
      <c r="AJ228" s="692">
        <f t="shared" si="119"/>
        <v>0</v>
      </c>
      <c r="AL228" s="38">
        <f t="shared" si="116"/>
        <v>0</v>
      </c>
      <c r="AM228" s="519" t="s">
        <v>433</v>
      </c>
    </row>
    <row r="229" spans="1:39" s="146" customFormat="1" ht="13" thickBot="1">
      <c r="A229" s="21"/>
      <c r="B229" s="21" t="s">
        <v>110</v>
      </c>
      <c r="C229" s="666"/>
      <c r="D229" s="68" t="s">
        <v>1020</v>
      </c>
      <c r="E229" s="679"/>
      <c r="F229" s="529">
        <v>0</v>
      </c>
      <c r="G229" s="680"/>
      <c r="H229" s="680"/>
      <c r="I229" s="755">
        <v>173207</v>
      </c>
      <c r="J229" s="682">
        <f t="shared" si="112"/>
        <v>173207</v>
      </c>
      <c r="K229" s="683"/>
      <c r="L229" s="684"/>
      <c r="M229" s="753"/>
      <c r="N229" s="683">
        <v>0</v>
      </c>
      <c r="O229" s="686"/>
      <c r="P229" s="683">
        <v>0</v>
      </c>
      <c r="Q229" s="687">
        <f t="shared" si="111"/>
        <v>0</v>
      </c>
      <c r="R229" s="687"/>
      <c r="S229" s="687"/>
      <c r="T229" s="688">
        <v>0</v>
      </c>
      <c r="U229" s="693"/>
      <c r="V229" s="690">
        <f t="shared" si="120"/>
        <v>0</v>
      </c>
      <c r="W229" s="683"/>
      <c r="X229" s="474">
        <f t="shared" si="121"/>
        <v>0</v>
      </c>
      <c r="Y229" s="474">
        <f t="shared" si="122"/>
        <v>0</v>
      </c>
      <c r="Z229" s="475">
        <f t="shared" si="123"/>
        <v>0</v>
      </c>
      <c r="AA229" s="475">
        <v>0</v>
      </c>
      <c r="AB229" s="476">
        <v>0</v>
      </c>
      <c r="AC229" s="38">
        <f t="shared" si="124"/>
        <v>0</v>
      </c>
      <c r="AD229" s="692">
        <f t="shared" si="113"/>
        <v>173207</v>
      </c>
      <c r="AE229" s="692">
        <f t="shared" si="114"/>
        <v>0</v>
      </c>
      <c r="AF229" s="692">
        <f t="shared" si="115"/>
        <v>0</v>
      </c>
      <c r="AG229" s="38"/>
      <c r="AH229" s="692">
        <f t="shared" si="117"/>
        <v>0</v>
      </c>
      <c r="AI229" s="692">
        <f t="shared" si="118"/>
        <v>0</v>
      </c>
      <c r="AJ229" s="692">
        <f t="shared" si="119"/>
        <v>0</v>
      </c>
      <c r="AL229" s="38">
        <f t="shared" si="116"/>
        <v>173207</v>
      </c>
      <c r="AM229" s="68" t="s">
        <v>593</v>
      </c>
    </row>
    <row r="230" spans="1:39" ht="13" thickBot="1">
      <c r="A230" s="107"/>
      <c r="B230" s="108"/>
      <c r="C230" s="673"/>
      <c r="D230" s="71" t="s">
        <v>86</v>
      </c>
      <c r="E230" s="454">
        <f t="shared" ref="E230:J230" si="125">SUM(E16:E229)</f>
        <v>843381.85</v>
      </c>
      <c r="F230" s="454">
        <f t="shared" si="125"/>
        <v>-755475.97999999986</v>
      </c>
      <c r="G230" s="454">
        <f t="shared" si="125"/>
        <v>0</v>
      </c>
      <c r="H230" s="454">
        <f t="shared" si="125"/>
        <v>0</v>
      </c>
      <c r="I230" s="454">
        <f t="shared" si="125"/>
        <v>12314917.42</v>
      </c>
      <c r="J230" s="454">
        <f t="shared" si="125"/>
        <v>12402823.289999997</v>
      </c>
      <c r="K230" s="454"/>
      <c r="L230" s="454">
        <f>SUM(L16:L229)</f>
        <v>0</v>
      </c>
      <c r="M230" s="454">
        <f>SUM(M16:M229)</f>
        <v>10553781</v>
      </c>
      <c r="N230" s="454">
        <f>SUM(N16:N229)</f>
        <v>0</v>
      </c>
      <c r="O230" s="100">
        <f>SUM(O16:O229)</f>
        <v>0</v>
      </c>
      <c r="P230" s="157">
        <f>SUM(P17:P229)</f>
        <v>0</v>
      </c>
      <c r="Q230" s="100">
        <f>SUM(Q16:Q229)</f>
        <v>10553781</v>
      </c>
      <c r="R230" s="100"/>
      <c r="S230" s="100"/>
      <c r="T230" s="100">
        <f>SUM(T16:T229)</f>
        <v>8327432.3299999991</v>
      </c>
      <c r="U230" s="708"/>
      <c r="V230" s="100">
        <f>SUM(V16:V229)</f>
        <v>-2226348.67</v>
      </c>
      <c r="W230" s="683"/>
      <c r="X230" s="314">
        <f>SUM(X16:X229)</f>
        <v>9861921</v>
      </c>
      <c r="Y230" s="314">
        <f>SUM(Y16:Y229)</f>
        <v>530000</v>
      </c>
      <c r="Z230" s="314">
        <f>SUM(Z16:Z229)</f>
        <v>161860</v>
      </c>
      <c r="AA230" s="314">
        <f>SUM(AA16:AA229)</f>
        <v>0</v>
      </c>
      <c r="AB230" s="314">
        <f>SUM(AB16:AB229)</f>
        <v>0</v>
      </c>
      <c r="AC230" s="38"/>
      <c r="AD230" s="314">
        <f>SUM(AD16:AD229)</f>
        <v>11956010.34</v>
      </c>
      <c r="AE230" s="314">
        <f>SUM(AE16:AE229)</f>
        <v>426730.07000000007</v>
      </c>
      <c r="AF230" s="314">
        <f>SUM(AF16:AF229)</f>
        <v>20082.88</v>
      </c>
      <c r="AG230" s="38"/>
      <c r="AH230" s="314">
        <f>SUM(AH16:AH229)</f>
        <v>9861921</v>
      </c>
      <c r="AI230" s="314">
        <f>SUM(AI16:AI229)</f>
        <v>530000</v>
      </c>
      <c r="AJ230" s="314">
        <f>SUM(AJ16:AJ229)</f>
        <v>161860</v>
      </c>
    </row>
    <row r="231" spans="1:39" ht="13" thickBot="1">
      <c r="A231" s="65"/>
      <c r="B231" s="65"/>
      <c r="C231" s="674"/>
      <c r="D231" s="141"/>
      <c r="E231" s="709" t="s">
        <v>293</v>
      </c>
      <c r="F231" s="160">
        <f>F230+E230</f>
        <v>87905.870000000112</v>
      </c>
      <c r="G231" s="153"/>
      <c r="H231" s="153" t="s">
        <v>225</v>
      </c>
      <c r="I231" s="153">
        <f>I230+H230+G230</f>
        <v>12314917.42</v>
      </c>
      <c r="J231" s="323"/>
      <c r="K231" s="153"/>
      <c r="L231" s="153" t="s">
        <v>296</v>
      </c>
      <c r="M231" s="100">
        <f>M230+L230</f>
        <v>10553781</v>
      </c>
      <c r="N231" s="153"/>
      <c r="O231" s="641"/>
      <c r="P231" s="153"/>
      <c r="Q231" s="153"/>
      <c r="R231" s="153"/>
      <c r="S231" s="153"/>
      <c r="T231" s="153"/>
      <c r="U231" s="153"/>
      <c r="V231" s="153"/>
      <c r="W231" s="153"/>
      <c r="X231" s="139"/>
      <c r="Y231" s="139"/>
      <c r="Z231" s="139"/>
      <c r="AA231" s="139"/>
      <c r="AB231" s="104"/>
      <c r="AC231" s="38"/>
      <c r="AD231" s="711"/>
      <c r="AE231" s="711"/>
      <c r="AF231" s="711"/>
      <c r="AG231" s="38"/>
      <c r="AH231" s="38"/>
      <c r="AI231" s="38"/>
      <c r="AJ231" s="38"/>
    </row>
    <row r="232" spans="1:39" ht="13" thickBot="1">
      <c r="A232" s="65"/>
      <c r="B232" s="65"/>
      <c r="C232" s="674"/>
      <c r="E232" s="159"/>
      <c r="F232" s="153"/>
      <c r="G232" s="153"/>
      <c r="H232" s="153"/>
      <c r="I232" s="153"/>
      <c r="J232" s="153"/>
      <c r="K232" s="153"/>
      <c r="L232" s="153"/>
      <c r="M232" s="710"/>
      <c r="N232" s="153"/>
      <c r="O232" s="153"/>
      <c r="P232" s="153"/>
      <c r="Q232" s="153"/>
      <c r="R232" s="153"/>
      <c r="S232" s="153"/>
      <c r="T232" s="153"/>
      <c r="U232" s="153"/>
      <c r="V232" s="153"/>
      <c r="W232" s="153"/>
      <c r="X232" s="331" t="s">
        <v>345</v>
      </c>
      <c r="Y232" s="139"/>
      <c r="Z232" s="139"/>
      <c r="AA232" s="139"/>
      <c r="AB232" s="104"/>
      <c r="AC232" s="164" t="s">
        <v>633</v>
      </c>
      <c r="AD232" s="798"/>
      <c r="AE232" s="798"/>
      <c r="AF232" s="798"/>
      <c r="AG232" s="38"/>
      <c r="AH232" s="711"/>
      <c r="AI232" s="711"/>
      <c r="AJ232" s="711"/>
    </row>
    <row r="233" spans="1:39" ht="17" thickTop="1" thickBot="1">
      <c r="E233" s="712"/>
      <c r="F233" s="713"/>
      <c r="G233" s="714"/>
      <c r="H233" s="715"/>
      <c r="I233" s="715"/>
      <c r="J233" s="164"/>
      <c r="K233" s="169"/>
      <c r="L233" s="233"/>
      <c r="M233" s="233"/>
      <c r="N233" s="38"/>
      <c r="O233" s="642"/>
      <c r="P233" s="139"/>
      <c r="Q233" s="139"/>
      <c r="R233" s="139"/>
      <c r="S233" s="139"/>
      <c r="T233" s="33"/>
      <c r="U233" s="33"/>
      <c r="V233" s="33"/>
      <c r="W233" s="169"/>
      <c r="X233" s="332"/>
      <c r="Y233" s="333"/>
      <c r="Z233" s="491"/>
      <c r="AA233" s="491"/>
      <c r="AB233" s="334"/>
      <c r="AC233" s="164" t="s">
        <v>634</v>
      </c>
      <c r="AD233" s="798"/>
      <c r="AE233" s="798"/>
      <c r="AF233" s="802"/>
      <c r="AG233" s="38"/>
      <c r="AH233" s="38"/>
      <c r="AI233" s="38"/>
      <c r="AJ233" s="38"/>
    </row>
    <row r="234" spans="1:39" ht="17" thickBot="1">
      <c r="E234" s="712"/>
      <c r="F234" s="713"/>
      <c r="G234" s="714"/>
      <c r="H234" s="715"/>
      <c r="J234" s="79">
        <f>J230</f>
        <v>12402823.289999997</v>
      </c>
      <c r="K234" s="715" t="s">
        <v>1018</v>
      </c>
      <c r="L234" s="169"/>
      <c r="M234" s="493"/>
      <c r="N234" s="38"/>
      <c r="O234" s="80"/>
      <c r="P234" s="104"/>
      <c r="Q234" s="139"/>
      <c r="R234" s="139"/>
      <c r="S234" s="139"/>
      <c r="T234" s="33"/>
      <c r="U234" s="33"/>
      <c r="V234" s="33"/>
      <c r="W234" s="169"/>
      <c r="X234" s="487"/>
      <c r="Y234" s="488"/>
      <c r="Z234" s="492" t="s">
        <v>399</v>
      </c>
      <c r="AA234" s="492" t="s">
        <v>400</v>
      </c>
      <c r="AB234" s="488"/>
      <c r="AC234" s="717" t="s">
        <v>475</v>
      </c>
      <c r="AD234" s="718">
        <f>SUM(AD230:AD233)</f>
        <v>11956010.34</v>
      </c>
      <c r="AE234" s="718">
        <f>AE230</f>
        <v>426730.07000000007</v>
      </c>
      <c r="AF234" s="718">
        <f>SUM(AF230:AF233)</f>
        <v>20082.88</v>
      </c>
      <c r="AG234" s="718"/>
      <c r="AH234" s="718">
        <f>AH230</f>
        <v>9861921</v>
      </c>
      <c r="AI234" s="718">
        <f>AI230</f>
        <v>530000</v>
      </c>
      <c r="AJ234" s="719">
        <f>AJ230</f>
        <v>161860</v>
      </c>
      <c r="AL234" s="38">
        <f>SUM(AL17:AL233)</f>
        <v>22956604.29000001</v>
      </c>
    </row>
    <row r="235" spans="1:39" ht="15" thickBot="1">
      <c r="D235" s="143"/>
      <c r="E235" s="759"/>
      <c r="F235" s="713"/>
      <c r="G235" s="714"/>
      <c r="H235" s="720"/>
      <c r="J235" s="750">
        <f>SUM('June GL'!H5)</f>
        <v>0</v>
      </c>
      <c r="K235" s="757" t="s">
        <v>251</v>
      </c>
      <c r="L235" s="722"/>
      <c r="M235" s="642"/>
      <c r="N235" s="33"/>
      <c r="O235" s="80"/>
      <c r="P235" s="104"/>
      <c r="Q235" s="139"/>
      <c r="R235" s="139"/>
      <c r="S235" s="139"/>
      <c r="T235" s="33"/>
      <c r="U235" s="33"/>
      <c r="V235" s="33"/>
      <c r="W235" s="169"/>
      <c r="X235" s="158" t="s">
        <v>609</v>
      </c>
      <c r="Y235" s="104" t="s">
        <v>352</v>
      </c>
      <c r="Z235" s="104">
        <f>X230+Y230+Z230</f>
        <v>10553781</v>
      </c>
      <c r="AA235" s="104"/>
      <c r="AB235" s="136"/>
      <c r="AC235" s="723"/>
      <c r="AD235" s="38"/>
      <c r="AE235" s="38"/>
      <c r="AF235" s="38"/>
      <c r="AG235" s="38"/>
      <c r="AH235" s="38"/>
      <c r="AI235" s="38"/>
      <c r="AJ235" s="38"/>
    </row>
    <row r="236" spans="1:39" ht="15" thickTop="1">
      <c r="D236" s="143"/>
      <c r="E236" s="712"/>
      <c r="F236" s="713"/>
      <c r="G236" s="714"/>
      <c r="H236" s="714" t="s">
        <v>249</v>
      </c>
      <c r="J236" s="824">
        <f>J235+J234-605157.19</f>
        <v>11797666.099999998</v>
      </c>
      <c r="K236" s="714" t="s">
        <v>454</v>
      </c>
      <c r="L236" s="722"/>
      <c r="M236" s="80"/>
      <c r="N236" s="104"/>
      <c r="O236" s="173"/>
      <c r="P236" s="104"/>
      <c r="Q236" s="139"/>
      <c r="R236" s="139"/>
      <c r="S236" s="139"/>
      <c r="T236" s="139"/>
      <c r="U236" s="139"/>
      <c r="V236" s="139"/>
      <c r="W236" s="169"/>
      <c r="X236" s="158"/>
      <c r="Y236" s="104"/>
      <c r="Z236" s="104"/>
      <c r="AA236" s="104"/>
      <c r="AB236" s="136"/>
      <c r="AC236" s="723"/>
      <c r="AD236" s="38"/>
      <c r="AE236" s="38"/>
      <c r="AF236" s="38" t="s">
        <v>86</v>
      </c>
      <c r="AG236" s="38"/>
      <c r="AH236" s="233">
        <f>SUM(AD234+AH234)</f>
        <v>21817931.34</v>
      </c>
      <c r="AI236" s="233">
        <f t="shared" ref="AI236:AJ236" si="126">SUM(AE234+AI234)</f>
        <v>956730.07000000007</v>
      </c>
      <c r="AJ236" s="233">
        <f t="shared" si="126"/>
        <v>181942.88</v>
      </c>
    </row>
    <row r="237" spans="1:39" ht="14">
      <c r="D237" s="143"/>
      <c r="E237" s="712"/>
      <c r="F237" s="713"/>
      <c r="G237" s="714"/>
      <c r="H237" s="714"/>
      <c r="J237" s="80"/>
      <c r="K237" s="714"/>
      <c r="L237" s="722"/>
      <c r="M237" s="104"/>
      <c r="N237" s="38"/>
      <c r="O237" s="139"/>
      <c r="P237" s="104"/>
      <c r="Q237" s="139"/>
      <c r="R237" s="139"/>
      <c r="S237" s="139"/>
      <c r="T237" s="139"/>
      <c r="U237" s="139"/>
      <c r="V237" s="139"/>
      <c r="W237" s="169"/>
      <c r="X237" s="158" t="s">
        <v>600</v>
      </c>
      <c r="Y237" s="104" t="s">
        <v>355</v>
      </c>
      <c r="Z237" s="104"/>
      <c r="AA237" s="104">
        <f>X230</f>
        <v>9861921</v>
      </c>
      <c r="AB237" s="136"/>
      <c r="AC237" s="38"/>
      <c r="AD237" s="797" t="s">
        <v>882</v>
      </c>
      <c r="AE237" s="38"/>
      <c r="AF237" s="38"/>
      <c r="AG237" s="38"/>
      <c r="AH237" s="233"/>
      <c r="AI237" s="233"/>
      <c r="AJ237" s="233"/>
    </row>
    <row r="238" spans="1:39" ht="15" thickBot="1">
      <c r="D238" s="143" t="s">
        <v>823</v>
      </c>
      <c r="E238" s="712"/>
      <c r="F238" s="713"/>
      <c r="G238" s="714"/>
      <c r="H238" s="714"/>
      <c r="J238" s="661">
        <f>M231</f>
        <v>10553781</v>
      </c>
      <c r="K238" s="714" t="s">
        <v>1016</v>
      </c>
      <c r="L238" s="645"/>
      <c r="M238" s="173"/>
      <c r="N238" s="38"/>
      <c r="O238" s="139"/>
      <c r="P238" s="104"/>
      <c r="Q238" s="139"/>
      <c r="R238" s="139"/>
      <c r="S238" s="139"/>
      <c r="T238" s="726"/>
      <c r="U238" s="139"/>
      <c r="V238" s="727"/>
      <c r="W238" s="169"/>
      <c r="X238" s="158"/>
      <c r="Y238" s="104" t="s">
        <v>356</v>
      </c>
      <c r="Z238" s="104"/>
      <c r="AA238" s="104">
        <f>AA230</f>
        <v>0</v>
      </c>
      <c r="AB238" s="136"/>
      <c r="AC238" s="38"/>
      <c r="AD238" s="38"/>
      <c r="AE238" s="38"/>
      <c r="AF238" s="38"/>
      <c r="AG238" s="38"/>
      <c r="AH238" s="799" t="s">
        <v>897</v>
      </c>
      <c r="AI238" s="801">
        <f>SUM(AH236:AJ236)</f>
        <v>22956604.289999999</v>
      </c>
      <c r="AJ238" s="800"/>
    </row>
    <row r="239" spans="1:39" ht="16" thickTop="1" thickBot="1">
      <c r="D239" s="143"/>
      <c r="E239" s="712"/>
      <c r="F239" s="713"/>
      <c r="G239" s="714"/>
      <c r="H239" s="714"/>
      <c r="J239" s="173">
        <v>0</v>
      </c>
      <c r="K239" s="714"/>
      <c r="L239" s="722"/>
      <c r="M239" s="173"/>
      <c r="N239" s="38"/>
      <c r="O239" s="33"/>
      <c r="P239" s="38"/>
      <c r="Q239" s="139"/>
      <c r="R239" s="139"/>
      <c r="S239" s="139"/>
      <c r="T239" s="139"/>
      <c r="U239" s="139"/>
      <c r="V239" s="139"/>
      <c r="W239" s="169"/>
      <c r="X239" s="158"/>
      <c r="Y239" s="104"/>
      <c r="Z239" s="104"/>
      <c r="AA239" s="104"/>
      <c r="AB239" s="136"/>
      <c r="AC239" s="38"/>
      <c r="AD239" s="38"/>
      <c r="AE239" s="38"/>
      <c r="AF239" s="38"/>
      <c r="AG239" s="38"/>
    </row>
    <row r="240" spans="1:39" ht="15" thickBot="1">
      <c r="E240" s="712"/>
      <c r="F240" s="713"/>
      <c r="G240" s="714"/>
      <c r="H240" s="714"/>
      <c r="J240" s="754">
        <f>J234+J238</f>
        <v>22956604.289999999</v>
      </c>
      <c r="K240" s="714" t="s">
        <v>1017</v>
      </c>
      <c r="L240" s="722"/>
      <c r="M240" s="173"/>
      <c r="N240" s="38"/>
      <c r="O240" s="33"/>
      <c r="P240" s="38"/>
      <c r="Q240" s="139"/>
      <c r="R240" s="139"/>
      <c r="S240" s="139"/>
      <c r="T240" s="139"/>
      <c r="U240" s="139"/>
      <c r="V240" s="139"/>
      <c r="W240" s="169"/>
      <c r="X240" s="158" t="s">
        <v>601</v>
      </c>
      <c r="Y240" s="104" t="s">
        <v>357</v>
      </c>
      <c r="Z240" s="104"/>
      <c r="AA240" s="104">
        <f>Y230</f>
        <v>530000</v>
      </c>
      <c r="AB240" s="136"/>
      <c r="AC240" s="38"/>
      <c r="AD240" s="38"/>
      <c r="AE240" s="38"/>
      <c r="AF240" s="38"/>
      <c r="AG240" s="38"/>
      <c r="AH240" s="796" t="s">
        <v>857</v>
      </c>
      <c r="AI240" s="38">
        <f>AI238-AJ236</f>
        <v>22774661.41</v>
      </c>
      <c r="AJ240" s="38"/>
    </row>
    <row r="241" spans="4:36">
      <c r="D241" s="161"/>
      <c r="E241" s="712"/>
      <c r="F241" s="713"/>
      <c r="G241" s="714"/>
      <c r="H241" s="714"/>
      <c r="J241" s="637"/>
      <c r="K241" s="714"/>
      <c r="L241" s="173"/>
      <c r="M241" s="731"/>
      <c r="N241" s="38"/>
      <c r="O241" s="33"/>
      <c r="P241" s="38"/>
      <c r="Q241" s="139"/>
      <c r="R241" s="139"/>
      <c r="S241" s="139"/>
      <c r="T241" s="139"/>
      <c r="U241" s="139"/>
      <c r="V241" s="139"/>
      <c r="W241" s="169"/>
      <c r="X241" s="415"/>
      <c r="Y241" s="104" t="s">
        <v>358</v>
      </c>
      <c r="Z241" s="104"/>
      <c r="AA241" s="104">
        <f>AB230</f>
        <v>0</v>
      </c>
      <c r="AB241" s="136"/>
      <c r="AC241" s="38"/>
      <c r="AD241" s="38"/>
      <c r="AE241" s="38"/>
      <c r="AF241" s="38"/>
      <c r="AG241" s="38"/>
      <c r="AH241" s="38"/>
      <c r="AI241" s="38"/>
      <c r="AJ241" s="38"/>
    </row>
    <row r="242" spans="4:36">
      <c r="E242" s="712"/>
      <c r="F242" s="713"/>
      <c r="G242" s="714"/>
      <c r="H242" s="714"/>
      <c r="J242" s="658">
        <f>SUM(AD234:AJ234)</f>
        <v>22956604.289999999</v>
      </c>
      <c r="K242" s="714" t="s">
        <v>518</v>
      </c>
      <c r="L242" s="732"/>
      <c r="M242" s="637"/>
      <c r="N242" s="38"/>
      <c r="O242" s="33"/>
      <c r="P242" s="38"/>
      <c r="Q242" s="139"/>
      <c r="R242" s="139"/>
      <c r="S242" s="139"/>
      <c r="T242" s="139"/>
      <c r="U242" s="139"/>
      <c r="V242" s="139"/>
      <c r="W242" s="169"/>
      <c r="X242" s="415"/>
      <c r="Y242" s="104"/>
      <c r="Z242" s="104"/>
      <c r="AA242" s="104"/>
      <c r="AB242" s="136"/>
      <c r="AC242" s="38"/>
      <c r="AD242" s="38"/>
      <c r="AE242" s="38"/>
      <c r="AF242" s="38"/>
      <c r="AG242" s="38"/>
      <c r="AH242" s="38"/>
      <c r="AI242" s="38"/>
      <c r="AJ242" s="38"/>
    </row>
    <row r="243" spans="4:36" ht="13" thickBot="1">
      <c r="E243" s="712"/>
      <c r="F243" s="713"/>
      <c r="G243" s="714"/>
      <c r="H243" s="714"/>
      <c r="J243" s="169"/>
      <c r="K243" s="714" t="s">
        <v>454</v>
      </c>
      <c r="L243" s="733"/>
      <c r="M243" s="795"/>
      <c r="N243" s="38"/>
      <c r="O243" s="33"/>
      <c r="P243" s="38"/>
      <c r="Q243" s="139"/>
      <c r="R243" s="139"/>
      <c r="S243" s="139"/>
      <c r="T243" s="139"/>
      <c r="U243" s="139"/>
      <c r="V243" s="139"/>
      <c r="W243" s="169"/>
      <c r="X243" s="158" t="s">
        <v>602</v>
      </c>
      <c r="Y243" s="488" t="s">
        <v>359</v>
      </c>
      <c r="Z243" s="488"/>
      <c r="AA243" s="488">
        <f>Z230</f>
        <v>161860</v>
      </c>
      <c r="AB243" s="414"/>
      <c r="AC243" s="38"/>
      <c r="AD243" s="38"/>
      <c r="AE243" s="38"/>
      <c r="AF243" s="38"/>
      <c r="AG243" s="38"/>
      <c r="AH243" s="38"/>
      <c r="AI243" s="38"/>
      <c r="AJ243" s="38"/>
    </row>
    <row r="244" spans="4:36" ht="15" thickBot="1">
      <c r="E244" s="712"/>
      <c r="F244" s="713"/>
      <c r="G244" s="714"/>
      <c r="H244" s="714"/>
      <c r="J244" s="736"/>
      <c r="K244" s="714" t="s">
        <v>519</v>
      </c>
      <c r="L244" s="169"/>
      <c r="M244" s="169"/>
      <c r="N244" s="38"/>
      <c r="O244" s="33"/>
      <c r="P244" s="38"/>
      <c r="Q244" s="33"/>
      <c r="R244" s="33"/>
      <c r="S244" s="33"/>
      <c r="T244" s="33"/>
      <c r="U244" s="33"/>
      <c r="V244" s="33"/>
      <c r="W244" s="169"/>
      <c r="X244" s="416"/>
      <c r="Y244" s="104"/>
      <c r="Z244" s="80">
        <f>SUM(Z235:Z243)</f>
        <v>10553781</v>
      </c>
      <c r="AA244" s="80">
        <f>SUM(AA235:AA243)</f>
        <v>10553781</v>
      </c>
      <c r="AB244" s="136"/>
      <c r="AC244" s="38"/>
      <c r="AD244" s="38"/>
      <c r="AE244" s="38"/>
      <c r="AF244" s="38"/>
      <c r="AG244" s="38"/>
      <c r="AH244" s="38"/>
      <c r="AI244" s="822">
        <f>SUM(AI236/AI240)</f>
        <v>4.2008531006301357E-2</v>
      </c>
      <c r="AJ244" s="38"/>
    </row>
    <row r="245" spans="4:36">
      <c r="E245" s="712"/>
      <c r="F245" s="713"/>
      <c r="G245" s="714"/>
      <c r="H245" s="714"/>
      <c r="I245" s="714"/>
      <c r="J245" s="169"/>
      <c r="K245" s="169"/>
      <c r="L245" s="169"/>
      <c r="M245" s="169"/>
      <c r="N245" s="38"/>
      <c r="O245" s="33"/>
      <c r="P245" s="38"/>
      <c r="Q245" s="33"/>
      <c r="R245" s="33"/>
      <c r="S245" s="33"/>
      <c r="T245" s="33"/>
      <c r="U245" s="33"/>
      <c r="V245" s="33"/>
      <c r="W245" s="169"/>
      <c r="X245" s="416"/>
      <c r="Y245" s="104"/>
      <c r="Z245" s="104"/>
      <c r="AA245" s="104"/>
      <c r="AB245" s="136"/>
      <c r="AC245" s="38"/>
      <c r="AD245" s="38"/>
      <c r="AE245" s="38"/>
      <c r="AF245" s="38"/>
      <c r="AG245" s="38"/>
      <c r="AH245" s="38"/>
      <c r="AI245" s="38"/>
      <c r="AJ245" s="38"/>
    </row>
    <row r="246" spans="4:36" ht="13" thickBot="1">
      <c r="E246" s="712"/>
      <c r="F246" s="713"/>
      <c r="G246" s="714"/>
      <c r="H246" s="714"/>
      <c r="I246" s="714"/>
      <c r="J246" s="169"/>
      <c r="K246" s="169"/>
      <c r="L246" s="169"/>
      <c r="M246" s="169"/>
      <c r="N246" s="38"/>
      <c r="O246" s="33"/>
      <c r="P246" s="38"/>
      <c r="Q246" s="33"/>
      <c r="R246" s="33"/>
      <c r="S246" s="33"/>
      <c r="T246" s="33"/>
      <c r="U246" s="33"/>
      <c r="V246" s="33"/>
      <c r="W246" s="169"/>
      <c r="X246" s="330"/>
      <c r="Y246" s="279"/>
      <c r="Z246" s="279"/>
      <c r="AA246" s="279"/>
      <c r="AB246" s="280"/>
      <c r="AC246" s="38"/>
      <c r="AD246" s="38"/>
      <c r="AE246" s="38"/>
      <c r="AF246" s="38"/>
      <c r="AG246" s="38"/>
      <c r="AH246" s="38"/>
      <c r="AI246" s="38"/>
      <c r="AJ246" s="38"/>
    </row>
    <row r="247" spans="4:36">
      <c r="E247" s="712"/>
      <c r="F247" s="713"/>
      <c r="G247" s="714"/>
      <c r="H247" s="714"/>
      <c r="I247" s="714"/>
      <c r="J247" s="169"/>
      <c r="K247" s="169"/>
      <c r="L247" s="169"/>
      <c r="M247" s="169"/>
      <c r="N247" s="38"/>
      <c r="O247" s="33"/>
      <c r="P247" s="38"/>
      <c r="Q247" s="33"/>
      <c r="R247" s="33"/>
      <c r="S247" s="33"/>
      <c r="T247" s="33"/>
      <c r="U247" s="33"/>
      <c r="V247" s="33"/>
      <c r="W247" s="169"/>
      <c r="X247" s="104"/>
      <c r="Y247" s="104"/>
      <c r="Z247" s="104"/>
      <c r="AA247" s="104"/>
      <c r="AB247" s="104"/>
      <c r="AC247" s="38"/>
      <c r="AD247" s="38"/>
      <c r="AE247" s="38"/>
      <c r="AF247" s="38"/>
      <c r="AG247" s="38"/>
      <c r="AH247" s="38"/>
      <c r="AI247" s="38"/>
      <c r="AJ247" s="38"/>
    </row>
    <row r="248" spans="4:36">
      <c r="E248" s="712"/>
      <c r="F248" s="713"/>
      <c r="G248" s="714"/>
      <c r="H248" s="714"/>
      <c r="I248" s="714"/>
      <c r="J248" s="169"/>
      <c r="K248" s="169"/>
      <c r="L248" s="169"/>
      <c r="M248" s="169"/>
      <c r="N248" s="38"/>
      <c r="O248" s="33"/>
      <c r="P248" s="38"/>
      <c r="Q248" s="33"/>
      <c r="R248" s="33"/>
      <c r="S248" s="33"/>
      <c r="T248" s="33"/>
      <c r="U248" s="33"/>
      <c r="V248" s="33"/>
      <c r="W248" s="169"/>
      <c r="AC248" s="38"/>
      <c r="AD248" s="38"/>
      <c r="AE248" s="38"/>
      <c r="AF248" s="38"/>
      <c r="AG248" s="38"/>
      <c r="AH248" s="38"/>
      <c r="AI248" s="38"/>
      <c r="AJ248" s="38"/>
    </row>
    <row r="249" spans="4:36">
      <c r="E249" s="712"/>
      <c r="F249" s="713"/>
      <c r="G249" s="714"/>
      <c r="H249" s="714"/>
      <c r="I249" s="714"/>
      <c r="J249" s="169"/>
      <c r="K249" s="169"/>
      <c r="L249" s="169"/>
      <c r="M249" s="169"/>
      <c r="N249" s="38"/>
      <c r="O249" s="33"/>
      <c r="P249" s="38"/>
      <c r="Q249" s="33"/>
      <c r="R249" s="33"/>
      <c r="S249" s="33"/>
      <c r="T249" s="33"/>
      <c r="U249" s="33"/>
      <c r="V249" s="33"/>
      <c r="W249" s="169"/>
      <c r="AC249" s="38"/>
      <c r="AD249" s="38"/>
      <c r="AE249" s="38"/>
      <c r="AF249" s="38"/>
      <c r="AG249" s="38"/>
      <c r="AH249" s="38"/>
      <c r="AI249" s="38"/>
      <c r="AJ249" s="38"/>
    </row>
    <row r="250" spans="4:36">
      <c r="E250" s="712"/>
      <c r="F250" s="713"/>
      <c r="G250" s="714"/>
      <c r="H250" s="714"/>
      <c r="I250" s="714"/>
      <c r="J250" s="169"/>
      <c r="K250" s="169"/>
      <c r="L250" s="169"/>
      <c r="M250" s="169"/>
      <c r="N250" s="38"/>
      <c r="O250" s="33"/>
      <c r="P250" s="38"/>
      <c r="Q250" s="33"/>
      <c r="R250" s="33"/>
      <c r="S250" s="33"/>
      <c r="T250" s="33"/>
      <c r="U250" s="33"/>
      <c r="V250" s="33"/>
      <c r="W250" s="169"/>
      <c r="AC250" s="38"/>
      <c r="AD250" s="38"/>
      <c r="AE250" s="38"/>
      <c r="AF250" s="38"/>
      <c r="AG250" s="38"/>
      <c r="AH250" s="38"/>
      <c r="AI250" s="38"/>
      <c r="AJ250" s="38"/>
    </row>
    <row r="251" spans="4:36">
      <c r="E251" s="712"/>
      <c r="F251" s="713"/>
      <c r="G251" s="714"/>
      <c r="H251" s="714"/>
      <c r="I251" s="714"/>
      <c r="J251" s="169"/>
      <c r="K251" s="169"/>
      <c r="L251" s="169"/>
      <c r="M251" s="169"/>
      <c r="N251" s="38"/>
      <c r="O251" s="33"/>
      <c r="P251" s="38"/>
      <c r="Q251" s="33"/>
      <c r="R251" s="33"/>
      <c r="S251" s="33"/>
      <c r="T251" s="33"/>
      <c r="U251" s="33"/>
      <c r="V251" s="33"/>
      <c r="W251" s="169"/>
      <c r="AC251" s="38"/>
      <c r="AD251" s="38"/>
      <c r="AE251" s="38"/>
      <c r="AF251" s="38"/>
      <c r="AG251" s="38"/>
      <c r="AH251" s="38"/>
      <c r="AI251" s="38"/>
      <c r="AJ251" s="38"/>
    </row>
    <row r="252" spans="4:36">
      <c r="E252" s="712"/>
      <c r="F252" s="713"/>
      <c r="G252" s="714"/>
      <c r="H252" s="714"/>
      <c r="I252" s="714"/>
      <c r="J252" s="169"/>
      <c r="K252" s="169"/>
      <c r="L252" s="169"/>
      <c r="M252" s="169"/>
      <c r="N252" s="38"/>
      <c r="O252" s="33"/>
      <c r="P252" s="38"/>
      <c r="Q252" s="33"/>
      <c r="R252" s="33"/>
      <c r="S252" s="33"/>
      <c r="T252" s="33"/>
      <c r="U252" s="33"/>
      <c r="V252" s="33"/>
      <c r="W252" s="169"/>
      <c r="AC252" s="38"/>
      <c r="AD252" s="38"/>
      <c r="AE252" s="38"/>
      <c r="AF252" s="38"/>
      <c r="AG252" s="38"/>
      <c r="AH252" s="38"/>
      <c r="AI252" s="38"/>
      <c r="AJ252" s="38"/>
    </row>
    <row r="253" spans="4:36">
      <c r="E253" s="712"/>
      <c r="F253" s="713"/>
      <c r="G253" s="714"/>
      <c r="H253" s="714"/>
      <c r="I253" s="714"/>
      <c r="J253" s="169"/>
      <c r="K253" s="169"/>
      <c r="L253" s="169"/>
      <c r="M253" s="169"/>
      <c r="N253" s="38"/>
      <c r="O253" s="33"/>
      <c r="P253" s="38"/>
      <c r="Q253" s="33"/>
      <c r="R253" s="33"/>
      <c r="S253" s="33"/>
      <c r="T253" s="33"/>
      <c r="U253" s="33"/>
      <c r="V253" s="33"/>
      <c r="W253" s="169"/>
      <c r="AC253" s="38"/>
      <c r="AD253" s="38"/>
      <c r="AE253" s="38"/>
      <c r="AF253" s="38"/>
      <c r="AG253" s="38"/>
      <c r="AH253" s="38"/>
      <c r="AI253" s="38"/>
      <c r="AJ253"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252"/>
  <sheetViews>
    <sheetView topLeftCell="A221" zoomScale="80" zoomScaleNormal="80" zoomScalePageLayoutView="80" workbookViewId="0">
      <pane xSplit="4" topLeftCell="E1" activePane="topRight" state="frozen"/>
      <selection activeCell="A10" sqref="A10"/>
      <selection pane="topRight" activeCell="A98" sqref="A98"/>
    </sheetView>
  </sheetViews>
  <sheetFormatPr baseColWidth="10" defaultColWidth="9.3984375" defaultRowHeight="12" outlineLevelCol="1" x14ac:dyDescent="0"/>
  <cols>
    <col min="1" max="1" width="9.796875" style="18" customWidth="1" outlineLevel="1"/>
    <col min="2" max="2" width="8.3984375" style="18" bestFit="1" customWidth="1" outlineLevel="1"/>
    <col min="3" max="3" width="11.3984375" style="131" bestFit="1" customWidth="1" outlineLevel="1"/>
    <col min="4" max="4" width="32.3984375" style="147" customWidth="1"/>
    <col min="5" max="5" width="17.3984375" style="35" bestFit="1" customWidth="1"/>
    <col min="6" max="6" width="17" style="152" bestFit="1" customWidth="1"/>
    <col min="7" max="8" width="15.3984375" style="17" hidden="1" customWidth="1"/>
    <col min="9" max="9" width="15.3984375" style="17" customWidth="1"/>
    <col min="10" max="10" width="17" style="24" bestFit="1" customWidth="1"/>
    <col min="11" max="11" width="3" style="24" customWidth="1"/>
    <col min="12" max="12" width="15.3984375" style="24" customWidth="1"/>
    <col min="13" max="13" width="16.3984375" style="24" bestFit="1" customWidth="1"/>
    <col min="14" max="14" width="1.796875" style="16" customWidth="1"/>
    <col min="15" max="15" width="7.3984375" style="146" customWidth="1"/>
    <col min="16" max="16" width="1.796875" style="16" customWidth="1"/>
    <col min="17" max="19" width="15.3984375" style="146" customWidth="1"/>
    <col min="20" max="20" width="18.3984375" style="146"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6.3984375" style="559" bestFit="1" customWidth="1"/>
    <col min="36" max="36" width="14.19921875" style="559" customWidth="1"/>
    <col min="37" max="37" width="9.3984375" style="16"/>
    <col min="38" max="38" width="14.796875" style="16" bestFit="1" customWidth="1"/>
    <col min="39" max="16384" width="9.3984375" style="16"/>
  </cols>
  <sheetData>
    <row r="1" spans="1:36">
      <c r="D1" s="147" t="s">
        <v>71</v>
      </c>
      <c r="F1" s="29"/>
      <c r="G1" s="162"/>
      <c r="H1" s="163"/>
      <c r="I1" s="163"/>
      <c r="J1" s="169"/>
      <c r="K1" s="169"/>
      <c r="L1" s="169"/>
      <c r="M1" s="169"/>
      <c r="N1" s="169"/>
      <c r="W1" s="40"/>
    </row>
    <row r="2" spans="1:36">
      <c r="D2" s="147" t="s">
        <v>858</v>
      </c>
      <c r="F2" s="29"/>
      <c r="G2" s="162"/>
      <c r="H2" s="163"/>
      <c r="I2" s="163"/>
      <c r="J2" s="169"/>
      <c r="K2" s="169"/>
      <c r="L2" s="169"/>
      <c r="M2" s="169"/>
      <c r="N2" s="169"/>
      <c r="W2" s="40"/>
    </row>
    <row r="3" spans="1:36">
      <c r="D3" s="147" t="s">
        <v>982</v>
      </c>
      <c r="F3" s="29"/>
      <c r="G3" s="18"/>
      <c r="H3" s="168"/>
      <c r="I3" s="168"/>
      <c r="J3" s="169"/>
      <c r="K3" s="169"/>
      <c r="L3" s="169"/>
      <c r="M3" s="169"/>
      <c r="N3" s="169"/>
    </row>
    <row r="4" spans="1:36">
      <c r="D4" s="148"/>
      <c r="G4" s="164"/>
      <c r="H4" s="168"/>
      <c r="I4" s="168"/>
      <c r="J4" s="169"/>
      <c r="K4" s="169"/>
      <c r="L4" s="169"/>
      <c r="M4" s="169"/>
      <c r="N4" s="169"/>
    </row>
    <row r="5" spans="1:36" ht="13" thickBot="1">
      <c r="D5" s="148"/>
      <c r="G5" s="161"/>
      <c r="H5" s="630"/>
      <c r="I5" s="630"/>
      <c r="J5" s="169"/>
      <c r="K5" s="169"/>
      <c r="L5" s="169"/>
      <c r="M5" s="169"/>
      <c r="N5" s="169"/>
    </row>
    <row r="6" spans="1:36">
      <c r="B6" s="460"/>
      <c r="C6" s="668"/>
      <c r="D6" s="461" t="s">
        <v>84</v>
      </c>
      <c r="E6" s="462" t="s">
        <v>85</v>
      </c>
      <c r="G6" s="161"/>
      <c r="H6" s="630"/>
      <c r="I6" s="630"/>
      <c r="J6" s="169"/>
      <c r="K6" s="169"/>
      <c r="L6" s="169"/>
      <c r="M6" s="169"/>
      <c r="N6" s="169"/>
      <c r="O6" s="152"/>
      <c r="P6" s="18"/>
      <c r="Q6" s="152"/>
      <c r="R6" s="152"/>
      <c r="S6" s="152"/>
      <c r="T6" s="152"/>
      <c r="U6" s="152"/>
      <c r="V6" s="152"/>
    </row>
    <row r="7" spans="1:36">
      <c r="B7" s="459"/>
      <c r="C7" s="113"/>
      <c r="D7" s="458" t="s">
        <v>75</v>
      </c>
      <c r="E7" s="287" t="s">
        <v>115</v>
      </c>
      <c r="F7" s="29"/>
      <c r="G7" s="161"/>
      <c r="H7" s="630"/>
      <c r="I7" s="630"/>
      <c r="J7" s="172"/>
      <c r="K7" s="41"/>
      <c r="L7" s="37"/>
      <c r="M7" s="37"/>
      <c r="W7" s="41"/>
    </row>
    <row r="8" spans="1:36">
      <c r="B8" s="459"/>
      <c r="C8" s="669"/>
      <c r="D8" s="568" t="s">
        <v>73</v>
      </c>
      <c r="E8" s="572" t="s">
        <v>446</v>
      </c>
      <c r="F8" s="29"/>
      <c r="G8" s="164"/>
      <c r="H8" s="630"/>
      <c r="I8" s="630"/>
      <c r="J8" s="75"/>
      <c r="K8" s="41"/>
      <c r="L8" s="77"/>
      <c r="M8" s="77"/>
      <c r="N8" s="27"/>
      <c r="O8" s="151"/>
      <c r="P8" s="27"/>
      <c r="Q8" s="151"/>
      <c r="R8" s="151"/>
      <c r="S8" s="151"/>
      <c r="T8" s="151"/>
      <c r="U8" s="151"/>
      <c r="V8" s="151"/>
      <c r="W8" s="41"/>
    </row>
    <row r="9" spans="1:36">
      <c r="B9" s="459"/>
      <c r="C9" s="113"/>
      <c r="D9" s="458" t="s">
        <v>76</v>
      </c>
      <c r="E9" s="465" t="s">
        <v>79</v>
      </c>
      <c r="F9" s="29"/>
      <c r="G9" s="161"/>
      <c r="H9" s="134"/>
      <c r="I9" s="134"/>
      <c r="J9" s="78"/>
      <c r="L9" s="79"/>
      <c r="M9" s="79"/>
      <c r="N9" s="27"/>
      <c r="O9" s="151"/>
      <c r="P9" s="27"/>
      <c r="Q9" s="151"/>
      <c r="R9" s="151"/>
      <c r="S9" s="151"/>
      <c r="T9" s="151"/>
      <c r="U9" s="151"/>
      <c r="V9" s="151"/>
    </row>
    <row r="10" spans="1:36">
      <c r="B10" s="459"/>
      <c r="C10" s="113"/>
      <c r="D10" s="458" t="s">
        <v>88</v>
      </c>
      <c r="E10" s="468" t="s">
        <v>89</v>
      </c>
      <c r="F10" s="29"/>
      <c r="J10" s="76"/>
      <c r="L10" s="174"/>
      <c r="M10" s="76"/>
      <c r="N10" s="27"/>
      <c r="O10" s="151"/>
      <c r="P10" s="27"/>
      <c r="Q10" s="151"/>
      <c r="R10" s="151"/>
      <c r="S10" s="151"/>
      <c r="T10" s="151"/>
      <c r="U10" s="151"/>
      <c r="V10" s="151"/>
    </row>
    <row r="11" spans="1:36">
      <c r="B11" s="459"/>
      <c r="C11" s="113"/>
      <c r="D11" s="458" t="s">
        <v>116</v>
      </c>
      <c r="E11" s="99" t="s">
        <v>117</v>
      </c>
      <c r="F11" s="29"/>
      <c r="G11" s="166"/>
      <c r="H11" s="145"/>
      <c r="I11" s="145"/>
      <c r="J11" s="76"/>
      <c r="L11" s="173"/>
      <c r="M11" s="173"/>
      <c r="N11" s="27"/>
      <c r="O11" s="151"/>
      <c r="P11" s="27"/>
      <c r="Q11" s="151"/>
      <c r="R11" s="151"/>
      <c r="S11" s="151"/>
      <c r="T11" s="151"/>
      <c r="U11" s="151"/>
      <c r="V11" s="151"/>
    </row>
    <row r="12" spans="1:36" ht="13" thickBot="1">
      <c r="B12" s="469"/>
      <c r="C12" s="670"/>
      <c r="D12" s="470" t="s">
        <v>103</v>
      </c>
      <c r="E12" s="471" t="s">
        <v>101</v>
      </c>
      <c r="F12" s="29"/>
      <c r="G12" s="166"/>
      <c r="H12" s="150"/>
      <c r="I12" s="150"/>
      <c r="J12" s="76"/>
    </row>
    <row r="13" spans="1:36" ht="13" thickBot="1">
      <c r="A13" s="152"/>
      <c r="B13" s="152"/>
      <c r="C13" s="67"/>
      <c r="D13" s="54"/>
      <c r="E13" s="34"/>
      <c r="G13" s="167"/>
      <c r="H13" s="49"/>
      <c r="I13" s="49"/>
      <c r="J13" s="50"/>
      <c r="K13" s="50"/>
      <c r="L13" s="50"/>
      <c r="M13" s="745"/>
      <c r="N13" s="146"/>
      <c r="P13" s="146"/>
      <c r="W13" s="50"/>
      <c r="X13" s="33"/>
      <c r="Y13" s="33"/>
      <c r="Z13" s="33"/>
      <c r="AA13" s="33"/>
    </row>
    <row r="14" spans="1:36" ht="13" thickBot="1">
      <c r="D14" s="526"/>
      <c r="E14" s="582" t="s">
        <v>983</v>
      </c>
      <c r="F14" s="583" t="s">
        <v>367</v>
      </c>
      <c r="G14" s="96"/>
      <c r="H14" s="96"/>
      <c r="I14" s="96"/>
      <c r="J14" s="583" t="s">
        <v>368</v>
      </c>
      <c r="K14" s="581"/>
      <c r="L14" s="583" t="s">
        <v>368</v>
      </c>
      <c r="M14" s="583" t="s">
        <v>368</v>
      </c>
      <c r="N14" s="93"/>
      <c r="O14" s="96"/>
      <c r="P14" s="93"/>
      <c r="Q14" s="13"/>
      <c r="R14" s="13"/>
      <c r="S14" s="13"/>
      <c r="T14" s="96"/>
      <c r="U14" s="101"/>
      <c r="V14" s="96"/>
      <c r="W14" s="93"/>
      <c r="X14" s="96"/>
      <c r="Y14" s="96"/>
      <c r="Z14" s="304"/>
      <c r="AA14" s="304"/>
      <c r="AB14" s="304"/>
      <c r="AE14" s="560" t="s">
        <v>266</v>
      </c>
      <c r="AI14" s="561" t="s">
        <v>267</v>
      </c>
    </row>
    <row r="15" spans="1:36" ht="13" thickBot="1">
      <c r="A15" s="22" t="s">
        <v>95</v>
      </c>
      <c r="B15" s="22" t="s">
        <v>100</v>
      </c>
      <c r="C15" s="36" t="s">
        <v>522</v>
      </c>
      <c r="D15" s="36" t="s">
        <v>67</v>
      </c>
      <c r="E15" s="450" t="s">
        <v>230</v>
      </c>
      <c r="F15" s="528" t="s">
        <v>229</v>
      </c>
      <c r="G15" s="176" t="s">
        <v>288</v>
      </c>
      <c r="H15" s="545" t="s">
        <v>289</v>
      </c>
      <c r="I15" s="758" t="s">
        <v>368</v>
      </c>
      <c r="J15" s="313" t="s">
        <v>105</v>
      </c>
      <c r="K15" s="93"/>
      <c r="L15" s="94" t="s">
        <v>104</v>
      </c>
      <c r="M15" s="95" t="s">
        <v>106</v>
      </c>
      <c r="N15" s="102"/>
      <c r="O15" s="427" t="s">
        <v>839</v>
      </c>
      <c r="P15" s="102"/>
      <c r="Q15" s="313" t="s">
        <v>984</v>
      </c>
      <c r="R15" s="313" t="s">
        <v>946</v>
      </c>
      <c r="S15" s="313" t="s">
        <v>947</v>
      </c>
      <c r="T15" s="823" t="s">
        <v>961</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6">
      <c r="A16" s="372" t="s">
        <v>109</v>
      </c>
      <c r="B16" s="472" t="s">
        <v>109</v>
      </c>
      <c r="C16" s="666"/>
      <c r="D16" s="373" t="s">
        <v>382</v>
      </c>
      <c r="E16" s="679"/>
      <c r="F16" s="529">
        <f>VLOOKUP(D16,'Aug 2013 Revenue'!D:V,19,FALSE)</f>
        <v>0</v>
      </c>
      <c r="G16" s="680"/>
      <c r="H16" s="680"/>
      <c r="I16" s="755"/>
      <c r="J16" s="682">
        <f t="shared" ref="J16:J85" si="0">SUM(E16:I16)</f>
        <v>0</v>
      </c>
      <c r="K16" s="683"/>
      <c r="L16" s="684"/>
      <c r="M16" s="753"/>
      <c r="N16" s="683">
        <v>0</v>
      </c>
      <c r="O16" s="686"/>
      <c r="P16" s="683">
        <v>0</v>
      </c>
      <c r="Q16" s="687">
        <f t="shared" ref="Q16:Q145" si="1">L16+M16</f>
        <v>0</v>
      </c>
      <c r="R16" s="687"/>
      <c r="S16" s="687"/>
      <c r="T16" s="688">
        <v>0</v>
      </c>
      <c r="U16" s="689"/>
      <c r="V16" s="690">
        <f t="shared" ref="V16:V80" si="2">IF(T16="","",T16-Q16)</f>
        <v>0</v>
      </c>
      <c r="W16" s="691"/>
      <c r="X16" s="474">
        <f t="shared" ref="X16:X86" si="3">IF(B16="D",Q16,0)</f>
        <v>0</v>
      </c>
      <c r="Y16" s="474">
        <f t="shared" ref="Y16:Y86" si="4">IF(B16="M",Q16,0)</f>
        <v>0</v>
      </c>
      <c r="Z16" s="475">
        <f t="shared" ref="Z16:Z86" si="5">IF(B16="V",Q16,0)</f>
        <v>0</v>
      </c>
      <c r="AA16" s="475">
        <v>0</v>
      </c>
      <c r="AB16" s="476">
        <v>0</v>
      </c>
      <c r="AC16" s="38">
        <f t="shared" ref="AC16:AC86" si="6">(L16+M16)-(X16+Y16+Z16+AA16+AB16)</f>
        <v>0</v>
      </c>
      <c r="AD16" s="692">
        <f t="shared" ref="AD16:AD85" si="7">IF(B16="D",J16,0)</f>
        <v>0</v>
      </c>
      <c r="AE16" s="692">
        <f t="shared" ref="AE16:AE85" si="8">IF(B16="M",J16,0)</f>
        <v>0</v>
      </c>
      <c r="AF16" s="692">
        <f t="shared" ref="AF16:AF85" si="9">IF(B16="V",J16,0)</f>
        <v>0</v>
      </c>
      <c r="AG16" s="38"/>
      <c r="AH16" s="692">
        <f t="shared" ref="AH16:AH86" si="10">IF(B16="D",Q16,0)</f>
        <v>0</v>
      </c>
      <c r="AI16" s="692">
        <f t="shared" ref="AI16:AI86" si="11">IF(B16="M",Q16,0)</f>
        <v>0</v>
      </c>
      <c r="AJ16" s="692">
        <f t="shared" ref="AJ16:AJ86" si="12">IF(B16="V",Q16,0)</f>
        <v>0</v>
      </c>
    </row>
    <row r="17" spans="1:38">
      <c r="A17" s="20" t="s">
        <v>109</v>
      </c>
      <c r="B17" s="20" t="s">
        <v>110</v>
      </c>
      <c r="C17" s="671" t="s">
        <v>523</v>
      </c>
      <c r="D17" s="123" t="s">
        <v>317</v>
      </c>
      <c r="E17" s="679"/>
      <c r="F17" s="529">
        <f>VLOOKUP(D17,'Aug 2013 Revenue'!D:V,19,FALSE)</f>
        <v>106.39999999999964</v>
      </c>
      <c r="G17" s="680"/>
      <c r="H17" s="680"/>
      <c r="I17" s="755"/>
      <c r="J17" s="682">
        <f t="shared" si="0"/>
        <v>106.39999999999964</v>
      </c>
      <c r="K17" s="683"/>
      <c r="L17" s="684"/>
      <c r="M17" s="753">
        <v>10000</v>
      </c>
      <c r="N17" s="683">
        <v>0</v>
      </c>
      <c r="O17" s="686"/>
      <c r="P17" s="683">
        <v>0</v>
      </c>
      <c r="Q17" s="687">
        <f t="shared" si="1"/>
        <v>10000</v>
      </c>
      <c r="R17" s="687"/>
      <c r="S17" s="687"/>
      <c r="T17" s="688">
        <v>8871.09</v>
      </c>
      <c r="U17" s="693"/>
      <c r="V17" s="690">
        <f t="shared" si="2"/>
        <v>-1128.9099999999999</v>
      </c>
      <c r="W17" s="683"/>
      <c r="X17" s="474">
        <f t="shared" si="3"/>
        <v>10000</v>
      </c>
      <c r="Y17" s="474">
        <f t="shared" si="4"/>
        <v>0</v>
      </c>
      <c r="Z17" s="475">
        <f t="shared" si="5"/>
        <v>0</v>
      </c>
      <c r="AA17" s="475">
        <v>0</v>
      </c>
      <c r="AB17" s="476">
        <v>0</v>
      </c>
      <c r="AC17" s="38">
        <f t="shared" si="6"/>
        <v>0</v>
      </c>
      <c r="AD17" s="692">
        <f t="shared" si="7"/>
        <v>106.39999999999964</v>
      </c>
      <c r="AE17" s="692">
        <f t="shared" si="8"/>
        <v>0</v>
      </c>
      <c r="AF17" s="692">
        <f t="shared" si="9"/>
        <v>0</v>
      </c>
      <c r="AG17" s="38"/>
      <c r="AH17" s="692">
        <f t="shared" si="10"/>
        <v>10000</v>
      </c>
      <c r="AI17" s="692">
        <f t="shared" si="11"/>
        <v>0</v>
      </c>
      <c r="AJ17" s="692">
        <f t="shared" si="12"/>
        <v>0</v>
      </c>
      <c r="AL17" s="38">
        <f>SUM(AD17:AJ17)</f>
        <v>10106.4</v>
      </c>
    </row>
    <row r="18" spans="1:38">
      <c r="A18" s="20" t="s">
        <v>109</v>
      </c>
      <c r="B18" s="20" t="s">
        <v>109</v>
      </c>
      <c r="C18" s="671" t="s">
        <v>523</v>
      </c>
      <c r="D18" s="68" t="s">
        <v>393</v>
      </c>
      <c r="E18" s="679"/>
      <c r="F18" s="529">
        <f>VLOOKUP(D18,'Aug 2013 Revenue'!D:V,19,FALSE)</f>
        <v>-603.61000000000058</v>
      </c>
      <c r="G18" s="680"/>
      <c r="H18" s="680"/>
      <c r="I18" s="755"/>
      <c r="J18" s="682">
        <f t="shared" si="0"/>
        <v>-603.61000000000058</v>
      </c>
      <c r="K18" s="683"/>
      <c r="L18" s="684"/>
      <c r="M18" s="753">
        <v>45000</v>
      </c>
      <c r="N18" s="683">
        <v>0</v>
      </c>
      <c r="O18" s="686"/>
      <c r="P18" s="683">
        <v>0</v>
      </c>
      <c r="Q18" s="687">
        <f t="shared" si="1"/>
        <v>45000</v>
      </c>
      <c r="R18" s="687"/>
      <c r="S18" s="687"/>
      <c r="T18" s="688">
        <v>45275.45</v>
      </c>
      <c r="U18" s="693"/>
      <c r="V18" s="690">
        <f t="shared" si="2"/>
        <v>275.44999999999709</v>
      </c>
      <c r="W18" s="683"/>
      <c r="X18" s="474">
        <f t="shared" si="3"/>
        <v>0</v>
      </c>
      <c r="Y18" s="474">
        <f t="shared" si="4"/>
        <v>45000</v>
      </c>
      <c r="Z18" s="475">
        <f t="shared" si="5"/>
        <v>0</v>
      </c>
      <c r="AA18" s="475">
        <v>0</v>
      </c>
      <c r="AB18" s="476">
        <v>0</v>
      </c>
      <c r="AC18" s="38">
        <f t="shared" si="6"/>
        <v>0</v>
      </c>
      <c r="AD18" s="692">
        <f t="shared" si="7"/>
        <v>0</v>
      </c>
      <c r="AE18" s="692">
        <f t="shared" si="8"/>
        <v>-603.61000000000058</v>
      </c>
      <c r="AF18" s="692">
        <f t="shared" si="9"/>
        <v>0</v>
      </c>
      <c r="AG18" s="38"/>
      <c r="AH18" s="692">
        <f t="shared" si="10"/>
        <v>0</v>
      </c>
      <c r="AI18" s="692">
        <f t="shared" si="11"/>
        <v>45000</v>
      </c>
      <c r="AJ18" s="692">
        <f t="shared" si="12"/>
        <v>0</v>
      </c>
      <c r="AL18" s="38">
        <f t="shared" ref="AL18:AL87" si="13">SUM(AD18:AJ18)</f>
        <v>44396.39</v>
      </c>
    </row>
    <row r="19" spans="1:38">
      <c r="A19" s="20" t="s">
        <v>109</v>
      </c>
      <c r="B19" s="20" t="s">
        <v>109</v>
      </c>
      <c r="C19" s="671" t="s">
        <v>523</v>
      </c>
      <c r="D19" s="68" t="s">
        <v>129</v>
      </c>
      <c r="E19" s="679"/>
      <c r="F19" s="529">
        <f>VLOOKUP(D19,'Aug 2013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row>
    <row r="20" spans="1:38">
      <c r="A20" s="20" t="s">
        <v>109</v>
      </c>
      <c r="B20" s="20" t="s">
        <v>109</v>
      </c>
      <c r="C20" s="671" t="s">
        <v>523</v>
      </c>
      <c r="D20" s="351" t="s">
        <v>878</v>
      </c>
      <c r="E20" s="679">
        <v>7107.7</v>
      </c>
      <c r="F20" s="529">
        <f>VLOOKUP(D20,'Aug 2013 Revenue'!D:V,19,FALSE)</f>
        <v>0</v>
      </c>
      <c r="G20" s="680"/>
      <c r="H20" s="680"/>
      <c r="I20" s="755"/>
      <c r="J20" s="682">
        <f t="shared" si="0"/>
        <v>7107.7</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7107.7</v>
      </c>
      <c r="AF20" s="692">
        <f t="shared" si="9"/>
        <v>0</v>
      </c>
      <c r="AG20" s="38"/>
      <c r="AH20" s="692">
        <f t="shared" si="10"/>
        <v>0</v>
      </c>
      <c r="AI20" s="692">
        <f t="shared" si="11"/>
        <v>0</v>
      </c>
      <c r="AJ20" s="692">
        <f t="shared" si="12"/>
        <v>0</v>
      </c>
      <c r="AL20" s="38">
        <f t="shared" si="13"/>
        <v>7107.7</v>
      </c>
    </row>
    <row r="21" spans="1:38">
      <c r="A21" s="20"/>
      <c r="B21" s="20" t="s">
        <v>110</v>
      </c>
      <c r="C21" s="667" t="s">
        <v>524</v>
      </c>
      <c r="D21" s="123" t="s">
        <v>380</v>
      </c>
      <c r="E21" s="679">
        <f>3094.38+27253.43</f>
        <v>30347.81</v>
      </c>
      <c r="F21" s="529">
        <f>VLOOKUP(D21,'Aug 2013 Revenue'!D:V,19,FALSE)</f>
        <v>0</v>
      </c>
      <c r="G21" s="680"/>
      <c r="H21" s="680"/>
      <c r="I21" s="755"/>
      <c r="J21" s="682">
        <f t="shared" si="0"/>
        <v>30347.81</v>
      </c>
      <c r="K21" s="683"/>
      <c r="L21" s="684"/>
      <c r="M21" s="753"/>
      <c r="N21" s="683">
        <v>0</v>
      </c>
      <c r="O21" s="686"/>
      <c r="P21" s="683">
        <v>0</v>
      </c>
      <c r="Q21" s="687">
        <f t="shared" si="1"/>
        <v>0</v>
      </c>
      <c r="R21" s="687"/>
      <c r="S21" s="687"/>
      <c r="T21" s="688">
        <v>28573.1</v>
      </c>
      <c r="U21" s="693"/>
      <c r="V21" s="690">
        <f t="shared" si="2"/>
        <v>28573.1</v>
      </c>
      <c r="W21" s="683"/>
      <c r="X21" s="474">
        <f t="shared" si="3"/>
        <v>0</v>
      </c>
      <c r="Y21" s="474">
        <f t="shared" si="4"/>
        <v>0</v>
      </c>
      <c r="Z21" s="475">
        <f t="shared" si="5"/>
        <v>0</v>
      </c>
      <c r="AA21" s="475">
        <v>0</v>
      </c>
      <c r="AB21" s="476">
        <v>0</v>
      </c>
      <c r="AC21" s="38">
        <f t="shared" si="6"/>
        <v>0</v>
      </c>
      <c r="AD21" s="692">
        <f t="shared" si="7"/>
        <v>30347.81</v>
      </c>
      <c r="AE21" s="692">
        <f t="shared" si="8"/>
        <v>0</v>
      </c>
      <c r="AF21" s="692">
        <f t="shared" si="9"/>
        <v>0</v>
      </c>
      <c r="AG21" s="38"/>
      <c r="AH21" s="692">
        <f t="shared" si="10"/>
        <v>0</v>
      </c>
      <c r="AI21" s="692">
        <f t="shared" si="11"/>
        <v>0</v>
      </c>
      <c r="AJ21" s="692">
        <f t="shared" si="12"/>
        <v>0</v>
      </c>
      <c r="AL21" s="38">
        <f t="shared" si="13"/>
        <v>30347.81</v>
      </c>
    </row>
    <row r="22" spans="1:38">
      <c r="A22" s="20"/>
      <c r="B22" s="20" t="s">
        <v>110</v>
      </c>
      <c r="C22" s="667" t="s">
        <v>524</v>
      </c>
      <c r="D22" s="123" t="s">
        <v>132</v>
      </c>
      <c r="E22" s="679">
        <f>16242.96+29417.65</f>
        <v>45660.61</v>
      </c>
      <c r="F22" s="529">
        <f>VLOOKUP(D22,'Aug 2013 Revenue'!D:V,19,FALSE)</f>
        <v>0</v>
      </c>
      <c r="G22" s="680"/>
      <c r="H22" s="680"/>
      <c r="I22" s="755"/>
      <c r="J22" s="682">
        <f t="shared" si="0"/>
        <v>45660.61</v>
      </c>
      <c r="K22" s="683"/>
      <c r="L22" s="684"/>
      <c r="M22" s="753"/>
      <c r="N22" s="683">
        <v>0</v>
      </c>
      <c r="O22" s="686"/>
      <c r="P22" s="683">
        <v>0</v>
      </c>
      <c r="Q22" s="687">
        <f t="shared" si="1"/>
        <v>0</v>
      </c>
      <c r="R22" s="687"/>
      <c r="S22" s="687"/>
      <c r="T22" s="688">
        <v>25246.58</v>
      </c>
      <c r="U22" s="693"/>
      <c r="V22" s="690">
        <f t="shared" si="2"/>
        <v>25246.58</v>
      </c>
      <c r="W22" s="683"/>
      <c r="X22" s="474">
        <f t="shared" si="3"/>
        <v>0</v>
      </c>
      <c r="Y22" s="474">
        <f t="shared" si="4"/>
        <v>0</v>
      </c>
      <c r="Z22" s="475">
        <f t="shared" si="5"/>
        <v>0</v>
      </c>
      <c r="AA22" s="475">
        <v>0</v>
      </c>
      <c r="AB22" s="476">
        <v>0</v>
      </c>
      <c r="AC22" s="38">
        <f t="shared" si="6"/>
        <v>0</v>
      </c>
      <c r="AD22" s="692">
        <f t="shared" si="7"/>
        <v>45660.61</v>
      </c>
      <c r="AE22" s="692">
        <f t="shared" si="8"/>
        <v>0</v>
      </c>
      <c r="AF22" s="692">
        <f t="shared" si="9"/>
        <v>0</v>
      </c>
      <c r="AG22" s="38"/>
      <c r="AH22" s="692">
        <f t="shared" si="10"/>
        <v>0</v>
      </c>
      <c r="AI22" s="692">
        <f t="shared" si="11"/>
        <v>0</v>
      </c>
      <c r="AJ22" s="692">
        <f t="shared" si="12"/>
        <v>0</v>
      </c>
      <c r="AL22" s="38">
        <f t="shared" si="13"/>
        <v>45660.61</v>
      </c>
    </row>
    <row r="23" spans="1:38">
      <c r="A23" s="20"/>
      <c r="B23" s="20" t="s">
        <v>110</v>
      </c>
      <c r="C23" s="667" t="s">
        <v>524</v>
      </c>
      <c r="D23" s="123" t="s">
        <v>133</v>
      </c>
      <c r="E23" s="679">
        <f>3.78+81269.26</f>
        <v>81273.039999999994</v>
      </c>
      <c r="F23" s="529">
        <f>VLOOKUP(D23,'Aug 2013 Revenue'!D:V,19,FALSE)</f>
        <v>-25000</v>
      </c>
      <c r="G23" s="680"/>
      <c r="H23" s="680"/>
      <c r="I23" s="755"/>
      <c r="J23" s="682">
        <f t="shared" si="0"/>
        <v>56273.039999999994</v>
      </c>
      <c r="K23" s="683"/>
      <c r="L23" s="684"/>
      <c r="M23" s="753">
        <v>120000</v>
      </c>
      <c r="N23" s="683">
        <v>0</v>
      </c>
      <c r="O23" s="686"/>
      <c r="P23" s="683">
        <v>0</v>
      </c>
      <c r="Q23" s="687">
        <f t="shared" si="1"/>
        <v>120000</v>
      </c>
      <c r="R23" s="687"/>
      <c r="S23" s="687"/>
      <c r="T23" s="688">
        <v>66486</v>
      </c>
      <c r="U23" s="693"/>
      <c r="V23" s="690">
        <f t="shared" si="2"/>
        <v>-53514</v>
      </c>
      <c r="W23" s="683"/>
      <c r="X23" s="474">
        <f t="shared" si="3"/>
        <v>120000</v>
      </c>
      <c r="Y23" s="474">
        <f t="shared" si="4"/>
        <v>0</v>
      </c>
      <c r="Z23" s="475">
        <f t="shared" si="5"/>
        <v>0</v>
      </c>
      <c r="AA23" s="475">
        <v>0</v>
      </c>
      <c r="AB23" s="476">
        <v>0</v>
      </c>
      <c r="AC23" s="38">
        <f t="shared" si="6"/>
        <v>0</v>
      </c>
      <c r="AD23" s="692">
        <f t="shared" si="7"/>
        <v>56273.039999999994</v>
      </c>
      <c r="AE23" s="692">
        <f t="shared" si="8"/>
        <v>0</v>
      </c>
      <c r="AF23" s="692">
        <f t="shared" si="9"/>
        <v>0</v>
      </c>
      <c r="AG23" s="38"/>
      <c r="AH23" s="692">
        <f t="shared" si="10"/>
        <v>120000</v>
      </c>
      <c r="AI23" s="692">
        <f t="shared" si="11"/>
        <v>0</v>
      </c>
      <c r="AJ23" s="692">
        <f t="shared" si="12"/>
        <v>0</v>
      </c>
      <c r="AL23" s="38">
        <f t="shared" si="13"/>
        <v>176273.03999999998</v>
      </c>
    </row>
    <row r="24" spans="1:38">
      <c r="A24" s="20"/>
      <c r="B24" s="20" t="s">
        <v>110</v>
      </c>
      <c r="C24" s="667"/>
      <c r="D24" s="68" t="s">
        <v>1015</v>
      </c>
      <c r="E24" s="679"/>
      <c r="F24" s="529">
        <v>0</v>
      </c>
      <c r="G24" s="680"/>
      <c r="H24" s="680"/>
      <c r="I24" s="755"/>
      <c r="J24" s="682">
        <f t="shared" ref="J24" si="14">SUM(E24:I24)</f>
        <v>0</v>
      </c>
      <c r="K24" s="683"/>
      <c r="L24" s="684"/>
      <c r="M24" s="753"/>
      <c r="N24" s="683">
        <v>0</v>
      </c>
      <c r="O24" s="686"/>
      <c r="P24" s="683">
        <v>0</v>
      </c>
      <c r="Q24" s="687">
        <f t="shared" ref="Q24" si="15">L24+M24</f>
        <v>0</v>
      </c>
      <c r="R24" s="687"/>
      <c r="S24" s="687"/>
      <c r="T24" s="688">
        <v>0</v>
      </c>
      <c r="U24" s="693"/>
      <c r="V24" s="690">
        <f t="shared" ref="V24" si="16">IF(T24="","",T24-Q24)</f>
        <v>0</v>
      </c>
      <c r="W24" s="683"/>
      <c r="X24" s="474">
        <f t="shared" ref="X24" si="17">IF(B24="D",Q24,0)</f>
        <v>0</v>
      </c>
      <c r="Y24" s="474">
        <f t="shared" ref="Y24" si="18">IF(B24="M",Q24,0)</f>
        <v>0</v>
      </c>
      <c r="Z24" s="475">
        <f t="shared" ref="Z24" si="19">IF(B24="V",Q24,0)</f>
        <v>0</v>
      </c>
      <c r="AA24" s="475">
        <v>0</v>
      </c>
      <c r="AB24" s="476">
        <v>0</v>
      </c>
      <c r="AC24" s="38">
        <f t="shared" ref="AC24" si="20">(L24+M24)-(X24+Y24+Z24+AA24+AB24)</f>
        <v>0</v>
      </c>
      <c r="AD24" s="692">
        <f t="shared" ref="AD24" si="21">IF(B24="D",J24,0)</f>
        <v>0</v>
      </c>
      <c r="AE24" s="692">
        <f t="shared" ref="AE24" si="22">IF(B24="M",J24,0)</f>
        <v>0</v>
      </c>
      <c r="AF24" s="692">
        <f t="shared" ref="AF24" si="23">IF(B24="V",J24,0)</f>
        <v>0</v>
      </c>
      <c r="AG24" s="38"/>
      <c r="AH24" s="692">
        <f t="shared" ref="AH24" si="24">IF(B24="D",Q24,0)</f>
        <v>0</v>
      </c>
      <c r="AI24" s="692">
        <f t="shared" ref="AI24" si="25">IF(B24="M",Q24,0)</f>
        <v>0</v>
      </c>
      <c r="AJ24" s="692">
        <f t="shared" ref="AJ24" si="26">IF(B24="V",Q24,0)</f>
        <v>0</v>
      </c>
      <c r="AL24" s="38">
        <f t="shared" ref="AL24" si="27">SUM(AD24:AJ24)</f>
        <v>0</v>
      </c>
    </row>
    <row r="25" spans="1:38" s="232" customFormat="1">
      <c r="A25" s="283" t="s">
        <v>211</v>
      </c>
      <c r="B25" s="283" t="s">
        <v>109</v>
      </c>
      <c r="C25" s="667" t="s">
        <v>525</v>
      </c>
      <c r="D25" s="123" t="s">
        <v>419</v>
      </c>
      <c r="E25" s="679">
        <v>33719.64</v>
      </c>
      <c r="F25" s="529">
        <f>VLOOKUP(D25,'Aug 2013 Revenue'!D:V,19,FALSE)</f>
        <v>-40000</v>
      </c>
      <c r="G25" s="680"/>
      <c r="H25" s="680"/>
      <c r="I25" s="755"/>
      <c r="J25" s="682">
        <f t="shared" si="0"/>
        <v>-6280.3600000000006</v>
      </c>
      <c r="K25" s="683"/>
      <c r="L25" s="684"/>
      <c r="M25" s="753">
        <v>20000</v>
      </c>
      <c r="N25" s="683">
        <v>0</v>
      </c>
      <c r="O25" s="686"/>
      <c r="P25" s="683">
        <v>0</v>
      </c>
      <c r="Q25" s="687">
        <f t="shared" si="1"/>
        <v>20000</v>
      </c>
      <c r="R25" s="687"/>
      <c r="S25" s="687"/>
      <c r="T25" s="688">
        <v>0</v>
      </c>
      <c r="U25" s="693"/>
      <c r="V25" s="690">
        <f t="shared" si="2"/>
        <v>-20000</v>
      </c>
      <c r="W25" s="683"/>
      <c r="X25" s="474">
        <f t="shared" si="3"/>
        <v>0</v>
      </c>
      <c r="Y25" s="474">
        <f t="shared" si="4"/>
        <v>20000</v>
      </c>
      <c r="Z25" s="475">
        <f t="shared" si="5"/>
        <v>0</v>
      </c>
      <c r="AA25" s="475">
        <v>0</v>
      </c>
      <c r="AB25" s="476">
        <v>0</v>
      </c>
      <c r="AC25" s="38">
        <f t="shared" si="6"/>
        <v>0</v>
      </c>
      <c r="AD25" s="692">
        <f t="shared" si="7"/>
        <v>0</v>
      </c>
      <c r="AE25" s="692">
        <f t="shared" si="8"/>
        <v>-6280.3600000000006</v>
      </c>
      <c r="AF25" s="692">
        <f t="shared" si="9"/>
        <v>0</v>
      </c>
      <c r="AG25" s="38"/>
      <c r="AH25" s="692">
        <f t="shared" si="10"/>
        <v>0</v>
      </c>
      <c r="AI25" s="692">
        <f t="shared" si="11"/>
        <v>20000</v>
      </c>
      <c r="AJ25" s="692">
        <f t="shared" si="12"/>
        <v>0</v>
      </c>
      <c r="AL25" s="38">
        <f t="shared" si="13"/>
        <v>13719.64</v>
      </c>
    </row>
    <row r="26" spans="1:38">
      <c r="A26" s="20"/>
      <c r="B26" s="20" t="s">
        <v>110</v>
      </c>
      <c r="C26" s="667"/>
      <c r="D26" s="68" t="s">
        <v>922</v>
      </c>
      <c r="E26" s="679">
        <v>659.08</v>
      </c>
      <c r="F26" s="529">
        <f>VLOOKUP(D26,'Aug 2013 Revenue'!D:V,19,FALSE)</f>
        <v>0</v>
      </c>
      <c r="G26" s="680"/>
      <c r="H26" s="680"/>
      <c r="I26" s="770">
        <v>1255.3800000000001</v>
      </c>
      <c r="J26" s="682">
        <f t="shared" si="0"/>
        <v>1914.46</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1914.46</v>
      </c>
      <c r="AE26" s="692">
        <f t="shared" si="8"/>
        <v>0</v>
      </c>
      <c r="AF26" s="692">
        <f t="shared" si="9"/>
        <v>0</v>
      </c>
      <c r="AG26" s="38"/>
      <c r="AH26" s="692">
        <f t="shared" si="10"/>
        <v>0</v>
      </c>
      <c r="AI26" s="692">
        <f t="shared" si="11"/>
        <v>0</v>
      </c>
      <c r="AJ26" s="692">
        <f t="shared" si="12"/>
        <v>0</v>
      </c>
      <c r="AL26" s="38">
        <f t="shared" si="13"/>
        <v>1914.46</v>
      </c>
    </row>
    <row r="27" spans="1:38">
      <c r="A27" s="20"/>
      <c r="B27" s="20" t="s">
        <v>110</v>
      </c>
      <c r="C27" s="667"/>
      <c r="D27" s="68" t="s">
        <v>589</v>
      </c>
      <c r="E27" s="679"/>
      <c r="F27" s="529">
        <f>VLOOKUP(D27,'Aug 2013 Revenue'!D:V,19,FALSE)</f>
        <v>-14000</v>
      </c>
      <c r="G27" s="680"/>
      <c r="H27" s="680"/>
      <c r="I27" s="755"/>
      <c r="J27" s="682">
        <f t="shared" si="0"/>
        <v>-14000</v>
      </c>
      <c r="K27" s="683"/>
      <c r="L27" s="684"/>
      <c r="M27" s="753">
        <v>21000</v>
      </c>
      <c r="N27" s="683">
        <v>0</v>
      </c>
      <c r="O27" s="686"/>
      <c r="P27" s="683">
        <v>0</v>
      </c>
      <c r="Q27" s="687">
        <f t="shared" si="1"/>
        <v>21000</v>
      </c>
      <c r="R27" s="687"/>
      <c r="S27" s="687"/>
      <c r="T27" s="688">
        <v>29355.35</v>
      </c>
      <c r="U27" s="693"/>
      <c r="V27" s="690">
        <f t="shared" si="2"/>
        <v>8355.3499999999985</v>
      </c>
      <c r="W27" s="683"/>
      <c r="X27" s="474">
        <f t="shared" si="3"/>
        <v>21000</v>
      </c>
      <c r="Y27" s="474">
        <f t="shared" si="4"/>
        <v>0</v>
      </c>
      <c r="Z27" s="475">
        <f t="shared" si="5"/>
        <v>0</v>
      </c>
      <c r="AA27" s="475">
        <v>0</v>
      </c>
      <c r="AB27" s="476">
        <v>0</v>
      </c>
      <c r="AC27" s="38">
        <f t="shared" si="6"/>
        <v>0</v>
      </c>
      <c r="AD27" s="692">
        <f t="shared" si="7"/>
        <v>-14000</v>
      </c>
      <c r="AE27" s="692">
        <f t="shared" si="8"/>
        <v>0</v>
      </c>
      <c r="AF27" s="692">
        <f t="shared" si="9"/>
        <v>0</v>
      </c>
      <c r="AG27" s="38"/>
      <c r="AH27" s="692">
        <f t="shared" si="10"/>
        <v>21000</v>
      </c>
      <c r="AI27" s="692">
        <f t="shared" si="11"/>
        <v>0</v>
      </c>
      <c r="AJ27" s="692">
        <f t="shared" si="12"/>
        <v>0</v>
      </c>
      <c r="AL27" s="38">
        <f t="shared" si="13"/>
        <v>7000</v>
      </c>
    </row>
    <row r="28" spans="1:38">
      <c r="A28" s="20"/>
      <c r="B28" s="20" t="s">
        <v>110</v>
      </c>
      <c r="C28" s="667"/>
      <c r="D28" s="68" t="s">
        <v>829</v>
      </c>
      <c r="E28" s="679">
        <v>6523.98</v>
      </c>
      <c r="F28" s="529">
        <f>VLOOKUP(D28,'Aug 2013 Revenue'!D:V,19,FALSE)</f>
        <v>0</v>
      </c>
      <c r="G28" s="680"/>
      <c r="H28" s="680"/>
      <c r="I28" s="755"/>
      <c r="J28" s="682">
        <f t="shared" si="0"/>
        <v>6523.98</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6523.98</v>
      </c>
      <c r="AE28" s="692">
        <f t="shared" si="8"/>
        <v>0</v>
      </c>
      <c r="AF28" s="692">
        <f t="shared" si="9"/>
        <v>0</v>
      </c>
      <c r="AG28" s="38"/>
      <c r="AH28" s="692">
        <f t="shared" si="10"/>
        <v>0</v>
      </c>
      <c r="AI28" s="692">
        <f t="shared" si="11"/>
        <v>0</v>
      </c>
      <c r="AJ28" s="692">
        <f t="shared" si="12"/>
        <v>0</v>
      </c>
      <c r="AL28" s="38">
        <f t="shared" si="13"/>
        <v>6523.98</v>
      </c>
    </row>
    <row r="29" spans="1:38">
      <c r="A29" s="20"/>
      <c r="B29" s="20" t="s">
        <v>109</v>
      </c>
      <c r="C29" s="667" t="s">
        <v>526</v>
      </c>
      <c r="D29" s="68" t="s">
        <v>385</v>
      </c>
      <c r="E29" s="679">
        <f>845.23+940.5</f>
        <v>1785.73</v>
      </c>
      <c r="F29" s="529">
        <f>VLOOKUP(D29,'Aug 2013 Revenue'!D:V,19,FALSE)</f>
        <v>0</v>
      </c>
      <c r="G29" s="680"/>
      <c r="H29" s="680"/>
      <c r="I29" s="755"/>
      <c r="J29" s="682">
        <f t="shared" si="0"/>
        <v>1785.73</v>
      </c>
      <c r="K29" s="683"/>
      <c r="L29" s="684"/>
      <c r="M29" s="753"/>
      <c r="N29" s="683">
        <v>0</v>
      </c>
      <c r="O29" s="686"/>
      <c r="P29" s="683">
        <v>0</v>
      </c>
      <c r="Q29" s="687">
        <f t="shared" si="1"/>
        <v>0</v>
      </c>
      <c r="R29" s="687"/>
      <c r="S29" s="687"/>
      <c r="T29" s="688">
        <v>1167.6500000000001</v>
      </c>
      <c r="U29" s="693"/>
      <c r="V29" s="690">
        <f t="shared" si="2"/>
        <v>1167.6500000000001</v>
      </c>
      <c r="W29" s="691"/>
      <c r="X29" s="474">
        <f t="shared" si="3"/>
        <v>0</v>
      </c>
      <c r="Y29" s="474">
        <f t="shared" si="4"/>
        <v>0</v>
      </c>
      <c r="Z29" s="475">
        <f t="shared" si="5"/>
        <v>0</v>
      </c>
      <c r="AA29" s="475">
        <v>0</v>
      </c>
      <c r="AB29" s="476">
        <v>0</v>
      </c>
      <c r="AC29" s="38">
        <f t="shared" si="6"/>
        <v>0</v>
      </c>
      <c r="AD29" s="692">
        <f t="shared" si="7"/>
        <v>0</v>
      </c>
      <c r="AE29" s="692">
        <f t="shared" si="8"/>
        <v>1785.73</v>
      </c>
      <c r="AF29" s="692">
        <f t="shared" si="9"/>
        <v>0</v>
      </c>
      <c r="AG29" s="38"/>
      <c r="AH29" s="692">
        <f t="shared" si="10"/>
        <v>0</v>
      </c>
      <c r="AI29" s="692">
        <f t="shared" si="11"/>
        <v>0</v>
      </c>
      <c r="AJ29" s="692">
        <f t="shared" si="12"/>
        <v>0</v>
      </c>
      <c r="AL29" s="38">
        <f t="shared" si="13"/>
        <v>1785.73</v>
      </c>
    </row>
    <row r="30" spans="1:38" s="232" customFormat="1">
      <c r="A30" s="283"/>
      <c r="B30" s="283" t="s">
        <v>110</v>
      </c>
      <c r="C30" s="667" t="s">
        <v>527</v>
      </c>
      <c r="D30" s="123" t="s">
        <v>401</v>
      </c>
      <c r="E30" s="679"/>
      <c r="F30" s="529">
        <f>VLOOKUP(D30,'Aug 2013 Revenue'!D:V,19,FALSE)</f>
        <v>-32549.699999999953</v>
      </c>
      <c r="G30" s="680"/>
      <c r="H30" s="680"/>
      <c r="I30" s="755"/>
      <c r="J30" s="682">
        <f t="shared" si="0"/>
        <v>-32549.699999999953</v>
      </c>
      <c r="K30" s="683"/>
      <c r="L30" s="684"/>
      <c r="M30" s="753">
        <v>925000</v>
      </c>
      <c r="N30" s="683">
        <v>0</v>
      </c>
      <c r="O30" s="686"/>
      <c r="P30" s="683">
        <v>0</v>
      </c>
      <c r="Q30" s="687">
        <f t="shared" si="1"/>
        <v>925000</v>
      </c>
      <c r="R30" s="687"/>
      <c r="S30" s="687"/>
      <c r="T30" s="688">
        <v>850978.5</v>
      </c>
      <c r="U30" s="693"/>
      <c r="V30" s="690">
        <f t="shared" si="2"/>
        <v>-74021.5</v>
      </c>
      <c r="W30" s="683"/>
      <c r="X30" s="474">
        <f t="shared" si="3"/>
        <v>925000</v>
      </c>
      <c r="Y30" s="474">
        <f t="shared" si="4"/>
        <v>0</v>
      </c>
      <c r="Z30" s="475">
        <f t="shared" si="5"/>
        <v>0</v>
      </c>
      <c r="AA30" s="475">
        <v>0</v>
      </c>
      <c r="AB30" s="476">
        <v>0</v>
      </c>
      <c r="AC30" s="38">
        <f t="shared" si="6"/>
        <v>0</v>
      </c>
      <c r="AD30" s="692">
        <f t="shared" si="7"/>
        <v>-32549.699999999953</v>
      </c>
      <c r="AE30" s="692">
        <f t="shared" si="8"/>
        <v>0</v>
      </c>
      <c r="AF30" s="692">
        <f t="shared" si="9"/>
        <v>0</v>
      </c>
      <c r="AG30" s="38"/>
      <c r="AH30" s="692">
        <f t="shared" si="10"/>
        <v>925000</v>
      </c>
      <c r="AI30" s="692">
        <f t="shared" si="11"/>
        <v>0</v>
      </c>
      <c r="AJ30" s="692">
        <f t="shared" si="12"/>
        <v>0</v>
      </c>
      <c r="AL30" s="38">
        <f t="shared" si="13"/>
        <v>892450.3</v>
      </c>
    </row>
    <row r="31" spans="1:38" s="232" customFormat="1">
      <c r="A31" s="283"/>
      <c r="B31" s="283" t="s">
        <v>110</v>
      </c>
      <c r="C31" s="667" t="s">
        <v>528</v>
      </c>
      <c r="D31" s="123" t="s">
        <v>403</v>
      </c>
      <c r="E31" s="679"/>
      <c r="F31" s="529">
        <f>VLOOKUP(D31,'Aug 2013 Revenue'!D:V,19,FALSE)</f>
        <v>12979.790000000008</v>
      </c>
      <c r="G31" s="680"/>
      <c r="H31" s="680"/>
      <c r="I31" s="755"/>
      <c r="J31" s="682">
        <f t="shared" si="0"/>
        <v>12979.790000000008</v>
      </c>
      <c r="K31" s="683"/>
      <c r="L31" s="684"/>
      <c r="M31" s="753">
        <v>150000</v>
      </c>
      <c r="N31" s="683">
        <v>0</v>
      </c>
      <c r="O31" s="686"/>
      <c r="P31" s="683">
        <v>0</v>
      </c>
      <c r="Q31" s="687">
        <f t="shared" si="1"/>
        <v>150000</v>
      </c>
      <c r="R31" s="687"/>
      <c r="S31" s="687"/>
      <c r="T31" s="688">
        <v>161256.35999999999</v>
      </c>
      <c r="U31" s="693"/>
      <c r="V31" s="690">
        <f t="shared" si="2"/>
        <v>11256.359999999986</v>
      </c>
      <c r="W31" s="683"/>
      <c r="X31" s="474">
        <f t="shared" si="3"/>
        <v>150000</v>
      </c>
      <c r="Y31" s="474">
        <f t="shared" si="4"/>
        <v>0</v>
      </c>
      <c r="Z31" s="475">
        <f t="shared" si="5"/>
        <v>0</v>
      </c>
      <c r="AA31" s="475">
        <v>0</v>
      </c>
      <c r="AB31" s="476">
        <v>0</v>
      </c>
      <c r="AC31" s="38">
        <f t="shared" si="6"/>
        <v>0</v>
      </c>
      <c r="AD31" s="692">
        <f t="shared" si="7"/>
        <v>12979.790000000008</v>
      </c>
      <c r="AE31" s="692">
        <f t="shared" si="8"/>
        <v>0</v>
      </c>
      <c r="AF31" s="692">
        <f t="shared" si="9"/>
        <v>0</v>
      </c>
      <c r="AG31" s="38"/>
      <c r="AH31" s="692">
        <f t="shared" si="10"/>
        <v>150000</v>
      </c>
      <c r="AI31" s="692">
        <f t="shared" si="11"/>
        <v>0</v>
      </c>
      <c r="AJ31" s="692">
        <f t="shared" si="12"/>
        <v>0</v>
      </c>
      <c r="AL31" s="38">
        <f t="shared" si="13"/>
        <v>162979.79</v>
      </c>
    </row>
    <row r="32" spans="1:38" s="232" customFormat="1">
      <c r="A32" s="283"/>
      <c r="B32" s="283" t="s">
        <v>110</v>
      </c>
      <c r="C32" s="667" t="s">
        <v>528</v>
      </c>
      <c r="D32" s="123" t="s">
        <v>404</v>
      </c>
      <c r="E32" s="679"/>
      <c r="F32" s="529">
        <f>VLOOKUP(D32,'Aug 2013 Revenue'!D:V,19,FALSE)</f>
        <v>11213.859999999986</v>
      </c>
      <c r="G32" s="680"/>
      <c r="H32" s="680"/>
      <c r="I32" s="755"/>
      <c r="J32" s="682">
        <f t="shared" si="0"/>
        <v>11213.859999999986</v>
      </c>
      <c r="K32" s="683"/>
      <c r="L32" s="684"/>
      <c r="M32" s="753">
        <v>150000</v>
      </c>
      <c r="N32" s="683">
        <v>0</v>
      </c>
      <c r="O32" s="686"/>
      <c r="P32" s="683">
        <v>0</v>
      </c>
      <c r="Q32" s="687">
        <f t="shared" si="1"/>
        <v>150000</v>
      </c>
      <c r="R32" s="687"/>
      <c r="S32" s="687"/>
      <c r="T32" s="688">
        <v>154448.56</v>
      </c>
      <c r="U32" s="693"/>
      <c r="V32" s="690">
        <f t="shared" si="2"/>
        <v>4448.5599999999977</v>
      </c>
      <c r="W32" s="683"/>
      <c r="X32" s="474">
        <f t="shared" si="3"/>
        <v>150000</v>
      </c>
      <c r="Y32" s="474">
        <f t="shared" si="4"/>
        <v>0</v>
      </c>
      <c r="Z32" s="475">
        <f t="shared" si="5"/>
        <v>0</v>
      </c>
      <c r="AA32" s="475">
        <v>0</v>
      </c>
      <c r="AB32" s="476">
        <v>0</v>
      </c>
      <c r="AC32" s="38">
        <f t="shared" si="6"/>
        <v>0</v>
      </c>
      <c r="AD32" s="692">
        <f t="shared" si="7"/>
        <v>11213.859999999986</v>
      </c>
      <c r="AE32" s="692">
        <f t="shared" si="8"/>
        <v>0</v>
      </c>
      <c r="AF32" s="692">
        <f t="shared" si="9"/>
        <v>0</v>
      </c>
      <c r="AG32" s="38"/>
      <c r="AH32" s="692">
        <f t="shared" si="10"/>
        <v>150000</v>
      </c>
      <c r="AI32" s="692">
        <f t="shared" si="11"/>
        <v>0</v>
      </c>
      <c r="AJ32" s="692">
        <f t="shared" si="12"/>
        <v>0</v>
      </c>
      <c r="AL32" s="38">
        <f t="shared" si="13"/>
        <v>161213.85999999999</v>
      </c>
    </row>
    <row r="33" spans="1:38" s="232" customFormat="1">
      <c r="A33" s="283"/>
      <c r="B33" s="283" t="s">
        <v>110</v>
      </c>
      <c r="C33" s="667" t="s">
        <v>528</v>
      </c>
      <c r="D33" s="123" t="s">
        <v>405</v>
      </c>
      <c r="E33" s="679"/>
      <c r="F33" s="529">
        <f>VLOOKUP(D33,'Aug 2013 Revenue'!D:V,19,FALSE)</f>
        <v>2225.25</v>
      </c>
      <c r="G33" s="680"/>
      <c r="H33" s="680"/>
      <c r="I33" s="755"/>
      <c r="J33" s="682">
        <f t="shared" si="0"/>
        <v>2225.25</v>
      </c>
      <c r="K33" s="683"/>
      <c r="L33" s="684"/>
      <c r="M33" s="753">
        <v>25000</v>
      </c>
      <c r="N33" s="683">
        <v>0</v>
      </c>
      <c r="O33" s="686"/>
      <c r="P33" s="683">
        <v>0</v>
      </c>
      <c r="Q33" s="687">
        <f t="shared" si="1"/>
        <v>25000</v>
      </c>
      <c r="R33" s="687"/>
      <c r="S33" s="687"/>
      <c r="T33" s="688">
        <v>28902.14</v>
      </c>
      <c r="U33" s="693"/>
      <c r="V33" s="690">
        <f t="shared" si="2"/>
        <v>3902.1399999999994</v>
      </c>
      <c r="W33" s="683"/>
      <c r="X33" s="474">
        <f t="shared" si="3"/>
        <v>25000</v>
      </c>
      <c r="Y33" s="474">
        <f t="shared" si="4"/>
        <v>0</v>
      </c>
      <c r="Z33" s="475">
        <f t="shared" si="5"/>
        <v>0</v>
      </c>
      <c r="AA33" s="475">
        <v>0</v>
      </c>
      <c r="AB33" s="476">
        <v>0</v>
      </c>
      <c r="AC33" s="38">
        <f t="shared" si="6"/>
        <v>0</v>
      </c>
      <c r="AD33" s="692">
        <f t="shared" si="7"/>
        <v>2225.25</v>
      </c>
      <c r="AE33" s="692">
        <f t="shared" si="8"/>
        <v>0</v>
      </c>
      <c r="AF33" s="692">
        <f t="shared" si="9"/>
        <v>0</v>
      </c>
      <c r="AG33" s="38"/>
      <c r="AH33" s="692">
        <f t="shared" si="10"/>
        <v>25000</v>
      </c>
      <c r="AI33" s="692">
        <f t="shared" si="11"/>
        <v>0</v>
      </c>
      <c r="AJ33" s="692">
        <f t="shared" si="12"/>
        <v>0</v>
      </c>
      <c r="AL33" s="38">
        <f t="shared" si="13"/>
        <v>27225.25</v>
      </c>
    </row>
    <row r="34" spans="1:38" s="232" customFormat="1">
      <c r="A34" s="283"/>
      <c r="B34" s="283" t="s">
        <v>110</v>
      </c>
      <c r="C34" s="667" t="s">
        <v>528</v>
      </c>
      <c r="D34" s="123" t="s">
        <v>406</v>
      </c>
      <c r="E34" s="679"/>
      <c r="F34" s="529">
        <f>VLOOKUP(D34,'Aug 2013 Revenue'!D:V,19,FALSE)</f>
        <v>1326.2399999999998</v>
      </c>
      <c r="G34" s="680"/>
      <c r="H34" s="680"/>
      <c r="I34" s="755"/>
      <c r="J34" s="682">
        <f t="shared" si="0"/>
        <v>1326.2399999999998</v>
      </c>
      <c r="K34" s="683"/>
      <c r="L34" s="684"/>
      <c r="M34" s="753">
        <v>12000</v>
      </c>
      <c r="N34" s="683">
        <v>0</v>
      </c>
      <c r="O34" s="686"/>
      <c r="P34" s="683">
        <v>0</v>
      </c>
      <c r="Q34" s="687">
        <f t="shared" si="1"/>
        <v>12000</v>
      </c>
      <c r="R34" s="687"/>
      <c r="S34" s="687"/>
      <c r="T34" s="688">
        <v>12583.46</v>
      </c>
      <c r="U34" s="693"/>
      <c r="V34" s="690">
        <f t="shared" si="2"/>
        <v>583.45999999999913</v>
      </c>
      <c r="W34" s="683"/>
      <c r="X34" s="474">
        <f t="shared" si="3"/>
        <v>12000</v>
      </c>
      <c r="Y34" s="474">
        <f t="shared" si="4"/>
        <v>0</v>
      </c>
      <c r="Z34" s="475">
        <f t="shared" si="5"/>
        <v>0</v>
      </c>
      <c r="AA34" s="475">
        <v>0</v>
      </c>
      <c r="AB34" s="476">
        <v>0</v>
      </c>
      <c r="AC34" s="38">
        <f t="shared" si="6"/>
        <v>0</v>
      </c>
      <c r="AD34" s="692">
        <f t="shared" si="7"/>
        <v>1326.2399999999998</v>
      </c>
      <c r="AE34" s="692">
        <f t="shared" si="8"/>
        <v>0</v>
      </c>
      <c r="AF34" s="692">
        <f t="shared" si="9"/>
        <v>0</v>
      </c>
      <c r="AG34" s="38"/>
      <c r="AH34" s="692">
        <f t="shared" si="10"/>
        <v>12000</v>
      </c>
      <c r="AI34" s="692">
        <f t="shared" si="11"/>
        <v>0</v>
      </c>
      <c r="AJ34" s="692">
        <f t="shared" si="12"/>
        <v>0</v>
      </c>
      <c r="AL34" s="38">
        <f t="shared" si="13"/>
        <v>13326.24</v>
      </c>
    </row>
    <row r="35" spans="1:38" s="232" customFormat="1">
      <c r="A35" s="283"/>
      <c r="B35" s="283" t="s">
        <v>110</v>
      </c>
      <c r="C35" s="667" t="s">
        <v>528</v>
      </c>
      <c r="D35" s="123" t="s">
        <v>407</v>
      </c>
      <c r="E35" s="679"/>
      <c r="F35" s="529">
        <f>VLOOKUP(D35,'Aug 2013 Revenue'!D:V,19,FALSE)</f>
        <v>772.60999999999967</v>
      </c>
      <c r="G35" s="680"/>
      <c r="H35" s="680"/>
      <c r="I35" s="755"/>
      <c r="J35" s="682">
        <f t="shared" si="0"/>
        <v>772.60999999999967</v>
      </c>
      <c r="K35" s="683"/>
      <c r="L35" s="684"/>
      <c r="M35" s="753">
        <v>5000</v>
      </c>
      <c r="N35" s="683">
        <v>0</v>
      </c>
      <c r="O35" s="686"/>
      <c r="P35" s="683">
        <v>0</v>
      </c>
      <c r="Q35" s="687">
        <f t="shared" si="1"/>
        <v>5000</v>
      </c>
      <c r="R35" s="687"/>
      <c r="S35" s="687"/>
      <c r="T35" s="688">
        <v>5169.8</v>
      </c>
      <c r="U35" s="693"/>
      <c r="V35" s="690">
        <f t="shared" si="2"/>
        <v>169.80000000000018</v>
      </c>
      <c r="W35" s="683"/>
      <c r="X35" s="474">
        <f t="shared" si="3"/>
        <v>5000</v>
      </c>
      <c r="Y35" s="474">
        <f t="shared" si="4"/>
        <v>0</v>
      </c>
      <c r="Z35" s="475">
        <f t="shared" si="5"/>
        <v>0</v>
      </c>
      <c r="AA35" s="475">
        <v>0</v>
      </c>
      <c r="AB35" s="476">
        <v>0</v>
      </c>
      <c r="AC35" s="38">
        <f t="shared" si="6"/>
        <v>0</v>
      </c>
      <c r="AD35" s="692">
        <f t="shared" si="7"/>
        <v>772.60999999999967</v>
      </c>
      <c r="AE35" s="692">
        <f t="shared" si="8"/>
        <v>0</v>
      </c>
      <c r="AF35" s="692">
        <f t="shared" si="9"/>
        <v>0</v>
      </c>
      <c r="AG35" s="38"/>
      <c r="AH35" s="692">
        <f t="shared" si="10"/>
        <v>5000</v>
      </c>
      <c r="AI35" s="692">
        <f t="shared" si="11"/>
        <v>0</v>
      </c>
      <c r="AJ35" s="692">
        <f t="shared" si="12"/>
        <v>0</v>
      </c>
      <c r="AL35" s="38">
        <f t="shared" si="13"/>
        <v>5772.61</v>
      </c>
    </row>
    <row r="36" spans="1:38" s="232" customFormat="1">
      <c r="A36" s="283"/>
      <c r="B36" s="283" t="s">
        <v>110</v>
      </c>
      <c r="C36" s="667" t="s">
        <v>528</v>
      </c>
      <c r="D36" s="123" t="s">
        <v>880</v>
      </c>
      <c r="E36" s="679"/>
      <c r="F36" s="529">
        <f>VLOOKUP(D36,'Aug 2013 Revenue'!D:V,19,FALSE)</f>
        <v>-319.88000000000011</v>
      </c>
      <c r="G36" s="680"/>
      <c r="H36" s="680"/>
      <c r="I36" s="755"/>
      <c r="J36" s="682">
        <f t="shared" si="0"/>
        <v>-319.88000000000011</v>
      </c>
      <c r="K36" s="683"/>
      <c r="L36" s="684"/>
      <c r="M36" s="753">
        <v>5000</v>
      </c>
      <c r="N36" s="683">
        <v>0</v>
      </c>
      <c r="O36" s="686"/>
      <c r="P36" s="683">
        <v>0</v>
      </c>
      <c r="Q36" s="687">
        <f t="shared" si="1"/>
        <v>5000</v>
      </c>
      <c r="R36" s="687"/>
      <c r="S36" s="687"/>
      <c r="T36" s="688">
        <v>4854.26</v>
      </c>
      <c r="U36" s="693"/>
      <c r="V36" s="690">
        <f t="shared" si="2"/>
        <v>-145.73999999999978</v>
      </c>
      <c r="W36" s="683"/>
      <c r="X36" s="474">
        <f t="shared" si="3"/>
        <v>5000</v>
      </c>
      <c r="Y36" s="474">
        <f t="shared" si="4"/>
        <v>0</v>
      </c>
      <c r="Z36" s="475">
        <f t="shared" si="5"/>
        <v>0</v>
      </c>
      <c r="AA36" s="475">
        <v>0</v>
      </c>
      <c r="AB36" s="476">
        <v>0</v>
      </c>
      <c r="AC36" s="38">
        <f t="shared" si="6"/>
        <v>0</v>
      </c>
      <c r="AD36" s="692">
        <f t="shared" si="7"/>
        <v>-319.88000000000011</v>
      </c>
      <c r="AE36" s="692">
        <f t="shared" si="8"/>
        <v>0</v>
      </c>
      <c r="AF36" s="692">
        <f t="shared" si="9"/>
        <v>0</v>
      </c>
      <c r="AG36" s="38"/>
      <c r="AH36" s="692">
        <f t="shared" si="10"/>
        <v>5000</v>
      </c>
      <c r="AI36" s="692">
        <f t="shared" si="11"/>
        <v>0</v>
      </c>
      <c r="AJ36" s="692">
        <f t="shared" si="12"/>
        <v>0</v>
      </c>
      <c r="AL36" s="38">
        <f t="shared" si="13"/>
        <v>4680.12</v>
      </c>
    </row>
    <row r="37" spans="1:38" s="232" customFormat="1">
      <c r="A37" s="283"/>
      <c r="B37" s="283" t="s">
        <v>110</v>
      </c>
      <c r="C37" s="667" t="s">
        <v>528</v>
      </c>
      <c r="D37" s="123" t="s">
        <v>881</v>
      </c>
      <c r="E37" s="679"/>
      <c r="F37" s="529">
        <f>VLOOKUP(D37,'Aug 2013 Revenue'!D:V,19,FALSE)</f>
        <v>-1434.4699999999998</v>
      </c>
      <c r="G37" s="680"/>
      <c r="H37" s="680"/>
      <c r="I37" s="755"/>
      <c r="J37" s="682">
        <f t="shared" si="0"/>
        <v>-1434.4699999999998</v>
      </c>
      <c r="K37" s="683"/>
      <c r="L37" s="684"/>
      <c r="M37" s="753">
        <v>5000</v>
      </c>
      <c r="N37" s="683">
        <v>0</v>
      </c>
      <c r="O37" s="686"/>
      <c r="P37" s="683">
        <v>0</v>
      </c>
      <c r="Q37" s="687">
        <f t="shared" si="1"/>
        <v>5000</v>
      </c>
      <c r="R37" s="687"/>
      <c r="S37" s="687"/>
      <c r="T37" s="688">
        <v>4108.6400000000003</v>
      </c>
      <c r="U37" s="693"/>
      <c r="V37" s="690">
        <f t="shared" si="2"/>
        <v>-891.35999999999967</v>
      </c>
      <c r="W37" s="683"/>
      <c r="X37" s="474">
        <f t="shared" si="3"/>
        <v>5000</v>
      </c>
      <c r="Y37" s="474">
        <f t="shared" si="4"/>
        <v>0</v>
      </c>
      <c r="Z37" s="475">
        <f t="shared" si="5"/>
        <v>0</v>
      </c>
      <c r="AA37" s="475">
        <v>0</v>
      </c>
      <c r="AB37" s="476">
        <v>0</v>
      </c>
      <c r="AC37" s="38">
        <f t="shared" si="6"/>
        <v>0</v>
      </c>
      <c r="AD37" s="692">
        <f t="shared" si="7"/>
        <v>-1434.4699999999998</v>
      </c>
      <c r="AE37" s="692">
        <f t="shared" si="8"/>
        <v>0</v>
      </c>
      <c r="AF37" s="692">
        <f t="shared" si="9"/>
        <v>0</v>
      </c>
      <c r="AG37" s="38"/>
      <c r="AH37" s="692">
        <f t="shared" si="10"/>
        <v>5000</v>
      </c>
      <c r="AI37" s="692">
        <f t="shared" si="11"/>
        <v>0</v>
      </c>
      <c r="AJ37" s="692">
        <f t="shared" si="12"/>
        <v>0</v>
      </c>
      <c r="AL37" s="38">
        <f t="shared" si="13"/>
        <v>3565.53</v>
      </c>
    </row>
    <row r="38" spans="1:38" s="232" customFormat="1">
      <c r="A38" s="283"/>
      <c r="B38" s="283" t="s">
        <v>110</v>
      </c>
      <c r="C38" s="667" t="s">
        <v>528</v>
      </c>
      <c r="D38" s="123" t="s">
        <v>820</v>
      </c>
      <c r="E38" s="679"/>
      <c r="F38" s="529">
        <f>VLOOKUP(D38,'Aug 2013 Revenue'!D:V,19,FALSE)</f>
        <v>-2647.8199999999997</v>
      </c>
      <c r="G38" s="680"/>
      <c r="H38" s="680"/>
      <c r="I38" s="755"/>
      <c r="J38" s="682">
        <f t="shared" si="0"/>
        <v>-2647.8199999999997</v>
      </c>
      <c r="K38" s="683"/>
      <c r="L38" s="684"/>
      <c r="M38" s="753">
        <v>25000</v>
      </c>
      <c r="N38" s="683">
        <v>0</v>
      </c>
      <c r="O38" s="686"/>
      <c r="P38" s="683">
        <v>0</v>
      </c>
      <c r="Q38" s="687">
        <f t="shared" si="1"/>
        <v>25000</v>
      </c>
      <c r="R38" s="687"/>
      <c r="S38" s="687"/>
      <c r="T38" s="688">
        <v>23978.720000000001</v>
      </c>
      <c r="U38" s="693"/>
      <c r="V38" s="690">
        <f t="shared" si="2"/>
        <v>-1021.2799999999988</v>
      </c>
      <c r="W38" s="683"/>
      <c r="X38" s="474">
        <f t="shared" si="3"/>
        <v>25000</v>
      </c>
      <c r="Y38" s="474">
        <f t="shared" si="4"/>
        <v>0</v>
      </c>
      <c r="Z38" s="475">
        <f t="shared" si="5"/>
        <v>0</v>
      </c>
      <c r="AA38" s="475">
        <v>0</v>
      </c>
      <c r="AB38" s="476">
        <v>0</v>
      </c>
      <c r="AC38" s="38">
        <f t="shared" si="6"/>
        <v>0</v>
      </c>
      <c r="AD38" s="692">
        <f t="shared" si="7"/>
        <v>-2647.8199999999997</v>
      </c>
      <c r="AE38" s="692">
        <f t="shared" si="8"/>
        <v>0</v>
      </c>
      <c r="AF38" s="692">
        <f t="shared" si="9"/>
        <v>0</v>
      </c>
      <c r="AG38" s="38"/>
      <c r="AH38" s="692">
        <f t="shared" si="10"/>
        <v>25000</v>
      </c>
      <c r="AI38" s="692">
        <f t="shared" si="11"/>
        <v>0</v>
      </c>
      <c r="AJ38" s="692">
        <f t="shared" si="12"/>
        <v>0</v>
      </c>
      <c r="AL38" s="38">
        <f t="shared" si="13"/>
        <v>22352.18</v>
      </c>
    </row>
    <row r="39" spans="1:38" s="232" customFormat="1">
      <c r="A39" s="283"/>
      <c r="B39" s="283" t="s">
        <v>110</v>
      </c>
      <c r="C39" s="667" t="s">
        <v>527</v>
      </c>
      <c r="D39" s="123" t="s">
        <v>460</v>
      </c>
      <c r="E39" s="679"/>
      <c r="F39" s="529">
        <f>VLOOKUP(D39,'Aug 2013 Revenue'!D:V,19,FALSE)</f>
        <v>0</v>
      </c>
      <c r="G39" s="680"/>
      <c r="H39" s="680"/>
      <c r="I39" s="770">
        <v>40681.56</v>
      </c>
      <c r="J39" s="682">
        <f t="shared" si="0"/>
        <v>40681.56</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40681.56</v>
      </c>
      <c r="AE39" s="692">
        <f t="shared" si="8"/>
        <v>0</v>
      </c>
      <c r="AF39" s="692">
        <f t="shared" si="9"/>
        <v>0</v>
      </c>
      <c r="AG39" s="38"/>
      <c r="AH39" s="692">
        <f t="shared" si="10"/>
        <v>0</v>
      </c>
      <c r="AI39" s="692">
        <f t="shared" si="11"/>
        <v>0</v>
      </c>
      <c r="AJ39" s="692">
        <f t="shared" si="12"/>
        <v>0</v>
      </c>
      <c r="AL39" s="38">
        <f t="shared" si="13"/>
        <v>40681.56</v>
      </c>
    </row>
    <row r="40" spans="1:38" s="232" customFormat="1">
      <c r="A40" s="283"/>
      <c r="B40" s="283" t="s">
        <v>110</v>
      </c>
      <c r="C40" s="676" t="s">
        <v>528</v>
      </c>
      <c r="D40" s="123" t="s">
        <v>623</v>
      </c>
      <c r="E40" s="679"/>
      <c r="F40" s="529">
        <f>VLOOKUP(D40,'Aug 2013 Revenue'!D:V,19,FALSE)</f>
        <v>0</v>
      </c>
      <c r="G40" s="680"/>
      <c r="H40" s="680"/>
      <c r="I40" s="770">
        <v>9055.41</v>
      </c>
      <c r="J40" s="682">
        <f t="shared" si="0"/>
        <v>9055.41</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9055.41</v>
      </c>
      <c r="AE40" s="692">
        <f t="shared" si="8"/>
        <v>0</v>
      </c>
      <c r="AF40" s="692">
        <f t="shared" si="9"/>
        <v>0</v>
      </c>
      <c r="AG40" s="38"/>
      <c r="AH40" s="692">
        <f t="shared" si="10"/>
        <v>0</v>
      </c>
      <c r="AI40" s="692">
        <f t="shared" si="11"/>
        <v>0</v>
      </c>
      <c r="AJ40" s="692">
        <f t="shared" si="12"/>
        <v>0</v>
      </c>
      <c r="AL40" s="38">
        <f t="shared" si="13"/>
        <v>9055.41</v>
      </c>
    </row>
    <row r="41" spans="1:38" s="232" customFormat="1">
      <c r="A41" s="403"/>
      <c r="B41" s="403" t="s">
        <v>114</v>
      </c>
      <c r="C41" s="666" t="s">
        <v>529</v>
      </c>
      <c r="D41" s="123" t="s">
        <v>108</v>
      </c>
      <c r="E41" s="679"/>
      <c r="F41" s="529">
        <f>VLOOKUP(D41,'Aug 2013 Revenue'!D:V,19,FALSE)</f>
        <v>786.52000000000044</v>
      </c>
      <c r="G41" s="680"/>
      <c r="H41" s="680"/>
      <c r="I41" s="755"/>
      <c r="J41" s="682">
        <f t="shared" si="0"/>
        <v>786.52000000000044</v>
      </c>
      <c r="K41" s="683"/>
      <c r="L41" s="684"/>
      <c r="M41" s="753">
        <v>8000</v>
      </c>
      <c r="N41" s="683">
        <v>0</v>
      </c>
      <c r="O41" s="686"/>
      <c r="P41" s="683">
        <v>0</v>
      </c>
      <c r="Q41" s="687">
        <f t="shared" si="1"/>
        <v>8000</v>
      </c>
      <c r="R41" s="687"/>
      <c r="S41" s="687"/>
      <c r="T41" s="688">
        <v>7717.36</v>
      </c>
      <c r="U41" s="693"/>
      <c r="V41" s="690">
        <f t="shared" si="2"/>
        <v>-282.64000000000033</v>
      </c>
      <c r="W41" s="683"/>
      <c r="X41" s="474">
        <f t="shared" si="3"/>
        <v>0</v>
      </c>
      <c r="Y41" s="474">
        <f t="shared" si="4"/>
        <v>0</v>
      </c>
      <c r="Z41" s="475">
        <f t="shared" si="5"/>
        <v>8000</v>
      </c>
      <c r="AA41" s="475">
        <v>0</v>
      </c>
      <c r="AB41" s="476">
        <v>0</v>
      </c>
      <c r="AC41" s="38">
        <f t="shared" si="6"/>
        <v>0</v>
      </c>
      <c r="AD41" s="692">
        <f t="shared" si="7"/>
        <v>0</v>
      </c>
      <c r="AE41" s="692">
        <f t="shared" si="8"/>
        <v>0</v>
      </c>
      <c r="AF41" s="692">
        <f t="shared" si="9"/>
        <v>786.52000000000044</v>
      </c>
      <c r="AG41" s="38"/>
      <c r="AH41" s="692">
        <f t="shared" si="10"/>
        <v>0</v>
      </c>
      <c r="AI41" s="692">
        <f t="shared" si="11"/>
        <v>0</v>
      </c>
      <c r="AJ41" s="692">
        <f t="shared" si="12"/>
        <v>8000</v>
      </c>
      <c r="AL41" s="38">
        <f t="shared" si="13"/>
        <v>8786.52</v>
      </c>
    </row>
    <row r="42" spans="1:38" s="232" customFormat="1">
      <c r="A42" s="403"/>
      <c r="B42" s="403" t="s">
        <v>110</v>
      </c>
      <c r="C42" s="666"/>
      <c r="D42" s="123" t="s">
        <v>911</v>
      </c>
      <c r="E42" s="679"/>
      <c r="F42" s="529">
        <f>VLOOKUP(D42,'Aug 2013 Revenue'!D:V,19,FALSE)</f>
        <v>-24000</v>
      </c>
      <c r="G42" s="680"/>
      <c r="H42" s="680"/>
      <c r="I42" s="770">
        <f>13992.31+13753.49</f>
        <v>27745.8</v>
      </c>
      <c r="J42" s="682">
        <f t="shared" si="0"/>
        <v>3745.7999999999993</v>
      </c>
      <c r="K42" s="683"/>
      <c r="L42" s="684"/>
      <c r="M42" s="753">
        <v>14000</v>
      </c>
      <c r="N42" s="683">
        <v>0</v>
      </c>
      <c r="O42" s="686"/>
      <c r="P42" s="683">
        <v>0</v>
      </c>
      <c r="Q42" s="687">
        <f t="shared" si="1"/>
        <v>14000</v>
      </c>
      <c r="R42" s="687"/>
      <c r="S42" s="687"/>
      <c r="T42" s="688">
        <v>13731.34</v>
      </c>
      <c r="U42" s="693"/>
      <c r="V42" s="690">
        <f t="shared" si="2"/>
        <v>-268.65999999999985</v>
      </c>
      <c r="W42" s="683"/>
      <c r="X42" s="474">
        <f t="shared" si="3"/>
        <v>14000</v>
      </c>
      <c r="Y42" s="474">
        <f t="shared" si="4"/>
        <v>0</v>
      </c>
      <c r="Z42" s="475">
        <f t="shared" si="5"/>
        <v>0</v>
      </c>
      <c r="AA42" s="475">
        <v>0</v>
      </c>
      <c r="AB42" s="476">
        <v>0</v>
      </c>
      <c r="AC42" s="38">
        <f t="shared" si="6"/>
        <v>0</v>
      </c>
      <c r="AD42" s="692">
        <f t="shared" si="7"/>
        <v>3745.7999999999993</v>
      </c>
      <c r="AE42" s="692">
        <f t="shared" si="8"/>
        <v>0</v>
      </c>
      <c r="AF42" s="692">
        <f t="shared" si="9"/>
        <v>0</v>
      </c>
      <c r="AG42" s="38"/>
      <c r="AH42" s="692">
        <f t="shared" si="10"/>
        <v>14000</v>
      </c>
      <c r="AI42" s="692">
        <f t="shared" si="11"/>
        <v>0</v>
      </c>
      <c r="AJ42" s="692">
        <f t="shared" si="12"/>
        <v>0</v>
      </c>
      <c r="AL42" s="38">
        <f t="shared" si="13"/>
        <v>17745.8</v>
      </c>
    </row>
    <row r="43" spans="1:38">
      <c r="A43" s="21"/>
      <c r="B43" s="21" t="s">
        <v>110</v>
      </c>
      <c r="C43" s="666"/>
      <c r="D43" s="68" t="s">
        <v>234</v>
      </c>
      <c r="E43" s="679">
        <v>13545.26</v>
      </c>
      <c r="F43" s="529">
        <f>VLOOKUP(D43,'Aug 2013 Revenue'!D:V,19,FALSE)</f>
        <v>-13000</v>
      </c>
      <c r="G43" s="680"/>
      <c r="H43" s="680"/>
      <c r="I43" s="755"/>
      <c r="J43" s="682">
        <f t="shared" si="0"/>
        <v>545.26000000000022</v>
      </c>
      <c r="K43" s="683"/>
      <c r="L43" s="684"/>
      <c r="M43" s="753">
        <v>15000</v>
      </c>
      <c r="N43" s="683">
        <v>0</v>
      </c>
      <c r="O43" s="686"/>
      <c r="P43" s="683">
        <v>0</v>
      </c>
      <c r="Q43" s="687">
        <f t="shared" si="1"/>
        <v>15000</v>
      </c>
      <c r="R43" s="687"/>
      <c r="S43" s="687"/>
      <c r="T43" s="688">
        <v>0</v>
      </c>
      <c r="U43" s="693"/>
      <c r="V43" s="690">
        <f t="shared" si="2"/>
        <v>-15000</v>
      </c>
      <c r="W43" s="683"/>
      <c r="X43" s="474">
        <f t="shared" si="3"/>
        <v>15000</v>
      </c>
      <c r="Y43" s="474">
        <f t="shared" si="4"/>
        <v>0</v>
      </c>
      <c r="Z43" s="475">
        <f t="shared" si="5"/>
        <v>0</v>
      </c>
      <c r="AA43" s="475">
        <v>0</v>
      </c>
      <c r="AB43" s="476">
        <v>0</v>
      </c>
      <c r="AC43" s="38">
        <f t="shared" si="6"/>
        <v>0</v>
      </c>
      <c r="AD43" s="692">
        <f t="shared" si="7"/>
        <v>545.26000000000022</v>
      </c>
      <c r="AE43" s="692">
        <f t="shared" si="8"/>
        <v>0</v>
      </c>
      <c r="AF43" s="692">
        <f t="shared" si="9"/>
        <v>0</v>
      </c>
      <c r="AG43" s="38"/>
      <c r="AH43" s="692">
        <f t="shared" si="10"/>
        <v>15000</v>
      </c>
      <c r="AI43" s="692">
        <f t="shared" si="11"/>
        <v>0</v>
      </c>
      <c r="AJ43" s="692">
        <f t="shared" si="12"/>
        <v>0</v>
      </c>
      <c r="AL43" s="38">
        <f t="shared" si="13"/>
        <v>15545.26</v>
      </c>
    </row>
    <row r="44" spans="1:38">
      <c r="A44" s="20"/>
      <c r="B44" s="20" t="s">
        <v>109</v>
      </c>
      <c r="C44" s="667"/>
      <c r="D44" s="68" t="s">
        <v>598</v>
      </c>
      <c r="E44" s="679"/>
      <c r="F44" s="529">
        <f>VLOOKUP(D44,'Aug 2013 Revenue'!D:V,19,FALSE)</f>
        <v>0</v>
      </c>
      <c r="G44" s="680"/>
      <c r="H44" s="680"/>
      <c r="I44" s="755"/>
      <c r="J44" s="682">
        <f t="shared" si="0"/>
        <v>0</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0</v>
      </c>
      <c r="AF44" s="692">
        <f t="shared" si="9"/>
        <v>0</v>
      </c>
      <c r="AG44" s="38"/>
      <c r="AH44" s="692">
        <f t="shared" si="10"/>
        <v>0</v>
      </c>
      <c r="AI44" s="692">
        <f t="shared" si="11"/>
        <v>0</v>
      </c>
      <c r="AJ44" s="692">
        <f t="shared" si="12"/>
        <v>0</v>
      </c>
      <c r="AL44" s="38">
        <f t="shared" si="13"/>
        <v>0</v>
      </c>
    </row>
    <row r="45" spans="1:38">
      <c r="A45" s="20"/>
      <c r="B45" s="20" t="s">
        <v>110</v>
      </c>
      <c r="C45" s="667"/>
      <c r="D45" s="68" t="s">
        <v>311</v>
      </c>
      <c r="E45" s="679"/>
      <c r="F45" s="529">
        <f>VLOOKUP(D45,'Aug 2013 Revenue'!D:V,19,FALSE)</f>
        <v>0</v>
      </c>
      <c r="G45" s="680"/>
      <c r="H45" s="680"/>
      <c r="I45" s="755"/>
      <c r="J45" s="682">
        <f t="shared" si="0"/>
        <v>0</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0</v>
      </c>
      <c r="AF45" s="692">
        <f t="shared" si="9"/>
        <v>0</v>
      </c>
      <c r="AG45" s="38"/>
      <c r="AH45" s="692">
        <f t="shared" si="10"/>
        <v>0</v>
      </c>
      <c r="AI45" s="692">
        <f t="shared" si="11"/>
        <v>0</v>
      </c>
      <c r="AJ45" s="692">
        <f t="shared" si="12"/>
        <v>0</v>
      </c>
      <c r="AL45" s="38">
        <f t="shared" si="13"/>
        <v>0</v>
      </c>
    </row>
    <row r="46" spans="1:38">
      <c r="A46" s="20"/>
      <c r="B46" s="20" t="s">
        <v>110</v>
      </c>
      <c r="C46" s="667"/>
      <c r="D46" s="68" t="s">
        <v>451</v>
      </c>
      <c r="E46" s="679"/>
      <c r="F46" s="529">
        <f>VLOOKUP(D46,'Aug 2013 Revenue'!D:V,19,FALSE)</f>
        <v>-90000</v>
      </c>
      <c r="G46" s="680"/>
      <c r="H46" s="680"/>
      <c r="I46" s="755"/>
      <c r="J46" s="682">
        <f t="shared" si="0"/>
        <v>-90000</v>
      </c>
      <c r="K46" s="683"/>
      <c r="L46" s="684"/>
      <c r="M46" s="753">
        <v>100000</v>
      </c>
      <c r="N46" s="683">
        <v>0</v>
      </c>
      <c r="O46" s="686"/>
      <c r="P46" s="683">
        <v>0</v>
      </c>
      <c r="Q46" s="687">
        <f t="shared" si="1"/>
        <v>100000</v>
      </c>
      <c r="R46" s="687"/>
      <c r="S46" s="687"/>
      <c r="T46" s="688">
        <v>0</v>
      </c>
      <c r="U46" s="693"/>
      <c r="V46" s="690">
        <f t="shared" si="2"/>
        <v>-100000</v>
      </c>
      <c r="W46" s="683"/>
      <c r="X46" s="474">
        <f t="shared" si="3"/>
        <v>100000</v>
      </c>
      <c r="Y46" s="474">
        <f t="shared" si="4"/>
        <v>0</v>
      </c>
      <c r="Z46" s="475">
        <f t="shared" si="5"/>
        <v>0</v>
      </c>
      <c r="AA46" s="475">
        <v>0</v>
      </c>
      <c r="AB46" s="476">
        <v>0</v>
      </c>
      <c r="AC46" s="38">
        <f t="shared" si="6"/>
        <v>0</v>
      </c>
      <c r="AD46" s="692">
        <f t="shared" si="7"/>
        <v>-90000</v>
      </c>
      <c r="AE46" s="692">
        <f t="shared" si="8"/>
        <v>0</v>
      </c>
      <c r="AF46" s="692">
        <f t="shared" si="9"/>
        <v>0</v>
      </c>
      <c r="AG46" s="38"/>
      <c r="AH46" s="692">
        <f t="shared" si="10"/>
        <v>100000</v>
      </c>
      <c r="AI46" s="692">
        <f t="shared" si="11"/>
        <v>0</v>
      </c>
      <c r="AJ46" s="692">
        <f t="shared" si="12"/>
        <v>0</v>
      </c>
      <c r="AL46" s="38">
        <f t="shared" si="13"/>
        <v>10000</v>
      </c>
    </row>
    <row r="47" spans="1:38">
      <c r="A47" s="20"/>
      <c r="B47" s="20" t="s">
        <v>109</v>
      </c>
      <c r="C47" s="667"/>
      <c r="D47" s="68" t="s">
        <v>469</v>
      </c>
      <c r="E47" s="679">
        <v>1883.71</v>
      </c>
      <c r="F47" s="529">
        <f>VLOOKUP(D47,'Aug 2013 Revenue'!D:V,19,FALSE)</f>
        <v>6872.89</v>
      </c>
      <c r="G47" s="680"/>
      <c r="H47" s="680"/>
      <c r="I47" s="770">
        <v>6641.52</v>
      </c>
      <c r="J47" s="682">
        <f t="shared" si="0"/>
        <v>15398.12</v>
      </c>
      <c r="K47" s="683"/>
      <c r="L47" s="684"/>
      <c r="M47" s="753"/>
      <c r="N47" s="683">
        <v>0</v>
      </c>
      <c r="O47" s="686"/>
      <c r="P47" s="683">
        <v>0</v>
      </c>
      <c r="Q47" s="687">
        <f t="shared" si="1"/>
        <v>0</v>
      </c>
      <c r="R47" s="687"/>
      <c r="S47" s="687"/>
      <c r="T47" s="688">
        <v>0</v>
      </c>
      <c r="U47" s="693"/>
      <c r="V47" s="690">
        <f t="shared" si="2"/>
        <v>0</v>
      </c>
      <c r="W47" s="683"/>
      <c r="X47" s="474">
        <f t="shared" si="3"/>
        <v>0</v>
      </c>
      <c r="Y47" s="474">
        <f t="shared" si="4"/>
        <v>0</v>
      </c>
      <c r="Z47" s="475">
        <f t="shared" si="5"/>
        <v>0</v>
      </c>
      <c r="AA47" s="475">
        <v>0</v>
      </c>
      <c r="AB47" s="476">
        <v>0</v>
      </c>
      <c r="AC47" s="38">
        <f t="shared" si="6"/>
        <v>0</v>
      </c>
      <c r="AD47" s="692">
        <f t="shared" si="7"/>
        <v>0</v>
      </c>
      <c r="AE47" s="692">
        <f t="shared" si="8"/>
        <v>15398.12</v>
      </c>
      <c r="AF47" s="692">
        <f t="shared" si="9"/>
        <v>0</v>
      </c>
      <c r="AG47" s="38"/>
      <c r="AH47" s="692">
        <f t="shared" si="10"/>
        <v>0</v>
      </c>
      <c r="AI47" s="692">
        <f t="shared" si="11"/>
        <v>0</v>
      </c>
      <c r="AJ47" s="692">
        <f t="shared" si="12"/>
        <v>0</v>
      </c>
      <c r="AL47" s="38">
        <f t="shared" si="13"/>
        <v>15398.12</v>
      </c>
    </row>
    <row r="48" spans="1:38">
      <c r="A48" s="20"/>
      <c r="B48" s="20" t="s">
        <v>110</v>
      </c>
      <c r="C48" s="667" t="s">
        <v>530</v>
      </c>
      <c r="D48" s="68" t="s">
        <v>69</v>
      </c>
      <c r="E48" s="679"/>
      <c r="F48" s="529">
        <f>VLOOKUP(D48,'Aug 2013 Revenue'!D:V,19,FALSE)</f>
        <v>1924.94</v>
      </c>
      <c r="G48" s="680"/>
      <c r="H48" s="680"/>
      <c r="I48" s="755"/>
      <c r="J48" s="682">
        <f t="shared" si="0"/>
        <v>1924.94</v>
      </c>
      <c r="K48" s="683"/>
      <c r="L48" s="684"/>
      <c r="M48" s="753"/>
      <c r="N48" s="683">
        <v>0</v>
      </c>
      <c r="O48" s="686"/>
      <c r="P48" s="683">
        <v>0</v>
      </c>
      <c r="Q48" s="687">
        <f t="shared" si="1"/>
        <v>0</v>
      </c>
      <c r="R48" s="687"/>
      <c r="S48" s="687"/>
      <c r="T48" s="688">
        <v>1667.48</v>
      </c>
      <c r="U48" s="693"/>
      <c r="V48" s="690">
        <f t="shared" si="2"/>
        <v>1667.48</v>
      </c>
      <c r="W48" s="683"/>
      <c r="X48" s="474">
        <f t="shared" si="3"/>
        <v>0</v>
      </c>
      <c r="Y48" s="474">
        <f t="shared" si="4"/>
        <v>0</v>
      </c>
      <c r="Z48" s="475">
        <f t="shared" si="5"/>
        <v>0</v>
      </c>
      <c r="AA48" s="475">
        <v>0</v>
      </c>
      <c r="AB48" s="476">
        <v>0</v>
      </c>
      <c r="AC48" s="38">
        <f t="shared" si="6"/>
        <v>0</v>
      </c>
      <c r="AD48" s="692">
        <f t="shared" si="7"/>
        <v>1924.94</v>
      </c>
      <c r="AE48" s="692">
        <f t="shared" si="8"/>
        <v>0</v>
      </c>
      <c r="AF48" s="692">
        <f t="shared" si="9"/>
        <v>0</v>
      </c>
      <c r="AG48" s="38"/>
      <c r="AH48" s="692">
        <f t="shared" si="10"/>
        <v>0</v>
      </c>
      <c r="AI48" s="692">
        <f t="shared" si="11"/>
        <v>0</v>
      </c>
      <c r="AJ48" s="692">
        <f t="shared" si="12"/>
        <v>0</v>
      </c>
      <c r="AL48" s="38">
        <f t="shared" si="13"/>
        <v>1924.94</v>
      </c>
    </row>
    <row r="49" spans="1:38" hidden="1">
      <c r="A49" s="20"/>
      <c r="B49" s="20" t="s">
        <v>110</v>
      </c>
      <c r="C49" s="667" t="s">
        <v>531</v>
      </c>
      <c r="D49" s="68" t="s">
        <v>237</v>
      </c>
      <c r="E49" s="679"/>
      <c r="F49" s="529">
        <f>VLOOKUP(D49,'Aug 2013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row>
    <row r="50" spans="1:38">
      <c r="A50" s="20" t="s">
        <v>211</v>
      </c>
      <c r="B50" s="20" t="s">
        <v>110</v>
      </c>
      <c r="C50" s="667" t="s">
        <v>532</v>
      </c>
      <c r="D50" s="68" t="s">
        <v>7</v>
      </c>
      <c r="E50" s="679"/>
      <c r="F50" s="529">
        <f>VLOOKUP(D50,'Aug 2013 Revenue'!D:V,19,FALSE)</f>
        <v>-60000</v>
      </c>
      <c r="G50" s="680"/>
      <c r="H50" s="680"/>
      <c r="I50" s="755"/>
      <c r="J50" s="682">
        <f t="shared" si="0"/>
        <v>-60000</v>
      </c>
      <c r="K50" s="683"/>
      <c r="L50" s="684"/>
      <c r="M50" s="753">
        <v>90000</v>
      </c>
      <c r="N50" s="683">
        <v>0</v>
      </c>
      <c r="O50" s="686"/>
      <c r="P50" s="683">
        <v>0</v>
      </c>
      <c r="Q50" s="687">
        <f t="shared" si="1"/>
        <v>90000</v>
      </c>
      <c r="R50" s="687"/>
      <c r="S50" s="687"/>
      <c r="T50" s="688">
        <v>84162.89</v>
      </c>
      <c r="U50" s="693"/>
      <c r="V50" s="690">
        <f t="shared" si="2"/>
        <v>-5837.1100000000006</v>
      </c>
      <c r="W50" s="697"/>
      <c r="X50" s="474">
        <f t="shared" si="3"/>
        <v>90000</v>
      </c>
      <c r="Y50" s="474">
        <f t="shared" si="4"/>
        <v>0</v>
      </c>
      <c r="Z50" s="475">
        <f t="shared" si="5"/>
        <v>0</v>
      </c>
      <c r="AA50" s="475">
        <v>0</v>
      </c>
      <c r="AB50" s="476">
        <v>0</v>
      </c>
      <c r="AC50" s="38">
        <f t="shared" si="6"/>
        <v>0</v>
      </c>
      <c r="AD50" s="692">
        <f t="shared" si="7"/>
        <v>-60000</v>
      </c>
      <c r="AE50" s="692">
        <f t="shared" si="8"/>
        <v>0</v>
      </c>
      <c r="AF50" s="692">
        <f t="shared" si="9"/>
        <v>0</v>
      </c>
      <c r="AG50" s="38"/>
      <c r="AH50" s="692">
        <f t="shared" si="10"/>
        <v>90000</v>
      </c>
      <c r="AI50" s="692">
        <f t="shared" si="11"/>
        <v>0</v>
      </c>
      <c r="AJ50" s="692">
        <f t="shared" si="12"/>
        <v>0</v>
      </c>
      <c r="AL50" s="38">
        <f t="shared" si="13"/>
        <v>30000</v>
      </c>
    </row>
    <row r="51" spans="1:38" s="232" customFormat="1" hidden="1">
      <c r="A51" s="283" t="s">
        <v>97</v>
      </c>
      <c r="B51" s="283" t="s">
        <v>109</v>
      </c>
      <c r="C51" s="667" t="s">
        <v>533</v>
      </c>
      <c r="D51" s="123" t="s">
        <v>415</v>
      </c>
      <c r="E51" s="679"/>
      <c r="F51" s="529">
        <f>VLOOKUP(D51,'Aug 2013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row>
    <row r="52" spans="1:38" s="232" customFormat="1" hidden="1">
      <c r="A52" s="283"/>
      <c r="B52" s="283" t="s">
        <v>109</v>
      </c>
      <c r="C52" s="667" t="s">
        <v>533</v>
      </c>
      <c r="D52" s="123" t="s">
        <v>416</v>
      </c>
      <c r="E52" s="679"/>
      <c r="F52" s="529">
        <f>VLOOKUP(D52,'Aug 2013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row>
    <row r="53" spans="1:38" s="232" customFormat="1" hidden="1">
      <c r="A53" s="283"/>
      <c r="B53" s="283" t="s">
        <v>109</v>
      </c>
      <c r="C53" s="667" t="s">
        <v>533</v>
      </c>
      <c r="D53" s="123" t="s">
        <v>417</v>
      </c>
      <c r="E53" s="679"/>
      <c r="F53" s="529">
        <f>VLOOKUP(D53,'Aug 2013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row>
    <row r="54" spans="1:38" s="232" customFormat="1" hidden="1">
      <c r="A54" s="283"/>
      <c r="B54" s="283" t="s">
        <v>109</v>
      </c>
      <c r="C54" s="667" t="s">
        <v>533</v>
      </c>
      <c r="D54" s="123" t="s">
        <v>418</v>
      </c>
      <c r="E54" s="679"/>
      <c r="F54" s="529">
        <f>VLOOKUP(D54,'Aug 2013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row>
    <row r="55" spans="1:38">
      <c r="A55" s="20"/>
      <c r="B55" s="20" t="s">
        <v>110</v>
      </c>
      <c r="C55" s="667"/>
      <c r="D55" s="68" t="s">
        <v>992</v>
      </c>
      <c r="E55" s="679">
        <v>6886.51</v>
      </c>
      <c r="F55" s="529">
        <v>0</v>
      </c>
      <c r="G55" s="680"/>
      <c r="H55" s="680"/>
      <c r="I55" s="755"/>
      <c r="J55" s="682">
        <f t="shared" ref="J55" si="28">SUM(E55:I55)</f>
        <v>6886.51</v>
      </c>
      <c r="K55" s="683"/>
      <c r="L55" s="684"/>
      <c r="M55" s="753"/>
      <c r="N55" s="683">
        <v>0</v>
      </c>
      <c r="O55" s="686"/>
      <c r="P55" s="683">
        <v>0</v>
      </c>
      <c r="Q55" s="687">
        <f t="shared" ref="Q55" si="29">L55+M55</f>
        <v>0</v>
      </c>
      <c r="R55" s="687"/>
      <c r="S55" s="687"/>
      <c r="T55" s="688">
        <v>0</v>
      </c>
      <c r="U55" s="693"/>
      <c r="V55" s="690">
        <f t="shared" si="2"/>
        <v>0</v>
      </c>
      <c r="W55" s="683"/>
      <c r="X55" s="474">
        <f t="shared" ref="X55" si="30">IF(B55="D",Q55,0)</f>
        <v>0</v>
      </c>
      <c r="Y55" s="474">
        <f t="shared" ref="Y55" si="31">IF(B55="M",Q55,0)</f>
        <v>0</v>
      </c>
      <c r="Z55" s="475">
        <f t="shared" ref="Z55" si="32">IF(B55="V",Q55,0)</f>
        <v>0</v>
      </c>
      <c r="AA55" s="475">
        <v>0</v>
      </c>
      <c r="AB55" s="476">
        <v>0</v>
      </c>
      <c r="AC55" s="38">
        <f t="shared" ref="AC55" si="33">(L55+M55)-(X55+Y55+Z55+AA55+AB55)</f>
        <v>0</v>
      </c>
      <c r="AD55" s="692">
        <f t="shared" ref="AD55" si="34">IF(B55="D",J55,0)</f>
        <v>6886.51</v>
      </c>
      <c r="AE55" s="692">
        <f t="shared" ref="AE55" si="35">IF(B55="M",J55,0)</f>
        <v>0</v>
      </c>
      <c r="AF55" s="692">
        <f t="shared" ref="AF55" si="36">IF(B55="V",J55,0)</f>
        <v>0</v>
      </c>
      <c r="AG55" s="38"/>
      <c r="AH55" s="692">
        <f t="shared" ref="AH55" si="37">IF(B55="D",Q55,0)</f>
        <v>0</v>
      </c>
      <c r="AI55" s="692">
        <f t="shared" ref="AI55" si="38">IF(B55="M",Q55,0)</f>
        <v>0</v>
      </c>
      <c r="AJ55" s="692">
        <f t="shared" ref="AJ55" si="39">IF(B55="V",Q55,0)</f>
        <v>0</v>
      </c>
      <c r="AL55" s="38">
        <f t="shared" ref="AL55" si="40">SUM(AD55:AJ55)</f>
        <v>6886.51</v>
      </c>
    </row>
    <row r="56" spans="1:38" s="232" customFormat="1">
      <c r="A56" s="283"/>
      <c r="B56" s="283" t="s">
        <v>110</v>
      </c>
      <c r="C56" s="676" t="s">
        <v>986</v>
      </c>
      <c r="D56" s="68" t="s">
        <v>987</v>
      </c>
      <c r="E56" s="679">
        <f>11691.88+3312.02+4345.85</f>
        <v>19349.75</v>
      </c>
      <c r="F56" s="529">
        <v>4566.87</v>
      </c>
      <c r="G56" s="680"/>
      <c r="H56" s="680"/>
      <c r="I56" s="770">
        <v>4228.59</v>
      </c>
      <c r="J56" s="682">
        <f t="shared" ref="J56" si="41">SUM(E56:I56)</f>
        <v>28145.21</v>
      </c>
      <c r="K56" s="683"/>
      <c r="L56" s="684"/>
      <c r="M56" s="753"/>
      <c r="N56" s="683">
        <v>0</v>
      </c>
      <c r="O56" s="686"/>
      <c r="P56" s="683">
        <v>0</v>
      </c>
      <c r="Q56" s="687">
        <f t="shared" ref="Q56" si="42">L56+M56</f>
        <v>0</v>
      </c>
      <c r="R56" s="687"/>
      <c r="S56" s="687"/>
      <c r="T56" s="688">
        <v>0</v>
      </c>
      <c r="U56" s="693"/>
      <c r="V56" s="690">
        <f t="shared" si="2"/>
        <v>0</v>
      </c>
      <c r="W56" s="683"/>
      <c r="X56" s="474">
        <f t="shared" ref="X56" si="43">IF(B56="D",Q56,0)</f>
        <v>0</v>
      </c>
      <c r="Y56" s="474">
        <f t="shared" ref="Y56" si="44">IF(B56="M",Q56,0)</f>
        <v>0</v>
      </c>
      <c r="Z56" s="475">
        <f t="shared" ref="Z56" si="45">IF(B56="V",Q56,0)</f>
        <v>0</v>
      </c>
      <c r="AA56" s="475">
        <v>0</v>
      </c>
      <c r="AB56" s="476">
        <v>0</v>
      </c>
      <c r="AC56" s="38">
        <f t="shared" ref="AC56" si="46">(L56+M56)-(X56+Y56+Z56+AA56+AB56)</f>
        <v>0</v>
      </c>
      <c r="AD56" s="692">
        <f t="shared" ref="AD56" si="47">IF(B56="D",J56,0)</f>
        <v>28145.21</v>
      </c>
      <c r="AE56" s="692">
        <f t="shared" ref="AE56" si="48">IF(B56="M",J56,0)</f>
        <v>0</v>
      </c>
      <c r="AF56" s="692">
        <f t="shared" ref="AF56" si="49">IF(B56="V",J56,0)</f>
        <v>0</v>
      </c>
      <c r="AG56" s="38"/>
      <c r="AH56" s="692">
        <f t="shared" ref="AH56" si="50">IF(B56="D",Q56,0)</f>
        <v>0</v>
      </c>
      <c r="AI56" s="692">
        <f t="shared" ref="AI56" si="51">IF(B56="M",Q56,0)</f>
        <v>0</v>
      </c>
      <c r="AJ56" s="692">
        <f t="shared" ref="AJ56" si="52">IF(B56="V",Q56,0)</f>
        <v>0</v>
      </c>
      <c r="AK56" s="16"/>
      <c r="AL56" s="38">
        <f t="shared" ref="AL56" si="53">SUM(AD56:AJ56)</f>
        <v>28145.21</v>
      </c>
    </row>
    <row r="57" spans="1:38">
      <c r="A57" s="20" t="s">
        <v>211</v>
      </c>
      <c r="B57" s="20" t="s">
        <v>109</v>
      </c>
      <c r="C57" s="667" t="s">
        <v>534</v>
      </c>
      <c r="D57" s="68" t="s">
        <v>9</v>
      </c>
      <c r="E57" s="679"/>
      <c r="F57" s="529">
        <f>VLOOKUP(D57,'Aug 2013 Revenue'!D:V,19,FALSE)</f>
        <v>0</v>
      </c>
      <c r="G57" s="680"/>
      <c r="H57" s="680"/>
      <c r="I57" s="755"/>
      <c r="J57" s="682">
        <f>SUM(E57:I57)</f>
        <v>0</v>
      </c>
      <c r="K57" s="683"/>
      <c r="L57" s="684"/>
      <c r="M57" s="753"/>
      <c r="N57" s="683">
        <v>0</v>
      </c>
      <c r="O57" s="686"/>
      <c r="P57" s="683">
        <v>0</v>
      </c>
      <c r="Q57" s="687">
        <f t="shared" si="1"/>
        <v>0</v>
      </c>
      <c r="R57" s="687"/>
      <c r="S57" s="687"/>
      <c r="T57" s="688">
        <v>0</v>
      </c>
      <c r="U57" s="693"/>
      <c r="V57" s="690">
        <f t="shared" si="2"/>
        <v>0</v>
      </c>
      <c r="W57" s="697"/>
      <c r="X57" s="474">
        <f t="shared" si="3"/>
        <v>0</v>
      </c>
      <c r="Y57" s="474">
        <f t="shared" si="4"/>
        <v>0</v>
      </c>
      <c r="Z57" s="475">
        <f t="shared" si="5"/>
        <v>0</v>
      </c>
      <c r="AA57" s="475">
        <v>0</v>
      </c>
      <c r="AB57" s="476">
        <v>0</v>
      </c>
      <c r="AC57" s="38">
        <f t="shared" si="6"/>
        <v>0</v>
      </c>
      <c r="AD57" s="692">
        <f t="shared" si="7"/>
        <v>0</v>
      </c>
      <c r="AE57" s="692">
        <f t="shared" si="8"/>
        <v>0</v>
      </c>
      <c r="AF57" s="692">
        <f t="shared" si="9"/>
        <v>0</v>
      </c>
      <c r="AG57" s="38"/>
      <c r="AH57" s="692">
        <f t="shared" si="10"/>
        <v>0</v>
      </c>
      <c r="AI57" s="692">
        <f t="shared" si="11"/>
        <v>0</v>
      </c>
      <c r="AJ57" s="692">
        <f t="shared" si="12"/>
        <v>0</v>
      </c>
      <c r="AL57" s="38">
        <f t="shared" si="13"/>
        <v>0</v>
      </c>
    </row>
    <row r="58" spans="1:38">
      <c r="A58" s="20" t="s">
        <v>211</v>
      </c>
      <c r="B58" s="20" t="s">
        <v>114</v>
      </c>
      <c r="C58" s="667"/>
      <c r="D58" s="68" t="s">
        <v>487</v>
      </c>
      <c r="E58" s="679"/>
      <c r="F58" s="529">
        <f>VLOOKUP(D58,'Aug 2013 Revenue'!D:V,19,FALSE)</f>
        <v>0</v>
      </c>
      <c r="G58" s="680"/>
      <c r="H58" s="680"/>
      <c r="I58" s="755"/>
      <c r="J58" s="682">
        <f t="shared" si="0"/>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row>
    <row r="59" spans="1:38">
      <c r="A59" s="20"/>
      <c r="B59" s="20" t="s">
        <v>109</v>
      </c>
      <c r="C59" s="676" t="s">
        <v>906</v>
      </c>
      <c r="D59" s="68" t="s">
        <v>830</v>
      </c>
      <c r="E59" s="679"/>
      <c r="F59" s="529">
        <f>VLOOKUP(D59,'Aug 2013 Revenue'!D:V,19,FALSE)</f>
        <v>0</v>
      </c>
      <c r="G59" s="680"/>
      <c r="H59" s="680"/>
      <c r="I59" s="755"/>
      <c r="J59" s="682">
        <f t="shared" si="0"/>
        <v>0</v>
      </c>
      <c r="K59" s="683"/>
      <c r="L59" s="684"/>
      <c r="M59" s="753">
        <v>550000</v>
      </c>
      <c r="N59" s="683">
        <v>0</v>
      </c>
      <c r="O59" s="686"/>
      <c r="P59" s="683">
        <v>0</v>
      </c>
      <c r="Q59" s="687">
        <f t="shared" si="1"/>
        <v>550000</v>
      </c>
      <c r="R59" s="687"/>
      <c r="S59" s="687"/>
      <c r="T59" s="688">
        <v>562412.28</v>
      </c>
      <c r="U59" s="693"/>
      <c r="V59" s="690">
        <f t="shared" si="2"/>
        <v>12412.280000000028</v>
      </c>
      <c r="W59" s="683"/>
      <c r="X59" s="474">
        <f t="shared" si="3"/>
        <v>0</v>
      </c>
      <c r="Y59" s="474">
        <f t="shared" si="4"/>
        <v>550000</v>
      </c>
      <c r="Z59" s="475">
        <f t="shared" si="5"/>
        <v>0</v>
      </c>
      <c r="AA59" s="475">
        <v>0</v>
      </c>
      <c r="AB59" s="476">
        <v>0</v>
      </c>
      <c r="AC59" s="38">
        <f t="shared" si="6"/>
        <v>0</v>
      </c>
      <c r="AD59" s="692">
        <f t="shared" si="7"/>
        <v>0</v>
      </c>
      <c r="AE59" s="692">
        <f t="shared" si="8"/>
        <v>0</v>
      </c>
      <c r="AF59" s="692">
        <f t="shared" si="9"/>
        <v>0</v>
      </c>
      <c r="AG59" s="38"/>
      <c r="AH59" s="692">
        <f t="shared" si="10"/>
        <v>0</v>
      </c>
      <c r="AI59" s="692">
        <f t="shared" si="11"/>
        <v>550000</v>
      </c>
      <c r="AJ59" s="692">
        <f t="shared" si="12"/>
        <v>0</v>
      </c>
      <c r="AL59" s="38">
        <f t="shared" si="13"/>
        <v>550000</v>
      </c>
    </row>
    <row r="60" spans="1:38">
      <c r="A60" s="20"/>
      <c r="B60" s="20" t="s">
        <v>109</v>
      </c>
      <c r="C60" s="667"/>
      <c r="D60" s="68" t="s">
        <v>374</v>
      </c>
      <c r="E60" s="679">
        <v>16974.86</v>
      </c>
      <c r="F60" s="529">
        <f>VLOOKUP(D60,'Aug 2013 Revenue'!D:V,19,FALSE)</f>
        <v>-25000</v>
      </c>
      <c r="G60" s="680"/>
      <c r="H60" s="680"/>
      <c r="I60" s="755"/>
      <c r="J60" s="682">
        <f t="shared" si="0"/>
        <v>-8025.1399999999994</v>
      </c>
      <c r="K60" s="683"/>
      <c r="L60" s="684"/>
      <c r="M60" s="753">
        <v>15000</v>
      </c>
      <c r="N60" s="683">
        <v>0</v>
      </c>
      <c r="O60" s="686"/>
      <c r="P60" s="683">
        <v>0</v>
      </c>
      <c r="Q60" s="687">
        <f t="shared" si="1"/>
        <v>15000</v>
      </c>
      <c r="R60" s="687"/>
      <c r="S60" s="687"/>
      <c r="T60" s="688">
        <v>0</v>
      </c>
      <c r="U60" s="693"/>
      <c r="V60" s="690">
        <f t="shared" si="2"/>
        <v>-15000</v>
      </c>
      <c r="W60" s="683"/>
      <c r="X60" s="474">
        <f t="shared" si="3"/>
        <v>0</v>
      </c>
      <c r="Y60" s="474">
        <f t="shared" si="4"/>
        <v>15000</v>
      </c>
      <c r="Z60" s="475">
        <f t="shared" si="5"/>
        <v>0</v>
      </c>
      <c r="AA60" s="475">
        <v>0</v>
      </c>
      <c r="AB60" s="476">
        <v>0</v>
      </c>
      <c r="AC60" s="38">
        <f t="shared" si="6"/>
        <v>0</v>
      </c>
      <c r="AD60" s="692">
        <f t="shared" si="7"/>
        <v>0</v>
      </c>
      <c r="AE60" s="692">
        <f t="shared" si="8"/>
        <v>-8025.1399999999994</v>
      </c>
      <c r="AF60" s="692">
        <f t="shared" si="9"/>
        <v>0</v>
      </c>
      <c r="AG60" s="38"/>
      <c r="AH60" s="692">
        <f t="shared" si="10"/>
        <v>0</v>
      </c>
      <c r="AI60" s="692">
        <f t="shared" si="11"/>
        <v>15000</v>
      </c>
      <c r="AJ60" s="692">
        <f t="shared" si="12"/>
        <v>0</v>
      </c>
      <c r="AL60" s="38">
        <f t="shared" si="13"/>
        <v>6974.8600000000006</v>
      </c>
    </row>
    <row r="61" spans="1:38">
      <c r="A61" s="20"/>
      <c r="B61" s="20" t="s">
        <v>114</v>
      </c>
      <c r="C61" s="667"/>
      <c r="D61" s="68" t="s">
        <v>502</v>
      </c>
      <c r="E61" s="679"/>
      <c r="F61" s="529">
        <f>VLOOKUP(D61,'Aug 2013 Revenue'!D:V,19,FALSE)</f>
        <v>0</v>
      </c>
      <c r="G61" s="680"/>
      <c r="H61" s="680"/>
      <c r="I61" s="755"/>
      <c r="J61" s="682">
        <f t="shared" si="0"/>
        <v>0</v>
      </c>
      <c r="K61" s="683"/>
      <c r="L61" s="684"/>
      <c r="M61" s="753"/>
      <c r="N61" s="683">
        <v>0</v>
      </c>
      <c r="O61" s="686"/>
      <c r="P61" s="683">
        <v>0</v>
      </c>
      <c r="Q61" s="687">
        <f t="shared" si="1"/>
        <v>0</v>
      </c>
      <c r="R61" s="687"/>
      <c r="S61" s="687"/>
      <c r="T61" s="688">
        <v>0</v>
      </c>
      <c r="U61" s="693"/>
      <c r="V61" s="690">
        <f t="shared" si="2"/>
        <v>0</v>
      </c>
      <c r="W61" s="683"/>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row>
    <row r="62" spans="1:38">
      <c r="A62" s="21"/>
      <c r="B62" s="21" t="s">
        <v>110</v>
      </c>
      <c r="C62" s="666" t="s">
        <v>535</v>
      </c>
      <c r="D62" s="123" t="s">
        <v>517</v>
      </c>
      <c r="E62" s="679"/>
      <c r="F62" s="529">
        <f>VLOOKUP(D62,'Aug 2013 Revenue'!D:V,19,FALSE)</f>
        <v>7877.9099999999744</v>
      </c>
      <c r="G62" s="680"/>
      <c r="H62" s="680"/>
      <c r="I62" s="755"/>
      <c r="J62" s="682">
        <f t="shared" si="0"/>
        <v>7877.9099999999744</v>
      </c>
      <c r="K62" s="683"/>
      <c r="L62" s="684"/>
      <c r="M62" s="753">
        <v>325000</v>
      </c>
      <c r="N62" s="683">
        <v>0</v>
      </c>
      <c r="O62" s="686"/>
      <c r="P62" s="683">
        <v>0</v>
      </c>
      <c r="Q62" s="687">
        <f t="shared" si="1"/>
        <v>325000</v>
      </c>
      <c r="R62" s="687"/>
      <c r="S62" s="687"/>
      <c r="T62" s="688">
        <v>352205.59</v>
      </c>
      <c r="U62" s="693"/>
      <c r="V62" s="690">
        <f t="shared" si="2"/>
        <v>27205.590000000026</v>
      </c>
      <c r="W62" s="697"/>
      <c r="X62" s="474">
        <f t="shared" si="3"/>
        <v>325000</v>
      </c>
      <c r="Y62" s="474">
        <f t="shared" si="4"/>
        <v>0</v>
      </c>
      <c r="Z62" s="475">
        <f t="shared" si="5"/>
        <v>0</v>
      </c>
      <c r="AA62" s="475">
        <v>0</v>
      </c>
      <c r="AB62" s="476">
        <v>0</v>
      </c>
      <c r="AC62" s="38">
        <f t="shared" si="6"/>
        <v>0</v>
      </c>
      <c r="AD62" s="692">
        <f t="shared" si="7"/>
        <v>7877.9099999999744</v>
      </c>
      <c r="AE62" s="692">
        <f t="shared" si="8"/>
        <v>0</v>
      </c>
      <c r="AF62" s="692">
        <f t="shared" si="9"/>
        <v>0</v>
      </c>
      <c r="AG62" s="38"/>
      <c r="AH62" s="692">
        <f t="shared" si="10"/>
        <v>325000</v>
      </c>
      <c r="AI62" s="692">
        <f t="shared" si="11"/>
        <v>0</v>
      </c>
      <c r="AJ62" s="692">
        <f t="shared" si="12"/>
        <v>0</v>
      </c>
      <c r="AL62" s="38">
        <f t="shared" si="13"/>
        <v>332877.90999999997</v>
      </c>
    </row>
    <row r="63" spans="1:38">
      <c r="A63" s="20"/>
      <c r="B63" s="20" t="s">
        <v>110</v>
      </c>
      <c r="C63" s="667" t="s">
        <v>536</v>
      </c>
      <c r="D63" s="68" t="s">
        <v>450</v>
      </c>
      <c r="E63" s="679"/>
      <c r="F63" s="529">
        <f>VLOOKUP(D63,'Aug 2013 Revenue'!D:V,19,FALSE)</f>
        <v>0</v>
      </c>
      <c r="G63" s="680"/>
      <c r="H63" s="680"/>
      <c r="I63" s="755"/>
      <c r="J63" s="682">
        <f t="shared" si="0"/>
        <v>0</v>
      </c>
      <c r="K63" s="683"/>
      <c r="L63" s="684"/>
      <c r="M63" s="753"/>
      <c r="N63" s="683">
        <v>0</v>
      </c>
      <c r="O63" s="686"/>
      <c r="P63" s="683">
        <v>0</v>
      </c>
      <c r="Q63" s="687">
        <f t="shared" si="1"/>
        <v>0</v>
      </c>
      <c r="R63" s="687"/>
      <c r="S63" s="687"/>
      <c r="T63" s="688">
        <v>0</v>
      </c>
      <c r="U63" s="693"/>
      <c r="V63" s="690">
        <f t="shared" si="2"/>
        <v>0</v>
      </c>
      <c r="W63" s="683"/>
      <c r="X63" s="474">
        <f t="shared" si="3"/>
        <v>0</v>
      </c>
      <c r="Y63" s="474">
        <f t="shared" si="4"/>
        <v>0</v>
      </c>
      <c r="Z63" s="475">
        <f t="shared" si="5"/>
        <v>0</v>
      </c>
      <c r="AA63" s="475">
        <v>0</v>
      </c>
      <c r="AB63" s="476">
        <v>0</v>
      </c>
      <c r="AC63" s="38">
        <f t="shared" si="6"/>
        <v>0</v>
      </c>
      <c r="AD63" s="692">
        <f t="shared" si="7"/>
        <v>0</v>
      </c>
      <c r="AE63" s="692">
        <f t="shared" si="8"/>
        <v>0</v>
      </c>
      <c r="AF63" s="692">
        <f t="shared" si="9"/>
        <v>0</v>
      </c>
      <c r="AG63" s="38"/>
      <c r="AH63" s="692">
        <f t="shared" si="10"/>
        <v>0</v>
      </c>
      <c r="AI63" s="692">
        <f t="shared" si="11"/>
        <v>0</v>
      </c>
      <c r="AJ63" s="692">
        <f t="shared" si="12"/>
        <v>0</v>
      </c>
      <c r="AL63" s="38">
        <f t="shared" si="13"/>
        <v>0</v>
      </c>
    </row>
    <row r="64" spans="1:38">
      <c r="A64" s="20"/>
      <c r="B64" s="20" t="s">
        <v>110</v>
      </c>
      <c r="C64" s="676"/>
      <c r="D64" s="68" t="s">
        <v>991</v>
      </c>
      <c r="E64" s="679">
        <v>3848.23</v>
      </c>
      <c r="F64" s="529">
        <v>0</v>
      </c>
      <c r="G64" s="680"/>
      <c r="H64" s="680"/>
      <c r="I64" s="755"/>
      <c r="J64" s="682">
        <f t="shared" ref="J64" si="54">SUM(E64:I64)</f>
        <v>3848.23</v>
      </c>
      <c r="K64" s="683"/>
      <c r="L64" s="684"/>
      <c r="M64" s="753"/>
      <c r="N64" s="683">
        <v>0</v>
      </c>
      <c r="O64" s="686"/>
      <c r="P64" s="683">
        <v>0</v>
      </c>
      <c r="Q64" s="687">
        <f t="shared" ref="Q64" si="55">L64+M64</f>
        <v>0</v>
      </c>
      <c r="R64" s="687"/>
      <c r="S64" s="687"/>
      <c r="T64" s="688">
        <v>0</v>
      </c>
      <c r="U64" s="693"/>
      <c r="V64" s="690">
        <f t="shared" si="2"/>
        <v>0</v>
      </c>
      <c r="W64" s="683"/>
      <c r="X64" s="474">
        <f t="shared" ref="X64" si="56">IF(B64="D",Q64,0)</f>
        <v>0</v>
      </c>
      <c r="Y64" s="474">
        <f t="shared" ref="Y64" si="57">IF(B64="M",Q64,0)</f>
        <v>0</v>
      </c>
      <c r="Z64" s="475">
        <f t="shared" ref="Z64" si="58">IF(B64="V",Q64,0)</f>
        <v>0</v>
      </c>
      <c r="AA64" s="475">
        <v>0</v>
      </c>
      <c r="AB64" s="476">
        <v>0</v>
      </c>
      <c r="AC64" s="38">
        <f t="shared" ref="AC64" si="59">(L64+M64)-(X64+Y64+Z64+AA64+AB64)</f>
        <v>0</v>
      </c>
      <c r="AD64" s="692">
        <f t="shared" ref="AD64" si="60">IF(B64="D",J64,0)</f>
        <v>3848.23</v>
      </c>
      <c r="AE64" s="692">
        <f t="shared" ref="AE64" si="61">IF(B64="M",J64,0)</f>
        <v>0</v>
      </c>
      <c r="AF64" s="692">
        <f t="shared" ref="AF64" si="62">IF(B64="V",J64,0)</f>
        <v>0</v>
      </c>
      <c r="AG64" s="38"/>
      <c r="AH64" s="692">
        <f t="shared" ref="AH64" si="63">IF(B64="D",Q64,0)</f>
        <v>0</v>
      </c>
      <c r="AI64" s="692">
        <f t="shared" ref="AI64" si="64">IF(B64="M",Q64,0)</f>
        <v>0</v>
      </c>
      <c r="AJ64" s="692">
        <f t="shared" ref="AJ64" si="65">IF(B64="V",Q64,0)</f>
        <v>0</v>
      </c>
      <c r="AL64" s="38">
        <f t="shared" si="13"/>
        <v>3848.23</v>
      </c>
    </row>
    <row r="65" spans="1:38">
      <c r="A65" s="20"/>
      <c r="B65" s="20" t="s">
        <v>110</v>
      </c>
      <c r="C65" s="676" t="s">
        <v>975</v>
      </c>
      <c r="D65" s="68" t="s">
        <v>976</v>
      </c>
      <c r="E65" s="679"/>
      <c r="F65" s="529">
        <f>VLOOKUP(D65,'Aug 2013 Revenue'!D:V,19,FALSE)</f>
        <v>0</v>
      </c>
      <c r="G65" s="680"/>
      <c r="H65" s="680"/>
      <c r="I65" s="755"/>
      <c r="J65" s="682">
        <f t="shared" si="0"/>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ref="AL65" si="66">SUM(AD65:AJ65)</f>
        <v>0</v>
      </c>
    </row>
    <row r="66" spans="1:38">
      <c r="A66" s="21" t="s">
        <v>109</v>
      </c>
      <c r="B66" s="21" t="s">
        <v>110</v>
      </c>
      <c r="C66" s="666"/>
      <c r="D66" s="68" t="s">
        <v>438</v>
      </c>
      <c r="E66" s="679"/>
      <c r="F66" s="529">
        <f>VLOOKUP(D66,'Aug 2013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97"/>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row>
    <row r="67" spans="1:38">
      <c r="A67" s="21"/>
      <c r="B67" s="21" t="s">
        <v>110</v>
      </c>
      <c r="C67" s="666"/>
      <c r="D67" s="68" t="s">
        <v>628</v>
      </c>
      <c r="E67" s="679"/>
      <c r="F67" s="529">
        <f>VLOOKUP(D67,'Aug 2013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row>
    <row r="68" spans="1:38">
      <c r="A68" s="21"/>
      <c r="B68" s="21" t="s">
        <v>110</v>
      </c>
      <c r="C68" s="666"/>
      <c r="D68" s="68" t="s">
        <v>956</v>
      </c>
      <c r="E68" s="679"/>
      <c r="F68" s="529">
        <f>VLOOKUP(D68,'Aug 2013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row>
    <row r="69" spans="1:38" s="232" customFormat="1">
      <c r="A69" s="283" t="s">
        <v>211</v>
      </c>
      <c r="B69" s="283" t="s">
        <v>110</v>
      </c>
      <c r="C69" s="667" t="s">
        <v>538</v>
      </c>
      <c r="D69" s="123" t="s">
        <v>170</v>
      </c>
      <c r="E69" s="679"/>
      <c r="F69" s="529">
        <f>VLOOKUP(D69,'Aug 2013 Revenue'!D:V,19,FALSE)</f>
        <v>-450000</v>
      </c>
      <c r="G69" s="680"/>
      <c r="H69" s="680"/>
      <c r="I69" s="755"/>
      <c r="J69" s="682">
        <f t="shared" si="0"/>
        <v>-450000</v>
      </c>
      <c r="K69" s="683"/>
      <c r="L69" s="684"/>
      <c r="M69" s="753">
        <v>675000</v>
      </c>
      <c r="N69" s="683">
        <v>0</v>
      </c>
      <c r="O69" s="686"/>
      <c r="P69" s="683">
        <v>0</v>
      </c>
      <c r="Q69" s="687">
        <f t="shared" si="1"/>
        <v>675000</v>
      </c>
      <c r="R69" s="687"/>
      <c r="S69" s="687"/>
      <c r="T69" s="688">
        <v>627690.69999999995</v>
      </c>
      <c r="U69" s="693"/>
      <c r="V69" s="690">
        <f t="shared" si="2"/>
        <v>-47309.300000000047</v>
      </c>
      <c r="W69" s="683"/>
      <c r="X69" s="474">
        <f t="shared" si="3"/>
        <v>675000</v>
      </c>
      <c r="Y69" s="474">
        <f t="shared" si="4"/>
        <v>0</v>
      </c>
      <c r="Z69" s="475">
        <f t="shared" si="5"/>
        <v>0</v>
      </c>
      <c r="AA69" s="475">
        <v>0</v>
      </c>
      <c r="AB69" s="476">
        <v>0</v>
      </c>
      <c r="AC69" s="38">
        <f t="shared" si="6"/>
        <v>0</v>
      </c>
      <c r="AD69" s="692">
        <f t="shared" si="7"/>
        <v>-450000</v>
      </c>
      <c r="AE69" s="692">
        <f t="shared" si="8"/>
        <v>0</v>
      </c>
      <c r="AF69" s="692">
        <f t="shared" si="9"/>
        <v>0</v>
      </c>
      <c r="AG69" s="38"/>
      <c r="AH69" s="692">
        <f t="shared" si="10"/>
        <v>675000</v>
      </c>
      <c r="AI69" s="692">
        <f t="shared" si="11"/>
        <v>0</v>
      </c>
      <c r="AJ69" s="692">
        <f t="shared" si="12"/>
        <v>0</v>
      </c>
      <c r="AL69" s="38">
        <f t="shared" si="13"/>
        <v>225000</v>
      </c>
    </row>
    <row r="70" spans="1:38" s="232" customFormat="1">
      <c r="A70" s="283" t="s">
        <v>211</v>
      </c>
      <c r="B70" s="283" t="s">
        <v>110</v>
      </c>
      <c r="C70" s="667" t="s">
        <v>538</v>
      </c>
      <c r="D70" s="123" t="s">
        <v>171</v>
      </c>
      <c r="E70" s="679"/>
      <c r="F70" s="529">
        <f>VLOOKUP(D70,'Aug 2013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row>
    <row r="71" spans="1:38" s="232" customFormat="1" hidden="1">
      <c r="A71" s="283" t="s">
        <v>211</v>
      </c>
      <c r="B71" s="283" t="s">
        <v>110</v>
      </c>
      <c r="C71" s="667" t="s">
        <v>538</v>
      </c>
      <c r="D71" s="123" t="s">
        <v>13</v>
      </c>
      <c r="E71" s="679"/>
      <c r="F71" s="529">
        <f>VLOOKUP(D71,'Aug 2013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row>
    <row r="72" spans="1:38" s="232" customFormat="1" hidden="1">
      <c r="A72" s="283" t="s">
        <v>211</v>
      </c>
      <c r="B72" s="283" t="s">
        <v>110</v>
      </c>
      <c r="C72" s="667" t="s">
        <v>538</v>
      </c>
      <c r="D72" s="123" t="s">
        <v>172</v>
      </c>
      <c r="E72" s="679"/>
      <c r="F72" s="529">
        <f>VLOOKUP(D72,'Aug 2013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row>
    <row r="73" spans="1:38" s="232" customFormat="1" hidden="1">
      <c r="A73" s="283" t="s">
        <v>211</v>
      </c>
      <c r="B73" s="283" t="s">
        <v>110</v>
      </c>
      <c r="C73" s="667" t="s">
        <v>538</v>
      </c>
      <c r="D73" s="123" t="s">
        <v>173</v>
      </c>
      <c r="E73" s="679"/>
      <c r="F73" s="529">
        <f>VLOOKUP(D73,'Aug 2013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row>
    <row r="74" spans="1:38" s="232" customFormat="1" hidden="1">
      <c r="A74" s="283" t="s">
        <v>211</v>
      </c>
      <c r="B74" s="283" t="s">
        <v>110</v>
      </c>
      <c r="C74" s="667" t="s">
        <v>538</v>
      </c>
      <c r="D74" s="123" t="s">
        <v>174</v>
      </c>
      <c r="E74" s="679"/>
      <c r="F74" s="529">
        <f>VLOOKUP(D74,'Aug 2013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row>
    <row r="75" spans="1:38" s="232" customFormat="1">
      <c r="A75" s="283"/>
      <c r="B75" s="283" t="s">
        <v>109</v>
      </c>
      <c r="C75" s="794"/>
      <c r="D75" s="351" t="s">
        <v>14</v>
      </c>
      <c r="E75" s="679"/>
      <c r="F75" s="529">
        <f>VLOOKUP(D75,'Aug 2013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row>
    <row r="76" spans="1:38" hidden="1">
      <c r="A76" s="20"/>
      <c r="B76" s="20" t="s">
        <v>110</v>
      </c>
      <c r="C76" s="667"/>
      <c r="D76" s="68" t="s">
        <v>15</v>
      </c>
      <c r="E76" s="679"/>
      <c r="F76" s="529">
        <f>VLOOKUP(D76,'Aug 2013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row>
    <row r="77" spans="1:38">
      <c r="A77" s="20"/>
      <c r="B77" s="20" t="s">
        <v>110</v>
      </c>
      <c r="C77" s="667"/>
      <c r="D77" s="68" t="s">
        <v>646</v>
      </c>
      <c r="E77" s="679">
        <v>152.38</v>
      </c>
      <c r="F77" s="529">
        <f>VLOOKUP(D77,'Aug 2013 Revenue'!D:V,19,FALSE)</f>
        <v>0</v>
      </c>
      <c r="G77" s="680"/>
      <c r="H77" s="680"/>
      <c r="I77" s="770">
        <v>186.21</v>
      </c>
      <c r="J77" s="682">
        <f t="shared" si="0"/>
        <v>338.59000000000003</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338.59000000000003</v>
      </c>
      <c r="AE77" s="692">
        <f t="shared" si="8"/>
        <v>0</v>
      </c>
      <c r="AF77" s="692">
        <f t="shared" si="9"/>
        <v>0</v>
      </c>
      <c r="AG77" s="38"/>
      <c r="AH77" s="692">
        <f t="shared" si="10"/>
        <v>0</v>
      </c>
      <c r="AI77" s="692">
        <f t="shared" si="11"/>
        <v>0</v>
      </c>
      <c r="AJ77" s="692">
        <f t="shared" si="12"/>
        <v>0</v>
      </c>
      <c r="AL77" s="38">
        <f t="shared" si="13"/>
        <v>338.59000000000003</v>
      </c>
    </row>
    <row r="78" spans="1:38">
      <c r="A78" s="20"/>
      <c r="B78" s="20" t="s">
        <v>110</v>
      </c>
      <c r="C78" s="667"/>
      <c r="D78" s="68" t="s">
        <v>988</v>
      </c>
      <c r="E78" s="679">
        <v>69824.789999999994</v>
      </c>
      <c r="F78" s="529">
        <v>0</v>
      </c>
      <c r="G78" s="680"/>
      <c r="H78" s="680"/>
      <c r="I78" s="755"/>
      <c r="J78" s="682">
        <f t="shared" ref="J78" si="67">SUM(E78:I78)</f>
        <v>69824.789999999994</v>
      </c>
      <c r="K78" s="683"/>
      <c r="L78" s="684"/>
      <c r="M78" s="753"/>
      <c r="N78" s="683">
        <v>0</v>
      </c>
      <c r="O78" s="686"/>
      <c r="P78" s="683">
        <v>0</v>
      </c>
      <c r="Q78" s="687">
        <f t="shared" ref="Q78" si="68">L78+M78</f>
        <v>0</v>
      </c>
      <c r="R78" s="687"/>
      <c r="S78" s="687"/>
      <c r="T78" s="688">
        <v>0</v>
      </c>
      <c r="U78" s="693"/>
      <c r="V78" s="690">
        <f t="shared" si="2"/>
        <v>0</v>
      </c>
      <c r="W78" s="683"/>
      <c r="X78" s="474">
        <f t="shared" ref="X78" si="69">IF(B78="D",Q78,0)</f>
        <v>0</v>
      </c>
      <c r="Y78" s="474">
        <f t="shared" ref="Y78" si="70">IF(B78="M",Q78,0)</f>
        <v>0</v>
      </c>
      <c r="Z78" s="475">
        <f t="shared" ref="Z78" si="71">IF(B78="V",Q78,0)</f>
        <v>0</v>
      </c>
      <c r="AA78" s="475">
        <v>0</v>
      </c>
      <c r="AB78" s="476">
        <v>0</v>
      </c>
      <c r="AC78" s="38">
        <f t="shared" ref="AC78" si="72">(L78+M78)-(X78+Y78+Z78+AA78+AB78)</f>
        <v>0</v>
      </c>
      <c r="AD78" s="692">
        <f t="shared" ref="AD78" si="73">IF(B78="D",J78,0)</f>
        <v>69824.789999999994</v>
      </c>
      <c r="AE78" s="692">
        <f t="shared" ref="AE78" si="74">IF(B78="M",J78,0)</f>
        <v>0</v>
      </c>
      <c r="AF78" s="692">
        <f t="shared" ref="AF78" si="75">IF(B78="V",J78,0)</f>
        <v>0</v>
      </c>
      <c r="AG78" s="38"/>
      <c r="AH78" s="692">
        <f t="shared" ref="AH78" si="76">IF(B78="D",Q78,0)</f>
        <v>0</v>
      </c>
      <c r="AI78" s="692">
        <f t="shared" ref="AI78" si="77">IF(B78="M",Q78,0)</f>
        <v>0</v>
      </c>
      <c r="AJ78" s="692">
        <f t="shared" ref="AJ78" si="78">IF(B78="V",Q78,0)</f>
        <v>0</v>
      </c>
      <c r="AL78" s="38">
        <f t="shared" ref="AL78" si="79">SUM(AD78:AJ78)</f>
        <v>69824.789999999994</v>
      </c>
    </row>
    <row r="79" spans="1:38">
      <c r="A79" s="20" t="s">
        <v>109</v>
      </c>
      <c r="B79" s="20" t="s">
        <v>109</v>
      </c>
      <c r="C79" s="667" t="s">
        <v>539</v>
      </c>
      <c r="D79" s="68" t="s">
        <v>510</v>
      </c>
      <c r="E79" s="679"/>
      <c r="F79" s="529">
        <f>VLOOKUP(D79,'Aug 2013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row>
    <row r="80" spans="1:38">
      <c r="A80" s="20"/>
      <c r="B80" s="20" t="s">
        <v>109</v>
      </c>
      <c r="C80" s="667"/>
      <c r="D80" s="68" t="s">
        <v>16</v>
      </c>
      <c r="E80" s="679"/>
      <c r="F80" s="529">
        <f>VLOOKUP(D80,'Aug 2013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row>
    <row r="81" spans="1:38">
      <c r="A81" s="20"/>
      <c r="B81" s="20" t="s">
        <v>110</v>
      </c>
      <c r="C81" s="667"/>
      <c r="D81" s="68" t="s">
        <v>597</v>
      </c>
      <c r="E81" s="679"/>
      <c r="F81" s="529">
        <f>VLOOKUP(D81,'Aug 2013 Revenue'!D:V,19,FALSE)</f>
        <v>15292.500000000058</v>
      </c>
      <c r="G81" s="680"/>
      <c r="H81" s="680"/>
      <c r="I81" s="755"/>
      <c r="J81" s="682">
        <f t="shared" si="0"/>
        <v>15292.500000000058</v>
      </c>
      <c r="K81" s="683"/>
      <c r="L81" s="684"/>
      <c r="M81" s="753">
        <v>400000</v>
      </c>
      <c r="N81" s="683">
        <v>0</v>
      </c>
      <c r="O81" s="686"/>
      <c r="P81" s="683">
        <v>0</v>
      </c>
      <c r="Q81" s="687">
        <f t="shared" si="1"/>
        <v>400000</v>
      </c>
      <c r="R81" s="687"/>
      <c r="S81" s="687"/>
      <c r="T81" s="688">
        <f>42131.16+35283.58+2911.94+243688.8+52500.56</f>
        <v>376516.04</v>
      </c>
      <c r="U81" s="693"/>
      <c r="V81" s="690">
        <f t="shared" ref="V81:V147" si="80">IF(T81="","",T81-Q81)</f>
        <v>-23483.960000000021</v>
      </c>
      <c r="W81" s="683"/>
      <c r="X81" s="474">
        <f t="shared" si="3"/>
        <v>400000</v>
      </c>
      <c r="Y81" s="474">
        <f t="shared" si="4"/>
        <v>0</v>
      </c>
      <c r="Z81" s="475">
        <f t="shared" si="5"/>
        <v>0</v>
      </c>
      <c r="AA81" s="475">
        <v>0</v>
      </c>
      <c r="AB81" s="476">
        <v>0</v>
      </c>
      <c r="AC81" s="38">
        <f t="shared" si="6"/>
        <v>0</v>
      </c>
      <c r="AD81" s="692">
        <f t="shared" si="7"/>
        <v>15292.500000000058</v>
      </c>
      <c r="AE81" s="692">
        <f t="shared" si="8"/>
        <v>0</v>
      </c>
      <c r="AF81" s="692">
        <f t="shared" si="9"/>
        <v>0</v>
      </c>
      <c r="AG81" s="38"/>
      <c r="AH81" s="692">
        <f t="shared" si="10"/>
        <v>400000</v>
      </c>
      <c r="AI81" s="692">
        <f t="shared" si="11"/>
        <v>0</v>
      </c>
      <c r="AJ81" s="692">
        <f t="shared" si="12"/>
        <v>0</v>
      </c>
      <c r="AL81" s="38">
        <f t="shared" si="13"/>
        <v>415292.50000000006</v>
      </c>
    </row>
    <row r="82" spans="1:38" s="232" customFormat="1">
      <c r="A82" s="283"/>
      <c r="B82" s="283" t="s">
        <v>109</v>
      </c>
      <c r="C82" s="667" t="s">
        <v>540</v>
      </c>
      <c r="D82" s="373" t="s">
        <v>410</v>
      </c>
      <c r="E82" s="679">
        <v>17654</v>
      </c>
      <c r="F82" s="529">
        <f>VLOOKUP(D82,'Aug 2013 Revenue'!D:V,19,FALSE)</f>
        <v>-50000</v>
      </c>
      <c r="G82" s="680"/>
      <c r="H82" s="680"/>
      <c r="I82" s="755"/>
      <c r="J82" s="682">
        <f t="shared" si="0"/>
        <v>-32346</v>
      </c>
      <c r="K82" s="683"/>
      <c r="L82" s="684"/>
      <c r="M82" s="753">
        <v>50000</v>
      </c>
      <c r="N82" s="683">
        <v>0</v>
      </c>
      <c r="O82" s="686"/>
      <c r="P82" s="683">
        <v>0</v>
      </c>
      <c r="Q82" s="687">
        <f t="shared" si="1"/>
        <v>50000</v>
      </c>
      <c r="R82" s="687"/>
      <c r="S82" s="687"/>
      <c r="T82" s="688">
        <v>12050.44</v>
      </c>
      <c r="U82" s="693"/>
      <c r="V82" s="690">
        <f t="shared" si="80"/>
        <v>-37949.56</v>
      </c>
      <c r="W82" s="683"/>
      <c r="X82" s="474">
        <f t="shared" si="3"/>
        <v>0</v>
      </c>
      <c r="Y82" s="474">
        <f t="shared" si="4"/>
        <v>50000</v>
      </c>
      <c r="Z82" s="475">
        <f t="shared" si="5"/>
        <v>0</v>
      </c>
      <c r="AA82" s="475">
        <v>0</v>
      </c>
      <c r="AB82" s="476">
        <v>0</v>
      </c>
      <c r="AC82" s="38">
        <f t="shared" si="6"/>
        <v>0</v>
      </c>
      <c r="AD82" s="692">
        <f t="shared" si="7"/>
        <v>0</v>
      </c>
      <c r="AE82" s="692">
        <f t="shared" si="8"/>
        <v>-32346</v>
      </c>
      <c r="AF82" s="692">
        <f t="shared" si="9"/>
        <v>0</v>
      </c>
      <c r="AG82" s="38"/>
      <c r="AH82" s="692">
        <f t="shared" si="10"/>
        <v>0</v>
      </c>
      <c r="AI82" s="692">
        <f t="shared" si="11"/>
        <v>50000</v>
      </c>
      <c r="AJ82" s="692">
        <f t="shared" si="12"/>
        <v>0</v>
      </c>
      <c r="AL82" s="38">
        <f t="shared" si="13"/>
        <v>17654</v>
      </c>
    </row>
    <row r="83" spans="1:38" s="232" customFormat="1">
      <c r="A83" s="283"/>
      <c r="B83" s="283" t="s">
        <v>109</v>
      </c>
      <c r="C83" s="667" t="s">
        <v>540</v>
      </c>
      <c r="D83" s="373" t="s">
        <v>879</v>
      </c>
      <c r="E83" s="679"/>
      <c r="F83" s="529">
        <f>VLOOKUP(D83,'Aug 2013 Revenue'!D:V,19,FALSE)</f>
        <v>0</v>
      </c>
      <c r="G83" s="680"/>
      <c r="H83" s="680"/>
      <c r="I83" s="755"/>
      <c r="J83" s="682">
        <f t="shared" si="0"/>
        <v>0</v>
      </c>
      <c r="K83" s="683"/>
      <c r="L83" s="684"/>
      <c r="M83" s="753"/>
      <c r="N83" s="683">
        <v>0</v>
      </c>
      <c r="O83" s="686"/>
      <c r="P83" s="683">
        <v>0</v>
      </c>
      <c r="Q83" s="687">
        <f t="shared" si="1"/>
        <v>0</v>
      </c>
      <c r="R83" s="687"/>
      <c r="S83" s="687"/>
      <c r="T83" s="688">
        <v>0</v>
      </c>
      <c r="U83" s="693"/>
      <c r="V83" s="690">
        <f t="shared" si="80"/>
        <v>0</v>
      </c>
      <c r="W83" s="683"/>
      <c r="X83" s="474">
        <f t="shared" si="3"/>
        <v>0</v>
      </c>
      <c r="Y83" s="474">
        <f t="shared" si="4"/>
        <v>0</v>
      </c>
      <c r="Z83" s="475">
        <f t="shared" si="5"/>
        <v>0</v>
      </c>
      <c r="AA83" s="475">
        <v>0</v>
      </c>
      <c r="AB83" s="476">
        <v>0</v>
      </c>
      <c r="AC83" s="38">
        <f t="shared" si="6"/>
        <v>0</v>
      </c>
      <c r="AD83" s="692">
        <f t="shared" si="7"/>
        <v>0</v>
      </c>
      <c r="AE83" s="692">
        <f t="shared" si="8"/>
        <v>0</v>
      </c>
      <c r="AF83" s="692">
        <f t="shared" si="9"/>
        <v>0</v>
      </c>
      <c r="AG83" s="38"/>
      <c r="AH83" s="692">
        <f t="shared" si="10"/>
        <v>0</v>
      </c>
      <c r="AI83" s="692">
        <f t="shared" si="11"/>
        <v>0</v>
      </c>
      <c r="AJ83" s="692">
        <f t="shared" si="12"/>
        <v>0</v>
      </c>
      <c r="AL83" s="38">
        <f t="shared" si="13"/>
        <v>0</v>
      </c>
    </row>
    <row r="84" spans="1:38" s="232" customFormat="1">
      <c r="A84" s="283"/>
      <c r="B84" s="283" t="s">
        <v>109</v>
      </c>
      <c r="C84" s="667" t="s">
        <v>540</v>
      </c>
      <c r="D84" s="373" t="s">
        <v>620</v>
      </c>
      <c r="E84" s="679"/>
      <c r="F84" s="529">
        <f>VLOOKUP(D84,'Aug 2013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80"/>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row>
    <row r="85" spans="1:38">
      <c r="A85" s="20"/>
      <c r="B85" s="20" t="s">
        <v>110</v>
      </c>
      <c r="C85" s="667" t="s">
        <v>541</v>
      </c>
      <c r="D85" s="351" t="s">
        <v>507</v>
      </c>
      <c r="E85" s="679">
        <v>956.49</v>
      </c>
      <c r="F85" s="529">
        <f>VLOOKUP(D85,'Aug 2013 Revenue'!D:V,19,FALSE)</f>
        <v>0</v>
      </c>
      <c r="G85" s="680"/>
      <c r="H85" s="680"/>
      <c r="I85" s="755"/>
      <c r="J85" s="682">
        <f t="shared" si="0"/>
        <v>956.49</v>
      </c>
      <c r="K85" s="683"/>
      <c r="L85" s="684"/>
      <c r="M85" s="753"/>
      <c r="N85" s="683">
        <v>0</v>
      </c>
      <c r="O85" s="686"/>
      <c r="P85" s="683">
        <v>0</v>
      </c>
      <c r="Q85" s="687">
        <f t="shared" si="1"/>
        <v>0</v>
      </c>
      <c r="R85" s="687"/>
      <c r="S85" s="687"/>
      <c r="T85" s="688">
        <v>0</v>
      </c>
      <c r="U85" s="693"/>
      <c r="V85" s="690">
        <f t="shared" si="80"/>
        <v>0</v>
      </c>
      <c r="W85" s="683"/>
      <c r="X85" s="474">
        <f t="shared" si="3"/>
        <v>0</v>
      </c>
      <c r="Y85" s="474">
        <f t="shared" si="4"/>
        <v>0</v>
      </c>
      <c r="Z85" s="475">
        <f t="shared" si="5"/>
        <v>0</v>
      </c>
      <c r="AA85" s="475">
        <v>0</v>
      </c>
      <c r="AB85" s="476">
        <v>0</v>
      </c>
      <c r="AC85" s="38">
        <f t="shared" si="6"/>
        <v>0</v>
      </c>
      <c r="AD85" s="692">
        <f t="shared" si="7"/>
        <v>956.49</v>
      </c>
      <c r="AE85" s="692">
        <f t="shared" si="8"/>
        <v>0</v>
      </c>
      <c r="AF85" s="692">
        <f t="shared" si="9"/>
        <v>0</v>
      </c>
      <c r="AG85" s="38"/>
      <c r="AH85" s="692">
        <f t="shared" si="10"/>
        <v>0</v>
      </c>
      <c r="AI85" s="692">
        <f t="shared" si="11"/>
        <v>0</v>
      </c>
      <c r="AJ85" s="692">
        <f t="shared" si="12"/>
        <v>0</v>
      </c>
      <c r="AL85" s="38">
        <f t="shared" si="13"/>
        <v>956.49</v>
      </c>
    </row>
    <row r="86" spans="1:38">
      <c r="A86" s="20"/>
      <c r="B86" s="20" t="s">
        <v>110</v>
      </c>
      <c r="C86" s="667" t="s">
        <v>541</v>
      </c>
      <c r="D86" s="351" t="s">
        <v>506</v>
      </c>
      <c r="E86" s="679">
        <v>881.78</v>
      </c>
      <c r="F86" s="529">
        <f>VLOOKUP(D86,'Aug 2013 Revenue'!D:V,19,FALSE)</f>
        <v>0</v>
      </c>
      <c r="G86" s="680"/>
      <c r="H86" s="680"/>
      <c r="I86" s="755"/>
      <c r="J86" s="682">
        <f t="shared" ref="J86:J149" si="81">SUM(E86:I86)</f>
        <v>881.78</v>
      </c>
      <c r="K86" s="683"/>
      <c r="L86" s="684"/>
      <c r="M86" s="753"/>
      <c r="N86" s="683">
        <v>0</v>
      </c>
      <c r="O86" s="686"/>
      <c r="P86" s="683">
        <v>0</v>
      </c>
      <c r="Q86" s="687">
        <f t="shared" si="1"/>
        <v>0</v>
      </c>
      <c r="R86" s="687"/>
      <c r="S86" s="687"/>
      <c r="T86" s="688">
        <v>0</v>
      </c>
      <c r="U86" s="693"/>
      <c r="V86" s="690">
        <f t="shared" si="80"/>
        <v>0</v>
      </c>
      <c r="W86" s="683"/>
      <c r="X86" s="474">
        <f t="shared" si="3"/>
        <v>0</v>
      </c>
      <c r="Y86" s="474">
        <f t="shared" si="4"/>
        <v>0</v>
      </c>
      <c r="Z86" s="475">
        <f t="shared" si="5"/>
        <v>0</v>
      </c>
      <c r="AA86" s="475">
        <v>0</v>
      </c>
      <c r="AB86" s="476">
        <v>0</v>
      </c>
      <c r="AC86" s="38">
        <f t="shared" si="6"/>
        <v>0</v>
      </c>
      <c r="AD86" s="692">
        <f t="shared" ref="AD86:AD152" si="82">IF(B86="D",J86,0)</f>
        <v>881.78</v>
      </c>
      <c r="AE86" s="692">
        <f t="shared" ref="AE86:AE152" si="83">IF(B86="M",J86,0)</f>
        <v>0</v>
      </c>
      <c r="AF86" s="692">
        <f t="shared" ref="AF86:AF152" si="84">IF(B86="V",J86,0)</f>
        <v>0</v>
      </c>
      <c r="AG86" s="38"/>
      <c r="AH86" s="692">
        <f t="shared" si="10"/>
        <v>0</v>
      </c>
      <c r="AI86" s="692">
        <f t="shared" si="11"/>
        <v>0</v>
      </c>
      <c r="AJ86" s="692">
        <f t="shared" si="12"/>
        <v>0</v>
      </c>
      <c r="AL86" s="38">
        <f t="shared" si="13"/>
        <v>881.78</v>
      </c>
    </row>
    <row r="87" spans="1:38">
      <c r="A87" s="20"/>
      <c r="B87" s="20" t="s">
        <v>110</v>
      </c>
      <c r="C87" s="667" t="s">
        <v>542</v>
      </c>
      <c r="D87" s="68" t="s">
        <v>305</v>
      </c>
      <c r="E87" s="679"/>
      <c r="F87" s="529">
        <f>VLOOKUP(D87,'Aug 2013 Revenue'!D:V,19,FALSE)</f>
        <v>0</v>
      </c>
      <c r="G87" s="680"/>
      <c r="H87" s="680"/>
      <c r="I87" s="755"/>
      <c r="J87" s="682">
        <f t="shared" si="81"/>
        <v>0</v>
      </c>
      <c r="K87" s="683"/>
      <c r="L87" s="684"/>
      <c r="M87" s="753">
        <v>7000</v>
      </c>
      <c r="N87" s="683">
        <v>0</v>
      </c>
      <c r="O87" s="686"/>
      <c r="P87" s="683">
        <v>0</v>
      </c>
      <c r="Q87" s="687">
        <f t="shared" si="1"/>
        <v>7000</v>
      </c>
      <c r="R87" s="687"/>
      <c r="S87" s="687"/>
      <c r="T87" s="688">
        <v>0</v>
      </c>
      <c r="U87" s="693"/>
      <c r="V87" s="690">
        <f t="shared" si="80"/>
        <v>-7000</v>
      </c>
      <c r="W87" s="683"/>
      <c r="X87" s="474">
        <f t="shared" ref="X87:X154" si="85">IF(B87="D",Q87,0)</f>
        <v>7000</v>
      </c>
      <c r="Y87" s="474">
        <f t="shared" ref="Y87:Y154" si="86">IF(B87="M",Q87,0)</f>
        <v>0</v>
      </c>
      <c r="Z87" s="475">
        <f t="shared" ref="Z87:Z154" si="87">IF(B87="V",Q87,0)</f>
        <v>0</v>
      </c>
      <c r="AA87" s="475">
        <v>0</v>
      </c>
      <c r="AB87" s="476">
        <v>0</v>
      </c>
      <c r="AC87" s="38">
        <f t="shared" ref="AC87:AC154" si="88">(L87+M87)-(X87+Y87+Z87+AA87+AB87)</f>
        <v>0</v>
      </c>
      <c r="AD87" s="692">
        <f t="shared" si="82"/>
        <v>0</v>
      </c>
      <c r="AE87" s="692">
        <f t="shared" si="83"/>
        <v>0</v>
      </c>
      <c r="AF87" s="692">
        <f t="shared" si="84"/>
        <v>0</v>
      </c>
      <c r="AG87" s="38"/>
      <c r="AH87" s="692">
        <f t="shared" ref="AH87:AH153" si="89">IF(B87="D",Q87,0)</f>
        <v>7000</v>
      </c>
      <c r="AI87" s="692">
        <f t="shared" ref="AI87:AI153" si="90">IF(B87="M",Q87,0)</f>
        <v>0</v>
      </c>
      <c r="AJ87" s="692">
        <f t="shared" ref="AJ87:AJ153" si="91">IF(B87="V",Q87,0)</f>
        <v>0</v>
      </c>
      <c r="AL87" s="38">
        <f t="shared" si="13"/>
        <v>7000</v>
      </c>
    </row>
    <row r="88" spans="1:38">
      <c r="A88" s="20"/>
      <c r="B88" s="20" t="s">
        <v>110</v>
      </c>
      <c r="C88" s="667" t="s">
        <v>543</v>
      </c>
      <c r="D88" s="68" t="s">
        <v>199</v>
      </c>
      <c r="E88" s="679"/>
      <c r="F88" s="529">
        <f>VLOOKUP(D88,'Aug 2013 Revenue'!D:V,19,FALSE)</f>
        <v>0</v>
      </c>
      <c r="G88" s="680"/>
      <c r="H88" s="680"/>
      <c r="I88" s="755"/>
      <c r="J88" s="682">
        <f t="shared" si="81"/>
        <v>0</v>
      </c>
      <c r="K88" s="683"/>
      <c r="L88" s="684"/>
      <c r="M88" s="753"/>
      <c r="N88" s="683">
        <v>0</v>
      </c>
      <c r="O88" s="686"/>
      <c r="P88" s="683">
        <v>0</v>
      </c>
      <c r="Q88" s="687">
        <f t="shared" si="1"/>
        <v>0</v>
      </c>
      <c r="R88" s="687"/>
      <c r="S88" s="687"/>
      <c r="T88" s="688">
        <v>0</v>
      </c>
      <c r="U88" s="693"/>
      <c r="V88" s="690">
        <f t="shared" si="80"/>
        <v>0</v>
      </c>
      <c r="W88" s="683"/>
      <c r="X88" s="474">
        <f t="shared" si="85"/>
        <v>0</v>
      </c>
      <c r="Y88" s="474">
        <f t="shared" si="86"/>
        <v>0</v>
      </c>
      <c r="Z88" s="475">
        <f t="shared" si="87"/>
        <v>0</v>
      </c>
      <c r="AA88" s="475">
        <v>0</v>
      </c>
      <c r="AB88" s="476">
        <v>0</v>
      </c>
      <c r="AC88" s="38">
        <f t="shared" si="88"/>
        <v>0</v>
      </c>
      <c r="AD88" s="692">
        <f t="shared" si="82"/>
        <v>0</v>
      </c>
      <c r="AE88" s="692">
        <f t="shared" si="83"/>
        <v>0</v>
      </c>
      <c r="AF88" s="692">
        <f t="shared" si="84"/>
        <v>0</v>
      </c>
      <c r="AG88" s="38"/>
      <c r="AH88" s="692">
        <f t="shared" si="89"/>
        <v>0</v>
      </c>
      <c r="AI88" s="692">
        <f t="shared" si="90"/>
        <v>0</v>
      </c>
      <c r="AJ88" s="692">
        <f t="shared" si="91"/>
        <v>0</v>
      </c>
      <c r="AL88" s="38">
        <f t="shared" ref="AL88:AL152" si="92">SUM(AD88:AJ88)</f>
        <v>0</v>
      </c>
    </row>
    <row r="89" spans="1:38">
      <c r="A89" s="20"/>
      <c r="B89" s="20" t="s">
        <v>110</v>
      </c>
      <c r="C89" s="667" t="s">
        <v>543</v>
      </c>
      <c r="D89" s="68" t="s">
        <v>200</v>
      </c>
      <c r="E89" s="679"/>
      <c r="F89" s="529">
        <f>VLOOKUP(D89,'Aug 2013 Revenue'!D:V,19,FALSE)</f>
        <v>0</v>
      </c>
      <c r="G89" s="680"/>
      <c r="H89" s="680"/>
      <c r="I89" s="755"/>
      <c r="J89" s="682">
        <f t="shared" si="81"/>
        <v>0</v>
      </c>
      <c r="K89" s="683"/>
      <c r="L89" s="684"/>
      <c r="M89" s="753"/>
      <c r="N89" s="683">
        <v>0</v>
      </c>
      <c r="O89" s="686"/>
      <c r="P89" s="683">
        <v>0</v>
      </c>
      <c r="Q89" s="687">
        <f t="shared" si="1"/>
        <v>0</v>
      </c>
      <c r="R89" s="687"/>
      <c r="S89" s="687"/>
      <c r="T89" s="688">
        <v>0</v>
      </c>
      <c r="U89" s="693"/>
      <c r="V89" s="690">
        <f t="shared" si="80"/>
        <v>0</v>
      </c>
      <c r="W89" s="683"/>
      <c r="X89" s="474">
        <f t="shared" si="85"/>
        <v>0</v>
      </c>
      <c r="Y89" s="474">
        <f t="shared" si="86"/>
        <v>0</v>
      </c>
      <c r="Z89" s="475">
        <f t="shared" si="87"/>
        <v>0</v>
      </c>
      <c r="AA89" s="475">
        <v>0</v>
      </c>
      <c r="AB89" s="476">
        <v>0</v>
      </c>
      <c r="AC89" s="38">
        <f t="shared" si="88"/>
        <v>0</v>
      </c>
      <c r="AD89" s="692">
        <f t="shared" si="82"/>
        <v>0</v>
      </c>
      <c r="AE89" s="692">
        <f t="shared" si="83"/>
        <v>0</v>
      </c>
      <c r="AF89" s="692">
        <f t="shared" si="84"/>
        <v>0</v>
      </c>
      <c r="AG89" s="38"/>
      <c r="AH89" s="692">
        <f t="shared" si="89"/>
        <v>0</v>
      </c>
      <c r="AI89" s="692">
        <f t="shared" si="90"/>
        <v>0</v>
      </c>
      <c r="AJ89" s="692">
        <f t="shared" si="91"/>
        <v>0</v>
      </c>
      <c r="AL89" s="38">
        <f t="shared" si="92"/>
        <v>0</v>
      </c>
    </row>
    <row r="90" spans="1:38">
      <c r="A90" s="20"/>
      <c r="B90" s="20" t="s">
        <v>110</v>
      </c>
      <c r="C90" s="667" t="s">
        <v>543</v>
      </c>
      <c r="D90" s="68" t="s">
        <v>201</v>
      </c>
      <c r="E90" s="679"/>
      <c r="F90" s="529">
        <f>VLOOKUP(D90,'Aug 2013 Revenue'!D:V,19,FALSE)</f>
        <v>0</v>
      </c>
      <c r="G90" s="680"/>
      <c r="H90" s="680"/>
      <c r="I90" s="755"/>
      <c r="J90" s="682">
        <f t="shared" si="81"/>
        <v>0</v>
      </c>
      <c r="K90" s="683"/>
      <c r="L90" s="684"/>
      <c r="M90" s="753"/>
      <c r="N90" s="683">
        <v>0</v>
      </c>
      <c r="O90" s="686"/>
      <c r="P90" s="683">
        <v>0</v>
      </c>
      <c r="Q90" s="687">
        <f t="shared" si="1"/>
        <v>0</v>
      </c>
      <c r="R90" s="687"/>
      <c r="S90" s="687"/>
      <c r="T90" s="688">
        <v>0</v>
      </c>
      <c r="U90" s="693"/>
      <c r="V90" s="690">
        <f t="shared" si="80"/>
        <v>0</v>
      </c>
      <c r="W90" s="683"/>
      <c r="X90" s="474">
        <f t="shared" si="85"/>
        <v>0</v>
      </c>
      <c r="Y90" s="474">
        <f t="shared" si="86"/>
        <v>0</v>
      </c>
      <c r="Z90" s="475">
        <f t="shared" si="87"/>
        <v>0</v>
      </c>
      <c r="AA90" s="475">
        <v>0</v>
      </c>
      <c r="AB90" s="476">
        <v>0</v>
      </c>
      <c r="AC90" s="38">
        <f t="shared" si="88"/>
        <v>0</v>
      </c>
      <c r="AD90" s="692">
        <f t="shared" si="82"/>
        <v>0</v>
      </c>
      <c r="AE90" s="692">
        <f t="shared" si="83"/>
        <v>0</v>
      </c>
      <c r="AF90" s="692">
        <f t="shared" si="84"/>
        <v>0</v>
      </c>
      <c r="AG90" s="38"/>
      <c r="AH90" s="692">
        <f t="shared" si="89"/>
        <v>0</v>
      </c>
      <c r="AI90" s="692">
        <f t="shared" si="90"/>
        <v>0</v>
      </c>
      <c r="AJ90" s="692">
        <f t="shared" si="91"/>
        <v>0</v>
      </c>
      <c r="AL90" s="38">
        <f t="shared" si="92"/>
        <v>0</v>
      </c>
    </row>
    <row r="91" spans="1:38">
      <c r="A91" s="20" t="s">
        <v>97</v>
      </c>
      <c r="B91" s="20" t="s">
        <v>114</v>
      </c>
      <c r="C91" s="667"/>
      <c r="D91" s="68" t="s">
        <v>387</v>
      </c>
      <c r="E91" s="679"/>
      <c r="F91" s="529">
        <f>VLOOKUP(D91,'Aug 2013 Revenue'!D:V,19,FALSE)</f>
        <v>1919.4700000000012</v>
      </c>
      <c r="G91" s="680"/>
      <c r="H91" s="680"/>
      <c r="I91" s="755"/>
      <c r="J91" s="682">
        <f t="shared" si="81"/>
        <v>1919.4700000000012</v>
      </c>
      <c r="K91" s="683"/>
      <c r="L91" s="684"/>
      <c r="M91" s="753">
        <v>15000</v>
      </c>
      <c r="N91" s="683">
        <v>0</v>
      </c>
      <c r="O91" s="686"/>
      <c r="P91" s="683">
        <v>0</v>
      </c>
      <c r="Q91" s="687">
        <f t="shared" si="1"/>
        <v>15000</v>
      </c>
      <c r="R91" s="687"/>
      <c r="S91" s="687"/>
      <c r="T91" s="688">
        <v>12353.02</v>
      </c>
      <c r="U91" s="693"/>
      <c r="V91" s="690">
        <f t="shared" si="80"/>
        <v>-2646.9799999999996</v>
      </c>
      <c r="W91" s="683"/>
      <c r="X91" s="474">
        <f t="shared" si="85"/>
        <v>0</v>
      </c>
      <c r="Y91" s="474">
        <f t="shared" si="86"/>
        <v>0</v>
      </c>
      <c r="Z91" s="475">
        <f t="shared" si="87"/>
        <v>15000</v>
      </c>
      <c r="AA91" s="475">
        <v>0</v>
      </c>
      <c r="AB91" s="476">
        <v>0</v>
      </c>
      <c r="AC91" s="38">
        <f t="shared" si="88"/>
        <v>0</v>
      </c>
      <c r="AD91" s="692">
        <f t="shared" si="82"/>
        <v>0</v>
      </c>
      <c r="AE91" s="692">
        <f t="shared" si="83"/>
        <v>0</v>
      </c>
      <c r="AF91" s="692">
        <f t="shared" si="84"/>
        <v>1919.4700000000012</v>
      </c>
      <c r="AG91" s="38"/>
      <c r="AH91" s="692">
        <f t="shared" si="89"/>
        <v>0</v>
      </c>
      <c r="AI91" s="692">
        <f t="shared" si="90"/>
        <v>0</v>
      </c>
      <c r="AJ91" s="692">
        <f t="shared" si="91"/>
        <v>15000</v>
      </c>
      <c r="AL91" s="38">
        <f t="shared" si="92"/>
        <v>16919.47</v>
      </c>
    </row>
    <row r="92" spans="1:38" hidden="1">
      <c r="A92" s="20" t="s">
        <v>97</v>
      </c>
      <c r="B92" s="20" t="s">
        <v>114</v>
      </c>
      <c r="C92" s="667"/>
      <c r="D92" s="68" t="s">
        <v>482</v>
      </c>
      <c r="E92" s="679"/>
      <c r="F92" s="529">
        <f>VLOOKUP(D92,'Aug 2013 Revenue'!D:V,19,FALSE)</f>
        <v>0</v>
      </c>
      <c r="G92" s="680"/>
      <c r="H92" s="680"/>
      <c r="I92" s="755"/>
      <c r="J92" s="682">
        <f t="shared" si="81"/>
        <v>0</v>
      </c>
      <c r="K92" s="683"/>
      <c r="L92" s="684"/>
      <c r="M92" s="753"/>
      <c r="N92" s="683"/>
      <c r="O92" s="686"/>
      <c r="P92" s="683"/>
      <c r="Q92" s="687">
        <f t="shared" si="1"/>
        <v>0</v>
      </c>
      <c r="R92" s="687"/>
      <c r="S92" s="687"/>
      <c r="T92" s="688">
        <v>0</v>
      </c>
      <c r="U92" s="693"/>
      <c r="V92" s="690">
        <f t="shared" si="80"/>
        <v>0</v>
      </c>
      <c r="W92" s="683"/>
      <c r="X92" s="474">
        <f t="shared" si="85"/>
        <v>0</v>
      </c>
      <c r="Y92" s="474">
        <f t="shared" si="86"/>
        <v>0</v>
      </c>
      <c r="Z92" s="475">
        <f t="shared" si="87"/>
        <v>0</v>
      </c>
      <c r="AA92" s="475">
        <v>0</v>
      </c>
      <c r="AB92" s="476">
        <v>0</v>
      </c>
      <c r="AC92" s="38">
        <f t="shared" si="88"/>
        <v>0</v>
      </c>
      <c r="AD92" s="692">
        <f t="shared" si="82"/>
        <v>0</v>
      </c>
      <c r="AE92" s="692">
        <f t="shared" si="83"/>
        <v>0</v>
      </c>
      <c r="AF92" s="692">
        <f t="shared" si="84"/>
        <v>0</v>
      </c>
      <c r="AG92" s="38"/>
      <c r="AH92" s="692">
        <f t="shared" si="89"/>
        <v>0</v>
      </c>
      <c r="AI92" s="692">
        <f t="shared" si="90"/>
        <v>0</v>
      </c>
      <c r="AJ92" s="692">
        <f t="shared" si="91"/>
        <v>0</v>
      </c>
      <c r="AL92" s="38">
        <f t="shared" si="92"/>
        <v>0</v>
      </c>
    </row>
    <row r="93" spans="1:38" hidden="1">
      <c r="A93" s="20" t="s">
        <v>109</v>
      </c>
      <c r="B93" s="20" t="s">
        <v>109</v>
      </c>
      <c r="C93" s="667" t="s">
        <v>544</v>
      </c>
      <c r="D93" s="68" t="s">
        <v>383</v>
      </c>
      <c r="E93" s="679"/>
      <c r="F93" s="529">
        <f>VLOOKUP(D93,'Aug 2013 Revenue'!D:V,19,FALSE)</f>
        <v>0</v>
      </c>
      <c r="G93" s="680"/>
      <c r="H93" s="680"/>
      <c r="I93" s="755"/>
      <c r="J93" s="682">
        <f t="shared" si="81"/>
        <v>0</v>
      </c>
      <c r="K93" s="683"/>
      <c r="L93" s="684"/>
      <c r="M93" s="753"/>
      <c r="N93" s="683">
        <v>0</v>
      </c>
      <c r="O93" s="686"/>
      <c r="P93" s="683">
        <v>0</v>
      </c>
      <c r="Q93" s="687">
        <f t="shared" si="1"/>
        <v>0</v>
      </c>
      <c r="R93" s="687"/>
      <c r="S93" s="687"/>
      <c r="T93" s="688">
        <v>0</v>
      </c>
      <c r="U93" s="693"/>
      <c r="V93" s="690">
        <f t="shared" si="80"/>
        <v>0</v>
      </c>
      <c r="W93" s="683"/>
      <c r="X93" s="474">
        <f t="shared" si="85"/>
        <v>0</v>
      </c>
      <c r="Y93" s="474">
        <f t="shared" si="86"/>
        <v>0</v>
      </c>
      <c r="Z93" s="475">
        <f t="shared" si="87"/>
        <v>0</v>
      </c>
      <c r="AA93" s="475">
        <v>0</v>
      </c>
      <c r="AB93" s="476">
        <v>0</v>
      </c>
      <c r="AC93" s="38">
        <f t="shared" si="88"/>
        <v>0</v>
      </c>
      <c r="AD93" s="692">
        <f t="shared" si="82"/>
        <v>0</v>
      </c>
      <c r="AE93" s="692">
        <f t="shared" si="83"/>
        <v>0</v>
      </c>
      <c r="AF93" s="692">
        <f t="shared" si="84"/>
        <v>0</v>
      </c>
      <c r="AG93" s="38"/>
      <c r="AH93" s="692">
        <f t="shared" si="89"/>
        <v>0</v>
      </c>
      <c r="AI93" s="692">
        <f t="shared" si="90"/>
        <v>0</v>
      </c>
      <c r="AJ93" s="692">
        <f t="shared" si="91"/>
        <v>0</v>
      </c>
      <c r="AL93" s="38">
        <f t="shared" si="92"/>
        <v>0</v>
      </c>
    </row>
    <row r="94" spans="1:38" hidden="1">
      <c r="A94" s="21" t="s">
        <v>211</v>
      </c>
      <c r="B94" s="21" t="s">
        <v>109</v>
      </c>
      <c r="C94" s="666" t="s">
        <v>545</v>
      </c>
      <c r="D94" s="68" t="s">
        <v>181</v>
      </c>
      <c r="E94" s="679"/>
      <c r="F94" s="529">
        <f>VLOOKUP(D94,'Aug 2013 Revenue'!D:V,19,FALSE)</f>
        <v>0</v>
      </c>
      <c r="G94" s="680"/>
      <c r="H94" s="680"/>
      <c r="I94" s="755"/>
      <c r="J94" s="682">
        <f t="shared" si="81"/>
        <v>0</v>
      </c>
      <c r="K94" s="683"/>
      <c r="L94" s="684"/>
      <c r="M94" s="753"/>
      <c r="N94" s="683">
        <v>0</v>
      </c>
      <c r="O94" s="686"/>
      <c r="P94" s="683">
        <v>0</v>
      </c>
      <c r="Q94" s="687">
        <f t="shared" si="1"/>
        <v>0</v>
      </c>
      <c r="R94" s="687"/>
      <c r="S94" s="687"/>
      <c r="T94" s="688">
        <v>0</v>
      </c>
      <c r="U94" s="693"/>
      <c r="V94" s="690">
        <f t="shared" si="80"/>
        <v>0</v>
      </c>
      <c r="W94" s="683"/>
      <c r="X94" s="474">
        <f t="shared" si="85"/>
        <v>0</v>
      </c>
      <c r="Y94" s="474">
        <f t="shared" si="86"/>
        <v>0</v>
      </c>
      <c r="Z94" s="475">
        <f t="shared" si="87"/>
        <v>0</v>
      </c>
      <c r="AA94" s="475">
        <v>0</v>
      </c>
      <c r="AB94" s="476">
        <v>0</v>
      </c>
      <c r="AC94" s="38">
        <f t="shared" si="88"/>
        <v>0</v>
      </c>
      <c r="AD94" s="692">
        <f t="shared" si="82"/>
        <v>0</v>
      </c>
      <c r="AE94" s="692">
        <f t="shared" si="83"/>
        <v>0</v>
      </c>
      <c r="AF94" s="692">
        <f t="shared" si="84"/>
        <v>0</v>
      </c>
      <c r="AG94" s="38"/>
      <c r="AH94" s="692">
        <f t="shared" si="89"/>
        <v>0</v>
      </c>
      <c r="AI94" s="692">
        <f t="shared" si="90"/>
        <v>0</v>
      </c>
      <c r="AJ94" s="692">
        <f t="shared" si="91"/>
        <v>0</v>
      </c>
      <c r="AL94" s="38">
        <f t="shared" si="92"/>
        <v>0</v>
      </c>
    </row>
    <row r="95" spans="1:38" hidden="1">
      <c r="A95" s="21" t="s">
        <v>211</v>
      </c>
      <c r="B95" s="21" t="s">
        <v>110</v>
      </c>
      <c r="C95" s="666"/>
      <c r="D95" s="68" t="s">
        <v>504</v>
      </c>
      <c r="E95" s="679"/>
      <c r="F95" s="529">
        <f>VLOOKUP(D95,'Aug 2013 Revenue'!D:V,19,FALSE)</f>
        <v>0</v>
      </c>
      <c r="G95" s="680"/>
      <c r="H95" s="680"/>
      <c r="I95" s="755"/>
      <c r="J95" s="682">
        <f t="shared" si="81"/>
        <v>0</v>
      </c>
      <c r="K95" s="683"/>
      <c r="L95" s="684"/>
      <c r="M95" s="753"/>
      <c r="N95" s="683">
        <v>0</v>
      </c>
      <c r="O95" s="686"/>
      <c r="P95" s="683">
        <v>0</v>
      </c>
      <c r="Q95" s="687">
        <f t="shared" si="1"/>
        <v>0</v>
      </c>
      <c r="R95" s="687"/>
      <c r="S95" s="687"/>
      <c r="T95" s="688">
        <v>0</v>
      </c>
      <c r="U95" s="693"/>
      <c r="V95" s="690">
        <f t="shared" si="80"/>
        <v>0</v>
      </c>
      <c r="W95" s="683"/>
      <c r="X95" s="474">
        <f t="shared" si="85"/>
        <v>0</v>
      </c>
      <c r="Y95" s="474">
        <f t="shared" si="86"/>
        <v>0</v>
      </c>
      <c r="Z95" s="475">
        <f t="shared" si="87"/>
        <v>0</v>
      </c>
      <c r="AA95" s="475">
        <v>0</v>
      </c>
      <c r="AB95" s="476">
        <v>0</v>
      </c>
      <c r="AC95" s="38">
        <f t="shared" si="88"/>
        <v>0</v>
      </c>
      <c r="AD95" s="692">
        <f t="shared" si="82"/>
        <v>0</v>
      </c>
      <c r="AE95" s="692">
        <f t="shared" si="83"/>
        <v>0</v>
      </c>
      <c r="AF95" s="692">
        <f t="shared" si="84"/>
        <v>0</v>
      </c>
      <c r="AG95" s="38"/>
      <c r="AH95" s="692">
        <f t="shared" si="89"/>
        <v>0</v>
      </c>
      <c r="AI95" s="692">
        <f t="shared" si="90"/>
        <v>0</v>
      </c>
      <c r="AJ95" s="692">
        <f t="shared" si="91"/>
        <v>0</v>
      </c>
      <c r="AL95" s="38">
        <f t="shared" si="92"/>
        <v>0</v>
      </c>
    </row>
    <row r="96" spans="1:38">
      <c r="A96" s="20" t="s">
        <v>211</v>
      </c>
      <c r="B96" s="20" t="s">
        <v>109</v>
      </c>
      <c r="C96" s="667" t="s">
        <v>546</v>
      </c>
      <c r="D96" s="68" t="s">
        <v>142</v>
      </c>
      <c r="E96" s="679"/>
      <c r="F96" s="529">
        <f>VLOOKUP(D96,'Aug 2013 Revenue'!D:V,19,FALSE)</f>
        <v>0</v>
      </c>
      <c r="G96" s="680"/>
      <c r="H96" s="680"/>
      <c r="I96" s="755"/>
      <c r="J96" s="682">
        <f t="shared" si="81"/>
        <v>0</v>
      </c>
      <c r="K96" s="683"/>
      <c r="L96" s="684"/>
      <c r="M96" s="753"/>
      <c r="N96" s="683">
        <v>0</v>
      </c>
      <c r="O96" s="686"/>
      <c r="P96" s="683">
        <v>0</v>
      </c>
      <c r="Q96" s="687">
        <f t="shared" si="1"/>
        <v>0</v>
      </c>
      <c r="R96" s="687"/>
      <c r="S96" s="687"/>
      <c r="T96" s="688">
        <v>0</v>
      </c>
      <c r="U96" s="693"/>
      <c r="V96" s="690">
        <f t="shared" si="80"/>
        <v>0</v>
      </c>
      <c r="W96" s="697"/>
      <c r="X96" s="474">
        <f t="shared" si="85"/>
        <v>0</v>
      </c>
      <c r="Y96" s="474">
        <f t="shared" si="86"/>
        <v>0</v>
      </c>
      <c r="Z96" s="475">
        <f t="shared" si="87"/>
        <v>0</v>
      </c>
      <c r="AA96" s="475">
        <v>0</v>
      </c>
      <c r="AB96" s="476">
        <v>0</v>
      </c>
      <c r="AC96" s="38">
        <f t="shared" si="88"/>
        <v>0</v>
      </c>
      <c r="AD96" s="692">
        <f t="shared" si="82"/>
        <v>0</v>
      </c>
      <c r="AE96" s="692">
        <f t="shared" si="83"/>
        <v>0</v>
      </c>
      <c r="AF96" s="692">
        <f t="shared" si="84"/>
        <v>0</v>
      </c>
      <c r="AG96" s="38"/>
      <c r="AH96" s="692">
        <f t="shared" si="89"/>
        <v>0</v>
      </c>
      <c r="AI96" s="692">
        <f t="shared" si="90"/>
        <v>0</v>
      </c>
      <c r="AJ96" s="692">
        <f t="shared" si="91"/>
        <v>0</v>
      </c>
      <c r="AL96" s="38">
        <f t="shared" si="92"/>
        <v>0</v>
      </c>
    </row>
    <row r="97" spans="1:38">
      <c r="A97" s="20" t="s">
        <v>211</v>
      </c>
      <c r="B97" s="20" t="s">
        <v>109</v>
      </c>
      <c r="C97" s="667" t="s">
        <v>546</v>
      </c>
      <c r="D97" s="68" t="s">
        <v>143</v>
      </c>
      <c r="E97" s="679"/>
      <c r="F97" s="529">
        <f>VLOOKUP(D97,'Aug 2013 Revenue'!D:V,19,FALSE)</f>
        <v>0</v>
      </c>
      <c r="G97" s="680"/>
      <c r="H97" s="680"/>
      <c r="I97" s="755"/>
      <c r="J97" s="682">
        <f t="shared" si="81"/>
        <v>0</v>
      </c>
      <c r="K97" s="683"/>
      <c r="L97" s="684"/>
      <c r="M97" s="753"/>
      <c r="N97" s="683">
        <v>0</v>
      </c>
      <c r="O97" s="686"/>
      <c r="P97" s="683">
        <v>0</v>
      </c>
      <c r="Q97" s="687">
        <f t="shared" si="1"/>
        <v>0</v>
      </c>
      <c r="R97" s="687"/>
      <c r="S97" s="687"/>
      <c r="T97" s="688">
        <v>0</v>
      </c>
      <c r="U97" s="693"/>
      <c r="V97" s="690">
        <f t="shared" si="80"/>
        <v>0</v>
      </c>
      <c r="W97" s="697"/>
      <c r="X97" s="474">
        <f t="shared" si="85"/>
        <v>0</v>
      </c>
      <c r="Y97" s="474">
        <f t="shared" si="86"/>
        <v>0</v>
      </c>
      <c r="Z97" s="475">
        <f t="shared" si="87"/>
        <v>0</v>
      </c>
      <c r="AA97" s="475">
        <v>0</v>
      </c>
      <c r="AB97" s="476">
        <v>0</v>
      </c>
      <c r="AC97" s="38">
        <f t="shared" si="88"/>
        <v>0</v>
      </c>
      <c r="AD97" s="692">
        <f t="shared" si="82"/>
        <v>0</v>
      </c>
      <c r="AE97" s="692">
        <f t="shared" si="83"/>
        <v>0</v>
      </c>
      <c r="AF97" s="692">
        <f t="shared" si="84"/>
        <v>0</v>
      </c>
      <c r="AG97" s="38"/>
      <c r="AH97" s="692">
        <f t="shared" si="89"/>
        <v>0</v>
      </c>
      <c r="AI97" s="692">
        <f t="shared" si="90"/>
        <v>0</v>
      </c>
      <c r="AJ97" s="692">
        <f t="shared" si="91"/>
        <v>0</v>
      </c>
      <c r="AL97" s="38">
        <f t="shared" si="92"/>
        <v>0</v>
      </c>
    </row>
    <row r="98" spans="1:38">
      <c r="A98" s="20" t="s">
        <v>109</v>
      </c>
      <c r="B98" s="20" t="s">
        <v>109</v>
      </c>
      <c r="C98" s="667"/>
      <c r="D98" s="68" t="s">
        <v>1014</v>
      </c>
      <c r="E98" s="679"/>
      <c r="F98" s="529" t="e">
        <f>VLOOKUP(D98,'Aug 2013 Revenue'!D:V,19,FALSE)</f>
        <v>#N/A</v>
      </c>
      <c r="G98" s="680"/>
      <c r="H98" s="680"/>
      <c r="I98" s="755"/>
      <c r="J98" s="682" t="e">
        <f t="shared" ref="J98" si="93">SUM(E98:I98)</f>
        <v>#N/A</v>
      </c>
      <c r="K98" s="683"/>
      <c r="L98" s="684"/>
      <c r="M98" s="753"/>
      <c r="N98" s="683">
        <v>0</v>
      </c>
      <c r="O98" s="686"/>
      <c r="P98" s="683">
        <v>0</v>
      </c>
      <c r="Q98" s="687">
        <f t="shared" ref="Q98" si="94">L98+M98</f>
        <v>0</v>
      </c>
      <c r="R98" s="687"/>
      <c r="S98" s="687"/>
      <c r="T98" s="688">
        <v>0</v>
      </c>
      <c r="U98" s="693"/>
      <c r="V98" s="690">
        <f t="shared" ref="V98" si="95">IF(T98="","",T98-Q98)</f>
        <v>0</v>
      </c>
      <c r="W98" s="683"/>
      <c r="X98" s="474">
        <f t="shared" ref="X98" si="96">IF(B98="D",Q98,0)</f>
        <v>0</v>
      </c>
      <c r="Y98" s="474">
        <f t="shared" ref="Y98" si="97">IF(B98="M",Q98,0)</f>
        <v>0</v>
      </c>
      <c r="Z98" s="475">
        <f t="shared" ref="Z98" si="98">IF(B98="V",Q98,0)</f>
        <v>0</v>
      </c>
      <c r="AA98" s="475">
        <v>0</v>
      </c>
      <c r="AB98" s="476">
        <v>0</v>
      </c>
      <c r="AC98" s="38">
        <f t="shared" ref="AC98" si="99">(L98+M98)-(X98+Y98+Z98+AA98+AB98)</f>
        <v>0</v>
      </c>
      <c r="AD98" s="692">
        <f t="shared" ref="AD98" si="100">IF(B98="D",J98,0)</f>
        <v>0</v>
      </c>
      <c r="AE98" s="692" t="e">
        <f t="shared" ref="AE98" si="101">IF(B98="M",J98,0)</f>
        <v>#N/A</v>
      </c>
      <c r="AF98" s="692">
        <f t="shared" ref="AF98" si="102">IF(B98="V",J98,0)</f>
        <v>0</v>
      </c>
      <c r="AG98" s="38"/>
      <c r="AH98" s="692">
        <f t="shared" ref="AH98" si="103">IF(B98="D",Q98,0)</f>
        <v>0</v>
      </c>
      <c r="AI98" s="692">
        <f t="shared" ref="AI98" si="104">IF(B98="M",Q98,0)</f>
        <v>0</v>
      </c>
      <c r="AJ98" s="692">
        <f t="shared" ref="AJ98" si="105">IF(B98="V",Q98,0)</f>
        <v>0</v>
      </c>
      <c r="AL98" s="38" t="e">
        <f t="shared" ref="AL98" si="106">SUM(AD98:AJ98)</f>
        <v>#N/A</v>
      </c>
    </row>
    <row r="99" spans="1:38">
      <c r="A99" s="20" t="s">
        <v>109</v>
      </c>
      <c r="B99" s="20" t="s">
        <v>109</v>
      </c>
      <c r="C99" s="667"/>
      <c r="D99" s="68" t="s">
        <v>498</v>
      </c>
      <c r="E99" s="679"/>
      <c r="F99" s="529">
        <f>VLOOKUP(D99,'Aug 2013 Revenue'!D:V,19,FALSE)</f>
        <v>0</v>
      </c>
      <c r="G99" s="680"/>
      <c r="H99" s="680"/>
      <c r="I99" s="755"/>
      <c r="J99" s="682">
        <f t="shared" si="81"/>
        <v>0</v>
      </c>
      <c r="K99" s="683"/>
      <c r="L99" s="684"/>
      <c r="M99" s="753"/>
      <c r="N99" s="683">
        <v>0</v>
      </c>
      <c r="O99" s="686"/>
      <c r="P99" s="683">
        <v>0</v>
      </c>
      <c r="Q99" s="687">
        <f t="shared" si="1"/>
        <v>0</v>
      </c>
      <c r="R99" s="687"/>
      <c r="S99" s="687"/>
      <c r="T99" s="688">
        <v>0</v>
      </c>
      <c r="U99" s="693"/>
      <c r="V99" s="690">
        <f t="shared" si="80"/>
        <v>0</v>
      </c>
      <c r="W99" s="683"/>
      <c r="X99" s="474">
        <f t="shared" si="85"/>
        <v>0</v>
      </c>
      <c r="Y99" s="474">
        <f t="shared" si="86"/>
        <v>0</v>
      </c>
      <c r="Z99" s="475">
        <f t="shared" si="87"/>
        <v>0</v>
      </c>
      <c r="AA99" s="475">
        <v>0</v>
      </c>
      <c r="AB99" s="476">
        <v>0</v>
      </c>
      <c r="AC99" s="38">
        <f t="shared" si="88"/>
        <v>0</v>
      </c>
      <c r="AD99" s="692">
        <f t="shared" si="82"/>
        <v>0</v>
      </c>
      <c r="AE99" s="692">
        <f t="shared" si="83"/>
        <v>0</v>
      </c>
      <c r="AF99" s="692">
        <f t="shared" si="84"/>
        <v>0</v>
      </c>
      <c r="AG99" s="38"/>
      <c r="AH99" s="692">
        <f t="shared" si="89"/>
        <v>0</v>
      </c>
      <c r="AI99" s="692">
        <f t="shared" si="90"/>
        <v>0</v>
      </c>
      <c r="AJ99" s="692">
        <f t="shared" si="91"/>
        <v>0</v>
      </c>
      <c r="AL99" s="38">
        <f t="shared" si="92"/>
        <v>0</v>
      </c>
    </row>
    <row r="100" spans="1:38">
      <c r="A100" s="21"/>
      <c r="B100" s="21" t="s">
        <v>110</v>
      </c>
      <c r="C100" s="666"/>
      <c r="D100" s="68" t="s">
        <v>20</v>
      </c>
      <c r="E100" s="679"/>
      <c r="F100" s="529">
        <f>VLOOKUP(D100,'Aug 2013 Revenue'!D:V,19,FALSE)</f>
        <v>0</v>
      </c>
      <c r="G100" s="680"/>
      <c r="H100" s="680"/>
      <c r="I100" s="755"/>
      <c r="J100" s="682">
        <f t="shared" si="81"/>
        <v>0</v>
      </c>
      <c r="K100" s="683"/>
      <c r="L100" s="684"/>
      <c r="M100" s="753"/>
      <c r="N100" s="683">
        <v>0</v>
      </c>
      <c r="O100" s="686"/>
      <c r="P100" s="683">
        <v>0</v>
      </c>
      <c r="Q100" s="687">
        <f t="shared" si="1"/>
        <v>0</v>
      </c>
      <c r="R100" s="687"/>
      <c r="S100" s="687"/>
      <c r="T100" s="688">
        <v>0</v>
      </c>
      <c r="U100" s="693"/>
      <c r="V100" s="690">
        <f t="shared" si="80"/>
        <v>0</v>
      </c>
      <c r="W100" s="683"/>
      <c r="X100" s="474">
        <f t="shared" si="85"/>
        <v>0</v>
      </c>
      <c r="Y100" s="474">
        <f t="shared" si="86"/>
        <v>0</v>
      </c>
      <c r="Z100" s="475">
        <f t="shared" si="87"/>
        <v>0</v>
      </c>
      <c r="AA100" s="475">
        <v>0</v>
      </c>
      <c r="AB100" s="476">
        <v>0</v>
      </c>
      <c r="AC100" s="38">
        <f t="shared" si="88"/>
        <v>0</v>
      </c>
      <c r="AD100" s="692">
        <f t="shared" si="82"/>
        <v>0</v>
      </c>
      <c r="AE100" s="692">
        <f t="shared" si="83"/>
        <v>0</v>
      </c>
      <c r="AF100" s="692">
        <f t="shared" si="84"/>
        <v>0</v>
      </c>
      <c r="AG100" s="38"/>
      <c r="AH100" s="692">
        <f t="shared" si="89"/>
        <v>0</v>
      </c>
      <c r="AI100" s="692">
        <f t="shared" si="90"/>
        <v>0</v>
      </c>
      <c r="AJ100" s="692">
        <f t="shared" si="91"/>
        <v>0</v>
      </c>
      <c r="AL100" s="38">
        <f t="shared" si="92"/>
        <v>0</v>
      </c>
    </row>
    <row r="101" spans="1:38">
      <c r="A101" s="21"/>
      <c r="B101" s="21" t="s">
        <v>110</v>
      </c>
      <c r="C101" s="666" t="s">
        <v>547</v>
      </c>
      <c r="D101" s="68" t="s">
        <v>203</v>
      </c>
      <c r="E101" s="679"/>
      <c r="F101" s="529">
        <f>VLOOKUP(D101,'Aug 2013 Revenue'!D:V,19,FALSE)</f>
        <v>0</v>
      </c>
      <c r="G101" s="680"/>
      <c r="H101" s="680"/>
      <c r="I101" s="755"/>
      <c r="J101" s="682">
        <f t="shared" si="81"/>
        <v>0</v>
      </c>
      <c r="K101" s="683"/>
      <c r="L101" s="684"/>
      <c r="M101" s="753"/>
      <c r="N101" s="683">
        <v>0</v>
      </c>
      <c r="O101" s="686"/>
      <c r="P101" s="683">
        <v>0</v>
      </c>
      <c r="Q101" s="687">
        <f t="shared" si="1"/>
        <v>0</v>
      </c>
      <c r="R101" s="687"/>
      <c r="S101" s="687"/>
      <c r="T101" s="688">
        <v>0</v>
      </c>
      <c r="U101" s="693"/>
      <c r="V101" s="690">
        <f t="shared" si="80"/>
        <v>0</v>
      </c>
      <c r="W101" s="683"/>
      <c r="X101" s="474">
        <f t="shared" si="85"/>
        <v>0</v>
      </c>
      <c r="Y101" s="474">
        <f t="shared" si="86"/>
        <v>0</v>
      </c>
      <c r="Z101" s="475">
        <f t="shared" si="87"/>
        <v>0</v>
      </c>
      <c r="AA101" s="475">
        <v>0</v>
      </c>
      <c r="AB101" s="476">
        <v>0</v>
      </c>
      <c r="AC101" s="38">
        <f t="shared" si="88"/>
        <v>0</v>
      </c>
      <c r="AD101" s="692">
        <f t="shared" si="82"/>
        <v>0</v>
      </c>
      <c r="AE101" s="692">
        <f t="shared" si="83"/>
        <v>0</v>
      </c>
      <c r="AF101" s="692">
        <f t="shared" si="84"/>
        <v>0</v>
      </c>
      <c r="AG101" s="38"/>
      <c r="AH101" s="692">
        <f t="shared" si="89"/>
        <v>0</v>
      </c>
      <c r="AI101" s="692">
        <f t="shared" si="90"/>
        <v>0</v>
      </c>
      <c r="AJ101" s="692">
        <f t="shared" si="91"/>
        <v>0</v>
      </c>
      <c r="AL101" s="38">
        <f t="shared" si="92"/>
        <v>0</v>
      </c>
    </row>
    <row r="102" spans="1:38">
      <c r="A102" s="21"/>
      <c r="B102" s="21" t="s">
        <v>110</v>
      </c>
      <c r="C102" s="666" t="s">
        <v>547</v>
      </c>
      <c r="D102" s="68" t="s">
        <v>202</v>
      </c>
      <c r="E102" s="679"/>
      <c r="F102" s="529">
        <f>VLOOKUP(D102,'Aug 2013 Revenue'!D:V,19,FALSE)</f>
        <v>0</v>
      </c>
      <c r="G102" s="680"/>
      <c r="H102" s="680"/>
      <c r="I102" s="755"/>
      <c r="J102" s="682">
        <f t="shared" si="81"/>
        <v>0</v>
      </c>
      <c r="K102" s="683"/>
      <c r="L102" s="684"/>
      <c r="M102" s="753"/>
      <c r="N102" s="683">
        <v>0</v>
      </c>
      <c r="O102" s="686"/>
      <c r="P102" s="683">
        <v>0</v>
      </c>
      <c r="Q102" s="687">
        <f t="shared" si="1"/>
        <v>0</v>
      </c>
      <c r="R102" s="687"/>
      <c r="S102" s="687"/>
      <c r="T102" s="688">
        <v>0</v>
      </c>
      <c r="U102" s="693"/>
      <c r="V102" s="690">
        <f t="shared" si="80"/>
        <v>0</v>
      </c>
      <c r="W102" s="683"/>
      <c r="X102" s="474">
        <f t="shared" si="85"/>
        <v>0</v>
      </c>
      <c r="Y102" s="474">
        <f t="shared" si="86"/>
        <v>0</v>
      </c>
      <c r="Z102" s="475">
        <f t="shared" si="87"/>
        <v>0</v>
      </c>
      <c r="AA102" s="475">
        <v>0</v>
      </c>
      <c r="AB102" s="476">
        <v>0</v>
      </c>
      <c r="AC102" s="38">
        <f t="shared" si="88"/>
        <v>0</v>
      </c>
      <c r="AD102" s="692">
        <f t="shared" si="82"/>
        <v>0</v>
      </c>
      <c r="AE102" s="692">
        <f t="shared" si="83"/>
        <v>0</v>
      </c>
      <c r="AF102" s="692">
        <f t="shared" si="84"/>
        <v>0</v>
      </c>
      <c r="AG102" s="38"/>
      <c r="AH102" s="692">
        <f t="shared" si="89"/>
        <v>0</v>
      </c>
      <c r="AI102" s="692">
        <f t="shared" si="90"/>
        <v>0</v>
      </c>
      <c r="AJ102" s="692">
        <f t="shared" si="91"/>
        <v>0</v>
      </c>
      <c r="AL102" s="38">
        <f t="shared" si="92"/>
        <v>0</v>
      </c>
    </row>
    <row r="103" spans="1:38">
      <c r="A103" s="20" t="s">
        <v>211</v>
      </c>
      <c r="B103" s="20" t="s">
        <v>110</v>
      </c>
      <c r="C103" s="667"/>
      <c r="D103" s="373" t="s">
        <v>466</v>
      </c>
      <c r="E103" s="679"/>
      <c r="F103" s="529">
        <f>VLOOKUP(D103,'Aug 2013 Revenue'!D:V,19,FALSE)</f>
        <v>962.53</v>
      </c>
      <c r="G103" s="680"/>
      <c r="H103" s="680"/>
      <c r="I103" s="770">
        <v>903.32</v>
      </c>
      <c r="J103" s="682">
        <f t="shared" si="81"/>
        <v>1865.85</v>
      </c>
      <c r="K103" s="683"/>
      <c r="L103" s="684"/>
      <c r="M103" s="753"/>
      <c r="N103" s="683">
        <v>0</v>
      </c>
      <c r="O103" s="686"/>
      <c r="P103" s="683">
        <v>0</v>
      </c>
      <c r="Q103" s="687">
        <f t="shared" si="1"/>
        <v>0</v>
      </c>
      <c r="R103" s="687"/>
      <c r="S103" s="687"/>
      <c r="T103" s="688">
        <v>0</v>
      </c>
      <c r="U103" s="693"/>
      <c r="V103" s="690">
        <f t="shared" si="80"/>
        <v>0</v>
      </c>
      <c r="W103" s="683"/>
      <c r="X103" s="474">
        <f t="shared" si="85"/>
        <v>0</v>
      </c>
      <c r="Y103" s="474">
        <f t="shared" si="86"/>
        <v>0</v>
      </c>
      <c r="Z103" s="475">
        <f t="shared" si="87"/>
        <v>0</v>
      </c>
      <c r="AA103" s="475">
        <v>0</v>
      </c>
      <c r="AB103" s="476">
        <v>0</v>
      </c>
      <c r="AC103" s="38">
        <f t="shared" si="88"/>
        <v>0</v>
      </c>
      <c r="AD103" s="692">
        <f t="shared" si="82"/>
        <v>1865.85</v>
      </c>
      <c r="AE103" s="692">
        <f t="shared" si="83"/>
        <v>0</v>
      </c>
      <c r="AF103" s="692">
        <f t="shared" si="84"/>
        <v>0</v>
      </c>
      <c r="AG103" s="38"/>
      <c r="AH103" s="692">
        <f t="shared" si="89"/>
        <v>0</v>
      </c>
      <c r="AI103" s="692">
        <f t="shared" si="90"/>
        <v>0</v>
      </c>
      <c r="AJ103" s="692">
        <f t="shared" si="91"/>
        <v>0</v>
      </c>
      <c r="AL103" s="38">
        <f t="shared" si="92"/>
        <v>1865.85</v>
      </c>
    </row>
    <row r="104" spans="1:38">
      <c r="A104" s="20"/>
      <c r="B104" s="20" t="s">
        <v>110</v>
      </c>
      <c r="C104" s="667"/>
      <c r="D104" s="373" t="s">
        <v>627</v>
      </c>
      <c r="E104" s="679"/>
      <c r="F104" s="529">
        <f>VLOOKUP(D104,'Aug 2013 Revenue'!D:V,19,FALSE)</f>
        <v>0</v>
      </c>
      <c r="G104" s="680"/>
      <c r="H104" s="680"/>
      <c r="I104" s="755"/>
      <c r="J104" s="682">
        <f t="shared" si="81"/>
        <v>0</v>
      </c>
      <c r="K104" s="683"/>
      <c r="L104" s="684"/>
      <c r="M104" s="753"/>
      <c r="N104" s="683">
        <v>0</v>
      </c>
      <c r="O104" s="686"/>
      <c r="P104" s="683">
        <v>0</v>
      </c>
      <c r="Q104" s="687">
        <f t="shared" si="1"/>
        <v>0</v>
      </c>
      <c r="R104" s="687"/>
      <c r="S104" s="687"/>
      <c r="T104" s="688">
        <v>0</v>
      </c>
      <c r="U104" s="693"/>
      <c r="V104" s="690">
        <f t="shared" si="80"/>
        <v>0</v>
      </c>
      <c r="W104" s="683"/>
      <c r="X104" s="474">
        <f t="shared" si="85"/>
        <v>0</v>
      </c>
      <c r="Y104" s="474">
        <f t="shared" si="86"/>
        <v>0</v>
      </c>
      <c r="Z104" s="475">
        <f t="shared" si="87"/>
        <v>0</v>
      </c>
      <c r="AA104" s="475">
        <v>0</v>
      </c>
      <c r="AB104" s="476">
        <v>0</v>
      </c>
      <c r="AC104" s="38">
        <f t="shared" si="88"/>
        <v>0</v>
      </c>
      <c r="AD104" s="692">
        <f t="shared" si="82"/>
        <v>0</v>
      </c>
      <c r="AE104" s="692">
        <f t="shared" si="83"/>
        <v>0</v>
      </c>
      <c r="AF104" s="692">
        <f t="shared" si="84"/>
        <v>0</v>
      </c>
      <c r="AG104" s="38"/>
      <c r="AH104" s="692">
        <f t="shared" si="89"/>
        <v>0</v>
      </c>
      <c r="AI104" s="692">
        <f t="shared" si="90"/>
        <v>0</v>
      </c>
      <c r="AJ104" s="692">
        <f t="shared" si="91"/>
        <v>0</v>
      </c>
      <c r="AL104" s="38">
        <f t="shared" si="92"/>
        <v>0</v>
      </c>
    </row>
    <row r="105" spans="1:38" s="232" customFormat="1" ht="12.75" customHeight="1">
      <c r="A105" s="283"/>
      <c r="B105" s="283" t="s">
        <v>110</v>
      </c>
      <c r="C105" s="667"/>
      <c r="D105" s="123" t="s">
        <v>994</v>
      </c>
      <c r="E105" s="679"/>
      <c r="F105" s="529">
        <v>0</v>
      </c>
      <c r="G105" s="680"/>
      <c r="H105" s="680"/>
      <c r="I105" s="770">
        <v>4828175.43</v>
      </c>
      <c r="J105" s="682">
        <f t="shared" si="81"/>
        <v>4828175.43</v>
      </c>
      <c r="K105" s="683"/>
      <c r="L105" s="684"/>
      <c r="M105" s="753"/>
      <c r="N105" s="683">
        <v>0</v>
      </c>
      <c r="O105" s="686"/>
      <c r="P105" s="683">
        <v>0</v>
      </c>
      <c r="Q105" s="687">
        <f t="shared" si="1"/>
        <v>0</v>
      </c>
      <c r="R105" s="687"/>
      <c r="S105" s="687"/>
      <c r="T105" s="688">
        <v>0</v>
      </c>
      <c r="U105" s="693"/>
      <c r="V105" s="690">
        <f t="shared" si="80"/>
        <v>0</v>
      </c>
      <c r="W105" s="683"/>
      <c r="X105" s="474">
        <f t="shared" si="85"/>
        <v>0</v>
      </c>
      <c r="Y105" s="474">
        <f t="shared" si="86"/>
        <v>0</v>
      </c>
      <c r="Z105" s="475">
        <f t="shared" si="87"/>
        <v>0</v>
      </c>
      <c r="AA105" s="475">
        <v>0</v>
      </c>
      <c r="AB105" s="476">
        <v>0</v>
      </c>
      <c r="AC105" s="38">
        <f t="shared" si="88"/>
        <v>0</v>
      </c>
      <c r="AD105" s="692">
        <f t="shared" si="82"/>
        <v>4828175.43</v>
      </c>
      <c r="AE105" s="692">
        <f t="shared" si="83"/>
        <v>0</v>
      </c>
      <c r="AF105" s="692">
        <f t="shared" si="84"/>
        <v>0</v>
      </c>
      <c r="AG105" s="38"/>
      <c r="AH105" s="692">
        <f t="shared" si="89"/>
        <v>0</v>
      </c>
      <c r="AI105" s="692">
        <f t="shared" si="90"/>
        <v>0</v>
      </c>
      <c r="AJ105" s="692">
        <f t="shared" si="91"/>
        <v>0</v>
      </c>
      <c r="AL105" s="38">
        <f t="shared" si="92"/>
        <v>4828175.43</v>
      </c>
    </row>
    <row r="106" spans="1:38" s="232" customFormat="1" ht="12.75" customHeight="1">
      <c r="A106" s="283"/>
      <c r="B106" s="283" t="s">
        <v>110</v>
      </c>
      <c r="C106" s="667"/>
      <c r="D106" s="123" t="s">
        <v>995</v>
      </c>
      <c r="E106" s="679"/>
      <c r="F106" s="529">
        <v>0</v>
      </c>
      <c r="G106" s="680"/>
      <c r="H106" s="680"/>
      <c r="I106" s="770">
        <v>12616.69</v>
      </c>
      <c r="J106" s="682">
        <f t="shared" si="81"/>
        <v>12616.69</v>
      </c>
      <c r="K106" s="683"/>
      <c r="L106" s="684"/>
      <c r="M106" s="753"/>
      <c r="N106" s="683">
        <v>0</v>
      </c>
      <c r="O106" s="686"/>
      <c r="P106" s="683">
        <v>0</v>
      </c>
      <c r="Q106" s="687">
        <f t="shared" si="1"/>
        <v>0</v>
      </c>
      <c r="R106" s="687"/>
      <c r="S106" s="687"/>
      <c r="T106" s="688">
        <v>0</v>
      </c>
      <c r="U106" s="693"/>
      <c r="V106" s="690">
        <f t="shared" si="80"/>
        <v>0</v>
      </c>
      <c r="W106" s="683"/>
      <c r="X106" s="474">
        <f t="shared" si="85"/>
        <v>0</v>
      </c>
      <c r="Y106" s="474">
        <f t="shared" si="86"/>
        <v>0</v>
      </c>
      <c r="Z106" s="475">
        <f t="shared" si="87"/>
        <v>0</v>
      </c>
      <c r="AA106" s="475">
        <v>0</v>
      </c>
      <c r="AB106" s="476">
        <v>0</v>
      </c>
      <c r="AC106" s="38">
        <f t="shared" si="88"/>
        <v>0</v>
      </c>
      <c r="AD106" s="692">
        <f t="shared" si="82"/>
        <v>12616.69</v>
      </c>
      <c r="AE106" s="692">
        <f t="shared" si="83"/>
        <v>0</v>
      </c>
      <c r="AF106" s="692">
        <f t="shared" si="84"/>
        <v>0</v>
      </c>
      <c r="AG106" s="38"/>
      <c r="AH106" s="692">
        <f t="shared" si="89"/>
        <v>0</v>
      </c>
      <c r="AI106" s="692">
        <f t="shared" si="90"/>
        <v>0</v>
      </c>
      <c r="AJ106" s="692">
        <f t="shared" si="91"/>
        <v>0</v>
      </c>
      <c r="AL106" s="38">
        <f t="shared" si="92"/>
        <v>12616.69</v>
      </c>
    </row>
    <row r="107" spans="1:38" s="232" customFormat="1" ht="12.75" customHeight="1">
      <c r="A107" s="283"/>
      <c r="B107" s="283" t="s">
        <v>110</v>
      </c>
      <c r="C107" s="667"/>
      <c r="D107" s="123" t="s">
        <v>993</v>
      </c>
      <c r="E107" s="679"/>
      <c r="F107" s="529">
        <v>0</v>
      </c>
      <c r="G107" s="680"/>
      <c r="H107" s="680"/>
      <c r="I107" s="770">
        <v>3417857.42</v>
      </c>
      <c r="J107" s="682">
        <f t="shared" si="81"/>
        <v>3417857.42</v>
      </c>
      <c r="K107" s="683"/>
      <c r="L107" s="684"/>
      <c r="M107" s="753"/>
      <c r="N107" s="683">
        <v>0</v>
      </c>
      <c r="O107" s="686"/>
      <c r="P107" s="683">
        <v>0</v>
      </c>
      <c r="Q107" s="687">
        <f t="shared" si="1"/>
        <v>0</v>
      </c>
      <c r="R107" s="687"/>
      <c r="S107" s="687"/>
      <c r="T107" s="688">
        <v>0</v>
      </c>
      <c r="U107" s="693"/>
      <c r="V107" s="690">
        <f t="shared" si="80"/>
        <v>0</v>
      </c>
      <c r="W107" s="683"/>
      <c r="X107" s="474">
        <f t="shared" si="85"/>
        <v>0</v>
      </c>
      <c r="Y107" s="474">
        <f t="shared" si="86"/>
        <v>0</v>
      </c>
      <c r="Z107" s="475">
        <f t="shared" si="87"/>
        <v>0</v>
      </c>
      <c r="AA107" s="475">
        <v>0</v>
      </c>
      <c r="AB107" s="476">
        <v>0</v>
      </c>
      <c r="AC107" s="38">
        <f t="shared" si="88"/>
        <v>0</v>
      </c>
      <c r="AD107" s="692">
        <f t="shared" si="82"/>
        <v>3417857.42</v>
      </c>
      <c r="AE107" s="692">
        <f t="shared" si="83"/>
        <v>0</v>
      </c>
      <c r="AF107" s="692">
        <f t="shared" si="84"/>
        <v>0</v>
      </c>
      <c r="AG107" s="38"/>
      <c r="AH107" s="692">
        <f t="shared" si="89"/>
        <v>0</v>
      </c>
      <c r="AI107" s="692">
        <f t="shared" si="90"/>
        <v>0</v>
      </c>
      <c r="AJ107" s="692">
        <f t="shared" si="91"/>
        <v>0</v>
      </c>
      <c r="AL107" s="38">
        <f t="shared" si="92"/>
        <v>3417857.42</v>
      </c>
    </row>
    <row r="108" spans="1:38" s="232" customFormat="1" ht="12.75" customHeight="1">
      <c r="A108" s="283"/>
      <c r="B108" s="283" t="s">
        <v>110</v>
      </c>
      <c r="C108" s="667"/>
      <c r="D108" s="123" t="s">
        <v>996</v>
      </c>
      <c r="E108" s="679"/>
      <c r="F108" s="529">
        <v>0</v>
      </c>
      <c r="G108" s="680"/>
      <c r="H108" s="680"/>
      <c r="I108" s="770">
        <v>170592.29</v>
      </c>
      <c r="J108" s="682">
        <f t="shared" si="81"/>
        <v>170592.29</v>
      </c>
      <c r="K108" s="683"/>
      <c r="L108" s="684"/>
      <c r="M108" s="753"/>
      <c r="N108" s="683">
        <v>0</v>
      </c>
      <c r="O108" s="686"/>
      <c r="P108" s="683">
        <v>0</v>
      </c>
      <c r="Q108" s="687">
        <f t="shared" si="1"/>
        <v>0</v>
      </c>
      <c r="R108" s="687"/>
      <c r="S108" s="687"/>
      <c r="T108" s="688">
        <v>0</v>
      </c>
      <c r="U108" s="693"/>
      <c r="V108" s="690">
        <f t="shared" si="80"/>
        <v>0</v>
      </c>
      <c r="W108" s="683"/>
      <c r="X108" s="474">
        <f t="shared" si="85"/>
        <v>0</v>
      </c>
      <c r="Y108" s="474">
        <f t="shared" si="86"/>
        <v>0</v>
      </c>
      <c r="Z108" s="475">
        <f t="shared" si="87"/>
        <v>0</v>
      </c>
      <c r="AA108" s="475">
        <v>0</v>
      </c>
      <c r="AB108" s="476">
        <v>0</v>
      </c>
      <c r="AC108" s="38">
        <f t="shared" si="88"/>
        <v>0</v>
      </c>
      <c r="AD108" s="692">
        <f t="shared" si="82"/>
        <v>170592.29</v>
      </c>
      <c r="AE108" s="692">
        <f t="shared" si="83"/>
        <v>0</v>
      </c>
      <c r="AF108" s="692">
        <f t="shared" si="84"/>
        <v>0</v>
      </c>
      <c r="AG108" s="38"/>
      <c r="AH108" s="692">
        <f t="shared" si="89"/>
        <v>0</v>
      </c>
      <c r="AI108" s="692">
        <f t="shared" si="90"/>
        <v>0</v>
      </c>
      <c r="AJ108" s="692">
        <f t="shared" si="91"/>
        <v>0</v>
      </c>
      <c r="AL108" s="38">
        <f t="shared" si="92"/>
        <v>170592.29</v>
      </c>
    </row>
    <row r="109" spans="1:38" s="232" customFormat="1" ht="12.75" customHeight="1">
      <c r="A109" s="283"/>
      <c r="B109" s="283" t="s">
        <v>110</v>
      </c>
      <c r="C109" s="667"/>
      <c r="D109" s="123" t="s">
        <v>997</v>
      </c>
      <c r="E109" s="679"/>
      <c r="F109" s="529">
        <v>0</v>
      </c>
      <c r="G109" s="680"/>
      <c r="H109" s="680"/>
      <c r="I109" s="770">
        <v>22441.81</v>
      </c>
      <c r="J109" s="682">
        <f t="shared" si="81"/>
        <v>22441.81</v>
      </c>
      <c r="K109" s="683"/>
      <c r="L109" s="684"/>
      <c r="M109" s="753"/>
      <c r="N109" s="683">
        <v>0</v>
      </c>
      <c r="O109" s="686"/>
      <c r="P109" s="683">
        <v>0</v>
      </c>
      <c r="Q109" s="687">
        <f t="shared" si="1"/>
        <v>0</v>
      </c>
      <c r="R109" s="687"/>
      <c r="S109" s="687"/>
      <c r="T109" s="688">
        <v>0</v>
      </c>
      <c r="U109" s="693"/>
      <c r="V109" s="690">
        <f t="shared" si="80"/>
        <v>0</v>
      </c>
      <c r="W109" s="683"/>
      <c r="X109" s="474">
        <f t="shared" si="85"/>
        <v>0</v>
      </c>
      <c r="Y109" s="474">
        <f t="shared" si="86"/>
        <v>0</v>
      </c>
      <c r="Z109" s="475">
        <f t="shared" si="87"/>
        <v>0</v>
      </c>
      <c r="AA109" s="475">
        <v>0</v>
      </c>
      <c r="AB109" s="476">
        <v>0</v>
      </c>
      <c r="AC109" s="38">
        <f t="shared" si="88"/>
        <v>0</v>
      </c>
      <c r="AD109" s="692">
        <f t="shared" si="82"/>
        <v>22441.81</v>
      </c>
      <c r="AE109" s="692">
        <f t="shared" si="83"/>
        <v>0</v>
      </c>
      <c r="AF109" s="692">
        <f t="shared" si="84"/>
        <v>0</v>
      </c>
      <c r="AG109" s="38"/>
      <c r="AH109" s="692">
        <f t="shared" si="89"/>
        <v>0</v>
      </c>
      <c r="AI109" s="692">
        <f t="shared" si="90"/>
        <v>0</v>
      </c>
      <c r="AJ109" s="692">
        <f t="shared" si="91"/>
        <v>0</v>
      </c>
      <c r="AL109" s="38">
        <f t="shared" si="92"/>
        <v>22441.81</v>
      </c>
    </row>
    <row r="110" spans="1:38" s="232" customFormat="1" ht="12.75" customHeight="1">
      <c r="A110" s="283"/>
      <c r="B110" s="283" t="s">
        <v>110</v>
      </c>
      <c r="C110" s="667"/>
      <c r="D110" s="123" t="s">
        <v>998</v>
      </c>
      <c r="E110" s="679"/>
      <c r="F110" s="529">
        <v>0</v>
      </c>
      <c r="G110" s="680"/>
      <c r="H110" s="680"/>
      <c r="I110" s="770">
        <v>27254.82</v>
      </c>
      <c r="J110" s="682">
        <f t="shared" si="81"/>
        <v>27254.82</v>
      </c>
      <c r="K110" s="683"/>
      <c r="L110" s="684"/>
      <c r="M110" s="753"/>
      <c r="N110" s="683">
        <v>0</v>
      </c>
      <c r="O110" s="686"/>
      <c r="P110" s="683">
        <v>0</v>
      </c>
      <c r="Q110" s="687">
        <f t="shared" si="1"/>
        <v>0</v>
      </c>
      <c r="R110" s="687"/>
      <c r="S110" s="687"/>
      <c r="T110" s="688">
        <v>0</v>
      </c>
      <c r="U110" s="693"/>
      <c r="V110" s="690">
        <f t="shared" si="80"/>
        <v>0</v>
      </c>
      <c r="W110" s="683"/>
      <c r="X110" s="474">
        <f t="shared" si="85"/>
        <v>0</v>
      </c>
      <c r="Y110" s="474">
        <f t="shared" si="86"/>
        <v>0</v>
      </c>
      <c r="Z110" s="475">
        <f t="shared" si="87"/>
        <v>0</v>
      </c>
      <c r="AA110" s="475">
        <v>0</v>
      </c>
      <c r="AB110" s="476">
        <v>0</v>
      </c>
      <c r="AC110" s="38">
        <f t="shared" si="88"/>
        <v>0</v>
      </c>
      <c r="AD110" s="692">
        <f t="shared" si="82"/>
        <v>27254.82</v>
      </c>
      <c r="AE110" s="692">
        <f t="shared" si="83"/>
        <v>0</v>
      </c>
      <c r="AF110" s="692">
        <f t="shared" si="84"/>
        <v>0</v>
      </c>
      <c r="AG110" s="38"/>
      <c r="AH110" s="692">
        <f t="shared" si="89"/>
        <v>0</v>
      </c>
      <c r="AI110" s="692">
        <f t="shared" si="90"/>
        <v>0</v>
      </c>
      <c r="AJ110" s="692">
        <f t="shared" si="91"/>
        <v>0</v>
      </c>
      <c r="AL110" s="38">
        <f t="shared" si="92"/>
        <v>27254.82</v>
      </c>
    </row>
    <row r="111" spans="1:38" s="232" customFormat="1" ht="12" customHeight="1">
      <c r="A111" s="283"/>
      <c r="B111" s="283" t="s">
        <v>110</v>
      </c>
      <c r="C111" s="667"/>
      <c r="D111" s="123" t="s">
        <v>999</v>
      </c>
      <c r="E111" s="679">
        <v>94328.98</v>
      </c>
      <c r="F111" s="529">
        <v>0</v>
      </c>
      <c r="G111" s="680"/>
      <c r="H111" s="680"/>
      <c r="I111" s="770">
        <v>13766.61</v>
      </c>
      <c r="J111" s="682">
        <f t="shared" si="81"/>
        <v>108095.59</v>
      </c>
      <c r="K111" s="683"/>
      <c r="L111" s="684"/>
      <c r="M111" s="753"/>
      <c r="N111" s="683">
        <v>0</v>
      </c>
      <c r="O111" s="686"/>
      <c r="P111" s="683">
        <v>0</v>
      </c>
      <c r="Q111" s="687">
        <f t="shared" si="1"/>
        <v>0</v>
      </c>
      <c r="R111" s="687"/>
      <c r="S111" s="687"/>
      <c r="T111" s="688">
        <v>0</v>
      </c>
      <c r="U111" s="693"/>
      <c r="V111" s="690">
        <f t="shared" si="80"/>
        <v>0</v>
      </c>
      <c r="W111" s="683"/>
      <c r="X111" s="474">
        <f t="shared" si="85"/>
        <v>0</v>
      </c>
      <c r="Y111" s="474">
        <f t="shared" si="86"/>
        <v>0</v>
      </c>
      <c r="Z111" s="475">
        <f t="shared" si="87"/>
        <v>0</v>
      </c>
      <c r="AA111" s="475">
        <v>0</v>
      </c>
      <c r="AB111" s="476">
        <v>0</v>
      </c>
      <c r="AC111" s="38">
        <f t="shared" si="88"/>
        <v>0</v>
      </c>
      <c r="AD111" s="692">
        <f t="shared" si="82"/>
        <v>108095.59</v>
      </c>
      <c r="AE111" s="692">
        <f t="shared" si="83"/>
        <v>0</v>
      </c>
      <c r="AF111" s="692">
        <f t="shared" si="84"/>
        <v>0</v>
      </c>
      <c r="AG111" s="38"/>
      <c r="AH111" s="692">
        <f t="shared" si="89"/>
        <v>0</v>
      </c>
      <c r="AI111" s="692">
        <f t="shared" si="90"/>
        <v>0</v>
      </c>
      <c r="AJ111" s="692">
        <f t="shared" si="91"/>
        <v>0</v>
      </c>
      <c r="AL111" s="38">
        <f t="shared" si="92"/>
        <v>108095.59</v>
      </c>
    </row>
    <row r="112" spans="1:38" s="232" customFormat="1" ht="12" customHeight="1">
      <c r="A112" s="283"/>
      <c r="B112" s="283" t="s">
        <v>110</v>
      </c>
      <c r="C112" s="667"/>
      <c r="D112" s="123" t="s">
        <v>1000</v>
      </c>
      <c r="E112" s="679"/>
      <c r="F112" s="529">
        <v>0</v>
      </c>
      <c r="G112" s="680"/>
      <c r="H112" s="680"/>
      <c r="I112" s="770">
        <v>7606.55</v>
      </c>
      <c r="J112" s="682">
        <f t="shared" si="81"/>
        <v>7606.55</v>
      </c>
      <c r="K112" s="683"/>
      <c r="L112" s="684"/>
      <c r="M112" s="753"/>
      <c r="N112" s="683">
        <v>0</v>
      </c>
      <c r="O112" s="686"/>
      <c r="P112" s="683">
        <v>0</v>
      </c>
      <c r="Q112" s="687">
        <f t="shared" si="1"/>
        <v>0</v>
      </c>
      <c r="R112" s="687"/>
      <c r="S112" s="687"/>
      <c r="T112" s="688">
        <v>0</v>
      </c>
      <c r="U112" s="693"/>
      <c r="V112" s="690">
        <f t="shared" si="80"/>
        <v>0</v>
      </c>
      <c r="W112" s="683"/>
      <c r="X112" s="474">
        <f t="shared" si="85"/>
        <v>0</v>
      </c>
      <c r="Y112" s="474">
        <f t="shared" si="86"/>
        <v>0</v>
      </c>
      <c r="Z112" s="475">
        <f t="shared" si="87"/>
        <v>0</v>
      </c>
      <c r="AA112" s="475">
        <v>0</v>
      </c>
      <c r="AB112" s="476">
        <v>0</v>
      </c>
      <c r="AC112" s="38">
        <f t="shared" si="88"/>
        <v>0</v>
      </c>
      <c r="AD112" s="692">
        <f t="shared" si="82"/>
        <v>7606.55</v>
      </c>
      <c r="AE112" s="692">
        <f t="shared" si="83"/>
        <v>0</v>
      </c>
      <c r="AF112" s="692">
        <f t="shared" si="84"/>
        <v>0</v>
      </c>
      <c r="AG112" s="38"/>
      <c r="AH112" s="692">
        <f t="shared" si="89"/>
        <v>0</v>
      </c>
      <c r="AI112" s="692">
        <f t="shared" si="90"/>
        <v>0</v>
      </c>
      <c r="AJ112" s="692">
        <f t="shared" si="91"/>
        <v>0</v>
      </c>
      <c r="AL112" s="38">
        <f t="shared" si="92"/>
        <v>7606.55</v>
      </c>
    </row>
    <row r="113" spans="1:38" s="232" customFormat="1" ht="12" customHeight="1">
      <c r="A113" s="283"/>
      <c r="B113" s="283" t="s">
        <v>110</v>
      </c>
      <c r="C113" s="667"/>
      <c r="D113" s="123" t="s">
        <v>1001</v>
      </c>
      <c r="E113" s="679"/>
      <c r="F113" s="529">
        <v>0</v>
      </c>
      <c r="G113" s="680"/>
      <c r="H113" s="680"/>
      <c r="I113" s="755"/>
      <c r="J113" s="682">
        <f t="shared" si="81"/>
        <v>0</v>
      </c>
      <c r="K113" s="683"/>
      <c r="L113" s="684"/>
      <c r="M113" s="753"/>
      <c r="N113" s="683">
        <v>0</v>
      </c>
      <c r="O113" s="686"/>
      <c r="P113" s="683">
        <v>0</v>
      </c>
      <c r="Q113" s="687">
        <f t="shared" si="1"/>
        <v>0</v>
      </c>
      <c r="R113" s="687"/>
      <c r="S113" s="687"/>
      <c r="T113" s="688">
        <v>0</v>
      </c>
      <c r="U113" s="693"/>
      <c r="V113" s="690">
        <f t="shared" si="80"/>
        <v>0</v>
      </c>
      <c r="W113" s="683"/>
      <c r="X113" s="474">
        <f t="shared" si="85"/>
        <v>0</v>
      </c>
      <c r="Y113" s="474">
        <f t="shared" si="86"/>
        <v>0</v>
      </c>
      <c r="Z113" s="475">
        <f t="shared" si="87"/>
        <v>0</v>
      </c>
      <c r="AA113" s="475">
        <v>0</v>
      </c>
      <c r="AB113" s="476">
        <v>0</v>
      </c>
      <c r="AC113" s="38">
        <f t="shared" si="88"/>
        <v>0</v>
      </c>
      <c r="AD113" s="692">
        <f t="shared" si="82"/>
        <v>0</v>
      </c>
      <c r="AE113" s="692">
        <f t="shared" si="83"/>
        <v>0</v>
      </c>
      <c r="AF113" s="692">
        <f t="shared" si="84"/>
        <v>0</v>
      </c>
      <c r="AG113" s="38"/>
      <c r="AH113" s="692">
        <f t="shared" si="89"/>
        <v>0</v>
      </c>
      <c r="AI113" s="692">
        <f t="shared" si="90"/>
        <v>0</v>
      </c>
      <c r="AJ113" s="692">
        <f t="shared" si="91"/>
        <v>0</v>
      </c>
      <c r="AL113" s="38">
        <f t="shared" si="92"/>
        <v>0</v>
      </c>
    </row>
    <row r="114" spans="1:38" s="24" customFormat="1" ht="12" customHeight="1">
      <c r="A114" s="32"/>
      <c r="B114" s="32" t="s">
        <v>110</v>
      </c>
      <c r="C114" s="667"/>
      <c r="D114" s="68" t="s">
        <v>588</v>
      </c>
      <c r="E114" s="679"/>
      <c r="F114" s="529">
        <f>VLOOKUP(D114,'Aug 2013 Revenue'!D:V,19,FALSE)</f>
        <v>0</v>
      </c>
      <c r="G114" s="680"/>
      <c r="H114" s="680"/>
      <c r="I114" s="755"/>
      <c r="J114" s="682">
        <f t="shared" si="81"/>
        <v>0</v>
      </c>
      <c r="K114" s="683"/>
      <c r="L114" s="684"/>
      <c r="M114" s="753"/>
      <c r="N114" s="698"/>
      <c r="O114" s="699"/>
      <c r="P114" s="698"/>
      <c r="Q114" s="687">
        <f t="shared" si="1"/>
        <v>0</v>
      </c>
      <c r="R114" s="687"/>
      <c r="S114" s="687"/>
      <c r="T114" s="688">
        <v>0</v>
      </c>
      <c r="U114" s="693"/>
      <c r="V114" s="690">
        <f t="shared" si="80"/>
        <v>0</v>
      </c>
      <c r="W114" s="683"/>
      <c r="X114" s="474">
        <f t="shared" si="85"/>
        <v>0</v>
      </c>
      <c r="Y114" s="474">
        <f t="shared" si="86"/>
        <v>0</v>
      </c>
      <c r="Z114" s="475">
        <f t="shared" si="87"/>
        <v>0</v>
      </c>
      <c r="AA114" s="475">
        <v>0</v>
      </c>
      <c r="AB114" s="476">
        <v>0</v>
      </c>
      <c r="AC114" s="38">
        <f t="shared" si="88"/>
        <v>0</v>
      </c>
      <c r="AD114" s="692">
        <f t="shared" si="82"/>
        <v>0</v>
      </c>
      <c r="AE114" s="692">
        <f t="shared" si="83"/>
        <v>0</v>
      </c>
      <c r="AF114" s="692">
        <f t="shared" si="84"/>
        <v>0</v>
      </c>
      <c r="AG114" s="38"/>
      <c r="AH114" s="692">
        <f t="shared" si="89"/>
        <v>0</v>
      </c>
      <c r="AI114" s="692">
        <f t="shared" si="90"/>
        <v>0</v>
      </c>
      <c r="AJ114" s="692">
        <f t="shared" si="91"/>
        <v>0</v>
      </c>
      <c r="AL114" s="38">
        <f t="shared" si="92"/>
        <v>0</v>
      </c>
    </row>
    <row r="115" spans="1:38" s="24" customFormat="1" ht="12" customHeight="1">
      <c r="A115" s="32"/>
      <c r="B115" s="32" t="s">
        <v>110</v>
      </c>
      <c r="C115" s="667"/>
      <c r="D115" s="68" t="s">
        <v>935</v>
      </c>
      <c r="E115" s="679">
        <v>5295.95</v>
      </c>
      <c r="F115" s="529">
        <f>VLOOKUP(D115,'Aug 2013 Revenue'!D:V,19,FALSE)</f>
        <v>-7305.81</v>
      </c>
      <c r="G115" s="680"/>
      <c r="H115" s="680"/>
      <c r="I115" s="755"/>
      <c r="J115" s="682">
        <f t="shared" si="81"/>
        <v>-2009.8600000000006</v>
      </c>
      <c r="K115" s="683"/>
      <c r="L115" s="684"/>
      <c r="M115" s="753">
        <v>5000</v>
      </c>
      <c r="N115" s="698"/>
      <c r="O115" s="699"/>
      <c r="P115" s="698"/>
      <c r="Q115" s="687">
        <f t="shared" si="1"/>
        <v>5000</v>
      </c>
      <c r="R115" s="687"/>
      <c r="S115" s="687"/>
      <c r="T115" s="688">
        <v>0</v>
      </c>
      <c r="U115" s="693"/>
      <c r="V115" s="690">
        <f t="shared" si="80"/>
        <v>-5000</v>
      </c>
      <c r="W115" s="683"/>
      <c r="X115" s="474">
        <f t="shared" si="85"/>
        <v>5000</v>
      </c>
      <c r="Y115" s="474">
        <f t="shared" si="86"/>
        <v>0</v>
      </c>
      <c r="Z115" s="475">
        <f t="shared" si="87"/>
        <v>0</v>
      </c>
      <c r="AA115" s="475">
        <v>0</v>
      </c>
      <c r="AB115" s="476">
        <v>0</v>
      </c>
      <c r="AC115" s="38">
        <f t="shared" si="88"/>
        <v>0</v>
      </c>
      <c r="AD115" s="692">
        <f t="shared" si="82"/>
        <v>-2009.8600000000006</v>
      </c>
      <c r="AE115" s="692">
        <f t="shared" si="83"/>
        <v>0</v>
      </c>
      <c r="AF115" s="692">
        <f t="shared" si="84"/>
        <v>0</v>
      </c>
      <c r="AG115" s="38"/>
      <c r="AH115" s="692">
        <f t="shared" si="89"/>
        <v>5000</v>
      </c>
      <c r="AI115" s="692">
        <f t="shared" si="90"/>
        <v>0</v>
      </c>
      <c r="AJ115" s="692">
        <f t="shared" si="91"/>
        <v>0</v>
      </c>
      <c r="AL115" s="38">
        <f t="shared" si="92"/>
        <v>2990.1399999999994</v>
      </c>
    </row>
    <row r="116" spans="1:38" ht="12" customHeight="1">
      <c r="A116" s="21"/>
      <c r="B116" s="21" t="s">
        <v>109</v>
      </c>
      <c r="C116" s="666" t="s">
        <v>548</v>
      </c>
      <c r="D116" s="68" t="s">
        <v>461</v>
      </c>
      <c r="E116" s="679"/>
      <c r="F116" s="529">
        <f>VLOOKUP(D116,'Aug 2013 Revenue'!D:V,19,FALSE)</f>
        <v>1778.41</v>
      </c>
      <c r="G116" s="680"/>
      <c r="H116" s="680"/>
      <c r="I116" s="755"/>
      <c r="J116" s="682">
        <f t="shared" si="81"/>
        <v>1778.41</v>
      </c>
      <c r="K116" s="683"/>
      <c r="L116" s="684"/>
      <c r="M116" s="753"/>
      <c r="N116" s="683">
        <v>0</v>
      </c>
      <c r="O116" s="686"/>
      <c r="P116" s="683">
        <v>0</v>
      </c>
      <c r="Q116" s="687">
        <f t="shared" si="1"/>
        <v>0</v>
      </c>
      <c r="R116" s="687"/>
      <c r="S116" s="687"/>
      <c r="T116" s="688">
        <v>0</v>
      </c>
      <c r="U116" s="693"/>
      <c r="V116" s="690">
        <f t="shared" si="80"/>
        <v>0</v>
      </c>
      <c r="W116" s="683"/>
      <c r="X116" s="474">
        <f t="shared" si="85"/>
        <v>0</v>
      </c>
      <c r="Y116" s="474">
        <f t="shared" si="86"/>
        <v>0</v>
      </c>
      <c r="Z116" s="475">
        <f t="shared" si="87"/>
        <v>0</v>
      </c>
      <c r="AA116" s="475">
        <v>0</v>
      </c>
      <c r="AB116" s="476">
        <v>0</v>
      </c>
      <c r="AC116" s="38">
        <f t="shared" si="88"/>
        <v>0</v>
      </c>
      <c r="AD116" s="692">
        <f t="shared" si="82"/>
        <v>0</v>
      </c>
      <c r="AE116" s="692">
        <f t="shared" si="83"/>
        <v>1778.41</v>
      </c>
      <c r="AF116" s="692">
        <f t="shared" si="84"/>
        <v>0</v>
      </c>
      <c r="AG116" s="38"/>
      <c r="AH116" s="692">
        <f t="shared" si="89"/>
        <v>0</v>
      </c>
      <c r="AI116" s="692">
        <f t="shared" si="90"/>
        <v>0</v>
      </c>
      <c r="AJ116" s="692">
        <f t="shared" si="91"/>
        <v>0</v>
      </c>
      <c r="AL116" s="38">
        <f t="shared" si="92"/>
        <v>1778.41</v>
      </c>
    </row>
    <row r="117" spans="1:38">
      <c r="A117" s="20"/>
      <c r="B117" s="20" t="s">
        <v>109</v>
      </c>
      <c r="C117" s="667" t="s">
        <v>549</v>
      </c>
      <c r="D117" s="68" t="s">
        <v>22</v>
      </c>
      <c r="E117" s="679"/>
      <c r="F117" s="529">
        <f>VLOOKUP(D117,'Aug 2013 Revenue'!D:V,19,FALSE)</f>
        <v>0</v>
      </c>
      <c r="G117" s="680"/>
      <c r="H117" s="680"/>
      <c r="I117" s="755"/>
      <c r="J117" s="682">
        <f t="shared" si="81"/>
        <v>0</v>
      </c>
      <c r="K117" s="683"/>
      <c r="L117" s="684"/>
      <c r="M117" s="753"/>
      <c r="N117" s="683">
        <v>0</v>
      </c>
      <c r="O117" s="686"/>
      <c r="P117" s="683">
        <v>0</v>
      </c>
      <c r="Q117" s="687">
        <f t="shared" si="1"/>
        <v>0</v>
      </c>
      <c r="R117" s="687"/>
      <c r="S117" s="687"/>
      <c r="T117" s="688">
        <v>0</v>
      </c>
      <c r="U117" s="693"/>
      <c r="V117" s="690">
        <f t="shared" si="80"/>
        <v>0</v>
      </c>
      <c r="W117" s="683"/>
      <c r="X117" s="474">
        <f t="shared" si="85"/>
        <v>0</v>
      </c>
      <c r="Y117" s="474">
        <f t="shared" si="86"/>
        <v>0</v>
      </c>
      <c r="Z117" s="475">
        <f t="shared" si="87"/>
        <v>0</v>
      </c>
      <c r="AA117" s="475">
        <v>0</v>
      </c>
      <c r="AB117" s="476">
        <v>0</v>
      </c>
      <c r="AC117" s="38">
        <f t="shared" si="88"/>
        <v>0</v>
      </c>
      <c r="AD117" s="692">
        <f t="shared" si="82"/>
        <v>0</v>
      </c>
      <c r="AE117" s="692">
        <f t="shared" si="83"/>
        <v>0</v>
      </c>
      <c r="AF117" s="692">
        <f t="shared" si="84"/>
        <v>0</v>
      </c>
      <c r="AG117" s="38"/>
      <c r="AH117" s="692">
        <f t="shared" si="89"/>
        <v>0</v>
      </c>
      <c r="AI117" s="692">
        <f t="shared" si="90"/>
        <v>0</v>
      </c>
      <c r="AJ117" s="692">
        <f t="shared" si="91"/>
        <v>0</v>
      </c>
      <c r="AL117" s="38">
        <f t="shared" si="92"/>
        <v>0</v>
      </c>
    </row>
    <row r="118" spans="1:38">
      <c r="A118" s="20"/>
      <c r="B118" s="20" t="s">
        <v>110</v>
      </c>
      <c r="C118" s="667"/>
      <c r="D118" s="68" t="s">
        <v>24</v>
      </c>
      <c r="E118" s="679"/>
      <c r="F118" s="529">
        <f>VLOOKUP(D118,'Aug 2013 Revenue'!D:V,19,FALSE)</f>
        <v>0</v>
      </c>
      <c r="G118" s="680"/>
      <c r="H118" s="680"/>
      <c r="I118" s="755"/>
      <c r="J118" s="682">
        <f t="shared" si="81"/>
        <v>0</v>
      </c>
      <c r="K118" s="683"/>
      <c r="L118" s="684"/>
      <c r="M118" s="753"/>
      <c r="N118" s="683">
        <v>0</v>
      </c>
      <c r="O118" s="686"/>
      <c r="P118" s="683">
        <v>0</v>
      </c>
      <c r="Q118" s="687">
        <f t="shared" si="1"/>
        <v>0</v>
      </c>
      <c r="R118" s="687"/>
      <c r="S118" s="687"/>
      <c r="T118" s="688">
        <v>7930.09</v>
      </c>
      <c r="U118" s="693"/>
      <c r="V118" s="690">
        <f t="shared" si="80"/>
        <v>7930.09</v>
      </c>
      <c r="W118" s="683"/>
      <c r="X118" s="474">
        <f t="shared" si="85"/>
        <v>0</v>
      </c>
      <c r="Y118" s="474">
        <f t="shared" si="86"/>
        <v>0</v>
      </c>
      <c r="Z118" s="475">
        <f t="shared" si="87"/>
        <v>0</v>
      </c>
      <c r="AA118" s="475">
        <v>0</v>
      </c>
      <c r="AB118" s="476">
        <v>0</v>
      </c>
      <c r="AC118" s="38">
        <f t="shared" si="88"/>
        <v>0</v>
      </c>
      <c r="AD118" s="692">
        <f t="shared" si="82"/>
        <v>0</v>
      </c>
      <c r="AE118" s="692">
        <f t="shared" si="83"/>
        <v>0</v>
      </c>
      <c r="AF118" s="692">
        <f t="shared" si="84"/>
        <v>0</v>
      </c>
      <c r="AG118" s="38"/>
      <c r="AH118" s="692">
        <f t="shared" si="89"/>
        <v>0</v>
      </c>
      <c r="AI118" s="692">
        <f t="shared" si="90"/>
        <v>0</v>
      </c>
      <c r="AJ118" s="692">
        <f t="shared" si="91"/>
        <v>0</v>
      </c>
      <c r="AL118" s="38">
        <f t="shared" si="92"/>
        <v>0</v>
      </c>
    </row>
    <row r="119" spans="1:38">
      <c r="A119" s="21"/>
      <c r="B119" s="21" t="s">
        <v>110</v>
      </c>
      <c r="C119" s="666"/>
      <c r="D119" s="68" t="s">
        <v>1019</v>
      </c>
      <c r="E119" s="679">
        <v>6906.17</v>
      </c>
      <c r="F119" s="529"/>
      <c r="G119" s="680"/>
      <c r="H119" s="680"/>
      <c r="I119" s="755"/>
      <c r="J119" s="682">
        <v>0</v>
      </c>
      <c r="K119" s="683"/>
      <c r="L119" s="684"/>
      <c r="M119" s="753"/>
      <c r="N119" s="683">
        <v>0</v>
      </c>
      <c r="O119" s="686"/>
      <c r="P119" s="683">
        <v>0</v>
      </c>
      <c r="Q119" s="687">
        <f t="shared" si="1"/>
        <v>0</v>
      </c>
      <c r="R119" s="687"/>
      <c r="S119" s="687"/>
      <c r="T119" s="688">
        <v>0</v>
      </c>
      <c r="U119" s="693"/>
      <c r="V119" s="690">
        <f t="shared" ref="V119" si="107">IF(T119="","",T119-Q119)</f>
        <v>0</v>
      </c>
      <c r="W119" s="683"/>
      <c r="X119" s="474">
        <f t="shared" si="85"/>
        <v>0</v>
      </c>
      <c r="Y119" s="474">
        <f t="shared" si="86"/>
        <v>0</v>
      </c>
      <c r="Z119" s="475">
        <f t="shared" si="87"/>
        <v>0</v>
      </c>
      <c r="AA119" s="475">
        <v>0</v>
      </c>
      <c r="AB119" s="476">
        <v>0</v>
      </c>
      <c r="AC119" s="38">
        <f t="shared" si="88"/>
        <v>0</v>
      </c>
      <c r="AD119" s="692">
        <f t="shared" si="82"/>
        <v>0</v>
      </c>
      <c r="AE119" s="692">
        <f t="shared" si="83"/>
        <v>0</v>
      </c>
      <c r="AF119" s="692">
        <f t="shared" si="84"/>
        <v>0</v>
      </c>
      <c r="AG119" s="38"/>
      <c r="AH119" s="692">
        <f t="shared" si="89"/>
        <v>0</v>
      </c>
      <c r="AI119" s="692">
        <f t="shared" si="90"/>
        <v>0</v>
      </c>
      <c r="AJ119" s="692">
        <f t="shared" si="91"/>
        <v>0</v>
      </c>
      <c r="AL119" s="38">
        <f t="shared" ref="AL119" si="108">SUM(AD119:AJ119)</f>
        <v>0</v>
      </c>
    </row>
    <row r="120" spans="1:38">
      <c r="A120" s="21"/>
      <c r="B120" s="21" t="s">
        <v>110</v>
      </c>
      <c r="C120" s="666"/>
      <c r="D120" s="68" t="s">
        <v>937</v>
      </c>
      <c r="E120" s="679">
        <f>31122.35+11496.25</f>
        <v>42618.6</v>
      </c>
      <c r="F120" s="529">
        <f>VLOOKUP(D120,'Aug 2013 Revenue'!D:V,19,FALSE)</f>
        <v>0</v>
      </c>
      <c r="G120" s="680"/>
      <c r="H120" s="680"/>
      <c r="I120" s="755"/>
      <c r="J120" s="682">
        <f t="shared" si="81"/>
        <v>42618.6</v>
      </c>
      <c r="K120" s="683"/>
      <c r="L120" s="684"/>
      <c r="M120" s="753">
        <v>10000</v>
      </c>
      <c r="N120" s="683">
        <v>0</v>
      </c>
      <c r="O120" s="686"/>
      <c r="P120" s="683">
        <v>0</v>
      </c>
      <c r="Q120" s="687">
        <f t="shared" si="1"/>
        <v>10000</v>
      </c>
      <c r="R120" s="687"/>
      <c r="S120" s="687"/>
      <c r="T120" s="688">
        <v>12211.79</v>
      </c>
      <c r="U120" s="693"/>
      <c r="V120" s="690">
        <f t="shared" si="80"/>
        <v>2211.7900000000009</v>
      </c>
      <c r="W120" s="683"/>
      <c r="X120" s="474">
        <f t="shared" si="85"/>
        <v>10000</v>
      </c>
      <c r="Y120" s="474">
        <f t="shared" si="86"/>
        <v>0</v>
      </c>
      <c r="Z120" s="475">
        <f t="shared" si="87"/>
        <v>0</v>
      </c>
      <c r="AA120" s="475">
        <v>0</v>
      </c>
      <c r="AB120" s="476">
        <v>0</v>
      </c>
      <c r="AC120" s="38">
        <f t="shared" si="88"/>
        <v>0</v>
      </c>
      <c r="AD120" s="692">
        <f t="shared" si="82"/>
        <v>42618.6</v>
      </c>
      <c r="AE120" s="692">
        <f t="shared" si="83"/>
        <v>0</v>
      </c>
      <c r="AF120" s="692">
        <f t="shared" si="84"/>
        <v>0</v>
      </c>
      <c r="AG120" s="38"/>
      <c r="AH120" s="692">
        <f t="shared" si="89"/>
        <v>10000</v>
      </c>
      <c r="AI120" s="692">
        <f t="shared" si="90"/>
        <v>0</v>
      </c>
      <c r="AJ120" s="692">
        <f t="shared" si="91"/>
        <v>0</v>
      </c>
      <c r="AL120" s="38">
        <f t="shared" si="92"/>
        <v>52618.6</v>
      </c>
    </row>
    <row r="121" spans="1:38">
      <c r="A121" s="21"/>
      <c r="B121" s="21" t="s">
        <v>110</v>
      </c>
      <c r="C121" s="666"/>
      <c r="D121" s="68" t="s">
        <v>967</v>
      </c>
      <c r="E121" s="679"/>
      <c r="F121" s="529">
        <f>VLOOKUP(D121,'Aug 2013 Revenue'!D:V,19,FALSE)</f>
        <v>0</v>
      </c>
      <c r="G121" s="680"/>
      <c r="H121" s="680"/>
      <c r="I121" s="755"/>
      <c r="J121" s="682">
        <f t="shared" si="81"/>
        <v>0</v>
      </c>
      <c r="K121" s="683"/>
      <c r="L121" s="684"/>
      <c r="M121" s="753"/>
      <c r="N121" s="683">
        <v>0</v>
      </c>
      <c r="O121" s="686"/>
      <c r="P121" s="683">
        <v>0</v>
      </c>
      <c r="Q121" s="687">
        <f t="shared" si="1"/>
        <v>0</v>
      </c>
      <c r="R121" s="687"/>
      <c r="S121" s="687"/>
      <c r="T121" s="688">
        <v>197489</v>
      </c>
      <c r="U121" s="693"/>
      <c r="V121" s="690">
        <f t="shared" si="80"/>
        <v>197489</v>
      </c>
      <c r="W121" s="683"/>
      <c r="X121" s="474">
        <f t="shared" si="85"/>
        <v>0</v>
      </c>
      <c r="Y121" s="474">
        <f t="shared" si="86"/>
        <v>0</v>
      </c>
      <c r="Z121" s="475">
        <f t="shared" si="87"/>
        <v>0</v>
      </c>
      <c r="AA121" s="475">
        <v>0</v>
      </c>
      <c r="AB121" s="476">
        <v>0</v>
      </c>
      <c r="AC121" s="38">
        <f t="shared" si="88"/>
        <v>0</v>
      </c>
      <c r="AD121" s="692">
        <f t="shared" si="82"/>
        <v>0</v>
      </c>
      <c r="AE121" s="692">
        <f t="shared" si="83"/>
        <v>0</v>
      </c>
      <c r="AF121" s="692">
        <f t="shared" si="84"/>
        <v>0</v>
      </c>
      <c r="AG121" s="38"/>
      <c r="AH121" s="692">
        <f t="shared" si="89"/>
        <v>0</v>
      </c>
      <c r="AI121" s="692">
        <f t="shared" si="90"/>
        <v>0</v>
      </c>
      <c r="AJ121" s="692">
        <f t="shared" si="91"/>
        <v>0</v>
      </c>
      <c r="AL121" s="38">
        <f t="shared" si="92"/>
        <v>0</v>
      </c>
    </row>
    <row r="122" spans="1:38">
      <c r="A122" s="21"/>
      <c r="B122" s="21" t="s">
        <v>110</v>
      </c>
      <c r="C122" s="666"/>
      <c r="D122" s="68" t="s">
        <v>1002</v>
      </c>
      <c r="E122" s="679">
        <v>6906.17</v>
      </c>
      <c r="F122" s="529"/>
      <c r="G122" s="680"/>
      <c r="H122" s="680"/>
      <c r="I122" s="755"/>
      <c r="J122" s="682">
        <f t="shared" ref="J122:J123" si="109">SUM(E122:I122)</f>
        <v>6906.17</v>
      </c>
      <c r="K122" s="683"/>
      <c r="L122" s="684"/>
      <c r="M122" s="753"/>
      <c r="N122" s="683">
        <v>0</v>
      </c>
      <c r="O122" s="686"/>
      <c r="P122" s="683">
        <v>0</v>
      </c>
      <c r="Q122" s="687">
        <f t="shared" ref="Q122:Q123" si="110">L122+M122</f>
        <v>0</v>
      </c>
      <c r="R122" s="687"/>
      <c r="S122" s="687"/>
      <c r="T122" s="688">
        <v>0</v>
      </c>
      <c r="U122" s="693"/>
      <c r="V122" s="690">
        <f t="shared" si="80"/>
        <v>0</v>
      </c>
      <c r="W122" s="683"/>
      <c r="X122" s="474">
        <f t="shared" ref="X122:X123" si="111">IF(B122="D",Q122,0)</f>
        <v>0</v>
      </c>
      <c r="Y122" s="474">
        <f t="shared" ref="Y122:Y123" si="112">IF(B122="M",Q122,0)</f>
        <v>0</v>
      </c>
      <c r="Z122" s="475">
        <f t="shared" ref="Z122:Z123" si="113">IF(B122="V",Q122,0)</f>
        <v>0</v>
      </c>
      <c r="AA122" s="475">
        <v>0</v>
      </c>
      <c r="AB122" s="476">
        <v>0</v>
      </c>
      <c r="AC122" s="38">
        <f t="shared" ref="AC122:AC123" si="114">(L122+M122)-(X122+Y122+Z122+AA122+AB122)</f>
        <v>0</v>
      </c>
      <c r="AD122" s="692">
        <f t="shared" ref="AD122:AD123" si="115">IF(B122="D",J122,0)</f>
        <v>6906.17</v>
      </c>
      <c r="AE122" s="692">
        <f t="shared" ref="AE122:AE123" si="116">IF(B122="M",J122,0)</f>
        <v>0</v>
      </c>
      <c r="AF122" s="692">
        <f t="shared" ref="AF122:AF123" si="117">IF(B122="V",J122,0)</f>
        <v>0</v>
      </c>
      <c r="AG122" s="38"/>
      <c r="AH122" s="692">
        <f t="shared" ref="AH122:AH123" si="118">IF(B122="D",Q122,0)</f>
        <v>0</v>
      </c>
      <c r="AI122" s="692">
        <f t="shared" ref="AI122:AI123" si="119">IF(B122="M",Q122,0)</f>
        <v>0</v>
      </c>
      <c r="AJ122" s="692">
        <f t="shared" ref="AJ122:AJ123" si="120">IF(B122="V",Q122,0)</f>
        <v>0</v>
      </c>
      <c r="AL122" s="38">
        <f t="shared" ref="AL122" si="121">SUM(AD122:AJ122)</f>
        <v>6906.17</v>
      </c>
    </row>
    <row r="123" spans="1:38">
      <c r="A123" s="20"/>
      <c r="B123" s="20" t="s">
        <v>110</v>
      </c>
      <c r="C123" s="667"/>
      <c r="D123" s="68" t="s">
        <v>1013</v>
      </c>
      <c r="E123" s="679"/>
      <c r="F123" s="529"/>
      <c r="G123" s="680"/>
      <c r="H123" s="680"/>
      <c r="I123" s="755"/>
      <c r="J123" s="682">
        <f t="shared" si="109"/>
        <v>0</v>
      </c>
      <c r="K123" s="683"/>
      <c r="L123" s="684"/>
      <c r="M123" s="753"/>
      <c r="N123" s="683">
        <v>0</v>
      </c>
      <c r="O123" s="686"/>
      <c r="P123" s="683">
        <v>0</v>
      </c>
      <c r="Q123" s="687">
        <f t="shared" si="110"/>
        <v>0</v>
      </c>
      <c r="R123" s="687"/>
      <c r="S123" s="687"/>
      <c r="T123" s="688">
        <v>620.79999999999995</v>
      </c>
      <c r="U123" s="693"/>
      <c r="V123" s="690">
        <f t="shared" ref="V123" si="122">IF(T123="","",T123-Q123)</f>
        <v>620.79999999999995</v>
      </c>
      <c r="W123" s="683"/>
      <c r="X123" s="474">
        <f t="shared" si="111"/>
        <v>0</v>
      </c>
      <c r="Y123" s="474">
        <f t="shared" si="112"/>
        <v>0</v>
      </c>
      <c r="Z123" s="475">
        <f t="shared" si="113"/>
        <v>0</v>
      </c>
      <c r="AA123" s="475">
        <v>0</v>
      </c>
      <c r="AB123" s="476">
        <v>0</v>
      </c>
      <c r="AC123" s="38">
        <f t="shared" si="114"/>
        <v>0</v>
      </c>
      <c r="AD123" s="692">
        <f t="shared" si="115"/>
        <v>0</v>
      </c>
      <c r="AE123" s="692">
        <f t="shared" si="116"/>
        <v>0</v>
      </c>
      <c r="AF123" s="692">
        <f t="shared" si="117"/>
        <v>0</v>
      </c>
      <c r="AG123" s="38"/>
      <c r="AH123" s="692">
        <f t="shared" si="118"/>
        <v>0</v>
      </c>
      <c r="AI123" s="692">
        <f t="shared" si="119"/>
        <v>0</v>
      </c>
      <c r="AJ123" s="692">
        <f t="shared" si="120"/>
        <v>0</v>
      </c>
      <c r="AL123" s="38">
        <f t="shared" ref="AL123" si="123">SUM(AD123:AJ123)</f>
        <v>0</v>
      </c>
    </row>
    <row r="124" spans="1:38">
      <c r="A124" s="21"/>
      <c r="B124" s="21" t="s">
        <v>110</v>
      </c>
      <c r="C124" s="666" t="s">
        <v>550</v>
      </c>
      <c r="D124" s="68" t="s">
        <v>282</v>
      </c>
      <c r="E124" s="679"/>
      <c r="F124" s="529">
        <f>VLOOKUP(D124,'Aug 2013 Revenue'!D:V,19,FALSE)</f>
        <v>-934.36000000000058</v>
      </c>
      <c r="G124" s="680"/>
      <c r="H124" s="680"/>
      <c r="I124" s="755"/>
      <c r="J124" s="682">
        <f t="shared" si="81"/>
        <v>-934.36000000000058</v>
      </c>
      <c r="K124" s="683"/>
      <c r="L124" s="684"/>
      <c r="M124" s="753">
        <v>50000</v>
      </c>
      <c r="N124" s="683">
        <v>0</v>
      </c>
      <c r="O124" s="686"/>
      <c r="P124" s="683">
        <v>0</v>
      </c>
      <c r="Q124" s="687">
        <f t="shared" si="1"/>
        <v>50000</v>
      </c>
      <c r="R124" s="687"/>
      <c r="S124" s="687"/>
      <c r="T124" s="688">
        <v>47560.29</v>
      </c>
      <c r="U124" s="693"/>
      <c r="V124" s="690">
        <f t="shared" si="80"/>
        <v>-2439.7099999999991</v>
      </c>
      <c r="W124" s="683"/>
      <c r="X124" s="474">
        <f t="shared" si="85"/>
        <v>50000</v>
      </c>
      <c r="Y124" s="474">
        <f t="shared" si="86"/>
        <v>0</v>
      </c>
      <c r="Z124" s="475">
        <f t="shared" si="87"/>
        <v>0</v>
      </c>
      <c r="AA124" s="475">
        <v>0</v>
      </c>
      <c r="AB124" s="476">
        <v>0</v>
      </c>
      <c r="AC124" s="38">
        <f t="shared" si="88"/>
        <v>0</v>
      </c>
      <c r="AD124" s="692">
        <f t="shared" si="82"/>
        <v>-934.36000000000058</v>
      </c>
      <c r="AE124" s="692">
        <f t="shared" si="83"/>
        <v>0</v>
      </c>
      <c r="AF124" s="692">
        <f t="shared" si="84"/>
        <v>0</v>
      </c>
      <c r="AG124" s="38"/>
      <c r="AH124" s="692">
        <f t="shared" si="89"/>
        <v>50000</v>
      </c>
      <c r="AI124" s="692">
        <f t="shared" si="90"/>
        <v>0</v>
      </c>
      <c r="AJ124" s="692">
        <f t="shared" si="91"/>
        <v>0</v>
      </c>
      <c r="AL124" s="38">
        <f t="shared" si="92"/>
        <v>49065.64</v>
      </c>
    </row>
    <row r="125" spans="1:38">
      <c r="A125" s="21"/>
      <c r="B125" s="21" t="s">
        <v>109</v>
      </c>
      <c r="C125" s="666" t="s">
        <v>551</v>
      </c>
      <c r="D125" s="68" t="s">
        <v>499</v>
      </c>
      <c r="E125" s="679"/>
      <c r="F125" s="529">
        <f>VLOOKUP(D125,'Aug 2013 Revenue'!D:V,19,FALSE)</f>
        <v>0</v>
      </c>
      <c r="G125" s="680"/>
      <c r="H125" s="680"/>
      <c r="I125" s="755"/>
      <c r="J125" s="682">
        <f t="shared" si="81"/>
        <v>0</v>
      </c>
      <c r="K125" s="683"/>
      <c r="L125" s="684"/>
      <c r="M125" s="753"/>
      <c r="N125" s="683">
        <v>0</v>
      </c>
      <c r="O125" s="686"/>
      <c r="P125" s="683">
        <v>0</v>
      </c>
      <c r="Q125" s="687">
        <f t="shared" si="1"/>
        <v>0</v>
      </c>
      <c r="R125" s="687"/>
      <c r="S125" s="687"/>
      <c r="T125" s="688">
        <v>0</v>
      </c>
      <c r="U125" s="693"/>
      <c r="V125" s="690">
        <f t="shared" si="80"/>
        <v>0</v>
      </c>
      <c r="W125" s="683"/>
      <c r="X125" s="474">
        <f t="shared" si="85"/>
        <v>0</v>
      </c>
      <c r="Y125" s="474">
        <f t="shared" si="86"/>
        <v>0</v>
      </c>
      <c r="Z125" s="475">
        <f t="shared" si="87"/>
        <v>0</v>
      </c>
      <c r="AA125" s="475">
        <v>0</v>
      </c>
      <c r="AB125" s="476">
        <v>0</v>
      </c>
      <c r="AC125" s="38">
        <f t="shared" si="88"/>
        <v>0</v>
      </c>
      <c r="AD125" s="692">
        <f t="shared" si="82"/>
        <v>0</v>
      </c>
      <c r="AE125" s="692">
        <f t="shared" si="83"/>
        <v>0</v>
      </c>
      <c r="AF125" s="692">
        <f t="shared" si="84"/>
        <v>0</v>
      </c>
      <c r="AG125" s="38"/>
      <c r="AH125" s="692">
        <f t="shared" si="89"/>
        <v>0</v>
      </c>
      <c r="AI125" s="692">
        <f t="shared" si="90"/>
        <v>0</v>
      </c>
      <c r="AJ125" s="692">
        <f t="shared" si="91"/>
        <v>0</v>
      </c>
      <c r="AL125" s="38">
        <f t="shared" si="92"/>
        <v>0</v>
      </c>
    </row>
    <row r="126" spans="1:38">
      <c r="A126" s="21"/>
      <c r="B126" s="21" t="s">
        <v>110</v>
      </c>
      <c r="C126" s="666"/>
      <c r="D126" s="68" t="s">
        <v>28</v>
      </c>
      <c r="E126" s="679"/>
      <c r="F126" s="529">
        <f>VLOOKUP(D126,'Aug 2013 Revenue'!D:V,19,FALSE)</f>
        <v>0</v>
      </c>
      <c r="G126" s="680"/>
      <c r="H126" s="680"/>
      <c r="I126" s="770">
        <v>11475.8</v>
      </c>
      <c r="J126" s="682">
        <f t="shared" si="81"/>
        <v>11475.8</v>
      </c>
      <c r="K126" s="683"/>
      <c r="L126" s="684"/>
      <c r="M126" s="753"/>
      <c r="N126" s="683">
        <v>0</v>
      </c>
      <c r="O126" s="686"/>
      <c r="P126" s="683">
        <v>0</v>
      </c>
      <c r="Q126" s="687">
        <f t="shared" si="1"/>
        <v>0</v>
      </c>
      <c r="R126" s="687"/>
      <c r="S126" s="687"/>
      <c r="T126" s="688">
        <v>0</v>
      </c>
      <c r="U126" s="693"/>
      <c r="V126" s="690">
        <f t="shared" si="80"/>
        <v>0</v>
      </c>
      <c r="W126" s="683"/>
      <c r="X126" s="474">
        <f t="shared" si="85"/>
        <v>0</v>
      </c>
      <c r="Y126" s="474">
        <f t="shared" si="86"/>
        <v>0</v>
      </c>
      <c r="Z126" s="475">
        <f t="shared" si="87"/>
        <v>0</v>
      </c>
      <c r="AA126" s="475">
        <v>0</v>
      </c>
      <c r="AB126" s="476">
        <v>0</v>
      </c>
      <c r="AC126" s="38">
        <f t="shared" si="88"/>
        <v>0</v>
      </c>
      <c r="AD126" s="692">
        <f t="shared" si="82"/>
        <v>11475.8</v>
      </c>
      <c r="AE126" s="692">
        <f t="shared" si="83"/>
        <v>0</v>
      </c>
      <c r="AF126" s="692">
        <f t="shared" si="84"/>
        <v>0</v>
      </c>
      <c r="AG126" s="38"/>
      <c r="AH126" s="692">
        <f t="shared" si="89"/>
        <v>0</v>
      </c>
      <c r="AI126" s="692">
        <f t="shared" si="90"/>
        <v>0</v>
      </c>
      <c r="AJ126" s="692">
        <f t="shared" si="91"/>
        <v>0</v>
      </c>
      <c r="AL126" s="38">
        <f t="shared" si="92"/>
        <v>11475.8</v>
      </c>
    </row>
    <row r="127" spans="1:38">
      <c r="A127" s="21"/>
      <c r="B127" s="21" t="s">
        <v>114</v>
      </c>
      <c r="C127" s="666" t="s">
        <v>552</v>
      </c>
      <c r="D127" s="68" t="s">
        <v>513</v>
      </c>
      <c r="E127" s="679">
        <v>3246</v>
      </c>
      <c r="F127" s="529">
        <f>VLOOKUP(D127,'Aug 2013 Revenue'!D:V,19,FALSE)</f>
        <v>-6000</v>
      </c>
      <c r="G127" s="680"/>
      <c r="H127" s="680"/>
      <c r="I127" s="755"/>
      <c r="J127" s="682">
        <f t="shared" si="81"/>
        <v>-2754</v>
      </c>
      <c r="K127" s="683"/>
      <c r="L127" s="684"/>
      <c r="M127" s="753">
        <v>6000</v>
      </c>
      <c r="N127" s="683">
        <v>0</v>
      </c>
      <c r="O127" s="686"/>
      <c r="P127" s="683">
        <v>0</v>
      </c>
      <c r="Q127" s="687">
        <f>L127+M127</f>
        <v>6000</v>
      </c>
      <c r="R127" s="687"/>
      <c r="S127" s="687"/>
      <c r="T127" s="688">
        <v>0</v>
      </c>
      <c r="U127" s="693"/>
      <c r="V127" s="690">
        <f t="shared" si="80"/>
        <v>-6000</v>
      </c>
      <c r="W127" s="683"/>
      <c r="X127" s="474">
        <f t="shared" si="85"/>
        <v>0</v>
      </c>
      <c r="Y127" s="474">
        <f t="shared" si="86"/>
        <v>0</v>
      </c>
      <c r="Z127" s="475">
        <f t="shared" si="87"/>
        <v>6000</v>
      </c>
      <c r="AA127" s="475">
        <v>0</v>
      </c>
      <c r="AB127" s="476">
        <v>0</v>
      </c>
      <c r="AC127" s="38">
        <f t="shared" si="88"/>
        <v>0</v>
      </c>
      <c r="AD127" s="692">
        <f t="shared" si="82"/>
        <v>0</v>
      </c>
      <c r="AE127" s="692">
        <f t="shared" si="83"/>
        <v>0</v>
      </c>
      <c r="AF127" s="692">
        <f t="shared" si="84"/>
        <v>-2754</v>
      </c>
      <c r="AG127" s="38"/>
      <c r="AH127" s="692">
        <f t="shared" si="89"/>
        <v>0</v>
      </c>
      <c r="AI127" s="692">
        <f t="shared" si="90"/>
        <v>0</v>
      </c>
      <c r="AJ127" s="692">
        <f t="shared" si="91"/>
        <v>6000</v>
      </c>
      <c r="AL127" s="38">
        <f t="shared" si="92"/>
        <v>3246</v>
      </c>
    </row>
    <row r="128" spans="1:38">
      <c r="A128" s="21"/>
      <c r="B128" s="21" t="s">
        <v>109</v>
      </c>
      <c r="C128" s="666" t="s">
        <v>553</v>
      </c>
      <c r="D128" s="68" t="s">
        <v>308</v>
      </c>
      <c r="E128" s="679">
        <v>1077.71</v>
      </c>
      <c r="F128" s="529">
        <f>VLOOKUP(D128,'Aug 2013 Revenue'!D:V,19,FALSE)</f>
        <v>1186.1300000000001</v>
      </c>
      <c r="G128" s="680"/>
      <c r="H128" s="680"/>
      <c r="I128" s="755"/>
      <c r="J128" s="682">
        <f t="shared" si="81"/>
        <v>2263.84</v>
      </c>
      <c r="K128" s="683"/>
      <c r="L128" s="684"/>
      <c r="M128" s="753"/>
      <c r="N128" s="683">
        <v>0</v>
      </c>
      <c r="O128" s="686"/>
      <c r="P128" s="683">
        <v>0</v>
      </c>
      <c r="Q128" s="687">
        <f t="shared" si="1"/>
        <v>0</v>
      </c>
      <c r="R128" s="687"/>
      <c r="S128" s="687"/>
      <c r="T128" s="688">
        <v>974.15</v>
      </c>
      <c r="U128" s="693"/>
      <c r="V128" s="690">
        <f t="shared" si="80"/>
        <v>974.15</v>
      </c>
      <c r="W128" s="683"/>
      <c r="X128" s="474">
        <f t="shared" si="85"/>
        <v>0</v>
      </c>
      <c r="Y128" s="474">
        <f t="shared" si="86"/>
        <v>0</v>
      </c>
      <c r="Z128" s="475">
        <f t="shared" si="87"/>
        <v>0</v>
      </c>
      <c r="AA128" s="475">
        <v>0</v>
      </c>
      <c r="AB128" s="476">
        <v>0</v>
      </c>
      <c r="AC128" s="38">
        <f t="shared" si="88"/>
        <v>0</v>
      </c>
      <c r="AD128" s="692">
        <f t="shared" si="82"/>
        <v>0</v>
      </c>
      <c r="AE128" s="692">
        <f t="shared" si="83"/>
        <v>2263.84</v>
      </c>
      <c r="AF128" s="692">
        <f t="shared" si="84"/>
        <v>0</v>
      </c>
      <c r="AG128" s="38"/>
      <c r="AH128" s="692">
        <f t="shared" si="89"/>
        <v>0</v>
      </c>
      <c r="AI128" s="692">
        <f t="shared" si="90"/>
        <v>0</v>
      </c>
      <c r="AJ128" s="692">
        <f t="shared" si="91"/>
        <v>0</v>
      </c>
      <c r="AL128" s="38">
        <f t="shared" si="92"/>
        <v>2263.84</v>
      </c>
    </row>
    <row r="129" spans="1:38" s="232" customFormat="1">
      <c r="A129" s="283" t="s">
        <v>211</v>
      </c>
      <c r="B129" s="283" t="s">
        <v>109</v>
      </c>
      <c r="C129" s="667" t="s">
        <v>554</v>
      </c>
      <c r="D129" s="123" t="s">
        <v>389</v>
      </c>
      <c r="E129" s="679"/>
      <c r="F129" s="529">
        <f>VLOOKUP(D129,'Aug 2013 Revenue'!D:V,19,FALSE)</f>
        <v>0</v>
      </c>
      <c r="G129" s="680"/>
      <c r="H129" s="680"/>
      <c r="I129" s="755"/>
      <c r="J129" s="682">
        <f t="shared" si="81"/>
        <v>0</v>
      </c>
      <c r="K129" s="683"/>
      <c r="L129" s="684"/>
      <c r="M129" s="753"/>
      <c r="N129" s="683">
        <v>0</v>
      </c>
      <c r="O129" s="686"/>
      <c r="P129" s="683">
        <v>0</v>
      </c>
      <c r="Q129" s="687">
        <f t="shared" si="1"/>
        <v>0</v>
      </c>
      <c r="R129" s="687"/>
      <c r="S129" s="687"/>
      <c r="T129" s="688">
        <v>0</v>
      </c>
      <c r="U129" s="693"/>
      <c r="V129" s="690">
        <f t="shared" si="80"/>
        <v>0</v>
      </c>
      <c r="W129" s="683"/>
      <c r="X129" s="474">
        <f t="shared" si="85"/>
        <v>0</v>
      </c>
      <c r="Y129" s="474">
        <f t="shared" si="86"/>
        <v>0</v>
      </c>
      <c r="Z129" s="475">
        <f t="shared" si="87"/>
        <v>0</v>
      </c>
      <c r="AA129" s="475">
        <v>0</v>
      </c>
      <c r="AB129" s="476">
        <v>0</v>
      </c>
      <c r="AC129" s="38">
        <f t="shared" si="88"/>
        <v>0</v>
      </c>
      <c r="AD129" s="692">
        <f t="shared" si="82"/>
        <v>0</v>
      </c>
      <c r="AE129" s="692">
        <f t="shared" si="83"/>
        <v>0</v>
      </c>
      <c r="AF129" s="692">
        <f t="shared" si="84"/>
        <v>0</v>
      </c>
      <c r="AG129" s="38"/>
      <c r="AH129" s="692">
        <f t="shared" si="89"/>
        <v>0</v>
      </c>
      <c r="AI129" s="692">
        <f t="shared" si="90"/>
        <v>0</v>
      </c>
      <c r="AJ129" s="692">
        <f t="shared" si="91"/>
        <v>0</v>
      </c>
      <c r="AL129" s="38">
        <f t="shared" si="92"/>
        <v>0</v>
      </c>
    </row>
    <row r="130" spans="1:38" s="232" customFormat="1">
      <c r="A130" s="283"/>
      <c r="B130" s="283" t="s">
        <v>110</v>
      </c>
      <c r="C130" s="667"/>
      <c r="D130" s="123" t="s">
        <v>807</v>
      </c>
      <c r="E130" s="679"/>
      <c r="F130" s="529">
        <f>VLOOKUP(D130,'Aug 2013 Revenue'!D:V,19,FALSE)</f>
        <v>-1797.9</v>
      </c>
      <c r="G130" s="680"/>
      <c r="H130" s="680"/>
      <c r="I130" s="755"/>
      <c r="J130" s="682">
        <f t="shared" si="81"/>
        <v>-1797.9</v>
      </c>
      <c r="K130" s="683"/>
      <c r="L130" s="684"/>
      <c r="M130" s="753">
        <v>5000</v>
      </c>
      <c r="N130" s="683">
        <v>0</v>
      </c>
      <c r="O130" s="686"/>
      <c r="P130" s="683">
        <v>0</v>
      </c>
      <c r="Q130" s="687">
        <f t="shared" si="1"/>
        <v>5000</v>
      </c>
      <c r="R130" s="687"/>
      <c r="S130" s="687"/>
      <c r="T130" s="688">
        <v>2969.78</v>
      </c>
      <c r="U130" s="693"/>
      <c r="V130" s="690">
        <f t="shared" si="80"/>
        <v>-2030.2199999999998</v>
      </c>
      <c r="W130" s="683"/>
      <c r="X130" s="474">
        <f t="shared" si="85"/>
        <v>5000</v>
      </c>
      <c r="Y130" s="474">
        <f t="shared" si="86"/>
        <v>0</v>
      </c>
      <c r="Z130" s="475">
        <f t="shared" si="87"/>
        <v>0</v>
      </c>
      <c r="AA130" s="475">
        <v>0</v>
      </c>
      <c r="AB130" s="476">
        <v>0</v>
      </c>
      <c r="AC130" s="38">
        <f t="shared" si="88"/>
        <v>0</v>
      </c>
      <c r="AD130" s="692">
        <f t="shared" si="82"/>
        <v>-1797.9</v>
      </c>
      <c r="AE130" s="692">
        <f t="shared" si="83"/>
        <v>0</v>
      </c>
      <c r="AF130" s="692">
        <f t="shared" si="84"/>
        <v>0</v>
      </c>
      <c r="AG130" s="38"/>
      <c r="AH130" s="692">
        <f t="shared" si="89"/>
        <v>5000</v>
      </c>
      <c r="AI130" s="692">
        <f t="shared" si="90"/>
        <v>0</v>
      </c>
      <c r="AJ130" s="692">
        <f t="shared" si="91"/>
        <v>0</v>
      </c>
      <c r="AL130" s="38">
        <f t="shared" si="92"/>
        <v>3202.1</v>
      </c>
    </row>
    <row r="131" spans="1:38" s="232" customFormat="1">
      <c r="A131" s="283"/>
      <c r="B131" s="283" t="s">
        <v>109</v>
      </c>
      <c r="C131" s="667"/>
      <c r="D131" s="123" t="s">
        <v>808</v>
      </c>
      <c r="E131" s="679"/>
      <c r="F131" s="529">
        <f>VLOOKUP(D131,'Aug 2013 Revenue'!D:V,19,FALSE)</f>
        <v>1567.9499999999971</v>
      </c>
      <c r="G131" s="680"/>
      <c r="H131" s="680"/>
      <c r="I131" s="755"/>
      <c r="J131" s="682">
        <f t="shared" si="81"/>
        <v>1567.9499999999971</v>
      </c>
      <c r="K131" s="683"/>
      <c r="L131" s="684"/>
      <c r="M131" s="753">
        <v>40000</v>
      </c>
      <c r="N131" s="683">
        <v>0</v>
      </c>
      <c r="O131" s="686"/>
      <c r="P131" s="683">
        <v>0</v>
      </c>
      <c r="Q131" s="687">
        <f t="shared" si="1"/>
        <v>40000</v>
      </c>
      <c r="R131" s="687"/>
      <c r="S131" s="687"/>
      <c r="T131" s="688">
        <f>30892.5+687.86+8066.43</f>
        <v>39646.79</v>
      </c>
      <c r="U131" s="693"/>
      <c r="V131" s="690">
        <f t="shared" si="80"/>
        <v>-353.20999999999913</v>
      </c>
      <c r="W131" s="683"/>
      <c r="X131" s="474">
        <f t="shared" si="85"/>
        <v>0</v>
      </c>
      <c r="Y131" s="474">
        <f t="shared" si="86"/>
        <v>40000</v>
      </c>
      <c r="Z131" s="475">
        <f t="shared" si="87"/>
        <v>0</v>
      </c>
      <c r="AA131" s="475">
        <v>0</v>
      </c>
      <c r="AB131" s="476">
        <v>0</v>
      </c>
      <c r="AC131" s="38">
        <f t="shared" si="88"/>
        <v>0</v>
      </c>
      <c r="AD131" s="692">
        <f t="shared" si="82"/>
        <v>0</v>
      </c>
      <c r="AE131" s="692">
        <f t="shared" si="83"/>
        <v>1567.9499999999971</v>
      </c>
      <c r="AF131" s="692">
        <f t="shared" si="84"/>
        <v>0</v>
      </c>
      <c r="AG131" s="38"/>
      <c r="AH131" s="692">
        <f t="shared" si="89"/>
        <v>0</v>
      </c>
      <c r="AI131" s="692">
        <f t="shared" si="90"/>
        <v>40000</v>
      </c>
      <c r="AJ131" s="692">
        <f t="shared" si="91"/>
        <v>0</v>
      </c>
      <c r="AL131" s="38">
        <f t="shared" si="92"/>
        <v>41567.949999999997</v>
      </c>
    </row>
    <row r="132" spans="1:38" s="232" customFormat="1">
      <c r="A132" s="403"/>
      <c r="B132" s="403" t="s">
        <v>110</v>
      </c>
      <c r="C132" s="666" t="s">
        <v>563</v>
      </c>
      <c r="D132" s="123" t="s">
        <v>867</v>
      </c>
      <c r="E132" s="679">
        <v>1504.7</v>
      </c>
      <c r="F132" s="529">
        <f>VLOOKUP(D132,'Aug 2013 Revenue'!D:V,19,FALSE)</f>
        <v>1198.98</v>
      </c>
      <c r="G132" s="680"/>
      <c r="H132" s="680"/>
      <c r="I132" s="755"/>
      <c r="J132" s="682">
        <f t="shared" si="81"/>
        <v>2703.6800000000003</v>
      </c>
      <c r="K132" s="683"/>
      <c r="L132" s="684"/>
      <c r="M132" s="753"/>
      <c r="N132" s="683">
        <v>0</v>
      </c>
      <c r="O132" s="686"/>
      <c r="P132" s="683">
        <v>0</v>
      </c>
      <c r="Q132" s="687">
        <f t="shared" si="1"/>
        <v>0</v>
      </c>
      <c r="R132" s="687"/>
      <c r="S132" s="687"/>
      <c r="T132" s="688">
        <v>1419.26</v>
      </c>
      <c r="U132" s="693"/>
      <c r="V132" s="690">
        <f t="shared" si="80"/>
        <v>1419.26</v>
      </c>
      <c r="W132" s="683"/>
      <c r="X132" s="474">
        <f t="shared" si="85"/>
        <v>0</v>
      </c>
      <c r="Y132" s="474">
        <f t="shared" si="86"/>
        <v>0</v>
      </c>
      <c r="Z132" s="475">
        <f t="shared" si="87"/>
        <v>0</v>
      </c>
      <c r="AA132" s="475">
        <v>0</v>
      </c>
      <c r="AB132" s="476">
        <v>0</v>
      </c>
      <c r="AC132" s="38">
        <f t="shared" si="88"/>
        <v>0</v>
      </c>
      <c r="AD132" s="692">
        <f t="shared" si="82"/>
        <v>2703.6800000000003</v>
      </c>
      <c r="AE132" s="692">
        <f t="shared" si="83"/>
        <v>0</v>
      </c>
      <c r="AF132" s="692">
        <f t="shared" si="84"/>
        <v>0</v>
      </c>
      <c r="AG132" s="38"/>
      <c r="AH132" s="692">
        <f t="shared" si="89"/>
        <v>0</v>
      </c>
      <c r="AI132" s="692">
        <f t="shared" si="90"/>
        <v>0</v>
      </c>
      <c r="AJ132" s="692">
        <f t="shared" si="91"/>
        <v>0</v>
      </c>
      <c r="AL132" s="38">
        <f t="shared" si="92"/>
        <v>2703.6800000000003</v>
      </c>
    </row>
    <row r="133" spans="1:38" s="232" customFormat="1">
      <c r="A133" s="283"/>
      <c r="B133" s="283" t="s">
        <v>110</v>
      </c>
      <c r="C133" s="667"/>
      <c r="D133" s="68" t="s">
        <v>488</v>
      </c>
      <c r="E133" s="679"/>
      <c r="F133" s="529">
        <f>VLOOKUP(D133,'Aug 2013 Revenue'!D:V,19,FALSE)</f>
        <v>0</v>
      </c>
      <c r="G133" s="680"/>
      <c r="H133" s="680"/>
      <c r="I133" s="755"/>
      <c r="J133" s="682">
        <f t="shared" si="81"/>
        <v>0</v>
      </c>
      <c r="K133" s="683"/>
      <c r="L133" s="684"/>
      <c r="M133" s="753"/>
      <c r="N133" s="683">
        <v>0</v>
      </c>
      <c r="O133" s="686"/>
      <c r="P133" s="683">
        <v>0</v>
      </c>
      <c r="Q133" s="687">
        <f t="shared" si="1"/>
        <v>0</v>
      </c>
      <c r="R133" s="687"/>
      <c r="S133" s="687"/>
      <c r="T133" s="688">
        <v>0</v>
      </c>
      <c r="U133" s="693"/>
      <c r="V133" s="690">
        <f t="shared" si="80"/>
        <v>0</v>
      </c>
      <c r="W133" s="683"/>
      <c r="X133" s="474">
        <f t="shared" si="85"/>
        <v>0</v>
      </c>
      <c r="Y133" s="474">
        <f t="shared" si="86"/>
        <v>0</v>
      </c>
      <c r="Z133" s="475">
        <f t="shared" si="87"/>
        <v>0</v>
      </c>
      <c r="AA133" s="475">
        <v>0</v>
      </c>
      <c r="AB133" s="476">
        <v>0</v>
      </c>
      <c r="AC133" s="38">
        <f t="shared" si="88"/>
        <v>0</v>
      </c>
      <c r="AD133" s="692">
        <f t="shared" si="82"/>
        <v>0</v>
      </c>
      <c r="AE133" s="692">
        <f t="shared" si="83"/>
        <v>0</v>
      </c>
      <c r="AF133" s="692">
        <f t="shared" si="84"/>
        <v>0</v>
      </c>
      <c r="AG133" s="38"/>
      <c r="AH133" s="692">
        <f t="shared" si="89"/>
        <v>0</v>
      </c>
      <c r="AI133" s="692">
        <f t="shared" si="90"/>
        <v>0</v>
      </c>
      <c r="AJ133" s="692">
        <f t="shared" si="91"/>
        <v>0</v>
      </c>
      <c r="AL133" s="38">
        <f t="shared" si="92"/>
        <v>0</v>
      </c>
    </row>
    <row r="134" spans="1:38" s="232" customFormat="1">
      <c r="A134" s="283"/>
      <c r="B134" s="283" t="s">
        <v>110</v>
      </c>
      <c r="C134" s="667" t="s">
        <v>555</v>
      </c>
      <c r="D134" s="123" t="s">
        <v>192</v>
      </c>
      <c r="E134" s="679"/>
      <c r="F134" s="529">
        <f>VLOOKUP(D134,'Aug 2013 Revenue'!D:V,19,FALSE)</f>
        <v>-10000</v>
      </c>
      <c r="G134" s="680"/>
      <c r="H134" s="680"/>
      <c r="I134" s="755"/>
      <c r="J134" s="682">
        <f t="shared" si="81"/>
        <v>-10000</v>
      </c>
      <c r="K134" s="683"/>
      <c r="L134" s="684"/>
      <c r="M134" s="753">
        <v>15000</v>
      </c>
      <c r="N134" s="683">
        <v>0</v>
      </c>
      <c r="O134" s="686"/>
      <c r="P134" s="683">
        <v>0</v>
      </c>
      <c r="Q134" s="687">
        <f t="shared" si="1"/>
        <v>15000</v>
      </c>
      <c r="R134" s="687"/>
      <c r="S134" s="687"/>
      <c r="T134" s="688">
        <v>0</v>
      </c>
      <c r="U134" s="693"/>
      <c r="V134" s="690">
        <f t="shared" si="80"/>
        <v>-15000</v>
      </c>
      <c r="W134" s="683"/>
      <c r="X134" s="474">
        <f t="shared" si="85"/>
        <v>15000</v>
      </c>
      <c r="Y134" s="474">
        <f t="shared" si="86"/>
        <v>0</v>
      </c>
      <c r="Z134" s="475">
        <f t="shared" si="87"/>
        <v>0</v>
      </c>
      <c r="AA134" s="475">
        <v>0</v>
      </c>
      <c r="AB134" s="476">
        <v>0</v>
      </c>
      <c r="AC134" s="38">
        <f t="shared" si="88"/>
        <v>0</v>
      </c>
      <c r="AD134" s="692">
        <f t="shared" si="82"/>
        <v>-10000</v>
      </c>
      <c r="AE134" s="692">
        <f t="shared" si="83"/>
        <v>0</v>
      </c>
      <c r="AF134" s="692">
        <f t="shared" si="84"/>
        <v>0</v>
      </c>
      <c r="AG134" s="38"/>
      <c r="AH134" s="692">
        <f t="shared" si="89"/>
        <v>15000</v>
      </c>
      <c r="AI134" s="692">
        <f t="shared" si="90"/>
        <v>0</v>
      </c>
      <c r="AJ134" s="692">
        <f t="shared" si="91"/>
        <v>0</v>
      </c>
      <c r="AL134" s="38">
        <f t="shared" si="92"/>
        <v>5000</v>
      </c>
    </row>
    <row r="135" spans="1:38" s="232" customFormat="1" hidden="1">
      <c r="A135" s="283"/>
      <c r="B135" s="283" t="s">
        <v>110</v>
      </c>
      <c r="C135" s="667" t="s">
        <v>555</v>
      </c>
      <c r="D135" s="123" t="s">
        <v>193</v>
      </c>
      <c r="E135" s="679"/>
      <c r="F135" s="529">
        <f>VLOOKUP(D135,'Aug 2013 Revenue'!D:V,19,FALSE)</f>
        <v>0</v>
      </c>
      <c r="G135" s="680"/>
      <c r="H135" s="680"/>
      <c r="I135" s="755"/>
      <c r="J135" s="682">
        <f t="shared" si="81"/>
        <v>0</v>
      </c>
      <c r="K135" s="683"/>
      <c r="L135" s="684"/>
      <c r="M135" s="753"/>
      <c r="N135" s="683">
        <v>0</v>
      </c>
      <c r="O135" s="686"/>
      <c r="P135" s="683">
        <v>0</v>
      </c>
      <c r="Q135" s="687">
        <f t="shared" si="1"/>
        <v>0</v>
      </c>
      <c r="R135" s="687"/>
      <c r="S135" s="687"/>
      <c r="T135" s="688">
        <v>0</v>
      </c>
      <c r="U135" s="693"/>
      <c r="V135" s="690">
        <f t="shared" si="80"/>
        <v>0</v>
      </c>
      <c r="W135" s="683"/>
      <c r="X135" s="474">
        <f t="shared" si="85"/>
        <v>0</v>
      </c>
      <c r="Y135" s="474">
        <f t="shared" si="86"/>
        <v>0</v>
      </c>
      <c r="Z135" s="475">
        <f t="shared" si="87"/>
        <v>0</v>
      </c>
      <c r="AA135" s="475">
        <v>0</v>
      </c>
      <c r="AB135" s="476">
        <v>0</v>
      </c>
      <c r="AC135" s="38">
        <f t="shared" si="88"/>
        <v>0</v>
      </c>
      <c r="AD135" s="692">
        <f t="shared" si="82"/>
        <v>0</v>
      </c>
      <c r="AE135" s="692">
        <f t="shared" si="83"/>
        <v>0</v>
      </c>
      <c r="AF135" s="692">
        <f t="shared" si="84"/>
        <v>0</v>
      </c>
      <c r="AG135" s="38"/>
      <c r="AH135" s="692">
        <f t="shared" si="89"/>
        <v>0</v>
      </c>
      <c r="AI135" s="692">
        <f t="shared" si="90"/>
        <v>0</v>
      </c>
      <c r="AJ135" s="692">
        <f t="shared" si="91"/>
        <v>0</v>
      </c>
      <c r="AL135" s="38">
        <f t="shared" si="92"/>
        <v>0</v>
      </c>
    </row>
    <row r="136" spans="1:38" s="232" customFormat="1" hidden="1">
      <c r="A136" s="283"/>
      <c r="B136" s="283" t="s">
        <v>110</v>
      </c>
      <c r="C136" s="667" t="s">
        <v>555</v>
      </c>
      <c r="D136" s="123" t="s">
        <v>194</v>
      </c>
      <c r="E136" s="679"/>
      <c r="F136" s="529">
        <f>VLOOKUP(D136,'Aug 2013 Revenue'!D:V,19,FALSE)</f>
        <v>0</v>
      </c>
      <c r="G136" s="680"/>
      <c r="H136" s="680"/>
      <c r="I136" s="755"/>
      <c r="J136" s="682">
        <f t="shared" si="81"/>
        <v>0</v>
      </c>
      <c r="K136" s="683"/>
      <c r="L136" s="684"/>
      <c r="M136" s="753"/>
      <c r="N136" s="683">
        <v>0</v>
      </c>
      <c r="O136" s="686"/>
      <c r="P136" s="683">
        <v>0</v>
      </c>
      <c r="Q136" s="687">
        <f t="shared" si="1"/>
        <v>0</v>
      </c>
      <c r="R136" s="687"/>
      <c r="S136" s="687"/>
      <c r="T136" s="688">
        <v>0</v>
      </c>
      <c r="U136" s="693"/>
      <c r="V136" s="690">
        <f t="shared" si="80"/>
        <v>0</v>
      </c>
      <c r="W136" s="683"/>
      <c r="X136" s="474">
        <f t="shared" si="85"/>
        <v>0</v>
      </c>
      <c r="Y136" s="474">
        <f t="shared" si="86"/>
        <v>0</v>
      </c>
      <c r="Z136" s="475">
        <f t="shared" si="87"/>
        <v>0</v>
      </c>
      <c r="AA136" s="475">
        <v>0</v>
      </c>
      <c r="AB136" s="476">
        <v>0</v>
      </c>
      <c r="AC136" s="38">
        <f t="shared" si="88"/>
        <v>0</v>
      </c>
      <c r="AD136" s="692">
        <f t="shared" si="82"/>
        <v>0</v>
      </c>
      <c r="AE136" s="692">
        <f t="shared" si="83"/>
        <v>0</v>
      </c>
      <c r="AF136" s="692">
        <f t="shared" si="84"/>
        <v>0</v>
      </c>
      <c r="AG136" s="38"/>
      <c r="AH136" s="692">
        <f t="shared" si="89"/>
        <v>0</v>
      </c>
      <c r="AI136" s="692">
        <f t="shared" si="90"/>
        <v>0</v>
      </c>
      <c r="AJ136" s="692">
        <f t="shared" si="91"/>
        <v>0</v>
      </c>
      <c r="AL136" s="38">
        <f t="shared" si="92"/>
        <v>0</v>
      </c>
    </row>
    <row r="137" spans="1:38" s="232" customFormat="1" hidden="1">
      <c r="A137" s="283"/>
      <c r="B137" s="283" t="s">
        <v>110</v>
      </c>
      <c r="C137" s="667" t="s">
        <v>555</v>
      </c>
      <c r="D137" s="123" t="s">
        <v>195</v>
      </c>
      <c r="E137" s="679"/>
      <c r="F137" s="529">
        <f>VLOOKUP(D137,'Aug 2013 Revenue'!D:V,19,FALSE)</f>
        <v>0</v>
      </c>
      <c r="G137" s="680"/>
      <c r="H137" s="680"/>
      <c r="I137" s="755"/>
      <c r="J137" s="682">
        <f t="shared" si="81"/>
        <v>0</v>
      </c>
      <c r="K137" s="683"/>
      <c r="L137" s="684"/>
      <c r="M137" s="753"/>
      <c r="N137" s="683">
        <v>0</v>
      </c>
      <c r="O137" s="686"/>
      <c r="P137" s="683">
        <v>0</v>
      </c>
      <c r="Q137" s="687">
        <f t="shared" si="1"/>
        <v>0</v>
      </c>
      <c r="R137" s="687"/>
      <c r="S137" s="687"/>
      <c r="T137" s="688">
        <v>0</v>
      </c>
      <c r="U137" s="693"/>
      <c r="V137" s="690">
        <f t="shared" si="80"/>
        <v>0</v>
      </c>
      <c r="W137" s="683"/>
      <c r="X137" s="474">
        <f t="shared" si="85"/>
        <v>0</v>
      </c>
      <c r="Y137" s="474">
        <f t="shared" si="86"/>
        <v>0</v>
      </c>
      <c r="Z137" s="475">
        <f t="shared" si="87"/>
        <v>0</v>
      </c>
      <c r="AA137" s="475">
        <v>0</v>
      </c>
      <c r="AB137" s="476">
        <v>0</v>
      </c>
      <c r="AC137" s="38">
        <f t="shared" si="88"/>
        <v>0</v>
      </c>
      <c r="AD137" s="692">
        <f t="shared" si="82"/>
        <v>0</v>
      </c>
      <c r="AE137" s="692">
        <f t="shared" si="83"/>
        <v>0</v>
      </c>
      <c r="AF137" s="692">
        <f t="shared" si="84"/>
        <v>0</v>
      </c>
      <c r="AG137" s="38"/>
      <c r="AH137" s="692">
        <f t="shared" si="89"/>
        <v>0</v>
      </c>
      <c r="AI137" s="692">
        <f t="shared" si="90"/>
        <v>0</v>
      </c>
      <c r="AJ137" s="692">
        <f t="shared" si="91"/>
        <v>0</v>
      </c>
      <c r="AL137" s="38">
        <f t="shared" si="92"/>
        <v>0</v>
      </c>
    </row>
    <row r="138" spans="1:38" s="232" customFormat="1" hidden="1">
      <c r="A138" s="283"/>
      <c r="B138" s="283" t="s">
        <v>110</v>
      </c>
      <c r="C138" s="667" t="s">
        <v>555</v>
      </c>
      <c r="D138" s="123" t="s">
        <v>196</v>
      </c>
      <c r="E138" s="679"/>
      <c r="F138" s="529">
        <f>VLOOKUP(D138,'Aug 2013 Revenue'!D:V,19,FALSE)</f>
        <v>0</v>
      </c>
      <c r="G138" s="680"/>
      <c r="H138" s="680"/>
      <c r="I138" s="755"/>
      <c r="J138" s="682">
        <f t="shared" si="81"/>
        <v>0</v>
      </c>
      <c r="K138" s="683"/>
      <c r="L138" s="684"/>
      <c r="M138" s="753"/>
      <c r="N138" s="683">
        <v>0</v>
      </c>
      <c r="O138" s="686"/>
      <c r="P138" s="683">
        <v>0</v>
      </c>
      <c r="Q138" s="687">
        <f t="shared" si="1"/>
        <v>0</v>
      </c>
      <c r="R138" s="687"/>
      <c r="S138" s="687"/>
      <c r="T138" s="688">
        <v>0</v>
      </c>
      <c r="U138" s="693"/>
      <c r="V138" s="690">
        <f t="shared" si="80"/>
        <v>0</v>
      </c>
      <c r="W138" s="683"/>
      <c r="X138" s="474">
        <f t="shared" si="85"/>
        <v>0</v>
      </c>
      <c r="Y138" s="474">
        <f t="shared" si="86"/>
        <v>0</v>
      </c>
      <c r="Z138" s="475">
        <f t="shared" si="87"/>
        <v>0</v>
      </c>
      <c r="AA138" s="475">
        <v>0</v>
      </c>
      <c r="AB138" s="476">
        <v>0</v>
      </c>
      <c r="AC138" s="38">
        <f t="shared" si="88"/>
        <v>0</v>
      </c>
      <c r="AD138" s="692">
        <f t="shared" si="82"/>
        <v>0</v>
      </c>
      <c r="AE138" s="692">
        <f t="shared" si="83"/>
        <v>0</v>
      </c>
      <c r="AF138" s="692">
        <f t="shared" si="84"/>
        <v>0</v>
      </c>
      <c r="AG138" s="38"/>
      <c r="AH138" s="692">
        <f t="shared" si="89"/>
        <v>0</v>
      </c>
      <c r="AI138" s="692">
        <f t="shared" si="90"/>
        <v>0</v>
      </c>
      <c r="AJ138" s="692">
        <f t="shared" si="91"/>
        <v>0</v>
      </c>
      <c r="AL138" s="38">
        <f t="shared" si="92"/>
        <v>0</v>
      </c>
    </row>
    <row r="139" spans="1:38" s="232" customFormat="1" hidden="1">
      <c r="A139" s="283"/>
      <c r="B139" s="283" t="s">
        <v>110</v>
      </c>
      <c r="C139" s="667" t="s">
        <v>555</v>
      </c>
      <c r="D139" s="123" t="s">
        <v>197</v>
      </c>
      <c r="E139" s="679"/>
      <c r="F139" s="529">
        <f>VLOOKUP(D139,'Aug 2013 Revenue'!D:V,19,FALSE)</f>
        <v>0</v>
      </c>
      <c r="G139" s="680"/>
      <c r="H139" s="680"/>
      <c r="I139" s="755"/>
      <c r="J139" s="682">
        <f t="shared" si="81"/>
        <v>0</v>
      </c>
      <c r="K139" s="683"/>
      <c r="L139" s="684"/>
      <c r="M139" s="753"/>
      <c r="N139" s="683">
        <v>0</v>
      </c>
      <c r="O139" s="686"/>
      <c r="P139" s="683">
        <v>0</v>
      </c>
      <c r="Q139" s="687">
        <f t="shared" si="1"/>
        <v>0</v>
      </c>
      <c r="R139" s="687"/>
      <c r="S139" s="687"/>
      <c r="T139" s="688">
        <v>0</v>
      </c>
      <c r="U139" s="693"/>
      <c r="V139" s="690">
        <f t="shared" si="80"/>
        <v>0</v>
      </c>
      <c r="W139" s="683"/>
      <c r="X139" s="474">
        <f t="shared" si="85"/>
        <v>0</v>
      </c>
      <c r="Y139" s="474">
        <f t="shared" si="86"/>
        <v>0</v>
      </c>
      <c r="Z139" s="475">
        <f t="shared" si="87"/>
        <v>0</v>
      </c>
      <c r="AA139" s="475">
        <v>0</v>
      </c>
      <c r="AB139" s="476">
        <v>0</v>
      </c>
      <c r="AC139" s="38">
        <f t="shared" si="88"/>
        <v>0</v>
      </c>
      <c r="AD139" s="692">
        <f t="shared" si="82"/>
        <v>0</v>
      </c>
      <c r="AE139" s="692">
        <f t="shared" si="83"/>
        <v>0</v>
      </c>
      <c r="AF139" s="692">
        <f t="shared" si="84"/>
        <v>0</v>
      </c>
      <c r="AG139" s="38"/>
      <c r="AH139" s="692">
        <f t="shared" si="89"/>
        <v>0</v>
      </c>
      <c r="AI139" s="692">
        <f t="shared" si="90"/>
        <v>0</v>
      </c>
      <c r="AJ139" s="692">
        <f t="shared" si="91"/>
        <v>0</v>
      </c>
      <c r="AL139" s="38">
        <f t="shared" si="92"/>
        <v>0</v>
      </c>
    </row>
    <row r="140" spans="1:38" s="232" customFormat="1" hidden="1">
      <c r="A140" s="283"/>
      <c r="B140" s="283" t="s">
        <v>110</v>
      </c>
      <c r="C140" s="667" t="s">
        <v>555</v>
      </c>
      <c r="D140" s="123" t="s">
        <v>440</v>
      </c>
      <c r="E140" s="679"/>
      <c r="F140" s="529">
        <f>VLOOKUP(D140,'Aug 2013 Revenue'!D:V,19,FALSE)</f>
        <v>0</v>
      </c>
      <c r="G140" s="680"/>
      <c r="H140" s="680"/>
      <c r="I140" s="755"/>
      <c r="J140" s="682">
        <f t="shared" si="81"/>
        <v>0</v>
      </c>
      <c r="K140" s="683"/>
      <c r="L140" s="684"/>
      <c r="M140" s="753"/>
      <c r="N140" s="683">
        <v>0</v>
      </c>
      <c r="O140" s="686"/>
      <c r="P140" s="683">
        <v>0</v>
      </c>
      <c r="Q140" s="687">
        <f t="shared" si="1"/>
        <v>0</v>
      </c>
      <c r="R140" s="687"/>
      <c r="S140" s="687"/>
      <c r="T140" s="688">
        <v>0</v>
      </c>
      <c r="U140" s="693"/>
      <c r="V140" s="690">
        <f t="shared" si="80"/>
        <v>0</v>
      </c>
      <c r="W140" s="683"/>
      <c r="X140" s="474">
        <f t="shared" si="85"/>
        <v>0</v>
      </c>
      <c r="Y140" s="474">
        <f t="shared" si="86"/>
        <v>0</v>
      </c>
      <c r="Z140" s="475">
        <f t="shared" si="87"/>
        <v>0</v>
      </c>
      <c r="AA140" s="475">
        <v>0</v>
      </c>
      <c r="AB140" s="476">
        <v>0</v>
      </c>
      <c r="AC140" s="38">
        <f t="shared" si="88"/>
        <v>0</v>
      </c>
      <c r="AD140" s="692">
        <f t="shared" si="82"/>
        <v>0</v>
      </c>
      <c r="AE140" s="692">
        <f t="shared" si="83"/>
        <v>0</v>
      </c>
      <c r="AF140" s="692">
        <f t="shared" si="84"/>
        <v>0</v>
      </c>
      <c r="AG140" s="38"/>
      <c r="AH140" s="692">
        <f t="shared" si="89"/>
        <v>0</v>
      </c>
      <c r="AI140" s="692">
        <f t="shared" si="90"/>
        <v>0</v>
      </c>
      <c r="AJ140" s="692">
        <f t="shared" si="91"/>
        <v>0</v>
      </c>
      <c r="AL140" s="38">
        <f t="shared" si="92"/>
        <v>0</v>
      </c>
    </row>
    <row r="141" spans="1:38" s="232" customFormat="1">
      <c r="A141" s="283"/>
      <c r="B141" s="283" t="s">
        <v>110</v>
      </c>
      <c r="C141" s="667" t="s">
        <v>555</v>
      </c>
      <c r="D141" s="123" t="s">
        <v>481</v>
      </c>
      <c r="E141" s="679"/>
      <c r="F141" s="529">
        <f>VLOOKUP(D141,'Aug 2013 Revenue'!D:V,19,FALSE)</f>
        <v>0</v>
      </c>
      <c r="G141" s="680"/>
      <c r="H141" s="680"/>
      <c r="I141" s="755"/>
      <c r="J141" s="682">
        <f t="shared" si="81"/>
        <v>0</v>
      </c>
      <c r="K141" s="683"/>
      <c r="L141" s="684"/>
      <c r="M141" s="753"/>
      <c r="N141" s="683">
        <v>0</v>
      </c>
      <c r="O141" s="686"/>
      <c r="P141" s="683">
        <v>0</v>
      </c>
      <c r="Q141" s="687">
        <f t="shared" si="1"/>
        <v>0</v>
      </c>
      <c r="R141" s="687"/>
      <c r="S141" s="687"/>
      <c r="T141" s="688">
        <v>0</v>
      </c>
      <c r="U141" s="693"/>
      <c r="V141" s="690">
        <f t="shared" si="80"/>
        <v>0</v>
      </c>
      <c r="W141" s="683"/>
      <c r="X141" s="474">
        <f t="shared" si="85"/>
        <v>0</v>
      </c>
      <c r="Y141" s="474">
        <f t="shared" si="86"/>
        <v>0</v>
      </c>
      <c r="Z141" s="475">
        <f t="shared" si="87"/>
        <v>0</v>
      </c>
      <c r="AA141" s="475">
        <v>0</v>
      </c>
      <c r="AB141" s="476">
        <v>0</v>
      </c>
      <c r="AC141" s="38">
        <f t="shared" si="88"/>
        <v>0</v>
      </c>
      <c r="AD141" s="692">
        <f t="shared" si="82"/>
        <v>0</v>
      </c>
      <c r="AE141" s="692">
        <f t="shared" si="83"/>
        <v>0</v>
      </c>
      <c r="AF141" s="692">
        <f t="shared" si="84"/>
        <v>0</v>
      </c>
      <c r="AG141" s="38"/>
      <c r="AH141" s="692">
        <f t="shared" si="89"/>
        <v>0</v>
      </c>
      <c r="AI141" s="692">
        <f t="shared" si="90"/>
        <v>0</v>
      </c>
      <c r="AJ141" s="692">
        <f t="shared" si="91"/>
        <v>0</v>
      </c>
      <c r="AL141" s="38">
        <f t="shared" si="92"/>
        <v>0</v>
      </c>
    </row>
    <row r="142" spans="1:38" s="232" customFormat="1">
      <c r="A142" s="283"/>
      <c r="B142" s="283" t="s">
        <v>109</v>
      </c>
      <c r="C142" s="667" t="s">
        <v>555</v>
      </c>
      <c r="D142" s="123" t="s">
        <v>248</v>
      </c>
      <c r="E142" s="679"/>
      <c r="F142" s="529">
        <f>VLOOKUP(D142,'Aug 2013 Revenue'!D:V,19,FALSE)</f>
        <v>0</v>
      </c>
      <c r="G142" s="680"/>
      <c r="H142" s="680"/>
      <c r="I142" s="755"/>
      <c r="J142" s="682">
        <f t="shared" si="81"/>
        <v>0</v>
      </c>
      <c r="K142" s="683"/>
      <c r="L142" s="684"/>
      <c r="M142" s="753"/>
      <c r="N142" s="683">
        <v>0</v>
      </c>
      <c r="O142" s="686"/>
      <c r="P142" s="683">
        <v>0</v>
      </c>
      <c r="Q142" s="687">
        <f t="shared" si="1"/>
        <v>0</v>
      </c>
      <c r="R142" s="687"/>
      <c r="S142" s="687"/>
      <c r="T142" s="688">
        <v>0</v>
      </c>
      <c r="U142" s="693"/>
      <c r="V142" s="690">
        <f t="shared" si="80"/>
        <v>0</v>
      </c>
      <c r="W142" s="683"/>
      <c r="X142" s="474">
        <f t="shared" si="85"/>
        <v>0</v>
      </c>
      <c r="Y142" s="474">
        <f t="shared" si="86"/>
        <v>0</v>
      </c>
      <c r="Z142" s="475">
        <f t="shared" si="87"/>
        <v>0</v>
      </c>
      <c r="AA142" s="475">
        <v>0</v>
      </c>
      <c r="AB142" s="476">
        <v>0</v>
      </c>
      <c r="AC142" s="38">
        <f t="shared" si="88"/>
        <v>0</v>
      </c>
      <c r="AD142" s="692">
        <f t="shared" si="82"/>
        <v>0</v>
      </c>
      <c r="AE142" s="692">
        <f t="shared" si="83"/>
        <v>0</v>
      </c>
      <c r="AF142" s="692">
        <f t="shared" si="84"/>
        <v>0</v>
      </c>
      <c r="AG142" s="38"/>
      <c r="AH142" s="692">
        <f t="shared" si="89"/>
        <v>0</v>
      </c>
      <c r="AI142" s="692">
        <f t="shared" si="90"/>
        <v>0</v>
      </c>
      <c r="AJ142" s="692">
        <f t="shared" si="91"/>
        <v>0</v>
      </c>
      <c r="AL142" s="38">
        <f t="shared" si="92"/>
        <v>0</v>
      </c>
    </row>
    <row r="143" spans="1:38" s="232" customFormat="1">
      <c r="A143" s="283"/>
      <c r="B143" s="20" t="s">
        <v>109</v>
      </c>
      <c r="C143" s="667"/>
      <c r="D143" s="68" t="s">
        <v>465</v>
      </c>
      <c r="E143" s="679"/>
      <c r="F143" s="529">
        <f>VLOOKUP(D143,'Aug 2013 Revenue'!D:V,19,FALSE)</f>
        <v>-12000</v>
      </c>
      <c r="G143" s="680"/>
      <c r="H143" s="680"/>
      <c r="I143" s="755"/>
      <c r="J143" s="682">
        <f t="shared" si="81"/>
        <v>-12000</v>
      </c>
      <c r="K143" s="683"/>
      <c r="L143" s="684"/>
      <c r="M143" s="753">
        <v>14000</v>
      </c>
      <c r="N143" s="683">
        <v>0</v>
      </c>
      <c r="O143" s="686"/>
      <c r="P143" s="683">
        <v>0</v>
      </c>
      <c r="Q143" s="687">
        <f t="shared" si="1"/>
        <v>14000</v>
      </c>
      <c r="R143" s="687"/>
      <c r="S143" s="687"/>
      <c r="T143" s="688">
        <v>0</v>
      </c>
      <c r="U143" s="693"/>
      <c r="V143" s="690">
        <f t="shared" si="80"/>
        <v>-14000</v>
      </c>
      <c r="W143" s="683"/>
      <c r="X143" s="474">
        <f t="shared" si="85"/>
        <v>0</v>
      </c>
      <c r="Y143" s="474">
        <f t="shared" si="86"/>
        <v>14000</v>
      </c>
      <c r="Z143" s="475">
        <f t="shared" si="87"/>
        <v>0</v>
      </c>
      <c r="AA143" s="475">
        <v>0</v>
      </c>
      <c r="AB143" s="476">
        <v>0</v>
      </c>
      <c r="AC143" s="38">
        <f t="shared" si="88"/>
        <v>0</v>
      </c>
      <c r="AD143" s="692">
        <f t="shared" si="82"/>
        <v>0</v>
      </c>
      <c r="AE143" s="692">
        <f t="shared" si="83"/>
        <v>-12000</v>
      </c>
      <c r="AF143" s="692">
        <f t="shared" si="84"/>
        <v>0</v>
      </c>
      <c r="AG143" s="38"/>
      <c r="AH143" s="692">
        <f t="shared" si="89"/>
        <v>0</v>
      </c>
      <c r="AI143" s="692">
        <f t="shared" si="90"/>
        <v>14000</v>
      </c>
      <c r="AJ143" s="692">
        <f t="shared" si="91"/>
        <v>0</v>
      </c>
      <c r="AL143" s="38">
        <f t="shared" si="92"/>
        <v>2000</v>
      </c>
    </row>
    <row r="144" spans="1:38">
      <c r="A144" s="21"/>
      <c r="B144" s="21" t="s">
        <v>110</v>
      </c>
      <c r="C144" s="666" t="s">
        <v>556</v>
      </c>
      <c r="D144" s="68" t="s">
        <v>261</v>
      </c>
      <c r="E144" s="679"/>
      <c r="F144" s="529">
        <f>VLOOKUP(D144,'Aug 2013 Revenue'!D:V,19,FALSE)</f>
        <v>1257.6000000000349</v>
      </c>
      <c r="G144" s="680"/>
      <c r="H144" s="680"/>
      <c r="I144" s="755"/>
      <c r="J144" s="682">
        <f t="shared" si="81"/>
        <v>1257.6000000000349</v>
      </c>
      <c r="K144" s="683"/>
      <c r="L144" s="684"/>
      <c r="M144" s="753">
        <v>285000</v>
      </c>
      <c r="N144" s="683">
        <v>0</v>
      </c>
      <c r="O144" s="686"/>
      <c r="P144" s="683">
        <v>0</v>
      </c>
      <c r="Q144" s="687">
        <f t="shared" si="1"/>
        <v>285000</v>
      </c>
      <c r="R144" s="687"/>
      <c r="S144" s="687"/>
      <c r="T144" s="688">
        <f>280300.63-T145</f>
        <v>262759.91000000003</v>
      </c>
      <c r="U144" s="693"/>
      <c r="V144" s="690">
        <f t="shared" si="80"/>
        <v>-22240.089999999967</v>
      </c>
      <c r="W144" s="683"/>
      <c r="X144" s="474">
        <f t="shared" si="85"/>
        <v>285000</v>
      </c>
      <c r="Y144" s="474">
        <f t="shared" si="86"/>
        <v>0</v>
      </c>
      <c r="Z144" s="475">
        <f t="shared" si="87"/>
        <v>0</v>
      </c>
      <c r="AA144" s="475">
        <v>0</v>
      </c>
      <c r="AB144" s="476">
        <v>0</v>
      </c>
      <c r="AC144" s="38">
        <f t="shared" si="88"/>
        <v>0</v>
      </c>
      <c r="AD144" s="692">
        <f t="shared" si="82"/>
        <v>1257.6000000000349</v>
      </c>
      <c r="AE144" s="692">
        <f t="shared" si="83"/>
        <v>0</v>
      </c>
      <c r="AF144" s="692">
        <f t="shared" si="84"/>
        <v>0</v>
      </c>
      <c r="AG144" s="38"/>
      <c r="AH144" s="692">
        <f t="shared" si="89"/>
        <v>285000</v>
      </c>
      <c r="AI144" s="692">
        <f t="shared" si="90"/>
        <v>0</v>
      </c>
      <c r="AJ144" s="692">
        <f t="shared" si="91"/>
        <v>0</v>
      </c>
      <c r="AL144" s="38">
        <f t="shared" si="92"/>
        <v>286257.60000000003</v>
      </c>
    </row>
    <row r="145" spans="1:38" s="269" customFormat="1">
      <c r="A145" s="21"/>
      <c r="B145" s="21" t="s">
        <v>110</v>
      </c>
      <c r="C145" s="666" t="s">
        <v>556</v>
      </c>
      <c r="D145" s="68" t="s">
        <v>262</v>
      </c>
      <c r="E145" s="679"/>
      <c r="F145" s="529">
        <f>VLOOKUP(D145,'Aug 2013 Revenue'!D:V,19,FALSE)</f>
        <v>-2326.0800000000017</v>
      </c>
      <c r="G145" s="680"/>
      <c r="H145" s="680"/>
      <c r="I145" s="755"/>
      <c r="J145" s="682">
        <f t="shared" si="81"/>
        <v>-2326.0800000000017</v>
      </c>
      <c r="K145" s="683"/>
      <c r="L145" s="684"/>
      <c r="M145" s="753">
        <v>20000</v>
      </c>
      <c r="N145" s="683">
        <v>0</v>
      </c>
      <c r="O145" s="686"/>
      <c r="P145" s="683">
        <v>0</v>
      </c>
      <c r="Q145" s="687">
        <f t="shared" si="1"/>
        <v>20000</v>
      </c>
      <c r="R145" s="687"/>
      <c r="S145" s="687"/>
      <c r="T145" s="688">
        <v>17540.72</v>
      </c>
      <c r="U145" s="693"/>
      <c r="V145" s="690">
        <f t="shared" si="80"/>
        <v>-2459.2799999999988</v>
      </c>
      <c r="W145" s="683"/>
      <c r="X145" s="474">
        <f t="shared" si="85"/>
        <v>20000</v>
      </c>
      <c r="Y145" s="474">
        <f t="shared" si="86"/>
        <v>0</v>
      </c>
      <c r="Z145" s="475">
        <f t="shared" si="87"/>
        <v>0</v>
      </c>
      <c r="AA145" s="475">
        <v>0</v>
      </c>
      <c r="AB145" s="476">
        <v>0</v>
      </c>
      <c r="AC145" s="38">
        <f t="shared" si="88"/>
        <v>0</v>
      </c>
      <c r="AD145" s="692">
        <f t="shared" si="82"/>
        <v>-2326.0800000000017</v>
      </c>
      <c r="AE145" s="692">
        <f t="shared" si="83"/>
        <v>0</v>
      </c>
      <c r="AF145" s="692">
        <f t="shared" si="84"/>
        <v>0</v>
      </c>
      <c r="AG145" s="38"/>
      <c r="AH145" s="692">
        <f t="shared" si="89"/>
        <v>20000</v>
      </c>
      <c r="AI145" s="692">
        <f t="shared" si="90"/>
        <v>0</v>
      </c>
      <c r="AJ145" s="692">
        <f t="shared" si="91"/>
        <v>0</v>
      </c>
      <c r="AL145" s="38">
        <f t="shared" si="92"/>
        <v>17673.919999999998</v>
      </c>
    </row>
    <row r="146" spans="1:38" s="269" customFormat="1">
      <c r="A146" s="21"/>
      <c r="B146" s="21" t="s">
        <v>114</v>
      </c>
      <c r="C146" s="675" t="s">
        <v>619</v>
      </c>
      <c r="D146" s="68" t="s">
        <v>626</v>
      </c>
      <c r="E146" s="679"/>
      <c r="F146" s="529">
        <f>VLOOKUP(D146,'Aug 2013 Revenue'!D:V,19,FALSE)</f>
        <v>3702.8</v>
      </c>
      <c r="G146" s="680"/>
      <c r="H146" s="680"/>
      <c r="I146" s="755"/>
      <c r="J146" s="682">
        <f t="shared" si="81"/>
        <v>3702.8</v>
      </c>
      <c r="K146" s="683"/>
      <c r="L146" s="684"/>
      <c r="M146" s="753"/>
      <c r="N146" s="683">
        <v>0</v>
      </c>
      <c r="O146" s="686"/>
      <c r="P146" s="683">
        <v>0</v>
      </c>
      <c r="Q146" s="687">
        <f t="shared" ref="Q146:Q213" si="124">L146+M146</f>
        <v>0</v>
      </c>
      <c r="R146" s="687"/>
      <c r="S146" s="687"/>
      <c r="T146" s="688">
        <v>0</v>
      </c>
      <c r="U146" s="693"/>
      <c r="V146" s="690">
        <f t="shared" si="80"/>
        <v>0</v>
      </c>
      <c r="W146" s="683"/>
      <c r="X146" s="474">
        <f t="shared" si="85"/>
        <v>0</v>
      </c>
      <c r="Y146" s="474">
        <f t="shared" si="86"/>
        <v>0</v>
      </c>
      <c r="Z146" s="475">
        <f t="shared" si="87"/>
        <v>0</v>
      </c>
      <c r="AA146" s="475">
        <v>0</v>
      </c>
      <c r="AB146" s="476">
        <v>0</v>
      </c>
      <c r="AC146" s="38">
        <f t="shared" si="88"/>
        <v>0</v>
      </c>
      <c r="AD146" s="692">
        <f t="shared" si="82"/>
        <v>0</v>
      </c>
      <c r="AE146" s="692">
        <f t="shared" si="83"/>
        <v>0</v>
      </c>
      <c r="AF146" s="692">
        <f t="shared" si="84"/>
        <v>3702.8</v>
      </c>
      <c r="AG146" s="38"/>
      <c r="AH146" s="692">
        <f t="shared" si="89"/>
        <v>0</v>
      </c>
      <c r="AI146" s="692">
        <f t="shared" si="90"/>
        <v>0</v>
      </c>
      <c r="AJ146" s="692">
        <f t="shared" si="91"/>
        <v>0</v>
      </c>
      <c r="AL146" s="38">
        <f t="shared" si="92"/>
        <v>3702.8</v>
      </c>
    </row>
    <row r="147" spans="1:38">
      <c r="A147" s="21"/>
      <c r="B147" s="21" t="s">
        <v>109</v>
      </c>
      <c r="C147" s="666"/>
      <c r="D147" s="68" t="s">
        <v>396</v>
      </c>
      <c r="E147" s="679"/>
      <c r="F147" s="529">
        <f>VLOOKUP(D147,'Aug 2013 Revenue'!D:V,19,FALSE)</f>
        <v>2.7</v>
      </c>
      <c r="G147" s="680"/>
      <c r="H147" s="680"/>
      <c r="I147" s="755"/>
      <c r="J147" s="682">
        <f t="shared" si="81"/>
        <v>2.7</v>
      </c>
      <c r="K147" s="683"/>
      <c r="L147" s="684"/>
      <c r="M147" s="753"/>
      <c r="N147" s="683">
        <v>0</v>
      </c>
      <c r="O147" s="686"/>
      <c r="P147" s="683">
        <v>0</v>
      </c>
      <c r="Q147" s="687">
        <f t="shared" si="124"/>
        <v>0</v>
      </c>
      <c r="R147" s="687"/>
      <c r="S147" s="687"/>
      <c r="T147" s="688">
        <v>0</v>
      </c>
      <c r="U147" s="693"/>
      <c r="V147" s="690">
        <f t="shared" si="80"/>
        <v>0</v>
      </c>
      <c r="W147" s="683"/>
      <c r="X147" s="474">
        <f t="shared" si="85"/>
        <v>0</v>
      </c>
      <c r="Y147" s="474">
        <f t="shared" si="86"/>
        <v>0</v>
      </c>
      <c r="Z147" s="475">
        <f t="shared" si="87"/>
        <v>0</v>
      </c>
      <c r="AA147" s="475">
        <v>0</v>
      </c>
      <c r="AB147" s="476">
        <v>0</v>
      </c>
      <c r="AC147" s="38">
        <f t="shared" si="88"/>
        <v>0</v>
      </c>
      <c r="AD147" s="692">
        <f t="shared" si="82"/>
        <v>0</v>
      </c>
      <c r="AE147" s="692">
        <f t="shared" si="83"/>
        <v>2.7</v>
      </c>
      <c r="AF147" s="692">
        <f t="shared" si="84"/>
        <v>0</v>
      </c>
      <c r="AG147" s="38"/>
      <c r="AH147" s="692">
        <f t="shared" si="89"/>
        <v>0</v>
      </c>
      <c r="AI147" s="692">
        <f t="shared" si="90"/>
        <v>0</v>
      </c>
      <c r="AJ147" s="692">
        <f t="shared" si="91"/>
        <v>0</v>
      </c>
      <c r="AL147" s="38">
        <f t="shared" si="92"/>
        <v>2.7</v>
      </c>
    </row>
    <row r="148" spans="1:38">
      <c r="A148" s="20"/>
      <c r="B148" s="20" t="s">
        <v>109</v>
      </c>
      <c r="C148" s="667" t="s">
        <v>557</v>
      </c>
      <c r="D148" s="68" t="s">
        <v>32</v>
      </c>
      <c r="E148" s="679"/>
      <c r="F148" s="529">
        <f>VLOOKUP(D148,'Aug 2013 Revenue'!D:V,19,FALSE)</f>
        <v>0</v>
      </c>
      <c r="G148" s="680"/>
      <c r="H148" s="680"/>
      <c r="I148" s="755"/>
      <c r="J148" s="682">
        <f t="shared" si="81"/>
        <v>0</v>
      </c>
      <c r="K148" s="683"/>
      <c r="L148" s="684"/>
      <c r="M148" s="753"/>
      <c r="N148" s="683">
        <v>0</v>
      </c>
      <c r="O148" s="686"/>
      <c r="P148" s="683">
        <v>0</v>
      </c>
      <c r="Q148" s="687">
        <f t="shared" si="124"/>
        <v>0</v>
      </c>
      <c r="R148" s="687"/>
      <c r="S148" s="687"/>
      <c r="T148" s="688">
        <v>41.2</v>
      </c>
      <c r="U148" s="693"/>
      <c r="V148" s="690">
        <f t="shared" ref="V148:V207" si="125">IF(T148="","",T148-Q148)</f>
        <v>41.2</v>
      </c>
      <c r="W148" s="683"/>
      <c r="X148" s="474">
        <f t="shared" si="85"/>
        <v>0</v>
      </c>
      <c r="Y148" s="474">
        <f t="shared" si="86"/>
        <v>0</v>
      </c>
      <c r="Z148" s="475">
        <f t="shared" si="87"/>
        <v>0</v>
      </c>
      <c r="AA148" s="475">
        <v>0</v>
      </c>
      <c r="AB148" s="476">
        <v>0</v>
      </c>
      <c r="AC148" s="38">
        <f t="shared" si="88"/>
        <v>0</v>
      </c>
      <c r="AD148" s="692">
        <f t="shared" si="82"/>
        <v>0</v>
      </c>
      <c r="AE148" s="692">
        <f t="shared" si="83"/>
        <v>0</v>
      </c>
      <c r="AF148" s="692">
        <f t="shared" si="84"/>
        <v>0</v>
      </c>
      <c r="AG148" s="38"/>
      <c r="AH148" s="692">
        <f t="shared" si="89"/>
        <v>0</v>
      </c>
      <c r="AI148" s="692">
        <f t="shared" si="90"/>
        <v>0</v>
      </c>
      <c r="AJ148" s="692">
        <f t="shared" si="91"/>
        <v>0</v>
      </c>
      <c r="AL148" s="38">
        <f t="shared" si="92"/>
        <v>0</v>
      </c>
    </row>
    <row r="149" spans="1:38">
      <c r="A149" s="21"/>
      <c r="B149" s="21" t="s">
        <v>110</v>
      </c>
      <c r="C149" s="666"/>
      <c r="D149" s="68" t="s">
        <v>448</v>
      </c>
      <c r="E149" s="679">
        <f>3776.51+3619.83</f>
        <v>7396.34</v>
      </c>
      <c r="F149" s="529">
        <f>VLOOKUP(D149,'Aug 2013 Revenue'!D:V,19,FALSE)</f>
        <v>0</v>
      </c>
      <c r="G149" s="680"/>
      <c r="H149" s="680"/>
      <c r="I149" s="755"/>
      <c r="J149" s="682">
        <f t="shared" si="81"/>
        <v>7396.34</v>
      </c>
      <c r="K149" s="683"/>
      <c r="L149" s="684"/>
      <c r="M149" s="753"/>
      <c r="N149" s="683">
        <v>0</v>
      </c>
      <c r="O149" s="686"/>
      <c r="P149" s="683">
        <v>0</v>
      </c>
      <c r="Q149" s="687">
        <f t="shared" si="124"/>
        <v>0</v>
      </c>
      <c r="R149" s="687"/>
      <c r="S149" s="687"/>
      <c r="T149" s="688">
        <v>0</v>
      </c>
      <c r="U149" s="693"/>
      <c r="V149" s="690">
        <f t="shared" si="125"/>
        <v>0</v>
      </c>
      <c r="W149" s="683"/>
      <c r="X149" s="474">
        <f t="shared" si="85"/>
        <v>0</v>
      </c>
      <c r="Y149" s="474">
        <f t="shared" si="86"/>
        <v>0</v>
      </c>
      <c r="Z149" s="475">
        <f t="shared" si="87"/>
        <v>0</v>
      </c>
      <c r="AA149" s="475">
        <v>0</v>
      </c>
      <c r="AB149" s="476">
        <v>0</v>
      </c>
      <c r="AC149" s="38">
        <f t="shared" si="88"/>
        <v>0</v>
      </c>
      <c r="AD149" s="692">
        <f t="shared" si="82"/>
        <v>7396.34</v>
      </c>
      <c r="AE149" s="692">
        <f t="shared" si="83"/>
        <v>0</v>
      </c>
      <c r="AF149" s="692">
        <f t="shared" si="84"/>
        <v>0</v>
      </c>
      <c r="AG149" s="38"/>
      <c r="AH149" s="692">
        <f t="shared" si="89"/>
        <v>0</v>
      </c>
      <c r="AI149" s="692">
        <f t="shared" si="90"/>
        <v>0</v>
      </c>
      <c r="AJ149" s="692">
        <f t="shared" si="91"/>
        <v>0</v>
      </c>
      <c r="AL149" s="38">
        <f t="shared" si="92"/>
        <v>7396.34</v>
      </c>
    </row>
    <row r="150" spans="1:38">
      <c r="A150" s="21"/>
      <c r="B150" s="21" t="s">
        <v>114</v>
      </c>
      <c r="C150" s="666"/>
      <c r="D150" s="68" t="s">
        <v>936</v>
      </c>
      <c r="E150" s="679"/>
      <c r="F150" s="529">
        <f>VLOOKUP(D150,'Aug 2013 Revenue'!D:V,19,FALSE)</f>
        <v>0</v>
      </c>
      <c r="G150" s="680"/>
      <c r="H150" s="680"/>
      <c r="I150" s="755"/>
      <c r="J150" s="682">
        <f t="shared" ref="J150:J214" si="126">SUM(E150:I150)</f>
        <v>0</v>
      </c>
      <c r="K150" s="683"/>
      <c r="L150" s="684"/>
      <c r="M150" s="753"/>
      <c r="N150" s="683">
        <v>0</v>
      </c>
      <c r="O150" s="686"/>
      <c r="P150" s="683">
        <v>0</v>
      </c>
      <c r="Q150" s="687">
        <f t="shared" si="124"/>
        <v>0</v>
      </c>
      <c r="R150" s="687"/>
      <c r="S150" s="687"/>
      <c r="T150" s="688">
        <v>6683.2</v>
      </c>
      <c r="U150" s="693"/>
      <c r="V150" s="690">
        <f t="shared" si="125"/>
        <v>6683.2</v>
      </c>
      <c r="W150" s="683"/>
      <c r="X150" s="474">
        <f t="shared" si="85"/>
        <v>0</v>
      </c>
      <c r="Y150" s="474">
        <f t="shared" si="86"/>
        <v>0</v>
      </c>
      <c r="Z150" s="475">
        <f t="shared" si="87"/>
        <v>0</v>
      </c>
      <c r="AA150" s="475">
        <v>0</v>
      </c>
      <c r="AB150" s="476">
        <v>0</v>
      </c>
      <c r="AC150" s="38">
        <f t="shared" si="88"/>
        <v>0</v>
      </c>
      <c r="AD150" s="692">
        <f t="shared" si="82"/>
        <v>0</v>
      </c>
      <c r="AE150" s="692">
        <f t="shared" si="83"/>
        <v>0</v>
      </c>
      <c r="AF150" s="692">
        <f t="shared" si="84"/>
        <v>0</v>
      </c>
      <c r="AG150" s="38"/>
      <c r="AH150" s="692">
        <f t="shared" si="89"/>
        <v>0</v>
      </c>
      <c r="AI150" s="692">
        <f t="shared" si="90"/>
        <v>0</v>
      </c>
      <c r="AJ150" s="692">
        <f t="shared" si="91"/>
        <v>0</v>
      </c>
      <c r="AL150" s="38">
        <f t="shared" si="92"/>
        <v>0</v>
      </c>
    </row>
    <row r="151" spans="1:38">
      <c r="A151" s="21"/>
      <c r="B151" s="21" t="s">
        <v>110</v>
      </c>
      <c r="C151" s="666"/>
      <c r="D151" s="68" t="s">
        <v>877</v>
      </c>
      <c r="E151" s="679"/>
      <c r="F151" s="529">
        <f>VLOOKUP(D151,'Aug 2013 Revenue'!D:V,19,FALSE)</f>
        <v>0</v>
      </c>
      <c r="G151" s="680"/>
      <c r="H151" s="680"/>
      <c r="I151" s="755"/>
      <c r="J151" s="682">
        <f t="shared" si="126"/>
        <v>0</v>
      </c>
      <c r="K151" s="683"/>
      <c r="L151" s="684"/>
      <c r="M151" s="753"/>
      <c r="N151" s="683">
        <v>0</v>
      </c>
      <c r="O151" s="686"/>
      <c r="P151" s="683">
        <v>0</v>
      </c>
      <c r="Q151" s="687">
        <f t="shared" si="124"/>
        <v>0</v>
      </c>
      <c r="R151" s="687"/>
      <c r="S151" s="687"/>
      <c r="T151" s="688">
        <v>0</v>
      </c>
      <c r="U151" s="693"/>
      <c r="V151" s="690">
        <f t="shared" si="125"/>
        <v>0</v>
      </c>
      <c r="W151" s="683"/>
      <c r="X151" s="474">
        <f t="shared" si="85"/>
        <v>0</v>
      </c>
      <c r="Y151" s="474">
        <f t="shared" si="86"/>
        <v>0</v>
      </c>
      <c r="Z151" s="475">
        <f t="shared" si="87"/>
        <v>0</v>
      </c>
      <c r="AA151" s="475">
        <v>0</v>
      </c>
      <c r="AB151" s="476">
        <v>0</v>
      </c>
      <c r="AC151" s="38">
        <f t="shared" si="88"/>
        <v>0</v>
      </c>
      <c r="AD151" s="692">
        <f t="shared" si="82"/>
        <v>0</v>
      </c>
      <c r="AE151" s="692">
        <f t="shared" si="83"/>
        <v>0</v>
      </c>
      <c r="AF151" s="692">
        <f t="shared" si="84"/>
        <v>0</v>
      </c>
      <c r="AG151" s="38"/>
      <c r="AH151" s="692">
        <f t="shared" si="89"/>
        <v>0</v>
      </c>
      <c r="AI151" s="692">
        <f t="shared" si="90"/>
        <v>0</v>
      </c>
      <c r="AJ151" s="692">
        <f t="shared" si="91"/>
        <v>0</v>
      </c>
      <c r="AL151" s="38">
        <f t="shared" si="92"/>
        <v>0</v>
      </c>
    </row>
    <row r="152" spans="1:38">
      <c r="A152" s="21"/>
      <c r="B152" s="21" t="s">
        <v>110</v>
      </c>
      <c r="C152" s="666" t="s">
        <v>558</v>
      </c>
      <c r="D152" s="68" t="s">
        <v>122</v>
      </c>
      <c r="E152" s="679"/>
      <c r="F152" s="529">
        <f>VLOOKUP(D152,'Aug 2013 Revenue'!D:V,19,FALSE)</f>
        <v>0</v>
      </c>
      <c r="G152" s="680"/>
      <c r="H152" s="680"/>
      <c r="I152" s="755"/>
      <c r="J152" s="682">
        <f t="shared" si="126"/>
        <v>0</v>
      </c>
      <c r="K152" s="683"/>
      <c r="L152" s="684"/>
      <c r="M152" s="753"/>
      <c r="N152" s="683">
        <v>0</v>
      </c>
      <c r="O152" s="686"/>
      <c r="P152" s="683">
        <v>0</v>
      </c>
      <c r="Q152" s="687">
        <f t="shared" si="124"/>
        <v>0</v>
      </c>
      <c r="R152" s="687"/>
      <c r="S152" s="687"/>
      <c r="T152" s="688">
        <v>0</v>
      </c>
      <c r="U152" s="693"/>
      <c r="V152" s="690">
        <f t="shared" si="125"/>
        <v>0</v>
      </c>
      <c r="W152" s="683"/>
      <c r="X152" s="474">
        <f t="shared" si="85"/>
        <v>0</v>
      </c>
      <c r="Y152" s="474">
        <f t="shared" si="86"/>
        <v>0</v>
      </c>
      <c r="Z152" s="475">
        <f t="shared" si="87"/>
        <v>0</v>
      </c>
      <c r="AA152" s="475">
        <v>0</v>
      </c>
      <c r="AB152" s="476">
        <v>0</v>
      </c>
      <c r="AC152" s="38">
        <f t="shared" si="88"/>
        <v>0</v>
      </c>
      <c r="AD152" s="692">
        <f t="shared" si="82"/>
        <v>0</v>
      </c>
      <c r="AE152" s="692">
        <f t="shared" si="83"/>
        <v>0</v>
      </c>
      <c r="AF152" s="692">
        <f t="shared" si="84"/>
        <v>0</v>
      </c>
      <c r="AG152" s="38"/>
      <c r="AH152" s="692">
        <f t="shared" si="89"/>
        <v>0</v>
      </c>
      <c r="AI152" s="692">
        <f t="shared" si="90"/>
        <v>0</v>
      </c>
      <c r="AJ152" s="692">
        <f t="shared" si="91"/>
        <v>0</v>
      </c>
      <c r="AL152" s="38">
        <f t="shared" si="92"/>
        <v>0</v>
      </c>
    </row>
    <row r="153" spans="1:38">
      <c r="A153" s="21"/>
      <c r="B153" s="21" t="s">
        <v>114</v>
      </c>
      <c r="C153" s="666" t="s">
        <v>558</v>
      </c>
      <c r="D153" s="68" t="s">
        <v>629</v>
      </c>
      <c r="E153" s="679"/>
      <c r="F153" s="529">
        <f>VLOOKUP(D153,'Aug 2013 Revenue'!D:V,19,FALSE)</f>
        <v>0</v>
      </c>
      <c r="G153" s="680"/>
      <c r="H153" s="680"/>
      <c r="I153" s="755"/>
      <c r="J153" s="682">
        <f t="shared" si="126"/>
        <v>0</v>
      </c>
      <c r="K153" s="683"/>
      <c r="L153" s="684"/>
      <c r="M153" s="753"/>
      <c r="N153" s="683">
        <v>0</v>
      </c>
      <c r="O153" s="686"/>
      <c r="P153" s="683">
        <v>0</v>
      </c>
      <c r="Q153" s="687">
        <f t="shared" si="124"/>
        <v>0</v>
      </c>
      <c r="R153" s="687"/>
      <c r="S153" s="687"/>
      <c r="T153" s="688">
        <v>0</v>
      </c>
      <c r="U153" s="693"/>
      <c r="V153" s="690">
        <f t="shared" si="125"/>
        <v>0</v>
      </c>
      <c r="W153" s="683"/>
      <c r="X153" s="474">
        <f t="shared" si="85"/>
        <v>0</v>
      </c>
      <c r="Y153" s="474">
        <f t="shared" si="86"/>
        <v>0</v>
      </c>
      <c r="Z153" s="475">
        <f t="shared" si="87"/>
        <v>0</v>
      </c>
      <c r="AA153" s="475">
        <v>0</v>
      </c>
      <c r="AB153" s="476">
        <v>0</v>
      </c>
      <c r="AC153" s="38">
        <f t="shared" si="88"/>
        <v>0</v>
      </c>
      <c r="AD153" s="692">
        <f t="shared" ref="AD153:AD217" si="127">IF(B153="D",J153,0)</f>
        <v>0</v>
      </c>
      <c r="AE153" s="692">
        <f t="shared" ref="AE153:AE217" si="128">IF(B153="M",J153,0)</f>
        <v>0</v>
      </c>
      <c r="AF153" s="692">
        <f t="shared" ref="AF153:AF217" si="129">IF(B153="V",J153,0)</f>
        <v>0</v>
      </c>
      <c r="AG153" s="38"/>
      <c r="AH153" s="692">
        <f t="shared" si="89"/>
        <v>0</v>
      </c>
      <c r="AI153" s="692">
        <f t="shared" si="90"/>
        <v>0</v>
      </c>
      <c r="AJ153" s="692">
        <f t="shared" si="91"/>
        <v>0</v>
      </c>
      <c r="AL153" s="38">
        <f t="shared" ref="AL153:AL217" si="130">SUM(AD153:AJ153)</f>
        <v>0</v>
      </c>
    </row>
    <row r="154" spans="1:38">
      <c r="A154" s="21"/>
      <c r="B154" s="21" t="s">
        <v>109</v>
      </c>
      <c r="C154" s="666" t="s">
        <v>559</v>
      </c>
      <c r="D154" s="68" t="s">
        <v>33</v>
      </c>
      <c r="E154" s="679"/>
      <c r="F154" s="529">
        <f>VLOOKUP(D154,'Aug 2013 Revenue'!D:V,19,FALSE)</f>
        <v>0</v>
      </c>
      <c r="G154" s="680"/>
      <c r="H154" s="680"/>
      <c r="I154" s="755"/>
      <c r="J154" s="682">
        <f t="shared" si="126"/>
        <v>0</v>
      </c>
      <c r="K154" s="683"/>
      <c r="L154" s="684"/>
      <c r="M154" s="753"/>
      <c r="N154" s="683">
        <v>0</v>
      </c>
      <c r="O154" s="686"/>
      <c r="P154" s="683">
        <v>0</v>
      </c>
      <c r="Q154" s="687">
        <f t="shared" si="124"/>
        <v>0</v>
      </c>
      <c r="R154" s="687"/>
      <c r="S154" s="687"/>
      <c r="T154" s="688">
        <v>0</v>
      </c>
      <c r="U154" s="693"/>
      <c r="V154" s="690">
        <f t="shared" si="125"/>
        <v>0</v>
      </c>
      <c r="W154" s="683"/>
      <c r="X154" s="474">
        <f t="shared" si="85"/>
        <v>0</v>
      </c>
      <c r="Y154" s="474">
        <f t="shared" si="86"/>
        <v>0</v>
      </c>
      <c r="Z154" s="475">
        <f t="shared" si="87"/>
        <v>0</v>
      </c>
      <c r="AA154" s="475">
        <v>0</v>
      </c>
      <c r="AB154" s="476">
        <v>0</v>
      </c>
      <c r="AC154" s="38">
        <f t="shared" si="88"/>
        <v>0</v>
      </c>
      <c r="AD154" s="692">
        <f t="shared" si="127"/>
        <v>0</v>
      </c>
      <c r="AE154" s="692">
        <f t="shared" si="128"/>
        <v>0</v>
      </c>
      <c r="AF154" s="692">
        <f t="shared" si="129"/>
        <v>0</v>
      </c>
      <c r="AG154" s="38"/>
      <c r="AH154" s="692">
        <f t="shared" ref="AH154:AH218" si="131">IF(B154="D",Q154,0)</f>
        <v>0</v>
      </c>
      <c r="AI154" s="692">
        <f t="shared" ref="AI154:AI218" si="132">IF(B154="M",Q154,0)</f>
        <v>0</v>
      </c>
      <c r="AJ154" s="692">
        <f t="shared" ref="AJ154:AJ218" si="133">IF(B154="V",Q154,0)</f>
        <v>0</v>
      </c>
      <c r="AL154" s="38">
        <f t="shared" si="130"/>
        <v>0</v>
      </c>
    </row>
    <row r="155" spans="1:38">
      <c r="A155" s="21"/>
      <c r="B155" s="21" t="s">
        <v>109</v>
      </c>
      <c r="C155" s="666" t="s">
        <v>560</v>
      </c>
      <c r="D155" s="68" t="s">
        <v>379</v>
      </c>
      <c r="E155" s="679"/>
      <c r="F155" s="529">
        <f>VLOOKUP(D155,'Aug 2013 Revenue'!D:V,19,FALSE)</f>
        <v>0</v>
      </c>
      <c r="G155" s="680"/>
      <c r="H155" s="680"/>
      <c r="I155" s="755"/>
      <c r="J155" s="682">
        <f t="shared" si="126"/>
        <v>0</v>
      </c>
      <c r="K155" s="683"/>
      <c r="L155" s="684"/>
      <c r="M155" s="753"/>
      <c r="N155" s="683">
        <v>0</v>
      </c>
      <c r="O155" s="686"/>
      <c r="P155" s="683">
        <v>0</v>
      </c>
      <c r="Q155" s="687">
        <f t="shared" si="124"/>
        <v>0</v>
      </c>
      <c r="R155" s="687"/>
      <c r="S155" s="687"/>
      <c r="T155" s="688">
        <v>0</v>
      </c>
      <c r="U155" s="693"/>
      <c r="V155" s="690">
        <f t="shared" si="125"/>
        <v>0</v>
      </c>
      <c r="W155" s="683"/>
      <c r="X155" s="474">
        <f t="shared" ref="X155:X219" si="134">IF(B155="D",Q155,0)</f>
        <v>0</v>
      </c>
      <c r="Y155" s="474">
        <f t="shared" ref="Y155:Y219" si="135">IF(B155="M",Q155,0)</f>
        <v>0</v>
      </c>
      <c r="Z155" s="475">
        <f t="shared" ref="Z155:Z219" si="136">IF(B155="V",Q155,0)</f>
        <v>0</v>
      </c>
      <c r="AA155" s="475">
        <v>0</v>
      </c>
      <c r="AB155" s="476">
        <v>0</v>
      </c>
      <c r="AC155" s="38">
        <f t="shared" ref="AC155:AC219" si="137">(L155+M155)-(X155+Y155+Z155+AA155+AB155)</f>
        <v>0</v>
      </c>
      <c r="AD155" s="692">
        <f t="shared" si="127"/>
        <v>0</v>
      </c>
      <c r="AE155" s="692">
        <f t="shared" si="128"/>
        <v>0</v>
      </c>
      <c r="AF155" s="692">
        <f t="shared" si="129"/>
        <v>0</v>
      </c>
      <c r="AG155" s="38"/>
      <c r="AH155" s="692">
        <f t="shared" si="131"/>
        <v>0</v>
      </c>
      <c r="AI155" s="692">
        <f t="shared" si="132"/>
        <v>0</v>
      </c>
      <c r="AJ155" s="692">
        <f t="shared" si="133"/>
        <v>0</v>
      </c>
      <c r="AL155" s="38">
        <f t="shared" si="130"/>
        <v>0</v>
      </c>
    </row>
    <row r="156" spans="1:38" s="232" customFormat="1">
      <c r="A156" s="283"/>
      <c r="B156" s="283" t="s">
        <v>114</v>
      </c>
      <c r="C156" s="667"/>
      <c r="D156" s="500" t="s">
        <v>408</v>
      </c>
      <c r="E156" s="679"/>
      <c r="F156" s="529">
        <f>VLOOKUP(D156,'Aug 2013 Revenue'!D:V,19,FALSE)</f>
        <v>0</v>
      </c>
      <c r="G156" s="680"/>
      <c r="H156" s="680"/>
      <c r="I156" s="770">
        <v>7837.5</v>
      </c>
      <c r="J156" s="682">
        <f t="shared" si="126"/>
        <v>7837.5</v>
      </c>
      <c r="K156" s="683"/>
      <c r="L156" s="684"/>
      <c r="M156" s="753"/>
      <c r="N156" s="683">
        <v>0</v>
      </c>
      <c r="O156" s="686"/>
      <c r="P156" s="683">
        <v>0</v>
      </c>
      <c r="Q156" s="687">
        <f t="shared" si="124"/>
        <v>0</v>
      </c>
      <c r="R156" s="687"/>
      <c r="S156" s="687"/>
      <c r="T156" s="688">
        <v>0</v>
      </c>
      <c r="U156" s="693"/>
      <c r="V156" s="690">
        <f t="shared" si="125"/>
        <v>0</v>
      </c>
      <c r="W156" s="683"/>
      <c r="X156" s="474">
        <f t="shared" si="134"/>
        <v>0</v>
      </c>
      <c r="Y156" s="474">
        <f t="shared" si="135"/>
        <v>0</v>
      </c>
      <c r="Z156" s="475">
        <f t="shared" si="136"/>
        <v>0</v>
      </c>
      <c r="AA156" s="475">
        <v>0</v>
      </c>
      <c r="AB156" s="476">
        <v>0</v>
      </c>
      <c r="AC156" s="38">
        <f t="shared" si="137"/>
        <v>0</v>
      </c>
      <c r="AD156" s="692">
        <f t="shared" si="127"/>
        <v>0</v>
      </c>
      <c r="AE156" s="692">
        <f t="shared" si="128"/>
        <v>0</v>
      </c>
      <c r="AF156" s="692">
        <f t="shared" si="129"/>
        <v>7837.5</v>
      </c>
      <c r="AG156" s="38"/>
      <c r="AH156" s="692">
        <f t="shared" si="131"/>
        <v>0</v>
      </c>
      <c r="AI156" s="692">
        <f t="shared" si="132"/>
        <v>0</v>
      </c>
      <c r="AJ156" s="692">
        <f t="shared" si="133"/>
        <v>0</v>
      </c>
      <c r="AL156" s="38">
        <f t="shared" si="130"/>
        <v>7837.5</v>
      </c>
    </row>
    <row r="157" spans="1:38" s="232" customFormat="1">
      <c r="A157" s="283"/>
      <c r="B157" s="283" t="s">
        <v>110</v>
      </c>
      <c r="C157" s="667"/>
      <c r="D157" s="567" t="s">
        <v>445</v>
      </c>
      <c r="E157" s="679"/>
      <c r="F157" s="529">
        <f>VLOOKUP(D157,'Aug 2013 Revenue'!D:V,19,FALSE)</f>
        <v>0</v>
      </c>
      <c r="G157" s="680"/>
      <c r="H157" s="680"/>
      <c r="I157" s="755"/>
      <c r="J157" s="682">
        <f t="shared" si="126"/>
        <v>0</v>
      </c>
      <c r="K157" s="683"/>
      <c r="L157" s="684"/>
      <c r="M157" s="753"/>
      <c r="N157" s="683">
        <v>0</v>
      </c>
      <c r="O157" s="686"/>
      <c r="P157" s="683">
        <v>0</v>
      </c>
      <c r="Q157" s="687">
        <f t="shared" si="124"/>
        <v>0</v>
      </c>
      <c r="R157" s="687"/>
      <c r="S157" s="687"/>
      <c r="T157" s="688">
        <v>8756</v>
      </c>
      <c r="U157" s="693"/>
      <c r="V157" s="690">
        <f t="shared" si="125"/>
        <v>8756</v>
      </c>
      <c r="W157" s="683"/>
      <c r="X157" s="474">
        <f t="shared" si="134"/>
        <v>0</v>
      </c>
      <c r="Y157" s="474">
        <f t="shared" si="135"/>
        <v>0</v>
      </c>
      <c r="Z157" s="475">
        <f t="shared" si="136"/>
        <v>0</v>
      </c>
      <c r="AA157" s="475">
        <v>0</v>
      </c>
      <c r="AB157" s="476">
        <v>0</v>
      </c>
      <c r="AC157" s="38">
        <f t="shared" si="137"/>
        <v>0</v>
      </c>
      <c r="AD157" s="692">
        <f t="shared" si="127"/>
        <v>0</v>
      </c>
      <c r="AE157" s="692">
        <f t="shared" si="128"/>
        <v>0</v>
      </c>
      <c r="AF157" s="692">
        <f t="shared" si="129"/>
        <v>0</v>
      </c>
      <c r="AG157" s="38"/>
      <c r="AH157" s="692">
        <f t="shared" si="131"/>
        <v>0</v>
      </c>
      <c r="AI157" s="692">
        <f t="shared" si="132"/>
        <v>0</v>
      </c>
      <c r="AJ157" s="692">
        <f t="shared" si="133"/>
        <v>0</v>
      </c>
      <c r="AL157" s="38">
        <f t="shared" si="130"/>
        <v>0</v>
      </c>
    </row>
    <row r="158" spans="1:38" s="232" customFormat="1">
      <c r="A158" s="283"/>
      <c r="B158" s="283" t="s">
        <v>109</v>
      </c>
      <c r="C158" s="667" t="s">
        <v>562</v>
      </c>
      <c r="D158" s="567" t="s">
        <v>480</v>
      </c>
      <c r="E158" s="679"/>
      <c r="F158" s="529">
        <f>VLOOKUP(D158,'Aug 2013 Revenue'!D:V,19,FALSE)</f>
        <v>0</v>
      </c>
      <c r="G158" s="680"/>
      <c r="H158" s="680"/>
      <c r="I158" s="770">
        <v>10193.83</v>
      </c>
      <c r="J158" s="682">
        <f t="shared" si="126"/>
        <v>10193.83</v>
      </c>
      <c r="K158" s="683"/>
      <c r="L158" s="684"/>
      <c r="M158" s="753"/>
      <c r="N158" s="683">
        <v>0</v>
      </c>
      <c r="O158" s="686"/>
      <c r="P158" s="683">
        <v>0</v>
      </c>
      <c r="Q158" s="687">
        <f t="shared" si="124"/>
        <v>0</v>
      </c>
      <c r="R158" s="687"/>
      <c r="S158" s="687"/>
      <c r="T158" s="688">
        <v>0</v>
      </c>
      <c r="U158" s="693"/>
      <c r="V158" s="690">
        <f t="shared" si="125"/>
        <v>0</v>
      </c>
      <c r="W158" s="683"/>
      <c r="X158" s="474">
        <f t="shared" si="134"/>
        <v>0</v>
      </c>
      <c r="Y158" s="474">
        <f t="shared" si="135"/>
        <v>0</v>
      </c>
      <c r="Z158" s="475">
        <f t="shared" si="136"/>
        <v>0</v>
      </c>
      <c r="AA158" s="475">
        <v>0</v>
      </c>
      <c r="AB158" s="476">
        <v>0</v>
      </c>
      <c r="AC158" s="38">
        <f t="shared" si="137"/>
        <v>0</v>
      </c>
      <c r="AD158" s="692">
        <f t="shared" si="127"/>
        <v>0</v>
      </c>
      <c r="AE158" s="692">
        <f t="shared" si="128"/>
        <v>10193.83</v>
      </c>
      <c r="AF158" s="692">
        <f t="shared" si="129"/>
        <v>0</v>
      </c>
      <c r="AG158" s="38"/>
      <c r="AH158" s="692">
        <f t="shared" si="131"/>
        <v>0</v>
      </c>
      <c r="AI158" s="692">
        <f t="shared" si="132"/>
        <v>0</v>
      </c>
      <c r="AJ158" s="692">
        <f t="shared" si="133"/>
        <v>0</v>
      </c>
      <c r="AL158" s="38">
        <f t="shared" si="130"/>
        <v>10193.83</v>
      </c>
    </row>
    <row r="159" spans="1:38" s="232" customFormat="1">
      <c r="A159" s="403"/>
      <c r="B159" s="403" t="s">
        <v>109</v>
      </c>
      <c r="C159" s="666" t="s">
        <v>563</v>
      </c>
      <c r="D159" s="807" t="s">
        <v>327</v>
      </c>
      <c r="E159" s="679"/>
      <c r="F159" s="529">
        <f>VLOOKUP(D159,'Aug 2013 Revenue'!D:V,19,FALSE)</f>
        <v>-70000</v>
      </c>
      <c r="G159" s="680"/>
      <c r="H159" s="680"/>
      <c r="I159" s="755"/>
      <c r="J159" s="682">
        <f t="shared" si="126"/>
        <v>-70000</v>
      </c>
      <c r="K159" s="683"/>
      <c r="L159" s="684"/>
      <c r="M159" s="753">
        <v>105000</v>
      </c>
      <c r="N159" s="683">
        <v>0</v>
      </c>
      <c r="O159" s="686"/>
      <c r="P159" s="683">
        <v>0</v>
      </c>
      <c r="Q159" s="687">
        <f t="shared" si="124"/>
        <v>105000</v>
      </c>
      <c r="R159" s="687"/>
      <c r="S159" s="687"/>
      <c r="T159" s="688">
        <v>0</v>
      </c>
      <c r="U159" s="693"/>
      <c r="V159" s="690">
        <f t="shared" si="125"/>
        <v>-105000</v>
      </c>
      <c r="W159" s="683"/>
      <c r="X159" s="474">
        <f t="shared" si="134"/>
        <v>0</v>
      </c>
      <c r="Y159" s="474">
        <f t="shared" si="135"/>
        <v>105000</v>
      </c>
      <c r="Z159" s="475">
        <f t="shared" si="136"/>
        <v>0</v>
      </c>
      <c r="AA159" s="475">
        <v>0</v>
      </c>
      <c r="AB159" s="476">
        <v>0</v>
      </c>
      <c r="AC159" s="38">
        <f t="shared" si="137"/>
        <v>0</v>
      </c>
      <c r="AD159" s="692">
        <f t="shared" si="127"/>
        <v>0</v>
      </c>
      <c r="AE159" s="692">
        <f t="shared" si="128"/>
        <v>-70000</v>
      </c>
      <c r="AF159" s="692">
        <f t="shared" si="129"/>
        <v>0</v>
      </c>
      <c r="AG159" s="38"/>
      <c r="AH159" s="692">
        <f t="shared" si="131"/>
        <v>0</v>
      </c>
      <c r="AI159" s="692">
        <f t="shared" si="132"/>
        <v>105000</v>
      </c>
      <c r="AJ159" s="692">
        <f t="shared" si="133"/>
        <v>0</v>
      </c>
      <c r="AL159" s="38">
        <f t="shared" si="130"/>
        <v>35000</v>
      </c>
    </row>
    <row r="160" spans="1:38" s="232" customFormat="1">
      <c r="A160" s="403"/>
      <c r="B160" s="403" t="s">
        <v>110</v>
      </c>
      <c r="C160" s="666" t="s">
        <v>563</v>
      </c>
      <c r="D160" s="123" t="s">
        <v>637</v>
      </c>
      <c r="E160" s="679"/>
      <c r="F160" s="529">
        <f>VLOOKUP(D160,'Aug 2013 Revenue'!D:V,19,FALSE)</f>
        <v>0</v>
      </c>
      <c r="G160" s="680"/>
      <c r="H160" s="680"/>
      <c r="I160" s="755"/>
      <c r="J160" s="682">
        <f t="shared" si="126"/>
        <v>0</v>
      </c>
      <c r="K160" s="683"/>
      <c r="L160" s="684"/>
      <c r="M160" s="753"/>
      <c r="N160" s="683">
        <v>0</v>
      </c>
      <c r="O160" s="686"/>
      <c r="P160" s="683">
        <v>0</v>
      </c>
      <c r="Q160" s="687">
        <f t="shared" si="124"/>
        <v>0</v>
      </c>
      <c r="R160" s="687"/>
      <c r="S160" s="687"/>
      <c r="T160" s="688">
        <v>0</v>
      </c>
      <c r="U160" s="693"/>
      <c r="V160" s="690">
        <f t="shared" si="125"/>
        <v>0</v>
      </c>
      <c r="W160" s="683"/>
      <c r="X160" s="474">
        <f t="shared" si="134"/>
        <v>0</v>
      </c>
      <c r="Y160" s="474">
        <f t="shared" si="135"/>
        <v>0</v>
      </c>
      <c r="Z160" s="475">
        <f t="shared" si="136"/>
        <v>0</v>
      </c>
      <c r="AA160" s="475">
        <v>0</v>
      </c>
      <c r="AB160" s="476">
        <v>0</v>
      </c>
      <c r="AC160" s="38">
        <f t="shared" si="137"/>
        <v>0</v>
      </c>
      <c r="AD160" s="692">
        <f t="shared" si="127"/>
        <v>0</v>
      </c>
      <c r="AE160" s="692">
        <f t="shared" si="128"/>
        <v>0</v>
      </c>
      <c r="AF160" s="692">
        <f t="shared" si="129"/>
        <v>0</v>
      </c>
      <c r="AG160" s="38"/>
      <c r="AH160" s="692">
        <f t="shared" si="131"/>
        <v>0</v>
      </c>
      <c r="AI160" s="692">
        <f t="shared" si="132"/>
        <v>0</v>
      </c>
      <c r="AJ160" s="692">
        <f t="shared" si="133"/>
        <v>0</v>
      </c>
      <c r="AL160" s="38">
        <f t="shared" si="130"/>
        <v>0</v>
      </c>
    </row>
    <row r="161" spans="1:38">
      <c r="A161" s="21" t="s">
        <v>212</v>
      </c>
      <c r="B161" s="21" t="s">
        <v>110</v>
      </c>
      <c r="C161" s="666"/>
      <c r="D161" s="68" t="s">
        <v>232</v>
      </c>
      <c r="E161" s="679">
        <f>10767.52+10658.05</f>
        <v>21425.57</v>
      </c>
      <c r="F161" s="529">
        <f>VLOOKUP(D161,'Aug 2013 Revenue'!D:V,19,FALSE)</f>
        <v>0</v>
      </c>
      <c r="G161" s="680"/>
      <c r="H161" s="680"/>
      <c r="I161" s="755"/>
      <c r="J161" s="682">
        <f t="shared" si="126"/>
        <v>21425.57</v>
      </c>
      <c r="K161" s="683"/>
      <c r="L161" s="684"/>
      <c r="M161" s="753">
        <v>10000</v>
      </c>
      <c r="N161" s="683">
        <v>0</v>
      </c>
      <c r="O161" s="686"/>
      <c r="P161" s="683">
        <v>0</v>
      </c>
      <c r="Q161" s="687">
        <f t="shared" si="124"/>
        <v>10000</v>
      </c>
      <c r="R161" s="687"/>
      <c r="S161" s="687"/>
      <c r="T161" s="688">
        <v>0</v>
      </c>
      <c r="U161" s="693"/>
      <c r="V161" s="690">
        <f t="shared" si="125"/>
        <v>-10000</v>
      </c>
      <c r="W161" s="683"/>
      <c r="X161" s="474">
        <f t="shared" si="134"/>
        <v>10000</v>
      </c>
      <c r="Y161" s="474">
        <f t="shared" si="135"/>
        <v>0</v>
      </c>
      <c r="Z161" s="475">
        <f t="shared" si="136"/>
        <v>0</v>
      </c>
      <c r="AA161" s="475">
        <v>0</v>
      </c>
      <c r="AB161" s="476">
        <v>0</v>
      </c>
      <c r="AC161" s="38">
        <f t="shared" si="137"/>
        <v>0</v>
      </c>
      <c r="AD161" s="692">
        <f t="shared" si="127"/>
        <v>21425.57</v>
      </c>
      <c r="AE161" s="692">
        <f t="shared" si="128"/>
        <v>0</v>
      </c>
      <c r="AF161" s="692">
        <f t="shared" si="129"/>
        <v>0</v>
      </c>
      <c r="AG161" s="38"/>
      <c r="AH161" s="692">
        <f t="shared" si="131"/>
        <v>10000</v>
      </c>
      <c r="AI161" s="692">
        <f t="shared" si="132"/>
        <v>0</v>
      </c>
      <c r="AJ161" s="692">
        <f t="shared" si="133"/>
        <v>0</v>
      </c>
      <c r="AL161" s="38">
        <f t="shared" si="130"/>
        <v>31425.57</v>
      </c>
    </row>
    <row r="162" spans="1:38">
      <c r="A162" s="21"/>
      <c r="B162" s="21" t="s">
        <v>109</v>
      </c>
      <c r="C162" s="666" t="s">
        <v>564</v>
      </c>
      <c r="D162" s="68" t="s">
        <v>876</v>
      </c>
      <c r="E162" s="679"/>
      <c r="F162" s="529">
        <f>VLOOKUP(D162,'Aug 2013 Revenue'!D:V,19,FALSE)</f>
        <v>0</v>
      </c>
      <c r="G162" s="680"/>
      <c r="H162" s="680"/>
      <c r="I162" s="755"/>
      <c r="J162" s="682">
        <f t="shared" si="126"/>
        <v>0</v>
      </c>
      <c r="K162" s="683"/>
      <c r="L162" s="684"/>
      <c r="M162" s="753"/>
      <c r="N162" s="683">
        <v>0</v>
      </c>
      <c r="O162" s="686"/>
      <c r="P162" s="683">
        <v>0</v>
      </c>
      <c r="Q162" s="687">
        <f t="shared" si="124"/>
        <v>0</v>
      </c>
      <c r="R162" s="687"/>
      <c r="S162" s="687"/>
      <c r="T162" s="688">
        <v>0</v>
      </c>
      <c r="U162" s="693"/>
      <c r="V162" s="690">
        <f t="shared" si="125"/>
        <v>0</v>
      </c>
      <c r="W162" s="683"/>
      <c r="X162" s="474">
        <f t="shared" si="134"/>
        <v>0</v>
      </c>
      <c r="Y162" s="474">
        <f t="shared" si="135"/>
        <v>0</v>
      </c>
      <c r="Z162" s="475">
        <f t="shared" si="136"/>
        <v>0</v>
      </c>
      <c r="AA162" s="475">
        <v>0</v>
      </c>
      <c r="AB162" s="476">
        <v>0</v>
      </c>
      <c r="AC162" s="38">
        <f t="shared" si="137"/>
        <v>0</v>
      </c>
      <c r="AD162" s="692">
        <f t="shared" si="127"/>
        <v>0</v>
      </c>
      <c r="AE162" s="692">
        <f t="shared" si="128"/>
        <v>0</v>
      </c>
      <c r="AF162" s="692">
        <f t="shared" si="129"/>
        <v>0</v>
      </c>
      <c r="AG162" s="38"/>
      <c r="AH162" s="692">
        <f t="shared" si="131"/>
        <v>0</v>
      </c>
      <c r="AI162" s="692">
        <f t="shared" si="132"/>
        <v>0</v>
      </c>
      <c r="AJ162" s="692">
        <f t="shared" si="133"/>
        <v>0</v>
      </c>
      <c r="AL162" s="38">
        <f t="shared" si="130"/>
        <v>0</v>
      </c>
    </row>
    <row r="163" spans="1:38">
      <c r="A163" s="21"/>
      <c r="B163" s="21" t="s">
        <v>109</v>
      </c>
      <c r="C163" s="666" t="s">
        <v>564</v>
      </c>
      <c r="D163" s="68" t="s">
        <v>307</v>
      </c>
      <c r="E163" s="679"/>
      <c r="F163" s="529">
        <f>VLOOKUP(D163,'Aug 2013 Revenue'!D:V,19,FALSE)</f>
        <v>0</v>
      </c>
      <c r="G163" s="680"/>
      <c r="H163" s="680"/>
      <c r="I163" s="755"/>
      <c r="J163" s="682">
        <f t="shared" si="126"/>
        <v>0</v>
      </c>
      <c r="K163" s="683"/>
      <c r="L163" s="684"/>
      <c r="M163" s="753"/>
      <c r="N163" s="683">
        <v>0</v>
      </c>
      <c r="O163" s="686"/>
      <c r="P163" s="683">
        <v>0</v>
      </c>
      <c r="Q163" s="687">
        <f t="shared" si="124"/>
        <v>0</v>
      </c>
      <c r="R163" s="687"/>
      <c r="S163" s="687"/>
      <c r="T163" s="688">
        <v>0</v>
      </c>
      <c r="U163" s="693"/>
      <c r="V163" s="690">
        <f t="shared" si="125"/>
        <v>0</v>
      </c>
      <c r="W163" s="683"/>
      <c r="X163" s="474">
        <f t="shared" si="134"/>
        <v>0</v>
      </c>
      <c r="Y163" s="474">
        <f t="shared" si="135"/>
        <v>0</v>
      </c>
      <c r="Z163" s="475">
        <f t="shared" si="136"/>
        <v>0</v>
      </c>
      <c r="AA163" s="475">
        <v>0</v>
      </c>
      <c r="AB163" s="476">
        <v>0</v>
      </c>
      <c r="AC163" s="38">
        <f t="shared" si="137"/>
        <v>0</v>
      </c>
      <c r="AD163" s="692">
        <f t="shared" si="127"/>
        <v>0</v>
      </c>
      <c r="AE163" s="692">
        <f t="shared" si="128"/>
        <v>0</v>
      </c>
      <c r="AF163" s="692">
        <f t="shared" si="129"/>
        <v>0</v>
      </c>
      <c r="AG163" s="38"/>
      <c r="AH163" s="692">
        <f t="shared" si="131"/>
        <v>0</v>
      </c>
      <c r="AI163" s="692">
        <f t="shared" si="132"/>
        <v>0</v>
      </c>
      <c r="AJ163" s="692">
        <f t="shared" si="133"/>
        <v>0</v>
      </c>
      <c r="AL163" s="38">
        <f t="shared" si="130"/>
        <v>0</v>
      </c>
    </row>
    <row r="164" spans="1:38">
      <c r="A164" s="21"/>
      <c r="B164" s="21" t="s">
        <v>109</v>
      </c>
      <c r="C164" s="666" t="s">
        <v>565</v>
      </c>
      <c r="D164" s="68" t="s">
        <v>485</v>
      </c>
      <c r="E164" s="679">
        <f>2438.8+2273.79+5820.17+878.17+10187.92+5840.34+10109.19+1371.87+412.82+1102.99+45592.12</f>
        <v>86028.18</v>
      </c>
      <c r="F164" s="529">
        <f>VLOOKUP(D164,'Aug 2013 Revenue'!D:V,19,FALSE)</f>
        <v>-80223.989999999991</v>
      </c>
      <c r="G164" s="680"/>
      <c r="H164" s="680"/>
      <c r="I164" s="755"/>
      <c r="J164" s="682">
        <f t="shared" si="126"/>
        <v>5804.1900000000023</v>
      </c>
      <c r="K164" s="683"/>
      <c r="L164" s="684"/>
      <c r="M164" s="753">
        <v>80000</v>
      </c>
      <c r="N164" s="683"/>
      <c r="O164" s="686"/>
      <c r="P164" s="683"/>
      <c r="Q164" s="687">
        <f t="shared" si="124"/>
        <v>80000</v>
      </c>
      <c r="R164" s="687"/>
      <c r="S164" s="687"/>
      <c r="T164" s="688">
        <v>65173.04</v>
      </c>
      <c r="U164" s="693"/>
      <c r="V164" s="690">
        <f t="shared" si="125"/>
        <v>-14826.96</v>
      </c>
      <c r="W164" s="683"/>
      <c r="X164" s="474">
        <f t="shared" si="134"/>
        <v>0</v>
      </c>
      <c r="Y164" s="474">
        <f t="shared" si="135"/>
        <v>80000</v>
      </c>
      <c r="Z164" s="475">
        <f t="shared" si="136"/>
        <v>0</v>
      </c>
      <c r="AA164" s="475">
        <v>0</v>
      </c>
      <c r="AB164" s="476">
        <v>0</v>
      </c>
      <c r="AC164" s="38">
        <f t="shared" si="137"/>
        <v>0</v>
      </c>
      <c r="AD164" s="692">
        <f t="shared" si="127"/>
        <v>0</v>
      </c>
      <c r="AE164" s="692">
        <f t="shared" si="128"/>
        <v>5804.1900000000023</v>
      </c>
      <c r="AF164" s="692">
        <f t="shared" si="129"/>
        <v>0</v>
      </c>
      <c r="AG164" s="38"/>
      <c r="AH164" s="692">
        <f t="shared" si="131"/>
        <v>0</v>
      </c>
      <c r="AI164" s="692">
        <f t="shared" si="132"/>
        <v>80000</v>
      </c>
      <c r="AJ164" s="692">
        <f t="shared" si="133"/>
        <v>0</v>
      </c>
      <c r="AL164" s="38">
        <f t="shared" si="130"/>
        <v>85804.19</v>
      </c>
    </row>
    <row r="165" spans="1:38" s="232" customFormat="1">
      <c r="A165" s="403"/>
      <c r="B165" s="403" t="s">
        <v>109</v>
      </c>
      <c r="C165" s="666"/>
      <c r="D165" s="123" t="s">
        <v>220</v>
      </c>
      <c r="E165" s="679"/>
      <c r="F165" s="529">
        <f>VLOOKUP(D165,'Aug 2013 Revenue'!D:V,19,FALSE)</f>
        <v>0</v>
      </c>
      <c r="G165" s="680"/>
      <c r="H165" s="680"/>
      <c r="I165" s="755"/>
      <c r="J165" s="682">
        <f t="shared" si="126"/>
        <v>0</v>
      </c>
      <c r="K165" s="683"/>
      <c r="L165" s="684"/>
      <c r="M165" s="753"/>
      <c r="N165" s="683">
        <v>0</v>
      </c>
      <c r="O165" s="686"/>
      <c r="P165" s="683">
        <v>0</v>
      </c>
      <c r="Q165" s="687">
        <f t="shared" si="124"/>
        <v>0</v>
      </c>
      <c r="R165" s="687"/>
      <c r="S165" s="687"/>
      <c r="T165" s="688">
        <v>0</v>
      </c>
      <c r="U165" s="693"/>
      <c r="V165" s="690">
        <f t="shared" si="125"/>
        <v>0</v>
      </c>
      <c r="W165" s="683"/>
      <c r="X165" s="474">
        <f t="shared" si="134"/>
        <v>0</v>
      </c>
      <c r="Y165" s="474">
        <f t="shared" si="135"/>
        <v>0</v>
      </c>
      <c r="Z165" s="475">
        <f t="shared" si="136"/>
        <v>0</v>
      </c>
      <c r="AA165" s="475">
        <v>0</v>
      </c>
      <c r="AB165" s="476">
        <v>0</v>
      </c>
      <c r="AC165" s="38">
        <f t="shared" si="137"/>
        <v>0</v>
      </c>
      <c r="AD165" s="692">
        <f t="shared" si="127"/>
        <v>0</v>
      </c>
      <c r="AE165" s="692">
        <f t="shared" si="128"/>
        <v>0</v>
      </c>
      <c r="AF165" s="692">
        <f t="shared" si="129"/>
        <v>0</v>
      </c>
      <c r="AG165" s="38"/>
      <c r="AH165" s="692">
        <f t="shared" si="131"/>
        <v>0</v>
      </c>
      <c r="AI165" s="692">
        <f t="shared" si="132"/>
        <v>0</v>
      </c>
      <c r="AJ165" s="692">
        <f t="shared" si="133"/>
        <v>0</v>
      </c>
      <c r="AL165" s="38">
        <f t="shared" si="130"/>
        <v>0</v>
      </c>
    </row>
    <row r="166" spans="1:38" s="24" customFormat="1" hidden="1">
      <c r="A166" s="472"/>
      <c r="B166" s="21" t="s">
        <v>109</v>
      </c>
      <c r="C166" s="666"/>
      <c r="D166" s="68" t="s">
        <v>505</v>
      </c>
      <c r="E166" s="679"/>
      <c r="F166" s="529">
        <f>VLOOKUP(D166,'Aug 2013 Revenue'!D:V,19,FALSE)</f>
        <v>0</v>
      </c>
      <c r="G166" s="680"/>
      <c r="H166" s="680"/>
      <c r="I166" s="755"/>
      <c r="J166" s="682">
        <f t="shared" si="126"/>
        <v>0</v>
      </c>
      <c r="K166" s="698"/>
      <c r="L166" s="684"/>
      <c r="M166" s="753"/>
      <c r="N166" s="698">
        <v>0</v>
      </c>
      <c r="O166" s="686"/>
      <c r="P166" s="698">
        <v>0</v>
      </c>
      <c r="Q166" s="700">
        <f t="shared" si="124"/>
        <v>0</v>
      </c>
      <c r="R166" s="700"/>
      <c r="S166" s="700"/>
      <c r="T166" s="688">
        <v>0</v>
      </c>
      <c r="U166" s="701"/>
      <c r="V166" s="690">
        <f t="shared" si="125"/>
        <v>0</v>
      </c>
      <c r="W166" s="698"/>
      <c r="X166" s="474">
        <f t="shared" si="134"/>
        <v>0</v>
      </c>
      <c r="Y166" s="474">
        <f t="shared" si="135"/>
        <v>0</v>
      </c>
      <c r="Z166" s="475">
        <f t="shared" si="136"/>
        <v>0</v>
      </c>
      <c r="AA166" s="475">
        <v>0</v>
      </c>
      <c r="AB166" s="476">
        <v>0</v>
      </c>
      <c r="AC166" s="38">
        <f t="shared" si="137"/>
        <v>0</v>
      </c>
      <c r="AD166" s="692">
        <f t="shared" si="127"/>
        <v>0</v>
      </c>
      <c r="AE166" s="692">
        <f t="shared" si="128"/>
        <v>0</v>
      </c>
      <c r="AF166" s="692">
        <f t="shared" si="129"/>
        <v>0</v>
      </c>
      <c r="AG166" s="38"/>
      <c r="AH166" s="692">
        <f t="shared" si="131"/>
        <v>0</v>
      </c>
      <c r="AI166" s="692">
        <f t="shared" si="132"/>
        <v>0</v>
      </c>
      <c r="AJ166" s="692">
        <f t="shared" si="133"/>
        <v>0</v>
      </c>
      <c r="AL166" s="38">
        <f t="shared" si="130"/>
        <v>0</v>
      </c>
    </row>
    <row r="167" spans="1:38">
      <c r="A167" s="21"/>
      <c r="B167" s="21" t="s">
        <v>110</v>
      </c>
      <c r="C167" s="666"/>
      <c r="D167" s="68" t="s">
        <v>185</v>
      </c>
      <c r="E167" s="679">
        <v>261.8</v>
      </c>
      <c r="F167" s="529">
        <f>VLOOKUP(D167,'Aug 2013 Revenue'!D:V,19,FALSE)</f>
        <v>0</v>
      </c>
      <c r="G167" s="680"/>
      <c r="H167" s="680"/>
      <c r="I167" s="755"/>
      <c r="J167" s="682">
        <f t="shared" si="126"/>
        <v>261.8</v>
      </c>
      <c r="K167" s="683"/>
      <c r="L167" s="684"/>
      <c r="M167" s="753"/>
      <c r="N167" s="683">
        <v>0</v>
      </c>
      <c r="O167" s="686"/>
      <c r="P167" s="683">
        <v>0</v>
      </c>
      <c r="Q167" s="687">
        <f t="shared" si="124"/>
        <v>0</v>
      </c>
      <c r="R167" s="687"/>
      <c r="S167" s="687"/>
      <c r="T167" s="688">
        <v>0</v>
      </c>
      <c r="U167" s="693"/>
      <c r="V167" s="690">
        <f t="shared" si="125"/>
        <v>0</v>
      </c>
      <c r="W167" s="683"/>
      <c r="X167" s="474">
        <f t="shared" si="134"/>
        <v>0</v>
      </c>
      <c r="Y167" s="474">
        <f t="shared" si="135"/>
        <v>0</v>
      </c>
      <c r="Z167" s="475">
        <f t="shared" si="136"/>
        <v>0</v>
      </c>
      <c r="AA167" s="475">
        <v>0</v>
      </c>
      <c r="AB167" s="476">
        <v>0</v>
      </c>
      <c r="AC167" s="38">
        <f t="shared" si="137"/>
        <v>0</v>
      </c>
      <c r="AD167" s="692">
        <f t="shared" si="127"/>
        <v>261.8</v>
      </c>
      <c r="AE167" s="692">
        <f t="shared" si="128"/>
        <v>0</v>
      </c>
      <c r="AF167" s="692">
        <f t="shared" si="129"/>
        <v>0</v>
      </c>
      <c r="AG167" s="38"/>
      <c r="AH167" s="692">
        <f t="shared" si="131"/>
        <v>0</v>
      </c>
      <c r="AI167" s="692">
        <f t="shared" si="132"/>
        <v>0</v>
      </c>
      <c r="AJ167" s="692">
        <f t="shared" si="133"/>
        <v>0</v>
      </c>
      <c r="AL167" s="38">
        <f t="shared" si="130"/>
        <v>261.8</v>
      </c>
    </row>
    <row r="168" spans="1:38">
      <c r="A168" s="21"/>
      <c r="B168" s="21" t="s">
        <v>110</v>
      </c>
      <c r="C168" s="21"/>
      <c r="D168" s="68" t="s">
        <v>186</v>
      </c>
      <c r="E168" s="679">
        <v>285.95</v>
      </c>
      <c r="F168" s="529">
        <f>VLOOKUP(D168,'Aug 2013 Revenue'!D:V,19,FALSE)</f>
        <v>0</v>
      </c>
      <c r="G168" s="680"/>
      <c r="H168" s="680"/>
      <c r="I168" s="755"/>
      <c r="J168" s="682">
        <f t="shared" si="126"/>
        <v>285.95</v>
      </c>
      <c r="K168" s="683"/>
      <c r="L168" s="684"/>
      <c r="M168" s="753"/>
      <c r="N168" s="683">
        <v>0</v>
      </c>
      <c r="O168" s="686"/>
      <c r="P168" s="683">
        <v>0</v>
      </c>
      <c r="Q168" s="687">
        <f t="shared" si="124"/>
        <v>0</v>
      </c>
      <c r="R168" s="687"/>
      <c r="S168" s="687"/>
      <c r="T168" s="688">
        <v>0</v>
      </c>
      <c r="U168" s="693"/>
      <c r="V168" s="690">
        <f t="shared" si="125"/>
        <v>0</v>
      </c>
      <c r="W168" s="683"/>
      <c r="X168" s="474">
        <f t="shared" si="134"/>
        <v>0</v>
      </c>
      <c r="Y168" s="474">
        <f t="shared" si="135"/>
        <v>0</v>
      </c>
      <c r="Z168" s="475">
        <f t="shared" si="136"/>
        <v>0</v>
      </c>
      <c r="AA168" s="475">
        <v>0</v>
      </c>
      <c r="AB168" s="476">
        <v>0</v>
      </c>
      <c r="AC168" s="38">
        <f t="shared" si="137"/>
        <v>0</v>
      </c>
      <c r="AD168" s="692">
        <f t="shared" si="127"/>
        <v>285.95</v>
      </c>
      <c r="AE168" s="692">
        <f t="shared" si="128"/>
        <v>0</v>
      </c>
      <c r="AF168" s="692">
        <f t="shared" si="129"/>
        <v>0</v>
      </c>
      <c r="AG168" s="38"/>
      <c r="AH168" s="692">
        <f t="shared" si="131"/>
        <v>0</v>
      </c>
      <c r="AI168" s="692">
        <f t="shared" si="132"/>
        <v>0</v>
      </c>
      <c r="AJ168" s="692">
        <f t="shared" si="133"/>
        <v>0</v>
      </c>
      <c r="AL168" s="38">
        <f t="shared" si="130"/>
        <v>285.95</v>
      </c>
    </row>
    <row r="169" spans="1:38">
      <c r="A169" s="21"/>
      <c r="B169" s="21" t="s">
        <v>110</v>
      </c>
      <c r="C169" s="666"/>
      <c r="D169" s="68" t="s">
        <v>449</v>
      </c>
      <c r="E169" s="679"/>
      <c r="F169" s="529">
        <f>VLOOKUP(D169,'Aug 2013 Revenue'!D:V,19,FALSE)</f>
        <v>0</v>
      </c>
      <c r="G169" s="680"/>
      <c r="H169" s="680"/>
      <c r="I169" s="755"/>
      <c r="J169" s="682">
        <f t="shared" si="126"/>
        <v>0</v>
      </c>
      <c r="K169" s="683"/>
      <c r="L169" s="684"/>
      <c r="M169" s="753"/>
      <c r="N169" s="683">
        <v>0</v>
      </c>
      <c r="O169" s="686"/>
      <c r="P169" s="683">
        <v>0</v>
      </c>
      <c r="Q169" s="687">
        <f t="shared" si="124"/>
        <v>0</v>
      </c>
      <c r="R169" s="687"/>
      <c r="S169" s="687"/>
      <c r="T169" s="688">
        <v>0</v>
      </c>
      <c r="U169" s="693"/>
      <c r="V169" s="690">
        <f t="shared" si="125"/>
        <v>0</v>
      </c>
      <c r="W169" s="683"/>
      <c r="X169" s="474">
        <f t="shared" si="134"/>
        <v>0</v>
      </c>
      <c r="Y169" s="474">
        <f t="shared" si="135"/>
        <v>0</v>
      </c>
      <c r="Z169" s="475">
        <f t="shared" si="136"/>
        <v>0</v>
      </c>
      <c r="AA169" s="475">
        <v>0</v>
      </c>
      <c r="AB169" s="476">
        <v>0</v>
      </c>
      <c r="AC169" s="38">
        <f t="shared" si="137"/>
        <v>0</v>
      </c>
      <c r="AD169" s="692">
        <f t="shared" si="127"/>
        <v>0</v>
      </c>
      <c r="AE169" s="692">
        <f t="shared" si="128"/>
        <v>0</v>
      </c>
      <c r="AF169" s="692">
        <f t="shared" si="129"/>
        <v>0</v>
      </c>
      <c r="AG169" s="38"/>
      <c r="AH169" s="692">
        <f t="shared" si="131"/>
        <v>0</v>
      </c>
      <c r="AI169" s="692">
        <f t="shared" si="132"/>
        <v>0</v>
      </c>
      <c r="AJ169" s="692">
        <f t="shared" si="133"/>
        <v>0</v>
      </c>
      <c r="AL169" s="38">
        <f t="shared" si="130"/>
        <v>0</v>
      </c>
    </row>
    <row r="170" spans="1:38">
      <c r="A170" s="21"/>
      <c r="B170" s="21" t="s">
        <v>110</v>
      </c>
      <c r="C170" s="666" t="s">
        <v>566</v>
      </c>
      <c r="D170" s="68" t="s">
        <v>39</v>
      </c>
      <c r="E170" s="679"/>
      <c r="F170" s="529">
        <f>VLOOKUP(D170,'Aug 2013 Revenue'!D:V,19,FALSE)</f>
        <v>-6000</v>
      </c>
      <c r="G170" s="680"/>
      <c r="H170" s="680"/>
      <c r="I170" s="755"/>
      <c r="J170" s="682">
        <f t="shared" si="126"/>
        <v>-6000</v>
      </c>
      <c r="K170" s="683"/>
      <c r="L170" s="684"/>
      <c r="M170" s="753">
        <v>12000</v>
      </c>
      <c r="N170" s="683">
        <v>0</v>
      </c>
      <c r="O170" s="686"/>
      <c r="P170" s="683">
        <v>0</v>
      </c>
      <c r="Q170" s="687">
        <f t="shared" si="124"/>
        <v>12000</v>
      </c>
      <c r="R170" s="687"/>
      <c r="S170" s="687"/>
      <c r="T170" s="688">
        <v>0</v>
      </c>
      <c r="U170" s="693"/>
      <c r="V170" s="690">
        <f t="shared" si="125"/>
        <v>-12000</v>
      </c>
      <c r="W170" s="683"/>
      <c r="X170" s="474">
        <f t="shared" si="134"/>
        <v>12000</v>
      </c>
      <c r="Y170" s="474">
        <f t="shared" si="135"/>
        <v>0</v>
      </c>
      <c r="Z170" s="475">
        <f t="shared" si="136"/>
        <v>0</v>
      </c>
      <c r="AA170" s="475">
        <v>0</v>
      </c>
      <c r="AB170" s="476">
        <v>0</v>
      </c>
      <c r="AC170" s="38">
        <f t="shared" si="137"/>
        <v>0</v>
      </c>
      <c r="AD170" s="692">
        <f t="shared" si="127"/>
        <v>-6000</v>
      </c>
      <c r="AE170" s="692">
        <f t="shared" si="128"/>
        <v>0</v>
      </c>
      <c r="AF170" s="692">
        <f t="shared" si="129"/>
        <v>0</v>
      </c>
      <c r="AG170" s="38"/>
      <c r="AH170" s="692">
        <f t="shared" si="131"/>
        <v>12000</v>
      </c>
      <c r="AI170" s="692">
        <f t="shared" si="132"/>
        <v>0</v>
      </c>
      <c r="AJ170" s="692">
        <f t="shared" si="133"/>
        <v>0</v>
      </c>
      <c r="AL170" s="38">
        <f t="shared" si="130"/>
        <v>6000</v>
      </c>
    </row>
    <row r="171" spans="1:38">
      <c r="A171" s="21"/>
      <c r="B171" s="21" t="s">
        <v>110</v>
      </c>
      <c r="C171" s="666" t="s">
        <v>567</v>
      </c>
      <c r="D171" s="68" t="s">
        <v>435</v>
      </c>
      <c r="E171" s="679"/>
      <c r="F171" s="529">
        <f>VLOOKUP(D171,'Aug 2013 Revenue'!D:V,19,FALSE)</f>
        <v>-32289.410000000003</v>
      </c>
      <c r="G171" s="680"/>
      <c r="H171" s="680"/>
      <c r="I171" s="755"/>
      <c r="J171" s="682">
        <f t="shared" si="126"/>
        <v>-32289.410000000003</v>
      </c>
      <c r="K171" s="683"/>
      <c r="L171" s="684"/>
      <c r="M171" s="753">
        <v>75000</v>
      </c>
      <c r="N171" s="683">
        <v>0</v>
      </c>
      <c r="O171" s="686"/>
      <c r="P171" s="683">
        <v>0</v>
      </c>
      <c r="Q171" s="687">
        <f t="shared" si="124"/>
        <v>75000</v>
      </c>
      <c r="R171" s="687"/>
      <c r="S171" s="687"/>
      <c r="T171" s="688">
        <v>108546.41</v>
      </c>
      <c r="U171" s="693"/>
      <c r="V171" s="690">
        <f t="shared" si="125"/>
        <v>33546.410000000003</v>
      </c>
      <c r="W171" s="683"/>
      <c r="X171" s="474">
        <f t="shared" si="134"/>
        <v>75000</v>
      </c>
      <c r="Y171" s="474">
        <f t="shared" si="135"/>
        <v>0</v>
      </c>
      <c r="Z171" s="475">
        <f t="shared" si="136"/>
        <v>0</v>
      </c>
      <c r="AA171" s="475">
        <v>0</v>
      </c>
      <c r="AB171" s="476">
        <v>0</v>
      </c>
      <c r="AC171" s="38">
        <f t="shared" si="137"/>
        <v>0</v>
      </c>
      <c r="AD171" s="692">
        <f t="shared" si="127"/>
        <v>-32289.410000000003</v>
      </c>
      <c r="AE171" s="692">
        <f t="shared" si="128"/>
        <v>0</v>
      </c>
      <c r="AF171" s="692">
        <f t="shared" si="129"/>
        <v>0</v>
      </c>
      <c r="AG171" s="38"/>
      <c r="AH171" s="692">
        <f t="shared" si="131"/>
        <v>75000</v>
      </c>
      <c r="AI171" s="692">
        <f t="shared" si="132"/>
        <v>0</v>
      </c>
      <c r="AJ171" s="692">
        <f t="shared" si="133"/>
        <v>0</v>
      </c>
      <c r="AL171" s="38">
        <f t="shared" si="130"/>
        <v>42710.59</v>
      </c>
    </row>
    <row r="172" spans="1:38">
      <c r="A172" s="21"/>
      <c r="B172" s="21" t="s">
        <v>110</v>
      </c>
      <c r="C172" s="675" t="s">
        <v>584</v>
      </c>
      <c r="D172" s="806" t="s">
        <v>99</v>
      </c>
      <c r="E172" s="679"/>
      <c r="F172" s="529">
        <f>VLOOKUP(D172,'Aug 2013 Revenue'!D:V,19,FALSE)</f>
        <v>-20000</v>
      </c>
      <c r="G172" s="680"/>
      <c r="H172" s="680"/>
      <c r="I172" s="755"/>
      <c r="J172" s="682">
        <f t="shared" si="126"/>
        <v>-20000</v>
      </c>
      <c r="K172" s="683"/>
      <c r="L172" s="684"/>
      <c r="M172" s="753">
        <v>30000</v>
      </c>
      <c r="N172" s="683">
        <v>0</v>
      </c>
      <c r="O172" s="686"/>
      <c r="P172" s="683">
        <v>0</v>
      </c>
      <c r="Q172" s="687">
        <f t="shared" si="124"/>
        <v>30000</v>
      </c>
      <c r="R172" s="687"/>
      <c r="S172" s="687"/>
      <c r="T172" s="688">
        <v>0</v>
      </c>
      <c r="U172" s="693"/>
      <c r="V172" s="690">
        <f t="shared" si="125"/>
        <v>-30000</v>
      </c>
      <c r="W172" s="683"/>
      <c r="X172" s="474">
        <f t="shared" si="134"/>
        <v>30000</v>
      </c>
      <c r="Y172" s="474">
        <f t="shared" si="135"/>
        <v>0</v>
      </c>
      <c r="Z172" s="475">
        <f t="shared" si="136"/>
        <v>0</v>
      </c>
      <c r="AA172" s="475">
        <v>0</v>
      </c>
      <c r="AB172" s="476">
        <v>0</v>
      </c>
      <c r="AC172" s="38">
        <f t="shared" si="137"/>
        <v>0</v>
      </c>
      <c r="AD172" s="692">
        <f t="shared" si="127"/>
        <v>-20000</v>
      </c>
      <c r="AE172" s="692">
        <f>IF(B172="M",J172,0)</f>
        <v>0</v>
      </c>
      <c r="AF172" s="692">
        <f t="shared" si="129"/>
        <v>0</v>
      </c>
      <c r="AG172" s="38"/>
      <c r="AH172" s="692">
        <f t="shared" si="131"/>
        <v>30000</v>
      </c>
      <c r="AI172" s="692">
        <f t="shared" si="132"/>
        <v>0</v>
      </c>
      <c r="AJ172" s="692">
        <f t="shared" si="133"/>
        <v>0</v>
      </c>
      <c r="AL172" s="38">
        <f t="shared" si="130"/>
        <v>10000</v>
      </c>
    </row>
    <row r="173" spans="1:38" s="232" customFormat="1">
      <c r="A173" s="403"/>
      <c r="B173" s="403" t="s">
        <v>110</v>
      </c>
      <c r="C173" s="666"/>
      <c r="D173" s="813" t="s">
        <v>966</v>
      </c>
      <c r="E173" s="818">
        <v>146198.60999999999</v>
      </c>
      <c r="F173" s="818">
        <f>VLOOKUP(D173,'Aug 2013 Revenue'!D:V,19,FALSE)</f>
        <v>-270000</v>
      </c>
      <c r="G173" s="818"/>
      <c r="H173" s="818"/>
      <c r="I173" s="818"/>
      <c r="J173" s="818">
        <f t="shared" si="126"/>
        <v>-123801.39000000001</v>
      </c>
      <c r="K173" s="683"/>
      <c r="L173" s="684"/>
      <c r="M173" s="819">
        <v>300000</v>
      </c>
      <c r="N173" s="683">
        <v>0</v>
      </c>
      <c r="O173" s="686"/>
      <c r="P173" s="683">
        <v>0</v>
      </c>
      <c r="Q173" s="687">
        <f t="shared" si="124"/>
        <v>300000</v>
      </c>
      <c r="R173" s="687"/>
      <c r="S173" s="687"/>
      <c r="T173" s="688">
        <v>0</v>
      </c>
      <c r="U173" s="693"/>
      <c r="V173" s="690">
        <f t="shared" si="125"/>
        <v>-300000</v>
      </c>
      <c r="W173" s="683"/>
      <c r="X173" s="474">
        <f t="shared" si="134"/>
        <v>300000</v>
      </c>
      <c r="Y173" s="474">
        <f t="shared" si="135"/>
        <v>0</v>
      </c>
      <c r="Z173" s="475">
        <f t="shared" si="136"/>
        <v>0</v>
      </c>
      <c r="AA173" s="475">
        <v>0</v>
      </c>
      <c r="AB173" s="476">
        <v>0</v>
      </c>
      <c r="AC173" s="38">
        <f t="shared" si="137"/>
        <v>0</v>
      </c>
      <c r="AD173" s="692">
        <f t="shared" si="127"/>
        <v>-123801.39000000001</v>
      </c>
      <c r="AE173" s="692">
        <f t="shared" si="128"/>
        <v>0</v>
      </c>
      <c r="AF173" s="692">
        <f t="shared" si="129"/>
        <v>0</v>
      </c>
      <c r="AG173" s="38"/>
      <c r="AH173" s="692">
        <f t="shared" si="131"/>
        <v>300000</v>
      </c>
      <c r="AI173" s="692">
        <f t="shared" si="132"/>
        <v>0</v>
      </c>
      <c r="AJ173" s="692">
        <f t="shared" si="133"/>
        <v>0</v>
      </c>
      <c r="AL173" s="38">
        <f t="shared" si="130"/>
        <v>176198.61</v>
      </c>
    </row>
    <row r="174" spans="1:38" s="232" customFormat="1">
      <c r="A174" s="403"/>
      <c r="B174" s="403" t="s">
        <v>110</v>
      </c>
      <c r="C174" s="666" t="s">
        <v>568</v>
      </c>
      <c r="D174" s="807" t="s">
        <v>303</v>
      </c>
      <c r="E174" s="679">
        <f>SUM(428475.64-E173)</f>
        <v>282277.03000000003</v>
      </c>
      <c r="F174" s="529">
        <f>VLOOKUP(D174,'Aug 2013 Revenue'!D:V,19,FALSE)</f>
        <v>-600000</v>
      </c>
      <c r="G174" s="680"/>
      <c r="H174" s="680"/>
      <c r="I174" s="755"/>
      <c r="J174" s="682">
        <f t="shared" si="126"/>
        <v>-317722.96999999997</v>
      </c>
      <c r="K174" s="683"/>
      <c r="L174" s="684"/>
      <c r="M174" s="753">
        <v>550000</v>
      </c>
      <c r="N174" s="683">
        <v>0</v>
      </c>
      <c r="O174" s="686"/>
      <c r="P174" s="683">
        <v>0</v>
      </c>
      <c r="Q174" s="687">
        <f t="shared" si="124"/>
        <v>550000</v>
      </c>
      <c r="R174" s="687"/>
      <c r="S174" s="687"/>
      <c r="T174" s="688">
        <v>0</v>
      </c>
      <c r="U174" s="693"/>
      <c r="V174" s="690">
        <f t="shared" si="125"/>
        <v>-550000</v>
      </c>
      <c r="W174" s="683"/>
      <c r="X174" s="474">
        <f t="shared" si="134"/>
        <v>550000</v>
      </c>
      <c r="Y174" s="474">
        <f t="shared" si="135"/>
        <v>0</v>
      </c>
      <c r="Z174" s="475">
        <f t="shared" si="136"/>
        <v>0</v>
      </c>
      <c r="AA174" s="475">
        <v>0</v>
      </c>
      <c r="AB174" s="476">
        <v>0</v>
      </c>
      <c r="AC174" s="38">
        <f t="shared" si="137"/>
        <v>0</v>
      </c>
      <c r="AD174" s="692">
        <f t="shared" si="127"/>
        <v>-317722.96999999997</v>
      </c>
      <c r="AE174" s="692">
        <f t="shared" si="128"/>
        <v>0</v>
      </c>
      <c r="AF174" s="692">
        <f t="shared" si="129"/>
        <v>0</v>
      </c>
      <c r="AG174" s="38"/>
      <c r="AH174" s="692">
        <f t="shared" si="131"/>
        <v>550000</v>
      </c>
      <c r="AI174" s="692">
        <f t="shared" si="132"/>
        <v>0</v>
      </c>
      <c r="AJ174" s="692">
        <f t="shared" si="133"/>
        <v>0</v>
      </c>
      <c r="AL174" s="38">
        <f t="shared" si="130"/>
        <v>232277.03000000003</v>
      </c>
    </row>
    <row r="175" spans="1:38" s="232" customFormat="1">
      <c r="A175" s="403"/>
      <c r="B175" s="403" t="s">
        <v>110</v>
      </c>
      <c r="C175" s="666"/>
      <c r="D175" s="807" t="s">
        <v>856</v>
      </c>
      <c r="E175" s="679"/>
      <c r="F175" s="529">
        <f>VLOOKUP(D175,'Aug 2013 Revenue'!D:V,19,FALSE)</f>
        <v>0</v>
      </c>
      <c r="G175" s="680"/>
      <c r="H175" s="680"/>
      <c r="I175" s="755"/>
      <c r="J175" s="682">
        <f t="shared" si="126"/>
        <v>0</v>
      </c>
      <c r="K175" s="683"/>
      <c r="L175" s="684"/>
      <c r="M175" s="753"/>
      <c r="N175" s="683">
        <v>0</v>
      </c>
      <c r="O175" s="686"/>
      <c r="P175" s="683">
        <v>0</v>
      </c>
      <c r="Q175" s="687">
        <f t="shared" si="124"/>
        <v>0</v>
      </c>
      <c r="R175" s="687"/>
      <c r="S175" s="687"/>
      <c r="T175" s="688">
        <v>0</v>
      </c>
      <c r="U175" s="693"/>
      <c r="V175" s="690">
        <f t="shared" si="125"/>
        <v>0</v>
      </c>
      <c r="W175" s="683"/>
      <c r="X175" s="474">
        <f t="shared" si="134"/>
        <v>0</v>
      </c>
      <c r="Y175" s="474">
        <f t="shared" si="135"/>
        <v>0</v>
      </c>
      <c r="Z175" s="475">
        <f t="shared" si="136"/>
        <v>0</v>
      </c>
      <c r="AA175" s="475">
        <v>0</v>
      </c>
      <c r="AB175" s="476">
        <v>0</v>
      </c>
      <c r="AC175" s="38">
        <f t="shared" si="137"/>
        <v>0</v>
      </c>
      <c r="AD175" s="692">
        <f t="shared" si="127"/>
        <v>0</v>
      </c>
      <c r="AE175" s="692">
        <f t="shared" si="128"/>
        <v>0</v>
      </c>
      <c r="AF175" s="692">
        <f t="shared" si="129"/>
        <v>0</v>
      </c>
      <c r="AG175" s="38"/>
      <c r="AH175" s="692">
        <f t="shared" si="131"/>
        <v>0</v>
      </c>
      <c r="AI175" s="692">
        <f t="shared" si="132"/>
        <v>0</v>
      </c>
      <c r="AJ175" s="692">
        <f t="shared" si="133"/>
        <v>0</v>
      </c>
      <c r="AL175" s="38">
        <f t="shared" si="130"/>
        <v>0</v>
      </c>
    </row>
    <row r="176" spans="1:38" s="232" customFormat="1">
      <c r="A176" s="403"/>
      <c r="B176" s="403" t="s">
        <v>109</v>
      </c>
      <c r="C176" s="666" t="s">
        <v>569</v>
      </c>
      <c r="D176" s="123" t="s">
        <v>468</v>
      </c>
      <c r="E176" s="679"/>
      <c r="F176" s="529">
        <f>VLOOKUP(D176,'Aug 2013 Revenue'!D:V,19,FALSE)</f>
        <v>0</v>
      </c>
      <c r="G176" s="680"/>
      <c r="H176" s="680"/>
      <c r="I176" s="755"/>
      <c r="J176" s="682">
        <f t="shared" si="126"/>
        <v>0</v>
      </c>
      <c r="K176" s="683"/>
      <c r="L176" s="684"/>
      <c r="M176" s="753"/>
      <c r="N176" s="683">
        <v>0</v>
      </c>
      <c r="O176" s="686"/>
      <c r="P176" s="683">
        <v>0</v>
      </c>
      <c r="Q176" s="687">
        <f t="shared" si="124"/>
        <v>0</v>
      </c>
      <c r="R176" s="687"/>
      <c r="S176" s="687"/>
      <c r="T176" s="688">
        <v>0</v>
      </c>
      <c r="U176" s="693"/>
      <c r="V176" s="690">
        <f t="shared" si="125"/>
        <v>0</v>
      </c>
      <c r="W176" s="683"/>
      <c r="X176" s="474">
        <f t="shared" si="134"/>
        <v>0</v>
      </c>
      <c r="Y176" s="474">
        <f t="shared" si="135"/>
        <v>0</v>
      </c>
      <c r="Z176" s="475">
        <f t="shared" si="136"/>
        <v>0</v>
      </c>
      <c r="AA176" s="475">
        <v>0</v>
      </c>
      <c r="AB176" s="476">
        <v>0</v>
      </c>
      <c r="AC176" s="38">
        <f t="shared" si="137"/>
        <v>0</v>
      </c>
      <c r="AD176" s="692">
        <f t="shared" si="127"/>
        <v>0</v>
      </c>
      <c r="AE176" s="692">
        <f t="shared" si="128"/>
        <v>0</v>
      </c>
      <c r="AF176" s="692">
        <f t="shared" si="129"/>
        <v>0</v>
      </c>
      <c r="AG176" s="38"/>
      <c r="AH176" s="692">
        <f t="shared" si="131"/>
        <v>0</v>
      </c>
      <c r="AI176" s="692">
        <f t="shared" si="132"/>
        <v>0</v>
      </c>
      <c r="AJ176" s="692">
        <f t="shared" si="133"/>
        <v>0</v>
      </c>
      <c r="AL176" s="38">
        <f t="shared" si="130"/>
        <v>0</v>
      </c>
    </row>
    <row r="177" spans="1:38">
      <c r="A177" s="20"/>
      <c r="B177" s="20" t="s">
        <v>110</v>
      </c>
      <c r="C177" s="676" t="s">
        <v>844</v>
      </c>
      <c r="D177" s="68" t="s">
        <v>845</v>
      </c>
      <c r="E177" s="679"/>
      <c r="F177" s="529">
        <f>VLOOKUP(D177,'Aug 2013 Revenue'!D:V,19,FALSE)</f>
        <v>0</v>
      </c>
      <c r="G177" s="680"/>
      <c r="H177" s="680"/>
      <c r="I177" s="755"/>
      <c r="J177" s="682">
        <f t="shared" si="126"/>
        <v>0</v>
      </c>
      <c r="K177" s="683"/>
      <c r="L177" s="684"/>
      <c r="M177" s="753"/>
      <c r="N177" s="683">
        <v>0</v>
      </c>
      <c r="O177" s="686"/>
      <c r="P177" s="683">
        <v>0</v>
      </c>
      <c r="Q177" s="687">
        <f t="shared" si="124"/>
        <v>0</v>
      </c>
      <c r="R177" s="687"/>
      <c r="S177" s="687"/>
      <c r="T177" s="688">
        <v>0</v>
      </c>
      <c r="U177" s="693"/>
      <c r="V177" s="690">
        <f t="shared" si="125"/>
        <v>0</v>
      </c>
      <c r="W177" s="683"/>
      <c r="X177" s="474">
        <f t="shared" si="134"/>
        <v>0</v>
      </c>
      <c r="Y177" s="474">
        <f t="shared" si="135"/>
        <v>0</v>
      </c>
      <c r="Z177" s="475">
        <f t="shared" si="136"/>
        <v>0</v>
      </c>
      <c r="AA177" s="475">
        <v>0</v>
      </c>
      <c r="AB177" s="476">
        <v>0</v>
      </c>
      <c r="AC177" s="38">
        <f t="shared" si="137"/>
        <v>0</v>
      </c>
      <c r="AD177" s="692">
        <f t="shared" si="127"/>
        <v>0</v>
      </c>
      <c r="AE177" s="692">
        <f t="shared" si="128"/>
        <v>0</v>
      </c>
      <c r="AF177" s="692">
        <f t="shared" si="129"/>
        <v>0</v>
      </c>
      <c r="AG177" s="38"/>
      <c r="AH177" s="692">
        <f t="shared" si="131"/>
        <v>0</v>
      </c>
      <c r="AI177" s="692">
        <f t="shared" si="132"/>
        <v>0</v>
      </c>
      <c r="AJ177" s="692">
        <f t="shared" si="133"/>
        <v>0</v>
      </c>
      <c r="AL177" s="38">
        <f t="shared" si="130"/>
        <v>0</v>
      </c>
    </row>
    <row r="178" spans="1:38">
      <c r="A178" s="20"/>
      <c r="B178" s="20" t="s">
        <v>110</v>
      </c>
      <c r="C178" s="676" t="s">
        <v>977</v>
      </c>
      <c r="D178" s="68" t="s">
        <v>978</v>
      </c>
      <c r="E178" s="679"/>
      <c r="F178" s="529">
        <f>VLOOKUP(D178,'Aug 2013 Revenue'!D:V,19,FALSE)</f>
        <v>-10000</v>
      </c>
      <c r="G178" s="680"/>
      <c r="H178" s="680"/>
      <c r="I178" s="755"/>
      <c r="J178" s="682">
        <f t="shared" si="126"/>
        <v>-10000</v>
      </c>
      <c r="K178" s="683"/>
      <c r="L178" s="684"/>
      <c r="M178" s="753">
        <v>20000</v>
      </c>
      <c r="N178" s="683">
        <v>0</v>
      </c>
      <c r="O178" s="686"/>
      <c r="P178" s="683">
        <v>0</v>
      </c>
      <c r="Q178" s="687">
        <f t="shared" si="124"/>
        <v>20000</v>
      </c>
      <c r="R178" s="687"/>
      <c r="S178" s="687"/>
      <c r="T178" s="688">
        <v>0</v>
      </c>
      <c r="U178" s="693"/>
      <c r="V178" s="690">
        <f t="shared" si="125"/>
        <v>-20000</v>
      </c>
      <c r="W178" s="683"/>
      <c r="X178" s="474">
        <f t="shared" si="134"/>
        <v>20000</v>
      </c>
      <c r="Y178" s="474">
        <f t="shared" si="135"/>
        <v>0</v>
      </c>
      <c r="Z178" s="475">
        <f t="shared" si="136"/>
        <v>0</v>
      </c>
      <c r="AA178" s="475">
        <v>0</v>
      </c>
      <c r="AB178" s="476">
        <v>0</v>
      </c>
      <c r="AC178" s="38">
        <f t="shared" si="137"/>
        <v>0</v>
      </c>
      <c r="AD178" s="692">
        <f t="shared" si="127"/>
        <v>-10000</v>
      </c>
      <c r="AE178" s="692">
        <f t="shared" si="128"/>
        <v>0</v>
      </c>
      <c r="AF178" s="692">
        <f t="shared" si="129"/>
        <v>0</v>
      </c>
      <c r="AG178" s="38"/>
      <c r="AH178" s="692">
        <f t="shared" si="131"/>
        <v>20000</v>
      </c>
      <c r="AI178" s="692">
        <f t="shared" si="132"/>
        <v>0</v>
      </c>
      <c r="AJ178" s="692">
        <f t="shared" si="133"/>
        <v>0</v>
      </c>
      <c r="AL178" s="38">
        <f t="shared" si="130"/>
        <v>10000</v>
      </c>
    </row>
    <row r="179" spans="1:38">
      <c r="A179" s="20"/>
      <c r="B179" s="20" t="s">
        <v>109</v>
      </c>
      <c r="C179" s="667" t="s">
        <v>570</v>
      </c>
      <c r="D179" s="68" t="s">
        <v>221</v>
      </c>
      <c r="E179" s="679"/>
      <c r="F179" s="529">
        <f>VLOOKUP(D179,'Aug 2013 Revenue'!D:V,19,FALSE)</f>
        <v>0</v>
      </c>
      <c r="G179" s="680"/>
      <c r="H179" s="680"/>
      <c r="I179" s="755"/>
      <c r="J179" s="682">
        <f t="shared" si="126"/>
        <v>0</v>
      </c>
      <c r="K179" s="683"/>
      <c r="L179" s="684"/>
      <c r="M179" s="753"/>
      <c r="N179" s="683">
        <v>0</v>
      </c>
      <c r="O179" s="686"/>
      <c r="P179" s="683">
        <v>0</v>
      </c>
      <c r="Q179" s="687">
        <f t="shared" si="124"/>
        <v>0</v>
      </c>
      <c r="R179" s="687"/>
      <c r="S179" s="687"/>
      <c r="T179" s="688">
        <v>0</v>
      </c>
      <c r="U179" s="693"/>
      <c r="V179" s="690">
        <f t="shared" si="125"/>
        <v>0</v>
      </c>
      <c r="W179" s="683"/>
      <c r="X179" s="474">
        <f t="shared" si="134"/>
        <v>0</v>
      </c>
      <c r="Y179" s="474">
        <f t="shared" si="135"/>
        <v>0</v>
      </c>
      <c r="Z179" s="475">
        <f t="shared" si="136"/>
        <v>0</v>
      </c>
      <c r="AA179" s="475">
        <v>0</v>
      </c>
      <c r="AB179" s="476">
        <v>0</v>
      </c>
      <c r="AC179" s="38">
        <f t="shared" si="137"/>
        <v>0</v>
      </c>
      <c r="AD179" s="692">
        <f t="shared" si="127"/>
        <v>0</v>
      </c>
      <c r="AE179" s="692">
        <f t="shared" si="128"/>
        <v>0</v>
      </c>
      <c r="AF179" s="692">
        <f t="shared" si="129"/>
        <v>0</v>
      </c>
      <c r="AG179" s="38"/>
      <c r="AH179" s="692">
        <f t="shared" si="131"/>
        <v>0</v>
      </c>
      <c r="AI179" s="692">
        <f t="shared" si="132"/>
        <v>0</v>
      </c>
      <c r="AJ179" s="692">
        <f t="shared" si="133"/>
        <v>0</v>
      </c>
      <c r="AL179" s="38">
        <f t="shared" si="130"/>
        <v>0</v>
      </c>
    </row>
    <row r="180" spans="1:38">
      <c r="A180" s="21"/>
      <c r="B180" s="21" t="s">
        <v>110</v>
      </c>
      <c r="C180" s="666"/>
      <c r="D180" s="68" t="s">
        <v>985</v>
      </c>
      <c r="E180" s="679">
        <v>2303.75</v>
      </c>
      <c r="F180" s="529">
        <v>0</v>
      </c>
      <c r="G180" s="680"/>
      <c r="H180" s="680"/>
      <c r="I180" s="755"/>
      <c r="J180" s="682">
        <f t="shared" si="126"/>
        <v>2303.75</v>
      </c>
      <c r="K180" s="683"/>
      <c r="L180" s="684"/>
      <c r="M180" s="753"/>
      <c r="N180" s="683">
        <v>0</v>
      </c>
      <c r="O180" s="686"/>
      <c r="P180" s="683">
        <v>0</v>
      </c>
      <c r="Q180" s="687">
        <f t="shared" si="124"/>
        <v>0</v>
      </c>
      <c r="R180" s="687"/>
      <c r="S180" s="687"/>
      <c r="T180" s="688">
        <v>0</v>
      </c>
      <c r="U180" s="693"/>
      <c r="V180" s="690">
        <f t="shared" si="125"/>
        <v>0</v>
      </c>
      <c r="W180" s="683"/>
      <c r="X180" s="474">
        <f t="shared" si="134"/>
        <v>0</v>
      </c>
      <c r="Y180" s="474">
        <f t="shared" si="135"/>
        <v>0</v>
      </c>
      <c r="Z180" s="475">
        <f t="shared" si="136"/>
        <v>0</v>
      </c>
      <c r="AA180" s="475">
        <v>0</v>
      </c>
      <c r="AB180" s="476">
        <v>0</v>
      </c>
      <c r="AC180" s="38">
        <f t="shared" si="137"/>
        <v>0</v>
      </c>
      <c r="AD180" s="692">
        <f t="shared" si="127"/>
        <v>2303.75</v>
      </c>
      <c r="AE180" s="692">
        <f t="shared" si="128"/>
        <v>0</v>
      </c>
      <c r="AF180" s="692">
        <f t="shared" si="129"/>
        <v>0</v>
      </c>
      <c r="AG180" s="38"/>
      <c r="AH180" s="692">
        <f t="shared" si="131"/>
        <v>0</v>
      </c>
      <c r="AI180" s="692">
        <f t="shared" si="132"/>
        <v>0</v>
      </c>
      <c r="AJ180" s="692">
        <f t="shared" si="133"/>
        <v>0</v>
      </c>
      <c r="AL180" s="38">
        <f t="shared" si="130"/>
        <v>2303.75</v>
      </c>
    </row>
    <row r="181" spans="1:38">
      <c r="A181" s="21"/>
      <c r="B181" s="21" t="s">
        <v>109</v>
      </c>
      <c r="C181" s="666" t="s">
        <v>571</v>
      </c>
      <c r="D181" s="68" t="s">
        <v>44</v>
      </c>
      <c r="E181" s="679"/>
      <c r="F181" s="529">
        <f>VLOOKUP(D181,'Aug 2013 Revenue'!D:V,19,FALSE)</f>
        <v>-20000</v>
      </c>
      <c r="G181" s="680"/>
      <c r="H181" s="680"/>
      <c r="I181" s="755"/>
      <c r="J181" s="682">
        <f t="shared" si="126"/>
        <v>-20000</v>
      </c>
      <c r="K181" s="683"/>
      <c r="L181" s="684"/>
      <c r="M181" s="753">
        <v>25000</v>
      </c>
      <c r="N181" s="683">
        <v>0</v>
      </c>
      <c r="O181" s="686"/>
      <c r="P181" s="683">
        <v>0</v>
      </c>
      <c r="Q181" s="687">
        <f t="shared" si="124"/>
        <v>25000</v>
      </c>
      <c r="R181" s="687"/>
      <c r="S181" s="687"/>
      <c r="T181" s="688">
        <v>0</v>
      </c>
      <c r="U181" s="693"/>
      <c r="V181" s="690">
        <f t="shared" si="125"/>
        <v>-25000</v>
      </c>
      <c r="W181" s="683"/>
      <c r="X181" s="474">
        <f t="shared" si="134"/>
        <v>0</v>
      </c>
      <c r="Y181" s="474">
        <f t="shared" si="135"/>
        <v>25000</v>
      </c>
      <c r="Z181" s="475">
        <f t="shared" si="136"/>
        <v>0</v>
      </c>
      <c r="AA181" s="475">
        <v>0</v>
      </c>
      <c r="AB181" s="476">
        <v>0</v>
      </c>
      <c r="AC181" s="38">
        <f t="shared" si="137"/>
        <v>0</v>
      </c>
      <c r="AD181" s="692">
        <f t="shared" si="127"/>
        <v>0</v>
      </c>
      <c r="AE181" s="692">
        <f t="shared" si="128"/>
        <v>-20000</v>
      </c>
      <c r="AF181" s="692">
        <f t="shared" si="129"/>
        <v>0</v>
      </c>
      <c r="AG181" s="38"/>
      <c r="AH181" s="692">
        <f t="shared" si="131"/>
        <v>0</v>
      </c>
      <c r="AI181" s="692">
        <f t="shared" si="132"/>
        <v>25000</v>
      </c>
      <c r="AJ181" s="692">
        <f t="shared" si="133"/>
        <v>0</v>
      </c>
      <c r="AL181" s="38">
        <f t="shared" si="130"/>
        <v>5000</v>
      </c>
    </row>
    <row r="182" spans="1:38">
      <c r="A182" s="21"/>
      <c r="B182" s="21" t="s">
        <v>114</v>
      </c>
      <c r="C182" s="666" t="s">
        <v>571</v>
      </c>
      <c r="D182" s="68" t="s">
        <v>44</v>
      </c>
      <c r="E182" s="679"/>
      <c r="F182" s="529">
        <v>0</v>
      </c>
      <c r="G182" s="680"/>
      <c r="H182" s="680"/>
      <c r="I182" s="755"/>
      <c r="J182" s="682">
        <f t="shared" si="126"/>
        <v>0</v>
      </c>
      <c r="K182" s="683"/>
      <c r="L182" s="684"/>
      <c r="M182" s="753"/>
      <c r="N182" s="683">
        <v>0</v>
      </c>
      <c r="O182" s="686"/>
      <c r="P182" s="683">
        <v>0</v>
      </c>
      <c r="Q182" s="687">
        <f t="shared" si="124"/>
        <v>0</v>
      </c>
      <c r="R182" s="687"/>
      <c r="S182" s="687"/>
      <c r="T182" s="688">
        <v>0</v>
      </c>
      <c r="U182" s="693"/>
      <c r="V182" s="690">
        <f t="shared" si="125"/>
        <v>0</v>
      </c>
      <c r="W182" s="683"/>
      <c r="X182" s="474">
        <f t="shared" si="134"/>
        <v>0</v>
      </c>
      <c r="Y182" s="474">
        <f t="shared" si="135"/>
        <v>0</v>
      </c>
      <c r="Z182" s="475">
        <f t="shared" si="136"/>
        <v>0</v>
      </c>
      <c r="AA182" s="475">
        <v>0</v>
      </c>
      <c r="AB182" s="476">
        <v>0</v>
      </c>
      <c r="AC182" s="38">
        <f t="shared" si="137"/>
        <v>0</v>
      </c>
      <c r="AD182" s="692">
        <f t="shared" si="127"/>
        <v>0</v>
      </c>
      <c r="AE182" s="692">
        <f t="shared" si="128"/>
        <v>0</v>
      </c>
      <c r="AF182" s="692">
        <f t="shared" si="129"/>
        <v>0</v>
      </c>
      <c r="AG182" s="38"/>
      <c r="AH182" s="692">
        <f t="shared" si="131"/>
        <v>0</v>
      </c>
      <c r="AI182" s="692">
        <f t="shared" si="132"/>
        <v>0</v>
      </c>
      <c r="AJ182" s="692">
        <f t="shared" si="133"/>
        <v>0</v>
      </c>
      <c r="AL182" s="38">
        <f t="shared" si="130"/>
        <v>0</v>
      </c>
    </row>
    <row r="183" spans="1:38">
      <c r="A183" s="21"/>
      <c r="B183" s="21" t="s">
        <v>110</v>
      </c>
      <c r="C183" s="666" t="s">
        <v>572</v>
      </c>
      <c r="D183" s="806" t="s">
        <v>388</v>
      </c>
      <c r="E183" s="679"/>
      <c r="F183" s="529">
        <f>VLOOKUP(D183,'Aug 2013 Revenue'!D:V,19,FALSE)</f>
        <v>-32000</v>
      </c>
      <c r="G183" s="680"/>
      <c r="H183" s="680"/>
      <c r="I183" s="755"/>
      <c r="J183" s="682">
        <f t="shared" si="126"/>
        <v>-32000</v>
      </c>
      <c r="K183" s="683"/>
      <c r="L183" s="684"/>
      <c r="M183" s="753">
        <v>40000</v>
      </c>
      <c r="N183" s="683">
        <v>0</v>
      </c>
      <c r="O183" s="686"/>
      <c r="P183" s="683">
        <v>0</v>
      </c>
      <c r="Q183" s="687">
        <f t="shared" si="124"/>
        <v>40000</v>
      </c>
      <c r="R183" s="687"/>
      <c r="S183" s="687"/>
      <c r="T183" s="688">
        <v>0</v>
      </c>
      <c r="U183" s="693"/>
      <c r="V183" s="690">
        <f t="shared" si="125"/>
        <v>-40000</v>
      </c>
      <c r="W183" s="683"/>
      <c r="X183" s="474">
        <f t="shared" si="134"/>
        <v>40000</v>
      </c>
      <c r="Y183" s="474">
        <f t="shared" si="135"/>
        <v>0</v>
      </c>
      <c r="Z183" s="475">
        <f t="shared" si="136"/>
        <v>0</v>
      </c>
      <c r="AA183" s="475">
        <v>0</v>
      </c>
      <c r="AB183" s="476">
        <v>0</v>
      </c>
      <c r="AC183" s="38">
        <f t="shared" si="137"/>
        <v>0</v>
      </c>
      <c r="AD183" s="692">
        <f t="shared" si="127"/>
        <v>-32000</v>
      </c>
      <c r="AE183" s="692">
        <f t="shared" si="128"/>
        <v>0</v>
      </c>
      <c r="AF183" s="692">
        <f t="shared" si="129"/>
        <v>0</v>
      </c>
      <c r="AG183" s="38"/>
      <c r="AH183" s="692">
        <f t="shared" si="131"/>
        <v>40000</v>
      </c>
      <c r="AI183" s="692">
        <f t="shared" si="132"/>
        <v>0</v>
      </c>
      <c r="AJ183" s="692">
        <f t="shared" si="133"/>
        <v>0</v>
      </c>
      <c r="AL183" s="38">
        <f t="shared" si="130"/>
        <v>8000</v>
      </c>
    </row>
    <row r="184" spans="1:38">
      <c r="A184" s="20"/>
      <c r="B184" s="20" t="s">
        <v>109</v>
      </c>
      <c r="C184" s="667"/>
      <c r="D184" s="806" t="s">
        <v>842</v>
      </c>
      <c r="E184" s="679"/>
      <c r="F184" s="529">
        <f>VLOOKUP(D184,'Aug 2013 Revenue'!D:V,19,FALSE)</f>
        <v>-95000</v>
      </c>
      <c r="G184" s="680"/>
      <c r="H184" s="680"/>
      <c r="I184" s="755"/>
      <c r="J184" s="682">
        <f t="shared" si="126"/>
        <v>-95000</v>
      </c>
      <c r="K184" s="683"/>
      <c r="L184" s="684"/>
      <c r="M184" s="753">
        <v>105000</v>
      </c>
      <c r="N184" s="683">
        <v>0</v>
      </c>
      <c r="O184" s="686"/>
      <c r="P184" s="683">
        <v>0</v>
      </c>
      <c r="Q184" s="687">
        <f t="shared" si="124"/>
        <v>105000</v>
      </c>
      <c r="R184" s="687"/>
      <c r="S184" s="687"/>
      <c r="T184" s="688">
        <v>0</v>
      </c>
      <c r="U184" s="693"/>
      <c r="V184" s="690">
        <f t="shared" si="125"/>
        <v>-105000</v>
      </c>
      <c r="W184" s="683"/>
      <c r="X184" s="474">
        <f t="shared" si="134"/>
        <v>0</v>
      </c>
      <c r="Y184" s="474">
        <f t="shared" si="135"/>
        <v>105000</v>
      </c>
      <c r="Z184" s="475">
        <f t="shared" si="136"/>
        <v>0</v>
      </c>
      <c r="AA184" s="475">
        <v>0</v>
      </c>
      <c r="AB184" s="476">
        <v>0</v>
      </c>
      <c r="AC184" s="38">
        <f t="shared" si="137"/>
        <v>0</v>
      </c>
      <c r="AD184" s="692">
        <f t="shared" si="127"/>
        <v>0</v>
      </c>
      <c r="AE184" s="692">
        <f t="shared" si="128"/>
        <v>-95000</v>
      </c>
      <c r="AF184" s="692">
        <f t="shared" si="129"/>
        <v>0</v>
      </c>
      <c r="AG184" s="38"/>
      <c r="AH184" s="692">
        <f t="shared" si="131"/>
        <v>0</v>
      </c>
      <c r="AI184" s="692">
        <f t="shared" si="132"/>
        <v>105000</v>
      </c>
      <c r="AJ184" s="692">
        <f t="shared" si="133"/>
        <v>0</v>
      </c>
      <c r="AL184" s="38">
        <f t="shared" si="130"/>
        <v>10000</v>
      </c>
    </row>
    <row r="185" spans="1:38">
      <c r="A185" s="21"/>
      <c r="B185" s="21" t="s">
        <v>110</v>
      </c>
      <c r="C185" s="666"/>
      <c r="D185" s="68" t="s">
        <v>45</v>
      </c>
      <c r="E185" s="679"/>
      <c r="F185" s="529">
        <f>VLOOKUP(D185,'Aug 2013 Revenue'!D:V,19,FALSE)</f>
        <v>2019.7400000000052</v>
      </c>
      <c r="G185" s="680"/>
      <c r="H185" s="680"/>
      <c r="I185" s="755"/>
      <c r="J185" s="682">
        <f t="shared" si="126"/>
        <v>2019.7400000000052</v>
      </c>
      <c r="K185" s="683"/>
      <c r="L185" s="684"/>
      <c r="M185" s="753">
        <v>75000</v>
      </c>
      <c r="N185" s="683">
        <v>0</v>
      </c>
      <c r="O185" s="686"/>
      <c r="P185" s="683">
        <v>0</v>
      </c>
      <c r="Q185" s="687">
        <f t="shared" si="124"/>
        <v>75000</v>
      </c>
      <c r="R185" s="687"/>
      <c r="S185" s="687"/>
      <c r="T185" s="688">
        <f>70356.01+3929.18</f>
        <v>74285.189999999988</v>
      </c>
      <c r="U185" s="693"/>
      <c r="V185" s="690">
        <f t="shared" si="125"/>
        <v>-714.81000000001222</v>
      </c>
      <c r="W185" s="683"/>
      <c r="X185" s="474">
        <f t="shared" si="134"/>
        <v>75000</v>
      </c>
      <c r="Y185" s="474">
        <f t="shared" si="135"/>
        <v>0</v>
      </c>
      <c r="Z185" s="475">
        <f t="shared" si="136"/>
        <v>0</v>
      </c>
      <c r="AA185" s="475">
        <v>0</v>
      </c>
      <c r="AB185" s="476">
        <v>0</v>
      </c>
      <c r="AC185" s="38">
        <f t="shared" si="137"/>
        <v>0</v>
      </c>
      <c r="AD185" s="692">
        <f t="shared" si="127"/>
        <v>2019.7400000000052</v>
      </c>
      <c r="AE185" s="692">
        <f t="shared" si="128"/>
        <v>0</v>
      </c>
      <c r="AF185" s="692">
        <f t="shared" si="129"/>
        <v>0</v>
      </c>
      <c r="AG185" s="38"/>
      <c r="AH185" s="692">
        <f t="shared" si="131"/>
        <v>75000</v>
      </c>
      <c r="AI185" s="692">
        <f t="shared" si="132"/>
        <v>0</v>
      </c>
      <c r="AJ185" s="692">
        <f t="shared" si="133"/>
        <v>0</v>
      </c>
      <c r="AL185" s="38">
        <f t="shared" si="130"/>
        <v>77019.740000000005</v>
      </c>
    </row>
    <row r="186" spans="1:38">
      <c r="A186" s="20" t="s">
        <v>211</v>
      </c>
      <c r="B186" s="20" t="s">
        <v>109</v>
      </c>
      <c r="C186" s="667"/>
      <c r="D186" s="68" t="s">
        <v>923</v>
      </c>
      <c r="E186" s="679"/>
      <c r="F186" s="529">
        <f>VLOOKUP(D186,'Aug 2013 Revenue'!D:V,19,FALSE)</f>
        <v>0</v>
      </c>
      <c r="G186" s="680"/>
      <c r="H186" s="680"/>
      <c r="I186" s="755"/>
      <c r="J186" s="682">
        <f t="shared" si="126"/>
        <v>0</v>
      </c>
      <c r="K186" s="683"/>
      <c r="L186" s="684"/>
      <c r="M186" s="753"/>
      <c r="N186" s="683">
        <v>0</v>
      </c>
      <c r="O186" s="686"/>
      <c r="P186" s="683">
        <v>0</v>
      </c>
      <c r="Q186" s="687">
        <f t="shared" si="124"/>
        <v>0</v>
      </c>
      <c r="R186" s="687"/>
      <c r="S186" s="687"/>
      <c r="T186" s="688">
        <v>0</v>
      </c>
      <c r="U186" s="693"/>
      <c r="V186" s="690">
        <f t="shared" si="125"/>
        <v>0</v>
      </c>
      <c r="W186" s="697"/>
      <c r="X186" s="474">
        <f t="shared" si="134"/>
        <v>0</v>
      </c>
      <c r="Y186" s="474">
        <f t="shared" si="135"/>
        <v>0</v>
      </c>
      <c r="Z186" s="475">
        <f t="shared" si="136"/>
        <v>0</v>
      </c>
      <c r="AA186" s="475">
        <v>0</v>
      </c>
      <c r="AB186" s="476">
        <v>0</v>
      </c>
      <c r="AC186" s="38">
        <f t="shared" si="137"/>
        <v>0</v>
      </c>
      <c r="AD186" s="692">
        <f t="shared" si="127"/>
        <v>0</v>
      </c>
      <c r="AE186" s="692">
        <f t="shared" si="128"/>
        <v>0</v>
      </c>
      <c r="AF186" s="692">
        <f t="shared" si="129"/>
        <v>0</v>
      </c>
      <c r="AG186" s="38"/>
      <c r="AH186" s="692">
        <f t="shared" si="131"/>
        <v>0</v>
      </c>
      <c r="AI186" s="692">
        <f t="shared" si="132"/>
        <v>0</v>
      </c>
      <c r="AJ186" s="692">
        <f t="shared" si="133"/>
        <v>0</v>
      </c>
      <c r="AL186" s="38">
        <f t="shared" si="130"/>
        <v>0</v>
      </c>
    </row>
    <row r="187" spans="1:38">
      <c r="A187" s="20"/>
      <c r="B187" s="20" t="s">
        <v>110</v>
      </c>
      <c r="C187" s="667" t="s">
        <v>573</v>
      </c>
      <c r="D187" s="68" t="s">
        <v>102</v>
      </c>
      <c r="E187" s="820">
        <v>55839.53</v>
      </c>
      <c r="F187" s="529">
        <f>VLOOKUP(D187,'Aug 2013 Revenue'!D:V,19,FALSE)</f>
        <v>227004.92000000039</v>
      </c>
      <c r="G187" s="680"/>
      <c r="H187" s="680"/>
      <c r="I187" s="755"/>
      <c r="J187" s="682">
        <f t="shared" si="126"/>
        <v>282844.45000000042</v>
      </c>
      <c r="K187" s="683"/>
      <c r="L187" s="684"/>
      <c r="M187" s="753">
        <v>2900000</v>
      </c>
      <c r="N187" s="683">
        <v>0</v>
      </c>
      <c r="O187" s="686"/>
      <c r="P187" s="683">
        <v>0</v>
      </c>
      <c r="Q187" s="687">
        <f t="shared" si="124"/>
        <v>2900000</v>
      </c>
      <c r="R187" s="687"/>
      <c r="S187" s="687"/>
      <c r="T187" s="688">
        <f>3461882.71+35504.74+490.15</f>
        <v>3497877.6</v>
      </c>
      <c r="U187" s="693"/>
      <c r="V187" s="690">
        <f t="shared" si="125"/>
        <v>597877.60000000009</v>
      </c>
      <c r="W187" s="697"/>
      <c r="X187" s="474">
        <f t="shared" si="134"/>
        <v>2900000</v>
      </c>
      <c r="Y187" s="474">
        <f t="shared" si="135"/>
        <v>0</v>
      </c>
      <c r="Z187" s="475">
        <f t="shared" si="136"/>
        <v>0</v>
      </c>
      <c r="AA187" s="475">
        <v>0</v>
      </c>
      <c r="AB187" s="476">
        <v>0</v>
      </c>
      <c r="AC187" s="38">
        <f t="shared" si="137"/>
        <v>0</v>
      </c>
      <c r="AD187" s="692">
        <f t="shared" si="127"/>
        <v>282844.45000000042</v>
      </c>
      <c r="AE187" s="692">
        <f t="shared" si="128"/>
        <v>0</v>
      </c>
      <c r="AF187" s="692">
        <f t="shared" si="129"/>
        <v>0</v>
      </c>
      <c r="AG187" s="38"/>
      <c r="AH187" s="692">
        <f t="shared" si="131"/>
        <v>2900000</v>
      </c>
      <c r="AI187" s="692">
        <f t="shared" si="132"/>
        <v>0</v>
      </c>
      <c r="AJ187" s="692">
        <f t="shared" si="133"/>
        <v>0</v>
      </c>
      <c r="AL187" s="38">
        <f t="shared" si="130"/>
        <v>3182844.45</v>
      </c>
    </row>
    <row r="188" spans="1:38">
      <c r="A188" s="20"/>
      <c r="B188" s="20" t="s">
        <v>110</v>
      </c>
      <c r="C188" s="667" t="s">
        <v>573</v>
      </c>
      <c r="D188" s="68" t="s">
        <v>511</v>
      </c>
      <c r="E188" s="679"/>
      <c r="F188" s="529">
        <f>VLOOKUP(D188,'Aug 2013 Revenue'!D:V,19,FALSE)</f>
        <v>519.74</v>
      </c>
      <c r="G188" s="680"/>
      <c r="H188" s="680"/>
      <c r="I188" s="755"/>
      <c r="J188" s="682">
        <f t="shared" si="126"/>
        <v>519.74</v>
      </c>
      <c r="K188" s="683"/>
      <c r="L188" s="684"/>
      <c r="M188" s="753"/>
      <c r="N188" s="683">
        <v>0</v>
      </c>
      <c r="O188" s="686"/>
      <c r="P188" s="683">
        <v>0</v>
      </c>
      <c r="Q188" s="687">
        <f t="shared" si="124"/>
        <v>0</v>
      </c>
      <c r="R188" s="687"/>
      <c r="S188" s="687"/>
      <c r="T188" s="688">
        <v>387.28</v>
      </c>
      <c r="U188" s="693"/>
      <c r="V188" s="690">
        <f t="shared" si="125"/>
        <v>387.28</v>
      </c>
      <c r="W188" s="697"/>
      <c r="X188" s="474">
        <f t="shared" si="134"/>
        <v>0</v>
      </c>
      <c r="Y188" s="474">
        <f t="shared" si="135"/>
        <v>0</v>
      </c>
      <c r="Z188" s="475">
        <f t="shared" si="136"/>
        <v>0</v>
      </c>
      <c r="AA188" s="475">
        <v>0</v>
      </c>
      <c r="AB188" s="476">
        <v>0</v>
      </c>
      <c r="AC188" s="38">
        <f t="shared" si="137"/>
        <v>0</v>
      </c>
      <c r="AD188" s="692">
        <f t="shared" si="127"/>
        <v>519.74</v>
      </c>
      <c r="AE188" s="692">
        <f t="shared" si="128"/>
        <v>0</v>
      </c>
      <c r="AF188" s="692">
        <f t="shared" si="129"/>
        <v>0</v>
      </c>
      <c r="AG188" s="38"/>
      <c r="AH188" s="692">
        <f t="shared" si="131"/>
        <v>0</v>
      </c>
      <c r="AI188" s="692">
        <f t="shared" si="132"/>
        <v>0</v>
      </c>
      <c r="AJ188" s="692">
        <f t="shared" si="133"/>
        <v>0</v>
      </c>
      <c r="AL188" s="38">
        <f t="shared" si="130"/>
        <v>519.74</v>
      </c>
    </row>
    <row r="189" spans="1:38">
      <c r="A189" s="21"/>
      <c r="B189" s="21" t="s">
        <v>110</v>
      </c>
      <c r="C189" s="666"/>
      <c r="D189" s="68" t="s">
        <v>50</v>
      </c>
      <c r="E189" s="679"/>
      <c r="F189" s="529">
        <f>VLOOKUP(D189,'Aug 2013 Revenue'!D:V,19,FALSE)</f>
        <v>0</v>
      </c>
      <c r="G189" s="680"/>
      <c r="H189" s="680"/>
      <c r="I189" s="770">
        <v>928.12</v>
      </c>
      <c r="J189" s="682">
        <f t="shared" si="126"/>
        <v>928.12</v>
      </c>
      <c r="K189" s="683"/>
      <c r="L189" s="684"/>
      <c r="M189" s="753"/>
      <c r="N189" s="683">
        <v>0</v>
      </c>
      <c r="O189" s="686"/>
      <c r="P189" s="683">
        <v>0</v>
      </c>
      <c r="Q189" s="687">
        <f t="shared" si="124"/>
        <v>0</v>
      </c>
      <c r="R189" s="687"/>
      <c r="S189" s="687"/>
      <c r="T189" s="688">
        <v>0</v>
      </c>
      <c r="U189" s="693"/>
      <c r="V189" s="690">
        <f t="shared" si="125"/>
        <v>0</v>
      </c>
      <c r="W189" s="683"/>
      <c r="X189" s="474">
        <f t="shared" si="134"/>
        <v>0</v>
      </c>
      <c r="Y189" s="474">
        <f t="shared" si="135"/>
        <v>0</v>
      </c>
      <c r="Z189" s="475">
        <f t="shared" si="136"/>
        <v>0</v>
      </c>
      <c r="AA189" s="475">
        <v>0</v>
      </c>
      <c r="AB189" s="476">
        <v>0</v>
      </c>
      <c r="AC189" s="38">
        <f t="shared" si="137"/>
        <v>0</v>
      </c>
      <c r="AD189" s="692">
        <f t="shared" si="127"/>
        <v>928.12</v>
      </c>
      <c r="AE189" s="692">
        <f t="shared" si="128"/>
        <v>0</v>
      </c>
      <c r="AF189" s="692">
        <f t="shared" si="129"/>
        <v>0</v>
      </c>
      <c r="AG189" s="38"/>
      <c r="AH189" s="692">
        <f t="shared" si="131"/>
        <v>0</v>
      </c>
      <c r="AI189" s="692">
        <f t="shared" si="132"/>
        <v>0</v>
      </c>
      <c r="AJ189" s="692">
        <f t="shared" si="133"/>
        <v>0</v>
      </c>
      <c r="AL189" s="38">
        <f t="shared" si="130"/>
        <v>928.12</v>
      </c>
    </row>
    <row r="190" spans="1:38" hidden="1">
      <c r="A190" s="21"/>
      <c r="B190" s="21" t="s">
        <v>109</v>
      </c>
      <c r="C190" s="666"/>
      <c r="D190" s="68" t="s">
        <v>51</v>
      </c>
      <c r="E190" s="679"/>
      <c r="F190" s="529">
        <f>VLOOKUP(D190,'Aug 2013 Revenue'!D:V,19,FALSE)</f>
        <v>0</v>
      </c>
      <c r="G190" s="680"/>
      <c r="H190" s="680"/>
      <c r="I190" s="755"/>
      <c r="J190" s="682">
        <f t="shared" si="126"/>
        <v>0</v>
      </c>
      <c r="K190" s="683"/>
      <c r="L190" s="684"/>
      <c r="M190" s="753"/>
      <c r="N190" s="683">
        <v>0</v>
      </c>
      <c r="O190" s="686"/>
      <c r="P190" s="683">
        <v>0</v>
      </c>
      <c r="Q190" s="687">
        <f t="shared" si="124"/>
        <v>0</v>
      </c>
      <c r="R190" s="687"/>
      <c r="S190" s="687"/>
      <c r="T190" s="688">
        <v>0</v>
      </c>
      <c r="U190" s="693"/>
      <c r="V190" s="690">
        <f t="shared" si="125"/>
        <v>0</v>
      </c>
      <c r="W190" s="683"/>
      <c r="X190" s="474">
        <f t="shared" si="134"/>
        <v>0</v>
      </c>
      <c r="Y190" s="474">
        <f t="shared" si="135"/>
        <v>0</v>
      </c>
      <c r="Z190" s="475">
        <f t="shared" si="136"/>
        <v>0</v>
      </c>
      <c r="AA190" s="475">
        <v>0</v>
      </c>
      <c r="AB190" s="476">
        <v>0</v>
      </c>
      <c r="AC190" s="38">
        <f t="shared" si="137"/>
        <v>0</v>
      </c>
      <c r="AD190" s="692">
        <f t="shared" si="127"/>
        <v>0</v>
      </c>
      <c r="AE190" s="692">
        <f t="shared" si="128"/>
        <v>0</v>
      </c>
      <c r="AF190" s="692">
        <f t="shared" si="129"/>
        <v>0</v>
      </c>
      <c r="AG190" s="38"/>
      <c r="AH190" s="692">
        <f t="shared" si="131"/>
        <v>0</v>
      </c>
      <c r="AI190" s="692">
        <f t="shared" si="132"/>
        <v>0</v>
      </c>
      <c r="AJ190" s="692">
        <f t="shared" si="133"/>
        <v>0</v>
      </c>
      <c r="AL190" s="38">
        <f t="shared" si="130"/>
        <v>0</v>
      </c>
    </row>
    <row r="191" spans="1:38">
      <c r="A191" s="21"/>
      <c r="B191" s="21" t="s">
        <v>109</v>
      </c>
      <c r="C191" s="666"/>
      <c r="D191" s="68" t="s">
        <v>107</v>
      </c>
      <c r="E191" s="679"/>
      <c r="F191" s="529">
        <f>VLOOKUP(D191,'Aug 2013 Revenue'!D:V,19,FALSE)</f>
        <v>0</v>
      </c>
      <c r="G191" s="680"/>
      <c r="H191" s="680"/>
      <c r="I191" s="755"/>
      <c r="J191" s="682">
        <f t="shared" si="126"/>
        <v>0</v>
      </c>
      <c r="K191" s="683"/>
      <c r="L191" s="684"/>
      <c r="M191" s="753"/>
      <c r="N191" s="683">
        <v>0</v>
      </c>
      <c r="O191" s="686"/>
      <c r="P191" s="683">
        <v>0</v>
      </c>
      <c r="Q191" s="687">
        <f t="shared" si="124"/>
        <v>0</v>
      </c>
      <c r="R191" s="687"/>
      <c r="S191" s="687"/>
      <c r="T191" s="688">
        <v>0</v>
      </c>
      <c r="U191" s="693"/>
      <c r="V191" s="690">
        <f t="shared" si="125"/>
        <v>0</v>
      </c>
      <c r="W191" s="683"/>
      <c r="X191" s="474">
        <f t="shared" si="134"/>
        <v>0</v>
      </c>
      <c r="Y191" s="474">
        <f t="shared" si="135"/>
        <v>0</v>
      </c>
      <c r="Z191" s="475">
        <f t="shared" si="136"/>
        <v>0</v>
      </c>
      <c r="AA191" s="475">
        <v>0</v>
      </c>
      <c r="AB191" s="476">
        <v>0</v>
      </c>
      <c r="AC191" s="38">
        <f t="shared" si="137"/>
        <v>0</v>
      </c>
      <c r="AD191" s="692">
        <f t="shared" si="127"/>
        <v>0</v>
      </c>
      <c r="AE191" s="692">
        <f t="shared" si="128"/>
        <v>0</v>
      </c>
      <c r="AF191" s="692">
        <f t="shared" si="129"/>
        <v>0</v>
      </c>
      <c r="AG191" s="38"/>
      <c r="AH191" s="692">
        <f t="shared" si="131"/>
        <v>0</v>
      </c>
      <c r="AI191" s="692">
        <f t="shared" si="132"/>
        <v>0</v>
      </c>
      <c r="AJ191" s="692">
        <f t="shared" si="133"/>
        <v>0</v>
      </c>
      <c r="AL191" s="38">
        <f t="shared" si="130"/>
        <v>0</v>
      </c>
    </row>
    <row r="192" spans="1:38" hidden="1">
      <c r="A192" s="21"/>
      <c r="B192" s="21" t="s">
        <v>109</v>
      </c>
      <c r="C192" s="666"/>
      <c r="D192" s="68" t="s">
        <v>467</v>
      </c>
      <c r="E192" s="679"/>
      <c r="F192" s="529">
        <f>VLOOKUP(D192,'Aug 2013 Revenue'!D:V,19,FALSE)</f>
        <v>0</v>
      </c>
      <c r="G192" s="680"/>
      <c r="H192" s="680"/>
      <c r="I192" s="755"/>
      <c r="J192" s="682">
        <f t="shared" si="126"/>
        <v>0</v>
      </c>
      <c r="K192" s="683"/>
      <c r="L192" s="684"/>
      <c r="M192" s="753"/>
      <c r="N192" s="683">
        <v>0</v>
      </c>
      <c r="O192" s="686"/>
      <c r="P192" s="683">
        <v>0</v>
      </c>
      <c r="Q192" s="687">
        <f t="shared" si="124"/>
        <v>0</v>
      </c>
      <c r="R192" s="687"/>
      <c r="S192" s="687"/>
      <c r="T192" s="688">
        <v>0</v>
      </c>
      <c r="U192" s="693"/>
      <c r="V192" s="690">
        <f t="shared" si="125"/>
        <v>0</v>
      </c>
      <c r="W192" s="683"/>
      <c r="X192" s="474">
        <f t="shared" si="134"/>
        <v>0</v>
      </c>
      <c r="Y192" s="474">
        <f t="shared" si="135"/>
        <v>0</v>
      </c>
      <c r="Z192" s="475">
        <f t="shared" si="136"/>
        <v>0</v>
      </c>
      <c r="AA192" s="475">
        <v>0</v>
      </c>
      <c r="AB192" s="476">
        <v>0</v>
      </c>
      <c r="AC192" s="38">
        <f t="shared" si="137"/>
        <v>0</v>
      </c>
      <c r="AD192" s="692">
        <f t="shared" si="127"/>
        <v>0</v>
      </c>
      <c r="AE192" s="692">
        <f t="shared" si="128"/>
        <v>0</v>
      </c>
      <c r="AF192" s="692">
        <f t="shared" si="129"/>
        <v>0</v>
      </c>
      <c r="AG192" s="38"/>
      <c r="AH192" s="692">
        <f t="shared" si="131"/>
        <v>0</v>
      </c>
      <c r="AI192" s="692">
        <f t="shared" si="132"/>
        <v>0</v>
      </c>
      <c r="AJ192" s="692">
        <f t="shared" si="133"/>
        <v>0</v>
      </c>
      <c r="AL192" s="38">
        <f t="shared" si="130"/>
        <v>0</v>
      </c>
    </row>
    <row r="193" spans="1:38">
      <c r="A193" s="21"/>
      <c r="B193" s="21" t="s">
        <v>110</v>
      </c>
      <c r="C193" s="666"/>
      <c r="D193" s="68" t="s">
        <v>1012</v>
      </c>
      <c r="E193" s="679"/>
      <c r="F193" s="529">
        <v>0</v>
      </c>
      <c r="G193" s="680"/>
      <c r="H193" s="680"/>
      <c r="I193" s="755"/>
      <c r="J193" s="682">
        <f t="shared" ref="J193" si="138">SUM(E193:I193)</f>
        <v>0</v>
      </c>
      <c r="K193" s="683"/>
      <c r="L193" s="684"/>
      <c r="M193" s="753"/>
      <c r="N193" s="683">
        <v>0</v>
      </c>
      <c r="O193" s="686"/>
      <c r="P193" s="683">
        <v>0</v>
      </c>
      <c r="Q193" s="687">
        <f t="shared" ref="Q193" si="139">L193+M193</f>
        <v>0</v>
      </c>
      <c r="R193" s="687"/>
      <c r="S193" s="687"/>
      <c r="T193" s="688">
        <v>0</v>
      </c>
      <c r="U193" s="693"/>
      <c r="V193" s="690">
        <f t="shared" ref="V193" si="140">IF(T193="","",T193-Q193)</f>
        <v>0</v>
      </c>
      <c r="W193" s="683"/>
      <c r="X193" s="474">
        <f t="shared" ref="X193" si="141">IF(B193="D",Q193,0)</f>
        <v>0</v>
      </c>
      <c r="Y193" s="474">
        <f t="shared" ref="Y193" si="142">IF(B193="M",Q193,0)</f>
        <v>0</v>
      </c>
      <c r="Z193" s="475">
        <f t="shared" ref="Z193" si="143">IF(B193="V",Q193,0)</f>
        <v>0</v>
      </c>
      <c r="AA193" s="475">
        <v>0</v>
      </c>
      <c r="AB193" s="476">
        <v>0</v>
      </c>
      <c r="AC193" s="38">
        <f t="shared" ref="AC193" si="144">(L193+M193)-(X193+Y193+Z193+AA193+AB193)</f>
        <v>0</v>
      </c>
      <c r="AD193" s="692">
        <f t="shared" ref="AD193" si="145">IF(B193="D",J193,0)</f>
        <v>0</v>
      </c>
      <c r="AE193" s="692">
        <f t="shared" ref="AE193" si="146">IF(B193="M",J193,0)</f>
        <v>0</v>
      </c>
      <c r="AF193" s="692">
        <f t="shared" ref="AF193" si="147">IF(B193="V",J193,0)</f>
        <v>0</v>
      </c>
      <c r="AG193" s="38"/>
      <c r="AH193" s="692">
        <f t="shared" ref="AH193" si="148">IF(B193="D",Q193,0)</f>
        <v>0</v>
      </c>
      <c r="AI193" s="692">
        <f t="shared" ref="AI193" si="149">IF(B193="M",Q193,0)</f>
        <v>0</v>
      </c>
      <c r="AJ193" s="692">
        <f t="shared" ref="AJ193" si="150">IF(B193="V",Q193,0)</f>
        <v>0</v>
      </c>
      <c r="AL193" s="38">
        <f t="shared" ref="AL193" si="151">SUM(AD193:AJ193)</f>
        <v>0</v>
      </c>
    </row>
    <row r="194" spans="1:38">
      <c r="A194" s="21"/>
      <c r="B194" s="21" t="s">
        <v>109</v>
      </c>
      <c r="C194" s="666" t="s">
        <v>575</v>
      </c>
      <c r="D194" s="68" t="s">
        <v>54</v>
      </c>
      <c r="E194" s="679"/>
      <c r="F194" s="529">
        <f>VLOOKUP(D194,'Aug 2013 Revenue'!D:V,19,FALSE)</f>
        <v>0</v>
      </c>
      <c r="G194" s="680"/>
      <c r="H194" s="680"/>
      <c r="I194" s="755"/>
      <c r="J194" s="682">
        <f t="shared" si="126"/>
        <v>0</v>
      </c>
      <c r="K194" s="683"/>
      <c r="L194" s="684"/>
      <c r="M194" s="753"/>
      <c r="N194" s="683">
        <v>0</v>
      </c>
      <c r="O194" s="686"/>
      <c r="P194" s="683">
        <v>0</v>
      </c>
      <c r="Q194" s="687">
        <f t="shared" si="124"/>
        <v>0</v>
      </c>
      <c r="R194" s="687"/>
      <c r="S194" s="687"/>
      <c r="T194" s="688">
        <v>1175.0999999999999</v>
      </c>
      <c r="U194" s="693"/>
      <c r="V194" s="690">
        <f t="shared" si="125"/>
        <v>1175.0999999999999</v>
      </c>
      <c r="W194" s="683"/>
      <c r="X194" s="474">
        <f t="shared" si="134"/>
        <v>0</v>
      </c>
      <c r="Y194" s="474">
        <f t="shared" si="135"/>
        <v>0</v>
      </c>
      <c r="Z194" s="475">
        <f t="shared" si="136"/>
        <v>0</v>
      </c>
      <c r="AA194" s="475">
        <v>0</v>
      </c>
      <c r="AB194" s="476">
        <v>0</v>
      </c>
      <c r="AC194" s="38">
        <f t="shared" si="137"/>
        <v>0</v>
      </c>
      <c r="AD194" s="692">
        <f t="shared" si="127"/>
        <v>0</v>
      </c>
      <c r="AE194" s="692">
        <f t="shared" si="128"/>
        <v>0</v>
      </c>
      <c r="AF194" s="692">
        <f t="shared" si="129"/>
        <v>0</v>
      </c>
      <c r="AG194" s="38"/>
      <c r="AH194" s="692">
        <f t="shared" si="131"/>
        <v>0</v>
      </c>
      <c r="AI194" s="692">
        <f t="shared" si="132"/>
        <v>0</v>
      </c>
      <c r="AJ194" s="692">
        <f t="shared" si="133"/>
        <v>0</v>
      </c>
      <c r="AL194" s="38">
        <f t="shared" si="130"/>
        <v>0</v>
      </c>
    </row>
    <row r="195" spans="1:38" hidden="1">
      <c r="A195" s="20"/>
      <c r="B195" s="20" t="s">
        <v>110</v>
      </c>
      <c r="C195" s="667" t="s">
        <v>576</v>
      </c>
      <c r="D195" s="68" t="s">
        <v>394</v>
      </c>
      <c r="E195" s="679"/>
      <c r="F195" s="529">
        <f>VLOOKUP(D195,'Aug 2013 Revenue'!D:V,19,FALSE)</f>
        <v>0</v>
      </c>
      <c r="G195" s="680"/>
      <c r="H195" s="680"/>
      <c r="I195" s="755"/>
      <c r="J195" s="682">
        <f t="shared" si="126"/>
        <v>0</v>
      </c>
      <c r="K195" s="683"/>
      <c r="L195" s="684"/>
      <c r="M195" s="753"/>
      <c r="N195" s="683">
        <v>0</v>
      </c>
      <c r="O195" s="686"/>
      <c r="P195" s="683">
        <v>0</v>
      </c>
      <c r="Q195" s="687">
        <f t="shared" si="124"/>
        <v>0</v>
      </c>
      <c r="R195" s="687"/>
      <c r="S195" s="687"/>
      <c r="T195" s="688">
        <v>0</v>
      </c>
      <c r="U195" s="693"/>
      <c r="V195" s="690">
        <f t="shared" si="125"/>
        <v>0</v>
      </c>
      <c r="W195" s="683"/>
      <c r="X195" s="474">
        <f t="shared" si="134"/>
        <v>0</v>
      </c>
      <c r="Y195" s="474">
        <f t="shared" si="135"/>
        <v>0</v>
      </c>
      <c r="Z195" s="475">
        <f t="shared" si="136"/>
        <v>0</v>
      </c>
      <c r="AA195" s="475">
        <v>0</v>
      </c>
      <c r="AB195" s="476">
        <v>0</v>
      </c>
      <c r="AC195" s="38">
        <f t="shared" si="137"/>
        <v>0</v>
      </c>
      <c r="AD195" s="692">
        <f t="shared" si="127"/>
        <v>0</v>
      </c>
      <c r="AE195" s="692">
        <f t="shared" si="128"/>
        <v>0</v>
      </c>
      <c r="AF195" s="692">
        <f t="shared" si="129"/>
        <v>0</v>
      </c>
      <c r="AG195" s="38"/>
      <c r="AH195" s="692">
        <f t="shared" si="131"/>
        <v>0</v>
      </c>
      <c r="AI195" s="692">
        <f t="shared" si="132"/>
        <v>0</v>
      </c>
      <c r="AJ195" s="692">
        <f t="shared" si="133"/>
        <v>0</v>
      </c>
      <c r="AL195" s="38">
        <f t="shared" si="130"/>
        <v>0</v>
      </c>
    </row>
    <row r="196" spans="1:38">
      <c r="A196" s="20"/>
      <c r="B196" s="20" t="s">
        <v>110</v>
      </c>
      <c r="C196" s="667"/>
      <c r="D196" s="68" t="s">
        <v>55</v>
      </c>
      <c r="E196" s="679"/>
      <c r="F196" s="529">
        <f>VLOOKUP(D196,'Aug 2013 Revenue'!D:V,19,FALSE)</f>
        <v>0</v>
      </c>
      <c r="G196" s="680"/>
      <c r="H196" s="680"/>
      <c r="I196" s="755"/>
      <c r="J196" s="682">
        <f t="shared" si="126"/>
        <v>0</v>
      </c>
      <c r="K196" s="683"/>
      <c r="L196" s="684"/>
      <c r="M196" s="753"/>
      <c r="N196" s="683">
        <v>0</v>
      </c>
      <c r="O196" s="686"/>
      <c r="P196" s="683">
        <v>0</v>
      </c>
      <c r="Q196" s="687">
        <f t="shared" si="124"/>
        <v>0</v>
      </c>
      <c r="R196" s="687"/>
      <c r="S196" s="687"/>
      <c r="T196" s="688">
        <v>452.25</v>
      </c>
      <c r="U196" s="693"/>
      <c r="V196" s="690">
        <f t="shared" si="125"/>
        <v>452.25</v>
      </c>
      <c r="W196" s="683"/>
      <c r="X196" s="474">
        <f t="shared" si="134"/>
        <v>0</v>
      </c>
      <c r="Y196" s="474">
        <f t="shared" si="135"/>
        <v>0</v>
      </c>
      <c r="Z196" s="475">
        <f t="shared" si="136"/>
        <v>0</v>
      </c>
      <c r="AA196" s="475">
        <v>0</v>
      </c>
      <c r="AB196" s="476">
        <v>0</v>
      </c>
      <c r="AC196" s="38">
        <f t="shared" si="137"/>
        <v>0</v>
      </c>
      <c r="AD196" s="692">
        <f t="shared" si="127"/>
        <v>0</v>
      </c>
      <c r="AE196" s="692">
        <f t="shared" si="128"/>
        <v>0</v>
      </c>
      <c r="AF196" s="692">
        <f t="shared" si="129"/>
        <v>0</v>
      </c>
      <c r="AG196" s="38"/>
      <c r="AH196" s="692">
        <f t="shared" si="131"/>
        <v>0</v>
      </c>
      <c r="AI196" s="692">
        <f t="shared" si="132"/>
        <v>0</v>
      </c>
      <c r="AJ196" s="692">
        <f t="shared" si="133"/>
        <v>0</v>
      </c>
      <c r="AL196" s="38">
        <f t="shared" si="130"/>
        <v>0</v>
      </c>
    </row>
    <row r="197" spans="1:38">
      <c r="A197" s="20"/>
      <c r="B197" s="20" t="s">
        <v>110</v>
      </c>
      <c r="C197" s="676" t="s">
        <v>854</v>
      </c>
      <c r="D197" s="68" t="s">
        <v>855</v>
      </c>
      <c r="E197" s="679"/>
      <c r="F197" s="529">
        <f>VLOOKUP(D197,'Aug 2013 Revenue'!D:V,19,FALSE)</f>
        <v>1041.42</v>
      </c>
      <c r="G197" s="680"/>
      <c r="H197" s="680"/>
      <c r="I197" s="755"/>
      <c r="J197" s="682">
        <f t="shared" si="126"/>
        <v>1041.42</v>
      </c>
      <c r="K197" s="683"/>
      <c r="L197" s="684"/>
      <c r="M197" s="753"/>
      <c r="N197" s="683">
        <v>0</v>
      </c>
      <c r="O197" s="686"/>
      <c r="P197" s="683">
        <v>0</v>
      </c>
      <c r="Q197" s="687">
        <f t="shared" si="124"/>
        <v>0</v>
      </c>
      <c r="R197" s="687"/>
      <c r="S197" s="687"/>
      <c r="T197" s="688">
        <v>747.8</v>
      </c>
      <c r="U197" s="693"/>
      <c r="V197" s="690">
        <f t="shared" si="125"/>
        <v>747.8</v>
      </c>
      <c r="W197" s="683"/>
      <c r="X197" s="474">
        <f t="shared" si="134"/>
        <v>0</v>
      </c>
      <c r="Y197" s="474">
        <f t="shared" si="135"/>
        <v>0</v>
      </c>
      <c r="Z197" s="475">
        <f t="shared" si="136"/>
        <v>0</v>
      </c>
      <c r="AA197" s="475">
        <v>0</v>
      </c>
      <c r="AB197" s="476">
        <v>0</v>
      </c>
      <c r="AC197" s="38">
        <f t="shared" si="137"/>
        <v>0</v>
      </c>
      <c r="AD197" s="692">
        <f t="shared" si="127"/>
        <v>1041.42</v>
      </c>
      <c r="AE197" s="692">
        <f t="shared" si="128"/>
        <v>0</v>
      </c>
      <c r="AF197" s="692">
        <f t="shared" si="129"/>
        <v>0</v>
      </c>
      <c r="AG197" s="38"/>
      <c r="AH197" s="692">
        <f t="shared" si="131"/>
        <v>0</v>
      </c>
      <c r="AI197" s="692">
        <f t="shared" si="132"/>
        <v>0</v>
      </c>
      <c r="AJ197" s="692">
        <f t="shared" si="133"/>
        <v>0</v>
      </c>
      <c r="AL197" s="38">
        <f t="shared" si="130"/>
        <v>1041.42</v>
      </c>
    </row>
    <row r="198" spans="1:38">
      <c r="A198" s="20"/>
      <c r="B198" s="20" t="s">
        <v>109</v>
      </c>
      <c r="C198" s="667" t="s">
        <v>577</v>
      </c>
      <c r="D198" s="68" t="s">
        <v>159</v>
      </c>
      <c r="E198" s="679"/>
      <c r="F198" s="529">
        <f>VLOOKUP(D198,'Aug 2013 Revenue'!D:V,19,FALSE)</f>
        <v>0</v>
      </c>
      <c r="G198" s="680"/>
      <c r="H198" s="680"/>
      <c r="I198" s="770">
        <v>13154.32</v>
      </c>
      <c r="J198" s="682">
        <f t="shared" si="126"/>
        <v>13154.32</v>
      </c>
      <c r="K198" s="683"/>
      <c r="L198" s="684"/>
      <c r="M198" s="753"/>
      <c r="N198" s="683">
        <v>0</v>
      </c>
      <c r="O198" s="686"/>
      <c r="P198" s="683">
        <v>0</v>
      </c>
      <c r="Q198" s="687">
        <f t="shared" si="124"/>
        <v>0</v>
      </c>
      <c r="R198" s="687"/>
      <c r="S198" s="687"/>
      <c r="T198" s="688">
        <v>0</v>
      </c>
      <c r="U198" s="693"/>
      <c r="V198" s="690">
        <f t="shared" si="125"/>
        <v>0</v>
      </c>
      <c r="W198" s="683"/>
      <c r="X198" s="474">
        <f t="shared" si="134"/>
        <v>0</v>
      </c>
      <c r="Y198" s="474">
        <f t="shared" si="135"/>
        <v>0</v>
      </c>
      <c r="Z198" s="475">
        <f t="shared" si="136"/>
        <v>0</v>
      </c>
      <c r="AA198" s="475">
        <v>0</v>
      </c>
      <c r="AB198" s="476">
        <v>0</v>
      </c>
      <c r="AC198" s="38">
        <f t="shared" si="137"/>
        <v>0</v>
      </c>
      <c r="AD198" s="692">
        <f t="shared" si="127"/>
        <v>0</v>
      </c>
      <c r="AE198" s="692">
        <f t="shared" si="128"/>
        <v>13154.32</v>
      </c>
      <c r="AF198" s="692">
        <f t="shared" si="129"/>
        <v>0</v>
      </c>
      <c r="AG198" s="38"/>
      <c r="AH198" s="692">
        <f t="shared" si="131"/>
        <v>0</v>
      </c>
      <c r="AI198" s="692">
        <f t="shared" si="132"/>
        <v>0</v>
      </c>
      <c r="AJ198" s="692">
        <f t="shared" si="133"/>
        <v>0</v>
      </c>
      <c r="AL198" s="38">
        <f t="shared" si="130"/>
        <v>13154.32</v>
      </c>
    </row>
    <row r="199" spans="1:38">
      <c r="A199" s="20"/>
      <c r="B199" s="20" t="s">
        <v>109</v>
      </c>
      <c r="C199" s="667" t="s">
        <v>577</v>
      </c>
      <c r="D199" s="68" t="s">
        <v>160</v>
      </c>
      <c r="E199" s="679"/>
      <c r="F199" s="529">
        <f>VLOOKUP(D199,'Aug 2013 Revenue'!D:V,19,FALSE)</f>
        <v>0</v>
      </c>
      <c r="G199" s="680"/>
      <c r="H199" s="680"/>
      <c r="I199" s="755"/>
      <c r="J199" s="682">
        <f t="shared" si="126"/>
        <v>0</v>
      </c>
      <c r="K199" s="683"/>
      <c r="L199" s="684"/>
      <c r="M199" s="753">
        <v>10000</v>
      </c>
      <c r="N199" s="683">
        <v>0</v>
      </c>
      <c r="O199" s="686"/>
      <c r="P199" s="683">
        <v>0</v>
      </c>
      <c r="Q199" s="687">
        <f t="shared" si="124"/>
        <v>10000</v>
      </c>
      <c r="R199" s="687"/>
      <c r="S199" s="687"/>
      <c r="T199" s="688">
        <v>9636.7999999999993</v>
      </c>
      <c r="U199" s="693"/>
      <c r="V199" s="690">
        <f t="shared" si="125"/>
        <v>-363.20000000000073</v>
      </c>
      <c r="W199" s="683"/>
      <c r="X199" s="474">
        <f t="shared" si="134"/>
        <v>0</v>
      </c>
      <c r="Y199" s="474">
        <f t="shared" si="135"/>
        <v>10000</v>
      </c>
      <c r="Z199" s="475">
        <f t="shared" si="136"/>
        <v>0</v>
      </c>
      <c r="AA199" s="475">
        <v>0</v>
      </c>
      <c r="AB199" s="476">
        <v>0</v>
      </c>
      <c r="AC199" s="38">
        <f t="shared" si="137"/>
        <v>0</v>
      </c>
      <c r="AD199" s="692">
        <f t="shared" si="127"/>
        <v>0</v>
      </c>
      <c r="AE199" s="692">
        <f t="shared" si="128"/>
        <v>0</v>
      </c>
      <c r="AF199" s="692">
        <f t="shared" si="129"/>
        <v>0</v>
      </c>
      <c r="AG199" s="38"/>
      <c r="AH199" s="692">
        <f t="shared" si="131"/>
        <v>0</v>
      </c>
      <c r="AI199" s="692">
        <f t="shared" si="132"/>
        <v>10000</v>
      </c>
      <c r="AJ199" s="692">
        <f t="shared" si="133"/>
        <v>0</v>
      </c>
      <c r="AL199" s="38">
        <f t="shared" si="130"/>
        <v>10000</v>
      </c>
    </row>
    <row r="200" spans="1:38" hidden="1">
      <c r="A200" s="21"/>
      <c r="B200" s="21" t="s">
        <v>109</v>
      </c>
      <c r="C200" s="667" t="s">
        <v>577</v>
      </c>
      <c r="D200" s="68" t="s">
        <v>161</v>
      </c>
      <c r="E200" s="679"/>
      <c r="F200" s="529">
        <f>VLOOKUP(D200,'Aug 2013 Revenue'!D:V,19,FALSE)</f>
        <v>0</v>
      </c>
      <c r="G200" s="680"/>
      <c r="H200" s="680"/>
      <c r="I200" s="755"/>
      <c r="J200" s="682">
        <f t="shared" si="126"/>
        <v>0</v>
      </c>
      <c r="K200" s="683"/>
      <c r="L200" s="684"/>
      <c r="M200" s="753"/>
      <c r="N200" s="683">
        <v>0</v>
      </c>
      <c r="O200" s="686"/>
      <c r="P200" s="683">
        <v>0</v>
      </c>
      <c r="Q200" s="687">
        <f t="shared" si="124"/>
        <v>0</v>
      </c>
      <c r="R200" s="687"/>
      <c r="S200" s="687"/>
      <c r="T200" s="688">
        <v>0</v>
      </c>
      <c r="U200" s="693"/>
      <c r="V200" s="690">
        <f t="shared" si="125"/>
        <v>0</v>
      </c>
      <c r="W200" s="683"/>
      <c r="X200" s="474">
        <f t="shared" si="134"/>
        <v>0</v>
      </c>
      <c r="Y200" s="474">
        <f t="shared" si="135"/>
        <v>0</v>
      </c>
      <c r="Z200" s="475">
        <f t="shared" si="136"/>
        <v>0</v>
      </c>
      <c r="AA200" s="475">
        <v>0</v>
      </c>
      <c r="AB200" s="476">
        <v>0</v>
      </c>
      <c r="AC200" s="38">
        <f t="shared" si="137"/>
        <v>0</v>
      </c>
      <c r="AD200" s="692">
        <f t="shared" si="127"/>
        <v>0</v>
      </c>
      <c r="AE200" s="692">
        <f t="shared" si="128"/>
        <v>0</v>
      </c>
      <c r="AF200" s="692">
        <f t="shared" si="129"/>
        <v>0</v>
      </c>
      <c r="AG200" s="38"/>
      <c r="AH200" s="692">
        <f t="shared" si="131"/>
        <v>0</v>
      </c>
      <c r="AI200" s="692">
        <f t="shared" si="132"/>
        <v>0</v>
      </c>
      <c r="AJ200" s="692">
        <f t="shared" si="133"/>
        <v>0</v>
      </c>
      <c r="AL200" s="38">
        <f t="shared" si="130"/>
        <v>0</v>
      </c>
    </row>
    <row r="201" spans="1:38" hidden="1">
      <c r="A201" s="21"/>
      <c r="B201" s="21" t="s">
        <v>109</v>
      </c>
      <c r="C201" s="667" t="s">
        <v>577</v>
      </c>
      <c r="D201" s="68" t="s">
        <v>162</v>
      </c>
      <c r="E201" s="679"/>
      <c r="F201" s="529">
        <f>VLOOKUP(D201,'Aug 2013 Revenue'!D:V,19,FALSE)</f>
        <v>0</v>
      </c>
      <c r="G201" s="680"/>
      <c r="H201" s="680"/>
      <c r="I201" s="755"/>
      <c r="J201" s="682">
        <f t="shared" si="126"/>
        <v>0</v>
      </c>
      <c r="K201" s="683"/>
      <c r="L201" s="684"/>
      <c r="M201" s="753"/>
      <c r="N201" s="683">
        <v>0</v>
      </c>
      <c r="O201" s="686"/>
      <c r="P201" s="683">
        <v>0</v>
      </c>
      <c r="Q201" s="687">
        <f t="shared" si="124"/>
        <v>0</v>
      </c>
      <c r="R201" s="687"/>
      <c r="S201" s="687"/>
      <c r="T201" s="688">
        <v>0</v>
      </c>
      <c r="U201" s="693"/>
      <c r="V201" s="690">
        <f t="shared" si="125"/>
        <v>0</v>
      </c>
      <c r="W201" s="683"/>
      <c r="X201" s="474">
        <f t="shared" si="134"/>
        <v>0</v>
      </c>
      <c r="Y201" s="474">
        <f t="shared" si="135"/>
        <v>0</v>
      </c>
      <c r="Z201" s="475">
        <f t="shared" si="136"/>
        <v>0</v>
      </c>
      <c r="AA201" s="475">
        <v>0</v>
      </c>
      <c r="AB201" s="476">
        <v>0</v>
      </c>
      <c r="AC201" s="38">
        <f t="shared" si="137"/>
        <v>0</v>
      </c>
      <c r="AD201" s="692">
        <f t="shared" si="127"/>
        <v>0</v>
      </c>
      <c r="AE201" s="692">
        <f t="shared" si="128"/>
        <v>0</v>
      </c>
      <c r="AF201" s="692">
        <f t="shared" si="129"/>
        <v>0</v>
      </c>
      <c r="AG201" s="38"/>
      <c r="AH201" s="692">
        <f t="shared" si="131"/>
        <v>0</v>
      </c>
      <c r="AI201" s="692">
        <f t="shared" si="132"/>
        <v>0</v>
      </c>
      <c r="AJ201" s="692">
        <f t="shared" si="133"/>
        <v>0</v>
      </c>
      <c r="AL201" s="38">
        <f t="shared" si="130"/>
        <v>0</v>
      </c>
    </row>
    <row r="202" spans="1:38">
      <c r="A202" s="21"/>
      <c r="B202" s="21" t="s">
        <v>109</v>
      </c>
      <c r="C202" s="666"/>
      <c r="D202" s="68" t="s">
        <v>163</v>
      </c>
      <c r="E202" s="679">
        <v>1595.57</v>
      </c>
      <c r="F202" s="529">
        <f>VLOOKUP(D202,'Aug 2013 Revenue'!D:V,19,FALSE)</f>
        <v>0</v>
      </c>
      <c r="G202" s="680"/>
      <c r="H202" s="680"/>
      <c r="I202" s="755"/>
      <c r="J202" s="682">
        <f t="shared" si="126"/>
        <v>1595.57</v>
      </c>
      <c r="K202" s="683"/>
      <c r="L202" s="684"/>
      <c r="M202" s="753"/>
      <c r="N202" s="683">
        <v>0</v>
      </c>
      <c r="O202" s="686"/>
      <c r="P202" s="683">
        <v>0</v>
      </c>
      <c r="Q202" s="687">
        <f t="shared" si="124"/>
        <v>0</v>
      </c>
      <c r="R202" s="687"/>
      <c r="S202" s="687"/>
      <c r="T202" s="688">
        <v>3737.61</v>
      </c>
      <c r="U202" s="704"/>
      <c r="V202" s="690">
        <f t="shared" si="125"/>
        <v>3737.61</v>
      </c>
      <c r="W202" s="705"/>
      <c r="X202" s="474">
        <f t="shared" si="134"/>
        <v>0</v>
      </c>
      <c r="Y202" s="474">
        <f t="shared" si="135"/>
        <v>0</v>
      </c>
      <c r="Z202" s="475">
        <f t="shared" si="136"/>
        <v>0</v>
      </c>
      <c r="AA202" s="475">
        <v>0</v>
      </c>
      <c r="AB202" s="476">
        <v>0</v>
      </c>
      <c r="AC202" s="38">
        <f t="shared" si="137"/>
        <v>0</v>
      </c>
      <c r="AD202" s="692">
        <f t="shared" si="127"/>
        <v>0</v>
      </c>
      <c r="AE202" s="692">
        <f t="shared" si="128"/>
        <v>1595.57</v>
      </c>
      <c r="AF202" s="692">
        <f t="shared" si="129"/>
        <v>0</v>
      </c>
      <c r="AG202" s="38"/>
      <c r="AH202" s="692">
        <f t="shared" si="131"/>
        <v>0</v>
      </c>
      <c r="AI202" s="692">
        <f t="shared" si="132"/>
        <v>0</v>
      </c>
      <c r="AJ202" s="692">
        <f t="shared" si="133"/>
        <v>0</v>
      </c>
      <c r="AL202" s="38">
        <f t="shared" si="130"/>
        <v>1595.57</v>
      </c>
    </row>
    <row r="203" spans="1:38">
      <c r="A203" s="21"/>
      <c r="B203" s="21" t="s">
        <v>109</v>
      </c>
      <c r="C203" s="666"/>
      <c r="D203" s="412" t="s">
        <v>164</v>
      </c>
      <c r="E203" s="679"/>
      <c r="F203" s="529">
        <f>VLOOKUP(D203,'Aug 2013 Revenue'!D:V,19,FALSE)</f>
        <v>0</v>
      </c>
      <c r="G203" s="680"/>
      <c r="H203" s="680"/>
      <c r="I203" s="755"/>
      <c r="J203" s="682">
        <f t="shared" si="126"/>
        <v>0</v>
      </c>
      <c r="K203" s="683"/>
      <c r="L203" s="684"/>
      <c r="M203" s="753"/>
      <c r="N203" s="683">
        <v>0</v>
      </c>
      <c r="O203" s="686"/>
      <c r="P203" s="683">
        <v>0</v>
      </c>
      <c r="Q203" s="687">
        <f t="shared" si="124"/>
        <v>0</v>
      </c>
      <c r="R203" s="687"/>
      <c r="S203" s="687"/>
      <c r="T203" s="688">
        <v>0</v>
      </c>
      <c r="U203" s="704"/>
      <c r="V203" s="690">
        <f t="shared" si="125"/>
        <v>0</v>
      </c>
      <c r="W203" s="705"/>
      <c r="X203" s="474">
        <f t="shared" si="134"/>
        <v>0</v>
      </c>
      <c r="Y203" s="474">
        <f t="shared" si="135"/>
        <v>0</v>
      </c>
      <c r="Z203" s="475">
        <f t="shared" si="136"/>
        <v>0</v>
      </c>
      <c r="AA203" s="475">
        <v>0</v>
      </c>
      <c r="AB203" s="476">
        <v>0</v>
      </c>
      <c r="AC203" s="38">
        <f t="shared" si="137"/>
        <v>0</v>
      </c>
      <c r="AD203" s="692">
        <f t="shared" si="127"/>
        <v>0</v>
      </c>
      <c r="AE203" s="692">
        <f t="shared" si="128"/>
        <v>0</v>
      </c>
      <c r="AF203" s="692">
        <f t="shared" si="129"/>
        <v>0</v>
      </c>
      <c r="AG203" s="38"/>
      <c r="AH203" s="692">
        <f t="shared" si="131"/>
        <v>0</v>
      </c>
      <c r="AI203" s="692">
        <f t="shared" si="132"/>
        <v>0</v>
      </c>
      <c r="AJ203" s="692">
        <f t="shared" si="133"/>
        <v>0</v>
      </c>
      <c r="AL203" s="38">
        <f t="shared" si="130"/>
        <v>0</v>
      </c>
    </row>
    <row r="204" spans="1:38">
      <c r="A204" s="21" t="s">
        <v>109</v>
      </c>
      <c r="B204" s="21" t="s">
        <v>114</v>
      </c>
      <c r="C204" s="666" t="s">
        <v>578</v>
      </c>
      <c r="D204" s="412" t="s">
        <v>318</v>
      </c>
      <c r="E204" s="679">
        <v>40420.910000000003</v>
      </c>
      <c r="F204" s="529">
        <f>VLOOKUP(D204,'Aug 2013 Revenue'!D:V,19,FALSE)</f>
        <v>-80000</v>
      </c>
      <c r="G204" s="680"/>
      <c r="H204" s="680"/>
      <c r="I204" s="755"/>
      <c r="J204" s="682">
        <f t="shared" si="126"/>
        <v>-39579.089999999997</v>
      </c>
      <c r="K204" s="683"/>
      <c r="L204" s="684"/>
      <c r="M204" s="753">
        <v>80000</v>
      </c>
      <c r="N204" s="683">
        <v>0</v>
      </c>
      <c r="O204" s="686"/>
      <c r="P204" s="683">
        <v>0</v>
      </c>
      <c r="Q204" s="687">
        <f t="shared" si="124"/>
        <v>80000</v>
      </c>
      <c r="R204" s="687"/>
      <c r="S204" s="687"/>
      <c r="T204" s="688">
        <v>61107.58</v>
      </c>
      <c r="U204" s="704"/>
      <c r="V204" s="690">
        <f t="shared" si="125"/>
        <v>-18892.419999999998</v>
      </c>
      <c r="W204" s="683"/>
      <c r="X204" s="474">
        <f t="shared" si="134"/>
        <v>0</v>
      </c>
      <c r="Y204" s="474">
        <f t="shared" si="135"/>
        <v>0</v>
      </c>
      <c r="Z204" s="475">
        <f t="shared" si="136"/>
        <v>80000</v>
      </c>
      <c r="AA204" s="475">
        <v>0</v>
      </c>
      <c r="AB204" s="476">
        <v>0</v>
      </c>
      <c r="AC204" s="38">
        <f t="shared" si="137"/>
        <v>0</v>
      </c>
      <c r="AD204" s="692">
        <f t="shared" si="127"/>
        <v>0</v>
      </c>
      <c r="AE204" s="692">
        <f t="shared" si="128"/>
        <v>0</v>
      </c>
      <c r="AF204" s="692">
        <f t="shared" si="129"/>
        <v>-39579.089999999997</v>
      </c>
      <c r="AG204" s="38"/>
      <c r="AH204" s="692">
        <f t="shared" si="131"/>
        <v>0</v>
      </c>
      <c r="AI204" s="692">
        <f t="shared" si="132"/>
        <v>0</v>
      </c>
      <c r="AJ204" s="692">
        <f t="shared" si="133"/>
        <v>80000</v>
      </c>
      <c r="AL204" s="38">
        <f t="shared" si="130"/>
        <v>40420.910000000003</v>
      </c>
    </row>
    <row r="205" spans="1:38">
      <c r="A205" s="20" t="s">
        <v>211</v>
      </c>
      <c r="B205" s="20" t="s">
        <v>109</v>
      </c>
      <c r="C205" s="667"/>
      <c r="D205" s="68" t="s">
        <v>57</v>
      </c>
      <c r="E205" s="679"/>
      <c r="F205" s="529">
        <f>VLOOKUP(D205,'Aug 2013 Revenue'!D:V,19,FALSE)</f>
        <v>0</v>
      </c>
      <c r="G205" s="680"/>
      <c r="H205" s="680"/>
      <c r="I205" s="755"/>
      <c r="J205" s="682">
        <f t="shared" si="126"/>
        <v>0</v>
      </c>
      <c r="K205" s="683"/>
      <c r="L205" s="684"/>
      <c r="M205" s="753"/>
      <c r="N205" s="683">
        <v>0</v>
      </c>
      <c r="O205" s="686"/>
      <c r="P205" s="683">
        <v>0</v>
      </c>
      <c r="Q205" s="687">
        <f t="shared" si="124"/>
        <v>0</v>
      </c>
      <c r="R205" s="687"/>
      <c r="S205" s="687"/>
      <c r="T205" s="688">
        <v>0</v>
      </c>
      <c r="U205" s="693"/>
      <c r="V205" s="690">
        <f t="shared" si="125"/>
        <v>0</v>
      </c>
      <c r="W205" s="683"/>
      <c r="X205" s="474">
        <f t="shared" si="134"/>
        <v>0</v>
      </c>
      <c r="Y205" s="474">
        <f t="shared" si="135"/>
        <v>0</v>
      </c>
      <c r="Z205" s="475">
        <f t="shared" si="136"/>
        <v>0</v>
      </c>
      <c r="AA205" s="475">
        <v>0</v>
      </c>
      <c r="AB205" s="476">
        <v>0</v>
      </c>
      <c r="AC205" s="38">
        <f t="shared" si="137"/>
        <v>0</v>
      </c>
      <c r="AD205" s="692">
        <f t="shared" si="127"/>
        <v>0</v>
      </c>
      <c r="AE205" s="692">
        <f t="shared" si="128"/>
        <v>0</v>
      </c>
      <c r="AF205" s="692">
        <f t="shared" si="129"/>
        <v>0</v>
      </c>
      <c r="AG205" s="38"/>
      <c r="AH205" s="692">
        <f t="shared" si="131"/>
        <v>0</v>
      </c>
      <c r="AI205" s="692">
        <f t="shared" si="132"/>
        <v>0</v>
      </c>
      <c r="AJ205" s="692">
        <f t="shared" si="133"/>
        <v>0</v>
      </c>
      <c r="AL205" s="38">
        <f t="shared" si="130"/>
        <v>0</v>
      </c>
    </row>
    <row r="206" spans="1:38">
      <c r="A206" s="20"/>
      <c r="B206" s="20" t="s">
        <v>114</v>
      </c>
      <c r="C206" s="676" t="s">
        <v>621</v>
      </c>
      <c r="D206" s="68" t="s">
        <v>622</v>
      </c>
      <c r="E206" s="679"/>
      <c r="F206" s="529">
        <f>VLOOKUP(D206,'Aug 2013 Revenue'!D:V,19,FALSE)</f>
        <v>0</v>
      </c>
      <c r="G206" s="680"/>
      <c r="H206" s="680"/>
      <c r="I206" s="755"/>
      <c r="J206" s="682">
        <f t="shared" si="126"/>
        <v>0</v>
      </c>
      <c r="K206" s="683"/>
      <c r="L206" s="684"/>
      <c r="M206" s="753"/>
      <c r="N206" s="683">
        <v>0</v>
      </c>
      <c r="O206" s="686"/>
      <c r="P206" s="683">
        <v>0</v>
      </c>
      <c r="Q206" s="687">
        <f t="shared" si="124"/>
        <v>0</v>
      </c>
      <c r="R206" s="687"/>
      <c r="S206" s="687"/>
      <c r="T206" s="688">
        <v>0</v>
      </c>
      <c r="U206" s="704"/>
      <c r="V206" s="690">
        <f t="shared" si="125"/>
        <v>0</v>
      </c>
      <c r="W206" s="683"/>
      <c r="X206" s="474">
        <f t="shared" si="134"/>
        <v>0</v>
      </c>
      <c r="Y206" s="474">
        <f t="shared" si="135"/>
        <v>0</v>
      </c>
      <c r="Z206" s="475">
        <f t="shared" si="136"/>
        <v>0</v>
      </c>
      <c r="AA206" s="475">
        <v>0</v>
      </c>
      <c r="AB206" s="476">
        <v>0</v>
      </c>
      <c r="AC206" s="38">
        <f t="shared" si="137"/>
        <v>0</v>
      </c>
      <c r="AD206" s="692">
        <f t="shared" si="127"/>
        <v>0</v>
      </c>
      <c r="AE206" s="692">
        <f t="shared" si="128"/>
        <v>0</v>
      </c>
      <c r="AF206" s="692">
        <f t="shared" si="129"/>
        <v>0</v>
      </c>
      <c r="AG206" s="38"/>
      <c r="AH206" s="692">
        <f t="shared" si="131"/>
        <v>0</v>
      </c>
      <c r="AI206" s="692">
        <f t="shared" si="132"/>
        <v>0</v>
      </c>
      <c r="AJ206" s="692">
        <f t="shared" si="133"/>
        <v>0</v>
      </c>
      <c r="AL206" s="38">
        <f t="shared" si="130"/>
        <v>0</v>
      </c>
    </row>
    <row r="207" spans="1:38">
      <c r="A207" s="20"/>
      <c r="B207" s="20" t="s">
        <v>110</v>
      </c>
      <c r="C207" s="667"/>
      <c r="D207" s="68" t="s">
        <v>497</v>
      </c>
      <c r="E207" s="679"/>
      <c r="F207" s="529">
        <f>VLOOKUP(D207,'Aug 2013 Revenue'!D:V,19,FALSE)</f>
        <v>0</v>
      </c>
      <c r="G207" s="680"/>
      <c r="H207" s="680"/>
      <c r="I207" s="755"/>
      <c r="J207" s="682">
        <f t="shared" si="126"/>
        <v>0</v>
      </c>
      <c r="K207" s="683"/>
      <c r="L207" s="684"/>
      <c r="M207" s="753"/>
      <c r="N207" s="683">
        <v>0</v>
      </c>
      <c r="O207" s="686"/>
      <c r="P207" s="683">
        <v>0</v>
      </c>
      <c r="Q207" s="687">
        <f t="shared" si="124"/>
        <v>0</v>
      </c>
      <c r="R207" s="687"/>
      <c r="S207" s="687"/>
      <c r="T207" s="688">
        <v>0</v>
      </c>
      <c r="U207" s="693"/>
      <c r="V207" s="690">
        <f t="shared" si="125"/>
        <v>0</v>
      </c>
      <c r="W207" s="683"/>
      <c r="X207" s="474">
        <f t="shared" si="134"/>
        <v>0</v>
      </c>
      <c r="Y207" s="474">
        <f t="shared" si="135"/>
        <v>0</v>
      </c>
      <c r="Z207" s="475">
        <f t="shared" si="136"/>
        <v>0</v>
      </c>
      <c r="AA207" s="475">
        <v>0</v>
      </c>
      <c r="AB207" s="476">
        <v>0</v>
      </c>
      <c r="AC207" s="38">
        <f t="shared" si="137"/>
        <v>0</v>
      </c>
      <c r="AD207" s="692">
        <f t="shared" si="127"/>
        <v>0</v>
      </c>
      <c r="AE207" s="692">
        <f t="shared" si="128"/>
        <v>0</v>
      </c>
      <c r="AF207" s="692">
        <f t="shared" si="129"/>
        <v>0</v>
      </c>
      <c r="AG207" s="38"/>
      <c r="AH207" s="692">
        <f t="shared" si="131"/>
        <v>0</v>
      </c>
      <c r="AI207" s="692">
        <f t="shared" si="132"/>
        <v>0</v>
      </c>
      <c r="AJ207" s="692">
        <f t="shared" si="133"/>
        <v>0</v>
      </c>
      <c r="AL207" s="38">
        <f t="shared" si="130"/>
        <v>0</v>
      </c>
    </row>
    <row r="208" spans="1:38">
      <c r="A208" s="20"/>
      <c r="B208" s="20" t="s">
        <v>110</v>
      </c>
      <c r="C208" s="667"/>
      <c r="D208" s="68" t="s">
        <v>509</v>
      </c>
      <c r="E208" s="679"/>
      <c r="F208" s="529">
        <f>VLOOKUP(D208,'Aug 2013 Revenue'!D:V,19,FALSE)</f>
        <v>-30000</v>
      </c>
      <c r="G208" s="680"/>
      <c r="H208" s="680"/>
      <c r="I208" s="755"/>
      <c r="J208" s="682">
        <f t="shared" si="126"/>
        <v>-30000</v>
      </c>
      <c r="K208" s="683"/>
      <c r="L208" s="684"/>
      <c r="M208" s="753">
        <v>30000</v>
      </c>
      <c r="N208" s="683"/>
      <c r="O208" s="686"/>
      <c r="P208" s="683"/>
      <c r="Q208" s="687">
        <f t="shared" si="124"/>
        <v>30000</v>
      </c>
      <c r="R208" s="687"/>
      <c r="S208" s="687"/>
      <c r="T208" s="688">
        <v>0</v>
      </c>
      <c r="U208" s="693"/>
      <c r="V208" s="690">
        <f t="shared" ref="V208:V219" si="152">IF(T208="","",T208-Q208)</f>
        <v>-30000</v>
      </c>
      <c r="W208" s="683"/>
      <c r="X208" s="474">
        <f t="shared" si="134"/>
        <v>30000</v>
      </c>
      <c r="Y208" s="474">
        <f t="shared" si="135"/>
        <v>0</v>
      </c>
      <c r="Z208" s="475">
        <f t="shared" si="136"/>
        <v>0</v>
      </c>
      <c r="AA208" s="475">
        <v>0</v>
      </c>
      <c r="AB208" s="476">
        <v>0</v>
      </c>
      <c r="AC208" s="38">
        <f t="shared" si="137"/>
        <v>0</v>
      </c>
      <c r="AD208" s="692">
        <f t="shared" si="127"/>
        <v>-30000</v>
      </c>
      <c r="AE208" s="692">
        <f t="shared" si="128"/>
        <v>0</v>
      </c>
      <c r="AF208" s="692">
        <f t="shared" si="129"/>
        <v>0</v>
      </c>
      <c r="AG208" s="38"/>
      <c r="AH208" s="692">
        <f t="shared" si="131"/>
        <v>30000</v>
      </c>
      <c r="AI208" s="692">
        <f t="shared" si="132"/>
        <v>0</v>
      </c>
      <c r="AJ208" s="692">
        <f t="shared" si="133"/>
        <v>0</v>
      </c>
      <c r="AL208" s="38">
        <f t="shared" si="130"/>
        <v>0</v>
      </c>
    </row>
    <row r="209" spans="1:38" s="627" customFormat="1">
      <c r="A209" s="610"/>
      <c r="B209" s="610" t="s">
        <v>110</v>
      </c>
      <c r="C209" s="667" t="s">
        <v>580</v>
      </c>
      <c r="D209" s="612" t="s">
        <v>476</v>
      </c>
      <c r="E209" s="679"/>
      <c r="F209" s="529">
        <f>VLOOKUP(D209,'Aug 2013 Revenue'!D:V,19,FALSE)</f>
        <v>0</v>
      </c>
      <c r="G209" s="680"/>
      <c r="H209" s="680"/>
      <c r="I209" s="755"/>
      <c r="J209" s="682">
        <f t="shared" si="126"/>
        <v>0</v>
      </c>
      <c r="K209" s="683"/>
      <c r="L209" s="684"/>
      <c r="M209" s="753"/>
      <c r="N209" s="683">
        <v>0</v>
      </c>
      <c r="O209" s="686"/>
      <c r="P209" s="683">
        <v>0</v>
      </c>
      <c r="Q209" s="687">
        <f t="shared" si="124"/>
        <v>0</v>
      </c>
      <c r="R209" s="687"/>
      <c r="S209" s="687"/>
      <c r="T209" s="688">
        <v>0</v>
      </c>
      <c r="U209" s="706"/>
      <c r="V209" s="690">
        <f t="shared" si="152"/>
        <v>0</v>
      </c>
      <c r="W209" s="707"/>
      <c r="X209" s="474">
        <f t="shared" si="134"/>
        <v>0</v>
      </c>
      <c r="Y209" s="474">
        <f t="shared" si="135"/>
        <v>0</v>
      </c>
      <c r="Z209" s="475">
        <f t="shared" si="136"/>
        <v>0</v>
      </c>
      <c r="AA209" s="475">
        <v>0</v>
      </c>
      <c r="AB209" s="476">
        <v>0</v>
      </c>
      <c r="AC209" s="38">
        <f t="shared" si="137"/>
        <v>0</v>
      </c>
      <c r="AD209" s="692">
        <f t="shared" si="127"/>
        <v>0</v>
      </c>
      <c r="AE209" s="692">
        <f t="shared" si="128"/>
        <v>0</v>
      </c>
      <c r="AF209" s="692">
        <f t="shared" si="129"/>
        <v>0</v>
      </c>
      <c r="AG209" s="38"/>
      <c r="AH209" s="692">
        <f t="shared" si="131"/>
        <v>0</v>
      </c>
      <c r="AI209" s="692">
        <f t="shared" si="132"/>
        <v>0</v>
      </c>
      <c r="AJ209" s="692">
        <f t="shared" si="133"/>
        <v>0</v>
      </c>
      <c r="AL209" s="38">
        <f t="shared" si="130"/>
        <v>0</v>
      </c>
    </row>
    <row r="210" spans="1:38" s="232" customFormat="1">
      <c r="A210" s="283"/>
      <c r="B210" s="283" t="s">
        <v>114</v>
      </c>
      <c r="C210" s="667" t="s">
        <v>580</v>
      </c>
      <c r="D210" s="123" t="s">
        <v>371</v>
      </c>
      <c r="E210" s="679"/>
      <c r="F210" s="529">
        <f>VLOOKUP(D210,'Aug 2013 Revenue'!D:V,19,FALSE)</f>
        <v>1017.9399999999996</v>
      </c>
      <c r="G210" s="680"/>
      <c r="H210" s="680"/>
      <c r="I210" s="755"/>
      <c r="J210" s="682">
        <f t="shared" si="126"/>
        <v>1017.9399999999996</v>
      </c>
      <c r="K210" s="683"/>
      <c r="L210" s="684"/>
      <c r="M210" s="753">
        <v>10600</v>
      </c>
      <c r="N210" s="683">
        <v>0</v>
      </c>
      <c r="O210" s="686"/>
      <c r="P210" s="683">
        <v>0</v>
      </c>
      <c r="Q210" s="687">
        <f>L210+M210</f>
        <v>10600</v>
      </c>
      <c r="R210" s="687"/>
      <c r="S210" s="687"/>
      <c r="T210" s="688">
        <v>12631.09</v>
      </c>
      <c r="U210" s="693"/>
      <c r="V210" s="690">
        <f t="shared" si="152"/>
        <v>2031.0900000000001</v>
      </c>
      <c r="W210" s="683"/>
      <c r="X210" s="474">
        <f t="shared" si="134"/>
        <v>0</v>
      </c>
      <c r="Y210" s="474">
        <f t="shared" si="135"/>
        <v>0</v>
      </c>
      <c r="Z210" s="475">
        <f t="shared" si="136"/>
        <v>10600</v>
      </c>
      <c r="AA210" s="475">
        <v>0</v>
      </c>
      <c r="AB210" s="476">
        <v>0</v>
      </c>
      <c r="AC210" s="38">
        <f>(L210+M210)-(X210+Y210+Z210+AA210+AB210)</f>
        <v>0</v>
      </c>
      <c r="AD210" s="692">
        <f t="shared" si="127"/>
        <v>0</v>
      </c>
      <c r="AE210" s="692">
        <f t="shared" si="128"/>
        <v>0</v>
      </c>
      <c r="AF210" s="692">
        <f t="shared" si="129"/>
        <v>1017.9399999999996</v>
      </c>
      <c r="AG210" s="38"/>
      <c r="AH210" s="692">
        <f t="shared" si="131"/>
        <v>0</v>
      </c>
      <c r="AI210" s="692">
        <f t="shared" si="132"/>
        <v>0</v>
      </c>
      <c r="AJ210" s="692">
        <f t="shared" si="133"/>
        <v>10600</v>
      </c>
      <c r="AL210" s="38">
        <f t="shared" si="130"/>
        <v>11617.939999999999</v>
      </c>
    </row>
    <row r="211" spans="1:38" s="232" customFormat="1">
      <c r="A211" s="283"/>
      <c r="B211" s="283" t="s">
        <v>110</v>
      </c>
      <c r="C211" s="667" t="s">
        <v>580</v>
      </c>
      <c r="D211" s="123" t="s">
        <v>422</v>
      </c>
      <c r="E211" s="679"/>
      <c r="F211" s="529">
        <f>VLOOKUP(D211,'Aug 2013 Revenue'!D:V,19,FALSE)</f>
        <v>0</v>
      </c>
      <c r="G211" s="680"/>
      <c r="H211" s="680"/>
      <c r="I211" s="755"/>
      <c r="J211" s="682">
        <f t="shared" si="126"/>
        <v>0</v>
      </c>
      <c r="K211" s="683"/>
      <c r="L211" s="684"/>
      <c r="M211" s="753"/>
      <c r="N211" s="683">
        <v>0</v>
      </c>
      <c r="O211" s="686"/>
      <c r="P211" s="683">
        <v>0</v>
      </c>
      <c r="Q211" s="687">
        <f t="shared" si="124"/>
        <v>0</v>
      </c>
      <c r="R211" s="687"/>
      <c r="S211" s="687"/>
      <c r="T211" s="688">
        <v>0</v>
      </c>
      <c r="U211" s="693"/>
      <c r="V211" s="690">
        <f t="shared" si="152"/>
        <v>0</v>
      </c>
      <c r="W211" s="683"/>
      <c r="X211" s="474">
        <f t="shared" si="134"/>
        <v>0</v>
      </c>
      <c r="Y211" s="474">
        <f t="shared" si="135"/>
        <v>0</v>
      </c>
      <c r="Z211" s="475">
        <f t="shared" si="136"/>
        <v>0</v>
      </c>
      <c r="AA211" s="475">
        <v>0</v>
      </c>
      <c r="AB211" s="476">
        <v>0</v>
      </c>
      <c r="AC211" s="38">
        <f t="shared" si="137"/>
        <v>0</v>
      </c>
      <c r="AD211" s="692">
        <f t="shared" si="127"/>
        <v>0</v>
      </c>
      <c r="AE211" s="692">
        <f t="shared" si="128"/>
        <v>0</v>
      </c>
      <c r="AF211" s="692">
        <f t="shared" si="129"/>
        <v>0</v>
      </c>
      <c r="AG211" s="38"/>
      <c r="AH211" s="692">
        <f t="shared" si="131"/>
        <v>0</v>
      </c>
      <c r="AI211" s="692">
        <f t="shared" si="132"/>
        <v>0</v>
      </c>
      <c r="AJ211" s="692">
        <f t="shared" si="133"/>
        <v>0</v>
      </c>
      <c r="AL211" s="38">
        <f t="shared" si="130"/>
        <v>0</v>
      </c>
    </row>
    <row r="212" spans="1:38" s="232" customFormat="1">
      <c r="A212" s="283"/>
      <c r="B212" s="283" t="s">
        <v>110</v>
      </c>
      <c r="C212" s="667" t="s">
        <v>580</v>
      </c>
      <c r="D212" s="123" t="s">
        <v>442</v>
      </c>
      <c r="E212" s="679"/>
      <c r="F212" s="529">
        <f>VLOOKUP(D212,'Aug 2013 Revenue'!D:V,19,FALSE)</f>
        <v>-7.7900000000372529</v>
      </c>
      <c r="G212" s="680"/>
      <c r="H212" s="680"/>
      <c r="I212" s="755"/>
      <c r="J212" s="682">
        <f t="shared" si="126"/>
        <v>-7.7900000000372529</v>
      </c>
      <c r="K212" s="683"/>
      <c r="L212" s="684"/>
      <c r="M212" s="753">
        <v>1202500</v>
      </c>
      <c r="N212" s="683">
        <v>0</v>
      </c>
      <c r="O212" s="686"/>
      <c r="P212" s="683">
        <v>0</v>
      </c>
      <c r="Q212" s="687">
        <f>L212+M212</f>
        <v>1202500</v>
      </c>
      <c r="R212" s="687"/>
      <c r="S212" s="687"/>
      <c r="T212" s="688">
        <f>595974.41+605157.19</f>
        <v>1201131.6000000001</v>
      </c>
      <c r="U212" s="693"/>
      <c r="V212" s="690">
        <f t="shared" si="152"/>
        <v>-1368.3999999999069</v>
      </c>
      <c r="W212" s="683"/>
      <c r="X212" s="474">
        <f t="shared" si="134"/>
        <v>1202500</v>
      </c>
      <c r="Y212" s="474">
        <f t="shared" si="135"/>
        <v>0</v>
      </c>
      <c r="Z212" s="475">
        <f t="shared" si="136"/>
        <v>0</v>
      </c>
      <c r="AA212" s="475">
        <v>0</v>
      </c>
      <c r="AB212" s="476">
        <v>0</v>
      </c>
      <c r="AC212" s="38">
        <f>(L212+M212)-(X212+Y212+Z212+AA212+AB212)</f>
        <v>0</v>
      </c>
      <c r="AD212" s="692">
        <f t="shared" si="127"/>
        <v>-7.7900000000372529</v>
      </c>
      <c r="AE212" s="692">
        <f t="shared" si="128"/>
        <v>0</v>
      </c>
      <c r="AF212" s="692">
        <f t="shared" si="129"/>
        <v>0</v>
      </c>
      <c r="AG212" s="38"/>
      <c r="AH212" s="692">
        <f t="shared" si="131"/>
        <v>1202500</v>
      </c>
      <c r="AI212" s="692">
        <f t="shared" si="132"/>
        <v>0</v>
      </c>
      <c r="AJ212" s="692">
        <f t="shared" si="133"/>
        <v>0</v>
      </c>
      <c r="AL212" s="38">
        <f t="shared" si="130"/>
        <v>1202492.21</v>
      </c>
    </row>
    <row r="213" spans="1:38" hidden="1">
      <c r="A213" s="21" t="s">
        <v>97</v>
      </c>
      <c r="B213" s="21" t="s">
        <v>109</v>
      </c>
      <c r="C213" s="666"/>
      <c r="D213" s="68" t="s">
        <v>381</v>
      </c>
      <c r="E213" s="679"/>
      <c r="F213" s="529">
        <f>VLOOKUP(D213,'Aug 2013 Revenue'!D:V,19,FALSE)</f>
        <v>0</v>
      </c>
      <c r="G213" s="680"/>
      <c r="H213" s="680"/>
      <c r="I213" s="755"/>
      <c r="J213" s="682">
        <f t="shared" si="126"/>
        <v>0</v>
      </c>
      <c r="K213" s="683"/>
      <c r="L213" s="684"/>
      <c r="M213" s="753"/>
      <c r="N213" s="683">
        <v>0</v>
      </c>
      <c r="O213" s="686"/>
      <c r="P213" s="683">
        <v>0</v>
      </c>
      <c r="Q213" s="687">
        <f t="shared" si="124"/>
        <v>0</v>
      </c>
      <c r="R213" s="687"/>
      <c r="S213" s="687"/>
      <c r="T213" s="688">
        <v>0</v>
      </c>
      <c r="U213" s="693"/>
      <c r="V213" s="690">
        <f t="shared" si="152"/>
        <v>0</v>
      </c>
      <c r="W213" s="683"/>
      <c r="X213" s="474">
        <f t="shared" si="134"/>
        <v>0</v>
      </c>
      <c r="Y213" s="474">
        <f t="shared" si="135"/>
        <v>0</v>
      </c>
      <c r="Z213" s="475">
        <f t="shared" si="136"/>
        <v>0</v>
      </c>
      <c r="AA213" s="475">
        <v>0</v>
      </c>
      <c r="AB213" s="476">
        <v>0</v>
      </c>
      <c r="AC213" s="38">
        <f t="shared" si="137"/>
        <v>0</v>
      </c>
      <c r="AD213" s="692">
        <f t="shared" si="127"/>
        <v>0</v>
      </c>
      <c r="AE213" s="692">
        <f t="shared" si="128"/>
        <v>0</v>
      </c>
      <c r="AF213" s="692">
        <f t="shared" si="129"/>
        <v>0</v>
      </c>
      <c r="AG213" s="38"/>
      <c r="AH213" s="692">
        <f t="shared" si="131"/>
        <v>0</v>
      </c>
      <c r="AI213" s="692">
        <f t="shared" si="132"/>
        <v>0</v>
      </c>
      <c r="AJ213" s="692">
        <f t="shared" si="133"/>
        <v>0</v>
      </c>
      <c r="AL213" s="38">
        <f t="shared" si="130"/>
        <v>0</v>
      </c>
    </row>
    <row r="214" spans="1:38" hidden="1">
      <c r="A214" s="21" t="s">
        <v>97</v>
      </c>
      <c r="B214" s="21" t="s">
        <v>114</v>
      </c>
      <c r="C214" s="666"/>
      <c r="D214" s="68" t="s">
        <v>376</v>
      </c>
      <c r="E214" s="679"/>
      <c r="F214" s="529">
        <f>VLOOKUP(D214,'Aug 2013 Revenue'!D:V,19,FALSE)</f>
        <v>0</v>
      </c>
      <c r="G214" s="680"/>
      <c r="H214" s="680"/>
      <c r="I214" s="755"/>
      <c r="J214" s="682">
        <f t="shared" si="126"/>
        <v>0</v>
      </c>
      <c r="K214" s="683"/>
      <c r="L214" s="684"/>
      <c r="M214" s="753"/>
      <c r="N214" s="683">
        <v>0</v>
      </c>
      <c r="O214" s="686"/>
      <c r="P214" s="683">
        <v>0</v>
      </c>
      <c r="Q214" s="687">
        <f t="shared" ref="Q214:Q228" si="153">L214+M214</f>
        <v>0</v>
      </c>
      <c r="R214" s="687"/>
      <c r="S214" s="687"/>
      <c r="T214" s="688">
        <v>0</v>
      </c>
      <c r="U214" s="693"/>
      <c r="V214" s="690">
        <f t="shared" si="152"/>
        <v>0</v>
      </c>
      <c r="W214" s="683"/>
      <c r="X214" s="474">
        <f t="shared" si="134"/>
        <v>0</v>
      </c>
      <c r="Y214" s="474">
        <f t="shared" si="135"/>
        <v>0</v>
      </c>
      <c r="Z214" s="475">
        <f t="shared" si="136"/>
        <v>0</v>
      </c>
      <c r="AA214" s="475">
        <v>0</v>
      </c>
      <c r="AB214" s="476">
        <v>0</v>
      </c>
      <c r="AC214" s="38">
        <f t="shared" si="137"/>
        <v>0</v>
      </c>
      <c r="AD214" s="692">
        <f t="shared" si="127"/>
        <v>0</v>
      </c>
      <c r="AE214" s="692">
        <f t="shared" si="128"/>
        <v>0</v>
      </c>
      <c r="AF214" s="692">
        <f t="shared" si="129"/>
        <v>0</v>
      </c>
      <c r="AG214" s="38"/>
      <c r="AH214" s="692">
        <f t="shared" si="131"/>
        <v>0</v>
      </c>
      <c r="AI214" s="692">
        <f t="shared" si="132"/>
        <v>0</v>
      </c>
      <c r="AJ214" s="692">
        <f t="shared" si="133"/>
        <v>0</v>
      </c>
      <c r="AL214" s="38">
        <f t="shared" si="130"/>
        <v>0</v>
      </c>
    </row>
    <row r="215" spans="1:38">
      <c r="A215" s="20"/>
      <c r="B215" s="20" t="s">
        <v>110</v>
      </c>
      <c r="C215" s="667"/>
      <c r="D215" s="68" t="s">
        <v>390</v>
      </c>
      <c r="E215" s="679"/>
      <c r="F215" s="529">
        <f>VLOOKUP(D215,'Aug 2013 Revenue'!D:V,19,FALSE)</f>
        <v>0</v>
      </c>
      <c r="G215" s="680"/>
      <c r="H215" s="680"/>
      <c r="I215" s="755"/>
      <c r="J215" s="682">
        <f t="shared" ref="J215:J228" si="154">SUM(E215:I215)</f>
        <v>0</v>
      </c>
      <c r="K215" s="683"/>
      <c r="L215" s="684"/>
      <c r="M215" s="753"/>
      <c r="N215" s="683">
        <v>0</v>
      </c>
      <c r="O215" s="686"/>
      <c r="P215" s="683">
        <v>0</v>
      </c>
      <c r="Q215" s="687">
        <f>L215+M215</f>
        <v>0</v>
      </c>
      <c r="R215" s="687"/>
      <c r="S215" s="687"/>
      <c r="T215" s="688">
        <v>0</v>
      </c>
      <c r="U215" s="693"/>
      <c r="V215" s="690">
        <f t="shared" si="152"/>
        <v>0</v>
      </c>
      <c r="W215" s="683"/>
      <c r="X215" s="474">
        <f t="shared" si="134"/>
        <v>0</v>
      </c>
      <c r="Y215" s="474">
        <f t="shared" si="135"/>
        <v>0</v>
      </c>
      <c r="Z215" s="475">
        <f t="shared" si="136"/>
        <v>0</v>
      </c>
      <c r="AA215" s="475">
        <v>0</v>
      </c>
      <c r="AB215" s="476">
        <v>0</v>
      </c>
      <c r="AC215" s="38">
        <f>(L215+M215)-(X215+Y215+Z215+AA215+AB215)</f>
        <v>0</v>
      </c>
      <c r="AD215" s="692">
        <f t="shared" si="127"/>
        <v>0</v>
      </c>
      <c r="AE215" s="692">
        <f t="shared" si="128"/>
        <v>0</v>
      </c>
      <c r="AF215" s="692">
        <f t="shared" si="129"/>
        <v>0</v>
      </c>
      <c r="AG215" s="38"/>
      <c r="AH215" s="692">
        <f t="shared" si="131"/>
        <v>0</v>
      </c>
      <c r="AI215" s="692">
        <f t="shared" si="132"/>
        <v>0</v>
      </c>
      <c r="AJ215" s="692">
        <f t="shared" si="133"/>
        <v>0</v>
      </c>
      <c r="AL215" s="38">
        <f t="shared" si="130"/>
        <v>0</v>
      </c>
    </row>
    <row r="216" spans="1:38">
      <c r="A216" s="20"/>
      <c r="B216" s="20" t="s">
        <v>110</v>
      </c>
      <c r="C216" s="667" t="s">
        <v>581</v>
      </c>
      <c r="D216" s="123" t="s">
        <v>166</v>
      </c>
      <c r="E216" s="679"/>
      <c r="F216" s="529">
        <f>VLOOKUP(D216,'Aug 2013 Revenue'!D:V,19,FALSE)</f>
        <v>0</v>
      </c>
      <c r="G216" s="680"/>
      <c r="H216" s="680"/>
      <c r="I216" s="755"/>
      <c r="J216" s="682">
        <f t="shared" si="154"/>
        <v>0</v>
      </c>
      <c r="K216" s="683"/>
      <c r="L216" s="684"/>
      <c r="M216" s="753"/>
      <c r="N216" s="683">
        <v>0</v>
      </c>
      <c r="O216" s="686"/>
      <c r="P216" s="683">
        <v>0</v>
      </c>
      <c r="Q216" s="687">
        <f t="shared" si="153"/>
        <v>0</v>
      </c>
      <c r="R216" s="687"/>
      <c r="S216" s="687"/>
      <c r="T216" s="688">
        <v>0</v>
      </c>
      <c r="U216" s="693"/>
      <c r="V216" s="690">
        <f t="shared" si="152"/>
        <v>0</v>
      </c>
      <c r="W216" s="683"/>
      <c r="X216" s="474">
        <f t="shared" si="134"/>
        <v>0</v>
      </c>
      <c r="Y216" s="474">
        <f t="shared" si="135"/>
        <v>0</v>
      </c>
      <c r="Z216" s="475">
        <f t="shared" si="136"/>
        <v>0</v>
      </c>
      <c r="AA216" s="475">
        <v>0</v>
      </c>
      <c r="AB216" s="476">
        <v>0</v>
      </c>
      <c r="AC216" s="38">
        <f t="shared" si="137"/>
        <v>0</v>
      </c>
      <c r="AD216" s="692">
        <f t="shared" si="127"/>
        <v>0</v>
      </c>
      <c r="AE216" s="692">
        <f t="shared" si="128"/>
        <v>0</v>
      </c>
      <c r="AF216" s="692">
        <f t="shared" si="129"/>
        <v>0</v>
      </c>
      <c r="AG216" s="38"/>
      <c r="AH216" s="692">
        <f t="shared" si="131"/>
        <v>0</v>
      </c>
      <c r="AI216" s="692">
        <f t="shared" si="132"/>
        <v>0</v>
      </c>
      <c r="AJ216" s="692">
        <f t="shared" si="133"/>
        <v>0</v>
      </c>
      <c r="AL216" s="38">
        <f t="shared" si="130"/>
        <v>0</v>
      </c>
    </row>
    <row r="217" spans="1:38">
      <c r="A217" s="20"/>
      <c r="B217" s="20" t="s">
        <v>109</v>
      </c>
      <c r="C217" s="667" t="s">
        <v>581</v>
      </c>
      <c r="D217" s="123" t="s">
        <v>165</v>
      </c>
      <c r="E217" s="679"/>
      <c r="F217" s="529">
        <f>VLOOKUP(D217,'Aug 2013 Revenue'!D:V,19,FALSE)</f>
        <v>0</v>
      </c>
      <c r="G217" s="680"/>
      <c r="H217" s="680"/>
      <c r="I217" s="755"/>
      <c r="J217" s="682">
        <f t="shared" si="154"/>
        <v>0</v>
      </c>
      <c r="K217" s="683"/>
      <c r="L217" s="684"/>
      <c r="M217" s="753"/>
      <c r="N217" s="683">
        <v>0</v>
      </c>
      <c r="O217" s="686"/>
      <c r="P217" s="683">
        <v>0</v>
      </c>
      <c r="Q217" s="687">
        <f t="shared" si="153"/>
        <v>0</v>
      </c>
      <c r="R217" s="687"/>
      <c r="S217" s="687"/>
      <c r="T217" s="688">
        <v>0</v>
      </c>
      <c r="U217" s="693"/>
      <c r="V217" s="690">
        <f t="shared" si="152"/>
        <v>0</v>
      </c>
      <c r="W217" s="683"/>
      <c r="X217" s="474">
        <f t="shared" si="134"/>
        <v>0</v>
      </c>
      <c r="Y217" s="474">
        <f t="shared" si="135"/>
        <v>0</v>
      </c>
      <c r="Z217" s="475">
        <f t="shared" si="136"/>
        <v>0</v>
      </c>
      <c r="AA217" s="475">
        <v>0</v>
      </c>
      <c r="AB217" s="476">
        <v>0</v>
      </c>
      <c r="AC217" s="38">
        <f t="shared" si="137"/>
        <v>0</v>
      </c>
      <c r="AD217" s="692">
        <f t="shared" si="127"/>
        <v>0</v>
      </c>
      <c r="AE217" s="692">
        <f t="shared" si="128"/>
        <v>0</v>
      </c>
      <c r="AF217" s="692">
        <f t="shared" si="129"/>
        <v>0</v>
      </c>
      <c r="AG217" s="38"/>
      <c r="AH217" s="692">
        <f t="shared" si="131"/>
        <v>0</v>
      </c>
      <c r="AI217" s="692">
        <f t="shared" si="132"/>
        <v>0</v>
      </c>
      <c r="AJ217" s="692">
        <f t="shared" si="133"/>
        <v>0</v>
      </c>
      <c r="AL217" s="38">
        <f t="shared" si="130"/>
        <v>0</v>
      </c>
    </row>
    <row r="218" spans="1:38" hidden="1">
      <c r="A218" s="20"/>
      <c r="B218" s="20" t="s">
        <v>109</v>
      </c>
      <c r="C218" s="667"/>
      <c r="D218" s="123" t="s">
        <v>310</v>
      </c>
      <c r="E218" s="679"/>
      <c r="F218" s="529">
        <f>VLOOKUP(D218,'Aug 2013 Revenue'!D:V,19,FALSE)</f>
        <v>0</v>
      </c>
      <c r="G218" s="680"/>
      <c r="H218" s="680"/>
      <c r="I218" s="755"/>
      <c r="J218" s="682">
        <f t="shared" si="154"/>
        <v>0</v>
      </c>
      <c r="K218" s="683"/>
      <c r="L218" s="684"/>
      <c r="M218" s="753"/>
      <c r="N218" s="683">
        <v>0</v>
      </c>
      <c r="O218" s="686"/>
      <c r="P218" s="683">
        <v>0</v>
      </c>
      <c r="Q218" s="687">
        <f t="shared" si="153"/>
        <v>0</v>
      </c>
      <c r="R218" s="687"/>
      <c r="S218" s="687"/>
      <c r="T218" s="688">
        <v>0</v>
      </c>
      <c r="U218" s="693"/>
      <c r="V218" s="690">
        <f t="shared" si="152"/>
        <v>0</v>
      </c>
      <c r="W218" s="683"/>
      <c r="X218" s="474">
        <f t="shared" si="134"/>
        <v>0</v>
      </c>
      <c r="Y218" s="474">
        <f t="shared" si="135"/>
        <v>0</v>
      </c>
      <c r="Z218" s="475">
        <f t="shared" si="136"/>
        <v>0</v>
      </c>
      <c r="AA218" s="475">
        <v>0</v>
      </c>
      <c r="AB218" s="476">
        <v>0</v>
      </c>
      <c r="AC218" s="38">
        <f t="shared" si="137"/>
        <v>0</v>
      </c>
      <c r="AD218" s="692">
        <f t="shared" ref="AD218:AD228" si="155">IF(B218="D",J218,0)</f>
        <v>0</v>
      </c>
      <c r="AE218" s="692">
        <f t="shared" ref="AE218:AE228" si="156">IF(B218="M",J218,0)</f>
        <v>0</v>
      </c>
      <c r="AF218" s="692">
        <f t="shared" ref="AF218:AF228" si="157">IF(B218="V",J218,0)</f>
        <v>0</v>
      </c>
      <c r="AG218" s="38"/>
      <c r="AH218" s="692">
        <f t="shared" si="131"/>
        <v>0</v>
      </c>
      <c r="AI218" s="692">
        <f t="shared" si="132"/>
        <v>0</v>
      </c>
      <c r="AJ218" s="692">
        <f t="shared" si="133"/>
        <v>0</v>
      </c>
      <c r="AL218" s="38">
        <f t="shared" ref="AL218:AL228" si="158">SUM(AD218:AJ218)</f>
        <v>0</v>
      </c>
    </row>
    <row r="219" spans="1:38" hidden="1">
      <c r="A219" s="20"/>
      <c r="B219" s="20" t="s">
        <v>109</v>
      </c>
      <c r="C219" s="667"/>
      <c r="D219" s="123" t="s">
        <v>441</v>
      </c>
      <c r="E219" s="679"/>
      <c r="F219" s="529">
        <f>VLOOKUP(D219,'Aug 2013 Revenue'!D:V,19,FALSE)</f>
        <v>0</v>
      </c>
      <c r="G219" s="680"/>
      <c r="H219" s="680"/>
      <c r="I219" s="755"/>
      <c r="J219" s="682">
        <f t="shared" si="154"/>
        <v>0</v>
      </c>
      <c r="K219" s="683"/>
      <c r="L219" s="684"/>
      <c r="M219" s="753"/>
      <c r="N219" s="683">
        <v>0</v>
      </c>
      <c r="O219" s="686"/>
      <c r="P219" s="683">
        <v>0</v>
      </c>
      <c r="Q219" s="687">
        <f t="shared" si="153"/>
        <v>0</v>
      </c>
      <c r="R219" s="687"/>
      <c r="S219" s="687"/>
      <c r="T219" s="688">
        <v>0</v>
      </c>
      <c r="U219" s="693"/>
      <c r="V219" s="690">
        <f t="shared" si="152"/>
        <v>0</v>
      </c>
      <c r="W219" s="683"/>
      <c r="X219" s="474">
        <f t="shared" si="134"/>
        <v>0</v>
      </c>
      <c r="Y219" s="474">
        <f t="shared" si="135"/>
        <v>0</v>
      </c>
      <c r="Z219" s="475">
        <f t="shared" si="136"/>
        <v>0</v>
      </c>
      <c r="AA219" s="475">
        <v>0</v>
      </c>
      <c r="AB219" s="476">
        <v>0</v>
      </c>
      <c r="AC219" s="38">
        <f t="shared" si="137"/>
        <v>0</v>
      </c>
      <c r="AD219" s="692">
        <f t="shared" si="155"/>
        <v>0</v>
      </c>
      <c r="AE219" s="692">
        <f t="shared" si="156"/>
        <v>0</v>
      </c>
      <c r="AF219" s="692">
        <f t="shared" si="157"/>
        <v>0</v>
      </c>
      <c r="AG219" s="38"/>
      <c r="AH219" s="692">
        <f t="shared" ref="AH219:AH228" si="159">IF(B219="D",Q219,0)</f>
        <v>0</v>
      </c>
      <c r="AI219" s="692">
        <f t="shared" ref="AI219:AI228" si="160">IF(B219="M",Q219,0)</f>
        <v>0</v>
      </c>
      <c r="AJ219" s="692">
        <f t="shared" ref="AJ219:AJ228" si="161">IF(B219="V",Q219,0)</f>
        <v>0</v>
      </c>
      <c r="AL219" s="38">
        <f t="shared" si="158"/>
        <v>0</v>
      </c>
    </row>
    <row r="220" spans="1:38">
      <c r="A220" s="20"/>
      <c r="B220" s="20" t="s">
        <v>109</v>
      </c>
      <c r="C220" s="667"/>
      <c r="D220" s="68" t="s">
        <v>121</v>
      </c>
      <c r="E220" s="679"/>
      <c r="F220" s="529">
        <f>VLOOKUP(D220,'Aug 2013 Revenue'!D:V,19,FALSE)</f>
        <v>0</v>
      </c>
      <c r="G220" s="680"/>
      <c r="H220" s="680"/>
      <c r="I220" s="755"/>
      <c r="J220" s="682">
        <f t="shared" si="154"/>
        <v>0</v>
      </c>
      <c r="K220" s="683"/>
      <c r="L220" s="684"/>
      <c r="M220" s="753"/>
      <c r="N220" s="683">
        <v>0</v>
      </c>
      <c r="O220" s="686"/>
      <c r="P220" s="683">
        <v>0</v>
      </c>
      <c r="Q220" s="687">
        <f t="shared" si="153"/>
        <v>0</v>
      </c>
      <c r="R220" s="687"/>
      <c r="S220" s="687"/>
      <c r="T220" s="688">
        <v>0</v>
      </c>
      <c r="U220" s="693"/>
      <c r="V220" s="690">
        <f t="shared" ref="V220:V226" si="162">IF(T220="","",T220-Q220)</f>
        <v>0</v>
      </c>
      <c r="W220" s="683"/>
      <c r="X220" s="474">
        <f t="shared" ref="X220:X228" si="163">IF(B220="D",Q220,0)</f>
        <v>0</v>
      </c>
      <c r="Y220" s="474">
        <f t="shared" ref="Y220:Y228" si="164">IF(B220="M",Q220,0)</f>
        <v>0</v>
      </c>
      <c r="Z220" s="475">
        <f t="shared" ref="Z220:Z228" si="165">IF(B220="V",Q220,0)</f>
        <v>0</v>
      </c>
      <c r="AA220" s="475">
        <v>0</v>
      </c>
      <c r="AB220" s="476">
        <v>0</v>
      </c>
      <c r="AC220" s="38">
        <f t="shared" ref="AC220:AC228" si="166">(L220+M220)-(X220+Y220+Z220+AA220+AB220)</f>
        <v>0</v>
      </c>
      <c r="AD220" s="692">
        <f t="shared" si="155"/>
        <v>0</v>
      </c>
      <c r="AE220" s="692">
        <f t="shared" si="156"/>
        <v>0</v>
      </c>
      <c r="AF220" s="692">
        <f t="shared" si="157"/>
        <v>0</v>
      </c>
      <c r="AG220" s="38"/>
      <c r="AH220" s="692">
        <f t="shared" si="159"/>
        <v>0</v>
      </c>
      <c r="AI220" s="692">
        <f t="shared" si="160"/>
        <v>0</v>
      </c>
      <c r="AJ220" s="692">
        <f t="shared" si="161"/>
        <v>0</v>
      </c>
      <c r="AL220" s="38">
        <f t="shared" si="158"/>
        <v>0</v>
      </c>
    </row>
    <row r="221" spans="1:38">
      <c r="A221" s="20"/>
      <c r="B221" s="20" t="s">
        <v>110</v>
      </c>
      <c r="C221" s="667"/>
      <c r="D221" s="68" t="s">
        <v>168</v>
      </c>
      <c r="E221" s="679"/>
      <c r="F221" s="529">
        <f>VLOOKUP(D221,'Aug 2013 Revenue'!D:V,19,FALSE)</f>
        <v>0</v>
      </c>
      <c r="G221" s="680"/>
      <c r="H221" s="680"/>
      <c r="I221" s="755"/>
      <c r="J221" s="682">
        <f t="shared" si="154"/>
        <v>0</v>
      </c>
      <c r="K221" s="683"/>
      <c r="L221" s="684"/>
      <c r="M221" s="753"/>
      <c r="N221" s="683">
        <v>0</v>
      </c>
      <c r="O221" s="686"/>
      <c r="P221" s="683">
        <v>0</v>
      </c>
      <c r="Q221" s="687">
        <f t="shared" si="153"/>
        <v>0</v>
      </c>
      <c r="R221" s="687"/>
      <c r="S221" s="687"/>
      <c r="T221" s="688">
        <v>0</v>
      </c>
      <c r="U221" s="693"/>
      <c r="V221" s="690">
        <f t="shared" si="162"/>
        <v>0</v>
      </c>
      <c r="W221" s="683"/>
      <c r="X221" s="474">
        <f t="shared" si="163"/>
        <v>0</v>
      </c>
      <c r="Y221" s="474">
        <f t="shared" si="164"/>
        <v>0</v>
      </c>
      <c r="Z221" s="475">
        <f t="shared" si="165"/>
        <v>0</v>
      </c>
      <c r="AA221" s="475">
        <v>0</v>
      </c>
      <c r="AB221" s="476">
        <v>0</v>
      </c>
      <c r="AC221" s="38">
        <f t="shared" si="166"/>
        <v>0</v>
      </c>
      <c r="AD221" s="692">
        <f t="shared" si="155"/>
        <v>0</v>
      </c>
      <c r="AE221" s="692">
        <f t="shared" si="156"/>
        <v>0</v>
      </c>
      <c r="AF221" s="692">
        <f t="shared" si="157"/>
        <v>0</v>
      </c>
      <c r="AG221" s="38"/>
      <c r="AH221" s="692">
        <f t="shared" si="159"/>
        <v>0</v>
      </c>
      <c r="AI221" s="692">
        <f t="shared" si="160"/>
        <v>0</v>
      </c>
      <c r="AJ221" s="692">
        <f t="shared" si="161"/>
        <v>0</v>
      </c>
      <c r="AL221" s="38">
        <f t="shared" si="158"/>
        <v>0</v>
      </c>
    </row>
    <row r="222" spans="1:38">
      <c r="A222" s="20"/>
      <c r="B222" s="20" t="s">
        <v>109</v>
      </c>
      <c r="C222" s="667" t="s">
        <v>582</v>
      </c>
      <c r="D222" s="68" t="s">
        <v>167</v>
      </c>
      <c r="E222" s="679"/>
      <c r="F222" s="529">
        <f>VLOOKUP(D222,'Aug 2013 Revenue'!D:V,19,FALSE)</f>
        <v>0</v>
      </c>
      <c r="G222" s="680"/>
      <c r="H222" s="680"/>
      <c r="I222" s="755"/>
      <c r="J222" s="682">
        <f t="shared" si="154"/>
        <v>0</v>
      </c>
      <c r="K222" s="683"/>
      <c r="L222" s="684"/>
      <c r="M222" s="753"/>
      <c r="N222" s="683">
        <v>0</v>
      </c>
      <c r="O222" s="686"/>
      <c r="P222" s="683">
        <v>0</v>
      </c>
      <c r="Q222" s="687">
        <f t="shared" si="153"/>
        <v>0</v>
      </c>
      <c r="R222" s="687"/>
      <c r="S222" s="687"/>
      <c r="T222" s="688">
        <v>0</v>
      </c>
      <c r="U222" s="693"/>
      <c r="V222" s="690">
        <f t="shared" si="162"/>
        <v>0</v>
      </c>
      <c r="W222" s="683"/>
      <c r="X222" s="474">
        <f t="shared" si="163"/>
        <v>0</v>
      </c>
      <c r="Y222" s="474">
        <f t="shared" si="164"/>
        <v>0</v>
      </c>
      <c r="Z222" s="475">
        <f t="shared" si="165"/>
        <v>0</v>
      </c>
      <c r="AA222" s="475">
        <v>0</v>
      </c>
      <c r="AB222" s="476">
        <v>0</v>
      </c>
      <c r="AC222" s="38">
        <f t="shared" si="166"/>
        <v>0</v>
      </c>
      <c r="AD222" s="692">
        <f t="shared" si="155"/>
        <v>0</v>
      </c>
      <c r="AE222" s="692">
        <f t="shared" si="156"/>
        <v>0</v>
      </c>
      <c r="AF222" s="692">
        <f t="shared" si="157"/>
        <v>0</v>
      </c>
      <c r="AG222" s="38"/>
      <c r="AH222" s="692">
        <f t="shared" si="159"/>
        <v>0</v>
      </c>
      <c r="AI222" s="692">
        <f t="shared" si="160"/>
        <v>0</v>
      </c>
      <c r="AJ222" s="692">
        <f t="shared" si="161"/>
        <v>0</v>
      </c>
      <c r="AL222" s="38">
        <f t="shared" si="158"/>
        <v>0</v>
      </c>
    </row>
    <row r="223" spans="1:38">
      <c r="A223" s="20" t="s">
        <v>218</v>
      </c>
      <c r="B223" s="20" t="s">
        <v>110</v>
      </c>
      <c r="C223" s="667"/>
      <c r="D223" s="68" t="s">
        <v>60</v>
      </c>
      <c r="E223" s="679"/>
      <c r="F223" s="529">
        <f>VLOOKUP(D223,'Aug 2013 Revenue'!D:V,19,FALSE)</f>
        <v>-7000</v>
      </c>
      <c r="G223" s="680"/>
      <c r="H223" s="680"/>
      <c r="I223" s="755"/>
      <c r="J223" s="682">
        <f t="shared" si="154"/>
        <v>-7000</v>
      </c>
      <c r="K223" s="683"/>
      <c r="L223" s="684"/>
      <c r="M223" s="753">
        <v>10000</v>
      </c>
      <c r="N223" s="683">
        <v>0</v>
      </c>
      <c r="O223" s="686"/>
      <c r="P223" s="683">
        <v>0</v>
      </c>
      <c r="Q223" s="687">
        <f t="shared" si="153"/>
        <v>10000</v>
      </c>
      <c r="R223" s="687"/>
      <c r="S223" s="687"/>
      <c r="T223" s="688">
        <v>0</v>
      </c>
      <c r="U223" s="693"/>
      <c r="V223" s="690">
        <f t="shared" si="162"/>
        <v>-10000</v>
      </c>
      <c r="W223" s="697"/>
      <c r="X223" s="474">
        <f t="shared" si="163"/>
        <v>10000</v>
      </c>
      <c r="Y223" s="474">
        <f t="shared" si="164"/>
        <v>0</v>
      </c>
      <c r="Z223" s="475">
        <f t="shared" si="165"/>
        <v>0</v>
      </c>
      <c r="AA223" s="475">
        <v>0</v>
      </c>
      <c r="AB223" s="476">
        <v>0</v>
      </c>
      <c r="AC223" s="38">
        <f t="shared" si="166"/>
        <v>0</v>
      </c>
      <c r="AD223" s="692">
        <f t="shared" si="155"/>
        <v>-7000</v>
      </c>
      <c r="AE223" s="692">
        <f t="shared" si="156"/>
        <v>0</v>
      </c>
      <c r="AF223" s="692">
        <f t="shared" si="157"/>
        <v>0</v>
      </c>
      <c r="AG223" s="38"/>
      <c r="AH223" s="692">
        <f t="shared" si="159"/>
        <v>10000</v>
      </c>
      <c r="AI223" s="692">
        <f t="shared" si="160"/>
        <v>0</v>
      </c>
      <c r="AJ223" s="692">
        <f t="shared" si="161"/>
        <v>0</v>
      </c>
      <c r="AL223" s="38">
        <f t="shared" si="158"/>
        <v>3000</v>
      </c>
    </row>
    <row r="224" spans="1:38">
      <c r="A224" s="20"/>
      <c r="B224" s="20" t="s">
        <v>110</v>
      </c>
      <c r="C224" s="667" t="s">
        <v>583</v>
      </c>
      <c r="D224" s="68" t="s">
        <v>169</v>
      </c>
      <c r="E224" s="679"/>
      <c r="F224" s="529">
        <f>VLOOKUP(D224,'Aug 2013 Revenue'!D:V,19,FALSE)</f>
        <v>0</v>
      </c>
      <c r="G224" s="680"/>
      <c r="H224" s="680"/>
      <c r="I224" s="755"/>
      <c r="J224" s="682">
        <f t="shared" si="154"/>
        <v>0</v>
      </c>
      <c r="K224" s="683"/>
      <c r="L224" s="684"/>
      <c r="M224" s="753"/>
      <c r="N224" s="683">
        <v>0</v>
      </c>
      <c r="O224" s="686"/>
      <c r="P224" s="683">
        <v>0</v>
      </c>
      <c r="Q224" s="687">
        <f t="shared" si="153"/>
        <v>0</v>
      </c>
      <c r="R224" s="687"/>
      <c r="S224" s="687"/>
      <c r="T224" s="688">
        <v>0</v>
      </c>
      <c r="U224" s="693"/>
      <c r="V224" s="690">
        <f t="shared" si="162"/>
        <v>0</v>
      </c>
      <c r="W224" s="683"/>
      <c r="X224" s="474">
        <f t="shared" si="163"/>
        <v>0</v>
      </c>
      <c r="Y224" s="474">
        <f t="shared" si="164"/>
        <v>0</v>
      </c>
      <c r="Z224" s="475">
        <f t="shared" si="165"/>
        <v>0</v>
      </c>
      <c r="AA224" s="475">
        <v>0</v>
      </c>
      <c r="AB224" s="476">
        <v>0</v>
      </c>
      <c r="AC224" s="38">
        <f t="shared" si="166"/>
        <v>0</v>
      </c>
      <c r="AD224" s="692">
        <f t="shared" si="155"/>
        <v>0</v>
      </c>
      <c r="AE224" s="692">
        <f t="shared" si="156"/>
        <v>0</v>
      </c>
      <c r="AF224" s="692">
        <f t="shared" si="157"/>
        <v>0</v>
      </c>
      <c r="AG224" s="38"/>
      <c r="AH224" s="692">
        <f t="shared" si="159"/>
        <v>0</v>
      </c>
      <c r="AI224" s="692">
        <f t="shared" si="160"/>
        <v>0</v>
      </c>
      <c r="AJ224" s="692">
        <f t="shared" si="161"/>
        <v>0</v>
      </c>
      <c r="AL224" s="38">
        <f t="shared" si="158"/>
        <v>0</v>
      </c>
    </row>
    <row r="225" spans="1:38">
      <c r="A225" s="21"/>
      <c r="B225" s="21" t="s">
        <v>110</v>
      </c>
      <c r="C225" s="666"/>
      <c r="D225" s="821" t="s">
        <v>981</v>
      </c>
      <c r="E225" s="679"/>
      <c r="F225" s="529">
        <f>VLOOKUP(D225,'Aug 2013 Revenue'!D:V,19,FALSE)</f>
        <v>0</v>
      </c>
      <c r="G225" s="680"/>
      <c r="H225" s="680"/>
      <c r="I225" s="755"/>
      <c r="J225" s="682">
        <f t="shared" si="154"/>
        <v>0</v>
      </c>
      <c r="K225" s="683"/>
      <c r="L225" s="684"/>
      <c r="M225" s="753"/>
      <c r="N225" s="683">
        <v>0</v>
      </c>
      <c r="O225" s="686"/>
      <c r="P225" s="683">
        <v>0</v>
      </c>
      <c r="Q225" s="687">
        <f t="shared" si="153"/>
        <v>0</v>
      </c>
      <c r="R225" s="687"/>
      <c r="S225" s="687"/>
      <c r="T225" s="688">
        <v>0</v>
      </c>
      <c r="U225" s="693"/>
      <c r="V225" s="690">
        <f t="shared" si="162"/>
        <v>0</v>
      </c>
      <c r="W225" s="683"/>
      <c r="X225" s="474">
        <f t="shared" si="163"/>
        <v>0</v>
      </c>
      <c r="Y225" s="474">
        <f t="shared" si="164"/>
        <v>0</v>
      </c>
      <c r="Z225" s="475">
        <f t="shared" si="165"/>
        <v>0</v>
      </c>
      <c r="AA225" s="475">
        <v>0</v>
      </c>
      <c r="AB225" s="476">
        <v>0</v>
      </c>
      <c r="AC225" s="38">
        <f t="shared" si="166"/>
        <v>0</v>
      </c>
      <c r="AD225" s="692">
        <f t="shared" si="155"/>
        <v>0</v>
      </c>
      <c r="AE225" s="692">
        <f t="shared" si="156"/>
        <v>0</v>
      </c>
      <c r="AF225" s="692">
        <f t="shared" si="157"/>
        <v>0</v>
      </c>
      <c r="AG225" s="38"/>
      <c r="AH225" s="692">
        <f t="shared" si="159"/>
        <v>0</v>
      </c>
      <c r="AI225" s="692">
        <f t="shared" si="160"/>
        <v>0</v>
      </c>
      <c r="AJ225" s="692">
        <f t="shared" si="161"/>
        <v>0</v>
      </c>
      <c r="AL225" s="38">
        <f t="shared" si="158"/>
        <v>0</v>
      </c>
    </row>
    <row r="226" spans="1:38">
      <c r="A226" s="21"/>
      <c r="B226" s="21" t="s">
        <v>114</v>
      </c>
      <c r="C226" s="666"/>
      <c r="D226" s="68" t="s">
        <v>591</v>
      </c>
      <c r="E226" s="679"/>
      <c r="F226" s="529">
        <f>VLOOKUP(D226,'Aug 2013 Revenue'!D:V,19,FALSE)</f>
        <v>1042.51</v>
      </c>
      <c r="G226" s="680"/>
      <c r="H226" s="680"/>
      <c r="I226" s="755"/>
      <c r="J226" s="682">
        <f t="shared" si="154"/>
        <v>1042.51</v>
      </c>
      <c r="K226" s="683"/>
      <c r="L226" s="684"/>
      <c r="M226" s="753"/>
      <c r="N226" s="683">
        <v>0</v>
      </c>
      <c r="O226" s="686"/>
      <c r="P226" s="683">
        <v>0</v>
      </c>
      <c r="Q226" s="687">
        <f t="shared" si="153"/>
        <v>0</v>
      </c>
      <c r="R226" s="687"/>
      <c r="S226" s="687"/>
      <c r="T226" s="688">
        <f>633.92+250.63+136.9+347.44</f>
        <v>1368.8899999999999</v>
      </c>
      <c r="U226" s="693"/>
      <c r="V226" s="690">
        <f t="shared" si="162"/>
        <v>1368.8899999999999</v>
      </c>
      <c r="W226" s="683"/>
      <c r="X226" s="474">
        <f t="shared" si="163"/>
        <v>0</v>
      </c>
      <c r="Y226" s="474">
        <f t="shared" si="164"/>
        <v>0</v>
      </c>
      <c r="Z226" s="475">
        <f t="shared" si="165"/>
        <v>0</v>
      </c>
      <c r="AA226" s="475">
        <v>0</v>
      </c>
      <c r="AB226" s="476">
        <v>0</v>
      </c>
      <c r="AC226" s="38">
        <f t="shared" si="166"/>
        <v>0</v>
      </c>
      <c r="AD226" s="692">
        <f t="shared" si="155"/>
        <v>0</v>
      </c>
      <c r="AE226" s="692">
        <f t="shared" si="156"/>
        <v>0</v>
      </c>
      <c r="AF226" s="692">
        <f t="shared" si="157"/>
        <v>1042.51</v>
      </c>
      <c r="AG226" s="38"/>
      <c r="AH226" s="692">
        <f t="shared" si="159"/>
        <v>0</v>
      </c>
      <c r="AI226" s="692">
        <f t="shared" si="160"/>
        <v>0</v>
      </c>
      <c r="AJ226" s="692">
        <f t="shared" si="161"/>
        <v>0</v>
      </c>
      <c r="AL226" s="38">
        <f t="shared" si="158"/>
        <v>1042.51</v>
      </c>
    </row>
    <row r="227" spans="1:38">
      <c r="A227" s="21"/>
      <c r="B227" s="21" t="s">
        <v>114</v>
      </c>
      <c r="C227" s="672"/>
      <c r="D227" s="519" t="s">
        <v>433</v>
      </c>
      <c r="E227" s="679"/>
      <c r="F227" s="529">
        <f>VLOOKUP(D227,'Aug 2013 Revenue'!D:V,19,FALSE)</f>
        <v>0</v>
      </c>
      <c r="G227" s="680"/>
      <c r="H227" s="680"/>
      <c r="I227" s="755"/>
      <c r="J227" s="682">
        <f t="shared" si="154"/>
        <v>0</v>
      </c>
      <c r="K227" s="683"/>
      <c r="L227" s="684"/>
      <c r="M227" s="753"/>
      <c r="N227" s="683">
        <v>0</v>
      </c>
      <c r="O227" s="686"/>
      <c r="P227" s="683">
        <v>0</v>
      </c>
      <c r="Q227" s="687">
        <f t="shared" si="153"/>
        <v>0</v>
      </c>
      <c r="R227" s="687"/>
      <c r="S227" s="687"/>
      <c r="T227" s="688">
        <v>0</v>
      </c>
      <c r="U227" s="693"/>
      <c r="V227" s="690">
        <f t="shared" ref="V227:V228" si="167">IF(T227="","",T227-Q227)</f>
        <v>0</v>
      </c>
      <c r="W227" s="683"/>
      <c r="X227" s="474">
        <f t="shared" si="163"/>
        <v>0</v>
      </c>
      <c r="Y227" s="474">
        <f t="shared" si="164"/>
        <v>0</v>
      </c>
      <c r="Z227" s="475">
        <f t="shared" si="165"/>
        <v>0</v>
      </c>
      <c r="AA227" s="475">
        <v>0</v>
      </c>
      <c r="AB227" s="476">
        <v>0</v>
      </c>
      <c r="AC227" s="38">
        <f t="shared" si="166"/>
        <v>0</v>
      </c>
      <c r="AD227" s="692">
        <f t="shared" si="155"/>
        <v>0</v>
      </c>
      <c r="AE227" s="692">
        <f t="shared" si="156"/>
        <v>0</v>
      </c>
      <c r="AF227" s="692">
        <f t="shared" si="157"/>
        <v>0</v>
      </c>
      <c r="AG227" s="38"/>
      <c r="AH227" s="692">
        <f t="shared" si="159"/>
        <v>0</v>
      </c>
      <c r="AI227" s="692">
        <f t="shared" si="160"/>
        <v>0</v>
      </c>
      <c r="AJ227" s="692">
        <f t="shared" si="161"/>
        <v>0</v>
      </c>
      <c r="AL227" s="38">
        <f t="shared" si="158"/>
        <v>0</v>
      </c>
    </row>
    <row r="228" spans="1:38" s="146" customFormat="1" ht="13" thickBot="1">
      <c r="A228" s="21"/>
      <c r="B228" s="21" t="s">
        <v>110</v>
      </c>
      <c r="C228" s="666"/>
      <c r="D228" s="68" t="s">
        <v>593</v>
      </c>
      <c r="E228" s="679"/>
      <c r="F228" s="529">
        <f>VLOOKUP(D228,'Aug 2013 Revenue'!D:V,19,FALSE)</f>
        <v>0</v>
      </c>
      <c r="G228" s="680"/>
      <c r="H228" s="680"/>
      <c r="I228" s="755"/>
      <c r="J228" s="682">
        <f t="shared" si="154"/>
        <v>0</v>
      </c>
      <c r="K228" s="683"/>
      <c r="L228" s="684"/>
      <c r="M228" s="753"/>
      <c r="N228" s="683">
        <v>0</v>
      </c>
      <c r="O228" s="686"/>
      <c r="P228" s="683">
        <v>0</v>
      </c>
      <c r="Q228" s="687">
        <f t="shared" si="153"/>
        <v>0</v>
      </c>
      <c r="R228" s="687"/>
      <c r="S228" s="687"/>
      <c r="T228" s="688">
        <v>0</v>
      </c>
      <c r="U228" s="693"/>
      <c r="V228" s="690">
        <f t="shared" si="167"/>
        <v>0</v>
      </c>
      <c r="W228" s="683"/>
      <c r="X228" s="474">
        <f t="shared" si="163"/>
        <v>0</v>
      </c>
      <c r="Y228" s="474">
        <f t="shared" si="164"/>
        <v>0</v>
      </c>
      <c r="Z228" s="475">
        <f t="shared" si="165"/>
        <v>0</v>
      </c>
      <c r="AA228" s="475">
        <v>0</v>
      </c>
      <c r="AB228" s="476">
        <v>0</v>
      </c>
      <c r="AC228" s="38">
        <f t="shared" si="166"/>
        <v>0</v>
      </c>
      <c r="AD228" s="692">
        <f t="shared" si="155"/>
        <v>0</v>
      </c>
      <c r="AE228" s="692">
        <f t="shared" si="156"/>
        <v>0</v>
      </c>
      <c r="AF228" s="692">
        <f t="shared" si="157"/>
        <v>0</v>
      </c>
      <c r="AG228" s="38"/>
      <c r="AH228" s="692">
        <f t="shared" si="159"/>
        <v>0</v>
      </c>
      <c r="AI228" s="692">
        <f t="shared" si="160"/>
        <v>0</v>
      </c>
      <c r="AJ228" s="692">
        <f t="shared" si="161"/>
        <v>0</v>
      </c>
      <c r="AL228" s="38">
        <f t="shared" si="158"/>
        <v>0</v>
      </c>
    </row>
    <row r="229" spans="1:38" ht="13" thickBot="1">
      <c r="A229" s="107"/>
      <c r="B229" s="108"/>
      <c r="C229" s="673"/>
      <c r="D229" s="71" t="s">
        <v>86</v>
      </c>
      <c r="E229" s="454">
        <f t="shared" ref="E229:J229" si="168">SUM(E16:E228)</f>
        <v>1164952.8699999999</v>
      </c>
      <c r="F229" s="454" t="e">
        <f t="shared" si="168"/>
        <v>#N/A</v>
      </c>
      <c r="G229" s="454">
        <f t="shared" si="168"/>
        <v>0</v>
      </c>
      <c r="H229" s="454">
        <f t="shared" si="168"/>
        <v>0</v>
      </c>
      <c r="I229" s="454">
        <f t="shared" si="168"/>
        <v>8634598.9800000004</v>
      </c>
      <c r="J229" s="454" t="e">
        <f t="shared" si="168"/>
        <v>#N/A</v>
      </c>
      <c r="K229" s="454"/>
      <c r="L229" s="454">
        <f>SUM(L16:L228)</f>
        <v>0</v>
      </c>
      <c r="M229" s="454">
        <f>SUM(M16:M228)</f>
        <v>9902100</v>
      </c>
      <c r="N229" s="454">
        <f>SUM(N16:N228)</f>
        <v>0</v>
      </c>
      <c r="O229" s="100">
        <f>SUM(O16:O228)</f>
        <v>0</v>
      </c>
      <c r="P229" s="157">
        <f>SUM(P17:P228)</f>
        <v>0</v>
      </c>
      <c r="Q229" s="100">
        <f>SUM(Q16:Q228)</f>
        <v>9902100</v>
      </c>
      <c r="R229" s="100"/>
      <c r="S229" s="100"/>
      <c r="T229" s="100">
        <f>SUM(T16:T228)</f>
        <v>9146624.0199999996</v>
      </c>
      <c r="U229" s="708"/>
      <c r="V229" s="100">
        <f>SUM(V16:V228)</f>
        <v>-755475.97999999986</v>
      </c>
      <c r="W229" s="683"/>
      <c r="X229" s="314">
        <f>SUM(X16:X228)</f>
        <v>8723500</v>
      </c>
      <c r="Y229" s="314">
        <f>SUM(Y16:Y228)</f>
        <v>1059000</v>
      </c>
      <c r="Z229" s="314">
        <f>SUM(Z16:Z228)</f>
        <v>119600</v>
      </c>
      <c r="AA229" s="314">
        <f>SUM(AA16:AA228)</f>
        <v>0</v>
      </c>
      <c r="AB229" s="314">
        <f>SUM(AB16:AB228)</f>
        <v>0</v>
      </c>
      <c r="AC229" s="38"/>
      <c r="AD229" s="314">
        <f>SUM(AD16:AD228)</f>
        <v>8093002.5799999982</v>
      </c>
      <c r="AE229" s="314" t="e">
        <f>SUM(AE16:AE228)</f>
        <v>#N/A</v>
      </c>
      <c r="AF229" s="314">
        <f>SUM(AF16:AF228)</f>
        <v>-26026.35</v>
      </c>
      <c r="AG229" s="38"/>
      <c r="AH229" s="314">
        <f>SUM(AH16:AH228)</f>
        <v>8723500</v>
      </c>
      <c r="AI229" s="314">
        <f>SUM(AI16:AI228)</f>
        <v>1059000</v>
      </c>
      <c r="AJ229" s="314">
        <f>SUM(AJ16:AJ228)</f>
        <v>119600</v>
      </c>
    </row>
    <row r="230" spans="1:38" ht="13" thickBot="1">
      <c r="A230" s="65"/>
      <c r="B230" s="65"/>
      <c r="C230" s="674"/>
      <c r="D230" s="141"/>
      <c r="E230" s="709" t="s">
        <v>293</v>
      </c>
      <c r="F230" s="160" t="e">
        <f>F229+E229</f>
        <v>#N/A</v>
      </c>
      <c r="G230" s="153"/>
      <c r="H230" s="153" t="s">
        <v>225</v>
      </c>
      <c r="I230" s="153">
        <f>I229+H229+G229</f>
        <v>8634598.9800000004</v>
      </c>
      <c r="J230" s="323"/>
      <c r="K230" s="153"/>
      <c r="L230" s="153" t="s">
        <v>296</v>
      </c>
      <c r="M230" s="100">
        <f>M229+L229</f>
        <v>9902100</v>
      </c>
      <c r="N230" s="153"/>
      <c r="O230" s="641"/>
      <c r="P230" s="153"/>
      <c r="Q230" s="153"/>
      <c r="R230" s="153"/>
      <c r="S230" s="153"/>
      <c r="T230" s="153"/>
      <c r="U230" s="153"/>
      <c r="V230" s="153"/>
      <c r="W230" s="153"/>
      <c r="X230" s="139"/>
      <c r="Y230" s="139"/>
      <c r="Z230" s="139"/>
      <c r="AA230" s="139"/>
      <c r="AB230" s="104"/>
      <c r="AC230" s="38"/>
      <c r="AD230" s="711"/>
      <c r="AE230" s="711"/>
      <c r="AF230" s="711"/>
      <c r="AG230" s="38"/>
      <c r="AH230" s="38"/>
      <c r="AI230" s="38"/>
      <c r="AJ230" s="38"/>
    </row>
    <row r="231" spans="1:38" ht="13" thickBot="1">
      <c r="A231" s="65"/>
      <c r="B231" s="65"/>
      <c r="C231" s="674"/>
      <c r="E231" s="159"/>
      <c r="F231" s="153"/>
      <c r="G231" s="153"/>
      <c r="H231" s="153"/>
      <c r="I231" s="153"/>
      <c r="J231" s="153"/>
      <c r="K231" s="153"/>
      <c r="L231" s="153"/>
      <c r="M231" s="710"/>
      <c r="N231" s="153"/>
      <c r="O231" s="153"/>
      <c r="P231" s="153"/>
      <c r="Q231" s="153"/>
      <c r="R231" s="153"/>
      <c r="S231" s="153"/>
      <c r="T231" s="153"/>
      <c r="U231" s="153"/>
      <c r="V231" s="153"/>
      <c r="W231" s="153"/>
      <c r="X231" s="331" t="s">
        <v>345</v>
      </c>
      <c r="Y231" s="139"/>
      <c r="Z231" s="139"/>
      <c r="AA231" s="139"/>
      <c r="AB231" s="104"/>
      <c r="AC231" s="164" t="s">
        <v>633</v>
      </c>
      <c r="AD231" s="798">
        <f>-45000+2815.48</f>
        <v>-42184.52</v>
      </c>
      <c r="AE231" s="798"/>
      <c r="AF231" s="798">
        <f>-SUM(AD231)</f>
        <v>42184.52</v>
      </c>
      <c r="AG231" s="38"/>
      <c r="AH231" s="711"/>
      <c r="AI231" s="711"/>
      <c r="AJ231" s="711"/>
    </row>
    <row r="232" spans="1:38" ht="17" thickTop="1" thickBot="1">
      <c r="E232" s="712"/>
      <c r="F232" s="713"/>
      <c r="G232" s="714"/>
      <c r="H232" s="715"/>
      <c r="I232" s="715"/>
      <c r="J232" s="164"/>
      <c r="K232" s="169"/>
      <c r="L232" s="233"/>
      <c r="M232" s="233"/>
      <c r="N232" s="38"/>
      <c r="O232" s="642"/>
      <c r="P232" s="139"/>
      <c r="Q232" s="139"/>
      <c r="R232" s="139"/>
      <c r="S232" s="139"/>
      <c r="T232" s="33"/>
      <c r="U232" s="33"/>
      <c r="V232" s="33"/>
      <c r="W232" s="169"/>
      <c r="X232" s="332"/>
      <c r="Y232" s="333"/>
      <c r="Z232" s="491"/>
      <c r="AA232" s="491"/>
      <c r="AB232" s="334"/>
      <c r="AC232" s="164" t="s">
        <v>634</v>
      </c>
      <c r="AD232" s="798">
        <v>-83161.22</v>
      </c>
      <c r="AE232" s="798"/>
      <c r="AF232" s="802">
        <f>-SUM(AD232)</f>
        <v>83161.22</v>
      </c>
      <c r="AG232" s="38"/>
      <c r="AH232" s="38"/>
      <c r="AI232" s="38"/>
      <c r="AJ232" s="38"/>
    </row>
    <row r="233" spans="1:38" ht="17" thickBot="1">
      <c r="E233" s="712"/>
      <c r="F233" s="713"/>
      <c r="G233" s="714"/>
      <c r="H233" s="715"/>
      <c r="J233" s="79" t="e">
        <f>J229</f>
        <v>#N/A</v>
      </c>
      <c r="K233" s="715" t="s">
        <v>1003</v>
      </c>
      <c r="L233" s="169"/>
      <c r="M233" s="493"/>
      <c r="N233" s="38"/>
      <c r="O233" s="80"/>
      <c r="P233" s="104"/>
      <c r="Q233" s="139"/>
      <c r="R233" s="139"/>
      <c r="S233" s="139"/>
      <c r="T233" s="33"/>
      <c r="U233" s="33"/>
      <c r="V233" s="33"/>
      <c r="W233" s="169"/>
      <c r="X233" s="487"/>
      <c r="Y233" s="488"/>
      <c r="Z233" s="492" t="s">
        <v>399</v>
      </c>
      <c r="AA233" s="492" t="s">
        <v>400</v>
      </c>
      <c r="AB233" s="488"/>
      <c r="AC233" s="717" t="s">
        <v>475</v>
      </c>
      <c r="AD233" s="718">
        <f>SUM(AD229:AD232)</f>
        <v>7967656.8399999989</v>
      </c>
      <c r="AE233" s="718" t="e">
        <f>AE229</f>
        <v>#N/A</v>
      </c>
      <c r="AF233" s="718">
        <f>SUM(AF229:AF232)</f>
        <v>99319.39</v>
      </c>
      <c r="AG233" s="718"/>
      <c r="AH233" s="718">
        <f>AH229</f>
        <v>8723500</v>
      </c>
      <c r="AI233" s="718">
        <f>AI229</f>
        <v>1059000</v>
      </c>
      <c r="AJ233" s="719">
        <f>AJ229</f>
        <v>119600</v>
      </c>
      <c r="AL233" s="38" t="e">
        <f>SUM(AL17:AL232)</f>
        <v>#N/A</v>
      </c>
    </row>
    <row r="234" spans="1:38" ht="15" thickBot="1">
      <c r="D234" s="143"/>
      <c r="E234" s="759"/>
      <c r="F234" s="713"/>
      <c r="G234" s="714"/>
      <c r="H234" s="720"/>
      <c r="J234" s="750">
        <f>SUM('June GL'!H5)</f>
        <v>0</v>
      </c>
      <c r="K234" s="757" t="s">
        <v>251</v>
      </c>
      <c r="L234" s="722"/>
      <c r="M234" s="642"/>
      <c r="N234" s="33"/>
      <c r="O234" s="80"/>
      <c r="P234" s="104"/>
      <c r="Q234" s="139"/>
      <c r="R234" s="139"/>
      <c r="S234" s="139"/>
      <c r="T234" s="33"/>
      <c r="U234" s="33"/>
      <c r="V234" s="33"/>
      <c r="W234" s="169"/>
      <c r="X234" s="158" t="s">
        <v>609</v>
      </c>
      <c r="Y234" s="104" t="s">
        <v>352</v>
      </c>
      <c r="Z234" s="104">
        <f>X229+Y229+Z229</f>
        <v>9902100</v>
      </c>
      <c r="AA234" s="104"/>
      <c r="AB234" s="136"/>
      <c r="AC234" s="723"/>
      <c r="AD234" s="38"/>
      <c r="AE234" s="38"/>
      <c r="AF234" s="38"/>
      <c r="AG234" s="38"/>
      <c r="AH234" s="38"/>
      <c r="AI234" s="38"/>
      <c r="AJ234" s="38"/>
    </row>
    <row r="235" spans="1:38" ht="15" thickTop="1">
      <c r="D235" s="143"/>
      <c r="E235" s="712"/>
      <c r="F235" s="713"/>
      <c r="G235" s="714"/>
      <c r="H235" s="714" t="s">
        <v>249</v>
      </c>
      <c r="J235" s="173" t="e">
        <f>J234+J233</f>
        <v>#N/A</v>
      </c>
      <c r="K235" s="714" t="s">
        <v>454</v>
      </c>
      <c r="L235" s="722"/>
      <c r="M235" s="80"/>
      <c r="N235" s="104"/>
      <c r="O235" s="173"/>
      <c r="P235" s="104"/>
      <c r="Q235" s="139"/>
      <c r="R235" s="139"/>
      <c r="S235" s="139"/>
      <c r="T235" s="139"/>
      <c r="U235" s="139"/>
      <c r="V235" s="139"/>
      <c r="W235" s="169"/>
      <c r="X235" s="158"/>
      <c r="Y235" s="104"/>
      <c r="Z235" s="104"/>
      <c r="AA235" s="104"/>
      <c r="AB235" s="136"/>
      <c r="AC235" s="723"/>
      <c r="AD235" s="38"/>
      <c r="AE235" s="38"/>
      <c r="AF235" s="38" t="s">
        <v>86</v>
      </c>
      <c r="AG235" s="38"/>
      <c r="AH235" s="233">
        <f>SUM(AD233+AH233)</f>
        <v>16691156.84</v>
      </c>
      <c r="AI235" s="233" t="e">
        <f t="shared" ref="AI235:AJ235" si="169">SUM(AE233+AI233)</f>
        <v>#N/A</v>
      </c>
      <c r="AJ235" s="233">
        <f t="shared" si="169"/>
        <v>218919.39</v>
      </c>
    </row>
    <row r="236" spans="1:38" ht="14">
      <c r="D236" s="143"/>
      <c r="E236" s="712"/>
      <c r="F236" s="713"/>
      <c r="G236" s="714"/>
      <c r="H236" s="714"/>
      <c r="J236" s="80"/>
      <c r="K236" s="714"/>
      <c r="L236" s="722"/>
      <c r="M236" s="104"/>
      <c r="N236" s="38"/>
      <c r="O236" s="139"/>
      <c r="P236" s="104"/>
      <c r="Q236" s="139"/>
      <c r="R236" s="139"/>
      <c r="S236" s="139"/>
      <c r="T236" s="139"/>
      <c r="U236" s="139"/>
      <c r="V236" s="139"/>
      <c r="W236" s="169"/>
      <c r="X236" s="158" t="s">
        <v>600</v>
      </c>
      <c r="Y236" s="104" t="s">
        <v>355</v>
      </c>
      <c r="Z236" s="104"/>
      <c r="AA236" s="104">
        <f>X229</f>
        <v>8723500</v>
      </c>
      <c r="AB236" s="136"/>
      <c r="AC236" s="38"/>
      <c r="AD236" s="797" t="s">
        <v>882</v>
      </c>
      <c r="AE236" s="38"/>
      <c r="AF236" s="38"/>
      <c r="AG236" s="38"/>
      <c r="AH236" s="233"/>
      <c r="AI236" s="233"/>
      <c r="AJ236" s="233"/>
    </row>
    <row r="237" spans="1:38" ht="15" thickBot="1">
      <c r="D237" s="143" t="s">
        <v>823</v>
      </c>
      <c r="E237" s="712"/>
      <c r="F237" s="713"/>
      <c r="G237" s="714"/>
      <c r="H237" s="714"/>
      <c r="J237" s="661">
        <f>M230</f>
        <v>9902100</v>
      </c>
      <c r="K237" s="714" t="s">
        <v>1004</v>
      </c>
      <c r="L237" s="645"/>
      <c r="M237" s="173"/>
      <c r="N237" s="38"/>
      <c r="O237" s="139"/>
      <c r="P237" s="104"/>
      <c r="Q237" s="139"/>
      <c r="R237" s="139"/>
      <c r="S237" s="139"/>
      <c r="T237" s="726"/>
      <c r="U237" s="139"/>
      <c r="V237" s="727"/>
      <c r="W237" s="169"/>
      <c r="X237" s="158"/>
      <c r="Y237" s="104" t="s">
        <v>356</v>
      </c>
      <c r="Z237" s="104"/>
      <c r="AA237" s="104">
        <f>AA229</f>
        <v>0</v>
      </c>
      <c r="AB237" s="136"/>
      <c r="AC237" s="38"/>
      <c r="AD237" s="38"/>
      <c r="AE237" s="38"/>
      <c r="AF237" s="38"/>
      <c r="AG237" s="38"/>
      <c r="AH237" s="799" t="s">
        <v>897</v>
      </c>
      <c r="AI237" s="801" t="e">
        <f>SUM(AH235:AJ235)</f>
        <v>#N/A</v>
      </c>
      <c r="AJ237" s="800"/>
    </row>
    <row r="238" spans="1:38" ht="16" thickTop="1" thickBot="1">
      <c r="D238" s="143"/>
      <c r="E238" s="712"/>
      <c r="F238" s="713"/>
      <c r="G238" s="714"/>
      <c r="H238" s="714"/>
      <c r="J238" s="173">
        <v>0</v>
      </c>
      <c r="K238" s="714"/>
      <c r="L238" s="722"/>
      <c r="M238" s="173"/>
      <c r="N238" s="38"/>
      <c r="O238" s="33"/>
      <c r="P238" s="38"/>
      <c r="Q238" s="139"/>
      <c r="R238" s="139"/>
      <c r="S238" s="139"/>
      <c r="T238" s="139"/>
      <c r="U238" s="139"/>
      <c r="V238" s="139"/>
      <c r="W238" s="169"/>
      <c r="X238" s="158"/>
      <c r="Y238" s="104"/>
      <c r="Z238" s="104"/>
      <c r="AA238" s="104"/>
      <c r="AB238" s="136"/>
      <c r="AC238" s="38"/>
      <c r="AD238" s="38"/>
      <c r="AE238" s="38"/>
      <c r="AF238" s="38"/>
      <c r="AG238" s="38"/>
    </row>
    <row r="239" spans="1:38" ht="15" thickBot="1">
      <c r="E239" s="712"/>
      <c r="F239" s="713"/>
      <c r="G239" s="714"/>
      <c r="H239" s="714"/>
      <c r="J239" s="754" t="e">
        <f>J233+J237</f>
        <v>#N/A</v>
      </c>
      <c r="K239" s="714" t="s">
        <v>1005</v>
      </c>
      <c r="L239" s="722"/>
      <c r="M239" s="173"/>
      <c r="N239" s="38"/>
      <c r="O239" s="33"/>
      <c r="P239" s="38"/>
      <c r="Q239" s="139"/>
      <c r="R239" s="139"/>
      <c r="S239" s="139"/>
      <c r="T239" s="139"/>
      <c r="U239" s="139"/>
      <c r="V239" s="139"/>
      <c r="W239" s="169"/>
      <c r="X239" s="158" t="s">
        <v>601</v>
      </c>
      <c r="Y239" s="104" t="s">
        <v>357</v>
      </c>
      <c r="Z239" s="104"/>
      <c r="AA239" s="104">
        <f>Y229</f>
        <v>1059000</v>
      </c>
      <c r="AB239" s="136"/>
      <c r="AC239" s="38"/>
      <c r="AD239" s="38"/>
      <c r="AE239" s="38"/>
      <c r="AF239" s="38"/>
      <c r="AG239" s="38"/>
      <c r="AH239" s="796" t="s">
        <v>857</v>
      </c>
      <c r="AI239" s="38" t="e">
        <f>AI237-AJ235</f>
        <v>#N/A</v>
      </c>
      <c r="AJ239" s="38"/>
    </row>
    <row r="240" spans="1:38">
      <c r="D240" s="161"/>
      <c r="E240" s="712"/>
      <c r="F240" s="713"/>
      <c r="G240" s="714"/>
      <c r="H240" s="714"/>
      <c r="J240" s="637"/>
      <c r="K240" s="714"/>
      <c r="L240" s="173"/>
      <c r="M240" s="731"/>
      <c r="N240" s="38"/>
      <c r="O240" s="33"/>
      <c r="P240" s="38"/>
      <c r="Q240" s="139"/>
      <c r="R240" s="139"/>
      <c r="S240" s="139"/>
      <c r="T240" s="139"/>
      <c r="U240" s="139"/>
      <c r="V240" s="139"/>
      <c r="W240" s="169"/>
      <c r="X240" s="415"/>
      <c r="Y240" s="104" t="s">
        <v>358</v>
      </c>
      <c r="Z240" s="104"/>
      <c r="AA240" s="104">
        <f>AB229</f>
        <v>0</v>
      </c>
      <c r="AB240" s="136"/>
      <c r="AC240" s="38"/>
      <c r="AD240" s="38"/>
      <c r="AE240" s="38"/>
      <c r="AF240" s="38"/>
      <c r="AG240" s="38"/>
      <c r="AH240" s="38"/>
      <c r="AI240" s="38"/>
      <c r="AJ240" s="38"/>
    </row>
    <row r="241" spans="5:36">
      <c r="E241" s="712"/>
      <c r="F241" s="713"/>
      <c r="G241" s="714"/>
      <c r="H241" s="714"/>
      <c r="J241" s="658" t="e">
        <f>SUM(AD233:AJ233)</f>
        <v>#N/A</v>
      </c>
      <c r="K241" s="714" t="s">
        <v>518</v>
      </c>
      <c r="L241" s="732"/>
      <c r="M241" s="637"/>
      <c r="N241" s="38"/>
      <c r="O241" s="33"/>
      <c r="P241" s="38"/>
      <c r="Q241" s="139"/>
      <c r="R241" s="139"/>
      <c r="S241" s="139"/>
      <c r="T241" s="139"/>
      <c r="U241" s="139"/>
      <c r="V241" s="139"/>
      <c r="W241" s="169"/>
      <c r="X241" s="415"/>
      <c r="Y241" s="104"/>
      <c r="Z241" s="104"/>
      <c r="AA241" s="104"/>
      <c r="AB241" s="136"/>
      <c r="AC241" s="38"/>
      <c r="AD241" s="38"/>
      <c r="AE241" s="38"/>
      <c r="AF241" s="38"/>
      <c r="AG241" s="38"/>
      <c r="AH241" s="38"/>
      <c r="AI241" s="38"/>
      <c r="AJ241" s="38"/>
    </row>
    <row r="242" spans="5:36" ht="13" thickBot="1">
      <c r="E242" s="712"/>
      <c r="F242" s="713"/>
      <c r="G242" s="714"/>
      <c r="H242" s="714"/>
      <c r="J242" s="169"/>
      <c r="K242" s="714" t="s">
        <v>454</v>
      </c>
      <c r="L242" s="733"/>
      <c r="M242" s="795"/>
      <c r="N242" s="38"/>
      <c r="O242" s="33"/>
      <c r="P242" s="38"/>
      <c r="Q242" s="139"/>
      <c r="R242" s="139"/>
      <c r="S242" s="139"/>
      <c r="T242" s="139"/>
      <c r="U242" s="139"/>
      <c r="V242" s="139"/>
      <c r="W242" s="169"/>
      <c r="X242" s="158" t="s">
        <v>602</v>
      </c>
      <c r="Y242" s="488" t="s">
        <v>359</v>
      </c>
      <c r="Z242" s="488"/>
      <c r="AA242" s="488">
        <f>Z229</f>
        <v>119600</v>
      </c>
      <c r="AB242" s="414"/>
      <c r="AC242" s="38"/>
      <c r="AD242" s="38"/>
      <c r="AE242" s="38"/>
      <c r="AF242" s="38"/>
      <c r="AG242" s="38"/>
      <c r="AH242" s="38"/>
      <c r="AI242" s="38"/>
      <c r="AJ242" s="38"/>
    </row>
    <row r="243" spans="5:36" ht="15" thickBot="1">
      <c r="E243" s="712"/>
      <c r="F243" s="713"/>
      <c r="G243" s="714"/>
      <c r="H243" s="714"/>
      <c r="J243" s="736"/>
      <c r="K243" s="714" t="s">
        <v>519</v>
      </c>
      <c r="L243" s="169"/>
      <c r="M243" s="169"/>
      <c r="N243" s="38"/>
      <c r="O243" s="33"/>
      <c r="P243" s="38"/>
      <c r="Q243" s="33"/>
      <c r="R243" s="33"/>
      <c r="S243" s="33"/>
      <c r="T243" s="33"/>
      <c r="U243" s="33"/>
      <c r="V243" s="33"/>
      <c r="W243" s="169"/>
      <c r="X243" s="416"/>
      <c r="Y243" s="104"/>
      <c r="Z243" s="80">
        <f>SUM(Z234:Z242)</f>
        <v>9902100</v>
      </c>
      <c r="AA243" s="80">
        <f>SUM(AA234:AA242)</f>
        <v>9902100</v>
      </c>
      <c r="AB243" s="136"/>
      <c r="AC243" s="38"/>
      <c r="AD243" s="38"/>
      <c r="AE243" s="38"/>
      <c r="AF243" s="38"/>
      <c r="AG243" s="38"/>
      <c r="AH243" s="38"/>
      <c r="AI243" s="822" t="e">
        <f>SUM(AI235/AI239)</f>
        <v>#N/A</v>
      </c>
      <c r="AJ243" s="38"/>
    </row>
    <row r="244" spans="5:36">
      <c r="E244" s="712"/>
      <c r="F244" s="713"/>
      <c r="G244" s="714"/>
      <c r="H244" s="714"/>
      <c r="I244" s="714"/>
      <c r="J244" s="169"/>
      <c r="K244" s="169"/>
      <c r="L244" s="169"/>
      <c r="M244" s="169"/>
      <c r="N244" s="38"/>
      <c r="O244" s="33"/>
      <c r="P244" s="38"/>
      <c r="Q244" s="33"/>
      <c r="R244" s="33"/>
      <c r="S244" s="33"/>
      <c r="T244" s="33"/>
      <c r="U244" s="33"/>
      <c r="V244" s="33"/>
      <c r="W244" s="169"/>
      <c r="X244" s="416"/>
      <c r="Y244" s="104"/>
      <c r="Z244" s="104"/>
      <c r="AA244" s="104"/>
      <c r="AB244" s="136"/>
      <c r="AC244" s="38"/>
      <c r="AD244" s="38"/>
      <c r="AE244" s="38"/>
      <c r="AF244" s="38"/>
      <c r="AG244" s="38"/>
      <c r="AH244" s="38"/>
      <c r="AI244" s="38"/>
      <c r="AJ244" s="38"/>
    </row>
    <row r="245" spans="5:36" ht="13" thickBot="1">
      <c r="E245" s="712"/>
      <c r="F245" s="713"/>
      <c r="G245" s="714"/>
      <c r="H245" s="714"/>
      <c r="I245" s="714"/>
      <c r="J245" s="169"/>
      <c r="K245" s="169"/>
      <c r="L245" s="169"/>
      <c r="M245" s="169"/>
      <c r="N245" s="38"/>
      <c r="O245" s="33"/>
      <c r="P245" s="38"/>
      <c r="Q245" s="33"/>
      <c r="R245" s="33"/>
      <c r="S245" s="33"/>
      <c r="T245" s="33"/>
      <c r="U245" s="33"/>
      <c r="V245" s="33"/>
      <c r="W245" s="169"/>
      <c r="X245" s="330"/>
      <c r="Y245" s="279"/>
      <c r="Z245" s="279"/>
      <c r="AA245" s="279"/>
      <c r="AB245" s="280"/>
      <c r="AC245" s="38"/>
      <c r="AD245" s="38"/>
      <c r="AE245" s="38"/>
      <c r="AF245" s="38"/>
      <c r="AG245" s="38"/>
      <c r="AH245" s="38"/>
      <c r="AI245" s="38"/>
      <c r="AJ245" s="38"/>
    </row>
    <row r="246" spans="5:36">
      <c r="E246" s="712"/>
      <c r="F246" s="713"/>
      <c r="G246" s="714"/>
      <c r="H246" s="714"/>
      <c r="I246" s="714"/>
      <c r="J246" s="169"/>
      <c r="K246" s="169"/>
      <c r="L246" s="169"/>
      <c r="M246" s="169"/>
      <c r="N246" s="38"/>
      <c r="O246" s="33"/>
      <c r="P246" s="38"/>
      <c r="Q246" s="33"/>
      <c r="R246" s="33"/>
      <c r="S246" s="33"/>
      <c r="T246" s="33"/>
      <c r="U246" s="33"/>
      <c r="V246" s="33"/>
      <c r="W246" s="169"/>
      <c r="X246" s="104"/>
      <c r="Y246" s="104"/>
      <c r="Z246" s="104"/>
      <c r="AA246" s="104"/>
      <c r="AB246" s="104"/>
      <c r="AC246" s="38"/>
      <c r="AD246" s="38"/>
      <c r="AE246" s="38"/>
      <c r="AF246" s="38"/>
      <c r="AG246" s="38"/>
      <c r="AH246" s="38"/>
      <c r="AI246" s="38"/>
      <c r="AJ246" s="38"/>
    </row>
    <row r="247" spans="5:36">
      <c r="E247" s="712"/>
      <c r="F247" s="713"/>
      <c r="G247" s="714"/>
      <c r="H247" s="714"/>
      <c r="I247" s="714"/>
      <c r="J247" s="169"/>
      <c r="K247" s="169"/>
      <c r="L247" s="169"/>
      <c r="M247" s="169"/>
      <c r="N247" s="38"/>
      <c r="O247" s="33"/>
      <c r="P247" s="38"/>
      <c r="Q247" s="33"/>
      <c r="R247" s="33"/>
      <c r="S247" s="33"/>
      <c r="T247" s="33"/>
      <c r="U247" s="33"/>
      <c r="V247" s="33"/>
      <c r="W247" s="169"/>
      <c r="AC247" s="38"/>
      <c r="AD247" s="38"/>
      <c r="AE247" s="38"/>
      <c r="AF247" s="38"/>
      <c r="AG247" s="38"/>
      <c r="AH247" s="38"/>
      <c r="AI247" s="38"/>
      <c r="AJ247" s="38"/>
    </row>
    <row r="248" spans="5:36">
      <c r="E248" s="712"/>
      <c r="F248" s="713"/>
      <c r="G248" s="714"/>
      <c r="H248" s="714"/>
      <c r="I248" s="714"/>
      <c r="J248" s="169"/>
      <c r="K248" s="169"/>
      <c r="L248" s="169"/>
      <c r="M248" s="169"/>
      <c r="N248" s="38"/>
      <c r="O248" s="33"/>
      <c r="P248" s="38"/>
      <c r="Q248" s="33"/>
      <c r="R248" s="33"/>
      <c r="S248" s="33"/>
      <c r="T248" s="33"/>
      <c r="U248" s="33"/>
      <c r="V248" s="33"/>
      <c r="W248" s="169"/>
      <c r="AC248" s="38"/>
      <c r="AD248" s="38"/>
      <c r="AE248" s="38"/>
      <c r="AF248" s="38"/>
      <c r="AG248" s="38"/>
      <c r="AH248" s="38"/>
      <c r="AI248" s="38"/>
      <c r="AJ248" s="38"/>
    </row>
    <row r="249" spans="5:36">
      <c r="E249" s="712"/>
      <c r="F249" s="713"/>
      <c r="G249" s="714"/>
      <c r="H249" s="714"/>
      <c r="I249" s="714"/>
      <c r="J249" s="169"/>
      <c r="K249" s="169"/>
      <c r="L249" s="169"/>
      <c r="M249" s="169"/>
      <c r="N249" s="38"/>
      <c r="O249" s="33"/>
      <c r="P249" s="38"/>
      <c r="Q249" s="33"/>
      <c r="R249" s="33"/>
      <c r="S249" s="33"/>
      <c r="T249" s="33"/>
      <c r="U249" s="33"/>
      <c r="V249" s="33"/>
      <c r="W249" s="169"/>
      <c r="AC249" s="38"/>
      <c r="AD249" s="38"/>
      <c r="AE249" s="38"/>
      <c r="AF249" s="38"/>
      <c r="AG249" s="38"/>
      <c r="AH249" s="38"/>
      <c r="AI249" s="38"/>
      <c r="AJ249" s="38"/>
    </row>
    <row r="250" spans="5:36">
      <c r="E250" s="712"/>
      <c r="F250" s="713"/>
      <c r="G250" s="714"/>
      <c r="H250" s="714"/>
      <c r="I250" s="714"/>
      <c r="J250" s="169"/>
      <c r="K250" s="169"/>
      <c r="L250" s="169"/>
      <c r="M250" s="169"/>
      <c r="N250" s="38"/>
      <c r="O250" s="33"/>
      <c r="P250" s="38"/>
      <c r="Q250" s="33"/>
      <c r="R250" s="33"/>
      <c r="S250" s="33"/>
      <c r="T250" s="33"/>
      <c r="U250" s="33"/>
      <c r="V250" s="33"/>
      <c r="W250" s="169"/>
      <c r="AC250" s="38"/>
      <c r="AD250" s="38"/>
      <c r="AE250" s="38"/>
      <c r="AF250" s="38"/>
      <c r="AG250" s="38"/>
      <c r="AH250" s="38"/>
      <c r="AI250" s="38"/>
      <c r="AJ250" s="38"/>
    </row>
    <row r="251" spans="5:36">
      <c r="E251" s="712"/>
      <c r="F251" s="713"/>
      <c r="G251" s="714"/>
      <c r="H251" s="714"/>
      <c r="I251" s="714"/>
      <c r="J251" s="169"/>
      <c r="K251" s="169"/>
      <c r="L251" s="169"/>
      <c r="M251" s="169"/>
      <c r="N251" s="38"/>
      <c r="O251" s="33"/>
      <c r="P251" s="38"/>
      <c r="Q251" s="33"/>
      <c r="R251" s="33"/>
      <c r="S251" s="33"/>
      <c r="T251" s="33"/>
      <c r="U251" s="33"/>
      <c r="V251" s="33"/>
      <c r="W251" s="169"/>
      <c r="AC251" s="38"/>
      <c r="AD251" s="38"/>
      <c r="AE251" s="38"/>
      <c r="AF251" s="38"/>
      <c r="AG251" s="38"/>
      <c r="AH251" s="38"/>
      <c r="AI251" s="38"/>
      <c r="AJ251" s="38"/>
    </row>
    <row r="252" spans="5:36">
      <c r="E252" s="712"/>
      <c r="F252" s="713"/>
      <c r="G252" s="714"/>
      <c r="H252" s="714"/>
      <c r="I252" s="714"/>
      <c r="J252" s="169"/>
      <c r="K252" s="169"/>
      <c r="L252" s="169"/>
      <c r="M252" s="169"/>
      <c r="N252" s="38"/>
      <c r="O252" s="33"/>
      <c r="P252" s="38"/>
      <c r="Q252" s="33"/>
      <c r="R252" s="33"/>
      <c r="S252" s="33"/>
      <c r="T252" s="33"/>
      <c r="U252" s="33"/>
      <c r="V252" s="33"/>
      <c r="W252" s="169"/>
      <c r="AC252" s="38"/>
      <c r="AD252" s="38"/>
      <c r="AE252" s="38"/>
      <c r="AF252" s="38"/>
      <c r="AG252" s="38"/>
      <c r="AH252" s="38"/>
      <c r="AI252" s="38"/>
      <c r="AJ252"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L247"/>
  <sheetViews>
    <sheetView topLeftCell="B170" zoomScale="90" zoomScaleNormal="90" zoomScalePageLayoutView="90" workbookViewId="0">
      <selection activeCell="T183" sqref="T183"/>
    </sheetView>
  </sheetViews>
  <sheetFormatPr baseColWidth="10" defaultColWidth="9.3984375" defaultRowHeight="12" outlineLevelCol="1" x14ac:dyDescent="0"/>
  <cols>
    <col min="1" max="1" width="9.796875" style="18" customWidth="1" outlineLevel="1"/>
    <col min="2" max="2" width="8.3984375" style="18" bestFit="1" customWidth="1" outlineLevel="1"/>
    <col min="3" max="3" width="11.3984375" style="131" bestFit="1" customWidth="1" outlineLevel="1"/>
    <col min="4" max="4" width="32.3984375" style="147" customWidth="1"/>
    <col min="5" max="5" width="17.3984375" style="35" bestFit="1" customWidth="1"/>
    <col min="6" max="6" width="17" style="152" bestFit="1" customWidth="1"/>
    <col min="7" max="8" width="15.3984375" style="17" hidden="1" customWidth="1"/>
    <col min="9" max="9" width="15.3984375" style="17" customWidth="1"/>
    <col min="10" max="10" width="17" style="24" bestFit="1" customWidth="1"/>
    <col min="11" max="11" width="3" style="24" customWidth="1"/>
    <col min="12" max="12" width="15.3984375" style="24" customWidth="1"/>
    <col min="13" max="13" width="16.3984375" style="24" bestFit="1" customWidth="1"/>
    <col min="14" max="14" width="1.796875" style="16" customWidth="1"/>
    <col min="15" max="15" width="7.3984375" style="146" customWidth="1"/>
    <col min="16" max="16" width="1.796875" style="16" customWidth="1"/>
    <col min="17" max="20" width="15.3984375" style="146"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6.3984375" style="559" bestFit="1" customWidth="1"/>
    <col min="36" max="36" width="14.19921875" style="559" customWidth="1"/>
    <col min="37" max="37" width="9.3984375" style="16"/>
    <col min="38" max="38" width="14.796875" style="16" bestFit="1" customWidth="1"/>
    <col min="39" max="16384" width="9.3984375" style="16"/>
  </cols>
  <sheetData>
    <row r="1" spans="1:36">
      <c r="D1" s="147" t="s">
        <v>71</v>
      </c>
      <c r="F1" s="29"/>
      <c r="G1" s="162"/>
      <c r="H1" s="163"/>
      <c r="I1" s="163"/>
      <c r="J1" s="169"/>
      <c r="K1" s="169"/>
      <c r="L1" s="169"/>
      <c r="M1" s="169"/>
      <c r="N1" s="169"/>
      <c r="W1" s="40"/>
    </row>
    <row r="2" spans="1:36">
      <c r="D2" s="147" t="s">
        <v>858</v>
      </c>
      <c r="F2" s="29"/>
      <c r="G2" s="162"/>
      <c r="H2" s="163"/>
      <c r="I2" s="163"/>
      <c r="J2" s="169"/>
      <c r="K2" s="169"/>
      <c r="L2" s="169"/>
      <c r="M2" s="169"/>
      <c r="N2" s="169"/>
      <c r="W2" s="40"/>
    </row>
    <row r="3" spans="1:36">
      <c r="D3" s="147" t="s">
        <v>969</v>
      </c>
      <c r="F3" s="29"/>
      <c r="G3" s="18"/>
      <c r="H3" s="168"/>
      <c r="I3" s="168"/>
      <c r="J3" s="169"/>
      <c r="K3" s="169"/>
      <c r="L3" s="169"/>
      <c r="M3" s="169"/>
      <c r="N3" s="169"/>
    </row>
    <row r="4" spans="1:36">
      <c r="D4" s="148"/>
      <c r="G4" s="164"/>
      <c r="H4" s="168"/>
      <c r="I4" s="168"/>
      <c r="J4" s="169"/>
      <c r="K4" s="169"/>
      <c r="L4" s="169"/>
      <c r="M4" s="169"/>
      <c r="N4" s="169"/>
    </row>
    <row r="5" spans="1:36" ht="13" thickBot="1">
      <c r="D5" s="148"/>
      <c r="G5" s="161"/>
      <c r="H5" s="630"/>
      <c r="I5" s="630"/>
      <c r="J5" s="169"/>
      <c r="K5" s="169"/>
      <c r="L5" s="169"/>
      <c r="M5" s="169"/>
      <c r="N5" s="169"/>
    </row>
    <row r="6" spans="1:36">
      <c r="B6" s="460"/>
      <c r="C6" s="668"/>
      <c r="D6" s="461" t="s">
        <v>84</v>
      </c>
      <c r="E6" s="462" t="s">
        <v>85</v>
      </c>
      <c r="G6" s="161"/>
      <c r="H6" s="630"/>
      <c r="I6" s="630"/>
      <c r="J6" s="169"/>
      <c r="K6" s="169"/>
      <c r="L6" s="169"/>
      <c r="M6" s="169"/>
      <c r="N6" s="169"/>
      <c r="O6" s="152"/>
      <c r="P6" s="18"/>
      <c r="Q6" s="152"/>
      <c r="R6" s="152"/>
      <c r="S6" s="152"/>
      <c r="T6" s="152"/>
      <c r="U6" s="152"/>
      <c r="V6" s="152"/>
    </row>
    <row r="7" spans="1:36">
      <c r="B7" s="459"/>
      <c r="C7" s="113"/>
      <c r="D7" s="458" t="s">
        <v>75</v>
      </c>
      <c r="E7" s="287" t="s">
        <v>115</v>
      </c>
      <c r="F7" s="29"/>
      <c r="G7" s="161"/>
      <c r="H7" s="630"/>
      <c r="I7" s="630"/>
      <c r="J7" s="172"/>
      <c r="K7" s="41"/>
      <c r="L7" s="37"/>
      <c r="M7" s="37"/>
      <c r="W7" s="41"/>
    </row>
    <row r="8" spans="1:36">
      <c r="B8" s="459"/>
      <c r="C8" s="669"/>
      <c r="D8" s="568" t="s">
        <v>73</v>
      </c>
      <c r="E8" s="572" t="s">
        <v>446</v>
      </c>
      <c r="F8" s="29"/>
      <c r="G8" s="164"/>
      <c r="H8" s="630"/>
      <c r="I8" s="630"/>
      <c r="J8" s="75"/>
      <c r="K8" s="41"/>
      <c r="L8" s="77"/>
      <c r="M8" s="77"/>
      <c r="N8" s="27"/>
      <c r="O8" s="151"/>
      <c r="P8" s="27"/>
      <c r="Q8" s="151"/>
      <c r="R8" s="151"/>
      <c r="S8" s="151"/>
      <c r="T8" s="151"/>
      <c r="U8" s="151"/>
      <c r="V8" s="151"/>
      <c r="W8" s="41"/>
    </row>
    <row r="9" spans="1:36">
      <c r="B9" s="459"/>
      <c r="C9" s="113"/>
      <c r="D9" s="458" t="s">
        <v>76</v>
      </c>
      <c r="E9" s="465" t="s">
        <v>79</v>
      </c>
      <c r="F9" s="29"/>
      <c r="G9" s="161"/>
      <c r="H9" s="134"/>
      <c r="I9" s="134"/>
      <c r="J9" s="78"/>
      <c r="L9" s="79"/>
      <c r="M9" s="79"/>
      <c r="N9" s="27"/>
      <c r="O9" s="151"/>
      <c r="P9" s="27"/>
      <c r="Q9" s="151"/>
      <c r="R9" s="151"/>
      <c r="S9" s="151"/>
      <c r="T9" s="151"/>
      <c r="U9" s="151"/>
      <c r="V9" s="151"/>
    </row>
    <row r="10" spans="1:36">
      <c r="B10" s="459"/>
      <c r="C10" s="113"/>
      <c r="D10" s="458" t="s">
        <v>88</v>
      </c>
      <c r="E10" s="468" t="s">
        <v>89</v>
      </c>
      <c r="F10" s="29"/>
      <c r="J10" s="76"/>
      <c r="L10" s="174"/>
      <c r="M10" s="76"/>
      <c r="N10" s="27"/>
      <c r="O10" s="151"/>
      <c r="P10" s="27"/>
      <c r="Q10" s="151"/>
      <c r="R10" s="151"/>
      <c r="S10" s="151"/>
      <c r="T10" s="151"/>
      <c r="U10" s="151"/>
      <c r="V10" s="151"/>
    </row>
    <row r="11" spans="1:36">
      <c r="B11" s="459"/>
      <c r="C11" s="113"/>
      <c r="D11" s="458" t="s">
        <v>116</v>
      </c>
      <c r="E11" s="99" t="s">
        <v>117</v>
      </c>
      <c r="F11" s="29"/>
      <c r="G11" s="166"/>
      <c r="H11" s="145"/>
      <c r="I11" s="145"/>
      <c r="J11" s="76"/>
      <c r="L11" s="173"/>
      <c r="M11" s="173"/>
      <c r="N11" s="27"/>
      <c r="O11" s="151"/>
      <c r="P11" s="27"/>
      <c r="Q11" s="151"/>
      <c r="R11" s="151"/>
      <c r="S11" s="151"/>
      <c r="T11" s="151"/>
      <c r="U11" s="151"/>
      <c r="V11" s="151"/>
    </row>
    <row r="12" spans="1:36" ht="13" thickBot="1">
      <c r="B12" s="469"/>
      <c r="C12" s="670"/>
      <c r="D12" s="470" t="s">
        <v>103</v>
      </c>
      <c r="E12" s="471" t="s">
        <v>101</v>
      </c>
      <c r="F12" s="29"/>
      <c r="G12" s="166"/>
      <c r="H12" s="150"/>
      <c r="I12" s="150"/>
      <c r="J12" s="76"/>
    </row>
    <row r="13" spans="1:36" ht="13" thickBot="1">
      <c r="A13" s="152"/>
      <c r="B13" s="152"/>
      <c r="C13" s="67"/>
      <c r="D13" s="54"/>
      <c r="E13" s="34"/>
      <c r="G13" s="167"/>
      <c r="H13" s="49"/>
      <c r="I13" s="49"/>
      <c r="J13" s="50"/>
      <c r="K13" s="50"/>
      <c r="L13" s="50"/>
      <c r="M13" s="745"/>
      <c r="N13" s="146"/>
      <c r="P13" s="146"/>
      <c r="W13" s="50"/>
      <c r="X13" s="33"/>
      <c r="Y13" s="33"/>
      <c r="Z13" s="33"/>
      <c r="AA13" s="33"/>
    </row>
    <row r="14" spans="1:36" ht="13" thickBot="1">
      <c r="D14" s="526"/>
      <c r="E14" s="582" t="s">
        <v>970</v>
      </c>
      <c r="F14" s="583" t="s">
        <v>366</v>
      </c>
      <c r="G14" s="96"/>
      <c r="H14" s="96"/>
      <c r="I14" s="96"/>
      <c r="J14" s="583" t="s">
        <v>367</v>
      </c>
      <c r="K14" s="581"/>
      <c r="L14" s="583" t="s">
        <v>367</v>
      </c>
      <c r="M14" s="583" t="s">
        <v>367</v>
      </c>
      <c r="N14" s="93"/>
      <c r="O14" s="96"/>
      <c r="P14" s="93"/>
      <c r="Q14" s="13"/>
      <c r="R14" s="13"/>
      <c r="S14" s="13"/>
      <c r="T14" s="96"/>
      <c r="U14" s="101"/>
      <c r="V14" s="96"/>
      <c r="W14" s="93"/>
      <c r="X14" s="96"/>
      <c r="Y14" s="96"/>
      <c r="Z14" s="304"/>
      <c r="AA14" s="304"/>
      <c r="AB14" s="304"/>
      <c r="AE14" s="560" t="s">
        <v>266</v>
      </c>
      <c r="AI14" s="561" t="s">
        <v>267</v>
      </c>
    </row>
    <row r="15" spans="1:36" ht="13" thickBot="1">
      <c r="A15" s="22" t="s">
        <v>95</v>
      </c>
      <c r="B15" s="22" t="s">
        <v>100</v>
      </c>
      <c r="C15" s="36" t="s">
        <v>522</v>
      </c>
      <c r="D15" s="36" t="s">
        <v>67</v>
      </c>
      <c r="E15" s="450" t="s">
        <v>230</v>
      </c>
      <c r="F15" s="528" t="s">
        <v>229</v>
      </c>
      <c r="G15" s="176" t="s">
        <v>288</v>
      </c>
      <c r="H15" s="545" t="s">
        <v>289</v>
      </c>
      <c r="I15" s="758" t="s">
        <v>367</v>
      </c>
      <c r="J15" s="313" t="s">
        <v>105</v>
      </c>
      <c r="K15" s="93"/>
      <c r="L15" s="94" t="s">
        <v>104</v>
      </c>
      <c r="M15" s="95" t="s">
        <v>106</v>
      </c>
      <c r="N15" s="102"/>
      <c r="O15" s="427" t="s">
        <v>839</v>
      </c>
      <c r="P15" s="102"/>
      <c r="Q15" s="313" t="s">
        <v>971</v>
      </c>
      <c r="R15" s="313" t="s">
        <v>946</v>
      </c>
      <c r="S15" s="313" t="s">
        <v>947</v>
      </c>
      <c r="T15" s="156" t="s">
        <v>961</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6">
      <c r="A16" s="372" t="s">
        <v>109</v>
      </c>
      <c r="B16" s="472" t="s">
        <v>109</v>
      </c>
      <c r="C16" s="666"/>
      <c r="D16" s="373" t="s">
        <v>382</v>
      </c>
      <c r="E16" s="679"/>
      <c r="F16" s="529">
        <f>VLOOKUP(D16,'July 2013 Revenue'!D:V,19,FALSE)</f>
        <v>0</v>
      </c>
      <c r="G16" s="680"/>
      <c r="H16" s="680"/>
      <c r="I16" s="755"/>
      <c r="J16" s="682">
        <f t="shared" ref="J16:J80" si="0">SUM(E16:I16)</f>
        <v>0</v>
      </c>
      <c r="K16" s="683"/>
      <c r="L16" s="684"/>
      <c r="M16" s="753"/>
      <c r="N16" s="683">
        <v>0</v>
      </c>
      <c r="O16" s="686"/>
      <c r="P16" s="683">
        <v>0</v>
      </c>
      <c r="Q16" s="687">
        <f t="shared" ref="Q16:Q141" si="1">L16+M16</f>
        <v>0</v>
      </c>
      <c r="R16" s="687"/>
      <c r="S16" s="687"/>
      <c r="T16" s="688">
        <v>0</v>
      </c>
      <c r="U16" s="689"/>
      <c r="V16" s="690">
        <f t="shared" ref="V16:V81" si="2">IF(T16="","",T16-Q16)</f>
        <v>0</v>
      </c>
      <c r="W16" s="691"/>
      <c r="X16" s="474">
        <f t="shared" ref="X16:X81" si="3">IF(B16="D",Q16,0)</f>
        <v>0</v>
      </c>
      <c r="Y16" s="474">
        <f t="shared" ref="Y16:Y81" si="4">IF(B16="M",Q16,0)</f>
        <v>0</v>
      </c>
      <c r="Z16" s="475">
        <f t="shared" ref="Z16:Z81" si="5">IF(B16="V",Q16,0)</f>
        <v>0</v>
      </c>
      <c r="AA16" s="475">
        <v>0</v>
      </c>
      <c r="AB16" s="476">
        <v>0</v>
      </c>
      <c r="AC16" s="38">
        <f t="shared" ref="AC16:AC81" si="6">(L16+M16)-(X16+Y16+Z16+AA16+AB16)</f>
        <v>0</v>
      </c>
      <c r="AD16" s="692">
        <f t="shared" ref="AD16:AD80" si="7">IF(B16="D",J16,0)</f>
        <v>0</v>
      </c>
      <c r="AE16" s="692">
        <f t="shared" ref="AE16:AE80" si="8">IF(B16="M",J16,0)</f>
        <v>0</v>
      </c>
      <c r="AF16" s="692">
        <f t="shared" ref="AF16:AF80" si="9">IF(B16="V",J16,0)</f>
        <v>0</v>
      </c>
      <c r="AG16" s="38"/>
      <c r="AH16" s="692">
        <f t="shared" ref="AH16:AH81" si="10">IF(B16="D",Q16,0)</f>
        <v>0</v>
      </c>
      <c r="AI16" s="692">
        <f t="shared" ref="AI16:AI81" si="11">IF(B16="M",Q16,0)</f>
        <v>0</v>
      </c>
      <c r="AJ16" s="692">
        <f t="shared" ref="AJ16:AJ81" si="12">IF(B16="V",Q16,0)</f>
        <v>0</v>
      </c>
    </row>
    <row r="17" spans="1:38">
      <c r="A17" s="20" t="s">
        <v>109</v>
      </c>
      <c r="B17" s="20" t="s">
        <v>110</v>
      </c>
      <c r="C17" s="671" t="s">
        <v>523</v>
      </c>
      <c r="D17" s="123" t="s">
        <v>317</v>
      </c>
      <c r="E17" s="679"/>
      <c r="F17" s="529">
        <f>VLOOKUP(D17,'July 2013 Revenue'!D:V,19,FALSE)</f>
        <v>-203.25</v>
      </c>
      <c r="G17" s="680"/>
      <c r="H17" s="680"/>
      <c r="I17" s="755"/>
      <c r="J17" s="682">
        <f t="shared" si="0"/>
        <v>-203.25</v>
      </c>
      <c r="K17" s="683"/>
      <c r="L17" s="684"/>
      <c r="M17" s="753">
        <v>10000</v>
      </c>
      <c r="N17" s="683">
        <v>0</v>
      </c>
      <c r="O17" s="686"/>
      <c r="P17" s="683">
        <v>0</v>
      </c>
      <c r="Q17" s="687">
        <f t="shared" si="1"/>
        <v>10000</v>
      </c>
      <c r="R17" s="687"/>
      <c r="S17" s="687"/>
      <c r="T17" s="688">
        <f>8090.65+2015.75</f>
        <v>10106.4</v>
      </c>
      <c r="U17" s="693"/>
      <c r="V17" s="690">
        <f t="shared" si="2"/>
        <v>106.39999999999964</v>
      </c>
      <c r="W17" s="683"/>
      <c r="X17" s="474">
        <f t="shared" si="3"/>
        <v>10000</v>
      </c>
      <c r="Y17" s="474">
        <f t="shared" si="4"/>
        <v>0</v>
      </c>
      <c r="Z17" s="475">
        <f t="shared" si="5"/>
        <v>0</v>
      </c>
      <c r="AA17" s="475">
        <v>0</v>
      </c>
      <c r="AB17" s="476">
        <v>0</v>
      </c>
      <c r="AC17" s="38">
        <f t="shared" si="6"/>
        <v>0</v>
      </c>
      <c r="AD17" s="692">
        <f t="shared" si="7"/>
        <v>-203.25</v>
      </c>
      <c r="AE17" s="692">
        <f t="shared" si="8"/>
        <v>0</v>
      </c>
      <c r="AF17" s="692">
        <f t="shared" si="9"/>
        <v>0</v>
      </c>
      <c r="AG17" s="38"/>
      <c r="AH17" s="692">
        <f t="shared" si="10"/>
        <v>10000</v>
      </c>
      <c r="AI17" s="692">
        <f t="shared" si="11"/>
        <v>0</v>
      </c>
      <c r="AJ17" s="692">
        <f t="shared" si="12"/>
        <v>0</v>
      </c>
      <c r="AL17" s="38">
        <f>SUM(AD17:AJ17)</f>
        <v>9796.75</v>
      </c>
    </row>
    <row r="18" spans="1:38">
      <c r="A18" s="20" t="s">
        <v>109</v>
      </c>
      <c r="B18" s="20" t="s">
        <v>109</v>
      </c>
      <c r="C18" s="671" t="s">
        <v>523</v>
      </c>
      <c r="D18" s="68" t="s">
        <v>393</v>
      </c>
      <c r="E18" s="679"/>
      <c r="F18" s="529">
        <f>VLOOKUP(D18,'July 2013 Revenue'!D:V,19,FALSE)</f>
        <v>-3966.0400000000009</v>
      </c>
      <c r="G18" s="680"/>
      <c r="H18" s="680"/>
      <c r="I18" s="755"/>
      <c r="J18" s="682">
        <f t="shared" si="0"/>
        <v>-3966.0400000000009</v>
      </c>
      <c r="K18" s="683"/>
      <c r="L18" s="684"/>
      <c r="M18" s="753">
        <v>45000</v>
      </c>
      <c r="N18" s="683">
        <v>0</v>
      </c>
      <c r="O18" s="686"/>
      <c r="P18" s="683">
        <v>0</v>
      </c>
      <c r="Q18" s="687">
        <f t="shared" si="1"/>
        <v>45000</v>
      </c>
      <c r="R18" s="687"/>
      <c r="S18" s="687"/>
      <c r="T18" s="688">
        <v>44396.39</v>
      </c>
      <c r="U18" s="693"/>
      <c r="V18" s="690">
        <f t="shared" si="2"/>
        <v>-603.61000000000058</v>
      </c>
      <c r="W18" s="683"/>
      <c r="X18" s="474">
        <f t="shared" si="3"/>
        <v>0</v>
      </c>
      <c r="Y18" s="474">
        <f t="shared" si="4"/>
        <v>45000</v>
      </c>
      <c r="Z18" s="475">
        <f t="shared" si="5"/>
        <v>0</v>
      </c>
      <c r="AA18" s="475">
        <v>0</v>
      </c>
      <c r="AB18" s="476">
        <v>0</v>
      </c>
      <c r="AC18" s="38">
        <f t="shared" si="6"/>
        <v>0</v>
      </c>
      <c r="AD18" s="692">
        <f t="shared" si="7"/>
        <v>0</v>
      </c>
      <c r="AE18" s="692">
        <f t="shared" si="8"/>
        <v>-3966.0400000000009</v>
      </c>
      <c r="AF18" s="692">
        <f t="shared" si="9"/>
        <v>0</v>
      </c>
      <c r="AG18" s="38"/>
      <c r="AH18" s="692">
        <f t="shared" si="10"/>
        <v>0</v>
      </c>
      <c r="AI18" s="692">
        <f t="shared" si="11"/>
        <v>45000</v>
      </c>
      <c r="AJ18" s="692">
        <f t="shared" si="12"/>
        <v>0</v>
      </c>
      <c r="AL18" s="38">
        <f t="shared" ref="AL18:AL82" si="13">SUM(AD18:AJ18)</f>
        <v>41033.96</v>
      </c>
    </row>
    <row r="19" spans="1:38">
      <c r="A19" s="20" t="s">
        <v>109</v>
      </c>
      <c r="B19" s="20" t="s">
        <v>109</v>
      </c>
      <c r="C19" s="671" t="s">
        <v>523</v>
      </c>
      <c r="D19" s="68" t="s">
        <v>129</v>
      </c>
      <c r="E19" s="679"/>
      <c r="F19" s="529">
        <f>VLOOKUP(D19,'July 2013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row>
    <row r="20" spans="1:38">
      <c r="A20" s="20" t="s">
        <v>109</v>
      </c>
      <c r="B20" s="20" t="s">
        <v>109</v>
      </c>
      <c r="C20" s="671" t="s">
        <v>523</v>
      </c>
      <c r="D20" s="351" t="s">
        <v>878</v>
      </c>
      <c r="E20" s="679"/>
      <c r="F20" s="529">
        <f>VLOOKUP(D20,'July 2013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row>
    <row r="21" spans="1:38">
      <c r="A21" s="20"/>
      <c r="B21" s="20" t="s">
        <v>110</v>
      </c>
      <c r="C21" s="667" t="s">
        <v>524</v>
      </c>
      <c r="D21" s="123" t="s">
        <v>380</v>
      </c>
      <c r="E21" s="679"/>
      <c r="F21" s="529">
        <f>VLOOKUP(D21,'July 2013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row>
    <row r="22" spans="1:38">
      <c r="A22" s="20"/>
      <c r="B22" s="20" t="s">
        <v>110</v>
      </c>
      <c r="C22" s="667" t="s">
        <v>524</v>
      </c>
      <c r="D22" s="123" t="s">
        <v>132</v>
      </c>
      <c r="E22" s="679"/>
      <c r="F22" s="529">
        <f>VLOOKUP(D22,'July 2013 Revenue'!D:V,19,FALSE)</f>
        <v>0</v>
      </c>
      <c r="G22" s="680"/>
      <c r="H22" s="680"/>
      <c r="I22" s="755"/>
      <c r="J22" s="682">
        <f t="shared" si="0"/>
        <v>0</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0</v>
      </c>
      <c r="AE22" s="692">
        <f t="shared" si="8"/>
        <v>0</v>
      </c>
      <c r="AF22" s="692">
        <f t="shared" si="9"/>
        <v>0</v>
      </c>
      <c r="AG22" s="38"/>
      <c r="AH22" s="692">
        <f t="shared" si="10"/>
        <v>0</v>
      </c>
      <c r="AI22" s="692">
        <f t="shared" si="11"/>
        <v>0</v>
      </c>
      <c r="AJ22" s="692">
        <f t="shared" si="12"/>
        <v>0</v>
      </c>
      <c r="AL22" s="38">
        <f t="shared" si="13"/>
        <v>0</v>
      </c>
    </row>
    <row r="23" spans="1:38">
      <c r="A23" s="20"/>
      <c r="B23" s="20" t="s">
        <v>110</v>
      </c>
      <c r="C23" s="667" t="s">
        <v>524</v>
      </c>
      <c r="D23" s="123" t="s">
        <v>133</v>
      </c>
      <c r="E23" s="679"/>
      <c r="F23" s="529">
        <f>VLOOKUP(D23,'July 2013 Revenue'!D:V,19,FALSE)</f>
        <v>-20000</v>
      </c>
      <c r="G23" s="680"/>
      <c r="H23" s="680"/>
      <c r="I23" s="755"/>
      <c r="J23" s="682">
        <f t="shared" si="0"/>
        <v>-20000</v>
      </c>
      <c r="K23" s="683"/>
      <c r="L23" s="684"/>
      <c r="M23" s="753">
        <v>25000</v>
      </c>
      <c r="N23" s="683">
        <v>0</v>
      </c>
      <c r="O23" s="686"/>
      <c r="P23" s="683">
        <v>0</v>
      </c>
      <c r="Q23" s="687">
        <f t="shared" si="1"/>
        <v>25000</v>
      </c>
      <c r="R23" s="687"/>
      <c r="S23" s="687"/>
      <c r="T23" s="688">
        <v>0</v>
      </c>
      <c r="U23" s="693"/>
      <c r="V23" s="690">
        <f t="shared" si="2"/>
        <v>-25000</v>
      </c>
      <c r="W23" s="683"/>
      <c r="X23" s="474">
        <f t="shared" si="3"/>
        <v>25000</v>
      </c>
      <c r="Y23" s="474">
        <f t="shared" si="4"/>
        <v>0</v>
      </c>
      <c r="Z23" s="475">
        <f t="shared" si="5"/>
        <v>0</v>
      </c>
      <c r="AA23" s="475">
        <v>0</v>
      </c>
      <c r="AB23" s="476">
        <v>0</v>
      </c>
      <c r="AC23" s="38">
        <f t="shared" si="6"/>
        <v>0</v>
      </c>
      <c r="AD23" s="692">
        <f t="shared" si="7"/>
        <v>-20000</v>
      </c>
      <c r="AE23" s="692">
        <f t="shared" si="8"/>
        <v>0</v>
      </c>
      <c r="AF23" s="692">
        <f t="shared" si="9"/>
        <v>0</v>
      </c>
      <c r="AG23" s="38"/>
      <c r="AH23" s="692">
        <f t="shared" si="10"/>
        <v>25000</v>
      </c>
      <c r="AI23" s="692">
        <f t="shared" si="11"/>
        <v>0</v>
      </c>
      <c r="AJ23" s="692">
        <f t="shared" si="12"/>
        <v>0</v>
      </c>
      <c r="AL23" s="38">
        <f t="shared" si="13"/>
        <v>5000</v>
      </c>
    </row>
    <row r="24" spans="1:38" s="232" customFormat="1">
      <c r="A24" s="283" t="s">
        <v>211</v>
      </c>
      <c r="B24" s="283" t="s">
        <v>109</v>
      </c>
      <c r="C24" s="667" t="s">
        <v>525</v>
      </c>
      <c r="D24" s="123" t="s">
        <v>419</v>
      </c>
      <c r="E24" s="679"/>
      <c r="F24" s="529">
        <f>VLOOKUP(D24,'July 2013 Revenue'!D:V,19,FALSE)</f>
        <v>-32000</v>
      </c>
      <c r="G24" s="680"/>
      <c r="H24" s="680"/>
      <c r="I24" s="755"/>
      <c r="J24" s="682">
        <f t="shared" si="0"/>
        <v>-32000</v>
      </c>
      <c r="K24" s="683"/>
      <c r="L24" s="684"/>
      <c r="M24" s="753">
        <v>40000</v>
      </c>
      <c r="N24" s="683">
        <v>0</v>
      </c>
      <c r="O24" s="686"/>
      <c r="P24" s="683">
        <v>0</v>
      </c>
      <c r="Q24" s="687">
        <f t="shared" si="1"/>
        <v>40000</v>
      </c>
      <c r="R24" s="687"/>
      <c r="S24" s="687"/>
      <c r="T24" s="688">
        <v>0</v>
      </c>
      <c r="U24" s="693"/>
      <c r="V24" s="690">
        <f t="shared" si="2"/>
        <v>-40000</v>
      </c>
      <c r="W24" s="683"/>
      <c r="X24" s="474">
        <f t="shared" si="3"/>
        <v>0</v>
      </c>
      <c r="Y24" s="474">
        <f t="shared" si="4"/>
        <v>40000</v>
      </c>
      <c r="Z24" s="475">
        <f t="shared" si="5"/>
        <v>0</v>
      </c>
      <c r="AA24" s="475">
        <v>0</v>
      </c>
      <c r="AB24" s="476">
        <v>0</v>
      </c>
      <c r="AC24" s="38">
        <f t="shared" si="6"/>
        <v>0</v>
      </c>
      <c r="AD24" s="692">
        <f t="shared" si="7"/>
        <v>0</v>
      </c>
      <c r="AE24" s="692">
        <f t="shared" si="8"/>
        <v>-32000</v>
      </c>
      <c r="AF24" s="692">
        <f t="shared" si="9"/>
        <v>0</v>
      </c>
      <c r="AG24" s="38"/>
      <c r="AH24" s="692">
        <f t="shared" si="10"/>
        <v>0</v>
      </c>
      <c r="AI24" s="692">
        <f t="shared" si="11"/>
        <v>40000</v>
      </c>
      <c r="AJ24" s="692">
        <f t="shared" si="12"/>
        <v>0</v>
      </c>
      <c r="AL24" s="38">
        <f t="shared" si="13"/>
        <v>8000</v>
      </c>
    </row>
    <row r="25" spans="1:38">
      <c r="A25" s="20"/>
      <c r="B25" s="20" t="s">
        <v>110</v>
      </c>
      <c r="C25" s="667"/>
      <c r="D25" s="68" t="s">
        <v>922</v>
      </c>
      <c r="E25" s="820">
        <v>67574.990000000005</v>
      </c>
      <c r="F25" s="529">
        <f>VLOOKUP(D25,'July 2013 Revenue'!D:V,19,FALSE)</f>
        <v>0</v>
      </c>
      <c r="G25" s="680"/>
      <c r="H25" s="680"/>
      <c r="I25" s="755"/>
      <c r="J25" s="682">
        <f t="shared" si="0"/>
        <v>67574.990000000005</v>
      </c>
      <c r="K25" s="683"/>
      <c r="L25" s="684"/>
      <c r="M25" s="753"/>
      <c r="N25" s="683">
        <v>0</v>
      </c>
      <c r="O25" s="686"/>
      <c r="P25" s="683">
        <v>0</v>
      </c>
      <c r="Q25" s="687">
        <f t="shared" si="1"/>
        <v>0</v>
      </c>
      <c r="R25" s="687"/>
      <c r="S25" s="687"/>
      <c r="T25" s="688">
        <v>0</v>
      </c>
      <c r="U25" s="693"/>
      <c r="V25" s="690">
        <f t="shared" si="2"/>
        <v>0</v>
      </c>
      <c r="W25" s="683"/>
      <c r="X25" s="474">
        <f t="shared" si="3"/>
        <v>0</v>
      </c>
      <c r="Y25" s="474">
        <f t="shared" si="4"/>
        <v>0</v>
      </c>
      <c r="Z25" s="475">
        <f t="shared" si="5"/>
        <v>0</v>
      </c>
      <c r="AA25" s="475">
        <v>0</v>
      </c>
      <c r="AB25" s="476">
        <v>0</v>
      </c>
      <c r="AC25" s="38">
        <f t="shared" si="6"/>
        <v>0</v>
      </c>
      <c r="AD25" s="692">
        <f t="shared" si="7"/>
        <v>67574.990000000005</v>
      </c>
      <c r="AE25" s="692">
        <f t="shared" si="8"/>
        <v>0</v>
      </c>
      <c r="AF25" s="692">
        <f t="shared" si="9"/>
        <v>0</v>
      </c>
      <c r="AG25" s="38"/>
      <c r="AH25" s="692">
        <f t="shared" si="10"/>
        <v>0</v>
      </c>
      <c r="AI25" s="692">
        <f t="shared" si="11"/>
        <v>0</v>
      </c>
      <c r="AJ25" s="692">
        <f t="shared" si="12"/>
        <v>0</v>
      </c>
      <c r="AL25" s="38">
        <f t="shared" si="13"/>
        <v>67574.990000000005</v>
      </c>
    </row>
    <row r="26" spans="1:38">
      <c r="A26" s="20"/>
      <c r="B26" s="20" t="s">
        <v>110</v>
      </c>
      <c r="C26" s="667"/>
      <c r="D26" s="68" t="s">
        <v>589</v>
      </c>
      <c r="E26" s="679"/>
      <c r="F26" s="529">
        <f>VLOOKUP(D26,'July 2013 Revenue'!D:V,19,FALSE)</f>
        <v>-7000</v>
      </c>
      <c r="G26" s="680"/>
      <c r="H26" s="680"/>
      <c r="I26" s="755"/>
      <c r="J26" s="682">
        <f t="shared" si="0"/>
        <v>-7000</v>
      </c>
      <c r="K26" s="683"/>
      <c r="L26" s="684"/>
      <c r="M26" s="753">
        <v>14000</v>
      </c>
      <c r="N26" s="683">
        <v>0</v>
      </c>
      <c r="O26" s="686"/>
      <c r="P26" s="683">
        <v>0</v>
      </c>
      <c r="Q26" s="687">
        <f t="shared" si="1"/>
        <v>14000</v>
      </c>
      <c r="R26" s="687"/>
      <c r="S26" s="687"/>
      <c r="T26" s="688">
        <v>0</v>
      </c>
      <c r="U26" s="693"/>
      <c r="V26" s="690">
        <f t="shared" si="2"/>
        <v>-14000</v>
      </c>
      <c r="W26" s="683"/>
      <c r="X26" s="474">
        <f t="shared" si="3"/>
        <v>14000</v>
      </c>
      <c r="Y26" s="474">
        <f t="shared" si="4"/>
        <v>0</v>
      </c>
      <c r="Z26" s="475">
        <f t="shared" si="5"/>
        <v>0</v>
      </c>
      <c r="AA26" s="475">
        <v>0</v>
      </c>
      <c r="AB26" s="476">
        <v>0</v>
      </c>
      <c r="AC26" s="38">
        <f t="shared" si="6"/>
        <v>0</v>
      </c>
      <c r="AD26" s="692">
        <f t="shared" si="7"/>
        <v>-7000</v>
      </c>
      <c r="AE26" s="692">
        <f t="shared" si="8"/>
        <v>0</v>
      </c>
      <c r="AF26" s="692">
        <f t="shared" si="9"/>
        <v>0</v>
      </c>
      <c r="AG26" s="38"/>
      <c r="AH26" s="692">
        <f t="shared" si="10"/>
        <v>14000</v>
      </c>
      <c r="AI26" s="692">
        <f t="shared" si="11"/>
        <v>0</v>
      </c>
      <c r="AJ26" s="692">
        <f t="shared" si="12"/>
        <v>0</v>
      </c>
      <c r="AL26" s="38">
        <f t="shared" si="13"/>
        <v>7000</v>
      </c>
    </row>
    <row r="27" spans="1:38">
      <c r="A27" s="20"/>
      <c r="B27" s="20" t="s">
        <v>110</v>
      </c>
      <c r="C27" s="667"/>
      <c r="D27" s="68" t="s">
        <v>829</v>
      </c>
      <c r="E27" s="679"/>
      <c r="F27" s="529">
        <f>VLOOKUP(D27,'July 2013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row>
    <row r="28" spans="1:38">
      <c r="A28" s="20"/>
      <c r="B28" s="20" t="s">
        <v>109</v>
      </c>
      <c r="C28" s="667" t="s">
        <v>526</v>
      </c>
      <c r="D28" s="68" t="s">
        <v>385</v>
      </c>
      <c r="E28" s="679"/>
      <c r="F28" s="529">
        <f>VLOOKUP(D28,'July 2013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91"/>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row>
    <row r="29" spans="1:38" s="232" customFormat="1">
      <c r="A29" s="283"/>
      <c r="B29" s="283" t="s">
        <v>110</v>
      </c>
      <c r="C29" s="667" t="s">
        <v>527</v>
      </c>
      <c r="D29" s="123" t="s">
        <v>401</v>
      </c>
      <c r="E29" s="679"/>
      <c r="F29" s="529">
        <f>VLOOKUP(D29,'July 2013 Revenue'!D:V,19,FALSE)</f>
        <v>32184.300000000047</v>
      </c>
      <c r="G29" s="680"/>
      <c r="H29" s="680"/>
      <c r="I29" s="755"/>
      <c r="J29" s="682">
        <f t="shared" si="0"/>
        <v>32184.300000000047</v>
      </c>
      <c r="K29" s="683"/>
      <c r="L29" s="684"/>
      <c r="M29" s="753">
        <v>930000</v>
      </c>
      <c r="N29" s="683">
        <v>0</v>
      </c>
      <c r="O29" s="686"/>
      <c r="P29" s="683">
        <v>0</v>
      </c>
      <c r="Q29" s="687">
        <f t="shared" si="1"/>
        <v>930000</v>
      </c>
      <c r="R29" s="687"/>
      <c r="S29" s="687"/>
      <c r="T29" s="688">
        <v>897450.3</v>
      </c>
      <c r="U29" s="693"/>
      <c r="V29" s="690">
        <f t="shared" si="2"/>
        <v>-32549.699999999953</v>
      </c>
      <c r="W29" s="683"/>
      <c r="X29" s="474">
        <f t="shared" si="3"/>
        <v>930000</v>
      </c>
      <c r="Y29" s="474">
        <f t="shared" si="4"/>
        <v>0</v>
      </c>
      <c r="Z29" s="475">
        <f t="shared" si="5"/>
        <v>0</v>
      </c>
      <c r="AA29" s="475">
        <v>0</v>
      </c>
      <c r="AB29" s="476">
        <v>0</v>
      </c>
      <c r="AC29" s="38">
        <f t="shared" si="6"/>
        <v>0</v>
      </c>
      <c r="AD29" s="692">
        <f t="shared" si="7"/>
        <v>32184.300000000047</v>
      </c>
      <c r="AE29" s="692">
        <f t="shared" si="8"/>
        <v>0</v>
      </c>
      <c r="AF29" s="692">
        <f t="shared" si="9"/>
        <v>0</v>
      </c>
      <c r="AG29" s="38"/>
      <c r="AH29" s="692">
        <f t="shared" si="10"/>
        <v>930000</v>
      </c>
      <c r="AI29" s="692">
        <f t="shared" si="11"/>
        <v>0</v>
      </c>
      <c r="AJ29" s="692">
        <f t="shared" si="12"/>
        <v>0</v>
      </c>
      <c r="AL29" s="38">
        <f t="shared" si="13"/>
        <v>962184.3</v>
      </c>
    </row>
    <row r="30" spans="1:38" s="232" customFormat="1">
      <c r="A30" s="283"/>
      <c r="B30" s="283" t="s">
        <v>110</v>
      </c>
      <c r="C30" s="667" t="s">
        <v>528</v>
      </c>
      <c r="D30" s="123" t="s">
        <v>403</v>
      </c>
      <c r="E30" s="679"/>
      <c r="F30" s="529">
        <f>VLOOKUP(D30,'July 2013 Revenue'!D:V,19,FALSE)</f>
        <v>-827.23999999999069</v>
      </c>
      <c r="G30" s="680"/>
      <c r="H30" s="680"/>
      <c r="I30" s="755"/>
      <c r="J30" s="682">
        <f t="shared" si="0"/>
        <v>-827.23999999999069</v>
      </c>
      <c r="K30" s="683"/>
      <c r="L30" s="684"/>
      <c r="M30" s="753">
        <v>150000</v>
      </c>
      <c r="N30" s="683">
        <v>0</v>
      </c>
      <c r="O30" s="686"/>
      <c r="P30" s="683">
        <v>0</v>
      </c>
      <c r="Q30" s="687">
        <f t="shared" si="1"/>
        <v>150000</v>
      </c>
      <c r="R30" s="687"/>
      <c r="S30" s="687"/>
      <c r="T30" s="688">
        <v>162979.79</v>
      </c>
      <c r="U30" s="693"/>
      <c r="V30" s="690">
        <f t="shared" si="2"/>
        <v>12979.790000000008</v>
      </c>
      <c r="W30" s="683"/>
      <c r="X30" s="474">
        <f t="shared" si="3"/>
        <v>150000</v>
      </c>
      <c r="Y30" s="474">
        <f t="shared" si="4"/>
        <v>0</v>
      </c>
      <c r="Z30" s="475">
        <f t="shared" si="5"/>
        <v>0</v>
      </c>
      <c r="AA30" s="475">
        <v>0</v>
      </c>
      <c r="AB30" s="476">
        <v>0</v>
      </c>
      <c r="AC30" s="38">
        <f t="shared" si="6"/>
        <v>0</v>
      </c>
      <c r="AD30" s="692">
        <f t="shared" si="7"/>
        <v>-827.23999999999069</v>
      </c>
      <c r="AE30" s="692">
        <f t="shared" si="8"/>
        <v>0</v>
      </c>
      <c r="AF30" s="692">
        <f t="shared" si="9"/>
        <v>0</v>
      </c>
      <c r="AG30" s="38"/>
      <c r="AH30" s="692">
        <f t="shared" si="10"/>
        <v>150000</v>
      </c>
      <c r="AI30" s="692">
        <f t="shared" si="11"/>
        <v>0</v>
      </c>
      <c r="AJ30" s="692">
        <f t="shared" si="12"/>
        <v>0</v>
      </c>
      <c r="AL30" s="38">
        <f t="shared" si="13"/>
        <v>149172.76</v>
      </c>
    </row>
    <row r="31" spans="1:38" s="232" customFormat="1">
      <c r="A31" s="283"/>
      <c r="B31" s="283" t="s">
        <v>110</v>
      </c>
      <c r="C31" s="667" t="s">
        <v>528</v>
      </c>
      <c r="D31" s="123" t="s">
        <v>404</v>
      </c>
      <c r="E31" s="679"/>
      <c r="F31" s="529">
        <f>VLOOKUP(D31,'July 2013 Revenue'!D:V,19,FALSE)</f>
        <v>-2395.3699999999953</v>
      </c>
      <c r="G31" s="680"/>
      <c r="H31" s="680"/>
      <c r="I31" s="755"/>
      <c r="J31" s="682">
        <f t="shared" si="0"/>
        <v>-2395.3699999999953</v>
      </c>
      <c r="K31" s="683"/>
      <c r="L31" s="684"/>
      <c r="M31" s="753">
        <v>150000</v>
      </c>
      <c r="N31" s="683">
        <v>0</v>
      </c>
      <c r="O31" s="686"/>
      <c r="P31" s="683">
        <v>0</v>
      </c>
      <c r="Q31" s="687">
        <f t="shared" si="1"/>
        <v>150000</v>
      </c>
      <c r="R31" s="687"/>
      <c r="S31" s="687"/>
      <c r="T31" s="688">
        <v>161213.85999999999</v>
      </c>
      <c r="U31" s="693"/>
      <c r="V31" s="690">
        <f t="shared" si="2"/>
        <v>11213.859999999986</v>
      </c>
      <c r="W31" s="683"/>
      <c r="X31" s="474">
        <f t="shared" si="3"/>
        <v>150000</v>
      </c>
      <c r="Y31" s="474">
        <f t="shared" si="4"/>
        <v>0</v>
      </c>
      <c r="Z31" s="475">
        <f t="shared" si="5"/>
        <v>0</v>
      </c>
      <c r="AA31" s="475">
        <v>0</v>
      </c>
      <c r="AB31" s="476">
        <v>0</v>
      </c>
      <c r="AC31" s="38">
        <f t="shared" si="6"/>
        <v>0</v>
      </c>
      <c r="AD31" s="692">
        <f t="shared" si="7"/>
        <v>-2395.3699999999953</v>
      </c>
      <c r="AE31" s="692">
        <f t="shared" si="8"/>
        <v>0</v>
      </c>
      <c r="AF31" s="692">
        <f t="shared" si="9"/>
        <v>0</v>
      </c>
      <c r="AG31" s="38"/>
      <c r="AH31" s="692">
        <f t="shared" si="10"/>
        <v>150000</v>
      </c>
      <c r="AI31" s="692">
        <f t="shared" si="11"/>
        <v>0</v>
      </c>
      <c r="AJ31" s="692">
        <f t="shared" si="12"/>
        <v>0</v>
      </c>
      <c r="AL31" s="38">
        <f t="shared" si="13"/>
        <v>147604.63</v>
      </c>
    </row>
    <row r="32" spans="1:38" s="232" customFormat="1">
      <c r="A32" s="283"/>
      <c r="B32" s="283" t="s">
        <v>110</v>
      </c>
      <c r="C32" s="667" t="s">
        <v>528</v>
      </c>
      <c r="D32" s="123" t="s">
        <v>405</v>
      </c>
      <c r="E32" s="679"/>
      <c r="F32" s="529">
        <f>VLOOKUP(D32,'July 2013 Revenue'!D:V,19,FALSE)</f>
        <v>-1226.9700000000012</v>
      </c>
      <c r="G32" s="680"/>
      <c r="H32" s="680"/>
      <c r="I32" s="755"/>
      <c r="J32" s="682">
        <f t="shared" si="0"/>
        <v>-1226.9700000000012</v>
      </c>
      <c r="K32" s="683"/>
      <c r="L32" s="684"/>
      <c r="M32" s="753">
        <v>25000</v>
      </c>
      <c r="N32" s="683">
        <v>0</v>
      </c>
      <c r="O32" s="686"/>
      <c r="P32" s="683">
        <v>0</v>
      </c>
      <c r="Q32" s="687">
        <f t="shared" si="1"/>
        <v>25000</v>
      </c>
      <c r="R32" s="687"/>
      <c r="S32" s="687"/>
      <c r="T32" s="688">
        <v>27225.25</v>
      </c>
      <c r="U32" s="693"/>
      <c r="V32" s="690">
        <f t="shared" si="2"/>
        <v>2225.25</v>
      </c>
      <c r="W32" s="683"/>
      <c r="X32" s="474">
        <f t="shared" si="3"/>
        <v>25000</v>
      </c>
      <c r="Y32" s="474">
        <f t="shared" si="4"/>
        <v>0</v>
      </c>
      <c r="Z32" s="475">
        <f t="shared" si="5"/>
        <v>0</v>
      </c>
      <c r="AA32" s="475">
        <v>0</v>
      </c>
      <c r="AB32" s="476">
        <v>0</v>
      </c>
      <c r="AC32" s="38">
        <f t="shared" si="6"/>
        <v>0</v>
      </c>
      <c r="AD32" s="692">
        <f t="shared" si="7"/>
        <v>-1226.9700000000012</v>
      </c>
      <c r="AE32" s="692">
        <f t="shared" si="8"/>
        <v>0</v>
      </c>
      <c r="AF32" s="692">
        <f t="shared" si="9"/>
        <v>0</v>
      </c>
      <c r="AG32" s="38"/>
      <c r="AH32" s="692">
        <f t="shared" si="10"/>
        <v>25000</v>
      </c>
      <c r="AI32" s="692">
        <f t="shared" si="11"/>
        <v>0</v>
      </c>
      <c r="AJ32" s="692">
        <f t="shared" si="12"/>
        <v>0</v>
      </c>
      <c r="AL32" s="38">
        <f t="shared" si="13"/>
        <v>23773.03</v>
      </c>
    </row>
    <row r="33" spans="1:38" s="232" customFormat="1">
      <c r="A33" s="283"/>
      <c r="B33" s="283" t="s">
        <v>110</v>
      </c>
      <c r="C33" s="667" t="s">
        <v>528</v>
      </c>
      <c r="D33" s="123" t="s">
        <v>406</v>
      </c>
      <c r="E33" s="679"/>
      <c r="F33" s="529">
        <f>VLOOKUP(D33,'July 2013 Revenue'!D:V,19,FALSE)</f>
        <v>-181.15999999999985</v>
      </c>
      <c r="G33" s="680"/>
      <c r="H33" s="680"/>
      <c r="I33" s="755"/>
      <c r="J33" s="682">
        <f t="shared" si="0"/>
        <v>-181.15999999999985</v>
      </c>
      <c r="K33" s="683"/>
      <c r="L33" s="684"/>
      <c r="M33" s="753">
        <v>12000</v>
      </c>
      <c r="N33" s="683">
        <v>0</v>
      </c>
      <c r="O33" s="686"/>
      <c r="P33" s="683">
        <v>0</v>
      </c>
      <c r="Q33" s="687">
        <f t="shared" si="1"/>
        <v>12000</v>
      </c>
      <c r="R33" s="687"/>
      <c r="S33" s="687"/>
      <c r="T33" s="688">
        <v>13326.24</v>
      </c>
      <c r="U33" s="693"/>
      <c r="V33" s="690">
        <f t="shared" si="2"/>
        <v>1326.2399999999998</v>
      </c>
      <c r="W33" s="683"/>
      <c r="X33" s="474">
        <f t="shared" si="3"/>
        <v>12000</v>
      </c>
      <c r="Y33" s="474">
        <f t="shared" si="4"/>
        <v>0</v>
      </c>
      <c r="Z33" s="475">
        <f t="shared" si="5"/>
        <v>0</v>
      </c>
      <c r="AA33" s="475">
        <v>0</v>
      </c>
      <c r="AB33" s="476">
        <v>0</v>
      </c>
      <c r="AC33" s="38">
        <f t="shared" si="6"/>
        <v>0</v>
      </c>
      <c r="AD33" s="692">
        <f t="shared" si="7"/>
        <v>-181.15999999999985</v>
      </c>
      <c r="AE33" s="692">
        <f t="shared" si="8"/>
        <v>0</v>
      </c>
      <c r="AF33" s="692">
        <f t="shared" si="9"/>
        <v>0</v>
      </c>
      <c r="AG33" s="38"/>
      <c r="AH33" s="692">
        <f t="shared" si="10"/>
        <v>12000</v>
      </c>
      <c r="AI33" s="692">
        <f t="shared" si="11"/>
        <v>0</v>
      </c>
      <c r="AJ33" s="692">
        <f t="shared" si="12"/>
        <v>0</v>
      </c>
      <c r="AL33" s="38">
        <f t="shared" si="13"/>
        <v>11818.84</v>
      </c>
    </row>
    <row r="34" spans="1:38" s="232" customFormat="1">
      <c r="A34" s="283"/>
      <c r="B34" s="283" t="s">
        <v>110</v>
      </c>
      <c r="C34" s="667" t="s">
        <v>528</v>
      </c>
      <c r="D34" s="123" t="s">
        <v>407</v>
      </c>
      <c r="E34" s="679"/>
      <c r="F34" s="529">
        <f>VLOOKUP(D34,'July 2013 Revenue'!D:V,19,FALSE)</f>
        <v>-357.47999999999956</v>
      </c>
      <c r="G34" s="680"/>
      <c r="H34" s="680"/>
      <c r="I34" s="755"/>
      <c r="J34" s="682">
        <f t="shared" si="0"/>
        <v>-357.47999999999956</v>
      </c>
      <c r="K34" s="683"/>
      <c r="L34" s="684"/>
      <c r="M34" s="753">
        <v>5000</v>
      </c>
      <c r="N34" s="683">
        <v>0</v>
      </c>
      <c r="O34" s="686"/>
      <c r="P34" s="683">
        <v>0</v>
      </c>
      <c r="Q34" s="687">
        <f t="shared" si="1"/>
        <v>5000</v>
      </c>
      <c r="R34" s="687"/>
      <c r="S34" s="687"/>
      <c r="T34" s="688">
        <v>5772.61</v>
      </c>
      <c r="U34" s="693"/>
      <c r="V34" s="690">
        <f t="shared" si="2"/>
        <v>772.60999999999967</v>
      </c>
      <c r="W34" s="683"/>
      <c r="X34" s="474">
        <f t="shared" si="3"/>
        <v>5000</v>
      </c>
      <c r="Y34" s="474">
        <f t="shared" si="4"/>
        <v>0</v>
      </c>
      <c r="Z34" s="475">
        <f t="shared" si="5"/>
        <v>0</v>
      </c>
      <c r="AA34" s="475">
        <v>0</v>
      </c>
      <c r="AB34" s="476">
        <v>0</v>
      </c>
      <c r="AC34" s="38">
        <f t="shared" si="6"/>
        <v>0</v>
      </c>
      <c r="AD34" s="692">
        <f t="shared" si="7"/>
        <v>-357.47999999999956</v>
      </c>
      <c r="AE34" s="692">
        <f t="shared" si="8"/>
        <v>0</v>
      </c>
      <c r="AF34" s="692">
        <f t="shared" si="9"/>
        <v>0</v>
      </c>
      <c r="AG34" s="38"/>
      <c r="AH34" s="692">
        <f t="shared" si="10"/>
        <v>5000</v>
      </c>
      <c r="AI34" s="692">
        <f t="shared" si="11"/>
        <v>0</v>
      </c>
      <c r="AJ34" s="692">
        <f t="shared" si="12"/>
        <v>0</v>
      </c>
      <c r="AL34" s="38">
        <f t="shared" si="13"/>
        <v>4642.5200000000004</v>
      </c>
    </row>
    <row r="35" spans="1:38" s="232" customFormat="1">
      <c r="A35" s="283"/>
      <c r="B35" s="283" t="s">
        <v>110</v>
      </c>
      <c r="C35" s="667" t="s">
        <v>528</v>
      </c>
      <c r="D35" s="123" t="s">
        <v>880</v>
      </c>
      <c r="E35" s="679"/>
      <c r="F35" s="529">
        <f>VLOOKUP(D35,'July 2013 Revenue'!D:V,19,FALSE)</f>
        <v>-1197.06</v>
      </c>
      <c r="G35" s="680"/>
      <c r="H35" s="680"/>
      <c r="I35" s="755"/>
      <c r="J35" s="682">
        <f t="shared" si="0"/>
        <v>-1197.06</v>
      </c>
      <c r="K35" s="683"/>
      <c r="L35" s="684"/>
      <c r="M35" s="753">
        <v>5000</v>
      </c>
      <c r="N35" s="683">
        <v>0</v>
      </c>
      <c r="O35" s="686"/>
      <c r="P35" s="683">
        <v>0</v>
      </c>
      <c r="Q35" s="687">
        <f t="shared" si="1"/>
        <v>5000</v>
      </c>
      <c r="R35" s="687"/>
      <c r="S35" s="687"/>
      <c r="T35" s="688">
        <v>4680.12</v>
      </c>
      <c r="U35" s="693"/>
      <c r="V35" s="690">
        <f t="shared" si="2"/>
        <v>-319.88000000000011</v>
      </c>
      <c r="W35" s="683"/>
      <c r="X35" s="474">
        <f t="shared" si="3"/>
        <v>5000</v>
      </c>
      <c r="Y35" s="474">
        <f t="shared" si="4"/>
        <v>0</v>
      </c>
      <c r="Z35" s="475">
        <f t="shared" si="5"/>
        <v>0</v>
      </c>
      <c r="AA35" s="475">
        <v>0</v>
      </c>
      <c r="AB35" s="476">
        <v>0</v>
      </c>
      <c r="AC35" s="38">
        <f t="shared" si="6"/>
        <v>0</v>
      </c>
      <c r="AD35" s="692">
        <f t="shared" si="7"/>
        <v>-1197.06</v>
      </c>
      <c r="AE35" s="692">
        <f t="shared" si="8"/>
        <v>0</v>
      </c>
      <c r="AF35" s="692">
        <f t="shared" si="9"/>
        <v>0</v>
      </c>
      <c r="AG35" s="38"/>
      <c r="AH35" s="692">
        <f t="shared" si="10"/>
        <v>5000</v>
      </c>
      <c r="AI35" s="692">
        <f t="shared" si="11"/>
        <v>0</v>
      </c>
      <c r="AJ35" s="692">
        <f t="shared" si="12"/>
        <v>0</v>
      </c>
      <c r="AL35" s="38">
        <f t="shared" si="13"/>
        <v>3802.94</v>
      </c>
    </row>
    <row r="36" spans="1:38" s="232" customFormat="1">
      <c r="A36" s="283"/>
      <c r="B36" s="283" t="s">
        <v>110</v>
      </c>
      <c r="C36" s="667" t="s">
        <v>528</v>
      </c>
      <c r="D36" s="123" t="s">
        <v>881</v>
      </c>
      <c r="E36" s="679"/>
      <c r="F36" s="529">
        <f>VLOOKUP(D36,'July 2013 Revenue'!D:V,19,FALSE)</f>
        <v>-2039.42</v>
      </c>
      <c r="G36" s="680"/>
      <c r="H36" s="680"/>
      <c r="I36" s="755"/>
      <c r="J36" s="682">
        <f t="shared" si="0"/>
        <v>-2039.42</v>
      </c>
      <c r="K36" s="683"/>
      <c r="L36" s="684"/>
      <c r="M36" s="753">
        <v>5000</v>
      </c>
      <c r="N36" s="683">
        <v>0</v>
      </c>
      <c r="O36" s="686"/>
      <c r="P36" s="683">
        <v>0</v>
      </c>
      <c r="Q36" s="687">
        <f t="shared" si="1"/>
        <v>5000</v>
      </c>
      <c r="R36" s="687"/>
      <c r="S36" s="687"/>
      <c r="T36" s="688">
        <v>3565.53</v>
      </c>
      <c r="U36" s="693"/>
      <c r="V36" s="690">
        <f t="shared" si="2"/>
        <v>-1434.4699999999998</v>
      </c>
      <c r="W36" s="683"/>
      <c r="X36" s="474">
        <f t="shared" si="3"/>
        <v>5000</v>
      </c>
      <c r="Y36" s="474">
        <f t="shared" si="4"/>
        <v>0</v>
      </c>
      <c r="Z36" s="475">
        <f t="shared" si="5"/>
        <v>0</v>
      </c>
      <c r="AA36" s="475">
        <v>0</v>
      </c>
      <c r="AB36" s="476">
        <v>0</v>
      </c>
      <c r="AC36" s="38">
        <f t="shared" si="6"/>
        <v>0</v>
      </c>
      <c r="AD36" s="692">
        <f t="shared" si="7"/>
        <v>-2039.42</v>
      </c>
      <c r="AE36" s="692">
        <f t="shared" si="8"/>
        <v>0</v>
      </c>
      <c r="AF36" s="692">
        <f t="shared" si="9"/>
        <v>0</v>
      </c>
      <c r="AG36" s="38"/>
      <c r="AH36" s="692">
        <f t="shared" si="10"/>
        <v>5000</v>
      </c>
      <c r="AI36" s="692">
        <f t="shared" si="11"/>
        <v>0</v>
      </c>
      <c r="AJ36" s="692">
        <f t="shared" si="12"/>
        <v>0</v>
      </c>
      <c r="AL36" s="38">
        <f t="shared" si="13"/>
        <v>2960.58</v>
      </c>
    </row>
    <row r="37" spans="1:38" s="232" customFormat="1">
      <c r="A37" s="283"/>
      <c r="B37" s="283" t="s">
        <v>110</v>
      </c>
      <c r="C37" s="667" t="s">
        <v>528</v>
      </c>
      <c r="D37" s="123" t="s">
        <v>820</v>
      </c>
      <c r="E37" s="679"/>
      <c r="F37" s="529">
        <f>VLOOKUP(D37,'July 2013 Revenue'!D:V,19,FALSE)</f>
        <v>-2081.0800000000017</v>
      </c>
      <c r="G37" s="680"/>
      <c r="H37" s="680"/>
      <c r="I37" s="755"/>
      <c r="J37" s="682">
        <f t="shared" si="0"/>
        <v>-2081.0800000000017</v>
      </c>
      <c r="K37" s="683"/>
      <c r="L37" s="684"/>
      <c r="M37" s="753">
        <v>25000</v>
      </c>
      <c r="N37" s="683">
        <v>0</v>
      </c>
      <c r="O37" s="686"/>
      <c r="P37" s="683">
        <v>0</v>
      </c>
      <c r="Q37" s="687">
        <f t="shared" si="1"/>
        <v>25000</v>
      </c>
      <c r="R37" s="687"/>
      <c r="S37" s="687"/>
      <c r="T37" s="688">
        <v>22352.18</v>
      </c>
      <c r="U37" s="693"/>
      <c r="V37" s="690">
        <f t="shared" si="2"/>
        <v>-2647.8199999999997</v>
      </c>
      <c r="W37" s="683"/>
      <c r="X37" s="474">
        <f t="shared" si="3"/>
        <v>25000</v>
      </c>
      <c r="Y37" s="474">
        <f t="shared" si="4"/>
        <v>0</v>
      </c>
      <c r="Z37" s="475">
        <f t="shared" si="5"/>
        <v>0</v>
      </c>
      <c r="AA37" s="475">
        <v>0</v>
      </c>
      <c r="AB37" s="476">
        <v>0</v>
      </c>
      <c r="AC37" s="38">
        <f t="shared" si="6"/>
        <v>0</v>
      </c>
      <c r="AD37" s="692">
        <f t="shared" si="7"/>
        <v>-2081.0800000000017</v>
      </c>
      <c r="AE37" s="692">
        <f t="shared" si="8"/>
        <v>0</v>
      </c>
      <c r="AF37" s="692">
        <f t="shared" si="9"/>
        <v>0</v>
      </c>
      <c r="AG37" s="38"/>
      <c r="AH37" s="692">
        <f t="shared" si="10"/>
        <v>25000</v>
      </c>
      <c r="AI37" s="692">
        <f t="shared" si="11"/>
        <v>0</v>
      </c>
      <c r="AJ37" s="692">
        <f t="shared" si="12"/>
        <v>0</v>
      </c>
      <c r="AL37" s="38">
        <f t="shared" si="13"/>
        <v>22918.92</v>
      </c>
    </row>
    <row r="38" spans="1:38" s="232" customFormat="1">
      <c r="A38" s="283"/>
      <c r="B38" s="283" t="s">
        <v>110</v>
      </c>
      <c r="C38" s="667" t="s">
        <v>527</v>
      </c>
      <c r="D38" s="123" t="s">
        <v>460</v>
      </c>
      <c r="E38" s="679"/>
      <c r="F38" s="529">
        <f>VLOOKUP(D38,'July 2013 Revenue'!D:V,19,FALSE)</f>
        <v>0</v>
      </c>
      <c r="G38" s="680"/>
      <c r="H38" s="680"/>
      <c r="I38" s="770">
        <v>43013.35</v>
      </c>
      <c r="J38" s="682">
        <f t="shared" si="0"/>
        <v>43013.35</v>
      </c>
      <c r="K38" s="683"/>
      <c r="L38" s="684"/>
      <c r="M38" s="753"/>
      <c r="N38" s="683">
        <v>0</v>
      </c>
      <c r="O38" s="686"/>
      <c r="P38" s="683">
        <v>0</v>
      </c>
      <c r="Q38" s="687">
        <f t="shared" si="1"/>
        <v>0</v>
      </c>
      <c r="R38" s="687"/>
      <c r="S38" s="687"/>
      <c r="T38" s="688">
        <v>0</v>
      </c>
      <c r="U38" s="693"/>
      <c r="V38" s="690">
        <f t="shared" si="2"/>
        <v>0</v>
      </c>
      <c r="W38" s="683"/>
      <c r="X38" s="474">
        <f t="shared" si="3"/>
        <v>0</v>
      </c>
      <c r="Y38" s="474">
        <f t="shared" si="4"/>
        <v>0</v>
      </c>
      <c r="Z38" s="475">
        <f t="shared" si="5"/>
        <v>0</v>
      </c>
      <c r="AA38" s="475">
        <v>0</v>
      </c>
      <c r="AB38" s="476">
        <v>0</v>
      </c>
      <c r="AC38" s="38">
        <f t="shared" si="6"/>
        <v>0</v>
      </c>
      <c r="AD38" s="692">
        <f t="shared" si="7"/>
        <v>43013.35</v>
      </c>
      <c r="AE38" s="692">
        <f t="shared" si="8"/>
        <v>0</v>
      </c>
      <c r="AF38" s="692">
        <f t="shared" si="9"/>
        <v>0</v>
      </c>
      <c r="AG38" s="38"/>
      <c r="AH38" s="692">
        <f t="shared" si="10"/>
        <v>0</v>
      </c>
      <c r="AI38" s="692">
        <f t="shared" si="11"/>
        <v>0</v>
      </c>
      <c r="AJ38" s="692">
        <f t="shared" si="12"/>
        <v>0</v>
      </c>
      <c r="AL38" s="38">
        <f t="shared" si="13"/>
        <v>43013.35</v>
      </c>
    </row>
    <row r="39" spans="1:38" s="232" customFormat="1">
      <c r="A39" s="283"/>
      <c r="B39" s="283" t="s">
        <v>110</v>
      </c>
      <c r="C39" s="676" t="s">
        <v>528</v>
      </c>
      <c r="D39" s="123" t="s">
        <v>623</v>
      </c>
      <c r="E39" s="679"/>
      <c r="F39" s="529">
        <f>VLOOKUP(D39,'July 2013 Revenue'!D:V,19,FALSE)</f>
        <v>0</v>
      </c>
      <c r="G39" s="680"/>
      <c r="H39" s="680"/>
      <c r="I39" s="770">
        <v>8663.7999999999993</v>
      </c>
      <c r="J39" s="682">
        <f t="shared" si="0"/>
        <v>8663.7999999999993</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8663.7999999999993</v>
      </c>
      <c r="AE39" s="692">
        <f t="shared" si="8"/>
        <v>0</v>
      </c>
      <c r="AF39" s="692">
        <f t="shared" si="9"/>
        <v>0</v>
      </c>
      <c r="AG39" s="38"/>
      <c r="AH39" s="692">
        <f t="shared" si="10"/>
        <v>0</v>
      </c>
      <c r="AI39" s="692">
        <f t="shared" si="11"/>
        <v>0</v>
      </c>
      <c r="AJ39" s="692">
        <f t="shared" si="12"/>
        <v>0</v>
      </c>
      <c r="AL39" s="38">
        <f t="shared" si="13"/>
        <v>8663.7999999999993</v>
      </c>
    </row>
    <row r="40" spans="1:38" s="232" customFormat="1">
      <c r="A40" s="403"/>
      <c r="B40" s="403" t="s">
        <v>114</v>
      </c>
      <c r="C40" s="666" t="s">
        <v>529</v>
      </c>
      <c r="D40" s="123" t="s">
        <v>108</v>
      </c>
      <c r="E40" s="679"/>
      <c r="F40" s="529">
        <f>VLOOKUP(D40,'July 2013 Revenue'!D:V,19,FALSE)</f>
        <v>1488.2399999999998</v>
      </c>
      <c r="G40" s="680"/>
      <c r="H40" s="680"/>
      <c r="I40" s="755"/>
      <c r="J40" s="682">
        <f t="shared" si="0"/>
        <v>1488.2399999999998</v>
      </c>
      <c r="K40" s="683"/>
      <c r="L40" s="684"/>
      <c r="M40" s="753">
        <v>8000</v>
      </c>
      <c r="N40" s="683">
        <v>0</v>
      </c>
      <c r="O40" s="686"/>
      <c r="P40" s="683">
        <v>0</v>
      </c>
      <c r="Q40" s="687">
        <f t="shared" si="1"/>
        <v>8000</v>
      </c>
      <c r="R40" s="687"/>
      <c r="S40" s="687"/>
      <c r="T40" s="688">
        <v>8786.52</v>
      </c>
      <c r="U40" s="693"/>
      <c r="V40" s="690">
        <f t="shared" si="2"/>
        <v>786.52000000000044</v>
      </c>
      <c r="W40" s="683"/>
      <c r="X40" s="474">
        <f t="shared" si="3"/>
        <v>0</v>
      </c>
      <c r="Y40" s="474">
        <f t="shared" si="4"/>
        <v>0</v>
      </c>
      <c r="Z40" s="475">
        <f t="shared" si="5"/>
        <v>8000</v>
      </c>
      <c r="AA40" s="475">
        <v>0</v>
      </c>
      <c r="AB40" s="476">
        <v>0</v>
      </c>
      <c r="AC40" s="38">
        <f t="shared" si="6"/>
        <v>0</v>
      </c>
      <c r="AD40" s="692">
        <f t="shared" si="7"/>
        <v>0</v>
      </c>
      <c r="AE40" s="692">
        <f t="shared" si="8"/>
        <v>0</v>
      </c>
      <c r="AF40" s="692">
        <f t="shared" si="9"/>
        <v>1488.2399999999998</v>
      </c>
      <c r="AG40" s="38"/>
      <c r="AH40" s="692">
        <f t="shared" si="10"/>
        <v>0</v>
      </c>
      <c r="AI40" s="692">
        <f t="shared" si="11"/>
        <v>0</v>
      </c>
      <c r="AJ40" s="692">
        <f t="shared" si="12"/>
        <v>8000</v>
      </c>
      <c r="AL40" s="38">
        <f t="shared" si="13"/>
        <v>9488.24</v>
      </c>
    </row>
    <row r="41" spans="1:38" s="232" customFormat="1">
      <c r="A41" s="403"/>
      <c r="B41" s="403" t="s">
        <v>110</v>
      </c>
      <c r="C41" s="666"/>
      <c r="D41" s="123" t="s">
        <v>911</v>
      </c>
      <c r="E41" s="679"/>
      <c r="F41" s="529">
        <f>VLOOKUP(D41,'July 2013 Revenue'!D:V,19,FALSE)</f>
        <v>-12000</v>
      </c>
      <c r="G41" s="680"/>
      <c r="H41" s="680"/>
      <c r="I41" s="755"/>
      <c r="J41" s="682">
        <f t="shared" si="0"/>
        <v>-12000</v>
      </c>
      <c r="K41" s="683"/>
      <c r="L41" s="684"/>
      <c r="M41" s="753">
        <v>24000</v>
      </c>
      <c r="N41" s="683">
        <v>0</v>
      </c>
      <c r="O41" s="686"/>
      <c r="P41" s="683">
        <v>0</v>
      </c>
      <c r="Q41" s="687">
        <f t="shared" si="1"/>
        <v>24000</v>
      </c>
      <c r="R41" s="687"/>
      <c r="S41" s="687"/>
      <c r="T41" s="688">
        <v>0</v>
      </c>
      <c r="U41" s="693"/>
      <c r="V41" s="690">
        <f t="shared" si="2"/>
        <v>-24000</v>
      </c>
      <c r="W41" s="683"/>
      <c r="X41" s="474">
        <f t="shared" si="3"/>
        <v>24000</v>
      </c>
      <c r="Y41" s="474">
        <f t="shared" si="4"/>
        <v>0</v>
      </c>
      <c r="Z41" s="475">
        <f t="shared" si="5"/>
        <v>0</v>
      </c>
      <c r="AA41" s="475">
        <v>0</v>
      </c>
      <c r="AB41" s="476">
        <v>0</v>
      </c>
      <c r="AC41" s="38">
        <f t="shared" si="6"/>
        <v>0</v>
      </c>
      <c r="AD41" s="692">
        <f t="shared" si="7"/>
        <v>-12000</v>
      </c>
      <c r="AE41" s="692">
        <f t="shared" si="8"/>
        <v>0</v>
      </c>
      <c r="AF41" s="692">
        <f t="shared" si="9"/>
        <v>0</v>
      </c>
      <c r="AG41" s="38"/>
      <c r="AH41" s="692">
        <f t="shared" si="10"/>
        <v>24000</v>
      </c>
      <c r="AI41" s="692">
        <f t="shared" si="11"/>
        <v>0</v>
      </c>
      <c r="AJ41" s="692">
        <f t="shared" si="12"/>
        <v>0</v>
      </c>
      <c r="AL41" s="38">
        <f t="shared" si="13"/>
        <v>12000</v>
      </c>
    </row>
    <row r="42" spans="1:38">
      <c r="A42" s="21"/>
      <c r="B42" s="21" t="s">
        <v>110</v>
      </c>
      <c r="C42" s="666"/>
      <c r="D42" s="68" t="s">
        <v>234</v>
      </c>
      <c r="E42" s="679"/>
      <c r="F42" s="529">
        <f>VLOOKUP(D42,'July 2013 Revenue'!D:V,19,FALSE)</f>
        <v>-10000</v>
      </c>
      <c r="G42" s="680"/>
      <c r="H42" s="680"/>
      <c r="I42" s="755"/>
      <c r="J42" s="682">
        <f t="shared" si="0"/>
        <v>-10000</v>
      </c>
      <c r="K42" s="683"/>
      <c r="L42" s="684"/>
      <c r="M42" s="753">
        <v>13000</v>
      </c>
      <c r="N42" s="683">
        <v>0</v>
      </c>
      <c r="O42" s="686"/>
      <c r="P42" s="683">
        <v>0</v>
      </c>
      <c r="Q42" s="687">
        <f t="shared" si="1"/>
        <v>13000</v>
      </c>
      <c r="R42" s="687"/>
      <c r="S42" s="687"/>
      <c r="T42" s="688">
        <v>0</v>
      </c>
      <c r="U42" s="693"/>
      <c r="V42" s="690">
        <f t="shared" si="2"/>
        <v>-13000</v>
      </c>
      <c r="W42" s="683"/>
      <c r="X42" s="474">
        <f t="shared" si="3"/>
        <v>13000</v>
      </c>
      <c r="Y42" s="474">
        <f t="shared" si="4"/>
        <v>0</v>
      </c>
      <c r="Z42" s="475">
        <f t="shared" si="5"/>
        <v>0</v>
      </c>
      <c r="AA42" s="475">
        <v>0</v>
      </c>
      <c r="AB42" s="476">
        <v>0</v>
      </c>
      <c r="AC42" s="38">
        <f t="shared" si="6"/>
        <v>0</v>
      </c>
      <c r="AD42" s="692">
        <f t="shared" si="7"/>
        <v>-10000</v>
      </c>
      <c r="AE42" s="692">
        <f t="shared" si="8"/>
        <v>0</v>
      </c>
      <c r="AF42" s="692">
        <f t="shared" si="9"/>
        <v>0</v>
      </c>
      <c r="AG42" s="38"/>
      <c r="AH42" s="692">
        <f t="shared" si="10"/>
        <v>13000</v>
      </c>
      <c r="AI42" s="692">
        <f t="shared" si="11"/>
        <v>0</v>
      </c>
      <c r="AJ42" s="692">
        <f t="shared" si="12"/>
        <v>0</v>
      </c>
      <c r="AL42" s="38">
        <f t="shared" si="13"/>
        <v>3000</v>
      </c>
    </row>
    <row r="43" spans="1:38">
      <c r="A43" s="20"/>
      <c r="B43" s="20" t="s">
        <v>109</v>
      </c>
      <c r="C43" s="667"/>
      <c r="D43" s="68" t="s">
        <v>598</v>
      </c>
      <c r="E43" s="679">
        <f>998.62+891.54</f>
        <v>1890.1599999999999</v>
      </c>
      <c r="F43" s="529">
        <f>VLOOKUP(D43,'July 2013 Revenue'!D:V,19,FALSE)</f>
        <v>0</v>
      </c>
      <c r="G43" s="680"/>
      <c r="H43" s="680"/>
      <c r="I43" s="755"/>
      <c r="J43" s="682">
        <f t="shared" si="0"/>
        <v>1890.1599999999999</v>
      </c>
      <c r="K43" s="683"/>
      <c r="L43" s="684"/>
      <c r="M43" s="753"/>
      <c r="N43" s="683">
        <v>0</v>
      </c>
      <c r="O43" s="686"/>
      <c r="P43" s="683">
        <v>0</v>
      </c>
      <c r="Q43" s="687">
        <f t="shared" si="1"/>
        <v>0</v>
      </c>
      <c r="R43" s="687"/>
      <c r="S43" s="687"/>
      <c r="T43" s="688">
        <v>0</v>
      </c>
      <c r="U43" s="693"/>
      <c r="V43" s="690">
        <f t="shared" si="2"/>
        <v>0</v>
      </c>
      <c r="W43" s="683"/>
      <c r="X43" s="474">
        <f t="shared" si="3"/>
        <v>0</v>
      </c>
      <c r="Y43" s="474">
        <f t="shared" si="4"/>
        <v>0</v>
      </c>
      <c r="Z43" s="475">
        <f t="shared" si="5"/>
        <v>0</v>
      </c>
      <c r="AA43" s="475">
        <v>0</v>
      </c>
      <c r="AB43" s="476">
        <v>0</v>
      </c>
      <c r="AC43" s="38">
        <f t="shared" si="6"/>
        <v>0</v>
      </c>
      <c r="AD43" s="692">
        <f t="shared" si="7"/>
        <v>0</v>
      </c>
      <c r="AE43" s="692">
        <f t="shared" si="8"/>
        <v>1890.1599999999999</v>
      </c>
      <c r="AF43" s="692">
        <f t="shared" si="9"/>
        <v>0</v>
      </c>
      <c r="AG43" s="38"/>
      <c r="AH43" s="692">
        <f t="shared" si="10"/>
        <v>0</v>
      </c>
      <c r="AI43" s="692">
        <f t="shared" si="11"/>
        <v>0</v>
      </c>
      <c r="AJ43" s="692">
        <f t="shared" si="12"/>
        <v>0</v>
      </c>
      <c r="AL43" s="38">
        <f t="shared" si="13"/>
        <v>1890.1599999999999</v>
      </c>
    </row>
    <row r="44" spans="1:38">
      <c r="A44" s="20"/>
      <c r="B44" s="20" t="s">
        <v>110</v>
      </c>
      <c r="C44" s="667"/>
      <c r="D44" s="68" t="s">
        <v>311</v>
      </c>
      <c r="E44" s="679"/>
      <c r="F44" s="529">
        <f>VLOOKUP(D44,'July 2013 Revenue'!D:V,19,FALSE)</f>
        <v>0</v>
      </c>
      <c r="G44" s="680"/>
      <c r="H44" s="680"/>
      <c r="I44" s="755"/>
      <c r="J44" s="682">
        <f t="shared" si="0"/>
        <v>0</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0</v>
      </c>
      <c r="AF44" s="692">
        <f t="shared" si="9"/>
        <v>0</v>
      </c>
      <c r="AG44" s="38"/>
      <c r="AH44" s="692">
        <f t="shared" si="10"/>
        <v>0</v>
      </c>
      <c r="AI44" s="692">
        <f t="shared" si="11"/>
        <v>0</v>
      </c>
      <c r="AJ44" s="692">
        <f t="shared" si="12"/>
        <v>0</v>
      </c>
      <c r="AL44" s="38">
        <f t="shared" si="13"/>
        <v>0</v>
      </c>
    </row>
    <row r="45" spans="1:38">
      <c r="A45" s="20"/>
      <c r="B45" s="20" t="s">
        <v>110</v>
      </c>
      <c r="C45" s="667"/>
      <c r="D45" s="68" t="s">
        <v>451</v>
      </c>
      <c r="E45" s="679"/>
      <c r="F45" s="529">
        <f>VLOOKUP(D45,'July 2013 Revenue'!D:V,19,FALSE)</f>
        <v>-80000</v>
      </c>
      <c r="G45" s="680"/>
      <c r="H45" s="680"/>
      <c r="I45" s="755"/>
      <c r="J45" s="682">
        <f t="shared" si="0"/>
        <v>-80000</v>
      </c>
      <c r="K45" s="683"/>
      <c r="L45" s="684"/>
      <c r="M45" s="753">
        <v>90000</v>
      </c>
      <c r="N45" s="683">
        <v>0</v>
      </c>
      <c r="O45" s="686"/>
      <c r="P45" s="683">
        <v>0</v>
      </c>
      <c r="Q45" s="687">
        <f t="shared" si="1"/>
        <v>90000</v>
      </c>
      <c r="R45" s="687"/>
      <c r="S45" s="687"/>
      <c r="T45" s="688">
        <v>0</v>
      </c>
      <c r="U45" s="693"/>
      <c r="V45" s="690">
        <f t="shared" si="2"/>
        <v>-90000</v>
      </c>
      <c r="W45" s="683"/>
      <c r="X45" s="474">
        <f t="shared" si="3"/>
        <v>90000</v>
      </c>
      <c r="Y45" s="474">
        <f t="shared" si="4"/>
        <v>0</v>
      </c>
      <c r="Z45" s="475">
        <f t="shared" si="5"/>
        <v>0</v>
      </c>
      <c r="AA45" s="475">
        <v>0</v>
      </c>
      <c r="AB45" s="476">
        <v>0</v>
      </c>
      <c r="AC45" s="38">
        <f t="shared" si="6"/>
        <v>0</v>
      </c>
      <c r="AD45" s="692">
        <f t="shared" si="7"/>
        <v>-80000</v>
      </c>
      <c r="AE45" s="692">
        <f t="shared" si="8"/>
        <v>0</v>
      </c>
      <c r="AF45" s="692">
        <f t="shared" si="9"/>
        <v>0</v>
      </c>
      <c r="AG45" s="38"/>
      <c r="AH45" s="692">
        <f t="shared" si="10"/>
        <v>90000</v>
      </c>
      <c r="AI45" s="692">
        <f t="shared" si="11"/>
        <v>0</v>
      </c>
      <c r="AJ45" s="692">
        <f t="shared" si="12"/>
        <v>0</v>
      </c>
      <c r="AL45" s="38">
        <f t="shared" si="13"/>
        <v>10000</v>
      </c>
    </row>
    <row r="46" spans="1:38">
      <c r="A46" s="20"/>
      <c r="B46" s="20" t="s">
        <v>109</v>
      </c>
      <c r="C46" s="667"/>
      <c r="D46" s="68" t="s">
        <v>469</v>
      </c>
      <c r="E46" s="679"/>
      <c r="F46" s="529">
        <f>VLOOKUP(D46,'July 2013 Revenue'!D:V,19,FALSE)</f>
        <v>0</v>
      </c>
      <c r="G46" s="680"/>
      <c r="H46" s="680"/>
      <c r="I46" s="755"/>
      <c r="J46" s="682">
        <f t="shared" si="0"/>
        <v>0</v>
      </c>
      <c r="K46" s="683"/>
      <c r="L46" s="684"/>
      <c r="M46" s="753"/>
      <c r="N46" s="683">
        <v>0</v>
      </c>
      <c r="O46" s="686"/>
      <c r="P46" s="683">
        <v>0</v>
      </c>
      <c r="Q46" s="687">
        <f t="shared" si="1"/>
        <v>0</v>
      </c>
      <c r="R46" s="687"/>
      <c r="S46" s="687"/>
      <c r="T46" s="688">
        <v>6872.89</v>
      </c>
      <c r="U46" s="693"/>
      <c r="V46" s="690">
        <f t="shared" si="2"/>
        <v>6872.89</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row>
    <row r="47" spans="1:38">
      <c r="A47" s="20"/>
      <c r="B47" s="20" t="s">
        <v>110</v>
      </c>
      <c r="C47" s="667" t="s">
        <v>530</v>
      </c>
      <c r="D47" s="68" t="s">
        <v>69</v>
      </c>
      <c r="E47" s="679">
        <v>2033.51</v>
      </c>
      <c r="F47" s="529">
        <f>VLOOKUP(D47,'July 2013 Revenue'!D:V,19,FALSE)</f>
        <v>1638.44</v>
      </c>
      <c r="G47" s="680"/>
      <c r="H47" s="680"/>
      <c r="I47" s="755"/>
      <c r="J47" s="682">
        <f t="shared" si="0"/>
        <v>3671.95</v>
      </c>
      <c r="K47" s="683"/>
      <c r="L47" s="684"/>
      <c r="M47" s="753"/>
      <c r="N47" s="683">
        <v>0</v>
      </c>
      <c r="O47" s="686"/>
      <c r="P47" s="683">
        <v>0</v>
      </c>
      <c r="Q47" s="687">
        <f t="shared" si="1"/>
        <v>0</v>
      </c>
      <c r="R47" s="687"/>
      <c r="S47" s="687"/>
      <c r="T47" s="688">
        <v>1924.94</v>
      </c>
      <c r="U47" s="693"/>
      <c r="V47" s="690">
        <f t="shared" si="2"/>
        <v>1924.94</v>
      </c>
      <c r="W47" s="683"/>
      <c r="X47" s="474">
        <f t="shared" si="3"/>
        <v>0</v>
      </c>
      <c r="Y47" s="474">
        <f t="shared" si="4"/>
        <v>0</v>
      </c>
      <c r="Z47" s="475">
        <f t="shared" si="5"/>
        <v>0</v>
      </c>
      <c r="AA47" s="475">
        <v>0</v>
      </c>
      <c r="AB47" s="476">
        <v>0</v>
      </c>
      <c r="AC47" s="38">
        <f t="shared" si="6"/>
        <v>0</v>
      </c>
      <c r="AD47" s="692">
        <f t="shared" si="7"/>
        <v>3671.95</v>
      </c>
      <c r="AE47" s="692">
        <f t="shared" si="8"/>
        <v>0</v>
      </c>
      <c r="AF47" s="692">
        <f t="shared" si="9"/>
        <v>0</v>
      </c>
      <c r="AG47" s="38"/>
      <c r="AH47" s="692">
        <f t="shared" si="10"/>
        <v>0</v>
      </c>
      <c r="AI47" s="692">
        <f t="shared" si="11"/>
        <v>0</v>
      </c>
      <c r="AJ47" s="692">
        <f t="shared" si="12"/>
        <v>0</v>
      </c>
      <c r="AL47" s="38">
        <f t="shared" si="13"/>
        <v>3671.95</v>
      </c>
    </row>
    <row r="48" spans="1:38" hidden="1">
      <c r="A48" s="20"/>
      <c r="B48" s="20" t="s">
        <v>110</v>
      </c>
      <c r="C48" s="667" t="s">
        <v>531</v>
      </c>
      <c r="D48" s="68" t="s">
        <v>237</v>
      </c>
      <c r="E48" s="679"/>
      <c r="F48" s="529">
        <f>VLOOKUP(D48,'July 2013 Revenue'!D:V,19,FALSE)</f>
        <v>0</v>
      </c>
      <c r="G48" s="680"/>
      <c r="H48" s="680"/>
      <c r="I48" s="755"/>
      <c r="J48" s="682">
        <f t="shared" si="0"/>
        <v>0</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row>
    <row r="49" spans="1:38">
      <c r="A49" s="20" t="s">
        <v>211</v>
      </c>
      <c r="B49" s="20" t="s">
        <v>110</v>
      </c>
      <c r="C49" s="667" t="s">
        <v>532</v>
      </c>
      <c r="D49" s="68" t="s">
        <v>7</v>
      </c>
      <c r="E49" s="679"/>
      <c r="F49" s="529">
        <f>VLOOKUP(D49,'July 2013 Revenue'!D:V,19,FALSE)</f>
        <v>-30000</v>
      </c>
      <c r="G49" s="680"/>
      <c r="H49" s="680"/>
      <c r="I49" s="755"/>
      <c r="J49" s="682">
        <f t="shared" si="0"/>
        <v>-30000</v>
      </c>
      <c r="K49" s="683"/>
      <c r="L49" s="684"/>
      <c r="M49" s="753">
        <v>60000</v>
      </c>
      <c r="N49" s="683">
        <v>0</v>
      </c>
      <c r="O49" s="686"/>
      <c r="P49" s="683">
        <v>0</v>
      </c>
      <c r="Q49" s="687">
        <f t="shared" si="1"/>
        <v>60000</v>
      </c>
      <c r="R49" s="687"/>
      <c r="S49" s="687"/>
      <c r="T49" s="688">
        <v>0</v>
      </c>
      <c r="U49" s="693"/>
      <c r="V49" s="690">
        <f t="shared" si="2"/>
        <v>-60000</v>
      </c>
      <c r="W49" s="697"/>
      <c r="X49" s="474">
        <f t="shared" si="3"/>
        <v>60000</v>
      </c>
      <c r="Y49" s="474">
        <f t="shared" si="4"/>
        <v>0</v>
      </c>
      <c r="Z49" s="475">
        <f t="shared" si="5"/>
        <v>0</v>
      </c>
      <c r="AA49" s="475">
        <v>0</v>
      </c>
      <c r="AB49" s="476">
        <v>0</v>
      </c>
      <c r="AC49" s="38">
        <f t="shared" si="6"/>
        <v>0</v>
      </c>
      <c r="AD49" s="692">
        <f t="shared" si="7"/>
        <v>-30000</v>
      </c>
      <c r="AE49" s="692">
        <f t="shared" si="8"/>
        <v>0</v>
      </c>
      <c r="AF49" s="692">
        <f t="shared" si="9"/>
        <v>0</v>
      </c>
      <c r="AG49" s="38"/>
      <c r="AH49" s="692">
        <f t="shared" si="10"/>
        <v>60000</v>
      </c>
      <c r="AI49" s="692">
        <f t="shared" si="11"/>
        <v>0</v>
      </c>
      <c r="AJ49" s="692">
        <f t="shared" si="12"/>
        <v>0</v>
      </c>
      <c r="AL49" s="38">
        <f t="shared" si="13"/>
        <v>30000</v>
      </c>
    </row>
    <row r="50" spans="1:38" s="232" customFormat="1" hidden="1">
      <c r="A50" s="283" t="s">
        <v>97</v>
      </c>
      <c r="B50" s="283" t="s">
        <v>109</v>
      </c>
      <c r="C50" s="667" t="s">
        <v>533</v>
      </c>
      <c r="D50" s="123" t="s">
        <v>415</v>
      </c>
      <c r="E50" s="679"/>
      <c r="F50" s="529">
        <f>VLOOKUP(D50,'July 2013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row>
    <row r="51" spans="1:38" s="232" customFormat="1" hidden="1">
      <c r="A51" s="283"/>
      <c r="B51" s="283" t="s">
        <v>109</v>
      </c>
      <c r="C51" s="667" t="s">
        <v>533</v>
      </c>
      <c r="D51" s="123" t="s">
        <v>416</v>
      </c>
      <c r="E51" s="679"/>
      <c r="F51" s="529">
        <f>VLOOKUP(D51,'July 2013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row>
    <row r="52" spans="1:38" s="232" customFormat="1" hidden="1">
      <c r="A52" s="283"/>
      <c r="B52" s="283" t="s">
        <v>109</v>
      </c>
      <c r="C52" s="667" t="s">
        <v>533</v>
      </c>
      <c r="D52" s="123" t="s">
        <v>417</v>
      </c>
      <c r="E52" s="679"/>
      <c r="F52" s="529">
        <f>VLOOKUP(D52,'July 2013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row>
    <row r="53" spans="1:38" s="232" customFormat="1" hidden="1">
      <c r="A53" s="283"/>
      <c r="B53" s="283" t="s">
        <v>109</v>
      </c>
      <c r="C53" s="667" t="s">
        <v>533</v>
      </c>
      <c r="D53" s="123" t="s">
        <v>418</v>
      </c>
      <c r="E53" s="679"/>
      <c r="F53" s="529">
        <f>VLOOKUP(D53,'July 2013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row>
    <row r="54" spans="1:38">
      <c r="A54" s="20" t="s">
        <v>211</v>
      </c>
      <c r="B54" s="20" t="s">
        <v>109</v>
      </c>
      <c r="C54" s="667" t="s">
        <v>534</v>
      </c>
      <c r="D54" s="68" t="s">
        <v>9</v>
      </c>
      <c r="E54" s="679"/>
      <c r="F54" s="529">
        <f>VLOOKUP(D54,'July 2013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97"/>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row>
    <row r="55" spans="1:38">
      <c r="A55" s="20" t="s">
        <v>211</v>
      </c>
      <c r="B55" s="20" t="s">
        <v>114</v>
      </c>
      <c r="C55" s="667"/>
      <c r="D55" s="68" t="s">
        <v>487</v>
      </c>
      <c r="E55" s="679"/>
      <c r="F55" s="529">
        <f>VLOOKUP(D55,'July 2013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row>
    <row r="56" spans="1:38">
      <c r="A56" s="20"/>
      <c r="B56" s="20" t="s">
        <v>109</v>
      </c>
      <c r="C56" s="676" t="s">
        <v>906</v>
      </c>
      <c r="D56" s="68" t="s">
        <v>830</v>
      </c>
      <c r="E56" s="679"/>
      <c r="F56" s="529">
        <f>VLOOKUP(D56,'July 2013 Revenue'!D:V,19,FALSE)</f>
        <v>32049.070000000007</v>
      </c>
      <c r="G56" s="680"/>
      <c r="H56" s="680"/>
      <c r="I56" s="770">
        <v>539134.57999999996</v>
      </c>
      <c r="J56" s="682">
        <f t="shared" si="0"/>
        <v>571183.64999999991</v>
      </c>
      <c r="K56" s="683"/>
      <c r="L56" s="684"/>
      <c r="M56" s="753"/>
      <c r="N56" s="683">
        <v>0</v>
      </c>
      <c r="O56" s="686"/>
      <c r="P56" s="683">
        <v>0</v>
      </c>
      <c r="Q56" s="687">
        <f t="shared" si="1"/>
        <v>0</v>
      </c>
      <c r="R56" s="687"/>
      <c r="S56" s="687"/>
      <c r="T56" s="688">
        <v>0</v>
      </c>
      <c r="U56" s="693"/>
      <c r="V56" s="690">
        <f t="shared" si="2"/>
        <v>0</v>
      </c>
      <c r="W56" s="683"/>
      <c r="X56" s="474">
        <f t="shared" si="3"/>
        <v>0</v>
      </c>
      <c r="Y56" s="474">
        <f t="shared" si="4"/>
        <v>0</v>
      </c>
      <c r="Z56" s="475">
        <f t="shared" si="5"/>
        <v>0</v>
      </c>
      <c r="AA56" s="475">
        <v>0</v>
      </c>
      <c r="AB56" s="476">
        <v>0</v>
      </c>
      <c r="AC56" s="38">
        <f t="shared" si="6"/>
        <v>0</v>
      </c>
      <c r="AD56" s="692">
        <f t="shared" si="7"/>
        <v>0</v>
      </c>
      <c r="AE56" s="692">
        <f t="shared" si="8"/>
        <v>571183.64999999991</v>
      </c>
      <c r="AF56" s="692">
        <f t="shared" si="9"/>
        <v>0</v>
      </c>
      <c r="AG56" s="38"/>
      <c r="AH56" s="692">
        <f t="shared" si="10"/>
        <v>0</v>
      </c>
      <c r="AI56" s="692">
        <f t="shared" si="11"/>
        <v>0</v>
      </c>
      <c r="AJ56" s="692">
        <f t="shared" si="12"/>
        <v>0</v>
      </c>
      <c r="AL56" s="38">
        <f t="shared" si="13"/>
        <v>571183.64999999991</v>
      </c>
    </row>
    <row r="57" spans="1:38">
      <c r="A57" s="20"/>
      <c r="B57" s="20" t="s">
        <v>109</v>
      </c>
      <c r="C57" s="667"/>
      <c r="D57" s="68" t="s">
        <v>374</v>
      </c>
      <c r="E57" s="679"/>
      <c r="F57" s="529">
        <f>VLOOKUP(D57,'July 2013 Revenue'!D:V,19,FALSE)</f>
        <v>-20000</v>
      </c>
      <c r="G57" s="680"/>
      <c r="H57" s="680"/>
      <c r="I57" s="755"/>
      <c r="J57" s="682">
        <f t="shared" si="0"/>
        <v>-20000</v>
      </c>
      <c r="K57" s="683"/>
      <c r="L57" s="684"/>
      <c r="M57" s="753">
        <v>25000</v>
      </c>
      <c r="N57" s="683">
        <v>0</v>
      </c>
      <c r="O57" s="686"/>
      <c r="P57" s="683">
        <v>0</v>
      </c>
      <c r="Q57" s="687">
        <f t="shared" si="1"/>
        <v>25000</v>
      </c>
      <c r="R57" s="687"/>
      <c r="S57" s="687"/>
      <c r="T57" s="688">
        <v>0</v>
      </c>
      <c r="U57" s="693"/>
      <c r="V57" s="690">
        <f t="shared" si="2"/>
        <v>-25000</v>
      </c>
      <c r="W57" s="683"/>
      <c r="X57" s="474">
        <f t="shared" si="3"/>
        <v>0</v>
      </c>
      <c r="Y57" s="474">
        <f t="shared" si="4"/>
        <v>25000</v>
      </c>
      <c r="Z57" s="475">
        <f t="shared" si="5"/>
        <v>0</v>
      </c>
      <c r="AA57" s="475">
        <v>0</v>
      </c>
      <c r="AB57" s="476">
        <v>0</v>
      </c>
      <c r="AC57" s="38">
        <f t="shared" si="6"/>
        <v>0</v>
      </c>
      <c r="AD57" s="692">
        <f t="shared" si="7"/>
        <v>0</v>
      </c>
      <c r="AE57" s="692">
        <f t="shared" si="8"/>
        <v>-20000</v>
      </c>
      <c r="AF57" s="692">
        <f t="shared" si="9"/>
        <v>0</v>
      </c>
      <c r="AG57" s="38"/>
      <c r="AH57" s="692">
        <f t="shared" si="10"/>
        <v>0</v>
      </c>
      <c r="AI57" s="692">
        <f t="shared" si="11"/>
        <v>25000</v>
      </c>
      <c r="AJ57" s="692">
        <f t="shared" si="12"/>
        <v>0</v>
      </c>
      <c r="AL57" s="38">
        <f t="shared" si="13"/>
        <v>5000</v>
      </c>
    </row>
    <row r="58" spans="1:38">
      <c r="A58" s="20"/>
      <c r="B58" s="20" t="s">
        <v>114</v>
      </c>
      <c r="C58" s="667"/>
      <c r="D58" s="68" t="s">
        <v>502</v>
      </c>
      <c r="E58" s="679"/>
      <c r="F58" s="529">
        <f>VLOOKUP(D58,'July 2013 Revenue'!D:V,19,FALSE)</f>
        <v>0</v>
      </c>
      <c r="G58" s="680"/>
      <c r="H58" s="680"/>
      <c r="I58" s="755"/>
      <c r="J58" s="682">
        <f t="shared" si="0"/>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row>
    <row r="59" spans="1:38">
      <c r="A59" s="21"/>
      <c r="B59" s="21" t="s">
        <v>110</v>
      </c>
      <c r="C59" s="666" t="s">
        <v>535</v>
      </c>
      <c r="D59" s="123" t="s">
        <v>517</v>
      </c>
      <c r="E59" s="679"/>
      <c r="F59" s="529">
        <f>VLOOKUP(D59,'July 2013 Revenue'!D:V,19,FALSE)</f>
        <v>44572.710000000021</v>
      </c>
      <c r="G59" s="680"/>
      <c r="H59" s="680"/>
      <c r="I59" s="755"/>
      <c r="J59" s="682">
        <f t="shared" si="0"/>
        <v>44572.710000000021</v>
      </c>
      <c r="K59" s="683"/>
      <c r="L59" s="684"/>
      <c r="M59" s="753">
        <v>325000</v>
      </c>
      <c r="N59" s="683">
        <v>0</v>
      </c>
      <c r="O59" s="686"/>
      <c r="P59" s="683">
        <v>0</v>
      </c>
      <c r="Q59" s="687">
        <f t="shared" si="1"/>
        <v>325000</v>
      </c>
      <c r="R59" s="687"/>
      <c r="S59" s="687"/>
      <c r="T59" s="688">
        <v>332877.90999999997</v>
      </c>
      <c r="U59" s="693"/>
      <c r="V59" s="690">
        <f t="shared" si="2"/>
        <v>7877.9099999999744</v>
      </c>
      <c r="W59" s="697"/>
      <c r="X59" s="474">
        <f t="shared" si="3"/>
        <v>325000</v>
      </c>
      <c r="Y59" s="474">
        <f t="shared" si="4"/>
        <v>0</v>
      </c>
      <c r="Z59" s="475">
        <f t="shared" si="5"/>
        <v>0</v>
      </c>
      <c r="AA59" s="475">
        <v>0</v>
      </c>
      <c r="AB59" s="476">
        <v>0</v>
      </c>
      <c r="AC59" s="38">
        <f t="shared" si="6"/>
        <v>0</v>
      </c>
      <c r="AD59" s="692">
        <f t="shared" si="7"/>
        <v>44572.710000000021</v>
      </c>
      <c r="AE59" s="692">
        <f t="shared" si="8"/>
        <v>0</v>
      </c>
      <c r="AF59" s="692">
        <f t="shared" si="9"/>
        <v>0</v>
      </c>
      <c r="AG59" s="38"/>
      <c r="AH59" s="692">
        <f t="shared" si="10"/>
        <v>325000</v>
      </c>
      <c r="AI59" s="692">
        <f t="shared" si="11"/>
        <v>0</v>
      </c>
      <c r="AJ59" s="692">
        <f t="shared" si="12"/>
        <v>0</v>
      </c>
      <c r="AL59" s="38">
        <f t="shared" si="13"/>
        <v>369572.71</v>
      </c>
    </row>
    <row r="60" spans="1:38">
      <c r="A60" s="20"/>
      <c r="B60" s="20" t="s">
        <v>110</v>
      </c>
      <c r="C60" s="667" t="s">
        <v>536</v>
      </c>
      <c r="D60" s="68" t="s">
        <v>450</v>
      </c>
      <c r="E60" s="679"/>
      <c r="F60" s="529">
        <f>VLOOKUP(D60,'July 2013 Revenue'!D:V,19,FALSE)</f>
        <v>0</v>
      </c>
      <c r="G60" s="680"/>
      <c r="H60" s="680"/>
      <c r="I60" s="755"/>
      <c r="J60" s="682">
        <f t="shared" si="0"/>
        <v>0</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0</v>
      </c>
      <c r="AF60" s="692">
        <f t="shared" si="9"/>
        <v>0</v>
      </c>
      <c r="AG60" s="38"/>
      <c r="AH60" s="692">
        <f t="shared" si="10"/>
        <v>0</v>
      </c>
      <c r="AI60" s="692">
        <f t="shared" si="11"/>
        <v>0</v>
      </c>
      <c r="AJ60" s="692">
        <f t="shared" si="12"/>
        <v>0</v>
      </c>
      <c r="AL60" s="38">
        <f t="shared" si="13"/>
        <v>0</v>
      </c>
    </row>
    <row r="61" spans="1:38">
      <c r="A61" s="20"/>
      <c r="B61" s="20" t="s">
        <v>110</v>
      </c>
      <c r="C61" s="676" t="s">
        <v>975</v>
      </c>
      <c r="D61" s="68" t="s">
        <v>976</v>
      </c>
      <c r="E61" s="679">
        <v>2461.27</v>
      </c>
      <c r="F61" s="529">
        <v>0</v>
      </c>
      <c r="G61" s="680"/>
      <c r="H61" s="680"/>
      <c r="I61" s="755"/>
      <c r="J61" s="682">
        <f t="shared" ref="J61" si="14">SUM(E61:I61)</f>
        <v>2461.27</v>
      </c>
      <c r="K61" s="683"/>
      <c r="L61" s="684"/>
      <c r="M61" s="753"/>
      <c r="N61" s="683">
        <v>0</v>
      </c>
      <c r="O61" s="686"/>
      <c r="P61" s="683">
        <v>0</v>
      </c>
      <c r="Q61" s="687">
        <f t="shared" ref="Q61" si="15">L61+M61</f>
        <v>0</v>
      </c>
      <c r="R61" s="687"/>
      <c r="S61" s="687"/>
      <c r="T61" s="688">
        <v>0</v>
      </c>
      <c r="U61" s="693"/>
      <c r="V61" s="690">
        <f t="shared" ref="V61" si="16">IF(T61="","",T61-Q61)</f>
        <v>0</v>
      </c>
      <c r="W61" s="683"/>
      <c r="X61" s="474">
        <f t="shared" ref="X61" si="17">IF(B61="D",Q61,0)</f>
        <v>0</v>
      </c>
      <c r="Y61" s="474">
        <f t="shared" ref="Y61" si="18">IF(B61="M",Q61,0)</f>
        <v>0</v>
      </c>
      <c r="Z61" s="475">
        <f t="shared" ref="Z61" si="19">IF(B61="V",Q61,0)</f>
        <v>0</v>
      </c>
      <c r="AA61" s="475">
        <v>0</v>
      </c>
      <c r="AB61" s="476">
        <v>0</v>
      </c>
      <c r="AC61" s="38">
        <f t="shared" ref="AC61" si="20">(L61+M61)-(X61+Y61+Z61+AA61+AB61)</f>
        <v>0</v>
      </c>
      <c r="AD61" s="692">
        <f t="shared" ref="AD61" si="21">IF(B61="D",J61,0)</f>
        <v>2461.27</v>
      </c>
      <c r="AE61" s="692">
        <f t="shared" ref="AE61" si="22">IF(B61="M",J61,0)</f>
        <v>0</v>
      </c>
      <c r="AF61" s="692">
        <f t="shared" ref="AF61" si="23">IF(B61="V",J61,0)</f>
        <v>0</v>
      </c>
      <c r="AG61" s="38"/>
      <c r="AH61" s="692">
        <f t="shared" ref="AH61" si="24">IF(B61="D",Q61,0)</f>
        <v>0</v>
      </c>
      <c r="AI61" s="692">
        <f t="shared" ref="AI61" si="25">IF(B61="M",Q61,0)</f>
        <v>0</v>
      </c>
      <c r="AJ61" s="692">
        <f t="shared" ref="AJ61" si="26">IF(B61="V",Q61,0)</f>
        <v>0</v>
      </c>
      <c r="AL61" s="38">
        <f t="shared" ref="AL61" si="27">SUM(AD61:AJ61)</f>
        <v>2461.27</v>
      </c>
    </row>
    <row r="62" spans="1:38">
      <c r="A62" s="21" t="s">
        <v>109</v>
      </c>
      <c r="B62" s="21" t="s">
        <v>110</v>
      </c>
      <c r="C62" s="666"/>
      <c r="D62" s="68" t="s">
        <v>438</v>
      </c>
      <c r="E62" s="679"/>
      <c r="F62" s="529">
        <f>VLOOKUP(D62,'July 2013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97"/>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row>
    <row r="63" spans="1:38">
      <c r="A63" s="21"/>
      <c r="B63" s="21" t="s">
        <v>110</v>
      </c>
      <c r="C63" s="666"/>
      <c r="D63" s="68" t="s">
        <v>628</v>
      </c>
      <c r="E63" s="679"/>
      <c r="F63" s="529">
        <f>VLOOKUP(D63,'July 2013 Revenue'!D:V,19,FALSE)</f>
        <v>0</v>
      </c>
      <c r="G63" s="680"/>
      <c r="H63" s="680"/>
      <c r="I63" s="755"/>
      <c r="J63" s="682">
        <f t="shared" si="0"/>
        <v>0</v>
      </c>
      <c r="K63" s="683"/>
      <c r="L63" s="684"/>
      <c r="M63" s="753"/>
      <c r="N63" s="683">
        <v>0</v>
      </c>
      <c r="O63" s="686"/>
      <c r="P63" s="683">
        <v>0</v>
      </c>
      <c r="Q63" s="687">
        <f t="shared" si="1"/>
        <v>0</v>
      </c>
      <c r="R63" s="687"/>
      <c r="S63" s="687"/>
      <c r="T63" s="688">
        <v>0</v>
      </c>
      <c r="U63" s="693"/>
      <c r="V63" s="690">
        <f t="shared" si="2"/>
        <v>0</v>
      </c>
      <c r="W63" s="697"/>
      <c r="X63" s="474">
        <f t="shared" si="3"/>
        <v>0</v>
      </c>
      <c r="Y63" s="474">
        <f t="shared" si="4"/>
        <v>0</v>
      </c>
      <c r="Z63" s="475">
        <f t="shared" si="5"/>
        <v>0</v>
      </c>
      <c r="AA63" s="475">
        <v>0</v>
      </c>
      <c r="AB63" s="476">
        <v>0</v>
      </c>
      <c r="AC63" s="38">
        <f t="shared" si="6"/>
        <v>0</v>
      </c>
      <c r="AD63" s="692">
        <f t="shared" si="7"/>
        <v>0</v>
      </c>
      <c r="AE63" s="692">
        <f t="shared" si="8"/>
        <v>0</v>
      </c>
      <c r="AF63" s="692">
        <f t="shared" si="9"/>
        <v>0</v>
      </c>
      <c r="AG63" s="38"/>
      <c r="AH63" s="692">
        <f t="shared" si="10"/>
        <v>0</v>
      </c>
      <c r="AI63" s="692">
        <f t="shared" si="11"/>
        <v>0</v>
      </c>
      <c r="AJ63" s="692">
        <f t="shared" si="12"/>
        <v>0</v>
      </c>
      <c r="AL63" s="38">
        <f t="shared" si="13"/>
        <v>0</v>
      </c>
    </row>
    <row r="64" spans="1:38">
      <c r="A64" s="21"/>
      <c r="B64" s="21" t="s">
        <v>110</v>
      </c>
      <c r="C64" s="666"/>
      <c r="D64" s="68" t="s">
        <v>956</v>
      </c>
      <c r="E64" s="679"/>
      <c r="F64" s="529">
        <f>VLOOKUP(D64,'July 2013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row>
    <row r="65" spans="1:38" s="232" customFormat="1">
      <c r="A65" s="283" t="s">
        <v>211</v>
      </c>
      <c r="B65" s="283" t="s">
        <v>110</v>
      </c>
      <c r="C65" s="667" t="s">
        <v>538</v>
      </c>
      <c r="D65" s="123" t="s">
        <v>170</v>
      </c>
      <c r="E65" s="679"/>
      <c r="F65" s="529">
        <f>VLOOKUP(D65,'July 2013 Revenue'!D:V,19,FALSE)</f>
        <v>-225000</v>
      </c>
      <c r="G65" s="680"/>
      <c r="H65" s="680"/>
      <c r="I65" s="755"/>
      <c r="J65" s="682">
        <f t="shared" si="0"/>
        <v>-225000</v>
      </c>
      <c r="K65" s="683"/>
      <c r="L65" s="684"/>
      <c r="M65" s="753">
        <v>450000</v>
      </c>
      <c r="N65" s="683">
        <v>0</v>
      </c>
      <c r="O65" s="686"/>
      <c r="P65" s="683">
        <v>0</v>
      </c>
      <c r="Q65" s="687">
        <f t="shared" si="1"/>
        <v>450000</v>
      </c>
      <c r="R65" s="687"/>
      <c r="S65" s="687"/>
      <c r="T65" s="688">
        <v>0</v>
      </c>
      <c r="U65" s="693"/>
      <c r="V65" s="690">
        <f t="shared" si="2"/>
        <v>-450000</v>
      </c>
      <c r="W65" s="683"/>
      <c r="X65" s="474">
        <f t="shared" si="3"/>
        <v>450000</v>
      </c>
      <c r="Y65" s="474">
        <f t="shared" si="4"/>
        <v>0</v>
      </c>
      <c r="Z65" s="475">
        <f t="shared" si="5"/>
        <v>0</v>
      </c>
      <c r="AA65" s="475">
        <v>0</v>
      </c>
      <c r="AB65" s="476">
        <v>0</v>
      </c>
      <c r="AC65" s="38">
        <f t="shared" si="6"/>
        <v>0</v>
      </c>
      <c r="AD65" s="692">
        <f t="shared" si="7"/>
        <v>-225000</v>
      </c>
      <c r="AE65" s="692">
        <f t="shared" si="8"/>
        <v>0</v>
      </c>
      <c r="AF65" s="692">
        <f t="shared" si="9"/>
        <v>0</v>
      </c>
      <c r="AG65" s="38"/>
      <c r="AH65" s="692">
        <f t="shared" si="10"/>
        <v>450000</v>
      </c>
      <c r="AI65" s="692">
        <f t="shared" si="11"/>
        <v>0</v>
      </c>
      <c r="AJ65" s="692">
        <f t="shared" si="12"/>
        <v>0</v>
      </c>
      <c r="AL65" s="38">
        <f t="shared" si="13"/>
        <v>225000</v>
      </c>
    </row>
    <row r="66" spans="1:38" s="232" customFormat="1">
      <c r="A66" s="283" t="s">
        <v>211</v>
      </c>
      <c r="B66" s="283" t="s">
        <v>110</v>
      </c>
      <c r="C66" s="667" t="s">
        <v>538</v>
      </c>
      <c r="D66" s="123" t="s">
        <v>171</v>
      </c>
      <c r="E66" s="679"/>
      <c r="F66" s="529">
        <f>VLOOKUP(D66,'July 2013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row>
    <row r="67" spans="1:38" s="232" customFormat="1" hidden="1">
      <c r="A67" s="283" t="s">
        <v>211</v>
      </c>
      <c r="B67" s="283" t="s">
        <v>110</v>
      </c>
      <c r="C67" s="667" t="s">
        <v>538</v>
      </c>
      <c r="D67" s="123" t="s">
        <v>13</v>
      </c>
      <c r="E67" s="679"/>
      <c r="F67" s="529">
        <f>VLOOKUP(D67,'July 2013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83"/>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row>
    <row r="68" spans="1:38" s="232" customFormat="1" hidden="1">
      <c r="A68" s="283" t="s">
        <v>211</v>
      </c>
      <c r="B68" s="283" t="s">
        <v>110</v>
      </c>
      <c r="C68" s="667" t="s">
        <v>538</v>
      </c>
      <c r="D68" s="123" t="s">
        <v>172</v>
      </c>
      <c r="E68" s="679"/>
      <c r="F68" s="529">
        <f>VLOOKUP(D68,'July 2013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row>
    <row r="69" spans="1:38" s="232" customFormat="1" hidden="1">
      <c r="A69" s="283" t="s">
        <v>211</v>
      </c>
      <c r="B69" s="283" t="s">
        <v>110</v>
      </c>
      <c r="C69" s="667" t="s">
        <v>538</v>
      </c>
      <c r="D69" s="123" t="s">
        <v>173</v>
      </c>
      <c r="E69" s="679"/>
      <c r="F69" s="529">
        <f>VLOOKUP(D69,'July 2013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row>
    <row r="70" spans="1:38" s="232" customFormat="1" hidden="1">
      <c r="A70" s="283" t="s">
        <v>211</v>
      </c>
      <c r="B70" s="283" t="s">
        <v>110</v>
      </c>
      <c r="C70" s="667" t="s">
        <v>538</v>
      </c>
      <c r="D70" s="123" t="s">
        <v>174</v>
      </c>
      <c r="E70" s="679"/>
      <c r="F70" s="529">
        <f>VLOOKUP(D70,'July 2013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row>
    <row r="71" spans="1:38" s="232" customFormat="1">
      <c r="A71" s="283"/>
      <c r="B71" s="283" t="s">
        <v>109</v>
      </c>
      <c r="C71" s="794"/>
      <c r="D71" s="351" t="s">
        <v>14</v>
      </c>
      <c r="E71" s="679"/>
      <c r="F71" s="529">
        <f>VLOOKUP(D71,'July 2013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row>
    <row r="72" spans="1:38" hidden="1">
      <c r="A72" s="20"/>
      <c r="B72" s="20" t="s">
        <v>110</v>
      </c>
      <c r="C72" s="667"/>
      <c r="D72" s="68" t="s">
        <v>15</v>
      </c>
      <c r="E72" s="679"/>
      <c r="F72" s="529">
        <f>VLOOKUP(D72,'July 2013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row>
    <row r="73" spans="1:38">
      <c r="A73" s="20"/>
      <c r="B73" s="20" t="s">
        <v>110</v>
      </c>
      <c r="C73" s="667"/>
      <c r="D73" s="68" t="s">
        <v>646</v>
      </c>
      <c r="E73" s="679"/>
      <c r="F73" s="529">
        <f>VLOOKUP(D73,'July 2013 Revenue'!D:V,19,FALSE)</f>
        <v>0</v>
      </c>
      <c r="G73" s="680"/>
      <c r="H73" s="680"/>
      <c r="I73" s="770">
        <v>341.06</v>
      </c>
      <c r="J73" s="682">
        <f t="shared" si="0"/>
        <v>341.06</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341.06</v>
      </c>
      <c r="AE73" s="692">
        <f t="shared" si="8"/>
        <v>0</v>
      </c>
      <c r="AF73" s="692">
        <f t="shared" si="9"/>
        <v>0</v>
      </c>
      <c r="AG73" s="38"/>
      <c r="AH73" s="692">
        <f t="shared" si="10"/>
        <v>0</v>
      </c>
      <c r="AI73" s="692">
        <f t="shared" si="11"/>
        <v>0</v>
      </c>
      <c r="AJ73" s="692">
        <f t="shared" si="12"/>
        <v>0</v>
      </c>
      <c r="AL73" s="38">
        <f t="shared" si="13"/>
        <v>341.06</v>
      </c>
    </row>
    <row r="74" spans="1:38">
      <c r="A74" s="20" t="s">
        <v>109</v>
      </c>
      <c r="B74" s="20" t="s">
        <v>109</v>
      </c>
      <c r="C74" s="667" t="s">
        <v>539</v>
      </c>
      <c r="D74" s="68" t="s">
        <v>510</v>
      </c>
      <c r="E74" s="679">
        <v>858.6</v>
      </c>
      <c r="F74" s="529">
        <f>VLOOKUP(D74,'July 2013 Revenue'!D:V,19,FALSE)</f>
        <v>0</v>
      </c>
      <c r="G74" s="680"/>
      <c r="H74" s="680"/>
      <c r="I74" s="755"/>
      <c r="J74" s="682">
        <f t="shared" si="0"/>
        <v>858.6</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858.6</v>
      </c>
      <c r="AF74" s="692">
        <f t="shared" si="9"/>
        <v>0</v>
      </c>
      <c r="AG74" s="38"/>
      <c r="AH74" s="692">
        <f t="shared" si="10"/>
        <v>0</v>
      </c>
      <c r="AI74" s="692">
        <f t="shared" si="11"/>
        <v>0</v>
      </c>
      <c r="AJ74" s="692">
        <f t="shared" si="12"/>
        <v>0</v>
      </c>
      <c r="AL74" s="38">
        <f t="shared" si="13"/>
        <v>858.6</v>
      </c>
    </row>
    <row r="75" spans="1:38">
      <c r="A75" s="20"/>
      <c r="B75" s="20" t="s">
        <v>109</v>
      </c>
      <c r="C75" s="667"/>
      <c r="D75" s="68" t="s">
        <v>16</v>
      </c>
      <c r="E75" s="679"/>
      <c r="F75" s="529">
        <f>VLOOKUP(D75,'July 2013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row>
    <row r="76" spans="1:38">
      <c r="A76" s="20"/>
      <c r="B76" s="20" t="s">
        <v>110</v>
      </c>
      <c r="C76" s="667"/>
      <c r="D76" s="68" t="s">
        <v>597</v>
      </c>
      <c r="E76" s="679"/>
      <c r="F76" s="529">
        <f>VLOOKUP(D76,'July 2013 Revenue'!D:V,19,FALSE)</f>
        <v>18684.199999999953</v>
      </c>
      <c r="G76" s="680"/>
      <c r="H76" s="680"/>
      <c r="I76" s="755"/>
      <c r="J76" s="682">
        <f t="shared" si="0"/>
        <v>18684.199999999953</v>
      </c>
      <c r="K76" s="683"/>
      <c r="L76" s="684"/>
      <c r="M76" s="753">
        <v>375000</v>
      </c>
      <c r="N76" s="683">
        <v>0</v>
      </c>
      <c r="O76" s="686"/>
      <c r="P76" s="683">
        <v>0</v>
      </c>
      <c r="Q76" s="687">
        <f t="shared" si="1"/>
        <v>375000</v>
      </c>
      <c r="R76" s="687"/>
      <c r="S76" s="687"/>
      <c r="T76" s="688">
        <f>259574.72+38686.67+53312.41+36299.99+2418.71</f>
        <v>390292.50000000006</v>
      </c>
      <c r="U76" s="693"/>
      <c r="V76" s="690">
        <f t="shared" si="2"/>
        <v>15292.500000000058</v>
      </c>
      <c r="W76" s="683"/>
      <c r="X76" s="474">
        <f t="shared" si="3"/>
        <v>375000</v>
      </c>
      <c r="Y76" s="474">
        <f t="shared" si="4"/>
        <v>0</v>
      </c>
      <c r="Z76" s="475">
        <f t="shared" si="5"/>
        <v>0</v>
      </c>
      <c r="AA76" s="475">
        <v>0</v>
      </c>
      <c r="AB76" s="476">
        <v>0</v>
      </c>
      <c r="AC76" s="38">
        <f t="shared" si="6"/>
        <v>0</v>
      </c>
      <c r="AD76" s="692">
        <f t="shared" si="7"/>
        <v>18684.199999999953</v>
      </c>
      <c r="AE76" s="692">
        <f t="shared" si="8"/>
        <v>0</v>
      </c>
      <c r="AF76" s="692">
        <f t="shared" si="9"/>
        <v>0</v>
      </c>
      <c r="AG76" s="38"/>
      <c r="AH76" s="692">
        <f t="shared" si="10"/>
        <v>375000</v>
      </c>
      <c r="AI76" s="692">
        <f t="shared" si="11"/>
        <v>0</v>
      </c>
      <c r="AJ76" s="692">
        <f t="shared" si="12"/>
        <v>0</v>
      </c>
      <c r="AL76" s="38">
        <f t="shared" si="13"/>
        <v>393684.19999999995</v>
      </c>
    </row>
    <row r="77" spans="1:38" s="232" customFormat="1">
      <c r="A77" s="283"/>
      <c r="B77" s="283" t="s">
        <v>109</v>
      </c>
      <c r="C77" s="667" t="s">
        <v>540</v>
      </c>
      <c r="D77" s="373" t="s">
        <v>410</v>
      </c>
      <c r="E77" s="679">
        <f>19459.74+17099.71</f>
        <v>36559.449999999997</v>
      </c>
      <c r="F77" s="529">
        <f>VLOOKUP(D77,'July 2013 Revenue'!D:V,19,FALSE)</f>
        <v>-80000</v>
      </c>
      <c r="G77" s="680"/>
      <c r="H77" s="680"/>
      <c r="I77" s="755"/>
      <c r="J77" s="682">
        <f t="shared" si="0"/>
        <v>-43440.55</v>
      </c>
      <c r="K77" s="683"/>
      <c r="L77" s="684"/>
      <c r="M77" s="753">
        <v>50000</v>
      </c>
      <c r="N77" s="683">
        <v>0</v>
      </c>
      <c r="O77" s="686"/>
      <c r="P77" s="683">
        <v>0</v>
      </c>
      <c r="Q77" s="687">
        <f t="shared" si="1"/>
        <v>50000</v>
      </c>
      <c r="R77" s="687"/>
      <c r="S77" s="687"/>
      <c r="T77" s="688">
        <v>0</v>
      </c>
      <c r="U77" s="693"/>
      <c r="V77" s="690">
        <f t="shared" si="2"/>
        <v>-50000</v>
      </c>
      <c r="W77" s="683"/>
      <c r="X77" s="474">
        <f t="shared" si="3"/>
        <v>0</v>
      </c>
      <c r="Y77" s="474">
        <f t="shared" si="4"/>
        <v>50000</v>
      </c>
      <c r="Z77" s="475">
        <f t="shared" si="5"/>
        <v>0</v>
      </c>
      <c r="AA77" s="475">
        <v>0</v>
      </c>
      <c r="AB77" s="476">
        <v>0</v>
      </c>
      <c r="AC77" s="38">
        <f t="shared" si="6"/>
        <v>0</v>
      </c>
      <c r="AD77" s="692">
        <f t="shared" si="7"/>
        <v>0</v>
      </c>
      <c r="AE77" s="692">
        <f t="shared" si="8"/>
        <v>-43440.55</v>
      </c>
      <c r="AF77" s="692">
        <f t="shared" si="9"/>
        <v>0</v>
      </c>
      <c r="AG77" s="38"/>
      <c r="AH77" s="692">
        <f t="shared" si="10"/>
        <v>0</v>
      </c>
      <c r="AI77" s="692">
        <f t="shared" si="11"/>
        <v>50000</v>
      </c>
      <c r="AJ77" s="692">
        <f t="shared" si="12"/>
        <v>0</v>
      </c>
      <c r="AL77" s="38">
        <f t="shared" si="13"/>
        <v>6559.4499999999971</v>
      </c>
    </row>
    <row r="78" spans="1:38" s="232" customFormat="1">
      <c r="A78" s="283"/>
      <c r="B78" s="283" t="s">
        <v>109</v>
      </c>
      <c r="C78" s="667" t="s">
        <v>540</v>
      </c>
      <c r="D78" s="373" t="s">
        <v>879</v>
      </c>
      <c r="E78" s="679"/>
      <c r="F78" s="529">
        <f>VLOOKUP(D78,'July 2013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row>
    <row r="79" spans="1:38" s="232" customFormat="1">
      <c r="A79" s="283"/>
      <c r="B79" s="283" t="s">
        <v>109</v>
      </c>
      <c r="C79" s="667" t="s">
        <v>540</v>
      </c>
      <c r="D79" s="373" t="s">
        <v>620</v>
      </c>
      <c r="E79" s="679"/>
      <c r="F79" s="529">
        <f>VLOOKUP(D79,'July 2013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row>
    <row r="80" spans="1:38">
      <c r="A80" s="20"/>
      <c r="B80" s="20" t="s">
        <v>110</v>
      </c>
      <c r="C80" s="667" t="s">
        <v>541</v>
      </c>
      <c r="D80" s="351" t="s">
        <v>507</v>
      </c>
      <c r="E80" s="679"/>
      <c r="F80" s="529">
        <f>VLOOKUP(D80,'July 2013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row>
    <row r="81" spans="1:38">
      <c r="A81" s="20"/>
      <c r="B81" s="20" t="s">
        <v>110</v>
      </c>
      <c r="C81" s="667" t="s">
        <v>541</v>
      </c>
      <c r="D81" s="351" t="s">
        <v>506</v>
      </c>
      <c r="E81" s="679"/>
      <c r="F81" s="529">
        <f>VLOOKUP(D81,'July 2013 Revenue'!D:V,19,FALSE)</f>
        <v>0</v>
      </c>
      <c r="G81" s="680"/>
      <c r="H81" s="680"/>
      <c r="I81" s="755"/>
      <c r="J81" s="682">
        <f t="shared" ref="J81:J145" si="28">SUM(E81:I81)</f>
        <v>0</v>
      </c>
      <c r="K81" s="683"/>
      <c r="L81" s="684"/>
      <c r="M81" s="753"/>
      <c r="N81" s="683">
        <v>0</v>
      </c>
      <c r="O81" s="686"/>
      <c r="P81" s="683">
        <v>0</v>
      </c>
      <c r="Q81" s="687">
        <f t="shared" si="1"/>
        <v>0</v>
      </c>
      <c r="R81" s="687"/>
      <c r="S81" s="687"/>
      <c r="T81" s="688">
        <v>0</v>
      </c>
      <c r="U81" s="693"/>
      <c r="V81" s="690">
        <f t="shared" si="2"/>
        <v>0</v>
      </c>
      <c r="W81" s="683"/>
      <c r="X81" s="474">
        <f t="shared" si="3"/>
        <v>0</v>
      </c>
      <c r="Y81" s="474">
        <f t="shared" si="4"/>
        <v>0</v>
      </c>
      <c r="Z81" s="475">
        <f t="shared" si="5"/>
        <v>0</v>
      </c>
      <c r="AA81" s="475">
        <v>0</v>
      </c>
      <c r="AB81" s="476">
        <v>0</v>
      </c>
      <c r="AC81" s="38">
        <f t="shared" si="6"/>
        <v>0</v>
      </c>
      <c r="AD81" s="692">
        <f t="shared" ref="AD81:AD148" si="29">IF(B81="D",J81,0)</f>
        <v>0</v>
      </c>
      <c r="AE81" s="692">
        <f t="shared" ref="AE81:AE148" si="30">IF(B81="M",J81,0)</f>
        <v>0</v>
      </c>
      <c r="AF81" s="692">
        <f t="shared" ref="AF81:AF148" si="31">IF(B81="V",J81,0)</f>
        <v>0</v>
      </c>
      <c r="AG81" s="38"/>
      <c r="AH81" s="692">
        <f t="shared" si="10"/>
        <v>0</v>
      </c>
      <c r="AI81" s="692">
        <f t="shared" si="11"/>
        <v>0</v>
      </c>
      <c r="AJ81" s="692">
        <f t="shared" si="12"/>
        <v>0</v>
      </c>
      <c r="AL81" s="38">
        <f t="shared" si="13"/>
        <v>0</v>
      </c>
    </row>
    <row r="82" spans="1:38">
      <c r="A82" s="20"/>
      <c r="B82" s="20" t="s">
        <v>110</v>
      </c>
      <c r="C82" s="667" t="s">
        <v>542</v>
      </c>
      <c r="D82" s="68" t="s">
        <v>305</v>
      </c>
      <c r="E82" s="679">
        <f>4573.33+5978.48</f>
        <v>10551.81</v>
      </c>
      <c r="F82" s="529">
        <f>VLOOKUP(D82,'July 2013 Revenue'!D:V,19,FALSE)</f>
        <v>0</v>
      </c>
      <c r="G82" s="680"/>
      <c r="H82" s="680"/>
      <c r="I82" s="755"/>
      <c r="J82" s="682">
        <f t="shared" si="28"/>
        <v>10551.81</v>
      </c>
      <c r="K82" s="683"/>
      <c r="L82" s="684"/>
      <c r="M82" s="753"/>
      <c r="N82" s="683">
        <v>0</v>
      </c>
      <c r="O82" s="686"/>
      <c r="P82" s="683">
        <v>0</v>
      </c>
      <c r="Q82" s="687">
        <f t="shared" si="1"/>
        <v>0</v>
      </c>
      <c r="R82" s="687"/>
      <c r="S82" s="687"/>
      <c r="T82" s="688">
        <v>0</v>
      </c>
      <c r="U82" s="693"/>
      <c r="V82" s="690">
        <f t="shared" ref="V82:V150" si="32">IF(T82="","",T82-Q82)</f>
        <v>0</v>
      </c>
      <c r="W82" s="683"/>
      <c r="X82" s="474">
        <f t="shared" ref="X82:X150" si="33">IF(B82="D",Q82,0)</f>
        <v>0</v>
      </c>
      <c r="Y82" s="474">
        <f t="shared" ref="Y82:Y150" si="34">IF(B82="M",Q82,0)</f>
        <v>0</v>
      </c>
      <c r="Z82" s="475">
        <f t="shared" ref="Z82:Z150" si="35">IF(B82="V",Q82,0)</f>
        <v>0</v>
      </c>
      <c r="AA82" s="475">
        <v>0</v>
      </c>
      <c r="AB82" s="476">
        <v>0</v>
      </c>
      <c r="AC82" s="38">
        <f t="shared" ref="AC82:AC150" si="36">(L82+M82)-(X82+Y82+Z82+AA82+AB82)</f>
        <v>0</v>
      </c>
      <c r="AD82" s="692">
        <f t="shared" si="29"/>
        <v>10551.81</v>
      </c>
      <c r="AE82" s="692">
        <f t="shared" si="30"/>
        <v>0</v>
      </c>
      <c r="AF82" s="692">
        <f t="shared" si="31"/>
        <v>0</v>
      </c>
      <c r="AG82" s="38"/>
      <c r="AH82" s="692">
        <f t="shared" ref="AH82:AH149" si="37">IF(B82="D",Q82,0)</f>
        <v>0</v>
      </c>
      <c r="AI82" s="692">
        <f t="shared" ref="AI82:AI149" si="38">IF(B82="M",Q82,0)</f>
        <v>0</v>
      </c>
      <c r="AJ82" s="692">
        <f t="shared" ref="AJ82:AJ149" si="39">IF(B82="V",Q82,0)</f>
        <v>0</v>
      </c>
      <c r="AL82" s="38">
        <f t="shared" si="13"/>
        <v>10551.81</v>
      </c>
    </row>
    <row r="83" spans="1:38">
      <c r="A83" s="20"/>
      <c r="B83" s="20" t="s">
        <v>110</v>
      </c>
      <c r="C83" s="667" t="s">
        <v>543</v>
      </c>
      <c r="D83" s="68" t="s">
        <v>199</v>
      </c>
      <c r="E83" s="679"/>
      <c r="F83" s="529">
        <f>VLOOKUP(D83,'July 2013 Revenue'!D:V,19,FALSE)</f>
        <v>0</v>
      </c>
      <c r="G83" s="680"/>
      <c r="H83" s="680"/>
      <c r="I83" s="755"/>
      <c r="J83" s="682">
        <f t="shared" si="28"/>
        <v>0</v>
      </c>
      <c r="K83" s="683"/>
      <c r="L83" s="684"/>
      <c r="M83" s="753"/>
      <c r="N83" s="683">
        <v>0</v>
      </c>
      <c r="O83" s="686"/>
      <c r="P83" s="683">
        <v>0</v>
      </c>
      <c r="Q83" s="687">
        <f t="shared" si="1"/>
        <v>0</v>
      </c>
      <c r="R83" s="687"/>
      <c r="S83" s="687"/>
      <c r="T83" s="688">
        <v>0</v>
      </c>
      <c r="U83" s="693"/>
      <c r="V83" s="690">
        <f t="shared" si="32"/>
        <v>0</v>
      </c>
      <c r="W83" s="683"/>
      <c r="X83" s="474">
        <f t="shared" si="33"/>
        <v>0</v>
      </c>
      <c r="Y83" s="474">
        <f t="shared" si="34"/>
        <v>0</v>
      </c>
      <c r="Z83" s="475">
        <f t="shared" si="35"/>
        <v>0</v>
      </c>
      <c r="AA83" s="475">
        <v>0</v>
      </c>
      <c r="AB83" s="476">
        <v>0</v>
      </c>
      <c r="AC83" s="38">
        <f t="shared" si="36"/>
        <v>0</v>
      </c>
      <c r="AD83" s="692">
        <f t="shared" si="29"/>
        <v>0</v>
      </c>
      <c r="AE83" s="692">
        <f t="shared" si="30"/>
        <v>0</v>
      </c>
      <c r="AF83" s="692">
        <f t="shared" si="31"/>
        <v>0</v>
      </c>
      <c r="AG83" s="38"/>
      <c r="AH83" s="692">
        <f t="shared" si="37"/>
        <v>0</v>
      </c>
      <c r="AI83" s="692">
        <f t="shared" si="38"/>
        <v>0</v>
      </c>
      <c r="AJ83" s="692">
        <f t="shared" si="39"/>
        <v>0</v>
      </c>
      <c r="AL83" s="38">
        <f t="shared" ref="AL83:AL148" si="40">SUM(AD83:AJ83)</f>
        <v>0</v>
      </c>
    </row>
    <row r="84" spans="1:38">
      <c r="A84" s="20"/>
      <c r="B84" s="20" t="s">
        <v>110</v>
      </c>
      <c r="C84" s="667" t="s">
        <v>543</v>
      </c>
      <c r="D84" s="68" t="s">
        <v>200</v>
      </c>
      <c r="E84" s="679"/>
      <c r="F84" s="529">
        <f>VLOOKUP(D84,'July 2013 Revenue'!D:V,19,FALSE)</f>
        <v>0</v>
      </c>
      <c r="G84" s="680"/>
      <c r="H84" s="680"/>
      <c r="I84" s="755"/>
      <c r="J84" s="682">
        <f t="shared" si="28"/>
        <v>0</v>
      </c>
      <c r="K84" s="683"/>
      <c r="L84" s="684"/>
      <c r="M84" s="753"/>
      <c r="N84" s="683">
        <v>0</v>
      </c>
      <c r="O84" s="686"/>
      <c r="P84" s="683">
        <v>0</v>
      </c>
      <c r="Q84" s="687">
        <f t="shared" si="1"/>
        <v>0</v>
      </c>
      <c r="R84" s="687"/>
      <c r="S84" s="687"/>
      <c r="T84" s="688">
        <v>0</v>
      </c>
      <c r="U84" s="693"/>
      <c r="V84" s="690">
        <f t="shared" si="32"/>
        <v>0</v>
      </c>
      <c r="W84" s="683"/>
      <c r="X84" s="474">
        <f t="shared" si="33"/>
        <v>0</v>
      </c>
      <c r="Y84" s="474">
        <f t="shared" si="34"/>
        <v>0</v>
      </c>
      <c r="Z84" s="475">
        <f t="shared" si="35"/>
        <v>0</v>
      </c>
      <c r="AA84" s="475">
        <v>0</v>
      </c>
      <c r="AB84" s="476">
        <v>0</v>
      </c>
      <c r="AC84" s="38">
        <f t="shared" si="36"/>
        <v>0</v>
      </c>
      <c r="AD84" s="692">
        <f t="shared" si="29"/>
        <v>0</v>
      </c>
      <c r="AE84" s="692">
        <f t="shared" si="30"/>
        <v>0</v>
      </c>
      <c r="AF84" s="692">
        <f t="shared" si="31"/>
        <v>0</v>
      </c>
      <c r="AG84" s="38"/>
      <c r="AH84" s="692">
        <f t="shared" si="37"/>
        <v>0</v>
      </c>
      <c r="AI84" s="692">
        <f t="shared" si="38"/>
        <v>0</v>
      </c>
      <c r="AJ84" s="692">
        <f t="shared" si="39"/>
        <v>0</v>
      </c>
      <c r="AL84" s="38">
        <f t="shared" si="40"/>
        <v>0</v>
      </c>
    </row>
    <row r="85" spans="1:38">
      <c r="A85" s="20"/>
      <c r="B85" s="20" t="s">
        <v>110</v>
      </c>
      <c r="C85" s="667" t="s">
        <v>543</v>
      </c>
      <c r="D85" s="68" t="s">
        <v>201</v>
      </c>
      <c r="E85" s="679"/>
      <c r="F85" s="529">
        <f>VLOOKUP(D85,'July 2013 Revenue'!D:V,19,FALSE)</f>
        <v>0</v>
      </c>
      <c r="G85" s="680"/>
      <c r="H85" s="680"/>
      <c r="I85" s="755"/>
      <c r="J85" s="682">
        <f t="shared" si="28"/>
        <v>0</v>
      </c>
      <c r="K85" s="683"/>
      <c r="L85" s="684"/>
      <c r="M85" s="753"/>
      <c r="N85" s="683">
        <v>0</v>
      </c>
      <c r="O85" s="686"/>
      <c r="P85" s="683">
        <v>0</v>
      </c>
      <c r="Q85" s="687">
        <f t="shared" si="1"/>
        <v>0</v>
      </c>
      <c r="R85" s="687"/>
      <c r="S85" s="687"/>
      <c r="T85" s="688">
        <v>0</v>
      </c>
      <c r="U85" s="693"/>
      <c r="V85" s="690">
        <f t="shared" si="32"/>
        <v>0</v>
      </c>
      <c r="W85" s="683"/>
      <c r="X85" s="474">
        <f t="shared" si="33"/>
        <v>0</v>
      </c>
      <c r="Y85" s="474">
        <f t="shared" si="34"/>
        <v>0</v>
      </c>
      <c r="Z85" s="475">
        <f t="shared" si="35"/>
        <v>0</v>
      </c>
      <c r="AA85" s="475">
        <v>0</v>
      </c>
      <c r="AB85" s="476">
        <v>0</v>
      </c>
      <c r="AC85" s="38">
        <f t="shared" si="36"/>
        <v>0</v>
      </c>
      <c r="AD85" s="692">
        <f t="shared" si="29"/>
        <v>0</v>
      </c>
      <c r="AE85" s="692">
        <f t="shared" si="30"/>
        <v>0</v>
      </c>
      <c r="AF85" s="692">
        <f t="shared" si="31"/>
        <v>0</v>
      </c>
      <c r="AG85" s="38"/>
      <c r="AH85" s="692">
        <f t="shared" si="37"/>
        <v>0</v>
      </c>
      <c r="AI85" s="692">
        <f t="shared" si="38"/>
        <v>0</v>
      </c>
      <c r="AJ85" s="692">
        <f t="shared" si="39"/>
        <v>0</v>
      </c>
      <c r="AL85" s="38">
        <f t="shared" si="40"/>
        <v>0</v>
      </c>
    </row>
    <row r="86" spans="1:38">
      <c r="A86" s="20" t="s">
        <v>97</v>
      </c>
      <c r="B86" s="20" t="s">
        <v>114</v>
      </c>
      <c r="C86" s="667"/>
      <c r="D86" s="68" t="s">
        <v>387</v>
      </c>
      <c r="E86" s="679"/>
      <c r="F86" s="529">
        <f>VLOOKUP(D86,'July 2013 Revenue'!D:V,19,FALSE)</f>
        <v>-389.57999999999993</v>
      </c>
      <c r="G86" s="680"/>
      <c r="H86" s="680"/>
      <c r="I86" s="755"/>
      <c r="J86" s="682">
        <f t="shared" si="28"/>
        <v>-389.57999999999993</v>
      </c>
      <c r="K86" s="683"/>
      <c r="L86" s="684"/>
      <c r="M86" s="753">
        <v>15000</v>
      </c>
      <c r="N86" s="683">
        <v>0</v>
      </c>
      <c r="O86" s="686"/>
      <c r="P86" s="683">
        <v>0</v>
      </c>
      <c r="Q86" s="687">
        <f t="shared" si="1"/>
        <v>15000</v>
      </c>
      <c r="R86" s="687"/>
      <c r="S86" s="687"/>
      <c r="T86" s="688">
        <v>16919.47</v>
      </c>
      <c r="U86" s="693"/>
      <c r="V86" s="690">
        <f t="shared" si="32"/>
        <v>1919.4700000000012</v>
      </c>
      <c r="W86" s="683"/>
      <c r="X86" s="474">
        <f t="shared" si="33"/>
        <v>0</v>
      </c>
      <c r="Y86" s="474">
        <f t="shared" si="34"/>
        <v>0</v>
      </c>
      <c r="Z86" s="475">
        <f t="shared" si="35"/>
        <v>15000</v>
      </c>
      <c r="AA86" s="475">
        <v>0</v>
      </c>
      <c r="AB86" s="476">
        <v>0</v>
      </c>
      <c r="AC86" s="38">
        <f t="shared" si="36"/>
        <v>0</v>
      </c>
      <c r="AD86" s="692">
        <f t="shared" si="29"/>
        <v>0</v>
      </c>
      <c r="AE86" s="692">
        <f t="shared" si="30"/>
        <v>0</v>
      </c>
      <c r="AF86" s="692">
        <f t="shared" si="31"/>
        <v>-389.57999999999993</v>
      </c>
      <c r="AG86" s="38"/>
      <c r="AH86" s="692">
        <f t="shared" si="37"/>
        <v>0</v>
      </c>
      <c r="AI86" s="692">
        <f t="shared" si="38"/>
        <v>0</v>
      </c>
      <c r="AJ86" s="692">
        <f t="shared" si="39"/>
        <v>15000</v>
      </c>
      <c r="AL86" s="38">
        <f t="shared" si="40"/>
        <v>14610.42</v>
      </c>
    </row>
    <row r="87" spans="1:38">
      <c r="A87" s="20" t="s">
        <v>97</v>
      </c>
      <c r="B87" s="20" t="s">
        <v>114</v>
      </c>
      <c r="C87" s="667"/>
      <c r="D87" s="68" t="s">
        <v>482</v>
      </c>
      <c r="E87" s="679"/>
      <c r="F87" s="529">
        <f>VLOOKUP(D87,'July 2013 Revenue'!D:V,19,FALSE)</f>
        <v>0</v>
      </c>
      <c r="G87" s="680"/>
      <c r="H87" s="680"/>
      <c r="I87" s="755"/>
      <c r="J87" s="682">
        <f t="shared" si="28"/>
        <v>0</v>
      </c>
      <c r="K87" s="683"/>
      <c r="L87" s="684"/>
      <c r="M87" s="753"/>
      <c r="N87" s="683"/>
      <c r="O87" s="686"/>
      <c r="P87" s="683"/>
      <c r="Q87" s="687">
        <f t="shared" si="1"/>
        <v>0</v>
      </c>
      <c r="R87" s="687"/>
      <c r="S87" s="687"/>
      <c r="T87" s="688">
        <v>0</v>
      </c>
      <c r="U87" s="693"/>
      <c r="V87" s="690">
        <f t="shared" si="32"/>
        <v>0</v>
      </c>
      <c r="W87" s="683"/>
      <c r="X87" s="474">
        <f t="shared" si="33"/>
        <v>0</v>
      </c>
      <c r="Y87" s="474">
        <f t="shared" si="34"/>
        <v>0</v>
      </c>
      <c r="Z87" s="475">
        <f t="shared" si="35"/>
        <v>0</v>
      </c>
      <c r="AA87" s="475">
        <v>0</v>
      </c>
      <c r="AB87" s="476">
        <v>0</v>
      </c>
      <c r="AC87" s="38">
        <f t="shared" si="36"/>
        <v>0</v>
      </c>
      <c r="AD87" s="692">
        <f t="shared" si="29"/>
        <v>0</v>
      </c>
      <c r="AE87" s="692">
        <f t="shared" si="30"/>
        <v>0</v>
      </c>
      <c r="AF87" s="692">
        <f t="shared" si="31"/>
        <v>0</v>
      </c>
      <c r="AG87" s="38"/>
      <c r="AH87" s="692">
        <f t="shared" si="37"/>
        <v>0</v>
      </c>
      <c r="AI87" s="692">
        <f t="shared" si="38"/>
        <v>0</v>
      </c>
      <c r="AJ87" s="692">
        <f t="shared" si="39"/>
        <v>0</v>
      </c>
      <c r="AL87" s="38">
        <f t="shared" si="40"/>
        <v>0</v>
      </c>
    </row>
    <row r="88" spans="1:38">
      <c r="A88" s="20" t="s">
        <v>109</v>
      </c>
      <c r="B88" s="20" t="s">
        <v>109</v>
      </c>
      <c r="C88" s="667" t="s">
        <v>544</v>
      </c>
      <c r="D88" s="68" t="s">
        <v>383</v>
      </c>
      <c r="E88" s="679"/>
      <c r="F88" s="529">
        <f>VLOOKUP(D88,'July 2013 Revenue'!D:V,19,FALSE)</f>
        <v>0</v>
      </c>
      <c r="G88" s="680"/>
      <c r="H88" s="680"/>
      <c r="I88" s="755"/>
      <c r="J88" s="682">
        <f t="shared" si="28"/>
        <v>0</v>
      </c>
      <c r="K88" s="683"/>
      <c r="L88" s="684"/>
      <c r="M88" s="753"/>
      <c r="N88" s="683">
        <v>0</v>
      </c>
      <c r="O88" s="686"/>
      <c r="P88" s="683">
        <v>0</v>
      </c>
      <c r="Q88" s="687">
        <f t="shared" si="1"/>
        <v>0</v>
      </c>
      <c r="R88" s="687"/>
      <c r="S88" s="687"/>
      <c r="T88" s="688">
        <v>0</v>
      </c>
      <c r="U88" s="693"/>
      <c r="V88" s="690">
        <f t="shared" si="32"/>
        <v>0</v>
      </c>
      <c r="W88" s="683"/>
      <c r="X88" s="474">
        <f t="shared" si="33"/>
        <v>0</v>
      </c>
      <c r="Y88" s="474">
        <f t="shared" si="34"/>
        <v>0</v>
      </c>
      <c r="Z88" s="475">
        <f t="shared" si="35"/>
        <v>0</v>
      </c>
      <c r="AA88" s="475">
        <v>0</v>
      </c>
      <c r="AB88" s="476">
        <v>0</v>
      </c>
      <c r="AC88" s="38">
        <f t="shared" si="36"/>
        <v>0</v>
      </c>
      <c r="AD88" s="692">
        <f t="shared" si="29"/>
        <v>0</v>
      </c>
      <c r="AE88" s="692">
        <f t="shared" si="30"/>
        <v>0</v>
      </c>
      <c r="AF88" s="692">
        <f t="shared" si="31"/>
        <v>0</v>
      </c>
      <c r="AG88" s="38"/>
      <c r="AH88" s="692">
        <f t="shared" si="37"/>
        <v>0</v>
      </c>
      <c r="AI88" s="692">
        <f t="shared" si="38"/>
        <v>0</v>
      </c>
      <c r="AJ88" s="692">
        <f t="shared" si="39"/>
        <v>0</v>
      </c>
      <c r="AL88" s="38">
        <f t="shared" si="40"/>
        <v>0</v>
      </c>
    </row>
    <row r="89" spans="1:38">
      <c r="A89" s="21" t="s">
        <v>211</v>
      </c>
      <c r="B89" s="21" t="s">
        <v>109</v>
      </c>
      <c r="C89" s="666" t="s">
        <v>545</v>
      </c>
      <c r="D89" s="68" t="s">
        <v>181</v>
      </c>
      <c r="E89" s="679"/>
      <c r="F89" s="529">
        <f>VLOOKUP(D89,'July 2013 Revenue'!D:V,19,FALSE)</f>
        <v>0</v>
      </c>
      <c r="G89" s="680"/>
      <c r="H89" s="680"/>
      <c r="I89" s="755"/>
      <c r="J89" s="682">
        <f t="shared" si="28"/>
        <v>0</v>
      </c>
      <c r="K89" s="683"/>
      <c r="L89" s="684"/>
      <c r="M89" s="753"/>
      <c r="N89" s="683">
        <v>0</v>
      </c>
      <c r="O89" s="686"/>
      <c r="P89" s="683">
        <v>0</v>
      </c>
      <c r="Q89" s="687">
        <f t="shared" si="1"/>
        <v>0</v>
      </c>
      <c r="R89" s="687"/>
      <c r="S89" s="687"/>
      <c r="T89" s="688">
        <v>0</v>
      </c>
      <c r="U89" s="693"/>
      <c r="V89" s="690">
        <f t="shared" si="32"/>
        <v>0</v>
      </c>
      <c r="W89" s="683"/>
      <c r="X89" s="474">
        <f t="shared" si="33"/>
        <v>0</v>
      </c>
      <c r="Y89" s="474">
        <f t="shared" si="34"/>
        <v>0</v>
      </c>
      <c r="Z89" s="475">
        <f t="shared" si="35"/>
        <v>0</v>
      </c>
      <c r="AA89" s="475">
        <v>0</v>
      </c>
      <c r="AB89" s="476">
        <v>0</v>
      </c>
      <c r="AC89" s="38">
        <f t="shared" si="36"/>
        <v>0</v>
      </c>
      <c r="AD89" s="692">
        <f t="shared" si="29"/>
        <v>0</v>
      </c>
      <c r="AE89" s="692">
        <f t="shared" si="30"/>
        <v>0</v>
      </c>
      <c r="AF89" s="692">
        <f t="shared" si="31"/>
        <v>0</v>
      </c>
      <c r="AG89" s="38"/>
      <c r="AH89" s="692">
        <f t="shared" si="37"/>
        <v>0</v>
      </c>
      <c r="AI89" s="692">
        <f t="shared" si="38"/>
        <v>0</v>
      </c>
      <c r="AJ89" s="692">
        <f t="shared" si="39"/>
        <v>0</v>
      </c>
      <c r="AL89" s="38">
        <f t="shared" si="40"/>
        <v>0</v>
      </c>
    </row>
    <row r="90" spans="1:38">
      <c r="A90" s="21" t="s">
        <v>211</v>
      </c>
      <c r="B90" s="21" t="s">
        <v>110</v>
      </c>
      <c r="C90" s="666"/>
      <c r="D90" s="68" t="s">
        <v>504</v>
      </c>
      <c r="E90" s="679"/>
      <c r="F90" s="529">
        <f>VLOOKUP(D90,'July 2013 Revenue'!D:V,19,FALSE)</f>
        <v>0</v>
      </c>
      <c r="G90" s="680"/>
      <c r="H90" s="680"/>
      <c r="I90" s="755"/>
      <c r="J90" s="682">
        <f t="shared" si="28"/>
        <v>0</v>
      </c>
      <c r="K90" s="683"/>
      <c r="L90" s="684"/>
      <c r="M90" s="753"/>
      <c r="N90" s="683">
        <v>0</v>
      </c>
      <c r="O90" s="686"/>
      <c r="P90" s="683">
        <v>0</v>
      </c>
      <c r="Q90" s="687">
        <f t="shared" si="1"/>
        <v>0</v>
      </c>
      <c r="R90" s="687"/>
      <c r="S90" s="687"/>
      <c r="T90" s="688">
        <v>0</v>
      </c>
      <c r="U90" s="693"/>
      <c r="V90" s="690">
        <f t="shared" si="32"/>
        <v>0</v>
      </c>
      <c r="W90" s="683"/>
      <c r="X90" s="474">
        <f t="shared" si="33"/>
        <v>0</v>
      </c>
      <c r="Y90" s="474">
        <f t="shared" si="34"/>
        <v>0</v>
      </c>
      <c r="Z90" s="475">
        <f t="shared" si="35"/>
        <v>0</v>
      </c>
      <c r="AA90" s="475">
        <v>0</v>
      </c>
      <c r="AB90" s="476">
        <v>0</v>
      </c>
      <c r="AC90" s="38">
        <f t="shared" si="36"/>
        <v>0</v>
      </c>
      <c r="AD90" s="692">
        <f t="shared" si="29"/>
        <v>0</v>
      </c>
      <c r="AE90" s="692">
        <f t="shared" si="30"/>
        <v>0</v>
      </c>
      <c r="AF90" s="692">
        <f t="shared" si="31"/>
        <v>0</v>
      </c>
      <c r="AG90" s="38"/>
      <c r="AH90" s="692">
        <f t="shared" si="37"/>
        <v>0</v>
      </c>
      <c r="AI90" s="692">
        <f t="shared" si="38"/>
        <v>0</v>
      </c>
      <c r="AJ90" s="692">
        <f t="shared" si="39"/>
        <v>0</v>
      </c>
      <c r="AL90" s="38">
        <f t="shared" si="40"/>
        <v>0</v>
      </c>
    </row>
    <row r="91" spans="1:38">
      <c r="A91" s="20" t="s">
        <v>211</v>
      </c>
      <c r="B91" s="20" t="s">
        <v>109</v>
      </c>
      <c r="C91" s="667" t="s">
        <v>546</v>
      </c>
      <c r="D91" s="68" t="s">
        <v>142</v>
      </c>
      <c r="E91" s="679"/>
      <c r="F91" s="529">
        <f>VLOOKUP(D91,'July 2013 Revenue'!D:V,19,FALSE)</f>
        <v>0</v>
      </c>
      <c r="G91" s="680"/>
      <c r="H91" s="680"/>
      <c r="I91" s="755"/>
      <c r="J91" s="682">
        <f t="shared" si="28"/>
        <v>0</v>
      </c>
      <c r="K91" s="683"/>
      <c r="L91" s="684"/>
      <c r="M91" s="753"/>
      <c r="N91" s="683">
        <v>0</v>
      </c>
      <c r="O91" s="686"/>
      <c r="P91" s="683">
        <v>0</v>
      </c>
      <c r="Q91" s="687">
        <f t="shared" si="1"/>
        <v>0</v>
      </c>
      <c r="R91" s="687"/>
      <c r="S91" s="687"/>
      <c r="T91" s="688">
        <v>0</v>
      </c>
      <c r="U91" s="693"/>
      <c r="V91" s="690">
        <f t="shared" si="32"/>
        <v>0</v>
      </c>
      <c r="W91" s="697"/>
      <c r="X91" s="474">
        <f t="shared" si="33"/>
        <v>0</v>
      </c>
      <c r="Y91" s="474">
        <f t="shared" si="34"/>
        <v>0</v>
      </c>
      <c r="Z91" s="475">
        <f t="shared" si="35"/>
        <v>0</v>
      </c>
      <c r="AA91" s="475">
        <v>0</v>
      </c>
      <c r="AB91" s="476">
        <v>0</v>
      </c>
      <c r="AC91" s="38">
        <f t="shared" si="36"/>
        <v>0</v>
      </c>
      <c r="AD91" s="692">
        <f t="shared" si="29"/>
        <v>0</v>
      </c>
      <c r="AE91" s="692">
        <f t="shared" si="30"/>
        <v>0</v>
      </c>
      <c r="AF91" s="692">
        <f t="shared" si="31"/>
        <v>0</v>
      </c>
      <c r="AG91" s="38"/>
      <c r="AH91" s="692">
        <f t="shared" si="37"/>
        <v>0</v>
      </c>
      <c r="AI91" s="692">
        <f t="shared" si="38"/>
        <v>0</v>
      </c>
      <c r="AJ91" s="692">
        <f t="shared" si="39"/>
        <v>0</v>
      </c>
      <c r="AL91" s="38">
        <f t="shared" si="40"/>
        <v>0</v>
      </c>
    </row>
    <row r="92" spans="1:38">
      <c r="A92" s="20" t="s">
        <v>211</v>
      </c>
      <c r="B92" s="20" t="s">
        <v>109</v>
      </c>
      <c r="C92" s="667" t="s">
        <v>546</v>
      </c>
      <c r="D92" s="68" t="s">
        <v>143</v>
      </c>
      <c r="E92" s="679"/>
      <c r="F92" s="529">
        <f>VLOOKUP(D92,'July 2013 Revenue'!D:V,19,FALSE)</f>
        <v>0</v>
      </c>
      <c r="G92" s="680"/>
      <c r="H92" s="680"/>
      <c r="I92" s="755"/>
      <c r="J92" s="682">
        <f t="shared" si="28"/>
        <v>0</v>
      </c>
      <c r="K92" s="683"/>
      <c r="L92" s="684"/>
      <c r="M92" s="753"/>
      <c r="N92" s="683">
        <v>0</v>
      </c>
      <c r="O92" s="686"/>
      <c r="P92" s="683">
        <v>0</v>
      </c>
      <c r="Q92" s="687">
        <f t="shared" si="1"/>
        <v>0</v>
      </c>
      <c r="R92" s="687"/>
      <c r="S92" s="687"/>
      <c r="T92" s="688">
        <v>0</v>
      </c>
      <c r="U92" s="693"/>
      <c r="V92" s="690">
        <f t="shared" si="32"/>
        <v>0</v>
      </c>
      <c r="W92" s="697"/>
      <c r="X92" s="474">
        <f t="shared" si="33"/>
        <v>0</v>
      </c>
      <c r="Y92" s="474">
        <f t="shared" si="34"/>
        <v>0</v>
      </c>
      <c r="Z92" s="475">
        <f t="shared" si="35"/>
        <v>0</v>
      </c>
      <c r="AA92" s="475">
        <v>0</v>
      </c>
      <c r="AB92" s="476">
        <v>0</v>
      </c>
      <c r="AC92" s="38">
        <f t="shared" si="36"/>
        <v>0</v>
      </c>
      <c r="AD92" s="692">
        <f t="shared" si="29"/>
        <v>0</v>
      </c>
      <c r="AE92" s="692">
        <f t="shared" si="30"/>
        <v>0</v>
      </c>
      <c r="AF92" s="692">
        <f t="shared" si="31"/>
        <v>0</v>
      </c>
      <c r="AG92" s="38"/>
      <c r="AH92" s="692">
        <f t="shared" si="37"/>
        <v>0</v>
      </c>
      <c r="AI92" s="692">
        <f t="shared" si="38"/>
        <v>0</v>
      </c>
      <c r="AJ92" s="692">
        <f t="shared" si="39"/>
        <v>0</v>
      </c>
      <c r="AL92" s="38">
        <f t="shared" si="40"/>
        <v>0</v>
      </c>
    </row>
    <row r="93" spans="1:38">
      <c r="A93" s="20" t="s">
        <v>109</v>
      </c>
      <c r="B93" s="20" t="s">
        <v>109</v>
      </c>
      <c r="C93" s="667"/>
      <c r="D93" s="68" t="s">
        <v>498</v>
      </c>
      <c r="E93" s="679"/>
      <c r="F93" s="529">
        <f>VLOOKUP(D93,'July 2013 Revenue'!D:V,19,FALSE)</f>
        <v>0</v>
      </c>
      <c r="G93" s="680"/>
      <c r="H93" s="680"/>
      <c r="I93" s="755"/>
      <c r="J93" s="682">
        <f t="shared" si="28"/>
        <v>0</v>
      </c>
      <c r="K93" s="683"/>
      <c r="L93" s="684"/>
      <c r="M93" s="753"/>
      <c r="N93" s="683">
        <v>0</v>
      </c>
      <c r="O93" s="686"/>
      <c r="P93" s="683">
        <v>0</v>
      </c>
      <c r="Q93" s="687">
        <f t="shared" si="1"/>
        <v>0</v>
      </c>
      <c r="R93" s="687"/>
      <c r="S93" s="687"/>
      <c r="T93" s="688">
        <v>0</v>
      </c>
      <c r="U93" s="693"/>
      <c r="V93" s="690">
        <f t="shared" si="32"/>
        <v>0</v>
      </c>
      <c r="W93" s="683"/>
      <c r="X93" s="474">
        <f t="shared" si="33"/>
        <v>0</v>
      </c>
      <c r="Y93" s="474">
        <f t="shared" si="34"/>
        <v>0</v>
      </c>
      <c r="Z93" s="475">
        <f t="shared" si="35"/>
        <v>0</v>
      </c>
      <c r="AA93" s="475">
        <v>0</v>
      </c>
      <c r="AB93" s="476">
        <v>0</v>
      </c>
      <c r="AC93" s="38">
        <f t="shared" si="36"/>
        <v>0</v>
      </c>
      <c r="AD93" s="692">
        <f t="shared" si="29"/>
        <v>0</v>
      </c>
      <c r="AE93" s="692">
        <f t="shared" si="30"/>
        <v>0</v>
      </c>
      <c r="AF93" s="692">
        <f t="shared" si="31"/>
        <v>0</v>
      </c>
      <c r="AG93" s="38"/>
      <c r="AH93" s="692">
        <f t="shared" si="37"/>
        <v>0</v>
      </c>
      <c r="AI93" s="692">
        <f t="shared" si="38"/>
        <v>0</v>
      </c>
      <c r="AJ93" s="692">
        <f t="shared" si="39"/>
        <v>0</v>
      </c>
      <c r="AL93" s="38">
        <f t="shared" si="40"/>
        <v>0</v>
      </c>
    </row>
    <row r="94" spans="1:38">
      <c r="A94" s="21"/>
      <c r="B94" s="21" t="s">
        <v>110</v>
      </c>
      <c r="C94" s="666"/>
      <c r="D94" s="68" t="s">
        <v>20</v>
      </c>
      <c r="E94" s="679">
        <v>161.94</v>
      </c>
      <c r="F94" s="529">
        <f>VLOOKUP(D94,'July 2013 Revenue'!D:V,19,FALSE)</f>
        <v>142.78</v>
      </c>
      <c r="G94" s="680"/>
      <c r="H94" s="680"/>
      <c r="I94" s="755"/>
      <c r="J94" s="682">
        <f t="shared" si="28"/>
        <v>304.72000000000003</v>
      </c>
      <c r="K94" s="683"/>
      <c r="L94" s="684"/>
      <c r="M94" s="753"/>
      <c r="N94" s="683">
        <v>0</v>
      </c>
      <c r="O94" s="686"/>
      <c r="P94" s="683">
        <v>0</v>
      </c>
      <c r="Q94" s="687">
        <f t="shared" si="1"/>
        <v>0</v>
      </c>
      <c r="R94" s="687"/>
      <c r="S94" s="687"/>
      <c r="T94" s="688">
        <v>0</v>
      </c>
      <c r="U94" s="693"/>
      <c r="V94" s="690">
        <f t="shared" si="32"/>
        <v>0</v>
      </c>
      <c r="W94" s="683"/>
      <c r="X94" s="474">
        <f t="shared" si="33"/>
        <v>0</v>
      </c>
      <c r="Y94" s="474">
        <f t="shared" si="34"/>
        <v>0</v>
      </c>
      <c r="Z94" s="475">
        <f t="shared" si="35"/>
        <v>0</v>
      </c>
      <c r="AA94" s="475">
        <v>0</v>
      </c>
      <c r="AB94" s="476">
        <v>0</v>
      </c>
      <c r="AC94" s="38">
        <f t="shared" si="36"/>
        <v>0</v>
      </c>
      <c r="AD94" s="692">
        <f t="shared" si="29"/>
        <v>304.72000000000003</v>
      </c>
      <c r="AE94" s="692">
        <f t="shared" si="30"/>
        <v>0</v>
      </c>
      <c r="AF94" s="692">
        <f t="shared" si="31"/>
        <v>0</v>
      </c>
      <c r="AG94" s="38"/>
      <c r="AH94" s="692">
        <f t="shared" si="37"/>
        <v>0</v>
      </c>
      <c r="AI94" s="692">
        <f t="shared" si="38"/>
        <v>0</v>
      </c>
      <c r="AJ94" s="692">
        <f t="shared" si="39"/>
        <v>0</v>
      </c>
      <c r="AL94" s="38">
        <f t="shared" si="40"/>
        <v>304.72000000000003</v>
      </c>
    </row>
    <row r="95" spans="1:38">
      <c r="A95" s="21"/>
      <c r="B95" s="21" t="s">
        <v>110</v>
      </c>
      <c r="C95" s="666" t="s">
        <v>547</v>
      </c>
      <c r="D95" s="68" t="s">
        <v>203</v>
      </c>
      <c r="E95" s="679"/>
      <c r="F95" s="529">
        <f>VLOOKUP(D95,'July 2013 Revenue'!D:V,19,FALSE)</f>
        <v>0</v>
      </c>
      <c r="G95" s="680"/>
      <c r="H95" s="680"/>
      <c r="I95" s="755"/>
      <c r="J95" s="682">
        <f t="shared" si="28"/>
        <v>0</v>
      </c>
      <c r="K95" s="683"/>
      <c r="L95" s="684"/>
      <c r="M95" s="753"/>
      <c r="N95" s="683">
        <v>0</v>
      </c>
      <c r="O95" s="686"/>
      <c r="P95" s="683">
        <v>0</v>
      </c>
      <c r="Q95" s="687">
        <f t="shared" si="1"/>
        <v>0</v>
      </c>
      <c r="R95" s="687"/>
      <c r="S95" s="687"/>
      <c r="T95" s="688">
        <v>0</v>
      </c>
      <c r="U95" s="693"/>
      <c r="V95" s="690">
        <f t="shared" si="32"/>
        <v>0</v>
      </c>
      <c r="W95" s="683"/>
      <c r="X95" s="474">
        <f t="shared" si="33"/>
        <v>0</v>
      </c>
      <c r="Y95" s="474">
        <f t="shared" si="34"/>
        <v>0</v>
      </c>
      <c r="Z95" s="475">
        <f t="shared" si="35"/>
        <v>0</v>
      </c>
      <c r="AA95" s="475">
        <v>0</v>
      </c>
      <c r="AB95" s="476">
        <v>0</v>
      </c>
      <c r="AC95" s="38">
        <f t="shared" si="36"/>
        <v>0</v>
      </c>
      <c r="AD95" s="692">
        <f t="shared" si="29"/>
        <v>0</v>
      </c>
      <c r="AE95" s="692">
        <f t="shared" si="30"/>
        <v>0</v>
      </c>
      <c r="AF95" s="692">
        <f t="shared" si="31"/>
        <v>0</v>
      </c>
      <c r="AG95" s="38"/>
      <c r="AH95" s="692">
        <f t="shared" si="37"/>
        <v>0</v>
      </c>
      <c r="AI95" s="692">
        <f t="shared" si="38"/>
        <v>0</v>
      </c>
      <c r="AJ95" s="692">
        <f t="shared" si="39"/>
        <v>0</v>
      </c>
      <c r="AL95" s="38">
        <f t="shared" si="40"/>
        <v>0</v>
      </c>
    </row>
    <row r="96" spans="1:38">
      <c r="A96" s="21"/>
      <c r="B96" s="21" t="s">
        <v>110</v>
      </c>
      <c r="C96" s="666" t="s">
        <v>547</v>
      </c>
      <c r="D96" s="68" t="s">
        <v>202</v>
      </c>
      <c r="E96" s="679"/>
      <c r="F96" s="529">
        <f>VLOOKUP(D96,'July 2013 Revenue'!D:V,19,FALSE)</f>
        <v>0</v>
      </c>
      <c r="G96" s="680"/>
      <c r="H96" s="680"/>
      <c r="I96" s="755"/>
      <c r="J96" s="682">
        <f t="shared" si="28"/>
        <v>0</v>
      </c>
      <c r="K96" s="683"/>
      <c r="L96" s="684"/>
      <c r="M96" s="753"/>
      <c r="N96" s="683">
        <v>0</v>
      </c>
      <c r="O96" s="686"/>
      <c r="P96" s="683">
        <v>0</v>
      </c>
      <c r="Q96" s="687">
        <f t="shared" si="1"/>
        <v>0</v>
      </c>
      <c r="R96" s="687"/>
      <c r="S96" s="687"/>
      <c r="T96" s="688">
        <v>0</v>
      </c>
      <c r="U96" s="693"/>
      <c r="V96" s="690">
        <f t="shared" si="32"/>
        <v>0</v>
      </c>
      <c r="W96" s="683"/>
      <c r="X96" s="474">
        <f t="shared" si="33"/>
        <v>0</v>
      </c>
      <c r="Y96" s="474">
        <f t="shared" si="34"/>
        <v>0</v>
      </c>
      <c r="Z96" s="475">
        <f t="shared" si="35"/>
        <v>0</v>
      </c>
      <c r="AA96" s="475">
        <v>0</v>
      </c>
      <c r="AB96" s="476">
        <v>0</v>
      </c>
      <c r="AC96" s="38">
        <f t="shared" si="36"/>
        <v>0</v>
      </c>
      <c r="AD96" s="692">
        <f t="shared" si="29"/>
        <v>0</v>
      </c>
      <c r="AE96" s="692">
        <f t="shared" si="30"/>
        <v>0</v>
      </c>
      <c r="AF96" s="692">
        <f t="shared" si="31"/>
        <v>0</v>
      </c>
      <c r="AG96" s="38"/>
      <c r="AH96" s="692">
        <f t="shared" si="37"/>
        <v>0</v>
      </c>
      <c r="AI96" s="692">
        <f t="shared" si="38"/>
        <v>0</v>
      </c>
      <c r="AJ96" s="692">
        <f t="shared" si="39"/>
        <v>0</v>
      </c>
      <c r="AL96" s="38">
        <f t="shared" si="40"/>
        <v>0</v>
      </c>
    </row>
    <row r="97" spans="1:38">
      <c r="A97" s="20" t="s">
        <v>211</v>
      </c>
      <c r="B97" s="20" t="s">
        <v>110</v>
      </c>
      <c r="C97" s="667"/>
      <c r="D97" s="373" t="s">
        <v>466</v>
      </c>
      <c r="E97" s="679"/>
      <c r="F97" s="529">
        <f>VLOOKUP(D97,'July 2013 Revenue'!D:V,19,FALSE)</f>
        <v>0</v>
      </c>
      <c r="G97" s="680"/>
      <c r="H97" s="680"/>
      <c r="I97" s="755"/>
      <c r="J97" s="682">
        <f t="shared" si="28"/>
        <v>0</v>
      </c>
      <c r="K97" s="683"/>
      <c r="L97" s="684"/>
      <c r="M97" s="753"/>
      <c r="N97" s="683">
        <v>0</v>
      </c>
      <c r="O97" s="686"/>
      <c r="P97" s="683">
        <v>0</v>
      </c>
      <c r="Q97" s="687">
        <f t="shared" si="1"/>
        <v>0</v>
      </c>
      <c r="R97" s="687"/>
      <c r="S97" s="687"/>
      <c r="T97" s="688">
        <v>962.53</v>
      </c>
      <c r="U97" s="693"/>
      <c r="V97" s="690">
        <f t="shared" si="32"/>
        <v>962.53</v>
      </c>
      <c r="W97" s="683"/>
      <c r="X97" s="474">
        <f t="shared" si="33"/>
        <v>0</v>
      </c>
      <c r="Y97" s="474">
        <f t="shared" si="34"/>
        <v>0</v>
      </c>
      <c r="Z97" s="475">
        <f t="shared" si="35"/>
        <v>0</v>
      </c>
      <c r="AA97" s="475">
        <v>0</v>
      </c>
      <c r="AB97" s="476">
        <v>0</v>
      </c>
      <c r="AC97" s="38">
        <f t="shared" si="36"/>
        <v>0</v>
      </c>
      <c r="AD97" s="692">
        <f t="shared" si="29"/>
        <v>0</v>
      </c>
      <c r="AE97" s="692">
        <f t="shared" si="30"/>
        <v>0</v>
      </c>
      <c r="AF97" s="692">
        <f t="shared" si="31"/>
        <v>0</v>
      </c>
      <c r="AG97" s="38"/>
      <c r="AH97" s="692">
        <f t="shared" si="37"/>
        <v>0</v>
      </c>
      <c r="AI97" s="692">
        <f t="shared" si="38"/>
        <v>0</v>
      </c>
      <c r="AJ97" s="692">
        <f t="shared" si="39"/>
        <v>0</v>
      </c>
      <c r="AL97" s="38">
        <f t="shared" si="40"/>
        <v>0</v>
      </c>
    </row>
    <row r="98" spans="1:38">
      <c r="A98" s="20"/>
      <c r="B98" s="20" t="s">
        <v>110</v>
      </c>
      <c r="C98" s="667"/>
      <c r="D98" s="373" t="s">
        <v>627</v>
      </c>
      <c r="E98" s="679">
        <v>2270.62</v>
      </c>
      <c r="F98" s="529">
        <f>VLOOKUP(D98,'July 2013 Revenue'!D:V,19,FALSE)</f>
        <v>0</v>
      </c>
      <c r="G98" s="680"/>
      <c r="H98" s="680"/>
      <c r="I98" s="755"/>
      <c r="J98" s="682">
        <f t="shared" si="28"/>
        <v>2270.62</v>
      </c>
      <c r="K98" s="683"/>
      <c r="L98" s="684"/>
      <c r="M98" s="753"/>
      <c r="N98" s="683">
        <v>0</v>
      </c>
      <c r="O98" s="686"/>
      <c r="P98" s="683">
        <v>0</v>
      </c>
      <c r="Q98" s="687">
        <f t="shared" si="1"/>
        <v>0</v>
      </c>
      <c r="R98" s="687"/>
      <c r="S98" s="687"/>
      <c r="T98" s="688">
        <v>0</v>
      </c>
      <c r="U98" s="693"/>
      <c r="V98" s="690">
        <f t="shared" si="32"/>
        <v>0</v>
      </c>
      <c r="W98" s="683"/>
      <c r="X98" s="474">
        <f t="shared" si="33"/>
        <v>0</v>
      </c>
      <c r="Y98" s="474">
        <f t="shared" si="34"/>
        <v>0</v>
      </c>
      <c r="Z98" s="475">
        <f t="shared" si="35"/>
        <v>0</v>
      </c>
      <c r="AA98" s="475">
        <v>0</v>
      </c>
      <c r="AB98" s="476">
        <v>0</v>
      </c>
      <c r="AC98" s="38">
        <f t="shared" si="36"/>
        <v>0</v>
      </c>
      <c r="AD98" s="692">
        <f t="shared" si="29"/>
        <v>2270.62</v>
      </c>
      <c r="AE98" s="692">
        <f t="shared" si="30"/>
        <v>0</v>
      </c>
      <c r="AF98" s="692">
        <f t="shared" si="31"/>
        <v>0</v>
      </c>
      <c r="AG98" s="38"/>
      <c r="AH98" s="692">
        <f t="shared" si="37"/>
        <v>0</v>
      </c>
      <c r="AI98" s="692">
        <f t="shared" si="38"/>
        <v>0</v>
      </c>
      <c r="AJ98" s="692">
        <f t="shared" si="39"/>
        <v>0</v>
      </c>
      <c r="AL98" s="38">
        <f t="shared" si="40"/>
        <v>2270.62</v>
      </c>
    </row>
    <row r="99" spans="1:38" s="232" customFormat="1">
      <c r="A99" s="283"/>
      <c r="B99" s="283" t="s">
        <v>110</v>
      </c>
      <c r="C99" s="667"/>
      <c r="D99" s="123" t="s">
        <v>955</v>
      </c>
      <c r="E99" s="679"/>
      <c r="F99" s="529">
        <f>VLOOKUP(D99,'July 2013 Revenue'!D:V,19,FALSE)</f>
        <v>349914.05000000075</v>
      </c>
      <c r="G99" s="680"/>
      <c r="H99" s="680"/>
      <c r="I99" s="770">
        <v>8938929.6600000001</v>
      </c>
      <c r="J99" s="682">
        <f t="shared" si="28"/>
        <v>9288843.7100000009</v>
      </c>
      <c r="K99" s="683"/>
      <c r="L99" s="684"/>
      <c r="M99" s="753"/>
      <c r="N99" s="683">
        <v>0</v>
      </c>
      <c r="O99" s="686"/>
      <c r="P99" s="683">
        <v>0</v>
      </c>
      <c r="Q99" s="687">
        <f t="shared" si="1"/>
        <v>0</v>
      </c>
      <c r="R99" s="687"/>
      <c r="S99" s="687"/>
      <c r="T99" s="688">
        <v>0</v>
      </c>
      <c r="U99" s="693"/>
      <c r="V99" s="690">
        <f t="shared" si="32"/>
        <v>0</v>
      </c>
      <c r="W99" s="683"/>
      <c r="X99" s="474">
        <f t="shared" si="33"/>
        <v>0</v>
      </c>
      <c r="Y99" s="474">
        <f t="shared" si="34"/>
        <v>0</v>
      </c>
      <c r="Z99" s="475">
        <f t="shared" si="35"/>
        <v>0</v>
      </c>
      <c r="AA99" s="475">
        <v>0</v>
      </c>
      <c r="AB99" s="476">
        <v>0</v>
      </c>
      <c r="AC99" s="38">
        <f t="shared" si="36"/>
        <v>0</v>
      </c>
      <c r="AD99" s="692">
        <f t="shared" si="29"/>
        <v>9288843.7100000009</v>
      </c>
      <c r="AE99" s="692">
        <f t="shared" si="30"/>
        <v>0</v>
      </c>
      <c r="AF99" s="692">
        <f t="shared" si="31"/>
        <v>0</v>
      </c>
      <c r="AG99" s="38"/>
      <c r="AH99" s="692">
        <f t="shared" si="37"/>
        <v>0</v>
      </c>
      <c r="AI99" s="692">
        <f t="shared" si="38"/>
        <v>0</v>
      </c>
      <c r="AJ99" s="692">
        <f t="shared" si="39"/>
        <v>0</v>
      </c>
      <c r="AL99" s="38">
        <f t="shared" si="40"/>
        <v>9288843.7100000009</v>
      </c>
    </row>
    <row r="100" spans="1:38" s="232" customFormat="1" hidden="1">
      <c r="A100" s="283"/>
      <c r="B100" s="283" t="s">
        <v>110</v>
      </c>
      <c r="C100" s="667"/>
      <c r="D100" s="123" t="s">
        <v>331</v>
      </c>
      <c r="E100" s="679"/>
      <c r="F100" s="529">
        <f>VLOOKUP(D100,'July 2013 Revenue'!D:V,19,FALSE)</f>
        <v>0</v>
      </c>
      <c r="G100" s="680"/>
      <c r="H100" s="680"/>
      <c r="I100" s="755"/>
      <c r="J100" s="682">
        <f t="shared" si="28"/>
        <v>0</v>
      </c>
      <c r="K100" s="683"/>
      <c r="L100" s="684"/>
      <c r="M100" s="753"/>
      <c r="N100" s="683">
        <v>0</v>
      </c>
      <c r="O100" s="686"/>
      <c r="P100" s="683">
        <v>0</v>
      </c>
      <c r="Q100" s="687">
        <f t="shared" si="1"/>
        <v>0</v>
      </c>
      <c r="R100" s="687"/>
      <c r="S100" s="687"/>
      <c r="T100" s="688">
        <v>0</v>
      </c>
      <c r="U100" s="693"/>
      <c r="V100" s="690">
        <f t="shared" si="32"/>
        <v>0</v>
      </c>
      <c r="W100" s="683"/>
      <c r="X100" s="474">
        <f t="shared" si="33"/>
        <v>0</v>
      </c>
      <c r="Y100" s="474">
        <f t="shared" si="34"/>
        <v>0</v>
      </c>
      <c r="Z100" s="475">
        <f t="shared" si="35"/>
        <v>0</v>
      </c>
      <c r="AA100" s="475">
        <v>0</v>
      </c>
      <c r="AB100" s="476">
        <v>0</v>
      </c>
      <c r="AC100" s="38">
        <f t="shared" si="36"/>
        <v>0</v>
      </c>
      <c r="AD100" s="692">
        <f t="shared" si="29"/>
        <v>0</v>
      </c>
      <c r="AE100" s="692">
        <f t="shared" si="30"/>
        <v>0</v>
      </c>
      <c r="AF100" s="692">
        <f t="shared" si="31"/>
        <v>0</v>
      </c>
      <c r="AG100" s="38"/>
      <c r="AH100" s="692">
        <f t="shared" si="37"/>
        <v>0</v>
      </c>
      <c r="AI100" s="692">
        <f t="shared" si="38"/>
        <v>0</v>
      </c>
      <c r="AJ100" s="692">
        <f t="shared" si="39"/>
        <v>0</v>
      </c>
      <c r="AL100" s="38">
        <f t="shared" si="40"/>
        <v>0</v>
      </c>
    </row>
    <row r="101" spans="1:38" s="232" customFormat="1" hidden="1">
      <c r="A101" s="283"/>
      <c r="B101" s="283" t="s">
        <v>110</v>
      </c>
      <c r="C101" s="667"/>
      <c r="D101" s="413" t="s">
        <v>332</v>
      </c>
      <c r="E101" s="679"/>
      <c r="F101" s="529">
        <f>VLOOKUP(D101,'July 2013 Revenue'!D:V,19,FALSE)</f>
        <v>0</v>
      </c>
      <c r="G101" s="680"/>
      <c r="H101" s="680"/>
      <c r="I101" s="755"/>
      <c r="J101" s="682">
        <f t="shared" si="28"/>
        <v>0</v>
      </c>
      <c r="K101" s="683"/>
      <c r="L101" s="684"/>
      <c r="M101" s="753"/>
      <c r="N101" s="683">
        <v>0</v>
      </c>
      <c r="O101" s="686"/>
      <c r="P101" s="683">
        <v>0</v>
      </c>
      <c r="Q101" s="687">
        <f t="shared" si="1"/>
        <v>0</v>
      </c>
      <c r="R101" s="687"/>
      <c r="S101" s="687"/>
      <c r="T101" s="688">
        <v>0</v>
      </c>
      <c r="U101" s="693"/>
      <c r="V101" s="690">
        <f t="shared" si="32"/>
        <v>0</v>
      </c>
      <c r="W101" s="683"/>
      <c r="X101" s="474">
        <f t="shared" si="33"/>
        <v>0</v>
      </c>
      <c r="Y101" s="474">
        <f t="shared" si="34"/>
        <v>0</v>
      </c>
      <c r="Z101" s="475">
        <f t="shared" si="35"/>
        <v>0</v>
      </c>
      <c r="AA101" s="475">
        <v>0</v>
      </c>
      <c r="AB101" s="476">
        <v>0</v>
      </c>
      <c r="AC101" s="38">
        <f t="shared" si="36"/>
        <v>0</v>
      </c>
      <c r="AD101" s="692">
        <f t="shared" si="29"/>
        <v>0</v>
      </c>
      <c r="AE101" s="692">
        <f t="shared" si="30"/>
        <v>0</v>
      </c>
      <c r="AF101" s="692">
        <f t="shared" si="31"/>
        <v>0</v>
      </c>
      <c r="AG101" s="38"/>
      <c r="AH101" s="692">
        <f t="shared" si="37"/>
        <v>0</v>
      </c>
      <c r="AI101" s="692">
        <f t="shared" si="38"/>
        <v>0</v>
      </c>
      <c r="AJ101" s="692">
        <f t="shared" si="39"/>
        <v>0</v>
      </c>
      <c r="AL101" s="38">
        <f t="shared" si="40"/>
        <v>0</v>
      </c>
    </row>
    <row r="102" spans="1:38" s="232" customFormat="1" hidden="1">
      <c r="A102" s="283"/>
      <c r="B102" s="283" t="s">
        <v>110</v>
      </c>
      <c r="C102" s="667"/>
      <c r="D102" s="123" t="s">
        <v>333</v>
      </c>
      <c r="E102" s="679"/>
      <c r="F102" s="529">
        <f>VLOOKUP(D102,'July 2013 Revenue'!D:V,19,FALSE)</f>
        <v>0</v>
      </c>
      <c r="G102" s="680"/>
      <c r="H102" s="680"/>
      <c r="I102" s="755"/>
      <c r="J102" s="682">
        <f t="shared" si="28"/>
        <v>0</v>
      </c>
      <c r="K102" s="683"/>
      <c r="L102" s="684"/>
      <c r="M102" s="753"/>
      <c r="N102" s="683">
        <v>0</v>
      </c>
      <c r="O102" s="686"/>
      <c r="P102" s="683">
        <v>0</v>
      </c>
      <c r="Q102" s="687">
        <f t="shared" si="1"/>
        <v>0</v>
      </c>
      <c r="R102" s="687"/>
      <c r="S102" s="687"/>
      <c r="T102" s="688">
        <v>0</v>
      </c>
      <c r="U102" s="693"/>
      <c r="V102" s="690">
        <f t="shared" si="32"/>
        <v>0</v>
      </c>
      <c r="W102" s="683"/>
      <c r="X102" s="474">
        <f t="shared" si="33"/>
        <v>0</v>
      </c>
      <c r="Y102" s="474">
        <f t="shared" si="34"/>
        <v>0</v>
      </c>
      <c r="Z102" s="475">
        <f t="shared" si="35"/>
        <v>0</v>
      </c>
      <c r="AA102" s="475">
        <v>0</v>
      </c>
      <c r="AB102" s="476">
        <v>0</v>
      </c>
      <c r="AC102" s="38">
        <f t="shared" si="36"/>
        <v>0</v>
      </c>
      <c r="AD102" s="692">
        <f t="shared" si="29"/>
        <v>0</v>
      </c>
      <c r="AE102" s="692">
        <f t="shared" si="30"/>
        <v>0</v>
      </c>
      <c r="AF102" s="692">
        <f t="shared" si="31"/>
        <v>0</v>
      </c>
      <c r="AG102" s="38"/>
      <c r="AH102" s="692">
        <f t="shared" si="37"/>
        <v>0</v>
      </c>
      <c r="AI102" s="692">
        <f t="shared" si="38"/>
        <v>0</v>
      </c>
      <c r="AJ102" s="692">
        <f t="shared" si="39"/>
        <v>0</v>
      </c>
      <c r="AL102" s="38">
        <f t="shared" si="40"/>
        <v>0</v>
      </c>
    </row>
    <row r="103" spans="1:38" s="232" customFormat="1" hidden="1">
      <c r="A103" s="283"/>
      <c r="B103" s="283" t="s">
        <v>110</v>
      </c>
      <c r="C103" s="667"/>
      <c r="D103" s="123" t="s">
        <v>334</v>
      </c>
      <c r="E103" s="679"/>
      <c r="F103" s="529">
        <f>VLOOKUP(D103,'July 2013 Revenue'!D:V,19,FALSE)</f>
        <v>0</v>
      </c>
      <c r="G103" s="680"/>
      <c r="H103" s="680"/>
      <c r="I103" s="755"/>
      <c r="J103" s="682">
        <f t="shared" si="28"/>
        <v>0</v>
      </c>
      <c r="K103" s="683"/>
      <c r="L103" s="684"/>
      <c r="M103" s="753"/>
      <c r="N103" s="683">
        <v>0</v>
      </c>
      <c r="O103" s="686"/>
      <c r="P103" s="683">
        <v>0</v>
      </c>
      <c r="Q103" s="687">
        <f t="shared" si="1"/>
        <v>0</v>
      </c>
      <c r="R103" s="687"/>
      <c r="S103" s="687"/>
      <c r="T103" s="688">
        <v>0</v>
      </c>
      <c r="U103" s="693"/>
      <c r="V103" s="690">
        <f t="shared" si="32"/>
        <v>0</v>
      </c>
      <c r="W103" s="683"/>
      <c r="X103" s="474">
        <f t="shared" si="33"/>
        <v>0</v>
      </c>
      <c r="Y103" s="474">
        <f t="shared" si="34"/>
        <v>0</v>
      </c>
      <c r="Z103" s="475">
        <f t="shared" si="35"/>
        <v>0</v>
      </c>
      <c r="AA103" s="475">
        <v>0</v>
      </c>
      <c r="AB103" s="476">
        <v>0</v>
      </c>
      <c r="AC103" s="38">
        <f t="shared" si="36"/>
        <v>0</v>
      </c>
      <c r="AD103" s="692">
        <f t="shared" si="29"/>
        <v>0</v>
      </c>
      <c r="AE103" s="692">
        <f t="shared" si="30"/>
        <v>0</v>
      </c>
      <c r="AF103" s="692">
        <f t="shared" si="31"/>
        <v>0</v>
      </c>
      <c r="AG103" s="38"/>
      <c r="AH103" s="692">
        <f t="shared" si="37"/>
        <v>0</v>
      </c>
      <c r="AI103" s="692">
        <f t="shared" si="38"/>
        <v>0</v>
      </c>
      <c r="AJ103" s="692">
        <f t="shared" si="39"/>
        <v>0</v>
      </c>
      <c r="AL103" s="38">
        <f t="shared" si="40"/>
        <v>0</v>
      </c>
    </row>
    <row r="104" spans="1:38" s="232" customFormat="1" hidden="1">
      <c r="A104" s="283"/>
      <c r="B104" s="283" t="s">
        <v>110</v>
      </c>
      <c r="C104" s="667"/>
      <c r="D104" s="123" t="s">
        <v>335</v>
      </c>
      <c r="E104" s="679"/>
      <c r="F104" s="529">
        <f>VLOOKUP(D104,'July 2013 Revenue'!D:V,19,FALSE)</f>
        <v>0</v>
      </c>
      <c r="G104" s="680"/>
      <c r="H104" s="680"/>
      <c r="I104" s="755"/>
      <c r="J104" s="682">
        <f t="shared" si="28"/>
        <v>0</v>
      </c>
      <c r="K104" s="683"/>
      <c r="L104" s="684"/>
      <c r="M104" s="753"/>
      <c r="N104" s="683">
        <v>0</v>
      </c>
      <c r="O104" s="686"/>
      <c r="P104" s="683">
        <v>0</v>
      </c>
      <c r="Q104" s="687">
        <f t="shared" si="1"/>
        <v>0</v>
      </c>
      <c r="R104" s="687"/>
      <c r="S104" s="687"/>
      <c r="T104" s="688">
        <v>0</v>
      </c>
      <c r="U104" s="693"/>
      <c r="V104" s="690">
        <f t="shared" si="32"/>
        <v>0</v>
      </c>
      <c r="W104" s="683"/>
      <c r="X104" s="474">
        <f t="shared" si="33"/>
        <v>0</v>
      </c>
      <c r="Y104" s="474">
        <f t="shared" si="34"/>
        <v>0</v>
      </c>
      <c r="Z104" s="475">
        <f t="shared" si="35"/>
        <v>0</v>
      </c>
      <c r="AA104" s="475">
        <v>0</v>
      </c>
      <c r="AB104" s="476">
        <v>0</v>
      </c>
      <c r="AC104" s="38">
        <f t="shared" si="36"/>
        <v>0</v>
      </c>
      <c r="AD104" s="692">
        <f t="shared" si="29"/>
        <v>0</v>
      </c>
      <c r="AE104" s="692">
        <f t="shared" si="30"/>
        <v>0</v>
      </c>
      <c r="AF104" s="692">
        <f t="shared" si="31"/>
        <v>0</v>
      </c>
      <c r="AG104" s="38"/>
      <c r="AH104" s="692">
        <f t="shared" si="37"/>
        <v>0</v>
      </c>
      <c r="AI104" s="692">
        <f t="shared" si="38"/>
        <v>0</v>
      </c>
      <c r="AJ104" s="692">
        <f t="shared" si="39"/>
        <v>0</v>
      </c>
      <c r="AL104" s="38">
        <f t="shared" si="40"/>
        <v>0</v>
      </c>
    </row>
    <row r="105" spans="1:38" s="232" customFormat="1" hidden="1">
      <c r="A105" s="283"/>
      <c r="B105" s="283" t="s">
        <v>110</v>
      </c>
      <c r="C105" s="667"/>
      <c r="D105" s="123" t="s">
        <v>336</v>
      </c>
      <c r="E105" s="679"/>
      <c r="F105" s="529">
        <f>VLOOKUP(D105,'July 2013 Revenue'!D:V,19,FALSE)</f>
        <v>0</v>
      </c>
      <c r="G105" s="680"/>
      <c r="H105" s="680"/>
      <c r="I105" s="755"/>
      <c r="J105" s="682">
        <f t="shared" si="28"/>
        <v>0</v>
      </c>
      <c r="K105" s="683"/>
      <c r="L105" s="684"/>
      <c r="M105" s="753"/>
      <c r="N105" s="683">
        <v>0</v>
      </c>
      <c r="O105" s="686"/>
      <c r="P105" s="683">
        <v>0</v>
      </c>
      <c r="Q105" s="687">
        <f t="shared" si="1"/>
        <v>0</v>
      </c>
      <c r="R105" s="687"/>
      <c r="S105" s="687"/>
      <c r="T105" s="688">
        <v>0</v>
      </c>
      <c r="U105" s="693"/>
      <c r="V105" s="690">
        <f t="shared" si="32"/>
        <v>0</v>
      </c>
      <c r="W105" s="683"/>
      <c r="X105" s="474">
        <f t="shared" si="33"/>
        <v>0</v>
      </c>
      <c r="Y105" s="474">
        <f t="shared" si="34"/>
        <v>0</v>
      </c>
      <c r="Z105" s="475">
        <f t="shared" si="35"/>
        <v>0</v>
      </c>
      <c r="AA105" s="475">
        <v>0</v>
      </c>
      <c r="AB105" s="476">
        <v>0</v>
      </c>
      <c r="AC105" s="38">
        <f t="shared" si="36"/>
        <v>0</v>
      </c>
      <c r="AD105" s="692">
        <f t="shared" si="29"/>
        <v>0</v>
      </c>
      <c r="AE105" s="692">
        <f t="shared" si="30"/>
        <v>0</v>
      </c>
      <c r="AF105" s="692">
        <f t="shared" si="31"/>
        <v>0</v>
      </c>
      <c r="AG105" s="38"/>
      <c r="AH105" s="692">
        <f t="shared" si="37"/>
        <v>0</v>
      </c>
      <c r="AI105" s="692">
        <f t="shared" si="38"/>
        <v>0</v>
      </c>
      <c r="AJ105" s="692">
        <f t="shared" si="39"/>
        <v>0</v>
      </c>
      <c r="AL105" s="38">
        <f t="shared" si="40"/>
        <v>0</v>
      </c>
    </row>
    <row r="106" spans="1:38" s="232" customFormat="1" hidden="1">
      <c r="A106" s="283"/>
      <c r="B106" s="283" t="s">
        <v>110</v>
      </c>
      <c r="C106" s="667"/>
      <c r="D106" s="123" t="s">
        <v>337</v>
      </c>
      <c r="E106" s="679"/>
      <c r="F106" s="529">
        <f>VLOOKUP(D106,'July 2013 Revenue'!D:V,19,FALSE)</f>
        <v>0</v>
      </c>
      <c r="G106" s="680"/>
      <c r="H106" s="680"/>
      <c r="I106" s="755"/>
      <c r="J106" s="682">
        <f t="shared" si="28"/>
        <v>0</v>
      </c>
      <c r="K106" s="683"/>
      <c r="L106" s="684"/>
      <c r="M106" s="753"/>
      <c r="N106" s="683">
        <v>0</v>
      </c>
      <c r="O106" s="686"/>
      <c r="P106" s="683">
        <v>0</v>
      </c>
      <c r="Q106" s="687">
        <f t="shared" si="1"/>
        <v>0</v>
      </c>
      <c r="R106" s="687"/>
      <c r="S106" s="687"/>
      <c r="T106" s="688">
        <v>0</v>
      </c>
      <c r="U106" s="693"/>
      <c r="V106" s="690">
        <f t="shared" si="32"/>
        <v>0</v>
      </c>
      <c r="W106" s="683"/>
      <c r="X106" s="474">
        <f t="shared" si="33"/>
        <v>0</v>
      </c>
      <c r="Y106" s="474">
        <f t="shared" si="34"/>
        <v>0</v>
      </c>
      <c r="Z106" s="475">
        <f t="shared" si="35"/>
        <v>0</v>
      </c>
      <c r="AA106" s="475">
        <v>0</v>
      </c>
      <c r="AB106" s="476">
        <v>0</v>
      </c>
      <c r="AC106" s="38">
        <f t="shared" si="36"/>
        <v>0</v>
      </c>
      <c r="AD106" s="692">
        <f t="shared" si="29"/>
        <v>0</v>
      </c>
      <c r="AE106" s="692">
        <f t="shared" si="30"/>
        <v>0</v>
      </c>
      <c r="AF106" s="692">
        <f t="shared" si="31"/>
        <v>0</v>
      </c>
      <c r="AG106" s="38"/>
      <c r="AH106" s="692">
        <f t="shared" si="37"/>
        <v>0</v>
      </c>
      <c r="AI106" s="692">
        <f t="shared" si="38"/>
        <v>0</v>
      </c>
      <c r="AJ106" s="692">
        <f t="shared" si="39"/>
        <v>0</v>
      </c>
      <c r="AL106" s="38">
        <f t="shared" si="40"/>
        <v>0</v>
      </c>
    </row>
    <row r="107" spans="1:38" s="232" customFormat="1" hidden="1">
      <c r="A107" s="283"/>
      <c r="B107" s="283" t="s">
        <v>110</v>
      </c>
      <c r="C107" s="667"/>
      <c r="D107" s="123" t="s">
        <v>338</v>
      </c>
      <c r="E107" s="679"/>
      <c r="F107" s="529">
        <f>VLOOKUP(D107,'July 2013 Revenue'!D:V,19,FALSE)</f>
        <v>0</v>
      </c>
      <c r="G107" s="680"/>
      <c r="H107" s="680"/>
      <c r="I107" s="755"/>
      <c r="J107" s="682">
        <f t="shared" si="28"/>
        <v>0</v>
      </c>
      <c r="K107" s="683"/>
      <c r="L107" s="684"/>
      <c r="M107" s="753"/>
      <c r="N107" s="683">
        <v>0</v>
      </c>
      <c r="O107" s="686"/>
      <c r="P107" s="683">
        <v>0</v>
      </c>
      <c r="Q107" s="687">
        <f t="shared" si="1"/>
        <v>0</v>
      </c>
      <c r="R107" s="687"/>
      <c r="S107" s="687"/>
      <c r="T107" s="688">
        <v>0</v>
      </c>
      <c r="U107" s="693"/>
      <c r="V107" s="690">
        <f t="shared" si="32"/>
        <v>0</v>
      </c>
      <c r="W107" s="683"/>
      <c r="X107" s="474">
        <f t="shared" si="33"/>
        <v>0</v>
      </c>
      <c r="Y107" s="474">
        <f t="shared" si="34"/>
        <v>0</v>
      </c>
      <c r="Z107" s="475">
        <f t="shared" si="35"/>
        <v>0</v>
      </c>
      <c r="AA107" s="475">
        <v>0</v>
      </c>
      <c r="AB107" s="476">
        <v>0</v>
      </c>
      <c r="AC107" s="38">
        <f t="shared" si="36"/>
        <v>0</v>
      </c>
      <c r="AD107" s="692">
        <f t="shared" si="29"/>
        <v>0</v>
      </c>
      <c r="AE107" s="692">
        <f t="shared" si="30"/>
        <v>0</v>
      </c>
      <c r="AF107" s="692">
        <f t="shared" si="31"/>
        <v>0</v>
      </c>
      <c r="AG107" s="38"/>
      <c r="AH107" s="692">
        <f t="shared" si="37"/>
        <v>0</v>
      </c>
      <c r="AI107" s="692">
        <f t="shared" si="38"/>
        <v>0</v>
      </c>
      <c r="AJ107" s="692">
        <f t="shared" si="39"/>
        <v>0</v>
      </c>
      <c r="AL107" s="38">
        <f t="shared" si="40"/>
        <v>0</v>
      </c>
    </row>
    <row r="108" spans="1:38" s="232" customFormat="1" hidden="1">
      <c r="A108" s="283"/>
      <c r="B108" s="283" t="s">
        <v>110</v>
      </c>
      <c r="C108" s="667"/>
      <c r="D108" s="123" t="s">
        <v>339</v>
      </c>
      <c r="E108" s="679"/>
      <c r="F108" s="529">
        <f>VLOOKUP(D108,'July 2013 Revenue'!D:V,19,FALSE)</f>
        <v>0</v>
      </c>
      <c r="G108" s="680"/>
      <c r="H108" s="680"/>
      <c r="I108" s="755"/>
      <c r="J108" s="682">
        <f t="shared" si="28"/>
        <v>0</v>
      </c>
      <c r="K108" s="683"/>
      <c r="L108" s="684"/>
      <c r="M108" s="753"/>
      <c r="N108" s="683">
        <v>0</v>
      </c>
      <c r="O108" s="686"/>
      <c r="P108" s="683">
        <v>0</v>
      </c>
      <c r="Q108" s="687">
        <f t="shared" si="1"/>
        <v>0</v>
      </c>
      <c r="R108" s="687"/>
      <c r="S108" s="687"/>
      <c r="T108" s="688">
        <v>0</v>
      </c>
      <c r="U108" s="693"/>
      <c r="V108" s="690">
        <f t="shared" si="32"/>
        <v>0</v>
      </c>
      <c r="W108" s="683"/>
      <c r="X108" s="474">
        <f t="shared" si="33"/>
        <v>0</v>
      </c>
      <c r="Y108" s="474">
        <f t="shared" si="34"/>
        <v>0</v>
      </c>
      <c r="Z108" s="475">
        <f t="shared" si="35"/>
        <v>0</v>
      </c>
      <c r="AA108" s="475">
        <v>0</v>
      </c>
      <c r="AB108" s="476">
        <v>0</v>
      </c>
      <c r="AC108" s="38">
        <f t="shared" si="36"/>
        <v>0</v>
      </c>
      <c r="AD108" s="692">
        <f t="shared" si="29"/>
        <v>0</v>
      </c>
      <c r="AE108" s="692">
        <f t="shared" si="30"/>
        <v>0</v>
      </c>
      <c r="AF108" s="692">
        <f t="shared" si="31"/>
        <v>0</v>
      </c>
      <c r="AG108" s="38"/>
      <c r="AH108" s="692">
        <f t="shared" si="37"/>
        <v>0</v>
      </c>
      <c r="AI108" s="692">
        <f t="shared" si="38"/>
        <v>0</v>
      </c>
      <c r="AJ108" s="692">
        <f t="shared" si="39"/>
        <v>0</v>
      </c>
      <c r="AL108" s="38">
        <f t="shared" si="40"/>
        <v>0</v>
      </c>
    </row>
    <row r="109" spans="1:38" s="232" customFormat="1" hidden="1">
      <c r="A109" s="283"/>
      <c r="B109" s="283" t="s">
        <v>110</v>
      </c>
      <c r="C109" s="667"/>
      <c r="D109" s="123" t="s">
        <v>340</v>
      </c>
      <c r="E109" s="679"/>
      <c r="F109" s="529">
        <f>VLOOKUP(D109,'July 2013 Revenue'!D:V,19,FALSE)</f>
        <v>0</v>
      </c>
      <c r="G109" s="680"/>
      <c r="H109" s="680"/>
      <c r="I109" s="755"/>
      <c r="J109" s="682">
        <f t="shared" si="28"/>
        <v>0</v>
      </c>
      <c r="K109" s="683"/>
      <c r="L109" s="684"/>
      <c r="M109" s="753"/>
      <c r="N109" s="683">
        <v>0</v>
      </c>
      <c r="O109" s="686"/>
      <c r="P109" s="683">
        <v>0</v>
      </c>
      <c r="Q109" s="687">
        <f t="shared" si="1"/>
        <v>0</v>
      </c>
      <c r="R109" s="687"/>
      <c r="S109" s="687"/>
      <c r="T109" s="688">
        <v>0</v>
      </c>
      <c r="U109" s="693"/>
      <c r="V109" s="690">
        <f t="shared" si="32"/>
        <v>0</v>
      </c>
      <c r="W109" s="683"/>
      <c r="X109" s="474">
        <f t="shared" si="33"/>
        <v>0</v>
      </c>
      <c r="Y109" s="474">
        <f t="shared" si="34"/>
        <v>0</v>
      </c>
      <c r="Z109" s="475">
        <f t="shared" si="35"/>
        <v>0</v>
      </c>
      <c r="AA109" s="475">
        <v>0</v>
      </c>
      <c r="AB109" s="476">
        <v>0</v>
      </c>
      <c r="AC109" s="38">
        <f t="shared" si="36"/>
        <v>0</v>
      </c>
      <c r="AD109" s="692">
        <f t="shared" si="29"/>
        <v>0</v>
      </c>
      <c r="AE109" s="692">
        <f t="shared" si="30"/>
        <v>0</v>
      </c>
      <c r="AF109" s="692">
        <f t="shared" si="31"/>
        <v>0</v>
      </c>
      <c r="AG109" s="38"/>
      <c r="AH109" s="692">
        <f t="shared" si="37"/>
        <v>0</v>
      </c>
      <c r="AI109" s="692">
        <f t="shared" si="38"/>
        <v>0</v>
      </c>
      <c r="AJ109" s="692">
        <f t="shared" si="39"/>
        <v>0</v>
      </c>
      <c r="AL109" s="38">
        <f t="shared" si="40"/>
        <v>0</v>
      </c>
    </row>
    <row r="110" spans="1:38" s="232" customFormat="1" hidden="1">
      <c r="A110" s="283"/>
      <c r="B110" s="283" t="s">
        <v>110</v>
      </c>
      <c r="C110" s="667"/>
      <c r="D110" s="123" t="s">
        <v>439</v>
      </c>
      <c r="E110" s="679"/>
      <c r="F110" s="529">
        <f>VLOOKUP(D110,'July 2013 Revenue'!D:V,19,FALSE)</f>
        <v>0</v>
      </c>
      <c r="G110" s="680"/>
      <c r="H110" s="680"/>
      <c r="I110" s="755"/>
      <c r="J110" s="682">
        <f t="shared" si="28"/>
        <v>0</v>
      </c>
      <c r="K110" s="683"/>
      <c r="L110" s="684"/>
      <c r="M110" s="753"/>
      <c r="N110" s="683">
        <v>0</v>
      </c>
      <c r="O110" s="686"/>
      <c r="P110" s="683">
        <v>0</v>
      </c>
      <c r="Q110" s="687">
        <f t="shared" si="1"/>
        <v>0</v>
      </c>
      <c r="R110" s="687"/>
      <c r="S110" s="687"/>
      <c r="T110" s="688">
        <v>0</v>
      </c>
      <c r="U110" s="693"/>
      <c r="V110" s="690">
        <f t="shared" si="32"/>
        <v>0</v>
      </c>
      <c r="W110" s="683"/>
      <c r="X110" s="474">
        <f t="shared" si="33"/>
        <v>0</v>
      </c>
      <c r="Y110" s="474">
        <f t="shared" si="34"/>
        <v>0</v>
      </c>
      <c r="Z110" s="475">
        <f t="shared" si="35"/>
        <v>0</v>
      </c>
      <c r="AA110" s="475">
        <v>0</v>
      </c>
      <c r="AB110" s="476">
        <v>0</v>
      </c>
      <c r="AC110" s="38">
        <f t="shared" si="36"/>
        <v>0</v>
      </c>
      <c r="AD110" s="692">
        <f t="shared" si="29"/>
        <v>0</v>
      </c>
      <c r="AE110" s="692">
        <f t="shared" si="30"/>
        <v>0</v>
      </c>
      <c r="AF110" s="692">
        <f t="shared" si="31"/>
        <v>0</v>
      </c>
      <c r="AG110" s="38"/>
      <c r="AH110" s="692">
        <f t="shared" si="37"/>
        <v>0</v>
      </c>
      <c r="AI110" s="692">
        <f t="shared" si="38"/>
        <v>0</v>
      </c>
      <c r="AJ110" s="692">
        <f t="shared" si="39"/>
        <v>0</v>
      </c>
      <c r="AL110" s="38">
        <f t="shared" si="40"/>
        <v>0</v>
      </c>
    </row>
    <row r="111" spans="1:38" s="232" customFormat="1" hidden="1">
      <c r="A111" s="283"/>
      <c r="B111" s="283" t="s">
        <v>110</v>
      </c>
      <c r="C111" s="667"/>
      <c r="D111" s="123" t="s">
        <v>592</v>
      </c>
      <c r="E111" s="679"/>
      <c r="F111" s="529">
        <f>VLOOKUP(D111,'July 2013 Revenue'!D:V,19,FALSE)</f>
        <v>0</v>
      </c>
      <c r="G111" s="680"/>
      <c r="H111" s="680"/>
      <c r="I111" s="755"/>
      <c r="J111" s="682">
        <f t="shared" si="28"/>
        <v>0</v>
      </c>
      <c r="K111" s="683"/>
      <c r="L111" s="684"/>
      <c r="M111" s="753"/>
      <c r="N111" s="683">
        <v>0</v>
      </c>
      <c r="O111" s="686"/>
      <c r="P111" s="683">
        <v>0</v>
      </c>
      <c r="Q111" s="687">
        <f t="shared" si="1"/>
        <v>0</v>
      </c>
      <c r="R111" s="687"/>
      <c r="S111" s="687"/>
      <c r="T111" s="688">
        <v>0</v>
      </c>
      <c r="U111" s="693"/>
      <c r="V111" s="690">
        <f t="shared" si="32"/>
        <v>0</v>
      </c>
      <c r="W111" s="683"/>
      <c r="X111" s="474">
        <f t="shared" si="33"/>
        <v>0</v>
      </c>
      <c r="Y111" s="474">
        <f t="shared" si="34"/>
        <v>0</v>
      </c>
      <c r="Z111" s="475">
        <f t="shared" si="35"/>
        <v>0</v>
      </c>
      <c r="AA111" s="475">
        <v>0</v>
      </c>
      <c r="AB111" s="476">
        <v>0</v>
      </c>
      <c r="AC111" s="38">
        <f t="shared" si="36"/>
        <v>0</v>
      </c>
      <c r="AD111" s="692">
        <f t="shared" si="29"/>
        <v>0</v>
      </c>
      <c r="AE111" s="692">
        <f t="shared" si="30"/>
        <v>0</v>
      </c>
      <c r="AF111" s="692">
        <f t="shared" si="31"/>
        <v>0</v>
      </c>
      <c r="AG111" s="38"/>
      <c r="AH111" s="692">
        <f t="shared" si="37"/>
        <v>0</v>
      </c>
      <c r="AI111" s="692">
        <f t="shared" si="38"/>
        <v>0</v>
      </c>
      <c r="AJ111" s="692">
        <f t="shared" si="39"/>
        <v>0</v>
      </c>
      <c r="AL111" s="38">
        <f t="shared" si="40"/>
        <v>0</v>
      </c>
    </row>
    <row r="112" spans="1:38" s="232" customFormat="1" hidden="1">
      <c r="A112" s="283"/>
      <c r="B112" s="283" t="s">
        <v>110</v>
      </c>
      <c r="C112" s="667"/>
      <c r="D112" s="123" t="s">
        <v>512</v>
      </c>
      <c r="E112" s="679"/>
      <c r="F112" s="529">
        <f>VLOOKUP(D112,'July 2013 Revenue'!D:V,19,FALSE)</f>
        <v>0</v>
      </c>
      <c r="G112" s="680"/>
      <c r="H112" s="680"/>
      <c r="I112" s="755"/>
      <c r="J112" s="682">
        <f t="shared" si="28"/>
        <v>0</v>
      </c>
      <c r="K112" s="683"/>
      <c r="L112" s="684"/>
      <c r="M112" s="753"/>
      <c r="N112" s="683">
        <v>0</v>
      </c>
      <c r="O112" s="686"/>
      <c r="P112" s="683"/>
      <c r="Q112" s="687">
        <f t="shared" si="1"/>
        <v>0</v>
      </c>
      <c r="R112" s="687"/>
      <c r="S112" s="687"/>
      <c r="T112" s="688">
        <v>0</v>
      </c>
      <c r="U112" s="693"/>
      <c r="V112" s="690">
        <f t="shared" si="32"/>
        <v>0</v>
      </c>
      <c r="W112" s="683"/>
      <c r="X112" s="474">
        <f t="shared" si="33"/>
        <v>0</v>
      </c>
      <c r="Y112" s="474">
        <f t="shared" si="34"/>
        <v>0</v>
      </c>
      <c r="Z112" s="475">
        <f t="shared" si="35"/>
        <v>0</v>
      </c>
      <c r="AA112" s="475">
        <v>0</v>
      </c>
      <c r="AB112" s="476">
        <v>0</v>
      </c>
      <c r="AC112" s="38">
        <f t="shared" si="36"/>
        <v>0</v>
      </c>
      <c r="AD112" s="692">
        <f t="shared" si="29"/>
        <v>0</v>
      </c>
      <c r="AE112" s="692">
        <f t="shared" si="30"/>
        <v>0</v>
      </c>
      <c r="AF112" s="692">
        <f t="shared" si="31"/>
        <v>0</v>
      </c>
      <c r="AG112" s="38"/>
      <c r="AH112" s="692">
        <f t="shared" si="37"/>
        <v>0</v>
      </c>
      <c r="AI112" s="692">
        <f t="shared" si="38"/>
        <v>0</v>
      </c>
      <c r="AJ112" s="692">
        <f t="shared" si="39"/>
        <v>0</v>
      </c>
      <c r="AL112" s="38">
        <f t="shared" si="40"/>
        <v>0</v>
      </c>
    </row>
    <row r="113" spans="1:38" s="24" customFormat="1">
      <c r="A113" s="32"/>
      <c r="B113" s="32" t="s">
        <v>110</v>
      </c>
      <c r="C113" s="667"/>
      <c r="D113" s="68" t="s">
        <v>588</v>
      </c>
      <c r="E113" s="679"/>
      <c r="F113" s="529">
        <f>VLOOKUP(D113,'July 2013 Revenue'!D:V,19,FALSE)</f>
        <v>0</v>
      </c>
      <c r="G113" s="680"/>
      <c r="H113" s="680"/>
      <c r="I113" s="755"/>
      <c r="J113" s="682">
        <f t="shared" si="28"/>
        <v>0</v>
      </c>
      <c r="K113" s="683"/>
      <c r="L113" s="684"/>
      <c r="M113" s="753"/>
      <c r="N113" s="698"/>
      <c r="O113" s="699"/>
      <c r="P113" s="698"/>
      <c r="Q113" s="687">
        <f t="shared" si="1"/>
        <v>0</v>
      </c>
      <c r="R113" s="687"/>
      <c r="S113" s="687"/>
      <c r="T113" s="688">
        <v>0</v>
      </c>
      <c r="U113" s="693"/>
      <c r="V113" s="690">
        <f t="shared" si="32"/>
        <v>0</v>
      </c>
      <c r="W113" s="683"/>
      <c r="X113" s="474">
        <f t="shared" si="33"/>
        <v>0</v>
      </c>
      <c r="Y113" s="474">
        <f t="shared" si="34"/>
        <v>0</v>
      </c>
      <c r="Z113" s="475">
        <f t="shared" si="35"/>
        <v>0</v>
      </c>
      <c r="AA113" s="475">
        <v>0</v>
      </c>
      <c r="AB113" s="476">
        <v>0</v>
      </c>
      <c r="AC113" s="38">
        <f t="shared" si="36"/>
        <v>0</v>
      </c>
      <c r="AD113" s="692">
        <f t="shared" si="29"/>
        <v>0</v>
      </c>
      <c r="AE113" s="692">
        <f t="shared" si="30"/>
        <v>0</v>
      </c>
      <c r="AF113" s="692">
        <f t="shared" si="31"/>
        <v>0</v>
      </c>
      <c r="AG113" s="38"/>
      <c r="AH113" s="692">
        <f t="shared" si="37"/>
        <v>0</v>
      </c>
      <c r="AI113" s="692">
        <f t="shared" si="38"/>
        <v>0</v>
      </c>
      <c r="AJ113" s="692">
        <f t="shared" si="39"/>
        <v>0</v>
      </c>
      <c r="AL113" s="38">
        <f t="shared" si="40"/>
        <v>0</v>
      </c>
    </row>
    <row r="114" spans="1:38" s="24" customFormat="1">
      <c r="A114" s="32"/>
      <c r="B114" s="32" t="s">
        <v>110</v>
      </c>
      <c r="C114" s="667"/>
      <c r="D114" s="68" t="s">
        <v>935</v>
      </c>
      <c r="E114" s="679">
        <v>6077.69</v>
      </c>
      <c r="F114" s="529">
        <f>VLOOKUP(D114,'July 2013 Revenue'!D:V,19,FALSE)</f>
        <v>-14000</v>
      </c>
      <c r="G114" s="680"/>
      <c r="H114" s="680"/>
      <c r="I114" s="755"/>
      <c r="J114" s="682">
        <f t="shared" si="28"/>
        <v>-7922.31</v>
      </c>
      <c r="K114" s="683"/>
      <c r="L114" s="684"/>
      <c r="M114" s="753">
        <v>12000</v>
      </c>
      <c r="N114" s="698"/>
      <c r="O114" s="699"/>
      <c r="P114" s="698"/>
      <c r="Q114" s="687">
        <f t="shared" si="1"/>
        <v>12000</v>
      </c>
      <c r="R114" s="687"/>
      <c r="S114" s="687"/>
      <c r="T114" s="688">
        <v>4694.1899999999996</v>
      </c>
      <c r="U114" s="693"/>
      <c r="V114" s="690">
        <f t="shared" si="32"/>
        <v>-7305.81</v>
      </c>
      <c r="W114" s="683"/>
      <c r="X114" s="474">
        <f t="shared" si="33"/>
        <v>12000</v>
      </c>
      <c r="Y114" s="474">
        <f t="shared" si="34"/>
        <v>0</v>
      </c>
      <c r="Z114" s="475">
        <f t="shared" si="35"/>
        <v>0</v>
      </c>
      <c r="AA114" s="475">
        <v>0</v>
      </c>
      <c r="AB114" s="476">
        <v>0</v>
      </c>
      <c r="AC114" s="38">
        <f t="shared" si="36"/>
        <v>0</v>
      </c>
      <c r="AD114" s="692">
        <f t="shared" si="29"/>
        <v>-7922.31</v>
      </c>
      <c r="AE114" s="692">
        <f t="shared" si="30"/>
        <v>0</v>
      </c>
      <c r="AF114" s="692">
        <f t="shared" si="31"/>
        <v>0</v>
      </c>
      <c r="AG114" s="38"/>
      <c r="AH114" s="692">
        <f t="shared" si="37"/>
        <v>12000</v>
      </c>
      <c r="AI114" s="692">
        <f t="shared" si="38"/>
        <v>0</v>
      </c>
      <c r="AJ114" s="692">
        <f t="shared" si="39"/>
        <v>0</v>
      </c>
      <c r="AL114" s="38">
        <f t="shared" si="40"/>
        <v>4077.6899999999996</v>
      </c>
    </row>
    <row r="115" spans="1:38">
      <c r="A115" s="21"/>
      <c r="B115" s="21" t="s">
        <v>109</v>
      </c>
      <c r="C115" s="666" t="s">
        <v>548</v>
      </c>
      <c r="D115" s="68" t="s">
        <v>461</v>
      </c>
      <c r="E115" s="679"/>
      <c r="F115" s="529">
        <f>VLOOKUP(D115,'July 2013 Revenue'!D:V,19,FALSE)</f>
        <v>2677.47</v>
      </c>
      <c r="G115" s="680"/>
      <c r="H115" s="680"/>
      <c r="I115" s="755"/>
      <c r="J115" s="682">
        <f t="shared" si="28"/>
        <v>2677.47</v>
      </c>
      <c r="K115" s="683"/>
      <c r="L115" s="684"/>
      <c r="M115" s="753"/>
      <c r="N115" s="683">
        <v>0</v>
      </c>
      <c r="O115" s="686"/>
      <c r="P115" s="683">
        <v>0</v>
      </c>
      <c r="Q115" s="687">
        <f t="shared" si="1"/>
        <v>0</v>
      </c>
      <c r="R115" s="687"/>
      <c r="S115" s="687"/>
      <c r="T115" s="688">
        <v>1778.41</v>
      </c>
      <c r="U115" s="693"/>
      <c r="V115" s="690">
        <f t="shared" si="32"/>
        <v>1778.41</v>
      </c>
      <c r="W115" s="683"/>
      <c r="X115" s="474">
        <f t="shared" si="33"/>
        <v>0</v>
      </c>
      <c r="Y115" s="474">
        <f t="shared" si="34"/>
        <v>0</v>
      </c>
      <c r="Z115" s="475">
        <f t="shared" si="35"/>
        <v>0</v>
      </c>
      <c r="AA115" s="475">
        <v>0</v>
      </c>
      <c r="AB115" s="476">
        <v>0</v>
      </c>
      <c r="AC115" s="38">
        <f t="shared" si="36"/>
        <v>0</v>
      </c>
      <c r="AD115" s="692">
        <f t="shared" si="29"/>
        <v>0</v>
      </c>
      <c r="AE115" s="692">
        <f t="shared" si="30"/>
        <v>2677.47</v>
      </c>
      <c r="AF115" s="692">
        <f t="shared" si="31"/>
        <v>0</v>
      </c>
      <c r="AG115" s="38"/>
      <c r="AH115" s="692">
        <f t="shared" si="37"/>
        <v>0</v>
      </c>
      <c r="AI115" s="692">
        <f t="shared" si="38"/>
        <v>0</v>
      </c>
      <c r="AJ115" s="692">
        <f t="shared" si="39"/>
        <v>0</v>
      </c>
      <c r="AL115" s="38">
        <f t="shared" si="40"/>
        <v>2677.47</v>
      </c>
    </row>
    <row r="116" spans="1:38">
      <c r="A116" s="20"/>
      <c r="B116" s="20" t="s">
        <v>109</v>
      </c>
      <c r="C116" s="667" t="s">
        <v>549</v>
      </c>
      <c r="D116" s="68" t="s">
        <v>22</v>
      </c>
      <c r="E116" s="679"/>
      <c r="F116" s="529">
        <f>VLOOKUP(D116,'July 2013 Revenue'!D:V,19,FALSE)</f>
        <v>0</v>
      </c>
      <c r="G116" s="680"/>
      <c r="H116" s="680"/>
      <c r="I116" s="755"/>
      <c r="J116" s="682">
        <f t="shared" si="28"/>
        <v>0</v>
      </c>
      <c r="K116" s="683"/>
      <c r="L116" s="684"/>
      <c r="M116" s="753"/>
      <c r="N116" s="683">
        <v>0</v>
      </c>
      <c r="O116" s="686"/>
      <c r="P116" s="683">
        <v>0</v>
      </c>
      <c r="Q116" s="687">
        <f t="shared" si="1"/>
        <v>0</v>
      </c>
      <c r="R116" s="687"/>
      <c r="S116" s="687"/>
      <c r="T116" s="688">
        <v>0</v>
      </c>
      <c r="U116" s="693"/>
      <c r="V116" s="690">
        <f t="shared" si="32"/>
        <v>0</v>
      </c>
      <c r="W116" s="683"/>
      <c r="X116" s="474">
        <f t="shared" si="33"/>
        <v>0</v>
      </c>
      <c r="Y116" s="474">
        <f t="shared" si="34"/>
        <v>0</v>
      </c>
      <c r="Z116" s="475">
        <f t="shared" si="35"/>
        <v>0</v>
      </c>
      <c r="AA116" s="475">
        <v>0</v>
      </c>
      <c r="AB116" s="476">
        <v>0</v>
      </c>
      <c r="AC116" s="38">
        <f t="shared" si="36"/>
        <v>0</v>
      </c>
      <c r="AD116" s="692">
        <f t="shared" si="29"/>
        <v>0</v>
      </c>
      <c r="AE116" s="692">
        <f t="shared" si="30"/>
        <v>0</v>
      </c>
      <c r="AF116" s="692">
        <f t="shared" si="31"/>
        <v>0</v>
      </c>
      <c r="AG116" s="38"/>
      <c r="AH116" s="692">
        <f t="shared" si="37"/>
        <v>0</v>
      </c>
      <c r="AI116" s="692">
        <f t="shared" si="38"/>
        <v>0</v>
      </c>
      <c r="AJ116" s="692">
        <f t="shared" si="39"/>
        <v>0</v>
      </c>
      <c r="AL116" s="38">
        <f t="shared" si="40"/>
        <v>0</v>
      </c>
    </row>
    <row r="117" spans="1:38">
      <c r="A117" s="20"/>
      <c r="B117" s="20" t="s">
        <v>110</v>
      </c>
      <c r="C117" s="667"/>
      <c r="D117" s="68" t="s">
        <v>24</v>
      </c>
      <c r="E117" s="679">
        <f>9017.05+9087.02</f>
        <v>18104.07</v>
      </c>
      <c r="F117" s="529">
        <f>VLOOKUP(D117,'July 2013 Revenue'!D:V,19,FALSE)</f>
        <v>8223.56</v>
      </c>
      <c r="G117" s="680"/>
      <c r="H117" s="680"/>
      <c r="I117" s="770">
        <v>9041.73</v>
      </c>
      <c r="J117" s="682">
        <f t="shared" si="28"/>
        <v>35369.360000000001</v>
      </c>
      <c r="K117" s="683"/>
      <c r="L117" s="684"/>
      <c r="M117" s="753"/>
      <c r="N117" s="683">
        <v>0</v>
      </c>
      <c r="O117" s="686"/>
      <c r="P117" s="683">
        <v>0</v>
      </c>
      <c r="Q117" s="687">
        <f t="shared" si="1"/>
        <v>0</v>
      </c>
      <c r="R117" s="687"/>
      <c r="S117" s="687"/>
      <c r="T117" s="688">
        <v>0</v>
      </c>
      <c r="U117" s="693"/>
      <c r="V117" s="690">
        <f t="shared" si="32"/>
        <v>0</v>
      </c>
      <c r="W117" s="683"/>
      <c r="X117" s="474">
        <f t="shared" si="33"/>
        <v>0</v>
      </c>
      <c r="Y117" s="474">
        <f t="shared" si="34"/>
        <v>0</v>
      </c>
      <c r="Z117" s="475">
        <f t="shared" si="35"/>
        <v>0</v>
      </c>
      <c r="AA117" s="475">
        <v>0</v>
      </c>
      <c r="AB117" s="476">
        <v>0</v>
      </c>
      <c r="AC117" s="38">
        <f t="shared" si="36"/>
        <v>0</v>
      </c>
      <c r="AD117" s="692">
        <f t="shared" si="29"/>
        <v>35369.360000000001</v>
      </c>
      <c r="AE117" s="692">
        <f t="shared" si="30"/>
        <v>0</v>
      </c>
      <c r="AF117" s="692">
        <f t="shared" si="31"/>
        <v>0</v>
      </c>
      <c r="AG117" s="38"/>
      <c r="AH117" s="692">
        <f t="shared" si="37"/>
        <v>0</v>
      </c>
      <c r="AI117" s="692">
        <f t="shared" si="38"/>
        <v>0</v>
      </c>
      <c r="AJ117" s="692">
        <f t="shared" si="39"/>
        <v>0</v>
      </c>
      <c r="AL117" s="38">
        <f t="shared" si="40"/>
        <v>35369.360000000001</v>
      </c>
    </row>
    <row r="118" spans="1:38">
      <c r="A118" s="21"/>
      <c r="B118" s="21" t="s">
        <v>110</v>
      </c>
      <c r="C118" s="666"/>
      <c r="D118" s="68" t="s">
        <v>937</v>
      </c>
      <c r="E118" s="679"/>
      <c r="F118" s="529">
        <f>VLOOKUP(D118,'July 2013 Revenue'!D:V,19,FALSE)</f>
        <v>0</v>
      </c>
      <c r="G118" s="680"/>
      <c r="H118" s="680"/>
      <c r="I118" s="755"/>
      <c r="J118" s="682">
        <f t="shared" si="28"/>
        <v>0</v>
      </c>
      <c r="K118" s="683"/>
      <c r="L118" s="684"/>
      <c r="M118" s="753"/>
      <c r="N118" s="683">
        <v>0</v>
      </c>
      <c r="O118" s="686"/>
      <c r="P118" s="683">
        <v>0</v>
      </c>
      <c r="Q118" s="687">
        <f t="shared" si="1"/>
        <v>0</v>
      </c>
      <c r="R118" s="687"/>
      <c r="S118" s="687"/>
      <c r="T118" s="688">
        <v>0</v>
      </c>
      <c r="U118" s="693"/>
      <c r="V118" s="690">
        <f t="shared" si="32"/>
        <v>0</v>
      </c>
      <c r="W118" s="683"/>
      <c r="X118" s="474">
        <f t="shared" si="33"/>
        <v>0</v>
      </c>
      <c r="Y118" s="474">
        <f t="shared" si="34"/>
        <v>0</v>
      </c>
      <c r="Z118" s="475">
        <f t="shared" si="35"/>
        <v>0</v>
      </c>
      <c r="AA118" s="475">
        <v>0</v>
      </c>
      <c r="AB118" s="476">
        <v>0</v>
      </c>
      <c r="AC118" s="38">
        <f t="shared" si="36"/>
        <v>0</v>
      </c>
      <c r="AD118" s="692">
        <f t="shared" si="29"/>
        <v>0</v>
      </c>
      <c r="AE118" s="692">
        <f t="shared" si="30"/>
        <v>0</v>
      </c>
      <c r="AF118" s="692">
        <f t="shared" si="31"/>
        <v>0</v>
      </c>
      <c r="AG118" s="38"/>
      <c r="AH118" s="692">
        <f t="shared" si="37"/>
        <v>0</v>
      </c>
      <c r="AI118" s="692">
        <f t="shared" si="38"/>
        <v>0</v>
      </c>
      <c r="AJ118" s="692">
        <f t="shared" si="39"/>
        <v>0</v>
      </c>
      <c r="AL118" s="38">
        <f t="shared" si="40"/>
        <v>0</v>
      </c>
    </row>
    <row r="119" spans="1:38">
      <c r="A119" s="21"/>
      <c r="B119" s="21" t="s">
        <v>110</v>
      </c>
      <c r="C119" s="666"/>
      <c r="D119" s="68" t="s">
        <v>967</v>
      </c>
      <c r="E119" s="679"/>
      <c r="F119" s="529">
        <f>VLOOKUP(D119,'July 2013 Revenue'!D:V,19,FALSE)</f>
        <v>0</v>
      </c>
      <c r="G119" s="680"/>
      <c r="H119" s="680"/>
      <c r="I119" s="755"/>
      <c r="J119" s="682">
        <f t="shared" si="28"/>
        <v>0</v>
      </c>
      <c r="K119" s="683"/>
      <c r="L119" s="684"/>
      <c r="M119" s="753"/>
      <c r="N119" s="683">
        <v>0</v>
      </c>
      <c r="O119" s="686"/>
      <c r="P119" s="683">
        <v>0</v>
      </c>
      <c r="Q119" s="687">
        <f t="shared" si="1"/>
        <v>0</v>
      </c>
      <c r="R119" s="687"/>
      <c r="S119" s="687"/>
      <c r="T119" s="688">
        <v>0</v>
      </c>
      <c r="U119" s="693"/>
      <c r="V119" s="690">
        <f t="shared" si="32"/>
        <v>0</v>
      </c>
      <c r="W119" s="683"/>
      <c r="X119" s="474">
        <f t="shared" si="33"/>
        <v>0</v>
      </c>
      <c r="Y119" s="474">
        <f t="shared" si="34"/>
        <v>0</v>
      </c>
      <c r="Z119" s="475">
        <f t="shared" si="35"/>
        <v>0</v>
      </c>
      <c r="AA119" s="475">
        <v>0</v>
      </c>
      <c r="AB119" s="476">
        <v>0</v>
      </c>
      <c r="AC119" s="38">
        <f t="shared" si="36"/>
        <v>0</v>
      </c>
      <c r="AD119" s="692">
        <f t="shared" si="29"/>
        <v>0</v>
      </c>
      <c r="AE119" s="692">
        <f t="shared" si="30"/>
        <v>0</v>
      </c>
      <c r="AF119" s="692">
        <f t="shared" si="31"/>
        <v>0</v>
      </c>
      <c r="AG119" s="38"/>
      <c r="AH119" s="692">
        <f t="shared" si="37"/>
        <v>0</v>
      </c>
      <c r="AI119" s="692">
        <f t="shared" si="38"/>
        <v>0</v>
      </c>
      <c r="AJ119" s="692">
        <f t="shared" si="39"/>
        <v>0</v>
      </c>
      <c r="AL119" s="38">
        <f t="shared" ref="AL119" si="41">SUM(AD119:AJ119)</f>
        <v>0</v>
      </c>
    </row>
    <row r="120" spans="1:38">
      <c r="A120" s="21"/>
      <c r="B120" s="21" t="s">
        <v>110</v>
      </c>
      <c r="C120" s="666" t="s">
        <v>550</v>
      </c>
      <c r="D120" s="68" t="s">
        <v>282</v>
      </c>
      <c r="E120" s="679"/>
      <c r="F120" s="529">
        <f>VLOOKUP(D120,'July 2013 Revenue'!D:V,19,FALSE)</f>
        <v>-3073.4000000000015</v>
      </c>
      <c r="G120" s="680"/>
      <c r="H120" s="680"/>
      <c r="I120" s="755"/>
      <c r="J120" s="682">
        <f t="shared" si="28"/>
        <v>-3073.4000000000015</v>
      </c>
      <c r="K120" s="683"/>
      <c r="L120" s="684"/>
      <c r="M120" s="753">
        <v>50000</v>
      </c>
      <c r="N120" s="683">
        <v>0</v>
      </c>
      <c r="O120" s="686"/>
      <c r="P120" s="683">
        <v>0</v>
      </c>
      <c r="Q120" s="687">
        <f t="shared" si="1"/>
        <v>50000</v>
      </c>
      <c r="R120" s="687"/>
      <c r="S120" s="687"/>
      <c r="T120" s="688">
        <v>49065.64</v>
      </c>
      <c r="U120" s="693"/>
      <c r="V120" s="690">
        <f t="shared" si="32"/>
        <v>-934.36000000000058</v>
      </c>
      <c r="W120" s="683"/>
      <c r="X120" s="474">
        <f t="shared" si="33"/>
        <v>50000</v>
      </c>
      <c r="Y120" s="474">
        <f t="shared" si="34"/>
        <v>0</v>
      </c>
      <c r="Z120" s="475">
        <f t="shared" si="35"/>
        <v>0</v>
      </c>
      <c r="AA120" s="475">
        <v>0</v>
      </c>
      <c r="AB120" s="476">
        <v>0</v>
      </c>
      <c r="AC120" s="38">
        <f t="shared" si="36"/>
        <v>0</v>
      </c>
      <c r="AD120" s="692">
        <f t="shared" si="29"/>
        <v>-3073.4000000000015</v>
      </c>
      <c r="AE120" s="692">
        <f t="shared" si="30"/>
        <v>0</v>
      </c>
      <c r="AF120" s="692">
        <f t="shared" si="31"/>
        <v>0</v>
      </c>
      <c r="AG120" s="38"/>
      <c r="AH120" s="692">
        <f t="shared" si="37"/>
        <v>50000</v>
      </c>
      <c r="AI120" s="692">
        <f t="shared" si="38"/>
        <v>0</v>
      </c>
      <c r="AJ120" s="692">
        <f t="shared" si="39"/>
        <v>0</v>
      </c>
      <c r="AL120" s="38">
        <f t="shared" si="40"/>
        <v>46926.6</v>
      </c>
    </row>
    <row r="121" spans="1:38">
      <c r="A121" s="21"/>
      <c r="B121" s="21" t="s">
        <v>109</v>
      </c>
      <c r="C121" s="666" t="s">
        <v>551</v>
      </c>
      <c r="D121" s="68" t="s">
        <v>499</v>
      </c>
      <c r="E121" s="679"/>
      <c r="F121" s="529">
        <f>VLOOKUP(D121,'July 2013 Revenue'!D:V,19,FALSE)</f>
        <v>0</v>
      </c>
      <c r="G121" s="680"/>
      <c r="H121" s="680"/>
      <c r="I121" s="755"/>
      <c r="J121" s="682">
        <f t="shared" si="28"/>
        <v>0</v>
      </c>
      <c r="K121" s="683"/>
      <c r="L121" s="684"/>
      <c r="M121" s="753"/>
      <c r="N121" s="683">
        <v>0</v>
      </c>
      <c r="O121" s="686"/>
      <c r="P121" s="683">
        <v>0</v>
      </c>
      <c r="Q121" s="687">
        <f t="shared" si="1"/>
        <v>0</v>
      </c>
      <c r="R121" s="687"/>
      <c r="S121" s="687"/>
      <c r="T121" s="688">
        <v>0</v>
      </c>
      <c r="U121" s="693"/>
      <c r="V121" s="690">
        <f t="shared" si="32"/>
        <v>0</v>
      </c>
      <c r="W121" s="683"/>
      <c r="X121" s="474">
        <f t="shared" si="33"/>
        <v>0</v>
      </c>
      <c r="Y121" s="474">
        <f t="shared" si="34"/>
        <v>0</v>
      </c>
      <c r="Z121" s="475">
        <f t="shared" si="35"/>
        <v>0</v>
      </c>
      <c r="AA121" s="475">
        <v>0</v>
      </c>
      <c r="AB121" s="476">
        <v>0</v>
      </c>
      <c r="AC121" s="38">
        <f t="shared" si="36"/>
        <v>0</v>
      </c>
      <c r="AD121" s="692">
        <f t="shared" si="29"/>
        <v>0</v>
      </c>
      <c r="AE121" s="692">
        <f t="shared" si="30"/>
        <v>0</v>
      </c>
      <c r="AF121" s="692">
        <f t="shared" si="31"/>
        <v>0</v>
      </c>
      <c r="AG121" s="38"/>
      <c r="AH121" s="692">
        <f t="shared" si="37"/>
        <v>0</v>
      </c>
      <c r="AI121" s="692">
        <f t="shared" si="38"/>
        <v>0</v>
      </c>
      <c r="AJ121" s="692">
        <f t="shared" si="39"/>
        <v>0</v>
      </c>
      <c r="AL121" s="38">
        <f t="shared" si="40"/>
        <v>0</v>
      </c>
    </row>
    <row r="122" spans="1:38">
      <c r="A122" s="21"/>
      <c r="B122" s="21" t="s">
        <v>110</v>
      </c>
      <c r="C122" s="666"/>
      <c r="D122" s="68" t="s">
        <v>28</v>
      </c>
      <c r="E122" s="679"/>
      <c r="F122" s="529">
        <f>VLOOKUP(D122,'July 2013 Revenue'!D:V,19,FALSE)</f>
        <v>0</v>
      </c>
      <c r="G122" s="680"/>
      <c r="H122" s="680"/>
      <c r="I122" s="770">
        <v>12537</v>
      </c>
      <c r="J122" s="682">
        <f t="shared" si="28"/>
        <v>12537</v>
      </c>
      <c r="K122" s="683"/>
      <c r="L122" s="684"/>
      <c r="M122" s="753"/>
      <c r="N122" s="683">
        <v>0</v>
      </c>
      <c r="O122" s="686"/>
      <c r="P122" s="683">
        <v>0</v>
      </c>
      <c r="Q122" s="687">
        <f t="shared" si="1"/>
        <v>0</v>
      </c>
      <c r="R122" s="687"/>
      <c r="S122" s="687"/>
      <c r="T122" s="688">
        <v>0</v>
      </c>
      <c r="U122" s="693"/>
      <c r="V122" s="690">
        <f t="shared" si="32"/>
        <v>0</v>
      </c>
      <c r="W122" s="683"/>
      <c r="X122" s="474">
        <f t="shared" si="33"/>
        <v>0</v>
      </c>
      <c r="Y122" s="474">
        <f t="shared" si="34"/>
        <v>0</v>
      </c>
      <c r="Z122" s="475">
        <f t="shared" si="35"/>
        <v>0</v>
      </c>
      <c r="AA122" s="475">
        <v>0</v>
      </c>
      <c r="AB122" s="476">
        <v>0</v>
      </c>
      <c r="AC122" s="38">
        <f t="shared" si="36"/>
        <v>0</v>
      </c>
      <c r="AD122" s="692">
        <f t="shared" si="29"/>
        <v>12537</v>
      </c>
      <c r="AE122" s="692">
        <f t="shared" si="30"/>
        <v>0</v>
      </c>
      <c r="AF122" s="692">
        <f t="shared" si="31"/>
        <v>0</v>
      </c>
      <c r="AG122" s="38"/>
      <c r="AH122" s="692">
        <f t="shared" si="37"/>
        <v>0</v>
      </c>
      <c r="AI122" s="692">
        <f t="shared" si="38"/>
        <v>0</v>
      </c>
      <c r="AJ122" s="692">
        <f t="shared" si="39"/>
        <v>0</v>
      </c>
      <c r="AL122" s="38">
        <f t="shared" si="40"/>
        <v>12537</v>
      </c>
    </row>
    <row r="123" spans="1:38">
      <c r="A123" s="21"/>
      <c r="B123" s="21" t="s">
        <v>114</v>
      </c>
      <c r="C123" s="666" t="s">
        <v>552</v>
      </c>
      <c r="D123" s="68" t="s">
        <v>513</v>
      </c>
      <c r="E123" s="679"/>
      <c r="F123" s="529">
        <f>VLOOKUP(D123,'July 2013 Revenue'!D:V,19,FALSE)</f>
        <v>-2742.1</v>
      </c>
      <c r="G123" s="680"/>
      <c r="H123" s="680"/>
      <c r="I123" s="755"/>
      <c r="J123" s="682">
        <f t="shared" si="28"/>
        <v>-2742.1</v>
      </c>
      <c r="K123" s="683"/>
      <c r="L123" s="684"/>
      <c r="M123" s="753">
        <v>6000</v>
      </c>
      <c r="N123" s="683">
        <v>0</v>
      </c>
      <c r="O123" s="686"/>
      <c r="P123" s="683">
        <v>0</v>
      </c>
      <c r="Q123" s="687">
        <f>L123+M123</f>
        <v>6000</v>
      </c>
      <c r="R123" s="687"/>
      <c r="S123" s="687"/>
      <c r="T123" s="688">
        <v>0</v>
      </c>
      <c r="U123" s="693"/>
      <c r="V123" s="690">
        <f t="shared" si="32"/>
        <v>-6000</v>
      </c>
      <c r="W123" s="683"/>
      <c r="X123" s="474">
        <f t="shared" si="33"/>
        <v>0</v>
      </c>
      <c r="Y123" s="474">
        <f t="shared" si="34"/>
        <v>0</v>
      </c>
      <c r="Z123" s="475">
        <f t="shared" si="35"/>
        <v>6000</v>
      </c>
      <c r="AA123" s="475">
        <v>0</v>
      </c>
      <c r="AB123" s="476">
        <v>0</v>
      </c>
      <c r="AC123" s="38">
        <f t="shared" si="36"/>
        <v>0</v>
      </c>
      <c r="AD123" s="692">
        <f t="shared" si="29"/>
        <v>0</v>
      </c>
      <c r="AE123" s="692">
        <f t="shared" si="30"/>
        <v>0</v>
      </c>
      <c r="AF123" s="692">
        <f t="shared" si="31"/>
        <v>-2742.1</v>
      </c>
      <c r="AG123" s="38"/>
      <c r="AH123" s="692">
        <f t="shared" si="37"/>
        <v>0</v>
      </c>
      <c r="AI123" s="692">
        <f t="shared" si="38"/>
        <v>0</v>
      </c>
      <c r="AJ123" s="692">
        <f t="shared" si="39"/>
        <v>6000</v>
      </c>
      <c r="AL123" s="38">
        <f t="shared" si="40"/>
        <v>3257.9</v>
      </c>
    </row>
    <row r="124" spans="1:38">
      <c r="A124" s="21"/>
      <c r="B124" s="21" t="s">
        <v>109</v>
      </c>
      <c r="C124" s="666" t="s">
        <v>553</v>
      </c>
      <c r="D124" s="68" t="s">
        <v>308</v>
      </c>
      <c r="E124" s="679">
        <v>1308.3900000000001</v>
      </c>
      <c r="F124" s="529">
        <f>VLOOKUP(D124,'July 2013 Revenue'!D:V,19,FALSE)</f>
        <v>0</v>
      </c>
      <c r="G124" s="680"/>
      <c r="H124" s="680"/>
      <c r="I124" s="755"/>
      <c r="J124" s="682">
        <f t="shared" si="28"/>
        <v>1308.3900000000001</v>
      </c>
      <c r="K124" s="683"/>
      <c r="L124" s="684"/>
      <c r="M124" s="753"/>
      <c r="N124" s="683">
        <v>0</v>
      </c>
      <c r="O124" s="686"/>
      <c r="P124" s="683">
        <v>0</v>
      </c>
      <c r="Q124" s="687">
        <f t="shared" si="1"/>
        <v>0</v>
      </c>
      <c r="R124" s="687"/>
      <c r="S124" s="687"/>
      <c r="T124" s="688">
        <v>1186.1300000000001</v>
      </c>
      <c r="U124" s="693"/>
      <c r="V124" s="690">
        <f t="shared" si="32"/>
        <v>1186.1300000000001</v>
      </c>
      <c r="W124" s="683"/>
      <c r="X124" s="474">
        <f t="shared" si="33"/>
        <v>0</v>
      </c>
      <c r="Y124" s="474">
        <f t="shared" si="34"/>
        <v>0</v>
      </c>
      <c r="Z124" s="475">
        <f t="shared" si="35"/>
        <v>0</v>
      </c>
      <c r="AA124" s="475">
        <v>0</v>
      </c>
      <c r="AB124" s="476">
        <v>0</v>
      </c>
      <c r="AC124" s="38">
        <f t="shared" si="36"/>
        <v>0</v>
      </c>
      <c r="AD124" s="692">
        <f t="shared" si="29"/>
        <v>0</v>
      </c>
      <c r="AE124" s="692">
        <f t="shared" si="30"/>
        <v>1308.3900000000001</v>
      </c>
      <c r="AF124" s="692">
        <f t="shared" si="31"/>
        <v>0</v>
      </c>
      <c r="AG124" s="38"/>
      <c r="AH124" s="692">
        <f t="shared" si="37"/>
        <v>0</v>
      </c>
      <c r="AI124" s="692">
        <f t="shared" si="38"/>
        <v>0</v>
      </c>
      <c r="AJ124" s="692">
        <f t="shared" si="39"/>
        <v>0</v>
      </c>
      <c r="AL124" s="38">
        <f t="shared" si="40"/>
        <v>1308.3900000000001</v>
      </c>
    </row>
    <row r="125" spans="1:38" s="232" customFormat="1">
      <c r="A125" s="283" t="s">
        <v>211</v>
      </c>
      <c r="B125" s="283" t="s">
        <v>109</v>
      </c>
      <c r="C125" s="667" t="s">
        <v>554</v>
      </c>
      <c r="D125" s="123" t="s">
        <v>389</v>
      </c>
      <c r="E125" s="679"/>
      <c r="F125" s="529">
        <f>VLOOKUP(D125,'July 2013 Revenue'!D:V,19,FALSE)</f>
        <v>0</v>
      </c>
      <c r="G125" s="680"/>
      <c r="H125" s="680"/>
      <c r="I125" s="755"/>
      <c r="J125" s="682">
        <f t="shared" si="28"/>
        <v>0</v>
      </c>
      <c r="K125" s="683"/>
      <c r="L125" s="684"/>
      <c r="M125" s="753"/>
      <c r="N125" s="683">
        <v>0</v>
      </c>
      <c r="O125" s="686"/>
      <c r="P125" s="683">
        <v>0</v>
      </c>
      <c r="Q125" s="687">
        <f t="shared" si="1"/>
        <v>0</v>
      </c>
      <c r="R125" s="687"/>
      <c r="S125" s="687"/>
      <c r="T125" s="688">
        <v>0</v>
      </c>
      <c r="U125" s="693"/>
      <c r="V125" s="690">
        <f t="shared" si="32"/>
        <v>0</v>
      </c>
      <c r="W125" s="683"/>
      <c r="X125" s="474">
        <f t="shared" si="33"/>
        <v>0</v>
      </c>
      <c r="Y125" s="474">
        <f t="shared" si="34"/>
        <v>0</v>
      </c>
      <c r="Z125" s="475">
        <f t="shared" si="35"/>
        <v>0</v>
      </c>
      <c r="AA125" s="475">
        <v>0</v>
      </c>
      <c r="AB125" s="476">
        <v>0</v>
      </c>
      <c r="AC125" s="38">
        <f t="shared" si="36"/>
        <v>0</v>
      </c>
      <c r="AD125" s="692">
        <f t="shared" si="29"/>
        <v>0</v>
      </c>
      <c r="AE125" s="692">
        <f t="shared" si="30"/>
        <v>0</v>
      </c>
      <c r="AF125" s="692">
        <f t="shared" si="31"/>
        <v>0</v>
      </c>
      <c r="AG125" s="38"/>
      <c r="AH125" s="692">
        <f t="shared" si="37"/>
        <v>0</v>
      </c>
      <c r="AI125" s="692">
        <f t="shared" si="38"/>
        <v>0</v>
      </c>
      <c r="AJ125" s="692">
        <f t="shared" si="39"/>
        <v>0</v>
      </c>
      <c r="AL125" s="38">
        <f t="shared" si="40"/>
        <v>0</v>
      </c>
    </row>
    <row r="126" spans="1:38" s="232" customFormat="1">
      <c r="A126" s="283"/>
      <c r="B126" s="283" t="s">
        <v>110</v>
      </c>
      <c r="C126" s="667"/>
      <c r="D126" s="123" t="s">
        <v>807</v>
      </c>
      <c r="E126" s="679"/>
      <c r="F126" s="529">
        <f>VLOOKUP(D126,'July 2013 Revenue'!D:V,19,FALSE)</f>
        <v>-1808.46</v>
      </c>
      <c r="G126" s="680"/>
      <c r="H126" s="680"/>
      <c r="I126" s="755"/>
      <c r="J126" s="682">
        <f t="shared" si="28"/>
        <v>-1808.46</v>
      </c>
      <c r="K126" s="683"/>
      <c r="L126" s="684"/>
      <c r="M126" s="753">
        <v>5000</v>
      </c>
      <c r="N126" s="683">
        <v>0</v>
      </c>
      <c r="O126" s="686"/>
      <c r="P126" s="683">
        <v>0</v>
      </c>
      <c r="Q126" s="687">
        <f t="shared" si="1"/>
        <v>5000</v>
      </c>
      <c r="R126" s="687"/>
      <c r="S126" s="687"/>
      <c r="T126" s="688">
        <v>3202.1</v>
      </c>
      <c r="U126" s="693"/>
      <c r="V126" s="690">
        <f t="shared" si="32"/>
        <v>-1797.9</v>
      </c>
      <c r="W126" s="683"/>
      <c r="X126" s="474">
        <f t="shared" si="33"/>
        <v>5000</v>
      </c>
      <c r="Y126" s="474">
        <f t="shared" si="34"/>
        <v>0</v>
      </c>
      <c r="Z126" s="475">
        <f t="shared" si="35"/>
        <v>0</v>
      </c>
      <c r="AA126" s="475">
        <v>0</v>
      </c>
      <c r="AB126" s="476">
        <v>0</v>
      </c>
      <c r="AC126" s="38">
        <f t="shared" si="36"/>
        <v>0</v>
      </c>
      <c r="AD126" s="692">
        <f t="shared" si="29"/>
        <v>-1808.46</v>
      </c>
      <c r="AE126" s="692">
        <f t="shared" si="30"/>
        <v>0</v>
      </c>
      <c r="AF126" s="692">
        <f t="shared" si="31"/>
        <v>0</v>
      </c>
      <c r="AG126" s="38"/>
      <c r="AH126" s="692">
        <f t="shared" si="37"/>
        <v>5000</v>
      </c>
      <c r="AI126" s="692">
        <f t="shared" si="38"/>
        <v>0</v>
      </c>
      <c r="AJ126" s="692">
        <f t="shared" si="39"/>
        <v>0</v>
      </c>
      <c r="AL126" s="38">
        <f t="shared" si="40"/>
        <v>3191.54</v>
      </c>
    </row>
    <row r="127" spans="1:38" s="232" customFormat="1">
      <c r="A127" s="283"/>
      <c r="B127" s="283" t="s">
        <v>109</v>
      </c>
      <c r="C127" s="667"/>
      <c r="D127" s="123" t="s">
        <v>808</v>
      </c>
      <c r="E127" s="679"/>
      <c r="F127" s="529">
        <f>VLOOKUP(D127,'July 2013 Revenue'!D:V,19,FALSE)</f>
        <v>1883.7999999999956</v>
      </c>
      <c r="G127" s="680"/>
      <c r="H127" s="680"/>
      <c r="I127" s="755"/>
      <c r="J127" s="682">
        <f t="shared" si="28"/>
        <v>1883.7999999999956</v>
      </c>
      <c r="K127" s="683"/>
      <c r="L127" s="684"/>
      <c r="M127" s="753">
        <v>40000</v>
      </c>
      <c r="N127" s="683">
        <v>0</v>
      </c>
      <c r="O127" s="686"/>
      <c r="P127" s="683">
        <v>0</v>
      </c>
      <c r="Q127" s="687">
        <f t="shared" si="1"/>
        <v>40000</v>
      </c>
      <c r="R127" s="687"/>
      <c r="S127" s="687"/>
      <c r="T127" s="688">
        <f>32474.26+784.94+8308.75</f>
        <v>41567.949999999997</v>
      </c>
      <c r="U127" s="693"/>
      <c r="V127" s="690">
        <f t="shared" si="32"/>
        <v>1567.9499999999971</v>
      </c>
      <c r="W127" s="683"/>
      <c r="X127" s="474">
        <f t="shared" si="33"/>
        <v>0</v>
      </c>
      <c r="Y127" s="474">
        <f t="shared" si="34"/>
        <v>40000</v>
      </c>
      <c r="Z127" s="475">
        <f t="shared" si="35"/>
        <v>0</v>
      </c>
      <c r="AA127" s="475">
        <v>0</v>
      </c>
      <c r="AB127" s="476">
        <v>0</v>
      </c>
      <c r="AC127" s="38">
        <f t="shared" si="36"/>
        <v>0</v>
      </c>
      <c r="AD127" s="692">
        <f t="shared" si="29"/>
        <v>0</v>
      </c>
      <c r="AE127" s="692">
        <f t="shared" si="30"/>
        <v>1883.7999999999956</v>
      </c>
      <c r="AF127" s="692">
        <f t="shared" si="31"/>
        <v>0</v>
      </c>
      <c r="AG127" s="38"/>
      <c r="AH127" s="692">
        <f t="shared" si="37"/>
        <v>0</v>
      </c>
      <c r="AI127" s="692">
        <f t="shared" si="38"/>
        <v>40000</v>
      </c>
      <c r="AJ127" s="692">
        <f t="shared" si="39"/>
        <v>0</v>
      </c>
      <c r="AL127" s="38">
        <f t="shared" si="40"/>
        <v>41883.799999999996</v>
      </c>
    </row>
    <row r="128" spans="1:38" s="232" customFormat="1">
      <c r="A128" s="403"/>
      <c r="B128" s="403" t="s">
        <v>110</v>
      </c>
      <c r="C128" s="666" t="s">
        <v>563</v>
      </c>
      <c r="D128" s="123" t="s">
        <v>867</v>
      </c>
      <c r="E128" s="688"/>
      <c r="F128" s="529">
        <f>VLOOKUP(D128,'July 2013 Revenue'!D:V,19,FALSE)</f>
        <v>0</v>
      </c>
      <c r="G128" s="680"/>
      <c r="H128" s="680"/>
      <c r="I128" s="755"/>
      <c r="J128" s="682">
        <f t="shared" si="28"/>
        <v>0</v>
      </c>
      <c r="K128" s="683"/>
      <c r="L128" s="684"/>
      <c r="M128" s="753"/>
      <c r="N128" s="683">
        <v>0</v>
      </c>
      <c r="O128" s="686"/>
      <c r="P128" s="683">
        <v>0</v>
      </c>
      <c r="Q128" s="687">
        <f t="shared" si="1"/>
        <v>0</v>
      </c>
      <c r="R128" s="687"/>
      <c r="S128" s="687"/>
      <c r="T128" s="688">
        <v>1198.98</v>
      </c>
      <c r="U128" s="693"/>
      <c r="V128" s="690">
        <f t="shared" si="32"/>
        <v>1198.98</v>
      </c>
      <c r="W128" s="683"/>
      <c r="X128" s="474">
        <f t="shared" si="33"/>
        <v>0</v>
      </c>
      <c r="Y128" s="474">
        <f t="shared" si="34"/>
        <v>0</v>
      </c>
      <c r="Z128" s="475">
        <f t="shared" si="35"/>
        <v>0</v>
      </c>
      <c r="AA128" s="475">
        <v>0</v>
      </c>
      <c r="AB128" s="476">
        <v>0</v>
      </c>
      <c r="AC128" s="38">
        <f t="shared" si="36"/>
        <v>0</v>
      </c>
      <c r="AD128" s="692">
        <f t="shared" si="29"/>
        <v>0</v>
      </c>
      <c r="AE128" s="692">
        <f t="shared" si="30"/>
        <v>0</v>
      </c>
      <c r="AF128" s="692">
        <f t="shared" si="31"/>
        <v>0</v>
      </c>
      <c r="AG128" s="38"/>
      <c r="AH128" s="692">
        <f t="shared" si="37"/>
        <v>0</v>
      </c>
      <c r="AI128" s="692">
        <f t="shared" si="38"/>
        <v>0</v>
      </c>
      <c r="AJ128" s="692">
        <f t="shared" si="39"/>
        <v>0</v>
      </c>
      <c r="AL128" s="38">
        <f t="shared" si="40"/>
        <v>0</v>
      </c>
    </row>
    <row r="129" spans="1:38" s="232" customFormat="1">
      <c r="A129" s="283"/>
      <c r="B129" s="283" t="s">
        <v>110</v>
      </c>
      <c r="C129" s="667"/>
      <c r="D129" s="68" t="s">
        <v>488</v>
      </c>
      <c r="E129" s="679"/>
      <c r="F129" s="529">
        <f>VLOOKUP(D129,'July 2013 Revenue'!D:V,19,FALSE)</f>
        <v>0</v>
      </c>
      <c r="G129" s="680"/>
      <c r="H129" s="680"/>
      <c r="I129" s="755"/>
      <c r="J129" s="682">
        <f t="shared" si="28"/>
        <v>0</v>
      </c>
      <c r="K129" s="683"/>
      <c r="L129" s="684"/>
      <c r="M129" s="753"/>
      <c r="N129" s="683">
        <v>0</v>
      </c>
      <c r="O129" s="686"/>
      <c r="P129" s="683">
        <v>0</v>
      </c>
      <c r="Q129" s="687">
        <f t="shared" si="1"/>
        <v>0</v>
      </c>
      <c r="R129" s="687"/>
      <c r="S129" s="687"/>
      <c r="T129" s="688">
        <v>0</v>
      </c>
      <c r="U129" s="693"/>
      <c r="V129" s="690">
        <f t="shared" si="32"/>
        <v>0</v>
      </c>
      <c r="W129" s="683"/>
      <c r="X129" s="474">
        <f t="shared" si="33"/>
        <v>0</v>
      </c>
      <c r="Y129" s="474">
        <f t="shared" si="34"/>
        <v>0</v>
      </c>
      <c r="Z129" s="475">
        <f t="shared" si="35"/>
        <v>0</v>
      </c>
      <c r="AA129" s="475">
        <v>0</v>
      </c>
      <c r="AB129" s="476">
        <v>0</v>
      </c>
      <c r="AC129" s="38">
        <f t="shared" si="36"/>
        <v>0</v>
      </c>
      <c r="AD129" s="692">
        <f t="shared" si="29"/>
        <v>0</v>
      </c>
      <c r="AE129" s="692">
        <f t="shared" si="30"/>
        <v>0</v>
      </c>
      <c r="AF129" s="692">
        <f t="shared" si="31"/>
        <v>0</v>
      </c>
      <c r="AG129" s="38"/>
      <c r="AH129" s="692">
        <f t="shared" si="37"/>
        <v>0</v>
      </c>
      <c r="AI129" s="692">
        <f t="shared" si="38"/>
        <v>0</v>
      </c>
      <c r="AJ129" s="692">
        <f t="shared" si="39"/>
        <v>0</v>
      </c>
      <c r="AL129" s="38">
        <f t="shared" si="40"/>
        <v>0</v>
      </c>
    </row>
    <row r="130" spans="1:38" s="232" customFormat="1">
      <c r="A130" s="283"/>
      <c r="B130" s="283" t="s">
        <v>110</v>
      </c>
      <c r="C130" s="667" t="s">
        <v>555</v>
      </c>
      <c r="D130" s="123" t="s">
        <v>192</v>
      </c>
      <c r="E130" s="679">
        <f>7221.77+6221.41</f>
        <v>13443.18</v>
      </c>
      <c r="F130" s="529">
        <f>VLOOKUP(D130,'July 2013 Revenue'!D:V,19,FALSE)</f>
        <v>-15000</v>
      </c>
      <c r="G130" s="680"/>
      <c r="H130" s="680"/>
      <c r="I130" s="755"/>
      <c r="J130" s="682">
        <f t="shared" si="28"/>
        <v>-1556.8199999999997</v>
      </c>
      <c r="K130" s="683"/>
      <c r="L130" s="684"/>
      <c r="M130" s="753">
        <v>10000</v>
      </c>
      <c r="N130" s="683">
        <v>0</v>
      </c>
      <c r="O130" s="686"/>
      <c r="P130" s="683">
        <v>0</v>
      </c>
      <c r="Q130" s="687">
        <f t="shared" si="1"/>
        <v>10000</v>
      </c>
      <c r="R130" s="687"/>
      <c r="S130" s="687"/>
      <c r="T130" s="688">
        <v>0</v>
      </c>
      <c r="U130" s="693"/>
      <c r="V130" s="690">
        <f t="shared" si="32"/>
        <v>-10000</v>
      </c>
      <c r="W130" s="683"/>
      <c r="X130" s="474">
        <f t="shared" si="33"/>
        <v>10000</v>
      </c>
      <c r="Y130" s="474">
        <f t="shared" si="34"/>
        <v>0</v>
      </c>
      <c r="Z130" s="475">
        <f t="shared" si="35"/>
        <v>0</v>
      </c>
      <c r="AA130" s="475">
        <v>0</v>
      </c>
      <c r="AB130" s="476">
        <v>0</v>
      </c>
      <c r="AC130" s="38">
        <f t="shared" si="36"/>
        <v>0</v>
      </c>
      <c r="AD130" s="692">
        <f t="shared" si="29"/>
        <v>-1556.8199999999997</v>
      </c>
      <c r="AE130" s="692">
        <f t="shared" si="30"/>
        <v>0</v>
      </c>
      <c r="AF130" s="692">
        <f t="shared" si="31"/>
        <v>0</v>
      </c>
      <c r="AG130" s="38"/>
      <c r="AH130" s="692">
        <f t="shared" si="37"/>
        <v>10000</v>
      </c>
      <c r="AI130" s="692">
        <f t="shared" si="38"/>
        <v>0</v>
      </c>
      <c r="AJ130" s="692">
        <f t="shared" si="39"/>
        <v>0</v>
      </c>
      <c r="AL130" s="38">
        <f t="shared" si="40"/>
        <v>8443.18</v>
      </c>
    </row>
    <row r="131" spans="1:38" s="232" customFormat="1" hidden="1">
      <c r="A131" s="283"/>
      <c r="B131" s="283" t="s">
        <v>110</v>
      </c>
      <c r="C131" s="667" t="s">
        <v>555</v>
      </c>
      <c r="D131" s="123" t="s">
        <v>193</v>
      </c>
      <c r="E131" s="679"/>
      <c r="F131" s="529">
        <f>VLOOKUP(D131,'July 2013 Revenue'!D:V,19,FALSE)</f>
        <v>0</v>
      </c>
      <c r="G131" s="680"/>
      <c r="H131" s="680"/>
      <c r="I131" s="755"/>
      <c r="J131" s="682">
        <f t="shared" si="28"/>
        <v>0</v>
      </c>
      <c r="K131" s="683"/>
      <c r="L131" s="684"/>
      <c r="M131" s="753"/>
      <c r="N131" s="683">
        <v>0</v>
      </c>
      <c r="O131" s="686"/>
      <c r="P131" s="683">
        <v>0</v>
      </c>
      <c r="Q131" s="687">
        <f t="shared" si="1"/>
        <v>0</v>
      </c>
      <c r="R131" s="687"/>
      <c r="S131" s="687"/>
      <c r="T131" s="688">
        <v>0</v>
      </c>
      <c r="U131" s="693"/>
      <c r="V131" s="690">
        <f t="shared" si="32"/>
        <v>0</v>
      </c>
      <c r="W131" s="683"/>
      <c r="X131" s="474">
        <f t="shared" si="33"/>
        <v>0</v>
      </c>
      <c r="Y131" s="474">
        <f t="shared" si="34"/>
        <v>0</v>
      </c>
      <c r="Z131" s="475">
        <f t="shared" si="35"/>
        <v>0</v>
      </c>
      <c r="AA131" s="475">
        <v>0</v>
      </c>
      <c r="AB131" s="476">
        <v>0</v>
      </c>
      <c r="AC131" s="38">
        <f t="shared" si="36"/>
        <v>0</v>
      </c>
      <c r="AD131" s="692">
        <f t="shared" si="29"/>
        <v>0</v>
      </c>
      <c r="AE131" s="692">
        <f t="shared" si="30"/>
        <v>0</v>
      </c>
      <c r="AF131" s="692">
        <f t="shared" si="31"/>
        <v>0</v>
      </c>
      <c r="AG131" s="38"/>
      <c r="AH131" s="692">
        <f t="shared" si="37"/>
        <v>0</v>
      </c>
      <c r="AI131" s="692">
        <f t="shared" si="38"/>
        <v>0</v>
      </c>
      <c r="AJ131" s="692">
        <f t="shared" si="39"/>
        <v>0</v>
      </c>
      <c r="AL131" s="38">
        <f t="shared" si="40"/>
        <v>0</v>
      </c>
    </row>
    <row r="132" spans="1:38" s="232" customFormat="1" hidden="1">
      <c r="A132" s="283"/>
      <c r="B132" s="283" t="s">
        <v>110</v>
      </c>
      <c r="C132" s="667" t="s">
        <v>555</v>
      </c>
      <c r="D132" s="123" t="s">
        <v>194</v>
      </c>
      <c r="E132" s="679"/>
      <c r="F132" s="529">
        <f>VLOOKUP(D132,'July 2013 Revenue'!D:V,19,FALSE)</f>
        <v>0</v>
      </c>
      <c r="G132" s="680"/>
      <c r="H132" s="680"/>
      <c r="I132" s="755"/>
      <c r="J132" s="682">
        <f t="shared" si="28"/>
        <v>0</v>
      </c>
      <c r="K132" s="683"/>
      <c r="L132" s="684"/>
      <c r="M132" s="753"/>
      <c r="N132" s="683">
        <v>0</v>
      </c>
      <c r="O132" s="686"/>
      <c r="P132" s="683">
        <v>0</v>
      </c>
      <c r="Q132" s="687">
        <f t="shared" si="1"/>
        <v>0</v>
      </c>
      <c r="R132" s="687"/>
      <c r="S132" s="687"/>
      <c r="T132" s="688">
        <v>0</v>
      </c>
      <c r="U132" s="693"/>
      <c r="V132" s="690">
        <f t="shared" si="32"/>
        <v>0</v>
      </c>
      <c r="W132" s="683"/>
      <c r="X132" s="474">
        <f t="shared" si="33"/>
        <v>0</v>
      </c>
      <c r="Y132" s="474">
        <f t="shared" si="34"/>
        <v>0</v>
      </c>
      <c r="Z132" s="475">
        <f t="shared" si="35"/>
        <v>0</v>
      </c>
      <c r="AA132" s="475">
        <v>0</v>
      </c>
      <c r="AB132" s="476">
        <v>0</v>
      </c>
      <c r="AC132" s="38">
        <f t="shared" si="36"/>
        <v>0</v>
      </c>
      <c r="AD132" s="692">
        <f t="shared" si="29"/>
        <v>0</v>
      </c>
      <c r="AE132" s="692">
        <f t="shared" si="30"/>
        <v>0</v>
      </c>
      <c r="AF132" s="692">
        <f t="shared" si="31"/>
        <v>0</v>
      </c>
      <c r="AG132" s="38"/>
      <c r="AH132" s="692">
        <f t="shared" si="37"/>
        <v>0</v>
      </c>
      <c r="AI132" s="692">
        <f t="shared" si="38"/>
        <v>0</v>
      </c>
      <c r="AJ132" s="692">
        <f t="shared" si="39"/>
        <v>0</v>
      </c>
      <c r="AL132" s="38">
        <f t="shared" si="40"/>
        <v>0</v>
      </c>
    </row>
    <row r="133" spans="1:38" s="232" customFormat="1" hidden="1">
      <c r="A133" s="283"/>
      <c r="B133" s="283" t="s">
        <v>110</v>
      </c>
      <c r="C133" s="667" t="s">
        <v>555</v>
      </c>
      <c r="D133" s="123" t="s">
        <v>195</v>
      </c>
      <c r="E133" s="679"/>
      <c r="F133" s="529">
        <f>VLOOKUP(D133,'July 2013 Revenue'!D:V,19,FALSE)</f>
        <v>0</v>
      </c>
      <c r="G133" s="680"/>
      <c r="H133" s="680"/>
      <c r="I133" s="755"/>
      <c r="J133" s="682">
        <f t="shared" si="28"/>
        <v>0</v>
      </c>
      <c r="K133" s="683"/>
      <c r="L133" s="684"/>
      <c r="M133" s="753"/>
      <c r="N133" s="683">
        <v>0</v>
      </c>
      <c r="O133" s="686"/>
      <c r="P133" s="683">
        <v>0</v>
      </c>
      <c r="Q133" s="687">
        <f t="shared" si="1"/>
        <v>0</v>
      </c>
      <c r="R133" s="687"/>
      <c r="S133" s="687"/>
      <c r="T133" s="688">
        <v>0</v>
      </c>
      <c r="U133" s="693"/>
      <c r="V133" s="690">
        <f t="shared" si="32"/>
        <v>0</v>
      </c>
      <c r="W133" s="683"/>
      <c r="X133" s="474">
        <f t="shared" si="33"/>
        <v>0</v>
      </c>
      <c r="Y133" s="474">
        <f t="shared" si="34"/>
        <v>0</v>
      </c>
      <c r="Z133" s="475">
        <f t="shared" si="35"/>
        <v>0</v>
      </c>
      <c r="AA133" s="475">
        <v>0</v>
      </c>
      <c r="AB133" s="476">
        <v>0</v>
      </c>
      <c r="AC133" s="38">
        <f t="shared" si="36"/>
        <v>0</v>
      </c>
      <c r="AD133" s="692">
        <f t="shared" si="29"/>
        <v>0</v>
      </c>
      <c r="AE133" s="692">
        <f t="shared" si="30"/>
        <v>0</v>
      </c>
      <c r="AF133" s="692">
        <f t="shared" si="31"/>
        <v>0</v>
      </c>
      <c r="AG133" s="38"/>
      <c r="AH133" s="692">
        <f t="shared" si="37"/>
        <v>0</v>
      </c>
      <c r="AI133" s="692">
        <f t="shared" si="38"/>
        <v>0</v>
      </c>
      <c r="AJ133" s="692">
        <f t="shared" si="39"/>
        <v>0</v>
      </c>
      <c r="AL133" s="38">
        <f t="shared" si="40"/>
        <v>0</v>
      </c>
    </row>
    <row r="134" spans="1:38" s="232" customFormat="1" hidden="1">
      <c r="A134" s="283"/>
      <c r="B134" s="283" t="s">
        <v>110</v>
      </c>
      <c r="C134" s="667" t="s">
        <v>555</v>
      </c>
      <c r="D134" s="123" t="s">
        <v>196</v>
      </c>
      <c r="E134" s="679"/>
      <c r="F134" s="529">
        <f>VLOOKUP(D134,'July 2013 Revenue'!D:V,19,FALSE)</f>
        <v>0</v>
      </c>
      <c r="G134" s="680"/>
      <c r="H134" s="680"/>
      <c r="I134" s="755"/>
      <c r="J134" s="682">
        <f t="shared" si="28"/>
        <v>0</v>
      </c>
      <c r="K134" s="683"/>
      <c r="L134" s="684"/>
      <c r="M134" s="753"/>
      <c r="N134" s="683">
        <v>0</v>
      </c>
      <c r="O134" s="686"/>
      <c r="P134" s="683">
        <v>0</v>
      </c>
      <c r="Q134" s="687">
        <f t="shared" si="1"/>
        <v>0</v>
      </c>
      <c r="R134" s="687"/>
      <c r="S134" s="687"/>
      <c r="T134" s="688">
        <v>0</v>
      </c>
      <c r="U134" s="693"/>
      <c r="V134" s="690">
        <f t="shared" si="32"/>
        <v>0</v>
      </c>
      <c r="W134" s="683"/>
      <c r="X134" s="474">
        <f t="shared" si="33"/>
        <v>0</v>
      </c>
      <c r="Y134" s="474">
        <f t="shared" si="34"/>
        <v>0</v>
      </c>
      <c r="Z134" s="475">
        <f t="shared" si="35"/>
        <v>0</v>
      </c>
      <c r="AA134" s="475">
        <v>0</v>
      </c>
      <c r="AB134" s="476">
        <v>0</v>
      </c>
      <c r="AC134" s="38">
        <f t="shared" si="36"/>
        <v>0</v>
      </c>
      <c r="AD134" s="692">
        <f t="shared" si="29"/>
        <v>0</v>
      </c>
      <c r="AE134" s="692">
        <f t="shared" si="30"/>
        <v>0</v>
      </c>
      <c r="AF134" s="692">
        <f t="shared" si="31"/>
        <v>0</v>
      </c>
      <c r="AG134" s="38"/>
      <c r="AH134" s="692">
        <f t="shared" si="37"/>
        <v>0</v>
      </c>
      <c r="AI134" s="692">
        <f t="shared" si="38"/>
        <v>0</v>
      </c>
      <c r="AJ134" s="692">
        <f t="shared" si="39"/>
        <v>0</v>
      </c>
      <c r="AL134" s="38">
        <f t="shared" si="40"/>
        <v>0</v>
      </c>
    </row>
    <row r="135" spans="1:38" s="232" customFormat="1" hidden="1">
      <c r="A135" s="283"/>
      <c r="B135" s="283" t="s">
        <v>110</v>
      </c>
      <c r="C135" s="667" t="s">
        <v>555</v>
      </c>
      <c r="D135" s="123" t="s">
        <v>197</v>
      </c>
      <c r="E135" s="679"/>
      <c r="F135" s="529">
        <f>VLOOKUP(D135,'July 2013 Revenue'!D:V,19,FALSE)</f>
        <v>0</v>
      </c>
      <c r="G135" s="680"/>
      <c r="H135" s="680"/>
      <c r="I135" s="755"/>
      <c r="J135" s="682">
        <f t="shared" si="28"/>
        <v>0</v>
      </c>
      <c r="K135" s="683"/>
      <c r="L135" s="684"/>
      <c r="M135" s="753"/>
      <c r="N135" s="683">
        <v>0</v>
      </c>
      <c r="O135" s="686"/>
      <c r="P135" s="683">
        <v>0</v>
      </c>
      <c r="Q135" s="687">
        <f t="shared" si="1"/>
        <v>0</v>
      </c>
      <c r="R135" s="687"/>
      <c r="S135" s="687"/>
      <c r="T135" s="688">
        <v>0</v>
      </c>
      <c r="U135" s="693"/>
      <c r="V135" s="690">
        <f t="shared" si="32"/>
        <v>0</v>
      </c>
      <c r="W135" s="683"/>
      <c r="X135" s="474">
        <f t="shared" si="33"/>
        <v>0</v>
      </c>
      <c r="Y135" s="474">
        <f t="shared" si="34"/>
        <v>0</v>
      </c>
      <c r="Z135" s="475">
        <f t="shared" si="35"/>
        <v>0</v>
      </c>
      <c r="AA135" s="475">
        <v>0</v>
      </c>
      <c r="AB135" s="476">
        <v>0</v>
      </c>
      <c r="AC135" s="38">
        <f t="shared" si="36"/>
        <v>0</v>
      </c>
      <c r="AD135" s="692">
        <f t="shared" si="29"/>
        <v>0</v>
      </c>
      <c r="AE135" s="692">
        <f t="shared" si="30"/>
        <v>0</v>
      </c>
      <c r="AF135" s="692">
        <f t="shared" si="31"/>
        <v>0</v>
      </c>
      <c r="AG135" s="38"/>
      <c r="AH135" s="692">
        <f t="shared" si="37"/>
        <v>0</v>
      </c>
      <c r="AI135" s="692">
        <f t="shared" si="38"/>
        <v>0</v>
      </c>
      <c r="AJ135" s="692">
        <f t="shared" si="39"/>
        <v>0</v>
      </c>
      <c r="AL135" s="38">
        <f t="shared" si="40"/>
        <v>0</v>
      </c>
    </row>
    <row r="136" spans="1:38" s="232" customFormat="1" hidden="1">
      <c r="A136" s="283"/>
      <c r="B136" s="283" t="s">
        <v>110</v>
      </c>
      <c r="C136" s="667" t="s">
        <v>555</v>
      </c>
      <c r="D136" s="123" t="s">
        <v>440</v>
      </c>
      <c r="E136" s="679"/>
      <c r="F136" s="529">
        <f>VLOOKUP(D136,'July 2013 Revenue'!D:V,19,FALSE)</f>
        <v>0</v>
      </c>
      <c r="G136" s="680"/>
      <c r="H136" s="680"/>
      <c r="I136" s="755"/>
      <c r="J136" s="682">
        <f t="shared" si="28"/>
        <v>0</v>
      </c>
      <c r="K136" s="683"/>
      <c r="L136" s="684"/>
      <c r="M136" s="753"/>
      <c r="N136" s="683">
        <v>0</v>
      </c>
      <c r="O136" s="686"/>
      <c r="P136" s="683">
        <v>0</v>
      </c>
      <c r="Q136" s="687">
        <f t="shared" si="1"/>
        <v>0</v>
      </c>
      <c r="R136" s="687"/>
      <c r="S136" s="687"/>
      <c r="T136" s="688">
        <v>0</v>
      </c>
      <c r="U136" s="693"/>
      <c r="V136" s="690">
        <f t="shared" si="32"/>
        <v>0</v>
      </c>
      <c r="W136" s="683"/>
      <c r="X136" s="474">
        <f t="shared" si="33"/>
        <v>0</v>
      </c>
      <c r="Y136" s="474">
        <f t="shared" si="34"/>
        <v>0</v>
      </c>
      <c r="Z136" s="475">
        <f t="shared" si="35"/>
        <v>0</v>
      </c>
      <c r="AA136" s="475">
        <v>0</v>
      </c>
      <c r="AB136" s="476">
        <v>0</v>
      </c>
      <c r="AC136" s="38">
        <f t="shared" si="36"/>
        <v>0</v>
      </c>
      <c r="AD136" s="692">
        <f t="shared" si="29"/>
        <v>0</v>
      </c>
      <c r="AE136" s="692">
        <f t="shared" si="30"/>
        <v>0</v>
      </c>
      <c r="AF136" s="692">
        <f t="shared" si="31"/>
        <v>0</v>
      </c>
      <c r="AG136" s="38"/>
      <c r="AH136" s="692">
        <f t="shared" si="37"/>
        <v>0</v>
      </c>
      <c r="AI136" s="692">
        <f t="shared" si="38"/>
        <v>0</v>
      </c>
      <c r="AJ136" s="692">
        <f t="shared" si="39"/>
        <v>0</v>
      </c>
      <c r="AL136" s="38">
        <f t="shared" si="40"/>
        <v>0</v>
      </c>
    </row>
    <row r="137" spans="1:38" s="232" customFormat="1">
      <c r="A137" s="283"/>
      <c r="B137" s="283" t="s">
        <v>110</v>
      </c>
      <c r="C137" s="667" t="s">
        <v>555</v>
      </c>
      <c r="D137" s="123" t="s">
        <v>481</v>
      </c>
      <c r="E137" s="679"/>
      <c r="F137" s="529">
        <f>VLOOKUP(D137,'July 2013 Revenue'!D:V,19,FALSE)</f>
        <v>0</v>
      </c>
      <c r="G137" s="680"/>
      <c r="H137" s="680"/>
      <c r="I137" s="755"/>
      <c r="J137" s="682">
        <f t="shared" si="28"/>
        <v>0</v>
      </c>
      <c r="K137" s="683"/>
      <c r="L137" s="684"/>
      <c r="M137" s="753"/>
      <c r="N137" s="683">
        <v>0</v>
      </c>
      <c r="O137" s="686"/>
      <c r="P137" s="683">
        <v>0</v>
      </c>
      <c r="Q137" s="687">
        <f t="shared" si="1"/>
        <v>0</v>
      </c>
      <c r="R137" s="687"/>
      <c r="S137" s="687"/>
      <c r="T137" s="688">
        <v>0</v>
      </c>
      <c r="U137" s="693"/>
      <c r="V137" s="690">
        <f t="shared" si="32"/>
        <v>0</v>
      </c>
      <c r="W137" s="683"/>
      <c r="X137" s="474">
        <f t="shared" si="33"/>
        <v>0</v>
      </c>
      <c r="Y137" s="474">
        <f t="shared" si="34"/>
        <v>0</v>
      </c>
      <c r="Z137" s="475">
        <f t="shared" si="35"/>
        <v>0</v>
      </c>
      <c r="AA137" s="475">
        <v>0</v>
      </c>
      <c r="AB137" s="476">
        <v>0</v>
      </c>
      <c r="AC137" s="38">
        <f t="shared" si="36"/>
        <v>0</v>
      </c>
      <c r="AD137" s="692">
        <f t="shared" si="29"/>
        <v>0</v>
      </c>
      <c r="AE137" s="692">
        <f t="shared" si="30"/>
        <v>0</v>
      </c>
      <c r="AF137" s="692">
        <f t="shared" si="31"/>
        <v>0</v>
      </c>
      <c r="AG137" s="38"/>
      <c r="AH137" s="692">
        <f t="shared" si="37"/>
        <v>0</v>
      </c>
      <c r="AI137" s="692">
        <f t="shared" si="38"/>
        <v>0</v>
      </c>
      <c r="AJ137" s="692">
        <f t="shared" si="39"/>
        <v>0</v>
      </c>
      <c r="AL137" s="38">
        <f t="shared" si="40"/>
        <v>0</v>
      </c>
    </row>
    <row r="138" spans="1:38" s="232" customFormat="1">
      <c r="A138" s="283"/>
      <c r="B138" s="283" t="s">
        <v>109</v>
      </c>
      <c r="C138" s="667" t="s">
        <v>555</v>
      </c>
      <c r="D138" s="123" t="s">
        <v>248</v>
      </c>
      <c r="E138" s="679"/>
      <c r="F138" s="529">
        <f>VLOOKUP(D138,'July 2013 Revenue'!D:V,19,FALSE)</f>
        <v>0</v>
      </c>
      <c r="G138" s="680"/>
      <c r="H138" s="680"/>
      <c r="I138" s="755"/>
      <c r="J138" s="682">
        <f t="shared" si="28"/>
        <v>0</v>
      </c>
      <c r="K138" s="683"/>
      <c r="L138" s="684"/>
      <c r="M138" s="753"/>
      <c r="N138" s="683">
        <v>0</v>
      </c>
      <c r="O138" s="686"/>
      <c r="P138" s="683">
        <v>0</v>
      </c>
      <c r="Q138" s="687">
        <f t="shared" si="1"/>
        <v>0</v>
      </c>
      <c r="R138" s="687"/>
      <c r="S138" s="687"/>
      <c r="T138" s="688">
        <v>0</v>
      </c>
      <c r="U138" s="693"/>
      <c r="V138" s="690">
        <f t="shared" si="32"/>
        <v>0</v>
      </c>
      <c r="W138" s="683"/>
      <c r="X138" s="474">
        <f t="shared" si="33"/>
        <v>0</v>
      </c>
      <c r="Y138" s="474">
        <f t="shared" si="34"/>
        <v>0</v>
      </c>
      <c r="Z138" s="475">
        <f t="shared" si="35"/>
        <v>0</v>
      </c>
      <c r="AA138" s="475">
        <v>0</v>
      </c>
      <c r="AB138" s="476">
        <v>0</v>
      </c>
      <c r="AC138" s="38">
        <f t="shared" si="36"/>
        <v>0</v>
      </c>
      <c r="AD138" s="692">
        <f t="shared" si="29"/>
        <v>0</v>
      </c>
      <c r="AE138" s="692">
        <f t="shared" si="30"/>
        <v>0</v>
      </c>
      <c r="AF138" s="692">
        <f t="shared" si="31"/>
        <v>0</v>
      </c>
      <c r="AG138" s="38"/>
      <c r="AH138" s="692">
        <f t="shared" si="37"/>
        <v>0</v>
      </c>
      <c r="AI138" s="692">
        <f t="shared" si="38"/>
        <v>0</v>
      </c>
      <c r="AJ138" s="692">
        <f t="shared" si="39"/>
        <v>0</v>
      </c>
      <c r="AL138" s="38">
        <f t="shared" si="40"/>
        <v>0</v>
      </c>
    </row>
    <row r="139" spans="1:38" s="232" customFormat="1">
      <c r="A139" s="283"/>
      <c r="B139" s="20" t="s">
        <v>109</v>
      </c>
      <c r="C139" s="667"/>
      <c r="D139" s="68" t="s">
        <v>465</v>
      </c>
      <c r="E139" s="679"/>
      <c r="F139" s="529">
        <f>VLOOKUP(D139,'July 2013 Revenue'!D:V,19,FALSE)</f>
        <v>-10000</v>
      </c>
      <c r="G139" s="680"/>
      <c r="H139" s="680"/>
      <c r="I139" s="755"/>
      <c r="J139" s="682">
        <f t="shared" si="28"/>
        <v>-10000</v>
      </c>
      <c r="K139" s="683"/>
      <c r="L139" s="684"/>
      <c r="M139" s="753">
        <v>12000</v>
      </c>
      <c r="N139" s="683">
        <v>0</v>
      </c>
      <c r="O139" s="686"/>
      <c r="P139" s="683">
        <v>0</v>
      </c>
      <c r="Q139" s="687">
        <f t="shared" si="1"/>
        <v>12000</v>
      </c>
      <c r="R139" s="687"/>
      <c r="S139" s="687"/>
      <c r="T139" s="688">
        <v>0</v>
      </c>
      <c r="U139" s="693"/>
      <c r="V139" s="690">
        <f t="shared" si="32"/>
        <v>-12000</v>
      </c>
      <c r="W139" s="683"/>
      <c r="X139" s="474">
        <f t="shared" si="33"/>
        <v>0</v>
      </c>
      <c r="Y139" s="474">
        <f t="shared" si="34"/>
        <v>12000</v>
      </c>
      <c r="Z139" s="475">
        <f t="shared" si="35"/>
        <v>0</v>
      </c>
      <c r="AA139" s="475">
        <v>0</v>
      </c>
      <c r="AB139" s="476">
        <v>0</v>
      </c>
      <c r="AC139" s="38">
        <f t="shared" si="36"/>
        <v>0</v>
      </c>
      <c r="AD139" s="692">
        <f t="shared" si="29"/>
        <v>0</v>
      </c>
      <c r="AE139" s="692">
        <f t="shared" si="30"/>
        <v>-10000</v>
      </c>
      <c r="AF139" s="692">
        <f t="shared" si="31"/>
        <v>0</v>
      </c>
      <c r="AG139" s="38"/>
      <c r="AH139" s="692">
        <f t="shared" si="37"/>
        <v>0</v>
      </c>
      <c r="AI139" s="692">
        <f t="shared" si="38"/>
        <v>12000</v>
      </c>
      <c r="AJ139" s="692">
        <f t="shared" si="39"/>
        <v>0</v>
      </c>
      <c r="AL139" s="38">
        <f t="shared" si="40"/>
        <v>2000</v>
      </c>
    </row>
    <row r="140" spans="1:38">
      <c r="A140" s="21"/>
      <c r="B140" s="21" t="s">
        <v>110</v>
      </c>
      <c r="C140" s="666" t="s">
        <v>556</v>
      </c>
      <c r="D140" s="68" t="s">
        <v>261</v>
      </c>
      <c r="E140" s="679"/>
      <c r="F140" s="529">
        <f>VLOOKUP(D140,'July 2013 Revenue'!D:V,19,FALSE)</f>
        <v>15691.009999999951</v>
      </c>
      <c r="G140" s="680"/>
      <c r="H140" s="680"/>
      <c r="I140" s="755"/>
      <c r="J140" s="682">
        <f t="shared" si="28"/>
        <v>15691.009999999951</v>
      </c>
      <c r="K140" s="683"/>
      <c r="L140" s="684"/>
      <c r="M140" s="753">
        <v>285000</v>
      </c>
      <c r="N140" s="683">
        <v>0</v>
      </c>
      <c r="O140" s="686"/>
      <c r="P140" s="683">
        <v>0</v>
      </c>
      <c r="Q140" s="687">
        <f t="shared" si="1"/>
        <v>285000</v>
      </c>
      <c r="R140" s="687"/>
      <c r="S140" s="687"/>
      <c r="T140" s="688">
        <f>303931.52-T141</f>
        <v>286257.60000000003</v>
      </c>
      <c r="U140" s="693"/>
      <c r="V140" s="690">
        <f t="shared" si="32"/>
        <v>1257.6000000000349</v>
      </c>
      <c r="W140" s="683"/>
      <c r="X140" s="474">
        <f t="shared" si="33"/>
        <v>285000</v>
      </c>
      <c r="Y140" s="474">
        <f t="shared" si="34"/>
        <v>0</v>
      </c>
      <c r="Z140" s="475">
        <f t="shared" si="35"/>
        <v>0</v>
      </c>
      <c r="AA140" s="475">
        <v>0</v>
      </c>
      <c r="AB140" s="476">
        <v>0</v>
      </c>
      <c r="AC140" s="38">
        <f t="shared" si="36"/>
        <v>0</v>
      </c>
      <c r="AD140" s="692">
        <f t="shared" si="29"/>
        <v>15691.009999999951</v>
      </c>
      <c r="AE140" s="692">
        <f t="shared" si="30"/>
        <v>0</v>
      </c>
      <c r="AF140" s="692">
        <f t="shared" si="31"/>
        <v>0</v>
      </c>
      <c r="AG140" s="38"/>
      <c r="AH140" s="692">
        <f t="shared" si="37"/>
        <v>285000</v>
      </c>
      <c r="AI140" s="692">
        <f t="shared" si="38"/>
        <v>0</v>
      </c>
      <c r="AJ140" s="692">
        <f t="shared" si="39"/>
        <v>0</v>
      </c>
      <c r="AL140" s="38">
        <f t="shared" si="40"/>
        <v>300691.00999999995</v>
      </c>
    </row>
    <row r="141" spans="1:38" s="269" customFormat="1">
      <c r="A141" s="21"/>
      <c r="B141" s="21" t="s">
        <v>110</v>
      </c>
      <c r="C141" s="666" t="s">
        <v>556</v>
      </c>
      <c r="D141" s="68" t="s">
        <v>262</v>
      </c>
      <c r="E141" s="679"/>
      <c r="F141" s="529">
        <f>VLOOKUP(D141,'July 2013 Revenue'!D:V,19,FALSE)</f>
        <v>33.150000000001455</v>
      </c>
      <c r="G141" s="680"/>
      <c r="H141" s="680"/>
      <c r="I141" s="755"/>
      <c r="J141" s="682">
        <f t="shared" si="28"/>
        <v>33.150000000001455</v>
      </c>
      <c r="K141" s="683"/>
      <c r="L141" s="684"/>
      <c r="M141" s="753">
        <v>20000</v>
      </c>
      <c r="N141" s="683">
        <v>0</v>
      </c>
      <c r="O141" s="686"/>
      <c r="P141" s="683">
        <v>0</v>
      </c>
      <c r="Q141" s="687">
        <f t="shared" si="1"/>
        <v>20000</v>
      </c>
      <c r="R141" s="687"/>
      <c r="S141" s="687"/>
      <c r="T141" s="688">
        <v>17673.919999999998</v>
      </c>
      <c r="U141" s="693"/>
      <c r="V141" s="690">
        <f t="shared" si="32"/>
        <v>-2326.0800000000017</v>
      </c>
      <c r="W141" s="683"/>
      <c r="X141" s="474">
        <f t="shared" si="33"/>
        <v>20000</v>
      </c>
      <c r="Y141" s="474">
        <f t="shared" si="34"/>
        <v>0</v>
      </c>
      <c r="Z141" s="475">
        <f t="shared" si="35"/>
        <v>0</v>
      </c>
      <c r="AA141" s="475">
        <v>0</v>
      </c>
      <c r="AB141" s="476">
        <v>0</v>
      </c>
      <c r="AC141" s="38">
        <f t="shared" si="36"/>
        <v>0</v>
      </c>
      <c r="AD141" s="692">
        <f t="shared" si="29"/>
        <v>33.150000000001455</v>
      </c>
      <c r="AE141" s="692">
        <f t="shared" si="30"/>
        <v>0</v>
      </c>
      <c r="AF141" s="692">
        <f t="shared" si="31"/>
        <v>0</v>
      </c>
      <c r="AG141" s="38"/>
      <c r="AH141" s="692">
        <f t="shared" si="37"/>
        <v>20000</v>
      </c>
      <c r="AI141" s="692">
        <f t="shared" si="38"/>
        <v>0</v>
      </c>
      <c r="AJ141" s="692">
        <f t="shared" si="39"/>
        <v>0</v>
      </c>
      <c r="AL141" s="38">
        <f t="shared" si="40"/>
        <v>20033.150000000001</v>
      </c>
    </row>
    <row r="142" spans="1:38" s="269" customFormat="1">
      <c r="A142" s="21"/>
      <c r="B142" s="21" t="s">
        <v>114</v>
      </c>
      <c r="C142" s="675" t="s">
        <v>619</v>
      </c>
      <c r="D142" s="68" t="s">
        <v>626</v>
      </c>
      <c r="E142" s="679"/>
      <c r="F142" s="529">
        <f>VLOOKUP(D142,'July 2013 Revenue'!D:V,19,FALSE)</f>
        <v>0</v>
      </c>
      <c r="G142" s="680"/>
      <c r="H142" s="680"/>
      <c r="I142" s="770">
        <v>3552.18</v>
      </c>
      <c r="J142" s="682">
        <f t="shared" si="28"/>
        <v>3552.18</v>
      </c>
      <c r="K142" s="683"/>
      <c r="L142" s="684"/>
      <c r="M142" s="753"/>
      <c r="N142" s="683">
        <v>0</v>
      </c>
      <c r="O142" s="686"/>
      <c r="P142" s="683">
        <v>0</v>
      </c>
      <c r="Q142" s="687">
        <f t="shared" ref="Q142:Q208" si="42">L142+M142</f>
        <v>0</v>
      </c>
      <c r="R142" s="687"/>
      <c r="S142" s="687"/>
      <c r="T142" s="688">
        <v>3702.8</v>
      </c>
      <c r="U142" s="693"/>
      <c r="V142" s="690">
        <f t="shared" si="32"/>
        <v>3702.8</v>
      </c>
      <c r="W142" s="683"/>
      <c r="X142" s="474">
        <f t="shared" si="33"/>
        <v>0</v>
      </c>
      <c r="Y142" s="474">
        <f t="shared" si="34"/>
        <v>0</v>
      </c>
      <c r="Z142" s="475">
        <f t="shared" si="35"/>
        <v>0</v>
      </c>
      <c r="AA142" s="475">
        <v>0</v>
      </c>
      <c r="AB142" s="476">
        <v>0</v>
      </c>
      <c r="AC142" s="38">
        <f t="shared" si="36"/>
        <v>0</v>
      </c>
      <c r="AD142" s="692">
        <f t="shared" si="29"/>
        <v>0</v>
      </c>
      <c r="AE142" s="692">
        <f t="shared" si="30"/>
        <v>0</v>
      </c>
      <c r="AF142" s="692">
        <f t="shared" si="31"/>
        <v>3552.18</v>
      </c>
      <c r="AG142" s="38"/>
      <c r="AH142" s="692">
        <f t="shared" si="37"/>
        <v>0</v>
      </c>
      <c r="AI142" s="692">
        <f t="shared" si="38"/>
        <v>0</v>
      </c>
      <c r="AJ142" s="692">
        <f t="shared" si="39"/>
        <v>0</v>
      </c>
      <c r="AL142" s="38">
        <f t="shared" si="40"/>
        <v>3552.18</v>
      </c>
    </row>
    <row r="143" spans="1:38">
      <c r="A143" s="21"/>
      <c r="B143" s="21" t="s">
        <v>109</v>
      </c>
      <c r="C143" s="666"/>
      <c r="D143" s="68" t="s">
        <v>396</v>
      </c>
      <c r="E143" s="679"/>
      <c r="F143" s="529">
        <f>VLOOKUP(D143,'July 2013 Revenue'!D:V,19,FALSE)</f>
        <v>3.15</v>
      </c>
      <c r="G143" s="680"/>
      <c r="H143" s="680"/>
      <c r="I143" s="755"/>
      <c r="J143" s="682">
        <f t="shared" si="28"/>
        <v>3.15</v>
      </c>
      <c r="K143" s="683"/>
      <c r="L143" s="684"/>
      <c r="M143" s="753"/>
      <c r="N143" s="683">
        <v>0</v>
      </c>
      <c r="O143" s="686"/>
      <c r="P143" s="683">
        <v>0</v>
      </c>
      <c r="Q143" s="687">
        <f t="shared" si="42"/>
        <v>0</v>
      </c>
      <c r="R143" s="687"/>
      <c r="S143" s="687"/>
      <c r="T143" s="688">
        <v>2.7</v>
      </c>
      <c r="U143" s="693"/>
      <c r="V143" s="690">
        <f t="shared" si="32"/>
        <v>2.7</v>
      </c>
      <c r="W143" s="683"/>
      <c r="X143" s="474">
        <f t="shared" si="33"/>
        <v>0</v>
      </c>
      <c r="Y143" s="474">
        <f t="shared" si="34"/>
        <v>0</v>
      </c>
      <c r="Z143" s="475">
        <f t="shared" si="35"/>
        <v>0</v>
      </c>
      <c r="AA143" s="475">
        <v>0</v>
      </c>
      <c r="AB143" s="476">
        <v>0</v>
      </c>
      <c r="AC143" s="38">
        <f t="shared" si="36"/>
        <v>0</v>
      </c>
      <c r="AD143" s="692">
        <f t="shared" si="29"/>
        <v>0</v>
      </c>
      <c r="AE143" s="692">
        <f t="shared" si="30"/>
        <v>3.15</v>
      </c>
      <c r="AF143" s="692">
        <f t="shared" si="31"/>
        <v>0</v>
      </c>
      <c r="AG143" s="38"/>
      <c r="AH143" s="692">
        <f t="shared" si="37"/>
        <v>0</v>
      </c>
      <c r="AI143" s="692">
        <f t="shared" si="38"/>
        <v>0</v>
      </c>
      <c r="AJ143" s="692">
        <f t="shared" si="39"/>
        <v>0</v>
      </c>
      <c r="AL143" s="38">
        <f t="shared" si="40"/>
        <v>3.15</v>
      </c>
    </row>
    <row r="144" spans="1:38">
      <c r="A144" s="20"/>
      <c r="B144" s="20" t="s">
        <v>109</v>
      </c>
      <c r="C144" s="667" t="s">
        <v>557</v>
      </c>
      <c r="D144" s="68" t="s">
        <v>32</v>
      </c>
      <c r="E144" s="679"/>
      <c r="F144" s="529">
        <f>VLOOKUP(D144,'July 2013 Revenue'!D:V,19,FALSE)</f>
        <v>26.54</v>
      </c>
      <c r="G144" s="680"/>
      <c r="H144" s="680"/>
      <c r="I144" s="755"/>
      <c r="J144" s="682">
        <f t="shared" si="28"/>
        <v>26.54</v>
      </c>
      <c r="K144" s="683"/>
      <c r="L144" s="684"/>
      <c r="M144" s="753"/>
      <c r="N144" s="683">
        <v>0</v>
      </c>
      <c r="O144" s="686"/>
      <c r="P144" s="683">
        <v>0</v>
      </c>
      <c r="Q144" s="687">
        <f t="shared" si="42"/>
        <v>0</v>
      </c>
      <c r="R144" s="687"/>
      <c r="S144" s="687"/>
      <c r="T144" s="688">
        <v>0</v>
      </c>
      <c r="U144" s="693"/>
      <c r="V144" s="690">
        <f t="shared" si="32"/>
        <v>0</v>
      </c>
      <c r="W144" s="683"/>
      <c r="X144" s="474">
        <f t="shared" si="33"/>
        <v>0</v>
      </c>
      <c r="Y144" s="474">
        <f t="shared" si="34"/>
        <v>0</v>
      </c>
      <c r="Z144" s="475">
        <f t="shared" si="35"/>
        <v>0</v>
      </c>
      <c r="AA144" s="475">
        <v>0</v>
      </c>
      <c r="AB144" s="476">
        <v>0</v>
      </c>
      <c r="AC144" s="38">
        <f t="shared" si="36"/>
        <v>0</v>
      </c>
      <c r="AD144" s="692">
        <f t="shared" si="29"/>
        <v>0</v>
      </c>
      <c r="AE144" s="692">
        <f t="shared" si="30"/>
        <v>26.54</v>
      </c>
      <c r="AF144" s="692">
        <f t="shared" si="31"/>
        <v>0</v>
      </c>
      <c r="AG144" s="38"/>
      <c r="AH144" s="692">
        <f t="shared" si="37"/>
        <v>0</v>
      </c>
      <c r="AI144" s="692">
        <f t="shared" si="38"/>
        <v>0</v>
      </c>
      <c r="AJ144" s="692">
        <f t="shared" si="39"/>
        <v>0</v>
      </c>
      <c r="AL144" s="38">
        <f t="shared" si="40"/>
        <v>26.54</v>
      </c>
    </row>
    <row r="145" spans="1:38">
      <c r="A145" s="21"/>
      <c r="B145" s="21" t="s">
        <v>110</v>
      </c>
      <c r="C145" s="666"/>
      <c r="D145" s="68" t="s">
        <v>448</v>
      </c>
      <c r="E145" s="679"/>
      <c r="F145" s="529">
        <f>VLOOKUP(D145,'July 2013 Revenue'!D:V,19,FALSE)</f>
        <v>0</v>
      </c>
      <c r="G145" s="680"/>
      <c r="H145" s="680"/>
      <c r="I145" s="755"/>
      <c r="J145" s="682">
        <f t="shared" si="28"/>
        <v>0</v>
      </c>
      <c r="K145" s="683"/>
      <c r="L145" s="684"/>
      <c r="M145" s="753"/>
      <c r="N145" s="683">
        <v>0</v>
      </c>
      <c r="O145" s="686"/>
      <c r="P145" s="683">
        <v>0</v>
      </c>
      <c r="Q145" s="687">
        <f t="shared" si="42"/>
        <v>0</v>
      </c>
      <c r="R145" s="687"/>
      <c r="S145" s="687"/>
      <c r="T145" s="688">
        <v>0</v>
      </c>
      <c r="U145" s="693"/>
      <c r="V145" s="690">
        <f t="shared" si="32"/>
        <v>0</v>
      </c>
      <c r="W145" s="683"/>
      <c r="X145" s="474">
        <f t="shared" si="33"/>
        <v>0</v>
      </c>
      <c r="Y145" s="474">
        <f t="shared" si="34"/>
        <v>0</v>
      </c>
      <c r="Z145" s="475">
        <f t="shared" si="35"/>
        <v>0</v>
      </c>
      <c r="AA145" s="475">
        <v>0</v>
      </c>
      <c r="AB145" s="476">
        <v>0</v>
      </c>
      <c r="AC145" s="38">
        <f t="shared" si="36"/>
        <v>0</v>
      </c>
      <c r="AD145" s="692">
        <f t="shared" si="29"/>
        <v>0</v>
      </c>
      <c r="AE145" s="692">
        <f t="shared" si="30"/>
        <v>0</v>
      </c>
      <c r="AF145" s="692">
        <f t="shared" si="31"/>
        <v>0</v>
      </c>
      <c r="AG145" s="38"/>
      <c r="AH145" s="692">
        <f t="shared" si="37"/>
        <v>0</v>
      </c>
      <c r="AI145" s="692">
        <f t="shared" si="38"/>
        <v>0</v>
      </c>
      <c r="AJ145" s="692">
        <f t="shared" si="39"/>
        <v>0</v>
      </c>
      <c r="AL145" s="38">
        <f t="shared" si="40"/>
        <v>0</v>
      </c>
    </row>
    <row r="146" spans="1:38">
      <c r="A146" s="21"/>
      <c r="B146" s="21" t="s">
        <v>114</v>
      </c>
      <c r="C146" s="666"/>
      <c r="D146" s="68" t="s">
        <v>936</v>
      </c>
      <c r="E146" s="679"/>
      <c r="F146" s="529">
        <f>VLOOKUP(D146,'July 2013 Revenue'!D:V,19,FALSE)</f>
        <v>0</v>
      </c>
      <c r="G146" s="680"/>
      <c r="H146" s="680"/>
      <c r="I146" s="755"/>
      <c r="J146" s="682">
        <f t="shared" ref="J146:J209" si="43">SUM(E146:I146)</f>
        <v>0</v>
      </c>
      <c r="K146" s="683"/>
      <c r="L146" s="684"/>
      <c r="M146" s="753"/>
      <c r="N146" s="683">
        <v>0</v>
      </c>
      <c r="O146" s="686"/>
      <c r="P146" s="683">
        <v>0</v>
      </c>
      <c r="Q146" s="687">
        <f t="shared" si="42"/>
        <v>0</v>
      </c>
      <c r="R146" s="687"/>
      <c r="S146" s="687"/>
      <c r="T146" s="688">
        <v>0</v>
      </c>
      <c r="U146" s="693"/>
      <c r="V146" s="690">
        <f t="shared" si="32"/>
        <v>0</v>
      </c>
      <c r="W146" s="683"/>
      <c r="X146" s="474">
        <f t="shared" si="33"/>
        <v>0</v>
      </c>
      <c r="Y146" s="474">
        <f t="shared" si="34"/>
        <v>0</v>
      </c>
      <c r="Z146" s="475">
        <f t="shared" si="35"/>
        <v>0</v>
      </c>
      <c r="AA146" s="475">
        <v>0</v>
      </c>
      <c r="AB146" s="476">
        <v>0</v>
      </c>
      <c r="AC146" s="38">
        <f t="shared" si="36"/>
        <v>0</v>
      </c>
      <c r="AD146" s="692">
        <f t="shared" si="29"/>
        <v>0</v>
      </c>
      <c r="AE146" s="692">
        <f t="shared" si="30"/>
        <v>0</v>
      </c>
      <c r="AF146" s="692">
        <f t="shared" si="31"/>
        <v>0</v>
      </c>
      <c r="AG146" s="38"/>
      <c r="AH146" s="692">
        <f t="shared" si="37"/>
        <v>0</v>
      </c>
      <c r="AI146" s="692">
        <f t="shared" si="38"/>
        <v>0</v>
      </c>
      <c r="AJ146" s="692">
        <f t="shared" si="39"/>
        <v>0</v>
      </c>
      <c r="AL146" s="38">
        <f t="shared" si="40"/>
        <v>0</v>
      </c>
    </row>
    <row r="147" spans="1:38">
      <c r="A147" s="21"/>
      <c r="B147" s="21" t="s">
        <v>110</v>
      </c>
      <c r="C147" s="666"/>
      <c r="D147" s="68" t="s">
        <v>877</v>
      </c>
      <c r="E147" s="679"/>
      <c r="F147" s="529">
        <f>VLOOKUP(D147,'July 2013 Revenue'!D:V,19,FALSE)</f>
        <v>0</v>
      </c>
      <c r="G147" s="680"/>
      <c r="H147" s="680"/>
      <c r="I147" s="755"/>
      <c r="J147" s="682">
        <f t="shared" si="43"/>
        <v>0</v>
      </c>
      <c r="K147" s="683"/>
      <c r="L147" s="684"/>
      <c r="M147" s="753"/>
      <c r="N147" s="683">
        <v>0</v>
      </c>
      <c r="O147" s="686"/>
      <c r="P147" s="683">
        <v>0</v>
      </c>
      <c r="Q147" s="687">
        <f t="shared" si="42"/>
        <v>0</v>
      </c>
      <c r="R147" s="687"/>
      <c r="S147" s="687"/>
      <c r="T147" s="688">
        <v>0</v>
      </c>
      <c r="U147" s="693"/>
      <c r="V147" s="690">
        <f t="shared" si="32"/>
        <v>0</v>
      </c>
      <c r="W147" s="683"/>
      <c r="X147" s="474">
        <f t="shared" si="33"/>
        <v>0</v>
      </c>
      <c r="Y147" s="474">
        <f t="shared" si="34"/>
        <v>0</v>
      </c>
      <c r="Z147" s="475">
        <f t="shared" si="35"/>
        <v>0</v>
      </c>
      <c r="AA147" s="475">
        <v>0</v>
      </c>
      <c r="AB147" s="476">
        <v>0</v>
      </c>
      <c r="AC147" s="38">
        <f t="shared" si="36"/>
        <v>0</v>
      </c>
      <c r="AD147" s="692">
        <f t="shared" si="29"/>
        <v>0</v>
      </c>
      <c r="AE147" s="692">
        <f t="shared" si="30"/>
        <v>0</v>
      </c>
      <c r="AF147" s="692">
        <f t="shared" si="31"/>
        <v>0</v>
      </c>
      <c r="AG147" s="38"/>
      <c r="AH147" s="692">
        <f t="shared" si="37"/>
        <v>0</v>
      </c>
      <c r="AI147" s="692">
        <f t="shared" si="38"/>
        <v>0</v>
      </c>
      <c r="AJ147" s="692">
        <f t="shared" si="39"/>
        <v>0</v>
      </c>
      <c r="AL147" s="38">
        <f t="shared" si="40"/>
        <v>0</v>
      </c>
    </row>
    <row r="148" spans="1:38">
      <c r="A148" s="21"/>
      <c r="B148" s="21" t="s">
        <v>110</v>
      </c>
      <c r="C148" s="666" t="s">
        <v>558</v>
      </c>
      <c r="D148" s="68" t="s">
        <v>122</v>
      </c>
      <c r="E148" s="679"/>
      <c r="F148" s="529">
        <f>VLOOKUP(D148,'July 2013 Revenue'!D:V,19,FALSE)</f>
        <v>0</v>
      </c>
      <c r="G148" s="680"/>
      <c r="H148" s="680"/>
      <c r="I148" s="755"/>
      <c r="J148" s="682">
        <f t="shared" si="43"/>
        <v>0</v>
      </c>
      <c r="K148" s="683"/>
      <c r="L148" s="684"/>
      <c r="M148" s="753"/>
      <c r="N148" s="683">
        <v>0</v>
      </c>
      <c r="O148" s="686"/>
      <c r="P148" s="683">
        <v>0</v>
      </c>
      <c r="Q148" s="687">
        <f t="shared" si="42"/>
        <v>0</v>
      </c>
      <c r="R148" s="687"/>
      <c r="S148" s="687"/>
      <c r="T148" s="688">
        <v>0</v>
      </c>
      <c r="U148" s="693"/>
      <c r="V148" s="690">
        <f t="shared" si="32"/>
        <v>0</v>
      </c>
      <c r="W148" s="683"/>
      <c r="X148" s="474">
        <f t="shared" si="33"/>
        <v>0</v>
      </c>
      <c r="Y148" s="474">
        <f t="shared" si="34"/>
        <v>0</v>
      </c>
      <c r="Z148" s="475">
        <f t="shared" si="35"/>
        <v>0</v>
      </c>
      <c r="AA148" s="475">
        <v>0</v>
      </c>
      <c r="AB148" s="476">
        <v>0</v>
      </c>
      <c r="AC148" s="38">
        <f t="shared" si="36"/>
        <v>0</v>
      </c>
      <c r="AD148" s="692">
        <f t="shared" si="29"/>
        <v>0</v>
      </c>
      <c r="AE148" s="692">
        <f t="shared" si="30"/>
        <v>0</v>
      </c>
      <c r="AF148" s="692">
        <f t="shared" si="31"/>
        <v>0</v>
      </c>
      <c r="AG148" s="38"/>
      <c r="AH148" s="692">
        <f t="shared" si="37"/>
        <v>0</v>
      </c>
      <c r="AI148" s="692">
        <f t="shared" si="38"/>
        <v>0</v>
      </c>
      <c r="AJ148" s="692">
        <f t="shared" si="39"/>
        <v>0</v>
      </c>
      <c r="AL148" s="38">
        <f t="shared" si="40"/>
        <v>0</v>
      </c>
    </row>
    <row r="149" spans="1:38">
      <c r="A149" s="21"/>
      <c r="B149" s="21" t="s">
        <v>114</v>
      </c>
      <c r="C149" s="666" t="s">
        <v>558</v>
      </c>
      <c r="D149" s="68" t="s">
        <v>629</v>
      </c>
      <c r="E149" s="679"/>
      <c r="F149" s="529">
        <f>VLOOKUP(D149,'July 2013 Revenue'!D:V,19,FALSE)</f>
        <v>0</v>
      </c>
      <c r="G149" s="680"/>
      <c r="H149" s="680"/>
      <c r="I149" s="755"/>
      <c r="J149" s="682">
        <f t="shared" si="43"/>
        <v>0</v>
      </c>
      <c r="K149" s="683"/>
      <c r="L149" s="684"/>
      <c r="M149" s="753"/>
      <c r="N149" s="683">
        <v>0</v>
      </c>
      <c r="O149" s="686"/>
      <c r="P149" s="683">
        <v>0</v>
      </c>
      <c r="Q149" s="687">
        <f t="shared" si="42"/>
        <v>0</v>
      </c>
      <c r="R149" s="687"/>
      <c r="S149" s="687"/>
      <c r="T149" s="688">
        <v>0</v>
      </c>
      <c r="U149" s="693"/>
      <c r="V149" s="690">
        <f t="shared" si="32"/>
        <v>0</v>
      </c>
      <c r="W149" s="683"/>
      <c r="X149" s="474">
        <f t="shared" si="33"/>
        <v>0</v>
      </c>
      <c r="Y149" s="474">
        <f t="shared" si="34"/>
        <v>0</v>
      </c>
      <c r="Z149" s="475">
        <f t="shared" si="35"/>
        <v>0</v>
      </c>
      <c r="AA149" s="475">
        <v>0</v>
      </c>
      <c r="AB149" s="476">
        <v>0</v>
      </c>
      <c r="AC149" s="38">
        <f t="shared" si="36"/>
        <v>0</v>
      </c>
      <c r="AD149" s="692">
        <f t="shared" ref="AD149:AD212" si="44">IF(B149="D",J149,0)</f>
        <v>0</v>
      </c>
      <c r="AE149" s="692">
        <f t="shared" ref="AE149:AE212" si="45">IF(B149="M",J149,0)</f>
        <v>0</v>
      </c>
      <c r="AF149" s="692">
        <f t="shared" ref="AF149:AF212" si="46">IF(B149="V",J149,0)</f>
        <v>0</v>
      </c>
      <c r="AG149" s="38"/>
      <c r="AH149" s="692">
        <f t="shared" si="37"/>
        <v>0</v>
      </c>
      <c r="AI149" s="692">
        <f t="shared" si="38"/>
        <v>0</v>
      </c>
      <c r="AJ149" s="692">
        <f t="shared" si="39"/>
        <v>0</v>
      </c>
      <c r="AL149" s="38">
        <f t="shared" ref="AL149:AL212" si="47">SUM(AD149:AJ149)</f>
        <v>0</v>
      </c>
    </row>
    <row r="150" spans="1:38">
      <c r="A150" s="21"/>
      <c r="B150" s="21" t="s">
        <v>109</v>
      </c>
      <c r="C150" s="666" t="s">
        <v>559</v>
      </c>
      <c r="D150" s="68" t="s">
        <v>33</v>
      </c>
      <c r="E150" s="679"/>
      <c r="F150" s="529">
        <f>VLOOKUP(D150,'July 2013 Revenue'!D:V,19,FALSE)</f>
        <v>0</v>
      </c>
      <c r="G150" s="680"/>
      <c r="H150" s="680"/>
      <c r="I150" s="755"/>
      <c r="J150" s="682">
        <f t="shared" si="43"/>
        <v>0</v>
      </c>
      <c r="K150" s="683"/>
      <c r="L150" s="684"/>
      <c r="M150" s="753"/>
      <c r="N150" s="683">
        <v>0</v>
      </c>
      <c r="O150" s="686"/>
      <c r="P150" s="683">
        <v>0</v>
      </c>
      <c r="Q150" s="687">
        <f t="shared" si="42"/>
        <v>0</v>
      </c>
      <c r="R150" s="687"/>
      <c r="S150" s="687"/>
      <c r="T150" s="688">
        <v>0</v>
      </c>
      <c r="U150" s="693"/>
      <c r="V150" s="690">
        <f t="shared" si="32"/>
        <v>0</v>
      </c>
      <c r="W150" s="683"/>
      <c r="X150" s="474">
        <f t="shared" si="33"/>
        <v>0</v>
      </c>
      <c r="Y150" s="474">
        <f t="shared" si="34"/>
        <v>0</v>
      </c>
      <c r="Z150" s="475">
        <f t="shared" si="35"/>
        <v>0</v>
      </c>
      <c r="AA150" s="475">
        <v>0</v>
      </c>
      <c r="AB150" s="476">
        <v>0</v>
      </c>
      <c r="AC150" s="38">
        <f t="shared" si="36"/>
        <v>0</v>
      </c>
      <c r="AD150" s="692">
        <f t="shared" si="44"/>
        <v>0</v>
      </c>
      <c r="AE150" s="692">
        <f t="shared" si="45"/>
        <v>0</v>
      </c>
      <c r="AF150" s="692">
        <f t="shared" si="46"/>
        <v>0</v>
      </c>
      <c r="AG150" s="38"/>
      <c r="AH150" s="692">
        <f t="shared" ref="AH150:AH213" si="48">IF(B150="D",Q150,0)</f>
        <v>0</v>
      </c>
      <c r="AI150" s="692">
        <f t="shared" ref="AI150:AI213" si="49">IF(B150="M",Q150,0)</f>
        <v>0</v>
      </c>
      <c r="AJ150" s="692">
        <f t="shared" ref="AJ150:AJ213" si="50">IF(B150="V",Q150,0)</f>
        <v>0</v>
      </c>
      <c r="AL150" s="38">
        <f t="shared" si="47"/>
        <v>0</v>
      </c>
    </row>
    <row r="151" spans="1:38">
      <c r="A151" s="21"/>
      <c r="B151" s="21" t="s">
        <v>109</v>
      </c>
      <c r="C151" s="666" t="s">
        <v>560</v>
      </c>
      <c r="D151" s="68" t="s">
        <v>379</v>
      </c>
      <c r="E151" s="679"/>
      <c r="F151" s="529">
        <f>VLOOKUP(D151,'July 2013 Revenue'!D:V,19,FALSE)</f>
        <v>0</v>
      </c>
      <c r="G151" s="680"/>
      <c r="H151" s="680"/>
      <c r="I151" s="755"/>
      <c r="J151" s="682">
        <f t="shared" si="43"/>
        <v>0</v>
      </c>
      <c r="K151" s="683"/>
      <c r="L151" s="684"/>
      <c r="M151" s="753"/>
      <c r="N151" s="683">
        <v>0</v>
      </c>
      <c r="O151" s="686"/>
      <c r="P151" s="683">
        <v>0</v>
      </c>
      <c r="Q151" s="687">
        <f t="shared" si="42"/>
        <v>0</v>
      </c>
      <c r="R151" s="687"/>
      <c r="S151" s="687"/>
      <c r="T151" s="688">
        <v>0</v>
      </c>
      <c r="U151" s="693"/>
      <c r="V151" s="690">
        <f t="shared" ref="V151:V214" si="51">IF(T151="","",T151-Q151)</f>
        <v>0</v>
      </c>
      <c r="W151" s="683"/>
      <c r="X151" s="474">
        <f t="shared" ref="X151:X214" si="52">IF(B151="D",Q151,0)</f>
        <v>0</v>
      </c>
      <c r="Y151" s="474">
        <f t="shared" ref="Y151:Y214" si="53">IF(B151="M",Q151,0)</f>
        <v>0</v>
      </c>
      <c r="Z151" s="475">
        <f t="shared" ref="Z151:Z214" si="54">IF(B151="V",Q151,0)</f>
        <v>0</v>
      </c>
      <c r="AA151" s="475">
        <v>0</v>
      </c>
      <c r="AB151" s="476">
        <v>0</v>
      </c>
      <c r="AC151" s="38">
        <f t="shared" ref="AC151:AC214" si="55">(L151+M151)-(X151+Y151+Z151+AA151+AB151)</f>
        <v>0</v>
      </c>
      <c r="AD151" s="692">
        <f t="shared" si="44"/>
        <v>0</v>
      </c>
      <c r="AE151" s="692">
        <f t="shared" si="45"/>
        <v>0</v>
      </c>
      <c r="AF151" s="692">
        <f t="shared" si="46"/>
        <v>0</v>
      </c>
      <c r="AG151" s="38"/>
      <c r="AH151" s="692">
        <f t="shared" si="48"/>
        <v>0</v>
      </c>
      <c r="AI151" s="692">
        <f t="shared" si="49"/>
        <v>0</v>
      </c>
      <c r="AJ151" s="692">
        <f t="shared" si="50"/>
        <v>0</v>
      </c>
      <c r="AL151" s="38">
        <f t="shared" si="47"/>
        <v>0</v>
      </c>
    </row>
    <row r="152" spans="1:38" s="232" customFormat="1">
      <c r="A152" s="283"/>
      <c r="B152" s="283" t="s">
        <v>114</v>
      </c>
      <c r="C152" s="667"/>
      <c r="D152" s="500" t="s">
        <v>408</v>
      </c>
      <c r="E152" s="679"/>
      <c r="F152" s="529">
        <f>VLOOKUP(D152,'July 2013 Revenue'!D:V,19,FALSE)</f>
        <v>0</v>
      </c>
      <c r="G152" s="680"/>
      <c r="H152" s="680"/>
      <c r="I152" s="770">
        <v>7837.5</v>
      </c>
      <c r="J152" s="682">
        <f t="shared" si="43"/>
        <v>7837.5</v>
      </c>
      <c r="K152" s="683"/>
      <c r="L152" s="684"/>
      <c r="M152" s="753"/>
      <c r="N152" s="683">
        <v>0</v>
      </c>
      <c r="O152" s="686"/>
      <c r="P152" s="683">
        <v>0</v>
      </c>
      <c r="Q152" s="687">
        <f t="shared" si="42"/>
        <v>0</v>
      </c>
      <c r="R152" s="687"/>
      <c r="S152" s="687"/>
      <c r="T152" s="688">
        <v>0</v>
      </c>
      <c r="U152" s="693"/>
      <c r="V152" s="690">
        <f t="shared" si="51"/>
        <v>0</v>
      </c>
      <c r="W152" s="683"/>
      <c r="X152" s="474">
        <f t="shared" si="52"/>
        <v>0</v>
      </c>
      <c r="Y152" s="474">
        <f t="shared" si="53"/>
        <v>0</v>
      </c>
      <c r="Z152" s="475">
        <f t="shared" si="54"/>
        <v>0</v>
      </c>
      <c r="AA152" s="475">
        <v>0</v>
      </c>
      <c r="AB152" s="476">
        <v>0</v>
      </c>
      <c r="AC152" s="38">
        <f t="shared" si="55"/>
        <v>0</v>
      </c>
      <c r="AD152" s="692">
        <f t="shared" si="44"/>
        <v>0</v>
      </c>
      <c r="AE152" s="692">
        <f t="shared" si="45"/>
        <v>0</v>
      </c>
      <c r="AF152" s="692">
        <f t="shared" si="46"/>
        <v>7837.5</v>
      </c>
      <c r="AG152" s="38"/>
      <c r="AH152" s="692">
        <f t="shared" si="48"/>
        <v>0</v>
      </c>
      <c r="AI152" s="692">
        <f t="shared" si="49"/>
        <v>0</v>
      </c>
      <c r="AJ152" s="692">
        <f t="shared" si="50"/>
        <v>0</v>
      </c>
      <c r="AL152" s="38">
        <f t="shared" si="47"/>
        <v>7837.5</v>
      </c>
    </row>
    <row r="153" spans="1:38" s="232" customFormat="1">
      <c r="A153" s="283"/>
      <c r="B153" s="283" t="s">
        <v>110</v>
      </c>
      <c r="C153" s="667"/>
      <c r="D153" s="567" t="s">
        <v>445</v>
      </c>
      <c r="E153" s="679"/>
      <c r="F153" s="529">
        <f>VLOOKUP(D153,'July 2013 Revenue'!D:V,19,FALSE)</f>
        <v>0</v>
      </c>
      <c r="G153" s="680"/>
      <c r="H153" s="680"/>
      <c r="I153" s="755"/>
      <c r="J153" s="682">
        <f t="shared" si="43"/>
        <v>0</v>
      </c>
      <c r="K153" s="683"/>
      <c r="L153" s="684"/>
      <c r="M153" s="753"/>
      <c r="N153" s="683">
        <v>0</v>
      </c>
      <c r="O153" s="686"/>
      <c r="P153" s="683">
        <v>0</v>
      </c>
      <c r="Q153" s="687">
        <f t="shared" si="42"/>
        <v>0</v>
      </c>
      <c r="R153" s="687"/>
      <c r="S153" s="687"/>
      <c r="T153" s="688">
        <v>0</v>
      </c>
      <c r="U153" s="693"/>
      <c r="V153" s="690">
        <f t="shared" si="51"/>
        <v>0</v>
      </c>
      <c r="W153" s="683"/>
      <c r="X153" s="474">
        <f t="shared" si="52"/>
        <v>0</v>
      </c>
      <c r="Y153" s="474">
        <f t="shared" si="53"/>
        <v>0</v>
      </c>
      <c r="Z153" s="475">
        <f t="shared" si="54"/>
        <v>0</v>
      </c>
      <c r="AA153" s="475">
        <v>0</v>
      </c>
      <c r="AB153" s="476">
        <v>0</v>
      </c>
      <c r="AC153" s="38">
        <f t="shared" si="55"/>
        <v>0</v>
      </c>
      <c r="AD153" s="692">
        <f t="shared" si="44"/>
        <v>0</v>
      </c>
      <c r="AE153" s="692">
        <f t="shared" si="45"/>
        <v>0</v>
      </c>
      <c r="AF153" s="692">
        <f t="shared" si="46"/>
        <v>0</v>
      </c>
      <c r="AG153" s="38"/>
      <c r="AH153" s="692">
        <f t="shared" si="48"/>
        <v>0</v>
      </c>
      <c r="AI153" s="692">
        <f t="shared" si="49"/>
        <v>0</v>
      </c>
      <c r="AJ153" s="692">
        <f t="shared" si="50"/>
        <v>0</v>
      </c>
      <c r="AL153" s="38">
        <f t="shared" si="47"/>
        <v>0</v>
      </c>
    </row>
    <row r="154" spans="1:38" s="232" customFormat="1">
      <c r="A154" s="283"/>
      <c r="B154" s="283" t="s">
        <v>109</v>
      </c>
      <c r="C154" s="667" t="s">
        <v>562</v>
      </c>
      <c r="D154" s="567" t="s">
        <v>480</v>
      </c>
      <c r="E154" s="679"/>
      <c r="F154" s="529">
        <f>VLOOKUP(D154,'July 2013 Revenue'!D:V,19,FALSE)</f>
        <v>0</v>
      </c>
      <c r="G154" s="680"/>
      <c r="H154" s="680"/>
      <c r="I154" s="770">
        <v>11528.37</v>
      </c>
      <c r="J154" s="682">
        <f t="shared" si="43"/>
        <v>11528.37</v>
      </c>
      <c r="K154" s="683"/>
      <c r="L154" s="684"/>
      <c r="M154" s="753"/>
      <c r="N154" s="683">
        <v>0</v>
      </c>
      <c r="O154" s="686"/>
      <c r="P154" s="683">
        <v>0</v>
      </c>
      <c r="Q154" s="687">
        <f t="shared" si="42"/>
        <v>0</v>
      </c>
      <c r="R154" s="687"/>
      <c r="S154" s="687"/>
      <c r="T154" s="688">
        <v>0</v>
      </c>
      <c r="U154" s="693"/>
      <c r="V154" s="690">
        <f t="shared" si="51"/>
        <v>0</v>
      </c>
      <c r="W154" s="683"/>
      <c r="X154" s="474">
        <f t="shared" si="52"/>
        <v>0</v>
      </c>
      <c r="Y154" s="474">
        <f t="shared" si="53"/>
        <v>0</v>
      </c>
      <c r="Z154" s="475">
        <f t="shared" si="54"/>
        <v>0</v>
      </c>
      <c r="AA154" s="475">
        <v>0</v>
      </c>
      <c r="AB154" s="476">
        <v>0</v>
      </c>
      <c r="AC154" s="38">
        <f t="shared" si="55"/>
        <v>0</v>
      </c>
      <c r="AD154" s="692">
        <f t="shared" si="44"/>
        <v>0</v>
      </c>
      <c r="AE154" s="692">
        <f t="shared" si="45"/>
        <v>11528.37</v>
      </c>
      <c r="AF154" s="692">
        <f t="shared" si="46"/>
        <v>0</v>
      </c>
      <c r="AG154" s="38"/>
      <c r="AH154" s="692">
        <f t="shared" si="48"/>
        <v>0</v>
      </c>
      <c r="AI154" s="692">
        <f t="shared" si="49"/>
        <v>0</v>
      </c>
      <c r="AJ154" s="692">
        <f t="shared" si="50"/>
        <v>0</v>
      </c>
      <c r="AL154" s="38">
        <f t="shared" si="47"/>
        <v>11528.37</v>
      </c>
    </row>
    <row r="155" spans="1:38" s="232" customFormat="1">
      <c r="A155" s="403"/>
      <c r="B155" s="403" t="s">
        <v>109</v>
      </c>
      <c r="C155" s="666" t="s">
        <v>563</v>
      </c>
      <c r="D155" s="807" t="s">
        <v>327</v>
      </c>
      <c r="E155" s="679"/>
      <c r="F155" s="529">
        <f>VLOOKUP(D155,'July 2013 Revenue'!D:V,19,FALSE)</f>
        <v>-35000</v>
      </c>
      <c r="G155" s="680"/>
      <c r="H155" s="680"/>
      <c r="I155" s="755"/>
      <c r="J155" s="682">
        <f t="shared" si="43"/>
        <v>-35000</v>
      </c>
      <c r="K155" s="683"/>
      <c r="L155" s="684"/>
      <c r="M155" s="753">
        <v>70000</v>
      </c>
      <c r="N155" s="683">
        <v>0</v>
      </c>
      <c r="O155" s="686"/>
      <c r="P155" s="683">
        <v>0</v>
      </c>
      <c r="Q155" s="687">
        <f t="shared" si="42"/>
        <v>70000</v>
      </c>
      <c r="R155" s="687"/>
      <c r="S155" s="687"/>
      <c r="T155" s="688">
        <v>0</v>
      </c>
      <c r="U155" s="693"/>
      <c r="V155" s="690">
        <f t="shared" si="51"/>
        <v>-70000</v>
      </c>
      <c r="W155" s="683"/>
      <c r="X155" s="474">
        <f t="shared" si="52"/>
        <v>0</v>
      </c>
      <c r="Y155" s="474">
        <f t="shared" si="53"/>
        <v>70000</v>
      </c>
      <c r="Z155" s="475">
        <f t="shared" si="54"/>
        <v>0</v>
      </c>
      <c r="AA155" s="475">
        <v>0</v>
      </c>
      <c r="AB155" s="476">
        <v>0</v>
      </c>
      <c r="AC155" s="38">
        <f t="shared" si="55"/>
        <v>0</v>
      </c>
      <c r="AD155" s="692">
        <f t="shared" si="44"/>
        <v>0</v>
      </c>
      <c r="AE155" s="692">
        <f t="shared" si="45"/>
        <v>-35000</v>
      </c>
      <c r="AF155" s="692">
        <f t="shared" si="46"/>
        <v>0</v>
      </c>
      <c r="AG155" s="38"/>
      <c r="AH155" s="692">
        <f t="shared" si="48"/>
        <v>0</v>
      </c>
      <c r="AI155" s="692">
        <f t="shared" si="49"/>
        <v>70000</v>
      </c>
      <c r="AJ155" s="692">
        <f t="shared" si="50"/>
        <v>0</v>
      </c>
      <c r="AL155" s="38">
        <f t="shared" si="47"/>
        <v>35000</v>
      </c>
    </row>
    <row r="156" spans="1:38" s="232" customFormat="1">
      <c r="A156" s="403"/>
      <c r="B156" s="403" t="s">
        <v>110</v>
      </c>
      <c r="C156" s="666" t="s">
        <v>563</v>
      </c>
      <c r="D156" s="123" t="s">
        <v>637</v>
      </c>
      <c r="E156" s="679"/>
      <c r="F156" s="529">
        <f>VLOOKUP(D156,'July 2013 Revenue'!D:V,19,FALSE)</f>
        <v>0</v>
      </c>
      <c r="G156" s="680"/>
      <c r="H156" s="680"/>
      <c r="I156" s="755"/>
      <c r="J156" s="682">
        <f t="shared" si="43"/>
        <v>0</v>
      </c>
      <c r="K156" s="683"/>
      <c r="L156" s="684"/>
      <c r="M156" s="753"/>
      <c r="N156" s="683">
        <v>0</v>
      </c>
      <c r="O156" s="686"/>
      <c r="P156" s="683">
        <v>0</v>
      </c>
      <c r="Q156" s="687">
        <f t="shared" si="42"/>
        <v>0</v>
      </c>
      <c r="R156" s="687"/>
      <c r="S156" s="687"/>
      <c r="T156" s="688">
        <v>0</v>
      </c>
      <c r="U156" s="693"/>
      <c r="V156" s="690">
        <f t="shared" si="51"/>
        <v>0</v>
      </c>
      <c r="W156" s="683"/>
      <c r="X156" s="474">
        <f t="shared" si="52"/>
        <v>0</v>
      </c>
      <c r="Y156" s="474">
        <f t="shared" si="53"/>
        <v>0</v>
      </c>
      <c r="Z156" s="475">
        <f t="shared" si="54"/>
        <v>0</v>
      </c>
      <c r="AA156" s="475">
        <v>0</v>
      </c>
      <c r="AB156" s="476">
        <v>0</v>
      </c>
      <c r="AC156" s="38">
        <f t="shared" si="55"/>
        <v>0</v>
      </c>
      <c r="AD156" s="692">
        <f t="shared" si="44"/>
        <v>0</v>
      </c>
      <c r="AE156" s="692">
        <f t="shared" si="45"/>
        <v>0</v>
      </c>
      <c r="AF156" s="692">
        <f t="shared" si="46"/>
        <v>0</v>
      </c>
      <c r="AG156" s="38"/>
      <c r="AH156" s="692">
        <f t="shared" si="48"/>
        <v>0</v>
      </c>
      <c r="AI156" s="692">
        <f t="shared" si="49"/>
        <v>0</v>
      </c>
      <c r="AJ156" s="692">
        <f t="shared" si="50"/>
        <v>0</v>
      </c>
      <c r="AL156" s="38">
        <f t="shared" si="47"/>
        <v>0</v>
      </c>
    </row>
    <row r="157" spans="1:38">
      <c r="A157" s="21" t="s">
        <v>212</v>
      </c>
      <c r="B157" s="21" t="s">
        <v>110</v>
      </c>
      <c r="C157" s="666"/>
      <c r="D157" s="68" t="s">
        <v>232</v>
      </c>
      <c r="E157" s="679"/>
      <c r="F157" s="529">
        <f>VLOOKUP(D157,'July 2013 Revenue'!D:V,19,FALSE)</f>
        <v>0</v>
      </c>
      <c r="G157" s="680"/>
      <c r="H157" s="680"/>
      <c r="I157" s="755"/>
      <c r="J157" s="682">
        <f t="shared" si="43"/>
        <v>0</v>
      </c>
      <c r="K157" s="683"/>
      <c r="L157" s="684"/>
      <c r="M157" s="753"/>
      <c r="N157" s="683">
        <v>0</v>
      </c>
      <c r="O157" s="686"/>
      <c r="P157" s="683">
        <v>0</v>
      </c>
      <c r="Q157" s="687">
        <f t="shared" si="42"/>
        <v>0</v>
      </c>
      <c r="R157" s="687"/>
      <c r="S157" s="687"/>
      <c r="T157" s="688">
        <v>0</v>
      </c>
      <c r="U157" s="693"/>
      <c r="V157" s="690">
        <f t="shared" si="51"/>
        <v>0</v>
      </c>
      <c r="W157" s="683"/>
      <c r="X157" s="474">
        <f t="shared" si="52"/>
        <v>0</v>
      </c>
      <c r="Y157" s="474">
        <f t="shared" si="53"/>
        <v>0</v>
      </c>
      <c r="Z157" s="475">
        <f t="shared" si="54"/>
        <v>0</v>
      </c>
      <c r="AA157" s="475">
        <v>0</v>
      </c>
      <c r="AB157" s="476">
        <v>0</v>
      </c>
      <c r="AC157" s="38">
        <f t="shared" si="55"/>
        <v>0</v>
      </c>
      <c r="AD157" s="692">
        <f t="shared" si="44"/>
        <v>0</v>
      </c>
      <c r="AE157" s="692">
        <f t="shared" si="45"/>
        <v>0</v>
      </c>
      <c r="AF157" s="692">
        <f t="shared" si="46"/>
        <v>0</v>
      </c>
      <c r="AG157" s="38"/>
      <c r="AH157" s="692">
        <f t="shared" si="48"/>
        <v>0</v>
      </c>
      <c r="AI157" s="692">
        <f t="shared" si="49"/>
        <v>0</v>
      </c>
      <c r="AJ157" s="692">
        <f t="shared" si="50"/>
        <v>0</v>
      </c>
      <c r="AL157" s="38">
        <f t="shared" si="47"/>
        <v>0</v>
      </c>
    </row>
    <row r="158" spans="1:38">
      <c r="A158" s="21"/>
      <c r="B158" s="21" t="s">
        <v>109</v>
      </c>
      <c r="C158" s="666" t="s">
        <v>564</v>
      </c>
      <c r="D158" s="68" t="s">
        <v>876</v>
      </c>
      <c r="E158" s="679"/>
      <c r="F158" s="529">
        <f>VLOOKUP(D158,'July 2013 Revenue'!D:V,19,FALSE)</f>
        <v>0</v>
      </c>
      <c r="G158" s="680"/>
      <c r="H158" s="680"/>
      <c r="I158" s="755"/>
      <c r="J158" s="682">
        <f t="shared" si="43"/>
        <v>0</v>
      </c>
      <c r="K158" s="683"/>
      <c r="L158" s="684"/>
      <c r="M158" s="753"/>
      <c r="N158" s="683">
        <v>0</v>
      </c>
      <c r="O158" s="686"/>
      <c r="P158" s="683">
        <v>0</v>
      </c>
      <c r="Q158" s="687">
        <f t="shared" si="42"/>
        <v>0</v>
      </c>
      <c r="R158" s="687"/>
      <c r="S158" s="687"/>
      <c r="T158" s="688">
        <v>0</v>
      </c>
      <c r="U158" s="693"/>
      <c r="V158" s="690">
        <f t="shared" si="51"/>
        <v>0</v>
      </c>
      <c r="W158" s="683"/>
      <c r="X158" s="474">
        <f t="shared" si="52"/>
        <v>0</v>
      </c>
      <c r="Y158" s="474">
        <f t="shared" si="53"/>
        <v>0</v>
      </c>
      <c r="Z158" s="475">
        <f t="shared" si="54"/>
        <v>0</v>
      </c>
      <c r="AA158" s="475">
        <v>0</v>
      </c>
      <c r="AB158" s="476">
        <v>0</v>
      </c>
      <c r="AC158" s="38">
        <f t="shared" si="55"/>
        <v>0</v>
      </c>
      <c r="AD158" s="692">
        <f t="shared" si="44"/>
        <v>0</v>
      </c>
      <c r="AE158" s="692">
        <f t="shared" si="45"/>
        <v>0</v>
      </c>
      <c r="AF158" s="692">
        <f t="shared" si="46"/>
        <v>0</v>
      </c>
      <c r="AG158" s="38"/>
      <c r="AH158" s="692">
        <f t="shared" si="48"/>
        <v>0</v>
      </c>
      <c r="AI158" s="692">
        <f t="shared" si="49"/>
        <v>0</v>
      </c>
      <c r="AJ158" s="692">
        <f t="shared" si="50"/>
        <v>0</v>
      </c>
      <c r="AL158" s="38">
        <f t="shared" si="47"/>
        <v>0</v>
      </c>
    </row>
    <row r="159" spans="1:38">
      <c r="A159" s="21"/>
      <c r="B159" s="21" t="s">
        <v>109</v>
      </c>
      <c r="C159" s="666" t="s">
        <v>564</v>
      </c>
      <c r="D159" s="68" t="s">
        <v>307</v>
      </c>
      <c r="E159" s="679"/>
      <c r="F159" s="529">
        <f>VLOOKUP(D159,'July 2013 Revenue'!D:V,19,FALSE)</f>
        <v>0</v>
      </c>
      <c r="G159" s="680"/>
      <c r="H159" s="680"/>
      <c r="I159" s="755"/>
      <c r="J159" s="682">
        <f t="shared" si="43"/>
        <v>0</v>
      </c>
      <c r="K159" s="683"/>
      <c r="L159" s="684"/>
      <c r="M159" s="753"/>
      <c r="N159" s="683">
        <v>0</v>
      </c>
      <c r="O159" s="686"/>
      <c r="P159" s="683">
        <v>0</v>
      </c>
      <c r="Q159" s="687">
        <f t="shared" si="42"/>
        <v>0</v>
      </c>
      <c r="R159" s="687"/>
      <c r="S159" s="687"/>
      <c r="T159" s="688">
        <v>0</v>
      </c>
      <c r="U159" s="693"/>
      <c r="V159" s="690">
        <f t="shared" si="51"/>
        <v>0</v>
      </c>
      <c r="W159" s="683"/>
      <c r="X159" s="474">
        <f t="shared" si="52"/>
        <v>0</v>
      </c>
      <c r="Y159" s="474">
        <f t="shared" si="53"/>
        <v>0</v>
      </c>
      <c r="Z159" s="475">
        <f t="shared" si="54"/>
        <v>0</v>
      </c>
      <c r="AA159" s="475">
        <v>0</v>
      </c>
      <c r="AB159" s="476">
        <v>0</v>
      </c>
      <c r="AC159" s="38">
        <f t="shared" si="55"/>
        <v>0</v>
      </c>
      <c r="AD159" s="692">
        <f t="shared" si="44"/>
        <v>0</v>
      </c>
      <c r="AE159" s="692">
        <f t="shared" si="45"/>
        <v>0</v>
      </c>
      <c r="AF159" s="692">
        <f t="shared" si="46"/>
        <v>0</v>
      </c>
      <c r="AG159" s="38"/>
      <c r="AH159" s="692">
        <f t="shared" si="48"/>
        <v>0</v>
      </c>
      <c r="AI159" s="692">
        <f t="shared" si="49"/>
        <v>0</v>
      </c>
      <c r="AJ159" s="692">
        <f t="shared" si="50"/>
        <v>0</v>
      </c>
      <c r="AL159" s="38">
        <f t="shared" si="47"/>
        <v>0</v>
      </c>
    </row>
    <row r="160" spans="1:38">
      <c r="A160" s="21"/>
      <c r="B160" s="21" t="s">
        <v>109</v>
      </c>
      <c r="C160" s="666" t="s">
        <v>565</v>
      </c>
      <c r="D160" s="68" t="s">
        <v>485</v>
      </c>
      <c r="E160" s="679"/>
      <c r="F160" s="529">
        <f>VLOOKUP(D160,'July 2013 Revenue'!D:V,19,FALSE)</f>
        <v>-80000</v>
      </c>
      <c r="G160" s="680"/>
      <c r="H160" s="680"/>
      <c r="I160" s="755"/>
      <c r="J160" s="682">
        <f t="shared" si="43"/>
        <v>-80000</v>
      </c>
      <c r="K160" s="683"/>
      <c r="L160" s="684"/>
      <c r="M160" s="753">
        <v>160000</v>
      </c>
      <c r="N160" s="683"/>
      <c r="O160" s="686"/>
      <c r="P160" s="683"/>
      <c r="Q160" s="687">
        <f t="shared" si="42"/>
        <v>160000</v>
      </c>
      <c r="R160" s="687"/>
      <c r="S160" s="687"/>
      <c r="T160" s="688">
        <f>2136.59+2435.82+5139.24+799.56+9575.9+5666.16+10505.44+1199.79+459.44+1130.66+40727.41</f>
        <v>79776.010000000009</v>
      </c>
      <c r="U160" s="693"/>
      <c r="V160" s="690">
        <f t="shared" si="51"/>
        <v>-80223.989999999991</v>
      </c>
      <c r="W160" s="683"/>
      <c r="X160" s="474">
        <f t="shared" si="52"/>
        <v>0</v>
      </c>
      <c r="Y160" s="474">
        <f t="shared" si="53"/>
        <v>160000</v>
      </c>
      <c r="Z160" s="475">
        <f t="shared" si="54"/>
        <v>0</v>
      </c>
      <c r="AA160" s="475">
        <v>0</v>
      </c>
      <c r="AB160" s="476">
        <v>0</v>
      </c>
      <c r="AC160" s="38">
        <f t="shared" si="55"/>
        <v>0</v>
      </c>
      <c r="AD160" s="692">
        <f t="shared" si="44"/>
        <v>0</v>
      </c>
      <c r="AE160" s="692">
        <f t="shared" si="45"/>
        <v>-80000</v>
      </c>
      <c r="AF160" s="692">
        <f t="shared" si="46"/>
        <v>0</v>
      </c>
      <c r="AG160" s="38"/>
      <c r="AH160" s="692">
        <f t="shared" si="48"/>
        <v>0</v>
      </c>
      <c r="AI160" s="692">
        <f t="shared" si="49"/>
        <v>160000</v>
      </c>
      <c r="AJ160" s="692">
        <f t="shared" si="50"/>
        <v>0</v>
      </c>
      <c r="AL160" s="38">
        <f t="shared" si="47"/>
        <v>80000</v>
      </c>
    </row>
    <row r="161" spans="1:38" s="232" customFormat="1">
      <c r="A161" s="403"/>
      <c r="B161" s="403" t="s">
        <v>109</v>
      </c>
      <c r="C161" s="666"/>
      <c r="D161" s="123" t="s">
        <v>220</v>
      </c>
      <c r="E161" s="679"/>
      <c r="F161" s="529">
        <f>VLOOKUP(D161,'July 2013 Revenue'!D:V,19,FALSE)</f>
        <v>0</v>
      </c>
      <c r="G161" s="680"/>
      <c r="H161" s="680"/>
      <c r="I161" s="755"/>
      <c r="J161" s="682">
        <f t="shared" si="43"/>
        <v>0</v>
      </c>
      <c r="K161" s="683"/>
      <c r="L161" s="684"/>
      <c r="M161" s="753"/>
      <c r="N161" s="683">
        <v>0</v>
      </c>
      <c r="O161" s="686"/>
      <c r="P161" s="683">
        <v>0</v>
      </c>
      <c r="Q161" s="687">
        <f t="shared" si="42"/>
        <v>0</v>
      </c>
      <c r="R161" s="687"/>
      <c r="S161" s="687"/>
      <c r="T161" s="688">
        <v>0</v>
      </c>
      <c r="U161" s="693"/>
      <c r="V161" s="690">
        <f t="shared" si="51"/>
        <v>0</v>
      </c>
      <c r="W161" s="683"/>
      <c r="X161" s="474">
        <f t="shared" si="52"/>
        <v>0</v>
      </c>
      <c r="Y161" s="474">
        <f t="shared" si="53"/>
        <v>0</v>
      </c>
      <c r="Z161" s="475">
        <f t="shared" si="54"/>
        <v>0</v>
      </c>
      <c r="AA161" s="475">
        <v>0</v>
      </c>
      <c r="AB161" s="476">
        <v>0</v>
      </c>
      <c r="AC161" s="38">
        <f t="shared" si="55"/>
        <v>0</v>
      </c>
      <c r="AD161" s="692">
        <f t="shared" si="44"/>
        <v>0</v>
      </c>
      <c r="AE161" s="692">
        <f t="shared" si="45"/>
        <v>0</v>
      </c>
      <c r="AF161" s="692">
        <f t="shared" si="46"/>
        <v>0</v>
      </c>
      <c r="AG161" s="38"/>
      <c r="AH161" s="692">
        <f t="shared" si="48"/>
        <v>0</v>
      </c>
      <c r="AI161" s="692">
        <f t="shared" si="49"/>
        <v>0</v>
      </c>
      <c r="AJ161" s="692">
        <f t="shared" si="50"/>
        <v>0</v>
      </c>
      <c r="AL161" s="38">
        <f t="shared" si="47"/>
        <v>0</v>
      </c>
    </row>
    <row r="162" spans="1:38" s="24" customFormat="1" hidden="1">
      <c r="A162" s="472"/>
      <c r="B162" s="21" t="s">
        <v>109</v>
      </c>
      <c r="C162" s="666"/>
      <c r="D162" s="68" t="s">
        <v>505</v>
      </c>
      <c r="E162" s="679"/>
      <c r="F162" s="529">
        <f>VLOOKUP(D162,'July 2013 Revenue'!D:V,19,FALSE)</f>
        <v>0</v>
      </c>
      <c r="G162" s="680"/>
      <c r="H162" s="680"/>
      <c r="I162" s="755"/>
      <c r="J162" s="682">
        <f t="shared" si="43"/>
        <v>0</v>
      </c>
      <c r="K162" s="698"/>
      <c r="L162" s="684"/>
      <c r="M162" s="753"/>
      <c r="N162" s="698">
        <v>0</v>
      </c>
      <c r="O162" s="686"/>
      <c r="P162" s="698">
        <v>0</v>
      </c>
      <c r="Q162" s="700">
        <f t="shared" si="42"/>
        <v>0</v>
      </c>
      <c r="R162" s="700"/>
      <c r="S162" s="700"/>
      <c r="T162" s="688">
        <v>0</v>
      </c>
      <c r="U162" s="701"/>
      <c r="V162" s="702">
        <f t="shared" si="51"/>
        <v>0</v>
      </c>
      <c r="W162" s="698"/>
      <c r="X162" s="474">
        <f t="shared" si="52"/>
        <v>0</v>
      </c>
      <c r="Y162" s="474">
        <f t="shared" si="53"/>
        <v>0</v>
      </c>
      <c r="Z162" s="475">
        <f t="shared" si="54"/>
        <v>0</v>
      </c>
      <c r="AA162" s="475">
        <v>0</v>
      </c>
      <c r="AB162" s="476">
        <v>0</v>
      </c>
      <c r="AC162" s="38">
        <f t="shared" si="55"/>
        <v>0</v>
      </c>
      <c r="AD162" s="692">
        <f t="shared" si="44"/>
        <v>0</v>
      </c>
      <c r="AE162" s="692">
        <f t="shared" si="45"/>
        <v>0</v>
      </c>
      <c r="AF162" s="692">
        <f t="shared" si="46"/>
        <v>0</v>
      </c>
      <c r="AG162" s="38"/>
      <c r="AH162" s="692">
        <f t="shared" si="48"/>
        <v>0</v>
      </c>
      <c r="AI162" s="692">
        <f t="shared" si="49"/>
        <v>0</v>
      </c>
      <c r="AJ162" s="692">
        <f t="shared" si="50"/>
        <v>0</v>
      </c>
      <c r="AL162" s="38">
        <f t="shared" si="47"/>
        <v>0</v>
      </c>
    </row>
    <row r="163" spans="1:38">
      <c r="A163" s="21"/>
      <c r="B163" s="21" t="s">
        <v>110</v>
      </c>
      <c r="C163" s="666"/>
      <c r="D163" s="68" t="s">
        <v>185</v>
      </c>
      <c r="E163" s="679"/>
      <c r="F163" s="529">
        <f>VLOOKUP(D163,'July 2013 Revenue'!D:V,19,FALSE)</f>
        <v>0</v>
      </c>
      <c r="G163" s="680"/>
      <c r="H163" s="680"/>
      <c r="I163" s="755"/>
      <c r="J163" s="682">
        <f t="shared" si="43"/>
        <v>0</v>
      </c>
      <c r="K163" s="683"/>
      <c r="L163" s="684"/>
      <c r="M163" s="753"/>
      <c r="N163" s="683">
        <v>0</v>
      </c>
      <c r="O163" s="686"/>
      <c r="P163" s="683">
        <v>0</v>
      </c>
      <c r="Q163" s="687">
        <f t="shared" si="42"/>
        <v>0</v>
      </c>
      <c r="R163" s="687"/>
      <c r="S163" s="687"/>
      <c r="T163" s="688">
        <v>0</v>
      </c>
      <c r="U163" s="693"/>
      <c r="V163" s="690">
        <f t="shared" si="51"/>
        <v>0</v>
      </c>
      <c r="W163" s="683"/>
      <c r="X163" s="474">
        <f t="shared" si="52"/>
        <v>0</v>
      </c>
      <c r="Y163" s="474">
        <f t="shared" si="53"/>
        <v>0</v>
      </c>
      <c r="Z163" s="475">
        <f t="shared" si="54"/>
        <v>0</v>
      </c>
      <c r="AA163" s="475">
        <v>0</v>
      </c>
      <c r="AB163" s="476">
        <v>0</v>
      </c>
      <c r="AC163" s="38">
        <f t="shared" si="55"/>
        <v>0</v>
      </c>
      <c r="AD163" s="692">
        <f t="shared" si="44"/>
        <v>0</v>
      </c>
      <c r="AE163" s="692">
        <f t="shared" si="45"/>
        <v>0</v>
      </c>
      <c r="AF163" s="692">
        <f t="shared" si="46"/>
        <v>0</v>
      </c>
      <c r="AG163" s="38"/>
      <c r="AH163" s="692">
        <f t="shared" si="48"/>
        <v>0</v>
      </c>
      <c r="AI163" s="692">
        <f t="shared" si="49"/>
        <v>0</v>
      </c>
      <c r="AJ163" s="692">
        <f t="shared" si="50"/>
        <v>0</v>
      </c>
      <c r="AL163" s="38">
        <f t="shared" si="47"/>
        <v>0</v>
      </c>
    </row>
    <row r="164" spans="1:38">
      <c r="A164" s="21"/>
      <c r="B164" s="21" t="s">
        <v>110</v>
      </c>
      <c r="C164" s="21"/>
      <c r="D164" s="68" t="s">
        <v>186</v>
      </c>
      <c r="E164" s="679"/>
      <c r="F164" s="529">
        <f>VLOOKUP(D164,'July 2013 Revenue'!D:V,19,FALSE)</f>
        <v>0</v>
      </c>
      <c r="G164" s="680"/>
      <c r="H164" s="680"/>
      <c r="I164" s="755"/>
      <c r="J164" s="682">
        <f t="shared" si="43"/>
        <v>0</v>
      </c>
      <c r="K164" s="683"/>
      <c r="L164" s="684"/>
      <c r="M164" s="753"/>
      <c r="N164" s="683">
        <v>0</v>
      </c>
      <c r="O164" s="686"/>
      <c r="P164" s="683">
        <v>0</v>
      </c>
      <c r="Q164" s="687">
        <f t="shared" si="42"/>
        <v>0</v>
      </c>
      <c r="R164" s="687"/>
      <c r="S164" s="687"/>
      <c r="T164" s="688">
        <v>0</v>
      </c>
      <c r="U164" s="693"/>
      <c r="V164" s="690">
        <f t="shared" si="51"/>
        <v>0</v>
      </c>
      <c r="W164" s="683"/>
      <c r="X164" s="474">
        <f t="shared" si="52"/>
        <v>0</v>
      </c>
      <c r="Y164" s="474">
        <f t="shared" si="53"/>
        <v>0</v>
      </c>
      <c r="Z164" s="475">
        <f t="shared" si="54"/>
        <v>0</v>
      </c>
      <c r="AA164" s="475">
        <v>0</v>
      </c>
      <c r="AB164" s="476">
        <v>0</v>
      </c>
      <c r="AC164" s="38">
        <f t="shared" si="55"/>
        <v>0</v>
      </c>
      <c r="AD164" s="692">
        <f t="shared" si="44"/>
        <v>0</v>
      </c>
      <c r="AE164" s="692">
        <f t="shared" si="45"/>
        <v>0</v>
      </c>
      <c r="AF164" s="692">
        <f t="shared" si="46"/>
        <v>0</v>
      </c>
      <c r="AG164" s="38"/>
      <c r="AH164" s="692">
        <f t="shared" si="48"/>
        <v>0</v>
      </c>
      <c r="AI164" s="692">
        <f t="shared" si="49"/>
        <v>0</v>
      </c>
      <c r="AJ164" s="692">
        <f t="shared" si="50"/>
        <v>0</v>
      </c>
      <c r="AL164" s="38">
        <f t="shared" si="47"/>
        <v>0</v>
      </c>
    </row>
    <row r="165" spans="1:38">
      <c r="A165" s="21"/>
      <c r="B165" s="21" t="s">
        <v>110</v>
      </c>
      <c r="C165" s="666"/>
      <c r="D165" s="68" t="s">
        <v>449</v>
      </c>
      <c r="E165" s="679"/>
      <c r="F165" s="529">
        <f>VLOOKUP(D165,'July 2013 Revenue'!D:V,19,FALSE)</f>
        <v>0</v>
      </c>
      <c r="G165" s="680"/>
      <c r="H165" s="680"/>
      <c r="I165" s="755"/>
      <c r="J165" s="682">
        <f t="shared" si="43"/>
        <v>0</v>
      </c>
      <c r="K165" s="683"/>
      <c r="L165" s="684"/>
      <c r="M165" s="753"/>
      <c r="N165" s="683">
        <v>0</v>
      </c>
      <c r="O165" s="686"/>
      <c r="P165" s="683">
        <v>0</v>
      </c>
      <c r="Q165" s="687">
        <f t="shared" si="42"/>
        <v>0</v>
      </c>
      <c r="R165" s="687"/>
      <c r="S165" s="687"/>
      <c r="T165" s="688">
        <v>0</v>
      </c>
      <c r="U165" s="693"/>
      <c r="V165" s="690">
        <f t="shared" si="51"/>
        <v>0</v>
      </c>
      <c r="W165" s="683"/>
      <c r="X165" s="474">
        <f t="shared" si="52"/>
        <v>0</v>
      </c>
      <c r="Y165" s="474">
        <f t="shared" si="53"/>
        <v>0</v>
      </c>
      <c r="Z165" s="475">
        <f t="shared" si="54"/>
        <v>0</v>
      </c>
      <c r="AA165" s="475">
        <v>0</v>
      </c>
      <c r="AB165" s="476">
        <v>0</v>
      </c>
      <c r="AC165" s="38">
        <f t="shared" si="55"/>
        <v>0</v>
      </c>
      <c r="AD165" s="692">
        <f t="shared" si="44"/>
        <v>0</v>
      </c>
      <c r="AE165" s="692">
        <f t="shared" si="45"/>
        <v>0</v>
      </c>
      <c r="AF165" s="692">
        <f t="shared" si="46"/>
        <v>0</v>
      </c>
      <c r="AG165" s="38"/>
      <c r="AH165" s="692">
        <f t="shared" si="48"/>
        <v>0</v>
      </c>
      <c r="AI165" s="692">
        <f t="shared" si="49"/>
        <v>0</v>
      </c>
      <c r="AJ165" s="692">
        <f t="shared" si="50"/>
        <v>0</v>
      </c>
      <c r="AL165" s="38">
        <f t="shared" si="47"/>
        <v>0</v>
      </c>
    </row>
    <row r="166" spans="1:38">
      <c r="A166" s="21"/>
      <c r="B166" s="21" t="s">
        <v>110</v>
      </c>
      <c r="C166" s="666" t="s">
        <v>566</v>
      </c>
      <c r="D166" s="68" t="s">
        <v>39</v>
      </c>
      <c r="E166" s="679"/>
      <c r="F166" s="529">
        <f>VLOOKUP(D166,'July 2013 Revenue'!D:V,19,FALSE)</f>
        <v>-2398.8599999999997</v>
      </c>
      <c r="G166" s="680"/>
      <c r="H166" s="680"/>
      <c r="I166" s="755"/>
      <c r="J166" s="682">
        <f t="shared" si="43"/>
        <v>-2398.8599999999997</v>
      </c>
      <c r="K166" s="683"/>
      <c r="L166" s="684"/>
      <c r="M166" s="753">
        <v>6000</v>
      </c>
      <c r="N166" s="683">
        <v>0</v>
      </c>
      <c r="O166" s="686"/>
      <c r="P166" s="683">
        <v>0</v>
      </c>
      <c r="Q166" s="687">
        <f t="shared" si="42"/>
        <v>6000</v>
      </c>
      <c r="R166" s="687"/>
      <c r="S166" s="687"/>
      <c r="T166" s="688">
        <v>0</v>
      </c>
      <c r="U166" s="693"/>
      <c r="V166" s="690">
        <f t="shared" si="51"/>
        <v>-6000</v>
      </c>
      <c r="W166" s="683"/>
      <c r="X166" s="474">
        <f t="shared" si="52"/>
        <v>6000</v>
      </c>
      <c r="Y166" s="474">
        <f t="shared" si="53"/>
        <v>0</v>
      </c>
      <c r="Z166" s="475">
        <f t="shared" si="54"/>
        <v>0</v>
      </c>
      <c r="AA166" s="475">
        <v>0</v>
      </c>
      <c r="AB166" s="476">
        <v>0</v>
      </c>
      <c r="AC166" s="38">
        <f t="shared" si="55"/>
        <v>0</v>
      </c>
      <c r="AD166" s="692">
        <f t="shared" si="44"/>
        <v>-2398.8599999999997</v>
      </c>
      <c r="AE166" s="692">
        <f t="shared" si="45"/>
        <v>0</v>
      </c>
      <c r="AF166" s="692">
        <f t="shared" si="46"/>
        <v>0</v>
      </c>
      <c r="AG166" s="38"/>
      <c r="AH166" s="692">
        <f t="shared" si="48"/>
        <v>6000</v>
      </c>
      <c r="AI166" s="692">
        <f t="shared" si="49"/>
        <v>0</v>
      </c>
      <c r="AJ166" s="692">
        <f t="shared" si="50"/>
        <v>0</v>
      </c>
      <c r="AL166" s="38">
        <f t="shared" si="47"/>
        <v>3601.1400000000003</v>
      </c>
    </row>
    <row r="167" spans="1:38">
      <c r="A167" s="21"/>
      <c r="B167" s="21" t="s">
        <v>110</v>
      </c>
      <c r="C167" s="666" t="s">
        <v>567</v>
      </c>
      <c r="D167" s="68" t="s">
        <v>435</v>
      </c>
      <c r="E167" s="679"/>
      <c r="F167" s="529">
        <f>VLOOKUP(D167,'July 2013 Revenue'!D:V,19,FALSE)</f>
        <v>-5351.9100000000035</v>
      </c>
      <c r="G167" s="680"/>
      <c r="H167" s="680"/>
      <c r="I167" s="755"/>
      <c r="J167" s="682">
        <f t="shared" si="43"/>
        <v>-5351.9100000000035</v>
      </c>
      <c r="K167" s="683"/>
      <c r="L167" s="684"/>
      <c r="M167" s="753">
        <v>95000</v>
      </c>
      <c r="N167" s="683">
        <v>0</v>
      </c>
      <c r="O167" s="686"/>
      <c r="P167" s="683">
        <v>0</v>
      </c>
      <c r="Q167" s="687">
        <f t="shared" si="42"/>
        <v>95000</v>
      </c>
      <c r="R167" s="687"/>
      <c r="S167" s="687"/>
      <c r="T167" s="688">
        <v>62710.59</v>
      </c>
      <c r="U167" s="693"/>
      <c r="V167" s="690">
        <f t="shared" si="51"/>
        <v>-32289.410000000003</v>
      </c>
      <c r="W167" s="683"/>
      <c r="X167" s="474">
        <f t="shared" si="52"/>
        <v>95000</v>
      </c>
      <c r="Y167" s="474">
        <f t="shared" si="53"/>
        <v>0</v>
      </c>
      <c r="Z167" s="475">
        <f t="shared" si="54"/>
        <v>0</v>
      </c>
      <c r="AA167" s="475">
        <v>0</v>
      </c>
      <c r="AB167" s="476">
        <v>0</v>
      </c>
      <c r="AC167" s="38">
        <f t="shared" si="55"/>
        <v>0</v>
      </c>
      <c r="AD167" s="692">
        <f t="shared" si="44"/>
        <v>-5351.9100000000035</v>
      </c>
      <c r="AE167" s="692">
        <f t="shared" si="45"/>
        <v>0</v>
      </c>
      <c r="AF167" s="692">
        <f t="shared" si="46"/>
        <v>0</v>
      </c>
      <c r="AG167" s="38"/>
      <c r="AH167" s="692">
        <f t="shared" si="48"/>
        <v>95000</v>
      </c>
      <c r="AI167" s="692">
        <f t="shared" si="49"/>
        <v>0</v>
      </c>
      <c r="AJ167" s="692">
        <f t="shared" si="50"/>
        <v>0</v>
      </c>
      <c r="AL167" s="38">
        <f t="shared" si="47"/>
        <v>89648.09</v>
      </c>
    </row>
    <row r="168" spans="1:38">
      <c r="A168" s="21"/>
      <c r="B168" s="21" t="s">
        <v>110</v>
      </c>
      <c r="C168" s="675" t="s">
        <v>584</v>
      </c>
      <c r="D168" s="806" t="s">
        <v>99</v>
      </c>
      <c r="E168" s="679"/>
      <c r="F168" s="529">
        <f>VLOOKUP(D168,'July 2013 Revenue'!D:V,19,FALSE)</f>
        <v>-10000</v>
      </c>
      <c r="G168" s="680"/>
      <c r="H168" s="680"/>
      <c r="I168" s="755"/>
      <c r="J168" s="682">
        <f t="shared" si="43"/>
        <v>-10000</v>
      </c>
      <c r="K168" s="683"/>
      <c r="L168" s="684"/>
      <c r="M168" s="753">
        <v>20000</v>
      </c>
      <c r="N168" s="683">
        <v>0</v>
      </c>
      <c r="O168" s="686"/>
      <c r="P168" s="683">
        <v>0</v>
      </c>
      <c r="Q168" s="687">
        <f t="shared" si="42"/>
        <v>20000</v>
      </c>
      <c r="R168" s="687"/>
      <c r="S168" s="687"/>
      <c r="T168" s="688">
        <v>0</v>
      </c>
      <c r="U168" s="693"/>
      <c r="V168" s="690">
        <f t="shared" si="51"/>
        <v>-20000</v>
      </c>
      <c r="W168" s="683"/>
      <c r="X168" s="474">
        <f t="shared" si="52"/>
        <v>20000</v>
      </c>
      <c r="Y168" s="474">
        <f t="shared" si="53"/>
        <v>0</v>
      </c>
      <c r="Z168" s="475">
        <f t="shared" si="54"/>
        <v>0</v>
      </c>
      <c r="AA168" s="475">
        <v>0</v>
      </c>
      <c r="AB168" s="476">
        <v>0</v>
      </c>
      <c r="AC168" s="38">
        <f t="shared" si="55"/>
        <v>0</v>
      </c>
      <c r="AD168" s="692">
        <f t="shared" si="44"/>
        <v>-10000</v>
      </c>
      <c r="AE168" s="692">
        <f>IF(B168="M",J168,0)</f>
        <v>0</v>
      </c>
      <c r="AF168" s="692">
        <f t="shared" si="46"/>
        <v>0</v>
      </c>
      <c r="AG168" s="38"/>
      <c r="AH168" s="692">
        <f t="shared" si="48"/>
        <v>20000</v>
      </c>
      <c r="AI168" s="692">
        <f t="shared" si="49"/>
        <v>0</v>
      </c>
      <c r="AJ168" s="692">
        <f t="shared" si="50"/>
        <v>0</v>
      </c>
      <c r="AL168" s="38">
        <f t="shared" si="47"/>
        <v>10000</v>
      </c>
    </row>
    <row r="169" spans="1:38" s="232" customFormat="1">
      <c r="A169" s="403"/>
      <c r="B169" s="403" t="s">
        <v>110</v>
      </c>
      <c r="C169" s="666"/>
      <c r="D169" s="813" t="s">
        <v>966</v>
      </c>
      <c r="E169" s="814">
        <v>130445.43</v>
      </c>
      <c r="F169" s="815">
        <f>VLOOKUP(D169,'July 2013 Revenue'!D:V,19,FALSE)</f>
        <v>-220000</v>
      </c>
      <c r="G169" s="816"/>
      <c r="H169" s="816"/>
      <c r="I169" s="817"/>
      <c r="J169" s="818">
        <f t="shared" si="43"/>
        <v>-89554.57</v>
      </c>
      <c r="K169" s="683"/>
      <c r="L169" s="684"/>
      <c r="M169" s="819">
        <v>270000</v>
      </c>
      <c r="N169" s="683">
        <v>0</v>
      </c>
      <c r="O169" s="686"/>
      <c r="P169" s="683">
        <v>0</v>
      </c>
      <c r="Q169" s="687">
        <f t="shared" si="42"/>
        <v>270000</v>
      </c>
      <c r="R169" s="687"/>
      <c r="S169" s="687"/>
      <c r="T169" s="688">
        <v>0</v>
      </c>
      <c r="U169" s="693"/>
      <c r="V169" s="690">
        <f t="shared" si="51"/>
        <v>-270000</v>
      </c>
      <c r="W169" s="683"/>
      <c r="X169" s="474">
        <f t="shared" si="52"/>
        <v>270000</v>
      </c>
      <c r="Y169" s="474">
        <f t="shared" si="53"/>
        <v>0</v>
      </c>
      <c r="Z169" s="475">
        <f t="shared" si="54"/>
        <v>0</v>
      </c>
      <c r="AA169" s="475">
        <v>0</v>
      </c>
      <c r="AB169" s="476">
        <v>0</v>
      </c>
      <c r="AC169" s="38">
        <f t="shared" si="55"/>
        <v>0</v>
      </c>
      <c r="AD169" s="692">
        <f t="shared" si="44"/>
        <v>-89554.57</v>
      </c>
      <c r="AE169" s="692">
        <f t="shared" si="45"/>
        <v>0</v>
      </c>
      <c r="AF169" s="692">
        <f t="shared" si="46"/>
        <v>0</v>
      </c>
      <c r="AG169" s="38"/>
      <c r="AH169" s="692">
        <f t="shared" si="48"/>
        <v>270000</v>
      </c>
      <c r="AI169" s="692">
        <f t="shared" si="49"/>
        <v>0</v>
      </c>
      <c r="AJ169" s="692">
        <f t="shared" si="50"/>
        <v>0</v>
      </c>
      <c r="AL169" s="38">
        <f t="shared" si="47"/>
        <v>180445.43</v>
      </c>
    </row>
    <row r="170" spans="1:38" s="232" customFormat="1">
      <c r="A170" s="403"/>
      <c r="B170" s="403" t="s">
        <v>110</v>
      </c>
      <c r="C170" s="666" t="s">
        <v>568</v>
      </c>
      <c r="D170" s="807" t="s">
        <v>303</v>
      </c>
      <c r="E170" s="679">
        <f>430012.96-E169</f>
        <v>299567.53000000003</v>
      </c>
      <c r="F170" s="529">
        <f>VLOOKUP(D170,'July 2013 Revenue'!D:V,19,FALSE)</f>
        <v>-630000</v>
      </c>
      <c r="G170" s="680"/>
      <c r="H170" s="680"/>
      <c r="I170" s="755"/>
      <c r="J170" s="682">
        <f t="shared" si="43"/>
        <v>-330432.46999999997</v>
      </c>
      <c r="K170" s="683"/>
      <c r="L170" s="684"/>
      <c r="M170" s="753">
        <v>600000</v>
      </c>
      <c r="N170" s="683">
        <v>0</v>
      </c>
      <c r="O170" s="686"/>
      <c r="P170" s="683">
        <v>0</v>
      </c>
      <c r="Q170" s="687">
        <f t="shared" si="42"/>
        <v>600000</v>
      </c>
      <c r="R170" s="687"/>
      <c r="S170" s="687"/>
      <c r="T170" s="688">
        <v>0</v>
      </c>
      <c r="U170" s="693"/>
      <c r="V170" s="690">
        <f t="shared" si="51"/>
        <v>-600000</v>
      </c>
      <c r="W170" s="683"/>
      <c r="X170" s="474">
        <f t="shared" si="52"/>
        <v>600000</v>
      </c>
      <c r="Y170" s="474">
        <f t="shared" si="53"/>
        <v>0</v>
      </c>
      <c r="Z170" s="475">
        <f t="shared" si="54"/>
        <v>0</v>
      </c>
      <c r="AA170" s="475">
        <v>0</v>
      </c>
      <c r="AB170" s="476">
        <v>0</v>
      </c>
      <c r="AC170" s="38">
        <f t="shared" si="55"/>
        <v>0</v>
      </c>
      <c r="AD170" s="692">
        <f t="shared" si="44"/>
        <v>-330432.46999999997</v>
      </c>
      <c r="AE170" s="692">
        <f t="shared" si="45"/>
        <v>0</v>
      </c>
      <c r="AF170" s="692">
        <f t="shared" si="46"/>
        <v>0</v>
      </c>
      <c r="AG170" s="38"/>
      <c r="AH170" s="692">
        <f t="shared" si="48"/>
        <v>600000</v>
      </c>
      <c r="AI170" s="692">
        <f t="shared" si="49"/>
        <v>0</v>
      </c>
      <c r="AJ170" s="692">
        <f t="shared" si="50"/>
        <v>0</v>
      </c>
      <c r="AL170" s="38">
        <f t="shared" si="47"/>
        <v>269567.53000000003</v>
      </c>
    </row>
    <row r="171" spans="1:38" s="232" customFormat="1">
      <c r="A171" s="403"/>
      <c r="B171" s="403" t="s">
        <v>110</v>
      </c>
      <c r="C171" s="666"/>
      <c r="D171" s="807" t="s">
        <v>856</v>
      </c>
      <c r="E171" s="679"/>
      <c r="F171" s="529">
        <f>VLOOKUP(D171,'July 2013 Revenue'!D:V,19,FALSE)</f>
        <v>0</v>
      </c>
      <c r="G171" s="680"/>
      <c r="H171" s="680"/>
      <c r="I171" s="755"/>
      <c r="J171" s="682">
        <f t="shared" si="43"/>
        <v>0</v>
      </c>
      <c r="K171" s="683"/>
      <c r="L171" s="684"/>
      <c r="M171" s="753"/>
      <c r="N171" s="683">
        <v>0</v>
      </c>
      <c r="O171" s="686"/>
      <c r="P171" s="683">
        <v>0</v>
      </c>
      <c r="Q171" s="687">
        <f t="shared" si="42"/>
        <v>0</v>
      </c>
      <c r="R171" s="687"/>
      <c r="S171" s="687"/>
      <c r="T171" s="688">
        <v>0</v>
      </c>
      <c r="U171" s="693"/>
      <c r="V171" s="690">
        <f t="shared" si="51"/>
        <v>0</v>
      </c>
      <c r="W171" s="683"/>
      <c r="X171" s="474">
        <f t="shared" si="52"/>
        <v>0</v>
      </c>
      <c r="Y171" s="474">
        <f t="shared" si="53"/>
        <v>0</v>
      </c>
      <c r="Z171" s="475">
        <f t="shared" si="54"/>
        <v>0</v>
      </c>
      <c r="AA171" s="475">
        <v>0</v>
      </c>
      <c r="AB171" s="476">
        <v>0</v>
      </c>
      <c r="AC171" s="38">
        <f t="shared" si="55"/>
        <v>0</v>
      </c>
      <c r="AD171" s="692">
        <f t="shared" si="44"/>
        <v>0</v>
      </c>
      <c r="AE171" s="692">
        <f t="shared" si="45"/>
        <v>0</v>
      </c>
      <c r="AF171" s="692">
        <f t="shared" si="46"/>
        <v>0</v>
      </c>
      <c r="AG171" s="38"/>
      <c r="AH171" s="692">
        <f t="shared" si="48"/>
        <v>0</v>
      </c>
      <c r="AI171" s="692">
        <f t="shared" si="49"/>
        <v>0</v>
      </c>
      <c r="AJ171" s="692">
        <f t="shared" si="50"/>
        <v>0</v>
      </c>
      <c r="AL171" s="38">
        <f t="shared" si="47"/>
        <v>0</v>
      </c>
    </row>
    <row r="172" spans="1:38" s="232" customFormat="1">
      <c r="A172" s="403"/>
      <c r="B172" s="403" t="s">
        <v>109</v>
      </c>
      <c r="C172" s="666" t="s">
        <v>569</v>
      </c>
      <c r="D172" s="123" t="s">
        <v>468</v>
      </c>
      <c r="E172" s="679"/>
      <c r="F172" s="529">
        <f>VLOOKUP(D172,'July 2013 Revenue'!D:V,19,FALSE)</f>
        <v>0</v>
      </c>
      <c r="G172" s="680"/>
      <c r="H172" s="680"/>
      <c r="I172" s="755"/>
      <c r="J172" s="682">
        <f t="shared" si="43"/>
        <v>0</v>
      </c>
      <c r="K172" s="683"/>
      <c r="L172" s="684"/>
      <c r="M172" s="753"/>
      <c r="N172" s="683">
        <v>0</v>
      </c>
      <c r="O172" s="686"/>
      <c r="P172" s="683">
        <v>0</v>
      </c>
      <c r="Q172" s="687">
        <f t="shared" si="42"/>
        <v>0</v>
      </c>
      <c r="R172" s="687"/>
      <c r="S172" s="687"/>
      <c r="T172" s="688">
        <v>0</v>
      </c>
      <c r="U172" s="693"/>
      <c r="V172" s="690">
        <f t="shared" si="51"/>
        <v>0</v>
      </c>
      <c r="W172" s="683"/>
      <c r="X172" s="474">
        <f t="shared" si="52"/>
        <v>0</v>
      </c>
      <c r="Y172" s="474">
        <f t="shared" si="53"/>
        <v>0</v>
      </c>
      <c r="Z172" s="475">
        <f t="shared" si="54"/>
        <v>0</v>
      </c>
      <c r="AA172" s="475">
        <v>0</v>
      </c>
      <c r="AB172" s="476">
        <v>0</v>
      </c>
      <c r="AC172" s="38">
        <f t="shared" si="55"/>
        <v>0</v>
      </c>
      <c r="AD172" s="692">
        <f t="shared" si="44"/>
        <v>0</v>
      </c>
      <c r="AE172" s="692">
        <f t="shared" si="45"/>
        <v>0</v>
      </c>
      <c r="AF172" s="692">
        <f t="shared" si="46"/>
        <v>0</v>
      </c>
      <c r="AG172" s="38"/>
      <c r="AH172" s="692">
        <f t="shared" si="48"/>
        <v>0</v>
      </c>
      <c r="AI172" s="692">
        <f t="shared" si="49"/>
        <v>0</v>
      </c>
      <c r="AJ172" s="692">
        <f t="shared" si="50"/>
        <v>0</v>
      </c>
      <c r="AL172" s="38">
        <f t="shared" si="47"/>
        <v>0</v>
      </c>
    </row>
    <row r="173" spans="1:38">
      <c r="A173" s="20"/>
      <c r="B173" s="20" t="s">
        <v>110</v>
      </c>
      <c r="C173" s="676" t="s">
        <v>844</v>
      </c>
      <c r="D173" s="68" t="s">
        <v>845</v>
      </c>
      <c r="E173" s="679"/>
      <c r="F173" s="529">
        <f>VLOOKUP(D173,'July 2013 Revenue'!D:V,19,FALSE)</f>
        <v>0</v>
      </c>
      <c r="G173" s="680"/>
      <c r="H173" s="680"/>
      <c r="I173" s="755"/>
      <c r="J173" s="682">
        <f t="shared" si="43"/>
        <v>0</v>
      </c>
      <c r="K173" s="683"/>
      <c r="L173" s="684"/>
      <c r="M173" s="753"/>
      <c r="N173" s="683">
        <v>0</v>
      </c>
      <c r="O173" s="686"/>
      <c r="P173" s="683">
        <v>0</v>
      </c>
      <c r="Q173" s="687">
        <f t="shared" si="42"/>
        <v>0</v>
      </c>
      <c r="R173" s="687"/>
      <c r="S173" s="687"/>
      <c r="T173" s="688">
        <v>0</v>
      </c>
      <c r="U173" s="693"/>
      <c r="V173" s="690">
        <f t="shared" si="51"/>
        <v>0</v>
      </c>
      <c r="W173" s="683"/>
      <c r="X173" s="474">
        <f t="shared" si="52"/>
        <v>0</v>
      </c>
      <c r="Y173" s="474">
        <f t="shared" si="53"/>
        <v>0</v>
      </c>
      <c r="Z173" s="475">
        <f t="shared" si="54"/>
        <v>0</v>
      </c>
      <c r="AA173" s="475">
        <v>0</v>
      </c>
      <c r="AB173" s="476">
        <v>0</v>
      </c>
      <c r="AC173" s="38">
        <f t="shared" si="55"/>
        <v>0</v>
      </c>
      <c r="AD173" s="692">
        <f t="shared" si="44"/>
        <v>0</v>
      </c>
      <c r="AE173" s="692">
        <f t="shared" si="45"/>
        <v>0</v>
      </c>
      <c r="AF173" s="692">
        <f t="shared" si="46"/>
        <v>0</v>
      </c>
      <c r="AG173" s="38"/>
      <c r="AH173" s="692">
        <f t="shared" si="48"/>
        <v>0</v>
      </c>
      <c r="AI173" s="692">
        <f t="shared" si="49"/>
        <v>0</v>
      </c>
      <c r="AJ173" s="692">
        <f t="shared" si="50"/>
        <v>0</v>
      </c>
      <c r="AL173" s="38">
        <f t="shared" si="47"/>
        <v>0</v>
      </c>
    </row>
    <row r="174" spans="1:38">
      <c r="A174" s="20"/>
      <c r="B174" s="20" t="s">
        <v>110</v>
      </c>
      <c r="C174" s="676" t="s">
        <v>977</v>
      </c>
      <c r="D174" s="68" t="s">
        <v>978</v>
      </c>
      <c r="E174" s="679">
        <f>9+10834.2</f>
        <v>10843.2</v>
      </c>
      <c r="F174" s="529">
        <f>VLOOKUP(D174,'July 2013 Revenue'!D:V,19,FALSE)</f>
        <v>8635.5</v>
      </c>
      <c r="G174" s="680"/>
      <c r="H174" s="680"/>
      <c r="I174" s="755"/>
      <c r="J174" s="682">
        <f t="shared" si="43"/>
        <v>19478.7</v>
      </c>
      <c r="K174" s="683"/>
      <c r="L174" s="684"/>
      <c r="M174" s="753">
        <v>10000</v>
      </c>
      <c r="N174" s="683">
        <v>0</v>
      </c>
      <c r="O174" s="686"/>
      <c r="P174" s="683">
        <v>0</v>
      </c>
      <c r="Q174" s="687">
        <f t="shared" si="42"/>
        <v>10000</v>
      </c>
      <c r="R174" s="687"/>
      <c r="S174" s="687"/>
      <c r="T174" s="688">
        <v>0</v>
      </c>
      <c r="U174" s="693"/>
      <c r="V174" s="690">
        <f t="shared" si="51"/>
        <v>-10000</v>
      </c>
      <c r="W174" s="683"/>
      <c r="X174" s="474">
        <f t="shared" si="52"/>
        <v>10000</v>
      </c>
      <c r="Y174" s="474">
        <f t="shared" si="53"/>
        <v>0</v>
      </c>
      <c r="Z174" s="475">
        <f t="shared" si="54"/>
        <v>0</v>
      </c>
      <c r="AA174" s="475">
        <v>0</v>
      </c>
      <c r="AB174" s="476">
        <v>0</v>
      </c>
      <c r="AC174" s="38">
        <f t="shared" si="55"/>
        <v>0</v>
      </c>
      <c r="AD174" s="692">
        <f t="shared" si="44"/>
        <v>19478.7</v>
      </c>
      <c r="AE174" s="692">
        <f t="shared" si="45"/>
        <v>0</v>
      </c>
      <c r="AF174" s="692">
        <f t="shared" si="46"/>
        <v>0</v>
      </c>
      <c r="AG174" s="38"/>
      <c r="AH174" s="692">
        <f t="shared" si="48"/>
        <v>10000</v>
      </c>
      <c r="AI174" s="692">
        <f t="shared" si="49"/>
        <v>0</v>
      </c>
      <c r="AJ174" s="692">
        <f t="shared" si="50"/>
        <v>0</v>
      </c>
      <c r="AL174" s="38">
        <f t="shared" si="47"/>
        <v>29478.7</v>
      </c>
    </row>
    <row r="175" spans="1:38">
      <c r="A175" s="20"/>
      <c r="B175" s="20" t="s">
        <v>109</v>
      </c>
      <c r="C175" s="667" t="s">
        <v>570</v>
      </c>
      <c r="D175" s="68" t="s">
        <v>221</v>
      </c>
      <c r="E175" s="679"/>
      <c r="F175" s="529">
        <f>VLOOKUP(D175,'July 2013 Revenue'!D:V,19,FALSE)</f>
        <v>0</v>
      </c>
      <c r="G175" s="680"/>
      <c r="H175" s="680"/>
      <c r="I175" s="755"/>
      <c r="J175" s="682">
        <f t="shared" si="43"/>
        <v>0</v>
      </c>
      <c r="K175" s="683"/>
      <c r="L175" s="684"/>
      <c r="M175" s="753"/>
      <c r="N175" s="683">
        <v>0</v>
      </c>
      <c r="O175" s="686"/>
      <c r="P175" s="683">
        <v>0</v>
      </c>
      <c r="Q175" s="687">
        <f t="shared" si="42"/>
        <v>0</v>
      </c>
      <c r="R175" s="687"/>
      <c r="S175" s="687"/>
      <c r="T175" s="688">
        <v>0</v>
      </c>
      <c r="U175" s="693"/>
      <c r="V175" s="690">
        <f t="shared" si="51"/>
        <v>0</v>
      </c>
      <c r="W175" s="683"/>
      <c r="X175" s="474">
        <f t="shared" si="52"/>
        <v>0</v>
      </c>
      <c r="Y175" s="474">
        <f t="shared" si="53"/>
        <v>0</v>
      </c>
      <c r="Z175" s="475">
        <f t="shared" si="54"/>
        <v>0</v>
      </c>
      <c r="AA175" s="475">
        <v>0</v>
      </c>
      <c r="AB175" s="476">
        <v>0</v>
      </c>
      <c r="AC175" s="38">
        <f t="shared" si="55"/>
        <v>0</v>
      </c>
      <c r="AD175" s="692">
        <f t="shared" si="44"/>
        <v>0</v>
      </c>
      <c r="AE175" s="692">
        <f t="shared" si="45"/>
        <v>0</v>
      </c>
      <c r="AF175" s="692">
        <f t="shared" si="46"/>
        <v>0</v>
      </c>
      <c r="AG175" s="38"/>
      <c r="AH175" s="692">
        <f t="shared" si="48"/>
        <v>0</v>
      </c>
      <c r="AI175" s="692">
        <f t="shared" si="49"/>
        <v>0</v>
      </c>
      <c r="AJ175" s="692">
        <f t="shared" si="50"/>
        <v>0</v>
      </c>
      <c r="AL175" s="38">
        <f t="shared" si="47"/>
        <v>0</v>
      </c>
    </row>
    <row r="176" spans="1:38">
      <c r="A176" s="21"/>
      <c r="B176" s="21" t="s">
        <v>110</v>
      </c>
      <c r="C176" s="666"/>
      <c r="D176" s="68" t="s">
        <v>43</v>
      </c>
      <c r="E176" s="679"/>
      <c r="F176" s="529">
        <f>VLOOKUP(D176,'July 2013 Revenue'!D:V,19,FALSE)</f>
        <v>0</v>
      </c>
      <c r="G176" s="680"/>
      <c r="H176" s="680"/>
      <c r="I176" s="755"/>
      <c r="J176" s="682">
        <f t="shared" si="43"/>
        <v>0</v>
      </c>
      <c r="K176" s="683"/>
      <c r="L176" s="684"/>
      <c r="M176" s="753"/>
      <c r="N176" s="683">
        <v>0</v>
      </c>
      <c r="O176" s="686"/>
      <c r="P176" s="683">
        <v>0</v>
      </c>
      <c r="Q176" s="687">
        <f t="shared" si="42"/>
        <v>0</v>
      </c>
      <c r="R176" s="687"/>
      <c r="S176" s="687"/>
      <c r="T176" s="688">
        <v>0</v>
      </c>
      <c r="U176" s="693"/>
      <c r="V176" s="690">
        <f t="shared" si="51"/>
        <v>0</v>
      </c>
      <c r="W176" s="683"/>
      <c r="X176" s="474">
        <f t="shared" si="52"/>
        <v>0</v>
      </c>
      <c r="Y176" s="474">
        <f t="shared" si="53"/>
        <v>0</v>
      </c>
      <c r="Z176" s="475">
        <f t="shared" si="54"/>
        <v>0</v>
      </c>
      <c r="AA176" s="475">
        <v>0</v>
      </c>
      <c r="AB176" s="476">
        <v>0</v>
      </c>
      <c r="AC176" s="38">
        <f t="shared" si="55"/>
        <v>0</v>
      </c>
      <c r="AD176" s="692">
        <f t="shared" si="44"/>
        <v>0</v>
      </c>
      <c r="AE176" s="692">
        <f t="shared" si="45"/>
        <v>0</v>
      </c>
      <c r="AF176" s="692">
        <f t="shared" si="46"/>
        <v>0</v>
      </c>
      <c r="AG176" s="38"/>
      <c r="AH176" s="692">
        <f t="shared" si="48"/>
        <v>0</v>
      </c>
      <c r="AI176" s="692">
        <f t="shared" si="49"/>
        <v>0</v>
      </c>
      <c r="AJ176" s="692">
        <f t="shared" si="50"/>
        <v>0</v>
      </c>
      <c r="AL176" s="38">
        <f t="shared" si="47"/>
        <v>0</v>
      </c>
    </row>
    <row r="177" spans="1:38">
      <c r="A177" s="21"/>
      <c r="B177" s="21" t="s">
        <v>109</v>
      </c>
      <c r="C177" s="666" t="s">
        <v>571</v>
      </c>
      <c r="D177" s="68" t="s">
        <v>44</v>
      </c>
      <c r="E177" s="679"/>
      <c r="F177" s="529">
        <f>VLOOKUP(D177,'July 2013 Revenue'!D:V,19,FALSE)</f>
        <v>-15000</v>
      </c>
      <c r="G177" s="680"/>
      <c r="H177" s="680"/>
      <c r="I177" s="755"/>
      <c r="J177" s="682">
        <f t="shared" si="43"/>
        <v>-15000</v>
      </c>
      <c r="K177" s="683"/>
      <c r="L177" s="684"/>
      <c r="M177" s="753">
        <v>20000</v>
      </c>
      <c r="N177" s="683">
        <v>0</v>
      </c>
      <c r="O177" s="686"/>
      <c r="P177" s="683">
        <v>0</v>
      </c>
      <c r="Q177" s="687">
        <f t="shared" si="42"/>
        <v>20000</v>
      </c>
      <c r="R177" s="687"/>
      <c r="S177" s="687"/>
      <c r="T177" s="688">
        <v>0</v>
      </c>
      <c r="U177" s="693"/>
      <c r="V177" s="690">
        <f t="shared" si="51"/>
        <v>-20000</v>
      </c>
      <c r="W177" s="683"/>
      <c r="X177" s="474">
        <f t="shared" si="52"/>
        <v>0</v>
      </c>
      <c r="Y177" s="474">
        <f t="shared" si="53"/>
        <v>20000</v>
      </c>
      <c r="Z177" s="475">
        <f t="shared" si="54"/>
        <v>0</v>
      </c>
      <c r="AA177" s="475">
        <v>0</v>
      </c>
      <c r="AB177" s="476">
        <v>0</v>
      </c>
      <c r="AC177" s="38">
        <f t="shared" si="55"/>
        <v>0</v>
      </c>
      <c r="AD177" s="692">
        <f t="shared" si="44"/>
        <v>0</v>
      </c>
      <c r="AE177" s="692">
        <f t="shared" si="45"/>
        <v>-15000</v>
      </c>
      <c r="AF177" s="692">
        <f t="shared" si="46"/>
        <v>0</v>
      </c>
      <c r="AG177" s="38"/>
      <c r="AH177" s="692">
        <f t="shared" si="48"/>
        <v>0</v>
      </c>
      <c r="AI177" s="692">
        <f t="shared" si="49"/>
        <v>20000</v>
      </c>
      <c r="AJ177" s="692">
        <f t="shared" si="50"/>
        <v>0</v>
      </c>
      <c r="AL177" s="38">
        <f t="shared" si="47"/>
        <v>5000</v>
      </c>
    </row>
    <row r="178" spans="1:38">
      <c r="A178" s="21"/>
      <c r="B178" s="21" t="s">
        <v>114</v>
      </c>
      <c r="C178" s="666" t="s">
        <v>571</v>
      </c>
      <c r="D178" s="68" t="s">
        <v>44</v>
      </c>
      <c r="E178" s="679"/>
      <c r="F178" s="529"/>
      <c r="G178" s="680"/>
      <c r="H178" s="680"/>
      <c r="I178" s="755"/>
      <c r="J178" s="682">
        <f t="shared" si="43"/>
        <v>0</v>
      </c>
      <c r="K178" s="683"/>
      <c r="L178" s="684"/>
      <c r="M178" s="753"/>
      <c r="N178" s="683">
        <v>0</v>
      </c>
      <c r="O178" s="686"/>
      <c r="P178" s="683">
        <v>0</v>
      </c>
      <c r="Q178" s="687">
        <f t="shared" si="42"/>
        <v>0</v>
      </c>
      <c r="R178" s="687"/>
      <c r="S178" s="687"/>
      <c r="T178" s="688">
        <v>0</v>
      </c>
      <c r="U178" s="693"/>
      <c r="V178" s="690">
        <f t="shared" si="51"/>
        <v>0</v>
      </c>
      <c r="W178" s="683"/>
      <c r="X178" s="474">
        <f t="shared" si="52"/>
        <v>0</v>
      </c>
      <c r="Y178" s="474">
        <f t="shared" si="53"/>
        <v>0</v>
      </c>
      <c r="Z178" s="475">
        <f t="shared" si="54"/>
        <v>0</v>
      </c>
      <c r="AA178" s="475">
        <v>0</v>
      </c>
      <c r="AB178" s="476">
        <v>0</v>
      </c>
      <c r="AC178" s="38">
        <f t="shared" si="55"/>
        <v>0</v>
      </c>
      <c r="AD178" s="692">
        <f t="shared" si="44"/>
        <v>0</v>
      </c>
      <c r="AE178" s="692">
        <f t="shared" si="45"/>
        <v>0</v>
      </c>
      <c r="AF178" s="692">
        <f t="shared" si="46"/>
        <v>0</v>
      </c>
      <c r="AG178" s="38"/>
      <c r="AH178" s="692">
        <f t="shared" si="48"/>
        <v>0</v>
      </c>
      <c r="AI178" s="692">
        <f t="shared" si="49"/>
        <v>0</v>
      </c>
      <c r="AJ178" s="692">
        <f t="shared" si="50"/>
        <v>0</v>
      </c>
      <c r="AL178" s="38">
        <f t="shared" si="47"/>
        <v>0</v>
      </c>
    </row>
    <row r="179" spans="1:38">
      <c r="A179" s="21"/>
      <c r="B179" s="21" t="s">
        <v>110</v>
      </c>
      <c r="C179" s="666" t="s">
        <v>572</v>
      </c>
      <c r="D179" s="806" t="s">
        <v>388</v>
      </c>
      <c r="E179" s="679"/>
      <c r="F179" s="529">
        <f>VLOOKUP(D179,'July 2013 Revenue'!D:V,19,FALSE)</f>
        <v>-24000</v>
      </c>
      <c r="G179" s="680"/>
      <c r="H179" s="680"/>
      <c r="I179" s="755"/>
      <c r="J179" s="682">
        <f t="shared" si="43"/>
        <v>-24000</v>
      </c>
      <c r="K179" s="683"/>
      <c r="L179" s="684"/>
      <c r="M179" s="753">
        <v>32000</v>
      </c>
      <c r="N179" s="683">
        <v>0</v>
      </c>
      <c r="O179" s="686"/>
      <c r="P179" s="683">
        <v>0</v>
      </c>
      <c r="Q179" s="687">
        <f t="shared" si="42"/>
        <v>32000</v>
      </c>
      <c r="R179" s="687"/>
      <c r="S179" s="687"/>
      <c r="T179" s="688">
        <v>0</v>
      </c>
      <c r="U179" s="693"/>
      <c r="V179" s="690">
        <f t="shared" si="51"/>
        <v>-32000</v>
      </c>
      <c r="W179" s="683"/>
      <c r="X179" s="474">
        <f t="shared" si="52"/>
        <v>32000</v>
      </c>
      <c r="Y179" s="474">
        <f t="shared" si="53"/>
        <v>0</v>
      </c>
      <c r="Z179" s="475">
        <f t="shared" si="54"/>
        <v>0</v>
      </c>
      <c r="AA179" s="475">
        <v>0</v>
      </c>
      <c r="AB179" s="476">
        <v>0</v>
      </c>
      <c r="AC179" s="38">
        <f t="shared" si="55"/>
        <v>0</v>
      </c>
      <c r="AD179" s="692">
        <f t="shared" si="44"/>
        <v>-24000</v>
      </c>
      <c r="AE179" s="692">
        <f t="shared" si="45"/>
        <v>0</v>
      </c>
      <c r="AF179" s="692">
        <f t="shared" si="46"/>
        <v>0</v>
      </c>
      <c r="AG179" s="38"/>
      <c r="AH179" s="692">
        <f t="shared" si="48"/>
        <v>32000</v>
      </c>
      <c r="AI179" s="692">
        <f t="shared" si="49"/>
        <v>0</v>
      </c>
      <c r="AJ179" s="692">
        <f t="shared" si="50"/>
        <v>0</v>
      </c>
      <c r="AL179" s="38">
        <f t="shared" si="47"/>
        <v>8000</v>
      </c>
    </row>
    <row r="180" spans="1:38">
      <c r="A180" s="20"/>
      <c r="B180" s="20" t="s">
        <v>109</v>
      </c>
      <c r="C180" s="667"/>
      <c r="D180" s="806" t="s">
        <v>842</v>
      </c>
      <c r="E180" s="679"/>
      <c r="F180" s="529">
        <f>VLOOKUP(D180,'July 2013 Revenue'!D:V,19,FALSE)</f>
        <v>-85000</v>
      </c>
      <c r="G180" s="680"/>
      <c r="H180" s="680"/>
      <c r="I180" s="755"/>
      <c r="J180" s="682">
        <f t="shared" si="43"/>
        <v>-85000</v>
      </c>
      <c r="K180" s="683"/>
      <c r="L180" s="684"/>
      <c r="M180" s="753">
        <v>95000</v>
      </c>
      <c r="N180" s="683">
        <v>0</v>
      </c>
      <c r="O180" s="686"/>
      <c r="P180" s="683">
        <v>0</v>
      </c>
      <c r="Q180" s="687">
        <f t="shared" si="42"/>
        <v>95000</v>
      </c>
      <c r="R180" s="687"/>
      <c r="S180" s="687"/>
      <c r="T180" s="688">
        <v>0</v>
      </c>
      <c r="U180" s="693"/>
      <c r="V180" s="690">
        <f t="shared" si="51"/>
        <v>-95000</v>
      </c>
      <c r="W180" s="683"/>
      <c r="X180" s="474">
        <f t="shared" si="52"/>
        <v>0</v>
      </c>
      <c r="Y180" s="474">
        <f t="shared" si="53"/>
        <v>95000</v>
      </c>
      <c r="Z180" s="475">
        <f t="shared" si="54"/>
        <v>0</v>
      </c>
      <c r="AA180" s="475">
        <v>0</v>
      </c>
      <c r="AB180" s="476">
        <v>0</v>
      </c>
      <c r="AC180" s="38">
        <f t="shared" si="55"/>
        <v>0</v>
      </c>
      <c r="AD180" s="692">
        <f t="shared" si="44"/>
        <v>0</v>
      </c>
      <c r="AE180" s="692">
        <f t="shared" si="45"/>
        <v>-85000</v>
      </c>
      <c r="AF180" s="692">
        <f t="shared" si="46"/>
        <v>0</v>
      </c>
      <c r="AG180" s="38"/>
      <c r="AH180" s="692">
        <f t="shared" si="48"/>
        <v>0</v>
      </c>
      <c r="AI180" s="692">
        <f t="shared" si="49"/>
        <v>95000</v>
      </c>
      <c r="AJ180" s="692">
        <f t="shared" si="50"/>
        <v>0</v>
      </c>
      <c r="AL180" s="38">
        <f t="shared" si="47"/>
        <v>10000</v>
      </c>
    </row>
    <row r="181" spans="1:38">
      <c r="A181" s="21"/>
      <c r="B181" s="21" t="s">
        <v>110</v>
      </c>
      <c r="C181" s="666"/>
      <c r="D181" s="68" t="s">
        <v>45</v>
      </c>
      <c r="E181" s="679"/>
      <c r="F181" s="529">
        <f>VLOOKUP(D181,'July 2013 Revenue'!D:V,19,FALSE)</f>
        <v>-4306.6499999999942</v>
      </c>
      <c r="G181" s="680"/>
      <c r="H181" s="680"/>
      <c r="I181" s="755"/>
      <c r="J181" s="682">
        <f t="shared" si="43"/>
        <v>-4306.6499999999942</v>
      </c>
      <c r="K181" s="683"/>
      <c r="L181" s="684"/>
      <c r="M181" s="753">
        <v>75000</v>
      </c>
      <c r="N181" s="683">
        <v>0</v>
      </c>
      <c r="O181" s="686"/>
      <c r="P181" s="683">
        <v>0</v>
      </c>
      <c r="Q181" s="687">
        <f t="shared" si="42"/>
        <v>75000</v>
      </c>
      <c r="R181" s="687"/>
      <c r="S181" s="687"/>
      <c r="T181" s="688">
        <f>73498.5+3521.24</f>
        <v>77019.740000000005</v>
      </c>
      <c r="U181" s="693"/>
      <c r="V181" s="690">
        <f t="shared" si="51"/>
        <v>2019.7400000000052</v>
      </c>
      <c r="W181" s="683"/>
      <c r="X181" s="474">
        <f t="shared" si="52"/>
        <v>75000</v>
      </c>
      <c r="Y181" s="474">
        <f t="shared" si="53"/>
        <v>0</v>
      </c>
      <c r="Z181" s="475">
        <f t="shared" si="54"/>
        <v>0</v>
      </c>
      <c r="AA181" s="475">
        <v>0</v>
      </c>
      <c r="AB181" s="476">
        <v>0</v>
      </c>
      <c r="AC181" s="38">
        <f t="shared" si="55"/>
        <v>0</v>
      </c>
      <c r="AD181" s="692">
        <f t="shared" si="44"/>
        <v>-4306.6499999999942</v>
      </c>
      <c r="AE181" s="692">
        <f t="shared" si="45"/>
        <v>0</v>
      </c>
      <c r="AF181" s="692">
        <f t="shared" si="46"/>
        <v>0</v>
      </c>
      <c r="AG181" s="38"/>
      <c r="AH181" s="692">
        <f t="shared" si="48"/>
        <v>75000</v>
      </c>
      <c r="AI181" s="692">
        <f t="shared" si="49"/>
        <v>0</v>
      </c>
      <c r="AJ181" s="692">
        <f t="shared" si="50"/>
        <v>0</v>
      </c>
      <c r="AL181" s="38">
        <f t="shared" si="47"/>
        <v>70693.350000000006</v>
      </c>
    </row>
    <row r="182" spans="1:38">
      <c r="A182" s="20" t="s">
        <v>211</v>
      </c>
      <c r="B182" s="20" t="s">
        <v>109</v>
      </c>
      <c r="C182" s="667"/>
      <c r="D182" s="68" t="s">
        <v>923</v>
      </c>
      <c r="E182" s="679"/>
      <c r="F182" s="529">
        <f>VLOOKUP(D182,'July 2013 Revenue'!D:V,19,FALSE)</f>
        <v>0</v>
      </c>
      <c r="G182" s="680"/>
      <c r="H182" s="680"/>
      <c r="I182" s="755"/>
      <c r="J182" s="682">
        <f t="shared" si="43"/>
        <v>0</v>
      </c>
      <c r="K182" s="683"/>
      <c r="L182" s="684"/>
      <c r="M182" s="753"/>
      <c r="N182" s="683">
        <v>0</v>
      </c>
      <c r="O182" s="686"/>
      <c r="P182" s="683">
        <v>0</v>
      </c>
      <c r="Q182" s="687">
        <f t="shared" si="42"/>
        <v>0</v>
      </c>
      <c r="R182" s="687"/>
      <c r="S182" s="687"/>
      <c r="T182" s="688">
        <v>0</v>
      </c>
      <c r="U182" s="693"/>
      <c r="V182" s="690">
        <f t="shared" si="51"/>
        <v>0</v>
      </c>
      <c r="W182" s="697"/>
      <c r="X182" s="474">
        <f t="shared" si="52"/>
        <v>0</v>
      </c>
      <c r="Y182" s="474">
        <f t="shared" si="53"/>
        <v>0</v>
      </c>
      <c r="Z182" s="475">
        <f t="shared" si="54"/>
        <v>0</v>
      </c>
      <c r="AA182" s="475">
        <v>0</v>
      </c>
      <c r="AB182" s="476">
        <v>0</v>
      </c>
      <c r="AC182" s="38">
        <f t="shared" si="55"/>
        <v>0</v>
      </c>
      <c r="AD182" s="692">
        <f t="shared" si="44"/>
        <v>0</v>
      </c>
      <c r="AE182" s="692">
        <f t="shared" si="45"/>
        <v>0</v>
      </c>
      <c r="AF182" s="692">
        <f t="shared" si="46"/>
        <v>0</v>
      </c>
      <c r="AG182" s="38"/>
      <c r="AH182" s="692">
        <f t="shared" si="48"/>
        <v>0</v>
      </c>
      <c r="AI182" s="692">
        <f t="shared" si="49"/>
        <v>0</v>
      </c>
      <c r="AJ182" s="692">
        <f t="shared" si="50"/>
        <v>0</v>
      </c>
      <c r="AL182" s="38">
        <f t="shared" si="47"/>
        <v>0</v>
      </c>
    </row>
    <row r="183" spans="1:38">
      <c r="A183" s="20"/>
      <c r="B183" s="20" t="s">
        <v>110</v>
      </c>
      <c r="C183" s="667" t="s">
        <v>573</v>
      </c>
      <c r="D183" s="68" t="s">
        <v>102</v>
      </c>
      <c r="E183" s="820">
        <v>730464.64</v>
      </c>
      <c r="F183" s="529">
        <f>VLOOKUP(D183,'July 2013 Revenue'!D:V,19,FALSE)</f>
        <v>168590.13999999966</v>
      </c>
      <c r="G183" s="680"/>
      <c r="H183" s="680"/>
      <c r="I183" s="755"/>
      <c r="J183" s="682">
        <f t="shared" si="43"/>
        <v>899054.77999999968</v>
      </c>
      <c r="K183" s="683"/>
      <c r="L183" s="684"/>
      <c r="M183" s="753">
        <v>2680000</v>
      </c>
      <c r="N183" s="683">
        <v>0</v>
      </c>
      <c r="O183" s="686"/>
      <c r="P183" s="683">
        <v>0</v>
      </c>
      <c r="Q183" s="687">
        <f t="shared" si="42"/>
        <v>2680000</v>
      </c>
      <c r="R183" s="687"/>
      <c r="S183" s="687"/>
      <c r="T183" s="688">
        <f>2867224.37+39310.24+470.31</f>
        <v>2907004.9200000004</v>
      </c>
      <c r="U183" s="693"/>
      <c r="V183" s="690">
        <f t="shared" si="51"/>
        <v>227004.92000000039</v>
      </c>
      <c r="W183" s="697"/>
      <c r="X183" s="474">
        <f t="shared" si="52"/>
        <v>2680000</v>
      </c>
      <c r="Y183" s="474">
        <f t="shared" si="53"/>
        <v>0</v>
      </c>
      <c r="Z183" s="475">
        <f t="shared" si="54"/>
        <v>0</v>
      </c>
      <c r="AA183" s="475">
        <v>0</v>
      </c>
      <c r="AB183" s="476">
        <v>0</v>
      </c>
      <c r="AC183" s="38">
        <f t="shared" si="55"/>
        <v>0</v>
      </c>
      <c r="AD183" s="692">
        <f t="shared" si="44"/>
        <v>899054.77999999968</v>
      </c>
      <c r="AE183" s="692">
        <f t="shared" si="45"/>
        <v>0</v>
      </c>
      <c r="AF183" s="692">
        <f t="shared" si="46"/>
        <v>0</v>
      </c>
      <c r="AG183" s="38"/>
      <c r="AH183" s="692">
        <f t="shared" si="48"/>
        <v>2680000</v>
      </c>
      <c r="AI183" s="692">
        <f t="shared" si="49"/>
        <v>0</v>
      </c>
      <c r="AJ183" s="692">
        <f t="shared" si="50"/>
        <v>0</v>
      </c>
      <c r="AL183" s="38">
        <f t="shared" si="47"/>
        <v>3579054.78</v>
      </c>
    </row>
    <row r="184" spans="1:38">
      <c r="A184" s="20"/>
      <c r="B184" s="20" t="s">
        <v>110</v>
      </c>
      <c r="C184" s="667" t="s">
        <v>573</v>
      </c>
      <c r="D184" s="68" t="s">
        <v>511</v>
      </c>
      <c r="E184" s="679"/>
      <c r="F184" s="529">
        <f>VLOOKUP(D184,'July 2013 Revenue'!D:V,19,FALSE)</f>
        <v>0</v>
      </c>
      <c r="G184" s="680"/>
      <c r="H184" s="680"/>
      <c r="I184" s="755"/>
      <c r="J184" s="682">
        <f t="shared" si="43"/>
        <v>0</v>
      </c>
      <c r="K184" s="683"/>
      <c r="L184" s="684"/>
      <c r="M184" s="753"/>
      <c r="N184" s="683">
        <v>0</v>
      </c>
      <c r="O184" s="686"/>
      <c r="P184" s="683">
        <v>0</v>
      </c>
      <c r="Q184" s="687">
        <f t="shared" si="42"/>
        <v>0</v>
      </c>
      <c r="R184" s="687"/>
      <c r="S184" s="687"/>
      <c r="T184" s="688">
        <v>519.74</v>
      </c>
      <c r="U184" s="693"/>
      <c r="V184" s="690">
        <f t="shared" si="51"/>
        <v>519.74</v>
      </c>
      <c r="W184" s="697"/>
      <c r="X184" s="474">
        <f t="shared" si="52"/>
        <v>0</v>
      </c>
      <c r="Y184" s="474">
        <f t="shared" si="53"/>
        <v>0</v>
      </c>
      <c r="Z184" s="475">
        <f t="shared" si="54"/>
        <v>0</v>
      </c>
      <c r="AA184" s="475">
        <v>0</v>
      </c>
      <c r="AB184" s="476">
        <v>0</v>
      </c>
      <c r="AC184" s="38">
        <f t="shared" si="55"/>
        <v>0</v>
      </c>
      <c r="AD184" s="692">
        <f t="shared" si="44"/>
        <v>0</v>
      </c>
      <c r="AE184" s="692">
        <f t="shared" si="45"/>
        <v>0</v>
      </c>
      <c r="AF184" s="692">
        <f t="shared" si="46"/>
        <v>0</v>
      </c>
      <c r="AG184" s="38"/>
      <c r="AH184" s="692">
        <f t="shared" si="48"/>
        <v>0</v>
      </c>
      <c r="AI184" s="692">
        <f t="shared" si="49"/>
        <v>0</v>
      </c>
      <c r="AJ184" s="692">
        <f t="shared" si="50"/>
        <v>0</v>
      </c>
      <c r="AL184" s="38">
        <f t="shared" si="47"/>
        <v>0</v>
      </c>
    </row>
    <row r="185" spans="1:38">
      <c r="A185" s="21"/>
      <c r="B185" s="21" t="s">
        <v>110</v>
      </c>
      <c r="C185" s="666"/>
      <c r="D185" s="68" t="s">
        <v>50</v>
      </c>
      <c r="E185" s="679"/>
      <c r="F185" s="529">
        <f>VLOOKUP(D185,'July 2013 Revenue'!D:V,19,FALSE)</f>
        <v>0</v>
      </c>
      <c r="G185" s="680"/>
      <c r="H185" s="680"/>
      <c r="I185" s="755"/>
      <c r="J185" s="682">
        <f t="shared" si="43"/>
        <v>0</v>
      </c>
      <c r="K185" s="683"/>
      <c r="L185" s="684"/>
      <c r="M185" s="753"/>
      <c r="N185" s="683">
        <v>0</v>
      </c>
      <c r="O185" s="686"/>
      <c r="P185" s="683">
        <v>0</v>
      </c>
      <c r="Q185" s="687">
        <f t="shared" si="42"/>
        <v>0</v>
      </c>
      <c r="R185" s="687"/>
      <c r="S185" s="687"/>
      <c r="T185" s="688">
        <v>0</v>
      </c>
      <c r="U185" s="693"/>
      <c r="V185" s="690">
        <f t="shared" si="51"/>
        <v>0</v>
      </c>
      <c r="W185" s="683"/>
      <c r="X185" s="474">
        <f t="shared" si="52"/>
        <v>0</v>
      </c>
      <c r="Y185" s="474">
        <f t="shared" si="53"/>
        <v>0</v>
      </c>
      <c r="Z185" s="475">
        <f t="shared" si="54"/>
        <v>0</v>
      </c>
      <c r="AA185" s="475">
        <v>0</v>
      </c>
      <c r="AB185" s="476">
        <v>0</v>
      </c>
      <c r="AC185" s="38">
        <f t="shared" si="55"/>
        <v>0</v>
      </c>
      <c r="AD185" s="692">
        <f t="shared" si="44"/>
        <v>0</v>
      </c>
      <c r="AE185" s="692">
        <f t="shared" si="45"/>
        <v>0</v>
      </c>
      <c r="AF185" s="692">
        <f t="shared" si="46"/>
        <v>0</v>
      </c>
      <c r="AG185" s="38"/>
      <c r="AH185" s="692">
        <f t="shared" si="48"/>
        <v>0</v>
      </c>
      <c r="AI185" s="692">
        <f t="shared" si="49"/>
        <v>0</v>
      </c>
      <c r="AJ185" s="692">
        <f t="shared" si="50"/>
        <v>0</v>
      </c>
      <c r="AL185" s="38">
        <f t="shared" si="47"/>
        <v>0</v>
      </c>
    </row>
    <row r="186" spans="1:38" hidden="1">
      <c r="A186" s="21"/>
      <c r="B186" s="21" t="s">
        <v>109</v>
      </c>
      <c r="C186" s="666"/>
      <c r="D186" s="68" t="s">
        <v>51</v>
      </c>
      <c r="E186" s="679"/>
      <c r="F186" s="529">
        <f>VLOOKUP(D186,'July 2013 Revenue'!D:V,19,FALSE)</f>
        <v>0</v>
      </c>
      <c r="G186" s="680"/>
      <c r="H186" s="680"/>
      <c r="I186" s="755"/>
      <c r="J186" s="682">
        <f t="shared" si="43"/>
        <v>0</v>
      </c>
      <c r="K186" s="683"/>
      <c r="L186" s="684"/>
      <c r="M186" s="753"/>
      <c r="N186" s="683">
        <v>0</v>
      </c>
      <c r="O186" s="686"/>
      <c r="P186" s="683">
        <v>0</v>
      </c>
      <c r="Q186" s="687">
        <f t="shared" si="42"/>
        <v>0</v>
      </c>
      <c r="R186" s="687"/>
      <c r="S186" s="687"/>
      <c r="T186" s="688">
        <v>0</v>
      </c>
      <c r="U186" s="693"/>
      <c r="V186" s="690">
        <f t="shared" si="51"/>
        <v>0</v>
      </c>
      <c r="W186" s="683"/>
      <c r="X186" s="474">
        <f t="shared" si="52"/>
        <v>0</v>
      </c>
      <c r="Y186" s="474">
        <f t="shared" si="53"/>
        <v>0</v>
      </c>
      <c r="Z186" s="475">
        <f t="shared" si="54"/>
        <v>0</v>
      </c>
      <c r="AA186" s="475">
        <v>0</v>
      </c>
      <c r="AB186" s="476">
        <v>0</v>
      </c>
      <c r="AC186" s="38">
        <f t="shared" si="55"/>
        <v>0</v>
      </c>
      <c r="AD186" s="692">
        <f t="shared" si="44"/>
        <v>0</v>
      </c>
      <c r="AE186" s="692">
        <f t="shared" si="45"/>
        <v>0</v>
      </c>
      <c r="AF186" s="692">
        <f t="shared" si="46"/>
        <v>0</v>
      </c>
      <c r="AG186" s="38"/>
      <c r="AH186" s="692">
        <f t="shared" si="48"/>
        <v>0</v>
      </c>
      <c r="AI186" s="692">
        <f t="shared" si="49"/>
        <v>0</v>
      </c>
      <c r="AJ186" s="692">
        <f t="shared" si="50"/>
        <v>0</v>
      </c>
      <c r="AL186" s="38">
        <f t="shared" si="47"/>
        <v>0</v>
      </c>
    </row>
    <row r="187" spans="1:38">
      <c r="A187" s="21"/>
      <c r="B187" s="21" t="s">
        <v>109</v>
      </c>
      <c r="C187" s="666"/>
      <c r="D187" s="68" t="s">
        <v>107</v>
      </c>
      <c r="E187" s="679"/>
      <c r="F187" s="529">
        <f>VLOOKUP(D187,'July 2013 Revenue'!D:V,19,FALSE)</f>
        <v>0</v>
      </c>
      <c r="G187" s="680"/>
      <c r="H187" s="680"/>
      <c r="I187" s="755"/>
      <c r="J187" s="682">
        <f t="shared" si="43"/>
        <v>0</v>
      </c>
      <c r="K187" s="683"/>
      <c r="L187" s="684"/>
      <c r="M187" s="753"/>
      <c r="N187" s="683">
        <v>0</v>
      </c>
      <c r="O187" s="686"/>
      <c r="P187" s="683">
        <v>0</v>
      </c>
      <c r="Q187" s="687">
        <f t="shared" si="42"/>
        <v>0</v>
      </c>
      <c r="R187" s="687"/>
      <c r="S187" s="687"/>
      <c r="T187" s="688">
        <v>0</v>
      </c>
      <c r="U187" s="693"/>
      <c r="V187" s="690">
        <f t="shared" si="51"/>
        <v>0</v>
      </c>
      <c r="W187" s="683"/>
      <c r="X187" s="474">
        <f t="shared" si="52"/>
        <v>0</v>
      </c>
      <c r="Y187" s="474">
        <f t="shared" si="53"/>
        <v>0</v>
      </c>
      <c r="Z187" s="475">
        <f t="shared" si="54"/>
        <v>0</v>
      </c>
      <c r="AA187" s="475">
        <v>0</v>
      </c>
      <c r="AB187" s="476">
        <v>0</v>
      </c>
      <c r="AC187" s="38">
        <f t="shared" si="55"/>
        <v>0</v>
      </c>
      <c r="AD187" s="692">
        <f t="shared" si="44"/>
        <v>0</v>
      </c>
      <c r="AE187" s="692">
        <f t="shared" si="45"/>
        <v>0</v>
      </c>
      <c r="AF187" s="692">
        <f t="shared" si="46"/>
        <v>0</v>
      </c>
      <c r="AG187" s="38"/>
      <c r="AH187" s="692">
        <f t="shared" si="48"/>
        <v>0</v>
      </c>
      <c r="AI187" s="692">
        <f t="shared" si="49"/>
        <v>0</v>
      </c>
      <c r="AJ187" s="692">
        <f t="shared" si="50"/>
        <v>0</v>
      </c>
      <c r="AL187" s="38">
        <f t="shared" si="47"/>
        <v>0</v>
      </c>
    </row>
    <row r="188" spans="1:38" hidden="1">
      <c r="A188" s="21"/>
      <c r="B188" s="21" t="s">
        <v>109</v>
      </c>
      <c r="C188" s="666"/>
      <c r="D188" s="68" t="s">
        <v>467</v>
      </c>
      <c r="E188" s="679"/>
      <c r="F188" s="529">
        <f>VLOOKUP(D188,'July 2013 Revenue'!D:V,19,FALSE)</f>
        <v>0</v>
      </c>
      <c r="G188" s="680"/>
      <c r="H188" s="680"/>
      <c r="I188" s="755"/>
      <c r="J188" s="682">
        <f t="shared" si="43"/>
        <v>0</v>
      </c>
      <c r="K188" s="683"/>
      <c r="L188" s="684"/>
      <c r="M188" s="753"/>
      <c r="N188" s="683">
        <v>0</v>
      </c>
      <c r="O188" s="686"/>
      <c r="P188" s="683">
        <v>0</v>
      </c>
      <c r="Q188" s="687">
        <f t="shared" si="42"/>
        <v>0</v>
      </c>
      <c r="R188" s="687"/>
      <c r="S188" s="687"/>
      <c r="T188" s="688">
        <v>0</v>
      </c>
      <c r="U188" s="693"/>
      <c r="V188" s="690">
        <f t="shared" si="51"/>
        <v>0</v>
      </c>
      <c r="W188" s="683"/>
      <c r="X188" s="474">
        <f t="shared" si="52"/>
        <v>0</v>
      </c>
      <c r="Y188" s="474">
        <f t="shared" si="53"/>
        <v>0</v>
      </c>
      <c r="Z188" s="475">
        <f t="shared" si="54"/>
        <v>0</v>
      </c>
      <c r="AA188" s="475">
        <v>0</v>
      </c>
      <c r="AB188" s="476">
        <v>0</v>
      </c>
      <c r="AC188" s="38">
        <f t="shared" si="55"/>
        <v>0</v>
      </c>
      <c r="AD188" s="692">
        <f t="shared" si="44"/>
        <v>0</v>
      </c>
      <c r="AE188" s="692">
        <f t="shared" si="45"/>
        <v>0</v>
      </c>
      <c r="AF188" s="692">
        <f t="shared" si="46"/>
        <v>0</v>
      </c>
      <c r="AG188" s="38"/>
      <c r="AH188" s="692">
        <f t="shared" si="48"/>
        <v>0</v>
      </c>
      <c r="AI188" s="692">
        <f t="shared" si="49"/>
        <v>0</v>
      </c>
      <c r="AJ188" s="692">
        <f t="shared" si="50"/>
        <v>0</v>
      </c>
      <c r="AL188" s="38">
        <f t="shared" si="47"/>
        <v>0</v>
      </c>
    </row>
    <row r="189" spans="1:38">
      <c r="A189" s="21"/>
      <c r="B189" s="21" t="s">
        <v>109</v>
      </c>
      <c r="C189" s="666" t="s">
        <v>575</v>
      </c>
      <c r="D189" s="68" t="s">
        <v>54</v>
      </c>
      <c r="E189" s="679"/>
      <c r="F189" s="529">
        <f>VLOOKUP(D189,'July 2013 Revenue'!D:V,19,FALSE)</f>
        <v>0</v>
      </c>
      <c r="G189" s="680"/>
      <c r="H189" s="680"/>
      <c r="I189" s="755"/>
      <c r="J189" s="682">
        <f t="shared" si="43"/>
        <v>0</v>
      </c>
      <c r="K189" s="683"/>
      <c r="L189" s="684"/>
      <c r="M189" s="753"/>
      <c r="N189" s="683">
        <v>0</v>
      </c>
      <c r="O189" s="686"/>
      <c r="P189" s="683">
        <v>0</v>
      </c>
      <c r="Q189" s="687">
        <f t="shared" si="42"/>
        <v>0</v>
      </c>
      <c r="R189" s="687"/>
      <c r="S189" s="687"/>
      <c r="T189" s="688">
        <v>0</v>
      </c>
      <c r="U189" s="693"/>
      <c r="V189" s="690">
        <f t="shared" si="51"/>
        <v>0</v>
      </c>
      <c r="W189" s="683"/>
      <c r="X189" s="474">
        <f t="shared" si="52"/>
        <v>0</v>
      </c>
      <c r="Y189" s="474">
        <f t="shared" si="53"/>
        <v>0</v>
      </c>
      <c r="Z189" s="475">
        <f t="shared" si="54"/>
        <v>0</v>
      </c>
      <c r="AA189" s="475">
        <v>0</v>
      </c>
      <c r="AB189" s="476">
        <v>0</v>
      </c>
      <c r="AC189" s="38">
        <f t="shared" si="55"/>
        <v>0</v>
      </c>
      <c r="AD189" s="692">
        <f t="shared" si="44"/>
        <v>0</v>
      </c>
      <c r="AE189" s="692">
        <f t="shared" si="45"/>
        <v>0</v>
      </c>
      <c r="AF189" s="692">
        <f t="shared" si="46"/>
        <v>0</v>
      </c>
      <c r="AG189" s="38"/>
      <c r="AH189" s="692">
        <f t="shared" si="48"/>
        <v>0</v>
      </c>
      <c r="AI189" s="692">
        <f t="shared" si="49"/>
        <v>0</v>
      </c>
      <c r="AJ189" s="692">
        <f t="shared" si="50"/>
        <v>0</v>
      </c>
      <c r="AL189" s="38">
        <f t="shared" si="47"/>
        <v>0</v>
      </c>
    </row>
    <row r="190" spans="1:38" hidden="1">
      <c r="A190" s="20"/>
      <c r="B190" s="20" t="s">
        <v>110</v>
      </c>
      <c r="C190" s="667" t="s">
        <v>576</v>
      </c>
      <c r="D190" s="68" t="s">
        <v>394</v>
      </c>
      <c r="E190" s="679"/>
      <c r="F190" s="529">
        <f>VLOOKUP(D190,'July 2013 Revenue'!D:V,19,FALSE)</f>
        <v>0</v>
      </c>
      <c r="G190" s="680"/>
      <c r="H190" s="680"/>
      <c r="I190" s="755"/>
      <c r="J190" s="682">
        <f t="shared" si="43"/>
        <v>0</v>
      </c>
      <c r="K190" s="683"/>
      <c r="L190" s="684"/>
      <c r="M190" s="753"/>
      <c r="N190" s="683">
        <v>0</v>
      </c>
      <c r="O190" s="686"/>
      <c r="P190" s="683">
        <v>0</v>
      </c>
      <c r="Q190" s="687">
        <f t="shared" si="42"/>
        <v>0</v>
      </c>
      <c r="R190" s="687"/>
      <c r="S190" s="687"/>
      <c r="T190" s="688">
        <v>0</v>
      </c>
      <c r="U190" s="693"/>
      <c r="V190" s="690">
        <f t="shared" si="51"/>
        <v>0</v>
      </c>
      <c r="W190" s="683"/>
      <c r="X190" s="474">
        <f t="shared" si="52"/>
        <v>0</v>
      </c>
      <c r="Y190" s="474">
        <f t="shared" si="53"/>
        <v>0</v>
      </c>
      <c r="Z190" s="475">
        <f t="shared" si="54"/>
        <v>0</v>
      </c>
      <c r="AA190" s="475">
        <v>0</v>
      </c>
      <c r="AB190" s="476">
        <v>0</v>
      </c>
      <c r="AC190" s="38">
        <f t="shared" si="55"/>
        <v>0</v>
      </c>
      <c r="AD190" s="692">
        <f t="shared" si="44"/>
        <v>0</v>
      </c>
      <c r="AE190" s="692">
        <f t="shared" si="45"/>
        <v>0</v>
      </c>
      <c r="AF190" s="692">
        <f t="shared" si="46"/>
        <v>0</v>
      </c>
      <c r="AG190" s="38"/>
      <c r="AH190" s="692">
        <f t="shared" si="48"/>
        <v>0</v>
      </c>
      <c r="AI190" s="692">
        <f t="shared" si="49"/>
        <v>0</v>
      </c>
      <c r="AJ190" s="692">
        <f t="shared" si="50"/>
        <v>0</v>
      </c>
      <c r="AL190" s="38">
        <f t="shared" si="47"/>
        <v>0</v>
      </c>
    </row>
    <row r="191" spans="1:38">
      <c r="A191" s="20"/>
      <c r="B191" s="20" t="s">
        <v>110</v>
      </c>
      <c r="C191" s="667"/>
      <c r="D191" s="68" t="s">
        <v>55</v>
      </c>
      <c r="E191" s="679">
        <v>602.17999999999995</v>
      </c>
      <c r="F191" s="529">
        <f>VLOOKUP(D191,'July 2013 Revenue'!D:V,19,FALSE)</f>
        <v>0</v>
      </c>
      <c r="G191" s="680"/>
      <c r="H191" s="680"/>
      <c r="I191" s="755"/>
      <c r="J191" s="682">
        <f t="shared" si="43"/>
        <v>602.17999999999995</v>
      </c>
      <c r="K191" s="683"/>
      <c r="L191" s="684"/>
      <c r="M191" s="753"/>
      <c r="N191" s="683">
        <v>0</v>
      </c>
      <c r="O191" s="686"/>
      <c r="P191" s="683">
        <v>0</v>
      </c>
      <c r="Q191" s="687">
        <f t="shared" si="42"/>
        <v>0</v>
      </c>
      <c r="R191" s="687"/>
      <c r="S191" s="687"/>
      <c r="T191" s="688">
        <v>0</v>
      </c>
      <c r="U191" s="693"/>
      <c r="V191" s="690">
        <f t="shared" si="51"/>
        <v>0</v>
      </c>
      <c r="W191" s="683"/>
      <c r="X191" s="474">
        <f t="shared" si="52"/>
        <v>0</v>
      </c>
      <c r="Y191" s="474">
        <f t="shared" si="53"/>
        <v>0</v>
      </c>
      <c r="Z191" s="475">
        <f t="shared" si="54"/>
        <v>0</v>
      </c>
      <c r="AA191" s="475">
        <v>0</v>
      </c>
      <c r="AB191" s="476">
        <v>0</v>
      </c>
      <c r="AC191" s="38">
        <f t="shared" si="55"/>
        <v>0</v>
      </c>
      <c r="AD191" s="692">
        <f t="shared" si="44"/>
        <v>602.17999999999995</v>
      </c>
      <c r="AE191" s="692">
        <f t="shared" si="45"/>
        <v>0</v>
      </c>
      <c r="AF191" s="692">
        <f t="shared" si="46"/>
        <v>0</v>
      </c>
      <c r="AG191" s="38"/>
      <c r="AH191" s="692">
        <f t="shared" si="48"/>
        <v>0</v>
      </c>
      <c r="AI191" s="692">
        <f t="shared" si="49"/>
        <v>0</v>
      </c>
      <c r="AJ191" s="692">
        <f t="shared" si="50"/>
        <v>0</v>
      </c>
      <c r="AL191" s="38">
        <f t="shared" si="47"/>
        <v>602.17999999999995</v>
      </c>
    </row>
    <row r="192" spans="1:38">
      <c r="A192" s="20"/>
      <c r="B192" s="20" t="s">
        <v>110</v>
      </c>
      <c r="C192" s="676" t="s">
        <v>854</v>
      </c>
      <c r="D192" s="68" t="s">
        <v>855</v>
      </c>
      <c r="E192" s="679"/>
      <c r="F192" s="529">
        <f>VLOOKUP(D192,'July 2013 Revenue'!D:V,19,FALSE)</f>
        <v>1134.27</v>
      </c>
      <c r="G192" s="680"/>
      <c r="H192" s="680"/>
      <c r="I192" s="755"/>
      <c r="J192" s="682">
        <f t="shared" si="43"/>
        <v>1134.27</v>
      </c>
      <c r="K192" s="683"/>
      <c r="L192" s="684"/>
      <c r="M192" s="753"/>
      <c r="N192" s="683">
        <v>0</v>
      </c>
      <c r="O192" s="686"/>
      <c r="P192" s="683">
        <v>0</v>
      </c>
      <c r="Q192" s="687">
        <f t="shared" si="42"/>
        <v>0</v>
      </c>
      <c r="R192" s="687"/>
      <c r="S192" s="687"/>
      <c r="T192" s="688">
        <v>1041.42</v>
      </c>
      <c r="U192" s="693"/>
      <c r="V192" s="690">
        <f t="shared" si="51"/>
        <v>1041.42</v>
      </c>
      <c r="W192" s="683"/>
      <c r="X192" s="474">
        <f t="shared" si="52"/>
        <v>0</v>
      </c>
      <c r="Y192" s="474">
        <f t="shared" si="53"/>
        <v>0</v>
      </c>
      <c r="Z192" s="475">
        <f t="shared" si="54"/>
        <v>0</v>
      </c>
      <c r="AA192" s="475">
        <v>0</v>
      </c>
      <c r="AB192" s="476">
        <v>0</v>
      </c>
      <c r="AC192" s="38">
        <f t="shared" si="55"/>
        <v>0</v>
      </c>
      <c r="AD192" s="692">
        <f t="shared" si="44"/>
        <v>1134.27</v>
      </c>
      <c r="AE192" s="692">
        <f t="shared" si="45"/>
        <v>0</v>
      </c>
      <c r="AF192" s="692">
        <f t="shared" si="46"/>
        <v>0</v>
      </c>
      <c r="AG192" s="38"/>
      <c r="AH192" s="692">
        <f t="shared" si="48"/>
        <v>0</v>
      </c>
      <c r="AI192" s="692">
        <f t="shared" si="49"/>
        <v>0</v>
      </c>
      <c r="AJ192" s="692">
        <f t="shared" si="50"/>
        <v>0</v>
      </c>
      <c r="AL192" s="38">
        <f t="shared" si="47"/>
        <v>1134.27</v>
      </c>
    </row>
    <row r="193" spans="1:38">
      <c r="A193" s="20"/>
      <c r="B193" s="20" t="s">
        <v>109</v>
      </c>
      <c r="C193" s="667" t="s">
        <v>577</v>
      </c>
      <c r="D193" s="68" t="s">
        <v>159</v>
      </c>
      <c r="E193" s="679"/>
      <c r="F193" s="529">
        <f>VLOOKUP(D193,'July 2013 Revenue'!D:V,19,FALSE)</f>
        <v>0</v>
      </c>
      <c r="G193" s="680"/>
      <c r="H193" s="680"/>
      <c r="I193" s="770">
        <f>7099.82+15028.58</f>
        <v>22128.400000000001</v>
      </c>
      <c r="J193" s="682">
        <f t="shared" si="43"/>
        <v>22128.400000000001</v>
      </c>
      <c r="K193" s="683"/>
      <c r="L193" s="684"/>
      <c r="M193" s="753"/>
      <c r="N193" s="683">
        <v>0</v>
      </c>
      <c r="O193" s="686"/>
      <c r="P193" s="683">
        <v>0</v>
      </c>
      <c r="Q193" s="687">
        <f t="shared" si="42"/>
        <v>0</v>
      </c>
      <c r="R193" s="687"/>
      <c r="S193" s="687"/>
      <c r="T193" s="688">
        <v>0</v>
      </c>
      <c r="U193" s="693"/>
      <c r="V193" s="690">
        <f t="shared" si="51"/>
        <v>0</v>
      </c>
      <c r="W193" s="683"/>
      <c r="X193" s="474">
        <f t="shared" si="52"/>
        <v>0</v>
      </c>
      <c r="Y193" s="474">
        <f t="shared" si="53"/>
        <v>0</v>
      </c>
      <c r="Z193" s="475">
        <f t="shared" si="54"/>
        <v>0</v>
      </c>
      <c r="AA193" s="475">
        <v>0</v>
      </c>
      <c r="AB193" s="476">
        <v>0</v>
      </c>
      <c r="AC193" s="38">
        <f t="shared" si="55"/>
        <v>0</v>
      </c>
      <c r="AD193" s="692">
        <f t="shared" si="44"/>
        <v>0</v>
      </c>
      <c r="AE193" s="692">
        <f t="shared" si="45"/>
        <v>22128.400000000001</v>
      </c>
      <c r="AF193" s="692">
        <f t="shared" si="46"/>
        <v>0</v>
      </c>
      <c r="AG193" s="38"/>
      <c r="AH193" s="692">
        <f t="shared" si="48"/>
        <v>0</v>
      </c>
      <c r="AI193" s="692">
        <f t="shared" si="49"/>
        <v>0</v>
      </c>
      <c r="AJ193" s="692">
        <f t="shared" si="50"/>
        <v>0</v>
      </c>
      <c r="AL193" s="38">
        <f t="shared" si="47"/>
        <v>22128.400000000001</v>
      </c>
    </row>
    <row r="194" spans="1:38">
      <c r="A194" s="20"/>
      <c r="B194" s="20" t="s">
        <v>109</v>
      </c>
      <c r="C194" s="667" t="s">
        <v>577</v>
      </c>
      <c r="D194" s="68" t="s">
        <v>160</v>
      </c>
      <c r="E194" s="679"/>
      <c r="F194" s="529">
        <f>VLOOKUP(D194,'July 2013 Revenue'!D:V,19,FALSE)</f>
        <v>0</v>
      </c>
      <c r="G194" s="680"/>
      <c r="H194" s="680"/>
      <c r="I194" s="770">
        <f>4441.43+10107.35</f>
        <v>14548.78</v>
      </c>
      <c r="J194" s="682">
        <f t="shared" si="43"/>
        <v>14548.78</v>
      </c>
      <c r="K194" s="683"/>
      <c r="L194" s="684"/>
      <c r="M194" s="753"/>
      <c r="N194" s="683">
        <v>0</v>
      </c>
      <c r="O194" s="686"/>
      <c r="P194" s="683">
        <v>0</v>
      </c>
      <c r="Q194" s="687">
        <f t="shared" si="42"/>
        <v>0</v>
      </c>
      <c r="R194" s="687"/>
      <c r="S194" s="687"/>
      <c r="T194" s="688">
        <v>0</v>
      </c>
      <c r="U194" s="693"/>
      <c r="V194" s="690">
        <f t="shared" si="51"/>
        <v>0</v>
      </c>
      <c r="W194" s="683"/>
      <c r="X194" s="474">
        <f t="shared" si="52"/>
        <v>0</v>
      </c>
      <c r="Y194" s="474">
        <f t="shared" si="53"/>
        <v>0</v>
      </c>
      <c r="Z194" s="475">
        <f t="shared" si="54"/>
        <v>0</v>
      </c>
      <c r="AA194" s="475">
        <v>0</v>
      </c>
      <c r="AB194" s="476">
        <v>0</v>
      </c>
      <c r="AC194" s="38">
        <f t="shared" si="55"/>
        <v>0</v>
      </c>
      <c r="AD194" s="692">
        <f t="shared" si="44"/>
        <v>0</v>
      </c>
      <c r="AE194" s="692">
        <f t="shared" si="45"/>
        <v>14548.78</v>
      </c>
      <c r="AF194" s="692">
        <f t="shared" si="46"/>
        <v>0</v>
      </c>
      <c r="AG194" s="38"/>
      <c r="AH194" s="692">
        <f t="shared" si="48"/>
        <v>0</v>
      </c>
      <c r="AI194" s="692">
        <f t="shared" si="49"/>
        <v>0</v>
      </c>
      <c r="AJ194" s="692">
        <f t="shared" si="50"/>
        <v>0</v>
      </c>
      <c r="AL194" s="38">
        <f t="shared" si="47"/>
        <v>14548.78</v>
      </c>
    </row>
    <row r="195" spans="1:38" hidden="1">
      <c r="A195" s="21"/>
      <c r="B195" s="21" t="s">
        <v>109</v>
      </c>
      <c r="C195" s="667" t="s">
        <v>577</v>
      </c>
      <c r="D195" s="68" t="s">
        <v>161</v>
      </c>
      <c r="E195" s="679"/>
      <c r="F195" s="529">
        <f>VLOOKUP(D195,'July 2013 Revenue'!D:V,19,FALSE)</f>
        <v>0</v>
      </c>
      <c r="G195" s="680"/>
      <c r="H195" s="680"/>
      <c r="I195" s="755"/>
      <c r="J195" s="682">
        <f t="shared" si="43"/>
        <v>0</v>
      </c>
      <c r="K195" s="683"/>
      <c r="L195" s="684"/>
      <c r="M195" s="753"/>
      <c r="N195" s="683">
        <v>0</v>
      </c>
      <c r="O195" s="686"/>
      <c r="P195" s="683">
        <v>0</v>
      </c>
      <c r="Q195" s="687">
        <f t="shared" si="42"/>
        <v>0</v>
      </c>
      <c r="R195" s="687"/>
      <c r="S195" s="687"/>
      <c r="T195" s="688">
        <v>0</v>
      </c>
      <c r="U195" s="693"/>
      <c r="V195" s="690">
        <f t="shared" si="51"/>
        <v>0</v>
      </c>
      <c r="W195" s="683"/>
      <c r="X195" s="474">
        <f t="shared" si="52"/>
        <v>0</v>
      </c>
      <c r="Y195" s="474">
        <f t="shared" si="53"/>
        <v>0</v>
      </c>
      <c r="Z195" s="475">
        <f t="shared" si="54"/>
        <v>0</v>
      </c>
      <c r="AA195" s="475">
        <v>0</v>
      </c>
      <c r="AB195" s="476">
        <v>0</v>
      </c>
      <c r="AC195" s="38">
        <f t="shared" si="55"/>
        <v>0</v>
      </c>
      <c r="AD195" s="692">
        <f t="shared" si="44"/>
        <v>0</v>
      </c>
      <c r="AE195" s="692">
        <f t="shared" si="45"/>
        <v>0</v>
      </c>
      <c r="AF195" s="692">
        <f t="shared" si="46"/>
        <v>0</v>
      </c>
      <c r="AG195" s="38"/>
      <c r="AH195" s="692">
        <f t="shared" si="48"/>
        <v>0</v>
      </c>
      <c r="AI195" s="692">
        <f t="shared" si="49"/>
        <v>0</v>
      </c>
      <c r="AJ195" s="692">
        <f t="shared" si="50"/>
        <v>0</v>
      </c>
      <c r="AL195" s="38">
        <f t="shared" si="47"/>
        <v>0</v>
      </c>
    </row>
    <row r="196" spans="1:38" hidden="1">
      <c r="A196" s="21"/>
      <c r="B196" s="21" t="s">
        <v>109</v>
      </c>
      <c r="C196" s="667" t="s">
        <v>577</v>
      </c>
      <c r="D196" s="68" t="s">
        <v>162</v>
      </c>
      <c r="E196" s="679"/>
      <c r="F196" s="529">
        <f>VLOOKUP(D196,'July 2013 Revenue'!D:V,19,FALSE)</f>
        <v>0</v>
      </c>
      <c r="G196" s="680"/>
      <c r="H196" s="680"/>
      <c r="I196" s="755"/>
      <c r="J196" s="682">
        <f t="shared" si="43"/>
        <v>0</v>
      </c>
      <c r="K196" s="683"/>
      <c r="L196" s="684"/>
      <c r="M196" s="753"/>
      <c r="N196" s="683">
        <v>0</v>
      </c>
      <c r="O196" s="686"/>
      <c r="P196" s="683">
        <v>0</v>
      </c>
      <c r="Q196" s="687">
        <f t="shared" si="42"/>
        <v>0</v>
      </c>
      <c r="R196" s="687"/>
      <c r="S196" s="687"/>
      <c r="T196" s="688">
        <v>0</v>
      </c>
      <c r="U196" s="693"/>
      <c r="V196" s="690">
        <f t="shared" si="51"/>
        <v>0</v>
      </c>
      <c r="W196" s="683"/>
      <c r="X196" s="474">
        <f t="shared" si="52"/>
        <v>0</v>
      </c>
      <c r="Y196" s="474">
        <f t="shared" si="53"/>
        <v>0</v>
      </c>
      <c r="Z196" s="475">
        <f t="shared" si="54"/>
        <v>0</v>
      </c>
      <c r="AA196" s="475">
        <v>0</v>
      </c>
      <c r="AB196" s="476">
        <v>0</v>
      </c>
      <c r="AC196" s="38">
        <f t="shared" si="55"/>
        <v>0</v>
      </c>
      <c r="AD196" s="692">
        <f t="shared" si="44"/>
        <v>0</v>
      </c>
      <c r="AE196" s="692">
        <f t="shared" si="45"/>
        <v>0</v>
      </c>
      <c r="AF196" s="692">
        <f t="shared" si="46"/>
        <v>0</v>
      </c>
      <c r="AG196" s="38"/>
      <c r="AH196" s="692">
        <f t="shared" si="48"/>
        <v>0</v>
      </c>
      <c r="AI196" s="692">
        <f t="shared" si="49"/>
        <v>0</v>
      </c>
      <c r="AJ196" s="692">
        <f t="shared" si="50"/>
        <v>0</v>
      </c>
      <c r="AL196" s="38">
        <f t="shared" si="47"/>
        <v>0</v>
      </c>
    </row>
    <row r="197" spans="1:38">
      <c r="A197" s="21"/>
      <c r="B197" s="21" t="s">
        <v>109</v>
      </c>
      <c r="C197" s="666"/>
      <c r="D197" s="68" t="s">
        <v>163</v>
      </c>
      <c r="E197" s="679"/>
      <c r="F197" s="529">
        <f>VLOOKUP(D197,'July 2013 Revenue'!D:V,19,FALSE)</f>
        <v>0</v>
      </c>
      <c r="G197" s="680"/>
      <c r="H197" s="680"/>
      <c r="I197" s="755"/>
      <c r="J197" s="682">
        <f t="shared" si="43"/>
        <v>0</v>
      </c>
      <c r="K197" s="683"/>
      <c r="L197" s="684"/>
      <c r="M197" s="753"/>
      <c r="N197" s="683">
        <v>0</v>
      </c>
      <c r="O197" s="686"/>
      <c r="P197" s="683">
        <v>0</v>
      </c>
      <c r="Q197" s="687">
        <f t="shared" si="42"/>
        <v>0</v>
      </c>
      <c r="R197" s="687"/>
      <c r="S197" s="687"/>
      <c r="T197" s="688">
        <v>0</v>
      </c>
      <c r="U197" s="704"/>
      <c r="V197" s="690">
        <f t="shared" si="51"/>
        <v>0</v>
      </c>
      <c r="W197" s="705"/>
      <c r="X197" s="474">
        <f t="shared" si="52"/>
        <v>0</v>
      </c>
      <c r="Y197" s="474">
        <f t="shared" si="53"/>
        <v>0</v>
      </c>
      <c r="Z197" s="475">
        <f t="shared" si="54"/>
        <v>0</v>
      </c>
      <c r="AA197" s="475">
        <v>0</v>
      </c>
      <c r="AB197" s="476">
        <v>0</v>
      </c>
      <c r="AC197" s="38">
        <f t="shared" si="55"/>
        <v>0</v>
      </c>
      <c r="AD197" s="692">
        <f t="shared" si="44"/>
        <v>0</v>
      </c>
      <c r="AE197" s="692">
        <f t="shared" si="45"/>
        <v>0</v>
      </c>
      <c r="AF197" s="692">
        <f t="shared" si="46"/>
        <v>0</v>
      </c>
      <c r="AG197" s="38"/>
      <c r="AH197" s="692">
        <f t="shared" si="48"/>
        <v>0</v>
      </c>
      <c r="AI197" s="692">
        <f t="shared" si="49"/>
        <v>0</v>
      </c>
      <c r="AJ197" s="692">
        <f t="shared" si="50"/>
        <v>0</v>
      </c>
      <c r="AL197" s="38">
        <f t="shared" si="47"/>
        <v>0</v>
      </c>
    </row>
    <row r="198" spans="1:38">
      <c r="A198" s="21"/>
      <c r="B198" s="21" t="s">
        <v>109</v>
      </c>
      <c r="C198" s="666"/>
      <c r="D198" s="412" t="s">
        <v>164</v>
      </c>
      <c r="E198" s="679"/>
      <c r="F198" s="529">
        <f>VLOOKUP(D198,'July 2013 Revenue'!D:V,19,FALSE)</f>
        <v>0</v>
      </c>
      <c r="G198" s="680"/>
      <c r="H198" s="680"/>
      <c r="I198" s="755"/>
      <c r="J198" s="682">
        <f t="shared" si="43"/>
        <v>0</v>
      </c>
      <c r="K198" s="683"/>
      <c r="L198" s="684"/>
      <c r="M198" s="753"/>
      <c r="N198" s="683">
        <v>0</v>
      </c>
      <c r="O198" s="686"/>
      <c r="P198" s="683">
        <v>0</v>
      </c>
      <c r="Q198" s="687">
        <f t="shared" si="42"/>
        <v>0</v>
      </c>
      <c r="R198" s="687"/>
      <c r="S198" s="687"/>
      <c r="T198" s="688">
        <v>0</v>
      </c>
      <c r="U198" s="704"/>
      <c r="V198" s="690">
        <f t="shared" si="51"/>
        <v>0</v>
      </c>
      <c r="W198" s="705"/>
      <c r="X198" s="474">
        <f t="shared" si="52"/>
        <v>0</v>
      </c>
      <c r="Y198" s="474">
        <f t="shared" si="53"/>
        <v>0</v>
      </c>
      <c r="Z198" s="475">
        <f t="shared" si="54"/>
        <v>0</v>
      </c>
      <c r="AA198" s="475">
        <v>0</v>
      </c>
      <c r="AB198" s="476">
        <v>0</v>
      </c>
      <c r="AC198" s="38">
        <f t="shared" si="55"/>
        <v>0</v>
      </c>
      <c r="AD198" s="692">
        <f t="shared" si="44"/>
        <v>0</v>
      </c>
      <c r="AE198" s="692">
        <f t="shared" si="45"/>
        <v>0</v>
      </c>
      <c r="AF198" s="692">
        <f t="shared" si="46"/>
        <v>0</v>
      </c>
      <c r="AG198" s="38"/>
      <c r="AH198" s="692">
        <f t="shared" si="48"/>
        <v>0</v>
      </c>
      <c r="AI198" s="692">
        <f t="shared" si="49"/>
        <v>0</v>
      </c>
      <c r="AJ198" s="692">
        <f t="shared" si="50"/>
        <v>0</v>
      </c>
      <c r="AL198" s="38">
        <f t="shared" si="47"/>
        <v>0</v>
      </c>
    </row>
    <row r="199" spans="1:38">
      <c r="A199" s="21" t="s">
        <v>109</v>
      </c>
      <c r="B199" s="21" t="s">
        <v>114</v>
      </c>
      <c r="C199" s="666" t="s">
        <v>578</v>
      </c>
      <c r="D199" s="412" t="s">
        <v>318</v>
      </c>
      <c r="E199" s="679">
        <v>46675.6</v>
      </c>
      <c r="F199" s="529">
        <f>VLOOKUP(D199,'July 2013 Revenue'!D:V,19,FALSE)</f>
        <v>-70000</v>
      </c>
      <c r="G199" s="680"/>
      <c r="H199" s="680"/>
      <c r="I199" s="755"/>
      <c r="J199" s="682">
        <f t="shared" si="43"/>
        <v>-23324.400000000001</v>
      </c>
      <c r="K199" s="683"/>
      <c r="L199" s="684"/>
      <c r="M199" s="753">
        <v>80000</v>
      </c>
      <c r="N199" s="683">
        <v>0</v>
      </c>
      <c r="O199" s="686"/>
      <c r="P199" s="683">
        <v>0</v>
      </c>
      <c r="Q199" s="687">
        <f t="shared" si="42"/>
        <v>80000</v>
      </c>
      <c r="R199" s="687"/>
      <c r="S199" s="687"/>
      <c r="T199" s="688">
        <v>0</v>
      </c>
      <c r="U199" s="704"/>
      <c r="V199" s="690">
        <f t="shared" si="51"/>
        <v>-80000</v>
      </c>
      <c r="W199" s="683"/>
      <c r="X199" s="474">
        <f t="shared" si="52"/>
        <v>0</v>
      </c>
      <c r="Y199" s="474">
        <f t="shared" si="53"/>
        <v>0</v>
      </c>
      <c r="Z199" s="475">
        <f t="shared" si="54"/>
        <v>80000</v>
      </c>
      <c r="AA199" s="475">
        <v>0</v>
      </c>
      <c r="AB199" s="476">
        <v>0</v>
      </c>
      <c r="AC199" s="38">
        <f t="shared" si="55"/>
        <v>0</v>
      </c>
      <c r="AD199" s="692">
        <f t="shared" si="44"/>
        <v>0</v>
      </c>
      <c r="AE199" s="692">
        <f t="shared" si="45"/>
        <v>0</v>
      </c>
      <c r="AF199" s="692">
        <f t="shared" si="46"/>
        <v>-23324.400000000001</v>
      </c>
      <c r="AG199" s="38"/>
      <c r="AH199" s="692">
        <f t="shared" si="48"/>
        <v>0</v>
      </c>
      <c r="AI199" s="692">
        <f t="shared" si="49"/>
        <v>0</v>
      </c>
      <c r="AJ199" s="692">
        <f t="shared" si="50"/>
        <v>80000</v>
      </c>
      <c r="AL199" s="38">
        <f t="shared" si="47"/>
        <v>56675.6</v>
      </c>
    </row>
    <row r="200" spans="1:38">
      <c r="A200" s="20" t="s">
        <v>211</v>
      </c>
      <c r="B200" s="20" t="s">
        <v>109</v>
      </c>
      <c r="C200" s="667"/>
      <c r="D200" s="68" t="s">
        <v>57</v>
      </c>
      <c r="E200" s="679"/>
      <c r="F200" s="529">
        <f>VLOOKUP(D200,'July 2013 Revenue'!D:V,19,FALSE)</f>
        <v>0</v>
      </c>
      <c r="G200" s="680"/>
      <c r="H200" s="680"/>
      <c r="I200" s="755"/>
      <c r="J200" s="682">
        <f t="shared" si="43"/>
        <v>0</v>
      </c>
      <c r="K200" s="683"/>
      <c r="L200" s="684"/>
      <c r="M200" s="753"/>
      <c r="N200" s="683">
        <v>0</v>
      </c>
      <c r="O200" s="686"/>
      <c r="P200" s="683">
        <v>0</v>
      </c>
      <c r="Q200" s="687">
        <f t="shared" si="42"/>
        <v>0</v>
      </c>
      <c r="R200" s="687"/>
      <c r="S200" s="687"/>
      <c r="T200" s="688">
        <v>0</v>
      </c>
      <c r="U200" s="693"/>
      <c r="V200" s="690">
        <f t="shared" si="51"/>
        <v>0</v>
      </c>
      <c r="W200" s="683"/>
      <c r="X200" s="474">
        <f t="shared" si="52"/>
        <v>0</v>
      </c>
      <c r="Y200" s="474">
        <f t="shared" si="53"/>
        <v>0</v>
      </c>
      <c r="Z200" s="475">
        <f t="shared" si="54"/>
        <v>0</v>
      </c>
      <c r="AA200" s="475">
        <v>0</v>
      </c>
      <c r="AB200" s="476">
        <v>0</v>
      </c>
      <c r="AC200" s="38">
        <f t="shared" si="55"/>
        <v>0</v>
      </c>
      <c r="AD200" s="692">
        <f t="shared" si="44"/>
        <v>0</v>
      </c>
      <c r="AE200" s="692">
        <f t="shared" si="45"/>
        <v>0</v>
      </c>
      <c r="AF200" s="692">
        <f t="shared" si="46"/>
        <v>0</v>
      </c>
      <c r="AG200" s="38"/>
      <c r="AH200" s="692">
        <f t="shared" si="48"/>
        <v>0</v>
      </c>
      <c r="AI200" s="692">
        <f t="shared" si="49"/>
        <v>0</v>
      </c>
      <c r="AJ200" s="692">
        <f t="shared" si="50"/>
        <v>0</v>
      </c>
      <c r="AL200" s="38">
        <f t="shared" si="47"/>
        <v>0</v>
      </c>
    </row>
    <row r="201" spans="1:38">
      <c r="A201" s="20"/>
      <c r="B201" s="20" t="s">
        <v>114</v>
      </c>
      <c r="C201" s="676" t="s">
        <v>621</v>
      </c>
      <c r="D201" s="68" t="s">
        <v>622</v>
      </c>
      <c r="E201" s="679"/>
      <c r="F201" s="529">
        <f>VLOOKUP(D201,'July 2013 Revenue'!D:V,19,FALSE)</f>
        <v>0</v>
      </c>
      <c r="G201" s="680"/>
      <c r="H201" s="680"/>
      <c r="I201" s="755"/>
      <c r="J201" s="682">
        <f t="shared" si="43"/>
        <v>0</v>
      </c>
      <c r="K201" s="683"/>
      <c r="L201" s="684"/>
      <c r="M201" s="753"/>
      <c r="N201" s="683">
        <v>0</v>
      </c>
      <c r="O201" s="686"/>
      <c r="P201" s="683">
        <v>0</v>
      </c>
      <c r="Q201" s="687">
        <f t="shared" si="42"/>
        <v>0</v>
      </c>
      <c r="R201" s="687"/>
      <c r="S201" s="687"/>
      <c r="T201" s="688">
        <v>0</v>
      </c>
      <c r="U201" s="704"/>
      <c r="V201" s="690">
        <f t="shared" si="51"/>
        <v>0</v>
      </c>
      <c r="W201" s="683"/>
      <c r="X201" s="474">
        <f t="shared" si="52"/>
        <v>0</v>
      </c>
      <c r="Y201" s="474">
        <f t="shared" si="53"/>
        <v>0</v>
      </c>
      <c r="Z201" s="475">
        <f t="shared" si="54"/>
        <v>0</v>
      </c>
      <c r="AA201" s="475">
        <v>0</v>
      </c>
      <c r="AB201" s="476">
        <v>0</v>
      </c>
      <c r="AC201" s="38">
        <f t="shared" si="55"/>
        <v>0</v>
      </c>
      <c r="AD201" s="692">
        <f t="shared" si="44"/>
        <v>0</v>
      </c>
      <c r="AE201" s="692">
        <f t="shared" si="45"/>
        <v>0</v>
      </c>
      <c r="AF201" s="692">
        <f t="shared" si="46"/>
        <v>0</v>
      </c>
      <c r="AG201" s="38"/>
      <c r="AH201" s="692">
        <f t="shared" si="48"/>
        <v>0</v>
      </c>
      <c r="AI201" s="692">
        <f t="shared" si="49"/>
        <v>0</v>
      </c>
      <c r="AJ201" s="692">
        <f t="shared" si="50"/>
        <v>0</v>
      </c>
      <c r="AL201" s="38">
        <f t="shared" si="47"/>
        <v>0</v>
      </c>
    </row>
    <row r="202" spans="1:38">
      <c r="A202" s="20"/>
      <c r="B202" s="20" t="s">
        <v>110</v>
      </c>
      <c r="C202" s="667"/>
      <c r="D202" s="68" t="s">
        <v>497</v>
      </c>
      <c r="E202" s="679"/>
      <c r="F202" s="529">
        <f>VLOOKUP(D202,'July 2013 Revenue'!D:V,19,FALSE)</f>
        <v>0</v>
      </c>
      <c r="G202" s="680"/>
      <c r="H202" s="680"/>
      <c r="I202" s="755"/>
      <c r="J202" s="682">
        <f t="shared" si="43"/>
        <v>0</v>
      </c>
      <c r="K202" s="683"/>
      <c r="L202" s="684"/>
      <c r="M202" s="753"/>
      <c r="N202" s="683">
        <v>0</v>
      </c>
      <c r="O202" s="686"/>
      <c r="P202" s="683">
        <v>0</v>
      </c>
      <c r="Q202" s="687">
        <f t="shared" si="42"/>
        <v>0</v>
      </c>
      <c r="R202" s="687"/>
      <c r="S202" s="687"/>
      <c r="T202" s="688">
        <v>0</v>
      </c>
      <c r="U202" s="693"/>
      <c r="V202" s="690">
        <f t="shared" si="51"/>
        <v>0</v>
      </c>
      <c r="W202" s="683"/>
      <c r="X202" s="474">
        <f t="shared" si="52"/>
        <v>0</v>
      </c>
      <c r="Y202" s="474">
        <f t="shared" si="53"/>
        <v>0</v>
      </c>
      <c r="Z202" s="475">
        <f t="shared" si="54"/>
        <v>0</v>
      </c>
      <c r="AA202" s="475">
        <v>0</v>
      </c>
      <c r="AB202" s="476">
        <v>0</v>
      </c>
      <c r="AC202" s="38">
        <f t="shared" si="55"/>
        <v>0</v>
      </c>
      <c r="AD202" s="692">
        <f t="shared" si="44"/>
        <v>0</v>
      </c>
      <c r="AE202" s="692">
        <f t="shared" si="45"/>
        <v>0</v>
      </c>
      <c r="AF202" s="692">
        <f t="shared" si="46"/>
        <v>0</v>
      </c>
      <c r="AG202" s="38"/>
      <c r="AH202" s="692">
        <f t="shared" si="48"/>
        <v>0</v>
      </c>
      <c r="AI202" s="692">
        <f t="shared" si="49"/>
        <v>0</v>
      </c>
      <c r="AJ202" s="692">
        <f t="shared" si="50"/>
        <v>0</v>
      </c>
      <c r="AL202" s="38">
        <f t="shared" si="47"/>
        <v>0</v>
      </c>
    </row>
    <row r="203" spans="1:38">
      <c r="A203" s="20"/>
      <c r="B203" s="20" t="s">
        <v>110</v>
      </c>
      <c r="C203" s="667"/>
      <c r="D203" s="68" t="s">
        <v>509</v>
      </c>
      <c r="E203" s="679"/>
      <c r="F203" s="529">
        <f>VLOOKUP(D203,'July 2013 Revenue'!D:V,19,FALSE)</f>
        <v>-15000</v>
      </c>
      <c r="G203" s="680"/>
      <c r="H203" s="680"/>
      <c r="I203" s="755"/>
      <c r="J203" s="682">
        <f t="shared" si="43"/>
        <v>-15000</v>
      </c>
      <c r="K203" s="683"/>
      <c r="L203" s="684"/>
      <c r="M203" s="753">
        <v>30000</v>
      </c>
      <c r="N203" s="683"/>
      <c r="O203" s="686"/>
      <c r="P203" s="683"/>
      <c r="Q203" s="687">
        <f t="shared" si="42"/>
        <v>30000</v>
      </c>
      <c r="R203" s="687"/>
      <c r="S203" s="687"/>
      <c r="T203" s="688">
        <v>0</v>
      </c>
      <c r="U203" s="693"/>
      <c r="V203" s="690">
        <f t="shared" si="51"/>
        <v>-30000</v>
      </c>
      <c r="W203" s="683"/>
      <c r="X203" s="474">
        <f t="shared" si="52"/>
        <v>30000</v>
      </c>
      <c r="Y203" s="474">
        <f t="shared" si="53"/>
        <v>0</v>
      </c>
      <c r="Z203" s="475">
        <f t="shared" si="54"/>
        <v>0</v>
      </c>
      <c r="AA203" s="475">
        <v>0</v>
      </c>
      <c r="AB203" s="476">
        <v>0</v>
      </c>
      <c r="AC203" s="38">
        <f t="shared" si="55"/>
        <v>0</v>
      </c>
      <c r="AD203" s="692">
        <f t="shared" si="44"/>
        <v>-15000</v>
      </c>
      <c r="AE203" s="692">
        <f t="shared" si="45"/>
        <v>0</v>
      </c>
      <c r="AF203" s="692">
        <f t="shared" si="46"/>
        <v>0</v>
      </c>
      <c r="AG203" s="38"/>
      <c r="AH203" s="692">
        <f t="shared" si="48"/>
        <v>30000</v>
      </c>
      <c r="AI203" s="692">
        <f t="shared" si="49"/>
        <v>0</v>
      </c>
      <c r="AJ203" s="692">
        <f t="shared" si="50"/>
        <v>0</v>
      </c>
      <c r="AL203" s="38">
        <f t="shared" si="47"/>
        <v>15000</v>
      </c>
    </row>
    <row r="204" spans="1:38" s="627" customFormat="1">
      <c r="A204" s="610"/>
      <c r="B204" s="610" t="s">
        <v>110</v>
      </c>
      <c r="C204" s="667" t="s">
        <v>580</v>
      </c>
      <c r="D204" s="612" t="s">
        <v>476</v>
      </c>
      <c r="E204" s="679"/>
      <c r="F204" s="529">
        <f>VLOOKUP(D204,'July 2013 Revenue'!D:V,19,FALSE)</f>
        <v>0</v>
      </c>
      <c r="G204" s="680"/>
      <c r="H204" s="680"/>
      <c r="I204" s="755"/>
      <c r="J204" s="682">
        <f t="shared" si="43"/>
        <v>0</v>
      </c>
      <c r="K204" s="683"/>
      <c r="L204" s="684"/>
      <c r="M204" s="753"/>
      <c r="N204" s="683">
        <v>0</v>
      </c>
      <c r="O204" s="686"/>
      <c r="P204" s="683">
        <v>0</v>
      </c>
      <c r="Q204" s="687">
        <f t="shared" si="42"/>
        <v>0</v>
      </c>
      <c r="R204" s="687"/>
      <c r="S204" s="687"/>
      <c r="T204" s="688">
        <v>0</v>
      </c>
      <c r="U204" s="706"/>
      <c r="V204" s="690">
        <f t="shared" si="51"/>
        <v>0</v>
      </c>
      <c r="W204" s="707"/>
      <c r="X204" s="474">
        <f t="shared" si="52"/>
        <v>0</v>
      </c>
      <c r="Y204" s="474">
        <f t="shared" si="53"/>
        <v>0</v>
      </c>
      <c r="Z204" s="475">
        <f t="shared" si="54"/>
        <v>0</v>
      </c>
      <c r="AA204" s="475">
        <v>0</v>
      </c>
      <c r="AB204" s="476">
        <v>0</v>
      </c>
      <c r="AC204" s="38">
        <f t="shared" si="55"/>
        <v>0</v>
      </c>
      <c r="AD204" s="692">
        <f t="shared" si="44"/>
        <v>0</v>
      </c>
      <c r="AE204" s="692">
        <f t="shared" si="45"/>
        <v>0</v>
      </c>
      <c r="AF204" s="692">
        <f t="shared" si="46"/>
        <v>0</v>
      </c>
      <c r="AG204" s="38"/>
      <c r="AH204" s="692">
        <f t="shared" si="48"/>
        <v>0</v>
      </c>
      <c r="AI204" s="692">
        <f t="shared" si="49"/>
        <v>0</v>
      </c>
      <c r="AJ204" s="692">
        <f t="shared" si="50"/>
        <v>0</v>
      </c>
      <c r="AL204" s="38">
        <f t="shared" si="47"/>
        <v>0</v>
      </c>
    </row>
    <row r="205" spans="1:38" s="232" customFormat="1">
      <c r="A205" s="283"/>
      <c r="B205" s="283" t="s">
        <v>114</v>
      </c>
      <c r="C205" s="667" t="s">
        <v>580</v>
      </c>
      <c r="D205" s="123" t="s">
        <v>371</v>
      </c>
      <c r="E205" s="679"/>
      <c r="F205" s="529">
        <f>VLOOKUP(D205,'July 2013 Revenue'!D:V,19,FALSE)</f>
        <v>1286.4300000000003</v>
      </c>
      <c r="G205" s="680"/>
      <c r="H205" s="680"/>
      <c r="I205" s="755"/>
      <c r="J205" s="682">
        <f t="shared" si="43"/>
        <v>1286.4300000000003</v>
      </c>
      <c r="K205" s="683"/>
      <c r="L205" s="684">
        <v>8040.86</v>
      </c>
      <c r="M205" s="753"/>
      <c r="N205" s="683">
        <v>0</v>
      </c>
      <c r="O205" s="686"/>
      <c r="P205" s="683">
        <v>0</v>
      </c>
      <c r="Q205" s="687">
        <f>L205+M205</f>
        <v>8040.86</v>
      </c>
      <c r="R205" s="687"/>
      <c r="S205" s="687"/>
      <c r="T205" s="688">
        <v>9058.7999999999993</v>
      </c>
      <c r="U205" s="693"/>
      <c r="V205" s="690">
        <f t="shared" si="51"/>
        <v>1017.9399999999996</v>
      </c>
      <c r="W205" s="683"/>
      <c r="X205" s="474">
        <f t="shared" si="52"/>
        <v>0</v>
      </c>
      <c r="Y205" s="474">
        <f t="shared" si="53"/>
        <v>0</v>
      </c>
      <c r="Z205" s="475">
        <f t="shared" si="54"/>
        <v>8040.86</v>
      </c>
      <c r="AA205" s="475">
        <v>0</v>
      </c>
      <c r="AB205" s="476">
        <v>0</v>
      </c>
      <c r="AC205" s="38">
        <f>(L205+M205)-(X205+Y205+Z205+AA205+AB205)</f>
        <v>0</v>
      </c>
      <c r="AD205" s="692">
        <f t="shared" si="44"/>
        <v>0</v>
      </c>
      <c r="AE205" s="692">
        <f t="shared" si="45"/>
        <v>0</v>
      </c>
      <c r="AF205" s="692">
        <f t="shared" si="46"/>
        <v>1286.4300000000003</v>
      </c>
      <c r="AG205" s="38"/>
      <c r="AH205" s="692">
        <f t="shared" si="48"/>
        <v>0</v>
      </c>
      <c r="AI205" s="692">
        <f t="shared" si="49"/>
        <v>0</v>
      </c>
      <c r="AJ205" s="692">
        <f t="shared" si="50"/>
        <v>8040.86</v>
      </c>
      <c r="AL205" s="38">
        <f t="shared" si="47"/>
        <v>9327.2900000000009</v>
      </c>
    </row>
    <row r="206" spans="1:38" s="232" customFormat="1">
      <c r="A206" s="283"/>
      <c r="B206" s="283" t="s">
        <v>110</v>
      </c>
      <c r="C206" s="667" t="s">
        <v>580</v>
      </c>
      <c r="D206" s="123" t="s">
        <v>422</v>
      </c>
      <c r="E206" s="679"/>
      <c r="F206" s="529">
        <f>VLOOKUP(D206,'July 2013 Revenue'!D:V,19,FALSE)</f>
        <v>0</v>
      </c>
      <c r="G206" s="680"/>
      <c r="H206" s="680"/>
      <c r="I206" s="755"/>
      <c r="J206" s="682">
        <f t="shared" si="43"/>
        <v>0</v>
      </c>
      <c r="K206" s="683"/>
      <c r="L206" s="684"/>
      <c r="M206" s="753"/>
      <c r="N206" s="683">
        <v>0</v>
      </c>
      <c r="O206" s="686"/>
      <c r="P206" s="683">
        <v>0</v>
      </c>
      <c r="Q206" s="687">
        <f t="shared" si="42"/>
        <v>0</v>
      </c>
      <c r="R206" s="687"/>
      <c r="S206" s="687"/>
      <c r="T206" s="688">
        <v>0</v>
      </c>
      <c r="U206" s="693"/>
      <c r="V206" s="690">
        <f t="shared" si="51"/>
        <v>0</v>
      </c>
      <c r="W206" s="683"/>
      <c r="X206" s="474">
        <f t="shared" si="52"/>
        <v>0</v>
      </c>
      <c r="Y206" s="474">
        <f t="shared" si="53"/>
        <v>0</v>
      </c>
      <c r="Z206" s="475">
        <f t="shared" si="54"/>
        <v>0</v>
      </c>
      <c r="AA206" s="475">
        <v>0</v>
      </c>
      <c r="AB206" s="476">
        <v>0</v>
      </c>
      <c r="AC206" s="38">
        <f t="shared" si="55"/>
        <v>0</v>
      </c>
      <c r="AD206" s="692">
        <f t="shared" si="44"/>
        <v>0</v>
      </c>
      <c r="AE206" s="692">
        <f t="shared" si="45"/>
        <v>0</v>
      </c>
      <c r="AF206" s="692">
        <f t="shared" si="46"/>
        <v>0</v>
      </c>
      <c r="AG206" s="38"/>
      <c r="AH206" s="692">
        <f t="shared" si="48"/>
        <v>0</v>
      </c>
      <c r="AI206" s="692">
        <f t="shared" si="49"/>
        <v>0</v>
      </c>
      <c r="AJ206" s="692">
        <f t="shared" si="50"/>
        <v>0</v>
      </c>
      <c r="AL206" s="38">
        <f t="shared" si="47"/>
        <v>0</v>
      </c>
    </row>
    <row r="207" spans="1:38" s="232" customFormat="1">
      <c r="A207" s="283"/>
      <c r="B207" s="283" t="s">
        <v>110</v>
      </c>
      <c r="C207" s="667" t="s">
        <v>580</v>
      </c>
      <c r="D207" s="123" t="s">
        <v>442</v>
      </c>
      <c r="E207" s="679"/>
      <c r="F207" s="529">
        <f>VLOOKUP(D207,'July 2013 Revenue'!D:V,19,FALSE)</f>
        <v>5316.5100000000093</v>
      </c>
      <c r="G207" s="680"/>
      <c r="H207" s="680"/>
      <c r="I207" s="755"/>
      <c r="J207" s="682">
        <f t="shared" si="43"/>
        <v>5316.5100000000093</v>
      </c>
      <c r="K207" s="683"/>
      <c r="L207" s="684">
        <v>420489.13</v>
      </c>
      <c r="M207" s="753">
        <v>447927.59</v>
      </c>
      <c r="N207" s="683">
        <v>0</v>
      </c>
      <c r="O207" s="686"/>
      <c r="P207" s="683">
        <v>0</v>
      </c>
      <c r="Q207" s="687">
        <f>L207+M207</f>
        <v>868416.72</v>
      </c>
      <c r="R207" s="687"/>
      <c r="S207" s="687"/>
      <c r="T207" s="688">
        <f>420488.49+447920.44</f>
        <v>868408.92999999993</v>
      </c>
      <c r="U207" s="693"/>
      <c r="V207" s="690">
        <f t="shared" si="51"/>
        <v>-7.7900000000372529</v>
      </c>
      <c r="W207" s="683"/>
      <c r="X207" s="474">
        <f t="shared" si="52"/>
        <v>868416.72</v>
      </c>
      <c r="Y207" s="474">
        <f t="shared" si="53"/>
        <v>0</v>
      </c>
      <c r="Z207" s="475">
        <f t="shared" si="54"/>
        <v>0</v>
      </c>
      <c r="AA207" s="475">
        <v>0</v>
      </c>
      <c r="AB207" s="476">
        <v>0</v>
      </c>
      <c r="AC207" s="38">
        <f>(L207+M207)-(X207+Y207+Z207+AA207+AB207)</f>
        <v>0</v>
      </c>
      <c r="AD207" s="692">
        <f t="shared" si="44"/>
        <v>5316.5100000000093</v>
      </c>
      <c r="AE207" s="692">
        <f t="shared" si="45"/>
        <v>0</v>
      </c>
      <c r="AF207" s="692">
        <f t="shared" si="46"/>
        <v>0</v>
      </c>
      <c r="AG207" s="38"/>
      <c r="AH207" s="692">
        <f t="shared" si="48"/>
        <v>868416.72</v>
      </c>
      <c r="AI207" s="692">
        <f t="shared" si="49"/>
        <v>0</v>
      </c>
      <c r="AJ207" s="692">
        <f t="shared" si="50"/>
        <v>0</v>
      </c>
      <c r="AL207" s="38">
        <f t="shared" si="47"/>
        <v>873733.23</v>
      </c>
    </row>
    <row r="208" spans="1:38" hidden="1">
      <c r="A208" s="21" t="s">
        <v>97</v>
      </c>
      <c r="B208" s="21" t="s">
        <v>109</v>
      </c>
      <c r="C208" s="666"/>
      <c r="D208" s="68" t="s">
        <v>381</v>
      </c>
      <c r="E208" s="679"/>
      <c r="F208" s="529">
        <f>VLOOKUP(D208,'July 2013 Revenue'!D:V,19,FALSE)</f>
        <v>0</v>
      </c>
      <c r="G208" s="680"/>
      <c r="H208" s="680"/>
      <c r="I208" s="755"/>
      <c r="J208" s="682">
        <f t="shared" si="43"/>
        <v>0</v>
      </c>
      <c r="K208" s="683"/>
      <c r="L208" s="684"/>
      <c r="M208" s="753"/>
      <c r="N208" s="683">
        <v>0</v>
      </c>
      <c r="O208" s="686"/>
      <c r="P208" s="683">
        <v>0</v>
      </c>
      <c r="Q208" s="687">
        <f t="shared" si="42"/>
        <v>0</v>
      </c>
      <c r="R208" s="687"/>
      <c r="S208" s="687"/>
      <c r="T208" s="688">
        <v>0</v>
      </c>
      <c r="U208" s="693"/>
      <c r="V208" s="690">
        <f t="shared" si="51"/>
        <v>0</v>
      </c>
      <c r="W208" s="683"/>
      <c r="X208" s="474">
        <f t="shared" si="52"/>
        <v>0</v>
      </c>
      <c r="Y208" s="474">
        <f t="shared" si="53"/>
        <v>0</v>
      </c>
      <c r="Z208" s="475">
        <f t="shared" si="54"/>
        <v>0</v>
      </c>
      <c r="AA208" s="475">
        <v>0</v>
      </c>
      <c r="AB208" s="476">
        <v>0</v>
      </c>
      <c r="AC208" s="38">
        <f t="shared" si="55"/>
        <v>0</v>
      </c>
      <c r="AD208" s="692">
        <f t="shared" si="44"/>
        <v>0</v>
      </c>
      <c r="AE208" s="692">
        <f t="shared" si="45"/>
        <v>0</v>
      </c>
      <c r="AF208" s="692">
        <f t="shared" si="46"/>
        <v>0</v>
      </c>
      <c r="AG208" s="38"/>
      <c r="AH208" s="692">
        <f t="shared" si="48"/>
        <v>0</v>
      </c>
      <c r="AI208" s="692">
        <f t="shared" si="49"/>
        <v>0</v>
      </c>
      <c r="AJ208" s="692">
        <f t="shared" si="50"/>
        <v>0</v>
      </c>
      <c r="AL208" s="38">
        <f t="shared" si="47"/>
        <v>0</v>
      </c>
    </row>
    <row r="209" spans="1:38" hidden="1">
      <c r="A209" s="21" t="s">
        <v>97</v>
      </c>
      <c r="B209" s="21" t="s">
        <v>114</v>
      </c>
      <c r="C209" s="666"/>
      <c r="D209" s="68" t="s">
        <v>376</v>
      </c>
      <c r="E209" s="679"/>
      <c r="F209" s="529">
        <f>VLOOKUP(D209,'July 2013 Revenue'!D:V,19,FALSE)</f>
        <v>0</v>
      </c>
      <c r="G209" s="680"/>
      <c r="H209" s="680"/>
      <c r="I209" s="755"/>
      <c r="J209" s="682">
        <f t="shared" si="43"/>
        <v>0</v>
      </c>
      <c r="K209" s="683"/>
      <c r="L209" s="684"/>
      <c r="M209" s="753"/>
      <c r="N209" s="683">
        <v>0</v>
      </c>
      <c r="O209" s="686"/>
      <c r="P209" s="683">
        <v>0</v>
      </c>
      <c r="Q209" s="687">
        <f t="shared" ref="Q209:Q223" si="56">L209+M209</f>
        <v>0</v>
      </c>
      <c r="R209" s="687"/>
      <c r="S209" s="687"/>
      <c r="T209" s="688">
        <v>0</v>
      </c>
      <c r="U209" s="693"/>
      <c r="V209" s="690">
        <f t="shared" si="51"/>
        <v>0</v>
      </c>
      <c r="W209" s="683"/>
      <c r="X209" s="474">
        <f t="shared" si="52"/>
        <v>0</v>
      </c>
      <c r="Y209" s="474">
        <f t="shared" si="53"/>
        <v>0</v>
      </c>
      <c r="Z209" s="475">
        <f t="shared" si="54"/>
        <v>0</v>
      </c>
      <c r="AA209" s="475">
        <v>0</v>
      </c>
      <c r="AB209" s="476">
        <v>0</v>
      </c>
      <c r="AC209" s="38">
        <f t="shared" si="55"/>
        <v>0</v>
      </c>
      <c r="AD209" s="692">
        <f t="shared" si="44"/>
        <v>0</v>
      </c>
      <c r="AE209" s="692">
        <f t="shared" si="45"/>
        <v>0</v>
      </c>
      <c r="AF209" s="692">
        <f t="shared" si="46"/>
        <v>0</v>
      </c>
      <c r="AG209" s="38"/>
      <c r="AH209" s="692">
        <f t="shared" si="48"/>
        <v>0</v>
      </c>
      <c r="AI209" s="692">
        <f t="shared" si="49"/>
        <v>0</v>
      </c>
      <c r="AJ209" s="692">
        <f t="shared" si="50"/>
        <v>0</v>
      </c>
      <c r="AL209" s="38">
        <f t="shared" si="47"/>
        <v>0</v>
      </c>
    </row>
    <row r="210" spans="1:38">
      <c r="A210" s="20"/>
      <c r="B210" s="20" t="s">
        <v>110</v>
      </c>
      <c r="C210" s="667"/>
      <c r="D210" s="68" t="s">
        <v>390</v>
      </c>
      <c r="E210" s="679">
        <v>235.42</v>
      </c>
      <c r="F210" s="529">
        <f>VLOOKUP(D210,'July 2013 Revenue'!D:V,19,FALSE)</f>
        <v>0</v>
      </c>
      <c r="G210" s="680"/>
      <c r="H210" s="680"/>
      <c r="I210" s="755"/>
      <c r="J210" s="682">
        <f t="shared" ref="J210:J223" si="57">SUM(E210:I210)</f>
        <v>235.42</v>
      </c>
      <c r="K210" s="683"/>
      <c r="L210" s="684"/>
      <c r="M210" s="753"/>
      <c r="N210" s="683">
        <v>0</v>
      </c>
      <c r="O210" s="686"/>
      <c r="P210" s="683">
        <v>0</v>
      </c>
      <c r="Q210" s="687">
        <f>L210+M210</f>
        <v>0</v>
      </c>
      <c r="R210" s="687"/>
      <c r="S210" s="687"/>
      <c r="T210" s="688">
        <v>0</v>
      </c>
      <c r="U210" s="693"/>
      <c r="V210" s="690">
        <f t="shared" si="51"/>
        <v>0</v>
      </c>
      <c r="W210" s="683"/>
      <c r="X210" s="474">
        <f t="shared" si="52"/>
        <v>0</v>
      </c>
      <c r="Y210" s="474">
        <f t="shared" si="53"/>
        <v>0</v>
      </c>
      <c r="Z210" s="475">
        <f t="shared" si="54"/>
        <v>0</v>
      </c>
      <c r="AA210" s="475">
        <v>0</v>
      </c>
      <c r="AB210" s="476">
        <v>0</v>
      </c>
      <c r="AC210" s="38">
        <f>(L210+M210)-(X210+Y210+Z210+AA210+AB210)</f>
        <v>0</v>
      </c>
      <c r="AD210" s="692">
        <f t="shared" si="44"/>
        <v>235.42</v>
      </c>
      <c r="AE210" s="692">
        <f t="shared" si="45"/>
        <v>0</v>
      </c>
      <c r="AF210" s="692">
        <f t="shared" si="46"/>
        <v>0</v>
      </c>
      <c r="AG210" s="38"/>
      <c r="AH210" s="692">
        <f t="shared" si="48"/>
        <v>0</v>
      </c>
      <c r="AI210" s="692">
        <f t="shared" si="49"/>
        <v>0</v>
      </c>
      <c r="AJ210" s="692">
        <f t="shared" si="50"/>
        <v>0</v>
      </c>
      <c r="AL210" s="38">
        <f t="shared" si="47"/>
        <v>235.42</v>
      </c>
    </row>
    <row r="211" spans="1:38">
      <c r="A211" s="20"/>
      <c r="B211" s="20" t="s">
        <v>110</v>
      </c>
      <c r="C211" s="667" t="s">
        <v>581</v>
      </c>
      <c r="D211" s="123" t="s">
        <v>166</v>
      </c>
      <c r="E211" s="679"/>
      <c r="F211" s="529">
        <f>VLOOKUP(D211,'July 2013 Revenue'!D:V,19,FALSE)</f>
        <v>0</v>
      </c>
      <c r="G211" s="680"/>
      <c r="H211" s="680"/>
      <c r="I211" s="755"/>
      <c r="J211" s="682">
        <f t="shared" si="57"/>
        <v>0</v>
      </c>
      <c r="K211" s="683"/>
      <c r="L211" s="684"/>
      <c r="M211" s="753"/>
      <c r="N211" s="683">
        <v>0</v>
      </c>
      <c r="O211" s="686"/>
      <c r="P211" s="683">
        <v>0</v>
      </c>
      <c r="Q211" s="687">
        <f t="shared" si="56"/>
        <v>0</v>
      </c>
      <c r="R211" s="687"/>
      <c r="S211" s="687"/>
      <c r="T211" s="688">
        <v>0</v>
      </c>
      <c r="U211" s="693"/>
      <c r="V211" s="690">
        <f t="shared" si="51"/>
        <v>0</v>
      </c>
      <c r="W211" s="683"/>
      <c r="X211" s="474">
        <f t="shared" si="52"/>
        <v>0</v>
      </c>
      <c r="Y211" s="474">
        <f t="shared" si="53"/>
        <v>0</v>
      </c>
      <c r="Z211" s="475">
        <f t="shared" si="54"/>
        <v>0</v>
      </c>
      <c r="AA211" s="475">
        <v>0</v>
      </c>
      <c r="AB211" s="476">
        <v>0</v>
      </c>
      <c r="AC211" s="38">
        <f t="shared" si="55"/>
        <v>0</v>
      </c>
      <c r="AD211" s="692">
        <f t="shared" si="44"/>
        <v>0</v>
      </c>
      <c r="AE211" s="692">
        <f t="shared" si="45"/>
        <v>0</v>
      </c>
      <c r="AF211" s="692">
        <f t="shared" si="46"/>
        <v>0</v>
      </c>
      <c r="AG211" s="38"/>
      <c r="AH211" s="692">
        <f t="shared" si="48"/>
        <v>0</v>
      </c>
      <c r="AI211" s="692">
        <f t="shared" si="49"/>
        <v>0</v>
      </c>
      <c r="AJ211" s="692">
        <f t="shared" si="50"/>
        <v>0</v>
      </c>
      <c r="AL211" s="38">
        <f t="shared" si="47"/>
        <v>0</v>
      </c>
    </row>
    <row r="212" spans="1:38">
      <c r="A212" s="20"/>
      <c r="B212" s="20" t="s">
        <v>109</v>
      </c>
      <c r="C212" s="667" t="s">
        <v>581</v>
      </c>
      <c r="D212" s="123" t="s">
        <v>165</v>
      </c>
      <c r="E212" s="679"/>
      <c r="F212" s="529">
        <f>VLOOKUP(D212,'July 2013 Revenue'!D:V,19,FALSE)</f>
        <v>0</v>
      </c>
      <c r="G212" s="680"/>
      <c r="H212" s="680"/>
      <c r="I212" s="755"/>
      <c r="J212" s="682">
        <f t="shared" si="57"/>
        <v>0</v>
      </c>
      <c r="K212" s="683"/>
      <c r="L212" s="684"/>
      <c r="M212" s="753"/>
      <c r="N212" s="683">
        <v>0</v>
      </c>
      <c r="O212" s="686"/>
      <c r="P212" s="683">
        <v>0</v>
      </c>
      <c r="Q212" s="687">
        <f t="shared" si="56"/>
        <v>0</v>
      </c>
      <c r="R212" s="687"/>
      <c r="S212" s="687"/>
      <c r="T212" s="688">
        <v>0</v>
      </c>
      <c r="U212" s="693"/>
      <c r="V212" s="690">
        <f t="shared" si="51"/>
        <v>0</v>
      </c>
      <c r="W212" s="683"/>
      <c r="X212" s="474">
        <f t="shared" si="52"/>
        <v>0</v>
      </c>
      <c r="Y212" s="474">
        <f t="shared" si="53"/>
        <v>0</v>
      </c>
      <c r="Z212" s="475">
        <f t="shared" si="54"/>
        <v>0</v>
      </c>
      <c r="AA212" s="475">
        <v>0</v>
      </c>
      <c r="AB212" s="476">
        <v>0</v>
      </c>
      <c r="AC212" s="38">
        <f t="shared" si="55"/>
        <v>0</v>
      </c>
      <c r="AD212" s="692">
        <f t="shared" si="44"/>
        <v>0</v>
      </c>
      <c r="AE212" s="692">
        <f t="shared" si="45"/>
        <v>0</v>
      </c>
      <c r="AF212" s="692">
        <f t="shared" si="46"/>
        <v>0</v>
      </c>
      <c r="AG212" s="38"/>
      <c r="AH212" s="692">
        <f t="shared" si="48"/>
        <v>0</v>
      </c>
      <c r="AI212" s="692">
        <f t="shared" si="49"/>
        <v>0</v>
      </c>
      <c r="AJ212" s="692">
        <f t="shared" si="50"/>
        <v>0</v>
      </c>
      <c r="AL212" s="38">
        <f t="shared" si="47"/>
        <v>0</v>
      </c>
    </row>
    <row r="213" spans="1:38" hidden="1">
      <c r="A213" s="20"/>
      <c r="B213" s="20" t="s">
        <v>109</v>
      </c>
      <c r="C213" s="667"/>
      <c r="D213" s="123" t="s">
        <v>310</v>
      </c>
      <c r="E213" s="679"/>
      <c r="F213" s="529">
        <f>VLOOKUP(D213,'July 2013 Revenue'!D:V,19,FALSE)</f>
        <v>0</v>
      </c>
      <c r="G213" s="680"/>
      <c r="H213" s="680"/>
      <c r="I213" s="755"/>
      <c r="J213" s="682">
        <f t="shared" si="57"/>
        <v>0</v>
      </c>
      <c r="K213" s="683"/>
      <c r="L213" s="684"/>
      <c r="M213" s="753"/>
      <c r="N213" s="683">
        <v>0</v>
      </c>
      <c r="O213" s="686"/>
      <c r="P213" s="683">
        <v>0</v>
      </c>
      <c r="Q213" s="687">
        <f t="shared" si="56"/>
        <v>0</v>
      </c>
      <c r="R213" s="687"/>
      <c r="S213" s="687"/>
      <c r="T213" s="688">
        <v>0</v>
      </c>
      <c r="U213" s="693"/>
      <c r="V213" s="690">
        <f t="shared" si="51"/>
        <v>0</v>
      </c>
      <c r="W213" s="683"/>
      <c r="X213" s="474">
        <f t="shared" si="52"/>
        <v>0</v>
      </c>
      <c r="Y213" s="474">
        <f t="shared" si="53"/>
        <v>0</v>
      </c>
      <c r="Z213" s="475">
        <f t="shared" si="54"/>
        <v>0</v>
      </c>
      <c r="AA213" s="475">
        <v>0</v>
      </c>
      <c r="AB213" s="476">
        <v>0</v>
      </c>
      <c r="AC213" s="38">
        <f t="shared" si="55"/>
        <v>0</v>
      </c>
      <c r="AD213" s="692">
        <f t="shared" ref="AD213:AD223" si="58">IF(B213="D",J213,0)</f>
        <v>0</v>
      </c>
      <c r="AE213" s="692">
        <f t="shared" ref="AE213:AE223" si="59">IF(B213="M",J213,0)</f>
        <v>0</v>
      </c>
      <c r="AF213" s="692">
        <f t="shared" ref="AF213:AF223" si="60">IF(B213="V",J213,0)</f>
        <v>0</v>
      </c>
      <c r="AG213" s="38"/>
      <c r="AH213" s="692">
        <f t="shared" si="48"/>
        <v>0</v>
      </c>
      <c r="AI213" s="692">
        <f t="shared" si="49"/>
        <v>0</v>
      </c>
      <c r="AJ213" s="692">
        <f t="shared" si="50"/>
        <v>0</v>
      </c>
      <c r="AL213" s="38">
        <f t="shared" ref="AL213:AL223" si="61">SUM(AD213:AJ213)</f>
        <v>0</v>
      </c>
    </row>
    <row r="214" spans="1:38" hidden="1">
      <c r="A214" s="20"/>
      <c r="B214" s="20" t="s">
        <v>109</v>
      </c>
      <c r="C214" s="667"/>
      <c r="D214" s="123" t="s">
        <v>441</v>
      </c>
      <c r="E214" s="679"/>
      <c r="F214" s="529">
        <f>VLOOKUP(D214,'July 2013 Revenue'!D:V,19,FALSE)</f>
        <v>0</v>
      </c>
      <c r="G214" s="680"/>
      <c r="H214" s="680"/>
      <c r="I214" s="755"/>
      <c r="J214" s="682">
        <f t="shared" si="57"/>
        <v>0</v>
      </c>
      <c r="K214" s="683"/>
      <c r="L214" s="684"/>
      <c r="M214" s="753"/>
      <c r="N214" s="683">
        <v>0</v>
      </c>
      <c r="O214" s="686"/>
      <c r="P214" s="683">
        <v>0</v>
      </c>
      <c r="Q214" s="687">
        <f t="shared" si="56"/>
        <v>0</v>
      </c>
      <c r="R214" s="687"/>
      <c r="S214" s="687"/>
      <c r="T214" s="688">
        <v>0</v>
      </c>
      <c r="U214" s="693"/>
      <c r="V214" s="690">
        <f t="shared" si="51"/>
        <v>0</v>
      </c>
      <c r="W214" s="683"/>
      <c r="X214" s="474">
        <f t="shared" si="52"/>
        <v>0</v>
      </c>
      <c r="Y214" s="474">
        <f t="shared" si="53"/>
        <v>0</v>
      </c>
      <c r="Z214" s="475">
        <f t="shared" si="54"/>
        <v>0</v>
      </c>
      <c r="AA214" s="475">
        <v>0</v>
      </c>
      <c r="AB214" s="476">
        <v>0</v>
      </c>
      <c r="AC214" s="38">
        <f t="shared" si="55"/>
        <v>0</v>
      </c>
      <c r="AD214" s="692">
        <f t="shared" si="58"/>
        <v>0</v>
      </c>
      <c r="AE214" s="692">
        <f t="shared" si="59"/>
        <v>0</v>
      </c>
      <c r="AF214" s="692">
        <f t="shared" si="60"/>
        <v>0</v>
      </c>
      <c r="AG214" s="38"/>
      <c r="AH214" s="692">
        <f t="shared" ref="AH214:AH223" si="62">IF(B214="D",Q214,0)</f>
        <v>0</v>
      </c>
      <c r="AI214" s="692">
        <f t="shared" ref="AI214:AI223" si="63">IF(B214="M",Q214,0)</f>
        <v>0</v>
      </c>
      <c r="AJ214" s="692">
        <f t="shared" ref="AJ214:AJ223" si="64">IF(B214="V",Q214,0)</f>
        <v>0</v>
      </c>
      <c r="AL214" s="38">
        <f t="shared" si="61"/>
        <v>0</v>
      </c>
    </row>
    <row r="215" spans="1:38">
      <c r="A215" s="20"/>
      <c r="B215" s="20" t="s">
        <v>109</v>
      </c>
      <c r="C215" s="667"/>
      <c r="D215" s="68" t="s">
        <v>121</v>
      </c>
      <c r="E215" s="679"/>
      <c r="F215" s="529">
        <f>VLOOKUP(D215,'July 2013 Revenue'!D:V,19,FALSE)</f>
        <v>0</v>
      </c>
      <c r="G215" s="680"/>
      <c r="H215" s="680"/>
      <c r="I215" s="755"/>
      <c r="J215" s="682">
        <f t="shared" si="57"/>
        <v>0</v>
      </c>
      <c r="K215" s="683"/>
      <c r="L215" s="684"/>
      <c r="M215" s="753"/>
      <c r="N215" s="683">
        <v>0</v>
      </c>
      <c r="O215" s="686"/>
      <c r="P215" s="683">
        <v>0</v>
      </c>
      <c r="Q215" s="687">
        <f t="shared" si="56"/>
        <v>0</v>
      </c>
      <c r="R215" s="687"/>
      <c r="S215" s="687"/>
      <c r="T215" s="688">
        <v>0</v>
      </c>
      <c r="U215" s="693"/>
      <c r="V215" s="690">
        <f t="shared" ref="V215:V223" si="65">IF(T215="","",T215-Q215)</f>
        <v>0</v>
      </c>
      <c r="W215" s="683"/>
      <c r="X215" s="474">
        <f t="shared" ref="X215:X223" si="66">IF(B215="D",Q215,0)</f>
        <v>0</v>
      </c>
      <c r="Y215" s="474">
        <f t="shared" ref="Y215:Y223" si="67">IF(B215="M",Q215,0)</f>
        <v>0</v>
      </c>
      <c r="Z215" s="475">
        <f t="shared" ref="Z215:Z223" si="68">IF(B215="V",Q215,0)</f>
        <v>0</v>
      </c>
      <c r="AA215" s="475">
        <v>0</v>
      </c>
      <c r="AB215" s="476">
        <v>0</v>
      </c>
      <c r="AC215" s="38">
        <f t="shared" ref="AC215:AC223" si="69">(L215+M215)-(X215+Y215+Z215+AA215+AB215)</f>
        <v>0</v>
      </c>
      <c r="AD215" s="692">
        <f t="shared" si="58"/>
        <v>0</v>
      </c>
      <c r="AE215" s="692">
        <f t="shared" si="59"/>
        <v>0</v>
      </c>
      <c r="AF215" s="692">
        <f t="shared" si="60"/>
        <v>0</v>
      </c>
      <c r="AG215" s="38"/>
      <c r="AH215" s="692">
        <f t="shared" si="62"/>
        <v>0</v>
      </c>
      <c r="AI215" s="692">
        <f t="shared" si="63"/>
        <v>0</v>
      </c>
      <c r="AJ215" s="692">
        <f t="shared" si="64"/>
        <v>0</v>
      </c>
      <c r="AL215" s="38">
        <f t="shared" si="61"/>
        <v>0</v>
      </c>
    </row>
    <row r="216" spans="1:38">
      <c r="A216" s="20"/>
      <c r="B216" s="20" t="s">
        <v>110</v>
      </c>
      <c r="C216" s="667"/>
      <c r="D216" s="68" t="s">
        <v>168</v>
      </c>
      <c r="E216" s="679"/>
      <c r="F216" s="529">
        <f>VLOOKUP(D216,'July 2013 Revenue'!D:V,19,FALSE)</f>
        <v>0</v>
      </c>
      <c r="G216" s="680"/>
      <c r="H216" s="680"/>
      <c r="I216" s="755"/>
      <c r="J216" s="682">
        <f t="shared" si="57"/>
        <v>0</v>
      </c>
      <c r="K216" s="683"/>
      <c r="L216" s="684"/>
      <c r="M216" s="753"/>
      <c r="N216" s="683">
        <v>0</v>
      </c>
      <c r="O216" s="686"/>
      <c r="P216" s="683">
        <v>0</v>
      </c>
      <c r="Q216" s="687">
        <f t="shared" si="56"/>
        <v>0</v>
      </c>
      <c r="R216" s="687"/>
      <c r="S216" s="687"/>
      <c r="T216" s="688">
        <v>0</v>
      </c>
      <c r="U216" s="693"/>
      <c r="V216" s="690">
        <f t="shared" si="65"/>
        <v>0</v>
      </c>
      <c r="W216" s="683"/>
      <c r="X216" s="474">
        <f t="shared" si="66"/>
        <v>0</v>
      </c>
      <c r="Y216" s="474">
        <f t="shared" si="67"/>
        <v>0</v>
      </c>
      <c r="Z216" s="475">
        <f t="shared" si="68"/>
        <v>0</v>
      </c>
      <c r="AA216" s="475">
        <v>0</v>
      </c>
      <c r="AB216" s="476">
        <v>0</v>
      </c>
      <c r="AC216" s="38">
        <f t="shared" si="69"/>
        <v>0</v>
      </c>
      <c r="AD216" s="692">
        <f t="shared" si="58"/>
        <v>0</v>
      </c>
      <c r="AE216" s="692">
        <f t="shared" si="59"/>
        <v>0</v>
      </c>
      <c r="AF216" s="692">
        <f t="shared" si="60"/>
        <v>0</v>
      </c>
      <c r="AG216" s="38"/>
      <c r="AH216" s="692">
        <f t="shared" si="62"/>
        <v>0</v>
      </c>
      <c r="AI216" s="692">
        <f t="shared" si="63"/>
        <v>0</v>
      </c>
      <c r="AJ216" s="692">
        <f t="shared" si="64"/>
        <v>0</v>
      </c>
      <c r="AL216" s="38">
        <f t="shared" si="61"/>
        <v>0</v>
      </c>
    </row>
    <row r="217" spans="1:38">
      <c r="A217" s="20"/>
      <c r="B217" s="20" t="s">
        <v>109</v>
      </c>
      <c r="C217" s="667" t="s">
        <v>582</v>
      </c>
      <c r="D217" s="68" t="s">
        <v>167</v>
      </c>
      <c r="E217" s="679"/>
      <c r="F217" s="529">
        <f>VLOOKUP(D217,'July 2013 Revenue'!D:V,19,FALSE)</f>
        <v>0</v>
      </c>
      <c r="G217" s="680"/>
      <c r="H217" s="680"/>
      <c r="I217" s="755"/>
      <c r="J217" s="682">
        <f t="shared" si="57"/>
        <v>0</v>
      </c>
      <c r="K217" s="683"/>
      <c r="L217" s="684"/>
      <c r="M217" s="753"/>
      <c r="N217" s="683">
        <v>0</v>
      </c>
      <c r="O217" s="686"/>
      <c r="P217" s="683">
        <v>0</v>
      </c>
      <c r="Q217" s="687">
        <f t="shared" si="56"/>
        <v>0</v>
      </c>
      <c r="R217" s="687"/>
      <c r="S217" s="687"/>
      <c r="T217" s="688">
        <v>0</v>
      </c>
      <c r="U217" s="693"/>
      <c r="V217" s="690">
        <f t="shared" si="65"/>
        <v>0</v>
      </c>
      <c r="W217" s="683"/>
      <c r="X217" s="474">
        <f t="shared" si="66"/>
        <v>0</v>
      </c>
      <c r="Y217" s="474">
        <f t="shared" si="67"/>
        <v>0</v>
      </c>
      <c r="Z217" s="475">
        <f t="shared" si="68"/>
        <v>0</v>
      </c>
      <c r="AA217" s="475">
        <v>0</v>
      </c>
      <c r="AB217" s="476">
        <v>0</v>
      </c>
      <c r="AC217" s="38">
        <f t="shared" si="69"/>
        <v>0</v>
      </c>
      <c r="AD217" s="692">
        <f t="shared" si="58"/>
        <v>0</v>
      </c>
      <c r="AE217" s="692">
        <f t="shared" si="59"/>
        <v>0</v>
      </c>
      <c r="AF217" s="692">
        <f t="shared" si="60"/>
        <v>0</v>
      </c>
      <c r="AG217" s="38"/>
      <c r="AH217" s="692">
        <f t="shared" si="62"/>
        <v>0</v>
      </c>
      <c r="AI217" s="692">
        <f t="shared" si="63"/>
        <v>0</v>
      </c>
      <c r="AJ217" s="692">
        <f t="shared" si="64"/>
        <v>0</v>
      </c>
      <c r="AL217" s="38">
        <f t="shared" si="61"/>
        <v>0</v>
      </c>
    </row>
    <row r="218" spans="1:38">
      <c r="A218" s="20" t="s">
        <v>218</v>
      </c>
      <c r="B218" s="20" t="s">
        <v>110</v>
      </c>
      <c r="C218" s="667"/>
      <c r="D218" s="68" t="s">
        <v>60</v>
      </c>
      <c r="E218" s="679"/>
      <c r="F218" s="529">
        <f>VLOOKUP(D218,'July 2013 Revenue'!D:V,19,FALSE)</f>
        <v>327.5099999999984</v>
      </c>
      <c r="G218" s="680"/>
      <c r="H218" s="680"/>
      <c r="I218" s="755"/>
      <c r="J218" s="682">
        <f t="shared" si="57"/>
        <v>327.5099999999984</v>
      </c>
      <c r="K218" s="683"/>
      <c r="L218" s="684"/>
      <c r="M218" s="753">
        <v>7000</v>
      </c>
      <c r="N218" s="683">
        <v>0</v>
      </c>
      <c r="O218" s="686"/>
      <c r="P218" s="683">
        <v>0</v>
      </c>
      <c r="Q218" s="687">
        <f t="shared" si="56"/>
        <v>7000</v>
      </c>
      <c r="R218" s="687"/>
      <c r="S218" s="687"/>
      <c r="T218" s="688">
        <v>0</v>
      </c>
      <c r="U218" s="693"/>
      <c r="V218" s="690">
        <f t="shared" si="65"/>
        <v>-7000</v>
      </c>
      <c r="W218" s="697"/>
      <c r="X218" s="474">
        <f t="shared" si="66"/>
        <v>7000</v>
      </c>
      <c r="Y218" s="474">
        <f t="shared" si="67"/>
        <v>0</v>
      </c>
      <c r="Z218" s="475">
        <f t="shared" si="68"/>
        <v>0</v>
      </c>
      <c r="AA218" s="475">
        <v>0</v>
      </c>
      <c r="AB218" s="476">
        <v>0</v>
      </c>
      <c r="AC218" s="38">
        <f t="shared" si="69"/>
        <v>0</v>
      </c>
      <c r="AD218" s="692">
        <f t="shared" si="58"/>
        <v>327.5099999999984</v>
      </c>
      <c r="AE218" s="692">
        <f t="shared" si="59"/>
        <v>0</v>
      </c>
      <c r="AF218" s="692">
        <f t="shared" si="60"/>
        <v>0</v>
      </c>
      <c r="AG218" s="38"/>
      <c r="AH218" s="692">
        <f t="shared" si="62"/>
        <v>7000</v>
      </c>
      <c r="AI218" s="692">
        <f t="shared" si="63"/>
        <v>0</v>
      </c>
      <c r="AJ218" s="692">
        <f t="shared" si="64"/>
        <v>0</v>
      </c>
      <c r="AL218" s="38">
        <f t="shared" si="61"/>
        <v>7327.5099999999984</v>
      </c>
    </row>
    <row r="219" spans="1:38">
      <c r="A219" s="20"/>
      <c r="B219" s="20" t="s">
        <v>110</v>
      </c>
      <c r="C219" s="667" t="s">
        <v>583</v>
      </c>
      <c r="D219" s="68" t="s">
        <v>169</v>
      </c>
      <c r="E219" s="679">
        <v>183.35</v>
      </c>
      <c r="F219" s="529">
        <f>VLOOKUP(D219,'July 2013 Revenue'!D:V,19,FALSE)</f>
        <v>0</v>
      </c>
      <c r="G219" s="680"/>
      <c r="H219" s="680"/>
      <c r="I219" s="770">
        <v>107.61</v>
      </c>
      <c r="J219" s="682">
        <f t="shared" si="57"/>
        <v>290.95999999999998</v>
      </c>
      <c r="K219" s="683"/>
      <c r="L219" s="684"/>
      <c r="M219" s="753"/>
      <c r="N219" s="683">
        <v>0</v>
      </c>
      <c r="O219" s="686"/>
      <c r="P219" s="683">
        <v>0</v>
      </c>
      <c r="Q219" s="687">
        <f t="shared" si="56"/>
        <v>0</v>
      </c>
      <c r="R219" s="687"/>
      <c r="S219" s="687"/>
      <c r="T219" s="688">
        <v>0</v>
      </c>
      <c r="U219" s="693"/>
      <c r="V219" s="690">
        <f t="shared" si="65"/>
        <v>0</v>
      </c>
      <c r="W219" s="683"/>
      <c r="X219" s="474">
        <f t="shared" si="66"/>
        <v>0</v>
      </c>
      <c r="Y219" s="474">
        <f t="shared" si="67"/>
        <v>0</v>
      </c>
      <c r="Z219" s="475">
        <f t="shared" si="68"/>
        <v>0</v>
      </c>
      <c r="AA219" s="475">
        <v>0</v>
      </c>
      <c r="AB219" s="476">
        <v>0</v>
      </c>
      <c r="AC219" s="38">
        <f t="shared" si="69"/>
        <v>0</v>
      </c>
      <c r="AD219" s="692">
        <f t="shared" si="58"/>
        <v>290.95999999999998</v>
      </c>
      <c r="AE219" s="692">
        <f t="shared" si="59"/>
        <v>0</v>
      </c>
      <c r="AF219" s="692">
        <f t="shared" si="60"/>
        <v>0</v>
      </c>
      <c r="AG219" s="38"/>
      <c r="AH219" s="692">
        <f t="shared" si="62"/>
        <v>0</v>
      </c>
      <c r="AI219" s="692">
        <f t="shared" si="63"/>
        <v>0</v>
      </c>
      <c r="AJ219" s="692">
        <f t="shared" si="64"/>
        <v>0</v>
      </c>
      <c r="AL219" s="38">
        <f t="shared" si="61"/>
        <v>290.95999999999998</v>
      </c>
    </row>
    <row r="220" spans="1:38">
      <c r="A220" s="21"/>
      <c r="B220" s="21" t="s">
        <v>110</v>
      </c>
      <c r="C220" s="666"/>
      <c r="D220" s="821" t="s">
        <v>981</v>
      </c>
      <c r="E220" s="679">
        <v>2686.36</v>
      </c>
      <c r="F220" s="529">
        <v>0</v>
      </c>
      <c r="G220" s="680"/>
      <c r="H220" s="680"/>
      <c r="I220" s="755"/>
      <c r="J220" s="682">
        <f t="shared" si="57"/>
        <v>2686.36</v>
      </c>
      <c r="K220" s="683"/>
      <c r="L220" s="684"/>
      <c r="M220" s="753"/>
      <c r="N220" s="683">
        <v>0</v>
      </c>
      <c r="O220" s="686"/>
      <c r="P220" s="683">
        <v>0</v>
      </c>
      <c r="Q220" s="687">
        <f t="shared" si="56"/>
        <v>0</v>
      </c>
      <c r="R220" s="687"/>
      <c r="S220" s="687"/>
      <c r="T220" s="688">
        <v>0</v>
      </c>
      <c r="U220" s="693"/>
      <c r="V220" s="690">
        <f t="shared" si="65"/>
        <v>0</v>
      </c>
      <c r="W220" s="683"/>
      <c r="X220" s="474">
        <f t="shared" si="66"/>
        <v>0</v>
      </c>
      <c r="Y220" s="474">
        <f t="shared" si="67"/>
        <v>0</v>
      </c>
      <c r="Z220" s="475">
        <f t="shared" si="68"/>
        <v>0</v>
      </c>
      <c r="AA220" s="475">
        <v>0</v>
      </c>
      <c r="AB220" s="476">
        <v>0</v>
      </c>
      <c r="AC220" s="38">
        <f t="shared" si="69"/>
        <v>0</v>
      </c>
      <c r="AD220" s="692">
        <f t="shared" si="58"/>
        <v>2686.36</v>
      </c>
      <c r="AE220" s="692">
        <f t="shared" si="59"/>
        <v>0</v>
      </c>
      <c r="AF220" s="692">
        <f t="shared" si="60"/>
        <v>0</v>
      </c>
      <c r="AG220" s="38"/>
      <c r="AH220" s="692">
        <f t="shared" si="62"/>
        <v>0</v>
      </c>
      <c r="AI220" s="692">
        <f t="shared" si="63"/>
        <v>0</v>
      </c>
      <c r="AJ220" s="692">
        <f t="shared" si="64"/>
        <v>0</v>
      </c>
      <c r="AL220" s="38">
        <f t="shared" si="61"/>
        <v>2686.36</v>
      </c>
    </row>
    <row r="221" spans="1:38">
      <c r="A221" s="21"/>
      <c r="B221" s="21" t="s">
        <v>114</v>
      </c>
      <c r="C221" s="666"/>
      <c r="D221" s="68" t="s">
        <v>591</v>
      </c>
      <c r="E221" s="679"/>
      <c r="F221" s="529">
        <f>VLOOKUP(D221,'July 2013 Revenue'!D:V,19,FALSE)</f>
        <v>1876.32</v>
      </c>
      <c r="G221" s="680"/>
      <c r="H221" s="680"/>
      <c r="I221" s="755"/>
      <c r="J221" s="682">
        <f t="shared" si="57"/>
        <v>1876.32</v>
      </c>
      <c r="K221" s="683"/>
      <c r="L221" s="684"/>
      <c r="M221" s="753"/>
      <c r="N221" s="683">
        <v>0</v>
      </c>
      <c r="O221" s="686"/>
      <c r="P221" s="683">
        <v>0</v>
      </c>
      <c r="Q221" s="687">
        <f t="shared" si="56"/>
        <v>0</v>
      </c>
      <c r="R221" s="687"/>
      <c r="S221" s="687"/>
      <c r="T221" s="688">
        <f>389.47+653.04</f>
        <v>1042.51</v>
      </c>
      <c r="U221" s="693"/>
      <c r="V221" s="690">
        <f t="shared" si="65"/>
        <v>1042.51</v>
      </c>
      <c r="W221" s="683"/>
      <c r="X221" s="474">
        <f t="shared" si="66"/>
        <v>0</v>
      </c>
      <c r="Y221" s="474">
        <f t="shared" si="67"/>
        <v>0</v>
      </c>
      <c r="Z221" s="475">
        <f t="shared" si="68"/>
        <v>0</v>
      </c>
      <c r="AA221" s="475">
        <v>0</v>
      </c>
      <c r="AB221" s="476">
        <v>0</v>
      </c>
      <c r="AC221" s="38">
        <f t="shared" si="69"/>
        <v>0</v>
      </c>
      <c r="AD221" s="692">
        <f t="shared" si="58"/>
        <v>0</v>
      </c>
      <c r="AE221" s="692">
        <f t="shared" si="59"/>
        <v>0</v>
      </c>
      <c r="AF221" s="692">
        <f t="shared" si="60"/>
        <v>1876.32</v>
      </c>
      <c r="AG221" s="38"/>
      <c r="AH221" s="692">
        <f t="shared" si="62"/>
        <v>0</v>
      </c>
      <c r="AI221" s="692">
        <f t="shared" si="63"/>
        <v>0</v>
      </c>
      <c r="AJ221" s="692">
        <f t="shared" si="64"/>
        <v>0</v>
      </c>
      <c r="AL221" s="38">
        <f t="shared" si="61"/>
        <v>1876.32</v>
      </c>
    </row>
    <row r="222" spans="1:38">
      <c r="A222" s="21"/>
      <c r="B222" s="21" t="s">
        <v>114</v>
      </c>
      <c r="C222" s="672"/>
      <c r="D222" s="519" t="s">
        <v>433</v>
      </c>
      <c r="E222" s="679"/>
      <c r="F222" s="529">
        <f>VLOOKUP(D222,'July 2013 Revenue'!D:V,19,FALSE)</f>
        <v>0</v>
      </c>
      <c r="G222" s="680"/>
      <c r="H222" s="680"/>
      <c r="I222" s="755"/>
      <c r="J222" s="682">
        <f t="shared" si="57"/>
        <v>0</v>
      </c>
      <c r="K222" s="683"/>
      <c r="L222" s="684"/>
      <c r="M222" s="753"/>
      <c r="N222" s="683">
        <v>0</v>
      </c>
      <c r="O222" s="686"/>
      <c r="P222" s="683">
        <v>0</v>
      </c>
      <c r="Q222" s="687">
        <f t="shared" si="56"/>
        <v>0</v>
      </c>
      <c r="R222" s="687"/>
      <c r="S222" s="687"/>
      <c r="T222" s="688">
        <v>0</v>
      </c>
      <c r="U222" s="693"/>
      <c r="V222" s="690">
        <f t="shared" si="65"/>
        <v>0</v>
      </c>
      <c r="W222" s="683"/>
      <c r="X222" s="474">
        <f t="shared" si="66"/>
        <v>0</v>
      </c>
      <c r="Y222" s="474">
        <f t="shared" si="67"/>
        <v>0</v>
      </c>
      <c r="Z222" s="475">
        <f t="shared" si="68"/>
        <v>0</v>
      </c>
      <c r="AA222" s="475">
        <v>0</v>
      </c>
      <c r="AB222" s="476">
        <v>0</v>
      </c>
      <c r="AC222" s="38">
        <f t="shared" si="69"/>
        <v>0</v>
      </c>
      <c r="AD222" s="692">
        <f t="shared" si="58"/>
        <v>0</v>
      </c>
      <c r="AE222" s="692">
        <f t="shared" si="59"/>
        <v>0</v>
      </c>
      <c r="AF222" s="692">
        <f t="shared" si="60"/>
        <v>0</v>
      </c>
      <c r="AG222" s="38"/>
      <c r="AH222" s="692">
        <f t="shared" si="62"/>
        <v>0</v>
      </c>
      <c r="AI222" s="692">
        <f t="shared" si="63"/>
        <v>0</v>
      </c>
      <c r="AJ222" s="692">
        <f t="shared" si="64"/>
        <v>0</v>
      </c>
      <c r="AL222" s="38">
        <f t="shared" si="61"/>
        <v>0</v>
      </c>
    </row>
    <row r="223" spans="1:38" s="146" customFormat="1" ht="13" thickBot="1">
      <c r="A223" s="21"/>
      <c r="B223" s="21" t="s">
        <v>110</v>
      </c>
      <c r="C223" s="666"/>
      <c r="D223" s="68" t="s">
        <v>593</v>
      </c>
      <c r="E223" s="679"/>
      <c r="F223" s="529">
        <f>VLOOKUP(D223,'July 2013 Revenue'!D:V,19,FALSE)</f>
        <v>0</v>
      </c>
      <c r="G223" s="680"/>
      <c r="H223" s="680"/>
      <c r="I223" s="755"/>
      <c r="J223" s="682">
        <f t="shared" si="57"/>
        <v>0</v>
      </c>
      <c r="K223" s="683"/>
      <c r="L223" s="684"/>
      <c r="M223" s="753"/>
      <c r="N223" s="683">
        <v>0</v>
      </c>
      <c r="O223" s="686"/>
      <c r="P223" s="683">
        <v>0</v>
      </c>
      <c r="Q223" s="687">
        <f t="shared" si="56"/>
        <v>0</v>
      </c>
      <c r="R223" s="687"/>
      <c r="S223" s="687"/>
      <c r="T223" s="688">
        <v>0</v>
      </c>
      <c r="U223" s="693"/>
      <c r="V223" s="690">
        <f t="shared" si="65"/>
        <v>0</v>
      </c>
      <c r="W223" s="683"/>
      <c r="X223" s="474">
        <f t="shared" si="66"/>
        <v>0</v>
      </c>
      <c r="Y223" s="474">
        <f t="shared" si="67"/>
        <v>0</v>
      </c>
      <c r="Z223" s="475">
        <f t="shared" si="68"/>
        <v>0</v>
      </c>
      <c r="AA223" s="475">
        <v>0</v>
      </c>
      <c r="AB223" s="476">
        <v>0</v>
      </c>
      <c r="AC223" s="38">
        <f t="shared" si="69"/>
        <v>0</v>
      </c>
      <c r="AD223" s="692">
        <f t="shared" si="58"/>
        <v>0</v>
      </c>
      <c r="AE223" s="692">
        <f t="shared" si="59"/>
        <v>0</v>
      </c>
      <c r="AF223" s="692">
        <f t="shared" si="60"/>
        <v>0</v>
      </c>
      <c r="AG223" s="38"/>
      <c r="AH223" s="692">
        <f t="shared" si="62"/>
        <v>0</v>
      </c>
      <c r="AI223" s="692">
        <f t="shared" si="63"/>
        <v>0</v>
      </c>
      <c r="AJ223" s="692">
        <f t="shared" si="64"/>
        <v>0</v>
      </c>
      <c r="AL223" s="38">
        <f t="shared" si="61"/>
        <v>0</v>
      </c>
    </row>
    <row r="224" spans="1:38" ht="13" thickBot="1">
      <c r="A224" s="107"/>
      <c r="B224" s="108"/>
      <c r="C224" s="673"/>
      <c r="D224" s="71" t="s">
        <v>86</v>
      </c>
      <c r="E224" s="454">
        <f t="shared" ref="E224:J224" si="70">SUM(E16:E223)</f>
        <v>1384999.3900000001</v>
      </c>
      <c r="F224" s="454">
        <f t="shared" si="70"/>
        <v>-1077166.8799999994</v>
      </c>
      <c r="G224" s="454">
        <f t="shared" si="70"/>
        <v>0</v>
      </c>
      <c r="H224" s="454">
        <f t="shared" si="70"/>
        <v>0</v>
      </c>
      <c r="I224" s="454">
        <f t="shared" si="70"/>
        <v>9611364.0199999977</v>
      </c>
      <c r="J224" s="454">
        <f t="shared" si="70"/>
        <v>9919196.5299999956</v>
      </c>
      <c r="K224" s="454"/>
      <c r="L224" s="454">
        <f>SUM(L16:L223)</f>
        <v>428529.99</v>
      </c>
      <c r="M224" s="454">
        <f>SUM(M16:M223)</f>
        <v>8013927.5899999999</v>
      </c>
      <c r="N224" s="454">
        <f>SUM(N16:N223)</f>
        <v>0</v>
      </c>
      <c r="O224" s="100">
        <f>SUM(O16:O223)</f>
        <v>0</v>
      </c>
      <c r="P224" s="157">
        <f>SUM(P17:P223)</f>
        <v>0</v>
      </c>
      <c r="Q224" s="100">
        <f>SUM(Q16:Q223)</f>
        <v>8442457.5800000001</v>
      </c>
      <c r="R224" s="100"/>
      <c r="S224" s="100"/>
      <c r="T224" s="100">
        <f>SUM(T16:T223)</f>
        <v>6528618.5100000007</v>
      </c>
      <c r="U224" s="708"/>
      <c r="V224" s="100">
        <f>SUM(V16:V223)</f>
        <v>-1913839.0699999996</v>
      </c>
      <c r="W224" s="683"/>
      <c r="X224" s="314">
        <f>SUM(X16:X223)</f>
        <v>7768416.7199999997</v>
      </c>
      <c r="Y224" s="314">
        <f>SUM(Y16:Y223)</f>
        <v>557000</v>
      </c>
      <c r="Z224" s="314">
        <f>SUM(Z16:Z223)</f>
        <v>117040.86</v>
      </c>
      <c r="AA224" s="314">
        <f>SUM(AA16:AA223)</f>
        <v>0</v>
      </c>
      <c r="AB224" s="314">
        <f>SUM(AB16:AB223)</f>
        <v>0</v>
      </c>
      <c r="AC224" s="38"/>
      <c r="AD224" s="314">
        <f>SUM(AD16:AD223)</f>
        <v>9625981.2199999951</v>
      </c>
      <c r="AE224" s="314">
        <f>SUM(AE16:AE223)</f>
        <v>303630.71999999991</v>
      </c>
      <c r="AF224" s="314">
        <f>SUM(AF16:AF223)</f>
        <v>-10415.410000000002</v>
      </c>
      <c r="AG224" s="38"/>
      <c r="AH224" s="314">
        <f>SUM(AH16:AH223)</f>
        <v>7768416.7199999997</v>
      </c>
      <c r="AI224" s="314">
        <f>SUM(AI16:AI223)</f>
        <v>557000</v>
      </c>
      <c r="AJ224" s="314">
        <f>SUM(AJ16:AJ223)</f>
        <v>117040.86</v>
      </c>
    </row>
    <row r="225" spans="1:38" ht="13" thickBot="1">
      <c r="A225" s="65"/>
      <c r="B225" s="65"/>
      <c r="C225" s="674"/>
      <c r="D225" s="141"/>
      <c r="E225" s="709" t="s">
        <v>293</v>
      </c>
      <c r="F225" s="160">
        <f>F224+E224</f>
        <v>307832.51000000071</v>
      </c>
      <c r="G225" s="153"/>
      <c r="H225" s="153" t="s">
        <v>225</v>
      </c>
      <c r="I225" s="153">
        <f>I224+H224+G224</f>
        <v>9611364.0199999977</v>
      </c>
      <c r="J225" s="323"/>
      <c r="K225" s="153"/>
      <c r="L225" s="153" t="s">
        <v>296</v>
      </c>
      <c r="M225" s="100">
        <f>M224+L224</f>
        <v>8442457.5800000001</v>
      </c>
      <c r="N225" s="153"/>
      <c r="O225" s="641"/>
      <c r="P225" s="153"/>
      <c r="Q225" s="153"/>
      <c r="R225" s="153"/>
      <c r="S225" s="153"/>
      <c r="T225" s="153"/>
      <c r="U225" s="153"/>
      <c r="V225" s="153"/>
      <c r="W225" s="153"/>
      <c r="X225" s="139"/>
      <c r="Y225" s="139"/>
      <c r="Z225" s="139"/>
      <c r="AA225" s="139"/>
      <c r="AB225" s="104"/>
      <c r="AC225" s="38"/>
      <c r="AD225" s="711"/>
      <c r="AE225" s="711"/>
      <c r="AF225" s="711"/>
      <c r="AG225" s="38"/>
      <c r="AH225" s="38"/>
      <c r="AI225" s="38"/>
      <c r="AJ225" s="38"/>
    </row>
    <row r="226" spans="1:38" ht="13" thickBot="1">
      <c r="A226" s="65"/>
      <c r="B226" s="65"/>
      <c r="C226" s="674"/>
      <c r="E226" s="159"/>
      <c r="F226" s="153"/>
      <c r="G226" s="153"/>
      <c r="H226" s="153"/>
      <c r="I226" s="153"/>
      <c r="J226" s="153"/>
      <c r="K226" s="153"/>
      <c r="L226" s="153"/>
      <c r="M226" s="710"/>
      <c r="N226" s="153"/>
      <c r="O226" s="153"/>
      <c r="P226" s="153"/>
      <c r="Q226" s="153"/>
      <c r="R226" s="153"/>
      <c r="S226" s="153"/>
      <c r="T226" s="153"/>
      <c r="U226" s="153"/>
      <c r="V226" s="153"/>
      <c r="W226" s="153"/>
      <c r="X226" s="331" t="s">
        <v>345</v>
      </c>
      <c r="Y226" s="139"/>
      <c r="Z226" s="139"/>
      <c r="AA226" s="139"/>
      <c r="AB226" s="104"/>
      <c r="AC226" s="164" t="s">
        <v>633</v>
      </c>
      <c r="AD226" s="798">
        <f>-45000+2815.48</f>
        <v>-42184.52</v>
      </c>
      <c r="AE226" s="798"/>
      <c r="AF226" s="798">
        <f>-SUM(AD226)</f>
        <v>42184.52</v>
      </c>
      <c r="AG226" s="38"/>
      <c r="AH226" s="711"/>
      <c r="AI226" s="711"/>
      <c r="AJ226" s="711"/>
    </row>
    <row r="227" spans="1:38" ht="17" thickTop="1" thickBot="1">
      <c r="E227" s="712"/>
      <c r="F227" s="713"/>
      <c r="G227" s="714"/>
      <c r="H227" s="715"/>
      <c r="I227" s="715"/>
      <c r="J227" s="164"/>
      <c r="K227" s="169"/>
      <c r="L227" s="233"/>
      <c r="M227" s="233"/>
      <c r="N227" s="38"/>
      <c r="O227" s="642"/>
      <c r="P227" s="139"/>
      <c r="Q227" s="139"/>
      <c r="R227" s="139"/>
      <c r="S227" s="139"/>
      <c r="T227" s="33"/>
      <c r="U227" s="33"/>
      <c r="V227" s="33"/>
      <c r="W227" s="169"/>
      <c r="X227" s="332"/>
      <c r="Y227" s="333"/>
      <c r="Z227" s="491"/>
      <c r="AA227" s="491"/>
      <c r="AB227" s="334"/>
      <c r="AC227" s="164" t="s">
        <v>634</v>
      </c>
      <c r="AD227" s="798">
        <v>-83161.22</v>
      </c>
      <c r="AE227" s="798"/>
      <c r="AF227" s="802">
        <f>-SUM(AD227)</f>
        <v>83161.22</v>
      </c>
      <c r="AG227" s="38"/>
      <c r="AH227" s="38"/>
      <c r="AI227" s="38"/>
      <c r="AJ227" s="38"/>
    </row>
    <row r="228" spans="1:38" ht="17" thickBot="1">
      <c r="E228" s="712"/>
      <c r="F228" s="713"/>
      <c r="G228" s="714"/>
      <c r="H228" s="715"/>
      <c r="J228" s="79">
        <f>J224</f>
        <v>9919196.5299999956</v>
      </c>
      <c r="K228" s="715" t="s">
        <v>972</v>
      </c>
      <c r="L228" s="169"/>
      <c r="M228" s="493"/>
      <c r="N228" s="38"/>
      <c r="O228" s="80"/>
      <c r="P228" s="104"/>
      <c r="Q228" s="139"/>
      <c r="R228" s="139"/>
      <c r="S228" s="139"/>
      <c r="T228" s="33"/>
      <c r="U228" s="33"/>
      <c r="V228" s="33"/>
      <c r="W228" s="169"/>
      <c r="X228" s="487"/>
      <c r="Y228" s="488"/>
      <c r="Z228" s="492" t="s">
        <v>399</v>
      </c>
      <c r="AA228" s="492" t="s">
        <v>400</v>
      </c>
      <c r="AB228" s="488"/>
      <c r="AC228" s="717" t="s">
        <v>475</v>
      </c>
      <c r="AD228" s="718">
        <f>SUM(AD224:AD227)</f>
        <v>9500635.4799999949</v>
      </c>
      <c r="AE228" s="718">
        <f>AE224</f>
        <v>303630.71999999991</v>
      </c>
      <c r="AF228" s="718">
        <f>SUM(AF224:AF227)</f>
        <v>114930.32999999999</v>
      </c>
      <c r="AG228" s="718"/>
      <c r="AH228" s="718">
        <f>AH224</f>
        <v>7768416.7199999997</v>
      </c>
      <c r="AI228" s="718">
        <f>AI224</f>
        <v>557000</v>
      </c>
      <c r="AJ228" s="719">
        <f>AJ224</f>
        <v>117040.86</v>
      </c>
      <c r="AL228" s="38">
        <f>SUM(AL17:AL227)</f>
        <v>18361654.110000003</v>
      </c>
    </row>
    <row r="229" spans="1:38" ht="15" thickBot="1">
      <c r="D229" s="143"/>
      <c r="E229" s="759"/>
      <c r="F229" s="713"/>
      <c r="G229" s="714"/>
      <c r="H229" s="720"/>
      <c r="J229" s="750">
        <f>SUM('June GL'!H5)</f>
        <v>0</v>
      </c>
      <c r="K229" s="757" t="s">
        <v>251</v>
      </c>
      <c r="L229" s="722"/>
      <c r="M229" s="642"/>
      <c r="N229" s="33"/>
      <c r="O229" s="80"/>
      <c r="P229" s="104"/>
      <c r="Q229" s="139"/>
      <c r="R229" s="139"/>
      <c r="S229" s="139"/>
      <c r="T229" s="33"/>
      <c r="U229" s="33"/>
      <c r="V229" s="33"/>
      <c r="W229" s="169"/>
      <c r="X229" s="158" t="s">
        <v>609</v>
      </c>
      <c r="Y229" s="104" t="s">
        <v>352</v>
      </c>
      <c r="Z229" s="104">
        <f>X224+Y224+Z224</f>
        <v>8442457.5800000001</v>
      </c>
      <c r="AA229" s="104"/>
      <c r="AB229" s="136"/>
      <c r="AC229" s="723"/>
      <c r="AD229" s="38"/>
      <c r="AE229" s="38"/>
      <c r="AF229" s="38"/>
      <c r="AG229" s="38"/>
      <c r="AH229" s="38"/>
      <c r="AI229" s="38"/>
      <c r="AJ229" s="38"/>
    </row>
    <row r="230" spans="1:38" ht="15" thickTop="1">
      <c r="D230" s="143"/>
      <c r="E230" s="712"/>
      <c r="F230" s="713"/>
      <c r="G230" s="714"/>
      <c r="H230" s="714" t="s">
        <v>249</v>
      </c>
      <c r="J230" s="173">
        <f>J229+J228</f>
        <v>9919196.5299999956</v>
      </c>
      <c r="K230" s="714" t="s">
        <v>454</v>
      </c>
      <c r="L230" s="722"/>
      <c r="M230" s="80"/>
      <c r="N230" s="104"/>
      <c r="O230" s="173"/>
      <c r="P230" s="104"/>
      <c r="Q230" s="139"/>
      <c r="R230" s="139"/>
      <c r="S230" s="139"/>
      <c r="T230" s="139"/>
      <c r="U230" s="139"/>
      <c r="V230" s="139"/>
      <c r="W230" s="169"/>
      <c r="X230" s="158"/>
      <c r="Y230" s="104"/>
      <c r="Z230" s="104"/>
      <c r="AA230" s="104"/>
      <c r="AB230" s="136"/>
      <c r="AC230" s="723"/>
      <c r="AD230" s="38"/>
      <c r="AE230" s="38"/>
      <c r="AF230" s="38" t="s">
        <v>86</v>
      </c>
      <c r="AG230" s="38"/>
      <c r="AH230" s="233">
        <f>SUM(AD228+AH228)</f>
        <v>17269052.199999996</v>
      </c>
      <c r="AI230" s="233">
        <f t="shared" ref="AI230:AJ230" si="71">SUM(AE228+AI228)</f>
        <v>860630.72</v>
      </c>
      <c r="AJ230" s="233">
        <f t="shared" si="71"/>
        <v>231971.19</v>
      </c>
    </row>
    <row r="231" spans="1:38" ht="14">
      <c r="D231" s="143"/>
      <c r="E231" s="712"/>
      <c r="F231" s="713"/>
      <c r="G231" s="714"/>
      <c r="H231" s="714"/>
      <c r="J231" s="80"/>
      <c r="K231" s="714"/>
      <c r="L231" s="722"/>
      <c r="M231" s="104"/>
      <c r="N231" s="38"/>
      <c r="O231" s="139"/>
      <c r="P231" s="104"/>
      <c r="Q231" s="139"/>
      <c r="R231" s="139"/>
      <c r="S231" s="139"/>
      <c r="T231" s="139"/>
      <c r="U231" s="139"/>
      <c r="V231" s="139"/>
      <c r="W231" s="169"/>
      <c r="X231" s="158" t="s">
        <v>600</v>
      </c>
      <c r="Y231" s="104" t="s">
        <v>355</v>
      </c>
      <c r="Z231" s="104"/>
      <c r="AA231" s="104">
        <f>X224</f>
        <v>7768416.7199999997</v>
      </c>
      <c r="AB231" s="136"/>
      <c r="AC231" s="38"/>
      <c r="AD231" s="797" t="s">
        <v>882</v>
      </c>
      <c r="AE231" s="38"/>
      <c r="AF231" s="38"/>
      <c r="AG231" s="38"/>
      <c r="AH231" s="233"/>
      <c r="AI231" s="233"/>
      <c r="AJ231" s="233"/>
    </row>
    <row r="232" spans="1:38" ht="15" thickBot="1">
      <c r="D232" s="143" t="s">
        <v>823</v>
      </c>
      <c r="E232" s="712"/>
      <c r="F232" s="713"/>
      <c r="G232" s="714"/>
      <c r="H232" s="714"/>
      <c r="J232" s="661">
        <f>M225</f>
        <v>8442457.5800000001</v>
      </c>
      <c r="K232" s="714" t="s">
        <v>973</v>
      </c>
      <c r="L232" s="645"/>
      <c r="M232" s="173"/>
      <c r="N232" s="38"/>
      <c r="O232" s="139"/>
      <c r="P232" s="104"/>
      <c r="Q232" s="139"/>
      <c r="R232" s="139"/>
      <c r="S232" s="139"/>
      <c r="T232" s="726"/>
      <c r="U232" s="139"/>
      <c r="V232" s="727"/>
      <c r="W232" s="169"/>
      <c r="X232" s="158"/>
      <c r="Y232" s="104" t="s">
        <v>356</v>
      </c>
      <c r="Z232" s="104"/>
      <c r="AA232" s="104">
        <f>AA224</f>
        <v>0</v>
      </c>
      <c r="AB232" s="136"/>
      <c r="AC232" s="38"/>
      <c r="AD232" s="38"/>
      <c r="AE232" s="38"/>
      <c r="AF232" s="38"/>
      <c r="AG232" s="38"/>
      <c r="AH232" s="799" t="s">
        <v>897</v>
      </c>
      <c r="AI232" s="801">
        <f>SUM(AH230:AJ230)</f>
        <v>18361654.109999996</v>
      </c>
      <c r="AJ232" s="800"/>
    </row>
    <row r="233" spans="1:38" ht="16" thickTop="1" thickBot="1">
      <c r="D233" s="143"/>
      <c r="E233" s="712"/>
      <c r="F233" s="713"/>
      <c r="G233" s="714"/>
      <c r="H233" s="714"/>
      <c r="J233" s="173">
        <v>0</v>
      </c>
      <c r="K233" s="714"/>
      <c r="L233" s="722"/>
      <c r="M233" s="173"/>
      <c r="N233" s="38"/>
      <c r="O233" s="33"/>
      <c r="P233" s="38"/>
      <c r="Q233" s="139"/>
      <c r="R233" s="139"/>
      <c r="S233" s="139"/>
      <c r="T233" s="139"/>
      <c r="U233" s="139"/>
      <c r="V233" s="139"/>
      <c r="W233" s="169"/>
      <c r="X233" s="158"/>
      <c r="Y233" s="104"/>
      <c r="Z233" s="104"/>
      <c r="AA233" s="104"/>
      <c r="AB233" s="136"/>
      <c r="AC233" s="38"/>
      <c r="AD233" s="38"/>
      <c r="AE233" s="38"/>
      <c r="AF233" s="38"/>
      <c r="AG233" s="38"/>
    </row>
    <row r="234" spans="1:38" ht="15" thickBot="1">
      <c r="E234" s="712"/>
      <c r="F234" s="713"/>
      <c r="G234" s="714"/>
      <c r="H234" s="714"/>
      <c r="J234" s="754">
        <f>J228+J232</f>
        <v>18361654.109999996</v>
      </c>
      <c r="K234" s="714" t="s">
        <v>974</v>
      </c>
      <c r="L234" s="722"/>
      <c r="M234" s="173"/>
      <c r="N234" s="38"/>
      <c r="O234" s="33"/>
      <c r="P234" s="38"/>
      <c r="Q234" s="139"/>
      <c r="R234" s="139"/>
      <c r="S234" s="139"/>
      <c r="T234" s="139"/>
      <c r="U234" s="139"/>
      <c r="V234" s="139"/>
      <c r="W234" s="169"/>
      <c r="X234" s="158" t="s">
        <v>601</v>
      </c>
      <c r="Y234" s="104" t="s">
        <v>357</v>
      </c>
      <c r="Z234" s="104"/>
      <c r="AA234" s="104">
        <f>Y224</f>
        <v>557000</v>
      </c>
      <c r="AB234" s="136"/>
      <c r="AC234" s="38"/>
      <c r="AD234" s="38"/>
      <c r="AE234" s="38"/>
      <c r="AF234" s="38"/>
      <c r="AG234" s="38"/>
      <c r="AH234" s="796" t="s">
        <v>857</v>
      </c>
      <c r="AI234" s="38">
        <f>AI232-AJ230</f>
        <v>18129682.919999994</v>
      </c>
      <c r="AJ234" s="38"/>
    </row>
    <row r="235" spans="1:38">
      <c r="D235" s="161"/>
      <c r="E235" s="712"/>
      <c r="F235" s="713"/>
      <c r="G235" s="714"/>
      <c r="H235" s="714"/>
      <c r="J235" s="637"/>
      <c r="K235" s="714"/>
      <c r="L235" s="173"/>
      <c r="M235" s="731"/>
      <c r="N235" s="38"/>
      <c r="O235" s="33"/>
      <c r="P235" s="38"/>
      <c r="Q235" s="139"/>
      <c r="R235" s="139"/>
      <c r="S235" s="139"/>
      <c r="T235" s="139"/>
      <c r="U235" s="139"/>
      <c r="V235" s="139"/>
      <c r="W235" s="169"/>
      <c r="X235" s="415"/>
      <c r="Y235" s="104" t="s">
        <v>358</v>
      </c>
      <c r="Z235" s="104"/>
      <c r="AA235" s="104">
        <f>AB224</f>
        <v>0</v>
      </c>
      <c r="AB235" s="136"/>
      <c r="AC235" s="38"/>
      <c r="AD235" s="38"/>
      <c r="AE235" s="38"/>
      <c r="AF235" s="38"/>
      <c r="AG235" s="38"/>
      <c r="AH235" s="38"/>
      <c r="AI235" s="38"/>
      <c r="AJ235" s="38"/>
    </row>
    <row r="236" spans="1:38">
      <c r="E236" s="712"/>
      <c r="F236" s="713"/>
      <c r="G236" s="714"/>
      <c r="H236" s="714"/>
      <c r="J236" s="658">
        <f>SUM(AD228:AJ228)</f>
        <v>18361654.109999996</v>
      </c>
      <c r="K236" s="714" t="s">
        <v>518</v>
      </c>
      <c r="L236" s="732"/>
      <c r="M236" s="637"/>
      <c r="N236" s="38"/>
      <c r="O236" s="33"/>
      <c r="P236" s="38"/>
      <c r="Q236" s="139"/>
      <c r="R236" s="139"/>
      <c r="S236" s="139"/>
      <c r="T236" s="139"/>
      <c r="U236" s="139"/>
      <c r="V236" s="139"/>
      <c r="W236" s="169"/>
      <c r="X236" s="415"/>
      <c r="Y236" s="104"/>
      <c r="Z236" s="104"/>
      <c r="AA236" s="104"/>
      <c r="AB236" s="136"/>
      <c r="AC236" s="38"/>
      <c r="AD236" s="38"/>
      <c r="AE236" s="38"/>
      <c r="AF236" s="38"/>
      <c r="AG236" s="38"/>
      <c r="AH236" s="38"/>
      <c r="AI236" s="38"/>
      <c r="AJ236" s="38"/>
    </row>
    <row r="237" spans="1:38" ht="13" thickBot="1">
      <c r="E237" s="712"/>
      <c r="F237" s="713"/>
      <c r="G237" s="714"/>
      <c r="H237" s="714"/>
      <c r="J237" s="169"/>
      <c r="K237" s="714" t="s">
        <v>454</v>
      </c>
      <c r="L237" s="733"/>
      <c r="M237" s="795"/>
      <c r="N237" s="38"/>
      <c r="O237" s="33"/>
      <c r="P237" s="38"/>
      <c r="Q237" s="139"/>
      <c r="R237" s="139"/>
      <c r="S237" s="139"/>
      <c r="T237" s="139"/>
      <c r="U237" s="139"/>
      <c r="V237" s="139"/>
      <c r="W237" s="169"/>
      <c r="X237" s="158" t="s">
        <v>602</v>
      </c>
      <c r="Y237" s="488" t="s">
        <v>359</v>
      </c>
      <c r="Z237" s="488"/>
      <c r="AA237" s="488">
        <f>Z224</f>
        <v>117040.86</v>
      </c>
      <c r="AB237" s="414"/>
      <c r="AC237" s="38"/>
      <c r="AD237" s="38"/>
      <c r="AE237" s="38"/>
      <c r="AF237" s="38"/>
      <c r="AG237" s="38"/>
      <c r="AH237" s="38"/>
      <c r="AI237" s="38"/>
      <c r="AJ237" s="38"/>
    </row>
    <row r="238" spans="1:38" ht="15" thickBot="1">
      <c r="E238" s="712"/>
      <c r="F238" s="713"/>
      <c r="G238" s="714"/>
      <c r="H238" s="714"/>
      <c r="J238" s="736"/>
      <c r="K238" s="714" t="s">
        <v>519</v>
      </c>
      <c r="L238" s="169"/>
      <c r="M238" s="169"/>
      <c r="N238" s="38"/>
      <c r="O238" s="33"/>
      <c r="P238" s="38"/>
      <c r="Q238" s="33"/>
      <c r="R238" s="33"/>
      <c r="S238" s="33"/>
      <c r="T238" s="33"/>
      <c r="U238" s="33"/>
      <c r="V238" s="33"/>
      <c r="W238" s="169"/>
      <c r="X238" s="416"/>
      <c r="Y238" s="104"/>
      <c r="Z238" s="80">
        <f>SUM(Z229:Z237)</f>
        <v>8442457.5800000001</v>
      </c>
      <c r="AA238" s="80">
        <f>SUM(AA229:AA237)</f>
        <v>8442457.5800000001</v>
      </c>
      <c r="AB238" s="136"/>
      <c r="AC238" s="38"/>
      <c r="AD238" s="38"/>
      <c r="AE238" s="38"/>
      <c r="AF238" s="38"/>
      <c r="AG238" s="38"/>
      <c r="AH238" s="38"/>
      <c r="AI238" s="38"/>
      <c r="AJ238" s="38"/>
    </row>
    <row r="239" spans="1:38">
      <c r="E239" s="712"/>
      <c r="F239" s="713"/>
      <c r="G239" s="714"/>
      <c r="H239" s="714"/>
      <c r="I239" s="714"/>
      <c r="J239" s="169"/>
      <c r="K239" s="169"/>
      <c r="L239" s="169"/>
      <c r="M239" s="169"/>
      <c r="N239" s="38"/>
      <c r="O239" s="33"/>
      <c r="P239" s="38"/>
      <c r="Q239" s="33"/>
      <c r="R239" s="33"/>
      <c r="S239" s="33"/>
      <c r="T239" s="33"/>
      <c r="U239" s="33"/>
      <c r="V239" s="33"/>
      <c r="W239" s="169"/>
      <c r="X239" s="416"/>
      <c r="Y239" s="104"/>
      <c r="Z239" s="104"/>
      <c r="AA239" s="104"/>
      <c r="AB239" s="136"/>
      <c r="AC239" s="38"/>
      <c r="AD239" s="38"/>
      <c r="AE239" s="38"/>
      <c r="AF239" s="38"/>
      <c r="AG239" s="38"/>
      <c r="AH239" s="38"/>
      <c r="AI239" s="38"/>
      <c r="AJ239" s="38"/>
    </row>
    <row r="240" spans="1:38" ht="13" thickBot="1">
      <c r="E240" s="712"/>
      <c r="F240" s="713"/>
      <c r="G240" s="714"/>
      <c r="H240" s="714"/>
      <c r="I240" s="714"/>
      <c r="J240" s="169"/>
      <c r="K240" s="169"/>
      <c r="L240" s="169"/>
      <c r="M240" s="169"/>
      <c r="N240" s="38"/>
      <c r="O240" s="33"/>
      <c r="P240" s="38"/>
      <c r="Q240" s="33"/>
      <c r="R240" s="33"/>
      <c r="S240" s="33"/>
      <c r="T240" s="33"/>
      <c r="U240" s="33"/>
      <c r="V240" s="33"/>
      <c r="W240" s="169"/>
      <c r="X240" s="330"/>
      <c r="Y240" s="279"/>
      <c r="Z240" s="279"/>
      <c r="AA240" s="279"/>
      <c r="AB240" s="280"/>
      <c r="AC240" s="38"/>
      <c r="AD240" s="38"/>
      <c r="AE240" s="38"/>
      <c r="AF240" s="38"/>
      <c r="AG240" s="38"/>
      <c r="AH240" s="38"/>
      <c r="AI240" s="38"/>
      <c r="AJ240" s="38"/>
    </row>
    <row r="241" spans="5:36">
      <c r="E241" s="712"/>
      <c r="F241" s="713"/>
      <c r="G241" s="714"/>
      <c r="H241" s="714"/>
      <c r="I241" s="714"/>
      <c r="J241" s="169"/>
      <c r="K241" s="169"/>
      <c r="L241" s="169"/>
      <c r="M241" s="169"/>
      <c r="N241" s="38"/>
      <c r="O241" s="33"/>
      <c r="P241" s="38"/>
      <c r="Q241" s="33"/>
      <c r="R241" s="33"/>
      <c r="S241" s="33"/>
      <c r="T241" s="33"/>
      <c r="U241" s="33"/>
      <c r="V241" s="33"/>
      <c r="W241" s="169"/>
      <c r="X241" s="104"/>
      <c r="Y241" s="104"/>
      <c r="Z241" s="104"/>
      <c r="AA241" s="104"/>
      <c r="AB241" s="104"/>
      <c r="AC241" s="38"/>
      <c r="AD241" s="38"/>
      <c r="AE241" s="38"/>
      <c r="AF241" s="38"/>
      <c r="AG241" s="38"/>
      <c r="AH241" s="38"/>
      <c r="AI241" s="38"/>
      <c r="AJ241" s="38"/>
    </row>
    <row r="242" spans="5:36">
      <c r="E242" s="712"/>
      <c r="F242" s="713"/>
      <c r="G242" s="714"/>
      <c r="H242" s="714"/>
      <c r="I242" s="714"/>
      <c r="J242" s="169"/>
      <c r="K242" s="169"/>
      <c r="L242" s="169"/>
      <c r="M242" s="169"/>
      <c r="N242" s="38"/>
      <c r="O242" s="33"/>
      <c r="P242" s="38"/>
      <c r="Q242" s="33"/>
      <c r="R242" s="33"/>
      <c r="S242" s="33"/>
      <c r="T242" s="33"/>
      <c r="U242" s="33"/>
      <c r="V242" s="33"/>
      <c r="W242" s="169"/>
      <c r="AC242" s="38"/>
      <c r="AD242" s="38"/>
      <c r="AE242" s="38"/>
      <c r="AF242" s="38"/>
      <c r="AG242" s="38"/>
      <c r="AH242" s="38"/>
      <c r="AI242" s="38"/>
      <c r="AJ242" s="38"/>
    </row>
    <row r="243" spans="5:36">
      <c r="E243" s="712"/>
      <c r="F243" s="713"/>
      <c r="G243" s="714"/>
      <c r="H243" s="714"/>
      <c r="I243" s="714"/>
      <c r="J243" s="169"/>
      <c r="K243" s="169"/>
      <c r="L243" s="169"/>
      <c r="M243" s="169"/>
      <c r="N243" s="38"/>
      <c r="O243" s="33"/>
      <c r="P243" s="38"/>
      <c r="Q243" s="33"/>
      <c r="R243" s="33"/>
      <c r="S243" s="33"/>
      <c r="T243" s="33"/>
      <c r="U243" s="33"/>
      <c r="V243" s="33"/>
      <c r="W243" s="169"/>
      <c r="AC243" s="38"/>
      <c r="AD243" s="38"/>
      <c r="AE243" s="38"/>
      <c r="AF243" s="38"/>
      <c r="AG243" s="38"/>
      <c r="AH243" s="38"/>
      <c r="AI243" s="38"/>
      <c r="AJ243" s="38"/>
    </row>
    <row r="244" spans="5:36">
      <c r="E244" s="712"/>
      <c r="F244" s="713"/>
      <c r="G244" s="714"/>
      <c r="H244" s="714"/>
      <c r="I244" s="714"/>
      <c r="J244" s="169"/>
      <c r="K244" s="169"/>
      <c r="L244" s="169"/>
      <c r="M244" s="169"/>
      <c r="N244" s="38"/>
      <c r="O244" s="33"/>
      <c r="P244" s="38"/>
      <c r="Q244" s="33"/>
      <c r="R244" s="33"/>
      <c r="S244" s="33"/>
      <c r="T244" s="33"/>
      <c r="U244" s="33"/>
      <c r="V244" s="33"/>
      <c r="W244" s="169"/>
      <c r="AC244" s="38"/>
      <c r="AD244" s="38"/>
      <c r="AE244" s="38"/>
      <c r="AF244" s="38"/>
      <c r="AG244" s="38"/>
      <c r="AH244" s="38"/>
      <c r="AI244" s="38"/>
      <c r="AJ244" s="38"/>
    </row>
    <row r="245" spans="5:36">
      <c r="E245" s="712"/>
      <c r="F245" s="713"/>
      <c r="G245" s="714"/>
      <c r="H245" s="714"/>
      <c r="I245" s="714"/>
      <c r="J245" s="169"/>
      <c r="K245" s="169"/>
      <c r="L245" s="169"/>
      <c r="M245" s="169"/>
      <c r="N245" s="38"/>
      <c r="O245" s="33"/>
      <c r="P245" s="38"/>
      <c r="Q245" s="33"/>
      <c r="R245" s="33"/>
      <c r="S245" s="33"/>
      <c r="T245" s="33"/>
      <c r="U245" s="33"/>
      <c r="V245" s="33"/>
      <c r="W245" s="169"/>
      <c r="AC245" s="38"/>
      <c r="AD245" s="38"/>
      <c r="AE245" s="38"/>
      <c r="AF245" s="38"/>
      <c r="AG245" s="38"/>
      <c r="AH245" s="38"/>
      <c r="AI245" s="38"/>
      <c r="AJ245" s="38"/>
    </row>
    <row r="246" spans="5:36">
      <c r="E246" s="712"/>
      <c r="F246" s="713"/>
      <c r="G246" s="714"/>
      <c r="H246" s="714"/>
      <c r="I246" s="714"/>
      <c r="J246" s="169"/>
      <c r="K246" s="169"/>
      <c r="L246" s="169"/>
      <c r="M246" s="169"/>
      <c r="N246" s="38"/>
      <c r="O246" s="33"/>
      <c r="P246" s="38"/>
      <c r="Q246" s="33"/>
      <c r="R246" s="33"/>
      <c r="S246" s="33"/>
      <c r="T246" s="33"/>
      <c r="U246" s="33"/>
      <c r="V246" s="33"/>
      <c r="W246" s="169"/>
      <c r="AC246" s="38"/>
      <c r="AD246" s="38"/>
      <c r="AE246" s="38"/>
      <c r="AF246" s="38"/>
      <c r="AG246" s="38"/>
      <c r="AH246" s="38"/>
      <c r="AI246" s="38"/>
      <c r="AJ246" s="38"/>
    </row>
    <row r="247" spans="5:36">
      <c r="E247" s="712"/>
      <c r="F247" s="713"/>
      <c r="G247" s="714"/>
      <c r="H247" s="714"/>
      <c r="I247" s="714"/>
      <c r="J247" s="169"/>
      <c r="K247" s="169"/>
      <c r="L247" s="169"/>
      <c r="M247" s="169"/>
      <c r="N247" s="38"/>
      <c r="O247" s="33"/>
      <c r="P247" s="38"/>
      <c r="Q247" s="33"/>
      <c r="R247" s="33"/>
      <c r="S247" s="33"/>
      <c r="T247" s="33"/>
      <c r="U247" s="33"/>
      <c r="V247" s="33"/>
      <c r="W247" s="169"/>
      <c r="AC247" s="38"/>
      <c r="AD247" s="38"/>
      <c r="AE247" s="38"/>
      <c r="AF247" s="38"/>
      <c r="AG247" s="38"/>
      <c r="AH247" s="38"/>
      <c r="AI247" s="38"/>
      <c r="AJ247" s="38"/>
    </row>
  </sheetData>
  <pageMargins left="0.7" right="0.7" top="0.75" bottom="0.75" header="0.3" footer="0.3"/>
  <pageSetup scale="83" fitToHeight="4" orientation="portrait"/>
  <legacyDrawing r:id="rId1"/>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246"/>
  <sheetViews>
    <sheetView topLeftCell="C157" zoomScale="90" zoomScaleNormal="90" zoomScalePageLayoutView="90" workbookViewId="0">
      <selection activeCell="R197" sqref="R197"/>
    </sheetView>
  </sheetViews>
  <sheetFormatPr baseColWidth="10" defaultColWidth="9.3984375" defaultRowHeight="12" outlineLevelCol="1" x14ac:dyDescent="0"/>
  <cols>
    <col min="1" max="1" width="9.796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2" width="15.3984375" style="24" customWidth="1"/>
    <col min="13" max="13" width="16.3984375" style="24" bestFit="1" customWidth="1"/>
    <col min="14" max="14" width="1.796875" style="16" customWidth="1"/>
    <col min="15" max="15" width="7.3984375" style="146" customWidth="1"/>
    <col min="16" max="16" width="1.796875" style="16" customWidth="1"/>
    <col min="17" max="17" width="16.3984375" style="146" bestFit="1" customWidth="1"/>
    <col min="18" max="19" width="15.3984375" style="146" customWidth="1"/>
    <col min="20" max="20" width="16.59765625" style="146"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4.796875" style="559" bestFit="1" customWidth="1"/>
    <col min="36" max="36" width="14.19921875" style="559" customWidth="1"/>
    <col min="37" max="37" width="9.3984375" style="16"/>
    <col min="38" max="38" width="14.796875" style="16" bestFit="1" customWidth="1"/>
    <col min="39" max="16384" width="9.3984375" style="16"/>
  </cols>
  <sheetData>
    <row r="1" spans="1:36">
      <c r="D1" s="147" t="s">
        <v>71</v>
      </c>
      <c r="F1" s="29"/>
      <c r="G1" s="162"/>
      <c r="H1" s="163"/>
      <c r="I1" s="163"/>
      <c r="J1" s="169"/>
      <c r="K1" s="169"/>
      <c r="L1" s="169"/>
      <c r="M1" s="169"/>
      <c r="N1" s="169"/>
      <c r="W1" s="40"/>
    </row>
    <row r="2" spans="1:36">
      <c r="D2" s="147" t="s">
        <v>858</v>
      </c>
      <c r="F2" s="29"/>
      <c r="G2" s="162"/>
      <c r="H2" s="163"/>
      <c r="I2" s="163"/>
      <c r="J2" s="169"/>
      <c r="K2" s="169"/>
      <c r="L2" s="169"/>
      <c r="M2" s="169"/>
      <c r="N2" s="169"/>
      <c r="W2" s="40"/>
    </row>
    <row r="3" spans="1:36">
      <c r="D3" s="147" t="s">
        <v>968</v>
      </c>
      <c r="F3" s="29"/>
      <c r="G3" s="18"/>
      <c r="H3" s="168"/>
      <c r="I3" s="168"/>
      <c r="J3" s="169"/>
      <c r="K3" s="169"/>
      <c r="L3" s="169"/>
      <c r="M3" s="169"/>
      <c r="N3" s="169"/>
    </row>
    <row r="4" spans="1:36">
      <c r="D4" s="148"/>
      <c r="G4" s="164"/>
      <c r="H4" s="168"/>
      <c r="I4" s="168"/>
      <c r="J4" s="169"/>
      <c r="K4" s="169"/>
      <c r="L4" s="169"/>
      <c r="M4" s="169"/>
      <c r="N4" s="169"/>
    </row>
    <row r="5" spans="1:36" ht="13" thickBot="1">
      <c r="D5" s="148"/>
      <c r="G5" s="161"/>
      <c r="H5" s="630"/>
      <c r="I5" s="630"/>
      <c r="J5" s="169"/>
      <c r="K5" s="169"/>
      <c r="L5" s="169"/>
      <c r="M5" s="169"/>
      <c r="N5" s="169"/>
    </row>
    <row r="6" spans="1:36">
      <c r="B6" s="460"/>
      <c r="C6" s="668"/>
      <c r="D6" s="461" t="s">
        <v>84</v>
      </c>
      <c r="E6" s="462" t="s">
        <v>85</v>
      </c>
      <c r="G6" s="161"/>
      <c r="H6" s="630"/>
      <c r="I6" s="630"/>
      <c r="J6" s="169"/>
      <c r="K6" s="169"/>
      <c r="L6" s="169"/>
      <c r="M6" s="169"/>
      <c r="N6" s="169"/>
      <c r="O6" s="152"/>
      <c r="P6" s="18"/>
      <c r="Q6" s="152"/>
      <c r="R6" s="152"/>
      <c r="S6" s="152"/>
      <c r="T6" s="152"/>
      <c r="U6" s="152"/>
      <c r="V6" s="152"/>
    </row>
    <row r="7" spans="1:36">
      <c r="B7" s="459"/>
      <c r="C7" s="113"/>
      <c r="D7" s="458" t="s">
        <v>75</v>
      </c>
      <c r="E7" s="287" t="s">
        <v>115</v>
      </c>
      <c r="F7" s="29"/>
      <c r="G7" s="161"/>
      <c r="H7" s="630"/>
      <c r="I7" s="630"/>
      <c r="J7" s="172"/>
      <c r="K7" s="41"/>
      <c r="L7" s="37"/>
      <c r="M7" s="37"/>
      <c r="W7" s="41"/>
    </row>
    <row r="8" spans="1:36">
      <c r="B8" s="459"/>
      <c r="C8" s="669"/>
      <c r="D8" s="568" t="s">
        <v>73</v>
      </c>
      <c r="E8" s="572" t="s">
        <v>446</v>
      </c>
      <c r="F8" s="29"/>
      <c r="G8" s="164"/>
      <c r="H8" s="630"/>
      <c r="I8" s="630"/>
      <c r="J8" s="75"/>
      <c r="K8" s="41"/>
      <c r="L8" s="77"/>
      <c r="M8" s="77"/>
      <c r="N8" s="27"/>
      <c r="O8" s="151"/>
      <c r="P8" s="27"/>
      <c r="Q8" s="151"/>
      <c r="R8" s="151"/>
      <c r="S8" s="151"/>
      <c r="T8" s="151"/>
      <c r="U8" s="151"/>
      <c r="V8" s="151"/>
      <c r="W8" s="41"/>
    </row>
    <row r="9" spans="1:36">
      <c r="B9" s="459"/>
      <c r="C9" s="113"/>
      <c r="D9" s="458" t="s">
        <v>76</v>
      </c>
      <c r="E9" s="465" t="s">
        <v>79</v>
      </c>
      <c r="F9" s="29"/>
      <c r="G9" s="161"/>
      <c r="H9" s="134"/>
      <c r="I9" s="134"/>
      <c r="J9" s="78"/>
      <c r="L9" s="79"/>
      <c r="M9" s="79"/>
      <c r="N9" s="27"/>
      <c r="O9" s="151"/>
      <c r="P9" s="27"/>
      <c r="Q9" s="151"/>
      <c r="R9" s="151"/>
      <c r="S9" s="151"/>
      <c r="T9" s="151"/>
      <c r="U9" s="151"/>
      <c r="V9" s="151"/>
    </row>
    <row r="10" spans="1:36">
      <c r="B10" s="459"/>
      <c r="C10" s="113"/>
      <c r="D10" s="458" t="s">
        <v>88</v>
      </c>
      <c r="E10" s="468" t="s">
        <v>89</v>
      </c>
      <c r="F10" s="29"/>
      <c r="J10" s="76"/>
      <c r="L10" s="174"/>
      <c r="M10" s="76"/>
      <c r="N10" s="27"/>
      <c r="O10" s="151"/>
      <c r="P10" s="27"/>
      <c r="Q10" s="151"/>
      <c r="R10" s="151"/>
      <c r="S10" s="151"/>
      <c r="T10" s="151"/>
      <c r="U10" s="151"/>
      <c r="V10" s="151"/>
    </row>
    <row r="11" spans="1:36">
      <c r="B11" s="459"/>
      <c r="C11" s="113"/>
      <c r="D11" s="458" t="s">
        <v>116</v>
      </c>
      <c r="E11" s="99" t="s">
        <v>117</v>
      </c>
      <c r="F11" s="29"/>
      <c r="G11" s="166"/>
      <c r="H11" s="145"/>
      <c r="I11" s="145"/>
      <c r="J11" s="76"/>
      <c r="L11" s="173"/>
      <c r="M11" s="173"/>
      <c r="N11" s="27"/>
      <c r="O11" s="151"/>
      <c r="P11" s="27"/>
      <c r="Q11" s="151"/>
      <c r="R11" s="151"/>
      <c r="S11" s="151"/>
      <c r="T11" s="151"/>
      <c r="U11" s="151"/>
      <c r="V11" s="151"/>
    </row>
    <row r="12" spans="1:36" ht="13" thickBot="1">
      <c r="B12" s="469"/>
      <c r="C12" s="670"/>
      <c r="D12" s="470" t="s">
        <v>103</v>
      </c>
      <c r="E12" s="471" t="s">
        <v>101</v>
      </c>
      <c r="F12" s="29"/>
      <c r="G12" s="166"/>
      <c r="H12" s="150"/>
      <c r="I12" s="150"/>
      <c r="J12" s="76"/>
    </row>
    <row r="13" spans="1:36" ht="13" thickBot="1">
      <c r="A13" s="152"/>
      <c r="B13" s="152"/>
      <c r="C13" s="67"/>
      <c r="D13" s="54"/>
      <c r="E13" s="34"/>
      <c r="G13" s="167"/>
      <c r="H13" s="49"/>
      <c r="I13" s="49"/>
      <c r="J13" s="50"/>
      <c r="K13" s="50"/>
      <c r="L13" s="50"/>
      <c r="M13" s="745"/>
      <c r="N13" s="146"/>
      <c r="P13" s="146"/>
      <c r="W13" s="50"/>
      <c r="X13" s="33"/>
      <c r="Y13" s="33"/>
      <c r="Z13" s="33"/>
      <c r="AA13" s="33"/>
    </row>
    <row r="14" spans="1:36" ht="13" thickBot="1">
      <c r="D14" s="526"/>
      <c r="E14" s="582" t="s">
        <v>959</v>
      </c>
      <c r="F14" s="583" t="s">
        <v>290</v>
      </c>
      <c r="G14" s="96"/>
      <c r="H14" s="96"/>
      <c r="I14" s="96"/>
      <c r="J14" s="96" t="s">
        <v>366</v>
      </c>
      <c r="K14" s="581"/>
      <c r="L14" s="96" t="s">
        <v>366</v>
      </c>
      <c r="M14" s="96" t="s">
        <v>366</v>
      </c>
      <c r="N14" s="93"/>
      <c r="O14" s="96"/>
      <c r="P14" s="93"/>
      <c r="Q14" s="13"/>
      <c r="R14" s="13"/>
      <c r="S14" s="13"/>
      <c r="T14" s="96"/>
      <c r="U14" s="101"/>
      <c r="V14" s="96"/>
      <c r="W14" s="93"/>
      <c r="X14" s="96"/>
      <c r="Y14" s="96"/>
      <c r="Z14" s="304"/>
      <c r="AA14" s="304"/>
      <c r="AB14" s="304"/>
      <c r="AE14" s="560" t="s">
        <v>266</v>
      </c>
      <c r="AI14" s="561" t="s">
        <v>267</v>
      </c>
    </row>
    <row r="15" spans="1:36" ht="13" thickBot="1">
      <c r="A15" s="22" t="s">
        <v>95</v>
      </c>
      <c r="B15" s="22" t="s">
        <v>100</v>
      </c>
      <c r="C15" s="36" t="s">
        <v>522</v>
      </c>
      <c r="D15" s="36" t="s">
        <v>67</v>
      </c>
      <c r="E15" s="450" t="s">
        <v>230</v>
      </c>
      <c r="F15" s="528" t="s">
        <v>229</v>
      </c>
      <c r="G15" s="176" t="s">
        <v>288</v>
      </c>
      <c r="H15" s="545" t="s">
        <v>289</v>
      </c>
      <c r="I15" s="758" t="s">
        <v>366</v>
      </c>
      <c r="J15" s="313" t="s">
        <v>105</v>
      </c>
      <c r="K15" s="93"/>
      <c r="L15" s="94" t="s">
        <v>104</v>
      </c>
      <c r="M15" s="95" t="s">
        <v>106</v>
      </c>
      <c r="N15" s="102"/>
      <c r="O15" s="427" t="s">
        <v>839</v>
      </c>
      <c r="P15" s="102"/>
      <c r="Q15" s="313" t="s">
        <v>960</v>
      </c>
      <c r="R15" s="313" t="s">
        <v>946</v>
      </c>
      <c r="S15" s="313" t="s">
        <v>947</v>
      </c>
      <c r="T15" s="156" t="s">
        <v>961</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6">
      <c r="A16" s="372" t="s">
        <v>109</v>
      </c>
      <c r="B16" s="472" t="s">
        <v>109</v>
      </c>
      <c r="C16" s="666"/>
      <c r="D16" s="373" t="s">
        <v>382</v>
      </c>
      <c r="E16" s="679"/>
      <c r="F16" s="529">
        <f>VLOOKUP(D16,'June 2013 Revenue'!D:V,19,FALSE)</f>
        <v>0</v>
      </c>
      <c r="G16" s="680"/>
      <c r="H16" s="680"/>
      <c r="I16" s="755"/>
      <c r="J16" s="682">
        <f t="shared" ref="J16:J79" si="0">SUM(E16:I16)</f>
        <v>0</v>
      </c>
      <c r="K16" s="683"/>
      <c r="L16" s="684"/>
      <c r="M16" s="753"/>
      <c r="N16" s="683">
        <v>0</v>
      </c>
      <c r="O16" s="686"/>
      <c r="P16" s="683">
        <v>0</v>
      </c>
      <c r="Q16" s="687">
        <f t="shared" ref="Q16:Q140" si="1">L16+M16</f>
        <v>0</v>
      </c>
      <c r="R16" s="687"/>
      <c r="S16" s="687"/>
      <c r="T16" s="688">
        <v>0</v>
      </c>
      <c r="U16" s="689"/>
      <c r="V16" s="690">
        <f t="shared" ref="V16:V81" si="2">IF(T16="","",T16-Q16)</f>
        <v>0</v>
      </c>
      <c r="W16" s="691"/>
      <c r="X16" s="474">
        <f t="shared" ref="X16:X80" si="3">IF(B16="D",Q16,0)</f>
        <v>0</v>
      </c>
      <c r="Y16" s="474">
        <f t="shared" ref="Y16:Y80" si="4">IF(B16="M",Q16,0)</f>
        <v>0</v>
      </c>
      <c r="Z16" s="475">
        <f t="shared" ref="Z16:Z80" si="5">IF(B16="V",Q16,0)</f>
        <v>0</v>
      </c>
      <c r="AA16" s="475">
        <v>0</v>
      </c>
      <c r="AB16" s="476">
        <v>0</v>
      </c>
      <c r="AC16" s="38">
        <f t="shared" ref="AC16:AC80" si="6">(L16+M16)-(X16+Y16+Z16+AA16+AB16)</f>
        <v>0</v>
      </c>
      <c r="AD16" s="692">
        <f t="shared" ref="AD16:AD79" si="7">IF(B16="D",J16,0)</f>
        <v>0</v>
      </c>
      <c r="AE16" s="692">
        <f t="shared" ref="AE16:AE79" si="8">IF(B16="M",J16,0)</f>
        <v>0</v>
      </c>
      <c r="AF16" s="692">
        <f t="shared" ref="AF16:AF79" si="9">IF(B16="V",J16,0)</f>
        <v>0</v>
      </c>
      <c r="AG16" s="38"/>
      <c r="AH16" s="692">
        <f t="shared" ref="AH16:AH80" si="10">IF(B16="D",Q16,0)</f>
        <v>0</v>
      </c>
      <c r="AI16" s="692">
        <f t="shared" ref="AI16:AI80" si="11">IF(B16="M",Q16,0)</f>
        <v>0</v>
      </c>
      <c r="AJ16" s="692">
        <f t="shared" ref="AJ16:AJ80" si="12">IF(B16="V",Q16,0)</f>
        <v>0</v>
      </c>
    </row>
    <row r="17" spans="1:38">
      <c r="A17" s="20" t="s">
        <v>109</v>
      </c>
      <c r="B17" s="20" t="s">
        <v>110</v>
      </c>
      <c r="C17" s="671" t="s">
        <v>523</v>
      </c>
      <c r="D17" s="123" t="s">
        <v>317</v>
      </c>
      <c r="E17" s="679"/>
      <c r="F17" s="529">
        <f>VLOOKUP(D17,'June 2013 Revenue'!D:V,19,FALSE)</f>
        <v>1439.880000000001</v>
      </c>
      <c r="G17" s="680"/>
      <c r="H17" s="680"/>
      <c r="I17" s="755"/>
      <c r="J17" s="682">
        <f t="shared" si="0"/>
        <v>1439.880000000001</v>
      </c>
      <c r="K17" s="683"/>
      <c r="L17" s="684"/>
      <c r="M17" s="753">
        <v>10000</v>
      </c>
      <c r="N17" s="683">
        <v>0</v>
      </c>
      <c r="O17" s="686"/>
      <c r="P17" s="683">
        <v>0</v>
      </c>
      <c r="Q17" s="687">
        <f t="shared" si="1"/>
        <v>10000</v>
      </c>
      <c r="S17" s="687"/>
      <c r="T17" s="687">
        <f>7564.31+2232.44</f>
        <v>9796.75</v>
      </c>
      <c r="U17" s="693"/>
      <c r="V17" s="690">
        <f t="shared" si="2"/>
        <v>-203.25</v>
      </c>
      <c r="W17" s="683"/>
      <c r="X17" s="474">
        <f t="shared" si="3"/>
        <v>10000</v>
      </c>
      <c r="Y17" s="474">
        <f t="shared" si="4"/>
        <v>0</v>
      </c>
      <c r="Z17" s="475">
        <f t="shared" si="5"/>
        <v>0</v>
      </c>
      <c r="AA17" s="475">
        <v>0</v>
      </c>
      <c r="AB17" s="476">
        <v>0</v>
      </c>
      <c r="AC17" s="38">
        <f t="shared" si="6"/>
        <v>0</v>
      </c>
      <c r="AD17" s="692">
        <f t="shared" si="7"/>
        <v>1439.880000000001</v>
      </c>
      <c r="AE17" s="692">
        <f t="shared" si="8"/>
        <v>0</v>
      </c>
      <c r="AF17" s="692">
        <f t="shared" si="9"/>
        <v>0</v>
      </c>
      <c r="AG17" s="38"/>
      <c r="AH17" s="692">
        <f t="shared" si="10"/>
        <v>10000</v>
      </c>
      <c r="AI17" s="692">
        <f t="shared" si="11"/>
        <v>0</v>
      </c>
      <c r="AJ17" s="692">
        <f t="shared" si="12"/>
        <v>0</v>
      </c>
      <c r="AL17" s="38">
        <f>SUM(AD17:AJ17)</f>
        <v>11439.880000000001</v>
      </c>
    </row>
    <row r="18" spans="1:38">
      <c r="A18" s="20" t="s">
        <v>109</v>
      </c>
      <c r="B18" s="20" t="s">
        <v>109</v>
      </c>
      <c r="C18" s="671" t="s">
        <v>523</v>
      </c>
      <c r="D18" s="68" t="s">
        <v>393</v>
      </c>
      <c r="E18" s="679"/>
      <c r="F18" s="529">
        <f>VLOOKUP(D18,'June 2013 Revenue'!D:V,19,FALSE)</f>
        <v>3318.1200000000026</v>
      </c>
      <c r="G18" s="680"/>
      <c r="H18" s="680"/>
      <c r="I18" s="755"/>
      <c r="J18" s="682">
        <f t="shared" si="0"/>
        <v>3318.1200000000026</v>
      </c>
      <c r="K18" s="683"/>
      <c r="L18" s="684"/>
      <c r="M18" s="753">
        <v>45000</v>
      </c>
      <c r="N18" s="683">
        <v>0</v>
      </c>
      <c r="O18" s="686"/>
      <c r="P18" s="683">
        <v>0</v>
      </c>
      <c r="Q18" s="687">
        <f t="shared" si="1"/>
        <v>45000</v>
      </c>
      <c r="S18" s="687"/>
      <c r="T18" s="687">
        <v>41033.96</v>
      </c>
      <c r="U18" s="693"/>
      <c r="V18" s="690">
        <f t="shared" si="2"/>
        <v>-3966.0400000000009</v>
      </c>
      <c r="W18" s="683"/>
      <c r="X18" s="474">
        <f t="shared" si="3"/>
        <v>0</v>
      </c>
      <c r="Y18" s="474">
        <f t="shared" si="4"/>
        <v>45000</v>
      </c>
      <c r="Z18" s="475">
        <f t="shared" si="5"/>
        <v>0</v>
      </c>
      <c r="AA18" s="475">
        <v>0</v>
      </c>
      <c r="AB18" s="476">
        <v>0</v>
      </c>
      <c r="AC18" s="38">
        <f t="shared" si="6"/>
        <v>0</v>
      </c>
      <c r="AD18" s="692">
        <f t="shared" si="7"/>
        <v>0</v>
      </c>
      <c r="AE18" s="692">
        <f t="shared" si="8"/>
        <v>3318.1200000000026</v>
      </c>
      <c r="AF18" s="692">
        <f t="shared" si="9"/>
        <v>0</v>
      </c>
      <c r="AG18" s="38"/>
      <c r="AH18" s="692">
        <f t="shared" si="10"/>
        <v>0</v>
      </c>
      <c r="AI18" s="692">
        <f t="shared" si="11"/>
        <v>45000</v>
      </c>
      <c r="AJ18" s="692">
        <f t="shared" si="12"/>
        <v>0</v>
      </c>
      <c r="AL18" s="38">
        <f t="shared" ref="AL18:AL81" si="13">SUM(AD18:AJ18)</f>
        <v>48318.12</v>
      </c>
    </row>
    <row r="19" spans="1:38">
      <c r="A19" s="20" t="s">
        <v>109</v>
      </c>
      <c r="B19" s="20" t="s">
        <v>109</v>
      </c>
      <c r="C19" s="671" t="s">
        <v>523</v>
      </c>
      <c r="D19" s="68" t="s">
        <v>129</v>
      </c>
      <c r="E19" s="679"/>
      <c r="F19" s="529">
        <f>VLOOKUP(D19,'June 2013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row>
    <row r="20" spans="1:38">
      <c r="A20" s="20" t="s">
        <v>109</v>
      </c>
      <c r="B20" s="20" t="s">
        <v>109</v>
      </c>
      <c r="C20" s="671" t="s">
        <v>523</v>
      </c>
      <c r="D20" s="351" t="s">
        <v>878</v>
      </c>
      <c r="E20" s="679"/>
      <c r="F20" s="529">
        <f>VLOOKUP(D20,'June 2013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row>
    <row r="21" spans="1:38">
      <c r="A21" s="20"/>
      <c r="B21" s="20" t="s">
        <v>110</v>
      </c>
      <c r="C21" s="667" t="s">
        <v>524</v>
      </c>
      <c r="D21" s="123" t="s">
        <v>380</v>
      </c>
      <c r="E21" s="679"/>
      <c r="F21" s="529">
        <f>VLOOKUP(D21,'June 2013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row>
    <row r="22" spans="1:38">
      <c r="A22" s="20"/>
      <c r="B22" s="20" t="s">
        <v>110</v>
      </c>
      <c r="C22" s="667" t="s">
        <v>524</v>
      </c>
      <c r="D22" s="123" t="s">
        <v>132</v>
      </c>
      <c r="E22" s="679"/>
      <c r="F22" s="529">
        <f>VLOOKUP(D22,'June 2013 Revenue'!D:V,19,FALSE)</f>
        <v>0</v>
      </c>
      <c r="G22" s="680"/>
      <c r="H22" s="680"/>
      <c r="I22" s="755"/>
      <c r="J22" s="682">
        <f t="shared" si="0"/>
        <v>0</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0</v>
      </c>
      <c r="AE22" s="692">
        <f t="shared" si="8"/>
        <v>0</v>
      </c>
      <c r="AF22" s="692">
        <f t="shared" si="9"/>
        <v>0</v>
      </c>
      <c r="AG22" s="38"/>
      <c r="AH22" s="692">
        <f t="shared" si="10"/>
        <v>0</v>
      </c>
      <c r="AI22" s="692">
        <f t="shared" si="11"/>
        <v>0</v>
      </c>
      <c r="AJ22" s="692">
        <f t="shared" si="12"/>
        <v>0</v>
      </c>
      <c r="AL22" s="38">
        <f t="shared" si="13"/>
        <v>0</v>
      </c>
    </row>
    <row r="23" spans="1:38">
      <c r="A23" s="20"/>
      <c r="B23" s="20" t="s">
        <v>110</v>
      </c>
      <c r="C23" s="667" t="s">
        <v>524</v>
      </c>
      <c r="D23" s="123" t="s">
        <v>133</v>
      </c>
      <c r="E23" s="679"/>
      <c r="F23" s="529">
        <f>VLOOKUP(D23,'June 2013 Revenue'!D:V,19,FALSE)</f>
        <v>-15000</v>
      </c>
      <c r="G23" s="680"/>
      <c r="H23" s="680"/>
      <c r="I23" s="755"/>
      <c r="J23" s="682">
        <f t="shared" si="0"/>
        <v>-15000</v>
      </c>
      <c r="K23" s="683"/>
      <c r="L23" s="684"/>
      <c r="M23" s="753">
        <v>20000</v>
      </c>
      <c r="N23" s="683">
        <v>0</v>
      </c>
      <c r="O23" s="686"/>
      <c r="P23" s="683">
        <v>0</v>
      </c>
      <c r="Q23" s="687">
        <f t="shared" si="1"/>
        <v>20000</v>
      </c>
      <c r="R23" s="687"/>
      <c r="S23" s="687"/>
      <c r="T23" s="688">
        <v>0</v>
      </c>
      <c r="U23" s="693"/>
      <c r="V23" s="690">
        <f t="shared" si="2"/>
        <v>-20000</v>
      </c>
      <c r="W23" s="683"/>
      <c r="X23" s="474">
        <f t="shared" si="3"/>
        <v>20000</v>
      </c>
      <c r="Y23" s="474">
        <f t="shared" si="4"/>
        <v>0</v>
      </c>
      <c r="Z23" s="475">
        <f t="shared" si="5"/>
        <v>0</v>
      </c>
      <c r="AA23" s="475">
        <v>0</v>
      </c>
      <c r="AB23" s="476">
        <v>0</v>
      </c>
      <c r="AC23" s="38">
        <f t="shared" si="6"/>
        <v>0</v>
      </c>
      <c r="AD23" s="692">
        <f t="shared" si="7"/>
        <v>-15000</v>
      </c>
      <c r="AE23" s="692">
        <f t="shared" si="8"/>
        <v>0</v>
      </c>
      <c r="AF23" s="692">
        <f t="shared" si="9"/>
        <v>0</v>
      </c>
      <c r="AG23" s="38"/>
      <c r="AH23" s="692">
        <f t="shared" si="10"/>
        <v>20000</v>
      </c>
      <c r="AI23" s="692">
        <f t="shared" si="11"/>
        <v>0</v>
      </c>
      <c r="AJ23" s="692">
        <f t="shared" si="12"/>
        <v>0</v>
      </c>
      <c r="AL23" s="38">
        <f t="shared" si="13"/>
        <v>5000</v>
      </c>
    </row>
    <row r="24" spans="1:38" s="232" customFormat="1">
      <c r="A24" s="283" t="s">
        <v>211</v>
      </c>
      <c r="B24" s="283" t="s">
        <v>109</v>
      </c>
      <c r="C24" s="667" t="s">
        <v>525</v>
      </c>
      <c r="D24" s="123" t="s">
        <v>419</v>
      </c>
      <c r="E24" s="679"/>
      <c r="F24" s="529">
        <f>VLOOKUP(D24,'June 2013 Revenue'!D:V,19,FALSE)</f>
        <v>-25000</v>
      </c>
      <c r="G24" s="680"/>
      <c r="H24" s="680"/>
      <c r="I24" s="755"/>
      <c r="J24" s="682">
        <f t="shared" si="0"/>
        <v>-25000</v>
      </c>
      <c r="K24" s="683"/>
      <c r="L24" s="684"/>
      <c r="M24" s="753">
        <v>32000</v>
      </c>
      <c r="N24" s="683">
        <v>0</v>
      </c>
      <c r="O24" s="686"/>
      <c r="P24" s="683">
        <v>0</v>
      </c>
      <c r="Q24" s="687">
        <f t="shared" si="1"/>
        <v>32000</v>
      </c>
      <c r="R24" s="687"/>
      <c r="S24" s="687"/>
      <c r="T24" s="688">
        <v>0</v>
      </c>
      <c r="U24" s="693"/>
      <c r="V24" s="690">
        <f t="shared" si="2"/>
        <v>-32000</v>
      </c>
      <c r="W24" s="683"/>
      <c r="X24" s="474">
        <f t="shared" si="3"/>
        <v>0</v>
      </c>
      <c r="Y24" s="474">
        <f t="shared" si="4"/>
        <v>32000</v>
      </c>
      <c r="Z24" s="475">
        <f t="shared" si="5"/>
        <v>0</v>
      </c>
      <c r="AA24" s="475">
        <v>0</v>
      </c>
      <c r="AB24" s="476">
        <v>0</v>
      </c>
      <c r="AC24" s="38">
        <f t="shared" si="6"/>
        <v>0</v>
      </c>
      <c r="AD24" s="692">
        <f t="shared" si="7"/>
        <v>0</v>
      </c>
      <c r="AE24" s="692">
        <f t="shared" si="8"/>
        <v>-25000</v>
      </c>
      <c r="AF24" s="692">
        <f t="shared" si="9"/>
        <v>0</v>
      </c>
      <c r="AG24" s="38"/>
      <c r="AH24" s="692">
        <f t="shared" si="10"/>
        <v>0</v>
      </c>
      <c r="AI24" s="692">
        <f t="shared" si="11"/>
        <v>32000</v>
      </c>
      <c r="AJ24" s="692">
        <f t="shared" si="12"/>
        <v>0</v>
      </c>
      <c r="AL24" s="38">
        <f t="shared" si="13"/>
        <v>7000</v>
      </c>
    </row>
    <row r="25" spans="1:38">
      <c r="A25" s="20"/>
      <c r="B25" s="20" t="s">
        <v>110</v>
      </c>
      <c r="C25" s="667"/>
      <c r="D25" s="68" t="s">
        <v>922</v>
      </c>
      <c r="E25" s="679"/>
      <c r="F25" s="529">
        <f>VLOOKUP(D25,'June 2013 Revenue'!D:V,19,FALSE)</f>
        <v>0</v>
      </c>
      <c r="G25" s="680"/>
      <c r="H25" s="680"/>
      <c r="I25" s="770">
        <v>766.77</v>
      </c>
      <c r="J25" s="682">
        <f t="shared" si="0"/>
        <v>766.77</v>
      </c>
      <c r="K25" s="683"/>
      <c r="L25" s="684"/>
      <c r="M25" s="753"/>
      <c r="N25" s="683">
        <v>0</v>
      </c>
      <c r="O25" s="686"/>
      <c r="P25" s="683">
        <v>0</v>
      </c>
      <c r="Q25" s="687">
        <f t="shared" si="1"/>
        <v>0</v>
      </c>
      <c r="R25" s="687"/>
      <c r="S25" s="687"/>
      <c r="T25" s="688">
        <v>0</v>
      </c>
      <c r="U25" s="693"/>
      <c r="V25" s="690">
        <f t="shared" si="2"/>
        <v>0</v>
      </c>
      <c r="W25" s="683"/>
      <c r="X25" s="474">
        <f t="shared" si="3"/>
        <v>0</v>
      </c>
      <c r="Y25" s="474">
        <f t="shared" si="4"/>
        <v>0</v>
      </c>
      <c r="Z25" s="475">
        <f t="shared" si="5"/>
        <v>0</v>
      </c>
      <c r="AA25" s="475">
        <v>0</v>
      </c>
      <c r="AB25" s="476">
        <v>0</v>
      </c>
      <c r="AC25" s="38">
        <f t="shared" si="6"/>
        <v>0</v>
      </c>
      <c r="AD25" s="692">
        <f t="shared" si="7"/>
        <v>766.77</v>
      </c>
      <c r="AE25" s="692">
        <f t="shared" si="8"/>
        <v>0</v>
      </c>
      <c r="AF25" s="692">
        <f t="shared" si="9"/>
        <v>0</v>
      </c>
      <c r="AG25" s="38"/>
      <c r="AH25" s="692">
        <f t="shared" si="10"/>
        <v>0</v>
      </c>
      <c r="AI25" s="692">
        <f t="shared" si="11"/>
        <v>0</v>
      </c>
      <c r="AJ25" s="692">
        <f t="shared" si="12"/>
        <v>0</v>
      </c>
      <c r="AL25" s="38">
        <f t="shared" si="13"/>
        <v>766.77</v>
      </c>
    </row>
    <row r="26" spans="1:38">
      <c r="A26" s="20"/>
      <c r="B26" s="20" t="s">
        <v>110</v>
      </c>
      <c r="C26" s="667"/>
      <c r="D26" s="68" t="s">
        <v>589</v>
      </c>
      <c r="E26" s="679"/>
      <c r="F26" s="529">
        <f>VLOOKUP(D26,'June 2013 Revenue'!D:V,19,FALSE)</f>
        <v>-2533.91</v>
      </c>
      <c r="G26" s="680"/>
      <c r="H26" s="680"/>
      <c r="I26" s="755"/>
      <c r="J26" s="682">
        <f t="shared" si="0"/>
        <v>-2533.91</v>
      </c>
      <c r="K26" s="683"/>
      <c r="L26" s="684"/>
      <c r="M26" s="753">
        <v>7000</v>
      </c>
      <c r="N26" s="683">
        <v>0</v>
      </c>
      <c r="O26" s="686"/>
      <c r="P26" s="683">
        <v>0</v>
      </c>
      <c r="Q26" s="687">
        <f t="shared" si="1"/>
        <v>7000</v>
      </c>
      <c r="R26" s="687"/>
      <c r="S26" s="687"/>
      <c r="T26" s="688">
        <v>0</v>
      </c>
      <c r="U26" s="693"/>
      <c r="V26" s="690">
        <f t="shared" si="2"/>
        <v>-7000</v>
      </c>
      <c r="W26" s="683"/>
      <c r="X26" s="474">
        <f t="shared" si="3"/>
        <v>7000</v>
      </c>
      <c r="Y26" s="474">
        <f t="shared" si="4"/>
        <v>0</v>
      </c>
      <c r="Z26" s="475">
        <f t="shared" si="5"/>
        <v>0</v>
      </c>
      <c r="AA26" s="475">
        <v>0</v>
      </c>
      <c r="AB26" s="476">
        <v>0</v>
      </c>
      <c r="AC26" s="38">
        <f t="shared" si="6"/>
        <v>0</v>
      </c>
      <c r="AD26" s="692">
        <f t="shared" si="7"/>
        <v>-2533.91</v>
      </c>
      <c r="AE26" s="692">
        <f t="shared" si="8"/>
        <v>0</v>
      </c>
      <c r="AF26" s="692">
        <f t="shared" si="9"/>
        <v>0</v>
      </c>
      <c r="AG26" s="38"/>
      <c r="AH26" s="692">
        <f t="shared" si="10"/>
        <v>7000</v>
      </c>
      <c r="AI26" s="692">
        <f t="shared" si="11"/>
        <v>0</v>
      </c>
      <c r="AJ26" s="692">
        <f t="shared" si="12"/>
        <v>0</v>
      </c>
      <c r="AL26" s="38">
        <f t="shared" si="13"/>
        <v>4466.09</v>
      </c>
    </row>
    <row r="27" spans="1:38">
      <c r="A27" s="20"/>
      <c r="B27" s="20" t="s">
        <v>110</v>
      </c>
      <c r="C27" s="667"/>
      <c r="D27" s="68" t="s">
        <v>829</v>
      </c>
      <c r="E27" s="679"/>
      <c r="F27" s="529">
        <f>VLOOKUP(D27,'June 2013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row>
    <row r="28" spans="1:38">
      <c r="A28" s="20"/>
      <c r="B28" s="20" t="s">
        <v>109</v>
      </c>
      <c r="C28" s="667" t="s">
        <v>526</v>
      </c>
      <c r="D28" s="68" t="s">
        <v>385</v>
      </c>
      <c r="E28" s="679"/>
      <c r="F28" s="529">
        <f>VLOOKUP(D28,'June 2013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91"/>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row>
    <row r="29" spans="1:38" s="232" customFormat="1">
      <c r="A29" s="283"/>
      <c r="B29" s="283" t="s">
        <v>110</v>
      </c>
      <c r="C29" s="667" t="s">
        <v>527</v>
      </c>
      <c r="D29" s="123" t="s">
        <v>401</v>
      </c>
      <c r="E29" s="679"/>
      <c r="F29" s="529">
        <f>VLOOKUP(D29,'June 2013 Revenue'!D:V,19,FALSE)</f>
        <v>114358.59999999998</v>
      </c>
      <c r="G29" s="680"/>
      <c r="H29" s="680"/>
      <c r="I29" s="755"/>
      <c r="J29" s="682">
        <f t="shared" si="0"/>
        <v>114358.59999999998</v>
      </c>
      <c r="K29" s="683"/>
      <c r="L29" s="684"/>
      <c r="M29" s="753">
        <v>900000</v>
      </c>
      <c r="N29" s="683">
        <v>0</v>
      </c>
      <c r="O29" s="686"/>
      <c r="P29" s="683">
        <v>0</v>
      </c>
      <c r="Q29" s="687">
        <f t="shared" si="1"/>
        <v>900000</v>
      </c>
      <c r="R29" s="687"/>
      <c r="S29" s="687"/>
      <c r="T29" s="688">
        <v>932184.3</v>
      </c>
      <c r="U29" s="693"/>
      <c r="V29" s="690">
        <f t="shared" si="2"/>
        <v>32184.300000000047</v>
      </c>
      <c r="W29" s="683"/>
      <c r="X29" s="474">
        <f t="shared" si="3"/>
        <v>900000</v>
      </c>
      <c r="Y29" s="474">
        <f t="shared" si="4"/>
        <v>0</v>
      </c>
      <c r="Z29" s="475">
        <f t="shared" si="5"/>
        <v>0</v>
      </c>
      <c r="AA29" s="475">
        <v>0</v>
      </c>
      <c r="AB29" s="476">
        <v>0</v>
      </c>
      <c r="AC29" s="38">
        <f t="shared" si="6"/>
        <v>0</v>
      </c>
      <c r="AD29" s="692">
        <f t="shared" si="7"/>
        <v>114358.59999999998</v>
      </c>
      <c r="AE29" s="692">
        <f t="shared" si="8"/>
        <v>0</v>
      </c>
      <c r="AF29" s="692">
        <f t="shared" si="9"/>
        <v>0</v>
      </c>
      <c r="AG29" s="38"/>
      <c r="AH29" s="692">
        <f t="shared" si="10"/>
        <v>900000</v>
      </c>
      <c r="AI29" s="692">
        <f t="shared" si="11"/>
        <v>0</v>
      </c>
      <c r="AJ29" s="692">
        <f t="shared" si="12"/>
        <v>0</v>
      </c>
      <c r="AL29" s="38">
        <f t="shared" si="13"/>
        <v>1014358.6</v>
      </c>
    </row>
    <row r="30" spans="1:38" s="232" customFormat="1">
      <c r="A30" s="283"/>
      <c r="B30" s="283" t="s">
        <v>110</v>
      </c>
      <c r="C30" s="667" t="s">
        <v>528</v>
      </c>
      <c r="D30" s="123" t="s">
        <v>403</v>
      </c>
      <c r="E30" s="679"/>
      <c r="F30" s="529">
        <f>VLOOKUP(D30,'June 2013 Revenue'!D:V,19,FALSE)</f>
        <v>-657.22000000000116</v>
      </c>
      <c r="G30" s="680"/>
      <c r="H30" s="680"/>
      <c r="I30" s="755"/>
      <c r="J30" s="682">
        <f t="shared" si="0"/>
        <v>-657.22000000000116</v>
      </c>
      <c r="K30" s="683"/>
      <c r="L30" s="684"/>
      <c r="M30" s="753">
        <v>150000</v>
      </c>
      <c r="N30" s="683">
        <v>0</v>
      </c>
      <c r="O30" s="686"/>
      <c r="P30" s="683">
        <v>0</v>
      </c>
      <c r="Q30" s="687">
        <f t="shared" si="1"/>
        <v>150000</v>
      </c>
      <c r="R30" s="687"/>
      <c r="S30" s="687"/>
      <c r="T30" s="688">
        <v>149172.76</v>
      </c>
      <c r="U30" s="693"/>
      <c r="V30" s="690">
        <f t="shared" si="2"/>
        <v>-827.23999999999069</v>
      </c>
      <c r="W30" s="683"/>
      <c r="X30" s="474">
        <f t="shared" si="3"/>
        <v>150000</v>
      </c>
      <c r="Y30" s="474">
        <f t="shared" si="4"/>
        <v>0</v>
      </c>
      <c r="Z30" s="475">
        <f t="shared" si="5"/>
        <v>0</v>
      </c>
      <c r="AA30" s="475">
        <v>0</v>
      </c>
      <c r="AB30" s="476">
        <v>0</v>
      </c>
      <c r="AC30" s="38">
        <f t="shared" si="6"/>
        <v>0</v>
      </c>
      <c r="AD30" s="692">
        <f t="shared" si="7"/>
        <v>-657.22000000000116</v>
      </c>
      <c r="AE30" s="692">
        <f t="shared" si="8"/>
        <v>0</v>
      </c>
      <c r="AF30" s="692">
        <f t="shared" si="9"/>
        <v>0</v>
      </c>
      <c r="AG30" s="38"/>
      <c r="AH30" s="692">
        <f t="shared" si="10"/>
        <v>150000</v>
      </c>
      <c r="AI30" s="692">
        <f t="shared" si="11"/>
        <v>0</v>
      </c>
      <c r="AJ30" s="692">
        <f t="shared" si="12"/>
        <v>0</v>
      </c>
      <c r="AL30" s="38">
        <f t="shared" si="13"/>
        <v>149342.78</v>
      </c>
    </row>
    <row r="31" spans="1:38" s="232" customFormat="1">
      <c r="A31" s="283"/>
      <c r="B31" s="283" t="s">
        <v>110</v>
      </c>
      <c r="C31" s="667" t="s">
        <v>528</v>
      </c>
      <c r="D31" s="123" t="s">
        <v>404</v>
      </c>
      <c r="E31" s="679"/>
      <c r="F31" s="529">
        <f>VLOOKUP(D31,'June 2013 Revenue'!D:V,19,FALSE)</f>
        <v>4053.8299999999872</v>
      </c>
      <c r="G31" s="680"/>
      <c r="H31" s="680"/>
      <c r="I31" s="755"/>
      <c r="J31" s="682">
        <f t="shared" si="0"/>
        <v>4053.8299999999872</v>
      </c>
      <c r="K31" s="683"/>
      <c r="L31" s="684"/>
      <c r="M31" s="753">
        <v>150000</v>
      </c>
      <c r="N31" s="683">
        <v>0</v>
      </c>
      <c r="O31" s="686"/>
      <c r="P31" s="683">
        <v>0</v>
      </c>
      <c r="Q31" s="687">
        <f t="shared" si="1"/>
        <v>150000</v>
      </c>
      <c r="R31" s="687"/>
      <c r="S31" s="687"/>
      <c r="T31" s="688">
        <v>147604.63</v>
      </c>
      <c r="U31" s="693"/>
      <c r="V31" s="690">
        <f t="shared" si="2"/>
        <v>-2395.3699999999953</v>
      </c>
      <c r="W31" s="683"/>
      <c r="X31" s="474">
        <f t="shared" si="3"/>
        <v>150000</v>
      </c>
      <c r="Y31" s="474">
        <f t="shared" si="4"/>
        <v>0</v>
      </c>
      <c r="Z31" s="475">
        <f t="shared" si="5"/>
        <v>0</v>
      </c>
      <c r="AA31" s="475">
        <v>0</v>
      </c>
      <c r="AB31" s="476">
        <v>0</v>
      </c>
      <c r="AC31" s="38">
        <f t="shared" si="6"/>
        <v>0</v>
      </c>
      <c r="AD31" s="692">
        <f t="shared" si="7"/>
        <v>4053.8299999999872</v>
      </c>
      <c r="AE31" s="692">
        <f t="shared" si="8"/>
        <v>0</v>
      </c>
      <c r="AF31" s="692">
        <f t="shared" si="9"/>
        <v>0</v>
      </c>
      <c r="AG31" s="38"/>
      <c r="AH31" s="692">
        <f t="shared" si="10"/>
        <v>150000</v>
      </c>
      <c r="AI31" s="692">
        <f t="shared" si="11"/>
        <v>0</v>
      </c>
      <c r="AJ31" s="692">
        <f t="shared" si="12"/>
        <v>0</v>
      </c>
      <c r="AL31" s="38">
        <f t="shared" si="13"/>
        <v>154053.82999999999</v>
      </c>
    </row>
    <row r="32" spans="1:38" s="232" customFormat="1">
      <c r="A32" s="283"/>
      <c r="B32" s="283" t="s">
        <v>110</v>
      </c>
      <c r="C32" s="667" t="s">
        <v>528</v>
      </c>
      <c r="D32" s="123" t="s">
        <v>405</v>
      </c>
      <c r="E32" s="679"/>
      <c r="F32" s="529">
        <f>VLOOKUP(D32,'June 2013 Revenue'!D:V,19,FALSE)</f>
        <v>731.81999999999971</v>
      </c>
      <c r="G32" s="680"/>
      <c r="H32" s="680"/>
      <c r="I32" s="755"/>
      <c r="J32" s="682">
        <f t="shared" si="0"/>
        <v>731.81999999999971</v>
      </c>
      <c r="K32" s="683"/>
      <c r="L32" s="684"/>
      <c r="M32" s="753">
        <v>25000</v>
      </c>
      <c r="N32" s="683">
        <v>0</v>
      </c>
      <c r="O32" s="686"/>
      <c r="P32" s="683">
        <v>0</v>
      </c>
      <c r="Q32" s="687">
        <f t="shared" si="1"/>
        <v>25000</v>
      </c>
      <c r="R32" s="687"/>
      <c r="S32" s="687"/>
      <c r="T32" s="688">
        <v>23773.03</v>
      </c>
      <c r="U32" s="693"/>
      <c r="V32" s="690">
        <f t="shared" si="2"/>
        <v>-1226.9700000000012</v>
      </c>
      <c r="W32" s="683"/>
      <c r="X32" s="474">
        <f t="shared" si="3"/>
        <v>25000</v>
      </c>
      <c r="Y32" s="474">
        <f t="shared" si="4"/>
        <v>0</v>
      </c>
      <c r="Z32" s="475">
        <f t="shared" si="5"/>
        <v>0</v>
      </c>
      <c r="AA32" s="475">
        <v>0</v>
      </c>
      <c r="AB32" s="476">
        <v>0</v>
      </c>
      <c r="AC32" s="38">
        <f t="shared" si="6"/>
        <v>0</v>
      </c>
      <c r="AD32" s="692">
        <f t="shared" si="7"/>
        <v>731.81999999999971</v>
      </c>
      <c r="AE32" s="692">
        <f t="shared" si="8"/>
        <v>0</v>
      </c>
      <c r="AF32" s="692">
        <f t="shared" si="9"/>
        <v>0</v>
      </c>
      <c r="AG32" s="38"/>
      <c r="AH32" s="692">
        <f t="shared" si="10"/>
        <v>25000</v>
      </c>
      <c r="AI32" s="692">
        <f t="shared" si="11"/>
        <v>0</v>
      </c>
      <c r="AJ32" s="692">
        <f t="shared" si="12"/>
        <v>0</v>
      </c>
      <c r="AL32" s="38">
        <f t="shared" si="13"/>
        <v>25731.82</v>
      </c>
    </row>
    <row r="33" spans="1:38" s="232" customFormat="1">
      <c r="A33" s="283"/>
      <c r="B33" s="283" t="s">
        <v>110</v>
      </c>
      <c r="C33" s="667" t="s">
        <v>528</v>
      </c>
      <c r="D33" s="123" t="s">
        <v>406</v>
      </c>
      <c r="E33" s="679"/>
      <c r="F33" s="529">
        <f>VLOOKUP(D33,'June 2013 Revenue'!D:V,19,FALSE)</f>
        <v>2481.8099999999995</v>
      </c>
      <c r="G33" s="680"/>
      <c r="H33" s="680"/>
      <c r="I33" s="755"/>
      <c r="J33" s="682">
        <f t="shared" si="0"/>
        <v>2481.8099999999995</v>
      </c>
      <c r="K33" s="683"/>
      <c r="L33" s="684"/>
      <c r="M33" s="753">
        <v>12000</v>
      </c>
      <c r="N33" s="683">
        <v>0</v>
      </c>
      <c r="O33" s="686"/>
      <c r="P33" s="683">
        <v>0</v>
      </c>
      <c r="Q33" s="687">
        <f t="shared" si="1"/>
        <v>12000</v>
      </c>
      <c r="R33" s="687"/>
      <c r="S33" s="687"/>
      <c r="T33" s="688">
        <v>11818.84</v>
      </c>
      <c r="U33" s="693"/>
      <c r="V33" s="690">
        <f t="shared" si="2"/>
        <v>-181.15999999999985</v>
      </c>
      <c r="W33" s="683"/>
      <c r="X33" s="474">
        <f t="shared" si="3"/>
        <v>12000</v>
      </c>
      <c r="Y33" s="474">
        <f t="shared" si="4"/>
        <v>0</v>
      </c>
      <c r="Z33" s="475">
        <f t="shared" si="5"/>
        <v>0</v>
      </c>
      <c r="AA33" s="475">
        <v>0</v>
      </c>
      <c r="AB33" s="476">
        <v>0</v>
      </c>
      <c r="AC33" s="38">
        <f t="shared" si="6"/>
        <v>0</v>
      </c>
      <c r="AD33" s="692">
        <f t="shared" si="7"/>
        <v>2481.8099999999995</v>
      </c>
      <c r="AE33" s="692">
        <f t="shared" si="8"/>
        <v>0</v>
      </c>
      <c r="AF33" s="692">
        <f t="shared" si="9"/>
        <v>0</v>
      </c>
      <c r="AG33" s="38"/>
      <c r="AH33" s="692">
        <f t="shared" si="10"/>
        <v>12000</v>
      </c>
      <c r="AI33" s="692">
        <f t="shared" si="11"/>
        <v>0</v>
      </c>
      <c r="AJ33" s="692">
        <f t="shared" si="12"/>
        <v>0</v>
      </c>
      <c r="AL33" s="38">
        <f t="shared" si="13"/>
        <v>14481.81</v>
      </c>
    </row>
    <row r="34" spans="1:38" s="232" customFormat="1">
      <c r="A34" s="283"/>
      <c r="B34" s="283" t="s">
        <v>110</v>
      </c>
      <c r="C34" s="667" t="s">
        <v>528</v>
      </c>
      <c r="D34" s="123" t="s">
        <v>407</v>
      </c>
      <c r="E34" s="679"/>
      <c r="F34" s="529">
        <f>VLOOKUP(D34,'June 2013 Revenue'!D:V,19,FALSE)</f>
        <v>-69.359999999999673</v>
      </c>
      <c r="G34" s="680"/>
      <c r="H34" s="680"/>
      <c r="I34" s="755"/>
      <c r="J34" s="682">
        <f t="shared" si="0"/>
        <v>-69.359999999999673</v>
      </c>
      <c r="K34" s="683"/>
      <c r="L34" s="684"/>
      <c r="M34" s="753">
        <v>5000</v>
      </c>
      <c r="N34" s="683">
        <v>0</v>
      </c>
      <c r="O34" s="686"/>
      <c r="P34" s="683">
        <v>0</v>
      </c>
      <c r="Q34" s="687">
        <f t="shared" si="1"/>
        <v>5000</v>
      </c>
      <c r="R34" s="687"/>
      <c r="S34" s="687"/>
      <c r="T34" s="688">
        <v>4642.5200000000004</v>
      </c>
      <c r="U34" s="693"/>
      <c r="V34" s="690">
        <f t="shared" si="2"/>
        <v>-357.47999999999956</v>
      </c>
      <c r="W34" s="683"/>
      <c r="X34" s="474">
        <f t="shared" si="3"/>
        <v>5000</v>
      </c>
      <c r="Y34" s="474">
        <f t="shared" si="4"/>
        <v>0</v>
      </c>
      <c r="Z34" s="475">
        <f t="shared" si="5"/>
        <v>0</v>
      </c>
      <c r="AA34" s="475">
        <v>0</v>
      </c>
      <c r="AB34" s="476">
        <v>0</v>
      </c>
      <c r="AC34" s="38">
        <f t="shared" si="6"/>
        <v>0</v>
      </c>
      <c r="AD34" s="692">
        <f t="shared" si="7"/>
        <v>-69.359999999999673</v>
      </c>
      <c r="AE34" s="692">
        <f t="shared" si="8"/>
        <v>0</v>
      </c>
      <c r="AF34" s="692">
        <f t="shared" si="9"/>
        <v>0</v>
      </c>
      <c r="AG34" s="38"/>
      <c r="AH34" s="692">
        <f t="shared" si="10"/>
        <v>5000</v>
      </c>
      <c r="AI34" s="692">
        <f t="shared" si="11"/>
        <v>0</v>
      </c>
      <c r="AJ34" s="692">
        <f t="shared" si="12"/>
        <v>0</v>
      </c>
      <c r="AL34" s="38">
        <f t="shared" si="13"/>
        <v>4930.6400000000003</v>
      </c>
    </row>
    <row r="35" spans="1:38" s="232" customFormat="1">
      <c r="A35" s="283"/>
      <c r="B35" s="283" t="s">
        <v>110</v>
      </c>
      <c r="C35" s="667" t="s">
        <v>528</v>
      </c>
      <c r="D35" s="123" t="s">
        <v>880</v>
      </c>
      <c r="E35" s="679"/>
      <c r="F35" s="529">
        <f>VLOOKUP(D35,'June 2013 Revenue'!D:V,19,FALSE)</f>
        <v>3232.8</v>
      </c>
      <c r="G35" s="680"/>
      <c r="H35" s="680"/>
      <c r="I35" s="755"/>
      <c r="J35" s="682">
        <f t="shared" si="0"/>
        <v>3232.8</v>
      </c>
      <c r="K35" s="683"/>
      <c r="L35" s="684"/>
      <c r="M35" s="753">
        <v>5000</v>
      </c>
      <c r="N35" s="683">
        <v>0</v>
      </c>
      <c r="O35" s="686"/>
      <c r="P35" s="683">
        <v>0</v>
      </c>
      <c r="Q35" s="687">
        <f t="shared" si="1"/>
        <v>5000</v>
      </c>
      <c r="R35" s="687"/>
      <c r="S35" s="687"/>
      <c r="T35" s="688">
        <v>3802.94</v>
      </c>
      <c r="U35" s="693"/>
      <c r="V35" s="690">
        <f t="shared" si="2"/>
        <v>-1197.06</v>
      </c>
      <c r="W35" s="683"/>
      <c r="X35" s="474">
        <f t="shared" si="3"/>
        <v>5000</v>
      </c>
      <c r="Y35" s="474">
        <f t="shared" si="4"/>
        <v>0</v>
      </c>
      <c r="Z35" s="475">
        <f t="shared" si="5"/>
        <v>0</v>
      </c>
      <c r="AA35" s="475">
        <v>0</v>
      </c>
      <c r="AB35" s="476">
        <v>0</v>
      </c>
      <c r="AC35" s="38">
        <f t="shared" si="6"/>
        <v>0</v>
      </c>
      <c r="AD35" s="692">
        <f t="shared" si="7"/>
        <v>3232.8</v>
      </c>
      <c r="AE35" s="692">
        <f t="shared" si="8"/>
        <v>0</v>
      </c>
      <c r="AF35" s="692">
        <f t="shared" si="9"/>
        <v>0</v>
      </c>
      <c r="AG35" s="38"/>
      <c r="AH35" s="692">
        <f t="shared" si="10"/>
        <v>5000</v>
      </c>
      <c r="AI35" s="692">
        <f t="shared" si="11"/>
        <v>0</v>
      </c>
      <c r="AJ35" s="692">
        <f t="shared" si="12"/>
        <v>0</v>
      </c>
      <c r="AL35" s="38">
        <f t="shared" si="13"/>
        <v>8232.7999999999993</v>
      </c>
    </row>
    <row r="36" spans="1:38" s="232" customFormat="1">
      <c r="A36" s="283"/>
      <c r="B36" s="283" t="s">
        <v>110</v>
      </c>
      <c r="C36" s="667" t="s">
        <v>528</v>
      </c>
      <c r="D36" s="123" t="s">
        <v>881</v>
      </c>
      <c r="E36" s="679"/>
      <c r="F36" s="529">
        <f>VLOOKUP(D36,'June 2013 Revenue'!D:V,19,FALSE)</f>
        <v>3144.91</v>
      </c>
      <c r="G36" s="680"/>
      <c r="H36" s="680"/>
      <c r="I36" s="755"/>
      <c r="J36" s="682">
        <f t="shared" si="0"/>
        <v>3144.91</v>
      </c>
      <c r="K36" s="683"/>
      <c r="L36" s="684"/>
      <c r="M36" s="753">
        <v>5000</v>
      </c>
      <c r="N36" s="683">
        <v>0</v>
      </c>
      <c r="O36" s="686"/>
      <c r="P36" s="683">
        <v>0</v>
      </c>
      <c r="Q36" s="687">
        <f t="shared" si="1"/>
        <v>5000</v>
      </c>
      <c r="R36" s="687"/>
      <c r="S36" s="687"/>
      <c r="T36" s="688">
        <v>2960.58</v>
      </c>
      <c r="U36" s="693"/>
      <c r="V36" s="690">
        <f t="shared" si="2"/>
        <v>-2039.42</v>
      </c>
      <c r="W36" s="683"/>
      <c r="X36" s="474">
        <f t="shared" si="3"/>
        <v>5000</v>
      </c>
      <c r="Y36" s="474">
        <f t="shared" si="4"/>
        <v>0</v>
      </c>
      <c r="Z36" s="475">
        <f t="shared" si="5"/>
        <v>0</v>
      </c>
      <c r="AA36" s="475">
        <v>0</v>
      </c>
      <c r="AB36" s="476">
        <v>0</v>
      </c>
      <c r="AC36" s="38">
        <f t="shared" si="6"/>
        <v>0</v>
      </c>
      <c r="AD36" s="692">
        <f t="shared" si="7"/>
        <v>3144.91</v>
      </c>
      <c r="AE36" s="692">
        <f t="shared" si="8"/>
        <v>0</v>
      </c>
      <c r="AF36" s="692">
        <f t="shared" si="9"/>
        <v>0</v>
      </c>
      <c r="AG36" s="38"/>
      <c r="AH36" s="692">
        <f t="shared" si="10"/>
        <v>5000</v>
      </c>
      <c r="AI36" s="692">
        <f t="shared" si="11"/>
        <v>0</v>
      </c>
      <c r="AJ36" s="692">
        <f t="shared" si="12"/>
        <v>0</v>
      </c>
      <c r="AL36" s="38">
        <f t="shared" si="13"/>
        <v>8144.91</v>
      </c>
    </row>
    <row r="37" spans="1:38" s="232" customFormat="1">
      <c r="A37" s="283"/>
      <c r="B37" s="283" t="s">
        <v>110</v>
      </c>
      <c r="C37" s="667" t="s">
        <v>528</v>
      </c>
      <c r="D37" s="123" t="s">
        <v>820</v>
      </c>
      <c r="E37" s="679"/>
      <c r="F37" s="529">
        <f>VLOOKUP(D37,'June 2013 Revenue'!D:V,19,FALSE)</f>
        <v>-395.86000000000058</v>
      </c>
      <c r="G37" s="680"/>
      <c r="H37" s="680"/>
      <c r="I37" s="755"/>
      <c r="J37" s="682">
        <f t="shared" si="0"/>
        <v>-395.86000000000058</v>
      </c>
      <c r="K37" s="683"/>
      <c r="L37" s="684"/>
      <c r="M37" s="753">
        <v>25000</v>
      </c>
      <c r="N37" s="683">
        <v>0</v>
      </c>
      <c r="O37" s="686"/>
      <c r="P37" s="683">
        <v>0</v>
      </c>
      <c r="Q37" s="687">
        <f t="shared" si="1"/>
        <v>25000</v>
      </c>
      <c r="R37" s="687"/>
      <c r="S37" s="687"/>
      <c r="T37" s="688">
        <v>22918.92</v>
      </c>
      <c r="U37" s="693"/>
      <c r="V37" s="690">
        <f t="shared" si="2"/>
        <v>-2081.0800000000017</v>
      </c>
      <c r="W37" s="683"/>
      <c r="X37" s="474">
        <f t="shared" si="3"/>
        <v>25000</v>
      </c>
      <c r="Y37" s="474">
        <f t="shared" si="4"/>
        <v>0</v>
      </c>
      <c r="Z37" s="475">
        <f t="shared" si="5"/>
        <v>0</v>
      </c>
      <c r="AA37" s="475">
        <v>0</v>
      </c>
      <c r="AB37" s="476">
        <v>0</v>
      </c>
      <c r="AC37" s="38">
        <f t="shared" si="6"/>
        <v>0</v>
      </c>
      <c r="AD37" s="692">
        <f t="shared" si="7"/>
        <v>-395.86000000000058</v>
      </c>
      <c r="AE37" s="692">
        <f t="shared" si="8"/>
        <v>0</v>
      </c>
      <c r="AF37" s="692">
        <f t="shared" si="9"/>
        <v>0</v>
      </c>
      <c r="AG37" s="38"/>
      <c r="AH37" s="692">
        <f t="shared" si="10"/>
        <v>25000</v>
      </c>
      <c r="AI37" s="692">
        <f t="shared" si="11"/>
        <v>0</v>
      </c>
      <c r="AJ37" s="692">
        <f t="shared" si="12"/>
        <v>0</v>
      </c>
      <c r="AL37" s="38">
        <f t="shared" si="13"/>
        <v>24604.14</v>
      </c>
    </row>
    <row r="38" spans="1:38" s="232" customFormat="1">
      <c r="A38" s="283"/>
      <c r="B38" s="283" t="s">
        <v>110</v>
      </c>
      <c r="C38" s="667" t="s">
        <v>527</v>
      </c>
      <c r="D38" s="123" t="s">
        <v>460</v>
      </c>
      <c r="E38" s="679"/>
      <c r="F38" s="529">
        <f>VLOOKUP(D38,'June 2013 Revenue'!D:V,19,FALSE)</f>
        <v>0</v>
      </c>
      <c r="G38" s="680"/>
      <c r="H38" s="680"/>
      <c r="I38" s="770">
        <v>44564.54</v>
      </c>
      <c r="J38" s="682">
        <f t="shared" si="0"/>
        <v>44564.54</v>
      </c>
      <c r="K38" s="683"/>
      <c r="L38" s="684"/>
      <c r="M38" s="753"/>
      <c r="N38" s="683">
        <v>0</v>
      </c>
      <c r="O38" s="686"/>
      <c r="P38" s="683">
        <v>0</v>
      </c>
      <c r="Q38" s="687">
        <f t="shared" si="1"/>
        <v>0</v>
      </c>
      <c r="R38" s="687"/>
      <c r="S38" s="687"/>
      <c r="T38" s="688">
        <v>0</v>
      </c>
      <c r="U38" s="693"/>
      <c r="V38" s="690">
        <f t="shared" si="2"/>
        <v>0</v>
      </c>
      <c r="W38" s="683"/>
      <c r="X38" s="474">
        <f t="shared" si="3"/>
        <v>0</v>
      </c>
      <c r="Y38" s="474">
        <f t="shared" si="4"/>
        <v>0</v>
      </c>
      <c r="Z38" s="475">
        <f t="shared" si="5"/>
        <v>0</v>
      </c>
      <c r="AA38" s="475">
        <v>0</v>
      </c>
      <c r="AB38" s="476">
        <v>0</v>
      </c>
      <c r="AC38" s="38">
        <f t="shared" si="6"/>
        <v>0</v>
      </c>
      <c r="AD38" s="692">
        <f t="shared" si="7"/>
        <v>44564.54</v>
      </c>
      <c r="AE38" s="692">
        <f t="shared" si="8"/>
        <v>0</v>
      </c>
      <c r="AF38" s="692">
        <f t="shared" si="9"/>
        <v>0</v>
      </c>
      <c r="AG38" s="38"/>
      <c r="AH38" s="692">
        <f t="shared" si="10"/>
        <v>0</v>
      </c>
      <c r="AI38" s="692">
        <f t="shared" si="11"/>
        <v>0</v>
      </c>
      <c r="AJ38" s="692">
        <f t="shared" si="12"/>
        <v>0</v>
      </c>
      <c r="AL38" s="38">
        <f t="shared" si="13"/>
        <v>44564.54</v>
      </c>
    </row>
    <row r="39" spans="1:38" s="232" customFormat="1">
      <c r="A39" s="283"/>
      <c r="B39" s="283" t="s">
        <v>110</v>
      </c>
      <c r="C39" s="676" t="s">
        <v>528</v>
      </c>
      <c r="D39" s="123" t="s">
        <v>623</v>
      </c>
      <c r="E39" s="679"/>
      <c r="F39" s="529">
        <f>VLOOKUP(D39,'June 2013 Revenue'!D:V,19,FALSE)</f>
        <v>0</v>
      </c>
      <c r="G39" s="680"/>
      <c r="H39" s="680"/>
      <c r="I39" s="770">
        <v>8776.26</v>
      </c>
      <c r="J39" s="682">
        <f t="shared" si="0"/>
        <v>8776.26</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8776.26</v>
      </c>
      <c r="AE39" s="692">
        <f t="shared" si="8"/>
        <v>0</v>
      </c>
      <c r="AF39" s="692">
        <f t="shared" si="9"/>
        <v>0</v>
      </c>
      <c r="AG39" s="38"/>
      <c r="AH39" s="692">
        <f t="shared" si="10"/>
        <v>0</v>
      </c>
      <c r="AI39" s="692">
        <f t="shared" si="11"/>
        <v>0</v>
      </c>
      <c r="AJ39" s="692">
        <f t="shared" si="12"/>
        <v>0</v>
      </c>
      <c r="AL39" s="38">
        <f t="shared" si="13"/>
        <v>8776.26</v>
      </c>
    </row>
    <row r="40" spans="1:38" s="232" customFormat="1">
      <c r="A40" s="403"/>
      <c r="B40" s="403" t="s">
        <v>114</v>
      </c>
      <c r="C40" s="666" t="s">
        <v>529</v>
      </c>
      <c r="D40" s="123" t="s">
        <v>108</v>
      </c>
      <c r="E40" s="679">
        <v>7294.08</v>
      </c>
      <c r="F40" s="529">
        <f>VLOOKUP(D40,'June 2013 Revenue'!D:V,19,FALSE)</f>
        <v>-7966.62</v>
      </c>
      <c r="G40" s="680"/>
      <c r="H40" s="680"/>
      <c r="I40" s="755"/>
      <c r="J40" s="682">
        <f t="shared" si="0"/>
        <v>-672.54</v>
      </c>
      <c r="K40" s="683"/>
      <c r="L40" s="684"/>
      <c r="M40" s="753">
        <v>8000</v>
      </c>
      <c r="N40" s="683">
        <v>0</v>
      </c>
      <c r="O40" s="686"/>
      <c r="P40" s="683">
        <v>0</v>
      </c>
      <c r="Q40" s="687">
        <f t="shared" si="1"/>
        <v>8000</v>
      </c>
      <c r="R40" s="687"/>
      <c r="S40" s="687"/>
      <c r="T40" s="688">
        <v>9488.24</v>
      </c>
      <c r="U40" s="693"/>
      <c r="V40" s="690">
        <f t="shared" si="2"/>
        <v>1488.2399999999998</v>
      </c>
      <c r="W40" s="683"/>
      <c r="X40" s="474">
        <f t="shared" si="3"/>
        <v>0</v>
      </c>
      <c r="Y40" s="474">
        <f t="shared" si="4"/>
        <v>0</v>
      </c>
      <c r="Z40" s="475">
        <f t="shared" si="5"/>
        <v>8000</v>
      </c>
      <c r="AA40" s="475">
        <v>0</v>
      </c>
      <c r="AB40" s="476">
        <v>0</v>
      </c>
      <c r="AC40" s="38">
        <f t="shared" si="6"/>
        <v>0</v>
      </c>
      <c r="AD40" s="692">
        <f t="shared" si="7"/>
        <v>0</v>
      </c>
      <c r="AE40" s="692">
        <f t="shared" si="8"/>
        <v>0</v>
      </c>
      <c r="AF40" s="692">
        <f t="shared" si="9"/>
        <v>-672.54</v>
      </c>
      <c r="AG40" s="38"/>
      <c r="AH40" s="692">
        <f t="shared" si="10"/>
        <v>0</v>
      </c>
      <c r="AI40" s="692">
        <f t="shared" si="11"/>
        <v>0</v>
      </c>
      <c r="AJ40" s="692">
        <f t="shared" si="12"/>
        <v>8000</v>
      </c>
      <c r="AL40" s="38">
        <f t="shared" si="13"/>
        <v>7327.46</v>
      </c>
    </row>
    <row r="41" spans="1:38" s="232" customFormat="1">
      <c r="A41" s="403"/>
      <c r="B41" s="403" t="s">
        <v>110</v>
      </c>
      <c r="C41" s="666"/>
      <c r="D41" s="123" t="s">
        <v>911</v>
      </c>
      <c r="E41" s="679">
        <f>12015.8+12114.18</f>
        <v>24129.98</v>
      </c>
      <c r="F41" s="529">
        <f>VLOOKUP(D41,'June 2013 Revenue'!D:V,19,FALSE)</f>
        <v>-775.46999999999935</v>
      </c>
      <c r="G41" s="680"/>
      <c r="H41" s="680"/>
      <c r="I41" s="755"/>
      <c r="J41" s="682">
        <f t="shared" si="0"/>
        <v>23354.510000000002</v>
      </c>
      <c r="K41" s="683"/>
      <c r="L41" s="684"/>
      <c r="M41" s="753">
        <v>12000</v>
      </c>
      <c r="N41" s="683">
        <v>0</v>
      </c>
      <c r="O41" s="686"/>
      <c r="P41" s="683">
        <v>0</v>
      </c>
      <c r="Q41" s="687">
        <f t="shared" si="1"/>
        <v>12000</v>
      </c>
      <c r="R41" s="687"/>
      <c r="S41" s="687"/>
      <c r="T41" s="688">
        <v>0</v>
      </c>
      <c r="U41" s="693"/>
      <c r="V41" s="690">
        <f t="shared" si="2"/>
        <v>-12000</v>
      </c>
      <c r="W41" s="683"/>
      <c r="X41" s="474">
        <f t="shared" si="3"/>
        <v>12000</v>
      </c>
      <c r="Y41" s="474">
        <f t="shared" si="4"/>
        <v>0</v>
      </c>
      <c r="Z41" s="475">
        <f t="shared" si="5"/>
        <v>0</v>
      </c>
      <c r="AA41" s="475">
        <v>0</v>
      </c>
      <c r="AB41" s="476">
        <v>0</v>
      </c>
      <c r="AC41" s="38">
        <f t="shared" si="6"/>
        <v>0</v>
      </c>
      <c r="AD41" s="692">
        <f t="shared" si="7"/>
        <v>23354.510000000002</v>
      </c>
      <c r="AE41" s="692">
        <f t="shared" si="8"/>
        <v>0</v>
      </c>
      <c r="AF41" s="692">
        <f t="shared" si="9"/>
        <v>0</v>
      </c>
      <c r="AG41" s="38"/>
      <c r="AH41" s="692">
        <f t="shared" si="10"/>
        <v>12000</v>
      </c>
      <c r="AI41" s="692">
        <f t="shared" si="11"/>
        <v>0</v>
      </c>
      <c r="AJ41" s="692">
        <f t="shared" si="12"/>
        <v>0</v>
      </c>
      <c r="AL41" s="38">
        <f t="shared" si="13"/>
        <v>35354.51</v>
      </c>
    </row>
    <row r="42" spans="1:38">
      <c r="A42" s="21"/>
      <c r="B42" s="21" t="s">
        <v>110</v>
      </c>
      <c r="C42" s="666"/>
      <c r="D42" s="68" t="s">
        <v>234</v>
      </c>
      <c r="E42" s="679"/>
      <c r="F42" s="529">
        <f>VLOOKUP(D42,'June 2013 Revenue'!D:V,19,FALSE)</f>
        <v>-8000</v>
      </c>
      <c r="G42" s="680"/>
      <c r="H42" s="680"/>
      <c r="I42" s="755"/>
      <c r="J42" s="682">
        <f t="shared" si="0"/>
        <v>-8000</v>
      </c>
      <c r="K42" s="683"/>
      <c r="L42" s="684"/>
      <c r="M42" s="753">
        <v>10000</v>
      </c>
      <c r="N42" s="683">
        <v>0</v>
      </c>
      <c r="O42" s="686"/>
      <c r="P42" s="683">
        <v>0</v>
      </c>
      <c r="Q42" s="687">
        <f t="shared" si="1"/>
        <v>10000</v>
      </c>
      <c r="R42" s="687"/>
      <c r="S42" s="687"/>
      <c r="T42" s="688">
        <v>0</v>
      </c>
      <c r="U42" s="693"/>
      <c r="V42" s="690">
        <f t="shared" si="2"/>
        <v>-10000</v>
      </c>
      <c r="W42" s="683"/>
      <c r="X42" s="474">
        <f t="shared" si="3"/>
        <v>10000</v>
      </c>
      <c r="Y42" s="474">
        <f t="shared" si="4"/>
        <v>0</v>
      </c>
      <c r="Z42" s="475">
        <f t="shared" si="5"/>
        <v>0</v>
      </c>
      <c r="AA42" s="475">
        <v>0</v>
      </c>
      <c r="AB42" s="476">
        <v>0</v>
      </c>
      <c r="AC42" s="38">
        <f t="shared" si="6"/>
        <v>0</v>
      </c>
      <c r="AD42" s="692">
        <f t="shared" si="7"/>
        <v>-8000</v>
      </c>
      <c r="AE42" s="692">
        <f t="shared" si="8"/>
        <v>0</v>
      </c>
      <c r="AF42" s="692">
        <f t="shared" si="9"/>
        <v>0</v>
      </c>
      <c r="AG42" s="38"/>
      <c r="AH42" s="692">
        <f t="shared" si="10"/>
        <v>10000</v>
      </c>
      <c r="AI42" s="692">
        <f t="shared" si="11"/>
        <v>0</v>
      </c>
      <c r="AJ42" s="692">
        <f t="shared" si="12"/>
        <v>0</v>
      </c>
      <c r="AL42" s="38">
        <f t="shared" si="13"/>
        <v>2000</v>
      </c>
    </row>
    <row r="43" spans="1:38">
      <c r="A43" s="20"/>
      <c r="B43" s="20" t="s">
        <v>109</v>
      </c>
      <c r="C43" s="667"/>
      <c r="D43" s="68" t="s">
        <v>598</v>
      </c>
      <c r="E43" s="679"/>
      <c r="F43" s="529">
        <f>VLOOKUP(D43,'June 2013 Revenue'!D:V,19,FALSE)</f>
        <v>0</v>
      </c>
      <c r="G43" s="680"/>
      <c r="H43" s="680"/>
      <c r="I43" s="755"/>
      <c r="J43" s="682">
        <f t="shared" si="0"/>
        <v>0</v>
      </c>
      <c r="K43" s="683"/>
      <c r="L43" s="684"/>
      <c r="M43" s="753"/>
      <c r="N43" s="683">
        <v>0</v>
      </c>
      <c r="O43" s="686"/>
      <c r="P43" s="683">
        <v>0</v>
      </c>
      <c r="Q43" s="687">
        <f t="shared" si="1"/>
        <v>0</v>
      </c>
      <c r="R43" s="687"/>
      <c r="S43" s="687"/>
      <c r="T43" s="688">
        <v>0</v>
      </c>
      <c r="U43" s="693"/>
      <c r="V43" s="690">
        <f t="shared" si="2"/>
        <v>0</v>
      </c>
      <c r="W43" s="683"/>
      <c r="X43" s="474">
        <f t="shared" si="3"/>
        <v>0</v>
      </c>
      <c r="Y43" s="474">
        <f t="shared" si="4"/>
        <v>0</v>
      </c>
      <c r="Z43" s="475">
        <f t="shared" si="5"/>
        <v>0</v>
      </c>
      <c r="AA43" s="475">
        <v>0</v>
      </c>
      <c r="AB43" s="476">
        <v>0</v>
      </c>
      <c r="AC43" s="38">
        <f t="shared" si="6"/>
        <v>0</v>
      </c>
      <c r="AD43" s="692">
        <f t="shared" si="7"/>
        <v>0</v>
      </c>
      <c r="AE43" s="692">
        <f t="shared" si="8"/>
        <v>0</v>
      </c>
      <c r="AF43" s="692">
        <f t="shared" si="9"/>
        <v>0</v>
      </c>
      <c r="AG43" s="38"/>
      <c r="AH43" s="692">
        <f t="shared" si="10"/>
        <v>0</v>
      </c>
      <c r="AI43" s="692">
        <f t="shared" si="11"/>
        <v>0</v>
      </c>
      <c r="AJ43" s="692">
        <f t="shared" si="12"/>
        <v>0</v>
      </c>
      <c r="AL43" s="38">
        <f t="shared" si="13"/>
        <v>0</v>
      </c>
    </row>
    <row r="44" spans="1:38">
      <c r="A44" s="20"/>
      <c r="B44" s="20" t="s">
        <v>110</v>
      </c>
      <c r="C44" s="667"/>
      <c r="D44" s="68" t="s">
        <v>311</v>
      </c>
      <c r="E44" s="679"/>
      <c r="F44" s="529">
        <f>VLOOKUP(D44,'June 2013 Revenue'!D:V,19,FALSE)</f>
        <v>0</v>
      </c>
      <c r="G44" s="680"/>
      <c r="H44" s="680"/>
      <c r="I44" s="755"/>
      <c r="J44" s="682">
        <f t="shared" si="0"/>
        <v>0</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0</v>
      </c>
      <c r="AF44" s="692">
        <f t="shared" si="9"/>
        <v>0</v>
      </c>
      <c r="AG44" s="38"/>
      <c r="AH44" s="692">
        <f t="shared" si="10"/>
        <v>0</v>
      </c>
      <c r="AI44" s="692">
        <f t="shared" si="11"/>
        <v>0</v>
      </c>
      <c r="AJ44" s="692">
        <f t="shared" si="12"/>
        <v>0</v>
      </c>
      <c r="AL44" s="38">
        <f t="shared" si="13"/>
        <v>0</v>
      </c>
    </row>
    <row r="45" spans="1:38">
      <c r="A45" s="20"/>
      <c r="B45" s="20" t="s">
        <v>110</v>
      </c>
      <c r="C45" s="667"/>
      <c r="D45" s="68" t="s">
        <v>451</v>
      </c>
      <c r="E45" s="679"/>
      <c r="F45" s="529">
        <f>VLOOKUP(D45,'June 2013 Revenue'!D:V,19,FALSE)</f>
        <v>-70000</v>
      </c>
      <c r="G45" s="680"/>
      <c r="H45" s="680"/>
      <c r="I45" s="755"/>
      <c r="J45" s="682">
        <f t="shared" si="0"/>
        <v>-70000</v>
      </c>
      <c r="K45" s="683"/>
      <c r="L45" s="684"/>
      <c r="M45" s="753">
        <v>80000</v>
      </c>
      <c r="N45" s="683">
        <v>0</v>
      </c>
      <c r="O45" s="686"/>
      <c r="P45" s="683">
        <v>0</v>
      </c>
      <c r="Q45" s="687">
        <f t="shared" si="1"/>
        <v>80000</v>
      </c>
      <c r="R45" s="687"/>
      <c r="S45" s="687"/>
      <c r="T45" s="688">
        <v>0</v>
      </c>
      <c r="U45" s="693"/>
      <c r="V45" s="690">
        <f t="shared" si="2"/>
        <v>-80000</v>
      </c>
      <c r="W45" s="683"/>
      <c r="X45" s="474">
        <f t="shared" si="3"/>
        <v>80000</v>
      </c>
      <c r="Y45" s="474">
        <f t="shared" si="4"/>
        <v>0</v>
      </c>
      <c r="Z45" s="475">
        <f t="shared" si="5"/>
        <v>0</v>
      </c>
      <c r="AA45" s="475">
        <v>0</v>
      </c>
      <c r="AB45" s="476">
        <v>0</v>
      </c>
      <c r="AC45" s="38">
        <f t="shared" si="6"/>
        <v>0</v>
      </c>
      <c r="AD45" s="692">
        <f t="shared" si="7"/>
        <v>-70000</v>
      </c>
      <c r="AE45" s="692">
        <f t="shared" si="8"/>
        <v>0</v>
      </c>
      <c r="AF45" s="692">
        <f t="shared" si="9"/>
        <v>0</v>
      </c>
      <c r="AG45" s="38"/>
      <c r="AH45" s="692">
        <f t="shared" si="10"/>
        <v>80000</v>
      </c>
      <c r="AI45" s="692">
        <f t="shared" si="11"/>
        <v>0</v>
      </c>
      <c r="AJ45" s="692">
        <f t="shared" si="12"/>
        <v>0</v>
      </c>
      <c r="AL45" s="38">
        <f t="shared" si="13"/>
        <v>10000</v>
      </c>
    </row>
    <row r="46" spans="1:38">
      <c r="A46" s="20"/>
      <c r="B46" s="20" t="s">
        <v>109</v>
      </c>
      <c r="C46" s="667"/>
      <c r="D46" s="68" t="s">
        <v>469</v>
      </c>
      <c r="E46" s="679"/>
      <c r="F46" s="529">
        <f>VLOOKUP(D46,'June 2013 Revenue'!D:V,19,FALSE)</f>
        <v>235.12</v>
      </c>
      <c r="G46" s="680"/>
      <c r="H46" s="680"/>
      <c r="I46" s="755"/>
      <c r="J46" s="682">
        <f t="shared" si="0"/>
        <v>235.12</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235.12</v>
      </c>
      <c r="AF46" s="692">
        <f t="shared" si="9"/>
        <v>0</v>
      </c>
      <c r="AG46" s="38"/>
      <c r="AH46" s="692">
        <f t="shared" si="10"/>
        <v>0</v>
      </c>
      <c r="AI46" s="692">
        <f t="shared" si="11"/>
        <v>0</v>
      </c>
      <c r="AJ46" s="692">
        <f t="shared" si="12"/>
        <v>0</v>
      </c>
      <c r="AL46" s="38">
        <f t="shared" si="13"/>
        <v>235.12</v>
      </c>
    </row>
    <row r="47" spans="1:38">
      <c r="A47" s="20"/>
      <c r="B47" s="20" t="s">
        <v>110</v>
      </c>
      <c r="C47" s="667" t="s">
        <v>530</v>
      </c>
      <c r="D47" s="68" t="s">
        <v>69</v>
      </c>
      <c r="E47" s="679"/>
      <c r="F47" s="529">
        <f>VLOOKUP(D47,'June 2013 Revenue'!D:V,19,FALSE)</f>
        <v>0</v>
      </c>
      <c r="G47" s="680"/>
      <c r="H47" s="680"/>
      <c r="I47" s="755"/>
      <c r="J47" s="682">
        <f t="shared" si="0"/>
        <v>0</v>
      </c>
      <c r="K47" s="683"/>
      <c r="L47" s="684"/>
      <c r="M47" s="753"/>
      <c r="N47" s="683">
        <v>0</v>
      </c>
      <c r="O47" s="686"/>
      <c r="P47" s="683">
        <v>0</v>
      </c>
      <c r="Q47" s="687">
        <f t="shared" si="1"/>
        <v>0</v>
      </c>
      <c r="R47" s="687"/>
      <c r="S47" s="687"/>
      <c r="T47" s="688">
        <v>1638.44</v>
      </c>
      <c r="U47" s="693"/>
      <c r="V47" s="690">
        <f t="shared" si="2"/>
        <v>1638.44</v>
      </c>
      <c r="W47" s="683"/>
      <c r="X47" s="474">
        <f t="shared" si="3"/>
        <v>0</v>
      </c>
      <c r="Y47" s="474">
        <f t="shared" si="4"/>
        <v>0</v>
      </c>
      <c r="Z47" s="475">
        <f t="shared" si="5"/>
        <v>0</v>
      </c>
      <c r="AA47" s="475">
        <v>0</v>
      </c>
      <c r="AB47" s="476">
        <v>0</v>
      </c>
      <c r="AC47" s="38">
        <f t="shared" si="6"/>
        <v>0</v>
      </c>
      <c r="AD47" s="692">
        <f t="shared" si="7"/>
        <v>0</v>
      </c>
      <c r="AE47" s="692">
        <f t="shared" si="8"/>
        <v>0</v>
      </c>
      <c r="AF47" s="692">
        <f t="shared" si="9"/>
        <v>0</v>
      </c>
      <c r="AG47" s="38"/>
      <c r="AH47" s="692">
        <f t="shared" si="10"/>
        <v>0</v>
      </c>
      <c r="AI47" s="692">
        <f t="shared" si="11"/>
        <v>0</v>
      </c>
      <c r="AJ47" s="692">
        <f t="shared" si="12"/>
        <v>0</v>
      </c>
      <c r="AL47" s="38">
        <f t="shared" si="13"/>
        <v>0</v>
      </c>
    </row>
    <row r="48" spans="1:38" hidden="1">
      <c r="A48" s="20"/>
      <c r="B48" s="20" t="s">
        <v>110</v>
      </c>
      <c r="C48" s="667" t="s">
        <v>531</v>
      </c>
      <c r="D48" s="68" t="s">
        <v>237</v>
      </c>
      <c r="E48" s="679"/>
      <c r="F48" s="529">
        <f>VLOOKUP(D48,'June 2013 Revenue'!D:V,19,FALSE)</f>
        <v>0</v>
      </c>
      <c r="G48" s="680"/>
      <c r="H48" s="680"/>
      <c r="I48" s="755"/>
      <c r="J48" s="682">
        <f t="shared" si="0"/>
        <v>0</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row>
    <row r="49" spans="1:38">
      <c r="A49" s="20" t="s">
        <v>211</v>
      </c>
      <c r="B49" s="20" t="s">
        <v>110</v>
      </c>
      <c r="C49" s="667" t="s">
        <v>532</v>
      </c>
      <c r="D49" s="68" t="s">
        <v>7</v>
      </c>
      <c r="E49" s="679"/>
      <c r="F49" s="529">
        <f>VLOOKUP(D49,'June 2013 Revenue'!D:V,19,FALSE)</f>
        <v>39777.649999999994</v>
      </c>
      <c r="G49" s="680"/>
      <c r="H49" s="680"/>
      <c r="I49" s="755"/>
      <c r="J49" s="682">
        <f t="shared" si="0"/>
        <v>39777.649999999994</v>
      </c>
      <c r="K49" s="683"/>
      <c r="L49" s="684"/>
      <c r="M49" s="753">
        <v>30000</v>
      </c>
      <c r="N49" s="683">
        <v>0</v>
      </c>
      <c r="O49" s="686"/>
      <c r="P49" s="683">
        <v>0</v>
      </c>
      <c r="Q49" s="687">
        <f t="shared" si="1"/>
        <v>30000</v>
      </c>
      <c r="R49" s="687"/>
      <c r="S49" s="687"/>
      <c r="T49" s="688">
        <v>0</v>
      </c>
      <c r="U49" s="693"/>
      <c r="V49" s="690">
        <f t="shared" si="2"/>
        <v>-30000</v>
      </c>
      <c r="W49" s="697"/>
      <c r="X49" s="474">
        <f t="shared" si="3"/>
        <v>30000</v>
      </c>
      <c r="Y49" s="474">
        <f t="shared" si="4"/>
        <v>0</v>
      </c>
      <c r="Z49" s="475">
        <f t="shared" si="5"/>
        <v>0</v>
      </c>
      <c r="AA49" s="475">
        <v>0</v>
      </c>
      <c r="AB49" s="476">
        <v>0</v>
      </c>
      <c r="AC49" s="38">
        <f t="shared" si="6"/>
        <v>0</v>
      </c>
      <c r="AD49" s="692">
        <f t="shared" si="7"/>
        <v>39777.649999999994</v>
      </c>
      <c r="AE49" s="692">
        <f t="shared" si="8"/>
        <v>0</v>
      </c>
      <c r="AF49" s="692">
        <f t="shared" si="9"/>
        <v>0</v>
      </c>
      <c r="AG49" s="38"/>
      <c r="AH49" s="692">
        <f t="shared" si="10"/>
        <v>30000</v>
      </c>
      <c r="AI49" s="692">
        <f t="shared" si="11"/>
        <v>0</v>
      </c>
      <c r="AJ49" s="692">
        <f t="shared" si="12"/>
        <v>0</v>
      </c>
      <c r="AL49" s="38">
        <f t="shared" si="13"/>
        <v>69777.649999999994</v>
      </c>
    </row>
    <row r="50" spans="1:38" s="232" customFormat="1" hidden="1">
      <c r="A50" s="283" t="s">
        <v>97</v>
      </c>
      <c r="B50" s="283" t="s">
        <v>109</v>
      </c>
      <c r="C50" s="667" t="s">
        <v>533</v>
      </c>
      <c r="D50" s="123" t="s">
        <v>415</v>
      </c>
      <c r="E50" s="679"/>
      <c r="F50" s="529">
        <f>VLOOKUP(D50,'June 2013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row>
    <row r="51" spans="1:38" s="232" customFormat="1" hidden="1">
      <c r="A51" s="283"/>
      <c r="B51" s="283" t="s">
        <v>109</v>
      </c>
      <c r="C51" s="667" t="s">
        <v>533</v>
      </c>
      <c r="D51" s="123" t="s">
        <v>416</v>
      </c>
      <c r="E51" s="679"/>
      <c r="F51" s="529">
        <f>VLOOKUP(D51,'June 2013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row>
    <row r="52" spans="1:38" s="232" customFormat="1" hidden="1">
      <c r="A52" s="283"/>
      <c r="B52" s="283" t="s">
        <v>109</v>
      </c>
      <c r="C52" s="667" t="s">
        <v>533</v>
      </c>
      <c r="D52" s="123" t="s">
        <v>417</v>
      </c>
      <c r="E52" s="679"/>
      <c r="F52" s="529">
        <f>VLOOKUP(D52,'June 2013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row>
    <row r="53" spans="1:38" s="232" customFormat="1" hidden="1">
      <c r="A53" s="283"/>
      <c r="B53" s="283" t="s">
        <v>109</v>
      </c>
      <c r="C53" s="667" t="s">
        <v>533</v>
      </c>
      <c r="D53" s="123" t="s">
        <v>418</v>
      </c>
      <c r="E53" s="679"/>
      <c r="F53" s="529">
        <f>VLOOKUP(D53,'June 2013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row>
    <row r="54" spans="1:38">
      <c r="A54" s="20" t="s">
        <v>211</v>
      </c>
      <c r="B54" s="20" t="s">
        <v>109</v>
      </c>
      <c r="C54" s="667" t="s">
        <v>534</v>
      </c>
      <c r="D54" s="68" t="s">
        <v>9</v>
      </c>
      <c r="E54" s="679"/>
      <c r="F54" s="529">
        <f>VLOOKUP(D54,'June 2013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97"/>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row>
    <row r="55" spans="1:38">
      <c r="A55" s="20" t="s">
        <v>211</v>
      </c>
      <c r="B55" s="20" t="s">
        <v>114</v>
      </c>
      <c r="C55" s="667"/>
      <c r="D55" s="68" t="s">
        <v>487</v>
      </c>
      <c r="E55" s="679"/>
      <c r="F55" s="529">
        <f>VLOOKUP(D55,'June 2013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row>
    <row r="56" spans="1:38">
      <c r="A56" s="20"/>
      <c r="B56" s="20" t="s">
        <v>109</v>
      </c>
      <c r="C56" s="676" t="s">
        <v>906</v>
      </c>
      <c r="D56" s="68" t="s">
        <v>830</v>
      </c>
      <c r="E56" s="679"/>
      <c r="F56" s="529">
        <f>VLOOKUP(D56,'June 2013 Revenue'!D:V,19,FALSE)</f>
        <v>4545.039999999979</v>
      </c>
      <c r="G56" s="680"/>
      <c r="H56" s="680"/>
      <c r="I56" s="755"/>
      <c r="J56" s="682">
        <f t="shared" si="0"/>
        <v>4545.039999999979</v>
      </c>
      <c r="K56" s="683"/>
      <c r="L56" s="684"/>
      <c r="M56" s="753">
        <v>450000</v>
      </c>
      <c r="N56" s="683">
        <v>0</v>
      </c>
      <c r="O56" s="686"/>
      <c r="P56" s="683">
        <v>0</v>
      </c>
      <c r="Q56" s="687">
        <f t="shared" si="1"/>
        <v>450000</v>
      </c>
      <c r="R56" s="687"/>
      <c r="S56" s="687"/>
      <c r="T56" s="688">
        <v>482049.07</v>
      </c>
      <c r="U56" s="693"/>
      <c r="V56" s="690">
        <f t="shared" si="2"/>
        <v>32049.070000000007</v>
      </c>
      <c r="W56" s="683"/>
      <c r="X56" s="474">
        <f t="shared" si="3"/>
        <v>0</v>
      </c>
      <c r="Y56" s="474">
        <f t="shared" si="4"/>
        <v>450000</v>
      </c>
      <c r="Z56" s="475">
        <f t="shared" si="5"/>
        <v>0</v>
      </c>
      <c r="AA56" s="475">
        <v>0</v>
      </c>
      <c r="AB56" s="476">
        <v>0</v>
      </c>
      <c r="AC56" s="38">
        <f t="shared" si="6"/>
        <v>0</v>
      </c>
      <c r="AD56" s="692">
        <f t="shared" si="7"/>
        <v>0</v>
      </c>
      <c r="AE56" s="692">
        <f t="shared" si="8"/>
        <v>4545.039999999979</v>
      </c>
      <c r="AF56" s="692">
        <f t="shared" si="9"/>
        <v>0</v>
      </c>
      <c r="AG56" s="38"/>
      <c r="AH56" s="692">
        <f t="shared" si="10"/>
        <v>0</v>
      </c>
      <c r="AI56" s="692">
        <f t="shared" si="11"/>
        <v>450000</v>
      </c>
      <c r="AJ56" s="692">
        <f t="shared" si="12"/>
        <v>0</v>
      </c>
      <c r="AL56" s="38">
        <f t="shared" si="13"/>
        <v>454545.04</v>
      </c>
    </row>
    <row r="57" spans="1:38">
      <c r="A57" s="20"/>
      <c r="B57" s="20" t="s">
        <v>109</v>
      </c>
      <c r="C57" s="667"/>
      <c r="D57" s="68" t="s">
        <v>374</v>
      </c>
      <c r="E57" s="679"/>
      <c r="F57" s="529">
        <f>VLOOKUP(D57,'June 2013 Revenue'!D:V,19,FALSE)</f>
        <v>-15000</v>
      </c>
      <c r="G57" s="680"/>
      <c r="H57" s="680"/>
      <c r="I57" s="755"/>
      <c r="J57" s="682">
        <f t="shared" si="0"/>
        <v>-15000</v>
      </c>
      <c r="K57" s="683"/>
      <c r="L57" s="684"/>
      <c r="M57" s="753">
        <v>20000</v>
      </c>
      <c r="N57" s="683">
        <v>0</v>
      </c>
      <c r="O57" s="686"/>
      <c r="P57" s="683">
        <v>0</v>
      </c>
      <c r="Q57" s="687">
        <f t="shared" si="1"/>
        <v>20000</v>
      </c>
      <c r="R57" s="687"/>
      <c r="S57" s="687"/>
      <c r="T57" s="688">
        <v>0</v>
      </c>
      <c r="U57" s="693"/>
      <c r="V57" s="690">
        <f t="shared" si="2"/>
        <v>-20000</v>
      </c>
      <c r="W57" s="683"/>
      <c r="X57" s="474">
        <f t="shared" si="3"/>
        <v>0</v>
      </c>
      <c r="Y57" s="474">
        <f t="shared" si="4"/>
        <v>20000</v>
      </c>
      <c r="Z57" s="475">
        <f t="shared" si="5"/>
        <v>0</v>
      </c>
      <c r="AA57" s="475">
        <v>0</v>
      </c>
      <c r="AB57" s="476">
        <v>0</v>
      </c>
      <c r="AC57" s="38">
        <f t="shared" si="6"/>
        <v>0</v>
      </c>
      <c r="AD57" s="692">
        <f t="shared" si="7"/>
        <v>0</v>
      </c>
      <c r="AE57" s="692">
        <f t="shared" si="8"/>
        <v>-15000</v>
      </c>
      <c r="AF57" s="692">
        <f t="shared" si="9"/>
        <v>0</v>
      </c>
      <c r="AG57" s="38"/>
      <c r="AH57" s="692">
        <f t="shared" si="10"/>
        <v>0</v>
      </c>
      <c r="AI57" s="692">
        <f t="shared" si="11"/>
        <v>20000</v>
      </c>
      <c r="AJ57" s="692">
        <f t="shared" si="12"/>
        <v>0</v>
      </c>
      <c r="AL57" s="38">
        <f t="shared" si="13"/>
        <v>5000</v>
      </c>
    </row>
    <row r="58" spans="1:38">
      <c r="A58" s="20"/>
      <c r="B58" s="20" t="s">
        <v>114</v>
      </c>
      <c r="C58" s="667"/>
      <c r="D58" s="68" t="s">
        <v>502</v>
      </c>
      <c r="E58" s="679"/>
      <c r="F58" s="529">
        <f>VLOOKUP(D58,'June 2013 Revenue'!D:V,19,FALSE)</f>
        <v>0</v>
      </c>
      <c r="G58" s="680"/>
      <c r="H58" s="680"/>
      <c r="I58" s="755"/>
      <c r="J58" s="682">
        <f t="shared" si="0"/>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row>
    <row r="59" spans="1:38">
      <c r="A59" s="21"/>
      <c r="B59" s="21" t="s">
        <v>110</v>
      </c>
      <c r="C59" s="666" t="s">
        <v>535</v>
      </c>
      <c r="D59" s="123" t="s">
        <v>517</v>
      </c>
      <c r="E59" s="679"/>
      <c r="F59" s="529">
        <f>VLOOKUP(D59,'June 2013 Revenue'!D:V,19,FALSE)</f>
        <v>9294.7299999999814</v>
      </c>
      <c r="G59" s="680"/>
      <c r="H59" s="680"/>
      <c r="I59" s="755"/>
      <c r="J59" s="682">
        <f t="shared" si="0"/>
        <v>9294.7299999999814</v>
      </c>
      <c r="K59" s="683"/>
      <c r="L59" s="684"/>
      <c r="M59" s="753">
        <v>275000</v>
      </c>
      <c r="N59" s="683">
        <v>0</v>
      </c>
      <c r="O59" s="686"/>
      <c r="P59" s="683">
        <v>0</v>
      </c>
      <c r="Q59" s="687">
        <f t="shared" si="1"/>
        <v>275000</v>
      </c>
      <c r="R59" s="687"/>
      <c r="S59" s="687"/>
      <c r="T59" s="688">
        <v>319572.71000000002</v>
      </c>
      <c r="U59" s="693"/>
      <c r="V59" s="690">
        <f t="shared" si="2"/>
        <v>44572.710000000021</v>
      </c>
      <c r="W59" s="697"/>
      <c r="X59" s="474">
        <f t="shared" si="3"/>
        <v>275000</v>
      </c>
      <c r="Y59" s="474">
        <f t="shared" si="4"/>
        <v>0</v>
      </c>
      <c r="Z59" s="475">
        <f t="shared" si="5"/>
        <v>0</v>
      </c>
      <c r="AA59" s="475">
        <v>0</v>
      </c>
      <c r="AB59" s="476">
        <v>0</v>
      </c>
      <c r="AC59" s="38">
        <f t="shared" si="6"/>
        <v>0</v>
      </c>
      <c r="AD59" s="692">
        <f t="shared" si="7"/>
        <v>9294.7299999999814</v>
      </c>
      <c r="AE59" s="692">
        <f t="shared" si="8"/>
        <v>0</v>
      </c>
      <c r="AF59" s="692">
        <f t="shared" si="9"/>
        <v>0</v>
      </c>
      <c r="AG59" s="38"/>
      <c r="AH59" s="692">
        <f t="shared" si="10"/>
        <v>275000</v>
      </c>
      <c r="AI59" s="692">
        <f t="shared" si="11"/>
        <v>0</v>
      </c>
      <c r="AJ59" s="692">
        <f t="shared" si="12"/>
        <v>0</v>
      </c>
      <c r="AL59" s="38">
        <f t="shared" si="13"/>
        <v>284294.73</v>
      </c>
    </row>
    <row r="60" spans="1:38">
      <c r="A60" s="20"/>
      <c r="B60" s="20" t="s">
        <v>110</v>
      </c>
      <c r="C60" s="667" t="s">
        <v>536</v>
      </c>
      <c r="D60" s="68" t="s">
        <v>450</v>
      </c>
      <c r="E60" s="679"/>
      <c r="F60" s="529">
        <f>VLOOKUP(D60,'June 2013 Revenue'!D:V,19,FALSE)</f>
        <v>0</v>
      </c>
      <c r="G60" s="680"/>
      <c r="H60" s="680"/>
      <c r="I60" s="755"/>
      <c r="J60" s="682">
        <f t="shared" si="0"/>
        <v>0</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0</v>
      </c>
      <c r="AF60" s="692">
        <f t="shared" si="9"/>
        <v>0</v>
      </c>
      <c r="AG60" s="38"/>
      <c r="AH60" s="692">
        <f t="shared" si="10"/>
        <v>0</v>
      </c>
      <c r="AI60" s="692">
        <f t="shared" si="11"/>
        <v>0</v>
      </c>
      <c r="AJ60" s="692">
        <f t="shared" si="12"/>
        <v>0</v>
      </c>
      <c r="AL60" s="38">
        <f t="shared" si="13"/>
        <v>0</v>
      </c>
    </row>
    <row r="61" spans="1:38">
      <c r="A61" s="21" t="s">
        <v>109</v>
      </c>
      <c r="B61" s="21" t="s">
        <v>110</v>
      </c>
      <c r="C61" s="666"/>
      <c r="D61" s="68" t="s">
        <v>438</v>
      </c>
      <c r="E61" s="679"/>
      <c r="F61" s="529">
        <f>VLOOKUP(D61,'June 2013 Revenue'!D:V,19,FALSE)</f>
        <v>0</v>
      </c>
      <c r="G61" s="680"/>
      <c r="H61" s="680"/>
      <c r="I61" s="755"/>
      <c r="J61" s="682">
        <f t="shared" si="0"/>
        <v>0</v>
      </c>
      <c r="K61" s="683"/>
      <c r="L61" s="684"/>
      <c r="M61" s="753"/>
      <c r="N61" s="683">
        <v>0</v>
      </c>
      <c r="O61" s="686"/>
      <c r="P61" s="683">
        <v>0</v>
      </c>
      <c r="Q61" s="687">
        <f t="shared" si="1"/>
        <v>0</v>
      </c>
      <c r="R61" s="687"/>
      <c r="S61" s="687"/>
      <c r="T61" s="688">
        <v>0</v>
      </c>
      <c r="U61" s="693"/>
      <c r="V61" s="690">
        <f t="shared" si="2"/>
        <v>0</v>
      </c>
      <c r="W61" s="697"/>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row>
    <row r="62" spans="1:38">
      <c r="A62" s="21"/>
      <c r="B62" s="21" t="s">
        <v>110</v>
      </c>
      <c r="C62" s="666"/>
      <c r="D62" s="68" t="s">
        <v>628</v>
      </c>
      <c r="E62" s="679"/>
      <c r="F62" s="529">
        <f>VLOOKUP(D62,'June 2013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97"/>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row>
    <row r="63" spans="1:38">
      <c r="A63" s="21"/>
      <c r="B63" s="21" t="s">
        <v>110</v>
      </c>
      <c r="C63" s="666"/>
      <c r="D63" s="68" t="s">
        <v>956</v>
      </c>
      <c r="E63" s="679"/>
      <c r="F63" s="529">
        <f>VLOOKUP(D63,'June 2013 Revenue'!D:V,19,FALSE)</f>
        <v>1276.17</v>
      </c>
      <c r="G63" s="680"/>
      <c r="H63" s="680"/>
      <c r="I63" s="755"/>
      <c r="J63" s="682">
        <f t="shared" si="0"/>
        <v>1276.17</v>
      </c>
      <c r="K63" s="683"/>
      <c r="L63" s="684"/>
      <c r="M63" s="753"/>
      <c r="N63" s="683">
        <v>0</v>
      </c>
      <c r="O63" s="686"/>
      <c r="P63" s="683">
        <v>0</v>
      </c>
      <c r="Q63" s="687">
        <f t="shared" si="1"/>
        <v>0</v>
      </c>
      <c r="R63" s="687"/>
      <c r="S63" s="687"/>
      <c r="T63" s="688">
        <v>0</v>
      </c>
      <c r="U63" s="693"/>
      <c r="V63" s="690">
        <f t="shared" si="2"/>
        <v>0</v>
      </c>
      <c r="W63" s="683"/>
      <c r="X63" s="474">
        <f t="shared" si="3"/>
        <v>0</v>
      </c>
      <c r="Y63" s="474">
        <f t="shared" si="4"/>
        <v>0</v>
      </c>
      <c r="Z63" s="475">
        <f t="shared" si="5"/>
        <v>0</v>
      </c>
      <c r="AA63" s="475">
        <v>0</v>
      </c>
      <c r="AB63" s="476">
        <v>0</v>
      </c>
      <c r="AC63" s="38">
        <f t="shared" si="6"/>
        <v>0</v>
      </c>
      <c r="AD63" s="692">
        <f t="shared" si="7"/>
        <v>1276.17</v>
      </c>
      <c r="AE63" s="692">
        <f t="shared" si="8"/>
        <v>0</v>
      </c>
      <c r="AF63" s="692">
        <f t="shared" si="9"/>
        <v>0</v>
      </c>
      <c r="AG63" s="38"/>
      <c r="AH63" s="692">
        <f t="shared" si="10"/>
        <v>0</v>
      </c>
      <c r="AI63" s="692">
        <f t="shared" si="11"/>
        <v>0</v>
      </c>
      <c r="AJ63" s="692">
        <f t="shared" si="12"/>
        <v>0</v>
      </c>
      <c r="AL63" s="38">
        <f t="shared" si="13"/>
        <v>1276.17</v>
      </c>
    </row>
    <row r="64" spans="1:38" s="232" customFormat="1">
      <c r="A64" s="283" t="s">
        <v>211</v>
      </c>
      <c r="B64" s="283" t="s">
        <v>110</v>
      </c>
      <c r="C64" s="667" t="s">
        <v>538</v>
      </c>
      <c r="D64" s="123" t="s">
        <v>170</v>
      </c>
      <c r="E64" s="679">
        <v>419774.09</v>
      </c>
      <c r="F64" s="529">
        <f>VLOOKUP(D64,'June 2013 Revenue'!D:V,19,FALSE)</f>
        <v>10410.869999999995</v>
      </c>
      <c r="G64" s="680"/>
      <c r="H64" s="680"/>
      <c r="I64" s="755"/>
      <c r="J64" s="682">
        <f t="shared" si="0"/>
        <v>430184.96000000002</v>
      </c>
      <c r="K64" s="683"/>
      <c r="L64" s="684"/>
      <c r="M64" s="753">
        <v>225000</v>
      </c>
      <c r="N64" s="683">
        <v>0</v>
      </c>
      <c r="O64" s="686"/>
      <c r="P64" s="683">
        <v>0</v>
      </c>
      <c r="Q64" s="687">
        <f t="shared" si="1"/>
        <v>225000</v>
      </c>
      <c r="R64" s="687"/>
      <c r="S64" s="687"/>
      <c r="T64" s="688">
        <v>0</v>
      </c>
      <c r="U64" s="693"/>
      <c r="V64" s="690">
        <f t="shared" si="2"/>
        <v>-225000</v>
      </c>
      <c r="W64" s="683"/>
      <c r="X64" s="474">
        <f t="shared" si="3"/>
        <v>225000</v>
      </c>
      <c r="Y64" s="474">
        <f t="shared" si="4"/>
        <v>0</v>
      </c>
      <c r="Z64" s="475">
        <f t="shared" si="5"/>
        <v>0</v>
      </c>
      <c r="AA64" s="475">
        <v>0</v>
      </c>
      <c r="AB64" s="476">
        <v>0</v>
      </c>
      <c r="AC64" s="38">
        <f t="shared" si="6"/>
        <v>0</v>
      </c>
      <c r="AD64" s="692">
        <f t="shared" si="7"/>
        <v>430184.96000000002</v>
      </c>
      <c r="AE64" s="692">
        <f t="shared" si="8"/>
        <v>0</v>
      </c>
      <c r="AF64" s="692">
        <f t="shared" si="9"/>
        <v>0</v>
      </c>
      <c r="AG64" s="38"/>
      <c r="AH64" s="692">
        <f t="shared" si="10"/>
        <v>225000</v>
      </c>
      <c r="AI64" s="692">
        <f t="shared" si="11"/>
        <v>0</v>
      </c>
      <c r="AJ64" s="692">
        <f t="shared" si="12"/>
        <v>0</v>
      </c>
      <c r="AL64" s="38">
        <f t="shared" si="13"/>
        <v>655184.96</v>
      </c>
    </row>
    <row r="65" spans="1:38" s="232" customFormat="1">
      <c r="A65" s="283" t="s">
        <v>211</v>
      </c>
      <c r="B65" s="283" t="s">
        <v>110</v>
      </c>
      <c r="C65" s="667" t="s">
        <v>538</v>
      </c>
      <c r="D65" s="123" t="s">
        <v>171</v>
      </c>
      <c r="E65" s="679"/>
      <c r="F65" s="529">
        <f>VLOOKUP(D65,'June 2013 Revenue'!D:V,19,FALSE)</f>
        <v>0</v>
      </c>
      <c r="G65" s="680"/>
      <c r="H65" s="680"/>
      <c r="I65" s="755"/>
      <c r="J65" s="682">
        <f t="shared" si="0"/>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row>
    <row r="66" spans="1:38" s="232" customFormat="1" hidden="1">
      <c r="A66" s="283" t="s">
        <v>211</v>
      </c>
      <c r="B66" s="283" t="s">
        <v>110</v>
      </c>
      <c r="C66" s="667" t="s">
        <v>538</v>
      </c>
      <c r="D66" s="123" t="s">
        <v>13</v>
      </c>
      <c r="E66" s="679"/>
      <c r="F66" s="529">
        <f>VLOOKUP(D66,'June 2013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row>
    <row r="67" spans="1:38" s="232" customFormat="1" hidden="1">
      <c r="A67" s="283" t="s">
        <v>211</v>
      </c>
      <c r="B67" s="283" t="s">
        <v>110</v>
      </c>
      <c r="C67" s="667" t="s">
        <v>538</v>
      </c>
      <c r="D67" s="123" t="s">
        <v>172</v>
      </c>
      <c r="E67" s="679"/>
      <c r="F67" s="529">
        <f>VLOOKUP(D67,'June 2013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83"/>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row>
    <row r="68" spans="1:38" s="232" customFormat="1" hidden="1">
      <c r="A68" s="283" t="s">
        <v>211</v>
      </c>
      <c r="B68" s="283" t="s">
        <v>110</v>
      </c>
      <c r="C68" s="667" t="s">
        <v>538</v>
      </c>
      <c r="D68" s="123" t="s">
        <v>173</v>
      </c>
      <c r="E68" s="679"/>
      <c r="F68" s="529">
        <f>VLOOKUP(D68,'June 2013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row>
    <row r="69" spans="1:38" s="232" customFormat="1" hidden="1">
      <c r="A69" s="283" t="s">
        <v>211</v>
      </c>
      <c r="B69" s="283" t="s">
        <v>110</v>
      </c>
      <c r="C69" s="667" t="s">
        <v>538</v>
      </c>
      <c r="D69" s="123" t="s">
        <v>174</v>
      </c>
      <c r="E69" s="679"/>
      <c r="F69" s="529">
        <f>VLOOKUP(D69,'June 2013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row>
    <row r="70" spans="1:38" s="232" customFormat="1">
      <c r="A70" s="283"/>
      <c r="B70" s="283" t="s">
        <v>109</v>
      </c>
      <c r="C70" s="794"/>
      <c r="D70" s="351" t="s">
        <v>14</v>
      </c>
      <c r="E70" s="679"/>
      <c r="F70" s="529">
        <f>VLOOKUP(D70,'June 2013 Revenue'!D:V,19,FALSE)</f>
        <v>0</v>
      </c>
      <c r="G70" s="680"/>
      <c r="H70" s="680"/>
      <c r="I70" s="755"/>
      <c r="J70" s="682">
        <f t="shared" si="0"/>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row>
    <row r="71" spans="1:38" hidden="1">
      <c r="A71" s="20"/>
      <c r="B71" s="20" t="s">
        <v>110</v>
      </c>
      <c r="C71" s="667"/>
      <c r="D71" s="68" t="s">
        <v>15</v>
      </c>
      <c r="E71" s="679"/>
      <c r="F71" s="529">
        <f>VLOOKUP(D71,'June 2013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row>
    <row r="72" spans="1:38">
      <c r="A72" s="20"/>
      <c r="B72" s="20" t="s">
        <v>110</v>
      </c>
      <c r="C72" s="667"/>
      <c r="D72" s="68" t="s">
        <v>646</v>
      </c>
      <c r="E72" s="679"/>
      <c r="F72" s="529">
        <f>VLOOKUP(D72,'June 2013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row>
    <row r="73" spans="1:38">
      <c r="A73" s="20" t="s">
        <v>109</v>
      </c>
      <c r="B73" s="20" t="s">
        <v>109</v>
      </c>
      <c r="C73" s="667" t="s">
        <v>539</v>
      </c>
      <c r="D73" s="68" t="s">
        <v>510</v>
      </c>
      <c r="E73" s="679"/>
      <c r="F73" s="529">
        <f>VLOOKUP(D73,'June 2013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row>
    <row r="74" spans="1:38">
      <c r="A74" s="20"/>
      <c r="B74" s="20" t="s">
        <v>109</v>
      </c>
      <c r="C74" s="667"/>
      <c r="D74" s="68" t="s">
        <v>16</v>
      </c>
      <c r="E74" s="679"/>
      <c r="F74" s="529">
        <f>VLOOKUP(D74,'June 2013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row>
    <row r="75" spans="1:38">
      <c r="A75" s="20"/>
      <c r="B75" s="20" t="s">
        <v>110</v>
      </c>
      <c r="C75" s="667"/>
      <c r="D75" s="68" t="s">
        <v>597</v>
      </c>
      <c r="E75" s="679"/>
      <c r="F75" s="529">
        <f>VLOOKUP(D75,'June 2013 Revenue'!D:V,19,FALSE)</f>
        <v>149161.13</v>
      </c>
      <c r="G75" s="680"/>
      <c r="H75" s="680"/>
      <c r="I75" s="755"/>
      <c r="J75" s="682">
        <f t="shared" si="0"/>
        <v>149161.13</v>
      </c>
      <c r="K75" s="683"/>
      <c r="L75" s="684"/>
      <c r="M75" s="753">
        <v>375000</v>
      </c>
      <c r="N75" s="683">
        <v>0</v>
      </c>
      <c r="O75" s="686"/>
      <c r="P75" s="683">
        <v>0</v>
      </c>
      <c r="Q75" s="687">
        <f t="shared" si="1"/>
        <v>375000</v>
      </c>
      <c r="R75" s="687"/>
      <c r="S75" s="687"/>
      <c r="T75" s="688">
        <f>276148.4+29766.44+33425.23+2546.97+51797.16</f>
        <v>393684.19999999995</v>
      </c>
      <c r="U75" s="693"/>
      <c r="V75" s="690">
        <f t="shared" si="2"/>
        <v>18684.199999999953</v>
      </c>
      <c r="W75" s="683"/>
      <c r="X75" s="474">
        <f t="shared" si="3"/>
        <v>375000</v>
      </c>
      <c r="Y75" s="474">
        <f t="shared" si="4"/>
        <v>0</v>
      </c>
      <c r="Z75" s="475">
        <f t="shared" si="5"/>
        <v>0</v>
      </c>
      <c r="AA75" s="475">
        <v>0</v>
      </c>
      <c r="AB75" s="476">
        <v>0</v>
      </c>
      <c r="AC75" s="38">
        <f t="shared" si="6"/>
        <v>0</v>
      </c>
      <c r="AD75" s="692">
        <f t="shared" si="7"/>
        <v>149161.13</v>
      </c>
      <c r="AE75" s="692">
        <f t="shared" si="8"/>
        <v>0</v>
      </c>
      <c r="AF75" s="692">
        <f t="shared" si="9"/>
        <v>0</v>
      </c>
      <c r="AG75" s="38"/>
      <c r="AH75" s="692">
        <f t="shared" si="10"/>
        <v>375000</v>
      </c>
      <c r="AI75" s="692">
        <f t="shared" si="11"/>
        <v>0</v>
      </c>
      <c r="AJ75" s="692">
        <f t="shared" si="12"/>
        <v>0</v>
      </c>
      <c r="AL75" s="38">
        <f t="shared" si="13"/>
        <v>524161.13</v>
      </c>
    </row>
    <row r="76" spans="1:38" s="232" customFormat="1">
      <c r="A76" s="283"/>
      <c r="B76" s="283" t="s">
        <v>109</v>
      </c>
      <c r="C76" s="667" t="s">
        <v>540</v>
      </c>
      <c r="D76" s="373" t="s">
        <v>410</v>
      </c>
      <c r="E76" s="679"/>
      <c r="F76" s="529">
        <f>VLOOKUP(D76,'June 2013 Revenue'!D:V,19,FALSE)</f>
        <v>-60000</v>
      </c>
      <c r="G76" s="680"/>
      <c r="H76" s="680"/>
      <c r="I76" s="755"/>
      <c r="J76" s="682">
        <f t="shared" si="0"/>
        <v>-60000</v>
      </c>
      <c r="K76" s="683"/>
      <c r="L76" s="684"/>
      <c r="M76" s="753">
        <v>80000</v>
      </c>
      <c r="N76" s="683">
        <v>0</v>
      </c>
      <c r="O76" s="686"/>
      <c r="P76" s="683">
        <v>0</v>
      </c>
      <c r="Q76" s="687">
        <f t="shared" si="1"/>
        <v>80000</v>
      </c>
      <c r="R76" s="687"/>
      <c r="S76" s="687"/>
      <c r="T76" s="688">
        <v>0</v>
      </c>
      <c r="U76" s="693"/>
      <c r="V76" s="690">
        <f t="shared" si="2"/>
        <v>-80000</v>
      </c>
      <c r="W76" s="683"/>
      <c r="X76" s="474">
        <f t="shared" si="3"/>
        <v>0</v>
      </c>
      <c r="Y76" s="474">
        <f t="shared" si="4"/>
        <v>80000</v>
      </c>
      <c r="Z76" s="475">
        <f t="shared" si="5"/>
        <v>0</v>
      </c>
      <c r="AA76" s="475">
        <v>0</v>
      </c>
      <c r="AB76" s="476">
        <v>0</v>
      </c>
      <c r="AC76" s="38">
        <f t="shared" si="6"/>
        <v>0</v>
      </c>
      <c r="AD76" s="692">
        <f t="shared" si="7"/>
        <v>0</v>
      </c>
      <c r="AE76" s="692">
        <f t="shared" si="8"/>
        <v>-60000</v>
      </c>
      <c r="AF76" s="692">
        <f t="shared" si="9"/>
        <v>0</v>
      </c>
      <c r="AG76" s="38"/>
      <c r="AH76" s="692">
        <f t="shared" si="10"/>
        <v>0</v>
      </c>
      <c r="AI76" s="692">
        <f t="shared" si="11"/>
        <v>80000</v>
      </c>
      <c r="AJ76" s="692">
        <f t="shared" si="12"/>
        <v>0</v>
      </c>
      <c r="AL76" s="38">
        <f t="shared" si="13"/>
        <v>20000</v>
      </c>
    </row>
    <row r="77" spans="1:38" s="232" customFormat="1">
      <c r="A77" s="283"/>
      <c r="B77" s="283" t="s">
        <v>109</v>
      </c>
      <c r="C77" s="667" t="s">
        <v>540</v>
      </c>
      <c r="D77" s="373" t="s">
        <v>879</v>
      </c>
      <c r="E77" s="679"/>
      <c r="F77" s="529">
        <f>VLOOKUP(D77,'June 2013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row>
    <row r="78" spans="1:38" s="232" customFormat="1">
      <c r="A78" s="283"/>
      <c r="B78" s="283" t="s">
        <v>109</v>
      </c>
      <c r="C78" s="667" t="s">
        <v>540</v>
      </c>
      <c r="D78" s="373" t="s">
        <v>620</v>
      </c>
      <c r="E78" s="679"/>
      <c r="F78" s="529">
        <f>VLOOKUP(D78,'June 2013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row>
    <row r="79" spans="1:38">
      <c r="A79" s="20"/>
      <c r="B79" s="20" t="s">
        <v>110</v>
      </c>
      <c r="C79" s="667" t="s">
        <v>541</v>
      </c>
      <c r="D79" s="351" t="s">
        <v>507</v>
      </c>
      <c r="E79" s="679"/>
      <c r="F79" s="529">
        <f>VLOOKUP(D79,'June 2013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row>
    <row r="80" spans="1:38">
      <c r="A80" s="20"/>
      <c r="B80" s="20" t="s">
        <v>110</v>
      </c>
      <c r="C80" s="667" t="s">
        <v>541</v>
      </c>
      <c r="D80" s="351" t="s">
        <v>506</v>
      </c>
      <c r="E80" s="679"/>
      <c r="F80" s="529">
        <f>VLOOKUP(D80,'June 2013 Revenue'!D:V,19,FALSE)</f>
        <v>0</v>
      </c>
      <c r="G80" s="680"/>
      <c r="H80" s="680"/>
      <c r="I80" s="755"/>
      <c r="J80" s="682">
        <f t="shared" ref="J80:J144" si="14">SUM(E80:I80)</f>
        <v>0</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ref="AD80:AD147" si="15">IF(B80="D",J80,0)</f>
        <v>0</v>
      </c>
      <c r="AE80" s="692">
        <f t="shared" ref="AE80:AE147" si="16">IF(B80="M",J80,0)</f>
        <v>0</v>
      </c>
      <c r="AF80" s="692">
        <f t="shared" ref="AF80:AF147" si="17">IF(B80="V",J80,0)</f>
        <v>0</v>
      </c>
      <c r="AG80" s="38"/>
      <c r="AH80" s="692">
        <f t="shared" si="10"/>
        <v>0</v>
      </c>
      <c r="AI80" s="692">
        <f t="shared" si="11"/>
        <v>0</v>
      </c>
      <c r="AJ80" s="692">
        <f t="shared" si="12"/>
        <v>0</v>
      </c>
      <c r="AL80" s="38">
        <f t="shared" si="13"/>
        <v>0</v>
      </c>
    </row>
    <row r="81" spans="1:38">
      <c r="A81" s="20"/>
      <c r="B81" s="20" t="s">
        <v>110</v>
      </c>
      <c r="C81" s="667" t="s">
        <v>542</v>
      </c>
      <c r="D81" s="68" t="s">
        <v>305</v>
      </c>
      <c r="E81" s="679"/>
      <c r="F81" s="529">
        <f>VLOOKUP(D81,'June 2013 Revenue'!D:V,19,FALSE)</f>
        <v>0</v>
      </c>
      <c r="G81" s="680"/>
      <c r="H81" s="680"/>
      <c r="I81" s="755"/>
      <c r="J81" s="682">
        <f t="shared" si="14"/>
        <v>0</v>
      </c>
      <c r="K81" s="683"/>
      <c r="L81" s="684"/>
      <c r="M81" s="753"/>
      <c r="N81" s="683">
        <v>0</v>
      </c>
      <c r="O81" s="686"/>
      <c r="P81" s="683">
        <v>0</v>
      </c>
      <c r="Q81" s="687">
        <f t="shared" si="1"/>
        <v>0</v>
      </c>
      <c r="R81" s="687"/>
      <c r="S81" s="687"/>
      <c r="T81" s="688">
        <v>0</v>
      </c>
      <c r="U81" s="693"/>
      <c r="V81" s="690">
        <f t="shared" si="2"/>
        <v>0</v>
      </c>
      <c r="W81" s="683"/>
      <c r="X81" s="474">
        <f t="shared" ref="X81:X149" si="18">IF(B81="D",Q81,0)</f>
        <v>0</v>
      </c>
      <c r="Y81" s="474">
        <f t="shared" ref="Y81:Y149" si="19">IF(B81="M",Q81,0)</f>
        <v>0</v>
      </c>
      <c r="Z81" s="475">
        <f t="shared" ref="Z81:Z149" si="20">IF(B81="V",Q81,0)</f>
        <v>0</v>
      </c>
      <c r="AA81" s="475">
        <v>0</v>
      </c>
      <c r="AB81" s="476">
        <v>0</v>
      </c>
      <c r="AC81" s="38">
        <f t="shared" ref="AC81:AC149" si="21">(L81+M81)-(X81+Y81+Z81+AA81+AB81)</f>
        <v>0</v>
      </c>
      <c r="AD81" s="692">
        <f t="shared" si="15"/>
        <v>0</v>
      </c>
      <c r="AE81" s="692">
        <f t="shared" si="16"/>
        <v>0</v>
      </c>
      <c r="AF81" s="692">
        <f t="shared" si="17"/>
        <v>0</v>
      </c>
      <c r="AG81" s="38"/>
      <c r="AH81" s="692">
        <f t="shared" ref="AH81:AH148" si="22">IF(B81="D",Q81,0)</f>
        <v>0</v>
      </c>
      <c r="AI81" s="692">
        <f t="shared" ref="AI81:AI148" si="23">IF(B81="M",Q81,0)</f>
        <v>0</v>
      </c>
      <c r="AJ81" s="692">
        <f t="shared" ref="AJ81:AJ148" si="24">IF(B81="V",Q81,0)</f>
        <v>0</v>
      </c>
      <c r="AL81" s="38">
        <f t="shared" si="13"/>
        <v>0</v>
      </c>
    </row>
    <row r="82" spans="1:38">
      <c r="A82" s="20"/>
      <c r="B82" s="20" t="s">
        <v>110</v>
      </c>
      <c r="C82" s="667" t="s">
        <v>543</v>
      </c>
      <c r="D82" s="68" t="s">
        <v>199</v>
      </c>
      <c r="E82" s="679"/>
      <c r="F82" s="529">
        <f>VLOOKUP(D82,'June 2013 Revenue'!D:V,19,FALSE)</f>
        <v>0</v>
      </c>
      <c r="G82" s="680"/>
      <c r="H82" s="680"/>
      <c r="I82" s="755"/>
      <c r="J82" s="682">
        <f t="shared" si="14"/>
        <v>0</v>
      </c>
      <c r="K82" s="683"/>
      <c r="L82" s="684"/>
      <c r="M82" s="753"/>
      <c r="N82" s="683">
        <v>0</v>
      </c>
      <c r="O82" s="686"/>
      <c r="P82" s="683">
        <v>0</v>
      </c>
      <c r="Q82" s="687">
        <f t="shared" si="1"/>
        <v>0</v>
      </c>
      <c r="R82" s="687"/>
      <c r="S82" s="687"/>
      <c r="T82" s="688">
        <v>0</v>
      </c>
      <c r="U82" s="693"/>
      <c r="V82" s="690">
        <f t="shared" ref="V82:V145" si="25">IF(T82="","",T82-Q82)</f>
        <v>0</v>
      </c>
      <c r="W82" s="683"/>
      <c r="X82" s="474">
        <f t="shared" si="18"/>
        <v>0</v>
      </c>
      <c r="Y82" s="474">
        <f t="shared" si="19"/>
        <v>0</v>
      </c>
      <c r="Z82" s="475">
        <f t="shared" si="20"/>
        <v>0</v>
      </c>
      <c r="AA82" s="475">
        <v>0</v>
      </c>
      <c r="AB82" s="476">
        <v>0</v>
      </c>
      <c r="AC82" s="38">
        <f t="shared" si="21"/>
        <v>0</v>
      </c>
      <c r="AD82" s="692">
        <f t="shared" si="15"/>
        <v>0</v>
      </c>
      <c r="AE82" s="692">
        <f t="shared" si="16"/>
        <v>0</v>
      </c>
      <c r="AF82" s="692">
        <f t="shared" si="17"/>
        <v>0</v>
      </c>
      <c r="AG82" s="38"/>
      <c r="AH82" s="692">
        <f t="shared" si="22"/>
        <v>0</v>
      </c>
      <c r="AI82" s="692">
        <f t="shared" si="23"/>
        <v>0</v>
      </c>
      <c r="AJ82" s="692">
        <f t="shared" si="24"/>
        <v>0</v>
      </c>
      <c r="AL82" s="38">
        <f t="shared" ref="AL82:AL147" si="26">SUM(AD82:AJ82)</f>
        <v>0</v>
      </c>
    </row>
    <row r="83" spans="1:38">
      <c r="A83" s="20"/>
      <c r="B83" s="20" t="s">
        <v>110</v>
      </c>
      <c r="C83" s="667" t="s">
        <v>543</v>
      </c>
      <c r="D83" s="68" t="s">
        <v>200</v>
      </c>
      <c r="E83" s="679"/>
      <c r="F83" s="529">
        <f>VLOOKUP(D83,'June 2013 Revenue'!D:V,19,FALSE)</f>
        <v>0</v>
      </c>
      <c r="G83" s="680"/>
      <c r="H83" s="680"/>
      <c r="I83" s="755"/>
      <c r="J83" s="682">
        <f t="shared" si="14"/>
        <v>0</v>
      </c>
      <c r="K83" s="683"/>
      <c r="L83" s="684"/>
      <c r="M83" s="753"/>
      <c r="N83" s="683">
        <v>0</v>
      </c>
      <c r="O83" s="686"/>
      <c r="P83" s="683">
        <v>0</v>
      </c>
      <c r="Q83" s="687">
        <f t="shared" si="1"/>
        <v>0</v>
      </c>
      <c r="R83" s="687"/>
      <c r="S83" s="687"/>
      <c r="T83" s="688">
        <v>0</v>
      </c>
      <c r="U83" s="693"/>
      <c r="V83" s="690">
        <f t="shared" si="25"/>
        <v>0</v>
      </c>
      <c r="W83" s="683"/>
      <c r="X83" s="474">
        <f t="shared" si="18"/>
        <v>0</v>
      </c>
      <c r="Y83" s="474">
        <f t="shared" si="19"/>
        <v>0</v>
      </c>
      <c r="Z83" s="475">
        <f t="shared" si="20"/>
        <v>0</v>
      </c>
      <c r="AA83" s="475">
        <v>0</v>
      </c>
      <c r="AB83" s="476">
        <v>0</v>
      </c>
      <c r="AC83" s="38">
        <f t="shared" si="21"/>
        <v>0</v>
      </c>
      <c r="AD83" s="692">
        <f t="shared" si="15"/>
        <v>0</v>
      </c>
      <c r="AE83" s="692">
        <f t="shared" si="16"/>
        <v>0</v>
      </c>
      <c r="AF83" s="692">
        <f t="shared" si="17"/>
        <v>0</v>
      </c>
      <c r="AG83" s="38"/>
      <c r="AH83" s="692">
        <f t="shared" si="22"/>
        <v>0</v>
      </c>
      <c r="AI83" s="692">
        <f t="shared" si="23"/>
        <v>0</v>
      </c>
      <c r="AJ83" s="692">
        <f t="shared" si="24"/>
        <v>0</v>
      </c>
      <c r="AL83" s="38">
        <f t="shared" si="26"/>
        <v>0</v>
      </c>
    </row>
    <row r="84" spans="1:38">
      <c r="A84" s="20"/>
      <c r="B84" s="20" t="s">
        <v>110</v>
      </c>
      <c r="C84" s="667" t="s">
        <v>543</v>
      </c>
      <c r="D84" s="68" t="s">
        <v>201</v>
      </c>
      <c r="E84" s="679"/>
      <c r="F84" s="529">
        <f>VLOOKUP(D84,'June 2013 Revenue'!D:V,19,FALSE)</f>
        <v>0</v>
      </c>
      <c r="G84" s="680"/>
      <c r="H84" s="680"/>
      <c r="I84" s="755"/>
      <c r="J84" s="682">
        <f t="shared" si="14"/>
        <v>0</v>
      </c>
      <c r="K84" s="683"/>
      <c r="L84" s="684"/>
      <c r="M84" s="753"/>
      <c r="N84" s="683">
        <v>0</v>
      </c>
      <c r="O84" s="686"/>
      <c r="P84" s="683">
        <v>0</v>
      </c>
      <c r="Q84" s="687">
        <f t="shared" si="1"/>
        <v>0</v>
      </c>
      <c r="R84" s="687"/>
      <c r="S84" s="687"/>
      <c r="T84" s="688">
        <v>0</v>
      </c>
      <c r="U84" s="693"/>
      <c r="V84" s="690">
        <f t="shared" si="25"/>
        <v>0</v>
      </c>
      <c r="W84" s="683"/>
      <c r="X84" s="474">
        <f t="shared" si="18"/>
        <v>0</v>
      </c>
      <c r="Y84" s="474">
        <f t="shared" si="19"/>
        <v>0</v>
      </c>
      <c r="Z84" s="475">
        <f t="shared" si="20"/>
        <v>0</v>
      </c>
      <c r="AA84" s="475">
        <v>0</v>
      </c>
      <c r="AB84" s="476">
        <v>0</v>
      </c>
      <c r="AC84" s="38">
        <f t="shared" si="21"/>
        <v>0</v>
      </c>
      <c r="AD84" s="692">
        <f t="shared" si="15"/>
        <v>0</v>
      </c>
      <c r="AE84" s="692">
        <f t="shared" si="16"/>
        <v>0</v>
      </c>
      <c r="AF84" s="692">
        <f t="shared" si="17"/>
        <v>0</v>
      </c>
      <c r="AG84" s="38"/>
      <c r="AH84" s="692">
        <f t="shared" si="22"/>
        <v>0</v>
      </c>
      <c r="AI84" s="692">
        <f t="shared" si="23"/>
        <v>0</v>
      </c>
      <c r="AJ84" s="692">
        <f t="shared" si="24"/>
        <v>0</v>
      </c>
      <c r="AL84" s="38">
        <f t="shared" si="26"/>
        <v>0</v>
      </c>
    </row>
    <row r="85" spans="1:38">
      <c r="A85" s="20" t="s">
        <v>97</v>
      </c>
      <c r="B85" s="20" t="s">
        <v>114</v>
      </c>
      <c r="C85" s="667"/>
      <c r="D85" s="68" t="s">
        <v>387</v>
      </c>
      <c r="E85" s="679"/>
      <c r="F85" s="529">
        <f>VLOOKUP(D85,'June 2013 Revenue'!D:V,19,FALSE)</f>
        <v>-454.19000000000051</v>
      </c>
      <c r="G85" s="680"/>
      <c r="H85" s="680"/>
      <c r="I85" s="755"/>
      <c r="J85" s="682">
        <f t="shared" si="14"/>
        <v>-454.19000000000051</v>
      </c>
      <c r="K85" s="683"/>
      <c r="L85" s="684"/>
      <c r="M85" s="753">
        <v>15000</v>
      </c>
      <c r="N85" s="683">
        <v>0</v>
      </c>
      <c r="O85" s="686"/>
      <c r="P85" s="683">
        <v>0</v>
      </c>
      <c r="Q85" s="687">
        <f t="shared" si="1"/>
        <v>15000</v>
      </c>
      <c r="R85" s="687"/>
      <c r="S85" s="687"/>
      <c r="T85" s="688">
        <v>14610.42</v>
      </c>
      <c r="U85" s="693"/>
      <c r="V85" s="690">
        <f t="shared" si="25"/>
        <v>-389.57999999999993</v>
      </c>
      <c r="W85" s="683"/>
      <c r="X85" s="474">
        <f t="shared" si="18"/>
        <v>0</v>
      </c>
      <c r="Y85" s="474">
        <f t="shared" si="19"/>
        <v>0</v>
      </c>
      <c r="Z85" s="475">
        <f t="shared" si="20"/>
        <v>15000</v>
      </c>
      <c r="AA85" s="475">
        <v>0</v>
      </c>
      <c r="AB85" s="476">
        <v>0</v>
      </c>
      <c r="AC85" s="38">
        <f t="shared" si="21"/>
        <v>0</v>
      </c>
      <c r="AD85" s="692">
        <f t="shared" si="15"/>
        <v>0</v>
      </c>
      <c r="AE85" s="692">
        <f t="shared" si="16"/>
        <v>0</v>
      </c>
      <c r="AF85" s="692">
        <f t="shared" si="17"/>
        <v>-454.19000000000051</v>
      </c>
      <c r="AG85" s="38"/>
      <c r="AH85" s="692">
        <f t="shared" si="22"/>
        <v>0</v>
      </c>
      <c r="AI85" s="692">
        <f t="shared" si="23"/>
        <v>0</v>
      </c>
      <c r="AJ85" s="692">
        <f t="shared" si="24"/>
        <v>15000</v>
      </c>
      <c r="AL85" s="38">
        <f t="shared" si="26"/>
        <v>14545.81</v>
      </c>
    </row>
    <row r="86" spans="1:38">
      <c r="A86" s="20" t="s">
        <v>97</v>
      </c>
      <c r="B86" s="20" t="s">
        <v>114</v>
      </c>
      <c r="C86" s="667"/>
      <c r="D86" s="68" t="s">
        <v>482</v>
      </c>
      <c r="E86" s="679"/>
      <c r="F86" s="529">
        <f>VLOOKUP(D86,'June 2013 Revenue'!D:V,19,FALSE)</f>
        <v>0</v>
      </c>
      <c r="G86" s="680"/>
      <c r="H86" s="680"/>
      <c r="I86" s="755"/>
      <c r="J86" s="682">
        <f t="shared" si="14"/>
        <v>0</v>
      </c>
      <c r="K86" s="683"/>
      <c r="L86" s="684"/>
      <c r="M86" s="753"/>
      <c r="N86" s="683"/>
      <c r="O86" s="686"/>
      <c r="P86" s="683"/>
      <c r="Q86" s="687">
        <f t="shared" si="1"/>
        <v>0</v>
      </c>
      <c r="R86" s="687"/>
      <c r="S86" s="687"/>
      <c r="T86" s="688">
        <v>0</v>
      </c>
      <c r="U86" s="693"/>
      <c r="V86" s="690">
        <f t="shared" si="25"/>
        <v>0</v>
      </c>
      <c r="W86" s="683"/>
      <c r="X86" s="474">
        <f t="shared" si="18"/>
        <v>0</v>
      </c>
      <c r="Y86" s="474">
        <f t="shared" si="19"/>
        <v>0</v>
      </c>
      <c r="Z86" s="475">
        <f t="shared" si="20"/>
        <v>0</v>
      </c>
      <c r="AA86" s="475">
        <v>0</v>
      </c>
      <c r="AB86" s="476">
        <v>0</v>
      </c>
      <c r="AC86" s="38">
        <f t="shared" si="21"/>
        <v>0</v>
      </c>
      <c r="AD86" s="692">
        <f t="shared" si="15"/>
        <v>0</v>
      </c>
      <c r="AE86" s="692">
        <f t="shared" si="16"/>
        <v>0</v>
      </c>
      <c r="AF86" s="692">
        <f t="shared" si="17"/>
        <v>0</v>
      </c>
      <c r="AG86" s="38"/>
      <c r="AH86" s="692">
        <f t="shared" si="22"/>
        <v>0</v>
      </c>
      <c r="AI86" s="692">
        <f t="shared" si="23"/>
        <v>0</v>
      </c>
      <c r="AJ86" s="692">
        <f t="shared" si="24"/>
        <v>0</v>
      </c>
      <c r="AL86" s="38">
        <f t="shared" si="26"/>
        <v>0</v>
      </c>
    </row>
    <row r="87" spans="1:38">
      <c r="A87" s="20" t="s">
        <v>109</v>
      </c>
      <c r="B87" s="20" t="s">
        <v>109</v>
      </c>
      <c r="C87" s="667" t="s">
        <v>544</v>
      </c>
      <c r="D87" s="68" t="s">
        <v>383</v>
      </c>
      <c r="E87" s="679"/>
      <c r="F87" s="529">
        <f>VLOOKUP(D87,'June 2013 Revenue'!D:V,19,FALSE)</f>
        <v>96.05</v>
      </c>
      <c r="G87" s="680"/>
      <c r="H87" s="680"/>
      <c r="I87" s="755"/>
      <c r="J87" s="682">
        <f t="shared" si="14"/>
        <v>96.05</v>
      </c>
      <c r="K87" s="683"/>
      <c r="L87" s="684"/>
      <c r="M87" s="753"/>
      <c r="N87" s="683">
        <v>0</v>
      </c>
      <c r="O87" s="686"/>
      <c r="P87" s="683">
        <v>0</v>
      </c>
      <c r="Q87" s="687">
        <f t="shared" si="1"/>
        <v>0</v>
      </c>
      <c r="R87" s="687"/>
      <c r="S87" s="687"/>
      <c r="T87" s="688">
        <v>0</v>
      </c>
      <c r="U87" s="693"/>
      <c r="V87" s="690">
        <f t="shared" si="25"/>
        <v>0</v>
      </c>
      <c r="W87" s="683"/>
      <c r="X87" s="474">
        <f t="shared" si="18"/>
        <v>0</v>
      </c>
      <c r="Y87" s="474">
        <f t="shared" si="19"/>
        <v>0</v>
      </c>
      <c r="Z87" s="475">
        <f t="shared" si="20"/>
        <v>0</v>
      </c>
      <c r="AA87" s="475">
        <v>0</v>
      </c>
      <c r="AB87" s="476">
        <v>0</v>
      </c>
      <c r="AC87" s="38">
        <f t="shared" si="21"/>
        <v>0</v>
      </c>
      <c r="AD87" s="692">
        <f t="shared" si="15"/>
        <v>0</v>
      </c>
      <c r="AE87" s="692">
        <f t="shared" si="16"/>
        <v>96.05</v>
      </c>
      <c r="AF87" s="692">
        <f t="shared" si="17"/>
        <v>0</v>
      </c>
      <c r="AG87" s="38"/>
      <c r="AH87" s="692">
        <f t="shared" si="22"/>
        <v>0</v>
      </c>
      <c r="AI87" s="692">
        <f t="shared" si="23"/>
        <v>0</v>
      </c>
      <c r="AJ87" s="692">
        <f t="shared" si="24"/>
        <v>0</v>
      </c>
      <c r="AL87" s="38">
        <f t="shared" si="26"/>
        <v>96.05</v>
      </c>
    </row>
    <row r="88" spans="1:38">
      <c r="A88" s="21" t="s">
        <v>211</v>
      </c>
      <c r="B88" s="21" t="s">
        <v>109</v>
      </c>
      <c r="C88" s="666" t="s">
        <v>545</v>
      </c>
      <c r="D88" s="68" t="s">
        <v>181</v>
      </c>
      <c r="E88" s="679"/>
      <c r="F88" s="529">
        <f>VLOOKUP(D88,'June 2013 Revenue'!D:V,19,FALSE)</f>
        <v>0</v>
      </c>
      <c r="G88" s="680"/>
      <c r="H88" s="680"/>
      <c r="I88" s="755"/>
      <c r="J88" s="682">
        <f t="shared" si="14"/>
        <v>0</v>
      </c>
      <c r="K88" s="683"/>
      <c r="L88" s="684"/>
      <c r="M88" s="753"/>
      <c r="N88" s="683">
        <v>0</v>
      </c>
      <c r="O88" s="686"/>
      <c r="P88" s="683">
        <v>0</v>
      </c>
      <c r="Q88" s="687">
        <f t="shared" si="1"/>
        <v>0</v>
      </c>
      <c r="R88" s="687"/>
      <c r="S88" s="687"/>
      <c r="T88" s="688">
        <v>0</v>
      </c>
      <c r="U88" s="693"/>
      <c r="V88" s="690">
        <f t="shared" si="25"/>
        <v>0</v>
      </c>
      <c r="W88" s="683"/>
      <c r="X88" s="474">
        <f t="shared" si="18"/>
        <v>0</v>
      </c>
      <c r="Y88" s="474">
        <f t="shared" si="19"/>
        <v>0</v>
      </c>
      <c r="Z88" s="475">
        <f t="shared" si="20"/>
        <v>0</v>
      </c>
      <c r="AA88" s="475">
        <v>0</v>
      </c>
      <c r="AB88" s="476">
        <v>0</v>
      </c>
      <c r="AC88" s="38">
        <f t="shared" si="21"/>
        <v>0</v>
      </c>
      <c r="AD88" s="692">
        <f t="shared" si="15"/>
        <v>0</v>
      </c>
      <c r="AE88" s="692">
        <f t="shared" si="16"/>
        <v>0</v>
      </c>
      <c r="AF88" s="692">
        <f t="shared" si="17"/>
        <v>0</v>
      </c>
      <c r="AG88" s="38"/>
      <c r="AH88" s="692">
        <f t="shared" si="22"/>
        <v>0</v>
      </c>
      <c r="AI88" s="692">
        <f t="shared" si="23"/>
        <v>0</v>
      </c>
      <c r="AJ88" s="692">
        <f t="shared" si="24"/>
        <v>0</v>
      </c>
      <c r="AL88" s="38">
        <f t="shared" si="26"/>
        <v>0</v>
      </c>
    </row>
    <row r="89" spans="1:38">
      <c r="A89" s="21" t="s">
        <v>211</v>
      </c>
      <c r="B89" s="21" t="s">
        <v>110</v>
      </c>
      <c r="C89" s="666"/>
      <c r="D89" s="68" t="s">
        <v>504</v>
      </c>
      <c r="E89" s="679"/>
      <c r="F89" s="529">
        <f>VLOOKUP(D89,'June 2013 Revenue'!D:V,19,FALSE)</f>
        <v>0</v>
      </c>
      <c r="G89" s="680"/>
      <c r="H89" s="680"/>
      <c r="I89" s="755"/>
      <c r="J89" s="682">
        <f t="shared" si="14"/>
        <v>0</v>
      </c>
      <c r="K89" s="683"/>
      <c r="L89" s="684"/>
      <c r="M89" s="753"/>
      <c r="N89" s="683">
        <v>0</v>
      </c>
      <c r="O89" s="686"/>
      <c r="P89" s="683">
        <v>0</v>
      </c>
      <c r="Q89" s="687">
        <f t="shared" si="1"/>
        <v>0</v>
      </c>
      <c r="R89" s="687"/>
      <c r="S89" s="687"/>
      <c r="T89" s="688">
        <v>0</v>
      </c>
      <c r="U89" s="693"/>
      <c r="V89" s="690">
        <f t="shared" si="25"/>
        <v>0</v>
      </c>
      <c r="W89" s="683"/>
      <c r="X89" s="474">
        <f t="shared" si="18"/>
        <v>0</v>
      </c>
      <c r="Y89" s="474">
        <f t="shared" si="19"/>
        <v>0</v>
      </c>
      <c r="Z89" s="475">
        <f t="shared" si="20"/>
        <v>0</v>
      </c>
      <c r="AA89" s="475">
        <v>0</v>
      </c>
      <c r="AB89" s="476">
        <v>0</v>
      </c>
      <c r="AC89" s="38">
        <f t="shared" si="21"/>
        <v>0</v>
      </c>
      <c r="AD89" s="692">
        <f t="shared" si="15"/>
        <v>0</v>
      </c>
      <c r="AE89" s="692">
        <f t="shared" si="16"/>
        <v>0</v>
      </c>
      <c r="AF89" s="692">
        <f t="shared" si="17"/>
        <v>0</v>
      </c>
      <c r="AG89" s="38"/>
      <c r="AH89" s="692">
        <f t="shared" si="22"/>
        <v>0</v>
      </c>
      <c r="AI89" s="692">
        <f t="shared" si="23"/>
        <v>0</v>
      </c>
      <c r="AJ89" s="692">
        <f t="shared" si="24"/>
        <v>0</v>
      </c>
      <c r="AL89" s="38">
        <f t="shared" si="26"/>
        <v>0</v>
      </c>
    </row>
    <row r="90" spans="1:38">
      <c r="A90" s="20" t="s">
        <v>211</v>
      </c>
      <c r="B90" s="20" t="s">
        <v>109</v>
      </c>
      <c r="C90" s="667" t="s">
        <v>546</v>
      </c>
      <c r="D90" s="68" t="s">
        <v>142</v>
      </c>
      <c r="E90" s="679"/>
      <c r="F90" s="529">
        <f>VLOOKUP(D90,'June 2013 Revenue'!D:V,19,FALSE)</f>
        <v>702.19</v>
      </c>
      <c r="G90" s="680"/>
      <c r="H90" s="680"/>
      <c r="I90" s="755"/>
      <c r="J90" s="682">
        <f t="shared" si="14"/>
        <v>702.19</v>
      </c>
      <c r="K90" s="683"/>
      <c r="L90" s="684"/>
      <c r="M90" s="753"/>
      <c r="N90" s="683">
        <v>0</v>
      </c>
      <c r="O90" s="686"/>
      <c r="P90" s="683">
        <v>0</v>
      </c>
      <c r="Q90" s="687">
        <f t="shared" si="1"/>
        <v>0</v>
      </c>
      <c r="R90" s="687"/>
      <c r="S90" s="687"/>
      <c r="T90" s="688">
        <v>0</v>
      </c>
      <c r="U90" s="693"/>
      <c r="V90" s="690">
        <f t="shared" si="25"/>
        <v>0</v>
      </c>
      <c r="W90" s="697"/>
      <c r="X90" s="474">
        <f t="shared" si="18"/>
        <v>0</v>
      </c>
      <c r="Y90" s="474">
        <f t="shared" si="19"/>
        <v>0</v>
      </c>
      <c r="Z90" s="475">
        <f t="shared" si="20"/>
        <v>0</v>
      </c>
      <c r="AA90" s="475">
        <v>0</v>
      </c>
      <c r="AB90" s="476">
        <v>0</v>
      </c>
      <c r="AC90" s="38">
        <f t="shared" si="21"/>
        <v>0</v>
      </c>
      <c r="AD90" s="692">
        <f t="shared" si="15"/>
        <v>0</v>
      </c>
      <c r="AE90" s="692">
        <f t="shared" si="16"/>
        <v>702.19</v>
      </c>
      <c r="AF90" s="692">
        <f t="shared" si="17"/>
        <v>0</v>
      </c>
      <c r="AG90" s="38"/>
      <c r="AH90" s="692">
        <f t="shared" si="22"/>
        <v>0</v>
      </c>
      <c r="AI90" s="692">
        <f t="shared" si="23"/>
        <v>0</v>
      </c>
      <c r="AJ90" s="692">
        <f t="shared" si="24"/>
        <v>0</v>
      </c>
      <c r="AL90" s="38">
        <f t="shared" si="26"/>
        <v>702.19</v>
      </c>
    </row>
    <row r="91" spans="1:38">
      <c r="A91" s="20" t="s">
        <v>211</v>
      </c>
      <c r="B91" s="20" t="s">
        <v>109</v>
      </c>
      <c r="C91" s="667" t="s">
        <v>546</v>
      </c>
      <c r="D91" s="68" t="s">
        <v>143</v>
      </c>
      <c r="E91" s="679"/>
      <c r="F91" s="529">
        <f>VLOOKUP(D91,'June 2013 Revenue'!D:V,19,FALSE)</f>
        <v>80.09</v>
      </c>
      <c r="G91" s="680"/>
      <c r="H91" s="680"/>
      <c r="I91" s="755"/>
      <c r="J91" s="682">
        <f t="shared" si="14"/>
        <v>80.09</v>
      </c>
      <c r="K91" s="683"/>
      <c r="L91" s="684"/>
      <c r="M91" s="753"/>
      <c r="N91" s="683">
        <v>0</v>
      </c>
      <c r="O91" s="686"/>
      <c r="P91" s="683">
        <v>0</v>
      </c>
      <c r="Q91" s="687">
        <f t="shared" si="1"/>
        <v>0</v>
      </c>
      <c r="R91" s="687"/>
      <c r="S91" s="687"/>
      <c r="T91" s="688">
        <v>0</v>
      </c>
      <c r="U91" s="693"/>
      <c r="V91" s="690">
        <f t="shared" si="25"/>
        <v>0</v>
      </c>
      <c r="W91" s="697"/>
      <c r="X91" s="474">
        <f t="shared" si="18"/>
        <v>0</v>
      </c>
      <c r="Y91" s="474">
        <f t="shared" si="19"/>
        <v>0</v>
      </c>
      <c r="Z91" s="475">
        <f t="shared" si="20"/>
        <v>0</v>
      </c>
      <c r="AA91" s="475">
        <v>0</v>
      </c>
      <c r="AB91" s="476">
        <v>0</v>
      </c>
      <c r="AC91" s="38">
        <f t="shared" si="21"/>
        <v>0</v>
      </c>
      <c r="AD91" s="692">
        <f t="shared" si="15"/>
        <v>0</v>
      </c>
      <c r="AE91" s="692">
        <f t="shared" si="16"/>
        <v>80.09</v>
      </c>
      <c r="AF91" s="692">
        <f t="shared" si="17"/>
        <v>0</v>
      </c>
      <c r="AG91" s="38"/>
      <c r="AH91" s="692">
        <f t="shared" si="22"/>
        <v>0</v>
      </c>
      <c r="AI91" s="692">
        <f t="shared" si="23"/>
        <v>0</v>
      </c>
      <c r="AJ91" s="692">
        <f t="shared" si="24"/>
        <v>0</v>
      </c>
      <c r="AL91" s="38">
        <f t="shared" si="26"/>
        <v>80.09</v>
      </c>
    </row>
    <row r="92" spans="1:38">
      <c r="A92" s="20" t="s">
        <v>109</v>
      </c>
      <c r="B92" s="20" t="s">
        <v>109</v>
      </c>
      <c r="C92" s="667"/>
      <c r="D92" s="68" t="s">
        <v>498</v>
      </c>
      <c r="E92" s="679"/>
      <c r="F92" s="529">
        <f>VLOOKUP(D92,'June 2013 Revenue'!D:V,19,FALSE)</f>
        <v>0</v>
      </c>
      <c r="G92" s="680"/>
      <c r="H92" s="680"/>
      <c r="I92" s="755"/>
      <c r="J92" s="682">
        <f t="shared" si="14"/>
        <v>0</v>
      </c>
      <c r="K92" s="683"/>
      <c r="L92" s="684"/>
      <c r="M92" s="753"/>
      <c r="N92" s="683">
        <v>0</v>
      </c>
      <c r="O92" s="686"/>
      <c r="P92" s="683">
        <v>0</v>
      </c>
      <c r="Q92" s="687">
        <f t="shared" si="1"/>
        <v>0</v>
      </c>
      <c r="R92" s="687"/>
      <c r="S92" s="687"/>
      <c r="T92" s="688">
        <v>0</v>
      </c>
      <c r="U92" s="693"/>
      <c r="V92" s="690">
        <f t="shared" si="25"/>
        <v>0</v>
      </c>
      <c r="W92" s="683"/>
      <c r="X92" s="474">
        <f t="shared" si="18"/>
        <v>0</v>
      </c>
      <c r="Y92" s="474">
        <f t="shared" si="19"/>
        <v>0</v>
      </c>
      <c r="Z92" s="475">
        <f t="shared" si="20"/>
        <v>0</v>
      </c>
      <c r="AA92" s="475">
        <v>0</v>
      </c>
      <c r="AB92" s="476">
        <v>0</v>
      </c>
      <c r="AC92" s="38">
        <f t="shared" si="21"/>
        <v>0</v>
      </c>
      <c r="AD92" s="692">
        <f t="shared" si="15"/>
        <v>0</v>
      </c>
      <c r="AE92" s="692">
        <f t="shared" si="16"/>
        <v>0</v>
      </c>
      <c r="AF92" s="692">
        <f t="shared" si="17"/>
        <v>0</v>
      </c>
      <c r="AG92" s="38"/>
      <c r="AH92" s="692">
        <f t="shared" si="22"/>
        <v>0</v>
      </c>
      <c r="AI92" s="692">
        <f t="shared" si="23"/>
        <v>0</v>
      </c>
      <c r="AJ92" s="692">
        <f t="shared" si="24"/>
        <v>0</v>
      </c>
      <c r="AL92" s="38">
        <f t="shared" si="26"/>
        <v>0</v>
      </c>
    </row>
    <row r="93" spans="1:38">
      <c r="A93" s="21"/>
      <c r="B93" s="21" t="s">
        <v>110</v>
      </c>
      <c r="C93" s="666"/>
      <c r="D93" s="68" t="s">
        <v>20</v>
      </c>
      <c r="E93" s="679"/>
      <c r="F93" s="529">
        <f>VLOOKUP(D93,'June 2013 Revenue'!D:V,19,FALSE)</f>
        <v>0</v>
      </c>
      <c r="G93" s="680"/>
      <c r="H93" s="680"/>
      <c r="I93" s="755"/>
      <c r="J93" s="682">
        <f t="shared" si="14"/>
        <v>0</v>
      </c>
      <c r="K93" s="683"/>
      <c r="L93" s="684"/>
      <c r="M93" s="753"/>
      <c r="N93" s="683">
        <v>0</v>
      </c>
      <c r="O93" s="686"/>
      <c r="P93" s="683">
        <v>0</v>
      </c>
      <c r="Q93" s="687">
        <f t="shared" si="1"/>
        <v>0</v>
      </c>
      <c r="R93" s="687"/>
      <c r="S93" s="687"/>
      <c r="T93" s="688">
        <v>142.78</v>
      </c>
      <c r="U93" s="693"/>
      <c r="V93" s="690">
        <f t="shared" si="25"/>
        <v>142.78</v>
      </c>
      <c r="W93" s="683"/>
      <c r="X93" s="474">
        <f t="shared" si="18"/>
        <v>0</v>
      </c>
      <c r="Y93" s="474">
        <f t="shared" si="19"/>
        <v>0</v>
      </c>
      <c r="Z93" s="475">
        <f t="shared" si="20"/>
        <v>0</v>
      </c>
      <c r="AA93" s="475">
        <v>0</v>
      </c>
      <c r="AB93" s="476">
        <v>0</v>
      </c>
      <c r="AC93" s="38">
        <f t="shared" si="21"/>
        <v>0</v>
      </c>
      <c r="AD93" s="692">
        <f t="shared" si="15"/>
        <v>0</v>
      </c>
      <c r="AE93" s="692">
        <f t="shared" si="16"/>
        <v>0</v>
      </c>
      <c r="AF93" s="692">
        <f t="shared" si="17"/>
        <v>0</v>
      </c>
      <c r="AG93" s="38"/>
      <c r="AH93" s="692">
        <f t="shared" si="22"/>
        <v>0</v>
      </c>
      <c r="AI93" s="692">
        <f t="shared" si="23"/>
        <v>0</v>
      </c>
      <c r="AJ93" s="692">
        <f t="shared" si="24"/>
        <v>0</v>
      </c>
      <c r="AL93" s="38">
        <f t="shared" si="26"/>
        <v>0</v>
      </c>
    </row>
    <row r="94" spans="1:38">
      <c r="A94" s="21"/>
      <c r="B94" s="21" t="s">
        <v>110</v>
      </c>
      <c r="C94" s="666" t="s">
        <v>547</v>
      </c>
      <c r="D94" s="68" t="s">
        <v>203</v>
      </c>
      <c r="E94" s="679"/>
      <c r="F94" s="529">
        <f>VLOOKUP(D94,'June 2013 Revenue'!D:V,19,FALSE)</f>
        <v>0</v>
      </c>
      <c r="G94" s="680"/>
      <c r="H94" s="680"/>
      <c r="I94" s="755"/>
      <c r="J94" s="682">
        <f t="shared" si="14"/>
        <v>0</v>
      </c>
      <c r="K94" s="683"/>
      <c r="L94" s="684"/>
      <c r="M94" s="753"/>
      <c r="N94" s="683">
        <v>0</v>
      </c>
      <c r="O94" s="686"/>
      <c r="P94" s="683">
        <v>0</v>
      </c>
      <c r="Q94" s="687">
        <f t="shared" si="1"/>
        <v>0</v>
      </c>
      <c r="R94" s="687"/>
      <c r="S94" s="687"/>
      <c r="T94" s="688">
        <v>0</v>
      </c>
      <c r="U94" s="693"/>
      <c r="V94" s="690">
        <f t="shared" si="25"/>
        <v>0</v>
      </c>
      <c r="W94" s="683"/>
      <c r="X94" s="474">
        <f t="shared" si="18"/>
        <v>0</v>
      </c>
      <c r="Y94" s="474">
        <f t="shared" si="19"/>
        <v>0</v>
      </c>
      <c r="Z94" s="475">
        <f t="shared" si="20"/>
        <v>0</v>
      </c>
      <c r="AA94" s="475">
        <v>0</v>
      </c>
      <c r="AB94" s="476">
        <v>0</v>
      </c>
      <c r="AC94" s="38">
        <f t="shared" si="21"/>
        <v>0</v>
      </c>
      <c r="AD94" s="692">
        <f t="shared" si="15"/>
        <v>0</v>
      </c>
      <c r="AE94" s="692">
        <f t="shared" si="16"/>
        <v>0</v>
      </c>
      <c r="AF94" s="692">
        <f t="shared" si="17"/>
        <v>0</v>
      </c>
      <c r="AG94" s="38"/>
      <c r="AH94" s="692">
        <f t="shared" si="22"/>
        <v>0</v>
      </c>
      <c r="AI94" s="692">
        <f t="shared" si="23"/>
        <v>0</v>
      </c>
      <c r="AJ94" s="692">
        <f t="shared" si="24"/>
        <v>0</v>
      </c>
      <c r="AL94" s="38">
        <f t="shared" si="26"/>
        <v>0</v>
      </c>
    </row>
    <row r="95" spans="1:38">
      <c r="A95" s="21"/>
      <c r="B95" s="21" t="s">
        <v>110</v>
      </c>
      <c r="C95" s="666" t="s">
        <v>547</v>
      </c>
      <c r="D95" s="68" t="s">
        <v>202</v>
      </c>
      <c r="E95" s="679"/>
      <c r="F95" s="529">
        <f>VLOOKUP(D95,'June 2013 Revenue'!D:V,19,FALSE)</f>
        <v>0</v>
      </c>
      <c r="G95" s="680"/>
      <c r="H95" s="680"/>
      <c r="I95" s="755"/>
      <c r="J95" s="682">
        <f t="shared" si="14"/>
        <v>0</v>
      </c>
      <c r="K95" s="683"/>
      <c r="L95" s="684"/>
      <c r="M95" s="753"/>
      <c r="N95" s="683">
        <v>0</v>
      </c>
      <c r="O95" s="686"/>
      <c r="P95" s="683">
        <v>0</v>
      </c>
      <c r="Q95" s="687">
        <f t="shared" si="1"/>
        <v>0</v>
      </c>
      <c r="R95" s="687"/>
      <c r="S95" s="687"/>
      <c r="T95" s="688">
        <v>0</v>
      </c>
      <c r="U95" s="693"/>
      <c r="V95" s="690">
        <f t="shared" si="25"/>
        <v>0</v>
      </c>
      <c r="W95" s="683"/>
      <c r="X95" s="474">
        <f t="shared" si="18"/>
        <v>0</v>
      </c>
      <c r="Y95" s="474">
        <f t="shared" si="19"/>
        <v>0</v>
      </c>
      <c r="Z95" s="475">
        <f t="shared" si="20"/>
        <v>0</v>
      </c>
      <c r="AA95" s="475">
        <v>0</v>
      </c>
      <c r="AB95" s="476">
        <v>0</v>
      </c>
      <c r="AC95" s="38">
        <f t="shared" si="21"/>
        <v>0</v>
      </c>
      <c r="AD95" s="692">
        <f t="shared" si="15"/>
        <v>0</v>
      </c>
      <c r="AE95" s="692">
        <f t="shared" si="16"/>
        <v>0</v>
      </c>
      <c r="AF95" s="692">
        <f t="shared" si="17"/>
        <v>0</v>
      </c>
      <c r="AG95" s="38"/>
      <c r="AH95" s="692">
        <f t="shared" si="22"/>
        <v>0</v>
      </c>
      <c r="AI95" s="692">
        <f t="shared" si="23"/>
        <v>0</v>
      </c>
      <c r="AJ95" s="692">
        <f t="shared" si="24"/>
        <v>0</v>
      </c>
      <c r="AL95" s="38">
        <f t="shared" si="26"/>
        <v>0</v>
      </c>
    </row>
    <row r="96" spans="1:38">
      <c r="A96" s="20" t="s">
        <v>211</v>
      </c>
      <c r="B96" s="20" t="s">
        <v>110</v>
      </c>
      <c r="C96" s="667"/>
      <c r="D96" s="373" t="s">
        <v>466</v>
      </c>
      <c r="E96" s="679"/>
      <c r="F96" s="529">
        <f>VLOOKUP(D96,'June 2013 Revenue'!D:V,19,FALSE)</f>
        <v>0</v>
      </c>
      <c r="G96" s="680"/>
      <c r="H96" s="680"/>
      <c r="I96" s="770">
        <v>744.87</v>
      </c>
      <c r="J96" s="682">
        <f t="shared" si="14"/>
        <v>744.87</v>
      </c>
      <c r="K96" s="683"/>
      <c r="L96" s="684"/>
      <c r="M96" s="753"/>
      <c r="N96" s="683">
        <v>0</v>
      </c>
      <c r="O96" s="686"/>
      <c r="P96" s="683">
        <v>0</v>
      </c>
      <c r="Q96" s="687">
        <f t="shared" si="1"/>
        <v>0</v>
      </c>
      <c r="R96" s="687"/>
      <c r="S96" s="687"/>
      <c r="T96" s="688">
        <v>0</v>
      </c>
      <c r="U96" s="693"/>
      <c r="V96" s="690">
        <f t="shared" si="25"/>
        <v>0</v>
      </c>
      <c r="W96" s="683"/>
      <c r="X96" s="474">
        <f t="shared" si="18"/>
        <v>0</v>
      </c>
      <c r="Y96" s="474">
        <f t="shared" si="19"/>
        <v>0</v>
      </c>
      <c r="Z96" s="475">
        <f t="shared" si="20"/>
        <v>0</v>
      </c>
      <c r="AA96" s="475">
        <v>0</v>
      </c>
      <c r="AB96" s="476">
        <v>0</v>
      </c>
      <c r="AC96" s="38">
        <f t="shared" si="21"/>
        <v>0</v>
      </c>
      <c r="AD96" s="692">
        <f t="shared" si="15"/>
        <v>744.87</v>
      </c>
      <c r="AE96" s="692">
        <f t="shared" si="16"/>
        <v>0</v>
      </c>
      <c r="AF96" s="692">
        <f t="shared" si="17"/>
        <v>0</v>
      </c>
      <c r="AG96" s="38"/>
      <c r="AH96" s="692">
        <f t="shared" si="22"/>
        <v>0</v>
      </c>
      <c r="AI96" s="692">
        <f t="shared" si="23"/>
        <v>0</v>
      </c>
      <c r="AJ96" s="692">
        <f t="shared" si="24"/>
        <v>0</v>
      </c>
      <c r="AL96" s="38">
        <f t="shared" si="26"/>
        <v>744.87</v>
      </c>
    </row>
    <row r="97" spans="1:38">
      <c r="A97" s="20"/>
      <c r="B97" s="20" t="s">
        <v>110</v>
      </c>
      <c r="C97" s="667"/>
      <c r="D97" s="373" t="s">
        <v>627</v>
      </c>
      <c r="E97" s="679"/>
      <c r="F97" s="529">
        <f>VLOOKUP(D97,'June 2013 Revenue'!D:V,19,FALSE)</f>
        <v>0</v>
      </c>
      <c r="G97" s="680"/>
      <c r="H97" s="680"/>
      <c r="I97" s="755"/>
      <c r="J97" s="682">
        <f t="shared" si="14"/>
        <v>0</v>
      </c>
      <c r="K97" s="683"/>
      <c r="L97" s="684"/>
      <c r="M97" s="753"/>
      <c r="N97" s="683">
        <v>0</v>
      </c>
      <c r="O97" s="686"/>
      <c r="P97" s="683">
        <v>0</v>
      </c>
      <c r="Q97" s="687">
        <f t="shared" si="1"/>
        <v>0</v>
      </c>
      <c r="R97" s="687"/>
      <c r="S97" s="687"/>
      <c r="T97" s="688">
        <v>0</v>
      </c>
      <c r="U97" s="693"/>
      <c r="V97" s="690">
        <f t="shared" si="25"/>
        <v>0</v>
      </c>
      <c r="W97" s="683"/>
      <c r="X97" s="474">
        <f t="shared" si="18"/>
        <v>0</v>
      </c>
      <c r="Y97" s="474">
        <f t="shared" si="19"/>
        <v>0</v>
      </c>
      <c r="Z97" s="475">
        <f t="shared" si="20"/>
        <v>0</v>
      </c>
      <c r="AA97" s="475">
        <v>0</v>
      </c>
      <c r="AB97" s="476">
        <v>0</v>
      </c>
      <c r="AC97" s="38">
        <f t="shared" si="21"/>
        <v>0</v>
      </c>
      <c r="AD97" s="692">
        <f t="shared" si="15"/>
        <v>0</v>
      </c>
      <c r="AE97" s="692">
        <f t="shared" si="16"/>
        <v>0</v>
      </c>
      <c r="AF97" s="692">
        <f t="shared" si="17"/>
        <v>0</v>
      </c>
      <c r="AG97" s="38"/>
      <c r="AH97" s="692">
        <f t="shared" si="22"/>
        <v>0</v>
      </c>
      <c r="AI97" s="692">
        <f t="shared" si="23"/>
        <v>0</v>
      </c>
      <c r="AJ97" s="692">
        <f t="shared" si="24"/>
        <v>0</v>
      </c>
      <c r="AL97" s="38">
        <f t="shared" si="26"/>
        <v>0</v>
      </c>
    </row>
    <row r="98" spans="1:38" s="232" customFormat="1">
      <c r="A98" s="283"/>
      <c r="B98" s="283" t="s">
        <v>110</v>
      </c>
      <c r="C98" s="667"/>
      <c r="D98" s="123" t="s">
        <v>955</v>
      </c>
      <c r="E98" s="679"/>
      <c r="F98" s="529">
        <f>VLOOKUP(D98,'June 2013 Revenue'!D:V,19,FALSE)</f>
        <v>0</v>
      </c>
      <c r="G98" s="680"/>
      <c r="H98" s="680"/>
      <c r="I98" s="755"/>
      <c r="J98" s="682">
        <f t="shared" si="14"/>
        <v>0</v>
      </c>
      <c r="K98" s="683"/>
      <c r="L98" s="684"/>
      <c r="M98" s="753">
        <v>11200000</v>
      </c>
      <c r="N98" s="683">
        <v>0</v>
      </c>
      <c r="O98" s="686"/>
      <c r="P98" s="683">
        <v>0</v>
      </c>
      <c r="Q98" s="687">
        <f t="shared" si="1"/>
        <v>11200000</v>
      </c>
      <c r="R98" s="687"/>
      <c r="S98" s="687"/>
      <c r="T98" s="688">
        <v>11549914.050000001</v>
      </c>
      <c r="U98" s="693"/>
      <c r="V98" s="690">
        <f t="shared" si="25"/>
        <v>349914.05000000075</v>
      </c>
      <c r="W98" s="683"/>
      <c r="X98" s="474">
        <f t="shared" si="18"/>
        <v>11200000</v>
      </c>
      <c r="Y98" s="474">
        <f t="shared" si="19"/>
        <v>0</v>
      </c>
      <c r="Z98" s="475">
        <f t="shared" si="20"/>
        <v>0</v>
      </c>
      <c r="AA98" s="475">
        <v>0</v>
      </c>
      <c r="AB98" s="476">
        <v>0</v>
      </c>
      <c r="AC98" s="38">
        <f t="shared" si="21"/>
        <v>0</v>
      </c>
      <c r="AD98" s="692">
        <f t="shared" si="15"/>
        <v>0</v>
      </c>
      <c r="AE98" s="692">
        <f t="shared" si="16"/>
        <v>0</v>
      </c>
      <c r="AF98" s="692">
        <f t="shared" si="17"/>
        <v>0</v>
      </c>
      <c r="AG98" s="38"/>
      <c r="AH98" s="692">
        <f t="shared" si="22"/>
        <v>11200000</v>
      </c>
      <c r="AI98" s="692">
        <f t="shared" si="23"/>
        <v>0</v>
      </c>
      <c r="AJ98" s="692">
        <f t="shared" si="24"/>
        <v>0</v>
      </c>
      <c r="AL98" s="38">
        <f t="shared" si="26"/>
        <v>11200000</v>
      </c>
    </row>
    <row r="99" spans="1:38" s="232" customFormat="1" hidden="1">
      <c r="A99" s="283"/>
      <c r="B99" s="283" t="s">
        <v>110</v>
      </c>
      <c r="C99" s="667"/>
      <c r="D99" s="123" t="s">
        <v>331</v>
      </c>
      <c r="E99" s="679"/>
      <c r="F99" s="529">
        <f>VLOOKUP(D99,'June 2013 Revenue'!D:V,19,FALSE)</f>
        <v>0</v>
      </c>
      <c r="G99" s="680"/>
      <c r="H99" s="680"/>
      <c r="I99" s="755"/>
      <c r="J99" s="682">
        <f t="shared" si="14"/>
        <v>0</v>
      </c>
      <c r="K99" s="683"/>
      <c r="L99" s="684"/>
      <c r="M99" s="753"/>
      <c r="N99" s="683">
        <v>0</v>
      </c>
      <c r="O99" s="686"/>
      <c r="P99" s="683">
        <v>0</v>
      </c>
      <c r="Q99" s="687">
        <f t="shared" si="1"/>
        <v>0</v>
      </c>
      <c r="R99" s="687"/>
      <c r="S99" s="687"/>
      <c r="T99" s="688">
        <v>0</v>
      </c>
      <c r="U99" s="693"/>
      <c r="V99" s="690">
        <f t="shared" si="25"/>
        <v>0</v>
      </c>
      <c r="W99" s="683"/>
      <c r="X99" s="474">
        <f t="shared" si="18"/>
        <v>0</v>
      </c>
      <c r="Y99" s="474">
        <f t="shared" si="19"/>
        <v>0</v>
      </c>
      <c r="Z99" s="475">
        <f t="shared" si="20"/>
        <v>0</v>
      </c>
      <c r="AA99" s="475">
        <v>0</v>
      </c>
      <c r="AB99" s="476">
        <v>0</v>
      </c>
      <c r="AC99" s="38">
        <f t="shared" si="21"/>
        <v>0</v>
      </c>
      <c r="AD99" s="692">
        <f t="shared" si="15"/>
        <v>0</v>
      </c>
      <c r="AE99" s="692">
        <f t="shared" si="16"/>
        <v>0</v>
      </c>
      <c r="AF99" s="692">
        <f t="shared" si="17"/>
        <v>0</v>
      </c>
      <c r="AG99" s="38"/>
      <c r="AH99" s="692">
        <f t="shared" si="22"/>
        <v>0</v>
      </c>
      <c r="AI99" s="692">
        <f t="shared" si="23"/>
        <v>0</v>
      </c>
      <c r="AJ99" s="692">
        <f t="shared" si="24"/>
        <v>0</v>
      </c>
      <c r="AL99" s="38">
        <f t="shared" si="26"/>
        <v>0</v>
      </c>
    </row>
    <row r="100" spans="1:38" s="232" customFormat="1" hidden="1">
      <c r="A100" s="283"/>
      <c r="B100" s="283" t="s">
        <v>110</v>
      </c>
      <c r="C100" s="667"/>
      <c r="D100" s="413" t="s">
        <v>332</v>
      </c>
      <c r="E100" s="679"/>
      <c r="F100" s="529">
        <f>VLOOKUP(D100,'June 2013 Revenue'!D:V,19,FALSE)</f>
        <v>0</v>
      </c>
      <c r="G100" s="680"/>
      <c r="H100" s="680"/>
      <c r="I100" s="755"/>
      <c r="J100" s="682">
        <f t="shared" si="14"/>
        <v>0</v>
      </c>
      <c r="K100" s="683"/>
      <c r="L100" s="684"/>
      <c r="M100" s="753"/>
      <c r="N100" s="683">
        <v>0</v>
      </c>
      <c r="O100" s="686"/>
      <c r="P100" s="683">
        <v>0</v>
      </c>
      <c r="Q100" s="687">
        <f t="shared" si="1"/>
        <v>0</v>
      </c>
      <c r="R100" s="687"/>
      <c r="S100" s="687"/>
      <c r="T100" s="688">
        <v>0</v>
      </c>
      <c r="U100" s="693"/>
      <c r="V100" s="690">
        <f t="shared" si="25"/>
        <v>0</v>
      </c>
      <c r="W100" s="683"/>
      <c r="X100" s="474">
        <f t="shared" si="18"/>
        <v>0</v>
      </c>
      <c r="Y100" s="474">
        <f t="shared" si="19"/>
        <v>0</v>
      </c>
      <c r="Z100" s="475">
        <f t="shared" si="20"/>
        <v>0</v>
      </c>
      <c r="AA100" s="475">
        <v>0</v>
      </c>
      <c r="AB100" s="476">
        <v>0</v>
      </c>
      <c r="AC100" s="38">
        <f t="shared" si="21"/>
        <v>0</v>
      </c>
      <c r="AD100" s="692">
        <f t="shared" si="15"/>
        <v>0</v>
      </c>
      <c r="AE100" s="692">
        <f t="shared" si="16"/>
        <v>0</v>
      </c>
      <c r="AF100" s="692">
        <f t="shared" si="17"/>
        <v>0</v>
      </c>
      <c r="AG100" s="38"/>
      <c r="AH100" s="692">
        <f t="shared" si="22"/>
        <v>0</v>
      </c>
      <c r="AI100" s="692">
        <f t="shared" si="23"/>
        <v>0</v>
      </c>
      <c r="AJ100" s="692">
        <f t="shared" si="24"/>
        <v>0</v>
      </c>
      <c r="AL100" s="38">
        <f t="shared" si="26"/>
        <v>0</v>
      </c>
    </row>
    <row r="101" spans="1:38" s="232" customFormat="1" hidden="1">
      <c r="A101" s="283"/>
      <c r="B101" s="283" t="s">
        <v>110</v>
      </c>
      <c r="C101" s="667"/>
      <c r="D101" s="123" t="s">
        <v>333</v>
      </c>
      <c r="E101" s="679"/>
      <c r="F101" s="529">
        <f>VLOOKUP(D101,'June 2013 Revenue'!D:V,19,FALSE)</f>
        <v>0</v>
      </c>
      <c r="G101" s="680"/>
      <c r="H101" s="680"/>
      <c r="I101" s="755"/>
      <c r="J101" s="682">
        <f t="shared" si="14"/>
        <v>0</v>
      </c>
      <c r="K101" s="683"/>
      <c r="L101" s="684"/>
      <c r="M101" s="753"/>
      <c r="N101" s="683">
        <v>0</v>
      </c>
      <c r="O101" s="686"/>
      <c r="P101" s="683">
        <v>0</v>
      </c>
      <c r="Q101" s="687">
        <f t="shared" si="1"/>
        <v>0</v>
      </c>
      <c r="R101" s="687"/>
      <c r="S101" s="687"/>
      <c r="T101" s="688">
        <v>0</v>
      </c>
      <c r="U101" s="693"/>
      <c r="V101" s="690">
        <f t="shared" si="25"/>
        <v>0</v>
      </c>
      <c r="W101" s="683"/>
      <c r="X101" s="474">
        <f t="shared" si="18"/>
        <v>0</v>
      </c>
      <c r="Y101" s="474">
        <f t="shared" si="19"/>
        <v>0</v>
      </c>
      <c r="Z101" s="475">
        <f t="shared" si="20"/>
        <v>0</v>
      </c>
      <c r="AA101" s="475">
        <v>0</v>
      </c>
      <c r="AB101" s="476">
        <v>0</v>
      </c>
      <c r="AC101" s="38">
        <f t="shared" si="21"/>
        <v>0</v>
      </c>
      <c r="AD101" s="692">
        <f t="shared" si="15"/>
        <v>0</v>
      </c>
      <c r="AE101" s="692">
        <f t="shared" si="16"/>
        <v>0</v>
      </c>
      <c r="AF101" s="692">
        <f t="shared" si="17"/>
        <v>0</v>
      </c>
      <c r="AG101" s="38"/>
      <c r="AH101" s="692">
        <f t="shared" si="22"/>
        <v>0</v>
      </c>
      <c r="AI101" s="692">
        <f t="shared" si="23"/>
        <v>0</v>
      </c>
      <c r="AJ101" s="692">
        <f t="shared" si="24"/>
        <v>0</v>
      </c>
      <c r="AL101" s="38">
        <f t="shared" si="26"/>
        <v>0</v>
      </c>
    </row>
    <row r="102" spans="1:38" s="232" customFormat="1" hidden="1">
      <c r="A102" s="283"/>
      <c r="B102" s="283" t="s">
        <v>110</v>
      </c>
      <c r="C102" s="667"/>
      <c r="D102" s="123" t="s">
        <v>334</v>
      </c>
      <c r="E102" s="679"/>
      <c r="F102" s="529">
        <f>VLOOKUP(D102,'June 2013 Revenue'!D:V,19,FALSE)</f>
        <v>0</v>
      </c>
      <c r="G102" s="680"/>
      <c r="H102" s="680"/>
      <c r="I102" s="755"/>
      <c r="J102" s="682">
        <f t="shared" si="14"/>
        <v>0</v>
      </c>
      <c r="K102" s="683"/>
      <c r="L102" s="684"/>
      <c r="M102" s="753"/>
      <c r="N102" s="683">
        <v>0</v>
      </c>
      <c r="O102" s="686"/>
      <c r="P102" s="683">
        <v>0</v>
      </c>
      <c r="Q102" s="687">
        <f t="shared" si="1"/>
        <v>0</v>
      </c>
      <c r="R102" s="687"/>
      <c r="S102" s="687"/>
      <c r="T102" s="688">
        <v>0</v>
      </c>
      <c r="U102" s="693"/>
      <c r="V102" s="690">
        <f t="shared" si="25"/>
        <v>0</v>
      </c>
      <c r="W102" s="683"/>
      <c r="X102" s="474">
        <f t="shared" si="18"/>
        <v>0</v>
      </c>
      <c r="Y102" s="474">
        <f t="shared" si="19"/>
        <v>0</v>
      </c>
      <c r="Z102" s="475">
        <f t="shared" si="20"/>
        <v>0</v>
      </c>
      <c r="AA102" s="475">
        <v>0</v>
      </c>
      <c r="AB102" s="476">
        <v>0</v>
      </c>
      <c r="AC102" s="38">
        <f t="shared" si="21"/>
        <v>0</v>
      </c>
      <c r="AD102" s="692">
        <f t="shared" si="15"/>
        <v>0</v>
      </c>
      <c r="AE102" s="692">
        <f t="shared" si="16"/>
        <v>0</v>
      </c>
      <c r="AF102" s="692">
        <f t="shared" si="17"/>
        <v>0</v>
      </c>
      <c r="AG102" s="38"/>
      <c r="AH102" s="692">
        <f t="shared" si="22"/>
        <v>0</v>
      </c>
      <c r="AI102" s="692">
        <f t="shared" si="23"/>
        <v>0</v>
      </c>
      <c r="AJ102" s="692">
        <f t="shared" si="24"/>
        <v>0</v>
      </c>
      <c r="AL102" s="38">
        <f t="shared" si="26"/>
        <v>0</v>
      </c>
    </row>
    <row r="103" spans="1:38" s="232" customFormat="1" hidden="1">
      <c r="A103" s="283"/>
      <c r="B103" s="283" t="s">
        <v>110</v>
      </c>
      <c r="C103" s="667"/>
      <c r="D103" s="123" t="s">
        <v>335</v>
      </c>
      <c r="E103" s="679"/>
      <c r="F103" s="529">
        <f>VLOOKUP(D103,'June 2013 Revenue'!D:V,19,FALSE)</f>
        <v>0</v>
      </c>
      <c r="G103" s="680"/>
      <c r="H103" s="680"/>
      <c r="I103" s="755"/>
      <c r="J103" s="682">
        <f t="shared" si="14"/>
        <v>0</v>
      </c>
      <c r="K103" s="683"/>
      <c r="L103" s="684"/>
      <c r="M103" s="753"/>
      <c r="N103" s="683">
        <v>0</v>
      </c>
      <c r="O103" s="686"/>
      <c r="P103" s="683">
        <v>0</v>
      </c>
      <c r="Q103" s="687">
        <f t="shared" si="1"/>
        <v>0</v>
      </c>
      <c r="R103" s="687"/>
      <c r="S103" s="687"/>
      <c r="T103" s="688">
        <v>0</v>
      </c>
      <c r="U103" s="693"/>
      <c r="V103" s="690">
        <f t="shared" si="25"/>
        <v>0</v>
      </c>
      <c r="W103" s="683"/>
      <c r="X103" s="474">
        <f t="shared" si="18"/>
        <v>0</v>
      </c>
      <c r="Y103" s="474">
        <f t="shared" si="19"/>
        <v>0</v>
      </c>
      <c r="Z103" s="475">
        <f t="shared" si="20"/>
        <v>0</v>
      </c>
      <c r="AA103" s="475">
        <v>0</v>
      </c>
      <c r="AB103" s="476">
        <v>0</v>
      </c>
      <c r="AC103" s="38">
        <f t="shared" si="21"/>
        <v>0</v>
      </c>
      <c r="AD103" s="692">
        <f t="shared" si="15"/>
        <v>0</v>
      </c>
      <c r="AE103" s="692">
        <f t="shared" si="16"/>
        <v>0</v>
      </c>
      <c r="AF103" s="692">
        <f t="shared" si="17"/>
        <v>0</v>
      </c>
      <c r="AG103" s="38"/>
      <c r="AH103" s="692">
        <f t="shared" si="22"/>
        <v>0</v>
      </c>
      <c r="AI103" s="692">
        <f t="shared" si="23"/>
        <v>0</v>
      </c>
      <c r="AJ103" s="692">
        <f t="shared" si="24"/>
        <v>0</v>
      </c>
      <c r="AL103" s="38">
        <f t="shared" si="26"/>
        <v>0</v>
      </c>
    </row>
    <row r="104" spans="1:38" s="232" customFormat="1" hidden="1">
      <c r="A104" s="283"/>
      <c r="B104" s="283" t="s">
        <v>110</v>
      </c>
      <c r="C104" s="667"/>
      <c r="D104" s="123" t="s">
        <v>336</v>
      </c>
      <c r="E104" s="679"/>
      <c r="F104" s="529">
        <f>VLOOKUP(D104,'June 2013 Revenue'!D:V,19,FALSE)</f>
        <v>0</v>
      </c>
      <c r="G104" s="680"/>
      <c r="H104" s="680"/>
      <c r="I104" s="755"/>
      <c r="J104" s="682">
        <f t="shared" si="14"/>
        <v>0</v>
      </c>
      <c r="K104" s="683"/>
      <c r="L104" s="684"/>
      <c r="M104" s="753"/>
      <c r="N104" s="683">
        <v>0</v>
      </c>
      <c r="O104" s="686"/>
      <c r="P104" s="683">
        <v>0</v>
      </c>
      <c r="Q104" s="687">
        <f t="shared" si="1"/>
        <v>0</v>
      </c>
      <c r="R104" s="687"/>
      <c r="S104" s="687"/>
      <c r="T104" s="688">
        <v>0</v>
      </c>
      <c r="U104" s="693"/>
      <c r="V104" s="690">
        <f t="shared" si="25"/>
        <v>0</v>
      </c>
      <c r="W104" s="683"/>
      <c r="X104" s="474">
        <f t="shared" si="18"/>
        <v>0</v>
      </c>
      <c r="Y104" s="474">
        <f t="shared" si="19"/>
        <v>0</v>
      </c>
      <c r="Z104" s="475">
        <f t="shared" si="20"/>
        <v>0</v>
      </c>
      <c r="AA104" s="475">
        <v>0</v>
      </c>
      <c r="AB104" s="476">
        <v>0</v>
      </c>
      <c r="AC104" s="38">
        <f t="shared" si="21"/>
        <v>0</v>
      </c>
      <c r="AD104" s="692">
        <f t="shared" si="15"/>
        <v>0</v>
      </c>
      <c r="AE104" s="692">
        <f t="shared" si="16"/>
        <v>0</v>
      </c>
      <c r="AF104" s="692">
        <f t="shared" si="17"/>
        <v>0</v>
      </c>
      <c r="AG104" s="38"/>
      <c r="AH104" s="692">
        <f t="shared" si="22"/>
        <v>0</v>
      </c>
      <c r="AI104" s="692">
        <f t="shared" si="23"/>
        <v>0</v>
      </c>
      <c r="AJ104" s="692">
        <f t="shared" si="24"/>
        <v>0</v>
      </c>
      <c r="AL104" s="38">
        <f t="shared" si="26"/>
        <v>0</v>
      </c>
    </row>
    <row r="105" spans="1:38" s="232" customFormat="1" hidden="1">
      <c r="A105" s="283"/>
      <c r="B105" s="283" t="s">
        <v>110</v>
      </c>
      <c r="C105" s="667"/>
      <c r="D105" s="123" t="s">
        <v>337</v>
      </c>
      <c r="E105" s="679"/>
      <c r="F105" s="529">
        <f>VLOOKUP(D105,'June 2013 Revenue'!D:V,19,FALSE)</f>
        <v>0</v>
      </c>
      <c r="G105" s="680"/>
      <c r="H105" s="680"/>
      <c r="I105" s="755"/>
      <c r="J105" s="682">
        <f t="shared" si="14"/>
        <v>0</v>
      </c>
      <c r="K105" s="683"/>
      <c r="L105" s="684"/>
      <c r="M105" s="753"/>
      <c r="N105" s="683">
        <v>0</v>
      </c>
      <c r="O105" s="686"/>
      <c r="P105" s="683">
        <v>0</v>
      </c>
      <c r="Q105" s="687">
        <f t="shared" si="1"/>
        <v>0</v>
      </c>
      <c r="R105" s="687"/>
      <c r="S105" s="687"/>
      <c r="T105" s="688">
        <v>0</v>
      </c>
      <c r="U105" s="693"/>
      <c r="V105" s="690">
        <f t="shared" si="25"/>
        <v>0</v>
      </c>
      <c r="W105" s="683"/>
      <c r="X105" s="474">
        <f t="shared" si="18"/>
        <v>0</v>
      </c>
      <c r="Y105" s="474">
        <f t="shared" si="19"/>
        <v>0</v>
      </c>
      <c r="Z105" s="475">
        <f t="shared" si="20"/>
        <v>0</v>
      </c>
      <c r="AA105" s="475">
        <v>0</v>
      </c>
      <c r="AB105" s="476">
        <v>0</v>
      </c>
      <c r="AC105" s="38">
        <f t="shared" si="21"/>
        <v>0</v>
      </c>
      <c r="AD105" s="692">
        <f t="shared" si="15"/>
        <v>0</v>
      </c>
      <c r="AE105" s="692">
        <f t="shared" si="16"/>
        <v>0</v>
      </c>
      <c r="AF105" s="692">
        <f t="shared" si="17"/>
        <v>0</v>
      </c>
      <c r="AG105" s="38"/>
      <c r="AH105" s="692">
        <f t="shared" si="22"/>
        <v>0</v>
      </c>
      <c r="AI105" s="692">
        <f t="shared" si="23"/>
        <v>0</v>
      </c>
      <c r="AJ105" s="692">
        <f t="shared" si="24"/>
        <v>0</v>
      </c>
      <c r="AL105" s="38">
        <f t="shared" si="26"/>
        <v>0</v>
      </c>
    </row>
    <row r="106" spans="1:38" s="232" customFormat="1" hidden="1">
      <c r="A106" s="283"/>
      <c r="B106" s="283" t="s">
        <v>110</v>
      </c>
      <c r="C106" s="667"/>
      <c r="D106" s="123" t="s">
        <v>338</v>
      </c>
      <c r="E106" s="679"/>
      <c r="F106" s="529">
        <f>VLOOKUP(D106,'June 2013 Revenue'!D:V,19,FALSE)</f>
        <v>0</v>
      </c>
      <c r="G106" s="680"/>
      <c r="H106" s="680"/>
      <c r="I106" s="755"/>
      <c r="J106" s="682">
        <f t="shared" si="14"/>
        <v>0</v>
      </c>
      <c r="K106" s="683"/>
      <c r="L106" s="684"/>
      <c r="M106" s="753"/>
      <c r="N106" s="683">
        <v>0</v>
      </c>
      <c r="O106" s="686"/>
      <c r="P106" s="683">
        <v>0</v>
      </c>
      <c r="Q106" s="687">
        <f t="shared" si="1"/>
        <v>0</v>
      </c>
      <c r="R106" s="687"/>
      <c r="S106" s="687"/>
      <c r="T106" s="688">
        <v>0</v>
      </c>
      <c r="U106" s="693"/>
      <c r="V106" s="690">
        <f t="shared" si="25"/>
        <v>0</v>
      </c>
      <c r="W106" s="683"/>
      <c r="X106" s="474">
        <f t="shared" si="18"/>
        <v>0</v>
      </c>
      <c r="Y106" s="474">
        <f t="shared" si="19"/>
        <v>0</v>
      </c>
      <c r="Z106" s="475">
        <f t="shared" si="20"/>
        <v>0</v>
      </c>
      <c r="AA106" s="475">
        <v>0</v>
      </c>
      <c r="AB106" s="476">
        <v>0</v>
      </c>
      <c r="AC106" s="38">
        <f t="shared" si="21"/>
        <v>0</v>
      </c>
      <c r="AD106" s="692">
        <f t="shared" si="15"/>
        <v>0</v>
      </c>
      <c r="AE106" s="692">
        <f t="shared" si="16"/>
        <v>0</v>
      </c>
      <c r="AF106" s="692">
        <f t="shared" si="17"/>
        <v>0</v>
      </c>
      <c r="AG106" s="38"/>
      <c r="AH106" s="692">
        <f t="shared" si="22"/>
        <v>0</v>
      </c>
      <c r="AI106" s="692">
        <f t="shared" si="23"/>
        <v>0</v>
      </c>
      <c r="AJ106" s="692">
        <f t="shared" si="24"/>
        <v>0</v>
      </c>
      <c r="AL106" s="38">
        <f t="shared" si="26"/>
        <v>0</v>
      </c>
    </row>
    <row r="107" spans="1:38" s="232" customFormat="1" hidden="1">
      <c r="A107" s="283"/>
      <c r="B107" s="283" t="s">
        <v>110</v>
      </c>
      <c r="C107" s="667"/>
      <c r="D107" s="123" t="s">
        <v>339</v>
      </c>
      <c r="E107" s="679"/>
      <c r="F107" s="529">
        <f>VLOOKUP(D107,'June 2013 Revenue'!D:V,19,FALSE)</f>
        <v>0</v>
      </c>
      <c r="G107" s="680"/>
      <c r="H107" s="680"/>
      <c r="I107" s="755"/>
      <c r="J107" s="682">
        <f t="shared" si="14"/>
        <v>0</v>
      </c>
      <c r="K107" s="683"/>
      <c r="L107" s="684"/>
      <c r="M107" s="753"/>
      <c r="N107" s="683">
        <v>0</v>
      </c>
      <c r="O107" s="686"/>
      <c r="P107" s="683">
        <v>0</v>
      </c>
      <c r="Q107" s="687">
        <f t="shared" si="1"/>
        <v>0</v>
      </c>
      <c r="R107" s="687"/>
      <c r="S107" s="687"/>
      <c r="T107" s="688">
        <v>0</v>
      </c>
      <c r="U107" s="693"/>
      <c r="V107" s="690">
        <f t="shared" si="25"/>
        <v>0</v>
      </c>
      <c r="W107" s="683"/>
      <c r="X107" s="474">
        <f t="shared" si="18"/>
        <v>0</v>
      </c>
      <c r="Y107" s="474">
        <f t="shared" si="19"/>
        <v>0</v>
      </c>
      <c r="Z107" s="475">
        <f t="shared" si="20"/>
        <v>0</v>
      </c>
      <c r="AA107" s="475">
        <v>0</v>
      </c>
      <c r="AB107" s="476">
        <v>0</v>
      </c>
      <c r="AC107" s="38">
        <f t="shared" si="21"/>
        <v>0</v>
      </c>
      <c r="AD107" s="692">
        <f t="shared" si="15"/>
        <v>0</v>
      </c>
      <c r="AE107" s="692">
        <f t="shared" si="16"/>
        <v>0</v>
      </c>
      <c r="AF107" s="692">
        <f t="shared" si="17"/>
        <v>0</v>
      </c>
      <c r="AG107" s="38"/>
      <c r="AH107" s="692">
        <f t="shared" si="22"/>
        <v>0</v>
      </c>
      <c r="AI107" s="692">
        <f t="shared" si="23"/>
        <v>0</v>
      </c>
      <c r="AJ107" s="692">
        <f t="shared" si="24"/>
        <v>0</v>
      </c>
      <c r="AL107" s="38">
        <f t="shared" si="26"/>
        <v>0</v>
      </c>
    </row>
    <row r="108" spans="1:38" s="232" customFormat="1" hidden="1">
      <c r="A108" s="283"/>
      <c r="B108" s="283" t="s">
        <v>110</v>
      </c>
      <c r="C108" s="667"/>
      <c r="D108" s="123" t="s">
        <v>340</v>
      </c>
      <c r="E108" s="679"/>
      <c r="F108" s="529">
        <f>VLOOKUP(D108,'June 2013 Revenue'!D:V,19,FALSE)</f>
        <v>0</v>
      </c>
      <c r="G108" s="680"/>
      <c r="H108" s="680"/>
      <c r="I108" s="755"/>
      <c r="J108" s="682">
        <f t="shared" si="14"/>
        <v>0</v>
      </c>
      <c r="K108" s="683"/>
      <c r="L108" s="684"/>
      <c r="M108" s="753"/>
      <c r="N108" s="683">
        <v>0</v>
      </c>
      <c r="O108" s="686"/>
      <c r="P108" s="683">
        <v>0</v>
      </c>
      <c r="Q108" s="687">
        <f t="shared" si="1"/>
        <v>0</v>
      </c>
      <c r="R108" s="687"/>
      <c r="S108" s="687"/>
      <c r="T108" s="688">
        <v>0</v>
      </c>
      <c r="U108" s="693"/>
      <c r="V108" s="690">
        <f t="shared" si="25"/>
        <v>0</v>
      </c>
      <c r="W108" s="683"/>
      <c r="X108" s="474">
        <f t="shared" si="18"/>
        <v>0</v>
      </c>
      <c r="Y108" s="474">
        <f t="shared" si="19"/>
        <v>0</v>
      </c>
      <c r="Z108" s="475">
        <f t="shared" si="20"/>
        <v>0</v>
      </c>
      <c r="AA108" s="475">
        <v>0</v>
      </c>
      <c r="AB108" s="476">
        <v>0</v>
      </c>
      <c r="AC108" s="38">
        <f t="shared" si="21"/>
        <v>0</v>
      </c>
      <c r="AD108" s="692">
        <f t="shared" si="15"/>
        <v>0</v>
      </c>
      <c r="AE108" s="692">
        <f t="shared" si="16"/>
        <v>0</v>
      </c>
      <c r="AF108" s="692">
        <f t="shared" si="17"/>
        <v>0</v>
      </c>
      <c r="AG108" s="38"/>
      <c r="AH108" s="692">
        <f t="shared" si="22"/>
        <v>0</v>
      </c>
      <c r="AI108" s="692">
        <f t="shared" si="23"/>
        <v>0</v>
      </c>
      <c r="AJ108" s="692">
        <f t="shared" si="24"/>
        <v>0</v>
      </c>
      <c r="AL108" s="38">
        <f t="shared" si="26"/>
        <v>0</v>
      </c>
    </row>
    <row r="109" spans="1:38" s="232" customFormat="1" hidden="1">
      <c r="A109" s="283"/>
      <c r="B109" s="283" t="s">
        <v>110</v>
      </c>
      <c r="C109" s="667"/>
      <c r="D109" s="123" t="s">
        <v>439</v>
      </c>
      <c r="E109" s="679"/>
      <c r="F109" s="529">
        <f>VLOOKUP(D109,'June 2013 Revenue'!D:V,19,FALSE)</f>
        <v>0</v>
      </c>
      <c r="G109" s="680"/>
      <c r="H109" s="680"/>
      <c r="I109" s="755"/>
      <c r="J109" s="682">
        <f t="shared" si="14"/>
        <v>0</v>
      </c>
      <c r="K109" s="683"/>
      <c r="L109" s="684"/>
      <c r="M109" s="753"/>
      <c r="N109" s="683">
        <v>0</v>
      </c>
      <c r="O109" s="686"/>
      <c r="P109" s="683">
        <v>0</v>
      </c>
      <c r="Q109" s="687">
        <f t="shared" si="1"/>
        <v>0</v>
      </c>
      <c r="R109" s="687"/>
      <c r="S109" s="687"/>
      <c r="T109" s="688">
        <v>0</v>
      </c>
      <c r="U109" s="693"/>
      <c r="V109" s="690">
        <f t="shared" si="25"/>
        <v>0</v>
      </c>
      <c r="W109" s="683"/>
      <c r="X109" s="474">
        <f t="shared" si="18"/>
        <v>0</v>
      </c>
      <c r="Y109" s="474">
        <f t="shared" si="19"/>
        <v>0</v>
      </c>
      <c r="Z109" s="475">
        <f t="shared" si="20"/>
        <v>0</v>
      </c>
      <c r="AA109" s="475">
        <v>0</v>
      </c>
      <c r="AB109" s="476">
        <v>0</v>
      </c>
      <c r="AC109" s="38">
        <f t="shared" si="21"/>
        <v>0</v>
      </c>
      <c r="AD109" s="692">
        <f t="shared" si="15"/>
        <v>0</v>
      </c>
      <c r="AE109" s="692">
        <f t="shared" si="16"/>
        <v>0</v>
      </c>
      <c r="AF109" s="692">
        <f t="shared" si="17"/>
        <v>0</v>
      </c>
      <c r="AG109" s="38"/>
      <c r="AH109" s="692">
        <f t="shared" si="22"/>
        <v>0</v>
      </c>
      <c r="AI109" s="692">
        <f t="shared" si="23"/>
        <v>0</v>
      </c>
      <c r="AJ109" s="692">
        <f t="shared" si="24"/>
        <v>0</v>
      </c>
      <c r="AL109" s="38">
        <f t="shared" si="26"/>
        <v>0</v>
      </c>
    </row>
    <row r="110" spans="1:38" s="232" customFormat="1" hidden="1">
      <c r="A110" s="283"/>
      <c r="B110" s="283" t="s">
        <v>110</v>
      </c>
      <c r="C110" s="667"/>
      <c r="D110" s="123" t="s">
        <v>592</v>
      </c>
      <c r="E110" s="679"/>
      <c r="F110" s="529">
        <f>VLOOKUP(D110,'June 2013 Revenue'!D:V,19,FALSE)</f>
        <v>0</v>
      </c>
      <c r="G110" s="680"/>
      <c r="H110" s="680"/>
      <c r="I110" s="755"/>
      <c r="J110" s="682">
        <f t="shared" si="14"/>
        <v>0</v>
      </c>
      <c r="K110" s="683"/>
      <c r="L110" s="684"/>
      <c r="M110" s="753"/>
      <c r="N110" s="683">
        <v>0</v>
      </c>
      <c r="O110" s="686"/>
      <c r="P110" s="683">
        <v>0</v>
      </c>
      <c r="Q110" s="687">
        <f t="shared" si="1"/>
        <v>0</v>
      </c>
      <c r="R110" s="687"/>
      <c r="S110" s="687"/>
      <c r="T110" s="688">
        <v>0</v>
      </c>
      <c r="U110" s="693"/>
      <c r="V110" s="690">
        <f t="shared" si="25"/>
        <v>0</v>
      </c>
      <c r="W110" s="683"/>
      <c r="X110" s="474">
        <f t="shared" si="18"/>
        <v>0</v>
      </c>
      <c r="Y110" s="474">
        <f t="shared" si="19"/>
        <v>0</v>
      </c>
      <c r="Z110" s="475">
        <f t="shared" si="20"/>
        <v>0</v>
      </c>
      <c r="AA110" s="475">
        <v>0</v>
      </c>
      <c r="AB110" s="476">
        <v>0</v>
      </c>
      <c r="AC110" s="38">
        <f t="shared" si="21"/>
        <v>0</v>
      </c>
      <c r="AD110" s="692">
        <f t="shared" si="15"/>
        <v>0</v>
      </c>
      <c r="AE110" s="692">
        <f t="shared" si="16"/>
        <v>0</v>
      </c>
      <c r="AF110" s="692">
        <f t="shared" si="17"/>
        <v>0</v>
      </c>
      <c r="AG110" s="38"/>
      <c r="AH110" s="692">
        <f t="shared" si="22"/>
        <v>0</v>
      </c>
      <c r="AI110" s="692">
        <f t="shared" si="23"/>
        <v>0</v>
      </c>
      <c r="AJ110" s="692">
        <f t="shared" si="24"/>
        <v>0</v>
      </c>
      <c r="AL110" s="38">
        <f t="shared" si="26"/>
        <v>0</v>
      </c>
    </row>
    <row r="111" spans="1:38" s="232" customFormat="1" hidden="1">
      <c r="A111" s="283"/>
      <c r="B111" s="283" t="s">
        <v>110</v>
      </c>
      <c r="C111" s="667"/>
      <c r="D111" s="123" t="s">
        <v>512</v>
      </c>
      <c r="E111" s="679"/>
      <c r="F111" s="529">
        <f>VLOOKUP(D111,'June 2013 Revenue'!D:V,19,FALSE)</f>
        <v>0</v>
      </c>
      <c r="G111" s="680"/>
      <c r="H111" s="680"/>
      <c r="I111" s="755"/>
      <c r="J111" s="682">
        <f t="shared" si="14"/>
        <v>0</v>
      </c>
      <c r="K111" s="683"/>
      <c r="L111" s="684"/>
      <c r="M111" s="753"/>
      <c r="N111" s="683">
        <v>0</v>
      </c>
      <c r="O111" s="686"/>
      <c r="P111" s="683"/>
      <c r="Q111" s="687">
        <f t="shared" si="1"/>
        <v>0</v>
      </c>
      <c r="R111" s="687"/>
      <c r="S111" s="687"/>
      <c r="T111" s="688">
        <v>0</v>
      </c>
      <c r="U111" s="693"/>
      <c r="V111" s="690">
        <f t="shared" si="25"/>
        <v>0</v>
      </c>
      <c r="W111" s="683"/>
      <c r="X111" s="474">
        <f t="shared" si="18"/>
        <v>0</v>
      </c>
      <c r="Y111" s="474">
        <f t="shared" si="19"/>
        <v>0</v>
      </c>
      <c r="Z111" s="475">
        <f t="shared" si="20"/>
        <v>0</v>
      </c>
      <c r="AA111" s="475">
        <v>0</v>
      </c>
      <c r="AB111" s="476">
        <v>0</v>
      </c>
      <c r="AC111" s="38">
        <f t="shared" si="21"/>
        <v>0</v>
      </c>
      <c r="AD111" s="692">
        <f t="shared" si="15"/>
        <v>0</v>
      </c>
      <c r="AE111" s="692">
        <f t="shared" si="16"/>
        <v>0</v>
      </c>
      <c r="AF111" s="692">
        <f t="shared" si="17"/>
        <v>0</v>
      </c>
      <c r="AG111" s="38"/>
      <c r="AH111" s="692">
        <f t="shared" si="22"/>
        <v>0</v>
      </c>
      <c r="AI111" s="692">
        <f t="shared" si="23"/>
        <v>0</v>
      </c>
      <c r="AJ111" s="692">
        <f t="shared" si="24"/>
        <v>0</v>
      </c>
      <c r="AL111" s="38">
        <f t="shared" si="26"/>
        <v>0</v>
      </c>
    </row>
    <row r="112" spans="1:38" s="24" customFormat="1">
      <c r="A112" s="32"/>
      <c r="B112" s="32" t="s">
        <v>110</v>
      </c>
      <c r="C112" s="667"/>
      <c r="D112" s="68" t="s">
        <v>588</v>
      </c>
      <c r="E112" s="679"/>
      <c r="F112" s="529">
        <f>VLOOKUP(D112,'June 2013 Revenue'!D:V,19,FALSE)</f>
        <v>0</v>
      </c>
      <c r="G112" s="680"/>
      <c r="H112" s="680"/>
      <c r="I112" s="755"/>
      <c r="J112" s="682">
        <f t="shared" si="14"/>
        <v>0</v>
      </c>
      <c r="K112" s="683"/>
      <c r="L112" s="684"/>
      <c r="M112" s="753"/>
      <c r="N112" s="698"/>
      <c r="O112" s="699"/>
      <c r="P112" s="698"/>
      <c r="Q112" s="687">
        <f t="shared" si="1"/>
        <v>0</v>
      </c>
      <c r="R112" s="687"/>
      <c r="S112" s="687"/>
      <c r="T112" s="688">
        <v>0</v>
      </c>
      <c r="U112" s="693"/>
      <c r="V112" s="690">
        <f t="shared" si="25"/>
        <v>0</v>
      </c>
      <c r="W112" s="683"/>
      <c r="X112" s="474">
        <f t="shared" si="18"/>
        <v>0</v>
      </c>
      <c r="Y112" s="474">
        <f t="shared" si="19"/>
        <v>0</v>
      </c>
      <c r="Z112" s="475">
        <f t="shared" si="20"/>
        <v>0</v>
      </c>
      <c r="AA112" s="475">
        <v>0</v>
      </c>
      <c r="AB112" s="476">
        <v>0</v>
      </c>
      <c r="AC112" s="38">
        <f t="shared" si="21"/>
        <v>0</v>
      </c>
      <c r="AD112" s="692">
        <f t="shared" si="15"/>
        <v>0</v>
      </c>
      <c r="AE112" s="692">
        <f t="shared" si="16"/>
        <v>0</v>
      </c>
      <c r="AF112" s="692">
        <f t="shared" si="17"/>
        <v>0</v>
      </c>
      <c r="AG112" s="38"/>
      <c r="AH112" s="692">
        <f t="shared" si="22"/>
        <v>0</v>
      </c>
      <c r="AI112" s="692">
        <f t="shared" si="23"/>
        <v>0</v>
      </c>
      <c r="AJ112" s="692">
        <f t="shared" si="24"/>
        <v>0</v>
      </c>
      <c r="AL112" s="38">
        <f t="shared" si="26"/>
        <v>0</v>
      </c>
    </row>
    <row r="113" spans="1:38" s="24" customFormat="1">
      <c r="A113" s="32"/>
      <c r="B113" s="32" t="s">
        <v>110</v>
      </c>
      <c r="C113" s="667"/>
      <c r="D113" s="68" t="s">
        <v>935</v>
      </c>
      <c r="E113" s="679"/>
      <c r="F113" s="529">
        <f>VLOOKUP(D113,'June 2013 Revenue'!D:V,19,FALSE)</f>
        <v>-7000</v>
      </c>
      <c r="G113" s="680"/>
      <c r="H113" s="680"/>
      <c r="I113" s="755"/>
      <c r="J113" s="682">
        <f t="shared" si="14"/>
        <v>-7000</v>
      </c>
      <c r="K113" s="683"/>
      <c r="L113" s="684"/>
      <c r="M113" s="753">
        <v>14000</v>
      </c>
      <c r="N113" s="698"/>
      <c r="O113" s="699"/>
      <c r="P113" s="698"/>
      <c r="Q113" s="687">
        <f t="shared" si="1"/>
        <v>14000</v>
      </c>
      <c r="R113" s="687"/>
      <c r="S113" s="687"/>
      <c r="T113" s="688">
        <v>0</v>
      </c>
      <c r="U113" s="693"/>
      <c r="V113" s="690">
        <f t="shared" si="25"/>
        <v>-14000</v>
      </c>
      <c r="W113" s="683"/>
      <c r="X113" s="474">
        <f t="shared" si="18"/>
        <v>14000</v>
      </c>
      <c r="Y113" s="474">
        <f t="shared" si="19"/>
        <v>0</v>
      </c>
      <c r="Z113" s="475">
        <f t="shared" si="20"/>
        <v>0</v>
      </c>
      <c r="AA113" s="475">
        <v>0</v>
      </c>
      <c r="AB113" s="476">
        <v>0</v>
      </c>
      <c r="AC113" s="38">
        <f t="shared" si="21"/>
        <v>0</v>
      </c>
      <c r="AD113" s="692">
        <f t="shared" si="15"/>
        <v>-7000</v>
      </c>
      <c r="AE113" s="692">
        <f t="shared" si="16"/>
        <v>0</v>
      </c>
      <c r="AF113" s="692">
        <f t="shared" si="17"/>
        <v>0</v>
      </c>
      <c r="AG113" s="38"/>
      <c r="AH113" s="692">
        <f t="shared" si="22"/>
        <v>14000</v>
      </c>
      <c r="AI113" s="692">
        <f t="shared" si="23"/>
        <v>0</v>
      </c>
      <c r="AJ113" s="692">
        <f t="shared" si="24"/>
        <v>0</v>
      </c>
      <c r="AL113" s="38">
        <f t="shared" si="26"/>
        <v>7000</v>
      </c>
    </row>
    <row r="114" spans="1:38">
      <c r="A114" s="21"/>
      <c r="B114" s="21" t="s">
        <v>109</v>
      </c>
      <c r="C114" s="666" t="s">
        <v>548</v>
      </c>
      <c r="D114" s="68" t="s">
        <v>461</v>
      </c>
      <c r="E114" s="679"/>
      <c r="F114" s="529">
        <f>VLOOKUP(D114,'June 2013 Revenue'!D:V,19,FALSE)</f>
        <v>3933.91</v>
      </c>
      <c r="G114" s="680"/>
      <c r="H114" s="680"/>
      <c r="I114" s="755"/>
      <c r="J114" s="682">
        <f t="shared" si="14"/>
        <v>3933.91</v>
      </c>
      <c r="K114" s="683"/>
      <c r="L114" s="684"/>
      <c r="M114" s="753"/>
      <c r="N114" s="683">
        <v>0</v>
      </c>
      <c r="O114" s="686"/>
      <c r="P114" s="683">
        <v>0</v>
      </c>
      <c r="Q114" s="687">
        <f t="shared" si="1"/>
        <v>0</v>
      </c>
      <c r="R114" s="687"/>
      <c r="S114" s="687"/>
      <c r="T114" s="688">
        <v>2677.47</v>
      </c>
      <c r="U114" s="693"/>
      <c r="V114" s="690">
        <f t="shared" si="25"/>
        <v>2677.47</v>
      </c>
      <c r="W114" s="683"/>
      <c r="X114" s="474">
        <f t="shared" si="18"/>
        <v>0</v>
      </c>
      <c r="Y114" s="474">
        <f t="shared" si="19"/>
        <v>0</v>
      </c>
      <c r="Z114" s="475">
        <f t="shared" si="20"/>
        <v>0</v>
      </c>
      <c r="AA114" s="475">
        <v>0</v>
      </c>
      <c r="AB114" s="476">
        <v>0</v>
      </c>
      <c r="AC114" s="38">
        <f t="shared" si="21"/>
        <v>0</v>
      </c>
      <c r="AD114" s="692">
        <f t="shared" si="15"/>
        <v>0</v>
      </c>
      <c r="AE114" s="692">
        <f t="shared" si="16"/>
        <v>3933.91</v>
      </c>
      <c r="AF114" s="692">
        <f t="shared" si="17"/>
        <v>0</v>
      </c>
      <c r="AG114" s="38"/>
      <c r="AH114" s="692">
        <f t="shared" si="22"/>
        <v>0</v>
      </c>
      <c r="AI114" s="692">
        <f t="shared" si="23"/>
        <v>0</v>
      </c>
      <c r="AJ114" s="692">
        <f t="shared" si="24"/>
        <v>0</v>
      </c>
      <c r="AL114" s="38">
        <f t="shared" si="26"/>
        <v>3933.91</v>
      </c>
    </row>
    <row r="115" spans="1:38">
      <c r="A115" s="20"/>
      <c r="B115" s="20" t="s">
        <v>109</v>
      </c>
      <c r="C115" s="667" t="s">
        <v>549</v>
      </c>
      <c r="D115" s="68" t="s">
        <v>22</v>
      </c>
      <c r="E115" s="679"/>
      <c r="F115" s="529">
        <f>VLOOKUP(D115,'June 2013 Revenue'!D:V,19,FALSE)</f>
        <v>0</v>
      </c>
      <c r="G115" s="680"/>
      <c r="H115" s="680"/>
      <c r="I115" s="755"/>
      <c r="J115" s="682">
        <f t="shared" si="14"/>
        <v>0</v>
      </c>
      <c r="K115" s="683"/>
      <c r="L115" s="684"/>
      <c r="M115" s="753"/>
      <c r="N115" s="683">
        <v>0</v>
      </c>
      <c r="O115" s="686"/>
      <c r="P115" s="683">
        <v>0</v>
      </c>
      <c r="Q115" s="687">
        <f t="shared" si="1"/>
        <v>0</v>
      </c>
      <c r="R115" s="687"/>
      <c r="S115" s="687"/>
      <c r="T115" s="688">
        <v>0</v>
      </c>
      <c r="U115" s="693"/>
      <c r="V115" s="690">
        <f t="shared" si="25"/>
        <v>0</v>
      </c>
      <c r="W115" s="683"/>
      <c r="X115" s="474">
        <f t="shared" si="18"/>
        <v>0</v>
      </c>
      <c r="Y115" s="474">
        <f t="shared" si="19"/>
        <v>0</v>
      </c>
      <c r="Z115" s="475">
        <f t="shared" si="20"/>
        <v>0</v>
      </c>
      <c r="AA115" s="475">
        <v>0</v>
      </c>
      <c r="AB115" s="476">
        <v>0</v>
      </c>
      <c r="AC115" s="38">
        <f t="shared" si="21"/>
        <v>0</v>
      </c>
      <c r="AD115" s="692">
        <f t="shared" si="15"/>
        <v>0</v>
      </c>
      <c r="AE115" s="692">
        <f t="shared" si="16"/>
        <v>0</v>
      </c>
      <c r="AF115" s="692">
        <f t="shared" si="17"/>
        <v>0</v>
      </c>
      <c r="AG115" s="38"/>
      <c r="AH115" s="692">
        <f t="shared" si="22"/>
        <v>0</v>
      </c>
      <c r="AI115" s="692">
        <f t="shared" si="23"/>
        <v>0</v>
      </c>
      <c r="AJ115" s="692">
        <f t="shared" si="24"/>
        <v>0</v>
      </c>
      <c r="AL115" s="38">
        <f t="shared" si="26"/>
        <v>0</v>
      </c>
    </row>
    <row r="116" spans="1:38">
      <c r="A116" s="20"/>
      <c r="B116" s="20" t="s">
        <v>110</v>
      </c>
      <c r="C116" s="667"/>
      <c r="D116" s="68" t="s">
        <v>24</v>
      </c>
      <c r="E116" s="679"/>
      <c r="F116" s="529">
        <f>VLOOKUP(D116,'June 2013 Revenue'!D:V,19,FALSE)</f>
        <v>0</v>
      </c>
      <c r="G116" s="680"/>
      <c r="H116" s="680"/>
      <c r="I116" s="755"/>
      <c r="J116" s="682">
        <f t="shared" si="14"/>
        <v>0</v>
      </c>
      <c r="K116" s="683"/>
      <c r="L116" s="684"/>
      <c r="M116" s="753"/>
      <c r="N116" s="683">
        <v>0</v>
      </c>
      <c r="O116" s="686"/>
      <c r="P116" s="683">
        <v>0</v>
      </c>
      <c r="Q116" s="687">
        <f t="shared" si="1"/>
        <v>0</v>
      </c>
      <c r="R116" s="687"/>
      <c r="S116" s="687"/>
      <c r="T116" s="688">
        <v>8223.56</v>
      </c>
      <c r="U116" s="693"/>
      <c r="V116" s="690">
        <f t="shared" si="25"/>
        <v>8223.56</v>
      </c>
      <c r="W116" s="683"/>
      <c r="X116" s="474">
        <f t="shared" si="18"/>
        <v>0</v>
      </c>
      <c r="Y116" s="474">
        <f t="shared" si="19"/>
        <v>0</v>
      </c>
      <c r="Z116" s="475">
        <f t="shared" si="20"/>
        <v>0</v>
      </c>
      <c r="AA116" s="475">
        <v>0</v>
      </c>
      <c r="AB116" s="476">
        <v>0</v>
      </c>
      <c r="AC116" s="38">
        <f t="shared" si="21"/>
        <v>0</v>
      </c>
      <c r="AD116" s="692">
        <f t="shared" si="15"/>
        <v>0</v>
      </c>
      <c r="AE116" s="692">
        <f t="shared" si="16"/>
        <v>0</v>
      </c>
      <c r="AF116" s="692">
        <f t="shared" si="17"/>
        <v>0</v>
      </c>
      <c r="AG116" s="38"/>
      <c r="AH116" s="692">
        <f t="shared" si="22"/>
        <v>0</v>
      </c>
      <c r="AI116" s="692">
        <f t="shared" si="23"/>
        <v>0</v>
      </c>
      <c r="AJ116" s="692">
        <f t="shared" si="24"/>
        <v>0</v>
      </c>
      <c r="AL116" s="38">
        <f t="shared" si="26"/>
        <v>0</v>
      </c>
    </row>
    <row r="117" spans="1:38">
      <c r="A117" s="21"/>
      <c r="B117" s="21" t="s">
        <v>110</v>
      </c>
      <c r="C117" s="666"/>
      <c r="D117" s="68" t="s">
        <v>937</v>
      </c>
      <c r="E117" s="679"/>
      <c r="F117" s="529">
        <f>VLOOKUP(D117,'June 2013 Revenue'!D:V,19,FALSE)</f>
        <v>0</v>
      </c>
      <c r="G117" s="680"/>
      <c r="H117" s="680"/>
      <c r="I117" s="755"/>
      <c r="J117" s="682">
        <f t="shared" si="14"/>
        <v>0</v>
      </c>
      <c r="K117" s="683"/>
      <c r="L117" s="684"/>
      <c r="M117" s="753"/>
      <c r="N117" s="683">
        <v>0</v>
      </c>
      <c r="O117" s="686"/>
      <c r="P117" s="683">
        <v>0</v>
      </c>
      <c r="Q117" s="687">
        <f t="shared" si="1"/>
        <v>0</v>
      </c>
      <c r="R117" s="687"/>
      <c r="S117" s="687"/>
      <c r="T117" s="688">
        <v>0</v>
      </c>
      <c r="U117" s="693"/>
      <c r="V117" s="690">
        <f t="shared" si="25"/>
        <v>0</v>
      </c>
      <c r="W117" s="683"/>
      <c r="X117" s="474">
        <f t="shared" si="18"/>
        <v>0</v>
      </c>
      <c r="Y117" s="474">
        <f t="shared" si="19"/>
        <v>0</v>
      </c>
      <c r="Z117" s="475">
        <f t="shared" si="20"/>
        <v>0</v>
      </c>
      <c r="AA117" s="475">
        <v>0</v>
      </c>
      <c r="AB117" s="476">
        <v>0</v>
      </c>
      <c r="AC117" s="38">
        <f t="shared" si="21"/>
        <v>0</v>
      </c>
      <c r="AD117" s="692">
        <f t="shared" si="15"/>
        <v>0</v>
      </c>
      <c r="AE117" s="692">
        <f t="shared" si="16"/>
        <v>0</v>
      </c>
      <c r="AF117" s="692">
        <f t="shared" si="17"/>
        <v>0</v>
      </c>
      <c r="AG117" s="38"/>
      <c r="AH117" s="692">
        <f t="shared" si="22"/>
        <v>0</v>
      </c>
      <c r="AI117" s="692">
        <f t="shared" si="23"/>
        <v>0</v>
      </c>
      <c r="AJ117" s="692">
        <f t="shared" si="24"/>
        <v>0</v>
      </c>
      <c r="AL117" s="38">
        <f t="shared" si="26"/>
        <v>0</v>
      </c>
    </row>
    <row r="118" spans="1:38">
      <c r="A118" s="21"/>
      <c r="B118" s="21" t="s">
        <v>110</v>
      </c>
      <c r="C118" s="666"/>
      <c r="D118" s="68" t="s">
        <v>967</v>
      </c>
      <c r="E118" s="679">
        <v>192149.4</v>
      </c>
      <c r="F118" s="529">
        <f>VLOOKUP(D118,'June 2013 Revenue'!D:V,19,FALSE)</f>
        <v>196879.5</v>
      </c>
      <c r="G118" s="680"/>
      <c r="H118" s="680"/>
      <c r="I118" s="755"/>
      <c r="J118" s="682">
        <f t="shared" ref="J118" si="27">SUM(E118:I118)</f>
        <v>389028.9</v>
      </c>
      <c r="K118" s="683"/>
      <c r="L118" s="684"/>
      <c r="M118" s="753"/>
      <c r="N118" s="683">
        <v>0</v>
      </c>
      <c r="O118" s="686"/>
      <c r="P118" s="683">
        <v>0</v>
      </c>
      <c r="Q118" s="687">
        <f t="shared" ref="Q118" si="28">L118+M118</f>
        <v>0</v>
      </c>
      <c r="R118" s="687"/>
      <c r="S118" s="687"/>
      <c r="T118" s="688">
        <v>0</v>
      </c>
      <c r="U118" s="693"/>
      <c r="V118" s="690">
        <f t="shared" si="25"/>
        <v>0</v>
      </c>
      <c r="W118" s="683"/>
      <c r="X118" s="474">
        <f t="shared" ref="X118" si="29">IF(B118="D",Q118,0)</f>
        <v>0</v>
      </c>
      <c r="Y118" s="474">
        <f t="shared" ref="Y118" si="30">IF(B118="M",Q118,0)</f>
        <v>0</v>
      </c>
      <c r="Z118" s="475">
        <f t="shared" ref="Z118" si="31">IF(B118="V",Q118,0)</f>
        <v>0</v>
      </c>
      <c r="AA118" s="475">
        <v>0</v>
      </c>
      <c r="AB118" s="476">
        <v>0</v>
      </c>
      <c r="AC118" s="38">
        <f t="shared" ref="AC118" si="32">(L118+M118)-(X118+Y118+Z118+AA118+AB118)</f>
        <v>0</v>
      </c>
      <c r="AD118" s="692">
        <f t="shared" ref="AD118" si="33">IF(B118="D",J118,0)</f>
        <v>389028.9</v>
      </c>
      <c r="AE118" s="692">
        <f t="shared" ref="AE118" si="34">IF(B118="M",J118,0)</f>
        <v>0</v>
      </c>
      <c r="AF118" s="692">
        <f t="shared" ref="AF118" si="35">IF(B118="V",J118,0)</f>
        <v>0</v>
      </c>
      <c r="AG118" s="38"/>
      <c r="AH118" s="692">
        <f t="shared" ref="AH118" si="36">IF(B118="D",Q118,0)</f>
        <v>0</v>
      </c>
      <c r="AI118" s="692">
        <f t="shared" ref="AI118" si="37">IF(B118="M",Q118,0)</f>
        <v>0</v>
      </c>
      <c r="AJ118" s="692">
        <f t="shared" ref="AJ118" si="38">IF(B118="V",Q118,0)</f>
        <v>0</v>
      </c>
      <c r="AL118" s="38">
        <f t="shared" ref="AL118" si="39">SUM(AD118:AJ118)</f>
        <v>389028.9</v>
      </c>
    </row>
    <row r="119" spans="1:38">
      <c r="A119" s="21"/>
      <c r="B119" s="21" t="s">
        <v>110</v>
      </c>
      <c r="C119" s="666" t="s">
        <v>550</v>
      </c>
      <c r="D119" s="68" t="s">
        <v>282</v>
      </c>
      <c r="E119" s="679"/>
      <c r="F119" s="529">
        <f>VLOOKUP(D119,'June 2013 Revenue'!D:V,19,FALSE)</f>
        <v>-2782.3199999999997</v>
      </c>
      <c r="G119" s="680"/>
      <c r="H119" s="680"/>
      <c r="I119" s="755"/>
      <c r="J119" s="682">
        <f t="shared" si="14"/>
        <v>-2782.3199999999997</v>
      </c>
      <c r="K119" s="683"/>
      <c r="L119" s="684"/>
      <c r="M119" s="753">
        <v>55000</v>
      </c>
      <c r="N119" s="683">
        <v>0</v>
      </c>
      <c r="O119" s="686"/>
      <c r="P119" s="683">
        <v>0</v>
      </c>
      <c r="Q119" s="687">
        <f t="shared" si="1"/>
        <v>55000</v>
      </c>
      <c r="R119" s="687"/>
      <c r="S119" s="687"/>
      <c r="T119" s="688">
        <v>51926.6</v>
      </c>
      <c r="U119" s="693"/>
      <c r="V119" s="690">
        <f t="shared" si="25"/>
        <v>-3073.4000000000015</v>
      </c>
      <c r="W119" s="683"/>
      <c r="X119" s="474">
        <f t="shared" si="18"/>
        <v>55000</v>
      </c>
      <c r="Y119" s="474">
        <f t="shared" si="19"/>
        <v>0</v>
      </c>
      <c r="Z119" s="475">
        <f t="shared" si="20"/>
        <v>0</v>
      </c>
      <c r="AA119" s="475">
        <v>0</v>
      </c>
      <c r="AB119" s="476">
        <v>0</v>
      </c>
      <c r="AC119" s="38">
        <f t="shared" si="21"/>
        <v>0</v>
      </c>
      <c r="AD119" s="692">
        <f t="shared" si="15"/>
        <v>-2782.3199999999997</v>
      </c>
      <c r="AE119" s="692">
        <f t="shared" si="16"/>
        <v>0</v>
      </c>
      <c r="AF119" s="692">
        <f t="shared" si="17"/>
        <v>0</v>
      </c>
      <c r="AG119" s="38"/>
      <c r="AH119" s="692">
        <f t="shared" si="22"/>
        <v>55000</v>
      </c>
      <c r="AI119" s="692">
        <f t="shared" si="23"/>
        <v>0</v>
      </c>
      <c r="AJ119" s="692">
        <f t="shared" si="24"/>
        <v>0</v>
      </c>
      <c r="AL119" s="38">
        <f t="shared" si="26"/>
        <v>52217.68</v>
      </c>
    </row>
    <row r="120" spans="1:38">
      <c r="A120" s="21"/>
      <c r="B120" s="21" t="s">
        <v>109</v>
      </c>
      <c r="C120" s="666" t="s">
        <v>551</v>
      </c>
      <c r="D120" s="68" t="s">
        <v>499</v>
      </c>
      <c r="E120" s="679"/>
      <c r="F120" s="529">
        <f>VLOOKUP(D120,'June 2013 Revenue'!D:V,19,FALSE)</f>
        <v>0</v>
      </c>
      <c r="G120" s="680"/>
      <c r="H120" s="680"/>
      <c r="I120" s="755"/>
      <c r="J120" s="682">
        <f t="shared" si="14"/>
        <v>0</v>
      </c>
      <c r="K120" s="683"/>
      <c r="L120" s="684"/>
      <c r="M120" s="753"/>
      <c r="N120" s="683">
        <v>0</v>
      </c>
      <c r="O120" s="686"/>
      <c r="P120" s="683">
        <v>0</v>
      </c>
      <c r="Q120" s="687">
        <f t="shared" si="1"/>
        <v>0</v>
      </c>
      <c r="R120" s="687"/>
      <c r="S120" s="687"/>
      <c r="T120" s="688">
        <v>0</v>
      </c>
      <c r="U120" s="693"/>
      <c r="V120" s="690">
        <f t="shared" si="25"/>
        <v>0</v>
      </c>
      <c r="W120" s="683"/>
      <c r="X120" s="474">
        <f t="shared" si="18"/>
        <v>0</v>
      </c>
      <c r="Y120" s="474">
        <f t="shared" si="19"/>
        <v>0</v>
      </c>
      <c r="Z120" s="475">
        <f t="shared" si="20"/>
        <v>0</v>
      </c>
      <c r="AA120" s="475">
        <v>0</v>
      </c>
      <c r="AB120" s="476">
        <v>0</v>
      </c>
      <c r="AC120" s="38">
        <f t="shared" si="21"/>
        <v>0</v>
      </c>
      <c r="AD120" s="692">
        <f t="shared" si="15"/>
        <v>0</v>
      </c>
      <c r="AE120" s="692">
        <f t="shared" si="16"/>
        <v>0</v>
      </c>
      <c r="AF120" s="692">
        <f t="shared" si="17"/>
        <v>0</v>
      </c>
      <c r="AG120" s="38"/>
      <c r="AH120" s="692">
        <f t="shared" si="22"/>
        <v>0</v>
      </c>
      <c r="AI120" s="692">
        <f t="shared" si="23"/>
        <v>0</v>
      </c>
      <c r="AJ120" s="692">
        <f t="shared" si="24"/>
        <v>0</v>
      </c>
      <c r="AL120" s="38">
        <f t="shared" si="26"/>
        <v>0</v>
      </c>
    </row>
    <row r="121" spans="1:38">
      <c r="A121" s="21"/>
      <c r="B121" s="21" t="s">
        <v>110</v>
      </c>
      <c r="C121" s="666"/>
      <c r="D121" s="68" t="s">
        <v>28</v>
      </c>
      <c r="E121" s="679"/>
      <c r="F121" s="529">
        <f>VLOOKUP(D121,'June 2013 Revenue'!D:V,19,FALSE)</f>
        <v>0</v>
      </c>
      <c r="G121" s="680"/>
      <c r="H121" s="680"/>
      <c r="I121" s="770">
        <v>12253.5</v>
      </c>
      <c r="J121" s="682">
        <f t="shared" si="14"/>
        <v>12253.5</v>
      </c>
      <c r="K121" s="683"/>
      <c r="L121" s="684"/>
      <c r="M121" s="753"/>
      <c r="N121" s="683">
        <v>0</v>
      </c>
      <c r="O121" s="686"/>
      <c r="P121" s="683">
        <v>0</v>
      </c>
      <c r="Q121" s="687">
        <f t="shared" si="1"/>
        <v>0</v>
      </c>
      <c r="R121" s="687"/>
      <c r="S121" s="687"/>
      <c r="T121" s="688">
        <v>0</v>
      </c>
      <c r="U121" s="693"/>
      <c r="V121" s="690">
        <f t="shared" si="25"/>
        <v>0</v>
      </c>
      <c r="W121" s="683"/>
      <c r="X121" s="474">
        <f t="shared" si="18"/>
        <v>0</v>
      </c>
      <c r="Y121" s="474">
        <f t="shared" si="19"/>
        <v>0</v>
      </c>
      <c r="Z121" s="475">
        <f t="shared" si="20"/>
        <v>0</v>
      </c>
      <c r="AA121" s="475">
        <v>0</v>
      </c>
      <c r="AB121" s="476">
        <v>0</v>
      </c>
      <c r="AC121" s="38">
        <f t="shared" si="21"/>
        <v>0</v>
      </c>
      <c r="AD121" s="692">
        <f t="shared" si="15"/>
        <v>12253.5</v>
      </c>
      <c r="AE121" s="692">
        <f t="shared" si="16"/>
        <v>0</v>
      </c>
      <c r="AF121" s="692">
        <f t="shared" si="17"/>
        <v>0</v>
      </c>
      <c r="AG121" s="38"/>
      <c r="AH121" s="692">
        <f t="shared" si="22"/>
        <v>0</v>
      </c>
      <c r="AI121" s="692">
        <f t="shared" si="23"/>
        <v>0</v>
      </c>
      <c r="AJ121" s="692">
        <f t="shared" si="24"/>
        <v>0</v>
      </c>
      <c r="AL121" s="38">
        <f t="shared" si="26"/>
        <v>12253.5</v>
      </c>
    </row>
    <row r="122" spans="1:38">
      <c r="A122" s="21"/>
      <c r="B122" s="21" t="s">
        <v>114</v>
      </c>
      <c r="C122" s="666" t="s">
        <v>552</v>
      </c>
      <c r="D122" s="68" t="s">
        <v>513</v>
      </c>
      <c r="E122" s="679">
        <v>3078.5</v>
      </c>
      <c r="F122" s="529">
        <f>VLOOKUP(D122,'June 2013 Revenue'!D:V,19,FALSE)</f>
        <v>-8000</v>
      </c>
      <c r="G122" s="680"/>
      <c r="H122" s="680"/>
      <c r="I122" s="755"/>
      <c r="J122" s="682">
        <f t="shared" si="14"/>
        <v>-4921.5</v>
      </c>
      <c r="K122" s="683"/>
      <c r="L122" s="684"/>
      <c r="M122" s="753">
        <v>6000</v>
      </c>
      <c r="N122" s="683">
        <v>0</v>
      </c>
      <c r="O122" s="686"/>
      <c r="P122" s="683">
        <v>0</v>
      </c>
      <c r="Q122" s="687">
        <f>L122+M122</f>
        <v>6000</v>
      </c>
      <c r="R122" s="687"/>
      <c r="S122" s="687"/>
      <c r="T122" s="688">
        <v>3257.9</v>
      </c>
      <c r="U122" s="693"/>
      <c r="V122" s="690">
        <f t="shared" si="25"/>
        <v>-2742.1</v>
      </c>
      <c r="W122" s="683"/>
      <c r="X122" s="474">
        <f t="shared" si="18"/>
        <v>0</v>
      </c>
      <c r="Y122" s="474">
        <f t="shared" si="19"/>
        <v>0</v>
      </c>
      <c r="Z122" s="475">
        <f t="shared" si="20"/>
        <v>6000</v>
      </c>
      <c r="AA122" s="475">
        <v>0</v>
      </c>
      <c r="AB122" s="476">
        <v>0</v>
      </c>
      <c r="AC122" s="38">
        <f t="shared" si="21"/>
        <v>0</v>
      </c>
      <c r="AD122" s="692">
        <f t="shared" si="15"/>
        <v>0</v>
      </c>
      <c r="AE122" s="692">
        <f t="shared" si="16"/>
        <v>0</v>
      </c>
      <c r="AF122" s="692">
        <f t="shared" si="17"/>
        <v>-4921.5</v>
      </c>
      <c r="AG122" s="38"/>
      <c r="AH122" s="692">
        <f t="shared" si="22"/>
        <v>0</v>
      </c>
      <c r="AI122" s="692">
        <f t="shared" si="23"/>
        <v>0</v>
      </c>
      <c r="AJ122" s="692">
        <f t="shared" si="24"/>
        <v>6000</v>
      </c>
      <c r="AL122" s="38">
        <f t="shared" si="26"/>
        <v>1078.5</v>
      </c>
    </row>
    <row r="123" spans="1:38">
      <c r="A123" s="21"/>
      <c r="B123" s="21" t="s">
        <v>109</v>
      </c>
      <c r="C123" s="666" t="s">
        <v>553</v>
      </c>
      <c r="D123" s="68" t="s">
        <v>308</v>
      </c>
      <c r="E123" s="679"/>
      <c r="F123" s="529">
        <f>VLOOKUP(D123,'June 2013 Revenue'!D:V,19,FALSE)</f>
        <v>0</v>
      </c>
      <c r="G123" s="680"/>
      <c r="H123" s="680"/>
      <c r="I123" s="755"/>
      <c r="J123" s="682">
        <f t="shared" si="14"/>
        <v>0</v>
      </c>
      <c r="K123" s="683"/>
      <c r="L123" s="684"/>
      <c r="M123" s="753"/>
      <c r="N123" s="683">
        <v>0</v>
      </c>
      <c r="O123" s="686"/>
      <c r="P123" s="683">
        <v>0</v>
      </c>
      <c r="Q123" s="687">
        <f t="shared" si="1"/>
        <v>0</v>
      </c>
      <c r="R123" s="687"/>
      <c r="S123" s="687"/>
      <c r="T123" s="688">
        <v>0</v>
      </c>
      <c r="U123" s="693"/>
      <c r="V123" s="690">
        <f t="shared" si="25"/>
        <v>0</v>
      </c>
      <c r="W123" s="683"/>
      <c r="X123" s="474">
        <f t="shared" si="18"/>
        <v>0</v>
      </c>
      <c r="Y123" s="474">
        <f t="shared" si="19"/>
        <v>0</v>
      </c>
      <c r="Z123" s="475">
        <f t="shared" si="20"/>
        <v>0</v>
      </c>
      <c r="AA123" s="475">
        <v>0</v>
      </c>
      <c r="AB123" s="476">
        <v>0</v>
      </c>
      <c r="AC123" s="38">
        <f t="shared" si="21"/>
        <v>0</v>
      </c>
      <c r="AD123" s="692">
        <f t="shared" si="15"/>
        <v>0</v>
      </c>
      <c r="AE123" s="692">
        <f t="shared" si="16"/>
        <v>0</v>
      </c>
      <c r="AF123" s="692">
        <f t="shared" si="17"/>
        <v>0</v>
      </c>
      <c r="AG123" s="38"/>
      <c r="AH123" s="692">
        <f t="shared" si="22"/>
        <v>0</v>
      </c>
      <c r="AI123" s="692">
        <f t="shared" si="23"/>
        <v>0</v>
      </c>
      <c r="AJ123" s="692">
        <f t="shared" si="24"/>
        <v>0</v>
      </c>
      <c r="AL123" s="38">
        <f t="shared" si="26"/>
        <v>0</v>
      </c>
    </row>
    <row r="124" spans="1:38" s="232" customFormat="1">
      <c r="A124" s="283" t="s">
        <v>211</v>
      </c>
      <c r="B124" s="283" t="s">
        <v>109</v>
      </c>
      <c r="C124" s="667" t="s">
        <v>554</v>
      </c>
      <c r="D124" s="123" t="s">
        <v>389</v>
      </c>
      <c r="E124" s="679"/>
      <c r="F124" s="529">
        <f>VLOOKUP(D124,'June 2013 Revenue'!D:V,19,FALSE)</f>
        <v>0</v>
      </c>
      <c r="G124" s="680"/>
      <c r="H124" s="680"/>
      <c r="I124" s="755"/>
      <c r="J124" s="682">
        <f t="shared" si="14"/>
        <v>0</v>
      </c>
      <c r="K124" s="683"/>
      <c r="L124" s="684"/>
      <c r="M124" s="753"/>
      <c r="N124" s="683">
        <v>0</v>
      </c>
      <c r="O124" s="686"/>
      <c r="P124" s="683">
        <v>0</v>
      </c>
      <c r="Q124" s="687">
        <f t="shared" si="1"/>
        <v>0</v>
      </c>
      <c r="R124" s="687"/>
      <c r="S124" s="687"/>
      <c r="T124" s="688">
        <v>0</v>
      </c>
      <c r="U124" s="693"/>
      <c r="V124" s="690">
        <f t="shared" si="25"/>
        <v>0</v>
      </c>
      <c r="W124" s="683"/>
      <c r="X124" s="474">
        <f t="shared" si="18"/>
        <v>0</v>
      </c>
      <c r="Y124" s="474">
        <f t="shared" si="19"/>
        <v>0</v>
      </c>
      <c r="Z124" s="475">
        <f t="shared" si="20"/>
        <v>0</v>
      </c>
      <c r="AA124" s="475">
        <v>0</v>
      </c>
      <c r="AB124" s="476">
        <v>0</v>
      </c>
      <c r="AC124" s="38">
        <f t="shared" si="21"/>
        <v>0</v>
      </c>
      <c r="AD124" s="692">
        <f t="shared" si="15"/>
        <v>0</v>
      </c>
      <c r="AE124" s="692">
        <f t="shared" si="16"/>
        <v>0</v>
      </c>
      <c r="AF124" s="692">
        <f t="shared" si="17"/>
        <v>0</v>
      </c>
      <c r="AG124" s="38"/>
      <c r="AH124" s="692">
        <f t="shared" si="22"/>
        <v>0</v>
      </c>
      <c r="AI124" s="692">
        <f t="shared" si="23"/>
        <v>0</v>
      </c>
      <c r="AJ124" s="692">
        <f t="shared" si="24"/>
        <v>0</v>
      </c>
      <c r="AL124" s="38">
        <f t="shared" si="26"/>
        <v>0</v>
      </c>
    </row>
    <row r="125" spans="1:38" s="232" customFormat="1">
      <c r="A125" s="283"/>
      <c r="B125" s="283" t="s">
        <v>110</v>
      </c>
      <c r="C125" s="667"/>
      <c r="D125" s="123" t="s">
        <v>807</v>
      </c>
      <c r="E125" s="679"/>
      <c r="F125" s="529">
        <f>VLOOKUP(D125,'June 2013 Revenue'!D:V,19,FALSE)</f>
        <v>-1789.6100000000001</v>
      </c>
      <c r="G125" s="680"/>
      <c r="H125" s="680"/>
      <c r="I125" s="755"/>
      <c r="J125" s="682">
        <f t="shared" si="14"/>
        <v>-1789.6100000000001</v>
      </c>
      <c r="K125" s="683"/>
      <c r="L125" s="684"/>
      <c r="M125" s="753">
        <v>5000</v>
      </c>
      <c r="N125" s="683">
        <v>0</v>
      </c>
      <c r="O125" s="686"/>
      <c r="P125" s="683">
        <v>0</v>
      </c>
      <c r="Q125" s="687">
        <f t="shared" si="1"/>
        <v>5000</v>
      </c>
      <c r="R125" s="687"/>
      <c r="S125" s="687"/>
      <c r="T125" s="688">
        <v>3191.54</v>
      </c>
      <c r="U125" s="693"/>
      <c r="V125" s="690">
        <f t="shared" si="25"/>
        <v>-1808.46</v>
      </c>
      <c r="W125" s="683"/>
      <c r="X125" s="474">
        <f t="shared" si="18"/>
        <v>5000</v>
      </c>
      <c r="Y125" s="474">
        <f t="shared" si="19"/>
        <v>0</v>
      </c>
      <c r="Z125" s="475">
        <f t="shared" si="20"/>
        <v>0</v>
      </c>
      <c r="AA125" s="475">
        <v>0</v>
      </c>
      <c r="AB125" s="476">
        <v>0</v>
      </c>
      <c r="AC125" s="38">
        <f t="shared" si="21"/>
        <v>0</v>
      </c>
      <c r="AD125" s="692">
        <f t="shared" si="15"/>
        <v>-1789.6100000000001</v>
      </c>
      <c r="AE125" s="692">
        <f t="shared" si="16"/>
        <v>0</v>
      </c>
      <c r="AF125" s="692">
        <f t="shared" si="17"/>
        <v>0</v>
      </c>
      <c r="AG125" s="38"/>
      <c r="AH125" s="692">
        <f t="shared" si="22"/>
        <v>5000</v>
      </c>
      <c r="AI125" s="692">
        <f t="shared" si="23"/>
        <v>0</v>
      </c>
      <c r="AJ125" s="692">
        <f t="shared" si="24"/>
        <v>0</v>
      </c>
      <c r="AL125" s="38">
        <f t="shared" si="26"/>
        <v>3210.39</v>
      </c>
    </row>
    <row r="126" spans="1:38" s="232" customFormat="1">
      <c r="A126" s="283"/>
      <c r="B126" s="283" t="s">
        <v>109</v>
      </c>
      <c r="C126" s="667"/>
      <c r="D126" s="123" t="s">
        <v>808</v>
      </c>
      <c r="E126" s="679"/>
      <c r="F126" s="529">
        <f>VLOOKUP(D126,'June 2013 Revenue'!D:V,19,FALSE)</f>
        <v>2795.1300000000047</v>
      </c>
      <c r="G126" s="680"/>
      <c r="H126" s="680"/>
      <c r="I126" s="755"/>
      <c r="J126" s="682">
        <f t="shared" si="14"/>
        <v>2795.1300000000047</v>
      </c>
      <c r="K126" s="683"/>
      <c r="L126" s="684"/>
      <c r="M126" s="753">
        <v>40000</v>
      </c>
      <c r="N126" s="683">
        <v>0</v>
      </c>
      <c r="O126" s="686"/>
      <c r="P126" s="683">
        <v>0</v>
      </c>
      <c r="Q126" s="687">
        <f t="shared" si="1"/>
        <v>40000</v>
      </c>
      <c r="R126" s="687"/>
      <c r="S126" s="687"/>
      <c r="T126" s="688">
        <f>32392.47+887.84+8603.49</f>
        <v>41883.799999999996</v>
      </c>
      <c r="U126" s="693"/>
      <c r="V126" s="690">
        <f t="shared" si="25"/>
        <v>1883.7999999999956</v>
      </c>
      <c r="W126" s="683"/>
      <c r="X126" s="474">
        <f t="shared" si="18"/>
        <v>0</v>
      </c>
      <c r="Y126" s="474">
        <f t="shared" si="19"/>
        <v>40000</v>
      </c>
      <c r="Z126" s="475">
        <f t="shared" si="20"/>
        <v>0</v>
      </c>
      <c r="AA126" s="475">
        <v>0</v>
      </c>
      <c r="AB126" s="476">
        <v>0</v>
      </c>
      <c r="AC126" s="38">
        <f t="shared" si="21"/>
        <v>0</v>
      </c>
      <c r="AD126" s="692">
        <f t="shared" si="15"/>
        <v>0</v>
      </c>
      <c r="AE126" s="692">
        <f t="shared" si="16"/>
        <v>2795.1300000000047</v>
      </c>
      <c r="AF126" s="692">
        <f t="shared" si="17"/>
        <v>0</v>
      </c>
      <c r="AG126" s="38"/>
      <c r="AH126" s="692">
        <f t="shared" si="22"/>
        <v>0</v>
      </c>
      <c r="AI126" s="692">
        <f t="shared" si="23"/>
        <v>40000</v>
      </c>
      <c r="AJ126" s="692">
        <f t="shared" si="24"/>
        <v>0</v>
      </c>
      <c r="AL126" s="38">
        <f t="shared" si="26"/>
        <v>42795.130000000005</v>
      </c>
    </row>
    <row r="127" spans="1:38" s="232" customFormat="1">
      <c r="A127" s="403"/>
      <c r="B127" s="403" t="s">
        <v>110</v>
      </c>
      <c r="C127" s="666" t="s">
        <v>563</v>
      </c>
      <c r="D127" s="123" t="s">
        <v>867</v>
      </c>
      <c r="E127" s="688">
        <v>15235.14</v>
      </c>
      <c r="F127" s="529">
        <f>VLOOKUP(D127,'June 2013 Revenue'!D:V,19,FALSE)</f>
        <v>0</v>
      </c>
      <c r="G127" s="680"/>
      <c r="H127" s="680"/>
      <c r="I127" s="755"/>
      <c r="J127" s="682">
        <f t="shared" si="14"/>
        <v>15235.14</v>
      </c>
      <c r="K127" s="683"/>
      <c r="L127" s="684"/>
      <c r="M127" s="753"/>
      <c r="N127" s="683">
        <v>0</v>
      </c>
      <c r="O127" s="686"/>
      <c r="P127" s="683">
        <v>0</v>
      </c>
      <c r="Q127" s="687">
        <f t="shared" si="1"/>
        <v>0</v>
      </c>
      <c r="R127" s="687"/>
      <c r="S127" s="687"/>
      <c r="T127" s="688">
        <v>0</v>
      </c>
      <c r="U127" s="693"/>
      <c r="V127" s="690">
        <f t="shared" si="25"/>
        <v>0</v>
      </c>
      <c r="W127" s="683"/>
      <c r="X127" s="474">
        <f t="shared" si="18"/>
        <v>0</v>
      </c>
      <c r="Y127" s="474">
        <f t="shared" si="19"/>
        <v>0</v>
      </c>
      <c r="Z127" s="475">
        <f t="shared" si="20"/>
        <v>0</v>
      </c>
      <c r="AA127" s="475">
        <v>0</v>
      </c>
      <c r="AB127" s="476">
        <v>0</v>
      </c>
      <c r="AC127" s="38">
        <f t="shared" si="21"/>
        <v>0</v>
      </c>
      <c r="AD127" s="692">
        <f t="shared" si="15"/>
        <v>15235.14</v>
      </c>
      <c r="AE127" s="692">
        <f t="shared" si="16"/>
        <v>0</v>
      </c>
      <c r="AF127" s="692">
        <f t="shared" si="17"/>
        <v>0</v>
      </c>
      <c r="AG127" s="38"/>
      <c r="AH127" s="692">
        <f t="shared" si="22"/>
        <v>0</v>
      </c>
      <c r="AI127" s="692">
        <f t="shared" si="23"/>
        <v>0</v>
      </c>
      <c r="AJ127" s="692">
        <f t="shared" si="24"/>
        <v>0</v>
      </c>
      <c r="AL127" s="38">
        <f t="shared" si="26"/>
        <v>15235.14</v>
      </c>
    </row>
    <row r="128" spans="1:38" s="232" customFormat="1">
      <c r="A128" s="283"/>
      <c r="B128" s="283" t="s">
        <v>110</v>
      </c>
      <c r="C128" s="667"/>
      <c r="D128" s="68" t="s">
        <v>488</v>
      </c>
      <c r="E128" s="679"/>
      <c r="F128" s="529">
        <f>VLOOKUP(D128,'June 2013 Revenue'!D:V,19,FALSE)</f>
        <v>0</v>
      </c>
      <c r="G128" s="680"/>
      <c r="H128" s="680"/>
      <c r="I128" s="755"/>
      <c r="J128" s="682">
        <f t="shared" si="14"/>
        <v>0</v>
      </c>
      <c r="K128" s="683"/>
      <c r="L128" s="684"/>
      <c r="M128" s="753"/>
      <c r="N128" s="683">
        <v>0</v>
      </c>
      <c r="O128" s="686"/>
      <c r="P128" s="683">
        <v>0</v>
      </c>
      <c r="Q128" s="687">
        <f t="shared" si="1"/>
        <v>0</v>
      </c>
      <c r="R128" s="687"/>
      <c r="S128" s="687"/>
      <c r="T128" s="688">
        <v>0</v>
      </c>
      <c r="U128" s="693"/>
      <c r="V128" s="690">
        <f t="shared" si="25"/>
        <v>0</v>
      </c>
      <c r="W128" s="683"/>
      <c r="X128" s="474">
        <f t="shared" si="18"/>
        <v>0</v>
      </c>
      <c r="Y128" s="474">
        <f t="shared" si="19"/>
        <v>0</v>
      </c>
      <c r="Z128" s="475">
        <f t="shared" si="20"/>
        <v>0</v>
      </c>
      <c r="AA128" s="475">
        <v>0</v>
      </c>
      <c r="AB128" s="476">
        <v>0</v>
      </c>
      <c r="AC128" s="38">
        <f t="shared" si="21"/>
        <v>0</v>
      </c>
      <c r="AD128" s="692">
        <f t="shared" si="15"/>
        <v>0</v>
      </c>
      <c r="AE128" s="692">
        <f t="shared" si="16"/>
        <v>0</v>
      </c>
      <c r="AF128" s="692">
        <f t="shared" si="17"/>
        <v>0</v>
      </c>
      <c r="AG128" s="38"/>
      <c r="AH128" s="692">
        <f t="shared" si="22"/>
        <v>0</v>
      </c>
      <c r="AI128" s="692">
        <f t="shared" si="23"/>
        <v>0</v>
      </c>
      <c r="AJ128" s="692">
        <f t="shared" si="24"/>
        <v>0</v>
      </c>
      <c r="AL128" s="38">
        <f t="shared" si="26"/>
        <v>0</v>
      </c>
    </row>
    <row r="129" spans="1:38" s="232" customFormat="1">
      <c r="A129" s="283"/>
      <c r="B129" s="283" t="s">
        <v>110</v>
      </c>
      <c r="C129" s="667" t="s">
        <v>555</v>
      </c>
      <c r="D129" s="123" t="s">
        <v>192</v>
      </c>
      <c r="E129" s="679"/>
      <c r="F129" s="529">
        <f>VLOOKUP(D129,'June 2013 Revenue'!D:V,19,FALSE)</f>
        <v>-10000</v>
      </c>
      <c r="G129" s="680"/>
      <c r="H129" s="680"/>
      <c r="I129" s="755"/>
      <c r="J129" s="682">
        <f t="shared" si="14"/>
        <v>-10000</v>
      </c>
      <c r="K129" s="683"/>
      <c r="L129" s="684"/>
      <c r="M129" s="753">
        <v>15000</v>
      </c>
      <c r="N129" s="683">
        <v>0</v>
      </c>
      <c r="O129" s="686"/>
      <c r="P129" s="683">
        <v>0</v>
      </c>
      <c r="Q129" s="687">
        <f t="shared" si="1"/>
        <v>15000</v>
      </c>
      <c r="R129" s="687"/>
      <c r="S129" s="687"/>
      <c r="T129" s="688">
        <v>0</v>
      </c>
      <c r="U129" s="693"/>
      <c r="V129" s="690">
        <f t="shared" si="25"/>
        <v>-15000</v>
      </c>
      <c r="W129" s="683"/>
      <c r="X129" s="474">
        <f t="shared" si="18"/>
        <v>15000</v>
      </c>
      <c r="Y129" s="474">
        <f t="shared" si="19"/>
        <v>0</v>
      </c>
      <c r="Z129" s="475">
        <f t="shared" si="20"/>
        <v>0</v>
      </c>
      <c r="AA129" s="475">
        <v>0</v>
      </c>
      <c r="AB129" s="476">
        <v>0</v>
      </c>
      <c r="AC129" s="38">
        <f t="shared" si="21"/>
        <v>0</v>
      </c>
      <c r="AD129" s="692">
        <f t="shared" si="15"/>
        <v>-10000</v>
      </c>
      <c r="AE129" s="692">
        <f t="shared" si="16"/>
        <v>0</v>
      </c>
      <c r="AF129" s="692">
        <f t="shared" si="17"/>
        <v>0</v>
      </c>
      <c r="AG129" s="38"/>
      <c r="AH129" s="692">
        <f t="shared" si="22"/>
        <v>15000</v>
      </c>
      <c r="AI129" s="692">
        <f t="shared" si="23"/>
        <v>0</v>
      </c>
      <c r="AJ129" s="692">
        <f t="shared" si="24"/>
        <v>0</v>
      </c>
      <c r="AL129" s="38">
        <f t="shared" si="26"/>
        <v>5000</v>
      </c>
    </row>
    <row r="130" spans="1:38" s="232" customFormat="1" hidden="1">
      <c r="A130" s="283"/>
      <c r="B130" s="283" t="s">
        <v>110</v>
      </c>
      <c r="C130" s="667" t="s">
        <v>555</v>
      </c>
      <c r="D130" s="123" t="s">
        <v>193</v>
      </c>
      <c r="E130" s="679"/>
      <c r="F130" s="529">
        <f>VLOOKUP(D130,'June 2013 Revenue'!D:V,19,FALSE)</f>
        <v>0</v>
      </c>
      <c r="G130" s="680"/>
      <c r="H130" s="680"/>
      <c r="I130" s="755"/>
      <c r="J130" s="682">
        <f t="shared" si="14"/>
        <v>0</v>
      </c>
      <c r="K130" s="683"/>
      <c r="L130" s="684"/>
      <c r="M130" s="753"/>
      <c r="N130" s="683">
        <v>0</v>
      </c>
      <c r="O130" s="686"/>
      <c r="P130" s="683">
        <v>0</v>
      </c>
      <c r="Q130" s="687">
        <f t="shared" si="1"/>
        <v>0</v>
      </c>
      <c r="R130" s="687"/>
      <c r="S130" s="687"/>
      <c r="T130" s="688">
        <v>0</v>
      </c>
      <c r="U130" s="693"/>
      <c r="V130" s="690">
        <f t="shared" si="25"/>
        <v>0</v>
      </c>
      <c r="W130" s="683"/>
      <c r="X130" s="474">
        <f t="shared" si="18"/>
        <v>0</v>
      </c>
      <c r="Y130" s="474">
        <f t="shared" si="19"/>
        <v>0</v>
      </c>
      <c r="Z130" s="475">
        <f t="shared" si="20"/>
        <v>0</v>
      </c>
      <c r="AA130" s="475">
        <v>0</v>
      </c>
      <c r="AB130" s="476">
        <v>0</v>
      </c>
      <c r="AC130" s="38">
        <f t="shared" si="21"/>
        <v>0</v>
      </c>
      <c r="AD130" s="692">
        <f t="shared" si="15"/>
        <v>0</v>
      </c>
      <c r="AE130" s="692">
        <f t="shared" si="16"/>
        <v>0</v>
      </c>
      <c r="AF130" s="692">
        <f t="shared" si="17"/>
        <v>0</v>
      </c>
      <c r="AG130" s="38"/>
      <c r="AH130" s="692">
        <f t="shared" si="22"/>
        <v>0</v>
      </c>
      <c r="AI130" s="692">
        <f t="shared" si="23"/>
        <v>0</v>
      </c>
      <c r="AJ130" s="692">
        <f t="shared" si="24"/>
        <v>0</v>
      </c>
      <c r="AL130" s="38">
        <f t="shared" si="26"/>
        <v>0</v>
      </c>
    </row>
    <row r="131" spans="1:38" s="232" customFormat="1" hidden="1">
      <c r="A131" s="283"/>
      <c r="B131" s="283" t="s">
        <v>110</v>
      </c>
      <c r="C131" s="667" t="s">
        <v>555</v>
      </c>
      <c r="D131" s="123" t="s">
        <v>194</v>
      </c>
      <c r="E131" s="679"/>
      <c r="F131" s="529">
        <f>VLOOKUP(D131,'June 2013 Revenue'!D:V,19,FALSE)</f>
        <v>0</v>
      </c>
      <c r="G131" s="680"/>
      <c r="H131" s="680"/>
      <c r="I131" s="755"/>
      <c r="J131" s="682">
        <f t="shared" si="14"/>
        <v>0</v>
      </c>
      <c r="K131" s="683"/>
      <c r="L131" s="684"/>
      <c r="M131" s="753"/>
      <c r="N131" s="683">
        <v>0</v>
      </c>
      <c r="O131" s="686"/>
      <c r="P131" s="683">
        <v>0</v>
      </c>
      <c r="Q131" s="687">
        <f t="shared" si="1"/>
        <v>0</v>
      </c>
      <c r="R131" s="687"/>
      <c r="S131" s="687"/>
      <c r="T131" s="688">
        <v>0</v>
      </c>
      <c r="U131" s="693"/>
      <c r="V131" s="690">
        <f t="shared" si="25"/>
        <v>0</v>
      </c>
      <c r="W131" s="683"/>
      <c r="X131" s="474">
        <f t="shared" si="18"/>
        <v>0</v>
      </c>
      <c r="Y131" s="474">
        <f t="shared" si="19"/>
        <v>0</v>
      </c>
      <c r="Z131" s="475">
        <f t="shared" si="20"/>
        <v>0</v>
      </c>
      <c r="AA131" s="475">
        <v>0</v>
      </c>
      <c r="AB131" s="476">
        <v>0</v>
      </c>
      <c r="AC131" s="38">
        <f t="shared" si="21"/>
        <v>0</v>
      </c>
      <c r="AD131" s="692">
        <f t="shared" si="15"/>
        <v>0</v>
      </c>
      <c r="AE131" s="692">
        <f t="shared" si="16"/>
        <v>0</v>
      </c>
      <c r="AF131" s="692">
        <f t="shared" si="17"/>
        <v>0</v>
      </c>
      <c r="AG131" s="38"/>
      <c r="AH131" s="692">
        <f t="shared" si="22"/>
        <v>0</v>
      </c>
      <c r="AI131" s="692">
        <f t="shared" si="23"/>
        <v>0</v>
      </c>
      <c r="AJ131" s="692">
        <f t="shared" si="24"/>
        <v>0</v>
      </c>
      <c r="AL131" s="38">
        <f t="shared" si="26"/>
        <v>0</v>
      </c>
    </row>
    <row r="132" spans="1:38" s="232" customFormat="1" hidden="1">
      <c r="A132" s="283"/>
      <c r="B132" s="283" t="s">
        <v>110</v>
      </c>
      <c r="C132" s="667" t="s">
        <v>555</v>
      </c>
      <c r="D132" s="123" t="s">
        <v>195</v>
      </c>
      <c r="E132" s="679"/>
      <c r="F132" s="529">
        <f>VLOOKUP(D132,'June 2013 Revenue'!D:V,19,FALSE)</f>
        <v>0</v>
      </c>
      <c r="G132" s="680"/>
      <c r="H132" s="680"/>
      <c r="I132" s="755"/>
      <c r="J132" s="682">
        <f t="shared" si="14"/>
        <v>0</v>
      </c>
      <c r="K132" s="683"/>
      <c r="L132" s="684"/>
      <c r="M132" s="753"/>
      <c r="N132" s="683">
        <v>0</v>
      </c>
      <c r="O132" s="686"/>
      <c r="P132" s="683">
        <v>0</v>
      </c>
      <c r="Q132" s="687">
        <f t="shared" si="1"/>
        <v>0</v>
      </c>
      <c r="R132" s="687"/>
      <c r="S132" s="687"/>
      <c r="T132" s="688">
        <v>0</v>
      </c>
      <c r="U132" s="693"/>
      <c r="V132" s="690">
        <f t="shared" si="25"/>
        <v>0</v>
      </c>
      <c r="W132" s="683"/>
      <c r="X132" s="474">
        <f t="shared" si="18"/>
        <v>0</v>
      </c>
      <c r="Y132" s="474">
        <f t="shared" si="19"/>
        <v>0</v>
      </c>
      <c r="Z132" s="475">
        <f t="shared" si="20"/>
        <v>0</v>
      </c>
      <c r="AA132" s="475">
        <v>0</v>
      </c>
      <c r="AB132" s="476">
        <v>0</v>
      </c>
      <c r="AC132" s="38">
        <f t="shared" si="21"/>
        <v>0</v>
      </c>
      <c r="AD132" s="692">
        <f t="shared" si="15"/>
        <v>0</v>
      </c>
      <c r="AE132" s="692">
        <f t="shared" si="16"/>
        <v>0</v>
      </c>
      <c r="AF132" s="692">
        <f t="shared" si="17"/>
        <v>0</v>
      </c>
      <c r="AG132" s="38"/>
      <c r="AH132" s="692">
        <f t="shared" si="22"/>
        <v>0</v>
      </c>
      <c r="AI132" s="692">
        <f t="shared" si="23"/>
        <v>0</v>
      </c>
      <c r="AJ132" s="692">
        <f t="shared" si="24"/>
        <v>0</v>
      </c>
      <c r="AL132" s="38">
        <f t="shared" si="26"/>
        <v>0</v>
      </c>
    </row>
    <row r="133" spans="1:38" s="232" customFormat="1" hidden="1">
      <c r="A133" s="283"/>
      <c r="B133" s="283" t="s">
        <v>110</v>
      </c>
      <c r="C133" s="667" t="s">
        <v>555</v>
      </c>
      <c r="D133" s="123" t="s">
        <v>196</v>
      </c>
      <c r="E133" s="679"/>
      <c r="F133" s="529">
        <f>VLOOKUP(D133,'June 2013 Revenue'!D:V,19,FALSE)</f>
        <v>0</v>
      </c>
      <c r="G133" s="680"/>
      <c r="H133" s="680"/>
      <c r="I133" s="755"/>
      <c r="J133" s="682">
        <f t="shared" si="14"/>
        <v>0</v>
      </c>
      <c r="K133" s="683"/>
      <c r="L133" s="684"/>
      <c r="M133" s="753"/>
      <c r="N133" s="683">
        <v>0</v>
      </c>
      <c r="O133" s="686"/>
      <c r="P133" s="683">
        <v>0</v>
      </c>
      <c r="Q133" s="687">
        <f t="shared" si="1"/>
        <v>0</v>
      </c>
      <c r="R133" s="687"/>
      <c r="S133" s="687"/>
      <c r="T133" s="688">
        <v>0</v>
      </c>
      <c r="U133" s="693"/>
      <c r="V133" s="690">
        <f t="shared" si="25"/>
        <v>0</v>
      </c>
      <c r="W133" s="683"/>
      <c r="X133" s="474">
        <f t="shared" si="18"/>
        <v>0</v>
      </c>
      <c r="Y133" s="474">
        <f t="shared" si="19"/>
        <v>0</v>
      </c>
      <c r="Z133" s="475">
        <f t="shared" si="20"/>
        <v>0</v>
      </c>
      <c r="AA133" s="475">
        <v>0</v>
      </c>
      <c r="AB133" s="476">
        <v>0</v>
      </c>
      <c r="AC133" s="38">
        <f t="shared" si="21"/>
        <v>0</v>
      </c>
      <c r="AD133" s="692">
        <f t="shared" si="15"/>
        <v>0</v>
      </c>
      <c r="AE133" s="692">
        <f t="shared" si="16"/>
        <v>0</v>
      </c>
      <c r="AF133" s="692">
        <f t="shared" si="17"/>
        <v>0</v>
      </c>
      <c r="AG133" s="38"/>
      <c r="AH133" s="692">
        <f t="shared" si="22"/>
        <v>0</v>
      </c>
      <c r="AI133" s="692">
        <f t="shared" si="23"/>
        <v>0</v>
      </c>
      <c r="AJ133" s="692">
        <f t="shared" si="24"/>
        <v>0</v>
      </c>
      <c r="AL133" s="38">
        <f t="shared" si="26"/>
        <v>0</v>
      </c>
    </row>
    <row r="134" spans="1:38" s="232" customFormat="1" hidden="1">
      <c r="A134" s="283"/>
      <c r="B134" s="283" t="s">
        <v>110</v>
      </c>
      <c r="C134" s="667" t="s">
        <v>555</v>
      </c>
      <c r="D134" s="123" t="s">
        <v>197</v>
      </c>
      <c r="E134" s="679"/>
      <c r="F134" s="529">
        <f>VLOOKUP(D134,'June 2013 Revenue'!D:V,19,FALSE)</f>
        <v>0</v>
      </c>
      <c r="G134" s="680"/>
      <c r="H134" s="680"/>
      <c r="I134" s="755"/>
      <c r="J134" s="682">
        <f t="shared" si="14"/>
        <v>0</v>
      </c>
      <c r="K134" s="683"/>
      <c r="L134" s="684"/>
      <c r="M134" s="753"/>
      <c r="N134" s="683">
        <v>0</v>
      </c>
      <c r="O134" s="686"/>
      <c r="P134" s="683">
        <v>0</v>
      </c>
      <c r="Q134" s="687">
        <f t="shared" si="1"/>
        <v>0</v>
      </c>
      <c r="R134" s="687"/>
      <c r="S134" s="687"/>
      <c r="T134" s="688">
        <v>0</v>
      </c>
      <c r="U134" s="693"/>
      <c r="V134" s="690">
        <f t="shared" si="25"/>
        <v>0</v>
      </c>
      <c r="W134" s="683"/>
      <c r="X134" s="474">
        <f t="shared" si="18"/>
        <v>0</v>
      </c>
      <c r="Y134" s="474">
        <f t="shared" si="19"/>
        <v>0</v>
      </c>
      <c r="Z134" s="475">
        <f t="shared" si="20"/>
        <v>0</v>
      </c>
      <c r="AA134" s="475">
        <v>0</v>
      </c>
      <c r="AB134" s="476">
        <v>0</v>
      </c>
      <c r="AC134" s="38">
        <f t="shared" si="21"/>
        <v>0</v>
      </c>
      <c r="AD134" s="692">
        <f t="shared" si="15"/>
        <v>0</v>
      </c>
      <c r="AE134" s="692">
        <f t="shared" si="16"/>
        <v>0</v>
      </c>
      <c r="AF134" s="692">
        <f t="shared" si="17"/>
        <v>0</v>
      </c>
      <c r="AG134" s="38"/>
      <c r="AH134" s="692">
        <f t="shared" si="22"/>
        <v>0</v>
      </c>
      <c r="AI134" s="692">
        <f t="shared" si="23"/>
        <v>0</v>
      </c>
      <c r="AJ134" s="692">
        <f t="shared" si="24"/>
        <v>0</v>
      </c>
      <c r="AL134" s="38">
        <f t="shared" si="26"/>
        <v>0</v>
      </c>
    </row>
    <row r="135" spans="1:38" s="232" customFormat="1" hidden="1">
      <c r="A135" s="283"/>
      <c r="B135" s="283" t="s">
        <v>110</v>
      </c>
      <c r="C135" s="667" t="s">
        <v>555</v>
      </c>
      <c r="D135" s="123" t="s">
        <v>440</v>
      </c>
      <c r="E135" s="679"/>
      <c r="F135" s="529">
        <f>VLOOKUP(D135,'June 2013 Revenue'!D:V,19,FALSE)</f>
        <v>0</v>
      </c>
      <c r="G135" s="680"/>
      <c r="H135" s="680"/>
      <c r="I135" s="755"/>
      <c r="J135" s="682">
        <f t="shared" si="14"/>
        <v>0</v>
      </c>
      <c r="K135" s="683"/>
      <c r="L135" s="684"/>
      <c r="M135" s="753"/>
      <c r="N135" s="683">
        <v>0</v>
      </c>
      <c r="O135" s="686"/>
      <c r="P135" s="683">
        <v>0</v>
      </c>
      <c r="Q135" s="687">
        <f t="shared" si="1"/>
        <v>0</v>
      </c>
      <c r="R135" s="687"/>
      <c r="S135" s="687"/>
      <c r="T135" s="688">
        <v>0</v>
      </c>
      <c r="U135" s="693"/>
      <c r="V135" s="690">
        <f t="shared" si="25"/>
        <v>0</v>
      </c>
      <c r="W135" s="683"/>
      <c r="X135" s="474">
        <f t="shared" si="18"/>
        <v>0</v>
      </c>
      <c r="Y135" s="474">
        <f t="shared" si="19"/>
        <v>0</v>
      </c>
      <c r="Z135" s="475">
        <f t="shared" si="20"/>
        <v>0</v>
      </c>
      <c r="AA135" s="475">
        <v>0</v>
      </c>
      <c r="AB135" s="476">
        <v>0</v>
      </c>
      <c r="AC135" s="38">
        <f t="shared" si="21"/>
        <v>0</v>
      </c>
      <c r="AD135" s="692">
        <f t="shared" si="15"/>
        <v>0</v>
      </c>
      <c r="AE135" s="692">
        <f t="shared" si="16"/>
        <v>0</v>
      </c>
      <c r="AF135" s="692">
        <f t="shared" si="17"/>
        <v>0</v>
      </c>
      <c r="AG135" s="38"/>
      <c r="AH135" s="692">
        <f t="shared" si="22"/>
        <v>0</v>
      </c>
      <c r="AI135" s="692">
        <f t="shared" si="23"/>
        <v>0</v>
      </c>
      <c r="AJ135" s="692">
        <f t="shared" si="24"/>
        <v>0</v>
      </c>
      <c r="AL135" s="38">
        <f t="shared" si="26"/>
        <v>0</v>
      </c>
    </row>
    <row r="136" spans="1:38" s="232" customFormat="1">
      <c r="A136" s="283"/>
      <c r="B136" s="283" t="s">
        <v>110</v>
      </c>
      <c r="C136" s="667" t="s">
        <v>555</v>
      </c>
      <c r="D136" s="123" t="s">
        <v>481</v>
      </c>
      <c r="E136" s="679"/>
      <c r="F136" s="529">
        <f>VLOOKUP(D136,'June 2013 Revenue'!D:V,19,FALSE)</f>
        <v>0</v>
      </c>
      <c r="G136" s="680"/>
      <c r="H136" s="680"/>
      <c r="I136" s="755"/>
      <c r="J136" s="682">
        <f t="shared" si="14"/>
        <v>0</v>
      </c>
      <c r="K136" s="683"/>
      <c r="L136" s="684"/>
      <c r="M136" s="753"/>
      <c r="N136" s="683">
        <v>0</v>
      </c>
      <c r="O136" s="686"/>
      <c r="P136" s="683">
        <v>0</v>
      </c>
      <c r="Q136" s="687">
        <f t="shared" si="1"/>
        <v>0</v>
      </c>
      <c r="R136" s="687"/>
      <c r="S136" s="687"/>
      <c r="T136" s="688">
        <v>0</v>
      </c>
      <c r="U136" s="693"/>
      <c r="V136" s="690">
        <f t="shared" si="25"/>
        <v>0</v>
      </c>
      <c r="W136" s="683"/>
      <c r="X136" s="474">
        <f t="shared" si="18"/>
        <v>0</v>
      </c>
      <c r="Y136" s="474">
        <f t="shared" si="19"/>
        <v>0</v>
      </c>
      <c r="Z136" s="475">
        <f t="shared" si="20"/>
        <v>0</v>
      </c>
      <c r="AA136" s="475">
        <v>0</v>
      </c>
      <c r="AB136" s="476">
        <v>0</v>
      </c>
      <c r="AC136" s="38">
        <f t="shared" si="21"/>
        <v>0</v>
      </c>
      <c r="AD136" s="692">
        <f t="shared" si="15"/>
        <v>0</v>
      </c>
      <c r="AE136" s="692">
        <f t="shared" si="16"/>
        <v>0</v>
      </c>
      <c r="AF136" s="692">
        <f t="shared" si="17"/>
        <v>0</v>
      </c>
      <c r="AG136" s="38"/>
      <c r="AH136" s="692">
        <f t="shared" si="22"/>
        <v>0</v>
      </c>
      <c r="AI136" s="692">
        <f t="shared" si="23"/>
        <v>0</v>
      </c>
      <c r="AJ136" s="692">
        <f t="shared" si="24"/>
        <v>0</v>
      </c>
      <c r="AL136" s="38">
        <f t="shared" si="26"/>
        <v>0</v>
      </c>
    </row>
    <row r="137" spans="1:38" s="232" customFormat="1">
      <c r="A137" s="283"/>
      <c r="B137" s="283" t="s">
        <v>109</v>
      </c>
      <c r="C137" s="667" t="s">
        <v>555</v>
      </c>
      <c r="D137" s="123" t="s">
        <v>248</v>
      </c>
      <c r="E137" s="679"/>
      <c r="F137" s="529">
        <f>VLOOKUP(D137,'June 2013 Revenue'!D:V,19,FALSE)</f>
        <v>0</v>
      </c>
      <c r="G137" s="680"/>
      <c r="H137" s="680"/>
      <c r="I137" s="755"/>
      <c r="J137" s="682">
        <f t="shared" si="14"/>
        <v>0</v>
      </c>
      <c r="K137" s="683"/>
      <c r="L137" s="684"/>
      <c r="M137" s="753"/>
      <c r="N137" s="683">
        <v>0</v>
      </c>
      <c r="O137" s="686"/>
      <c r="P137" s="683">
        <v>0</v>
      </c>
      <c r="Q137" s="687">
        <f t="shared" si="1"/>
        <v>0</v>
      </c>
      <c r="R137" s="687"/>
      <c r="S137" s="687"/>
      <c r="T137" s="688">
        <v>0</v>
      </c>
      <c r="U137" s="693"/>
      <c r="V137" s="690">
        <f t="shared" si="25"/>
        <v>0</v>
      </c>
      <c r="W137" s="683"/>
      <c r="X137" s="474">
        <f t="shared" si="18"/>
        <v>0</v>
      </c>
      <c r="Y137" s="474">
        <f t="shared" si="19"/>
        <v>0</v>
      </c>
      <c r="Z137" s="475">
        <f t="shared" si="20"/>
        <v>0</v>
      </c>
      <c r="AA137" s="475">
        <v>0</v>
      </c>
      <c r="AB137" s="476">
        <v>0</v>
      </c>
      <c r="AC137" s="38">
        <f t="shared" si="21"/>
        <v>0</v>
      </c>
      <c r="AD137" s="692">
        <f t="shared" si="15"/>
        <v>0</v>
      </c>
      <c r="AE137" s="692">
        <f t="shared" si="16"/>
        <v>0</v>
      </c>
      <c r="AF137" s="692">
        <f t="shared" si="17"/>
        <v>0</v>
      </c>
      <c r="AG137" s="38"/>
      <c r="AH137" s="692">
        <f t="shared" si="22"/>
        <v>0</v>
      </c>
      <c r="AI137" s="692">
        <f t="shared" si="23"/>
        <v>0</v>
      </c>
      <c r="AJ137" s="692">
        <f t="shared" si="24"/>
        <v>0</v>
      </c>
      <c r="AL137" s="38">
        <f t="shared" si="26"/>
        <v>0</v>
      </c>
    </row>
    <row r="138" spans="1:38" s="232" customFormat="1">
      <c r="A138" s="283"/>
      <c r="B138" s="20" t="s">
        <v>109</v>
      </c>
      <c r="C138" s="667"/>
      <c r="D138" s="68" t="s">
        <v>465</v>
      </c>
      <c r="E138" s="679"/>
      <c r="F138" s="529">
        <f>VLOOKUP(D138,'June 2013 Revenue'!D:V,19,FALSE)</f>
        <v>-8000</v>
      </c>
      <c r="G138" s="680"/>
      <c r="H138" s="680"/>
      <c r="I138" s="755"/>
      <c r="J138" s="682">
        <f t="shared" si="14"/>
        <v>-8000</v>
      </c>
      <c r="K138" s="683"/>
      <c r="L138" s="684"/>
      <c r="M138" s="753">
        <v>10000</v>
      </c>
      <c r="N138" s="683">
        <v>0</v>
      </c>
      <c r="O138" s="686"/>
      <c r="P138" s="683">
        <v>0</v>
      </c>
      <c r="Q138" s="687">
        <f t="shared" si="1"/>
        <v>10000</v>
      </c>
      <c r="R138" s="687"/>
      <c r="S138" s="687"/>
      <c r="T138" s="688">
        <v>0</v>
      </c>
      <c r="U138" s="693"/>
      <c r="V138" s="690">
        <f t="shared" si="25"/>
        <v>-10000</v>
      </c>
      <c r="W138" s="683"/>
      <c r="X138" s="474">
        <f t="shared" si="18"/>
        <v>0</v>
      </c>
      <c r="Y138" s="474">
        <f t="shared" si="19"/>
        <v>10000</v>
      </c>
      <c r="Z138" s="475">
        <f t="shared" si="20"/>
        <v>0</v>
      </c>
      <c r="AA138" s="475">
        <v>0</v>
      </c>
      <c r="AB138" s="476">
        <v>0</v>
      </c>
      <c r="AC138" s="38">
        <f t="shared" si="21"/>
        <v>0</v>
      </c>
      <c r="AD138" s="692">
        <f t="shared" si="15"/>
        <v>0</v>
      </c>
      <c r="AE138" s="692">
        <f t="shared" si="16"/>
        <v>-8000</v>
      </c>
      <c r="AF138" s="692">
        <f t="shared" si="17"/>
        <v>0</v>
      </c>
      <c r="AG138" s="38"/>
      <c r="AH138" s="692">
        <f t="shared" si="22"/>
        <v>0</v>
      </c>
      <c r="AI138" s="692">
        <f t="shared" si="23"/>
        <v>10000</v>
      </c>
      <c r="AJ138" s="692">
        <f t="shared" si="24"/>
        <v>0</v>
      </c>
      <c r="AL138" s="38">
        <f t="shared" si="26"/>
        <v>2000</v>
      </c>
    </row>
    <row r="139" spans="1:38">
      <c r="A139" s="21"/>
      <c r="B139" s="21" t="s">
        <v>110</v>
      </c>
      <c r="C139" s="666" t="s">
        <v>556</v>
      </c>
      <c r="D139" s="68" t="s">
        <v>261</v>
      </c>
      <c r="E139" s="679"/>
      <c r="F139" s="529">
        <f>VLOOKUP(D139,'June 2013 Revenue'!D:V,19,FALSE)</f>
        <v>-11533.260000000009</v>
      </c>
      <c r="G139" s="680"/>
      <c r="H139" s="680"/>
      <c r="I139" s="755"/>
      <c r="J139" s="682">
        <f t="shared" si="14"/>
        <v>-11533.260000000009</v>
      </c>
      <c r="K139" s="683"/>
      <c r="L139" s="684"/>
      <c r="M139" s="753">
        <v>270000</v>
      </c>
      <c r="N139" s="683">
        <v>0</v>
      </c>
      <c r="O139" s="686"/>
      <c r="P139" s="683">
        <v>0</v>
      </c>
      <c r="Q139" s="687">
        <f t="shared" si="1"/>
        <v>270000</v>
      </c>
      <c r="R139" s="687"/>
      <c r="S139" s="687"/>
      <c r="T139" s="688">
        <f>305724.16-T140</f>
        <v>285691.00999999995</v>
      </c>
      <c r="U139" s="693"/>
      <c r="V139" s="690">
        <f t="shared" si="25"/>
        <v>15691.009999999951</v>
      </c>
      <c r="W139" s="683"/>
      <c r="X139" s="474">
        <f t="shared" si="18"/>
        <v>270000</v>
      </c>
      <c r="Y139" s="474">
        <f t="shared" si="19"/>
        <v>0</v>
      </c>
      <c r="Z139" s="475">
        <f t="shared" si="20"/>
        <v>0</v>
      </c>
      <c r="AA139" s="475">
        <v>0</v>
      </c>
      <c r="AB139" s="476">
        <v>0</v>
      </c>
      <c r="AC139" s="38">
        <f t="shared" si="21"/>
        <v>0</v>
      </c>
      <c r="AD139" s="692">
        <f t="shared" si="15"/>
        <v>-11533.260000000009</v>
      </c>
      <c r="AE139" s="692">
        <f t="shared" si="16"/>
        <v>0</v>
      </c>
      <c r="AF139" s="692">
        <f t="shared" si="17"/>
        <v>0</v>
      </c>
      <c r="AG139" s="38"/>
      <c r="AH139" s="692">
        <f t="shared" si="22"/>
        <v>270000</v>
      </c>
      <c r="AI139" s="692">
        <f t="shared" si="23"/>
        <v>0</v>
      </c>
      <c r="AJ139" s="692">
        <f t="shared" si="24"/>
        <v>0</v>
      </c>
      <c r="AL139" s="38">
        <f t="shared" si="26"/>
        <v>258466.74</v>
      </c>
    </row>
    <row r="140" spans="1:38" s="269" customFormat="1">
      <c r="A140" s="21"/>
      <c r="B140" s="21" t="s">
        <v>110</v>
      </c>
      <c r="C140" s="666" t="s">
        <v>556</v>
      </c>
      <c r="D140" s="68" t="s">
        <v>262</v>
      </c>
      <c r="E140" s="679"/>
      <c r="F140" s="529">
        <f>VLOOKUP(D140,'June 2013 Revenue'!D:V,19,FALSE)</f>
        <v>-1135.1800000000003</v>
      </c>
      <c r="G140" s="680"/>
      <c r="H140" s="680"/>
      <c r="I140" s="755"/>
      <c r="J140" s="682">
        <f t="shared" si="14"/>
        <v>-1135.1800000000003</v>
      </c>
      <c r="K140" s="683"/>
      <c r="L140" s="684"/>
      <c r="M140" s="753">
        <v>20000</v>
      </c>
      <c r="N140" s="683">
        <v>0</v>
      </c>
      <c r="O140" s="686"/>
      <c r="P140" s="683">
        <v>0</v>
      </c>
      <c r="Q140" s="687">
        <f t="shared" si="1"/>
        <v>20000</v>
      </c>
      <c r="R140" s="687"/>
      <c r="S140" s="687"/>
      <c r="T140" s="688">
        <v>20033.150000000001</v>
      </c>
      <c r="U140" s="693"/>
      <c r="V140" s="690">
        <f t="shared" si="25"/>
        <v>33.150000000001455</v>
      </c>
      <c r="W140" s="683"/>
      <c r="X140" s="474">
        <f t="shared" si="18"/>
        <v>20000</v>
      </c>
      <c r="Y140" s="474">
        <f t="shared" si="19"/>
        <v>0</v>
      </c>
      <c r="Z140" s="475">
        <f t="shared" si="20"/>
        <v>0</v>
      </c>
      <c r="AA140" s="475">
        <v>0</v>
      </c>
      <c r="AB140" s="476">
        <v>0</v>
      </c>
      <c r="AC140" s="38">
        <f t="shared" si="21"/>
        <v>0</v>
      </c>
      <c r="AD140" s="692">
        <f t="shared" si="15"/>
        <v>-1135.1800000000003</v>
      </c>
      <c r="AE140" s="692">
        <f t="shared" si="16"/>
        <v>0</v>
      </c>
      <c r="AF140" s="692">
        <f t="shared" si="17"/>
        <v>0</v>
      </c>
      <c r="AG140" s="38"/>
      <c r="AH140" s="692">
        <f t="shared" si="22"/>
        <v>20000</v>
      </c>
      <c r="AI140" s="692">
        <f t="shared" si="23"/>
        <v>0</v>
      </c>
      <c r="AJ140" s="692">
        <f t="shared" si="24"/>
        <v>0</v>
      </c>
      <c r="AL140" s="38">
        <f t="shared" si="26"/>
        <v>18864.82</v>
      </c>
    </row>
    <row r="141" spans="1:38" s="269" customFormat="1">
      <c r="A141" s="21"/>
      <c r="B141" s="21" t="s">
        <v>114</v>
      </c>
      <c r="C141" s="675" t="s">
        <v>619</v>
      </c>
      <c r="D141" s="68" t="s">
        <v>626</v>
      </c>
      <c r="E141" s="679"/>
      <c r="F141" s="529">
        <f>VLOOKUP(D141,'June 2013 Revenue'!D:V,19,FALSE)</f>
        <v>0</v>
      </c>
      <c r="G141" s="680"/>
      <c r="H141" s="680"/>
      <c r="I141" s="770">
        <v>3845.17</v>
      </c>
      <c r="J141" s="682">
        <f t="shared" si="14"/>
        <v>3845.17</v>
      </c>
      <c r="K141" s="683"/>
      <c r="L141" s="684"/>
      <c r="M141" s="753"/>
      <c r="N141" s="683">
        <v>0</v>
      </c>
      <c r="O141" s="686"/>
      <c r="P141" s="683">
        <v>0</v>
      </c>
      <c r="Q141" s="687">
        <f t="shared" ref="Q141:Q207" si="40">L141+M141</f>
        <v>0</v>
      </c>
      <c r="R141" s="687"/>
      <c r="S141" s="687"/>
      <c r="T141" s="688">
        <v>0</v>
      </c>
      <c r="U141" s="693"/>
      <c r="V141" s="690">
        <f t="shared" si="25"/>
        <v>0</v>
      </c>
      <c r="W141" s="683"/>
      <c r="X141" s="474">
        <f t="shared" si="18"/>
        <v>0</v>
      </c>
      <c r="Y141" s="474">
        <f t="shared" si="19"/>
        <v>0</v>
      </c>
      <c r="Z141" s="475">
        <f t="shared" si="20"/>
        <v>0</v>
      </c>
      <c r="AA141" s="475">
        <v>0</v>
      </c>
      <c r="AB141" s="476">
        <v>0</v>
      </c>
      <c r="AC141" s="38">
        <f t="shared" si="21"/>
        <v>0</v>
      </c>
      <c r="AD141" s="692">
        <f t="shared" si="15"/>
        <v>0</v>
      </c>
      <c r="AE141" s="692">
        <f t="shared" si="16"/>
        <v>0</v>
      </c>
      <c r="AF141" s="692">
        <f t="shared" si="17"/>
        <v>3845.17</v>
      </c>
      <c r="AG141" s="38"/>
      <c r="AH141" s="692">
        <f t="shared" si="22"/>
        <v>0</v>
      </c>
      <c r="AI141" s="692">
        <f t="shared" si="23"/>
        <v>0</v>
      </c>
      <c r="AJ141" s="692">
        <f t="shared" si="24"/>
        <v>0</v>
      </c>
      <c r="AL141" s="38">
        <f t="shared" si="26"/>
        <v>3845.17</v>
      </c>
    </row>
    <row r="142" spans="1:38">
      <c r="A142" s="21"/>
      <c r="B142" s="21" t="s">
        <v>109</v>
      </c>
      <c r="C142" s="666"/>
      <c r="D142" s="68" t="s">
        <v>396</v>
      </c>
      <c r="E142" s="679"/>
      <c r="F142" s="529">
        <f>VLOOKUP(D142,'June 2013 Revenue'!D:V,19,FALSE)</f>
        <v>0</v>
      </c>
      <c r="G142" s="680"/>
      <c r="H142" s="680"/>
      <c r="I142" s="755"/>
      <c r="J142" s="682">
        <f t="shared" si="14"/>
        <v>0</v>
      </c>
      <c r="K142" s="683"/>
      <c r="L142" s="684"/>
      <c r="M142" s="753"/>
      <c r="N142" s="683">
        <v>0</v>
      </c>
      <c r="O142" s="686"/>
      <c r="P142" s="683">
        <v>0</v>
      </c>
      <c r="Q142" s="687">
        <f t="shared" si="40"/>
        <v>0</v>
      </c>
      <c r="R142" s="687"/>
      <c r="S142" s="687"/>
      <c r="T142" s="688">
        <v>3.15</v>
      </c>
      <c r="U142" s="693"/>
      <c r="V142" s="690">
        <f t="shared" si="25"/>
        <v>3.15</v>
      </c>
      <c r="W142" s="683"/>
      <c r="X142" s="474">
        <f t="shared" si="18"/>
        <v>0</v>
      </c>
      <c r="Y142" s="474">
        <f t="shared" si="19"/>
        <v>0</v>
      </c>
      <c r="Z142" s="475">
        <f t="shared" si="20"/>
        <v>0</v>
      </c>
      <c r="AA142" s="475">
        <v>0</v>
      </c>
      <c r="AB142" s="476">
        <v>0</v>
      </c>
      <c r="AC142" s="38">
        <f t="shared" si="21"/>
        <v>0</v>
      </c>
      <c r="AD142" s="692">
        <f t="shared" si="15"/>
        <v>0</v>
      </c>
      <c r="AE142" s="692">
        <f t="shared" si="16"/>
        <v>0</v>
      </c>
      <c r="AF142" s="692">
        <f t="shared" si="17"/>
        <v>0</v>
      </c>
      <c r="AG142" s="38"/>
      <c r="AH142" s="692">
        <f t="shared" si="22"/>
        <v>0</v>
      </c>
      <c r="AI142" s="692">
        <f t="shared" si="23"/>
        <v>0</v>
      </c>
      <c r="AJ142" s="692">
        <f t="shared" si="24"/>
        <v>0</v>
      </c>
      <c r="AL142" s="38">
        <f t="shared" si="26"/>
        <v>0</v>
      </c>
    </row>
    <row r="143" spans="1:38">
      <c r="A143" s="20"/>
      <c r="B143" s="20" t="s">
        <v>109</v>
      </c>
      <c r="C143" s="667" t="s">
        <v>557</v>
      </c>
      <c r="D143" s="68" t="s">
        <v>32</v>
      </c>
      <c r="E143" s="679"/>
      <c r="F143" s="529">
        <f>VLOOKUP(D143,'June 2013 Revenue'!D:V,19,FALSE)</f>
        <v>0</v>
      </c>
      <c r="G143" s="680"/>
      <c r="H143" s="680"/>
      <c r="I143" s="755"/>
      <c r="J143" s="682">
        <f t="shared" si="14"/>
        <v>0</v>
      </c>
      <c r="K143" s="683"/>
      <c r="L143" s="684"/>
      <c r="M143" s="753"/>
      <c r="N143" s="683">
        <v>0</v>
      </c>
      <c r="O143" s="686"/>
      <c r="P143" s="683">
        <v>0</v>
      </c>
      <c r="Q143" s="687">
        <f t="shared" si="40"/>
        <v>0</v>
      </c>
      <c r="R143" s="687"/>
      <c r="S143" s="687"/>
      <c r="T143" s="688">
        <v>26.54</v>
      </c>
      <c r="U143" s="693"/>
      <c r="V143" s="690">
        <f t="shared" si="25"/>
        <v>26.54</v>
      </c>
      <c r="W143" s="683"/>
      <c r="X143" s="474">
        <f t="shared" si="18"/>
        <v>0</v>
      </c>
      <c r="Y143" s="474">
        <f t="shared" si="19"/>
        <v>0</v>
      </c>
      <c r="Z143" s="475">
        <f t="shared" si="20"/>
        <v>0</v>
      </c>
      <c r="AA143" s="475">
        <v>0</v>
      </c>
      <c r="AB143" s="476">
        <v>0</v>
      </c>
      <c r="AC143" s="38">
        <f t="shared" si="21"/>
        <v>0</v>
      </c>
      <c r="AD143" s="692">
        <f t="shared" si="15"/>
        <v>0</v>
      </c>
      <c r="AE143" s="692">
        <f t="shared" si="16"/>
        <v>0</v>
      </c>
      <c r="AF143" s="692">
        <f t="shared" si="17"/>
        <v>0</v>
      </c>
      <c r="AG143" s="38"/>
      <c r="AH143" s="692">
        <f t="shared" si="22"/>
        <v>0</v>
      </c>
      <c r="AI143" s="692">
        <f t="shared" si="23"/>
        <v>0</v>
      </c>
      <c r="AJ143" s="692">
        <f t="shared" si="24"/>
        <v>0</v>
      </c>
      <c r="AL143" s="38">
        <f t="shared" si="26"/>
        <v>0</v>
      </c>
    </row>
    <row r="144" spans="1:38">
      <c r="A144" s="21"/>
      <c r="B144" s="21" t="s">
        <v>110</v>
      </c>
      <c r="C144" s="666"/>
      <c r="D144" s="68" t="s">
        <v>448</v>
      </c>
      <c r="E144" s="679"/>
      <c r="F144" s="529">
        <f>VLOOKUP(D144,'June 2013 Revenue'!D:V,19,FALSE)</f>
        <v>0</v>
      </c>
      <c r="G144" s="680"/>
      <c r="H144" s="680"/>
      <c r="I144" s="755"/>
      <c r="J144" s="682">
        <f t="shared" si="14"/>
        <v>0</v>
      </c>
      <c r="K144" s="683"/>
      <c r="L144" s="684"/>
      <c r="M144" s="753"/>
      <c r="N144" s="683">
        <v>0</v>
      </c>
      <c r="O144" s="686"/>
      <c r="P144" s="683">
        <v>0</v>
      </c>
      <c r="Q144" s="687">
        <f t="shared" si="40"/>
        <v>0</v>
      </c>
      <c r="R144" s="687"/>
      <c r="S144" s="687"/>
      <c r="T144" s="688">
        <v>0</v>
      </c>
      <c r="U144" s="693"/>
      <c r="V144" s="690">
        <f t="shared" si="25"/>
        <v>0</v>
      </c>
      <c r="W144" s="683"/>
      <c r="X144" s="474">
        <f t="shared" si="18"/>
        <v>0</v>
      </c>
      <c r="Y144" s="474">
        <f t="shared" si="19"/>
        <v>0</v>
      </c>
      <c r="Z144" s="475">
        <f t="shared" si="20"/>
        <v>0</v>
      </c>
      <c r="AA144" s="475">
        <v>0</v>
      </c>
      <c r="AB144" s="476">
        <v>0</v>
      </c>
      <c r="AC144" s="38">
        <f t="shared" si="21"/>
        <v>0</v>
      </c>
      <c r="AD144" s="692">
        <f t="shared" si="15"/>
        <v>0</v>
      </c>
      <c r="AE144" s="692">
        <f t="shared" si="16"/>
        <v>0</v>
      </c>
      <c r="AF144" s="692">
        <f t="shared" si="17"/>
        <v>0</v>
      </c>
      <c r="AG144" s="38"/>
      <c r="AH144" s="692">
        <f t="shared" si="22"/>
        <v>0</v>
      </c>
      <c r="AI144" s="692">
        <f t="shared" si="23"/>
        <v>0</v>
      </c>
      <c r="AJ144" s="692">
        <f t="shared" si="24"/>
        <v>0</v>
      </c>
      <c r="AL144" s="38">
        <f t="shared" si="26"/>
        <v>0</v>
      </c>
    </row>
    <row r="145" spans="1:38">
      <c r="A145" s="21"/>
      <c r="B145" s="21" t="s">
        <v>114</v>
      </c>
      <c r="C145" s="666"/>
      <c r="D145" s="68" t="s">
        <v>936</v>
      </c>
      <c r="E145" s="679"/>
      <c r="F145" s="529">
        <f>VLOOKUP(D145,'June 2013 Revenue'!D:V,19,FALSE)</f>
        <v>0</v>
      </c>
      <c r="G145" s="680"/>
      <c r="H145" s="680"/>
      <c r="I145" s="755"/>
      <c r="J145" s="682">
        <f t="shared" ref="J145:J208" si="41">SUM(E145:I145)</f>
        <v>0</v>
      </c>
      <c r="K145" s="683"/>
      <c r="L145" s="684"/>
      <c r="M145" s="753"/>
      <c r="N145" s="683">
        <v>0</v>
      </c>
      <c r="O145" s="686"/>
      <c r="P145" s="683">
        <v>0</v>
      </c>
      <c r="Q145" s="687">
        <f t="shared" si="40"/>
        <v>0</v>
      </c>
      <c r="R145" s="687"/>
      <c r="S145" s="687"/>
      <c r="T145" s="688">
        <v>0</v>
      </c>
      <c r="U145" s="693"/>
      <c r="V145" s="690">
        <f t="shared" si="25"/>
        <v>0</v>
      </c>
      <c r="W145" s="683"/>
      <c r="X145" s="474">
        <f t="shared" si="18"/>
        <v>0</v>
      </c>
      <c r="Y145" s="474">
        <f t="shared" si="19"/>
        <v>0</v>
      </c>
      <c r="Z145" s="475">
        <f t="shared" si="20"/>
        <v>0</v>
      </c>
      <c r="AA145" s="475">
        <v>0</v>
      </c>
      <c r="AB145" s="476">
        <v>0</v>
      </c>
      <c r="AC145" s="38">
        <f t="shared" si="21"/>
        <v>0</v>
      </c>
      <c r="AD145" s="692">
        <f t="shared" si="15"/>
        <v>0</v>
      </c>
      <c r="AE145" s="692">
        <f t="shared" si="16"/>
        <v>0</v>
      </c>
      <c r="AF145" s="692">
        <f t="shared" si="17"/>
        <v>0</v>
      </c>
      <c r="AG145" s="38"/>
      <c r="AH145" s="692">
        <f t="shared" si="22"/>
        <v>0</v>
      </c>
      <c r="AI145" s="692">
        <f t="shared" si="23"/>
        <v>0</v>
      </c>
      <c r="AJ145" s="692">
        <f t="shared" si="24"/>
        <v>0</v>
      </c>
      <c r="AL145" s="38">
        <f t="shared" si="26"/>
        <v>0</v>
      </c>
    </row>
    <row r="146" spans="1:38">
      <c r="A146" s="21"/>
      <c r="B146" s="21" t="s">
        <v>110</v>
      </c>
      <c r="C146" s="666"/>
      <c r="D146" s="68" t="s">
        <v>877</v>
      </c>
      <c r="E146" s="679"/>
      <c r="F146" s="529">
        <f>VLOOKUP(D146,'June 2013 Revenue'!D:V,19,FALSE)</f>
        <v>0</v>
      </c>
      <c r="G146" s="680"/>
      <c r="H146" s="680"/>
      <c r="I146" s="755"/>
      <c r="J146" s="682">
        <f t="shared" si="41"/>
        <v>0</v>
      </c>
      <c r="K146" s="683"/>
      <c r="L146" s="684"/>
      <c r="M146" s="753"/>
      <c r="N146" s="683">
        <v>0</v>
      </c>
      <c r="O146" s="686"/>
      <c r="P146" s="683">
        <v>0</v>
      </c>
      <c r="Q146" s="687">
        <f t="shared" si="40"/>
        <v>0</v>
      </c>
      <c r="R146" s="687"/>
      <c r="S146" s="687"/>
      <c r="T146" s="688">
        <v>0</v>
      </c>
      <c r="U146" s="693"/>
      <c r="V146" s="690">
        <f t="shared" ref="V146:V209" si="42">IF(T146="","",T146-Q146)</f>
        <v>0</v>
      </c>
      <c r="W146" s="683"/>
      <c r="X146" s="474">
        <f t="shared" si="18"/>
        <v>0</v>
      </c>
      <c r="Y146" s="474">
        <f t="shared" si="19"/>
        <v>0</v>
      </c>
      <c r="Z146" s="475">
        <f t="shared" si="20"/>
        <v>0</v>
      </c>
      <c r="AA146" s="475">
        <v>0</v>
      </c>
      <c r="AB146" s="476">
        <v>0</v>
      </c>
      <c r="AC146" s="38">
        <f t="shared" si="21"/>
        <v>0</v>
      </c>
      <c r="AD146" s="692">
        <f t="shared" si="15"/>
        <v>0</v>
      </c>
      <c r="AE146" s="692">
        <f t="shared" si="16"/>
        <v>0</v>
      </c>
      <c r="AF146" s="692">
        <f t="shared" si="17"/>
        <v>0</v>
      </c>
      <c r="AG146" s="38"/>
      <c r="AH146" s="692">
        <f t="shared" si="22"/>
        <v>0</v>
      </c>
      <c r="AI146" s="692">
        <f t="shared" si="23"/>
        <v>0</v>
      </c>
      <c r="AJ146" s="692">
        <f t="shared" si="24"/>
        <v>0</v>
      </c>
      <c r="AL146" s="38">
        <f t="shared" si="26"/>
        <v>0</v>
      </c>
    </row>
    <row r="147" spans="1:38">
      <c r="A147" s="21"/>
      <c r="B147" s="21" t="s">
        <v>110</v>
      </c>
      <c r="C147" s="666" t="s">
        <v>558</v>
      </c>
      <c r="D147" s="68" t="s">
        <v>122</v>
      </c>
      <c r="E147" s="679"/>
      <c r="F147" s="529">
        <f>VLOOKUP(D147,'June 2013 Revenue'!D:V,19,FALSE)</f>
        <v>0</v>
      </c>
      <c r="G147" s="680"/>
      <c r="H147" s="680"/>
      <c r="I147" s="755"/>
      <c r="J147" s="682">
        <f t="shared" si="41"/>
        <v>0</v>
      </c>
      <c r="K147" s="683"/>
      <c r="L147" s="684"/>
      <c r="M147" s="753"/>
      <c r="N147" s="683">
        <v>0</v>
      </c>
      <c r="O147" s="686"/>
      <c r="P147" s="683">
        <v>0</v>
      </c>
      <c r="Q147" s="687">
        <f t="shared" si="40"/>
        <v>0</v>
      </c>
      <c r="R147" s="687"/>
      <c r="S147" s="687"/>
      <c r="T147" s="688">
        <v>0</v>
      </c>
      <c r="U147" s="693"/>
      <c r="V147" s="690">
        <f t="shared" si="42"/>
        <v>0</v>
      </c>
      <c r="W147" s="683"/>
      <c r="X147" s="474">
        <f t="shared" si="18"/>
        <v>0</v>
      </c>
      <c r="Y147" s="474">
        <f t="shared" si="19"/>
        <v>0</v>
      </c>
      <c r="Z147" s="475">
        <f t="shared" si="20"/>
        <v>0</v>
      </c>
      <c r="AA147" s="475">
        <v>0</v>
      </c>
      <c r="AB147" s="476">
        <v>0</v>
      </c>
      <c r="AC147" s="38">
        <f t="shared" si="21"/>
        <v>0</v>
      </c>
      <c r="AD147" s="692">
        <f t="shared" si="15"/>
        <v>0</v>
      </c>
      <c r="AE147" s="692">
        <f t="shared" si="16"/>
        <v>0</v>
      </c>
      <c r="AF147" s="692">
        <f t="shared" si="17"/>
        <v>0</v>
      </c>
      <c r="AG147" s="38"/>
      <c r="AH147" s="692">
        <f t="shared" si="22"/>
        <v>0</v>
      </c>
      <c r="AI147" s="692">
        <f t="shared" si="23"/>
        <v>0</v>
      </c>
      <c r="AJ147" s="692">
        <f t="shared" si="24"/>
        <v>0</v>
      </c>
      <c r="AL147" s="38">
        <f t="shared" si="26"/>
        <v>0</v>
      </c>
    </row>
    <row r="148" spans="1:38">
      <c r="A148" s="21"/>
      <c r="B148" s="21" t="s">
        <v>114</v>
      </c>
      <c r="C148" s="666" t="s">
        <v>558</v>
      </c>
      <c r="D148" s="68" t="s">
        <v>629</v>
      </c>
      <c r="E148" s="679"/>
      <c r="F148" s="529">
        <f>VLOOKUP(D148,'June 2013 Revenue'!D:V,19,FALSE)</f>
        <v>0</v>
      </c>
      <c r="G148" s="680"/>
      <c r="H148" s="680"/>
      <c r="I148" s="755"/>
      <c r="J148" s="682">
        <f t="shared" si="41"/>
        <v>0</v>
      </c>
      <c r="K148" s="683"/>
      <c r="L148" s="684"/>
      <c r="M148" s="753"/>
      <c r="N148" s="683">
        <v>0</v>
      </c>
      <c r="O148" s="686"/>
      <c r="P148" s="683">
        <v>0</v>
      </c>
      <c r="Q148" s="687">
        <f t="shared" si="40"/>
        <v>0</v>
      </c>
      <c r="R148" s="687"/>
      <c r="S148" s="687"/>
      <c r="T148" s="688">
        <v>0</v>
      </c>
      <c r="U148" s="693"/>
      <c r="V148" s="690">
        <f t="shared" si="42"/>
        <v>0</v>
      </c>
      <c r="W148" s="683"/>
      <c r="X148" s="474">
        <f t="shared" si="18"/>
        <v>0</v>
      </c>
      <c r="Y148" s="474">
        <f t="shared" si="19"/>
        <v>0</v>
      </c>
      <c r="Z148" s="475">
        <f t="shared" si="20"/>
        <v>0</v>
      </c>
      <c r="AA148" s="475">
        <v>0</v>
      </c>
      <c r="AB148" s="476">
        <v>0</v>
      </c>
      <c r="AC148" s="38">
        <f t="shared" si="21"/>
        <v>0</v>
      </c>
      <c r="AD148" s="692">
        <f t="shared" ref="AD148:AD211" si="43">IF(B148="D",J148,0)</f>
        <v>0</v>
      </c>
      <c r="AE148" s="692">
        <f t="shared" ref="AE148:AE211" si="44">IF(B148="M",J148,0)</f>
        <v>0</v>
      </c>
      <c r="AF148" s="692">
        <f t="shared" ref="AF148:AF211" si="45">IF(B148="V",J148,0)</f>
        <v>0</v>
      </c>
      <c r="AG148" s="38"/>
      <c r="AH148" s="692">
        <f t="shared" si="22"/>
        <v>0</v>
      </c>
      <c r="AI148" s="692">
        <f t="shared" si="23"/>
        <v>0</v>
      </c>
      <c r="AJ148" s="692">
        <f t="shared" si="24"/>
        <v>0</v>
      </c>
      <c r="AL148" s="38">
        <f t="shared" ref="AL148:AL211" si="46">SUM(AD148:AJ148)</f>
        <v>0</v>
      </c>
    </row>
    <row r="149" spans="1:38">
      <c r="A149" s="21"/>
      <c r="B149" s="21" t="s">
        <v>109</v>
      </c>
      <c r="C149" s="666" t="s">
        <v>559</v>
      </c>
      <c r="D149" s="68" t="s">
        <v>33</v>
      </c>
      <c r="E149" s="679"/>
      <c r="F149" s="529">
        <f>VLOOKUP(D149,'June 2013 Revenue'!D:V,19,FALSE)</f>
        <v>0</v>
      </c>
      <c r="G149" s="680"/>
      <c r="H149" s="680"/>
      <c r="I149" s="755"/>
      <c r="J149" s="682">
        <f t="shared" si="41"/>
        <v>0</v>
      </c>
      <c r="K149" s="683"/>
      <c r="L149" s="684"/>
      <c r="M149" s="753"/>
      <c r="N149" s="683">
        <v>0</v>
      </c>
      <c r="O149" s="686"/>
      <c r="P149" s="683">
        <v>0</v>
      </c>
      <c r="Q149" s="687">
        <f t="shared" si="40"/>
        <v>0</v>
      </c>
      <c r="R149" s="687"/>
      <c r="S149" s="687"/>
      <c r="T149" s="688">
        <v>0</v>
      </c>
      <c r="U149" s="693"/>
      <c r="V149" s="690">
        <f t="shared" si="42"/>
        <v>0</v>
      </c>
      <c r="W149" s="683"/>
      <c r="X149" s="474">
        <f t="shared" si="18"/>
        <v>0</v>
      </c>
      <c r="Y149" s="474">
        <f t="shared" si="19"/>
        <v>0</v>
      </c>
      <c r="Z149" s="475">
        <f t="shared" si="20"/>
        <v>0</v>
      </c>
      <c r="AA149" s="475">
        <v>0</v>
      </c>
      <c r="AB149" s="476">
        <v>0</v>
      </c>
      <c r="AC149" s="38">
        <f t="shared" si="21"/>
        <v>0</v>
      </c>
      <c r="AD149" s="692">
        <f t="shared" si="43"/>
        <v>0</v>
      </c>
      <c r="AE149" s="692">
        <f t="shared" si="44"/>
        <v>0</v>
      </c>
      <c r="AF149" s="692">
        <f t="shared" si="45"/>
        <v>0</v>
      </c>
      <c r="AG149" s="38"/>
      <c r="AH149" s="692">
        <f t="shared" ref="AH149:AH212" si="47">IF(B149="D",Q149,0)</f>
        <v>0</v>
      </c>
      <c r="AI149" s="692">
        <f t="shared" ref="AI149:AI212" si="48">IF(B149="M",Q149,0)</f>
        <v>0</v>
      </c>
      <c r="AJ149" s="692">
        <f t="shared" ref="AJ149:AJ212" si="49">IF(B149="V",Q149,0)</f>
        <v>0</v>
      </c>
      <c r="AL149" s="38">
        <f t="shared" si="46"/>
        <v>0</v>
      </c>
    </row>
    <row r="150" spans="1:38">
      <c r="A150" s="21"/>
      <c r="B150" s="21" t="s">
        <v>109</v>
      </c>
      <c r="C150" s="666" t="s">
        <v>560</v>
      </c>
      <c r="D150" s="68" t="s">
        <v>379</v>
      </c>
      <c r="E150" s="679"/>
      <c r="F150" s="529">
        <f>VLOOKUP(D150,'June 2013 Revenue'!D:V,19,FALSE)</f>
        <v>97.21</v>
      </c>
      <c r="G150" s="680"/>
      <c r="H150" s="680"/>
      <c r="I150" s="755"/>
      <c r="J150" s="682">
        <f t="shared" si="41"/>
        <v>97.21</v>
      </c>
      <c r="K150" s="683"/>
      <c r="L150" s="684"/>
      <c r="M150" s="753"/>
      <c r="N150" s="683">
        <v>0</v>
      </c>
      <c r="O150" s="686"/>
      <c r="P150" s="683">
        <v>0</v>
      </c>
      <c r="Q150" s="687">
        <f t="shared" si="40"/>
        <v>0</v>
      </c>
      <c r="R150" s="687"/>
      <c r="S150" s="687"/>
      <c r="T150" s="688">
        <v>0</v>
      </c>
      <c r="U150" s="693"/>
      <c r="V150" s="690">
        <f t="shared" si="42"/>
        <v>0</v>
      </c>
      <c r="W150" s="683"/>
      <c r="X150" s="474">
        <f t="shared" ref="X150:X213" si="50">IF(B150="D",Q150,0)</f>
        <v>0</v>
      </c>
      <c r="Y150" s="474">
        <f t="shared" ref="Y150:Y213" si="51">IF(B150="M",Q150,0)</f>
        <v>0</v>
      </c>
      <c r="Z150" s="475">
        <f t="shared" ref="Z150:Z213" si="52">IF(B150="V",Q150,0)</f>
        <v>0</v>
      </c>
      <c r="AA150" s="475">
        <v>0</v>
      </c>
      <c r="AB150" s="476">
        <v>0</v>
      </c>
      <c r="AC150" s="38">
        <f t="shared" ref="AC150:AC213" si="53">(L150+M150)-(X150+Y150+Z150+AA150+AB150)</f>
        <v>0</v>
      </c>
      <c r="AD150" s="692">
        <f t="shared" si="43"/>
        <v>0</v>
      </c>
      <c r="AE150" s="692">
        <f t="shared" si="44"/>
        <v>97.21</v>
      </c>
      <c r="AF150" s="692">
        <f t="shared" si="45"/>
        <v>0</v>
      </c>
      <c r="AG150" s="38"/>
      <c r="AH150" s="692">
        <f t="shared" si="47"/>
        <v>0</v>
      </c>
      <c r="AI150" s="692">
        <f t="shared" si="48"/>
        <v>0</v>
      </c>
      <c r="AJ150" s="692">
        <f t="shared" si="49"/>
        <v>0</v>
      </c>
      <c r="AL150" s="38">
        <f t="shared" si="46"/>
        <v>97.21</v>
      </c>
    </row>
    <row r="151" spans="1:38" s="232" customFormat="1">
      <c r="A151" s="283"/>
      <c r="B151" s="283" t="s">
        <v>114</v>
      </c>
      <c r="C151" s="667"/>
      <c r="D151" s="500" t="s">
        <v>408</v>
      </c>
      <c r="E151" s="679"/>
      <c r="F151" s="529">
        <f>VLOOKUP(D151,'June 2013 Revenue'!D:V,19,FALSE)</f>
        <v>0</v>
      </c>
      <c r="G151" s="680"/>
      <c r="H151" s="680"/>
      <c r="I151" s="770">
        <v>7837.5</v>
      </c>
      <c r="J151" s="682">
        <f t="shared" si="41"/>
        <v>7837.5</v>
      </c>
      <c r="K151" s="683"/>
      <c r="L151" s="684"/>
      <c r="M151" s="753"/>
      <c r="N151" s="683">
        <v>0</v>
      </c>
      <c r="O151" s="686"/>
      <c r="P151" s="683">
        <v>0</v>
      </c>
      <c r="Q151" s="687">
        <f t="shared" si="40"/>
        <v>0</v>
      </c>
      <c r="R151" s="687"/>
      <c r="S151" s="687"/>
      <c r="T151" s="688">
        <v>0</v>
      </c>
      <c r="U151" s="693"/>
      <c r="V151" s="690">
        <f t="shared" si="42"/>
        <v>0</v>
      </c>
      <c r="W151" s="683"/>
      <c r="X151" s="474">
        <f t="shared" si="50"/>
        <v>0</v>
      </c>
      <c r="Y151" s="474">
        <f t="shared" si="51"/>
        <v>0</v>
      </c>
      <c r="Z151" s="475">
        <f t="shared" si="52"/>
        <v>0</v>
      </c>
      <c r="AA151" s="475">
        <v>0</v>
      </c>
      <c r="AB151" s="476">
        <v>0</v>
      </c>
      <c r="AC151" s="38">
        <f t="shared" si="53"/>
        <v>0</v>
      </c>
      <c r="AD151" s="692">
        <f t="shared" si="43"/>
        <v>0</v>
      </c>
      <c r="AE151" s="692">
        <f t="shared" si="44"/>
        <v>0</v>
      </c>
      <c r="AF151" s="692">
        <f t="shared" si="45"/>
        <v>7837.5</v>
      </c>
      <c r="AG151" s="38"/>
      <c r="AH151" s="692">
        <f t="shared" si="47"/>
        <v>0</v>
      </c>
      <c r="AI151" s="692">
        <f t="shared" si="48"/>
        <v>0</v>
      </c>
      <c r="AJ151" s="692">
        <f t="shared" si="49"/>
        <v>0</v>
      </c>
      <c r="AL151" s="38">
        <f t="shared" si="46"/>
        <v>7837.5</v>
      </c>
    </row>
    <row r="152" spans="1:38" s="232" customFormat="1">
      <c r="A152" s="283"/>
      <c r="B152" s="283" t="s">
        <v>110</v>
      </c>
      <c r="C152" s="667"/>
      <c r="D152" s="567" t="s">
        <v>445</v>
      </c>
      <c r="E152" s="679"/>
      <c r="F152" s="529">
        <f>VLOOKUP(D152,'June 2013 Revenue'!D:V,19,FALSE)</f>
        <v>0</v>
      </c>
      <c r="G152" s="680"/>
      <c r="H152" s="680"/>
      <c r="I152" s="755"/>
      <c r="J152" s="682">
        <f t="shared" si="41"/>
        <v>0</v>
      </c>
      <c r="K152" s="683"/>
      <c r="L152" s="684"/>
      <c r="M152" s="753"/>
      <c r="N152" s="683">
        <v>0</v>
      </c>
      <c r="O152" s="686"/>
      <c r="P152" s="683">
        <v>0</v>
      </c>
      <c r="Q152" s="687">
        <f t="shared" si="40"/>
        <v>0</v>
      </c>
      <c r="R152" s="687"/>
      <c r="S152" s="687"/>
      <c r="T152" s="688">
        <v>0</v>
      </c>
      <c r="U152" s="693"/>
      <c r="V152" s="690">
        <f t="shared" si="42"/>
        <v>0</v>
      </c>
      <c r="W152" s="683"/>
      <c r="X152" s="474">
        <f t="shared" si="50"/>
        <v>0</v>
      </c>
      <c r="Y152" s="474">
        <f t="shared" si="51"/>
        <v>0</v>
      </c>
      <c r="Z152" s="475">
        <f t="shared" si="52"/>
        <v>0</v>
      </c>
      <c r="AA152" s="475">
        <v>0</v>
      </c>
      <c r="AB152" s="476">
        <v>0</v>
      </c>
      <c r="AC152" s="38">
        <f t="shared" si="53"/>
        <v>0</v>
      </c>
      <c r="AD152" s="692">
        <f t="shared" si="43"/>
        <v>0</v>
      </c>
      <c r="AE152" s="692">
        <f t="shared" si="44"/>
        <v>0</v>
      </c>
      <c r="AF152" s="692">
        <f t="shared" si="45"/>
        <v>0</v>
      </c>
      <c r="AG152" s="38"/>
      <c r="AH152" s="692">
        <f t="shared" si="47"/>
        <v>0</v>
      </c>
      <c r="AI152" s="692">
        <f t="shared" si="48"/>
        <v>0</v>
      </c>
      <c r="AJ152" s="692">
        <f t="shared" si="49"/>
        <v>0</v>
      </c>
      <c r="AL152" s="38">
        <f t="shared" si="46"/>
        <v>0</v>
      </c>
    </row>
    <row r="153" spans="1:38" s="232" customFormat="1">
      <c r="A153" s="283"/>
      <c r="B153" s="283" t="s">
        <v>109</v>
      </c>
      <c r="C153" s="667" t="s">
        <v>562</v>
      </c>
      <c r="D153" s="567" t="s">
        <v>480</v>
      </c>
      <c r="E153" s="679"/>
      <c r="F153" s="529">
        <f>VLOOKUP(D153,'June 2013 Revenue'!D:V,19,FALSE)</f>
        <v>0</v>
      </c>
      <c r="G153" s="680"/>
      <c r="H153" s="680"/>
      <c r="I153" s="770">
        <v>8270.7800000000007</v>
      </c>
      <c r="J153" s="682">
        <f t="shared" si="41"/>
        <v>8270.7800000000007</v>
      </c>
      <c r="K153" s="683"/>
      <c r="L153" s="684"/>
      <c r="M153" s="753"/>
      <c r="N153" s="683">
        <v>0</v>
      </c>
      <c r="O153" s="686"/>
      <c r="P153" s="683">
        <v>0</v>
      </c>
      <c r="Q153" s="687">
        <f t="shared" si="40"/>
        <v>0</v>
      </c>
      <c r="R153" s="687"/>
      <c r="S153" s="687"/>
      <c r="T153" s="688">
        <v>0</v>
      </c>
      <c r="U153" s="693"/>
      <c r="V153" s="690">
        <f t="shared" si="42"/>
        <v>0</v>
      </c>
      <c r="W153" s="683"/>
      <c r="X153" s="474">
        <f t="shared" si="50"/>
        <v>0</v>
      </c>
      <c r="Y153" s="474">
        <f t="shared" si="51"/>
        <v>0</v>
      </c>
      <c r="Z153" s="475">
        <f t="shared" si="52"/>
        <v>0</v>
      </c>
      <c r="AA153" s="475">
        <v>0</v>
      </c>
      <c r="AB153" s="476">
        <v>0</v>
      </c>
      <c r="AC153" s="38">
        <f t="shared" si="53"/>
        <v>0</v>
      </c>
      <c r="AD153" s="692">
        <f t="shared" si="43"/>
        <v>0</v>
      </c>
      <c r="AE153" s="692">
        <f t="shared" si="44"/>
        <v>8270.7800000000007</v>
      </c>
      <c r="AF153" s="692">
        <f t="shared" si="45"/>
        <v>0</v>
      </c>
      <c r="AG153" s="38"/>
      <c r="AH153" s="692">
        <f t="shared" si="47"/>
        <v>0</v>
      </c>
      <c r="AI153" s="692">
        <f t="shared" si="48"/>
        <v>0</v>
      </c>
      <c r="AJ153" s="692">
        <f t="shared" si="49"/>
        <v>0</v>
      </c>
      <c r="AL153" s="38">
        <f t="shared" si="46"/>
        <v>8270.7800000000007</v>
      </c>
    </row>
    <row r="154" spans="1:38" s="232" customFormat="1">
      <c r="A154" s="403"/>
      <c r="B154" s="403" t="s">
        <v>109</v>
      </c>
      <c r="C154" s="666" t="s">
        <v>563</v>
      </c>
      <c r="D154" s="807" t="s">
        <v>327</v>
      </c>
      <c r="E154" s="679"/>
      <c r="F154" s="529">
        <f>VLOOKUP(D154,'June 2013 Revenue'!D:V,19,FALSE)</f>
        <v>4060.2699999999968</v>
      </c>
      <c r="G154" s="680"/>
      <c r="H154" s="680"/>
      <c r="I154" s="755"/>
      <c r="J154" s="682">
        <f t="shared" si="41"/>
        <v>4060.2699999999968</v>
      </c>
      <c r="K154" s="683"/>
      <c r="L154" s="684"/>
      <c r="M154" s="753">
        <v>35000</v>
      </c>
      <c r="N154" s="683">
        <v>0</v>
      </c>
      <c r="O154" s="686"/>
      <c r="P154" s="683">
        <v>0</v>
      </c>
      <c r="Q154" s="687">
        <f t="shared" si="40"/>
        <v>35000</v>
      </c>
      <c r="R154" s="687"/>
      <c r="S154" s="687"/>
      <c r="T154" s="688">
        <v>0</v>
      </c>
      <c r="U154" s="693"/>
      <c r="V154" s="690">
        <f t="shared" si="42"/>
        <v>-35000</v>
      </c>
      <c r="W154" s="683"/>
      <c r="X154" s="474">
        <f t="shared" si="50"/>
        <v>0</v>
      </c>
      <c r="Y154" s="474">
        <f t="shared" si="51"/>
        <v>35000</v>
      </c>
      <c r="Z154" s="475">
        <f t="shared" si="52"/>
        <v>0</v>
      </c>
      <c r="AA154" s="475">
        <v>0</v>
      </c>
      <c r="AB154" s="476">
        <v>0</v>
      </c>
      <c r="AC154" s="38">
        <f t="shared" si="53"/>
        <v>0</v>
      </c>
      <c r="AD154" s="692">
        <f t="shared" si="43"/>
        <v>0</v>
      </c>
      <c r="AE154" s="692">
        <f t="shared" si="44"/>
        <v>4060.2699999999968</v>
      </c>
      <c r="AF154" s="692">
        <f t="shared" si="45"/>
        <v>0</v>
      </c>
      <c r="AG154" s="38"/>
      <c r="AH154" s="692">
        <f t="shared" si="47"/>
        <v>0</v>
      </c>
      <c r="AI154" s="692">
        <f t="shared" si="48"/>
        <v>35000</v>
      </c>
      <c r="AJ154" s="692">
        <f t="shared" si="49"/>
        <v>0</v>
      </c>
      <c r="AL154" s="38">
        <f t="shared" si="46"/>
        <v>39060.269999999997</v>
      </c>
    </row>
    <row r="155" spans="1:38" s="232" customFormat="1">
      <c r="A155" s="403"/>
      <c r="B155" s="403" t="s">
        <v>110</v>
      </c>
      <c r="C155" s="666" t="s">
        <v>563</v>
      </c>
      <c r="D155" s="123" t="s">
        <v>637</v>
      </c>
      <c r="E155" s="679"/>
      <c r="F155" s="529">
        <f>VLOOKUP(D155,'June 2013 Revenue'!D:V,19,FALSE)</f>
        <v>0</v>
      </c>
      <c r="G155" s="680"/>
      <c r="H155" s="680"/>
      <c r="I155" s="755"/>
      <c r="J155" s="682">
        <f t="shared" si="41"/>
        <v>0</v>
      </c>
      <c r="K155" s="683"/>
      <c r="L155" s="684"/>
      <c r="M155" s="753"/>
      <c r="N155" s="683">
        <v>0</v>
      </c>
      <c r="O155" s="686"/>
      <c r="P155" s="683">
        <v>0</v>
      </c>
      <c r="Q155" s="687">
        <f t="shared" si="40"/>
        <v>0</v>
      </c>
      <c r="R155" s="687"/>
      <c r="S155" s="687"/>
      <c r="T155" s="688">
        <v>0</v>
      </c>
      <c r="U155" s="693"/>
      <c r="V155" s="690">
        <f t="shared" si="42"/>
        <v>0</v>
      </c>
      <c r="W155" s="683"/>
      <c r="X155" s="474">
        <f t="shared" si="50"/>
        <v>0</v>
      </c>
      <c r="Y155" s="474">
        <f t="shared" si="51"/>
        <v>0</v>
      </c>
      <c r="Z155" s="475">
        <f t="shared" si="52"/>
        <v>0</v>
      </c>
      <c r="AA155" s="475">
        <v>0</v>
      </c>
      <c r="AB155" s="476">
        <v>0</v>
      </c>
      <c r="AC155" s="38">
        <f t="shared" si="53"/>
        <v>0</v>
      </c>
      <c r="AD155" s="692">
        <f t="shared" si="43"/>
        <v>0</v>
      </c>
      <c r="AE155" s="692">
        <f t="shared" si="44"/>
        <v>0</v>
      </c>
      <c r="AF155" s="692">
        <f t="shared" si="45"/>
        <v>0</v>
      </c>
      <c r="AG155" s="38"/>
      <c r="AH155" s="692">
        <f t="shared" si="47"/>
        <v>0</v>
      </c>
      <c r="AI155" s="692">
        <f t="shared" si="48"/>
        <v>0</v>
      </c>
      <c r="AJ155" s="692">
        <f t="shared" si="49"/>
        <v>0</v>
      </c>
      <c r="AL155" s="38">
        <f t="shared" si="46"/>
        <v>0</v>
      </c>
    </row>
    <row r="156" spans="1:38">
      <c r="A156" s="21" t="s">
        <v>212</v>
      </c>
      <c r="B156" s="21" t="s">
        <v>110</v>
      </c>
      <c r="C156" s="666"/>
      <c r="D156" s="68" t="s">
        <v>232</v>
      </c>
      <c r="E156" s="679"/>
      <c r="F156" s="529">
        <f>VLOOKUP(D156,'June 2013 Revenue'!D:V,19,FALSE)</f>
        <v>0</v>
      </c>
      <c r="G156" s="680"/>
      <c r="H156" s="680"/>
      <c r="I156" s="755"/>
      <c r="J156" s="682">
        <f t="shared" si="41"/>
        <v>0</v>
      </c>
      <c r="K156" s="683"/>
      <c r="L156" s="684"/>
      <c r="M156" s="753"/>
      <c r="N156" s="683">
        <v>0</v>
      </c>
      <c r="O156" s="686"/>
      <c r="P156" s="683">
        <v>0</v>
      </c>
      <c r="Q156" s="687">
        <f t="shared" si="40"/>
        <v>0</v>
      </c>
      <c r="R156" s="687"/>
      <c r="S156" s="687"/>
      <c r="T156" s="688">
        <v>0</v>
      </c>
      <c r="U156" s="693"/>
      <c r="V156" s="690">
        <f t="shared" si="42"/>
        <v>0</v>
      </c>
      <c r="W156" s="683"/>
      <c r="X156" s="474">
        <f t="shared" si="50"/>
        <v>0</v>
      </c>
      <c r="Y156" s="474">
        <f t="shared" si="51"/>
        <v>0</v>
      </c>
      <c r="Z156" s="475">
        <f t="shared" si="52"/>
        <v>0</v>
      </c>
      <c r="AA156" s="475">
        <v>0</v>
      </c>
      <c r="AB156" s="476">
        <v>0</v>
      </c>
      <c r="AC156" s="38">
        <f t="shared" si="53"/>
        <v>0</v>
      </c>
      <c r="AD156" s="692">
        <f t="shared" si="43"/>
        <v>0</v>
      </c>
      <c r="AE156" s="692">
        <f t="shared" si="44"/>
        <v>0</v>
      </c>
      <c r="AF156" s="692">
        <f t="shared" si="45"/>
        <v>0</v>
      </c>
      <c r="AG156" s="38"/>
      <c r="AH156" s="692">
        <f t="shared" si="47"/>
        <v>0</v>
      </c>
      <c r="AI156" s="692">
        <f t="shared" si="48"/>
        <v>0</v>
      </c>
      <c r="AJ156" s="692">
        <f t="shared" si="49"/>
        <v>0</v>
      </c>
      <c r="AL156" s="38">
        <f t="shared" si="46"/>
        <v>0</v>
      </c>
    </row>
    <row r="157" spans="1:38">
      <c r="A157" s="21"/>
      <c r="B157" s="21" t="s">
        <v>109</v>
      </c>
      <c r="C157" s="666" t="s">
        <v>564</v>
      </c>
      <c r="D157" s="68" t="s">
        <v>876</v>
      </c>
      <c r="E157" s="679"/>
      <c r="F157" s="529">
        <f>VLOOKUP(D157,'June 2013 Revenue'!D:V,19,FALSE)</f>
        <v>0</v>
      </c>
      <c r="G157" s="680"/>
      <c r="H157" s="680"/>
      <c r="I157" s="755"/>
      <c r="J157" s="682">
        <f t="shared" si="41"/>
        <v>0</v>
      </c>
      <c r="K157" s="683"/>
      <c r="L157" s="684"/>
      <c r="M157" s="753"/>
      <c r="N157" s="683">
        <v>0</v>
      </c>
      <c r="O157" s="686"/>
      <c r="P157" s="683">
        <v>0</v>
      </c>
      <c r="Q157" s="687">
        <f t="shared" si="40"/>
        <v>0</v>
      </c>
      <c r="R157" s="687"/>
      <c r="S157" s="687"/>
      <c r="T157" s="688">
        <v>0</v>
      </c>
      <c r="U157" s="693"/>
      <c r="V157" s="690">
        <f t="shared" si="42"/>
        <v>0</v>
      </c>
      <c r="W157" s="683"/>
      <c r="X157" s="474">
        <f t="shared" si="50"/>
        <v>0</v>
      </c>
      <c r="Y157" s="474">
        <f t="shared" si="51"/>
        <v>0</v>
      </c>
      <c r="Z157" s="475">
        <f t="shared" si="52"/>
        <v>0</v>
      </c>
      <c r="AA157" s="475">
        <v>0</v>
      </c>
      <c r="AB157" s="476">
        <v>0</v>
      </c>
      <c r="AC157" s="38">
        <f t="shared" si="53"/>
        <v>0</v>
      </c>
      <c r="AD157" s="692">
        <f t="shared" si="43"/>
        <v>0</v>
      </c>
      <c r="AE157" s="692">
        <f t="shared" si="44"/>
        <v>0</v>
      </c>
      <c r="AF157" s="692">
        <f t="shared" si="45"/>
        <v>0</v>
      </c>
      <c r="AG157" s="38"/>
      <c r="AH157" s="692">
        <f t="shared" si="47"/>
        <v>0</v>
      </c>
      <c r="AI157" s="692">
        <f t="shared" si="48"/>
        <v>0</v>
      </c>
      <c r="AJ157" s="692">
        <f t="shared" si="49"/>
        <v>0</v>
      </c>
      <c r="AL157" s="38">
        <f t="shared" si="46"/>
        <v>0</v>
      </c>
    </row>
    <row r="158" spans="1:38">
      <c r="A158" s="21"/>
      <c r="B158" s="21" t="s">
        <v>109</v>
      </c>
      <c r="C158" s="666" t="s">
        <v>564</v>
      </c>
      <c r="D158" s="68" t="s">
        <v>307</v>
      </c>
      <c r="E158" s="679"/>
      <c r="F158" s="529">
        <f>VLOOKUP(D158,'June 2013 Revenue'!D:V,19,FALSE)</f>
        <v>0</v>
      </c>
      <c r="G158" s="680"/>
      <c r="H158" s="680"/>
      <c r="I158" s="755"/>
      <c r="J158" s="682">
        <f t="shared" si="41"/>
        <v>0</v>
      </c>
      <c r="K158" s="683"/>
      <c r="L158" s="684"/>
      <c r="M158" s="753"/>
      <c r="N158" s="683">
        <v>0</v>
      </c>
      <c r="O158" s="686"/>
      <c r="P158" s="683">
        <v>0</v>
      </c>
      <c r="Q158" s="687">
        <f t="shared" si="40"/>
        <v>0</v>
      </c>
      <c r="R158" s="687"/>
      <c r="S158" s="687"/>
      <c r="T158" s="688">
        <v>0</v>
      </c>
      <c r="U158" s="693"/>
      <c r="V158" s="690">
        <f t="shared" si="42"/>
        <v>0</v>
      </c>
      <c r="W158" s="683"/>
      <c r="X158" s="474">
        <f t="shared" si="50"/>
        <v>0</v>
      </c>
      <c r="Y158" s="474">
        <f t="shared" si="51"/>
        <v>0</v>
      </c>
      <c r="Z158" s="475">
        <f t="shared" si="52"/>
        <v>0</v>
      </c>
      <c r="AA158" s="475">
        <v>0</v>
      </c>
      <c r="AB158" s="476">
        <v>0</v>
      </c>
      <c r="AC158" s="38">
        <f t="shared" si="53"/>
        <v>0</v>
      </c>
      <c r="AD158" s="692">
        <f t="shared" si="43"/>
        <v>0</v>
      </c>
      <c r="AE158" s="692">
        <f t="shared" si="44"/>
        <v>0</v>
      </c>
      <c r="AF158" s="692">
        <f t="shared" si="45"/>
        <v>0</v>
      </c>
      <c r="AG158" s="38"/>
      <c r="AH158" s="692">
        <f t="shared" si="47"/>
        <v>0</v>
      </c>
      <c r="AI158" s="692">
        <f t="shared" si="48"/>
        <v>0</v>
      </c>
      <c r="AJ158" s="692">
        <f t="shared" si="49"/>
        <v>0</v>
      </c>
      <c r="AL158" s="38">
        <f t="shared" si="46"/>
        <v>0</v>
      </c>
    </row>
    <row r="159" spans="1:38">
      <c r="A159" s="21"/>
      <c r="B159" s="21" t="s">
        <v>109</v>
      </c>
      <c r="C159" s="666" t="s">
        <v>565</v>
      </c>
      <c r="D159" s="68" t="s">
        <v>485</v>
      </c>
      <c r="E159" s="679"/>
      <c r="F159" s="529">
        <f>VLOOKUP(D159,'June 2013 Revenue'!D:V,19,FALSE)</f>
        <v>2847.640000000014</v>
      </c>
      <c r="G159" s="680"/>
      <c r="H159" s="680"/>
      <c r="I159" s="755"/>
      <c r="J159" s="682">
        <f t="shared" si="41"/>
        <v>2847.640000000014</v>
      </c>
      <c r="K159" s="683"/>
      <c r="L159" s="684"/>
      <c r="M159" s="753">
        <v>80000</v>
      </c>
      <c r="N159" s="683"/>
      <c r="O159" s="686"/>
      <c r="P159" s="683"/>
      <c r="Q159" s="687">
        <f t="shared" si="40"/>
        <v>80000</v>
      </c>
      <c r="R159" s="687"/>
      <c r="S159" s="687"/>
      <c r="T159" s="688">
        <v>0</v>
      </c>
      <c r="U159" s="693"/>
      <c r="V159" s="690">
        <f t="shared" si="42"/>
        <v>-80000</v>
      </c>
      <c r="W159" s="683"/>
      <c r="X159" s="474">
        <f t="shared" si="50"/>
        <v>0</v>
      </c>
      <c r="Y159" s="474">
        <f t="shared" si="51"/>
        <v>80000</v>
      </c>
      <c r="Z159" s="475">
        <f t="shared" si="52"/>
        <v>0</v>
      </c>
      <c r="AA159" s="475">
        <v>0</v>
      </c>
      <c r="AB159" s="476">
        <v>0</v>
      </c>
      <c r="AC159" s="38">
        <f t="shared" si="53"/>
        <v>0</v>
      </c>
      <c r="AD159" s="692">
        <f t="shared" si="43"/>
        <v>0</v>
      </c>
      <c r="AE159" s="692">
        <f t="shared" si="44"/>
        <v>2847.640000000014</v>
      </c>
      <c r="AF159" s="692">
        <f t="shared" si="45"/>
        <v>0</v>
      </c>
      <c r="AG159" s="38"/>
      <c r="AH159" s="692">
        <f t="shared" si="47"/>
        <v>0</v>
      </c>
      <c r="AI159" s="692">
        <f t="shared" si="48"/>
        <v>80000</v>
      </c>
      <c r="AJ159" s="692">
        <f t="shared" si="49"/>
        <v>0</v>
      </c>
      <c r="AL159" s="38">
        <f t="shared" si="46"/>
        <v>82847.640000000014</v>
      </c>
    </row>
    <row r="160" spans="1:38" s="232" customFormat="1">
      <c r="A160" s="403"/>
      <c r="B160" s="403" t="s">
        <v>109</v>
      </c>
      <c r="C160" s="666"/>
      <c r="D160" s="123" t="s">
        <v>220</v>
      </c>
      <c r="E160" s="679"/>
      <c r="F160" s="529">
        <f>VLOOKUP(D160,'June 2013 Revenue'!D:V,19,FALSE)</f>
        <v>0</v>
      </c>
      <c r="G160" s="680"/>
      <c r="H160" s="680"/>
      <c r="I160" s="755"/>
      <c r="J160" s="682">
        <f t="shared" si="41"/>
        <v>0</v>
      </c>
      <c r="K160" s="683"/>
      <c r="L160" s="684"/>
      <c r="M160" s="753"/>
      <c r="N160" s="683">
        <v>0</v>
      </c>
      <c r="O160" s="686"/>
      <c r="P160" s="683">
        <v>0</v>
      </c>
      <c r="Q160" s="687">
        <f t="shared" si="40"/>
        <v>0</v>
      </c>
      <c r="R160" s="687"/>
      <c r="S160" s="687"/>
      <c r="T160" s="688">
        <v>0</v>
      </c>
      <c r="U160" s="693"/>
      <c r="V160" s="690">
        <f t="shared" si="42"/>
        <v>0</v>
      </c>
      <c r="W160" s="683"/>
      <c r="X160" s="474">
        <f t="shared" si="50"/>
        <v>0</v>
      </c>
      <c r="Y160" s="474">
        <f t="shared" si="51"/>
        <v>0</v>
      </c>
      <c r="Z160" s="475">
        <f t="shared" si="52"/>
        <v>0</v>
      </c>
      <c r="AA160" s="475">
        <v>0</v>
      </c>
      <c r="AB160" s="476">
        <v>0</v>
      </c>
      <c r="AC160" s="38">
        <f t="shared" si="53"/>
        <v>0</v>
      </c>
      <c r="AD160" s="692">
        <f t="shared" si="43"/>
        <v>0</v>
      </c>
      <c r="AE160" s="692">
        <f t="shared" si="44"/>
        <v>0</v>
      </c>
      <c r="AF160" s="692">
        <f t="shared" si="45"/>
        <v>0</v>
      </c>
      <c r="AG160" s="38"/>
      <c r="AH160" s="692">
        <f t="shared" si="47"/>
        <v>0</v>
      </c>
      <c r="AI160" s="692">
        <f t="shared" si="48"/>
        <v>0</v>
      </c>
      <c r="AJ160" s="692">
        <f t="shared" si="49"/>
        <v>0</v>
      </c>
      <c r="AL160" s="38">
        <f t="shared" si="46"/>
        <v>0</v>
      </c>
    </row>
    <row r="161" spans="1:38" s="24" customFormat="1" hidden="1">
      <c r="A161" s="472"/>
      <c r="B161" s="21" t="s">
        <v>109</v>
      </c>
      <c r="C161" s="666"/>
      <c r="D161" s="68" t="s">
        <v>505</v>
      </c>
      <c r="E161" s="679"/>
      <c r="F161" s="529">
        <f>VLOOKUP(D161,'June 2013 Revenue'!D:V,19,FALSE)</f>
        <v>0</v>
      </c>
      <c r="G161" s="680"/>
      <c r="H161" s="680"/>
      <c r="I161" s="755"/>
      <c r="J161" s="682">
        <f t="shared" si="41"/>
        <v>0</v>
      </c>
      <c r="K161" s="698"/>
      <c r="L161" s="684"/>
      <c r="M161" s="753"/>
      <c r="N161" s="698">
        <v>0</v>
      </c>
      <c r="O161" s="686"/>
      <c r="P161" s="698">
        <v>0</v>
      </c>
      <c r="Q161" s="700">
        <f t="shared" si="40"/>
        <v>0</v>
      </c>
      <c r="R161" s="700"/>
      <c r="S161" s="700"/>
      <c r="T161" s="688">
        <v>0</v>
      </c>
      <c r="U161" s="693"/>
      <c r="V161" s="690">
        <f t="shared" si="42"/>
        <v>0</v>
      </c>
      <c r="W161" s="698"/>
      <c r="X161" s="474">
        <f t="shared" si="50"/>
        <v>0</v>
      </c>
      <c r="Y161" s="474">
        <f t="shared" si="51"/>
        <v>0</v>
      </c>
      <c r="Z161" s="475">
        <f t="shared" si="52"/>
        <v>0</v>
      </c>
      <c r="AA161" s="475">
        <v>0</v>
      </c>
      <c r="AB161" s="476">
        <v>0</v>
      </c>
      <c r="AC161" s="38">
        <f t="shared" si="53"/>
        <v>0</v>
      </c>
      <c r="AD161" s="692">
        <f t="shared" si="43"/>
        <v>0</v>
      </c>
      <c r="AE161" s="692">
        <f t="shared" si="44"/>
        <v>0</v>
      </c>
      <c r="AF161" s="692">
        <f t="shared" si="45"/>
        <v>0</v>
      </c>
      <c r="AG161" s="38"/>
      <c r="AH161" s="692">
        <f t="shared" si="47"/>
        <v>0</v>
      </c>
      <c r="AI161" s="692">
        <f t="shared" si="48"/>
        <v>0</v>
      </c>
      <c r="AJ161" s="692">
        <f t="shared" si="49"/>
        <v>0</v>
      </c>
      <c r="AL161" s="38">
        <f t="shared" si="46"/>
        <v>0</v>
      </c>
    </row>
    <row r="162" spans="1:38">
      <c r="A162" s="21"/>
      <c r="B162" s="21" t="s">
        <v>110</v>
      </c>
      <c r="C162" s="666"/>
      <c r="D162" s="68" t="s">
        <v>185</v>
      </c>
      <c r="E162" s="679"/>
      <c r="F162" s="529">
        <f>VLOOKUP(D162,'June 2013 Revenue'!D:V,19,FALSE)</f>
        <v>0</v>
      </c>
      <c r="G162" s="680"/>
      <c r="H162" s="680"/>
      <c r="I162" s="755"/>
      <c r="J162" s="682">
        <f t="shared" si="41"/>
        <v>0</v>
      </c>
      <c r="K162" s="683"/>
      <c r="L162" s="684"/>
      <c r="M162" s="753"/>
      <c r="N162" s="683">
        <v>0</v>
      </c>
      <c r="O162" s="686"/>
      <c r="P162" s="683">
        <v>0</v>
      </c>
      <c r="Q162" s="687">
        <f t="shared" si="40"/>
        <v>0</v>
      </c>
      <c r="R162" s="687"/>
      <c r="S162" s="687"/>
      <c r="T162" s="688">
        <v>0</v>
      </c>
      <c r="U162" s="693"/>
      <c r="V162" s="690">
        <f t="shared" si="42"/>
        <v>0</v>
      </c>
      <c r="W162" s="683"/>
      <c r="X162" s="474">
        <f t="shared" si="50"/>
        <v>0</v>
      </c>
      <c r="Y162" s="474">
        <f t="shared" si="51"/>
        <v>0</v>
      </c>
      <c r="Z162" s="475">
        <f t="shared" si="52"/>
        <v>0</v>
      </c>
      <c r="AA162" s="475">
        <v>0</v>
      </c>
      <c r="AB162" s="476">
        <v>0</v>
      </c>
      <c r="AC162" s="38">
        <f t="shared" si="53"/>
        <v>0</v>
      </c>
      <c r="AD162" s="692">
        <f t="shared" si="43"/>
        <v>0</v>
      </c>
      <c r="AE162" s="692">
        <f t="shared" si="44"/>
        <v>0</v>
      </c>
      <c r="AF162" s="692">
        <f t="shared" si="45"/>
        <v>0</v>
      </c>
      <c r="AG162" s="38"/>
      <c r="AH162" s="692">
        <f t="shared" si="47"/>
        <v>0</v>
      </c>
      <c r="AI162" s="692">
        <f t="shared" si="48"/>
        <v>0</v>
      </c>
      <c r="AJ162" s="692">
        <f t="shared" si="49"/>
        <v>0</v>
      </c>
      <c r="AL162" s="38">
        <f t="shared" si="46"/>
        <v>0</v>
      </c>
    </row>
    <row r="163" spans="1:38">
      <c r="A163" s="21"/>
      <c r="B163" s="21" t="s">
        <v>110</v>
      </c>
      <c r="C163" s="21"/>
      <c r="D163" s="68" t="s">
        <v>186</v>
      </c>
      <c r="E163" s="679"/>
      <c r="F163" s="529">
        <f>VLOOKUP(D163,'June 2013 Revenue'!D:V,19,FALSE)</f>
        <v>0</v>
      </c>
      <c r="G163" s="680"/>
      <c r="H163" s="680"/>
      <c r="I163" s="755"/>
      <c r="J163" s="682">
        <f t="shared" si="41"/>
        <v>0</v>
      </c>
      <c r="K163" s="683"/>
      <c r="L163" s="684"/>
      <c r="M163" s="753"/>
      <c r="N163" s="683">
        <v>0</v>
      </c>
      <c r="O163" s="686"/>
      <c r="P163" s="683">
        <v>0</v>
      </c>
      <c r="Q163" s="687">
        <f t="shared" si="40"/>
        <v>0</v>
      </c>
      <c r="R163" s="687"/>
      <c r="S163" s="687"/>
      <c r="T163" s="688">
        <v>0</v>
      </c>
      <c r="U163" s="693"/>
      <c r="V163" s="690">
        <f t="shared" si="42"/>
        <v>0</v>
      </c>
      <c r="W163" s="683"/>
      <c r="X163" s="474">
        <f t="shared" si="50"/>
        <v>0</v>
      </c>
      <c r="Y163" s="474">
        <f t="shared" si="51"/>
        <v>0</v>
      </c>
      <c r="Z163" s="475">
        <f t="shared" si="52"/>
        <v>0</v>
      </c>
      <c r="AA163" s="475">
        <v>0</v>
      </c>
      <c r="AB163" s="476">
        <v>0</v>
      </c>
      <c r="AC163" s="38">
        <f t="shared" si="53"/>
        <v>0</v>
      </c>
      <c r="AD163" s="692">
        <f t="shared" si="43"/>
        <v>0</v>
      </c>
      <c r="AE163" s="692">
        <f t="shared" si="44"/>
        <v>0</v>
      </c>
      <c r="AF163" s="692">
        <f t="shared" si="45"/>
        <v>0</v>
      </c>
      <c r="AG163" s="38"/>
      <c r="AH163" s="692">
        <f t="shared" si="47"/>
        <v>0</v>
      </c>
      <c r="AI163" s="692">
        <f t="shared" si="48"/>
        <v>0</v>
      </c>
      <c r="AJ163" s="692">
        <f t="shared" si="49"/>
        <v>0</v>
      </c>
      <c r="AL163" s="38">
        <f t="shared" si="46"/>
        <v>0</v>
      </c>
    </row>
    <row r="164" spans="1:38">
      <c r="A164" s="21"/>
      <c r="B164" s="21" t="s">
        <v>110</v>
      </c>
      <c r="C164" s="666"/>
      <c r="D164" s="68" t="s">
        <v>449</v>
      </c>
      <c r="E164" s="679"/>
      <c r="F164" s="529">
        <f>VLOOKUP(D164,'June 2013 Revenue'!D:V,19,FALSE)</f>
        <v>0</v>
      </c>
      <c r="G164" s="680"/>
      <c r="H164" s="680"/>
      <c r="I164" s="755"/>
      <c r="J164" s="682">
        <f t="shared" si="41"/>
        <v>0</v>
      </c>
      <c r="K164" s="683"/>
      <c r="L164" s="684"/>
      <c r="M164" s="753"/>
      <c r="N164" s="683">
        <v>0</v>
      </c>
      <c r="O164" s="686"/>
      <c r="P164" s="683">
        <v>0</v>
      </c>
      <c r="Q164" s="687">
        <f t="shared" si="40"/>
        <v>0</v>
      </c>
      <c r="R164" s="687"/>
      <c r="S164" s="687"/>
      <c r="T164" s="688">
        <v>0</v>
      </c>
      <c r="U164" s="693"/>
      <c r="V164" s="690">
        <f t="shared" si="42"/>
        <v>0</v>
      </c>
      <c r="W164" s="683"/>
      <c r="X164" s="474">
        <f t="shared" si="50"/>
        <v>0</v>
      </c>
      <c r="Y164" s="474">
        <f t="shared" si="51"/>
        <v>0</v>
      </c>
      <c r="Z164" s="475">
        <f t="shared" si="52"/>
        <v>0</v>
      </c>
      <c r="AA164" s="475">
        <v>0</v>
      </c>
      <c r="AB164" s="476">
        <v>0</v>
      </c>
      <c r="AC164" s="38">
        <f t="shared" si="53"/>
        <v>0</v>
      </c>
      <c r="AD164" s="692">
        <f t="shared" si="43"/>
        <v>0</v>
      </c>
      <c r="AE164" s="692">
        <f t="shared" si="44"/>
        <v>0</v>
      </c>
      <c r="AF164" s="692">
        <f t="shared" si="45"/>
        <v>0</v>
      </c>
      <c r="AG164" s="38"/>
      <c r="AH164" s="692">
        <f t="shared" si="47"/>
        <v>0</v>
      </c>
      <c r="AI164" s="692">
        <f t="shared" si="48"/>
        <v>0</v>
      </c>
      <c r="AJ164" s="692">
        <f t="shared" si="49"/>
        <v>0</v>
      </c>
      <c r="AL164" s="38">
        <f t="shared" si="46"/>
        <v>0</v>
      </c>
    </row>
    <row r="165" spans="1:38">
      <c r="A165" s="21"/>
      <c r="B165" s="21" t="s">
        <v>110</v>
      </c>
      <c r="C165" s="666" t="s">
        <v>566</v>
      </c>
      <c r="D165" s="68" t="s">
        <v>39</v>
      </c>
      <c r="E165" s="679"/>
      <c r="F165" s="529">
        <f>VLOOKUP(D165,'June 2013 Revenue'!D:V,19,FALSE)</f>
        <v>-198.32999999999993</v>
      </c>
      <c r="G165" s="680"/>
      <c r="H165" s="680"/>
      <c r="I165" s="755"/>
      <c r="J165" s="682">
        <f t="shared" si="41"/>
        <v>-198.32999999999993</v>
      </c>
      <c r="K165" s="683"/>
      <c r="L165" s="684"/>
      <c r="M165" s="753">
        <v>8000</v>
      </c>
      <c r="N165" s="683">
        <v>0</v>
      </c>
      <c r="O165" s="686"/>
      <c r="P165" s="683">
        <v>0</v>
      </c>
      <c r="Q165" s="687">
        <f t="shared" si="40"/>
        <v>8000</v>
      </c>
      <c r="R165" s="687"/>
      <c r="S165" s="687"/>
      <c r="T165" s="688">
        <v>5601.14</v>
      </c>
      <c r="U165" s="693"/>
      <c r="V165" s="690">
        <f t="shared" si="42"/>
        <v>-2398.8599999999997</v>
      </c>
      <c r="W165" s="683"/>
      <c r="X165" s="474">
        <f t="shared" si="50"/>
        <v>8000</v>
      </c>
      <c r="Y165" s="474">
        <f t="shared" si="51"/>
        <v>0</v>
      </c>
      <c r="Z165" s="475">
        <f t="shared" si="52"/>
        <v>0</v>
      </c>
      <c r="AA165" s="475">
        <v>0</v>
      </c>
      <c r="AB165" s="476">
        <v>0</v>
      </c>
      <c r="AC165" s="38">
        <f t="shared" si="53"/>
        <v>0</v>
      </c>
      <c r="AD165" s="692">
        <f t="shared" si="43"/>
        <v>-198.32999999999993</v>
      </c>
      <c r="AE165" s="692">
        <f t="shared" si="44"/>
        <v>0</v>
      </c>
      <c r="AF165" s="692">
        <f t="shared" si="45"/>
        <v>0</v>
      </c>
      <c r="AG165" s="38"/>
      <c r="AH165" s="692">
        <f t="shared" si="47"/>
        <v>8000</v>
      </c>
      <c r="AI165" s="692">
        <f t="shared" si="48"/>
        <v>0</v>
      </c>
      <c r="AJ165" s="692">
        <f t="shared" si="49"/>
        <v>0</v>
      </c>
      <c r="AL165" s="38">
        <f t="shared" si="46"/>
        <v>7801.67</v>
      </c>
    </row>
    <row r="166" spans="1:38">
      <c r="A166" s="21"/>
      <c r="B166" s="21" t="s">
        <v>110</v>
      </c>
      <c r="C166" s="666" t="s">
        <v>567</v>
      </c>
      <c r="D166" s="68" t="s">
        <v>435</v>
      </c>
      <c r="E166" s="679"/>
      <c r="F166" s="529">
        <f>VLOOKUP(D166,'June 2013 Revenue'!D:V,19,FALSE)</f>
        <v>10459.429999999993</v>
      </c>
      <c r="G166" s="680"/>
      <c r="H166" s="680"/>
      <c r="I166" s="755"/>
      <c r="J166" s="682">
        <f t="shared" si="41"/>
        <v>10459.429999999993</v>
      </c>
      <c r="K166" s="683"/>
      <c r="L166" s="684"/>
      <c r="M166" s="753">
        <v>100000</v>
      </c>
      <c r="N166" s="683">
        <v>0</v>
      </c>
      <c r="O166" s="686"/>
      <c r="P166" s="683">
        <v>0</v>
      </c>
      <c r="Q166" s="687">
        <f t="shared" si="40"/>
        <v>100000</v>
      </c>
      <c r="R166" s="687"/>
      <c r="S166" s="687"/>
      <c r="T166" s="688">
        <v>94648.09</v>
      </c>
      <c r="U166" s="693"/>
      <c r="V166" s="690">
        <f t="shared" si="42"/>
        <v>-5351.9100000000035</v>
      </c>
      <c r="W166" s="683"/>
      <c r="X166" s="474">
        <f t="shared" si="50"/>
        <v>100000</v>
      </c>
      <c r="Y166" s="474">
        <f t="shared" si="51"/>
        <v>0</v>
      </c>
      <c r="Z166" s="475">
        <f t="shared" si="52"/>
        <v>0</v>
      </c>
      <c r="AA166" s="475">
        <v>0</v>
      </c>
      <c r="AB166" s="476">
        <v>0</v>
      </c>
      <c r="AC166" s="38">
        <f t="shared" si="53"/>
        <v>0</v>
      </c>
      <c r="AD166" s="692">
        <f t="shared" si="43"/>
        <v>10459.429999999993</v>
      </c>
      <c r="AE166" s="692">
        <f t="shared" si="44"/>
        <v>0</v>
      </c>
      <c r="AF166" s="692">
        <f t="shared" si="45"/>
        <v>0</v>
      </c>
      <c r="AG166" s="38"/>
      <c r="AH166" s="692">
        <f t="shared" si="47"/>
        <v>100000</v>
      </c>
      <c r="AI166" s="692">
        <f t="shared" si="48"/>
        <v>0</v>
      </c>
      <c r="AJ166" s="692">
        <f t="shared" si="49"/>
        <v>0</v>
      </c>
      <c r="AL166" s="38">
        <f t="shared" si="46"/>
        <v>110459.43</v>
      </c>
    </row>
    <row r="167" spans="1:38">
      <c r="A167" s="21"/>
      <c r="B167" s="21" t="s">
        <v>110</v>
      </c>
      <c r="C167" s="675" t="s">
        <v>584</v>
      </c>
      <c r="D167" s="806" t="s">
        <v>99</v>
      </c>
      <c r="E167" s="679">
        <f>9826.12+9802.81</f>
        <v>19628.93</v>
      </c>
      <c r="F167" s="529">
        <f>VLOOKUP(D167,'June 2013 Revenue'!D:V,19,FALSE)</f>
        <v>-35756.42</v>
      </c>
      <c r="G167" s="680"/>
      <c r="H167" s="680"/>
      <c r="I167" s="755"/>
      <c r="J167" s="682">
        <f t="shared" si="41"/>
        <v>-16127.489999999998</v>
      </c>
      <c r="K167" s="683"/>
      <c r="L167" s="684"/>
      <c r="M167" s="753">
        <v>10000</v>
      </c>
      <c r="N167" s="683">
        <v>0</v>
      </c>
      <c r="O167" s="686"/>
      <c r="P167" s="683">
        <v>0</v>
      </c>
      <c r="Q167" s="687">
        <f t="shared" si="40"/>
        <v>10000</v>
      </c>
      <c r="R167" s="687"/>
      <c r="S167" s="687"/>
      <c r="T167" s="688">
        <v>0</v>
      </c>
      <c r="U167" s="693"/>
      <c r="V167" s="690">
        <f t="shared" si="42"/>
        <v>-10000</v>
      </c>
      <c r="W167" s="683"/>
      <c r="X167" s="474">
        <f t="shared" si="50"/>
        <v>10000</v>
      </c>
      <c r="Y167" s="474">
        <f t="shared" si="51"/>
        <v>0</v>
      </c>
      <c r="Z167" s="475">
        <f t="shared" si="52"/>
        <v>0</v>
      </c>
      <c r="AA167" s="475">
        <v>0</v>
      </c>
      <c r="AB167" s="476">
        <v>0</v>
      </c>
      <c r="AC167" s="38">
        <f t="shared" si="53"/>
        <v>0</v>
      </c>
      <c r="AD167" s="692">
        <f t="shared" si="43"/>
        <v>-16127.489999999998</v>
      </c>
      <c r="AE167" s="692">
        <f>IF(B167="M",J167,0)</f>
        <v>0</v>
      </c>
      <c r="AF167" s="692">
        <f t="shared" si="45"/>
        <v>0</v>
      </c>
      <c r="AG167" s="38"/>
      <c r="AH167" s="692">
        <f t="shared" si="47"/>
        <v>10000</v>
      </c>
      <c r="AI167" s="692">
        <f t="shared" si="48"/>
        <v>0</v>
      </c>
      <c r="AJ167" s="692">
        <f t="shared" si="49"/>
        <v>0</v>
      </c>
      <c r="AL167" s="38">
        <f t="shared" si="46"/>
        <v>-6127.489999999998</v>
      </c>
    </row>
    <row r="168" spans="1:38" s="232" customFormat="1">
      <c r="A168" s="403"/>
      <c r="B168" s="403" t="s">
        <v>110</v>
      </c>
      <c r="C168" s="666"/>
      <c r="D168" s="813" t="s">
        <v>966</v>
      </c>
      <c r="E168" s="814">
        <f>111558.7+110016.24</f>
        <v>221574.94</v>
      </c>
      <c r="F168" s="815"/>
      <c r="G168" s="816"/>
      <c r="H168" s="816"/>
      <c r="I168" s="817"/>
      <c r="J168" s="818">
        <f t="shared" si="41"/>
        <v>221574.94</v>
      </c>
      <c r="K168" s="683"/>
      <c r="L168" s="684"/>
      <c r="M168" s="819">
        <v>220000</v>
      </c>
      <c r="N168" s="683">
        <v>0</v>
      </c>
      <c r="O168" s="686"/>
      <c r="P168" s="683">
        <v>0</v>
      </c>
      <c r="Q168" s="687">
        <f t="shared" si="40"/>
        <v>220000</v>
      </c>
      <c r="R168" s="687"/>
      <c r="S168" s="687"/>
      <c r="T168" s="688">
        <v>0</v>
      </c>
      <c r="U168" s="693"/>
      <c r="V168" s="690">
        <f t="shared" si="42"/>
        <v>-220000</v>
      </c>
      <c r="W168" s="683"/>
      <c r="X168" s="474">
        <f t="shared" si="50"/>
        <v>220000</v>
      </c>
      <c r="Y168" s="474">
        <f t="shared" si="51"/>
        <v>0</v>
      </c>
      <c r="Z168" s="475">
        <f t="shared" si="52"/>
        <v>0</v>
      </c>
      <c r="AA168" s="475">
        <v>0</v>
      </c>
      <c r="AB168" s="476">
        <v>0</v>
      </c>
      <c r="AC168" s="38">
        <f t="shared" si="53"/>
        <v>0</v>
      </c>
      <c r="AD168" s="692">
        <f t="shared" si="43"/>
        <v>221574.94</v>
      </c>
      <c r="AE168" s="692">
        <f t="shared" si="44"/>
        <v>0</v>
      </c>
      <c r="AF168" s="692">
        <f t="shared" si="45"/>
        <v>0</v>
      </c>
      <c r="AG168" s="38"/>
      <c r="AH168" s="692">
        <f t="shared" si="47"/>
        <v>220000</v>
      </c>
      <c r="AI168" s="692">
        <f t="shared" si="48"/>
        <v>0</v>
      </c>
      <c r="AJ168" s="692">
        <f t="shared" si="49"/>
        <v>0</v>
      </c>
      <c r="AL168" s="38">
        <f t="shared" si="46"/>
        <v>441574.94</v>
      </c>
    </row>
    <row r="169" spans="1:38" s="232" customFormat="1">
      <c r="A169" s="403"/>
      <c r="B169" s="403" t="s">
        <v>110</v>
      </c>
      <c r="C169" s="666" t="s">
        <v>568</v>
      </c>
      <c r="D169" s="807" t="s">
        <v>303</v>
      </c>
      <c r="E169" s="679">
        <f>314536.02+318593.44-36000</f>
        <v>597129.46</v>
      </c>
      <c r="F169" s="529">
        <f>VLOOKUP(D169,'June 2013 Revenue'!D:V,19,FALSE)</f>
        <v>-225000</v>
      </c>
      <c r="G169" s="680"/>
      <c r="H169" s="680"/>
      <c r="I169" s="755"/>
      <c r="J169" s="682">
        <f t="shared" si="41"/>
        <v>372129.45999999996</v>
      </c>
      <c r="K169" s="683"/>
      <c r="L169" s="684"/>
      <c r="M169" s="753">
        <v>630000</v>
      </c>
      <c r="N169" s="683">
        <v>0</v>
      </c>
      <c r="O169" s="686"/>
      <c r="P169" s="683">
        <v>0</v>
      </c>
      <c r="Q169" s="687">
        <f t="shared" si="40"/>
        <v>630000</v>
      </c>
      <c r="R169" s="687"/>
      <c r="S169" s="687"/>
      <c r="T169" s="688">
        <v>0</v>
      </c>
      <c r="U169" s="693"/>
      <c r="V169" s="690">
        <f t="shared" si="42"/>
        <v>-630000</v>
      </c>
      <c r="W169" s="683"/>
      <c r="X169" s="474">
        <f t="shared" si="50"/>
        <v>630000</v>
      </c>
      <c r="Y169" s="474">
        <f t="shared" si="51"/>
        <v>0</v>
      </c>
      <c r="Z169" s="475">
        <f t="shared" si="52"/>
        <v>0</v>
      </c>
      <c r="AA169" s="475">
        <v>0</v>
      </c>
      <c r="AB169" s="476">
        <v>0</v>
      </c>
      <c r="AC169" s="38">
        <f t="shared" si="53"/>
        <v>0</v>
      </c>
      <c r="AD169" s="692">
        <f t="shared" si="43"/>
        <v>372129.45999999996</v>
      </c>
      <c r="AE169" s="692">
        <f t="shared" si="44"/>
        <v>0</v>
      </c>
      <c r="AF169" s="692">
        <f t="shared" si="45"/>
        <v>0</v>
      </c>
      <c r="AG169" s="38"/>
      <c r="AH169" s="692">
        <f t="shared" si="47"/>
        <v>630000</v>
      </c>
      <c r="AI169" s="692">
        <f t="shared" si="48"/>
        <v>0</v>
      </c>
      <c r="AJ169" s="692">
        <f t="shared" si="49"/>
        <v>0</v>
      </c>
      <c r="AL169" s="38">
        <f t="shared" si="46"/>
        <v>1002129.46</v>
      </c>
    </row>
    <row r="170" spans="1:38" s="232" customFormat="1">
      <c r="A170" s="403"/>
      <c r="B170" s="403" t="s">
        <v>110</v>
      </c>
      <c r="C170" s="666"/>
      <c r="D170" s="807" t="s">
        <v>856</v>
      </c>
      <c r="E170" s="679">
        <v>36000</v>
      </c>
      <c r="F170" s="529">
        <f>VLOOKUP(D170,'June 2013 Revenue'!D:V,19,FALSE)</f>
        <v>-36000</v>
      </c>
      <c r="G170" s="680"/>
      <c r="H170" s="680"/>
      <c r="I170" s="755"/>
      <c r="J170" s="682">
        <f t="shared" si="41"/>
        <v>0</v>
      </c>
      <c r="K170" s="683"/>
      <c r="L170" s="684"/>
      <c r="M170" s="753"/>
      <c r="N170" s="683">
        <v>0</v>
      </c>
      <c r="O170" s="686"/>
      <c r="P170" s="683">
        <v>0</v>
      </c>
      <c r="Q170" s="687">
        <f t="shared" si="40"/>
        <v>0</v>
      </c>
      <c r="R170" s="687"/>
      <c r="S170" s="687"/>
      <c r="T170" s="688">
        <v>0</v>
      </c>
      <c r="U170" s="693"/>
      <c r="V170" s="690">
        <f t="shared" si="42"/>
        <v>0</v>
      </c>
      <c r="W170" s="683"/>
      <c r="X170" s="474">
        <f t="shared" si="50"/>
        <v>0</v>
      </c>
      <c r="Y170" s="474">
        <f t="shared" si="51"/>
        <v>0</v>
      </c>
      <c r="Z170" s="475">
        <f t="shared" si="52"/>
        <v>0</v>
      </c>
      <c r="AA170" s="475">
        <v>0</v>
      </c>
      <c r="AB170" s="476">
        <v>0</v>
      </c>
      <c r="AC170" s="38">
        <f t="shared" si="53"/>
        <v>0</v>
      </c>
      <c r="AD170" s="692">
        <f t="shared" si="43"/>
        <v>0</v>
      </c>
      <c r="AE170" s="692">
        <f t="shared" si="44"/>
        <v>0</v>
      </c>
      <c r="AF170" s="692">
        <f t="shared" si="45"/>
        <v>0</v>
      </c>
      <c r="AG170" s="38"/>
      <c r="AH170" s="692">
        <f t="shared" si="47"/>
        <v>0</v>
      </c>
      <c r="AI170" s="692">
        <f t="shared" si="48"/>
        <v>0</v>
      </c>
      <c r="AJ170" s="692">
        <f t="shared" si="49"/>
        <v>0</v>
      </c>
      <c r="AL170" s="38">
        <f t="shared" si="46"/>
        <v>0</v>
      </c>
    </row>
    <row r="171" spans="1:38" s="232" customFormat="1">
      <c r="A171" s="403"/>
      <c r="B171" s="403" t="s">
        <v>109</v>
      </c>
      <c r="C171" s="666" t="s">
        <v>569</v>
      </c>
      <c r="D171" s="123" t="s">
        <v>468</v>
      </c>
      <c r="E171" s="679"/>
      <c r="F171" s="529">
        <f>VLOOKUP(D171,'June 2013 Revenue'!D:V,19,FALSE)</f>
        <v>0</v>
      </c>
      <c r="G171" s="680"/>
      <c r="H171" s="680"/>
      <c r="I171" s="755"/>
      <c r="J171" s="682">
        <f t="shared" si="41"/>
        <v>0</v>
      </c>
      <c r="K171" s="683"/>
      <c r="L171" s="684"/>
      <c r="M171" s="753"/>
      <c r="N171" s="683">
        <v>0</v>
      </c>
      <c r="O171" s="686"/>
      <c r="P171" s="683">
        <v>0</v>
      </c>
      <c r="Q171" s="687">
        <f t="shared" si="40"/>
        <v>0</v>
      </c>
      <c r="R171" s="687"/>
      <c r="S171" s="687"/>
      <c r="T171" s="688">
        <v>0</v>
      </c>
      <c r="U171" s="693"/>
      <c r="V171" s="690">
        <f t="shared" si="42"/>
        <v>0</v>
      </c>
      <c r="W171" s="683"/>
      <c r="X171" s="474">
        <f t="shared" si="50"/>
        <v>0</v>
      </c>
      <c r="Y171" s="474">
        <f t="shared" si="51"/>
        <v>0</v>
      </c>
      <c r="Z171" s="475">
        <f t="shared" si="52"/>
        <v>0</v>
      </c>
      <c r="AA171" s="475">
        <v>0</v>
      </c>
      <c r="AB171" s="476">
        <v>0</v>
      </c>
      <c r="AC171" s="38">
        <f t="shared" si="53"/>
        <v>0</v>
      </c>
      <c r="AD171" s="692">
        <f t="shared" si="43"/>
        <v>0</v>
      </c>
      <c r="AE171" s="692">
        <f t="shared" si="44"/>
        <v>0</v>
      </c>
      <c r="AF171" s="692">
        <f t="shared" si="45"/>
        <v>0</v>
      </c>
      <c r="AG171" s="38"/>
      <c r="AH171" s="692">
        <f t="shared" si="47"/>
        <v>0</v>
      </c>
      <c r="AI171" s="692">
        <f t="shared" si="48"/>
        <v>0</v>
      </c>
      <c r="AJ171" s="692">
        <f t="shared" si="49"/>
        <v>0</v>
      </c>
      <c r="AL171" s="38">
        <f t="shared" si="46"/>
        <v>0</v>
      </c>
    </row>
    <row r="172" spans="1:38">
      <c r="A172" s="20"/>
      <c r="B172" s="20" t="s">
        <v>110</v>
      </c>
      <c r="C172" s="676" t="s">
        <v>844</v>
      </c>
      <c r="D172" s="68" t="s">
        <v>845</v>
      </c>
      <c r="E172" s="679"/>
      <c r="F172" s="529">
        <f>VLOOKUP(D172,'June 2013 Revenue'!D:V,19,FALSE)</f>
        <v>0</v>
      </c>
      <c r="G172" s="680"/>
      <c r="H172" s="680"/>
      <c r="I172" s="755"/>
      <c r="J172" s="682">
        <f t="shared" si="41"/>
        <v>0</v>
      </c>
      <c r="K172" s="683"/>
      <c r="L172" s="684"/>
      <c r="M172" s="753"/>
      <c r="N172" s="683">
        <v>0</v>
      </c>
      <c r="O172" s="686"/>
      <c r="P172" s="683">
        <v>0</v>
      </c>
      <c r="Q172" s="687">
        <f t="shared" si="40"/>
        <v>0</v>
      </c>
      <c r="R172" s="687"/>
      <c r="S172" s="687"/>
      <c r="T172" s="688">
        <v>0</v>
      </c>
      <c r="U172" s="693"/>
      <c r="V172" s="690">
        <f t="shared" si="42"/>
        <v>0</v>
      </c>
      <c r="W172" s="683"/>
      <c r="X172" s="474">
        <f t="shared" si="50"/>
        <v>0</v>
      </c>
      <c r="Y172" s="474">
        <f t="shared" si="51"/>
        <v>0</v>
      </c>
      <c r="Z172" s="475">
        <f t="shared" si="52"/>
        <v>0</v>
      </c>
      <c r="AA172" s="475">
        <v>0</v>
      </c>
      <c r="AB172" s="476">
        <v>0</v>
      </c>
      <c r="AC172" s="38">
        <f t="shared" si="53"/>
        <v>0</v>
      </c>
      <c r="AD172" s="692">
        <f t="shared" si="43"/>
        <v>0</v>
      </c>
      <c r="AE172" s="692">
        <f t="shared" si="44"/>
        <v>0</v>
      </c>
      <c r="AF172" s="692">
        <f t="shared" si="45"/>
        <v>0</v>
      </c>
      <c r="AG172" s="38"/>
      <c r="AH172" s="692">
        <f t="shared" si="47"/>
        <v>0</v>
      </c>
      <c r="AI172" s="692">
        <f t="shared" si="48"/>
        <v>0</v>
      </c>
      <c r="AJ172" s="692">
        <f t="shared" si="49"/>
        <v>0</v>
      </c>
      <c r="AL172" s="38">
        <f t="shared" si="46"/>
        <v>0</v>
      </c>
    </row>
    <row r="173" spans="1:38">
      <c r="A173" s="20"/>
      <c r="B173" s="20" t="s">
        <v>110</v>
      </c>
      <c r="C173" s="676" t="s">
        <v>977</v>
      </c>
      <c r="D173" s="68" t="s">
        <v>978</v>
      </c>
      <c r="E173" s="679"/>
      <c r="F173" s="529">
        <v>0</v>
      </c>
      <c r="G173" s="680"/>
      <c r="H173" s="680"/>
      <c r="I173" s="755"/>
      <c r="J173" s="682">
        <f t="shared" si="41"/>
        <v>0</v>
      </c>
      <c r="K173" s="683"/>
      <c r="L173" s="684"/>
      <c r="M173" s="753"/>
      <c r="N173" s="683">
        <v>0</v>
      </c>
      <c r="O173" s="686"/>
      <c r="P173" s="683">
        <v>0</v>
      </c>
      <c r="Q173" s="687">
        <f t="shared" si="40"/>
        <v>0</v>
      </c>
      <c r="R173" s="687"/>
      <c r="S173" s="687"/>
      <c r="T173" s="688">
        <v>8635.5</v>
      </c>
      <c r="U173" s="693"/>
      <c r="V173" s="690">
        <f t="shared" si="42"/>
        <v>8635.5</v>
      </c>
      <c r="W173" s="683"/>
      <c r="X173" s="474">
        <f t="shared" si="50"/>
        <v>0</v>
      </c>
      <c r="Y173" s="474">
        <f t="shared" si="51"/>
        <v>0</v>
      </c>
      <c r="Z173" s="475">
        <f t="shared" si="52"/>
        <v>0</v>
      </c>
      <c r="AA173" s="475">
        <v>0</v>
      </c>
      <c r="AB173" s="476">
        <v>0</v>
      </c>
      <c r="AC173" s="38">
        <f t="shared" si="53"/>
        <v>0</v>
      </c>
      <c r="AD173" s="692">
        <f t="shared" si="43"/>
        <v>0</v>
      </c>
      <c r="AE173" s="692">
        <f t="shared" si="44"/>
        <v>0</v>
      </c>
      <c r="AF173" s="692">
        <f t="shared" si="45"/>
        <v>0</v>
      </c>
      <c r="AG173" s="38"/>
      <c r="AH173" s="692">
        <f t="shared" si="47"/>
        <v>0</v>
      </c>
      <c r="AI173" s="692">
        <f t="shared" si="48"/>
        <v>0</v>
      </c>
      <c r="AJ173" s="692">
        <f t="shared" si="49"/>
        <v>0</v>
      </c>
      <c r="AL173" s="38">
        <f t="shared" si="46"/>
        <v>0</v>
      </c>
    </row>
    <row r="174" spans="1:38">
      <c r="A174" s="20"/>
      <c r="B174" s="20" t="s">
        <v>109</v>
      </c>
      <c r="C174" s="667" t="s">
        <v>570</v>
      </c>
      <c r="D174" s="68" t="s">
        <v>221</v>
      </c>
      <c r="E174" s="679"/>
      <c r="F174" s="529">
        <f>VLOOKUP(D174,'June 2013 Revenue'!D:V,19,FALSE)</f>
        <v>0</v>
      </c>
      <c r="G174" s="680"/>
      <c r="H174" s="680"/>
      <c r="I174" s="755"/>
      <c r="J174" s="682">
        <f t="shared" si="41"/>
        <v>0</v>
      </c>
      <c r="K174" s="683"/>
      <c r="L174" s="684"/>
      <c r="M174" s="753"/>
      <c r="N174" s="683">
        <v>0</v>
      </c>
      <c r="O174" s="686"/>
      <c r="P174" s="683">
        <v>0</v>
      </c>
      <c r="Q174" s="687">
        <f t="shared" si="40"/>
        <v>0</v>
      </c>
      <c r="R174" s="687"/>
      <c r="S174" s="687"/>
      <c r="T174" s="688">
        <v>0</v>
      </c>
      <c r="U174" s="693"/>
      <c r="V174" s="690">
        <f t="shared" si="42"/>
        <v>0</v>
      </c>
      <c r="W174" s="683"/>
      <c r="X174" s="474">
        <f t="shared" si="50"/>
        <v>0</v>
      </c>
      <c r="Y174" s="474">
        <f t="shared" si="51"/>
        <v>0</v>
      </c>
      <c r="Z174" s="475">
        <f t="shared" si="52"/>
        <v>0</v>
      </c>
      <c r="AA174" s="475">
        <v>0</v>
      </c>
      <c r="AB174" s="476">
        <v>0</v>
      </c>
      <c r="AC174" s="38">
        <f t="shared" si="53"/>
        <v>0</v>
      </c>
      <c r="AD174" s="692">
        <f t="shared" si="43"/>
        <v>0</v>
      </c>
      <c r="AE174" s="692">
        <f t="shared" si="44"/>
        <v>0</v>
      </c>
      <c r="AF174" s="692">
        <f t="shared" si="45"/>
        <v>0</v>
      </c>
      <c r="AG174" s="38"/>
      <c r="AH174" s="692">
        <f t="shared" si="47"/>
        <v>0</v>
      </c>
      <c r="AI174" s="692">
        <f t="shared" si="48"/>
        <v>0</v>
      </c>
      <c r="AJ174" s="692">
        <f t="shared" si="49"/>
        <v>0</v>
      </c>
      <c r="AL174" s="38">
        <f t="shared" si="46"/>
        <v>0</v>
      </c>
    </row>
    <row r="175" spans="1:38">
      <c r="A175" s="21"/>
      <c r="B175" s="21" t="s">
        <v>110</v>
      </c>
      <c r="C175" s="666"/>
      <c r="D175" s="68" t="s">
        <v>43</v>
      </c>
      <c r="E175" s="679"/>
      <c r="F175" s="529">
        <f>VLOOKUP(D175,'June 2013 Revenue'!D:V,19,FALSE)</f>
        <v>0</v>
      </c>
      <c r="G175" s="680"/>
      <c r="H175" s="680"/>
      <c r="I175" s="755"/>
      <c r="J175" s="682">
        <f t="shared" si="41"/>
        <v>0</v>
      </c>
      <c r="K175" s="683"/>
      <c r="L175" s="684"/>
      <c r="M175" s="753"/>
      <c r="N175" s="683">
        <v>0</v>
      </c>
      <c r="O175" s="686"/>
      <c r="P175" s="683">
        <v>0</v>
      </c>
      <c r="Q175" s="687">
        <f t="shared" si="40"/>
        <v>0</v>
      </c>
      <c r="R175" s="687"/>
      <c r="S175" s="687"/>
      <c r="T175" s="688">
        <v>0</v>
      </c>
      <c r="U175" s="693"/>
      <c r="V175" s="690">
        <f t="shared" si="42"/>
        <v>0</v>
      </c>
      <c r="W175" s="683"/>
      <c r="X175" s="474">
        <f t="shared" si="50"/>
        <v>0</v>
      </c>
      <c r="Y175" s="474">
        <f t="shared" si="51"/>
        <v>0</v>
      </c>
      <c r="Z175" s="475">
        <f t="shared" si="52"/>
        <v>0</v>
      </c>
      <c r="AA175" s="475">
        <v>0</v>
      </c>
      <c r="AB175" s="476">
        <v>0</v>
      </c>
      <c r="AC175" s="38">
        <f t="shared" si="53"/>
        <v>0</v>
      </c>
      <c r="AD175" s="692">
        <f t="shared" si="43"/>
        <v>0</v>
      </c>
      <c r="AE175" s="692">
        <f t="shared" si="44"/>
        <v>0</v>
      </c>
      <c r="AF175" s="692">
        <f t="shared" si="45"/>
        <v>0</v>
      </c>
      <c r="AG175" s="38"/>
      <c r="AH175" s="692">
        <f t="shared" si="47"/>
        <v>0</v>
      </c>
      <c r="AI175" s="692">
        <f t="shared" si="48"/>
        <v>0</v>
      </c>
      <c r="AJ175" s="692">
        <f t="shared" si="49"/>
        <v>0</v>
      </c>
      <c r="AL175" s="38">
        <f t="shared" si="46"/>
        <v>0</v>
      </c>
    </row>
    <row r="176" spans="1:38">
      <c r="A176" s="21"/>
      <c r="B176" s="21" t="s">
        <v>109</v>
      </c>
      <c r="C176" s="666" t="s">
        <v>571</v>
      </c>
      <c r="D176" s="68" t="s">
        <v>44</v>
      </c>
      <c r="E176" s="679"/>
      <c r="F176" s="529">
        <f>VLOOKUP(D176,'June 2013 Revenue'!D:V,19,FALSE)</f>
        <v>-10000</v>
      </c>
      <c r="G176" s="680"/>
      <c r="H176" s="680"/>
      <c r="I176" s="755"/>
      <c r="J176" s="682">
        <f t="shared" si="41"/>
        <v>-10000</v>
      </c>
      <c r="K176" s="683"/>
      <c r="L176" s="684"/>
      <c r="M176" s="753">
        <v>15000</v>
      </c>
      <c r="N176" s="683">
        <v>0</v>
      </c>
      <c r="O176" s="686"/>
      <c r="P176" s="683">
        <v>0</v>
      </c>
      <c r="Q176" s="687">
        <f t="shared" si="40"/>
        <v>15000</v>
      </c>
      <c r="R176" s="687"/>
      <c r="S176" s="687"/>
      <c r="T176" s="688">
        <v>0</v>
      </c>
      <c r="U176" s="693"/>
      <c r="V176" s="690">
        <f t="shared" si="42"/>
        <v>-15000</v>
      </c>
      <c r="W176" s="683"/>
      <c r="X176" s="474">
        <f t="shared" si="50"/>
        <v>0</v>
      </c>
      <c r="Y176" s="474">
        <f t="shared" si="51"/>
        <v>15000</v>
      </c>
      <c r="Z176" s="475">
        <f t="shared" si="52"/>
        <v>0</v>
      </c>
      <c r="AA176" s="475">
        <v>0</v>
      </c>
      <c r="AB176" s="476">
        <v>0</v>
      </c>
      <c r="AC176" s="38">
        <f t="shared" si="53"/>
        <v>0</v>
      </c>
      <c r="AD176" s="692">
        <f t="shared" si="43"/>
        <v>0</v>
      </c>
      <c r="AE176" s="692">
        <f t="shared" si="44"/>
        <v>-10000</v>
      </c>
      <c r="AF176" s="692">
        <f t="shared" si="45"/>
        <v>0</v>
      </c>
      <c r="AG176" s="38"/>
      <c r="AH176" s="692">
        <f t="shared" si="47"/>
        <v>0</v>
      </c>
      <c r="AI176" s="692">
        <f t="shared" si="48"/>
        <v>15000</v>
      </c>
      <c r="AJ176" s="692">
        <f t="shared" si="49"/>
        <v>0</v>
      </c>
      <c r="AL176" s="38">
        <f t="shared" si="46"/>
        <v>5000</v>
      </c>
    </row>
    <row r="177" spans="1:38">
      <c r="A177" s="21"/>
      <c r="B177" s="21" t="s">
        <v>114</v>
      </c>
      <c r="C177" s="666" t="s">
        <v>571</v>
      </c>
      <c r="D177" s="68" t="s">
        <v>44</v>
      </c>
      <c r="E177" s="679"/>
      <c r="F177" s="529">
        <v>0</v>
      </c>
      <c r="G177" s="680"/>
      <c r="H177" s="680"/>
      <c r="I177" s="755"/>
      <c r="J177" s="682">
        <f t="shared" si="41"/>
        <v>0</v>
      </c>
      <c r="K177" s="683"/>
      <c r="L177" s="684"/>
      <c r="M177" s="753"/>
      <c r="N177" s="683">
        <v>0</v>
      </c>
      <c r="O177" s="686"/>
      <c r="P177" s="683">
        <v>0</v>
      </c>
      <c r="Q177" s="687">
        <f t="shared" si="40"/>
        <v>0</v>
      </c>
      <c r="R177" s="687"/>
      <c r="S177" s="687"/>
      <c r="T177" s="688">
        <v>0</v>
      </c>
      <c r="U177" s="693"/>
      <c r="V177" s="690">
        <f t="shared" si="42"/>
        <v>0</v>
      </c>
      <c r="W177" s="683"/>
      <c r="X177" s="474">
        <f t="shared" si="50"/>
        <v>0</v>
      </c>
      <c r="Y177" s="474">
        <f t="shared" si="51"/>
        <v>0</v>
      </c>
      <c r="Z177" s="475">
        <f t="shared" si="52"/>
        <v>0</v>
      </c>
      <c r="AA177" s="475">
        <v>0</v>
      </c>
      <c r="AB177" s="476">
        <v>0</v>
      </c>
      <c r="AC177" s="38">
        <f t="shared" si="53"/>
        <v>0</v>
      </c>
      <c r="AD177" s="692">
        <f t="shared" si="43"/>
        <v>0</v>
      </c>
      <c r="AE177" s="692">
        <f t="shared" si="44"/>
        <v>0</v>
      </c>
      <c r="AF177" s="692">
        <f t="shared" si="45"/>
        <v>0</v>
      </c>
      <c r="AG177" s="38"/>
      <c r="AH177" s="692">
        <f t="shared" si="47"/>
        <v>0</v>
      </c>
      <c r="AI177" s="692">
        <f t="shared" si="48"/>
        <v>0</v>
      </c>
      <c r="AJ177" s="692">
        <f t="shared" si="49"/>
        <v>0</v>
      </c>
      <c r="AL177" s="38">
        <f t="shared" si="46"/>
        <v>0</v>
      </c>
    </row>
    <row r="178" spans="1:38">
      <c r="A178" s="21"/>
      <c r="B178" s="21" t="s">
        <v>110</v>
      </c>
      <c r="C178" s="666" t="s">
        <v>572</v>
      </c>
      <c r="D178" s="806" t="s">
        <v>388</v>
      </c>
      <c r="E178" s="679"/>
      <c r="F178" s="529">
        <f>VLOOKUP(D178,'June 2013 Revenue'!D:V,19,FALSE)</f>
        <v>-16000</v>
      </c>
      <c r="G178" s="680"/>
      <c r="H178" s="680"/>
      <c r="I178" s="755"/>
      <c r="J178" s="682">
        <f t="shared" si="41"/>
        <v>-16000</v>
      </c>
      <c r="K178" s="683"/>
      <c r="L178" s="684"/>
      <c r="M178" s="753">
        <v>24000</v>
      </c>
      <c r="N178" s="683">
        <v>0</v>
      </c>
      <c r="O178" s="686"/>
      <c r="P178" s="683">
        <v>0</v>
      </c>
      <c r="Q178" s="687">
        <f t="shared" si="40"/>
        <v>24000</v>
      </c>
      <c r="R178" s="687"/>
      <c r="S178" s="687"/>
      <c r="T178" s="688">
        <v>0</v>
      </c>
      <c r="U178" s="693"/>
      <c r="V178" s="690">
        <f t="shared" si="42"/>
        <v>-24000</v>
      </c>
      <c r="W178" s="683"/>
      <c r="X178" s="474">
        <f t="shared" si="50"/>
        <v>24000</v>
      </c>
      <c r="Y178" s="474">
        <f t="shared" si="51"/>
        <v>0</v>
      </c>
      <c r="Z178" s="475">
        <f t="shared" si="52"/>
        <v>0</v>
      </c>
      <c r="AA178" s="475">
        <v>0</v>
      </c>
      <c r="AB178" s="476">
        <v>0</v>
      </c>
      <c r="AC178" s="38">
        <f t="shared" si="53"/>
        <v>0</v>
      </c>
      <c r="AD178" s="692">
        <f t="shared" si="43"/>
        <v>-16000</v>
      </c>
      <c r="AE178" s="692">
        <f t="shared" si="44"/>
        <v>0</v>
      </c>
      <c r="AF178" s="692">
        <f t="shared" si="45"/>
        <v>0</v>
      </c>
      <c r="AG178" s="38"/>
      <c r="AH178" s="692">
        <f t="shared" si="47"/>
        <v>24000</v>
      </c>
      <c r="AI178" s="692">
        <f t="shared" si="48"/>
        <v>0</v>
      </c>
      <c r="AJ178" s="692">
        <f t="shared" si="49"/>
        <v>0</v>
      </c>
      <c r="AL178" s="38">
        <f t="shared" si="46"/>
        <v>8000</v>
      </c>
    </row>
    <row r="179" spans="1:38">
      <c r="A179" s="20"/>
      <c r="B179" s="20" t="s">
        <v>109</v>
      </c>
      <c r="C179" s="667"/>
      <c r="D179" s="806" t="s">
        <v>842</v>
      </c>
      <c r="E179" s="679"/>
      <c r="F179" s="529">
        <f>VLOOKUP(D179,'June 2013 Revenue'!D:V,19,FALSE)</f>
        <v>-75000</v>
      </c>
      <c r="G179" s="680"/>
      <c r="H179" s="680"/>
      <c r="I179" s="755"/>
      <c r="J179" s="682">
        <f t="shared" si="41"/>
        <v>-75000</v>
      </c>
      <c r="K179" s="683"/>
      <c r="L179" s="684"/>
      <c r="M179" s="753">
        <v>85000</v>
      </c>
      <c r="N179" s="683">
        <v>0</v>
      </c>
      <c r="O179" s="686"/>
      <c r="P179" s="683">
        <v>0</v>
      </c>
      <c r="Q179" s="687">
        <f t="shared" si="40"/>
        <v>85000</v>
      </c>
      <c r="R179" s="687"/>
      <c r="S179" s="687"/>
      <c r="T179" s="688">
        <v>0</v>
      </c>
      <c r="U179" s="693"/>
      <c r="V179" s="690">
        <f t="shared" si="42"/>
        <v>-85000</v>
      </c>
      <c r="W179" s="683"/>
      <c r="X179" s="474">
        <f t="shared" si="50"/>
        <v>0</v>
      </c>
      <c r="Y179" s="474">
        <f t="shared" si="51"/>
        <v>85000</v>
      </c>
      <c r="Z179" s="475">
        <f t="shared" si="52"/>
        <v>0</v>
      </c>
      <c r="AA179" s="475">
        <v>0</v>
      </c>
      <c r="AB179" s="476">
        <v>0</v>
      </c>
      <c r="AC179" s="38">
        <f t="shared" si="53"/>
        <v>0</v>
      </c>
      <c r="AD179" s="692">
        <f t="shared" si="43"/>
        <v>0</v>
      </c>
      <c r="AE179" s="692">
        <f t="shared" si="44"/>
        <v>-75000</v>
      </c>
      <c r="AF179" s="692">
        <f t="shared" si="45"/>
        <v>0</v>
      </c>
      <c r="AG179" s="38"/>
      <c r="AH179" s="692">
        <f t="shared" si="47"/>
        <v>0</v>
      </c>
      <c r="AI179" s="692">
        <f t="shared" si="48"/>
        <v>85000</v>
      </c>
      <c r="AJ179" s="692">
        <f t="shared" si="49"/>
        <v>0</v>
      </c>
      <c r="AL179" s="38">
        <f t="shared" si="46"/>
        <v>10000</v>
      </c>
    </row>
    <row r="180" spans="1:38">
      <c r="A180" s="21"/>
      <c r="B180" s="21" t="s">
        <v>110</v>
      </c>
      <c r="C180" s="666"/>
      <c r="D180" s="68" t="s">
        <v>45</v>
      </c>
      <c r="E180" s="679"/>
      <c r="F180" s="529">
        <f>VLOOKUP(D180,'June 2013 Revenue'!D:V,19,FALSE)</f>
        <v>-20416.489999999991</v>
      </c>
      <c r="G180" s="680"/>
      <c r="H180" s="680"/>
      <c r="I180" s="755"/>
      <c r="J180" s="682">
        <f t="shared" si="41"/>
        <v>-20416.489999999991</v>
      </c>
      <c r="K180" s="683"/>
      <c r="L180" s="684"/>
      <c r="M180" s="753">
        <v>75000</v>
      </c>
      <c r="N180" s="683">
        <v>0</v>
      </c>
      <c r="O180" s="686"/>
      <c r="P180" s="683">
        <v>0</v>
      </c>
      <c r="Q180" s="687">
        <f t="shared" si="40"/>
        <v>75000</v>
      </c>
      <c r="R180" s="687"/>
      <c r="S180" s="687"/>
      <c r="T180" s="688">
        <f>67070.1+3623.25</f>
        <v>70693.350000000006</v>
      </c>
      <c r="U180" s="693"/>
      <c r="V180" s="690">
        <f t="shared" si="42"/>
        <v>-4306.6499999999942</v>
      </c>
      <c r="W180" s="683"/>
      <c r="X180" s="474">
        <f t="shared" si="50"/>
        <v>75000</v>
      </c>
      <c r="Y180" s="474">
        <f t="shared" si="51"/>
        <v>0</v>
      </c>
      <c r="Z180" s="475">
        <f t="shared" si="52"/>
        <v>0</v>
      </c>
      <c r="AA180" s="475">
        <v>0</v>
      </c>
      <c r="AB180" s="476">
        <v>0</v>
      </c>
      <c r="AC180" s="38">
        <f t="shared" si="53"/>
        <v>0</v>
      </c>
      <c r="AD180" s="692">
        <f t="shared" si="43"/>
        <v>-20416.489999999991</v>
      </c>
      <c r="AE180" s="692">
        <f t="shared" si="44"/>
        <v>0</v>
      </c>
      <c r="AF180" s="692">
        <f t="shared" si="45"/>
        <v>0</v>
      </c>
      <c r="AG180" s="38"/>
      <c r="AH180" s="692">
        <f t="shared" si="47"/>
        <v>75000</v>
      </c>
      <c r="AI180" s="692">
        <f t="shared" si="48"/>
        <v>0</v>
      </c>
      <c r="AJ180" s="692">
        <f t="shared" si="49"/>
        <v>0</v>
      </c>
      <c r="AL180" s="38">
        <f t="shared" si="46"/>
        <v>54583.510000000009</v>
      </c>
    </row>
    <row r="181" spans="1:38">
      <c r="A181" s="20" t="s">
        <v>211</v>
      </c>
      <c r="B181" s="20" t="s">
        <v>109</v>
      </c>
      <c r="C181" s="667"/>
      <c r="D181" s="68" t="s">
        <v>923</v>
      </c>
      <c r="E181" s="679"/>
      <c r="F181" s="529">
        <f>VLOOKUP(D181,'June 2013 Revenue'!D:V,19,FALSE)</f>
        <v>0</v>
      </c>
      <c r="G181" s="680"/>
      <c r="H181" s="680"/>
      <c r="I181" s="755"/>
      <c r="J181" s="682">
        <f t="shared" si="41"/>
        <v>0</v>
      </c>
      <c r="K181" s="683"/>
      <c r="L181" s="684"/>
      <c r="M181" s="753"/>
      <c r="N181" s="683">
        <v>0</v>
      </c>
      <c r="O181" s="686"/>
      <c r="P181" s="683">
        <v>0</v>
      </c>
      <c r="Q181" s="687">
        <f t="shared" si="40"/>
        <v>0</v>
      </c>
      <c r="R181" s="687"/>
      <c r="S181" s="687"/>
      <c r="T181" s="688">
        <v>0</v>
      </c>
      <c r="U181" s="693"/>
      <c r="V181" s="690">
        <f t="shared" si="42"/>
        <v>0</v>
      </c>
      <c r="W181" s="697"/>
      <c r="X181" s="474">
        <f t="shared" si="50"/>
        <v>0</v>
      </c>
      <c r="Y181" s="474">
        <f t="shared" si="51"/>
        <v>0</v>
      </c>
      <c r="Z181" s="475">
        <f t="shared" si="52"/>
        <v>0</v>
      </c>
      <c r="AA181" s="475">
        <v>0</v>
      </c>
      <c r="AB181" s="476">
        <v>0</v>
      </c>
      <c r="AC181" s="38">
        <f t="shared" si="53"/>
        <v>0</v>
      </c>
      <c r="AD181" s="692">
        <f t="shared" si="43"/>
        <v>0</v>
      </c>
      <c r="AE181" s="692">
        <f t="shared" si="44"/>
        <v>0</v>
      </c>
      <c r="AF181" s="692">
        <f t="shared" si="45"/>
        <v>0</v>
      </c>
      <c r="AG181" s="38"/>
      <c r="AH181" s="692">
        <f t="shared" si="47"/>
        <v>0</v>
      </c>
      <c r="AI181" s="692">
        <f t="shared" si="48"/>
        <v>0</v>
      </c>
      <c r="AJ181" s="692">
        <f t="shared" si="49"/>
        <v>0</v>
      </c>
      <c r="AL181" s="38">
        <f t="shared" si="46"/>
        <v>0</v>
      </c>
    </row>
    <row r="182" spans="1:38">
      <c r="A182" s="20"/>
      <c r="B182" s="20" t="s">
        <v>110</v>
      </c>
      <c r="C182" s="667" t="s">
        <v>573</v>
      </c>
      <c r="D182" s="68" t="s">
        <v>102</v>
      </c>
      <c r="E182" s="679"/>
      <c r="F182" s="529">
        <f>VLOOKUP(D182,'June 2013 Revenue'!D:V,19,FALSE)</f>
        <v>122284.72999999998</v>
      </c>
      <c r="G182" s="680"/>
      <c r="H182" s="680"/>
      <c r="I182" s="755"/>
      <c r="J182" s="682">
        <f t="shared" si="41"/>
        <v>122284.72999999998</v>
      </c>
      <c r="K182" s="683"/>
      <c r="L182" s="684"/>
      <c r="M182" s="753">
        <v>2600000</v>
      </c>
      <c r="N182" s="683">
        <v>0</v>
      </c>
      <c r="O182" s="686"/>
      <c r="P182" s="683">
        <v>0</v>
      </c>
      <c r="Q182" s="687">
        <f t="shared" si="40"/>
        <v>2600000</v>
      </c>
      <c r="R182" s="687"/>
      <c r="S182" s="687"/>
      <c r="T182" s="688">
        <f>2721396.61+46737.44+456.09</f>
        <v>2768590.1399999997</v>
      </c>
      <c r="U182" s="693"/>
      <c r="V182" s="690">
        <f t="shared" si="42"/>
        <v>168590.13999999966</v>
      </c>
      <c r="W182" s="697"/>
      <c r="X182" s="474">
        <f t="shared" si="50"/>
        <v>2600000</v>
      </c>
      <c r="Y182" s="474">
        <f t="shared" si="51"/>
        <v>0</v>
      </c>
      <c r="Z182" s="475">
        <f t="shared" si="52"/>
        <v>0</v>
      </c>
      <c r="AA182" s="475">
        <v>0</v>
      </c>
      <c r="AB182" s="476">
        <v>0</v>
      </c>
      <c r="AC182" s="38">
        <f t="shared" si="53"/>
        <v>0</v>
      </c>
      <c r="AD182" s="692">
        <f t="shared" si="43"/>
        <v>122284.72999999998</v>
      </c>
      <c r="AE182" s="692">
        <f t="shared" si="44"/>
        <v>0</v>
      </c>
      <c r="AF182" s="692">
        <f t="shared" si="45"/>
        <v>0</v>
      </c>
      <c r="AG182" s="38"/>
      <c r="AH182" s="692">
        <f t="shared" si="47"/>
        <v>2600000</v>
      </c>
      <c r="AI182" s="692">
        <f t="shared" si="48"/>
        <v>0</v>
      </c>
      <c r="AJ182" s="692">
        <f t="shared" si="49"/>
        <v>0</v>
      </c>
      <c r="AL182" s="38">
        <f t="shared" si="46"/>
        <v>2722284.73</v>
      </c>
    </row>
    <row r="183" spans="1:38">
      <c r="A183" s="20"/>
      <c r="B183" s="20" t="s">
        <v>110</v>
      </c>
      <c r="C183" s="667" t="s">
        <v>573</v>
      </c>
      <c r="D183" s="68" t="s">
        <v>511</v>
      </c>
      <c r="E183" s="679"/>
      <c r="F183" s="529">
        <f>VLOOKUP(D183,'June 2013 Revenue'!D:V,19,FALSE)</f>
        <v>0</v>
      </c>
      <c r="G183" s="680"/>
      <c r="H183" s="680"/>
      <c r="I183" s="755"/>
      <c r="J183" s="682">
        <f t="shared" si="41"/>
        <v>0</v>
      </c>
      <c r="K183" s="683"/>
      <c r="L183" s="684"/>
      <c r="M183" s="753"/>
      <c r="N183" s="683">
        <v>0</v>
      </c>
      <c r="O183" s="686"/>
      <c r="P183" s="683">
        <v>0</v>
      </c>
      <c r="Q183" s="687">
        <f t="shared" si="40"/>
        <v>0</v>
      </c>
      <c r="R183" s="687"/>
      <c r="S183" s="687"/>
      <c r="T183" s="688">
        <v>0</v>
      </c>
      <c r="U183" s="693"/>
      <c r="V183" s="690">
        <f t="shared" si="42"/>
        <v>0</v>
      </c>
      <c r="W183" s="697"/>
      <c r="X183" s="474">
        <f t="shared" si="50"/>
        <v>0</v>
      </c>
      <c r="Y183" s="474">
        <f t="shared" si="51"/>
        <v>0</v>
      </c>
      <c r="Z183" s="475">
        <f t="shared" si="52"/>
        <v>0</v>
      </c>
      <c r="AA183" s="475">
        <v>0</v>
      </c>
      <c r="AB183" s="476">
        <v>0</v>
      </c>
      <c r="AC183" s="38">
        <f t="shared" si="53"/>
        <v>0</v>
      </c>
      <c r="AD183" s="692">
        <f t="shared" si="43"/>
        <v>0</v>
      </c>
      <c r="AE183" s="692">
        <f t="shared" si="44"/>
        <v>0</v>
      </c>
      <c r="AF183" s="692">
        <f t="shared" si="45"/>
        <v>0</v>
      </c>
      <c r="AG183" s="38"/>
      <c r="AH183" s="692">
        <f t="shared" si="47"/>
        <v>0</v>
      </c>
      <c r="AI183" s="692">
        <f t="shared" si="48"/>
        <v>0</v>
      </c>
      <c r="AJ183" s="692">
        <f t="shared" si="49"/>
        <v>0</v>
      </c>
      <c r="AL183" s="38">
        <f t="shared" si="46"/>
        <v>0</v>
      </c>
    </row>
    <row r="184" spans="1:38">
      <c r="A184" s="21"/>
      <c r="B184" s="21" t="s">
        <v>110</v>
      </c>
      <c r="C184" s="666"/>
      <c r="D184" s="68" t="s">
        <v>50</v>
      </c>
      <c r="E184" s="679"/>
      <c r="F184" s="529">
        <f>VLOOKUP(D184,'June 2013 Revenue'!D:V,19,FALSE)</f>
        <v>0</v>
      </c>
      <c r="G184" s="680"/>
      <c r="H184" s="680"/>
      <c r="I184" s="770">
        <v>882.64</v>
      </c>
      <c r="J184" s="682">
        <f t="shared" si="41"/>
        <v>882.64</v>
      </c>
      <c r="K184" s="683"/>
      <c r="L184" s="684"/>
      <c r="M184" s="753"/>
      <c r="N184" s="683">
        <v>0</v>
      </c>
      <c r="O184" s="686"/>
      <c r="P184" s="683">
        <v>0</v>
      </c>
      <c r="Q184" s="687">
        <f t="shared" si="40"/>
        <v>0</v>
      </c>
      <c r="R184" s="687"/>
      <c r="S184" s="687"/>
      <c r="T184" s="688">
        <v>0</v>
      </c>
      <c r="U184" s="693"/>
      <c r="V184" s="690">
        <f t="shared" si="42"/>
        <v>0</v>
      </c>
      <c r="W184" s="683"/>
      <c r="X184" s="474">
        <f t="shared" si="50"/>
        <v>0</v>
      </c>
      <c r="Y184" s="474">
        <f t="shared" si="51"/>
        <v>0</v>
      </c>
      <c r="Z184" s="475">
        <f t="shared" si="52"/>
        <v>0</v>
      </c>
      <c r="AA184" s="475">
        <v>0</v>
      </c>
      <c r="AB184" s="476">
        <v>0</v>
      </c>
      <c r="AC184" s="38">
        <f t="shared" si="53"/>
        <v>0</v>
      </c>
      <c r="AD184" s="692">
        <f t="shared" si="43"/>
        <v>882.64</v>
      </c>
      <c r="AE184" s="692">
        <f t="shared" si="44"/>
        <v>0</v>
      </c>
      <c r="AF184" s="692">
        <f t="shared" si="45"/>
        <v>0</v>
      </c>
      <c r="AG184" s="38"/>
      <c r="AH184" s="692">
        <f t="shared" si="47"/>
        <v>0</v>
      </c>
      <c r="AI184" s="692">
        <f t="shared" si="48"/>
        <v>0</v>
      </c>
      <c r="AJ184" s="692">
        <f t="shared" si="49"/>
        <v>0</v>
      </c>
      <c r="AL184" s="38">
        <f t="shared" si="46"/>
        <v>882.64</v>
      </c>
    </row>
    <row r="185" spans="1:38" hidden="1">
      <c r="A185" s="21"/>
      <c r="B185" s="21" t="s">
        <v>109</v>
      </c>
      <c r="C185" s="666"/>
      <c r="D185" s="68" t="s">
        <v>51</v>
      </c>
      <c r="E185" s="679"/>
      <c r="F185" s="529">
        <f>VLOOKUP(D185,'June 2013 Revenue'!D:V,19,FALSE)</f>
        <v>0</v>
      </c>
      <c r="G185" s="680"/>
      <c r="H185" s="680"/>
      <c r="I185" s="755"/>
      <c r="J185" s="682">
        <f t="shared" si="41"/>
        <v>0</v>
      </c>
      <c r="K185" s="683"/>
      <c r="L185" s="684"/>
      <c r="M185" s="753"/>
      <c r="N185" s="683">
        <v>0</v>
      </c>
      <c r="O185" s="686"/>
      <c r="P185" s="683">
        <v>0</v>
      </c>
      <c r="Q185" s="687">
        <f t="shared" si="40"/>
        <v>0</v>
      </c>
      <c r="R185" s="687"/>
      <c r="S185" s="687"/>
      <c r="T185" s="688">
        <v>0</v>
      </c>
      <c r="U185" s="693"/>
      <c r="V185" s="690">
        <f t="shared" si="42"/>
        <v>0</v>
      </c>
      <c r="W185" s="683"/>
      <c r="X185" s="474">
        <f t="shared" si="50"/>
        <v>0</v>
      </c>
      <c r="Y185" s="474">
        <f t="shared" si="51"/>
        <v>0</v>
      </c>
      <c r="Z185" s="475">
        <f t="shared" si="52"/>
        <v>0</v>
      </c>
      <c r="AA185" s="475">
        <v>0</v>
      </c>
      <c r="AB185" s="476">
        <v>0</v>
      </c>
      <c r="AC185" s="38">
        <f t="shared" si="53"/>
        <v>0</v>
      </c>
      <c r="AD185" s="692">
        <f t="shared" si="43"/>
        <v>0</v>
      </c>
      <c r="AE185" s="692">
        <f t="shared" si="44"/>
        <v>0</v>
      </c>
      <c r="AF185" s="692">
        <f t="shared" si="45"/>
        <v>0</v>
      </c>
      <c r="AG185" s="38"/>
      <c r="AH185" s="692">
        <f t="shared" si="47"/>
        <v>0</v>
      </c>
      <c r="AI185" s="692">
        <f t="shared" si="48"/>
        <v>0</v>
      </c>
      <c r="AJ185" s="692">
        <f t="shared" si="49"/>
        <v>0</v>
      </c>
      <c r="AL185" s="38">
        <f t="shared" si="46"/>
        <v>0</v>
      </c>
    </row>
    <row r="186" spans="1:38">
      <c r="A186" s="21"/>
      <c r="B186" s="21" t="s">
        <v>109</v>
      </c>
      <c r="C186" s="666"/>
      <c r="D186" s="68" t="s">
        <v>107</v>
      </c>
      <c r="E186" s="679"/>
      <c r="F186" s="529">
        <f>VLOOKUP(D186,'June 2013 Revenue'!D:V,19,FALSE)</f>
        <v>0</v>
      </c>
      <c r="G186" s="680"/>
      <c r="H186" s="680"/>
      <c r="I186" s="755"/>
      <c r="J186" s="682">
        <f t="shared" si="41"/>
        <v>0</v>
      </c>
      <c r="K186" s="683"/>
      <c r="L186" s="684"/>
      <c r="M186" s="753"/>
      <c r="N186" s="683">
        <v>0</v>
      </c>
      <c r="O186" s="686"/>
      <c r="P186" s="683">
        <v>0</v>
      </c>
      <c r="Q186" s="687">
        <f t="shared" si="40"/>
        <v>0</v>
      </c>
      <c r="R186" s="687"/>
      <c r="S186" s="687"/>
      <c r="T186" s="688">
        <v>0</v>
      </c>
      <c r="U186" s="693"/>
      <c r="V186" s="690">
        <f t="shared" si="42"/>
        <v>0</v>
      </c>
      <c r="W186" s="683"/>
      <c r="X186" s="474">
        <f t="shared" si="50"/>
        <v>0</v>
      </c>
      <c r="Y186" s="474">
        <f t="shared" si="51"/>
        <v>0</v>
      </c>
      <c r="Z186" s="475">
        <f t="shared" si="52"/>
        <v>0</v>
      </c>
      <c r="AA186" s="475">
        <v>0</v>
      </c>
      <c r="AB186" s="476">
        <v>0</v>
      </c>
      <c r="AC186" s="38">
        <f t="shared" si="53"/>
        <v>0</v>
      </c>
      <c r="AD186" s="692">
        <f t="shared" si="43"/>
        <v>0</v>
      </c>
      <c r="AE186" s="692">
        <f t="shared" si="44"/>
        <v>0</v>
      </c>
      <c r="AF186" s="692">
        <f t="shared" si="45"/>
        <v>0</v>
      </c>
      <c r="AG186" s="38"/>
      <c r="AH186" s="692">
        <f t="shared" si="47"/>
        <v>0</v>
      </c>
      <c r="AI186" s="692">
        <f t="shared" si="48"/>
        <v>0</v>
      </c>
      <c r="AJ186" s="692">
        <f t="shared" si="49"/>
        <v>0</v>
      </c>
      <c r="AL186" s="38">
        <f t="shared" si="46"/>
        <v>0</v>
      </c>
    </row>
    <row r="187" spans="1:38" hidden="1">
      <c r="A187" s="21"/>
      <c r="B187" s="21" t="s">
        <v>109</v>
      </c>
      <c r="C187" s="666"/>
      <c r="D187" s="68" t="s">
        <v>467</v>
      </c>
      <c r="E187" s="679"/>
      <c r="F187" s="529">
        <f>VLOOKUP(D187,'June 2013 Revenue'!D:V,19,FALSE)</f>
        <v>0</v>
      </c>
      <c r="G187" s="680"/>
      <c r="H187" s="680"/>
      <c r="I187" s="755"/>
      <c r="J187" s="682">
        <f t="shared" si="41"/>
        <v>0</v>
      </c>
      <c r="K187" s="683"/>
      <c r="L187" s="684"/>
      <c r="M187" s="753"/>
      <c r="N187" s="683">
        <v>0</v>
      </c>
      <c r="O187" s="686"/>
      <c r="P187" s="683">
        <v>0</v>
      </c>
      <c r="Q187" s="687">
        <f t="shared" si="40"/>
        <v>0</v>
      </c>
      <c r="R187" s="687"/>
      <c r="S187" s="687"/>
      <c r="T187" s="688">
        <v>0</v>
      </c>
      <c r="U187" s="693"/>
      <c r="V187" s="690">
        <f t="shared" si="42"/>
        <v>0</v>
      </c>
      <c r="W187" s="683"/>
      <c r="X187" s="474">
        <f t="shared" si="50"/>
        <v>0</v>
      </c>
      <c r="Y187" s="474">
        <f t="shared" si="51"/>
        <v>0</v>
      </c>
      <c r="Z187" s="475">
        <f t="shared" si="52"/>
        <v>0</v>
      </c>
      <c r="AA187" s="475">
        <v>0</v>
      </c>
      <c r="AB187" s="476">
        <v>0</v>
      </c>
      <c r="AC187" s="38">
        <f t="shared" si="53"/>
        <v>0</v>
      </c>
      <c r="AD187" s="692">
        <f t="shared" si="43"/>
        <v>0</v>
      </c>
      <c r="AE187" s="692">
        <f t="shared" si="44"/>
        <v>0</v>
      </c>
      <c r="AF187" s="692">
        <f t="shared" si="45"/>
        <v>0</v>
      </c>
      <c r="AG187" s="38"/>
      <c r="AH187" s="692">
        <f t="shared" si="47"/>
        <v>0</v>
      </c>
      <c r="AI187" s="692">
        <f t="shared" si="48"/>
        <v>0</v>
      </c>
      <c r="AJ187" s="692">
        <f t="shared" si="49"/>
        <v>0</v>
      </c>
      <c r="AL187" s="38">
        <f t="shared" si="46"/>
        <v>0</v>
      </c>
    </row>
    <row r="188" spans="1:38">
      <c r="A188" s="21"/>
      <c r="B188" s="21" t="s">
        <v>109</v>
      </c>
      <c r="C188" s="666" t="s">
        <v>575</v>
      </c>
      <c r="D188" s="68" t="s">
        <v>54</v>
      </c>
      <c r="E188" s="679"/>
      <c r="F188" s="529">
        <f>VLOOKUP(D188,'June 2013 Revenue'!D:V,19,FALSE)</f>
        <v>0</v>
      </c>
      <c r="G188" s="680"/>
      <c r="H188" s="680"/>
      <c r="I188" s="755"/>
      <c r="J188" s="682">
        <f t="shared" si="41"/>
        <v>0</v>
      </c>
      <c r="K188" s="683"/>
      <c r="L188" s="684"/>
      <c r="M188" s="753"/>
      <c r="N188" s="683">
        <v>0</v>
      </c>
      <c r="O188" s="686"/>
      <c r="P188" s="683">
        <v>0</v>
      </c>
      <c r="Q188" s="687">
        <f t="shared" si="40"/>
        <v>0</v>
      </c>
      <c r="R188" s="687"/>
      <c r="S188" s="687"/>
      <c r="T188" s="688">
        <v>0</v>
      </c>
      <c r="U188" s="693"/>
      <c r="V188" s="690">
        <f t="shared" si="42"/>
        <v>0</v>
      </c>
      <c r="W188" s="683"/>
      <c r="X188" s="474">
        <f t="shared" si="50"/>
        <v>0</v>
      </c>
      <c r="Y188" s="474">
        <f t="shared" si="51"/>
        <v>0</v>
      </c>
      <c r="Z188" s="475">
        <f t="shared" si="52"/>
        <v>0</v>
      </c>
      <c r="AA188" s="475">
        <v>0</v>
      </c>
      <c r="AB188" s="476">
        <v>0</v>
      </c>
      <c r="AC188" s="38">
        <f t="shared" si="53"/>
        <v>0</v>
      </c>
      <c r="AD188" s="692">
        <f t="shared" si="43"/>
        <v>0</v>
      </c>
      <c r="AE188" s="692">
        <f t="shared" si="44"/>
        <v>0</v>
      </c>
      <c r="AF188" s="692">
        <f t="shared" si="45"/>
        <v>0</v>
      </c>
      <c r="AG188" s="38"/>
      <c r="AH188" s="692">
        <f t="shared" si="47"/>
        <v>0</v>
      </c>
      <c r="AI188" s="692">
        <f t="shared" si="48"/>
        <v>0</v>
      </c>
      <c r="AJ188" s="692">
        <f t="shared" si="49"/>
        <v>0</v>
      </c>
      <c r="AL188" s="38">
        <f t="shared" si="46"/>
        <v>0</v>
      </c>
    </row>
    <row r="189" spans="1:38" hidden="1">
      <c r="A189" s="20"/>
      <c r="B189" s="20" t="s">
        <v>110</v>
      </c>
      <c r="C189" s="667" t="s">
        <v>576</v>
      </c>
      <c r="D189" s="68" t="s">
        <v>394</v>
      </c>
      <c r="E189" s="679"/>
      <c r="F189" s="529">
        <f>VLOOKUP(D189,'June 2013 Revenue'!D:V,19,FALSE)</f>
        <v>0</v>
      </c>
      <c r="G189" s="680"/>
      <c r="H189" s="680"/>
      <c r="I189" s="755"/>
      <c r="J189" s="682">
        <f t="shared" si="41"/>
        <v>0</v>
      </c>
      <c r="K189" s="683"/>
      <c r="L189" s="684"/>
      <c r="M189" s="753"/>
      <c r="N189" s="683">
        <v>0</v>
      </c>
      <c r="O189" s="686"/>
      <c r="P189" s="683">
        <v>0</v>
      </c>
      <c r="Q189" s="687">
        <f t="shared" si="40"/>
        <v>0</v>
      </c>
      <c r="R189" s="687"/>
      <c r="S189" s="687"/>
      <c r="T189" s="688">
        <v>0</v>
      </c>
      <c r="U189" s="693"/>
      <c r="V189" s="690">
        <f t="shared" si="42"/>
        <v>0</v>
      </c>
      <c r="W189" s="683"/>
      <c r="X189" s="474">
        <f t="shared" si="50"/>
        <v>0</v>
      </c>
      <c r="Y189" s="474">
        <f t="shared" si="51"/>
        <v>0</v>
      </c>
      <c r="Z189" s="475">
        <f t="shared" si="52"/>
        <v>0</v>
      </c>
      <c r="AA189" s="475">
        <v>0</v>
      </c>
      <c r="AB189" s="476">
        <v>0</v>
      </c>
      <c r="AC189" s="38">
        <f t="shared" si="53"/>
        <v>0</v>
      </c>
      <c r="AD189" s="692">
        <f t="shared" si="43"/>
        <v>0</v>
      </c>
      <c r="AE189" s="692">
        <f t="shared" si="44"/>
        <v>0</v>
      </c>
      <c r="AF189" s="692">
        <f t="shared" si="45"/>
        <v>0</v>
      </c>
      <c r="AG189" s="38"/>
      <c r="AH189" s="692">
        <f t="shared" si="47"/>
        <v>0</v>
      </c>
      <c r="AI189" s="692">
        <f t="shared" si="48"/>
        <v>0</v>
      </c>
      <c r="AJ189" s="692">
        <f t="shared" si="49"/>
        <v>0</v>
      </c>
      <c r="AL189" s="38">
        <f t="shared" si="46"/>
        <v>0</v>
      </c>
    </row>
    <row r="190" spans="1:38">
      <c r="A190" s="20"/>
      <c r="B190" s="20" t="s">
        <v>110</v>
      </c>
      <c r="C190" s="667"/>
      <c r="D190" s="68" t="s">
        <v>55</v>
      </c>
      <c r="E190" s="679"/>
      <c r="F190" s="529">
        <f>VLOOKUP(D190,'June 2013 Revenue'!D:V,19,FALSE)</f>
        <v>0</v>
      </c>
      <c r="G190" s="680"/>
      <c r="H190" s="680"/>
      <c r="I190" s="755"/>
      <c r="J190" s="682">
        <f t="shared" si="41"/>
        <v>0</v>
      </c>
      <c r="K190" s="683"/>
      <c r="L190" s="684"/>
      <c r="M190" s="753"/>
      <c r="N190" s="683">
        <v>0</v>
      </c>
      <c r="O190" s="686"/>
      <c r="P190" s="683">
        <v>0</v>
      </c>
      <c r="Q190" s="687">
        <f t="shared" si="40"/>
        <v>0</v>
      </c>
      <c r="R190" s="687"/>
      <c r="S190" s="687"/>
      <c r="T190" s="688">
        <v>0</v>
      </c>
      <c r="U190" s="693"/>
      <c r="V190" s="690">
        <f t="shared" si="42"/>
        <v>0</v>
      </c>
      <c r="W190" s="683"/>
      <c r="X190" s="474">
        <f t="shared" si="50"/>
        <v>0</v>
      </c>
      <c r="Y190" s="474">
        <f t="shared" si="51"/>
        <v>0</v>
      </c>
      <c r="Z190" s="475">
        <f t="shared" si="52"/>
        <v>0</v>
      </c>
      <c r="AA190" s="475">
        <v>0</v>
      </c>
      <c r="AB190" s="476">
        <v>0</v>
      </c>
      <c r="AC190" s="38">
        <f t="shared" si="53"/>
        <v>0</v>
      </c>
      <c r="AD190" s="692">
        <f t="shared" si="43"/>
        <v>0</v>
      </c>
      <c r="AE190" s="692">
        <f t="shared" si="44"/>
        <v>0</v>
      </c>
      <c r="AF190" s="692">
        <f t="shared" si="45"/>
        <v>0</v>
      </c>
      <c r="AG190" s="38"/>
      <c r="AH190" s="692">
        <f t="shared" si="47"/>
        <v>0</v>
      </c>
      <c r="AI190" s="692">
        <f t="shared" si="48"/>
        <v>0</v>
      </c>
      <c r="AJ190" s="692">
        <f t="shared" si="49"/>
        <v>0</v>
      </c>
      <c r="AL190" s="38">
        <f t="shared" si="46"/>
        <v>0</v>
      </c>
    </row>
    <row r="191" spans="1:38">
      <c r="A191" s="20"/>
      <c r="B191" s="20" t="s">
        <v>110</v>
      </c>
      <c r="C191" s="676" t="s">
        <v>854</v>
      </c>
      <c r="D191" s="68" t="s">
        <v>855</v>
      </c>
      <c r="E191" s="679"/>
      <c r="F191" s="529">
        <f>VLOOKUP(D191,'June 2013 Revenue'!D:V,19,FALSE)</f>
        <v>1085.3599999999999</v>
      </c>
      <c r="G191" s="680"/>
      <c r="H191" s="680"/>
      <c r="I191" s="755"/>
      <c r="J191" s="682">
        <f t="shared" si="41"/>
        <v>1085.3599999999999</v>
      </c>
      <c r="K191" s="683"/>
      <c r="L191" s="684"/>
      <c r="M191" s="753"/>
      <c r="N191" s="683">
        <v>0</v>
      </c>
      <c r="O191" s="686"/>
      <c r="P191" s="683">
        <v>0</v>
      </c>
      <c r="Q191" s="687">
        <f t="shared" si="40"/>
        <v>0</v>
      </c>
      <c r="R191" s="687"/>
      <c r="S191" s="687"/>
      <c r="T191" s="688">
        <v>1134.27</v>
      </c>
      <c r="U191" s="693"/>
      <c r="V191" s="690">
        <f t="shared" si="42"/>
        <v>1134.27</v>
      </c>
      <c r="W191" s="683"/>
      <c r="X191" s="474">
        <f t="shared" si="50"/>
        <v>0</v>
      </c>
      <c r="Y191" s="474">
        <f t="shared" si="51"/>
        <v>0</v>
      </c>
      <c r="Z191" s="475">
        <f t="shared" si="52"/>
        <v>0</v>
      </c>
      <c r="AA191" s="475">
        <v>0</v>
      </c>
      <c r="AB191" s="476">
        <v>0</v>
      </c>
      <c r="AC191" s="38">
        <f t="shared" si="53"/>
        <v>0</v>
      </c>
      <c r="AD191" s="692">
        <f t="shared" si="43"/>
        <v>1085.3599999999999</v>
      </c>
      <c r="AE191" s="692">
        <f t="shared" si="44"/>
        <v>0</v>
      </c>
      <c r="AF191" s="692">
        <f t="shared" si="45"/>
        <v>0</v>
      </c>
      <c r="AG191" s="38"/>
      <c r="AH191" s="692">
        <f t="shared" si="47"/>
        <v>0</v>
      </c>
      <c r="AI191" s="692">
        <f t="shared" si="48"/>
        <v>0</v>
      </c>
      <c r="AJ191" s="692">
        <f t="shared" si="49"/>
        <v>0</v>
      </c>
      <c r="AL191" s="38">
        <f t="shared" si="46"/>
        <v>1085.3599999999999</v>
      </c>
    </row>
    <row r="192" spans="1:38">
      <c r="A192" s="20"/>
      <c r="B192" s="20" t="s">
        <v>109</v>
      </c>
      <c r="C192" s="667" t="s">
        <v>577</v>
      </c>
      <c r="D192" s="68" t="s">
        <v>159</v>
      </c>
      <c r="E192" s="679"/>
      <c r="F192" s="529">
        <f>VLOOKUP(D192,'June 2013 Revenue'!D:V,19,FALSE)</f>
        <v>0</v>
      </c>
      <c r="G192" s="680"/>
      <c r="H192" s="680"/>
      <c r="I192" s="770">
        <f>15772.28+6977.11</f>
        <v>22749.39</v>
      </c>
      <c r="J192" s="682">
        <f t="shared" si="41"/>
        <v>22749.39</v>
      </c>
      <c r="K192" s="683"/>
      <c r="L192" s="684"/>
      <c r="M192" s="753"/>
      <c r="N192" s="683">
        <v>0</v>
      </c>
      <c r="O192" s="686"/>
      <c r="P192" s="683">
        <v>0</v>
      </c>
      <c r="Q192" s="687">
        <f t="shared" si="40"/>
        <v>0</v>
      </c>
      <c r="R192" s="687"/>
      <c r="S192" s="687"/>
      <c r="T192" s="688">
        <v>0</v>
      </c>
      <c r="U192" s="693"/>
      <c r="V192" s="690">
        <f t="shared" si="42"/>
        <v>0</v>
      </c>
      <c r="W192" s="683"/>
      <c r="X192" s="474">
        <f t="shared" si="50"/>
        <v>0</v>
      </c>
      <c r="Y192" s="474">
        <f t="shared" si="51"/>
        <v>0</v>
      </c>
      <c r="Z192" s="475">
        <f t="shared" si="52"/>
        <v>0</v>
      </c>
      <c r="AA192" s="475">
        <v>0</v>
      </c>
      <c r="AB192" s="476">
        <v>0</v>
      </c>
      <c r="AC192" s="38">
        <f t="shared" si="53"/>
        <v>0</v>
      </c>
      <c r="AD192" s="692">
        <f t="shared" si="43"/>
        <v>0</v>
      </c>
      <c r="AE192" s="692">
        <f t="shared" si="44"/>
        <v>22749.39</v>
      </c>
      <c r="AF192" s="692">
        <f t="shared" si="45"/>
        <v>0</v>
      </c>
      <c r="AG192" s="38"/>
      <c r="AH192" s="692">
        <f t="shared" si="47"/>
        <v>0</v>
      </c>
      <c r="AI192" s="692">
        <f t="shared" si="48"/>
        <v>0</v>
      </c>
      <c r="AJ192" s="692">
        <f t="shared" si="49"/>
        <v>0</v>
      </c>
      <c r="AL192" s="38">
        <f t="shared" si="46"/>
        <v>22749.39</v>
      </c>
    </row>
    <row r="193" spans="1:38">
      <c r="A193" s="20"/>
      <c r="B193" s="20" t="s">
        <v>109</v>
      </c>
      <c r="C193" s="667" t="s">
        <v>577</v>
      </c>
      <c r="D193" s="68" t="s">
        <v>160</v>
      </c>
      <c r="E193" s="679"/>
      <c r="F193" s="529">
        <f>VLOOKUP(D193,'June 2013 Revenue'!D:V,19,FALSE)</f>
        <v>-1869.3499999999985</v>
      </c>
      <c r="G193" s="680"/>
      <c r="H193" s="680"/>
      <c r="I193" s="770">
        <f>9916.91+4456.16</f>
        <v>14373.07</v>
      </c>
      <c r="J193" s="682">
        <f t="shared" si="41"/>
        <v>12503.720000000001</v>
      </c>
      <c r="K193" s="683"/>
      <c r="L193" s="684"/>
      <c r="M193" s="753"/>
      <c r="N193" s="683">
        <v>0</v>
      </c>
      <c r="O193" s="686"/>
      <c r="P193" s="683">
        <v>0</v>
      </c>
      <c r="Q193" s="687">
        <f t="shared" si="40"/>
        <v>0</v>
      </c>
      <c r="R193" s="687"/>
      <c r="S193" s="687"/>
      <c r="T193" s="688">
        <v>0</v>
      </c>
      <c r="U193" s="693"/>
      <c r="V193" s="690">
        <f t="shared" si="42"/>
        <v>0</v>
      </c>
      <c r="W193" s="683"/>
      <c r="X193" s="474">
        <f t="shared" si="50"/>
        <v>0</v>
      </c>
      <c r="Y193" s="474">
        <f t="shared" si="51"/>
        <v>0</v>
      </c>
      <c r="Z193" s="475">
        <f t="shared" si="52"/>
        <v>0</v>
      </c>
      <c r="AA193" s="475">
        <v>0</v>
      </c>
      <c r="AB193" s="476">
        <v>0</v>
      </c>
      <c r="AC193" s="38">
        <f t="shared" si="53"/>
        <v>0</v>
      </c>
      <c r="AD193" s="692">
        <f t="shared" si="43"/>
        <v>0</v>
      </c>
      <c r="AE193" s="692">
        <f t="shared" si="44"/>
        <v>12503.720000000001</v>
      </c>
      <c r="AF193" s="692">
        <f t="shared" si="45"/>
        <v>0</v>
      </c>
      <c r="AG193" s="38"/>
      <c r="AH193" s="692">
        <f t="shared" si="47"/>
        <v>0</v>
      </c>
      <c r="AI193" s="692">
        <f t="shared" si="48"/>
        <v>0</v>
      </c>
      <c r="AJ193" s="692">
        <f t="shared" si="49"/>
        <v>0</v>
      </c>
      <c r="AL193" s="38">
        <f t="shared" si="46"/>
        <v>12503.720000000001</v>
      </c>
    </row>
    <row r="194" spans="1:38" hidden="1">
      <c r="A194" s="21"/>
      <c r="B194" s="21" t="s">
        <v>109</v>
      </c>
      <c r="C194" s="667" t="s">
        <v>577</v>
      </c>
      <c r="D194" s="68" t="s">
        <v>161</v>
      </c>
      <c r="E194" s="679"/>
      <c r="F194" s="529">
        <f>VLOOKUP(D194,'June 2013 Revenue'!D:V,19,FALSE)</f>
        <v>0</v>
      </c>
      <c r="G194" s="680"/>
      <c r="H194" s="680"/>
      <c r="I194" s="755"/>
      <c r="J194" s="682">
        <f t="shared" si="41"/>
        <v>0</v>
      </c>
      <c r="K194" s="683"/>
      <c r="L194" s="684"/>
      <c r="M194" s="753"/>
      <c r="N194" s="683">
        <v>0</v>
      </c>
      <c r="O194" s="686"/>
      <c r="P194" s="683">
        <v>0</v>
      </c>
      <c r="Q194" s="687">
        <f t="shared" si="40"/>
        <v>0</v>
      </c>
      <c r="R194" s="687"/>
      <c r="S194" s="687"/>
      <c r="T194" s="688">
        <v>0</v>
      </c>
      <c r="U194" s="693"/>
      <c r="V194" s="690">
        <f t="shared" si="42"/>
        <v>0</v>
      </c>
      <c r="W194" s="683"/>
      <c r="X194" s="474">
        <f t="shared" si="50"/>
        <v>0</v>
      </c>
      <c r="Y194" s="474">
        <f t="shared" si="51"/>
        <v>0</v>
      </c>
      <c r="Z194" s="475">
        <f t="shared" si="52"/>
        <v>0</v>
      </c>
      <c r="AA194" s="475">
        <v>0</v>
      </c>
      <c r="AB194" s="476">
        <v>0</v>
      </c>
      <c r="AC194" s="38">
        <f t="shared" si="53"/>
        <v>0</v>
      </c>
      <c r="AD194" s="692">
        <f t="shared" si="43"/>
        <v>0</v>
      </c>
      <c r="AE194" s="692">
        <f t="shared" si="44"/>
        <v>0</v>
      </c>
      <c r="AF194" s="692">
        <f t="shared" si="45"/>
        <v>0</v>
      </c>
      <c r="AG194" s="38"/>
      <c r="AH194" s="692">
        <f t="shared" si="47"/>
        <v>0</v>
      </c>
      <c r="AI194" s="692">
        <f t="shared" si="48"/>
        <v>0</v>
      </c>
      <c r="AJ194" s="692">
        <f t="shared" si="49"/>
        <v>0</v>
      </c>
      <c r="AL194" s="38">
        <f t="shared" si="46"/>
        <v>0</v>
      </c>
    </row>
    <row r="195" spans="1:38" hidden="1">
      <c r="A195" s="21"/>
      <c r="B195" s="21" t="s">
        <v>109</v>
      </c>
      <c r="C195" s="667" t="s">
        <v>577</v>
      </c>
      <c r="D195" s="68" t="s">
        <v>162</v>
      </c>
      <c r="E195" s="679"/>
      <c r="F195" s="529">
        <f>VLOOKUP(D195,'June 2013 Revenue'!D:V,19,FALSE)</f>
        <v>0</v>
      </c>
      <c r="G195" s="680"/>
      <c r="H195" s="680"/>
      <c r="I195" s="755"/>
      <c r="J195" s="682">
        <f t="shared" si="41"/>
        <v>0</v>
      </c>
      <c r="K195" s="683"/>
      <c r="L195" s="684"/>
      <c r="M195" s="753"/>
      <c r="N195" s="683">
        <v>0</v>
      </c>
      <c r="O195" s="686"/>
      <c r="P195" s="683">
        <v>0</v>
      </c>
      <c r="Q195" s="687">
        <f t="shared" si="40"/>
        <v>0</v>
      </c>
      <c r="R195" s="687"/>
      <c r="S195" s="687"/>
      <c r="T195" s="688">
        <v>0</v>
      </c>
      <c r="U195" s="693"/>
      <c r="V195" s="690">
        <f t="shared" si="42"/>
        <v>0</v>
      </c>
      <c r="W195" s="683"/>
      <c r="X195" s="474">
        <f t="shared" si="50"/>
        <v>0</v>
      </c>
      <c r="Y195" s="474">
        <f t="shared" si="51"/>
        <v>0</v>
      </c>
      <c r="Z195" s="475">
        <f t="shared" si="52"/>
        <v>0</v>
      </c>
      <c r="AA195" s="475">
        <v>0</v>
      </c>
      <c r="AB195" s="476">
        <v>0</v>
      </c>
      <c r="AC195" s="38">
        <f t="shared" si="53"/>
        <v>0</v>
      </c>
      <c r="AD195" s="692">
        <f t="shared" si="43"/>
        <v>0</v>
      </c>
      <c r="AE195" s="692">
        <f t="shared" si="44"/>
        <v>0</v>
      </c>
      <c r="AF195" s="692">
        <f t="shared" si="45"/>
        <v>0</v>
      </c>
      <c r="AG195" s="38"/>
      <c r="AH195" s="692">
        <f t="shared" si="47"/>
        <v>0</v>
      </c>
      <c r="AI195" s="692">
        <f t="shared" si="48"/>
        <v>0</v>
      </c>
      <c r="AJ195" s="692">
        <f t="shared" si="49"/>
        <v>0</v>
      </c>
      <c r="AL195" s="38">
        <f t="shared" si="46"/>
        <v>0</v>
      </c>
    </row>
    <row r="196" spans="1:38">
      <c r="A196" s="21"/>
      <c r="B196" s="21" t="s">
        <v>109</v>
      </c>
      <c r="C196" s="666"/>
      <c r="D196" s="68" t="s">
        <v>163</v>
      </c>
      <c r="E196" s="679"/>
      <c r="F196" s="529">
        <f>VLOOKUP(D196,'June 2013 Revenue'!D:V,19,FALSE)</f>
        <v>0</v>
      </c>
      <c r="G196" s="680"/>
      <c r="H196" s="680"/>
      <c r="I196" s="770">
        <v>1608.43</v>
      </c>
      <c r="J196" s="682">
        <f t="shared" si="41"/>
        <v>1608.43</v>
      </c>
      <c r="K196" s="683"/>
      <c r="L196" s="684"/>
      <c r="M196" s="753"/>
      <c r="N196" s="683">
        <v>0</v>
      </c>
      <c r="O196" s="686"/>
      <c r="P196" s="683">
        <v>0</v>
      </c>
      <c r="Q196" s="687">
        <f t="shared" si="40"/>
        <v>0</v>
      </c>
      <c r="R196" s="687"/>
      <c r="S196" s="687"/>
      <c r="T196" s="688">
        <v>0</v>
      </c>
      <c r="U196" s="693"/>
      <c r="V196" s="690">
        <f t="shared" si="42"/>
        <v>0</v>
      </c>
      <c r="W196" s="705"/>
      <c r="X196" s="474">
        <f t="shared" si="50"/>
        <v>0</v>
      </c>
      <c r="Y196" s="474">
        <f t="shared" si="51"/>
        <v>0</v>
      </c>
      <c r="Z196" s="475">
        <f t="shared" si="52"/>
        <v>0</v>
      </c>
      <c r="AA196" s="475">
        <v>0</v>
      </c>
      <c r="AB196" s="476">
        <v>0</v>
      </c>
      <c r="AC196" s="38">
        <f t="shared" si="53"/>
        <v>0</v>
      </c>
      <c r="AD196" s="692">
        <f t="shared" si="43"/>
        <v>0</v>
      </c>
      <c r="AE196" s="692">
        <f t="shared" si="44"/>
        <v>1608.43</v>
      </c>
      <c r="AF196" s="692">
        <f t="shared" si="45"/>
        <v>0</v>
      </c>
      <c r="AG196" s="38"/>
      <c r="AH196" s="692">
        <f t="shared" si="47"/>
        <v>0</v>
      </c>
      <c r="AI196" s="692">
        <f t="shared" si="48"/>
        <v>0</v>
      </c>
      <c r="AJ196" s="692">
        <f t="shared" si="49"/>
        <v>0</v>
      </c>
      <c r="AL196" s="38">
        <f t="shared" si="46"/>
        <v>1608.43</v>
      </c>
    </row>
    <row r="197" spans="1:38">
      <c r="A197" s="21"/>
      <c r="B197" s="21" t="s">
        <v>109</v>
      </c>
      <c r="C197" s="666"/>
      <c r="D197" s="412" t="s">
        <v>164</v>
      </c>
      <c r="E197" s="679"/>
      <c r="F197" s="529">
        <f>VLOOKUP(D197,'June 2013 Revenue'!D:V,19,FALSE)</f>
        <v>0</v>
      </c>
      <c r="G197" s="680"/>
      <c r="H197" s="680"/>
      <c r="I197" s="755"/>
      <c r="J197" s="682">
        <f t="shared" si="41"/>
        <v>0</v>
      </c>
      <c r="K197" s="683"/>
      <c r="L197" s="684"/>
      <c r="M197" s="753"/>
      <c r="N197" s="683">
        <v>0</v>
      </c>
      <c r="O197" s="686"/>
      <c r="P197" s="683">
        <v>0</v>
      </c>
      <c r="Q197" s="687">
        <f t="shared" si="40"/>
        <v>0</v>
      </c>
      <c r="R197" s="687"/>
      <c r="S197" s="687"/>
      <c r="T197" s="688">
        <v>0</v>
      </c>
      <c r="U197" s="693"/>
      <c r="V197" s="690">
        <f t="shared" si="42"/>
        <v>0</v>
      </c>
      <c r="W197" s="705"/>
      <c r="X197" s="474">
        <f t="shared" si="50"/>
        <v>0</v>
      </c>
      <c r="Y197" s="474">
        <f t="shared" si="51"/>
        <v>0</v>
      </c>
      <c r="Z197" s="475">
        <f t="shared" si="52"/>
        <v>0</v>
      </c>
      <c r="AA197" s="475">
        <v>0</v>
      </c>
      <c r="AB197" s="476">
        <v>0</v>
      </c>
      <c r="AC197" s="38">
        <f t="shared" si="53"/>
        <v>0</v>
      </c>
      <c r="AD197" s="692">
        <f t="shared" si="43"/>
        <v>0</v>
      </c>
      <c r="AE197" s="692">
        <f t="shared" si="44"/>
        <v>0</v>
      </c>
      <c r="AF197" s="692">
        <f t="shared" si="45"/>
        <v>0</v>
      </c>
      <c r="AG197" s="38"/>
      <c r="AH197" s="692">
        <f t="shared" si="47"/>
        <v>0</v>
      </c>
      <c r="AI197" s="692">
        <f t="shared" si="48"/>
        <v>0</v>
      </c>
      <c r="AJ197" s="692">
        <f t="shared" si="49"/>
        <v>0</v>
      </c>
      <c r="AL197" s="38">
        <f t="shared" si="46"/>
        <v>0</v>
      </c>
    </row>
    <row r="198" spans="1:38">
      <c r="A198" s="21" t="s">
        <v>109</v>
      </c>
      <c r="B198" s="21" t="s">
        <v>114</v>
      </c>
      <c r="C198" s="666" t="s">
        <v>578</v>
      </c>
      <c r="D198" s="412" t="s">
        <v>318</v>
      </c>
      <c r="E198" s="679">
        <v>37596</v>
      </c>
      <c r="F198" s="529">
        <f>VLOOKUP(D198,'June 2013 Revenue'!D:V,19,FALSE)</f>
        <v>-65000</v>
      </c>
      <c r="G198" s="680"/>
      <c r="H198" s="680"/>
      <c r="I198" s="755"/>
      <c r="J198" s="682">
        <f t="shared" si="41"/>
        <v>-27404</v>
      </c>
      <c r="K198" s="683"/>
      <c r="L198" s="684"/>
      <c r="M198" s="753">
        <v>70000</v>
      </c>
      <c r="N198" s="683">
        <v>0</v>
      </c>
      <c r="O198" s="686"/>
      <c r="P198" s="683">
        <v>0</v>
      </c>
      <c r="Q198" s="687">
        <f t="shared" si="40"/>
        <v>70000</v>
      </c>
      <c r="R198" s="687"/>
      <c r="S198" s="687"/>
      <c r="T198" s="688">
        <v>0</v>
      </c>
      <c r="U198" s="693"/>
      <c r="V198" s="690">
        <f t="shared" si="42"/>
        <v>-70000</v>
      </c>
      <c r="W198" s="683"/>
      <c r="X198" s="474">
        <f t="shared" si="50"/>
        <v>0</v>
      </c>
      <c r="Y198" s="474">
        <f t="shared" si="51"/>
        <v>0</v>
      </c>
      <c r="Z198" s="475">
        <f t="shared" si="52"/>
        <v>70000</v>
      </c>
      <c r="AA198" s="475">
        <v>0</v>
      </c>
      <c r="AB198" s="476">
        <v>0</v>
      </c>
      <c r="AC198" s="38">
        <f t="shared" si="53"/>
        <v>0</v>
      </c>
      <c r="AD198" s="692">
        <f t="shared" si="43"/>
        <v>0</v>
      </c>
      <c r="AE198" s="692">
        <f t="shared" si="44"/>
        <v>0</v>
      </c>
      <c r="AF198" s="692">
        <f t="shared" si="45"/>
        <v>-27404</v>
      </c>
      <c r="AG198" s="38"/>
      <c r="AH198" s="692">
        <f t="shared" si="47"/>
        <v>0</v>
      </c>
      <c r="AI198" s="692">
        <f t="shared" si="48"/>
        <v>0</v>
      </c>
      <c r="AJ198" s="692">
        <f t="shared" si="49"/>
        <v>70000</v>
      </c>
      <c r="AL198" s="38">
        <f t="shared" si="46"/>
        <v>42596</v>
      </c>
    </row>
    <row r="199" spans="1:38">
      <c r="A199" s="20" t="s">
        <v>211</v>
      </c>
      <c r="B199" s="20" t="s">
        <v>109</v>
      </c>
      <c r="C199" s="667"/>
      <c r="D199" s="68" t="s">
        <v>57</v>
      </c>
      <c r="E199" s="679"/>
      <c r="F199" s="529">
        <f>VLOOKUP(D199,'June 2013 Revenue'!D:V,19,FALSE)</f>
        <v>0</v>
      </c>
      <c r="G199" s="680"/>
      <c r="H199" s="680"/>
      <c r="I199" s="755"/>
      <c r="J199" s="682">
        <f t="shared" si="41"/>
        <v>0</v>
      </c>
      <c r="K199" s="683"/>
      <c r="L199" s="684"/>
      <c r="M199" s="753"/>
      <c r="N199" s="683">
        <v>0</v>
      </c>
      <c r="O199" s="686"/>
      <c r="P199" s="683">
        <v>0</v>
      </c>
      <c r="Q199" s="687">
        <f t="shared" si="40"/>
        <v>0</v>
      </c>
      <c r="R199" s="687"/>
      <c r="S199" s="687"/>
      <c r="T199" s="688">
        <v>0</v>
      </c>
      <c r="U199" s="693"/>
      <c r="V199" s="690">
        <f t="shared" si="42"/>
        <v>0</v>
      </c>
      <c r="W199" s="683"/>
      <c r="X199" s="474">
        <f t="shared" si="50"/>
        <v>0</v>
      </c>
      <c r="Y199" s="474">
        <f t="shared" si="51"/>
        <v>0</v>
      </c>
      <c r="Z199" s="475">
        <f t="shared" si="52"/>
        <v>0</v>
      </c>
      <c r="AA199" s="475">
        <v>0</v>
      </c>
      <c r="AB199" s="476">
        <v>0</v>
      </c>
      <c r="AC199" s="38">
        <f t="shared" si="53"/>
        <v>0</v>
      </c>
      <c r="AD199" s="692">
        <f t="shared" si="43"/>
        <v>0</v>
      </c>
      <c r="AE199" s="692">
        <f t="shared" si="44"/>
        <v>0</v>
      </c>
      <c r="AF199" s="692">
        <f t="shared" si="45"/>
        <v>0</v>
      </c>
      <c r="AG199" s="38"/>
      <c r="AH199" s="692">
        <f t="shared" si="47"/>
        <v>0</v>
      </c>
      <c r="AI199" s="692">
        <f t="shared" si="48"/>
        <v>0</v>
      </c>
      <c r="AJ199" s="692">
        <f t="shared" si="49"/>
        <v>0</v>
      </c>
      <c r="AL199" s="38">
        <f t="shared" si="46"/>
        <v>0</v>
      </c>
    </row>
    <row r="200" spans="1:38">
      <c r="A200" s="20"/>
      <c r="B200" s="20" t="s">
        <v>114</v>
      </c>
      <c r="C200" s="676" t="s">
        <v>621</v>
      </c>
      <c r="D200" s="68" t="s">
        <v>622</v>
      </c>
      <c r="E200" s="679"/>
      <c r="F200" s="529">
        <f>VLOOKUP(D200,'June 2013 Revenue'!D:V,19,FALSE)</f>
        <v>0</v>
      </c>
      <c r="G200" s="680"/>
      <c r="H200" s="680"/>
      <c r="I200" s="755"/>
      <c r="J200" s="682">
        <f t="shared" si="41"/>
        <v>0</v>
      </c>
      <c r="K200" s="683"/>
      <c r="L200" s="684"/>
      <c r="M200" s="753"/>
      <c r="N200" s="683">
        <v>0</v>
      </c>
      <c r="O200" s="686"/>
      <c r="P200" s="683">
        <v>0</v>
      </c>
      <c r="Q200" s="687">
        <f t="shared" si="40"/>
        <v>0</v>
      </c>
      <c r="R200" s="687"/>
      <c r="S200" s="687"/>
      <c r="T200" s="688">
        <v>0</v>
      </c>
      <c r="U200" s="693"/>
      <c r="V200" s="690">
        <f t="shared" si="42"/>
        <v>0</v>
      </c>
      <c r="W200" s="683"/>
      <c r="X200" s="474">
        <f t="shared" si="50"/>
        <v>0</v>
      </c>
      <c r="Y200" s="474">
        <f t="shared" si="51"/>
        <v>0</v>
      </c>
      <c r="Z200" s="475">
        <f t="shared" si="52"/>
        <v>0</v>
      </c>
      <c r="AA200" s="475">
        <v>0</v>
      </c>
      <c r="AB200" s="476">
        <v>0</v>
      </c>
      <c r="AC200" s="38">
        <f t="shared" si="53"/>
        <v>0</v>
      </c>
      <c r="AD200" s="692">
        <f t="shared" si="43"/>
        <v>0</v>
      </c>
      <c r="AE200" s="692">
        <f t="shared" si="44"/>
        <v>0</v>
      </c>
      <c r="AF200" s="692">
        <f t="shared" si="45"/>
        <v>0</v>
      </c>
      <c r="AG200" s="38"/>
      <c r="AH200" s="692">
        <f t="shared" si="47"/>
        <v>0</v>
      </c>
      <c r="AI200" s="692">
        <f t="shared" si="48"/>
        <v>0</v>
      </c>
      <c r="AJ200" s="692">
        <f t="shared" si="49"/>
        <v>0</v>
      </c>
      <c r="AL200" s="38">
        <f t="shared" si="46"/>
        <v>0</v>
      </c>
    </row>
    <row r="201" spans="1:38">
      <c r="A201" s="20"/>
      <c r="B201" s="20" t="s">
        <v>110</v>
      </c>
      <c r="C201" s="667"/>
      <c r="D201" s="68" t="s">
        <v>497</v>
      </c>
      <c r="E201" s="679"/>
      <c r="F201" s="529">
        <f>VLOOKUP(D201,'June 2013 Revenue'!D:V,19,FALSE)</f>
        <v>0</v>
      </c>
      <c r="G201" s="680"/>
      <c r="H201" s="680"/>
      <c r="I201" s="755"/>
      <c r="J201" s="682">
        <f t="shared" si="41"/>
        <v>0</v>
      </c>
      <c r="K201" s="683"/>
      <c r="L201" s="684"/>
      <c r="M201" s="753"/>
      <c r="N201" s="683">
        <v>0</v>
      </c>
      <c r="O201" s="686"/>
      <c r="P201" s="683">
        <v>0</v>
      </c>
      <c r="Q201" s="687">
        <f t="shared" si="40"/>
        <v>0</v>
      </c>
      <c r="R201" s="687"/>
      <c r="S201" s="687"/>
      <c r="T201" s="688">
        <v>0</v>
      </c>
      <c r="U201" s="693"/>
      <c r="V201" s="690">
        <f t="shared" si="42"/>
        <v>0</v>
      </c>
      <c r="W201" s="683"/>
      <c r="X201" s="474">
        <f t="shared" si="50"/>
        <v>0</v>
      </c>
      <c r="Y201" s="474">
        <f t="shared" si="51"/>
        <v>0</v>
      </c>
      <c r="Z201" s="475">
        <f t="shared" si="52"/>
        <v>0</v>
      </c>
      <c r="AA201" s="475">
        <v>0</v>
      </c>
      <c r="AB201" s="476">
        <v>0</v>
      </c>
      <c r="AC201" s="38">
        <f t="shared" si="53"/>
        <v>0</v>
      </c>
      <c r="AD201" s="692">
        <f t="shared" si="43"/>
        <v>0</v>
      </c>
      <c r="AE201" s="692">
        <f t="shared" si="44"/>
        <v>0</v>
      </c>
      <c r="AF201" s="692">
        <f t="shared" si="45"/>
        <v>0</v>
      </c>
      <c r="AG201" s="38"/>
      <c r="AH201" s="692">
        <f t="shared" si="47"/>
        <v>0</v>
      </c>
      <c r="AI201" s="692">
        <f t="shared" si="48"/>
        <v>0</v>
      </c>
      <c r="AJ201" s="692">
        <f t="shared" si="49"/>
        <v>0</v>
      </c>
      <c r="AL201" s="38">
        <f t="shared" si="46"/>
        <v>0</v>
      </c>
    </row>
    <row r="202" spans="1:38">
      <c r="A202" s="20"/>
      <c r="B202" s="20" t="s">
        <v>110</v>
      </c>
      <c r="C202" s="667"/>
      <c r="D202" s="68" t="s">
        <v>509</v>
      </c>
      <c r="E202" s="679">
        <f>18918.07+16454.69</f>
        <v>35372.759999999995</v>
      </c>
      <c r="F202" s="529">
        <f>VLOOKUP(D202,'June 2013 Revenue'!D:V,19,FALSE)</f>
        <v>-31612.190000000002</v>
      </c>
      <c r="G202" s="680"/>
      <c r="H202" s="680"/>
      <c r="I202" s="755"/>
      <c r="J202" s="682">
        <f t="shared" si="41"/>
        <v>3760.5699999999924</v>
      </c>
      <c r="K202" s="683"/>
      <c r="L202" s="684"/>
      <c r="M202" s="753">
        <v>15000</v>
      </c>
      <c r="N202" s="683"/>
      <c r="O202" s="686"/>
      <c r="P202" s="683"/>
      <c r="Q202" s="687">
        <f t="shared" si="40"/>
        <v>15000</v>
      </c>
      <c r="R202" s="687"/>
      <c r="S202" s="687"/>
      <c r="T202" s="688">
        <v>0</v>
      </c>
      <c r="U202" s="693"/>
      <c r="V202" s="690">
        <f t="shared" si="42"/>
        <v>-15000</v>
      </c>
      <c r="W202" s="683"/>
      <c r="X202" s="474">
        <f t="shared" si="50"/>
        <v>15000</v>
      </c>
      <c r="Y202" s="474">
        <f t="shared" si="51"/>
        <v>0</v>
      </c>
      <c r="Z202" s="475">
        <f t="shared" si="52"/>
        <v>0</v>
      </c>
      <c r="AA202" s="475">
        <v>0</v>
      </c>
      <c r="AB202" s="476">
        <v>0</v>
      </c>
      <c r="AC202" s="38">
        <f t="shared" si="53"/>
        <v>0</v>
      </c>
      <c r="AD202" s="692">
        <f t="shared" si="43"/>
        <v>3760.5699999999924</v>
      </c>
      <c r="AE202" s="692">
        <f t="shared" si="44"/>
        <v>0</v>
      </c>
      <c r="AF202" s="692">
        <f t="shared" si="45"/>
        <v>0</v>
      </c>
      <c r="AG202" s="38"/>
      <c r="AH202" s="692">
        <f t="shared" si="47"/>
        <v>15000</v>
      </c>
      <c r="AI202" s="692">
        <f t="shared" si="48"/>
        <v>0</v>
      </c>
      <c r="AJ202" s="692">
        <f t="shared" si="49"/>
        <v>0</v>
      </c>
      <c r="AL202" s="38">
        <f t="shared" si="46"/>
        <v>18760.569999999992</v>
      </c>
    </row>
    <row r="203" spans="1:38" s="627" customFormat="1">
      <c r="A203" s="610"/>
      <c r="B203" s="610" t="s">
        <v>110</v>
      </c>
      <c r="C203" s="667" t="s">
        <v>580</v>
      </c>
      <c r="D203" s="612" t="s">
        <v>476</v>
      </c>
      <c r="E203" s="679"/>
      <c r="F203" s="529">
        <f>VLOOKUP(D203,'June 2013 Revenue'!D:V,19,FALSE)</f>
        <v>0</v>
      </c>
      <c r="G203" s="680"/>
      <c r="H203" s="680"/>
      <c r="I203" s="755"/>
      <c r="J203" s="682">
        <f t="shared" si="41"/>
        <v>0</v>
      </c>
      <c r="K203" s="683"/>
      <c r="L203" s="684"/>
      <c r="M203" s="753"/>
      <c r="N203" s="683">
        <v>0</v>
      </c>
      <c r="O203" s="686"/>
      <c r="P203" s="683">
        <v>0</v>
      </c>
      <c r="Q203" s="687">
        <f t="shared" si="40"/>
        <v>0</v>
      </c>
      <c r="R203" s="687"/>
      <c r="S203" s="687"/>
      <c r="T203" s="688">
        <v>0</v>
      </c>
      <c r="U203" s="693"/>
      <c r="V203" s="690">
        <f t="shared" si="42"/>
        <v>0</v>
      </c>
      <c r="W203" s="707"/>
      <c r="X203" s="474">
        <f t="shared" si="50"/>
        <v>0</v>
      </c>
      <c r="Y203" s="474">
        <f t="shared" si="51"/>
        <v>0</v>
      </c>
      <c r="Z203" s="475">
        <f t="shared" si="52"/>
        <v>0</v>
      </c>
      <c r="AA203" s="475">
        <v>0</v>
      </c>
      <c r="AB203" s="476">
        <v>0</v>
      </c>
      <c r="AC203" s="38">
        <f t="shared" si="53"/>
        <v>0</v>
      </c>
      <c r="AD203" s="692">
        <f t="shared" si="43"/>
        <v>0</v>
      </c>
      <c r="AE203" s="692">
        <f t="shared" si="44"/>
        <v>0</v>
      </c>
      <c r="AF203" s="692">
        <f t="shared" si="45"/>
        <v>0</v>
      </c>
      <c r="AG203" s="38"/>
      <c r="AH203" s="692">
        <f t="shared" si="47"/>
        <v>0</v>
      </c>
      <c r="AI203" s="692">
        <f t="shared" si="48"/>
        <v>0</v>
      </c>
      <c r="AJ203" s="692">
        <f t="shared" si="49"/>
        <v>0</v>
      </c>
      <c r="AL203" s="38">
        <f t="shared" si="46"/>
        <v>0</v>
      </c>
    </row>
    <row r="204" spans="1:38" s="232" customFormat="1">
      <c r="A204" s="283"/>
      <c r="B204" s="283" t="s">
        <v>114</v>
      </c>
      <c r="C204" s="667" t="s">
        <v>580</v>
      </c>
      <c r="D204" s="123" t="s">
        <v>371</v>
      </c>
      <c r="E204" s="679"/>
      <c r="F204" s="529">
        <f>VLOOKUP(D204,'June 2013 Revenue'!D:V,19,FALSE)</f>
        <v>275.10000000000036</v>
      </c>
      <c r="G204" s="680"/>
      <c r="H204" s="680"/>
      <c r="I204" s="755"/>
      <c r="J204" s="682">
        <f t="shared" si="41"/>
        <v>275.10000000000036</v>
      </c>
      <c r="K204" s="683"/>
      <c r="L204" s="684"/>
      <c r="M204" s="753">
        <v>8058</v>
      </c>
      <c r="N204" s="683">
        <v>0</v>
      </c>
      <c r="O204" s="686"/>
      <c r="P204" s="683">
        <v>0</v>
      </c>
      <c r="Q204" s="687">
        <f t="shared" si="40"/>
        <v>8058</v>
      </c>
      <c r="R204" s="687"/>
      <c r="S204" s="687"/>
      <c r="T204" s="688">
        <v>9344.43</v>
      </c>
      <c r="U204" s="693"/>
      <c r="V204" s="690">
        <f t="shared" si="42"/>
        <v>1286.4300000000003</v>
      </c>
      <c r="W204" s="683"/>
      <c r="X204" s="474">
        <f t="shared" si="50"/>
        <v>0</v>
      </c>
      <c r="Y204" s="474">
        <f t="shared" si="51"/>
        <v>0</v>
      </c>
      <c r="Z204" s="475">
        <f t="shared" si="52"/>
        <v>8058</v>
      </c>
      <c r="AA204" s="475">
        <v>0</v>
      </c>
      <c r="AB204" s="476">
        <v>0</v>
      </c>
      <c r="AC204" s="38">
        <f t="shared" si="53"/>
        <v>0</v>
      </c>
      <c r="AD204" s="692">
        <f t="shared" si="43"/>
        <v>0</v>
      </c>
      <c r="AE204" s="692">
        <f t="shared" si="44"/>
        <v>0</v>
      </c>
      <c r="AF204" s="692">
        <f t="shared" si="45"/>
        <v>275.10000000000036</v>
      </c>
      <c r="AG204" s="38"/>
      <c r="AH204" s="692">
        <f t="shared" si="47"/>
        <v>0</v>
      </c>
      <c r="AI204" s="692">
        <f t="shared" si="48"/>
        <v>0</v>
      </c>
      <c r="AJ204" s="692">
        <f t="shared" si="49"/>
        <v>8058</v>
      </c>
      <c r="AL204" s="38">
        <f t="shared" si="46"/>
        <v>8333.1</v>
      </c>
    </row>
    <row r="205" spans="1:38" s="232" customFormat="1">
      <c r="A205" s="283"/>
      <c r="B205" s="283" t="s">
        <v>110</v>
      </c>
      <c r="C205" s="667" t="s">
        <v>580</v>
      </c>
      <c r="D205" s="123" t="s">
        <v>422</v>
      </c>
      <c r="E205" s="679"/>
      <c r="F205" s="529">
        <f>VLOOKUP(D205,'June 2013 Revenue'!D:V,19,FALSE)</f>
        <v>0</v>
      </c>
      <c r="G205" s="680"/>
      <c r="H205" s="680"/>
      <c r="I205" s="755"/>
      <c r="J205" s="682">
        <f t="shared" si="41"/>
        <v>0</v>
      </c>
      <c r="K205" s="683"/>
      <c r="L205" s="684"/>
      <c r="M205" s="753"/>
      <c r="N205" s="683">
        <v>0</v>
      </c>
      <c r="O205" s="686"/>
      <c r="P205" s="683">
        <v>0</v>
      </c>
      <c r="Q205" s="687">
        <f t="shared" si="40"/>
        <v>0</v>
      </c>
      <c r="R205" s="687"/>
      <c r="S205" s="687"/>
      <c r="T205" s="688">
        <v>0</v>
      </c>
      <c r="U205" s="693"/>
      <c r="V205" s="690">
        <f t="shared" si="42"/>
        <v>0</v>
      </c>
      <c r="W205" s="683"/>
      <c r="X205" s="474">
        <f t="shared" si="50"/>
        <v>0</v>
      </c>
      <c r="Y205" s="474">
        <f t="shared" si="51"/>
        <v>0</v>
      </c>
      <c r="Z205" s="475">
        <f t="shared" si="52"/>
        <v>0</v>
      </c>
      <c r="AA205" s="475">
        <v>0</v>
      </c>
      <c r="AB205" s="476">
        <v>0</v>
      </c>
      <c r="AC205" s="38">
        <f t="shared" si="53"/>
        <v>0</v>
      </c>
      <c r="AD205" s="692">
        <f t="shared" si="43"/>
        <v>0</v>
      </c>
      <c r="AE205" s="692">
        <f t="shared" si="44"/>
        <v>0</v>
      </c>
      <c r="AF205" s="692">
        <f t="shared" si="45"/>
        <v>0</v>
      </c>
      <c r="AG205" s="38"/>
      <c r="AH205" s="692">
        <f t="shared" si="47"/>
        <v>0</v>
      </c>
      <c r="AI205" s="692">
        <f t="shared" si="48"/>
        <v>0</v>
      </c>
      <c r="AJ205" s="692">
        <f t="shared" si="49"/>
        <v>0</v>
      </c>
      <c r="AL205" s="38">
        <f t="shared" si="46"/>
        <v>0</v>
      </c>
    </row>
    <row r="206" spans="1:38" s="232" customFormat="1">
      <c r="A206" s="283"/>
      <c r="B206" s="283" t="s">
        <v>110</v>
      </c>
      <c r="C206" s="667" t="s">
        <v>580</v>
      </c>
      <c r="D206" s="123" t="s">
        <v>442</v>
      </c>
      <c r="E206" s="679"/>
      <c r="F206" s="529">
        <f>VLOOKUP(D206,'June 2013 Revenue'!D:V,19,FALSE)</f>
        <v>1620.1499999999069</v>
      </c>
      <c r="G206" s="680"/>
      <c r="H206" s="680"/>
      <c r="I206" s="755"/>
      <c r="J206" s="682">
        <f t="shared" si="41"/>
        <v>1620.1499999999069</v>
      </c>
      <c r="K206" s="683"/>
      <c r="L206" s="684"/>
      <c r="M206" s="753">
        <v>888064</v>
      </c>
      <c r="N206" s="683">
        <v>0</v>
      </c>
      <c r="O206" s="686"/>
      <c r="P206" s="683">
        <v>0</v>
      </c>
      <c r="Q206" s="687">
        <f t="shared" si="40"/>
        <v>888064</v>
      </c>
      <c r="R206" s="687"/>
      <c r="S206" s="687"/>
      <c r="T206" s="688">
        <f>413058.91+480321.6</f>
        <v>893380.51</v>
      </c>
      <c r="U206" s="693"/>
      <c r="V206" s="690">
        <f t="shared" si="42"/>
        <v>5316.5100000000093</v>
      </c>
      <c r="W206" s="683"/>
      <c r="X206" s="474">
        <f t="shared" si="50"/>
        <v>888064</v>
      </c>
      <c r="Y206" s="474">
        <f t="shared" si="51"/>
        <v>0</v>
      </c>
      <c r="Z206" s="475">
        <f t="shared" si="52"/>
        <v>0</v>
      </c>
      <c r="AA206" s="475">
        <v>0</v>
      </c>
      <c r="AB206" s="476">
        <v>0</v>
      </c>
      <c r="AC206" s="38">
        <f t="shared" si="53"/>
        <v>0</v>
      </c>
      <c r="AD206" s="692">
        <f t="shared" si="43"/>
        <v>1620.1499999999069</v>
      </c>
      <c r="AE206" s="692">
        <f t="shared" si="44"/>
        <v>0</v>
      </c>
      <c r="AF206" s="692">
        <f t="shared" si="45"/>
        <v>0</v>
      </c>
      <c r="AG206" s="38"/>
      <c r="AH206" s="692">
        <f t="shared" si="47"/>
        <v>888064</v>
      </c>
      <c r="AI206" s="692">
        <f t="shared" si="48"/>
        <v>0</v>
      </c>
      <c r="AJ206" s="692">
        <f t="shared" si="49"/>
        <v>0</v>
      </c>
      <c r="AL206" s="38">
        <f t="shared" si="46"/>
        <v>889684.14999999991</v>
      </c>
    </row>
    <row r="207" spans="1:38" hidden="1">
      <c r="A207" s="21" t="s">
        <v>97</v>
      </c>
      <c r="B207" s="21" t="s">
        <v>109</v>
      </c>
      <c r="C207" s="666"/>
      <c r="D207" s="68" t="s">
        <v>381</v>
      </c>
      <c r="E207" s="679"/>
      <c r="F207" s="529">
        <f>VLOOKUP(D207,'June 2013 Revenue'!D:V,19,FALSE)</f>
        <v>0</v>
      </c>
      <c r="G207" s="680"/>
      <c r="H207" s="680"/>
      <c r="I207" s="755"/>
      <c r="J207" s="682">
        <f t="shared" si="41"/>
        <v>0</v>
      </c>
      <c r="K207" s="683"/>
      <c r="L207" s="684"/>
      <c r="M207" s="753"/>
      <c r="N207" s="683">
        <v>0</v>
      </c>
      <c r="O207" s="686"/>
      <c r="P207" s="683">
        <v>0</v>
      </c>
      <c r="Q207" s="687">
        <f t="shared" si="40"/>
        <v>0</v>
      </c>
      <c r="R207" s="687"/>
      <c r="S207" s="687"/>
      <c r="T207" s="688">
        <v>0</v>
      </c>
      <c r="U207" s="693"/>
      <c r="V207" s="690">
        <f t="shared" si="42"/>
        <v>0</v>
      </c>
      <c r="W207" s="683"/>
      <c r="X207" s="474">
        <f t="shared" si="50"/>
        <v>0</v>
      </c>
      <c r="Y207" s="474">
        <f t="shared" si="51"/>
        <v>0</v>
      </c>
      <c r="Z207" s="475">
        <f t="shared" si="52"/>
        <v>0</v>
      </c>
      <c r="AA207" s="475">
        <v>0</v>
      </c>
      <c r="AB207" s="476">
        <v>0</v>
      </c>
      <c r="AC207" s="38">
        <f t="shared" si="53"/>
        <v>0</v>
      </c>
      <c r="AD207" s="692">
        <f t="shared" si="43"/>
        <v>0</v>
      </c>
      <c r="AE207" s="692">
        <f t="shared" si="44"/>
        <v>0</v>
      </c>
      <c r="AF207" s="692">
        <f t="shared" si="45"/>
        <v>0</v>
      </c>
      <c r="AG207" s="38"/>
      <c r="AH207" s="692">
        <f t="shared" si="47"/>
        <v>0</v>
      </c>
      <c r="AI207" s="692">
        <f t="shared" si="48"/>
        <v>0</v>
      </c>
      <c r="AJ207" s="692">
        <f t="shared" si="49"/>
        <v>0</v>
      </c>
      <c r="AL207" s="38">
        <f t="shared" si="46"/>
        <v>0</v>
      </c>
    </row>
    <row r="208" spans="1:38" hidden="1">
      <c r="A208" s="21" t="s">
        <v>97</v>
      </c>
      <c r="B208" s="21" t="s">
        <v>114</v>
      </c>
      <c r="C208" s="666"/>
      <c r="D208" s="68" t="s">
        <v>376</v>
      </c>
      <c r="E208" s="679"/>
      <c r="F208" s="529">
        <f>VLOOKUP(D208,'June 2013 Revenue'!D:V,19,FALSE)</f>
        <v>0</v>
      </c>
      <c r="G208" s="680"/>
      <c r="H208" s="680"/>
      <c r="I208" s="755"/>
      <c r="J208" s="682">
        <f t="shared" si="41"/>
        <v>0</v>
      </c>
      <c r="K208" s="683"/>
      <c r="L208" s="684"/>
      <c r="M208" s="753"/>
      <c r="N208" s="683">
        <v>0</v>
      </c>
      <c r="O208" s="686"/>
      <c r="P208" s="683">
        <v>0</v>
      </c>
      <c r="Q208" s="687">
        <f t="shared" ref="Q208:Q222" si="54">L208+M208</f>
        <v>0</v>
      </c>
      <c r="R208" s="687"/>
      <c r="S208" s="687"/>
      <c r="T208" s="688">
        <v>0</v>
      </c>
      <c r="U208" s="693"/>
      <c r="V208" s="690">
        <f t="shared" si="42"/>
        <v>0</v>
      </c>
      <c r="W208" s="683"/>
      <c r="X208" s="474">
        <f t="shared" si="50"/>
        <v>0</v>
      </c>
      <c r="Y208" s="474">
        <f t="shared" si="51"/>
        <v>0</v>
      </c>
      <c r="Z208" s="475">
        <f t="shared" si="52"/>
        <v>0</v>
      </c>
      <c r="AA208" s="475">
        <v>0</v>
      </c>
      <c r="AB208" s="476">
        <v>0</v>
      </c>
      <c r="AC208" s="38">
        <f t="shared" si="53"/>
        <v>0</v>
      </c>
      <c r="AD208" s="692">
        <f t="shared" si="43"/>
        <v>0</v>
      </c>
      <c r="AE208" s="692">
        <f t="shared" si="44"/>
        <v>0</v>
      </c>
      <c r="AF208" s="692">
        <f t="shared" si="45"/>
        <v>0</v>
      </c>
      <c r="AG208" s="38"/>
      <c r="AH208" s="692">
        <f t="shared" si="47"/>
        <v>0</v>
      </c>
      <c r="AI208" s="692">
        <f t="shared" si="48"/>
        <v>0</v>
      </c>
      <c r="AJ208" s="692">
        <f t="shared" si="49"/>
        <v>0</v>
      </c>
      <c r="AL208" s="38">
        <f t="shared" si="46"/>
        <v>0</v>
      </c>
    </row>
    <row r="209" spans="1:38">
      <c r="A209" s="20"/>
      <c r="B209" s="20" t="s">
        <v>110</v>
      </c>
      <c r="C209" s="667"/>
      <c r="D209" s="68" t="s">
        <v>390</v>
      </c>
      <c r="E209" s="679"/>
      <c r="F209" s="529">
        <f>VLOOKUP(D209,'June 2013 Revenue'!D:V,19,FALSE)</f>
        <v>0</v>
      </c>
      <c r="G209" s="680"/>
      <c r="H209" s="680"/>
      <c r="I209" s="755"/>
      <c r="J209" s="682">
        <f t="shared" ref="J209:J222" si="55">SUM(E209:I209)</f>
        <v>0</v>
      </c>
      <c r="K209" s="683"/>
      <c r="L209" s="684"/>
      <c r="M209" s="753"/>
      <c r="N209" s="683">
        <v>0</v>
      </c>
      <c r="O209" s="686"/>
      <c r="P209" s="683">
        <v>0</v>
      </c>
      <c r="Q209" s="687">
        <f t="shared" si="54"/>
        <v>0</v>
      </c>
      <c r="R209" s="687"/>
      <c r="S209" s="687"/>
      <c r="T209" s="688">
        <v>0</v>
      </c>
      <c r="U209" s="693"/>
      <c r="V209" s="690">
        <f t="shared" si="42"/>
        <v>0</v>
      </c>
      <c r="W209" s="683"/>
      <c r="X209" s="474">
        <f t="shared" si="50"/>
        <v>0</v>
      </c>
      <c r="Y209" s="474">
        <f t="shared" si="51"/>
        <v>0</v>
      </c>
      <c r="Z209" s="475">
        <f t="shared" si="52"/>
        <v>0</v>
      </c>
      <c r="AA209" s="475">
        <v>0</v>
      </c>
      <c r="AB209" s="476">
        <v>0</v>
      </c>
      <c r="AC209" s="38">
        <f t="shared" si="53"/>
        <v>0</v>
      </c>
      <c r="AD209" s="692">
        <f t="shared" si="43"/>
        <v>0</v>
      </c>
      <c r="AE209" s="692">
        <f t="shared" si="44"/>
        <v>0</v>
      </c>
      <c r="AF209" s="692">
        <f t="shared" si="45"/>
        <v>0</v>
      </c>
      <c r="AG209" s="38"/>
      <c r="AH209" s="692">
        <f t="shared" si="47"/>
        <v>0</v>
      </c>
      <c r="AI209" s="692">
        <f t="shared" si="48"/>
        <v>0</v>
      </c>
      <c r="AJ209" s="692">
        <f t="shared" si="49"/>
        <v>0</v>
      </c>
      <c r="AL209" s="38">
        <f t="shared" si="46"/>
        <v>0</v>
      </c>
    </row>
    <row r="210" spans="1:38">
      <c r="A210" s="20"/>
      <c r="B210" s="20" t="s">
        <v>110</v>
      </c>
      <c r="C210" s="667" t="s">
        <v>581</v>
      </c>
      <c r="D210" s="123" t="s">
        <v>166</v>
      </c>
      <c r="E210" s="679"/>
      <c r="F210" s="529">
        <f>VLOOKUP(D210,'June 2013 Revenue'!D:V,19,FALSE)</f>
        <v>0</v>
      </c>
      <c r="G210" s="680"/>
      <c r="H210" s="680"/>
      <c r="I210" s="755"/>
      <c r="J210" s="682">
        <f t="shared" si="55"/>
        <v>0</v>
      </c>
      <c r="K210" s="683"/>
      <c r="L210" s="684"/>
      <c r="M210" s="753"/>
      <c r="N210" s="683">
        <v>0</v>
      </c>
      <c r="O210" s="686"/>
      <c r="P210" s="683">
        <v>0</v>
      </c>
      <c r="Q210" s="687">
        <f t="shared" si="54"/>
        <v>0</v>
      </c>
      <c r="R210" s="687"/>
      <c r="S210" s="687"/>
      <c r="T210" s="688">
        <v>0</v>
      </c>
      <c r="U210" s="693"/>
      <c r="V210" s="690">
        <f t="shared" ref="V210:V222" si="56">IF(T210="","",T210-Q210)</f>
        <v>0</v>
      </c>
      <c r="W210" s="683"/>
      <c r="X210" s="474">
        <f t="shared" si="50"/>
        <v>0</v>
      </c>
      <c r="Y210" s="474">
        <f t="shared" si="51"/>
        <v>0</v>
      </c>
      <c r="Z210" s="475">
        <f t="shared" si="52"/>
        <v>0</v>
      </c>
      <c r="AA210" s="475">
        <v>0</v>
      </c>
      <c r="AB210" s="476">
        <v>0</v>
      </c>
      <c r="AC210" s="38">
        <f t="shared" si="53"/>
        <v>0</v>
      </c>
      <c r="AD210" s="692">
        <f t="shared" si="43"/>
        <v>0</v>
      </c>
      <c r="AE210" s="692">
        <f t="shared" si="44"/>
        <v>0</v>
      </c>
      <c r="AF210" s="692">
        <f t="shared" si="45"/>
        <v>0</v>
      </c>
      <c r="AG210" s="38"/>
      <c r="AH210" s="692">
        <f t="shared" si="47"/>
        <v>0</v>
      </c>
      <c r="AI210" s="692">
        <f t="shared" si="48"/>
        <v>0</v>
      </c>
      <c r="AJ210" s="692">
        <f t="shared" si="49"/>
        <v>0</v>
      </c>
      <c r="AL210" s="38">
        <f t="shared" si="46"/>
        <v>0</v>
      </c>
    </row>
    <row r="211" spans="1:38">
      <c r="A211" s="20"/>
      <c r="B211" s="20" t="s">
        <v>109</v>
      </c>
      <c r="C211" s="667" t="s">
        <v>581</v>
      </c>
      <c r="D211" s="123" t="s">
        <v>165</v>
      </c>
      <c r="E211" s="679"/>
      <c r="F211" s="529">
        <f>VLOOKUP(D211,'June 2013 Revenue'!D:V,19,FALSE)</f>
        <v>0</v>
      </c>
      <c r="G211" s="680"/>
      <c r="H211" s="680"/>
      <c r="I211" s="755"/>
      <c r="J211" s="682">
        <f t="shared" si="55"/>
        <v>0</v>
      </c>
      <c r="K211" s="683"/>
      <c r="L211" s="684"/>
      <c r="M211" s="753"/>
      <c r="N211" s="683">
        <v>0</v>
      </c>
      <c r="O211" s="686"/>
      <c r="P211" s="683">
        <v>0</v>
      </c>
      <c r="Q211" s="687">
        <f t="shared" si="54"/>
        <v>0</v>
      </c>
      <c r="R211" s="687"/>
      <c r="S211" s="687"/>
      <c r="T211" s="688">
        <v>0</v>
      </c>
      <c r="U211" s="693"/>
      <c r="V211" s="690">
        <f t="shared" si="56"/>
        <v>0</v>
      </c>
      <c r="W211" s="683"/>
      <c r="X211" s="474">
        <f t="shared" si="50"/>
        <v>0</v>
      </c>
      <c r="Y211" s="474">
        <f t="shared" si="51"/>
        <v>0</v>
      </c>
      <c r="Z211" s="475">
        <f t="shared" si="52"/>
        <v>0</v>
      </c>
      <c r="AA211" s="475">
        <v>0</v>
      </c>
      <c r="AB211" s="476">
        <v>0</v>
      </c>
      <c r="AC211" s="38">
        <f t="shared" si="53"/>
        <v>0</v>
      </c>
      <c r="AD211" s="692">
        <f t="shared" si="43"/>
        <v>0</v>
      </c>
      <c r="AE211" s="692">
        <f t="shared" si="44"/>
        <v>0</v>
      </c>
      <c r="AF211" s="692">
        <f t="shared" si="45"/>
        <v>0</v>
      </c>
      <c r="AG211" s="38"/>
      <c r="AH211" s="692">
        <f t="shared" si="47"/>
        <v>0</v>
      </c>
      <c r="AI211" s="692">
        <f t="shared" si="48"/>
        <v>0</v>
      </c>
      <c r="AJ211" s="692">
        <f t="shared" si="49"/>
        <v>0</v>
      </c>
      <c r="AL211" s="38">
        <f t="shared" si="46"/>
        <v>0</v>
      </c>
    </row>
    <row r="212" spans="1:38" hidden="1">
      <c r="A212" s="20"/>
      <c r="B212" s="20" t="s">
        <v>109</v>
      </c>
      <c r="C212" s="667"/>
      <c r="D212" s="123" t="s">
        <v>310</v>
      </c>
      <c r="E212" s="679"/>
      <c r="F212" s="529">
        <f>VLOOKUP(D212,'June 2013 Revenue'!D:V,19,FALSE)</f>
        <v>0</v>
      </c>
      <c r="G212" s="680"/>
      <c r="H212" s="680"/>
      <c r="I212" s="755"/>
      <c r="J212" s="682">
        <f t="shared" si="55"/>
        <v>0</v>
      </c>
      <c r="K212" s="683"/>
      <c r="L212" s="684"/>
      <c r="M212" s="753"/>
      <c r="N212" s="683">
        <v>0</v>
      </c>
      <c r="O212" s="686"/>
      <c r="P212" s="683">
        <v>0</v>
      </c>
      <c r="Q212" s="687">
        <f t="shared" si="54"/>
        <v>0</v>
      </c>
      <c r="R212" s="687"/>
      <c r="S212" s="687"/>
      <c r="T212" s="688">
        <v>0</v>
      </c>
      <c r="U212" s="693"/>
      <c r="V212" s="690">
        <f t="shared" si="56"/>
        <v>0</v>
      </c>
      <c r="W212" s="683"/>
      <c r="X212" s="474">
        <f t="shared" si="50"/>
        <v>0</v>
      </c>
      <c r="Y212" s="474">
        <f t="shared" si="51"/>
        <v>0</v>
      </c>
      <c r="Z212" s="475">
        <f t="shared" si="52"/>
        <v>0</v>
      </c>
      <c r="AA212" s="475">
        <v>0</v>
      </c>
      <c r="AB212" s="476">
        <v>0</v>
      </c>
      <c r="AC212" s="38">
        <f t="shared" si="53"/>
        <v>0</v>
      </c>
      <c r="AD212" s="692">
        <f t="shared" ref="AD212:AD222" si="57">IF(B212="D",J212,0)</f>
        <v>0</v>
      </c>
      <c r="AE212" s="692">
        <f t="shared" ref="AE212:AE222" si="58">IF(B212="M",J212,0)</f>
        <v>0</v>
      </c>
      <c r="AF212" s="692">
        <f t="shared" ref="AF212:AF222" si="59">IF(B212="V",J212,0)</f>
        <v>0</v>
      </c>
      <c r="AG212" s="38"/>
      <c r="AH212" s="692">
        <f t="shared" si="47"/>
        <v>0</v>
      </c>
      <c r="AI212" s="692">
        <f t="shared" si="48"/>
        <v>0</v>
      </c>
      <c r="AJ212" s="692">
        <f t="shared" si="49"/>
        <v>0</v>
      </c>
      <c r="AL212" s="38">
        <f t="shared" ref="AL212:AL222" si="60">SUM(AD212:AJ212)</f>
        <v>0</v>
      </c>
    </row>
    <row r="213" spans="1:38" hidden="1">
      <c r="A213" s="20"/>
      <c r="B213" s="20" t="s">
        <v>109</v>
      </c>
      <c r="C213" s="667"/>
      <c r="D213" s="123" t="s">
        <v>441</v>
      </c>
      <c r="E213" s="679"/>
      <c r="F213" s="529">
        <f>VLOOKUP(D213,'June 2013 Revenue'!D:V,19,FALSE)</f>
        <v>0</v>
      </c>
      <c r="G213" s="680"/>
      <c r="H213" s="680"/>
      <c r="I213" s="755"/>
      <c r="J213" s="682">
        <f t="shared" si="55"/>
        <v>0</v>
      </c>
      <c r="K213" s="683"/>
      <c r="L213" s="684"/>
      <c r="M213" s="753"/>
      <c r="N213" s="683">
        <v>0</v>
      </c>
      <c r="O213" s="686"/>
      <c r="P213" s="683">
        <v>0</v>
      </c>
      <c r="Q213" s="687">
        <f t="shared" si="54"/>
        <v>0</v>
      </c>
      <c r="R213" s="687"/>
      <c r="S213" s="687"/>
      <c r="T213" s="688">
        <v>0</v>
      </c>
      <c r="U213" s="693"/>
      <c r="V213" s="690">
        <f t="shared" si="56"/>
        <v>0</v>
      </c>
      <c r="W213" s="683"/>
      <c r="X213" s="474">
        <f t="shared" si="50"/>
        <v>0</v>
      </c>
      <c r="Y213" s="474">
        <f t="shared" si="51"/>
        <v>0</v>
      </c>
      <c r="Z213" s="475">
        <f t="shared" si="52"/>
        <v>0</v>
      </c>
      <c r="AA213" s="475">
        <v>0</v>
      </c>
      <c r="AB213" s="476">
        <v>0</v>
      </c>
      <c r="AC213" s="38">
        <f t="shared" si="53"/>
        <v>0</v>
      </c>
      <c r="AD213" s="692">
        <f t="shared" si="57"/>
        <v>0</v>
      </c>
      <c r="AE213" s="692">
        <f t="shared" si="58"/>
        <v>0</v>
      </c>
      <c r="AF213" s="692">
        <f t="shared" si="59"/>
        <v>0</v>
      </c>
      <c r="AG213" s="38"/>
      <c r="AH213" s="692">
        <f t="shared" ref="AH213:AH222" si="61">IF(B213="D",Q213,0)</f>
        <v>0</v>
      </c>
      <c r="AI213" s="692">
        <f t="shared" ref="AI213:AI222" si="62">IF(B213="M",Q213,0)</f>
        <v>0</v>
      </c>
      <c r="AJ213" s="692">
        <f t="shared" ref="AJ213:AJ222" si="63">IF(B213="V",Q213,0)</f>
        <v>0</v>
      </c>
      <c r="AL213" s="38">
        <f t="shared" si="60"/>
        <v>0</v>
      </c>
    </row>
    <row r="214" spans="1:38">
      <c r="A214" s="20"/>
      <c r="B214" s="20" t="s">
        <v>109</v>
      </c>
      <c r="C214" s="667"/>
      <c r="D214" s="68" t="s">
        <v>121</v>
      </c>
      <c r="E214" s="679"/>
      <c r="F214" s="529">
        <f>VLOOKUP(D214,'June 2013 Revenue'!D:V,19,FALSE)</f>
        <v>0</v>
      </c>
      <c r="G214" s="680"/>
      <c r="H214" s="680"/>
      <c r="I214" s="755"/>
      <c r="J214" s="682">
        <f t="shared" si="55"/>
        <v>0</v>
      </c>
      <c r="K214" s="683"/>
      <c r="L214" s="684"/>
      <c r="M214" s="753"/>
      <c r="N214" s="683">
        <v>0</v>
      </c>
      <c r="O214" s="686"/>
      <c r="P214" s="683">
        <v>0</v>
      </c>
      <c r="Q214" s="687">
        <f t="shared" si="54"/>
        <v>0</v>
      </c>
      <c r="R214" s="687"/>
      <c r="S214" s="687"/>
      <c r="T214" s="688">
        <v>0</v>
      </c>
      <c r="U214" s="693"/>
      <c r="V214" s="690">
        <f t="shared" si="56"/>
        <v>0</v>
      </c>
      <c r="W214" s="683"/>
      <c r="X214" s="474">
        <f t="shared" ref="X214:X222" si="64">IF(B214="D",Q214,0)</f>
        <v>0</v>
      </c>
      <c r="Y214" s="474">
        <f t="shared" ref="Y214:Y222" si="65">IF(B214="M",Q214,0)</f>
        <v>0</v>
      </c>
      <c r="Z214" s="475">
        <f t="shared" ref="Z214:Z222" si="66">IF(B214="V",Q214,0)</f>
        <v>0</v>
      </c>
      <c r="AA214" s="475">
        <v>0</v>
      </c>
      <c r="AB214" s="476">
        <v>0</v>
      </c>
      <c r="AC214" s="38">
        <f t="shared" ref="AC214:AC222" si="67">(L214+M214)-(X214+Y214+Z214+AA214+AB214)</f>
        <v>0</v>
      </c>
      <c r="AD214" s="692">
        <f t="shared" si="57"/>
        <v>0</v>
      </c>
      <c r="AE214" s="692">
        <f t="shared" si="58"/>
        <v>0</v>
      </c>
      <c r="AF214" s="692">
        <f t="shared" si="59"/>
        <v>0</v>
      </c>
      <c r="AG214" s="38"/>
      <c r="AH214" s="692">
        <f t="shared" si="61"/>
        <v>0</v>
      </c>
      <c r="AI214" s="692">
        <f t="shared" si="62"/>
        <v>0</v>
      </c>
      <c r="AJ214" s="692">
        <f t="shared" si="63"/>
        <v>0</v>
      </c>
      <c r="AL214" s="38">
        <f t="shared" si="60"/>
        <v>0</v>
      </c>
    </row>
    <row r="215" spans="1:38">
      <c r="A215" s="20"/>
      <c r="B215" s="20" t="s">
        <v>110</v>
      </c>
      <c r="C215" s="667"/>
      <c r="D215" s="68" t="s">
        <v>168</v>
      </c>
      <c r="E215" s="679"/>
      <c r="F215" s="529">
        <f>VLOOKUP(D215,'June 2013 Revenue'!D:V,19,FALSE)</f>
        <v>0</v>
      </c>
      <c r="G215" s="680"/>
      <c r="H215" s="680"/>
      <c r="I215" s="755"/>
      <c r="J215" s="682">
        <f t="shared" si="55"/>
        <v>0</v>
      </c>
      <c r="K215" s="683"/>
      <c r="L215" s="684"/>
      <c r="M215" s="753"/>
      <c r="N215" s="683">
        <v>0</v>
      </c>
      <c r="O215" s="686"/>
      <c r="P215" s="683">
        <v>0</v>
      </c>
      <c r="Q215" s="687">
        <f t="shared" si="54"/>
        <v>0</v>
      </c>
      <c r="R215" s="687"/>
      <c r="S215" s="687"/>
      <c r="T215" s="688">
        <v>0</v>
      </c>
      <c r="U215" s="693"/>
      <c r="V215" s="690">
        <f t="shared" si="56"/>
        <v>0</v>
      </c>
      <c r="W215" s="683"/>
      <c r="X215" s="474">
        <f t="shared" si="64"/>
        <v>0</v>
      </c>
      <c r="Y215" s="474">
        <f t="shared" si="65"/>
        <v>0</v>
      </c>
      <c r="Z215" s="475">
        <f t="shared" si="66"/>
        <v>0</v>
      </c>
      <c r="AA215" s="475">
        <v>0</v>
      </c>
      <c r="AB215" s="476">
        <v>0</v>
      </c>
      <c r="AC215" s="38">
        <f t="shared" si="67"/>
        <v>0</v>
      </c>
      <c r="AD215" s="692">
        <f t="shared" si="57"/>
        <v>0</v>
      </c>
      <c r="AE215" s="692">
        <f t="shared" si="58"/>
        <v>0</v>
      </c>
      <c r="AF215" s="692">
        <f t="shared" si="59"/>
        <v>0</v>
      </c>
      <c r="AG215" s="38"/>
      <c r="AH215" s="692">
        <f t="shared" si="61"/>
        <v>0</v>
      </c>
      <c r="AI215" s="692">
        <f t="shared" si="62"/>
        <v>0</v>
      </c>
      <c r="AJ215" s="692">
        <f t="shared" si="63"/>
        <v>0</v>
      </c>
      <c r="AL215" s="38">
        <f t="shared" si="60"/>
        <v>0</v>
      </c>
    </row>
    <row r="216" spans="1:38">
      <c r="A216" s="20"/>
      <c r="B216" s="20" t="s">
        <v>109</v>
      </c>
      <c r="C216" s="667" t="s">
        <v>582</v>
      </c>
      <c r="D216" s="68" t="s">
        <v>167</v>
      </c>
      <c r="E216" s="679"/>
      <c r="F216" s="529">
        <f>VLOOKUP(D216,'June 2013 Revenue'!D:V,19,FALSE)</f>
        <v>0</v>
      </c>
      <c r="G216" s="680"/>
      <c r="H216" s="680"/>
      <c r="I216" s="755"/>
      <c r="J216" s="682">
        <f t="shared" si="55"/>
        <v>0</v>
      </c>
      <c r="K216" s="683"/>
      <c r="L216" s="684"/>
      <c r="M216" s="753"/>
      <c r="N216" s="683">
        <v>0</v>
      </c>
      <c r="O216" s="686"/>
      <c r="P216" s="683">
        <v>0</v>
      </c>
      <c r="Q216" s="687">
        <f t="shared" si="54"/>
        <v>0</v>
      </c>
      <c r="R216" s="687"/>
      <c r="S216" s="687"/>
      <c r="T216" s="688">
        <v>0</v>
      </c>
      <c r="U216" s="693"/>
      <c r="V216" s="690">
        <f t="shared" si="56"/>
        <v>0</v>
      </c>
      <c r="W216" s="683"/>
      <c r="X216" s="474">
        <f t="shared" si="64"/>
        <v>0</v>
      </c>
      <c r="Y216" s="474">
        <f t="shared" si="65"/>
        <v>0</v>
      </c>
      <c r="Z216" s="475">
        <f t="shared" si="66"/>
        <v>0</v>
      </c>
      <c r="AA216" s="475">
        <v>0</v>
      </c>
      <c r="AB216" s="476">
        <v>0</v>
      </c>
      <c r="AC216" s="38">
        <f t="shared" si="67"/>
        <v>0</v>
      </c>
      <c r="AD216" s="692">
        <f t="shared" si="57"/>
        <v>0</v>
      </c>
      <c r="AE216" s="692">
        <f t="shared" si="58"/>
        <v>0</v>
      </c>
      <c r="AF216" s="692">
        <f t="shared" si="59"/>
        <v>0</v>
      </c>
      <c r="AG216" s="38"/>
      <c r="AH216" s="692">
        <f t="shared" si="61"/>
        <v>0</v>
      </c>
      <c r="AI216" s="692">
        <f t="shared" si="62"/>
        <v>0</v>
      </c>
      <c r="AJ216" s="692">
        <f t="shared" si="63"/>
        <v>0</v>
      </c>
      <c r="AL216" s="38">
        <f t="shared" si="60"/>
        <v>0</v>
      </c>
    </row>
    <row r="217" spans="1:38">
      <c r="A217" s="20" t="s">
        <v>218</v>
      </c>
      <c r="B217" s="20" t="s">
        <v>110</v>
      </c>
      <c r="C217" s="667"/>
      <c r="D217" s="68" t="s">
        <v>60</v>
      </c>
      <c r="E217" s="679"/>
      <c r="F217" s="529">
        <f>VLOOKUP(D217,'June 2013 Revenue'!D:V,19,FALSE)</f>
        <v>-15000</v>
      </c>
      <c r="G217" s="680"/>
      <c r="H217" s="680"/>
      <c r="I217" s="755"/>
      <c r="J217" s="682">
        <f t="shared" si="55"/>
        <v>-15000</v>
      </c>
      <c r="K217" s="683"/>
      <c r="L217" s="684"/>
      <c r="M217" s="753">
        <v>20000</v>
      </c>
      <c r="N217" s="683">
        <v>0</v>
      </c>
      <c r="O217" s="686"/>
      <c r="P217" s="683">
        <v>0</v>
      </c>
      <c r="Q217" s="687">
        <f t="shared" si="54"/>
        <v>20000</v>
      </c>
      <c r="R217" s="687"/>
      <c r="S217" s="687"/>
      <c r="T217" s="688">
        <v>20327.509999999998</v>
      </c>
      <c r="U217" s="693"/>
      <c r="V217" s="690">
        <f t="shared" si="56"/>
        <v>327.5099999999984</v>
      </c>
      <c r="W217" s="697"/>
      <c r="X217" s="474">
        <f t="shared" si="64"/>
        <v>20000</v>
      </c>
      <c r="Y217" s="474">
        <f t="shared" si="65"/>
        <v>0</v>
      </c>
      <c r="Z217" s="475">
        <f t="shared" si="66"/>
        <v>0</v>
      </c>
      <c r="AA217" s="475">
        <v>0</v>
      </c>
      <c r="AB217" s="476">
        <v>0</v>
      </c>
      <c r="AC217" s="38">
        <f t="shared" si="67"/>
        <v>0</v>
      </c>
      <c r="AD217" s="692">
        <f t="shared" si="57"/>
        <v>-15000</v>
      </c>
      <c r="AE217" s="692">
        <f t="shared" si="58"/>
        <v>0</v>
      </c>
      <c r="AF217" s="692">
        <f t="shared" si="59"/>
        <v>0</v>
      </c>
      <c r="AG217" s="38"/>
      <c r="AH217" s="692">
        <f t="shared" si="61"/>
        <v>20000</v>
      </c>
      <c r="AI217" s="692">
        <f t="shared" si="62"/>
        <v>0</v>
      </c>
      <c r="AJ217" s="692">
        <f t="shared" si="63"/>
        <v>0</v>
      </c>
      <c r="AL217" s="38">
        <f t="shared" si="60"/>
        <v>5000</v>
      </c>
    </row>
    <row r="218" spans="1:38">
      <c r="A218" s="20"/>
      <c r="B218" s="20" t="s">
        <v>110</v>
      </c>
      <c r="C218" s="667" t="s">
        <v>583</v>
      </c>
      <c r="D218" s="68" t="s">
        <v>169</v>
      </c>
      <c r="E218" s="679"/>
      <c r="F218" s="529">
        <f>VLOOKUP(D218,'June 2013 Revenue'!D:V,19,FALSE)</f>
        <v>0</v>
      </c>
      <c r="G218" s="680"/>
      <c r="H218" s="680"/>
      <c r="I218" s="770">
        <v>134.88</v>
      </c>
      <c r="J218" s="682">
        <f t="shared" si="55"/>
        <v>134.88</v>
      </c>
      <c r="K218" s="683"/>
      <c r="L218" s="684"/>
      <c r="M218" s="753"/>
      <c r="N218" s="683">
        <v>0</v>
      </c>
      <c r="O218" s="686"/>
      <c r="P218" s="683">
        <v>0</v>
      </c>
      <c r="Q218" s="687">
        <f t="shared" si="54"/>
        <v>0</v>
      </c>
      <c r="R218" s="687"/>
      <c r="S218" s="687"/>
      <c r="T218" s="688">
        <v>0</v>
      </c>
      <c r="U218" s="693"/>
      <c r="V218" s="690">
        <f t="shared" si="56"/>
        <v>0</v>
      </c>
      <c r="W218" s="683"/>
      <c r="X218" s="474">
        <f t="shared" si="64"/>
        <v>0</v>
      </c>
      <c r="Y218" s="474">
        <f t="shared" si="65"/>
        <v>0</v>
      </c>
      <c r="Z218" s="475">
        <f t="shared" si="66"/>
        <v>0</v>
      </c>
      <c r="AA218" s="475">
        <v>0</v>
      </c>
      <c r="AB218" s="476">
        <v>0</v>
      </c>
      <c r="AC218" s="38">
        <f t="shared" si="67"/>
        <v>0</v>
      </c>
      <c r="AD218" s="692">
        <f t="shared" si="57"/>
        <v>134.88</v>
      </c>
      <c r="AE218" s="692">
        <f t="shared" si="58"/>
        <v>0</v>
      </c>
      <c r="AF218" s="692">
        <f t="shared" si="59"/>
        <v>0</v>
      </c>
      <c r="AG218" s="38"/>
      <c r="AH218" s="692">
        <f t="shared" si="61"/>
        <v>0</v>
      </c>
      <c r="AI218" s="692">
        <f t="shared" si="62"/>
        <v>0</v>
      </c>
      <c r="AJ218" s="692">
        <f t="shared" si="63"/>
        <v>0</v>
      </c>
      <c r="AL218" s="38">
        <f t="shared" si="60"/>
        <v>134.88</v>
      </c>
    </row>
    <row r="219" spans="1:38">
      <c r="A219" s="21"/>
      <c r="B219" s="21" t="s">
        <v>110</v>
      </c>
      <c r="C219" s="666"/>
      <c r="D219" s="810" t="s">
        <v>945</v>
      </c>
      <c r="E219" s="679"/>
      <c r="F219" s="529">
        <f>VLOOKUP(D219,'June 2013 Revenue'!D:V,19,FALSE)</f>
        <v>0</v>
      </c>
      <c r="G219" s="680"/>
      <c r="H219" s="680"/>
      <c r="I219" s="755"/>
      <c r="J219" s="682">
        <f t="shared" si="55"/>
        <v>0</v>
      </c>
      <c r="K219" s="683"/>
      <c r="L219" s="684"/>
      <c r="M219" s="753"/>
      <c r="N219" s="683">
        <v>0</v>
      </c>
      <c r="O219" s="686"/>
      <c r="P219" s="683">
        <v>0</v>
      </c>
      <c r="Q219" s="687">
        <f t="shared" si="54"/>
        <v>0</v>
      </c>
      <c r="R219" s="687"/>
      <c r="S219" s="687"/>
      <c r="T219" s="688">
        <v>0</v>
      </c>
      <c r="U219" s="693"/>
      <c r="V219" s="690">
        <f t="shared" si="56"/>
        <v>0</v>
      </c>
      <c r="W219" s="683"/>
      <c r="X219" s="474">
        <f t="shared" si="64"/>
        <v>0</v>
      </c>
      <c r="Y219" s="474">
        <f t="shared" si="65"/>
        <v>0</v>
      </c>
      <c r="Z219" s="475">
        <f t="shared" si="66"/>
        <v>0</v>
      </c>
      <c r="AA219" s="475">
        <v>0</v>
      </c>
      <c r="AB219" s="476">
        <v>0</v>
      </c>
      <c r="AC219" s="38">
        <f t="shared" si="67"/>
        <v>0</v>
      </c>
      <c r="AD219" s="692">
        <f t="shared" si="57"/>
        <v>0</v>
      </c>
      <c r="AE219" s="692">
        <f t="shared" si="58"/>
        <v>0</v>
      </c>
      <c r="AF219" s="692">
        <f t="shared" si="59"/>
        <v>0</v>
      </c>
      <c r="AG219" s="38"/>
      <c r="AH219" s="692">
        <f t="shared" si="61"/>
        <v>0</v>
      </c>
      <c r="AI219" s="692">
        <f t="shared" si="62"/>
        <v>0</v>
      </c>
      <c r="AJ219" s="692">
        <f t="shared" si="63"/>
        <v>0</v>
      </c>
      <c r="AL219" s="38">
        <f t="shared" si="60"/>
        <v>0</v>
      </c>
    </row>
    <row r="220" spans="1:38">
      <c r="A220" s="21"/>
      <c r="B220" s="21" t="s">
        <v>114</v>
      </c>
      <c r="C220" s="666"/>
      <c r="D220" s="68" t="s">
        <v>591</v>
      </c>
      <c r="E220" s="679"/>
      <c r="F220" s="529">
        <f>VLOOKUP(D220,'June 2013 Revenue'!D:V,19,FALSE)</f>
        <v>1952.3100000000002</v>
      </c>
      <c r="G220" s="680"/>
      <c r="H220" s="680"/>
      <c r="I220" s="755"/>
      <c r="J220" s="682">
        <f t="shared" si="55"/>
        <v>1952.3100000000002</v>
      </c>
      <c r="K220" s="683"/>
      <c r="L220" s="684"/>
      <c r="M220" s="753"/>
      <c r="N220" s="683">
        <v>0</v>
      </c>
      <c r="O220" s="686"/>
      <c r="P220" s="683">
        <v>0</v>
      </c>
      <c r="Q220" s="687">
        <f t="shared" si="54"/>
        <v>0</v>
      </c>
      <c r="R220" s="687"/>
      <c r="S220" s="687"/>
      <c r="T220" s="688">
        <f>984.29+270.57+244.79+376.67</f>
        <v>1876.32</v>
      </c>
      <c r="U220" s="693"/>
      <c r="V220" s="690">
        <f t="shared" si="56"/>
        <v>1876.32</v>
      </c>
      <c r="W220" s="683"/>
      <c r="X220" s="474">
        <f t="shared" si="64"/>
        <v>0</v>
      </c>
      <c r="Y220" s="474">
        <f t="shared" si="65"/>
        <v>0</v>
      </c>
      <c r="Z220" s="475">
        <f t="shared" si="66"/>
        <v>0</v>
      </c>
      <c r="AA220" s="475">
        <v>0</v>
      </c>
      <c r="AB220" s="476">
        <v>0</v>
      </c>
      <c r="AC220" s="38">
        <f t="shared" si="67"/>
        <v>0</v>
      </c>
      <c r="AD220" s="692">
        <f t="shared" si="57"/>
        <v>0</v>
      </c>
      <c r="AE220" s="692">
        <f t="shared" si="58"/>
        <v>0</v>
      </c>
      <c r="AF220" s="692">
        <f t="shared" si="59"/>
        <v>1952.3100000000002</v>
      </c>
      <c r="AG220" s="38"/>
      <c r="AH220" s="692">
        <f t="shared" si="61"/>
        <v>0</v>
      </c>
      <c r="AI220" s="692">
        <f t="shared" si="62"/>
        <v>0</v>
      </c>
      <c r="AJ220" s="692">
        <f t="shared" si="63"/>
        <v>0</v>
      </c>
      <c r="AL220" s="38">
        <f t="shared" si="60"/>
        <v>1952.3100000000002</v>
      </c>
    </row>
    <row r="221" spans="1:38">
      <c r="A221" s="21"/>
      <c r="B221" s="21" t="s">
        <v>114</v>
      </c>
      <c r="C221" s="672"/>
      <c r="D221" s="519" t="s">
        <v>433</v>
      </c>
      <c r="E221" s="679"/>
      <c r="F221" s="529">
        <f>VLOOKUP(D221,'June 2013 Revenue'!D:V,19,FALSE)</f>
        <v>0</v>
      </c>
      <c r="G221" s="680"/>
      <c r="H221" s="680"/>
      <c r="I221" s="755"/>
      <c r="J221" s="682">
        <f t="shared" si="55"/>
        <v>0</v>
      </c>
      <c r="K221" s="683"/>
      <c r="L221" s="684"/>
      <c r="M221" s="753"/>
      <c r="N221" s="683">
        <v>0</v>
      </c>
      <c r="O221" s="686"/>
      <c r="P221" s="683">
        <v>0</v>
      </c>
      <c r="Q221" s="687">
        <f t="shared" si="54"/>
        <v>0</v>
      </c>
      <c r="R221" s="687"/>
      <c r="S221" s="687"/>
      <c r="T221" s="688">
        <v>0</v>
      </c>
      <c r="U221" s="693"/>
      <c r="V221" s="690">
        <f t="shared" si="56"/>
        <v>0</v>
      </c>
      <c r="W221" s="683"/>
      <c r="X221" s="474">
        <f t="shared" si="64"/>
        <v>0</v>
      </c>
      <c r="Y221" s="474">
        <f t="shared" si="65"/>
        <v>0</v>
      </c>
      <c r="Z221" s="475">
        <f t="shared" si="66"/>
        <v>0</v>
      </c>
      <c r="AA221" s="475">
        <v>0</v>
      </c>
      <c r="AB221" s="476">
        <v>0</v>
      </c>
      <c r="AC221" s="38">
        <f t="shared" si="67"/>
        <v>0</v>
      </c>
      <c r="AD221" s="692">
        <f t="shared" si="57"/>
        <v>0</v>
      </c>
      <c r="AE221" s="692">
        <f t="shared" si="58"/>
        <v>0</v>
      </c>
      <c r="AF221" s="692">
        <f t="shared" si="59"/>
        <v>0</v>
      </c>
      <c r="AG221" s="38"/>
      <c r="AH221" s="692">
        <f t="shared" si="61"/>
        <v>0</v>
      </c>
      <c r="AI221" s="692">
        <f t="shared" si="62"/>
        <v>0</v>
      </c>
      <c r="AJ221" s="692">
        <f t="shared" si="63"/>
        <v>0</v>
      </c>
      <c r="AL221" s="38">
        <f t="shared" si="60"/>
        <v>0</v>
      </c>
    </row>
    <row r="222" spans="1:38" s="146" customFormat="1" ht="13" thickBot="1">
      <c r="A222" s="21"/>
      <c r="B222" s="21" t="s">
        <v>110</v>
      </c>
      <c r="C222" s="666"/>
      <c r="D222" s="68" t="s">
        <v>593</v>
      </c>
      <c r="E222" s="679"/>
      <c r="F222" s="529">
        <f>VLOOKUP(D222,'June 2013 Revenue'!D:V,19,FALSE)</f>
        <v>0</v>
      </c>
      <c r="G222" s="680"/>
      <c r="H222" s="680"/>
      <c r="I222" s="755"/>
      <c r="J222" s="682">
        <f t="shared" si="55"/>
        <v>0</v>
      </c>
      <c r="K222" s="683"/>
      <c r="L222" s="684"/>
      <c r="M222" s="753"/>
      <c r="N222" s="683">
        <v>0</v>
      </c>
      <c r="O222" s="686"/>
      <c r="P222" s="683">
        <v>0</v>
      </c>
      <c r="Q222" s="687">
        <f t="shared" si="54"/>
        <v>0</v>
      </c>
      <c r="R222" s="687"/>
      <c r="S222" s="687"/>
      <c r="T222" s="688">
        <v>0</v>
      </c>
      <c r="U222" s="693"/>
      <c r="V222" s="690">
        <f t="shared" si="56"/>
        <v>0</v>
      </c>
      <c r="W222" s="683"/>
      <c r="X222" s="474">
        <f t="shared" si="64"/>
        <v>0</v>
      </c>
      <c r="Y222" s="474">
        <f t="shared" si="65"/>
        <v>0</v>
      </c>
      <c r="Z222" s="475">
        <f t="shared" si="66"/>
        <v>0</v>
      </c>
      <c r="AA222" s="475">
        <v>0</v>
      </c>
      <c r="AB222" s="476">
        <v>0</v>
      </c>
      <c r="AC222" s="38">
        <f t="shared" si="67"/>
        <v>0</v>
      </c>
      <c r="AD222" s="692">
        <f t="shared" si="57"/>
        <v>0</v>
      </c>
      <c r="AE222" s="692">
        <f t="shared" si="58"/>
        <v>0</v>
      </c>
      <c r="AF222" s="692">
        <f t="shared" si="59"/>
        <v>0</v>
      </c>
      <c r="AG222" s="38"/>
      <c r="AH222" s="692">
        <f t="shared" si="61"/>
        <v>0</v>
      </c>
      <c r="AI222" s="692">
        <f t="shared" si="62"/>
        <v>0</v>
      </c>
      <c r="AJ222" s="692">
        <f t="shared" si="63"/>
        <v>0</v>
      </c>
      <c r="AL222" s="38">
        <f t="shared" si="60"/>
        <v>0</v>
      </c>
    </row>
    <row r="223" spans="1:38" ht="13" thickBot="1">
      <c r="A223" s="107"/>
      <c r="B223" s="108"/>
      <c r="C223" s="673"/>
      <c r="D223" s="71" t="s">
        <v>86</v>
      </c>
      <c r="E223" s="454">
        <f t="shared" ref="E223:J223" si="68">SUM(E16:E222)</f>
        <v>1608963.28</v>
      </c>
      <c r="F223" s="454">
        <f t="shared" si="68"/>
        <v>-91314.230000000127</v>
      </c>
      <c r="G223" s="454">
        <f t="shared" si="68"/>
        <v>0</v>
      </c>
      <c r="H223" s="454">
        <f t="shared" si="68"/>
        <v>0</v>
      </c>
      <c r="I223" s="454">
        <f t="shared" si="68"/>
        <v>126807.79999999999</v>
      </c>
      <c r="J223" s="454">
        <f t="shared" si="68"/>
        <v>1644456.8499999994</v>
      </c>
      <c r="K223" s="454"/>
      <c r="L223" s="454">
        <f>SUM(L16:L222)</f>
        <v>0</v>
      </c>
      <c r="M223" s="454">
        <f>SUM(M16:M222)</f>
        <v>19489122</v>
      </c>
      <c r="N223" s="454">
        <f>SUM(N16:N222)</f>
        <v>0</v>
      </c>
      <c r="O223" s="100">
        <f>SUM(O16:O222)</f>
        <v>0</v>
      </c>
      <c r="P223" s="157">
        <f>SUM(P17:P222)</f>
        <v>0</v>
      </c>
      <c r="Q223" s="100">
        <f>SUM(Q16:Q222)</f>
        <v>19489122</v>
      </c>
      <c r="R223" s="100"/>
      <c r="S223" s="100"/>
      <c r="T223" s="100">
        <f>SUM(T16:T222)</f>
        <v>18411955.120000005</v>
      </c>
      <c r="U223" s="708"/>
      <c r="V223" s="100">
        <f>SUM(V16:V222)</f>
        <v>-1077166.8799999994</v>
      </c>
      <c r="W223" s="683"/>
      <c r="X223" s="314">
        <f>SUM(X16:X222)</f>
        <v>18490064</v>
      </c>
      <c r="Y223" s="314">
        <f>SUM(Y16:Y222)</f>
        <v>892000</v>
      </c>
      <c r="Z223" s="314">
        <f>SUM(Z16:Z222)</f>
        <v>107058</v>
      </c>
      <c r="AA223" s="314">
        <f>SUM(AA16:AA222)</f>
        <v>0</v>
      </c>
      <c r="AB223" s="314">
        <f>SUM(AB16:AB222)</f>
        <v>0</v>
      </c>
      <c r="AC223" s="38"/>
      <c r="AD223" s="314">
        <f>SUM(AD16:AD222)</f>
        <v>1789155.9099999995</v>
      </c>
      <c r="AE223" s="314">
        <f>SUM(AE16:AE222)</f>
        <v>-125156.91</v>
      </c>
      <c r="AF223" s="314">
        <f>SUM(AF16:AF222)</f>
        <v>-19542.149999999998</v>
      </c>
      <c r="AG223" s="38"/>
      <c r="AH223" s="314">
        <f>SUM(AH16:AH222)</f>
        <v>18490064</v>
      </c>
      <c r="AI223" s="314">
        <f>SUM(AI16:AI222)</f>
        <v>892000</v>
      </c>
      <c r="AJ223" s="314">
        <f>SUM(AJ16:AJ222)</f>
        <v>107058</v>
      </c>
    </row>
    <row r="224" spans="1:38" ht="13" thickBot="1">
      <c r="A224" s="65"/>
      <c r="B224" s="65"/>
      <c r="C224" s="674"/>
      <c r="D224" s="141"/>
      <c r="E224" s="709" t="s">
        <v>293</v>
      </c>
      <c r="F224" s="160">
        <f>F223+E223</f>
        <v>1517649.0499999998</v>
      </c>
      <c r="G224" s="153"/>
      <c r="H224" s="153" t="s">
        <v>225</v>
      </c>
      <c r="I224" s="153">
        <f>I223+H223+G223</f>
        <v>126807.79999999999</v>
      </c>
      <c r="J224" s="323"/>
      <c r="K224" s="153"/>
      <c r="L224" s="153" t="s">
        <v>296</v>
      </c>
      <c r="M224" s="100">
        <f>M223+L223</f>
        <v>19489122</v>
      </c>
      <c r="N224" s="153"/>
      <c r="O224" s="641"/>
      <c r="P224" s="153"/>
      <c r="Q224" s="153"/>
      <c r="R224" s="153"/>
      <c r="S224" s="153"/>
      <c r="T224" s="153"/>
      <c r="U224" s="153"/>
      <c r="V224" s="153"/>
      <c r="W224" s="153"/>
      <c r="X224" s="139"/>
      <c r="Y224" s="139"/>
      <c r="Z224" s="139"/>
      <c r="AA224" s="139"/>
      <c r="AB224" s="104"/>
      <c r="AC224" s="38"/>
      <c r="AD224" s="711"/>
      <c r="AE224" s="711"/>
      <c r="AF224" s="711"/>
      <c r="AG224" s="38"/>
      <c r="AH224" s="38"/>
      <c r="AI224" s="38"/>
      <c r="AJ224" s="38"/>
    </row>
    <row r="225" spans="1:38" ht="13" thickBot="1">
      <c r="A225" s="65"/>
      <c r="B225" s="65"/>
      <c r="C225" s="674"/>
      <c r="E225" s="159"/>
      <c r="F225" s="153"/>
      <c r="G225" s="153"/>
      <c r="H225" s="153"/>
      <c r="I225" s="153"/>
      <c r="J225" s="153"/>
      <c r="K225" s="153"/>
      <c r="L225" s="153"/>
      <c r="M225" s="710"/>
      <c r="N225" s="153"/>
      <c r="O225" s="153"/>
      <c r="P225" s="153"/>
      <c r="Q225" s="153"/>
      <c r="R225" s="153"/>
      <c r="S225" s="153"/>
      <c r="T225" s="153"/>
      <c r="U225" s="153"/>
      <c r="V225" s="153"/>
      <c r="W225" s="153"/>
      <c r="X225" s="331" t="s">
        <v>345</v>
      </c>
      <c r="Y225" s="139"/>
      <c r="Z225" s="139"/>
      <c r="AA225" s="139"/>
      <c r="AB225" s="104"/>
      <c r="AC225" s="164" t="s">
        <v>633</v>
      </c>
      <c r="AD225" s="798">
        <f>-45000+2815.48</f>
        <v>-42184.52</v>
      </c>
      <c r="AE225" s="798"/>
      <c r="AF225" s="798">
        <f>-SUM(AD225)</f>
        <v>42184.52</v>
      </c>
      <c r="AG225" s="38"/>
      <c r="AH225" s="711"/>
      <c r="AI225" s="711"/>
      <c r="AJ225" s="711"/>
    </row>
    <row r="226" spans="1:38" ht="17" thickTop="1" thickBot="1">
      <c r="E226" s="712"/>
      <c r="F226" s="713"/>
      <c r="G226" s="714"/>
      <c r="H226" s="715"/>
      <c r="I226" s="715"/>
      <c r="J226" s="164"/>
      <c r="K226" s="169"/>
      <c r="L226" s="233"/>
      <c r="M226" s="233"/>
      <c r="N226" s="38"/>
      <c r="O226" s="642"/>
      <c r="P226" s="139"/>
      <c r="Q226" s="139"/>
      <c r="R226" s="139"/>
      <c r="S226" s="139"/>
      <c r="T226" s="33"/>
      <c r="U226" s="33"/>
      <c r="V226" s="33"/>
      <c r="W226" s="169"/>
      <c r="X226" s="332"/>
      <c r="Y226" s="333"/>
      <c r="Z226" s="491"/>
      <c r="AA226" s="491"/>
      <c r="AB226" s="334"/>
      <c r="AC226" s="164" t="s">
        <v>634</v>
      </c>
      <c r="AD226" s="798">
        <v>-83161.22</v>
      </c>
      <c r="AE226" s="798"/>
      <c r="AF226" s="802">
        <f>-SUM(AD226)</f>
        <v>83161.22</v>
      </c>
      <c r="AG226" s="38"/>
      <c r="AH226" s="38"/>
      <c r="AI226" s="38"/>
      <c r="AJ226" s="38"/>
    </row>
    <row r="227" spans="1:38" ht="17" thickBot="1">
      <c r="E227" s="712"/>
      <c r="F227" s="713"/>
      <c r="G227" s="714"/>
      <c r="H227" s="715"/>
      <c r="J227" s="79">
        <f>J223</f>
        <v>1644456.8499999994</v>
      </c>
      <c r="K227" s="715" t="s">
        <v>957</v>
      </c>
      <c r="L227" s="169"/>
      <c r="M227" s="493"/>
      <c r="N227" s="38"/>
      <c r="O227" s="80"/>
      <c r="P227" s="104"/>
      <c r="Q227" s="139"/>
      <c r="R227" s="139"/>
      <c r="S227" s="139"/>
      <c r="T227" s="33"/>
      <c r="U227" s="33"/>
      <c r="V227" s="33"/>
      <c r="W227" s="169"/>
      <c r="X227" s="487"/>
      <c r="Y227" s="488"/>
      <c r="Z227" s="492" t="s">
        <v>399</v>
      </c>
      <c r="AA227" s="492" t="s">
        <v>400</v>
      </c>
      <c r="AB227" s="488"/>
      <c r="AC227" s="717" t="s">
        <v>475</v>
      </c>
      <c r="AD227" s="718">
        <f>SUM(AD223:AD226)</f>
        <v>1663810.1699999995</v>
      </c>
      <c r="AE227" s="718">
        <f>AE223</f>
        <v>-125156.91</v>
      </c>
      <c r="AF227" s="718">
        <f>SUM(AF223:AF226)</f>
        <v>105803.59</v>
      </c>
      <c r="AG227" s="718"/>
      <c r="AH227" s="718">
        <f>AH223</f>
        <v>18490064</v>
      </c>
      <c r="AI227" s="718">
        <f>AI223</f>
        <v>892000</v>
      </c>
      <c r="AJ227" s="719">
        <f>AJ223</f>
        <v>107058</v>
      </c>
      <c r="AL227" s="38">
        <f>SUM(AL17:AL226)</f>
        <v>21133578.850000001</v>
      </c>
    </row>
    <row r="228" spans="1:38" ht="15" thickBot="1">
      <c r="D228" s="143"/>
      <c r="E228" s="759"/>
      <c r="F228" s="713"/>
      <c r="G228" s="714"/>
      <c r="H228" s="720"/>
      <c r="J228" s="750" t="e">
        <f>SUM('June GL'!#REF!)</f>
        <v>#REF!</v>
      </c>
      <c r="K228" s="757" t="s">
        <v>251</v>
      </c>
      <c r="L228" s="722"/>
      <c r="M228" s="642"/>
      <c r="N228" s="33"/>
      <c r="O228" s="80"/>
      <c r="P228" s="104"/>
      <c r="Q228" s="139"/>
      <c r="R228" s="139"/>
      <c r="S228" s="139"/>
      <c r="T228" s="33"/>
      <c r="U228" s="33"/>
      <c r="V228" s="33"/>
      <c r="W228" s="169"/>
      <c r="X228" s="158" t="s">
        <v>609</v>
      </c>
      <c r="Y228" s="104" t="s">
        <v>352</v>
      </c>
      <c r="Z228" s="104">
        <f>X223+Y223+Z223</f>
        <v>19489122</v>
      </c>
      <c r="AA228" s="104"/>
      <c r="AB228" s="136"/>
      <c r="AC228" s="723"/>
      <c r="AD228" s="38"/>
      <c r="AE228" s="38"/>
      <c r="AF228" s="38"/>
      <c r="AG228" s="38"/>
      <c r="AH228" s="38"/>
      <c r="AI228" s="38"/>
      <c r="AJ228" s="38"/>
    </row>
    <row r="229" spans="1:38" ht="15" thickTop="1">
      <c r="D229" s="143"/>
      <c r="E229" s="712"/>
      <c r="F229" s="713"/>
      <c r="G229" s="714"/>
      <c r="H229" s="714" t="s">
        <v>249</v>
      </c>
      <c r="J229" s="173" t="e">
        <f>J228+J227</f>
        <v>#REF!</v>
      </c>
      <c r="K229" s="714" t="s">
        <v>454</v>
      </c>
      <c r="L229" s="722"/>
      <c r="M229" s="80"/>
      <c r="N229" s="104"/>
      <c r="O229" s="173"/>
      <c r="P229" s="104"/>
      <c r="Q229" s="139"/>
      <c r="R229" s="139"/>
      <c r="S229" s="139"/>
      <c r="T229" s="139"/>
      <c r="U229" s="139"/>
      <c r="V229" s="139"/>
      <c r="W229" s="169"/>
      <c r="X229" s="158"/>
      <c r="Y229" s="104"/>
      <c r="Z229" s="104"/>
      <c r="AA229" s="104"/>
      <c r="AB229" s="136"/>
      <c r="AC229" s="723"/>
      <c r="AD229" s="38"/>
      <c r="AE229" s="38"/>
      <c r="AF229" s="38" t="s">
        <v>86</v>
      </c>
      <c r="AG229" s="38"/>
      <c r="AH229" s="233">
        <f>SUM(AD227+AH227)</f>
        <v>20153874.169999998</v>
      </c>
      <c r="AI229" s="233">
        <f t="shared" ref="AI229:AJ229" si="69">SUM(AE227+AI227)</f>
        <v>766843.09</v>
      </c>
      <c r="AJ229" s="233">
        <f t="shared" si="69"/>
        <v>212861.59</v>
      </c>
    </row>
    <row r="230" spans="1:38" ht="14">
      <c r="D230" s="143"/>
      <c r="E230" s="712"/>
      <c r="F230" s="713"/>
      <c r="G230" s="714"/>
      <c r="H230" s="714"/>
      <c r="J230" s="80"/>
      <c r="K230" s="714"/>
      <c r="L230" s="722"/>
      <c r="M230" s="104"/>
      <c r="N230" s="38"/>
      <c r="O230" s="139"/>
      <c r="P230" s="104"/>
      <c r="Q230" s="139"/>
      <c r="R230" s="139"/>
      <c r="S230" s="139"/>
      <c r="T230" s="139"/>
      <c r="U230" s="139"/>
      <c r="V230" s="139"/>
      <c r="W230" s="169"/>
      <c r="X230" s="158" t="s">
        <v>600</v>
      </c>
      <c r="Y230" s="104" t="s">
        <v>355</v>
      </c>
      <c r="Z230" s="104"/>
      <c r="AA230" s="104">
        <f>X223</f>
        <v>18490064</v>
      </c>
      <c r="AB230" s="136"/>
      <c r="AC230" s="38"/>
      <c r="AD230" s="797" t="s">
        <v>882</v>
      </c>
      <c r="AE230" s="38"/>
      <c r="AF230" s="38"/>
      <c r="AG230" s="38"/>
      <c r="AH230" s="233"/>
      <c r="AI230" s="233"/>
      <c r="AJ230" s="233"/>
    </row>
    <row r="231" spans="1:38" ht="15" thickBot="1">
      <c r="D231" s="143" t="s">
        <v>823</v>
      </c>
      <c r="E231" s="712"/>
      <c r="F231" s="713"/>
      <c r="G231" s="714"/>
      <c r="H231" s="714"/>
      <c r="J231" s="661">
        <f>M224</f>
        <v>19489122</v>
      </c>
      <c r="K231" s="714" t="s">
        <v>958</v>
      </c>
      <c r="L231" s="645"/>
      <c r="M231" s="173"/>
      <c r="N231" s="38"/>
      <c r="O231" s="139"/>
      <c r="P231" s="104"/>
      <c r="Q231" s="139"/>
      <c r="R231" s="139"/>
      <c r="S231" s="139"/>
      <c r="T231" s="726"/>
      <c r="U231" s="139"/>
      <c r="V231" s="727"/>
      <c r="W231" s="169"/>
      <c r="X231" s="158"/>
      <c r="Y231" s="104" t="s">
        <v>356</v>
      </c>
      <c r="Z231" s="104"/>
      <c r="AA231" s="104">
        <f>AA223</f>
        <v>0</v>
      </c>
      <c r="AB231" s="136"/>
      <c r="AC231" s="38"/>
      <c r="AD231" s="38"/>
      <c r="AE231" s="38"/>
      <c r="AF231" s="38"/>
      <c r="AG231" s="38"/>
      <c r="AH231" s="799" t="s">
        <v>897</v>
      </c>
      <c r="AI231" s="801">
        <f>SUM(AH229:AJ229)</f>
        <v>21133578.849999998</v>
      </c>
      <c r="AJ231" s="800"/>
    </row>
    <row r="232" spans="1:38" ht="16" thickTop="1" thickBot="1">
      <c r="D232" s="143"/>
      <c r="E232" s="712"/>
      <c r="F232" s="713"/>
      <c r="G232" s="714"/>
      <c r="H232" s="714"/>
      <c r="J232" s="173">
        <v>0</v>
      </c>
      <c r="K232" s="714"/>
      <c r="L232" s="722"/>
      <c r="M232" s="173"/>
      <c r="N232" s="38"/>
      <c r="O232" s="33"/>
      <c r="P232" s="38"/>
      <c r="Q232" s="139"/>
      <c r="R232" s="139"/>
      <c r="S232" s="139"/>
      <c r="T232" s="139"/>
      <c r="U232" s="139"/>
      <c r="V232" s="139"/>
      <c r="W232" s="169"/>
      <c r="X232" s="158"/>
      <c r="Y232" s="104"/>
      <c r="Z232" s="104"/>
      <c r="AA232" s="104"/>
      <c r="AB232" s="136"/>
      <c r="AC232" s="38"/>
      <c r="AD232" s="38"/>
      <c r="AE232" s="38"/>
      <c r="AF232" s="38"/>
      <c r="AG232" s="38"/>
    </row>
    <row r="233" spans="1:38" ht="15" thickBot="1">
      <c r="E233" s="712"/>
      <c r="F233" s="713"/>
      <c r="G233" s="714"/>
      <c r="H233" s="714"/>
      <c r="J233" s="754">
        <f>J227+J231</f>
        <v>21133578.849999998</v>
      </c>
      <c r="K233" s="714" t="s">
        <v>930</v>
      </c>
      <c r="L233" s="722"/>
      <c r="M233" s="173"/>
      <c r="N233" s="38"/>
      <c r="O233" s="33"/>
      <c r="P233" s="38"/>
      <c r="Q233" s="139"/>
      <c r="R233" s="139"/>
      <c r="S233" s="139"/>
      <c r="T233" s="139"/>
      <c r="U233" s="139"/>
      <c r="V233" s="139"/>
      <c r="W233" s="169"/>
      <c r="X233" s="158" t="s">
        <v>601</v>
      </c>
      <c r="Y233" s="104" t="s">
        <v>357</v>
      </c>
      <c r="Z233" s="104"/>
      <c r="AA233" s="104">
        <f>Y223</f>
        <v>892000</v>
      </c>
      <c r="AB233" s="136"/>
      <c r="AC233" s="38"/>
      <c r="AD233" s="38"/>
      <c r="AE233" s="38"/>
      <c r="AF233" s="38"/>
      <c r="AG233" s="38"/>
      <c r="AH233" s="796" t="s">
        <v>857</v>
      </c>
      <c r="AI233" s="38">
        <f>AI231-AJ229</f>
        <v>20920717.259999998</v>
      </c>
      <c r="AJ233" s="38"/>
    </row>
    <row r="234" spans="1:38">
      <c r="D234" s="161"/>
      <c r="E234" s="712"/>
      <c r="F234" s="713"/>
      <c r="G234" s="714"/>
      <c r="H234" s="714"/>
      <c r="J234" s="637"/>
      <c r="K234" s="714"/>
      <c r="L234" s="173"/>
      <c r="M234" s="731"/>
      <c r="N234" s="38"/>
      <c r="O234" s="33"/>
      <c r="P234" s="38"/>
      <c r="Q234" s="139"/>
      <c r="R234" s="139"/>
      <c r="S234" s="139"/>
      <c r="T234" s="139"/>
      <c r="U234" s="139"/>
      <c r="V234" s="139"/>
      <c r="W234" s="169"/>
      <c r="X234" s="415"/>
      <c r="Y234" s="104" t="s">
        <v>358</v>
      </c>
      <c r="Z234" s="104"/>
      <c r="AA234" s="104">
        <f>AB223</f>
        <v>0</v>
      </c>
      <c r="AB234" s="136"/>
      <c r="AC234" s="38"/>
      <c r="AD234" s="38"/>
      <c r="AE234" s="38"/>
      <c r="AF234" s="38"/>
      <c r="AG234" s="38"/>
      <c r="AH234" s="38"/>
      <c r="AI234" s="38"/>
      <c r="AJ234" s="38"/>
    </row>
    <row r="235" spans="1:38">
      <c r="E235" s="712"/>
      <c r="F235" s="713"/>
      <c r="G235" s="714"/>
      <c r="H235" s="714"/>
      <c r="J235" s="658">
        <f>SUM(AD227:AJ227)</f>
        <v>21133578.850000001</v>
      </c>
      <c r="K235" s="714" t="s">
        <v>518</v>
      </c>
      <c r="L235" s="732"/>
      <c r="M235" s="637"/>
      <c r="N235" s="38"/>
      <c r="O235" s="33"/>
      <c r="P235" s="38"/>
      <c r="Q235" s="139"/>
      <c r="R235" s="139"/>
      <c r="S235" s="139"/>
      <c r="T235" s="139"/>
      <c r="U235" s="139"/>
      <c r="V235" s="139"/>
      <c r="W235" s="169"/>
      <c r="X235" s="415"/>
      <c r="Y235" s="104"/>
      <c r="Z235" s="104"/>
      <c r="AA235" s="104"/>
      <c r="AB235" s="136"/>
      <c r="AC235" s="38"/>
      <c r="AD235" s="38"/>
      <c r="AE235" s="38"/>
      <c r="AF235" s="38"/>
      <c r="AG235" s="38"/>
      <c r="AH235" s="38"/>
      <c r="AI235" s="38"/>
      <c r="AJ235" s="38"/>
    </row>
    <row r="236" spans="1:38" ht="13" thickBot="1">
      <c r="E236" s="712"/>
      <c r="F236" s="713"/>
      <c r="G236" s="714"/>
      <c r="H236" s="714"/>
      <c r="J236" s="169"/>
      <c r="K236" s="714" t="s">
        <v>454</v>
      </c>
      <c r="L236" s="733"/>
      <c r="M236" s="795"/>
      <c r="N236" s="38"/>
      <c r="O236" s="33"/>
      <c r="P236" s="38"/>
      <c r="Q236" s="139"/>
      <c r="R236" s="139"/>
      <c r="S236" s="139"/>
      <c r="T236" s="139"/>
      <c r="U236" s="139"/>
      <c r="V236" s="139"/>
      <c r="W236" s="169"/>
      <c r="X236" s="158" t="s">
        <v>602</v>
      </c>
      <c r="Y236" s="488" t="s">
        <v>359</v>
      </c>
      <c r="Z236" s="488"/>
      <c r="AA236" s="488">
        <f>Z223</f>
        <v>107058</v>
      </c>
      <c r="AB236" s="414"/>
      <c r="AC236" s="38"/>
      <c r="AD236" s="38"/>
      <c r="AE236" s="38"/>
      <c r="AF236" s="38"/>
      <c r="AG236" s="38"/>
      <c r="AH236" s="38"/>
      <c r="AI236" s="38"/>
      <c r="AJ236" s="38"/>
    </row>
    <row r="237" spans="1:38" ht="15" thickBot="1">
      <c r="E237" s="712"/>
      <c r="F237" s="713"/>
      <c r="G237" s="714"/>
      <c r="H237" s="714"/>
      <c r="J237" s="736"/>
      <c r="K237" s="714" t="s">
        <v>519</v>
      </c>
      <c r="L237" s="169"/>
      <c r="M237" s="169"/>
      <c r="N237" s="38"/>
      <c r="O237" s="33"/>
      <c r="P237" s="38"/>
      <c r="Q237" s="33"/>
      <c r="R237" s="33"/>
      <c r="S237" s="33"/>
      <c r="T237" s="33"/>
      <c r="U237" s="33"/>
      <c r="V237" s="33"/>
      <c r="W237" s="169"/>
      <c r="X237" s="416"/>
      <c r="Y237" s="104"/>
      <c r="Z237" s="80">
        <f>SUM(Z228:Z236)</f>
        <v>19489122</v>
      </c>
      <c r="AA237" s="80">
        <f>SUM(AA228:AA236)</f>
        <v>19489122</v>
      </c>
      <c r="AB237" s="136"/>
      <c r="AC237" s="38"/>
      <c r="AD237" s="38"/>
      <c r="AE237" s="38"/>
      <c r="AF237" s="38"/>
      <c r="AG237" s="38"/>
      <c r="AH237" s="38"/>
      <c r="AI237" s="38"/>
      <c r="AJ237" s="38"/>
    </row>
    <row r="238" spans="1:38">
      <c r="E238" s="712"/>
      <c r="F238" s="713"/>
      <c r="G238" s="714"/>
      <c r="H238" s="714"/>
      <c r="I238" s="714"/>
      <c r="J238" s="169"/>
      <c r="K238" s="169"/>
      <c r="L238" s="169"/>
      <c r="M238" s="169"/>
      <c r="N238" s="38"/>
      <c r="O238" s="33"/>
      <c r="P238" s="38"/>
      <c r="Q238" s="33"/>
      <c r="R238" s="33"/>
      <c r="S238" s="33"/>
      <c r="T238" s="33"/>
      <c r="U238" s="33"/>
      <c r="V238" s="33"/>
      <c r="W238" s="169"/>
      <c r="X238" s="416"/>
      <c r="Y238" s="104"/>
      <c r="Z238" s="104"/>
      <c r="AA238" s="104"/>
      <c r="AB238" s="136"/>
      <c r="AC238" s="38"/>
      <c r="AD238" s="38"/>
      <c r="AE238" s="38"/>
      <c r="AF238" s="38"/>
      <c r="AG238" s="38"/>
      <c r="AH238" s="38"/>
      <c r="AI238" s="38"/>
      <c r="AJ238" s="38"/>
    </row>
    <row r="239" spans="1:38" ht="13" thickBot="1">
      <c r="E239" s="712"/>
      <c r="F239" s="713"/>
      <c r="G239" s="714"/>
      <c r="H239" s="714"/>
      <c r="I239" s="714"/>
      <c r="J239" s="169"/>
      <c r="K239" s="169"/>
      <c r="L239" s="169"/>
      <c r="M239" s="169"/>
      <c r="N239" s="38"/>
      <c r="O239" s="33"/>
      <c r="P239" s="38"/>
      <c r="Q239" s="33"/>
      <c r="R239" s="33"/>
      <c r="S239" s="33"/>
      <c r="T239" s="33"/>
      <c r="U239" s="33"/>
      <c r="V239" s="33"/>
      <c r="W239" s="169"/>
      <c r="X239" s="330"/>
      <c r="Y239" s="279"/>
      <c r="Z239" s="279"/>
      <c r="AA239" s="279"/>
      <c r="AB239" s="280"/>
      <c r="AC239" s="38"/>
      <c r="AD239" s="38"/>
      <c r="AE239" s="38"/>
      <c r="AF239" s="38"/>
      <c r="AG239" s="38"/>
      <c r="AH239" s="38"/>
      <c r="AI239" s="38"/>
      <c r="AJ239" s="38"/>
    </row>
    <row r="240" spans="1:38">
      <c r="E240" s="712"/>
      <c r="F240" s="713"/>
      <c r="G240" s="714"/>
      <c r="H240" s="714"/>
      <c r="I240" s="714"/>
      <c r="J240" s="169"/>
      <c r="K240" s="169"/>
      <c r="L240" s="169"/>
      <c r="M240" s="169"/>
      <c r="N240" s="38"/>
      <c r="O240" s="33"/>
      <c r="P240" s="38"/>
      <c r="Q240" s="33"/>
      <c r="R240" s="33"/>
      <c r="S240" s="33"/>
      <c r="T240" s="33"/>
      <c r="U240" s="33"/>
      <c r="V240" s="33"/>
      <c r="W240" s="169"/>
      <c r="X240" s="104"/>
      <c r="Y240" s="104"/>
      <c r="Z240" s="104"/>
      <c r="AA240" s="104"/>
      <c r="AB240" s="104"/>
      <c r="AC240" s="38"/>
      <c r="AD240" s="38"/>
      <c r="AE240" s="38"/>
      <c r="AF240" s="38"/>
      <c r="AG240" s="38"/>
      <c r="AH240" s="38"/>
      <c r="AI240" s="38"/>
      <c r="AJ240" s="38"/>
    </row>
    <row r="241" spans="5:36">
      <c r="E241" s="712"/>
      <c r="F241" s="713"/>
      <c r="G241" s="714"/>
      <c r="H241" s="714"/>
      <c r="I241" s="714"/>
      <c r="J241" s="169"/>
      <c r="K241" s="169"/>
      <c r="L241" s="169"/>
      <c r="M241" s="169"/>
      <c r="N241" s="38"/>
      <c r="O241" s="33"/>
      <c r="P241" s="38"/>
      <c r="Q241" s="33"/>
      <c r="R241" s="33"/>
      <c r="S241" s="33"/>
      <c r="T241" s="33"/>
      <c r="U241" s="33"/>
      <c r="V241" s="33"/>
      <c r="W241" s="169"/>
      <c r="AC241" s="38"/>
      <c r="AD241" s="38"/>
      <c r="AE241" s="38"/>
      <c r="AF241" s="38"/>
      <c r="AG241" s="38"/>
      <c r="AH241" s="38"/>
      <c r="AI241" s="38"/>
      <c r="AJ241" s="38"/>
    </row>
    <row r="242" spans="5:36">
      <c r="E242" s="712"/>
      <c r="F242" s="713"/>
      <c r="G242" s="714"/>
      <c r="H242" s="714"/>
      <c r="I242" s="714"/>
      <c r="J242" s="169"/>
      <c r="K242" s="169"/>
      <c r="L242" s="169"/>
      <c r="M242" s="169"/>
      <c r="N242" s="38"/>
      <c r="O242" s="33"/>
      <c r="P242" s="38"/>
      <c r="Q242" s="33"/>
      <c r="R242" s="33"/>
      <c r="S242" s="33"/>
      <c r="T242" s="33"/>
      <c r="U242" s="33"/>
      <c r="V242" s="33"/>
      <c r="W242" s="169"/>
      <c r="AC242" s="38"/>
      <c r="AD242" s="38"/>
      <c r="AE242" s="38"/>
      <c r="AF242" s="38"/>
      <c r="AG242" s="38"/>
      <c r="AH242" s="38"/>
      <c r="AI242" s="38"/>
      <c r="AJ242" s="38"/>
    </row>
    <row r="243" spans="5:36">
      <c r="E243" s="712"/>
      <c r="F243" s="713"/>
      <c r="G243" s="714"/>
      <c r="H243" s="714"/>
      <c r="I243" s="714"/>
      <c r="J243" s="169"/>
      <c r="K243" s="169"/>
      <c r="L243" s="169"/>
      <c r="M243" s="169"/>
      <c r="N243" s="38"/>
      <c r="O243" s="33"/>
      <c r="P243" s="38"/>
      <c r="Q243" s="33"/>
      <c r="R243" s="33"/>
      <c r="S243" s="33"/>
      <c r="T243" s="33"/>
      <c r="U243" s="33"/>
      <c r="V243" s="33"/>
      <c r="W243" s="169"/>
      <c r="AC243" s="38"/>
      <c r="AD243" s="38"/>
      <c r="AE243" s="38"/>
      <c r="AF243" s="38"/>
      <c r="AG243" s="38"/>
      <c r="AH243" s="38"/>
      <c r="AI243" s="38"/>
      <c r="AJ243" s="38"/>
    </row>
    <row r="244" spans="5:36">
      <c r="E244" s="712"/>
      <c r="F244" s="713"/>
      <c r="G244" s="714"/>
      <c r="H244" s="714"/>
      <c r="I244" s="714"/>
      <c r="J244" s="169"/>
      <c r="K244" s="169"/>
      <c r="L244" s="169"/>
      <c r="M244" s="169"/>
      <c r="N244" s="38"/>
      <c r="O244" s="33"/>
      <c r="P244" s="38"/>
      <c r="Q244" s="33"/>
      <c r="R244" s="33"/>
      <c r="S244" s="33"/>
      <c r="T244" s="33"/>
      <c r="U244" s="33"/>
      <c r="V244" s="33"/>
      <c r="W244" s="169"/>
      <c r="AC244" s="38"/>
      <c r="AD244" s="38"/>
      <c r="AE244" s="38"/>
      <c r="AF244" s="38"/>
      <c r="AG244" s="38"/>
      <c r="AH244" s="38"/>
      <c r="AI244" s="38"/>
      <c r="AJ244" s="38"/>
    </row>
    <row r="245" spans="5:36">
      <c r="E245" s="712"/>
      <c r="F245" s="713"/>
      <c r="G245" s="714"/>
      <c r="H245" s="714"/>
      <c r="I245" s="714"/>
      <c r="J245" s="169"/>
      <c r="K245" s="169"/>
      <c r="L245" s="169"/>
      <c r="M245" s="169"/>
      <c r="N245" s="38"/>
      <c r="O245" s="33"/>
      <c r="P245" s="38"/>
      <c r="Q245" s="33"/>
      <c r="R245" s="33"/>
      <c r="S245" s="33"/>
      <c r="T245" s="33"/>
      <c r="U245" s="33"/>
      <c r="V245" s="33"/>
      <c r="W245" s="169"/>
      <c r="AC245" s="38"/>
      <c r="AD245" s="38"/>
      <c r="AE245" s="38"/>
      <c r="AF245" s="38"/>
      <c r="AG245" s="38"/>
      <c r="AH245" s="38"/>
      <c r="AI245" s="38"/>
      <c r="AJ245" s="38"/>
    </row>
    <row r="246" spans="5:36">
      <c r="E246" s="712"/>
      <c r="F246" s="713"/>
      <c r="G246" s="714"/>
      <c r="H246" s="714"/>
      <c r="I246" s="714"/>
      <c r="J246" s="169"/>
      <c r="K246" s="169"/>
      <c r="L246" s="169"/>
      <c r="M246" s="169"/>
      <c r="N246" s="38"/>
      <c r="O246" s="33"/>
      <c r="P246" s="38"/>
      <c r="Q246" s="33"/>
      <c r="R246" s="33"/>
      <c r="S246" s="33"/>
      <c r="T246" s="33"/>
      <c r="U246" s="33"/>
      <c r="V246" s="33"/>
      <c r="W246" s="169"/>
      <c r="AC246" s="38"/>
      <c r="AD246" s="38"/>
      <c r="AE246" s="38"/>
      <c r="AF246" s="38"/>
      <c r="AG246" s="38"/>
      <c r="AH246" s="38"/>
      <c r="AI246" s="38"/>
      <c r="AJ246"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246"/>
  <sheetViews>
    <sheetView topLeftCell="A157" workbookViewId="0">
      <selection activeCell="J139" sqref="J139:M140"/>
    </sheetView>
  </sheetViews>
  <sheetFormatPr baseColWidth="10" defaultColWidth="9.3984375" defaultRowHeight="12" outlineLevelCol="1" x14ac:dyDescent="0"/>
  <cols>
    <col min="1" max="1" width="9.796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7.3984375" style="146" customWidth="1"/>
    <col min="16" max="16" width="1.796875" style="16" customWidth="1"/>
    <col min="17" max="17" width="15.3984375" style="146" customWidth="1"/>
    <col min="18" max="19" width="2.3984375" style="146" customWidth="1"/>
    <col min="20" max="20" width="15.3984375" style="146"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4.796875" style="559" bestFit="1" customWidth="1"/>
    <col min="36" max="36" width="14.19921875" style="559" customWidth="1"/>
    <col min="37" max="37" width="9.3984375" style="16"/>
    <col min="38" max="38" width="14.796875" style="16" bestFit="1" customWidth="1"/>
    <col min="39" max="16384" width="9.3984375" style="16"/>
  </cols>
  <sheetData>
    <row r="1" spans="1:36">
      <c r="D1" s="147" t="s">
        <v>71</v>
      </c>
      <c r="F1" s="29"/>
      <c r="G1" s="162"/>
      <c r="H1" s="163"/>
      <c r="I1" s="163"/>
      <c r="J1" s="169"/>
      <c r="K1" s="169"/>
      <c r="L1" s="169"/>
      <c r="M1" s="169"/>
      <c r="N1" s="169"/>
      <c r="W1" s="40"/>
    </row>
    <row r="2" spans="1:36">
      <c r="D2" s="147" t="s">
        <v>858</v>
      </c>
      <c r="F2" s="29"/>
      <c r="G2" s="162"/>
      <c r="H2" s="163"/>
      <c r="I2" s="163"/>
      <c r="J2" s="169"/>
      <c r="K2" s="169"/>
      <c r="L2" s="169"/>
      <c r="M2" s="169"/>
      <c r="N2" s="169"/>
      <c r="W2" s="40"/>
    </row>
    <row r="3" spans="1:36">
      <c r="D3" s="147" t="s">
        <v>949</v>
      </c>
      <c r="F3" s="29"/>
      <c r="G3" s="18"/>
      <c r="H3" s="168"/>
      <c r="I3" s="168"/>
      <c r="J3" s="169"/>
      <c r="K3" s="169"/>
      <c r="L3" s="169"/>
      <c r="M3" s="169"/>
      <c r="N3" s="169"/>
    </row>
    <row r="4" spans="1:36">
      <c r="D4" s="148"/>
      <c r="G4" s="164"/>
      <c r="H4" s="168"/>
      <c r="I4" s="168"/>
      <c r="J4" s="169"/>
      <c r="K4" s="169"/>
      <c r="L4" s="169"/>
      <c r="M4" s="169"/>
      <c r="N4" s="169"/>
    </row>
    <row r="5" spans="1:36" ht="13" thickBot="1">
      <c r="D5" s="148"/>
      <c r="G5" s="161"/>
      <c r="H5" s="630"/>
      <c r="I5" s="630"/>
      <c r="J5" s="169"/>
      <c r="K5" s="169"/>
      <c r="L5" s="169"/>
      <c r="M5" s="169"/>
      <c r="N5" s="169"/>
    </row>
    <row r="6" spans="1:36">
      <c r="B6" s="460"/>
      <c r="C6" s="668"/>
      <c r="D6" s="461" t="s">
        <v>84</v>
      </c>
      <c r="E6" s="462" t="s">
        <v>85</v>
      </c>
      <c r="G6" s="161"/>
      <c r="H6" s="630"/>
      <c r="I6" s="630"/>
      <c r="J6" s="169"/>
      <c r="K6" s="169"/>
      <c r="L6" s="169"/>
      <c r="M6" s="169"/>
      <c r="N6" s="169"/>
      <c r="O6" s="152"/>
      <c r="P6" s="18"/>
      <c r="Q6" s="152"/>
      <c r="R6" s="152"/>
      <c r="S6" s="152"/>
      <c r="T6" s="152"/>
      <c r="U6" s="152"/>
      <c r="V6" s="152"/>
    </row>
    <row r="7" spans="1:36">
      <c r="B7" s="459"/>
      <c r="C7" s="113"/>
      <c r="D7" s="458" t="s">
        <v>75</v>
      </c>
      <c r="E7" s="287" t="s">
        <v>115</v>
      </c>
      <c r="F7" s="29"/>
      <c r="G7" s="161"/>
      <c r="H7" s="630"/>
      <c r="I7" s="630"/>
      <c r="J7" s="172"/>
      <c r="K7" s="41"/>
      <c r="L7" s="37"/>
      <c r="M7" s="37"/>
      <c r="W7" s="41"/>
    </row>
    <row r="8" spans="1:36">
      <c r="B8" s="459"/>
      <c r="C8" s="669"/>
      <c r="D8" s="568" t="s">
        <v>73</v>
      </c>
      <c r="E8" s="572" t="s">
        <v>446</v>
      </c>
      <c r="F8" s="29"/>
      <c r="G8" s="164"/>
      <c r="H8" s="630"/>
      <c r="I8" s="630"/>
      <c r="J8" s="75"/>
      <c r="K8" s="41"/>
      <c r="L8" s="77"/>
      <c r="M8" s="77"/>
      <c r="N8" s="27"/>
      <c r="O8" s="151"/>
      <c r="P8" s="27"/>
      <c r="Q8" s="151"/>
      <c r="R8" s="151"/>
      <c r="S8" s="151"/>
      <c r="T8" s="151"/>
      <c r="U8" s="151"/>
      <c r="V8" s="151"/>
      <c r="W8" s="41"/>
    </row>
    <row r="9" spans="1:36">
      <c r="B9" s="459"/>
      <c r="C9" s="113"/>
      <c r="D9" s="458" t="s">
        <v>76</v>
      </c>
      <c r="E9" s="465" t="s">
        <v>79</v>
      </c>
      <c r="F9" s="29"/>
      <c r="G9" s="161"/>
      <c r="H9" s="134"/>
      <c r="I9" s="134"/>
      <c r="J9" s="78"/>
      <c r="L9" s="79"/>
      <c r="M9" s="79"/>
      <c r="N9" s="27"/>
      <c r="O9" s="151"/>
      <c r="P9" s="27"/>
      <c r="Q9" s="151"/>
      <c r="R9" s="151"/>
      <c r="S9" s="151"/>
      <c r="T9" s="151"/>
      <c r="U9" s="151"/>
      <c r="V9" s="151"/>
    </row>
    <row r="10" spans="1:36">
      <c r="B10" s="459"/>
      <c r="C10" s="113"/>
      <c r="D10" s="458" t="s">
        <v>88</v>
      </c>
      <c r="E10" s="468" t="s">
        <v>89</v>
      </c>
      <c r="F10" s="29"/>
      <c r="J10" s="76"/>
      <c r="L10" s="174"/>
      <c r="M10" s="76"/>
      <c r="N10" s="27"/>
      <c r="O10" s="151"/>
      <c r="P10" s="27"/>
      <c r="Q10" s="151"/>
      <c r="R10" s="151"/>
      <c r="S10" s="151"/>
      <c r="T10" s="151"/>
      <c r="U10" s="151"/>
      <c r="V10" s="151"/>
    </row>
    <row r="11" spans="1:36">
      <c r="B11" s="459"/>
      <c r="C11" s="113"/>
      <c r="D11" s="458" t="s">
        <v>116</v>
      </c>
      <c r="E11" s="99" t="s">
        <v>117</v>
      </c>
      <c r="F11" s="29"/>
      <c r="G11" s="166"/>
      <c r="H11" s="145"/>
      <c r="I11" s="145"/>
      <c r="J11" s="76"/>
      <c r="L11" s="173"/>
      <c r="M11" s="173"/>
      <c r="N11" s="27"/>
      <c r="O11" s="151"/>
      <c r="P11" s="27"/>
      <c r="Q11" s="151"/>
      <c r="R11" s="151"/>
      <c r="S11" s="151"/>
      <c r="T11" s="151"/>
      <c r="U11" s="151"/>
      <c r="V11" s="151"/>
    </row>
    <row r="12" spans="1:36" ht="13" thickBot="1">
      <c r="B12" s="469"/>
      <c r="C12" s="670"/>
      <c r="D12" s="470" t="s">
        <v>103</v>
      </c>
      <c r="E12" s="471" t="s">
        <v>101</v>
      </c>
      <c r="F12" s="29"/>
      <c r="G12" s="166"/>
      <c r="H12" s="150"/>
      <c r="I12" s="150"/>
      <c r="J12" s="76"/>
    </row>
    <row r="13" spans="1:36" ht="13" thickBot="1">
      <c r="A13" s="152"/>
      <c r="B13" s="152"/>
      <c r="C13" s="67"/>
      <c r="D13" s="54"/>
      <c r="E13" s="34"/>
      <c r="G13" s="167"/>
      <c r="H13" s="49"/>
      <c r="I13" s="49"/>
      <c r="J13" s="50"/>
      <c r="K13" s="50"/>
      <c r="L13" s="50"/>
      <c r="M13" s="745"/>
      <c r="N13" s="146"/>
      <c r="P13" s="146"/>
      <c r="W13" s="50"/>
      <c r="X13" s="33"/>
      <c r="Y13" s="33"/>
      <c r="Z13" s="33"/>
      <c r="AA13" s="33"/>
    </row>
    <row r="14" spans="1:36" ht="13" thickBot="1">
      <c r="D14" s="526"/>
      <c r="E14" s="582" t="s">
        <v>950</v>
      </c>
      <c r="F14" s="583" t="s">
        <v>289</v>
      </c>
      <c r="G14" s="96"/>
      <c r="H14" s="96"/>
      <c r="I14" s="96"/>
      <c r="J14" s="96" t="s">
        <v>290</v>
      </c>
      <c r="K14" s="581"/>
      <c r="L14" s="96" t="s">
        <v>290</v>
      </c>
      <c r="M14" s="96" t="s">
        <v>290</v>
      </c>
      <c r="N14" s="93"/>
      <c r="O14" s="96"/>
      <c r="P14" s="93"/>
      <c r="Q14" s="13"/>
      <c r="R14" s="13"/>
      <c r="S14" s="13"/>
      <c r="T14" s="96"/>
      <c r="U14" s="101"/>
      <c r="V14" s="96"/>
      <c r="W14" s="93"/>
      <c r="X14" s="96"/>
      <c r="Y14" s="96"/>
      <c r="Z14" s="304"/>
      <c r="AA14" s="304"/>
      <c r="AB14" s="304"/>
      <c r="AE14" s="560" t="s">
        <v>266</v>
      </c>
      <c r="AI14" s="561" t="s">
        <v>267</v>
      </c>
    </row>
    <row r="15" spans="1:36" ht="13" thickBot="1">
      <c r="A15" s="22" t="s">
        <v>95</v>
      </c>
      <c r="B15" s="22" t="s">
        <v>100</v>
      </c>
      <c r="C15" s="36" t="s">
        <v>522</v>
      </c>
      <c r="D15" s="36" t="s">
        <v>67</v>
      </c>
      <c r="E15" s="450" t="s">
        <v>230</v>
      </c>
      <c r="F15" s="528" t="s">
        <v>229</v>
      </c>
      <c r="G15" s="176" t="s">
        <v>288</v>
      </c>
      <c r="H15" s="545" t="s">
        <v>289</v>
      </c>
      <c r="I15" s="758" t="s">
        <v>290</v>
      </c>
      <c r="J15" s="313" t="s">
        <v>105</v>
      </c>
      <c r="K15" s="93"/>
      <c r="L15" s="94" t="s">
        <v>104</v>
      </c>
      <c r="M15" s="95" t="s">
        <v>106</v>
      </c>
      <c r="N15" s="102"/>
      <c r="O15" s="427" t="s">
        <v>839</v>
      </c>
      <c r="P15" s="102"/>
      <c r="Q15" s="313" t="s">
        <v>951</v>
      </c>
      <c r="R15" s="313" t="s">
        <v>946</v>
      </c>
      <c r="S15" s="313" t="s">
        <v>947</v>
      </c>
      <c r="T15" s="156" t="s">
        <v>952</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6">
      <c r="A16" s="372" t="s">
        <v>109</v>
      </c>
      <c r="B16" s="472" t="s">
        <v>109</v>
      </c>
      <c r="C16" s="666"/>
      <c r="D16" s="373" t="s">
        <v>382</v>
      </c>
      <c r="E16" s="679"/>
      <c r="F16" s="529">
        <f>VLOOKUP(D16,'May 2013 Revenue'!D:V,19,FALSE)</f>
        <v>0</v>
      </c>
      <c r="G16" s="680"/>
      <c r="H16" s="680"/>
      <c r="I16" s="755"/>
      <c r="J16" s="682">
        <f t="shared" ref="J16:J55" si="0">SUM(E16:I16)</f>
        <v>0</v>
      </c>
      <c r="K16" s="683"/>
      <c r="L16" s="684"/>
      <c r="M16" s="753"/>
      <c r="N16" s="683">
        <v>0</v>
      </c>
      <c r="O16" s="686"/>
      <c r="P16" s="683">
        <v>0</v>
      </c>
      <c r="Q16" s="687">
        <f t="shared" ref="Q16:Q140" si="1">L16+M16</f>
        <v>0</v>
      </c>
      <c r="R16" s="687"/>
      <c r="S16" s="687"/>
      <c r="T16" s="688">
        <v>0</v>
      </c>
      <c r="U16" s="689"/>
      <c r="V16" s="690">
        <f t="shared" ref="V16:V79" si="2">IF(T16="","",T16-Q16)</f>
        <v>0</v>
      </c>
      <c r="W16" s="691"/>
      <c r="X16" s="474">
        <f t="shared" ref="X16:X80" si="3">IF(B16="D",Q16,0)</f>
        <v>0</v>
      </c>
      <c r="Y16" s="474">
        <f t="shared" ref="Y16:Y80" si="4">IF(B16="M",Q16,0)</f>
        <v>0</v>
      </c>
      <c r="Z16" s="475">
        <f t="shared" ref="Z16:Z80" si="5">IF(B16="V",Q16,0)</f>
        <v>0</v>
      </c>
      <c r="AA16" s="475">
        <v>0</v>
      </c>
      <c r="AB16" s="476">
        <v>0</v>
      </c>
      <c r="AC16" s="38">
        <f t="shared" ref="AC16:AC80" si="6">(L16+M16)-(X16+Y16+Z16+AA16+AB16)</f>
        <v>0</v>
      </c>
      <c r="AD16" s="692">
        <f t="shared" ref="AD16:AD79" si="7">IF(B16="D",J16,0)</f>
        <v>0</v>
      </c>
      <c r="AE16" s="692">
        <f t="shared" ref="AE16:AE79" si="8">IF(B16="M",J16,0)</f>
        <v>0</v>
      </c>
      <c r="AF16" s="692">
        <f t="shared" ref="AF16:AF79" si="9">IF(B16="V",J16,0)</f>
        <v>0</v>
      </c>
      <c r="AG16" s="38"/>
      <c r="AH16" s="692">
        <f t="shared" ref="AH16:AH80" si="10">IF(B16="D",Q16,0)</f>
        <v>0</v>
      </c>
      <c r="AI16" s="692">
        <f t="shared" ref="AI16:AI80" si="11">IF(B16="M",Q16,0)</f>
        <v>0</v>
      </c>
      <c r="AJ16" s="692">
        <f t="shared" ref="AJ16:AJ80" si="12">IF(B16="V",Q16,0)</f>
        <v>0</v>
      </c>
    </row>
    <row r="17" spans="1:38">
      <c r="A17" s="20" t="s">
        <v>109</v>
      </c>
      <c r="B17" s="20" t="s">
        <v>110</v>
      </c>
      <c r="C17" s="671" t="s">
        <v>523</v>
      </c>
      <c r="D17" s="123" t="s">
        <v>317</v>
      </c>
      <c r="E17" s="679"/>
      <c r="F17" s="529">
        <f>VLOOKUP(D17,'May 2013 Revenue'!D:V,19,FALSE)</f>
        <v>2792.9799999999996</v>
      </c>
      <c r="G17" s="680"/>
      <c r="H17" s="680"/>
      <c r="I17" s="755"/>
      <c r="J17" s="682">
        <f t="shared" si="0"/>
        <v>2792.9799999999996</v>
      </c>
      <c r="K17" s="683"/>
      <c r="L17" s="684"/>
      <c r="M17" s="753">
        <v>10000</v>
      </c>
      <c r="N17" s="683">
        <v>0</v>
      </c>
      <c r="O17" s="686"/>
      <c r="P17" s="683">
        <v>0</v>
      </c>
      <c r="Q17" s="687">
        <f t="shared" si="1"/>
        <v>10000</v>
      </c>
      <c r="R17" s="687"/>
      <c r="S17" s="687"/>
      <c r="T17" s="688">
        <f>8799.2+2640.68</f>
        <v>11439.880000000001</v>
      </c>
      <c r="U17" s="693"/>
      <c r="V17" s="690">
        <f t="shared" si="2"/>
        <v>1439.880000000001</v>
      </c>
      <c r="W17" s="683"/>
      <c r="X17" s="474">
        <f t="shared" si="3"/>
        <v>10000</v>
      </c>
      <c r="Y17" s="474">
        <f t="shared" si="4"/>
        <v>0</v>
      </c>
      <c r="Z17" s="475">
        <f t="shared" si="5"/>
        <v>0</v>
      </c>
      <c r="AA17" s="475">
        <v>0</v>
      </c>
      <c r="AB17" s="476">
        <v>0</v>
      </c>
      <c r="AC17" s="38">
        <f t="shared" si="6"/>
        <v>0</v>
      </c>
      <c r="AD17" s="692">
        <f t="shared" si="7"/>
        <v>2792.9799999999996</v>
      </c>
      <c r="AE17" s="692">
        <f t="shared" si="8"/>
        <v>0</v>
      </c>
      <c r="AF17" s="692">
        <f t="shared" si="9"/>
        <v>0</v>
      </c>
      <c r="AG17" s="38"/>
      <c r="AH17" s="692">
        <f t="shared" si="10"/>
        <v>10000</v>
      </c>
      <c r="AI17" s="692">
        <f t="shared" si="11"/>
        <v>0</v>
      </c>
      <c r="AJ17" s="692">
        <f t="shared" si="12"/>
        <v>0</v>
      </c>
      <c r="AL17" s="38">
        <f>SUM(AD17:AJ17)</f>
        <v>12792.98</v>
      </c>
    </row>
    <row r="18" spans="1:38">
      <c r="A18" s="20" t="s">
        <v>109</v>
      </c>
      <c r="B18" s="20" t="s">
        <v>109</v>
      </c>
      <c r="C18" s="671" t="s">
        <v>523</v>
      </c>
      <c r="D18" s="68" t="s">
        <v>393</v>
      </c>
      <c r="E18" s="679"/>
      <c r="F18" s="529">
        <f>VLOOKUP(D18,'May 2013 Revenue'!D:V,19,FALSE)</f>
        <v>1852.760000000002</v>
      </c>
      <c r="G18" s="680"/>
      <c r="H18" s="680"/>
      <c r="I18" s="755"/>
      <c r="J18" s="682">
        <f t="shared" si="0"/>
        <v>1852.760000000002</v>
      </c>
      <c r="K18" s="683"/>
      <c r="L18" s="684"/>
      <c r="M18" s="753">
        <v>40000</v>
      </c>
      <c r="N18" s="683">
        <v>0</v>
      </c>
      <c r="O18" s="686"/>
      <c r="P18" s="683">
        <v>0</v>
      </c>
      <c r="Q18" s="687">
        <f t="shared" si="1"/>
        <v>40000</v>
      </c>
      <c r="R18" s="687"/>
      <c r="S18" s="687"/>
      <c r="T18" s="688">
        <v>43318.12</v>
      </c>
      <c r="U18" s="693"/>
      <c r="V18" s="690">
        <f t="shared" si="2"/>
        <v>3318.1200000000026</v>
      </c>
      <c r="W18" s="683"/>
      <c r="X18" s="474">
        <f t="shared" si="3"/>
        <v>0</v>
      </c>
      <c r="Y18" s="474">
        <f t="shared" si="4"/>
        <v>40000</v>
      </c>
      <c r="Z18" s="475">
        <f t="shared" si="5"/>
        <v>0</v>
      </c>
      <c r="AA18" s="475">
        <v>0</v>
      </c>
      <c r="AB18" s="476">
        <v>0</v>
      </c>
      <c r="AC18" s="38">
        <f t="shared" si="6"/>
        <v>0</v>
      </c>
      <c r="AD18" s="692">
        <f t="shared" si="7"/>
        <v>0</v>
      </c>
      <c r="AE18" s="692">
        <f t="shared" si="8"/>
        <v>1852.760000000002</v>
      </c>
      <c r="AF18" s="692">
        <f t="shared" si="9"/>
        <v>0</v>
      </c>
      <c r="AG18" s="38"/>
      <c r="AH18" s="692">
        <f t="shared" si="10"/>
        <v>0</v>
      </c>
      <c r="AI18" s="692">
        <f t="shared" si="11"/>
        <v>40000</v>
      </c>
      <c r="AJ18" s="692">
        <f t="shared" si="12"/>
        <v>0</v>
      </c>
      <c r="AL18" s="38">
        <f t="shared" ref="AL18:AL81" si="13">SUM(AD18:AJ18)</f>
        <v>41852.76</v>
      </c>
    </row>
    <row r="19" spans="1:38">
      <c r="A19" s="20" t="s">
        <v>109</v>
      </c>
      <c r="B19" s="20" t="s">
        <v>109</v>
      </c>
      <c r="C19" s="671" t="s">
        <v>523</v>
      </c>
      <c r="D19" s="68" t="s">
        <v>129</v>
      </c>
      <c r="E19" s="679"/>
      <c r="F19" s="529">
        <f>VLOOKUP(D19,'May 2013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row>
    <row r="20" spans="1:38">
      <c r="A20" s="20" t="s">
        <v>109</v>
      </c>
      <c r="B20" s="20" t="s">
        <v>109</v>
      </c>
      <c r="C20" s="671" t="s">
        <v>523</v>
      </c>
      <c r="D20" s="351" t="s">
        <v>878</v>
      </c>
      <c r="E20" s="679"/>
      <c r="F20" s="529">
        <f>VLOOKUP(D20,'May 2013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row>
    <row r="21" spans="1:38">
      <c r="A21" s="20"/>
      <c r="B21" s="20" t="s">
        <v>110</v>
      </c>
      <c r="C21" s="667" t="s">
        <v>524</v>
      </c>
      <c r="D21" s="123" t="s">
        <v>380</v>
      </c>
      <c r="E21" s="679"/>
      <c r="F21" s="529">
        <f>VLOOKUP(D21,'May 2013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row>
    <row r="22" spans="1:38">
      <c r="A22" s="20"/>
      <c r="B22" s="20" t="s">
        <v>110</v>
      </c>
      <c r="C22" s="667" t="s">
        <v>524</v>
      </c>
      <c r="D22" s="123" t="s">
        <v>132</v>
      </c>
      <c r="E22" s="679"/>
      <c r="F22" s="529">
        <f>VLOOKUP(D22,'May 2013 Revenue'!D:V,19,FALSE)</f>
        <v>0</v>
      </c>
      <c r="G22" s="680"/>
      <c r="H22" s="680"/>
      <c r="I22" s="755"/>
      <c r="J22" s="682">
        <f t="shared" si="0"/>
        <v>0</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0</v>
      </c>
      <c r="AE22" s="692">
        <f t="shared" si="8"/>
        <v>0</v>
      </c>
      <c r="AF22" s="692">
        <f t="shared" si="9"/>
        <v>0</v>
      </c>
      <c r="AG22" s="38"/>
      <c r="AH22" s="692">
        <f t="shared" si="10"/>
        <v>0</v>
      </c>
      <c r="AI22" s="692">
        <f t="shared" si="11"/>
        <v>0</v>
      </c>
      <c r="AJ22" s="692">
        <f t="shared" si="12"/>
        <v>0</v>
      </c>
      <c r="AL22" s="38">
        <f t="shared" si="13"/>
        <v>0</v>
      </c>
    </row>
    <row r="23" spans="1:38">
      <c r="A23" s="20"/>
      <c r="B23" s="20" t="s">
        <v>110</v>
      </c>
      <c r="C23" s="667" t="s">
        <v>524</v>
      </c>
      <c r="D23" s="123" t="s">
        <v>133</v>
      </c>
      <c r="E23" s="679"/>
      <c r="F23" s="529">
        <f>VLOOKUP(D23,'May 2013 Revenue'!D:V,19,FALSE)</f>
        <v>-10000</v>
      </c>
      <c r="G23" s="680"/>
      <c r="H23" s="680"/>
      <c r="I23" s="755"/>
      <c r="J23" s="682">
        <f t="shared" si="0"/>
        <v>-10000</v>
      </c>
      <c r="K23" s="683"/>
      <c r="L23" s="684"/>
      <c r="M23" s="753">
        <v>15000</v>
      </c>
      <c r="N23" s="683">
        <v>0</v>
      </c>
      <c r="O23" s="686"/>
      <c r="P23" s="683">
        <v>0</v>
      </c>
      <c r="Q23" s="687">
        <f t="shared" si="1"/>
        <v>15000</v>
      </c>
      <c r="R23" s="687"/>
      <c r="S23" s="687"/>
      <c r="T23" s="688">
        <v>0</v>
      </c>
      <c r="U23" s="693"/>
      <c r="V23" s="690">
        <f t="shared" si="2"/>
        <v>-15000</v>
      </c>
      <c r="W23" s="683"/>
      <c r="X23" s="474">
        <f t="shared" si="3"/>
        <v>15000</v>
      </c>
      <c r="Y23" s="474">
        <f t="shared" si="4"/>
        <v>0</v>
      </c>
      <c r="Z23" s="475">
        <f t="shared" si="5"/>
        <v>0</v>
      </c>
      <c r="AA23" s="475">
        <v>0</v>
      </c>
      <c r="AB23" s="476">
        <v>0</v>
      </c>
      <c r="AC23" s="38">
        <f t="shared" si="6"/>
        <v>0</v>
      </c>
      <c r="AD23" s="692">
        <f t="shared" si="7"/>
        <v>-10000</v>
      </c>
      <c r="AE23" s="692">
        <f t="shared" si="8"/>
        <v>0</v>
      </c>
      <c r="AF23" s="692">
        <f t="shared" si="9"/>
        <v>0</v>
      </c>
      <c r="AG23" s="38"/>
      <c r="AH23" s="692">
        <f t="shared" si="10"/>
        <v>15000</v>
      </c>
      <c r="AI23" s="692">
        <f t="shared" si="11"/>
        <v>0</v>
      </c>
      <c r="AJ23" s="692">
        <f t="shared" si="12"/>
        <v>0</v>
      </c>
      <c r="AL23" s="38">
        <f t="shared" si="13"/>
        <v>5000</v>
      </c>
    </row>
    <row r="24" spans="1:38" s="232" customFormat="1">
      <c r="A24" s="283" t="s">
        <v>211</v>
      </c>
      <c r="B24" s="283" t="s">
        <v>109</v>
      </c>
      <c r="C24" s="667" t="s">
        <v>525</v>
      </c>
      <c r="D24" s="123" t="s">
        <v>419</v>
      </c>
      <c r="E24" s="679"/>
      <c r="F24" s="529">
        <f>VLOOKUP(D24,'May 2013 Revenue'!D:V,19,FALSE)</f>
        <v>-16000</v>
      </c>
      <c r="G24" s="680"/>
      <c r="H24" s="680"/>
      <c r="I24" s="755"/>
      <c r="J24" s="682">
        <f t="shared" si="0"/>
        <v>-16000</v>
      </c>
      <c r="K24" s="683"/>
      <c r="L24" s="684"/>
      <c r="M24" s="753">
        <v>25000</v>
      </c>
      <c r="N24" s="683">
        <v>0</v>
      </c>
      <c r="O24" s="686"/>
      <c r="P24" s="683">
        <v>0</v>
      </c>
      <c r="Q24" s="687">
        <f t="shared" si="1"/>
        <v>25000</v>
      </c>
      <c r="R24" s="687"/>
      <c r="S24" s="687"/>
      <c r="T24" s="688">
        <v>0</v>
      </c>
      <c r="U24" s="693"/>
      <c r="V24" s="690">
        <f t="shared" si="2"/>
        <v>-25000</v>
      </c>
      <c r="W24" s="683"/>
      <c r="X24" s="474">
        <f t="shared" si="3"/>
        <v>0</v>
      </c>
      <c r="Y24" s="474">
        <f t="shared" si="4"/>
        <v>25000</v>
      </c>
      <c r="Z24" s="475">
        <f t="shared" si="5"/>
        <v>0</v>
      </c>
      <c r="AA24" s="475">
        <v>0</v>
      </c>
      <c r="AB24" s="476">
        <v>0</v>
      </c>
      <c r="AC24" s="38">
        <f t="shared" si="6"/>
        <v>0</v>
      </c>
      <c r="AD24" s="692">
        <f t="shared" si="7"/>
        <v>0</v>
      </c>
      <c r="AE24" s="692">
        <f t="shared" si="8"/>
        <v>-16000</v>
      </c>
      <c r="AF24" s="692">
        <f t="shared" si="9"/>
        <v>0</v>
      </c>
      <c r="AG24" s="38"/>
      <c r="AH24" s="692">
        <f t="shared" si="10"/>
        <v>0</v>
      </c>
      <c r="AI24" s="692">
        <f t="shared" si="11"/>
        <v>25000</v>
      </c>
      <c r="AJ24" s="692">
        <f t="shared" si="12"/>
        <v>0</v>
      </c>
      <c r="AL24" s="38">
        <f t="shared" si="13"/>
        <v>9000</v>
      </c>
    </row>
    <row r="25" spans="1:38">
      <c r="A25" s="20"/>
      <c r="B25" s="20" t="s">
        <v>110</v>
      </c>
      <c r="C25" s="667"/>
      <c r="D25" s="68" t="s">
        <v>922</v>
      </c>
      <c r="E25" s="679"/>
      <c r="F25" s="529">
        <f>VLOOKUP(D25,'May 2013 Revenue'!D:V,19,FALSE)</f>
        <v>0</v>
      </c>
      <c r="G25" s="680"/>
      <c r="H25" s="680"/>
      <c r="I25" s="755"/>
      <c r="J25" s="682">
        <f t="shared" si="0"/>
        <v>0</v>
      </c>
      <c r="K25" s="683"/>
      <c r="L25" s="684"/>
      <c r="M25" s="753"/>
      <c r="N25" s="683">
        <v>0</v>
      </c>
      <c r="O25" s="686"/>
      <c r="P25" s="683">
        <v>0</v>
      </c>
      <c r="Q25" s="687">
        <f t="shared" si="1"/>
        <v>0</v>
      </c>
      <c r="R25" s="687"/>
      <c r="S25" s="687"/>
      <c r="T25" s="688">
        <v>0</v>
      </c>
      <c r="U25" s="693"/>
      <c r="V25" s="690">
        <f t="shared" si="2"/>
        <v>0</v>
      </c>
      <c r="W25" s="683"/>
      <c r="X25" s="474">
        <f t="shared" si="3"/>
        <v>0</v>
      </c>
      <c r="Y25" s="474">
        <f t="shared" si="4"/>
        <v>0</v>
      </c>
      <c r="Z25" s="475">
        <f t="shared" si="5"/>
        <v>0</v>
      </c>
      <c r="AA25" s="475">
        <v>0</v>
      </c>
      <c r="AB25" s="476">
        <v>0</v>
      </c>
      <c r="AC25" s="38">
        <f t="shared" si="6"/>
        <v>0</v>
      </c>
      <c r="AD25" s="692">
        <f t="shared" si="7"/>
        <v>0</v>
      </c>
      <c r="AE25" s="692">
        <f t="shared" si="8"/>
        <v>0</v>
      </c>
      <c r="AF25" s="692">
        <f t="shared" si="9"/>
        <v>0</v>
      </c>
      <c r="AG25" s="38"/>
      <c r="AH25" s="692">
        <f t="shared" si="10"/>
        <v>0</v>
      </c>
      <c r="AI25" s="692">
        <f t="shared" si="11"/>
        <v>0</v>
      </c>
      <c r="AJ25" s="692">
        <f t="shared" si="12"/>
        <v>0</v>
      </c>
      <c r="AL25" s="38">
        <f t="shared" si="13"/>
        <v>0</v>
      </c>
    </row>
    <row r="26" spans="1:38">
      <c r="A26" s="20"/>
      <c r="B26" s="20" t="s">
        <v>110</v>
      </c>
      <c r="C26" s="667"/>
      <c r="D26" s="68" t="s">
        <v>589</v>
      </c>
      <c r="E26" s="679"/>
      <c r="F26" s="529">
        <f>VLOOKUP(D26,'May 2013 Revenue'!D:V,19,FALSE)</f>
        <v>-16000</v>
      </c>
      <c r="G26" s="680"/>
      <c r="H26" s="680"/>
      <c r="I26" s="755"/>
      <c r="J26" s="682">
        <f t="shared" si="0"/>
        <v>-16000</v>
      </c>
      <c r="K26" s="683"/>
      <c r="L26" s="684"/>
      <c r="M26" s="753">
        <v>25000</v>
      </c>
      <c r="N26" s="683">
        <v>0</v>
      </c>
      <c r="O26" s="686"/>
      <c r="P26" s="683">
        <v>0</v>
      </c>
      <c r="Q26" s="687">
        <f t="shared" si="1"/>
        <v>25000</v>
      </c>
      <c r="R26" s="687"/>
      <c r="S26" s="687"/>
      <c r="T26" s="688">
        <v>22466.09</v>
      </c>
      <c r="U26" s="693"/>
      <c r="V26" s="690">
        <f t="shared" si="2"/>
        <v>-2533.91</v>
      </c>
      <c r="W26" s="683"/>
      <c r="X26" s="474">
        <f t="shared" si="3"/>
        <v>25000</v>
      </c>
      <c r="Y26" s="474">
        <f t="shared" si="4"/>
        <v>0</v>
      </c>
      <c r="Z26" s="475">
        <f t="shared" si="5"/>
        <v>0</v>
      </c>
      <c r="AA26" s="475">
        <v>0</v>
      </c>
      <c r="AB26" s="476">
        <v>0</v>
      </c>
      <c r="AC26" s="38">
        <f t="shared" si="6"/>
        <v>0</v>
      </c>
      <c r="AD26" s="692">
        <f t="shared" si="7"/>
        <v>-16000</v>
      </c>
      <c r="AE26" s="692">
        <f t="shared" si="8"/>
        <v>0</v>
      </c>
      <c r="AF26" s="692">
        <f t="shared" si="9"/>
        <v>0</v>
      </c>
      <c r="AG26" s="38"/>
      <c r="AH26" s="692">
        <f t="shared" si="10"/>
        <v>25000</v>
      </c>
      <c r="AI26" s="692">
        <f t="shared" si="11"/>
        <v>0</v>
      </c>
      <c r="AJ26" s="692">
        <f t="shared" si="12"/>
        <v>0</v>
      </c>
      <c r="AL26" s="38">
        <f t="shared" si="13"/>
        <v>9000</v>
      </c>
    </row>
    <row r="27" spans="1:38">
      <c r="A27" s="20"/>
      <c r="B27" s="20" t="s">
        <v>110</v>
      </c>
      <c r="C27" s="667"/>
      <c r="D27" s="68" t="s">
        <v>829</v>
      </c>
      <c r="E27" s="679"/>
      <c r="F27" s="529">
        <f>VLOOKUP(D27,'May 2013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row>
    <row r="28" spans="1:38">
      <c r="A28" s="20"/>
      <c r="B28" s="20" t="s">
        <v>109</v>
      </c>
      <c r="C28" s="667" t="s">
        <v>526</v>
      </c>
      <c r="D28" s="68" t="s">
        <v>385</v>
      </c>
      <c r="E28" s="679"/>
      <c r="F28" s="529">
        <f>VLOOKUP(D28,'May 2013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91"/>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row>
    <row r="29" spans="1:38" s="232" customFormat="1">
      <c r="A29" s="283"/>
      <c r="B29" s="283" t="s">
        <v>110</v>
      </c>
      <c r="C29" s="667" t="s">
        <v>527</v>
      </c>
      <c r="D29" s="123" t="s">
        <v>401</v>
      </c>
      <c r="E29" s="679"/>
      <c r="F29" s="529">
        <f>VLOOKUP(D29,'May 2013 Revenue'!D:V,19,FALSE)</f>
        <v>260227.5</v>
      </c>
      <c r="G29" s="680"/>
      <c r="H29" s="680"/>
      <c r="I29" s="755"/>
      <c r="J29" s="682">
        <f t="shared" si="0"/>
        <v>260227.5</v>
      </c>
      <c r="K29" s="683"/>
      <c r="L29" s="684"/>
      <c r="M29" s="753">
        <v>800000</v>
      </c>
      <c r="N29" s="683">
        <v>0</v>
      </c>
      <c r="O29" s="686"/>
      <c r="P29" s="683">
        <v>0</v>
      </c>
      <c r="Q29" s="687">
        <f t="shared" si="1"/>
        <v>800000</v>
      </c>
      <c r="R29" s="687"/>
      <c r="S29" s="687"/>
      <c r="T29" s="688">
        <v>914358.6</v>
      </c>
      <c r="U29" s="693"/>
      <c r="V29" s="690">
        <f t="shared" si="2"/>
        <v>114358.59999999998</v>
      </c>
      <c r="W29" s="683"/>
      <c r="X29" s="474">
        <f t="shared" si="3"/>
        <v>800000</v>
      </c>
      <c r="Y29" s="474">
        <f t="shared" si="4"/>
        <v>0</v>
      </c>
      <c r="Z29" s="475">
        <f t="shared" si="5"/>
        <v>0</v>
      </c>
      <c r="AA29" s="475">
        <v>0</v>
      </c>
      <c r="AB29" s="476">
        <v>0</v>
      </c>
      <c r="AC29" s="38">
        <f t="shared" si="6"/>
        <v>0</v>
      </c>
      <c r="AD29" s="692">
        <f t="shared" si="7"/>
        <v>260227.5</v>
      </c>
      <c r="AE29" s="692">
        <f t="shared" si="8"/>
        <v>0</v>
      </c>
      <c r="AF29" s="692">
        <f t="shared" si="9"/>
        <v>0</v>
      </c>
      <c r="AG29" s="38"/>
      <c r="AH29" s="692">
        <f t="shared" si="10"/>
        <v>800000</v>
      </c>
      <c r="AI29" s="692">
        <f t="shared" si="11"/>
        <v>0</v>
      </c>
      <c r="AJ29" s="692">
        <f t="shared" si="12"/>
        <v>0</v>
      </c>
      <c r="AL29" s="38">
        <f t="shared" si="13"/>
        <v>1060227.5</v>
      </c>
    </row>
    <row r="30" spans="1:38" s="232" customFormat="1">
      <c r="A30" s="283"/>
      <c r="B30" s="283" t="s">
        <v>110</v>
      </c>
      <c r="C30" s="667" t="s">
        <v>528</v>
      </c>
      <c r="D30" s="123" t="s">
        <v>403</v>
      </c>
      <c r="E30" s="679"/>
      <c r="F30" s="529">
        <f>VLOOKUP(D30,'May 2013 Revenue'!D:V,19,FALSE)</f>
        <v>40364.760000000009</v>
      </c>
      <c r="G30" s="680"/>
      <c r="H30" s="680"/>
      <c r="I30" s="755"/>
      <c r="J30" s="682">
        <f t="shared" si="0"/>
        <v>40364.760000000009</v>
      </c>
      <c r="K30" s="683"/>
      <c r="L30" s="684"/>
      <c r="M30" s="753">
        <v>150000</v>
      </c>
      <c r="N30" s="683">
        <v>0</v>
      </c>
      <c r="O30" s="686"/>
      <c r="P30" s="683">
        <v>0</v>
      </c>
      <c r="Q30" s="687">
        <f t="shared" si="1"/>
        <v>150000</v>
      </c>
      <c r="R30" s="687"/>
      <c r="S30" s="687"/>
      <c r="T30" s="688">
        <v>149342.78</v>
      </c>
      <c r="U30" s="693"/>
      <c r="V30" s="690">
        <f t="shared" si="2"/>
        <v>-657.22000000000116</v>
      </c>
      <c r="W30" s="683"/>
      <c r="X30" s="474">
        <f t="shared" si="3"/>
        <v>150000</v>
      </c>
      <c r="Y30" s="474">
        <f t="shared" si="4"/>
        <v>0</v>
      </c>
      <c r="Z30" s="475">
        <f t="shared" si="5"/>
        <v>0</v>
      </c>
      <c r="AA30" s="475">
        <v>0</v>
      </c>
      <c r="AB30" s="476">
        <v>0</v>
      </c>
      <c r="AC30" s="38">
        <f t="shared" si="6"/>
        <v>0</v>
      </c>
      <c r="AD30" s="692">
        <f t="shared" si="7"/>
        <v>40364.760000000009</v>
      </c>
      <c r="AE30" s="692">
        <f t="shared" si="8"/>
        <v>0</v>
      </c>
      <c r="AF30" s="692">
        <f t="shared" si="9"/>
        <v>0</v>
      </c>
      <c r="AG30" s="38"/>
      <c r="AH30" s="692">
        <f t="shared" si="10"/>
        <v>150000</v>
      </c>
      <c r="AI30" s="692">
        <f t="shared" si="11"/>
        <v>0</v>
      </c>
      <c r="AJ30" s="692">
        <f t="shared" si="12"/>
        <v>0</v>
      </c>
      <c r="AL30" s="38">
        <f t="shared" si="13"/>
        <v>190364.76</v>
      </c>
    </row>
    <row r="31" spans="1:38" s="232" customFormat="1">
      <c r="A31" s="283"/>
      <c r="B31" s="283" t="s">
        <v>110</v>
      </c>
      <c r="C31" s="667" t="s">
        <v>528</v>
      </c>
      <c r="D31" s="123" t="s">
        <v>404</v>
      </c>
      <c r="E31" s="679"/>
      <c r="F31" s="529">
        <f>VLOOKUP(D31,'May 2013 Revenue'!D:V,19,FALSE)</f>
        <v>43866.31</v>
      </c>
      <c r="G31" s="680"/>
      <c r="H31" s="680"/>
      <c r="I31" s="755"/>
      <c r="J31" s="682">
        <f t="shared" si="0"/>
        <v>43866.31</v>
      </c>
      <c r="K31" s="683"/>
      <c r="L31" s="684"/>
      <c r="M31" s="753">
        <v>150000</v>
      </c>
      <c r="N31" s="683">
        <v>0</v>
      </c>
      <c r="O31" s="686"/>
      <c r="P31" s="683">
        <v>0</v>
      </c>
      <c r="Q31" s="687">
        <f t="shared" si="1"/>
        <v>150000</v>
      </c>
      <c r="R31" s="687"/>
      <c r="S31" s="687"/>
      <c r="T31" s="688">
        <v>154053.82999999999</v>
      </c>
      <c r="U31" s="693"/>
      <c r="V31" s="690">
        <f t="shared" si="2"/>
        <v>4053.8299999999872</v>
      </c>
      <c r="W31" s="683"/>
      <c r="X31" s="474">
        <f t="shared" si="3"/>
        <v>150000</v>
      </c>
      <c r="Y31" s="474">
        <f t="shared" si="4"/>
        <v>0</v>
      </c>
      <c r="Z31" s="475">
        <f t="shared" si="5"/>
        <v>0</v>
      </c>
      <c r="AA31" s="475">
        <v>0</v>
      </c>
      <c r="AB31" s="476">
        <v>0</v>
      </c>
      <c r="AC31" s="38">
        <f t="shared" si="6"/>
        <v>0</v>
      </c>
      <c r="AD31" s="692">
        <f t="shared" si="7"/>
        <v>43866.31</v>
      </c>
      <c r="AE31" s="692">
        <f t="shared" si="8"/>
        <v>0</v>
      </c>
      <c r="AF31" s="692">
        <f t="shared" si="9"/>
        <v>0</v>
      </c>
      <c r="AG31" s="38"/>
      <c r="AH31" s="692">
        <f t="shared" si="10"/>
        <v>150000</v>
      </c>
      <c r="AI31" s="692">
        <f t="shared" si="11"/>
        <v>0</v>
      </c>
      <c r="AJ31" s="692">
        <f t="shared" si="12"/>
        <v>0</v>
      </c>
      <c r="AL31" s="38">
        <f t="shared" si="13"/>
        <v>193866.31</v>
      </c>
    </row>
    <row r="32" spans="1:38" s="232" customFormat="1">
      <c r="A32" s="283"/>
      <c r="B32" s="283" t="s">
        <v>110</v>
      </c>
      <c r="C32" s="667" t="s">
        <v>528</v>
      </c>
      <c r="D32" s="123" t="s">
        <v>405</v>
      </c>
      <c r="E32" s="679"/>
      <c r="F32" s="529">
        <f>VLOOKUP(D32,'May 2013 Revenue'!D:V,19,FALSE)</f>
        <v>6697.59</v>
      </c>
      <c r="G32" s="680"/>
      <c r="H32" s="680"/>
      <c r="I32" s="755"/>
      <c r="J32" s="682">
        <f t="shared" si="0"/>
        <v>6697.59</v>
      </c>
      <c r="K32" s="683"/>
      <c r="L32" s="684"/>
      <c r="M32" s="753">
        <v>25000</v>
      </c>
      <c r="N32" s="683">
        <v>0</v>
      </c>
      <c r="O32" s="686"/>
      <c r="P32" s="683">
        <v>0</v>
      </c>
      <c r="Q32" s="687">
        <f t="shared" si="1"/>
        <v>25000</v>
      </c>
      <c r="R32" s="687"/>
      <c r="S32" s="687"/>
      <c r="T32" s="688">
        <v>25731.82</v>
      </c>
      <c r="U32" s="693"/>
      <c r="V32" s="690">
        <f t="shared" si="2"/>
        <v>731.81999999999971</v>
      </c>
      <c r="W32" s="683"/>
      <c r="X32" s="474">
        <f t="shared" si="3"/>
        <v>25000</v>
      </c>
      <c r="Y32" s="474">
        <f t="shared" si="4"/>
        <v>0</v>
      </c>
      <c r="Z32" s="475">
        <f t="shared" si="5"/>
        <v>0</v>
      </c>
      <c r="AA32" s="475">
        <v>0</v>
      </c>
      <c r="AB32" s="476">
        <v>0</v>
      </c>
      <c r="AC32" s="38">
        <f t="shared" si="6"/>
        <v>0</v>
      </c>
      <c r="AD32" s="692">
        <f t="shared" si="7"/>
        <v>6697.59</v>
      </c>
      <c r="AE32" s="692">
        <f t="shared" si="8"/>
        <v>0</v>
      </c>
      <c r="AF32" s="692">
        <f t="shared" si="9"/>
        <v>0</v>
      </c>
      <c r="AG32" s="38"/>
      <c r="AH32" s="692">
        <f t="shared" si="10"/>
        <v>25000</v>
      </c>
      <c r="AI32" s="692">
        <f t="shared" si="11"/>
        <v>0</v>
      </c>
      <c r="AJ32" s="692">
        <f t="shared" si="12"/>
        <v>0</v>
      </c>
      <c r="AL32" s="38">
        <f t="shared" si="13"/>
        <v>31697.59</v>
      </c>
    </row>
    <row r="33" spans="1:38" s="232" customFormat="1">
      <c r="A33" s="283"/>
      <c r="B33" s="283" t="s">
        <v>110</v>
      </c>
      <c r="C33" s="667" t="s">
        <v>528</v>
      </c>
      <c r="D33" s="123" t="s">
        <v>406</v>
      </c>
      <c r="E33" s="679"/>
      <c r="F33" s="529">
        <f>VLOOKUP(D33,'May 2013 Revenue'!D:V,19,FALSE)</f>
        <v>3848.51</v>
      </c>
      <c r="G33" s="680"/>
      <c r="H33" s="680"/>
      <c r="I33" s="755"/>
      <c r="J33" s="682">
        <f t="shared" si="0"/>
        <v>3848.51</v>
      </c>
      <c r="K33" s="683"/>
      <c r="L33" s="684"/>
      <c r="M33" s="753">
        <v>10000</v>
      </c>
      <c r="N33" s="683">
        <v>0</v>
      </c>
      <c r="O33" s="686"/>
      <c r="P33" s="683">
        <v>0</v>
      </c>
      <c r="Q33" s="687">
        <f t="shared" si="1"/>
        <v>10000</v>
      </c>
      <c r="R33" s="687"/>
      <c r="S33" s="687"/>
      <c r="T33" s="688">
        <v>12481.81</v>
      </c>
      <c r="U33" s="693"/>
      <c r="V33" s="690">
        <f t="shared" si="2"/>
        <v>2481.8099999999995</v>
      </c>
      <c r="W33" s="683"/>
      <c r="X33" s="474">
        <f t="shared" si="3"/>
        <v>10000</v>
      </c>
      <c r="Y33" s="474">
        <f t="shared" si="4"/>
        <v>0</v>
      </c>
      <c r="Z33" s="475">
        <f t="shared" si="5"/>
        <v>0</v>
      </c>
      <c r="AA33" s="475">
        <v>0</v>
      </c>
      <c r="AB33" s="476">
        <v>0</v>
      </c>
      <c r="AC33" s="38">
        <f t="shared" si="6"/>
        <v>0</v>
      </c>
      <c r="AD33" s="692">
        <f t="shared" si="7"/>
        <v>3848.51</v>
      </c>
      <c r="AE33" s="692">
        <f t="shared" si="8"/>
        <v>0</v>
      </c>
      <c r="AF33" s="692">
        <f t="shared" si="9"/>
        <v>0</v>
      </c>
      <c r="AG33" s="38"/>
      <c r="AH33" s="692">
        <f t="shared" si="10"/>
        <v>10000</v>
      </c>
      <c r="AI33" s="692">
        <f t="shared" si="11"/>
        <v>0</v>
      </c>
      <c r="AJ33" s="692">
        <f t="shared" si="12"/>
        <v>0</v>
      </c>
      <c r="AL33" s="38">
        <f t="shared" si="13"/>
        <v>13848.51</v>
      </c>
    </row>
    <row r="34" spans="1:38" s="232" customFormat="1">
      <c r="A34" s="283"/>
      <c r="B34" s="283" t="s">
        <v>110</v>
      </c>
      <c r="C34" s="667" t="s">
        <v>528</v>
      </c>
      <c r="D34" s="123" t="s">
        <v>407</v>
      </c>
      <c r="E34" s="679"/>
      <c r="F34" s="529">
        <f>VLOOKUP(D34,'May 2013 Revenue'!D:V,19,FALSE)</f>
        <v>90.229999999999563</v>
      </c>
      <c r="G34" s="680"/>
      <c r="H34" s="680"/>
      <c r="I34" s="755"/>
      <c r="J34" s="682">
        <f t="shared" si="0"/>
        <v>90.229999999999563</v>
      </c>
      <c r="K34" s="683"/>
      <c r="L34" s="684"/>
      <c r="M34" s="753">
        <v>5000</v>
      </c>
      <c r="N34" s="683">
        <v>0</v>
      </c>
      <c r="O34" s="686"/>
      <c r="P34" s="683">
        <v>0</v>
      </c>
      <c r="Q34" s="687">
        <f t="shared" si="1"/>
        <v>5000</v>
      </c>
      <c r="R34" s="687"/>
      <c r="S34" s="687"/>
      <c r="T34" s="688">
        <v>4930.6400000000003</v>
      </c>
      <c r="U34" s="693"/>
      <c r="V34" s="690">
        <f t="shared" si="2"/>
        <v>-69.359999999999673</v>
      </c>
      <c r="W34" s="683"/>
      <c r="X34" s="474">
        <f t="shared" si="3"/>
        <v>5000</v>
      </c>
      <c r="Y34" s="474">
        <f t="shared" si="4"/>
        <v>0</v>
      </c>
      <c r="Z34" s="475">
        <f t="shared" si="5"/>
        <v>0</v>
      </c>
      <c r="AA34" s="475">
        <v>0</v>
      </c>
      <c r="AB34" s="476">
        <v>0</v>
      </c>
      <c r="AC34" s="38">
        <f t="shared" si="6"/>
        <v>0</v>
      </c>
      <c r="AD34" s="692">
        <f t="shared" si="7"/>
        <v>90.229999999999563</v>
      </c>
      <c r="AE34" s="692">
        <f t="shared" si="8"/>
        <v>0</v>
      </c>
      <c r="AF34" s="692">
        <f t="shared" si="9"/>
        <v>0</v>
      </c>
      <c r="AG34" s="38"/>
      <c r="AH34" s="692">
        <f t="shared" si="10"/>
        <v>5000</v>
      </c>
      <c r="AI34" s="692">
        <f t="shared" si="11"/>
        <v>0</v>
      </c>
      <c r="AJ34" s="692">
        <f t="shared" si="12"/>
        <v>0</v>
      </c>
      <c r="AL34" s="38">
        <f t="shared" si="13"/>
        <v>5090.2299999999996</v>
      </c>
    </row>
    <row r="35" spans="1:38" s="232" customFormat="1">
      <c r="A35" s="283"/>
      <c r="B35" s="283" t="s">
        <v>110</v>
      </c>
      <c r="C35" s="667" t="s">
        <v>528</v>
      </c>
      <c r="D35" s="123" t="s">
        <v>880</v>
      </c>
      <c r="E35" s="679"/>
      <c r="F35" s="529">
        <f>VLOOKUP(D35,'May 2013 Revenue'!D:V,19,FALSE)</f>
        <v>2853.05</v>
      </c>
      <c r="G35" s="680"/>
      <c r="H35" s="680"/>
      <c r="I35" s="755"/>
      <c r="J35" s="682">
        <f t="shared" si="0"/>
        <v>2853.05</v>
      </c>
      <c r="K35" s="683"/>
      <c r="L35" s="684"/>
      <c r="M35" s="753"/>
      <c r="N35" s="683">
        <v>0</v>
      </c>
      <c r="O35" s="686"/>
      <c r="P35" s="683">
        <v>0</v>
      </c>
      <c r="Q35" s="687">
        <f t="shared" si="1"/>
        <v>0</v>
      </c>
      <c r="R35" s="687"/>
      <c r="S35" s="687"/>
      <c r="T35" s="688">
        <v>3232.8</v>
      </c>
      <c r="U35" s="693"/>
      <c r="V35" s="690">
        <f t="shared" si="2"/>
        <v>3232.8</v>
      </c>
      <c r="W35" s="683"/>
      <c r="X35" s="474">
        <f t="shared" si="3"/>
        <v>0</v>
      </c>
      <c r="Y35" s="474">
        <f t="shared" si="4"/>
        <v>0</v>
      </c>
      <c r="Z35" s="475">
        <f t="shared" si="5"/>
        <v>0</v>
      </c>
      <c r="AA35" s="475">
        <v>0</v>
      </c>
      <c r="AB35" s="476">
        <v>0</v>
      </c>
      <c r="AC35" s="38">
        <f t="shared" si="6"/>
        <v>0</v>
      </c>
      <c r="AD35" s="692">
        <f t="shared" si="7"/>
        <v>2853.05</v>
      </c>
      <c r="AE35" s="692">
        <f t="shared" si="8"/>
        <v>0</v>
      </c>
      <c r="AF35" s="692">
        <f t="shared" si="9"/>
        <v>0</v>
      </c>
      <c r="AG35" s="38"/>
      <c r="AH35" s="692">
        <f t="shared" si="10"/>
        <v>0</v>
      </c>
      <c r="AI35" s="692">
        <f t="shared" si="11"/>
        <v>0</v>
      </c>
      <c r="AJ35" s="692">
        <f t="shared" si="12"/>
        <v>0</v>
      </c>
      <c r="AL35" s="38">
        <f t="shared" si="13"/>
        <v>2853.05</v>
      </c>
    </row>
    <row r="36" spans="1:38" s="232" customFormat="1">
      <c r="A36" s="283"/>
      <c r="B36" s="283" t="s">
        <v>110</v>
      </c>
      <c r="C36" s="667" t="s">
        <v>528</v>
      </c>
      <c r="D36" s="123" t="s">
        <v>881</v>
      </c>
      <c r="E36" s="679"/>
      <c r="F36" s="529">
        <f>VLOOKUP(D36,'May 2013 Revenue'!D:V,19,FALSE)</f>
        <v>2539.19</v>
      </c>
      <c r="G36" s="680"/>
      <c r="H36" s="680"/>
      <c r="I36" s="755"/>
      <c r="J36" s="682">
        <f t="shared" si="0"/>
        <v>2539.19</v>
      </c>
      <c r="K36" s="683"/>
      <c r="L36" s="684"/>
      <c r="M36" s="753"/>
      <c r="N36" s="683">
        <v>0</v>
      </c>
      <c r="O36" s="686"/>
      <c r="P36" s="683">
        <v>0</v>
      </c>
      <c r="Q36" s="687">
        <f t="shared" si="1"/>
        <v>0</v>
      </c>
      <c r="R36" s="687"/>
      <c r="S36" s="687"/>
      <c r="T36" s="688">
        <v>3144.91</v>
      </c>
      <c r="U36" s="693"/>
      <c r="V36" s="690">
        <f t="shared" si="2"/>
        <v>3144.91</v>
      </c>
      <c r="W36" s="683"/>
      <c r="X36" s="474">
        <f t="shared" si="3"/>
        <v>0</v>
      </c>
      <c r="Y36" s="474">
        <f t="shared" si="4"/>
        <v>0</v>
      </c>
      <c r="Z36" s="475">
        <f t="shared" si="5"/>
        <v>0</v>
      </c>
      <c r="AA36" s="475">
        <v>0</v>
      </c>
      <c r="AB36" s="476">
        <v>0</v>
      </c>
      <c r="AC36" s="38">
        <f t="shared" si="6"/>
        <v>0</v>
      </c>
      <c r="AD36" s="692">
        <f t="shared" si="7"/>
        <v>2539.19</v>
      </c>
      <c r="AE36" s="692">
        <f t="shared" si="8"/>
        <v>0</v>
      </c>
      <c r="AF36" s="692">
        <f t="shared" si="9"/>
        <v>0</v>
      </c>
      <c r="AG36" s="38"/>
      <c r="AH36" s="692">
        <f t="shared" si="10"/>
        <v>0</v>
      </c>
      <c r="AI36" s="692">
        <f t="shared" si="11"/>
        <v>0</v>
      </c>
      <c r="AJ36" s="692">
        <f t="shared" si="12"/>
        <v>0</v>
      </c>
      <c r="AL36" s="38">
        <f t="shared" si="13"/>
        <v>2539.19</v>
      </c>
    </row>
    <row r="37" spans="1:38" s="232" customFormat="1">
      <c r="A37" s="283"/>
      <c r="B37" s="283" t="s">
        <v>110</v>
      </c>
      <c r="C37" s="667" t="s">
        <v>528</v>
      </c>
      <c r="D37" s="123" t="s">
        <v>820</v>
      </c>
      <c r="E37" s="679"/>
      <c r="F37" s="529">
        <f>VLOOKUP(D37,'May 2013 Revenue'!D:V,19,FALSE)</f>
        <v>8663.02</v>
      </c>
      <c r="G37" s="680"/>
      <c r="H37" s="680"/>
      <c r="I37" s="755"/>
      <c r="J37" s="682">
        <f t="shared" si="0"/>
        <v>8663.02</v>
      </c>
      <c r="K37" s="683"/>
      <c r="L37" s="684"/>
      <c r="M37" s="753">
        <v>25000</v>
      </c>
      <c r="N37" s="683">
        <v>0</v>
      </c>
      <c r="O37" s="686"/>
      <c r="P37" s="683">
        <v>0</v>
      </c>
      <c r="Q37" s="687">
        <f t="shared" si="1"/>
        <v>25000</v>
      </c>
      <c r="R37" s="687"/>
      <c r="S37" s="687"/>
      <c r="T37" s="688">
        <v>24604.14</v>
      </c>
      <c r="U37" s="693"/>
      <c r="V37" s="690">
        <f t="shared" si="2"/>
        <v>-395.86000000000058</v>
      </c>
      <c r="W37" s="683"/>
      <c r="X37" s="474">
        <f t="shared" si="3"/>
        <v>25000</v>
      </c>
      <c r="Y37" s="474">
        <f t="shared" si="4"/>
        <v>0</v>
      </c>
      <c r="Z37" s="475">
        <f t="shared" si="5"/>
        <v>0</v>
      </c>
      <c r="AA37" s="475">
        <v>0</v>
      </c>
      <c r="AB37" s="476">
        <v>0</v>
      </c>
      <c r="AC37" s="38">
        <f t="shared" si="6"/>
        <v>0</v>
      </c>
      <c r="AD37" s="692">
        <f t="shared" si="7"/>
        <v>8663.02</v>
      </c>
      <c r="AE37" s="692">
        <f t="shared" si="8"/>
        <v>0</v>
      </c>
      <c r="AF37" s="692">
        <f t="shared" si="9"/>
        <v>0</v>
      </c>
      <c r="AG37" s="38"/>
      <c r="AH37" s="692">
        <f t="shared" si="10"/>
        <v>25000</v>
      </c>
      <c r="AI37" s="692">
        <f t="shared" si="11"/>
        <v>0</v>
      </c>
      <c r="AJ37" s="692">
        <f t="shared" si="12"/>
        <v>0</v>
      </c>
      <c r="AL37" s="38">
        <f t="shared" si="13"/>
        <v>33663.020000000004</v>
      </c>
    </row>
    <row r="38" spans="1:38" s="232" customFormat="1">
      <c r="A38" s="283"/>
      <c r="B38" s="283" t="s">
        <v>110</v>
      </c>
      <c r="C38" s="667" t="s">
        <v>527</v>
      </c>
      <c r="D38" s="123" t="s">
        <v>460</v>
      </c>
      <c r="E38" s="679"/>
      <c r="F38" s="529">
        <f>VLOOKUP(D38,'May 2013 Revenue'!D:V,19,FALSE)</f>
        <v>0</v>
      </c>
      <c r="G38" s="680"/>
      <c r="H38" s="680"/>
      <c r="I38" s="770">
        <v>44110.82</v>
      </c>
      <c r="J38" s="682">
        <f t="shared" si="0"/>
        <v>44110.82</v>
      </c>
      <c r="K38" s="683"/>
      <c r="L38" s="684"/>
      <c r="M38" s="753"/>
      <c r="N38" s="683">
        <v>0</v>
      </c>
      <c r="O38" s="686"/>
      <c r="P38" s="683">
        <v>0</v>
      </c>
      <c r="Q38" s="687">
        <f t="shared" si="1"/>
        <v>0</v>
      </c>
      <c r="R38" s="687"/>
      <c r="S38" s="687"/>
      <c r="T38" s="688">
        <v>0</v>
      </c>
      <c r="U38" s="693"/>
      <c r="V38" s="690">
        <f t="shared" si="2"/>
        <v>0</v>
      </c>
      <c r="W38" s="683"/>
      <c r="X38" s="474">
        <f t="shared" si="3"/>
        <v>0</v>
      </c>
      <c r="Y38" s="474">
        <f t="shared" si="4"/>
        <v>0</v>
      </c>
      <c r="Z38" s="475">
        <f t="shared" si="5"/>
        <v>0</v>
      </c>
      <c r="AA38" s="475">
        <v>0</v>
      </c>
      <c r="AB38" s="476">
        <v>0</v>
      </c>
      <c r="AC38" s="38">
        <f t="shared" si="6"/>
        <v>0</v>
      </c>
      <c r="AD38" s="692">
        <f t="shared" si="7"/>
        <v>44110.82</v>
      </c>
      <c r="AE38" s="692">
        <f t="shared" si="8"/>
        <v>0</v>
      </c>
      <c r="AF38" s="692">
        <f t="shared" si="9"/>
        <v>0</v>
      </c>
      <c r="AG38" s="38"/>
      <c r="AH38" s="692">
        <f t="shared" si="10"/>
        <v>0</v>
      </c>
      <c r="AI38" s="692">
        <f t="shared" si="11"/>
        <v>0</v>
      </c>
      <c r="AJ38" s="692">
        <f t="shared" si="12"/>
        <v>0</v>
      </c>
      <c r="AL38" s="38">
        <f t="shared" si="13"/>
        <v>44110.82</v>
      </c>
    </row>
    <row r="39" spans="1:38" s="232" customFormat="1">
      <c r="A39" s="283"/>
      <c r="B39" s="283" t="s">
        <v>110</v>
      </c>
      <c r="C39" s="676" t="s">
        <v>528</v>
      </c>
      <c r="D39" s="123" t="s">
        <v>623</v>
      </c>
      <c r="E39" s="679"/>
      <c r="F39" s="529">
        <f>VLOOKUP(D39,'May 2013 Revenue'!D:V,19,FALSE)</f>
        <v>0</v>
      </c>
      <c r="G39" s="680"/>
      <c r="H39" s="680"/>
      <c r="I39" s="770">
        <v>7857.87</v>
      </c>
      <c r="J39" s="682">
        <f t="shared" si="0"/>
        <v>7857.87</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7857.87</v>
      </c>
      <c r="AE39" s="692">
        <f t="shared" si="8"/>
        <v>0</v>
      </c>
      <c r="AF39" s="692">
        <f t="shared" si="9"/>
        <v>0</v>
      </c>
      <c r="AG39" s="38"/>
      <c r="AH39" s="692">
        <f t="shared" si="10"/>
        <v>0</v>
      </c>
      <c r="AI39" s="692">
        <f t="shared" si="11"/>
        <v>0</v>
      </c>
      <c r="AJ39" s="692">
        <f t="shared" si="12"/>
        <v>0</v>
      </c>
      <c r="AL39" s="38">
        <f t="shared" si="13"/>
        <v>7857.87</v>
      </c>
    </row>
    <row r="40" spans="1:38" s="232" customFormat="1">
      <c r="A40" s="403"/>
      <c r="B40" s="403" t="s">
        <v>114</v>
      </c>
      <c r="C40" s="666" t="s">
        <v>529</v>
      </c>
      <c r="D40" s="123" t="s">
        <v>108</v>
      </c>
      <c r="E40" s="679"/>
      <c r="F40" s="529">
        <f>VLOOKUP(D40,'May 2013 Revenue'!D:V,19,FALSE)</f>
        <v>-8000</v>
      </c>
      <c r="G40" s="680"/>
      <c r="H40" s="680"/>
      <c r="I40" s="755"/>
      <c r="J40" s="682">
        <f t="shared" si="0"/>
        <v>-8000</v>
      </c>
      <c r="K40" s="683"/>
      <c r="L40" s="684"/>
      <c r="M40" s="753">
        <v>16000</v>
      </c>
      <c r="N40" s="683">
        <v>0</v>
      </c>
      <c r="O40" s="686"/>
      <c r="P40" s="683">
        <v>0</v>
      </c>
      <c r="Q40" s="687">
        <f t="shared" si="1"/>
        <v>16000</v>
      </c>
      <c r="R40" s="687"/>
      <c r="S40" s="687"/>
      <c r="T40" s="688">
        <v>8033.38</v>
      </c>
      <c r="U40" s="693"/>
      <c r="V40" s="690">
        <f t="shared" si="2"/>
        <v>-7966.62</v>
      </c>
      <c r="W40" s="683"/>
      <c r="X40" s="474">
        <f t="shared" si="3"/>
        <v>0</v>
      </c>
      <c r="Y40" s="474">
        <f t="shared" si="4"/>
        <v>0</v>
      </c>
      <c r="Z40" s="475">
        <f t="shared" si="5"/>
        <v>16000</v>
      </c>
      <c r="AA40" s="475">
        <v>0</v>
      </c>
      <c r="AB40" s="476">
        <v>0</v>
      </c>
      <c r="AC40" s="38">
        <f t="shared" si="6"/>
        <v>0</v>
      </c>
      <c r="AD40" s="692">
        <f t="shared" si="7"/>
        <v>0</v>
      </c>
      <c r="AE40" s="692">
        <f t="shared" si="8"/>
        <v>0</v>
      </c>
      <c r="AF40" s="692">
        <f t="shared" si="9"/>
        <v>-8000</v>
      </c>
      <c r="AG40" s="38"/>
      <c r="AH40" s="692">
        <f t="shared" si="10"/>
        <v>0</v>
      </c>
      <c r="AI40" s="692">
        <f t="shared" si="11"/>
        <v>0</v>
      </c>
      <c r="AJ40" s="692">
        <f t="shared" si="12"/>
        <v>16000</v>
      </c>
      <c r="AL40" s="38">
        <f t="shared" si="13"/>
        <v>8000</v>
      </c>
    </row>
    <row r="41" spans="1:38" s="232" customFormat="1">
      <c r="A41" s="403"/>
      <c r="B41" s="403" t="s">
        <v>110</v>
      </c>
      <c r="C41" s="666"/>
      <c r="D41" s="123" t="s">
        <v>911</v>
      </c>
      <c r="E41" s="679"/>
      <c r="F41" s="529">
        <f>VLOOKUP(D41,'May 2013 Revenue'!D:V,19,FALSE)</f>
        <v>-10000</v>
      </c>
      <c r="G41" s="680"/>
      <c r="H41" s="680"/>
      <c r="I41" s="755"/>
      <c r="J41" s="682">
        <f t="shared" si="0"/>
        <v>-10000</v>
      </c>
      <c r="K41" s="683"/>
      <c r="L41" s="684"/>
      <c r="M41" s="753">
        <v>15000</v>
      </c>
      <c r="N41" s="683">
        <v>0</v>
      </c>
      <c r="O41" s="686"/>
      <c r="P41" s="683">
        <v>0</v>
      </c>
      <c r="Q41" s="687">
        <f t="shared" si="1"/>
        <v>15000</v>
      </c>
      <c r="R41" s="687"/>
      <c r="S41" s="687"/>
      <c r="T41" s="688">
        <v>14224.53</v>
      </c>
      <c r="U41" s="693"/>
      <c r="V41" s="690">
        <f t="shared" si="2"/>
        <v>-775.46999999999935</v>
      </c>
      <c r="W41" s="683"/>
      <c r="X41" s="474">
        <f t="shared" si="3"/>
        <v>15000</v>
      </c>
      <c r="Y41" s="474">
        <f t="shared" si="4"/>
        <v>0</v>
      </c>
      <c r="Z41" s="475">
        <f t="shared" si="5"/>
        <v>0</v>
      </c>
      <c r="AA41" s="475">
        <v>0</v>
      </c>
      <c r="AB41" s="476">
        <v>0</v>
      </c>
      <c r="AC41" s="38">
        <f t="shared" si="6"/>
        <v>0</v>
      </c>
      <c r="AD41" s="692">
        <f t="shared" si="7"/>
        <v>-10000</v>
      </c>
      <c r="AE41" s="692">
        <f t="shared" si="8"/>
        <v>0</v>
      </c>
      <c r="AF41" s="692">
        <f t="shared" si="9"/>
        <v>0</v>
      </c>
      <c r="AG41" s="38"/>
      <c r="AH41" s="692">
        <f t="shared" si="10"/>
        <v>15000</v>
      </c>
      <c r="AI41" s="692">
        <f t="shared" si="11"/>
        <v>0</v>
      </c>
      <c r="AJ41" s="692">
        <f t="shared" si="12"/>
        <v>0</v>
      </c>
      <c r="AL41" s="38">
        <f t="shared" si="13"/>
        <v>5000</v>
      </c>
    </row>
    <row r="42" spans="1:38">
      <c r="A42" s="21"/>
      <c r="B42" s="21" t="s">
        <v>110</v>
      </c>
      <c r="C42" s="666"/>
      <c r="D42" s="68" t="s">
        <v>234</v>
      </c>
      <c r="E42" s="679"/>
      <c r="F42" s="529">
        <f>VLOOKUP(D42,'May 2013 Revenue'!D:V,19,FALSE)</f>
        <v>-5000</v>
      </c>
      <c r="G42" s="680"/>
      <c r="H42" s="680"/>
      <c r="I42" s="755"/>
      <c r="J42" s="682">
        <f t="shared" si="0"/>
        <v>-5000</v>
      </c>
      <c r="K42" s="683"/>
      <c r="L42" s="684"/>
      <c r="M42" s="753">
        <v>8000</v>
      </c>
      <c r="N42" s="683">
        <v>0</v>
      </c>
      <c r="O42" s="686"/>
      <c r="P42" s="683">
        <v>0</v>
      </c>
      <c r="Q42" s="687">
        <f t="shared" si="1"/>
        <v>8000</v>
      </c>
      <c r="R42" s="687"/>
      <c r="S42" s="687"/>
      <c r="T42" s="688">
        <v>0</v>
      </c>
      <c r="U42" s="693"/>
      <c r="V42" s="690">
        <f t="shared" si="2"/>
        <v>-8000</v>
      </c>
      <c r="W42" s="683"/>
      <c r="X42" s="474">
        <f t="shared" si="3"/>
        <v>8000</v>
      </c>
      <c r="Y42" s="474">
        <f t="shared" si="4"/>
        <v>0</v>
      </c>
      <c r="Z42" s="475">
        <f t="shared" si="5"/>
        <v>0</v>
      </c>
      <c r="AA42" s="475">
        <v>0</v>
      </c>
      <c r="AB42" s="476">
        <v>0</v>
      </c>
      <c r="AC42" s="38">
        <f t="shared" si="6"/>
        <v>0</v>
      </c>
      <c r="AD42" s="692">
        <f t="shared" si="7"/>
        <v>-5000</v>
      </c>
      <c r="AE42" s="692">
        <f t="shared" si="8"/>
        <v>0</v>
      </c>
      <c r="AF42" s="692">
        <f t="shared" si="9"/>
        <v>0</v>
      </c>
      <c r="AG42" s="38"/>
      <c r="AH42" s="692">
        <f t="shared" si="10"/>
        <v>8000</v>
      </c>
      <c r="AI42" s="692">
        <f t="shared" si="11"/>
        <v>0</v>
      </c>
      <c r="AJ42" s="692">
        <f t="shared" si="12"/>
        <v>0</v>
      </c>
      <c r="AL42" s="38">
        <f t="shared" si="13"/>
        <v>3000</v>
      </c>
    </row>
    <row r="43" spans="1:38">
      <c r="A43" s="20"/>
      <c r="B43" s="20" t="s">
        <v>109</v>
      </c>
      <c r="C43" s="667"/>
      <c r="D43" s="68" t="s">
        <v>598</v>
      </c>
      <c r="E43" s="679"/>
      <c r="F43" s="529">
        <f>VLOOKUP(D43,'May 2013 Revenue'!D:V,19,FALSE)</f>
        <v>0</v>
      </c>
      <c r="G43" s="680"/>
      <c r="H43" s="680"/>
      <c r="I43" s="755"/>
      <c r="J43" s="682">
        <f t="shared" si="0"/>
        <v>0</v>
      </c>
      <c r="K43" s="683"/>
      <c r="L43" s="684"/>
      <c r="M43" s="753"/>
      <c r="N43" s="683">
        <v>0</v>
      </c>
      <c r="O43" s="686"/>
      <c r="P43" s="683">
        <v>0</v>
      </c>
      <c r="Q43" s="687">
        <f t="shared" si="1"/>
        <v>0</v>
      </c>
      <c r="R43" s="687"/>
      <c r="S43" s="687"/>
      <c r="T43" s="688">
        <v>0</v>
      </c>
      <c r="U43" s="693"/>
      <c r="V43" s="690">
        <f t="shared" si="2"/>
        <v>0</v>
      </c>
      <c r="W43" s="683"/>
      <c r="X43" s="474">
        <f t="shared" si="3"/>
        <v>0</v>
      </c>
      <c r="Y43" s="474">
        <f t="shared" si="4"/>
        <v>0</v>
      </c>
      <c r="Z43" s="475">
        <f t="shared" si="5"/>
        <v>0</v>
      </c>
      <c r="AA43" s="475">
        <v>0</v>
      </c>
      <c r="AB43" s="476">
        <v>0</v>
      </c>
      <c r="AC43" s="38">
        <f t="shared" si="6"/>
        <v>0</v>
      </c>
      <c r="AD43" s="692">
        <f t="shared" si="7"/>
        <v>0</v>
      </c>
      <c r="AE43" s="692">
        <f t="shared" si="8"/>
        <v>0</v>
      </c>
      <c r="AF43" s="692">
        <f t="shared" si="9"/>
        <v>0</v>
      </c>
      <c r="AG43" s="38"/>
      <c r="AH43" s="692">
        <f t="shared" si="10"/>
        <v>0</v>
      </c>
      <c r="AI43" s="692">
        <f t="shared" si="11"/>
        <v>0</v>
      </c>
      <c r="AJ43" s="692">
        <f t="shared" si="12"/>
        <v>0</v>
      </c>
      <c r="AL43" s="38">
        <f t="shared" si="13"/>
        <v>0</v>
      </c>
    </row>
    <row r="44" spans="1:38">
      <c r="A44" s="20"/>
      <c r="B44" s="20" t="s">
        <v>110</v>
      </c>
      <c r="C44" s="667"/>
      <c r="D44" s="68" t="s">
        <v>311</v>
      </c>
      <c r="E44" s="679"/>
      <c r="F44" s="529">
        <f>VLOOKUP(D44,'May 2013 Revenue'!D:V,19,FALSE)</f>
        <v>0</v>
      </c>
      <c r="G44" s="680"/>
      <c r="H44" s="680"/>
      <c r="I44" s="755"/>
      <c r="J44" s="682">
        <f t="shared" si="0"/>
        <v>0</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0</v>
      </c>
      <c r="AF44" s="692">
        <f t="shared" si="9"/>
        <v>0</v>
      </c>
      <c r="AG44" s="38"/>
      <c r="AH44" s="692">
        <f t="shared" si="10"/>
        <v>0</v>
      </c>
      <c r="AI44" s="692">
        <f t="shared" si="11"/>
        <v>0</v>
      </c>
      <c r="AJ44" s="692">
        <f t="shared" si="12"/>
        <v>0</v>
      </c>
      <c r="AL44" s="38">
        <f t="shared" si="13"/>
        <v>0</v>
      </c>
    </row>
    <row r="45" spans="1:38">
      <c r="A45" s="20"/>
      <c r="B45" s="20" t="s">
        <v>110</v>
      </c>
      <c r="C45" s="667"/>
      <c r="D45" s="68" t="s">
        <v>451</v>
      </c>
      <c r="E45" s="679"/>
      <c r="F45" s="529">
        <f>VLOOKUP(D45,'May 2013 Revenue'!D:V,19,FALSE)</f>
        <v>-60000</v>
      </c>
      <c r="G45" s="680"/>
      <c r="H45" s="680"/>
      <c r="I45" s="755"/>
      <c r="J45" s="682">
        <f t="shared" si="0"/>
        <v>-60000</v>
      </c>
      <c r="K45" s="683"/>
      <c r="L45" s="684"/>
      <c r="M45" s="753">
        <v>70000</v>
      </c>
      <c r="N45" s="683">
        <v>0</v>
      </c>
      <c r="O45" s="686"/>
      <c r="P45" s="683">
        <v>0</v>
      </c>
      <c r="Q45" s="687">
        <f t="shared" si="1"/>
        <v>70000</v>
      </c>
      <c r="R45" s="687"/>
      <c r="S45" s="687"/>
      <c r="T45" s="688">
        <v>0</v>
      </c>
      <c r="U45" s="693"/>
      <c r="V45" s="690">
        <f t="shared" si="2"/>
        <v>-70000</v>
      </c>
      <c r="W45" s="683"/>
      <c r="X45" s="474">
        <f t="shared" si="3"/>
        <v>70000</v>
      </c>
      <c r="Y45" s="474">
        <f t="shared" si="4"/>
        <v>0</v>
      </c>
      <c r="Z45" s="475">
        <f t="shared" si="5"/>
        <v>0</v>
      </c>
      <c r="AA45" s="475">
        <v>0</v>
      </c>
      <c r="AB45" s="476">
        <v>0</v>
      </c>
      <c r="AC45" s="38">
        <f t="shared" si="6"/>
        <v>0</v>
      </c>
      <c r="AD45" s="692">
        <f t="shared" si="7"/>
        <v>-60000</v>
      </c>
      <c r="AE45" s="692">
        <f t="shared" si="8"/>
        <v>0</v>
      </c>
      <c r="AF45" s="692">
        <f t="shared" si="9"/>
        <v>0</v>
      </c>
      <c r="AG45" s="38"/>
      <c r="AH45" s="692">
        <f t="shared" si="10"/>
        <v>70000</v>
      </c>
      <c r="AI45" s="692">
        <f t="shared" si="11"/>
        <v>0</v>
      </c>
      <c r="AJ45" s="692">
        <f t="shared" si="12"/>
        <v>0</v>
      </c>
      <c r="AL45" s="38">
        <f t="shared" si="13"/>
        <v>10000</v>
      </c>
    </row>
    <row r="46" spans="1:38">
      <c r="A46" s="20"/>
      <c r="B46" s="20" t="s">
        <v>109</v>
      </c>
      <c r="C46" s="667"/>
      <c r="D46" s="68" t="s">
        <v>469</v>
      </c>
      <c r="E46" s="679"/>
      <c r="F46" s="529">
        <f>VLOOKUP(D46,'May 2013 Revenue'!D:V,19,FALSE)</f>
        <v>0</v>
      </c>
      <c r="G46" s="680"/>
      <c r="H46" s="680"/>
      <c r="I46" s="755"/>
      <c r="J46" s="682">
        <f t="shared" si="0"/>
        <v>0</v>
      </c>
      <c r="K46" s="683"/>
      <c r="L46" s="684"/>
      <c r="M46" s="753"/>
      <c r="N46" s="683">
        <v>0</v>
      </c>
      <c r="O46" s="686"/>
      <c r="P46" s="683">
        <v>0</v>
      </c>
      <c r="Q46" s="687">
        <f t="shared" si="1"/>
        <v>0</v>
      </c>
      <c r="R46" s="687"/>
      <c r="S46" s="687"/>
      <c r="T46" s="688">
        <v>235.12</v>
      </c>
      <c r="U46" s="693"/>
      <c r="V46" s="690">
        <f t="shared" si="2"/>
        <v>235.12</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row>
    <row r="47" spans="1:38">
      <c r="A47" s="20"/>
      <c r="B47" s="20" t="s">
        <v>110</v>
      </c>
      <c r="C47" s="667" t="s">
        <v>530</v>
      </c>
      <c r="D47" s="68" t="s">
        <v>69</v>
      </c>
      <c r="E47" s="679"/>
      <c r="F47" s="529">
        <f>VLOOKUP(D47,'May 2013 Revenue'!D:V,19,FALSE)</f>
        <v>2018.57</v>
      </c>
      <c r="G47" s="680"/>
      <c r="H47" s="680"/>
      <c r="I47" s="755"/>
      <c r="J47" s="682">
        <f t="shared" si="0"/>
        <v>2018.57</v>
      </c>
      <c r="K47" s="683"/>
      <c r="L47" s="684"/>
      <c r="M47" s="753"/>
      <c r="N47" s="683">
        <v>0</v>
      </c>
      <c r="O47" s="686"/>
      <c r="P47" s="683">
        <v>0</v>
      </c>
      <c r="Q47" s="687">
        <f t="shared" si="1"/>
        <v>0</v>
      </c>
      <c r="R47" s="687"/>
      <c r="S47" s="687"/>
      <c r="T47" s="688">
        <v>0</v>
      </c>
      <c r="U47" s="693"/>
      <c r="V47" s="690">
        <f t="shared" si="2"/>
        <v>0</v>
      </c>
      <c r="W47" s="683"/>
      <c r="X47" s="474">
        <f t="shared" si="3"/>
        <v>0</v>
      </c>
      <c r="Y47" s="474">
        <f t="shared" si="4"/>
        <v>0</v>
      </c>
      <c r="Z47" s="475">
        <f t="shared" si="5"/>
        <v>0</v>
      </c>
      <c r="AA47" s="475">
        <v>0</v>
      </c>
      <c r="AB47" s="476">
        <v>0</v>
      </c>
      <c r="AC47" s="38">
        <f t="shared" si="6"/>
        <v>0</v>
      </c>
      <c r="AD47" s="692">
        <f t="shared" si="7"/>
        <v>2018.57</v>
      </c>
      <c r="AE47" s="692">
        <f t="shared" si="8"/>
        <v>0</v>
      </c>
      <c r="AF47" s="692">
        <f t="shared" si="9"/>
        <v>0</v>
      </c>
      <c r="AG47" s="38"/>
      <c r="AH47" s="692">
        <f t="shared" si="10"/>
        <v>0</v>
      </c>
      <c r="AI47" s="692">
        <f t="shared" si="11"/>
        <v>0</v>
      </c>
      <c r="AJ47" s="692">
        <f t="shared" si="12"/>
        <v>0</v>
      </c>
      <c r="AL47" s="38">
        <f t="shared" si="13"/>
        <v>2018.57</v>
      </c>
    </row>
    <row r="48" spans="1:38" hidden="1">
      <c r="A48" s="20"/>
      <c r="B48" s="20" t="s">
        <v>110</v>
      </c>
      <c r="C48" s="667" t="s">
        <v>531</v>
      </c>
      <c r="D48" s="68" t="s">
        <v>237</v>
      </c>
      <c r="E48" s="679"/>
      <c r="F48" s="529">
        <f>VLOOKUP(D48,'May 2013 Revenue'!D:V,19,FALSE)</f>
        <v>0</v>
      </c>
      <c r="G48" s="680"/>
      <c r="H48" s="680"/>
      <c r="I48" s="755"/>
      <c r="J48" s="682">
        <f t="shared" si="0"/>
        <v>0</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row>
    <row r="49" spans="1:38">
      <c r="A49" s="20" t="s">
        <v>211</v>
      </c>
      <c r="B49" s="20" t="s">
        <v>110</v>
      </c>
      <c r="C49" s="667" t="s">
        <v>532</v>
      </c>
      <c r="D49" s="68" t="s">
        <v>7</v>
      </c>
      <c r="E49" s="679"/>
      <c r="F49" s="529">
        <f>VLOOKUP(D49,'May 2013 Revenue'!D:V,19,FALSE)</f>
        <v>-30000</v>
      </c>
      <c r="G49" s="680"/>
      <c r="H49" s="680"/>
      <c r="I49" s="755"/>
      <c r="J49" s="682">
        <f t="shared" si="0"/>
        <v>-30000</v>
      </c>
      <c r="K49" s="683"/>
      <c r="L49" s="684"/>
      <c r="M49" s="753">
        <v>45000</v>
      </c>
      <c r="N49" s="683">
        <v>0</v>
      </c>
      <c r="O49" s="686"/>
      <c r="P49" s="683">
        <v>0</v>
      </c>
      <c r="Q49" s="687">
        <f t="shared" si="1"/>
        <v>45000</v>
      </c>
      <c r="R49" s="687"/>
      <c r="S49" s="687"/>
      <c r="T49" s="688">
        <v>84777.65</v>
      </c>
      <c r="U49" s="693"/>
      <c r="V49" s="690">
        <f t="shared" si="2"/>
        <v>39777.649999999994</v>
      </c>
      <c r="W49" s="697"/>
      <c r="X49" s="474">
        <f t="shared" si="3"/>
        <v>45000</v>
      </c>
      <c r="Y49" s="474">
        <f t="shared" si="4"/>
        <v>0</v>
      </c>
      <c r="Z49" s="475">
        <f t="shared" si="5"/>
        <v>0</v>
      </c>
      <c r="AA49" s="475">
        <v>0</v>
      </c>
      <c r="AB49" s="476">
        <v>0</v>
      </c>
      <c r="AC49" s="38">
        <f t="shared" si="6"/>
        <v>0</v>
      </c>
      <c r="AD49" s="692">
        <f t="shared" si="7"/>
        <v>-30000</v>
      </c>
      <c r="AE49" s="692">
        <f t="shared" si="8"/>
        <v>0</v>
      </c>
      <c r="AF49" s="692">
        <f t="shared" si="9"/>
        <v>0</v>
      </c>
      <c r="AG49" s="38"/>
      <c r="AH49" s="692">
        <f t="shared" si="10"/>
        <v>45000</v>
      </c>
      <c r="AI49" s="692">
        <f t="shared" si="11"/>
        <v>0</v>
      </c>
      <c r="AJ49" s="692">
        <f t="shared" si="12"/>
        <v>0</v>
      </c>
      <c r="AL49" s="38">
        <f t="shared" si="13"/>
        <v>15000</v>
      </c>
    </row>
    <row r="50" spans="1:38" s="232" customFormat="1" hidden="1">
      <c r="A50" s="283" t="s">
        <v>97</v>
      </c>
      <c r="B50" s="283" t="s">
        <v>109</v>
      </c>
      <c r="C50" s="667" t="s">
        <v>533</v>
      </c>
      <c r="D50" s="123" t="s">
        <v>415</v>
      </c>
      <c r="E50" s="679"/>
      <c r="F50" s="529">
        <f>VLOOKUP(D50,'May 2013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row>
    <row r="51" spans="1:38" s="232" customFormat="1" hidden="1">
      <c r="A51" s="283"/>
      <c r="B51" s="283" t="s">
        <v>109</v>
      </c>
      <c r="C51" s="667" t="s">
        <v>533</v>
      </c>
      <c r="D51" s="123" t="s">
        <v>416</v>
      </c>
      <c r="E51" s="679"/>
      <c r="F51" s="529">
        <f>VLOOKUP(D51,'May 2013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row>
    <row r="52" spans="1:38" s="232" customFormat="1" hidden="1">
      <c r="A52" s="283"/>
      <c r="B52" s="283" t="s">
        <v>109</v>
      </c>
      <c r="C52" s="667" t="s">
        <v>533</v>
      </c>
      <c r="D52" s="123" t="s">
        <v>417</v>
      </c>
      <c r="E52" s="679"/>
      <c r="F52" s="529">
        <f>VLOOKUP(D52,'May 2013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row>
    <row r="53" spans="1:38" s="232" customFormat="1" hidden="1">
      <c r="A53" s="283"/>
      <c r="B53" s="283" t="s">
        <v>109</v>
      </c>
      <c r="C53" s="667" t="s">
        <v>533</v>
      </c>
      <c r="D53" s="123" t="s">
        <v>418</v>
      </c>
      <c r="E53" s="679"/>
      <c r="F53" s="529">
        <f>VLOOKUP(D53,'May 2013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row>
    <row r="54" spans="1:38">
      <c r="A54" s="20" t="s">
        <v>211</v>
      </c>
      <c r="B54" s="20" t="s">
        <v>109</v>
      </c>
      <c r="C54" s="667" t="s">
        <v>534</v>
      </c>
      <c r="D54" s="68" t="s">
        <v>9</v>
      </c>
      <c r="E54" s="679"/>
      <c r="F54" s="529">
        <f>VLOOKUP(D54,'May 2013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97"/>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row>
    <row r="55" spans="1:38">
      <c r="A55" s="20" t="s">
        <v>211</v>
      </c>
      <c r="B55" s="20" t="s">
        <v>114</v>
      </c>
      <c r="C55" s="667"/>
      <c r="D55" s="68" t="s">
        <v>487</v>
      </c>
      <c r="E55" s="679"/>
      <c r="F55" s="529">
        <f>VLOOKUP(D55,'May 2013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row>
    <row r="56" spans="1:38">
      <c r="A56" s="20"/>
      <c r="B56" s="20" t="s">
        <v>109</v>
      </c>
      <c r="C56" s="676" t="s">
        <v>906</v>
      </c>
      <c r="D56" s="68" t="s">
        <v>830</v>
      </c>
      <c r="E56" s="679"/>
      <c r="F56" s="529">
        <f>VLOOKUP(D56,'May 2013 Revenue'!D:V,19,FALSE)</f>
        <v>-4418.6500000000233</v>
      </c>
      <c r="G56" s="680"/>
      <c r="H56" s="680"/>
      <c r="I56" s="755"/>
      <c r="J56" s="682">
        <f>SUM(F56:I56)</f>
        <v>-4418.6500000000233</v>
      </c>
      <c r="K56" s="683"/>
      <c r="L56" s="684"/>
      <c r="M56" s="753">
        <v>450000</v>
      </c>
      <c r="N56" s="683">
        <v>0</v>
      </c>
      <c r="O56" s="686"/>
      <c r="P56" s="683">
        <v>0</v>
      </c>
      <c r="Q56" s="687">
        <f t="shared" si="1"/>
        <v>450000</v>
      </c>
      <c r="R56" s="687"/>
      <c r="S56" s="687"/>
      <c r="T56" s="688">
        <v>454545.04</v>
      </c>
      <c r="U56" s="693"/>
      <c r="V56" s="690">
        <f t="shared" si="2"/>
        <v>4545.039999999979</v>
      </c>
      <c r="W56" s="683"/>
      <c r="X56" s="474">
        <f t="shared" si="3"/>
        <v>0</v>
      </c>
      <c r="Y56" s="474">
        <f t="shared" si="4"/>
        <v>450000</v>
      </c>
      <c r="Z56" s="475">
        <f t="shared" si="5"/>
        <v>0</v>
      </c>
      <c r="AA56" s="475">
        <v>0</v>
      </c>
      <c r="AB56" s="476">
        <v>0</v>
      </c>
      <c r="AC56" s="38">
        <f t="shared" si="6"/>
        <v>0</v>
      </c>
      <c r="AD56" s="692">
        <f t="shared" si="7"/>
        <v>0</v>
      </c>
      <c r="AE56" s="692">
        <f t="shared" si="8"/>
        <v>-4418.6500000000233</v>
      </c>
      <c r="AF56" s="692">
        <f t="shared" si="9"/>
        <v>0</v>
      </c>
      <c r="AG56" s="38"/>
      <c r="AH56" s="692">
        <f t="shared" si="10"/>
        <v>0</v>
      </c>
      <c r="AI56" s="692">
        <f t="shared" si="11"/>
        <v>450000</v>
      </c>
      <c r="AJ56" s="692">
        <f t="shared" si="12"/>
        <v>0</v>
      </c>
      <c r="AL56" s="38">
        <f t="shared" si="13"/>
        <v>445581.35</v>
      </c>
    </row>
    <row r="57" spans="1:38">
      <c r="A57" s="20"/>
      <c r="B57" s="20" t="s">
        <v>109</v>
      </c>
      <c r="C57" s="667"/>
      <c r="D57" s="68" t="s">
        <v>374</v>
      </c>
      <c r="E57" s="679"/>
      <c r="F57" s="529">
        <f>VLOOKUP(D57,'May 2013 Revenue'!D:V,19,FALSE)</f>
        <v>-10000</v>
      </c>
      <c r="G57" s="680"/>
      <c r="H57" s="680"/>
      <c r="I57" s="755"/>
      <c r="J57" s="682">
        <f t="shared" ref="J57:J123" si="14">SUM(E57:I57)</f>
        <v>-10000</v>
      </c>
      <c r="K57" s="683"/>
      <c r="L57" s="684"/>
      <c r="M57" s="753">
        <v>15000</v>
      </c>
      <c r="N57" s="683">
        <v>0</v>
      </c>
      <c r="O57" s="686"/>
      <c r="P57" s="683">
        <v>0</v>
      </c>
      <c r="Q57" s="687">
        <f t="shared" si="1"/>
        <v>15000</v>
      </c>
      <c r="R57" s="687"/>
      <c r="S57" s="687"/>
      <c r="T57" s="688">
        <v>0</v>
      </c>
      <c r="U57" s="693"/>
      <c r="V57" s="690">
        <f t="shared" si="2"/>
        <v>-15000</v>
      </c>
      <c r="W57" s="683"/>
      <c r="X57" s="474">
        <f t="shared" si="3"/>
        <v>0</v>
      </c>
      <c r="Y57" s="474">
        <f t="shared" si="4"/>
        <v>15000</v>
      </c>
      <c r="Z57" s="475">
        <f t="shared" si="5"/>
        <v>0</v>
      </c>
      <c r="AA57" s="475">
        <v>0</v>
      </c>
      <c r="AB57" s="476">
        <v>0</v>
      </c>
      <c r="AC57" s="38">
        <f t="shared" si="6"/>
        <v>0</v>
      </c>
      <c r="AD57" s="692">
        <f t="shared" si="7"/>
        <v>0</v>
      </c>
      <c r="AE57" s="692">
        <f t="shared" si="8"/>
        <v>-10000</v>
      </c>
      <c r="AF57" s="692">
        <f t="shared" si="9"/>
        <v>0</v>
      </c>
      <c r="AG57" s="38"/>
      <c r="AH57" s="692">
        <f t="shared" si="10"/>
        <v>0</v>
      </c>
      <c r="AI57" s="692">
        <f t="shared" si="11"/>
        <v>15000</v>
      </c>
      <c r="AJ57" s="692">
        <f t="shared" si="12"/>
        <v>0</v>
      </c>
      <c r="AL57" s="38">
        <f t="shared" si="13"/>
        <v>5000</v>
      </c>
    </row>
    <row r="58" spans="1:38">
      <c r="A58" s="20"/>
      <c r="B58" s="20" t="s">
        <v>114</v>
      </c>
      <c r="C58" s="667"/>
      <c r="D58" s="68" t="s">
        <v>502</v>
      </c>
      <c r="E58" s="679"/>
      <c r="F58" s="529">
        <f>VLOOKUP(D58,'May 2013 Revenue'!D:V,19,FALSE)</f>
        <v>0</v>
      </c>
      <c r="G58" s="680"/>
      <c r="H58" s="680"/>
      <c r="I58" s="755"/>
      <c r="J58" s="682">
        <f t="shared" si="14"/>
        <v>0</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row>
    <row r="59" spans="1:38">
      <c r="A59" s="21"/>
      <c r="B59" s="21" t="s">
        <v>110</v>
      </c>
      <c r="C59" s="666" t="s">
        <v>535</v>
      </c>
      <c r="D59" s="123" t="s">
        <v>517</v>
      </c>
      <c r="E59" s="679"/>
      <c r="F59" s="529">
        <f>VLOOKUP(D59,'May 2013 Revenue'!D:V,19,FALSE)</f>
        <v>24994.419999999984</v>
      </c>
      <c r="G59" s="680"/>
      <c r="H59" s="680"/>
      <c r="I59" s="755"/>
      <c r="J59" s="682">
        <f t="shared" si="14"/>
        <v>24994.419999999984</v>
      </c>
      <c r="K59" s="683"/>
      <c r="L59" s="684"/>
      <c r="M59" s="753">
        <v>275000</v>
      </c>
      <c r="N59" s="683">
        <v>0</v>
      </c>
      <c r="O59" s="686"/>
      <c r="P59" s="683">
        <v>0</v>
      </c>
      <c r="Q59" s="687">
        <f t="shared" si="1"/>
        <v>275000</v>
      </c>
      <c r="R59" s="687"/>
      <c r="S59" s="687"/>
      <c r="T59" s="688">
        <v>284294.73</v>
      </c>
      <c r="U59" s="693"/>
      <c r="V59" s="690">
        <f t="shared" si="2"/>
        <v>9294.7299999999814</v>
      </c>
      <c r="W59" s="697"/>
      <c r="X59" s="474">
        <f t="shared" si="3"/>
        <v>275000</v>
      </c>
      <c r="Y59" s="474">
        <f t="shared" si="4"/>
        <v>0</v>
      </c>
      <c r="Z59" s="475">
        <f t="shared" si="5"/>
        <v>0</v>
      </c>
      <c r="AA59" s="475">
        <v>0</v>
      </c>
      <c r="AB59" s="476">
        <v>0</v>
      </c>
      <c r="AC59" s="38">
        <f t="shared" si="6"/>
        <v>0</v>
      </c>
      <c r="AD59" s="692">
        <f t="shared" si="7"/>
        <v>24994.419999999984</v>
      </c>
      <c r="AE59" s="692">
        <f t="shared" si="8"/>
        <v>0</v>
      </c>
      <c r="AF59" s="692">
        <f t="shared" si="9"/>
        <v>0</v>
      </c>
      <c r="AG59" s="38"/>
      <c r="AH59" s="692">
        <f t="shared" si="10"/>
        <v>275000</v>
      </c>
      <c r="AI59" s="692">
        <f t="shared" si="11"/>
        <v>0</v>
      </c>
      <c r="AJ59" s="692">
        <f t="shared" si="12"/>
        <v>0</v>
      </c>
      <c r="AL59" s="38">
        <f t="shared" si="13"/>
        <v>299994.42</v>
      </c>
    </row>
    <row r="60" spans="1:38">
      <c r="A60" s="20"/>
      <c r="B60" s="20" t="s">
        <v>110</v>
      </c>
      <c r="C60" s="667" t="s">
        <v>536</v>
      </c>
      <c r="D60" s="68" t="s">
        <v>450</v>
      </c>
      <c r="E60" s="679">
        <f>401.91+898.52</f>
        <v>1300.43</v>
      </c>
      <c r="F60" s="529">
        <f>VLOOKUP(D60,'May 2013 Revenue'!D:V,19,FALSE)</f>
        <v>1116.22</v>
      </c>
      <c r="G60" s="680"/>
      <c r="H60" s="680"/>
      <c r="I60" s="755"/>
      <c r="J60" s="682">
        <f t="shared" si="14"/>
        <v>2416.65</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2416.65</v>
      </c>
      <c r="AE60" s="692">
        <f t="shared" si="8"/>
        <v>0</v>
      </c>
      <c r="AF60" s="692">
        <f t="shared" si="9"/>
        <v>0</v>
      </c>
      <c r="AG60" s="38"/>
      <c r="AH60" s="692">
        <f t="shared" si="10"/>
        <v>0</v>
      </c>
      <c r="AI60" s="692">
        <f t="shared" si="11"/>
        <v>0</v>
      </c>
      <c r="AJ60" s="692">
        <f t="shared" si="12"/>
        <v>0</v>
      </c>
      <c r="AL60" s="38">
        <f t="shared" si="13"/>
        <v>2416.65</v>
      </c>
    </row>
    <row r="61" spans="1:38">
      <c r="A61" s="21" t="s">
        <v>109</v>
      </c>
      <c r="B61" s="21" t="s">
        <v>110</v>
      </c>
      <c r="C61" s="666"/>
      <c r="D61" s="68" t="s">
        <v>438</v>
      </c>
      <c r="E61" s="679"/>
      <c r="F61" s="529">
        <f>VLOOKUP(D61,'May 2013 Revenue'!D:V,19,FALSE)</f>
        <v>0</v>
      </c>
      <c r="G61" s="680"/>
      <c r="H61" s="680"/>
      <c r="I61" s="755"/>
      <c r="J61" s="682">
        <f t="shared" si="14"/>
        <v>0</v>
      </c>
      <c r="K61" s="683"/>
      <c r="L61" s="684"/>
      <c r="M61" s="753"/>
      <c r="N61" s="683">
        <v>0</v>
      </c>
      <c r="O61" s="686"/>
      <c r="P61" s="683">
        <v>0</v>
      </c>
      <c r="Q61" s="687">
        <f t="shared" si="1"/>
        <v>0</v>
      </c>
      <c r="R61" s="687"/>
      <c r="S61" s="687"/>
      <c r="T61" s="688">
        <v>0</v>
      </c>
      <c r="U61" s="693"/>
      <c r="V61" s="690">
        <f t="shared" si="2"/>
        <v>0</v>
      </c>
      <c r="W61" s="697"/>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row>
    <row r="62" spans="1:38">
      <c r="A62" s="21"/>
      <c r="B62" s="21" t="s">
        <v>110</v>
      </c>
      <c r="C62" s="666"/>
      <c r="D62" s="68" t="s">
        <v>628</v>
      </c>
      <c r="E62" s="679"/>
      <c r="F62" s="529">
        <f>VLOOKUP(D62,'May 2013 Revenue'!D:V,19,FALSE)</f>
        <v>0</v>
      </c>
      <c r="G62" s="680"/>
      <c r="H62" s="680"/>
      <c r="I62" s="755"/>
      <c r="J62" s="682">
        <f t="shared" si="14"/>
        <v>0</v>
      </c>
      <c r="K62" s="683"/>
      <c r="L62" s="684"/>
      <c r="M62" s="753"/>
      <c r="N62" s="683">
        <v>0</v>
      </c>
      <c r="O62" s="686"/>
      <c r="P62" s="683">
        <v>0</v>
      </c>
      <c r="Q62" s="687">
        <f t="shared" si="1"/>
        <v>0</v>
      </c>
      <c r="R62" s="687"/>
      <c r="S62" s="687"/>
      <c r="T62" s="688">
        <v>0</v>
      </c>
      <c r="U62" s="693"/>
      <c r="V62" s="690">
        <f t="shared" si="2"/>
        <v>0</v>
      </c>
      <c r="W62" s="697"/>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row>
    <row r="63" spans="1:38">
      <c r="A63" s="21"/>
      <c r="B63" s="21" t="s">
        <v>110</v>
      </c>
      <c r="C63" s="666"/>
      <c r="D63" s="68" t="s">
        <v>956</v>
      </c>
      <c r="E63" s="679">
        <v>1470.87</v>
      </c>
      <c r="F63" s="529"/>
      <c r="G63" s="680"/>
      <c r="H63" s="680"/>
      <c r="I63" s="755"/>
      <c r="J63" s="682">
        <f t="shared" si="14"/>
        <v>1470.87</v>
      </c>
      <c r="K63" s="683"/>
      <c r="L63" s="684"/>
      <c r="M63" s="753"/>
      <c r="N63" s="683">
        <v>0</v>
      </c>
      <c r="O63" s="686"/>
      <c r="P63" s="683">
        <v>0</v>
      </c>
      <c r="Q63" s="687">
        <f t="shared" si="1"/>
        <v>0</v>
      </c>
      <c r="R63" s="687"/>
      <c r="S63" s="687"/>
      <c r="T63" s="688">
        <v>1276.17</v>
      </c>
      <c r="U63" s="693"/>
      <c r="V63" s="690">
        <f t="shared" si="2"/>
        <v>1276.17</v>
      </c>
      <c r="W63" s="683"/>
      <c r="X63" s="474">
        <f t="shared" si="3"/>
        <v>0</v>
      </c>
      <c r="Y63" s="474">
        <f t="shared" si="4"/>
        <v>0</v>
      </c>
      <c r="Z63" s="475">
        <f t="shared" si="5"/>
        <v>0</v>
      </c>
      <c r="AA63" s="475">
        <v>0</v>
      </c>
      <c r="AB63" s="476">
        <v>0</v>
      </c>
      <c r="AC63" s="38">
        <f t="shared" si="6"/>
        <v>0</v>
      </c>
      <c r="AD63" s="692">
        <f t="shared" si="7"/>
        <v>1470.87</v>
      </c>
      <c r="AE63" s="692">
        <f t="shared" si="8"/>
        <v>0</v>
      </c>
      <c r="AF63" s="692">
        <f t="shared" si="9"/>
        <v>0</v>
      </c>
      <c r="AG63" s="38"/>
      <c r="AH63" s="692">
        <f t="shared" si="10"/>
        <v>0</v>
      </c>
      <c r="AI63" s="692">
        <f t="shared" si="11"/>
        <v>0</v>
      </c>
      <c r="AJ63" s="692">
        <f t="shared" si="12"/>
        <v>0</v>
      </c>
      <c r="AL63" s="38">
        <f t="shared" si="13"/>
        <v>1470.87</v>
      </c>
    </row>
    <row r="64" spans="1:38" s="232" customFormat="1">
      <c r="A64" s="283" t="s">
        <v>211</v>
      </c>
      <c r="B64" s="283" t="s">
        <v>110</v>
      </c>
      <c r="C64" s="667" t="s">
        <v>538</v>
      </c>
      <c r="D64" s="123" t="s">
        <v>170</v>
      </c>
      <c r="E64" s="679"/>
      <c r="F64" s="529">
        <f>VLOOKUP(D64,'May 2013 Revenue'!D:V,19,FALSE)</f>
        <v>-200000</v>
      </c>
      <c r="G64" s="680"/>
      <c r="H64" s="680"/>
      <c r="I64" s="770">
        <v>497643.2</v>
      </c>
      <c r="J64" s="682">
        <f t="shared" si="14"/>
        <v>297643.2</v>
      </c>
      <c r="K64" s="683"/>
      <c r="L64" s="684"/>
      <c r="M64" s="753">
        <f>58818+120000</f>
        <v>178818</v>
      </c>
      <c r="N64" s="683">
        <v>0</v>
      </c>
      <c r="O64" s="686"/>
      <c r="P64" s="683">
        <v>0</v>
      </c>
      <c r="Q64" s="687">
        <f t="shared" si="1"/>
        <v>178818</v>
      </c>
      <c r="R64" s="687"/>
      <c r="S64" s="687"/>
      <c r="T64" s="688">
        <v>189228.87</v>
      </c>
      <c r="U64" s="693"/>
      <c r="V64" s="690">
        <f t="shared" si="2"/>
        <v>10410.869999999995</v>
      </c>
      <c r="W64" s="683"/>
      <c r="X64" s="474">
        <f t="shared" si="3"/>
        <v>178818</v>
      </c>
      <c r="Y64" s="474">
        <f t="shared" si="4"/>
        <v>0</v>
      </c>
      <c r="Z64" s="475">
        <f t="shared" si="5"/>
        <v>0</v>
      </c>
      <c r="AA64" s="475">
        <v>0</v>
      </c>
      <c r="AB64" s="476">
        <v>0</v>
      </c>
      <c r="AC64" s="38">
        <f t="shared" si="6"/>
        <v>0</v>
      </c>
      <c r="AD64" s="692">
        <f t="shared" si="7"/>
        <v>297643.2</v>
      </c>
      <c r="AE64" s="692">
        <f t="shared" si="8"/>
        <v>0</v>
      </c>
      <c r="AF64" s="692">
        <f t="shared" si="9"/>
        <v>0</v>
      </c>
      <c r="AG64" s="38"/>
      <c r="AH64" s="692">
        <f t="shared" si="10"/>
        <v>178818</v>
      </c>
      <c r="AI64" s="692">
        <f t="shared" si="11"/>
        <v>0</v>
      </c>
      <c r="AJ64" s="692">
        <f t="shared" si="12"/>
        <v>0</v>
      </c>
      <c r="AL64" s="38">
        <f t="shared" si="13"/>
        <v>476461.2</v>
      </c>
    </row>
    <row r="65" spans="1:38" s="232" customFormat="1">
      <c r="A65" s="283" t="s">
        <v>211</v>
      </c>
      <c r="B65" s="283" t="s">
        <v>110</v>
      </c>
      <c r="C65" s="667" t="s">
        <v>538</v>
      </c>
      <c r="D65" s="123" t="s">
        <v>171</v>
      </c>
      <c r="E65" s="679"/>
      <c r="F65" s="529">
        <f>VLOOKUP(D65,'May 2013 Revenue'!D:V,19,FALSE)</f>
        <v>0</v>
      </c>
      <c r="G65" s="680"/>
      <c r="H65" s="680"/>
      <c r="I65" s="755"/>
      <c r="J65" s="682">
        <f t="shared" si="14"/>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row>
    <row r="66" spans="1:38" s="232" customFormat="1" hidden="1">
      <c r="A66" s="283" t="s">
        <v>211</v>
      </c>
      <c r="B66" s="283" t="s">
        <v>110</v>
      </c>
      <c r="C66" s="667" t="s">
        <v>538</v>
      </c>
      <c r="D66" s="123" t="s">
        <v>13</v>
      </c>
      <c r="E66" s="679"/>
      <c r="F66" s="529">
        <f>VLOOKUP(D66,'May 2013 Revenue'!D:V,19,FALSE)</f>
        <v>0</v>
      </c>
      <c r="G66" s="680"/>
      <c r="H66" s="680"/>
      <c r="I66" s="755"/>
      <c r="J66" s="682">
        <f t="shared" si="14"/>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row>
    <row r="67" spans="1:38" s="232" customFormat="1" hidden="1">
      <c r="A67" s="283" t="s">
        <v>211</v>
      </c>
      <c r="B67" s="283" t="s">
        <v>110</v>
      </c>
      <c r="C67" s="667" t="s">
        <v>538</v>
      </c>
      <c r="D67" s="123" t="s">
        <v>172</v>
      </c>
      <c r="E67" s="679"/>
      <c r="F67" s="529">
        <f>VLOOKUP(D67,'May 2013 Revenue'!D:V,19,FALSE)</f>
        <v>0</v>
      </c>
      <c r="G67" s="680"/>
      <c r="H67" s="680"/>
      <c r="I67" s="755"/>
      <c r="J67" s="682">
        <f t="shared" si="14"/>
        <v>0</v>
      </c>
      <c r="K67" s="683"/>
      <c r="L67" s="684"/>
      <c r="M67" s="753"/>
      <c r="N67" s="683">
        <v>0</v>
      </c>
      <c r="O67" s="686"/>
      <c r="P67" s="683">
        <v>0</v>
      </c>
      <c r="Q67" s="687">
        <f t="shared" si="1"/>
        <v>0</v>
      </c>
      <c r="R67" s="687"/>
      <c r="S67" s="687"/>
      <c r="T67" s="688">
        <v>0</v>
      </c>
      <c r="U67" s="693"/>
      <c r="V67" s="690">
        <f t="shared" si="2"/>
        <v>0</v>
      </c>
      <c r="W67" s="683"/>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row>
    <row r="68" spans="1:38" s="232" customFormat="1" hidden="1">
      <c r="A68" s="283" t="s">
        <v>211</v>
      </c>
      <c r="B68" s="283" t="s">
        <v>110</v>
      </c>
      <c r="C68" s="667" t="s">
        <v>538</v>
      </c>
      <c r="D68" s="123" t="s">
        <v>173</v>
      </c>
      <c r="E68" s="679"/>
      <c r="F68" s="529">
        <f>VLOOKUP(D68,'May 2013 Revenue'!D:V,19,FALSE)</f>
        <v>0</v>
      </c>
      <c r="G68" s="680"/>
      <c r="H68" s="680"/>
      <c r="I68" s="755"/>
      <c r="J68" s="682">
        <f t="shared" si="14"/>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row>
    <row r="69" spans="1:38" s="232" customFormat="1" hidden="1">
      <c r="A69" s="283" t="s">
        <v>211</v>
      </c>
      <c r="B69" s="283" t="s">
        <v>110</v>
      </c>
      <c r="C69" s="667" t="s">
        <v>538</v>
      </c>
      <c r="D69" s="123" t="s">
        <v>174</v>
      </c>
      <c r="E69" s="679"/>
      <c r="F69" s="529">
        <f>VLOOKUP(D69,'May 2013 Revenue'!D:V,19,FALSE)</f>
        <v>0</v>
      </c>
      <c r="G69" s="680"/>
      <c r="H69" s="680"/>
      <c r="I69" s="755"/>
      <c r="J69" s="682">
        <f t="shared" si="14"/>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row>
    <row r="70" spans="1:38" s="232" customFormat="1">
      <c r="A70" s="283"/>
      <c r="B70" s="283" t="s">
        <v>109</v>
      </c>
      <c r="C70" s="794"/>
      <c r="D70" s="351" t="s">
        <v>14</v>
      </c>
      <c r="E70" s="679"/>
      <c r="F70" s="529">
        <f>VLOOKUP(D70,'May 2013 Revenue'!D:V,19,FALSE)</f>
        <v>0</v>
      </c>
      <c r="G70" s="680"/>
      <c r="H70" s="680"/>
      <c r="I70" s="755"/>
      <c r="J70" s="682">
        <f t="shared" si="14"/>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row>
    <row r="71" spans="1:38" hidden="1">
      <c r="A71" s="20"/>
      <c r="B71" s="20" t="s">
        <v>110</v>
      </c>
      <c r="C71" s="667"/>
      <c r="D71" s="68" t="s">
        <v>15</v>
      </c>
      <c r="E71" s="679"/>
      <c r="F71" s="529">
        <f>VLOOKUP(D71,'May 2013 Revenue'!D:V,19,FALSE)</f>
        <v>0</v>
      </c>
      <c r="G71" s="680"/>
      <c r="H71" s="680"/>
      <c r="I71" s="755"/>
      <c r="J71" s="682">
        <f t="shared" si="14"/>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row>
    <row r="72" spans="1:38">
      <c r="A72" s="20"/>
      <c r="B72" s="20" t="s">
        <v>110</v>
      </c>
      <c r="C72" s="667"/>
      <c r="D72" s="68" t="s">
        <v>646</v>
      </c>
      <c r="E72" s="679"/>
      <c r="F72" s="529">
        <f>VLOOKUP(D72,'May 2013 Revenue'!D:V,19,FALSE)</f>
        <v>0</v>
      </c>
      <c r="G72" s="680"/>
      <c r="H72" s="680"/>
      <c r="I72" s="770">
        <v>243.41</v>
      </c>
      <c r="J72" s="682">
        <f t="shared" si="14"/>
        <v>243.41</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243.41</v>
      </c>
      <c r="AE72" s="692">
        <f t="shared" si="8"/>
        <v>0</v>
      </c>
      <c r="AF72" s="692">
        <f t="shared" si="9"/>
        <v>0</v>
      </c>
      <c r="AG72" s="38"/>
      <c r="AH72" s="692">
        <f t="shared" si="10"/>
        <v>0</v>
      </c>
      <c r="AI72" s="692">
        <f t="shared" si="11"/>
        <v>0</v>
      </c>
      <c r="AJ72" s="692">
        <f t="shared" si="12"/>
        <v>0</v>
      </c>
      <c r="AL72" s="38">
        <f t="shared" si="13"/>
        <v>243.41</v>
      </c>
    </row>
    <row r="73" spans="1:38">
      <c r="A73" s="20" t="s">
        <v>109</v>
      </c>
      <c r="B73" s="20" t="s">
        <v>109</v>
      </c>
      <c r="C73" s="667" t="s">
        <v>539</v>
      </c>
      <c r="D73" s="68" t="s">
        <v>510</v>
      </c>
      <c r="E73" s="679">
        <v>920.08</v>
      </c>
      <c r="F73" s="529">
        <f>VLOOKUP(D73,'May 2013 Revenue'!D:V,19,FALSE)</f>
        <v>0</v>
      </c>
      <c r="G73" s="680"/>
      <c r="H73" s="680"/>
      <c r="I73" s="755"/>
      <c r="J73" s="682">
        <f t="shared" si="14"/>
        <v>920.08</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920.08</v>
      </c>
      <c r="AF73" s="692">
        <f t="shared" si="9"/>
        <v>0</v>
      </c>
      <c r="AG73" s="38"/>
      <c r="AH73" s="692">
        <f t="shared" si="10"/>
        <v>0</v>
      </c>
      <c r="AI73" s="692">
        <f t="shared" si="11"/>
        <v>0</v>
      </c>
      <c r="AJ73" s="692">
        <f t="shared" si="12"/>
        <v>0</v>
      </c>
      <c r="AL73" s="38">
        <f t="shared" si="13"/>
        <v>920.08</v>
      </c>
    </row>
    <row r="74" spans="1:38">
      <c r="A74" s="20"/>
      <c r="B74" s="20" t="s">
        <v>109</v>
      </c>
      <c r="C74" s="667"/>
      <c r="D74" s="68" t="s">
        <v>16</v>
      </c>
      <c r="E74" s="679"/>
      <c r="F74" s="529">
        <f>VLOOKUP(D74,'May 2013 Revenue'!D:V,19,FALSE)</f>
        <v>0</v>
      </c>
      <c r="G74" s="680"/>
      <c r="H74" s="680"/>
      <c r="I74" s="755"/>
      <c r="J74" s="682">
        <f t="shared" si="14"/>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row>
    <row r="75" spans="1:38">
      <c r="A75" s="20"/>
      <c r="B75" s="20" t="s">
        <v>110</v>
      </c>
      <c r="C75" s="667"/>
      <c r="D75" s="68" t="s">
        <v>597</v>
      </c>
      <c r="E75" s="679"/>
      <c r="F75" s="529">
        <f>VLOOKUP(D75,'May 2013 Revenue'!D:V,19,FALSE)</f>
        <v>76048.799999999959</v>
      </c>
      <c r="G75" s="680"/>
      <c r="H75" s="680"/>
      <c r="I75" s="755"/>
      <c r="J75" s="682">
        <f t="shared" si="14"/>
        <v>76048.799999999959</v>
      </c>
      <c r="K75" s="683"/>
      <c r="L75" s="684"/>
      <c r="M75" s="753">
        <v>225000</v>
      </c>
      <c r="N75" s="683">
        <v>0</v>
      </c>
      <c r="O75" s="686"/>
      <c r="P75" s="683">
        <v>0</v>
      </c>
      <c r="Q75" s="687">
        <f t="shared" si="1"/>
        <v>225000</v>
      </c>
      <c r="R75" s="687"/>
      <c r="S75" s="687"/>
      <c r="T75" s="688">
        <f>268328.9+35493.29+47054.79+21229.27+2054.88</f>
        <v>374161.13</v>
      </c>
      <c r="U75" s="693"/>
      <c r="V75" s="690">
        <f t="shared" si="2"/>
        <v>149161.13</v>
      </c>
      <c r="W75" s="683"/>
      <c r="X75" s="474">
        <f t="shared" si="3"/>
        <v>225000</v>
      </c>
      <c r="Y75" s="474">
        <f t="shared" si="4"/>
        <v>0</v>
      </c>
      <c r="Z75" s="475">
        <f t="shared" si="5"/>
        <v>0</v>
      </c>
      <c r="AA75" s="475">
        <v>0</v>
      </c>
      <c r="AB75" s="476">
        <v>0</v>
      </c>
      <c r="AC75" s="38">
        <f t="shared" si="6"/>
        <v>0</v>
      </c>
      <c r="AD75" s="692">
        <f t="shared" si="7"/>
        <v>76048.799999999959</v>
      </c>
      <c r="AE75" s="692">
        <f t="shared" si="8"/>
        <v>0</v>
      </c>
      <c r="AF75" s="692">
        <f t="shared" si="9"/>
        <v>0</v>
      </c>
      <c r="AG75" s="38"/>
      <c r="AH75" s="692">
        <f t="shared" si="10"/>
        <v>225000</v>
      </c>
      <c r="AI75" s="692">
        <f t="shared" si="11"/>
        <v>0</v>
      </c>
      <c r="AJ75" s="692">
        <f t="shared" si="12"/>
        <v>0</v>
      </c>
      <c r="AL75" s="38">
        <f t="shared" si="13"/>
        <v>301048.79999999993</v>
      </c>
    </row>
    <row r="76" spans="1:38" s="232" customFormat="1">
      <c r="A76" s="283"/>
      <c r="B76" s="283" t="s">
        <v>109</v>
      </c>
      <c r="C76" s="667" t="s">
        <v>540</v>
      </c>
      <c r="D76" s="373" t="s">
        <v>410</v>
      </c>
      <c r="E76" s="679"/>
      <c r="F76" s="529">
        <f>VLOOKUP(D76,'May 2013 Revenue'!D:V,19,FALSE)</f>
        <v>-40000</v>
      </c>
      <c r="G76" s="680"/>
      <c r="H76" s="680"/>
      <c r="I76" s="755"/>
      <c r="J76" s="682">
        <f t="shared" si="14"/>
        <v>-40000</v>
      </c>
      <c r="K76" s="683"/>
      <c r="L76" s="684"/>
      <c r="M76" s="753">
        <v>60000</v>
      </c>
      <c r="N76" s="683">
        <v>0</v>
      </c>
      <c r="O76" s="686"/>
      <c r="P76" s="683">
        <v>0</v>
      </c>
      <c r="Q76" s="687">
        <f t="shared" si="1"/>
        <v>60000</v>
      </c>
      <c r="R76" s="687"/>
      <c r="S76" s="687"/>
      <c r="T76" s="688">
        <v>0</v>
      </c>
      <c r="U76" s="693"/>
      <c r="V76" s="690">
        <f t="shared" si="2"/>
        <v>-60000</v>
      </c>
      <c r="W76" s="683"/>
      <c r="X76" s="474">
        <f t="shared" si="3"/>
        <v>0</v>
      </c>
      <c r="Y76" s="474">
        <f t="shared" si="4"/>
        <v>60000</v>
      </c>
      <c r="Z76" s="475">
        <f t="shared" si="5"/>
        <v>0</v>
      </c>
      <c r="AA76" s="475">
        <v>0</v>
      </c>
      <c r="AB76" s="476">
        <v>0</v>
      </c>
      <c r="AC76" s="38">
        <f t="shared" si="6"/>
        <v>0</v>
      </c>
      <c r="AD76" s="692">
        <f t="shared" si="7"/>
        <v>0</v>
      </c>
      <c r="AE76" s="692">
        <f t="shared" si="8"/>
        <v>-40000</v>
      </c>
      <c r="AF76" s="692">
        <f t="shared" si="9"/>
        <v>0</v>
      </c>
      <c r="AG76" s="38"/>
      <c r="AH76" s="692">
        <f t="shared" si="10"/>
        <v>0</v>
      </c>
      <c r="AI76" s="692">
        <f t="shared" si="11"/>
        <v>60000</v>
      </c>
      <c r="AJ76" s="692">
        <f t="shared" si="12"/>
        <v>0</v>
      </c>
      <c r="AL76" s="38">
        <f t="shared" si="13"/>
        <v>20000</v>
      </c>
    </row>
    <row r="77" spans="1:38" s="232" customFormat="1">
      <c r="A77" s="283"/>
      <c r="B77" s="283" t="s">
        <v>109</v>
      </c>
      <c r="C77" s="667" t="s">
        <v>540</v>
      </c>
      <c r="D77" s="373" t="s">
        <v>879</v>
      </c>
      <c r="E77" s="679"/>
      <c r="F77" s="529">
        <f>VLOOKUP(D77,'May 2013 Revenue'!D:V,19,FALSE)</f>
        <v>0</v>
      </c>
      <c r="G77" s="680"/>
      <c r="H77" s="680"/>
      <c r="I77" s="755"/>
      <c r="J77" s="682">
        <f t="shared" si="14"/>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row>
    <row r="78" spans="1:38" s="232" customFormat="1">
      <c r="A78" s="283"/>
      <c r="B78" s="283" t="s">
        <v>109</v>
      </c>
      <c r="C78" s="667" t="s">
        <v>540</v>
      </c>
      <c r="D78" s="373" t="s">
        <v>620</v>
      </c>
      <c r="E78" s="679"/>
      <c r="F78" s="529">
        <f>VLOOKUP(D78,'May 2013 Revenue'!D:V,19,FALSE)</f>
        <v>0</v>
      </c>
      <c r="G78" s="680"/>
      <c r="H78" s="680"/>
      <c r="I78" s="755"/>
      <c r="J78" s="682">
        <f t="shared" si="14"/>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row>
    <row r="79" spans="1:38">
      <c r="A79" s="20"/>
      <c r="B79" s="20" t="s">
        <v>110</v>
      </c>
      <c r="C79" s="667" t="s">
        <v>541</v>
      </c>
      <c r="D79" s="351" t="s">
        <v>507</v>
      </c>
      <c r="E79" s="679"/>
      <c r="F79" s="529">
        <f>VLOOKUP(D79,'May 2013 Revenue'!D:V,19,FALSE)</f>
        <v>0</v>
      </c>
      <c r="G79" s="680"/>
      <c r="H79" s="680"/>
      <c r="I79" s="755"/>
      <c r="J79" s="682">
        <f t="shared" si="14"/>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row>
    <row r="80" spans="1:38">
      <c r="A80" s="20"/>
      <c r="B80" s="20" t="s">
        <v>110</v>
      </c>
      <c r="C80" s="667" t="s">
        <v>541</v>
      </c>
      <c r="D80" s="351" t="s">
        <v>506</v>
      </c>
      <c r="E80" s="679"/>
      <c r="F80" s="529">
        <f>VLOOKUP(D80,'May 2013 Revenue'!D:V,19,FALSE)</f>
        <v>0</v>
      </c>
      <c r="G80" s="680"/>
      <c r="H80" s="680"/>
      <c r="I80" s="755"/>
      <c r="J80" s="682">
        <f t="shared" si="14"/>
        <v>0</v>
      </c>
      <c r="K80" s="683"/>
      <c r="L80" s="684"/>
      <c r="M80" s="753"/>
      <c r="N80" s="683">
        <v>0</v>
      </c>
      <c r="O80" s="686"/>
      <c r="P80" s="683">
        <v>0</v>
      </c>
      <c r="Q80" s="687">
        <f t="shared" si="1"/>
        <v>0</v>
      </c>
      <c r="R80" s="687"/>
      <c r="S80" s="687"/>
      <c r="T80" s="688">
        <v>0</v>
      </c>
      <c r="U80" s="693"/>
      <c r="V80" s="690">
        <f t="shared" ref="V80:V144" si="15">IF(T80="","",T80-Q80)</f>
        <v>0</v>
      </c>
      <c r="W80" s="683"/>
      <c r="X80" s="474">
        <f t="shared" si="3"/>
        <v>0</v>
      </c>
      <c r="Y80" s="474">
        <f t="shared" si="4"/>
        <v>0</v>
      </c>
      <c r="Z80" s="475">
        <f t="shared" si="5"/>
        <v>0</v>
      </c>
      <c r="AA80" s="475">
        <v>0</v>
      </c>
      <c r="AB80" s="476">
        <v>0</v>
      </c>
      <c r="AC80" s="38">
        <f t="shared" si="6"/>
        <v>0</v>
      </c>
      <c r="AD80" s="692">
        <f t="shared" ref="AD80:AD147" si="16">IF(B80="D",J80,0)</f>
        <v>0</v>
      </c>
      <c r="AE80" s="692">
        <f t="shared" ref="AE80:AE147" si="17">IF(B80="M",J80,0)</f>
        <v>0</v>
      </c>
      <c r="AF80" s="692">
        <f t="shared" ref="AF80:AF147" si="18">IF(B80="V",J80,0)</f>
        <v>0</v>
      </c>
      <c r="AG80" s="38"/>
      <c r="AH80" s="692">
        <f t="shared" si="10"/>
        <v>0</v>
      </c>
      <c r="AI80" s="692">
        <f t="shared" si="11"/>
        <v>0</v>
      </c>
      <c r="AJ80" s="692">
        <f t="shared" si="12"/>
        <v>0</v>
      </c>
      <c r="AL80" s="38">
        <f t="shared" si="13"/>
        <v>0</v>
      </c>
    </row>
    <row r="81" spans="1:38">
      <c r="A81" s="20"/>
      <c r="B81" s="20" t="s">
        <v>110</v>
      </c>
      <c r="C81" s="667" t="s">
        <v>542</v>
      </c>
      <c r="D81" s="68" t="s">
        <v>305</v>
      </c>
      <c r="E81" s="679">
        <v>5937.82</v>
      </c>
      <c r="F81" s="529">
        <f>VLOOKUP(D81,'May 2013 Revenue'!D:V,19,FALSE)</f>
        <v>0</v>
      </c>
      <c r="G81" s="680"/>
      <c r="H81" s="680"/>
      <c r="I81" s="755"/>
      <c r="J81" s="682">
        <f t="shared" si="14"/>
        <v>5937.82</v>
      </c>
      <c r="K81" s="683"/>
      <c r="L81" s="684"/>
      <c r="M81" s="753"/>
      <c r="N81" s="683">
        <v>0</v>
      </c>
      <c r="O81" s="686"/>
      <c r="P81" s="683">
        <v>0</v>
      </c>
      <c r="Q81" s="687">
        <f t="shared" si="1"/>
        <v>0</v>
      </c>
      <c r="R81" s="687"/>
      <c r="S81" s="687"/>
      <c r="T81" s="688">
        <v>0</v>
      </c>
      <c r="U81" s="693"/>
      <c r="V81" s="690">
        <f t="shared" si="15"/>
        <v>0</v>
      </c>
      <c r="W81" s="683"/>
      <c r="X81" s="474">
        <f t="shared" ref="X81:X149" si="19">IF(B81="D",Q81,0)</f>
        <v>0</v>
      </c>
      <c r="Y81" s="474">
        <f t="shared" ref="Y81:Y149" si="20">IF(B81="M",Q81,0)</f>
        <v>0</v>
      </c>
      <c r="Z81" s="475">
        <f t="shared" ref="Z81:Z149" si="21">IF(B81="V",Q81,0)</f>
        <v>0</v>
      </c>
      <c r="AA81" s="475">
        <v>0</v>
      </c>
      <c r="AB81" s="476">
        <v>0</v>
      </c>
      <c r="AC81" s="38">
        <f t="shared" ref="AC81:AC149" si="22">(L81+M81)-(X81+Y81+Z81+AA81+AB81)</f>
        <v>0</v>
      </c>
      <c r="AD81" s="692">
        <f t="shared" si="16"/>
        <v>5937.82</v>
      </c>
      <c r="AE81" s="692">
        <f t="shared" si="17"/>
        <v>0</v>
      </c>
      <c r="AF81" s="692">
        <f t="shared" si="18"/>
        <v>0</v>
      </c>
      <c r="AG81" s="38"/>
      <c r="AH81" s="692">
        <f t="shared" ref="AH81:AH148" si="23">IF(B81="D",Q81,0)</f>
        <v>0</v>
      </c>
      <c r="AI81" s="692">
        <f t="shared" ref="AI81:AI148" si="24">IF(B81="M",Q81,0)</f>
        <v>0</v>
      </c>
      <c r="AJ81" s="692">
        <f t="shared" ref="AJ81:AJ148" si="25">IF(B81="V",Q81,0)</f>
        <v>0</v>
      </c>
      <c r="AL81" s="38">
        <f t="shared" si="13"/>
        <v>5937.82</v>
      </c>
    </row>
    <row r="82" spans="1:38">
      <c r="A82" s="20"/>
      <c r="B82" s="20" t="s">
        <v>110</v>
      </c>
      <c r="C82" s="667" t="s">
        <v>543</v>
      </c>
      <c r="D82" s="68" t="s">
        <v>199</v>
      </c>
      <c r="E82" s="679"/>
      <c r="F82" s="529">
        <f>VLOOKUP(D82,'May 2013 Revenue'!D:V,19,FALSE)</f>
        <v>0</v>
      </c>
      <c r="G82" s="680"/>
      <c r="H82" s="680"/>
      <c r="I82" s="755"/>
      <c r="J82" s="682">
        <f t="shared" si="14"/>
        <v>0</v>
      </c>
      <c r="K82" s="683"/>
      <c r="L82" s="684"/>
      <c r="M82" s="753"/>
      <c r="N82" s="683">
        <v>0</v>
      </c>
      <c r="O82" s="686"/>
      <c r="P82" s="683">
        <v>0</v>
      </c>
      <c r="Q82" s="687">
        <f t="shared" si="1"/>
        <v>0</v>
      </c>
      <c r="R82" s="687"/>
      <c r="S82" s="687"/>
      <c r="T82" s="688">
        <v>0</v>
      </c>
      <c r="U82" s="693"/>
      <c r="V82" s="690">
        <f t="shared" si="15"/>
        <v>0</v>
      </c>
      <c r="W82" s="683"/>
      <c r="X82" s="474">
        <f t="shared" si="19"/>
        <v>0</v>
      </c>
      <c r="Y82" s="474">
        <f t="shared" si="20"/>
        <v>0</v>
      </c>
      <c r="Z82" s="475">
        <f t="shared" si="21"/>
        <v>0</v>
      </c>
      <c r="AA82" s="475">
        <v>0</v>
      </c>
      <c r="AB82" s="476">
        <v>0</v>
      </c>
      <c r="AC82" s="38">
        <f t="shared" si="22"/>
        <v>0</v>
      </c>
      <c r="AD82" s="692">
        <f t="shared" si="16"/>
        <v>0</v>
      </c>
      <c r="AE82" s="692">
        <f t="shared" si="17"/>
        <v>0</v>
      </c>
      <c r="AF82" s="692">
        <f t="shared" si="18"/>
        <v>0</v>
      </c>
      <c r="AG82" s="38"/>
      <c r="AH82" s="692">
        <f t="shared" si="23"/>
        <v>0</v>
      </c>
      <c r="AI82" s="692">
        <f t="shared" si="24"/>
        <v>0</v>
      </c>
      <c r="AJ82" s="692">
        <f t="shared" si="25"/>
        <v>0</v>
      </c>
      <c r="AL82" s="38">
        <f t="shared" ref="AL82:AL147" si="26">SUM(AD82:AJ82)</f>
        <v>0</v>
      </c>
    </row>
    <row r="83" spans="1:38">
      <c r="A83" s="20"/>
      <c r="B83" s="20" t="s">
        <v>110</v>
      </c>
      <c r="C83" s="667" t="s">
        <v>543</v>
      </c>
      <c r="D83" s="68" t="s">
        <v>200</v>
      </c>
      <c r="E83" s="679"/>
      <c r="F83" s="529">
        <f>VLOOKUP(D83,'May 2013 Revenue'!D:V,19,FALSE)</f>
        <v>0</v>
      </c>
      <c r="G83" s="680"/>
      <c r="H83" s="680"/>
      <c r="I83" s="755"/>
      <c r="J83" s="682">
        <f t="shared" si="14"/>
        <v>0</v>
      </c>
      <c r="K83" s="683"/>
      <c r="L83" s="684"/>
      <c r="M83" s="753"/>
      <c r="N83" s="683">
        <v>0</v>
      </c>
      <c r="O83" s="686"/>
      <c r="P83" s="683">
        <v>0</v>
      </c>
      <c r="Q83" s="687">
        <f t="shared" si="1"/>
        <v>0</v>
      </c>
      <c r="R83" s="687"/>
      <c r="S83" s="687"/>
      <c r="T83" s="688">
        <v>0</v>
      </c>
      <c r="U83" s="693"/>
      <c r="V83" s="690">
        <f t="shared" si="15"/>
        <v>0</v>
      </c>
      <c r="W83" s="683"/>
      <c r="X83" s="474">
        <f t="shared" si="19"/>
        <v>0</v>
      </c>
      <c r="Y83" s="474">
        <f t="shared" si="20"/>
        <v>0</v>
      </c>
      <c r="Z83" s="475">
        <f t="shared" si="21"/>
        <v>0</v>
      </c>
      <c r="AA83" s="475">
        <v>0</v>
      </c>
      <c r="AB83" s="476">
        <v>0</v>
      </c>
      <c r="AC83" s="38">
        <f t="shared" si="22"/>
        <v>0</v>
      </c>
      <c r="AD83" s="692">
        <f t="shared" si="16"/>
        <v>0</v>
      </c>
      <c r="AE83" s="692">
        <f t="shared" si="17"/>
        <v>0</v>
      </c>
      <c r="AF83" s="692">
        <f t="shared" si="18"/>
        <v>0</v>
      </c>
      <c r="AG83" s="38"/>
      <c r="AH83" s="692">
        <f t="shared" si="23"/>
        <v>0</v>
      </c>
      <c r="AI83" s="692">
        <f t="shared" si="24"/>
        <v>0</v>
      </c>
      <c r="AJ83" s="692">
        <f t="shared" si="25"/>
        <v>0</v>
      </c>
      <c r="AL83" s="38">
        <f t="shared" si="26"/>
        <v>0</v>
      </c>
    </row>
    <row r="84" spans="1:38">
      <c r="A84" s="20"/>
      <c r="B84" s="20" t="s">
        <v>110</v>
      </c>
      <c r="C84" s="667" t="s">
        <v>543</v>
      </c>
      <c r="D84" s="68" t="s">
        <v>201</v>
      </c>
      <c r="E84" s="679"/>
      <c r="F84" s="529">
        <f>VLOOKUP(D84,'May 2013 Revenue'!D:V,19,FALSE)</f>
        <v>0</v>
      </c>
      <c r="G84" s="680"/>
      <c r="H84" s="680"/>
      <c r="I84" s="755"/>
      <c r="J84" s="682">
        <f t="shared" si="14"/>
        <v>0</v>
      </c>
      <c r="K84" s="683"/>
      <c r="L84" s="684"/>
      <c r="M84" s="753"/>
      <c r="N84" s="683">
        <v>0</v>
      </c>
      <c r="O84" s="686"/>
      <c r="P84" s="683">
        <v>0</v>
      </c>
      <c r="Q84" s="687">
        <f t="shared" si="1"/>
        <v>0</v>
      </c>
      <c r="R84" s="687"/>
      <c r="S84" s="687"/>
      <c r="T84" s="688">
        <v>0</v>
      </c>
      <c r="U84" s="693"/>
      <c r="V84" s="690">
        <f t="shared" si="15"/>
        <v>0</v>
      </c>
      <c r="W84" s="683"/>
      <c r="X84" s="474">
        <f t="shared" si="19"/>
        <v>0</v>
      </c>
      <c r="Y84" s="474">
        <f t="shared" si="20"/>
        <v>0</v>
      </c>
      <c r="Z84" s="475">
        <f t="shared" si="21"/>
        <v>0</v>
      </c>
      <c r="AA84" s="475">
        <v>0</v>
      </c>
      <c r="AB84" s="476">
        <v>0</v>
      </c>
      <c r="AC84" s="38">
        <f t="shared" si="22"/>
        <v>0</v>
      </c>
      <c r="AD84" s="692">
        <f t="shared" si="16"/>
        <v>0</v>
      </c>
      <c r="AE84" s="692">
        <f t="shared" si="17"/>
        <v>0</v>
      </c>
      <c r="AF84" s="692">
        <f t="shared" si="18"/>
        <v>0</v>
      </c>
      <c r="AG84" s="38"/>
      <c r="AH84" s="692">
        <f t="shared" si="23"/>
        <v>0</v>
      </c>
      <c r="AI84" s="692">
        <f t="shared" si="24"/>
        <v>0</v>
      </c>
      <c r="AJ84" s="692">
        <f t="shared" si="25"/>
        <v>0</v>
      </c>
      <c r="AL84" s="38">
        <f t="shared" si="26"/>
        <v>0</v>
      </c>
    </row>
    <row r="85" spans="1:38">
      <c r="A85" s="20" t="s">
        <v>97</v>
      </c>
      <c r="B85" s="20" t="s">
        <v>114</v>
      </c>
      <c r="C85" s="667"/>
      <c r="D85" s="68" t="s">
        <v>387</v>
      </c>
      <c r="E85" s="679"/>
      <c r="F85" s="529">
        <f>VLOOKUP(D85,'May 2013 Revenue'!D:V,19,FALSE)</f>
        <v>-1310.58</v>
      </c>
      <c r="G85" s="680"/>
      <c r="H85" s="680"/>
      <c r="I85" s="755"/>
      <c r="J85" s="682">
        <f t="shared" si="14"/>
        <v>-1310.58</v>
      </c>
      <c r="K85" s="683"/>
      <c r="L85" s="684"/>
      <c r="M85" s="753">
        <v>15000</v>
      </c>
      <c r="N85" s="683">
        <v>0</v>
      </c>
      <c r="O85" s="686"/>
      <c r="P85" s="683">
        <v>0</v>
      </c>
      <c r="Q85" s="687">
        <f t="shared" si="1"/>
        <v>15000</v>
      </c>
      <c r="R85" s="687"/>
      <c r="S85" s="687"/>
      <c r="T85" s="688">
        <v>14545.81</v>
      </c>
      <c r="U85" s="693"/>
      <c r="V85" s="690">
        <f t="shared" si="15"/>
        <v>-454.19000000000051</v>
      </c>
      <c r="W85" s="683"/>
      <c r="X85" s="474">
        <f t="shared" si="19"/>
        <v>0</v>
      </c>
      <c r="Y85" s="474">
        <f t="shared" si="20"/>
        <v>0</v>
      </c>
      <c r="Z85" s="475">
        <f t="shared" si="21"/>
        <v>15000</v>
      </c>
      <c r="AA85" s="475">
        <v>0</v>
      </c>
      <c r="AB85" s="476">
        <v>0</v>
      </c>
      <c r="AC85" s="38">
        <f t="shared" si="22"/>
        <v>0</v>
      </c>
      <c r="AD85" s="692">
        <f t="shared" si="16"/>
        <v>0</v>
      </c>
      <c r="AE85" s="692">
        <f t="shared" si="17"/>
        <v>0</v>
      </c>
      <c r="AF85" s="692">
        <f t="shared" si="18"/>
        <v>-1310.58</v>
      </c>
      <c r="AG85" s="38"/>
      <c r="AH85" s="692">
        <f t="shared" si="23"/>
        <v>0</v>
      </c>
      <c r="AI85" s="692">
        <f t="shared" si="24"/>
        <v>0</v>
      </c>
      <c r="AJ85" s="692">
        <f t="shared" si="25"/>
        <v>15000</v>
      </c>
      <c r="AL85" s="38">
        <f t="shared" si="26"/>
        <v>13689.42</v>
      </c>
    </row>
    <row r="86" spans="1:38">
      <c r="A86" s="20" t="s">
        <v>97</v>
      </c>
      <c r="B86" s="20" t="s">
        <v>114</v>
      </c>
      <c r="C86" s="667"/>
      <c r="D86" s="68" t="s">
        <v>482</v>
      </c>
      <c r="E86" s="679"/>
      <c r="F86" s="529">
        <f>VLOOKUP(D86,'May 2013 Revenue'!D:V,19,FALSE)</f>
        <v>0</v>
      </c>
      <c r="G86" s="680"/>
      <c r="H86" s="680"/>
      <c r="I86" s="755"/>
      <c r="J86" s="682">
        <f t="shared" si="14"/>
        <v>0</v>
      </c>
      <c r="K86" s="683"/>
      <c r="L86" s="684"/>
      <c r="M86" s="753"/>
      <c r="N86" s="683"/>
      <c r="O86" s="686"/>
      <c r="P86" s="683"/>
      <c r="Q86" s="687">
        <f t="shared" si="1"/>
        <v>0</v>
      </c>
      <c r="R86" s="687"/>
      <c r="S86" s="687"/>
      <c r="T86" s="688">
        <v>0</v>
      </c>
      <c r="U86" s="693"/>
      <c r="V86" s="690">
        <f t="shared" si="15"/>
        <v>0</v>
      </c>
      <c r="W86" s="683"/>
      <c r="X86" s="474">
        <f t="shared" si="19"/>
        <v>0</v>
      </c>
      <c r="Y86" s="474">
        <f t="shared" si="20"/>
        <v>0</v>
      </c>
      <c r="Z86" s="475">
        <f t="shared" si="21"/>
        <v>0</v>
      </c>
      <c r="AA86" s="475">
        <v>0</v>
      </c>
      <c r="AB86" s="476">
        <v>0</v>
      </c>
      <c r="AC86" s="38">
        <f t="shared" si="22"/>
        <v>0</v>
      </c>
      <c r="AD86" s="692">
        <f t="shared" si="16"/>
        <v>0</v>
      </c>
      <c r="AE86" s="692">
        <f t="shared" si="17"/>
        <v>0</v>
      </c>
      <c r="AF86" s="692">
        <f t="shared" si="18"/>
        <v>0</v>
      </c>
      <c r="AG86" s="38"/>
      <c r="AH86" s="692">
        <f t="shared" si="23"/>
        <v>0</v>
      </c>
      <c r="AI86" s="692">
        <f t="shared" si="24"/>
        <v>0</v>
      </c>
      <c r="AJ86" s="692">
        <f t="shared" si="25"/>
        <v>0</v>
      </c>
      <c r="AL86" s="38">
        <f t="shared" si="26"/>
        <v>0</v>
      </c>
    </row>
    <row r="87" spans="1:38">
      <c r="A87" s="20" t="s">
        <v>109</v>
      </c>
      <c r="B87" s="20" t="s">
        <v>109</v>
      </c>
      <c r="C87" s="667" t="s">
        <v>544</v>
      </c>
      <c r="D87" s="68" t="s">
        <v>383</v>
      </c>
      <c r="E87" s="679"/>
      <c r="F87" s="529">
        <f>VLOOKUP(D87,'May 2013 Revenue'!D:V,19,FALSE)</f>
        <v>105.75</v>
      </c>
      <c r="G87" s="680"/>
      <c r="H87" s="680"/>
      <c r="I87" s="755"/>
      <c r="J87" s="682">
        <f t="shared" si="14"/>
        <v>105.75</v>
      </c>
      <c r="K87" s="683"/>
      <c r="L87" s="684"/>
      <c r="M87" s="753"/>
      <c r="N87" s="683">
        <v>0</v>
      </c>
      <c r="O87" s="686"/>
      <c r="P87" s="683">
        <v>0</v>
      </c>
      <c r="Q87" s="687">
        <f t="shared" si="1"/>
        <v>0</v>
      </c>
      <c r="R87" s="687"/>
      <c r="S87" s="687"/>
      <c r="T87" s="688">
        <v>96.05</v>
      </c>
      <c r="U87" s="693"/>
      <c r="V87" s="690">
        <f t="shared" si="15"/>
        <v>96.05</v>
      </c>
      <c r="W87" s="683"/>
      <c r="X87" s="474">
        <f t="shared" si="19"/>
        <v>0</v>
      </c>
      <c r="Y87" s="474">
        <f t="shared" si="20"/>
        <v>0</v>
      </c>
      <c r="Z87" s="475">
        <f t="shared" si="21"/>
        <v>0</v>
      </c>
      <c r="AA87" s="475">
        <v>0</v>
      </c>
      <c r="AB87" s="476">
        <v>0</v>
      </c>
      <c r="AC87" s="38">
        <f t="shared" si="22"/>
        <v>0</v>
      </c>
      <c r="AD87" s="692">
        <f t="shared" si="16"/>
        <v>0</v>
      </c>
      <c r="AE87" s="692">
        <f t="shared" si="17"/>
        <v>105.75</v>
      </c>
      <c r="AF87" s="692">
        <f t="shared" si="18"/>
        <v>0</v>
      </c>
      <c r="AG87" s="38"/>
      <c r="AH87" s="692">
        <f t="shared" si="23"/>
        <v>0</v>
      </c>
      <c r="AI87" s="692">
        <f t="shared" si="24"/>
        <v>0</v>
      </c>
      <c r="AJ87" s="692">
        <f t="shared" si="25"/>
        <v>0</v>
      </c>
      <c r="AL87" s="38">
        <f t="shared" si="26"/>
        <v>105.75</v>
      </c>
    </row>
    <row r="88" spans="1:38">
      <c r="A88" s="21" t="s">
        <v>211</v>
      </c>
      <c r="B88" s="21" t="s">
        <v>109</v>
      </c>
      <c r="C88" s="666" t="s">
        <v>545</v>
      </c>
      <c r="D88" s="68" t="s">
        <v>181</v>
      </c>
      <c r="E88" s="679"/>
      <c r="F88" s="529">
        <f>VLOOKUP(D88,'May 2013 Revenue'!D:V,19,FALSE)</f>
        <v>0</v>
      </c>
      <c r="G88" s="680"/>
      <c r="H88" s="680"/>
      <c r="I88" s="755"/>
      <c r="J88" s="682">
        <f t="shared" si="14"/>
        <v>0</v>
      </c>
      <c r="K88" s="683"/>
      <c r="L88" s="684"/>
      <c r="M88" s="753"/>
      <c r="N88" s="683">
        <v>0</v>
      </c>
      <c r="O88" s="686"/>
      <c r="P88" s="683">
        <v>0</v>
      </c>
      <c r="Q88" s="687">
        <f t="shared" si="1"/>
        <v>0</v>
      </c>
      <c r="R88" s="687"/>
      <c r="S88" s="687"/>
      <c r="T88" s="688">
        <v>0</v>
      </c>
      <c r="U88" s="693"/>
      <c r="V88" s="690">
        <f t="shared" si="15"/>
        <v>0</v>
      </c>
      <c r="W88" s="683"/>
      <c r="X88" s="474">
        <f t="shared" si="19"/>
        <v>0</v>
      </c>
      <c r="Y88" s="474">
        <f t="shared" si="20"/>
        <v>0</v>
      </c>
      <c r="Z88" s="475">
        <f t="shared" si="21"/>
        <v>0</v>
      </c>
      <c r="AA88" s="475">
        <v>0</v>
      </c>
      <c r="AB88" s="476">
        <v>0</v>
      </c>
      <c r="AC88" s="38">
        <f t="shared" si="22"/>
        <v>0</v>
      </c>
      <c r="AD88" s="692">
        <f t="shared" si="16"/>
        <v>0</v>
      </c>
      <c r="AE88" s="692">
        <f t="shared" si="17"/>
        <v>0</v>
      </c>
      <c r="AF88" s="692">
        <f t="shared" si="18"/>
        <v>0</v>
      </c>
      <c r="AG88" s="38"/>
      <c r="AH88" s="692">
        <f t="shared" si="23"/>
        <v>0</v>
      </c>
      <c r="AI88" s="692">
        <f t="shared" si="24"/>
        <v>0</v>
      </c>
      <c r="AJ88" s="692">
        <f t="shared" si="25"/>
        <v>0</v>
      </c>
      <c r="AL88" s="38">
        <f t="shared" si="26"/>
        <v>0</v>
      </c>
    </row>
    <row r="89" spans="1:38">
      <c r="A89" s="21" t="s">
        <v>211</v>
      </c>
      <c r="B89" s="21" t="s">
        <v>110</v>
      </c>
      <c r="C89" s="666"/>
      <c r="D89" s="68" t="s">
        <v>504</v>
      </c>
      <c r="E89" s="679"/>
      <c r="F89" s="529">
        <f>VLOOKUP(D89,'May 2013 Revenue'!D:V,19,FALSE)</f>
        <v>0</v>
      </c>
      <c r="G89" s="680"/>
      <c r="H89" s="680"/>
      <c r="I89" s="755"/>
      <c r="J89" s="682">
        <f t="shared" si="14"/>
        <v>0</v>
      </c>
      <c r="K89" s="683"/>
      <c r="L89" s="684"/>
      <c r="M89" s="753"/>
      <c r="N89" s="683">
        <v>0</v>
      </c>
      <c r="O89" s="686"/>
      <c r="P89" s="683">
        <v>0</v>
      </c>
      <c r="Q89" s="687">
        <f t="shared" si="1"/>
        <v>0</v>
      </c>
      <c r="R89" s="687"/>
      <c r="S89" s="687"/>
      <c r="T89" s="688">
        <v>0</v>
      </c>
      <c r="U89" s="693"/>
      <c r="V89" s="690">
        <f t="shared" si="15"/>
        <v>0</v>
      </c>
      <c r="W89" s="683"/>
      <c r="X89" s="474">
        <f t="shared" si="19"/>
        <v>0</v>
      </c>
      <c r="Y89" s="474">
        <f t="shared" si="20"/>
        <v>0</v>
      </c>
      <c r="Z89" s="475">
        <f t="shared" si="21"/>
        <v>0</v>
      </c>
      <c r="AA89" s="475">
        <v>0</v>
      </c>
      <c r="AB89" s="476">
        <v>0</v>
      </c>
      <c r="AC89" s="38">
        <f t="shared" si="22"/>
        <v>0</v>
      </c>
      <c r="AD89" s="692">
        <f t="shared" si="16"/>
        <v>0</v>
      </c>
      <c r="AE89" s="692">
        <f t="shared" si="17"/>
        <v>0</v>
      </c>
      <c r="AF89" s="692">
        <f t="shared" si="18"/>
        <v>0</v>
      </c>
      <c r="AG89" s="38"/>
      <c r="AH89" s="692">
        <f t="shared" si="23"/>
        <v>0</v>
      </c>
      <c r="AI89" s="692">
        <f t="shared" si="24"/>
        <v>0</v>
      </c>
      <c r="AJ89" s="692">
        <f t="shared" si="25"/>
        <v>0</v>
      </c>
      <c r="AL89" s="38">
        <f t="shared" si="26"/>
        <v>0</v>
      </c>
    </row>
    <row r="90" spans="1:38">
      <c r="A90" s="20" t="s">
        <v>211</v>
      </c>
      <c r="B90" s="20" t="s">
        <v>109</v>
      </c>
      <c r="C90" s="667" t="s">
        <v>546</v>
      </c>
      <c r="D90" s="68" t="s">
        <v>142</v>
      </c>
      <c r="E90" s="679"/>
      <c r="F90" s="529">
        <f>VLOOKUP(D90,'May 2013 Revenue'!D:V,19,FALSE)</f>
        <v>0</v>
      </c>
      <c r="G90" s="680"/>
      <c r="H90" s="680"/>
      <c r="I90" s="755"/>
      <c r="J90" s="682">
        <f t="shared" si="14"/>
        <v>0</v>
      </c>
      <c r="K90" s="683"/>
      <c r="L90" s="684"/>
      <c r="M90" s="753"/>
      <c r="N90" s="683">
        <v>0</v>
      </c>
      <c r="O90" s="686"/>
      <c r="P90" s="683">
        <v>0</v>
      </c>
      <c r="Q90" s="687">
        <f t="shared" si="1"/>
        <v>0</v>
      </c>
      <c r="R90" s="687"/>
      <c r="S90" s="687"/>
      <c r="T90" s="688">
        <v>702.19</v>
      </c>
      <c r="U90" s="693"/>
      <c r="V90" s="690">
        <f t="shared" si="15"/>
        <v>702.19</v>
      </c>
      <c r="W90" s="697"/>
      <c r="X90" s="474">
        <f t="shared" si="19"/>
        <v>0</v>
      </c>
      <c r="Y90" s="474">
        <f t="shared" si="20"/>
        <v>0</v>
      </c>
      <c r="Z90" s="475">
        <f t="shared" si="21"/>
        <v>0</v>
      </c>
      <c r="AA90" s="475">
        <v>0</v>
      </c>
      <c r="AB90" s="476">
        <v>0</v>
      </c>
      <c r="AC90" s="38">
        <f t="shared" si="22"/>
        <v>0</v>
      </c>
      <c r="AD90" s="692">
        <f t="shared" si="16"/>
        <v>0</v>
      </c>
      <c r="AE90" s="692">
        <f t="shared" si="17"/>
        <v>0</v>
      </c>
      <c r="AF90" s="692">
        <f t="shared" si="18"/>
        <v>0</v>
      </c>
      <c r="AG90" s="38"/>
      <c r="AH90" s="692">
        <f t="shared" si="23"/>
        <v>0</v>
      </c>
      <c r="AI90" s="692">
        <f t="shared" si="24"/>
        <v>0</v>
      </c>
      <c r="AJ90" s="692">
        <f t="shared" si="25"/>
        <v>0</v>
      </c>
      <c r="AL90" s="38">
        <f t="shared" si="26"/>
        <v>0</v>
      </c>
    </row>
    <row r="91" spans="1:38">
      <c r="A91" s="20" t="s">
        <v>211</v>
      </c>
      <c r="B91" s="20" t="s">
        <v>109</v>
      </c>
      <c r="C91" s="667" t="s">
        <v>546</v>
      </c>
      <c r="D91" s="68" t="s">
        <v>143</v>
      </c>
      <c r="E91" s="679"/>
      <c r="F91" s="529">
        <f>VLOOKUP(D91,'May 2013 Revenue'!D:V,19,FALSE)</f>
        <v>0</v>
      </c>
      <c r="G91" s="680"/>
      <c r="H91" s="680"/>
      <c r="I91" s="755"/>
      <c r="J91" s="682">
        <f t="shared" si="14"/>
        <v>0</v>
      </c>
      <c r="K91" s="683"/>
      <c r="L91" s="684"/>
      <c r="M91" s="753"/>
      <c r="N91" s="683">
        <v>0</v>
      </c>
      <c r="O91" s="686"/>
      <c r="P91" s="683">
        <v>0</v>
      </c>
      <c r="Q91" s="687">
        <f t="shared" si="1"/>
        <v>0</v>
      </c>
      <c r="R91" s="687"/>
      <c r="S91" s="687"/>
      <c r="T91" s="688">
        <v>80.09</v>
      </c>
      <c r="U91" s="693"/>
      <c r="V91" s="690">
        <f t="shared" si="15"/>
        <v>80.09</v>
      </c>
      <c r="W91" s="697"/>
      <c r="X91" s="474">
        <f t="shared" si="19"/>
        <v>0</v>
      </c>
      <c r="Y91" s="474">
        <f t="shared" si="20"/>
        <v>0</v>
      </c>
      <c r="Z91" s="475">
        <f t="shared" si="21"/>
        <v>0</v>
      </c>
      <c r="AA91" s="475">
        <v>0</v>
      </c>
      <c r="AB91" s="476">
        <v>0</v>
      </c>
      <c r="AC91" s="38">
        <f t="shared" si="22"/>
        <v>0</v>
      </c>
      <c r="AD91" s="692">
        <f t="shared" si="16"/>
        <v>0</v>
      </c>
      <c r="AE91" s="692">
        <f t="shared" si="17"/>
        <v>0</v>
      </c>
      <c r="AF91" s="692">
        <f t="shared" si="18"/>
        <v>0</v>
      </c>
      <c r="AG91" s="38"/>
      <c r="AH91" s="692">
        <f t="shared" si="23"/>
        <v>0</v>
      </c>
      <c r="AI91" s="692">
        <f t="shared" si="24"/>
        <v>0</v>
      </c>
      <c r="AJ91" s="692">
        <f t="shared" si="25"/>
        <v>0</v>
      </c>
      <c r="AL91" s="38">
        <f t="shared" si="26"/>
        <v>0</v>
      </c>
    </row>
    <row r="92" spans="1:38">
      <c r="A92" s="20" t="s">
        <v>109</v>
      </c>
      <c r="B92" s="20" t="s">
        <v>109</v>
      </c>
      <c r="C92" s="667"/>
      <c r="D92" s="68" t="s">
        <v>498</v>
      </c>
      <c r="E92" s="679"/>
      <c r="F92" s="529">
        <f>VLOOKUP(D92,'May 2013 Revenue'!D:V,19,FALSE)</f>
        <v>0</v>
      </c>
      <c r="G92" s="680"/>
      <c r="H92" s="680"/>
      <c r="I92" s="755"/>
      <c r="J92" s="682">
        <f t="shared" si="14"/>
        <v>0</v>
      </c>
      <c r="K92" s="683"/>
      <c r="L92" s="684"/>
      <c r="M92" s="753"/>
      <c r="N92" s="683">
        <v>0</v>
      </c>
      <c r="O92" s="686"/>
      <c r="P92" s="683">
        <v>0</v>
      </c>
      <c r="Q92" s="687">
        <f t="shared" si="1"/>
        <v>0</v>
      </c>
      <c r="R92" s="687"/>
      <c r="S92" s="687"/>
      <c r="T92" s="688">
        <v>0</v>
      </c>
      <c r="U92" s="693"/>
      <c r="V92" s="690">
        <f t="shared" si="15"/>
        <v>0</v>
      </c>
      <c r="W92" s="683"/>
      <c r="X92" s="474">
        <f t="shared" si="19"/>
        <v>0</v>
      </c>
      <c r="Y92" s="474">
        <f t="shared" si="20"/>
        <v>0</v>
      </c>
      <c r="Z92" s="475">
        <f t="shared" si="21"/>
        <v>0</v>
      </c>
      <c r="AA92" s="475">
        <v>0</v>
      </c>
      <c r="AB92" s="476">
        <v>0</v>
      </c>
      <c r="AC92" s="38">
        <f t="shared" si="22"/>
        <v>0</v>
      </c>
      <c r="AD92" s="692">
        <f t="shared" si="16"/>
        <v>0</v>
      </c>
      <c r="AE92" s="692">
        <f t="shared" si="17"/>
        <v>0</v>
      </c>
      <c r="AF92" s="692">
        <f t="shared" si="18"/>
        <v>0</v>
      </c>
      <c r="AG92" s="38"/>
      <c r="AH92" s="692">
        <f t="shared" si="23"/>
        <v>0</v>
      </c>
      <c r="AI92" s="692">
        <f t="shared" si="24"/>
        <v>0</v>
      </c>
      <c r="AJ92" s="692">
        <f t="shared" si="25"/>
        <v>0</v>
      </c>
      <c r="AL92" s="38">
        <f t="shared" si="26"/>
        <v>0</v>
      </c>
    </row>
    <row r="93" spans="1:38">
      <c r="A93" s="21"/>
      <c r="B93" s="21" t="s">
        <v>110</v>
      </c>
      <c r="C93" s="666"/>
      <c r="D93" s="68" t="s">
        <v>20</v>
      </c>
      <c r="E93" s="679"/>
      <c r="F93" s="529">
        <f>VLOOKUP(D93,'May 2013 Revenue'!D:V,19,FALSE)</f>
        <v>0</v>
      </c>
      <c r="G93" s="680"/>
      <c r="H93" s="680"/>
      <c r="I93" s="770">
        <v>141.96</v>
      </c>
      <c r="J93" s="682">
        <f t="shared" si="14"/>
        <v>141.96</v>
      </c>
      <c r="K93" s="683"/>
      <c r="L93" s="684"/>
      <c r="M93" s="753"/>
      <c r="N93" s="683">
        <v>0</v>
      </c>
      <c r="O93" s="686"/>
      <c r="P93" s="683">
        <v>0</v>
      </c>
      <c r="Q93" s="687">
        <f t="shared" si="1"/>
        <v>0</v>
      </c>
      <c r="R93" s="687"/>
      <c r="S93" s="687"/>
      <c r="T93" s="688">
        <v>0</v>
      </c>
      <c r="U93" s="693"/>
      <c r="V93" s="690">
        <f t="shared" si="15"/>
        <v>0</v>
      </c>
      <c r="W93" s="683"/>
      <c r="X93" s="474">
        <f t="shared" si="19"/>
        <v>0</v>
      </c>
      <c r="Y93" s="474">
        <f t="shared" si="20"/>
        <v>0</v>
      </c>
      <c r="Z93" s="475">
        <f t="shared" si="21"/>
        <v>0</v>
      </c>
      <c r="AA93" s="475">
        <v>0</v>
      </c>
      <c r="AB93" s="476">
        <v>0</v>
      </c>
      <c r="AC93" s="38">
        <f t="shared" si="22"/>
        <v>0</v>
      </c>
      <c r="AD93" s="692">
        <f t="shared" si="16"/>
        <v>141.96</v>
      </c>
      <c r="AE93" s="692">
        <f t="shared" si="17"/>
        <v>0</v>
      </c>
      <c r="AF93" s="692">
        <f t="shared" si="18"/>
        <v>0</v>
      </c>
      <c r="AG93" s="38"/>
      <c r="AH93" s="692">
        <f t="shared" si="23"/>
        <v>0</v>
      </c>
      <c r="AI93" s="692">
        <f t="shared" si="24"/>
        <v>0</v>
      </c>
      <c r="AJ93" s="692">
        <f t="shared" si="25"/>
        <v>0</v>
      </c>
      <c r="AL93" s="38">
        <f t="shared" si="26"/>
        <v>141.96</v>
      </c>
    </row>
    <row r="94" spans="1:38">
      <c r="A94" s="21"/>
      <c r="B94" s="21" t="s">
        <v>110</v>
      </c>
      <c r="C94" s="666" t="s">
        <v>547</v>
      </c>
      <c r="D94" s="68" t="s">
        <v>203</v>
      </c>
      <c r="E94" s="679"/>
      <c r="F94" s="529">
        <f>VLOOKUP(D94,'May 2013 Revenue'!D:V,19,FALSE)</f>
        <v>0</v>
      </c>
      <c r="G94" s="680"/>
      <c r="H94" s="680"/>
      <c r="I94" s="755"/>
      <c r="J94" s="682">
        <f t="shared" si="14"/>
        <v>0</v>
      </c>
      <c r="K94" s="683"/>
      <c r="L94" s="684"/>
      <c r="M94" s="753"/>
      <c r="N94" s="683">
        <v>0</v>
      </c>
      <c r="O94" s="686"/>
      <c r="P94" s="683">
        <v>0</v>
      </c>
      <c r="Q94" s="687">
        <f t="shared" si="1"/>
        <v>0</v>
      </c>
      <c r="R94" s="687"/>
      <c r="S94" s="687"/>
      <c r="T94" s="688">
        <v>0</v>
      </c>
      <c r="U94" s="693"/>
      <c r="V94" s="690">
        <f t="shared" si="15"/>
        <v>0</v>
      </c>
      <c r="W94" s="683"/>
      <c r="X94" s="474">
        <f t="shared" si="19"/>
        <v>0</v>
      </c>
      <c r="Y94" s="474">
        <f t="shared" si="20"/>
        <v>0</v>
      </c>
      <c r="Z94" s="475">
        <f t="shared" si="21"/>
        <v>0</v>
      </c>
      <c r="AA94" s="475">
        <v>0</v>
      </c>
      <c r="AB94" s="476">
        <v>0</v>
      </c>
      <c r="AC94" s="38">
        <f t="shared" si="22"/>
        <v>0</v>
      </c>
      <c r="AD94" s="692">
        <f t="shared" si="16"/>
        <v>0</v>
      </c>
      <c r="AE94" s="692">
        <f t="shared" si="17"/>
        <v>0</v>
      </c>
      <c r="AF94" s="692">
        <f t="shared" si="18"/>
        <v>0</v>
      </c>
      <c r="AG94" s="38"/>
      <c r="AH94" s="692">
        <f t="shared" si="23"/>
        <v>0</v>
      </c>
      <c r="AI94" s="692">
        <f t="shared" si="24"/>
        <v>0</v>
      </c>
      <c r="AJ94" s="692">
        <f t="shared" si="25"/>
        <v>0</v>
      </c>
      <c r="AL94" s="38">
        <f t="shared" si="26"/>
        <v>0</v>
      </c>
    </row>
    <row r="95" spans="1:38">
      <c r="A95" s="21"/>
      <c r="B95" s="21" t="s">
        <v>110</v>
      </c>
      <c r="C95" s="666" t="s">
        <v>547</v>
      </c>
      <c r="D95" s="68" t="s">
        <v>202</v>
      </c>
      <c r="E95" s="679"/>
      <c r="F95" s="529">
        <f>VLOOKUP(D95,'May 2013 Revenue'!D:V,19,FALSE)</f>
        <v>0</v>
      </c>
      <c r="G95" s="680"/>
      <c r="H95" s="680"/>
      <c r="I95" s="755"/>
      <c r="J95" s="682">
        <f t="shared" si="14"/>
        <v>0</v>
      </c>
      <c r="K95" s="683"/>
      <c r="L95" s="684"/>
      <c r="M95" s="753"/>
      <c r="N95" s="683">
        <v>0</v>
      </c>
      <c r="O95" s="686"/>
      <c r="P95" s="683">
        <v>0</v>
      </c>
      <c r="Q95" s="687">
        <f t="shared" si="1"/>
        <v>0</v>
      </c>
      <c r="R95" s="687"/>
      <c r="S95" s="687"/>
      <c r="T95" s="688">
        <v>0</v>
      </c>
      <c r="U95" s="693"/>
      <c r="V95" s="690">
        <f t="shared" si="15"/>
        <v>0</v>
      </c>
      <c r="W95" s="683"/>
      <c r="X95" s="474">
        <f t="shared" si="19"/>
        <v>0</v>
      </c>
      <c r="Y95" s="474">
        <f t="shared" si="20"/>
        <v>0</v>
      </c>
      <c r="Z95" s="475">
        <f t="shared" si="21"/>
        <v>0</v>
      </c>
      <c r="AA95" s="475">
        <v>0</v>
      </c>
      <c r="AB95" s="476">
        <v>0</v>
      </c>
      <c r="AC95" s="38">
        <f t="shared" si="22"/>
        <v>0</v>
      </c>
      <c r="AD95" s="692">
        <f t="shared" si="16"/>
        <v>0</v>
      </c>
      <c r="AE95" s="692">
        <f t="shared" si="17"/>
        <v>0</v>
      </c>
      <c r="AF95" s="692">
        <f t="shared" si="18"/>
        <v>0</v>
      </c>
      <c r="AG95" s="38"/>
      <c r="AH95" s="692">
        <f t="shared" si="23"/>
        <v>0</v>
      </c>
      <c r="AI95" s="692">
        <f t="shared" si="24"/>
        <v>0</v>
      </c>
      <c r="AJ95" s="692">
        <f t="shared" si="25"/>
        <v>0</v>
      </c>
      <c r="AL95" s="38">
        <f t="shared" si="26"/>
        <v>0</v>
      </c>
    </row>
    <row r="96" spans="1:38">
      <c r="A96" s="20" t="s">
        <v>211</v>
      </c>
      <c r="B96" s="20" t="s">
        <v>110</v>
      </c>
      <c r="C96" s="667"/>
      <c r="D96" s="373" t="s">
        <v>466</v>
      </c>
      <c r="E96" s="679"/>
      <c r="F96" s="529">
        <f>VLOOKUP(D96,'May 2013 Revenue'!D:V,19,FALSE)</f>
        <v>0</v>
      </c>
      <c r="G96" s="680"/>
      <c r="H96" s="680"/>
      <c r="I96" s="770">
        <v>549.66</v>
      </c>
      <c r="J96" s="682">
        <f t="shared" si="14"/>
        <v>549.66</v>
      </c>
      <c r="K96" s="683"/>
      <c r="L96" s="684"/>
      <c r="M96" s="753"/>
      <c r="N96" s="683">
        <v>0</v>
      </c>
      <c r="O96" s="686"/>
      <c r="P96" s="683">
        <v>0</v>
      </c>
      <c r="Q96" s="687">
        <f t="shared" si="1"/>
        <v>0</v>
      </c>
      <c r="R96" s="687"/>
      <c r="S96" s="687"/>
      <c r="T96" s="688">
        <v>0</v>
      </c>
      <c r="U96" s="693"/>
      <c r="V96" s="690">
        <f t="shared" si="15"/>
        <v>0</v>
      </c>
      <c r="W96" s="683"/>
      <c r="X96" s="474">
        <f t="shared" si="19"/>
        <v>0</v>
      </c>
      <c r="Y96" s="474">
        <f t="shared" si="20"/>
        <v>0</v>
      </c>
      <c r="Z96" s="475">
        <f t="shared" si="21"/>
        <v>0</v>
      </c>
      <c r="AA96" s="475">
        <v>0</v>
      </c>
      <c r="AB96" s="476">
        <v>0</v>
      </c>
      <c r="AC96" s="38">
        <f t="shared" si="22"/>
        <v>0</v>
      </c>
      <c r="AD96" s="692">
        <f t="shared" si="16"/>
        <v>549.66</v>
      </c>
      <c r="AE96" s="692">
        <f t="shared" si="17"/>
        <v>0</v>
      </c>
      <c r="AF96" s="692">
        <f t="shared" si="18"/>
        <v>0</v>
      </c>
      <c r="AG96" s="38"/>
      <c r="AH96" s="692">
        <f t="shared" si="23"/>
        <v>0</v>
      </c>
      <c r="AI96" s="692">
        <f t="shared" si="24"/>
        <v>0</v>
      </c>
      <c r="AJ96" s="692">
        <f t="shared" si="25"/>
        <v>0</v>
      </c>
      <c r="AL96" s="38">
        <f t="shared" si="26"/>
        <v>549.66</v>
      </c>
    </row>
    <row r="97" spans="1:38">
      <c r="A97" s="20"/>
      <c r="B97" s="20" t="s">
        <v>110</v>
      </c>
      <c r="C97" s="667"/>
      <c r="D97" s="373" t="s">
        <v>627</v>
      </c>
      <c r="E97" s="679"/>
      <c r="F97" s="529">
        <f>VLOOKUP(D97,'May 2013 Revenue'!D:V,19,FALSE)</f>
        <v>0</v>
      </c>
      <c r="G97" s="680"/>
      <c r="H97" s="680"/>
      <c r="I97" s="755"/>
      <c r="J97" s="682">
        <f t="shared" si="14"/>
        <v>0</v>
      </c>
      <c r="K97" s="683"/>
      <c r="L97" s="684"/>
      <c r="M97" s="753"/>
      <c r="N97" s="683">
        <v>0</v>
      </c>
      <c r="O97" s="686"/>
      <c r="P97" s="683">
        <v>0</v>
      </c>
      <c r="Q97" s="687">
        <f t="shared" si="1"/>
        <v>0</v>
      </c>
      <c r="R97" s="687"/>
      <c r="S97" s="687"/>
      <c r="T97" s="688">
        <v>0</v>
      </c>
      <c r="U97" s="693"/>
      <c r="V97" s="690">
        <f t="shared" si="15"/>
        <v>0</v>
      </c>
      <c r="W97" s="683"/>
      <c r="X97" s="474">
        <f t="shared" si="19"/>
        <v>0</v>
      </c>
      <c r="Y97" s="474">
        <f t="shared" si="20"/>
        <v>0</v>
      </c>
      <c r="Z97" s="475">
        <f t="shared" si="21"/>
        <v>0</v>
      </c>
      <c r="AA97" s="475">
        <v>0</v>
      </c>
      <c r="AB97" s="476">
        <v>0</v>
      </c>
      <c r="AC97" s="38">
        <f t="shared" si="22"/>
        <v>0</v>
      </c>
      <c r="AD97" s="692">
        <f t="shared" si="16"/>
        <v>0</v>
      </c>
      <c r="AE97" s="692">
        <f t="shared" si="17"/>
        <v>0</v>
      </c>
      <c r="AF97" s="692">
        <f t="shared" si="18"/>
        <v>0</v>
      </c>
      <c r="AG97" s="38"/>
      <c r="AH97" s="692">
        <f t="shared" si="23"/>
        <v>0</v>
      </c>
      <c r="AI97" s="692">
        <f t="shared" si="24"/>
        <v>0</v>
      </c>
      <c r="AJ97" s="692">
        <f t="shared" si="25"/>
        <v>0</v>
      </c>
      <c r="AL97" s="38">
        <f t="shared" si="26"/>
        <v>0</v>
      </c>
    </row>
    <row r="98" spans="1:38" s="232" customFormat="1">
      <c r="A98" s="283"/>
      <c r="B98" s="283" t="s">
        <v>110</v>
      </c>
      <c r="C98" s="667"/>
      <c r="D98" s="123" t="s">
        <v>955</v>
      </c>
      <c r="E98" s="679"/>
      <c r="F98" s="529">
        <v>0</v>
      </c>
      <c r="G98" s="680"/>
      <c r="H98" s="680"/>
      <c r="I98" s="770">
        <v>9304728.9699999988</v>
      </c>
      <c r="J98" s="682">
        <f t="shared" si="14"/>
        <v>9304728.9699999988</v>
      </c>
      <c r="K98" s="683"/>
      <c r="L98" s="684"/>
      <c r="M98" s="753"/>
      <c r="N98" s="683">
        <v>0</v>
      </c>
      <c r="O98" s="686"/>
      <c r="P98" s="683">
        <v>0</v>
      </c>
      <c r="Q98" s="687">
        <f t="shared" si="1"/>
        <v>0</v>
      </c>
      <c r="R98" s="687"/>
      <c r="S98" s="687"/>
      <c r="T98" s="688">
        <v>0</v>
      </c>
      <c r="U98" s="693"/>
      <c r="V98" s="690">
        <f t="shared" si="15"/>
        <v>0</v>
      </c>
      <c r="W98" s="683"/>
      <c r="X98" s="474">
        <f t="shared" si="19"/>
        <v>0</v>
      </c>
      <c r="Y98" s="474">
        <f t="shared" si="20"/>
        <v>0</v>
      </c>
      <c r="Z98" s="475">
        <f t="shared" si="21"/>
        <v>0</v>
      </c>
      <c r="AA98" s="475">
        <v>0</v>
      </c>
      <c r="AB98" s="476">
        <v>0</v>
      </c>
      <c r="AC98" s="38">
        <f t="shared" si="22"/>
        <v>0</v>
      </c>
      <c r="AD98" s="692">
        <f t="shared" si="16"/>
        <v>9304728.9699999988</v>
      </c>
      <c r="AE98" s="692">
        <f t="shared" si="17"/>
        <v>0</v>
      </c>
      <c r="AF98" s="692">
        <f t="shared" si="18"/>
        <v>0</v>
      </c>
      <c r="AG98" s="38"/>
      <c r="AH98" s="692">
        <f t="shared" si="23"/>
        <v>0</v>
      </c>
      <c r="AI98" s="692">
        <f t="shared" si="24"/>
        <v>0</v>
      </c>
      <c r="AJ98" s="692">
        <f t="shared" si="25"/>
        <v>0</v>
      </c>
      <c r="AL98" s="38">
        <f t="shared" si="26"/>
        <v>9304728.9699999988</v>
      </c>
    </row>
    <row r="99" spans="1:38" s="232" customFormat="1" hidden="1">
      <c r="A99" s="283"/>
      <c r="B99" s="283" t="s">
        <v>110</v>
      </c>
      <c r="C99" s="667"/>
      <c r="D99" s="123" t="s">
        <v>331</v>
      </c>
      <c r="E99" s="679"/>
      <c r="F99" s="529">
        <f>VLOOKUP(D99,'May 2013 Revenue'!D:V,19,FALSE)</f>
        <v>0</v>
      </c>
      <c r="G99" s="680"/>
      <c r="H99" s="680"/>
      <c r="I99" s="770"/>
      <c r="J99" s="682">
        <f t="shared" si="14"/>
        <v>0</v>
      </c>
      <c r="K99" s="683"/>
      <c r="L99" s="684"/>
      <c r="M99" s="753"/>
      <c r="N99" s="683">
        <v>0</v>
      </c>
      <c r="O99" s="686"/>
      <c r="P99" s="683">
        <v>0</v>
      </c>
      <c r="Q99" s="687">
        <f t="shared" si="1"/>
        <v>0</v>
      </c>
      <c r="R99" s="687"/>
      <c r="S99" s="687"/>
      <c r="T99" s="688">
        <v>0</v>
      </c>
      <c r="U99" s="693"/>
      <c r="V99" s="690">
        <f t="shared" si="15"/>
        <v>0</v>
      </c>
      <c r="W99" s="683"/>
      <c r="X99" s="474">
        <f t="shared" si="19"/>
        <v>0</v>
      </c>
      <c r="Y99" s="474">
        <f t="shared" si="20"/>
        <v>0</v>
      </c>
      <c r="Z99" s="475">
        <f t="shared" si="21"/>
        <v>0</v>
      </c>
      <c r="AA99" s="475">
        <v>0</v>
      </c>
      <c r="AB99" s="476">
        <v>0</v>
      </c>
      <c r="AC99" s="38">
        <f t="shared" si="22"/>
        <v>0</v>
      </c>
      <c r="AD99" s="692">
        <f t="shared" si="16"/>
        <v>0</v>
      </c>
      <c r="AE99" s="692">
        <f t="shared" si="17"/>
        <v>0</v>
      </c>
      <c r="AF99" s="692">
        <f t="shared" si="18"/>
        <v>0</v>
      </c>
      <c r="AG99" s="38"/>
      <c r="AH99" s="692">
        <f t="shared" si="23"/>
        <v>0</v>
      </c>
      <c r="AI99" s="692">
        <f t="shared" si="24"/>
        <v>0</v>
      </c>
      <c r="AJ99" s="692">
        <f t="shared" si="25"/>
        <v>0</v>
      </c>
      <c r="AL99" s="38">
        <f t="shared" si="26"/>
        <v>0</v>
      </c>
    </row>
    <row r="100" spans="1:38" s="232" customFormat="1" hidden="1">
      <c r="A100" s="283"/>
      <c r="B100" s="283" t="s">
        <v>110</v>
      </c>
      <c r="C100" s="667"/>
      <c r="D100" s="413" t="s">
        <v>332</v>
      </c>
      <c r="E100" s="679"/>
      <c r="F100" s="529">
        <f>VLOOKUP(D100,'May 2013 Revenue'!D:V,19,FALSE)</f>
        <v>0</v>
      </c>
      <c r="G100" s="680"/>
      <c r="H100" s="680"/>
      <c r="I100" s="770"/>
      <c r="J100" s="682">
        <f t="shared" si="14"/>
        <v>0</v>
      </c>
      <c r="K100" s="683"/>
      <c r="L100" s="684"/>
      <c r="M100" s="753"/>
      <c r="N100" s="683">
        <v>0</v>
      </c>
      <c r="O100" s="686"/>
      <c r="P100" s="683">
        <v>0</v>
      </c>
      <c r="Q100" s="687">
        <f t="shared" si="1"/>
        <v>0</v>
      </c>
      <c r="R100" s="687"/>
      <c r="S100" s="687"/>
      <c r="T100" s="688">
        <v>0</v>
      </c>
      <c r="U100" s="693"/>
      <c r="V100" s="690">
        <f t="shared" si="15"/>
        <v>0</v>
      </c>
      <c r="W100" s="683"/>
      <c r="X100" s="474">
        <f t="shared" si="19"/>
        <v>0</v>
      </c>
      <c r="Y100" s="474">
        <f t="shared" si="20"/>
        <v>0</v>
      </c>
      <c r="Z100" s="475">
        <f t="shared" si="21"/>
        <v>0</v>
      </c>
      <c r="AA100" s="475">
        <v>0</v>
      </c>
      <c r="AB100" s="476">
        <v>0</v>
      </c>
      <c r="AC100" s="38">
        <f t="shared" si="22"/>
        <v>0</v>
      </c>
      <c r="AD100" s="692">
        <f t="shared" si="16"/>
        <v>0</v>
      </c>
      <c r="AE100" s="692">
        <f t="shared" si="17"/>
        <v>0</v>
      </c>
      <c r="AF100" s="692">
        <f t="shared" si="18"/>
        <v>0</v>
      </c>
      <c r="AG100" s="38"/>
      <c r="AH100" s="692">
        <f t="shared" si="23"/>
        <v>0</v>
      </c>
      <c r="AI100" s="692">
        <f t="shared" si="24"/>
        <v>0</v>
      </c>
      <c r="AJ100" s="692">
        <f t="shared" si="25"/>
        <v>0</v>
      </c>
      <c r="AL100" s="38">
        <f t="shared" si="26"/>
        <v>0</v>
      </c>
    </row>
    <row r="101" spans="1:38" s="232" customFormat="1" hidden="1">
      <c r="A101" s="283"/>
      <c r="B101" s="283" t="s">
        <v>110</v>
      </c>
      <c r="C101" s="667"/>
      <c r="D101" s="123" t="s">
        <v>333</v>
      </c>
      <c r="E101" s="679"/>
      <c r="F101" s="529">
        <f>VLOOKUP(D101,'May 2013 Revenue'!D:V,19,FALSE)</f>
        <v>0</v>
      </c>
      <c r="G101" s="680"/>
      <c r="H101" s="680"/>
      <c r="I101" s="770"/>
      <c r="J101" s="682">
        <f t="shared" si="14"/>
        <v>0</v>
      </c>
      <c r="K101" s="683"/>
      <c r="L101" s="684"/>
      <c r="M101" s="753"/>
      <c r="N101" s="683">
        <v>0</v>
      </c>
      <c r="O101" s="686"/>
      <c r="P101" s="683">
        <v>0</v>
      </c>
      <c r="Q101" s="687">
        <f t="shared" si="1"/>
        <v>0</v>
      </c>
      <c r="R101" s="687"/>
      <c r="S101" s="687"/>
      <c r="T101" s="688">
        <v>0</v>
      </c>
      <c r="U101" s="693"/>
      <c r="V101" s="690">
        <f t="shared" si="15"/>
        <v>0</v>
      </c>
      <c r="W101" s="683"/>
      <c r="X101" s="474">
        <f t="shared" si="19"/>
        <v>0</v>
      </c>
      <c r="Y101" s="474">
        <f t="shared" si="20"/>
        <v>0</v>
      </c>
      <c r="Z101" s="475">
        <f t="shared" si="21"/>
        <v>0</v>
      </c>
      <c r="AA101" s="475">
        <v>0</v>
      </c>
      <c r="AB101" s="476">
        <v>0</v>
      </c>
      <c r="AC101" s="38">
        <f t="shared" si="22"/>
        <v>0</v>
      </c>
      <c r="AD101" s="692">
        <f t="shared" si="16"/>
        <v>0</v>
      </c>
      <c r="AE101" s="692">
        <f t="shared" si="17"/>
        <v>0</v>
      </c>
      <c r="AF101" s="692">
        <f t="shared" si="18"/>
        <v>0</v>
      </c>
      <c r="AG101" s="38"/>
      <c r="AH101" s="692">
        <f t="shared" si="23"/>
        <v>0</v>
      </c>
      <c r="AI101" s="692">
        <f t="shared" si="24"/>
        <v>0</v>
      </c>
      <c r="AJ101" s="692">
        <f t="shared" si="25"/>
        <v>0</v>
      </c>
      <c r="AL101" s="38">
        <f t="shared" si="26"/>
        <v>0</v>
      </c>
    </row>
    <row r="102" spans="1:38" s="232" customFormat="1" hidden="1">
      <c r="A102" s="283"/>
      <c r="B102" s="283" t="s">
        <v>110</v>
      </c>
      <c r="C102" s="667"/>
      <c r="D102" s="123" t="s">
        <v>334</v>
      </c>
      <c r="E102" s="679"/>
      <c r="F102" s="529">
        <f>VLOOKUP(D102,'May 2013 Revenue'!D:V,19,FALSE)</f>
        <v>0</v>
      </c>
      <c r="G102" s="680"/>
      <c r="H102" s="680"/>
      <c r="I102" s="770"/>
      <c r="J102" s="682">
        <f t="shared" si="14"/>
        <v>0</v>
      </c>
      <c r="K102" s="683"/>
      <c r="L102" s="684"/>
      <c r="M102" s="753"/>
      <c r="N102" s="683">
        <v>0</v>
      </c>
      <c r="O102" s="686"/>
      <c r="P102" s="683">
        <v>0</v>
      </c>
      <c r="Q102" s="687">
        <f t="shared" si="1"/>
        <v>0</v>
      </c>
      <c r="R102" s="687"/>
      <c r="S102" s="687"/>
      <c r="T102" s="688">
        <v>0</v>
      </c>
      <c r="U102" s="693"/>
      <c r="V102" s="690">
        <f t="shared" si="15"/>
        <v>0</v>
      </c>
      <c r="W102" s="683"/>
      <c r="X102" s="474">
        <f t="shared" si="19"/>
        <v>0</v>
      </c>
      <c r="Y102" s="474">
        <f t="shared" si="20"/>
        <v>0</v>
      </c>
      <c r="Z102" s="475">
        <f t="shared" si="21"/>
        <v>0</v>
      </c>
      <c r="AA102" s="475">
        <v>0</v>
      </c>
      <c r="AB102" s="476">
        <v>0</v>
      </c>
      <c r="AC102" s="38">
        <f t="shared" si="22"/>
        <v>0</v>
      </c>
      <c r="AD102" s="692">
        <f t="shared" si="16"/>
        <v>0</v>
      </c>
      <c r="AE102" s="692">
        <f t="shared" si="17"/>
        <v>0</v>
      </c>
      <c r="AF102" s="692">
        <f t="shared" si="18"/>
        <v>0</v>
      </c>
      <c r="AG102" s="38"/>
      <c r="AH102" s="692">
        <f t="shared" si="23"/>
        <v>0</v>
      </c>
      <c r="AI102" s="692">
        <f t="shared" si="24"/>
        <v>0</v>
      </c>
      <c r="AJ102" s="692">
        <f t="shared" si="25"/>
        <v>0</v>
      </c>
      <c r="AL102" s="38">
        <f t="shared" si="26"/>
        <v>0</v>
      </c>
    </row>
    <row r="103" spans="1:38" s="232" customFormat="1" hidden="1">
      <c r="A103" s="283"/>
      <c r="B103" s="283" t="s">
        <v>110</v>
      </c>
      <c r="C103" s="667"/>
      <c r="D103" s="123" t="s">
        <v>335</v>
      </c>
      <c r="E103" s="679"/>
      <c r="F103" s="529">
        <f>VLOOKUP(D103,'May 2013 Revenue'!D:V,19,FALSE)</f>
        <v>0</v>
      </c>
      <c r="G103" s="680"/>
      <c r="H103" s="680"/>
      <c r="I103" s="770"/>
      <c r="J103" s="682">
        <f t="shared" si="14"/>
        <v>0</v>
      </c>
      <c r="K103" s="683"/>
      <c r="L103" s="684"/>
      <c r="M103" s="753"/>
      <c r="N103" s="683">
        <v>0</v>
      </c>
      <c r="O103" s="686"/>
      <c r="P103" s="683">
        <v>0</v>
      </c>
      <c r="Q103" s="687">
        <f t="shared" si="1"/>
        <v>0</v>
      </c>
      <c r="R103" s="687"/>
      <c r="S103" s="687"/>
      <c r="T103" s="688">
        <v>0</v>
      </c>
      <c r="U103" s="693"/>
      <c r="V103" s="690">
        <f t="shared" si="15"/>
        <v>0</v>
      </c>
      <c r="W103" s="683"/>
      <c r="X103" s="474">
        <f t="shared" si="19"/>
        <v>0</v>
      </c>
      <c r="Y103" s="474">
        <f t="shared" si="20"/>
        <v>0</v>
      </c>
      <c r="Z103" s="475">
        <f t="shared" si="21"/>
        <v>0</v>
      </c>
      <c r="AA103" s="475">
        <v>0</v>
      </c>
      <c r="AB103" s="476">
        <v>0</v>
      </c>
      <c r="AC103" s="38">
        <f t="shared" si="22"/>
        <v>0</v>
      </c>
      <c r="AD103" s="692">
        <f t="shared" si="16"/>
        <v>0</v>
      </c>
      <c r="AE103" s="692">
        <f t="shared" si="17"/>
        <v>0</v>
      </c>
      <c r="AF103" s="692">
        <f t="shared" si="18"/>
        <v>0</v>
      </c>
      <c r="AG103" s="38"/>
      <c r="AH103" s="692">
        <f t="shared" si="23"/>
        <v>0</v>
      </c>
      <c r="AI103" s="692">
        <f t="shared" si="24"/>
        <v>0</v>
      </c>
      <c r="AJ103" s="692">
        <f t="shared" si="25"/>
        <v>0</v>
      </c>
      <c r="AL103" s="38">
        <f t="shared" si="26"/>
        <v>0</v>
      </c>
    </row>
    <row r="104" spans="1:38" s="232" customFormat="1" hidden="1">
      <c r="A104" s="283"/>
      <c r="B104" s="283" t="s">
        <v>110</v>
      </c>
      <c r="C104" s="667"/>
      <c r="D104" s="123" t="s">
        <v>336</v>
      </c>
      <c r="E104" s="679"/>
      <c r="F104" s="529">
        <f>VLOOKUP(D104,'May 2013 Revenue'!D:V,19,FALSE)</f>
        <v>0</v>
      </c>
      <c r="G104" s="680"/>
      <c r="H104" s="680"/>
      <c r="I104" s="770"/>
      <c r="J104" s="682">
        <f t="shared" si="14"/>
        <v>0</v>
      </c>
      <c r="K104" s="683"/>
      <c r="L104" s="684"/>
      <c r="M104" s="753"/>
      <c r="N104" s="683">
        <v>0</v>
      </c>
      <c r="O104" s="686"/>
      <c r="P104" s="683">
        <v>0</v>
      </c>
      <c r="Q104" s="687">
        <f t="shared" si="1"/>
        <v>0</v>
      </c>
      <c r="R104" s="687"/>
      <c r="S104" s="687"/>
      <c r="T104" s="688">
        <v>0</v>
      </c>
      <c r="U104" s="693"/>
      <c r="V104" s="690">
        <f t="shared" si="15"/>
        <v>0</v>
      </c>
      <c r="W104" s="683"/>
      <c r="X104" s="474">
        <f t="shared" si="19"/>
        <v>0</v>
      </c>
      <c r="Y104" s="474">
        <f t="shared" si="20"/>
        <v>0</v>
      </c>
      <c r="Z104" s="475">
        <f t="shared" si="21"/>
        <v>0</v>
      </c>
      <c r="AA104" s="475">
        <v>0</v>
      </c>
      <c r="AB104" s="476">
        <v>0</v>
      </c>
      <c r="AC104" s="38">
        <f t="shared" si="22"/>
        <v>0</v>
      </c>
      <c r="AD104" s="692">
        <f t="shared" si="16"/>
        <v>0</v>
      </c>
      <c r="AE104" s="692">
        <f t="shared" si="17"/>
        <v>0</v>
      </c>
      <c r="AF104" s="692">
        <f t="shared" si="18"/>
        <v>0</v>
      </c>
      <c r="AG104" s="38"/>
      <c r="AH104" s="692">
        <f t="shared" si="23"/>
        <v>0</v>
      </c>
      <c r="AI104" s="692">
        <f t="shared" si="24"/>
        <v>0</v>
      </c>
      <c r="AJ104" s="692">
        <f t="shared" si="25"/>
        <v>0</v>
      </c>
      <c r="AL104" s="38">
        <f t="shared" si="26"/>
        <v>0</v>
      </c>
    </row>
    <row r="105" spans="1:38" s="232" customFormat="1" hidden="1">
      <c r="A105" s="283"/>
      <c r="B105" s="283" t="s">
        <v>110</v>
      </c>
      <c r="C105" s="667"/>
      <c r="D105" s="123" t="s">
        <v>337</v>
      </c>
      <c r="E105" s="679"/>
      <c r="F105" s="529">
        <f>VLOOKUP(D105,'May 2013 Revenue'!D:V,19,FALSE)</f>
        <v>0</v>
      </c>
      <c r="G105" s="680"/>
      <c r="H105" s="680"/>
      <c r="I105" s="770"/>
      <c r="J105" s="682">
        <f t="shared" si="14"/>
        <v>0</v>
      </c>
      <c r="K105" s="683"/>
      <c r="L105" s="684"/>
      <c r="M105" s="753"/>
      <c r="N105" s="683">
        <v>0</v>
      </c>
      <c r="O105" s="686"/>
      <c r="P105" s="683">
        <v>0</v>
      </c>
      <c r="Q105" s="687">
        <f t="shared" si="1"/>
        <v>0</v>
      </c>
      <c r="R105" s="687"/>
      <c r="S105" s="687"/>
      <c r="T105" s="688">
        <v>0</v>
      </c>
      <c r="U105" s="693"/>
      <c r="V105" s="690">
        <f t="shared" si="15"/>
        <v>0</v>
      </c>
      <c r="W105" s="683"/>
      <c r="X105" s="474">
        <f t="shared" si="19"/>
        <v>0</v>
      </c>
      <c r="Y105" s="474">
        <f t="shared" si="20"/>
        <v>0</v>
      </c>
      <c r="Z105" s="475">
        <f t="shared" si="21"/>
        <v>0</v>
      </c>
      <c r="AA105" s="475">
        <v>0</v>
      </c>
      <c r="AB105" s="476">
        <v>0</v>
      </c>
      <c r="AC105" s="38">
        <f t="shared" si="22"/>
        <v>0</v>
      </c>
      <c r="AD105" s="692">
        <f t="shared" si="16"/>
        <v>0</v>
      </c>
      <c r="AE105" s="692">
        <f t="shared" si="17"/>
        <v>0</v>
      </c>
      <c r="AF105" s="692">
        <f t="shared" si="18"/>
        <v>0</v>
      </c>
      <c r="AG105" s="38"/>
      <c r="AH105" s="692">
        <f t="shared" si="23"/>
        <v>0</v>
      </c>
      <c r="AI105" s="692">
        <f t="shared" si="24"/>
        <v>0</v>
      </c>
      <c r="AJ105" s="692">
        <f t="shared" si="25"/>
        <v>0</v>
      </c>
      <c r="AL105" s="38">
        <f t="shared" si="26"/>
        <v>0</v>
      </c>
    </row>
    <row r="106" spans="1:38" s="232" customFormat="1" hidden="1">
      <c r="A106" s="283"/>
      <c r="B106" s="283" t="s">
        <v>110</v>
      </c>
      <c r="C106" s="667"/>
      <c r="D106" s="123" t="s">
        <v>338</v>
      </c>
      <c r="E106" s="679"/>
      <c r="F106" s="529">
        <f>VLOOKUP(D106,'May 2013 Revenue'!D:V,19,FALSE)</f>
        <v>0</v>
      </c>
      <c r="G106" s="680"/>
      <c r="H106" s="680"/>
      <c r="I106" s="770"/>
      <c r="J106" s="682">
        <f t="shared" si="14"/>
        <v>0</v>
      </c>
      <c r="K106" s="683"/>
      <c r="L106" s="684"/>
      <c r="M106" s="753"/>
      <c r="N106" s="683">
        <v>0</v>
      </c>
      <c r="O106" s="686"/>
      <c r="P106" s="683">
        <v>0</v>
      </c>
      <c r="Q106" s="687">
        <f t="shared" si="1"/>
        <v>0</v>
      </c>
      <c r="R106" s="687"/>
      <c r="S106" s="687"/>
      <c r="T106" s="688">
        <v>0</v>
      </c>
      <c r="U106" s="693"/>
      <c r="V106" s="690">
        <f t="shared" si="15"/>
        <v>0</v>
      </c>
      <c r="W106" s="683"/>
      <c r="X106" s="474">
        <f t="shared" si="19"/>
        <v>0</v>
      </c>
      <c r="Y106" s="474">
        <f t="shared" si="20"/>
        <v>0</v>
      </c>
      <c r="Z106" s="475">
        <f t="shared" si="21"/>
        <v>0</v>
      </c>
      <c r="AA106" s="475">
        <v>0</v>
      </c>
      <c r="AB106" s="476">
        <v>0</v>
      </c>
      <c r="AC106" s="38">
        <f t="shared" si="22"/>
        <v>0</v>
      </c>
      <c r="AD106" s="692">
        <f t="shared" si="16"/>
        <v>0</v>
      </c>
      <c r="AE106" s="692">
        <f t="shared" si="17"/>
        <v>0</v>
      </c>
      <c r="AF106" s="692">
        <f t="shared" si="18"/>
        <v>0</v>
      </c>
      <c r="AG106" s="38"/>
      <c r="AH106" s="692">
        <f t="shared" si="23"/>
        <v>0</v>
      </c>
      <c r="AI106" s="692">
        <f t="shared" si="24"/>
        <v>0</v>
      </c>
      <c r="AJ106" s="692">
        <f t="shared" si="25"/>
        <v>0</v>
      </c>
      <c r="AL106" s="38">
        <f t="shared" si="26"/>
        <v>0</v>
      </c>
    </row>
    <row r="107" spans="1:38" s="232" customFormat="1" hidden="1">
      <c r="A107" s="283"/>
      <c r="B107" s="283" t="s">
        <v>110</v>
      </c>
      <c r="C107" s="667"/>
      <c r="D107" s="123" t="s">
        <v>339</v>
      </c>
      <c r="E107" s="679"/>
      <c r="F107" s="529">
        <f>VLOOKUP(D107,'May 2013 Revenue'!D:V,19,FALSE)</f>
        <v>0</v>
      </c>
      <c r="G107" s="680"/>
      <c r="H107" s="680"/>
      <c r="I107" s="770"/>
      <c r="J107" s="682">
        <f t="shared" si="14"/>
        <v>0</v>
      </c>
      <c r="K107" s="683"/>
      <c r="L107" s="684"/>
      <c r="M107" s="753"/>
      <c r="N107" s="683">
        <v>0</v>
      </c>
      <c r="O107" s="686"/>
      <c r="P107" s="683">
        <v>0</v>
      </c>
      <c r="Q107" s="687">
        <f t="shared" si="1"/>
        <v>0</v>
      </c>
      <c r="R107" s="687"/>
      <c r="S107" s="687"/>
      <c r="T107" s="688">
        <v>0</v>
      </c>
      <c r="U107" s="693"/>
      <c r="V107" s="690">
        <f t="shared" si="15"/>
        <v>0</v>
      </c>
      <c r="W107" s="683"/>
      <c r="X107" s="474">
        <f t="shared" si="19"/>
        <v>0</v>
      </c>
      <c r="Y107" s="474">
        <f t="shared" si="20"/>
        <v>0</v>
      </c>
      <c r="Z107" s="475">
        <f t="shared" si="21"/>
        <v>0</v>
      </c>
      <c r="AA107" s="475">
        <v>0</v>
      </c>
      <c r="AB107" s="476">
        <v>0</v>
      </c>
      <c r="AC107" s="38">
        <f t="shared" si="22"/>
        <v>0</v>
      </c>
      <c r="AD107" s="692">
        <f t="shared" si="16"/>
        <v>0</v>
      </c>
      <c r="AE107" s="692">
        <f t="shared" si="17"/>
        <v>0</v>
      </c>
      <c r="AF107" s="692">
        <f t="shared" si="18"/>
        <v>0</v>
      </c>
      <c r="AG107" s="38"/>
      <c r="AH107" s="692">
        <f t="shared" si="23"/>
        <v>0</v>
      </c>
      <c r="AI107" s="692">
        <f t="shared" si="24"/>
        <v>0</v>
      </c>
      <c r="AJ107" s="692">
        <f t="shared" si="25"/>
        <v>0</v>
      </c>
      <c r="AL107" s="38">
        <f t="shared" si="26"/>
        <v>0</v>
      </c>
    </row>
    <row r="108" spans="1:38" s="232" customFormat="1" hidden="1">
      <c r="A108" s="283"/>
      <c r="B108" s="283" t="s">
        <v>110</v>
      </c>
      <c r="C108" s="667"/>
      <c r="D108" s="123" t="s">
        <v>340</v>
      </c>
      <c r="E108" s="679"/>
      <c r="F108" s="529">
        <f>VLOOKUP(D108,'May 2013 Revenue'!D:V,19,FALSE)</f>
        <v>0</v>
      </c>
      <c r="G108" s="680"/>
      <c r="H108" s="680"/>
      <c r="I108" s="770"/>
      <c r="J108" s="682">
        <f t="shared" si="14"/>
        <v>0</v>
      </c>
      <c r="K108" s="683"/>
      <c r="L108" s="684"/>
      <c r="M108" s="753"/>
      <c r="N108" s="683">
        <v>0</v>
      </c>
      <c r="O108" s="686"/>
      <c r="P108" s="683">
        <v>0</v>
      </c>
      <c r="Q108" s="687">
        <f t="shared" si="1"/>
        <v>0</v>
      </c>
      <c r="R108" s="687"/>
      <c r="S108" s="687"/>
      <c r="T108" s="688">
        <v>0</v>
      </c>
      <c r="U108" s="693"/>
      <c r="V108" s="690">
        <f t="shared" si="15"/>
        <v>0</v>
      </c>
      <c r="W108" s="683"/>
      <c r="X108" s="474">
        <f t="shared" si="19"/>
        <v>0</v>
      </c>
      <c r="Y108" s="474">
        <f t="shared" si="20"/>
        <v>0</v>
      </c>
      <c r="Z108" s="475">
        <f t="shared" si="21"/>
        <v>0</v>
      </c>
      <c r="AA108" s="475">
        <v>0</v>
      </c>
      <c r="AB108" s="476">
        <v>0</v>
      </c>
      <c r="AC108" s="38">
        <f t="shared" si="22"/>
        <v>0</v>
      </c>
      <c r="AD108" s="692">
        <f t="shared" si="16"/>
        <v>0</v>
      </c>
      <c r="AE108" s="692">
        <f t="shared" si="17"/>
        <v>0</v>
      </c>
      <c r="AF108" s="692">
        <f t="shared" si="18"/>
        <v>0</v>
      </c>
      <c r="AG108" s="38"/>
      <c r="AH108" s="692">
        <f t="shared" si="23"/>
        <v>0</v>
      </c>
      <c r="AI108" s="692">
        <f t="shared" si="24"/>
        <v>0</v>
      </c>
      <c r="AJ108" s="692">
        <f t="shared" si="25"/>
        <v>0</v>
      </c>
      <c r="AL108" s="38">
        <f t="shared" si="26"/>
        <v>0</v>
      </c>
    </row>
    <row r="109" spans="1:38" s="232" customFormat="1" hidden="1">
      <c r="A109" s="283"/>
      <c r="B109" s="283" t="s">
        <v>110</v>
      </c>
      <c r="C109" s="667"/>
      <c r="D109" s="123" t="s">
        <v>439</v>
      </c>
      <c r="E109" s="679"/>
      <c r="F109" s="529">
        <f>VLOOKUP(D109,'May 2013 Revenue'!D:V,19,FALSE)</f>
        <v>0</v>
      </c>
      <c r="G109" s="680"/>
      <c r="H109" s="680"/>
      <c r="I109" s="770"/>
      <c r="J109" s="682">
        <f t="shared" si="14"/>
        <v>0</v>
      </c>
      <c r="K109" s="683"/>
      <c r="L109" s="684"/>
      <c r="M109" s="753"/>
      <c r="N109" s="683">
        <v>0</v>
      </c>
      <c r="O109" s="686"/>
      <c r="P109" s="683">
        <v>0</v>
      </c>
      <c r="Q109" s="687">
        <f t="shared" si="1"/>
        <v>0</v>
      </c>
      <c r="R109" s="687"/>
      <c r="S109" s="687"/>
      <c r="T109" s="688">
        <v>0</v>
      </c>
      <c r="U109" s="693"/>
      <c r="V109" s="690">
        <f t="shared" si="15"/>
        <v>0</v>
      </c>
      <c r="W109" s="683"/>
      <c r="X109" s="474">
        <f t="shared" si="19"/>
        <v>0</v>
      </c>
      <c r="Y109" s="474">
        <f t="shared" si="20"/>
        <v>0</v>
      </c>
      <c r="Z109" s="475">
        <f t="shared" si="21"/>
        <v>0</v>
      </c>
      <c r="AA109" s="475">
        <v>0</v>
      </c>
      <c r="AB109" s="476">
        <v>0</v>
      </c>
      <c r="AC109" s="38">
        <f t="shared" si="22"/>
        <v>0</v>
      </c>
      <c r="AD109" s="692">
        <f t="shared" si="16"/>
        <v>0</v>
      </c>
      <c r="AE109" s="692">
        <f t="shared" si="17"/>
        <v>0</v>
      </c>
      <c r="AF109" s="692">
        <f t="shared" si="18"/>
        <v>0</v>
      </c>
      <c r="AG109" s="38"/>
      <c r="AH109" s="692">
        <f t="shared" si="23"/>
        <v>0</v>
      </c>
      <c r="AI109" s="692">
        <f t="shared" si="24"/>
        <v>0</v>
      </c>
      <c r="AJ109" s="692">
        <f t="shared" si="25"/>
        <v>0</v>
      </c>
      <c r="AL109" s="38">
        <f t="shared" si="26"/>
        <v>0</v>
      </c>
    </row>
    <row r="110" spans="1:38" s="232" customFormat="1" hidden="1">
      <c r="A110" s="283"/>
      <c r="B110" s="283" t="s">
        <v>110</v>
      </c>
      <c r="C110" s="667"/>
      <c r="D110" s="123" t="s">
        <v>592</v>
      </c>
      <c r="E110" s="679"/>
      <c r="F110" s="529">
        <f>VLOOKUP(D110,'May 2013 Revenue'!D:V,19,FALSE)</f>
        <v>0</v>
      </c>
      <c r="G110" s="680"/>
      <c r="H110" s="680"/>
      <c r="I110" s="770"/>
      <c r="J110" s="682">
        <f t="shared" si="14"/>
        <v>0</v>
      </c>
      <c r="K110" s="683"/>
      <c r="L110" s="684"/>
      <c r="M110" s="753"/>
      <c r="N110" s="683">
        <v>0</v>
      </c>
      <c r="O110" s="686"/>
      <c r="P110" s="683">
        <v>0</v>
      </c>
      <c r="Q110" s="687">
        <f t="shared" si="1"/>
        <v>0</v>
      </c>
      <c r="R110" s="687"/>
      <c r="S110" s="687"/>
      <c r="T110" s="688">
        <v>0</v>
      </c>
      <c r="U110" s="693"/>
      <c r="V110" s="690">
        <f t="shared" si="15"/>
        <v>0</v>
      </c>
      <c r="W110" s="683"/>
      <c r="X110" s="474">
        <f t="shared" si="19"/>
        <v>0</v>
      </c>
      <c r="Y110" s="474">
        <f t="shared" si="20"/>
        <v>0</v>
      </c>
      <c r="Z110" s="475">
        <f t="shared" si="21"/>
        <v>0</v>
      </c>
      <c r="AA110" s="475">
        <v>0</v>
      </c>
      <c r="AB110" s="476">
        <v>0</v>
      </c>
      <c r="AC110" s="38">
        <f t="shared" si="22"/>
        <v>0</v>
      </c>
      <c r="AD110" s="692">
        <f t="shared" si="16"/>
        <v>0</v>
      </c>
      <c r="AE110" s="692">
        <f t="shared" si="17"/>
        <v>0</v>
      </c>
      <c r="AF110" s="692">
        <f t="shared" si="18"/>
        <v>0</v>
      </c>
      <c r="AG110" s="38"/>
      <c r="AH110" s="692">
        <f t="shared" si="23"/>
        <v>0</v>
      </c>
      <c r="AI110" s="692">
        <f t="shared" si="24"/>
        <v>0</v>
      </c>
      <c r="AJ110" s="692">
        <f t="shared" si="25"/>
        <v>0</v>
      </c>
      <c r="AL110" s="38">
        <f t="shared" si="26"/>
        <v>0</v>
      </c>
    </row>
    <row r="111" spans="1:38" s="232" customFormat="1" hidden="1">
      <c r="A111" s="283"/>
      <c r="B111" s="283" t="s">
        <v>110</v>
      </c>
      <c r="C111" s="667"/>
      <c r="D111" s="123" t="s">
        <v>512</v>
      </c>
      <c r="E111" s="679"/>
      <c r="F111" s="529">
        <f>VLOOKUP(D111,'May 2013 Revenue'!D:V,19,FALSE)</f>
        <v>0</v>
      </c>
      <c r="G111" s="680"/>
      <c r="H111" s="680"/>
      <c r="I111" s="770"/>
      <c r="J111" s="682">
        <f t="shared" si="14"/>
        <v>0</v>
      </c>
      <c r="K111" s="683"/>
      <c r="L111" s="684"/>
      <c r="M111" s="753"/>
      <c r="N111" s="683">
        <v>0</v>
      </c>
      <c r="O111" s="686"/>
      <c r="P111" s="683"/>
      <c r="Q111" s="687">
        <f t="shared" si="1"/>
        <v>0</v>
      </c>
      <c r="R111" s="687"/>
      <c r="S111" s="687"/>
      <c r="T111" s="688">
        <v>0</v>
      </c>
      <c r="U111" s="693"/>
      <c r="V111" s="690">
        <f t="shared" si="15"/>
        <v>0</v>
      </c>
      <c r="W111" s="683"/>
      <c r="X111" s="474">
        <f t="shared" si="19"/>
        <v>0</v>
      </c>
      <c r="Y111" s="474">
        <f t="shared" si="20"/>
        <v>0</v>
      </c>
      <c r="Z111" s="475">
        <f t="shared" si="21"/>
        <v>0</v>
      </c>
      <c r="AA111" s="475">
        <v>0</v>
      </c>
      <c r="AB111" s="476">
        <v>0</v>
      </c>
      <c r="AC111" s="38">
        <f t="shared" si="22"/>
        <v>0</v>
      </c>
      <c r="AD111" s="692">
        <f t="shared" si="16"/>
        <v>0</v>
      </c>
      <c r="AE111" s="692">
        <f t="shared" si="17"/>
        <v>0</v>
      </c>
      <c r="AF111" s="692">
        <f t="shared" si="18"/>
        <v>0</v>
      </c>
      <c r="AG111" s="38"/>
      <c r="AH111" s="692">
        <f t="shared" si="23"/>
        <v>0</v>
      </c>
      <c r="AI111" s="692">
        <f t="shared" si="24"/>
        <v>0</v>
      </c>
      <c r="AJ111" s="692">
        <f t="shared" si="25"/>
        <v>0</v>
      </c>
      <c r="AL111" s="38">
        <f t="shared" si="26"/>
        <v>0</v>
      </c>
    </row>
    <row r="112" spans="1:38" s="24" customFormat="1">
      <c r="A112" s="32"/>
      <c r="B112" s="32" t="s">
        <v>110</v>
      </c>
      <c r="C112" s="667"/>
      <c r="D112" s="68" t="s">
        <v>588</v>
      </c>
      <c r="E112" s="679"/>
      <c r="F112" s="529">
        <f>VLOOKUP(D112,'May 2013 Revenue'!D:V,19,FALSE)</f>
        <v>0</v>
      </c>
      <c r="G112" s="680"/>
      <c r="H112" s="680"/>
      <c r="I112" s="755"/>
      <c r="J112" s="682">
        <f t="shared" si="14"/>
        <v>0</v>
      </c>
      <c r="K112" s="683"/>
      <c r="L112" s="684"/>
      <c r="M112" s="753"/>
      <c r="N112" s="698"/>
      <c r="O112" s="699"/>
      <c r="P112" s="698"/>
      <c r="Q112" s="687">
        <f t="shared" si="1"/>
        <v>0</v>
      </c>
      <c r="R112" s="687"/>
      <c r="S112" s="687"/>
      <c r="T112" s="688">
        <v>0</v>
      </c>
      <c r="U112" s="693"/>
      <c r="V112" s="690">
        <f t="shared" si="15"/>
        <v>0</v>
      </c>
      <c r="W112" s="683"/>
      <c r="X112" s="474">
        <f t="shared" si="19"/>
        <v>0</v>
      </c>
      <c r="Y112" s="474">
        <f t="shared" si="20"/>
        <v>0</v>
      </c>
      <c r="Z112" s="475">
        <f t="shared" si="21"/>
        <v>0</v>
      </c>
      <c r="AA112" s="475">
        <v>0</v>
      </c>
      <c r="AB112" s="476">
        <v>0</v>
      </c>
      <c r="AC112" s="38">
        <f t="shared" si="22"/>
        <v>0</v>
      </c>
      <c r="AD112" s="692">
        <f t="shared" si="16"/>
        <v>0</v>
      </c>
      <c r="AE112" s="692">
        <f t="shared" si="17"/>
        <v>0</v>
      </c>
      <c r="AF112" s="692">
        <f t="shared" si="18"/>
        <v>0</v>
      </c>
      <c r="AG112" s="38"/>
      <c r="AH112" s="692">
        <f t="shared" si="23"/>
        <v>0</v>
      </c>
      <c r="AI112" s="692">
        <f t="shared" si="24"/>
        <v>0</v>
      </c>
      <c r="AJ112" s="692">
        <f t="shared" si="25"/>
        <v>0</v>
      </c>
      <c r="AL112" s="38">
        <f t="shared" si="26"/>
        <v>0</v>
      </c>
    </row>
    <row r="113" spans="1:38" s="24" customFormat="1">
      <c r="A113" s="32"/>
      <c r="B113" s="32" t="s">
        <v>110</v>
      </c>
      <c r="C113" s="667"/>
      <c r="D113" s="68" t="s">
        <v>935</v>
      </c>
      <c r="E113" s="679">
        <v>7163.91</v>
      </c>
      <c r="F113" s="529">
        <f>VLOOKUP(D113,'May 2013 Revenue'!D:V,19,FALSE)</f>
        <v>-3243.8599999999997</v>
      </c>
      <c r="G113" s="680"/>
      <c r="H113" s="680"/>
      <c r="I113" s="755"/>
      <c r="J113" s="682">
        <f t="shared" si="14"/>
        <v>3920.05</v>
      </c>
      <c r="K113" s="683"/>
      <c r="L113" s="684"/>
      <c r="M113" s="753">
        <v>7000</v>
      </c>
      <c r="N113" s="698"/>
      <c r="O113" s="699"/>
      <c r="P113" s="698"/>
      <c r="Q113" s="687">
        <f t="shared" si="1"/>
        <v>7000</v>
      </c>
      <c r="R113" s="687"/>
      <c r="S113" s="687"/>
      <c r="T113" s="688">
        <v>0</v>
      </c>
      <c r="U113" s="693"/>
      <c r="V113" s="690">
        <f t="shared" si="15"/>
        <v>-7000</v>
      </c>
      <c r="W113" s="683"/>
      <c r="X113" s="474">
        <f t="shared" si="19"/>
        <v>7000</v>
      </c>
      <c r="Y113" s="474">
        <f t="shared" si="20"/>
        <v>0</v>
      </c>
      <c r="Z113" s="475">
        <f t="shared" si="21"/>
        <v>0</v>
      </c>
      <c r="AA113" s="475">
        <v>0</v>
      </c>
      <c r="AB113" s="476">
        <v>0</v>
      </c>
      <c r="AC113" s="38">
        <f t="shared" si="22"/>
        <v>0</v>
      </c>
      <c r="AD113" s="692">
        <f t="shared" si="16"/>
        <v>3920.05</v>
      </c>
      <c r="AE113" s="692">
        <f t="shared" si="17"/>
        <v>0</v>
      </c>
      <c r="AF113" s="692">
        <f t="shared" si="18"/>
        <v>0</v>
      </c>
      <c r="AG113" s="38"/>
      <c r="AH113" s="692">
        <f t="shared" si="23"/>
        <v>7000</v>
      </c>
      <c r="AI113" s="692">
        <f t="shared" si="24"/>
        <v>0</v>
      </c>
      <c r="AJ113" s="692">
        <f t="shared" si="25"/>
        <v>0</v>
      </c>
      <c r="AL113" s="38">
        <f t="shared" ref="AL113" si="27">SUM(AD113:AJ113)</f>
        <v>10920.05</v>
      </c>
    </row>
    <row r="114" spans="1:38">
      <c r="A114" s="21"/>
      <c r="B114" s="21" t="s">
        <v>109</v>
      </c>
      <c r="C114" s="666" t="s">
        <v>548</v>
      </c>
      <c r="D114" s="68" t="s">
        <v>461</v>
      </c>
      <c r="E114" s="679"/>
      <c r="F114" s="529">
        <f>VLOOKUP(D114,'May 2013 Revenue'!D:V,19,FALSE)</f>
        <v>2637.89</v>
      </c>
      <c r="G114" s="680"/>
      <c r="H114" s="680"/>
      <c r="I114" s="755"/>
      <c r="J114" s="682">
        <f t="shared" si="14"/>
        <v>2637.89</v>
      </c>
      <c r="K114" s="683"/>
      <c r="L114" s="684"/>
      <c r="M114" s="753"/>
      <c r="N114" s="683">
        <v>0</v>
      </c>
      <c r="O114" s="686"/>
      <c r="P114" s="683">
        <v>0</v>
      </c>
      <c r="Q114" s="687">
        <f t="shared" si="1"/>
        <v>0</v>
      </c>
      <c r="R114" s="687"/>
      <c r="S114" s="687"/>
      <c r="T114" s="688">
        <v>3933.91</v>
      </c>
      <c r="U114" s="693"/>
      <c r="V114" s="690">
        <f t="shared" si="15"/>
        <v>3933.91</v>
      </c>
      <c r="W114" s="683"/>
      <c r="X114" s="474">
        <f t="shared" si="19"/>
        <v>0</v>
      </c>
      <c r="Y114" s="474">
        <f t="shared" si="20"/>
        <v>0</v>
      </c>
      <c r="Z114" s="475">
        <f t="shared" si="21"/>
        <v>0</v>
      </c>
      <c r="AA114" s="475">
        <v>0</v>
      </c>
      <c r="AB114" s="476">
        <v>0</v>
      </c>
      <c r="AC114" s="38">
        <f t="shared" si="22"/>
        <v>0</v>
      </c>
      <c r="AD114" s="692">
        <f t="shared" si="16"/>
        <v>0</v>
      </c>
      <c r="AE114" s="692">
        <f t="shared" si="17"/>
        <v>2637.89</v>
      </c>
      <c r="AF114" s="692">
        <f t="shared" si="18"/>
        <v>0</v>
      </c>
      <c r="AG114" s="38"/>
      <c r="AH114" s="692">
        <f t="shared" si="23"/>
        <v>0</v>
      </c>
      <c r="AI114" s="692">
        <f t="shared" si="24"/>
        <v>0</v>
      </c>
      <c r="AJ114" s="692">
        <f t="shared" si="25"/>
        <v>0</v>
      </c>
      <c r="AL114" s="38">
        <f t="shared" si="26"/>
        <v>2637.89</v>
      </c>
    </row>
    <row r="115" spans="1:38">
      <c r="A115" s="20"/>
      <c r="B115" s="20" t="s">
        <v>109</v>
      </c>
      <c r="C115" s="667" t="s">
        <v>549</v>
      </c>
      <c r="D115" s="68" t="s">
        <v>22</v>
      </c>
      <c r="E115" s="679"/>
      <c r="F115" s="529">
        <f>VLOOKUP(D115,'May 2013 Revenue'!D:V,19,FALSE)</f>
        <v>0</v>
      </c>
      <c r="G115" s="680"/>
      <c r="H115" s="680"/>
      <c r="I115" s="755"/>
      <c r="J115" s="682">
        <f t="shared" si="14"/>
        <v>0</v>
      </c>
      <c r="K115" s="683"/>
      <c r="L115" s="684"/>
      <c r="M115" s="753"/>
      <c r="N115" s="683">
        <v>0</v>
      </c>
      <c r="O115" s="686"/>
      <c r="P115" s="683">
        <v>0</v>
      </c>
      <c r="Q115" s="687">
        <f t="shared" si="1"/>
        <v>0</v>
      </c>
      <c r="R115" s="687"/>
      <c r="S115" s="687"/>
      <c r="T115" s="688">
        <v>0</v>
      </c>
      <c r="U115" s="693"/>
      <c r="V115" s="690">
        <f t="shared" si="15"/>
        <v>0</v>
      </c>
      <c r="W115" s="683"/>
      <c r="X115" s="474">
        <f t="shared" si="19"/>
        <v>0</v>
      </c>
      <c r="Y115" s="474">
        <f t="shared" si="20"/>
        <v>0</v>
      </c>
      <c r="Z115" s="475">
        <f t="shared" si="21"/>
        <v>0</v>
      </c>
      <c r="AA115" s="475">
        <v>0</v>
      </c>
      <c r="AB115" s="476">
        <v>0</v>
      </c>
      <c r="AC115" s="38">
        <f t="shared" si="22"/>
        <v>0</v>
      </c>
      <c r="AD115" s="692">
        <f t="shared" si="16"/>
        <v>0</v>
      </c>
      <c r="AE115" s="692">
        <f t="shared" si="17"/>
        <v>0</v>
      </c>
      <c r="AF115" s="692">
        <f t="shared" si="18"/>
        <v>0</v>
      </c>
      <c r="AG115" s="38"/>
      <c r="AH115" s="692">
        <f t="shared" si="23"/>
        <v>0</v>
      </c>
      <c r="AI115" s="692">
        <f t="shared" si="24"/>
        <v>0</v>
      </c>
      <c r="AJ115" s="692">
        <f t="shared" si="25"/>
        <v>0</v>
      </c>
      <c r="AL115" s="38">
        <f t="shared" si="26"/>
        <v>0</v>
      </c>
    </row>
    <row r="116" spans="1:38">
      <c r="A116" s="20"/>
      <c r="B116" s="20" t="s">
        <v>110</v>
      </c>
      <c r="C116" s="667"/>
      <c r="D116" s="68" t="s">
        <v>24</v>
      </c>
      <c r="E116" s="679"/>
      <c r="F116" s="529">
        <f>VLOOKUP(D116,'May 2013 Revenue'!D:V,19,FALSE)</f>
        <v>0</v>
      </c>
      <c r="G116" s="680"/>
      <c r="H116" s="680"/>
      <c r="I116" s="755"/>
      <c r="J116" s="682">
        <f t="shared" si="14"/>
        <v>0</v>
      </c>
      <c r="K116" s="683"/>
      <c r="L116" s="684"/>
      <c r="M116" s="753"/>
      <c r="N116" s="683">
        <v>0</v>
      </c>
      <c r="O116" s="686"/>
      <c r="P116" s="683">
        <v>0</v>
      </c>
      <c r="Q116" s="687">
        <f t="shared" si="1"/>
        <v>0</v>
      </c>
      <c r="R116" s="687"/>
      <c r="S116" s="687"/>
      <c r="T116" s="688">
        <v>0</v>
      </c>
      <c r="U116" s="693"/>
      <c r="V116" s="690">
        <f t="shared" si="15"/>
        <v>0</v>
      </c>
      <c r="W116" s="683"/>
      <c r="X116" s="474">
        <f t="shared" si="19"/>
        <v>0</v>
      </c>
      <c r="Y116" s="474">
        <f t="shared" si="20"/>
        <v>0</v>
      </c>
      <c r="Z116" s="475">
        <f t="shared" si="21"/>
        <v>0</v>
      </c>
      <c r="AA116" s="475">
        <v>0</v>
      </c>
      <c r="AB116" s="476">
        <v>0</v>
      </c>
      <c r="AC116" s="38">
        <f t="shared" si="22"/>
        <v>0</v>
      </c>
      <c r="AD116" s="692">
        <f t="shared" si="16"/>
        <v>0</v>
      </c>
      <c r="AE116" s="692">
        <f t="shared" si="17"/>
        <v>0</v>
      </c>
      <c r="AF116" s="692">
        <f t="shared" si="18"/>
        <v>0</v>
      </c>
      <c r="AG116" s="38"/>
      <c r="AH116" s="692">
        <f t="shared" si="23"/>
        <v>0</v>
      </c>
      <c r="AI116" s="692">
        <f t="shared" si="24"/>
        <v>0</v>
      </c>
      <c r="AJ116" s="692">
        <f t="shared" si="25"/>
        <v>0</v>
      </c>
      <c r="AL116" s="38">
        <f t="shared" si="26"/>
        <v>0</v>
      </c>
    </row>
    <row r="117" spans="1:38">
      <c r="A117" s="21"/>
      <c r="B117" s="21" t="s">
        <v>110</v>
      </c>
      <c r="C117" s="666"/>
      <c r="D117" s="68" t="s">
        <v>937</v>
      </c>
      <c r="E117" s="679"/>
      <c r="F117" s="529">
        <f>VLOOKUP(D117,'May 2013 Revenue'!D:V,19,FALSE)</f>
        <v>0</v>
      </c>
      <c r="G117" s="680"/>
      <c r="H117" s="680"/>
      <c r="I117" s="755"/>
      <c r="J117" s="682">
        <f t="shared" si="14"/>
        <v>0</v>
      </c>
      <c r="K117" s="683"/>
      <c r="L117" s="684"/>
      <c r="M117" s="753"/>
      <c r="N117" s="683">
        <v>0</v>
      </c>
      <c r="O117" s="686"/>
      <c r="P117" s="683">
        <v>0</v>
      </c>
      <c r="Q117" s="687">
        <f t="shared" si="1"/>
        <v>0</v>
      </c>
      <c r="R117" s="687"/>
      <c r="S117" s="687"/>
      <c r="T117" s="688">
        <v>0</v>
      </c>
      <c r="U117" s="693"/>
      <c r="V117" s="690">
        <f t="shared" si="15"/>
        <v>0</v>
      </c>
      <c r="W117" s="683"/>
      <c r="X117" s="474">
        <f t="shared" si="19"/>
        <v>0</v>
      </c>
      <c r="Y117" s="474">
        <f t="shared" si="20"/>
        <v>0</v>
      </c>
      <c r="Z117" s="475">
        <f t="shared" si="21"/>
        <v>0</v>
      </c>
      <c r="AA117" s="475">
        <v>0</v>
      </c>
      <c r="AB117" s="476">
        <v>0</v>
      </c>
      <c r="AC117" s="38">
        <f t="shared" si="22"/>
        <v>0</v>
      </c>
      <c r="AD117" s="692">
        <f t="shared" si="16"/>
        <v>0</v>
      </c>
      <c r="AE117" s="692">
        <f t="shared" si="17"/>
        <v>0</v>
      </c>
      <c r="AF117" s="692">
        <f t="shared" si="18"/>
        <v>0</v>
      </c>
      <c r="AG117" s="38"/>
      <c r="AH117" s="692">
        <f t="shared" si="23"/>
        <v>0</v>
      </c>
      <c r="AI117" s="692">
        <f t="shared" si="24"/>
        <v>0</v>
      </c>
      <c r="AJ117" s="692">
        <f t="shared" si="25"/>
        <v>0</v>
      </c>
      <c r="AL117" s="38">
        <f t="shared" si="26"/>
        <v>0</v>
      </c>
    </row>
    <row r="118" spans="1:38">
      <c r="A118" s="21"/>
      <c r="B118" s="21" t="s">
        <v>110</v>
      </c>
      <c r="C118" s="666"/>
      <c r="D118" s="68" t="s">
        <v>967</v>
      </c>
      <c r="E118" s="679"/>
      <c r="F118" s="529"/>
      <c r="G118" s="680"/>
      <c r="H118" s="680"/>
      <c r="I118" s="755"/>
      <c r="J118" s="682">
        <f t="shared" ref="J118" si="28">SUM(E118:I118)</f>
        <v>0</v>
      </c>
      <c r="K118" s="683"/>
      <c r="L118" s="684"/>
      <c r="M118" s="753"/>
      <c r="N118" s="683">
        <v>0</v>
      </c>
      <c r="O118" s="686"/>
      <c r="P118" s="683">
        <v>0</v>
      </c>
      <c r="Q118" s="687">
        <f t="shared" ref="Q118" si="29">L118+M118</f>
        <v>0</v>
      </c>
      <c r="R118" s="687"/>
      <c r="S118" s="687"/>
      <c r="T118" s="688">
        <v>196879.5</v>
      </c>
      <c r="U118" s="693"/>
      <c r="V118" s="690">
        <f t="shared" ref="V118" si="30">IF(T118="","",T118-Q118)</f>
        <v>196879.5</v>
      </c>
      <c r="W118" s="683"/>
      <c r="X118" s="474">
        <f t="shared" ref="X118" si="31">IF(B118="D",Q118,0)</f>
        <v>0</v>
      </c>
      <c r="Y118" s="474">
        <f t="shared" ref="Y118" si="32">IF(B118="M",Q118,0)</f>
        <v>0</v>
      </c>
      <c r="Z118" s="475">
        <f t="shared" ref="Z118" si="33">IF(B118="V",Q118,0)</f>
        <v>0</v>
      </c>
      <c r="AA118" s="475">
        <v>0</v>
      </c>
      <c r="AB118" s="476">
        <v>0</v>
      </c>
      <c r="AC118" s="38">
        <f t="shared" ref="AC118" si="34">(L118+M118)-(X118+Y118+Z118+AA118+AB118)</f>
        <v>0</v>
      </c>
      <c r="AD118" s="692">
        <f t="shared" ref="AD118" si="35">IF(B118="D",J118,0)</f>
        <v>0</v>
      </c>
      <c r="AE118" s="692">
        <f t="shared" ref="AE118" si="36">IF(B118="M",J118,0)</f>
        <v>0</v>
      </c>
      <c r="AF118" s="692">
        <f t="shared" ref="AF118" si="37">IF(B118="V",J118,0)</f>
        <v>0</v>
      </c>
      <c r="AG118" s="38"/>
      <c r="AH118" s="692">
        <f t="shared" ref="AH118" si="38">IF(B118="D",Q118,0)</f>
        <v>0</v>
      </c>
      <c r="AI118" s="692">
        <f t="shared" ref="AI118" si="39">IF(B118="M",Q118,0)</f>
        <v>0</v>
      </c>
      <c r="AJ118" s="692">
        <f t="shared" ref="AJ118" si="40">IF(B118="V",Q118,0)</f>
        <v>0</v>
      </c>
      <c r="AL118" s="38">
        <f t="shared" ref="AL118" si="41">SUM(AD118:AJ118)</f>
        <v>0</v>
      </c>
    </row>
    <row r="119" spans="1:38">
      <c r="A119" s="21"/>
      <c r="B119" s="21" t="s">
        <v>110</v>
      </c>
      <c r="C119" s="666" t="s">
        <v>550</v>
      </c>
      <c r="D119" s="68" t="s">
        <v>282</v>
      </c>
      <c r="E119" s="679"/>
      <c r="F119" s="529">
        <f>VLOOKUP(D119,'May 2013 Revenue'!D:V,19,FALSE)</f>
        <v>16794.019999999997</v>
      </c>
      <c r="G119" s="680"/>
      <c r="H119" s="680"/>
      <c r="I119" s="755"/>
      <c r="J119" s="682">
        <f t="shared" si="14"/>
        <v>16794.019999999997</v>
      </c>
      <c r="K119" s="683"/>
      <c r="L119" s="684"/>
      <c r="M119" s="753">
        <v>55000</v>
      </c>
      <c r="N119" s="683">
        <v>0</v>
      </c>
      <c r="O119" s="686"/>
      <c r="P119" s="683">
        <v>0</v>
      </c>
      <c r="Q119" s="687">
        <f t="shared" si="1"/>
        <v>55000</v>
      </c>
      <c r="R119" s="687"/>
      <c r="S119" s="687"/>
      <c r="T119" s="688">
        <v>52217.68</v>
      </c>
      <c r="U119" s="693"/>
      <c r="V119" s="690">
        <f t="shared" si="15"/>
        <v>-2782.3199999999997</v>
      </c>
      <c r="W119" s="683"/>
      <c r="X119" s="474">
        <f t="shared" si="19"/>
        <v>55000</v>
      </c>
      <c r="Y119" s="474">
        <f t="shared" si="20"/>
        <v>0</v>
      </c>
      <c r="Z119" s="475">
        <f t="shared" si="21"/>
        <v>0</v>
      </c>
      <c r="AA119" s="475">
        <v>0</v>
      </c>
      <c r="AB119" s="476">
        <v>0</v>
      </c>
      <c r="AC119" s="38">
        <f t="shared" si="22"/>
        <v>0</v>
      </c>
      <c r="AD119" s="692">
        <f t="shared" si="16"/>
        <v>16794.019999999997</v>
      </c>
      <c r="AE119" s="692">
        <f t="shared" si="17"/>
        <v>0</v>
      </c>
      <c r="AF119" s="692">
        <f t="shared" si="18"/>
        <v>0</v>
      </c>
      <c r="AG119" s="38"/>
      <c r="AH119" s="692">
        <f t="shared" si="23"/>
        <v>55000</v>
      </c>
      <c r="AI119" s="692">
        <f t="shared" si="24"/>
        <v>0</v>
      </c>
      <c r="AJ119" s="692">
        <f t="shared" si="25"/>
        <v>0</v>
      </c>
      <c r="AL119" s="38">
        <f t="shared" si="26"/>
        <v>71794.01999999999</v>
      </c>
    </row>
    <row r="120" spans="1:38">
      <c r="A120" s="21"/>
      <c r="B120" s="21" t="s">
        <v>109</v>
      </c>
      <c r="C120" s="666" t="s">
        <v>551</v>
      </c>
      <c r="D120" s="68" t="s">
        <v>499</v>
      </c>
      <c r="E120" s="679"/>
      <c r="F120" s="529">
        <f>VLOOKUP(D120,'May 2013 Revenue'!D:V,19,FALSE)</f>
        <v>0</v>
      </c>
      <c r="G120" s="680"/>
      <c r="H120" s="680"/>
      <c r="I120" s="755"/>
      <c r="J120" s="682">
        <f t="shared" si="14"/>
        <v>0</v>
      </c>
      <c r="K120" s="683"/>
      <c r="L120" s="684"/>
      <c r="M120" s="753"/>
      <c r="N120" s="683">
        <v>0</v>
      </c>
      <c r="O120" s="686"/>
      <c r="P120" s="683">
        <v>0</v>
      </c>
      <c r="Q120" s="687">
        <f t="shared" si="1"/>
        <v>0</v>
      </c>
      <c r="R120" s="687"/>
      <c r="S120" s="687"/>
      <c r="T120" s="688">
        <v>0</v>
      </c>
      <c r="U120" s="693"/>
      <c r="V120" s="690">
        <f t="shared" si="15"/>
        <v>0</v>
      </c>
      <c r="W120" s="683"/>
      <c r="X120" s="474">
        <f t="shared" si="19"/>
        <v>0</v>
      </c>
      <c r="Y120" s="474">
        <f t="shared" si="20"/>
        <v>0</v>
      </c>
      <c r="Z120" s="475">
        <f t="shared" si="21"/>
        <v>0</v>
      </c>
      <c r="AA120" s="475">
        <v>0</v>
      </c>
      <c r="AB120" s="476">
        <v>0</v>
      </c>
      <c r="AC120" s="38">
        <f t="shared" si="22"/>
        <v>0</v>
      </c>
      <c r="AD120" s="692">
        <f t="shared" si="16"/>
        <v>0</v>
      </c>
      <c r="AE120" s="692">
        <f t="shared" si="17"/>
        <v>0</v>
      </c>
      <c r="AF120" s="692">
        <f t="shared" si="18"/>
        <v>0</v>
      </c>
      <c r="AG120" s="38"/>
      <c r="AH120" s="692">
        <f t="shared" si="23"/>
        <v>0</v>
      </c>
      <c r="AI120" s="692">
        <f t="shared" si="24"/>
        <v>0</v>
      </c>
      <c r="AJ120" s="692">
        <f t="shared" si="25"/>
        <v>0</v>
      </c>
      <c r="AL120" s="38">
        <f t="shared" si="26"/>
        <v>0</v>
      </c>
    </row>
    <row r="121" spans="1:38">
      <c r="A121" s="21"/>
      <c r="B121" s="21" t="s">
        <v>110</v>
      </c>
      <c r="C121" s="666"/>
      <c r="D121" s="68" t="s">
        <v>28</v>
      </c>
      <c r="E121" s="679"/>
      <c r="F121" s="529">
        <f>VLOOKUP(D121,'May 2013 Revenue'!D:V,19,FALSE)</f>
        <v>0</v>
      </c>
      <c r="G121" s="680"/>
      <c r="H121" s="680"/>
      <c r="I121" s="770">
        <v>13073.9</v>
      </c>
      <c r="J121" s="682">
        <f t="shared" si="14"/>
        <v>13073.9</v>
      </c>
      <c r="K121" s="683"/>
      <c r="L121" s="684"/>
      <c r="M121" s="753"/>
      <c r="N121" s="683">
        <v>0</v>
      </c>
      <c r="O121" s="686"/>
      <c r="P121" s="683">
        <v>0</v>
      </c>
      <c r="Q121" s="687">
        <f t="shared" si="1"/>
        <v>0</v>
      </c>
      <c r="R121" s="687"/>
      <c r="S121" s="687"/>
      <c r="T121" s="688">
        <v>0</v>
      </c>
      <c r="U121" s="693"/>
      <c r="V121" s="690">
        <f t="shared" si="15"/>
        <v>0</v>
      </c>
      <c r="W121" s="683"/>
      <c r="X121" s="474">
        <f t="shared" si="19"/>
        <v>0</v>
      </c>
      <c r="Y121" s="474">
        <f t="shared" si="20"/>
        <v>0</v>
      </c>
      <c r="Z121" s="475">
        <f t="shared" si="21"/>
        <v>0</v>
      </c>
      <c r="AA121" s="475">
        <v>0</v>
      </c>
      <c r="AB121" s="476">
        <v>0</v>
      </c>
      <c r="AC121" s="38">
        <f t="shared" si="22"/>
        <v>0</v>
      </c>
      <c r="AD121" s="692">
        <f t="shared" si="16"/>
        <v>13073.9</v>
      </c>
      <c r="AE121" s="692">
        <f t="shared" si="17"/>
        <v>0</v>
      </c>
      <c r="AF121" s="692">
        <f t="shared" si="18"/>
        <v>0</v>
      </c>
      <c r="AG121" s="38"/>
      <c r="AH121" s="692">
        <f t="shared" si="23"/>
        <v>0</v>
      </c>
      <c r="AI121" s="692">
        <f t="shared" si="24"/>
        <v>0</v>
      </c>
      <c r="AJ121" s="692">
        <f t="shared" si="25"/>
        <v>0</v>
      </c>
      <c r="AL121" s="38">
        <f t="shared" si="26"/>
        <v>13073.9</v>
      </c>
    </row>
    <row r="122" spans="1:38">
      <c r="A122" s="21"/>
      <c r="B122" s="21" t="s">
        <v>114</v>
      </c>
      <c r="C122" s="666" t="s">
        <v>552</v>
      </c>
      <c r="D122" s="68" t="s">
        <v>513</v>
      </c>
      <c r="E122" s="679">
        <v>3145</v>
      </c>
      <c r="F122" s="529">
        <f>VLOOKUP(D122,'May 2013 Revenue'!D:V,19,FALSE)</f>
        <v>-8000</v>
      </c>
      <c r="G122" s="680"/>
      <c r="H122" s="680"/>
      <c r="I122" s="755"/>
      <c r="J122" s="682">
        <f t="shared" si="14"/>
        <v>-4855</v>
      </c>
      <c r="K122" s="683"/>
      <c r="L122" s="684"/>
      <c r="M122" s="753">
        <v>8000</v>
      </c>
      <c r="N122" s="683">
        <v>0</v>
      </c>
      <c r="O122" s="686"/>
      <c r="P122" s="683">
        <v>0</v>
      </c>
      <c r="Q122" s="687">
        <f>L122+M122</f>
        <v>8000</v>
      </c>
      <c r="R122" s="687"/>
      <c r="S122" s="687"/>
      <c r="T122" s="688">
        <v>0</v>
      </c>
      <c r="U122" s="693"/>
      <c r="V122" s="690">
        <f t="shared" si="15"/>
        <v>-8000</v>
      </c>
      <c r="W122" s="683"/>
      <c r="X122" s="474">
        <f t="shared" si="19"/>
        <v>0</v>
      </c>
      <c r="Y122" s="474">
        <f t="shared" si="20"/>
        <v>0</v>
      </c>
      <c r="Z122" s="475">
        <f t="shared" si="21"/>
        <v>8000</v>
      </c>
      <c r="AA122" s="475">
        <v>0</v>
      </c>
      <c r="AB122" s="476">
        <v>0</v>
      </c>
      <c r="AC122" s="38">
        <f t="shared" si="22"/>
        <v>0</v>
      </c>
      <c r="AD122" s="692">
        <f t="shared" si="16"/>
        <v>0</v>
      </c>
      <c r="AE122" s="692">
        <f t="shared" si="17"/>
        <v>0</v>
      </c>
      <c r="AF122" s="692">
        <f t="shared" si="18"/>
        <v>-4855</v>
      </c>
      <c r="AG122" s="38"/>
      <c r="AH122" s="692">
        <f t="shared" si="23"/>
        <v>0</v>
      </c>
      <c r="AI122" s="692">
        <f t="shared" si="24"/>
        <v>0</v>
      </c>
      <c r="AJ122" s="692">
        <f t="shared" si="25"/>
        <v>8000</v>
      </c>
      <c r="AL122" s="38">
        <f t="shared" si="26"/>
        <v>3145</v>
      </c>
    </row>
    <row r="123" spans="1:38">
      <c r="A123" s="21"/>
      <c r="B123" s="21" t="s">
        <v>109</v>
      </c>
      <c r="C123" s="666" t="s">
        <v>553</v>
      </c>
      <c r="D123" s="68" t="s">
        <v>308</v>
      </c>
      <c r="E123" s="679">
        <v>1290.3499999999999</v>
      </c>
      <c r="F123" s="529">
        <f>VLOOKUP(D123,'May 2013 Revenue'!D:V,19,FALSE)</f>
        <v>1216.75</v>
      </c>
      <c r="G123" s="680"/>
      <c r="H123" s="680"/>
      <c r="I123" s="755"/>
      <c r="J123" s="682">
        <f t="shared" si="14"/>
        <v>2507.1</v>
      </c>
      <c r="K123" s="683"/>
      <c r="L123" s="684"/>
      <c r="M123" s="753"/>
      <c r="N123" s="683">
        <v>0</v>
      </c>
      <c r="O123" s="686"/>
      <c r="P123" s="683">
        <v>0</v>
      </c>
      <c r="Q123" s="687">
        <f t="shared" si="1"/>
        <v>0</v>
      </c>
      <c r="R123" s="687"/>
      <c r="S123" s="687"/>
      <c r="T123" s="688">
        <v>0</v>
      </c>
      <c r="U123" s="693"/>
      <c r="V123" s="690">
        <f t="shared" si="15"/>
        <v>0</v>
      </c>
      <c r="W123" s="683"/>
      <c r="X123" s="474">
        <f t="shared" si="19"/>
        <v>0</v>
      </c>
      <c r="Y123" s="474">
        <f t="shared" si="20"/>
        <v>0</v>
      </c>
      <c r="Z123" s="475">
        <f t="shared" si="21"/>
        <v>0</v>
      </c>
      <c r="AA123" s="475">
        <v>0</v>
      </c>
      <c r="AB123" s="476">
        <v>0</v>
      </c>
      <c r="AC123" s="38">
        <f t="shared" si="22"/>
        <v>0</v>
      </c>
      <c r="AD123" s="692">
        <f t="shared" si="16"/>
        <v>0</v>
      </c>
      <c r="AE123" s="692">
        <f t="shared" si="17"/>
        <v>2507.1</v>
      </c>
      <c r="AF123" s="692">
        <f t="shared" si="18"/>
        <v>0</v>
      </c>
      <c r="AG123" s="38"/>
      <c r="AH123" s="692">
        <f t="shared" si="23"/>
        <v>0</v>
      </c>
      <c r="AI123" s="692">
        <f t="shared" si="24"/>
        <v>0</v>
      </c>
      <c r="AJ123" s="692">
        <f t="shared" si="25"/>
        <v>0</v>
      </c>
      <c r="AL123" s="38">
        <f t="shared" si="26"/>
        <v>2507.1</v>
      </c>
    </row>
    <row r="124" spans="1:38" s="232" customFormat="1">
      <c r="A124" s="283" t="s">
        <v>211</v>
      </c>
      <c r="B124" s="283" t="s">
        <v>109</v>
      </c>
      <c r="C124" s="667" t="s">
        <v>554</v>
      </c>
      <c r="D124" s="123" t="s">
        <v>389</v>
      </c>
      <c r="E124" s="679"/>
      <c r="F124" s="529">
        <f>VLOOKUP(D124,'May 2013 Revenue'!D:V,19,FALSE)</f>
        <v>0</v>
      </c>
      <c r="G124" s="680"/>
      <c r="H124" s="680"/>
      <c r="I124" s="755"/>
      <c r="J124" s="682">
        <f>SUM(E124:I124)</f>
        <v>0</v>
      </c>
      <c r="K124" s="683"/>
      <c r="L124" s="684"/>
      <c r="M124" s="753"/>
      <c r="N124" s="683">
        <v>0</v>
      </c>
      <c r="O124" s="686"/>
      <c r="P124" s="683">
        <v>0</v>
      </c>
      <c r="Q124" s="687">
        <f t="shared" si="1"/>
        <v>0</v>
      </c>
      <c r="R124" s="687"/>
      <c r="S124" s="687"/>
      <c r="T124" s="688">
        <v>0</v>
      </c>
      <c r="U124" s="693"/>
      <c r="V124" s="690">
        <f t="shared" si="15"/>
        <v>0</v>
      </c>
      <c r="W124" s="683"/>
      <c r="X124" s="474">
        <f t="shared" si="19"/>
        <v>0</v>
      </c>
      <c r="Y124" s="474">
        <f t="shared" si="20"/>
        <v>0</v>
      </c>
      <c r="Z124" s="475">
        <f t="shared" si="21"/>
        <v>0</v>
      </c>
      <c r="AA124" s="475">
        <v>0</v>
      </c>
      <c r="AB124" s="476">
        <v>0</v>
      </c>
      <c r="AC124" s="38">
        <f t="shared" si="22"/>
        <v>0</v>
      </c>
      <c r="AD124" s="692">
        <f t="shared" si="16"/>
        <v>0</v>
      </c>
      <c r="AE124" s="692">
        <f t="shared" si="17"/>
        <v>0</v>
      </c>
      <c r="AF124" s="692">
        <f t="shared" si="18"/>
        <v>0</v>
      </c>
      <c r="AG124" s="38"/>
      <c r="AH124" s="692">
        <f t="shared" si="23"/>
        <v>0</v>
      </c>
      <c r="AI124" s="692">
        <f t="shared" si="24"/>
        <v>0</v>
      </c>
      <c r="AJ124" s="692">
        <f t="shared" si="25"/>
        <v>0</v>
      </c>
      <c r="AL124" s="38">
        <f t="shared" si="26"/>
        <v>0</v>
      </c>
    </row>
    <row r="125" spans="1:38" s="232" customFormat="1">
      <c r="A125" s="283"/>
      <c r="B125" s="283" t="s">
        <v>110</v>
      </c>
      <c r="C125" s="667"/>
      <c r="D125" s="123" t="s">
        <v>807</v>
      </c>
      <c r="E125" s="679"/>
      <c r="F125" s="529">
        <f>VLOOKUP(D125,'May 2013 Revenue'!D:V,19,FALSE)</f>
        <v>-1569.69</v>
      </c>
      <c r="G125" s="680"/>
      <c r="H125" s="680"/>
      <c r="I125" s="755"/>
      <c r="J125" s="682">
        <f>SUM(E125:I125)</f>
        <v>-1569.69</v>
      </c>
      <c r="K125" s="683"/>
      <c r="L125" s="684"/>
      <c r="M125" s="753">
        <v>5000</v>
      </c>
      <c r="N125" s="683">
        <v>0</v>
      </c>
      <c r="O125" s="686"/>
      <c r="P125" s="683">
        <v>0</v>
      </c>
      <c r="Q125" s="687">
        <f t="shared" si="1"/>
        <v>5000</v>
      </c>
      <c r="R125" s="687"/>
      <c r="S125" s="687"/>
      <c r="T125" s="688">
        <v>3210.39</v>
      </c>
      <c r="U125" s="693"/>
      <c r="V125" s="690">
        <f t="shared" si="15"/>
        <v>-1789.6100000000001</v>
      </c>
      <c r="W125" s="683"/>
      <c r="X125" s="474">
        <f t="shared" si="19"/>
        <v>5000</v>
      </c>
      <c r="Y125" s="474">
        <f t="shared" si="20"/>
        <v>0</v>
      </c>
      <c r="Z125" s="475">
        <f t="shared" si="21"/>
        <v>0</v>
      </c>
      <c r="AA125" s="475">
        <v>0</v>
      </c>
      <c r="AB125" s="476">
        <v>0</v>
      </c>
      <c r="AC125" s="38">
        <f t="shared" si="22"/>
        <v>0</v>
      </c>
      <c r="AD125" s="692">
        <f t="shared" si="16"/>
        <v>-1569.69</v>
      </c>
      <c r="AE125" s="692">
        <f t="shared" si="17"/>
        <v>0</v>
      </c>
      <c r="AF125" s="692">
        <f t="shared" si="18"/>
        <v>0</v>
      </c>
      <c r="AG125" s="38"/>
      <c r="AH125" s="692">
        <f t="shared" si="23"/>
        <v>5000</v>
      </c>
      <c r="AI125" s="692">
        <f t="shared" si="24"/>
        <v>0</v>
      </c>
      <c r="AJ125" s="692">
        <f t="shared" si="25"/>
        <v>0</v>
      </c>
      <c r="AL125" s="38">
        <f t="shared" si="26"/>
        <v>3430.31</v>
      </c>
    </row>
    <row r="126" spans="1:38" s="232" customFormat="1">
      <c r="A126" s="283"/>
      <c r="B126" s="283" t="s">
        <v>109</v>
      </c>
      <c r="C126" s="667"/>
      <c r="D126" s="123" t="s">
        <v>808</v>
      </c>
      <c r="E126" s="679"/>
      <c r="F126" s="529">
        <f>VLOOKUP(D126,'May 2013 Revenue'!D:V,19,FALSE)</f>
        <v>1729.75</v>
      </c>
      <c r="G126" s="680"/>
      <c r="H126" s="680"/>
      <c r="I126" s="755"/>
      <c r="J126" s="682">
        <f>SUM(E126:I126)</f>
        <v>1729.75</v>
      </c>
      <c r="K126" s="683"/>
      <c r="L126" s="684"/>
      <c r="M126" s="753">
        <v>40000</v>
      </c>
      <c r="N126" s="683">
        <v>0</v>
      </c>
      <c r="O126" s="686"/>
      <c r="P126" s="683">
        <v>0</v>
      </c>
      <c r="Q126" s="687">
        <f t="shared" si="1"/>
        <v>40000</v>
      </c>
      <c r="R126" s="687"/>
      <c r="S126" s="687"/>
      <c r="T126" s="688">
        <f>33115.26+977.51+8702.36</f>
        <v>42795.130000000005</v>
      </c>
      <c r="U126" s="693"/>
      <c r="V126" s="690">
        <f t="shared" si="15"/>
        <v>2795.1300000000047</v>
      </c>
      <c r="W126" s="683"/>
      <c r="X126" s="474">
        <f t="shared" si="19"/>
        <v>0</v>
      </c>
      <c r="Y126" s="474">
        <f t="shared" si="20"/>
        <v>40000</v>
      </c>
      <c r="Z126" s="475">
        <f t="shared" si="21"/>
        <v>0</v>
      </c>
      <c r="AA126" s="475">
        <v>0</v>
      </c>
      <c r="AB126" s="476">
        <v>0</v>
      </c>
      <c r="AC126" s="38">
        <f t="shared" si="22"/>
        <v>0</v>
      </c>
      <c r="AD126" s="692">
        <f t="shared" si="16"/>
        <v>0</v>
      </c>
      <c r="AE126" s="692">
        <f t="shared" si="17"/>
        <v>1729.75</v>
      </c>
      <c r="AF126" s="692">
        <f t="shared" si="18"/>
        <v>0</v>
      </c>
      <c r="AG126" s="38"/>
      <c r="AH126" s="692">
        <f t="shared" si="23"/>
        <v>0</v>
      </c>
      <c r="AI126" s="692">
        <f t="shared" si="24"/>
        <v>40000</v>
      </c>
      <c r="AJ126" s="692">
        <f t="shared" si="25"/>
        <v>0</v>
      </c>
      <c r="AL126" s="38">
        <f t="shared" si="26"/>
        <v>41729.75</v>
      </c>
    </row>
    <row r="127" spans="1:38" s="232" customFormat="1">
      <c r="A127" s="403"/>
      <c r="B127" s="403" t="s">
        <v>110</v>
      </c>
      <c r="C127" s="666" t="s">
        <v>563</v>
      </c>
      <c r="D127" s="123" t="s">
        <v>867</v>
      </c>
      <c r="E127" s="679"/>
      <c r="F127" s="529">
        <f>VLOOKUP(D127,'May 2013 Revenue'!D:V,19,FALSE)</f>
        <v>0</v>
      </c>
      <c r="G127" s="680"/>
      <c r="H127" s="680"/>
      <c r="I127" s="755"/>
      <c r="J127" s="682">
        <f>SUM(E127:I127)</f>
        <v>0</v>
      </c>
      <c r="K127" s="683"/>
      <c r="L127" s="684"/>
      <c r="M127" s="753"/>
      <c r="N127" s="683">
        <v>0</v>
      </c>
      <c r="O127" s="686"/>
      <c r="P127" s="683">
        <v>0</v>
      </c>
      <c r="Q127" s="687">
        <f t="shared" si="1"/>
        <v>0</v>
      </c>
      <c r="R127" s="687"/>
      <c r="S127" s="687"/>
      <c r="T127" s="688">
        <v>0</v>
      </c>
      <c r="U127" s="693"/>
      <c r="V127" s="690">
        <f t="shared" si="15"/>
        <v>0</v>
      </c>
      <c r="W127" s="683"/>
      <c r="X127" s="474">
        <f t="shared" si="19"/>
        <v>0</v>
      </c>
      <c r="Y127" s="474">
        <f t="shared" si="20"/>
        <v>0</v>
      </c>
      <c r="Z127" s="475">
        <f t="shared" si="21"/>
        <v>0</v>
      </c>
      <c r="AA127" s="475">
        <v>0</v>
      </c>
      <c r="AB127" s="476">
        <v>0</v>
      </c>
      <c r="AC127" s="38">
        <f t="shared" si="22"/>
        <v>0</v>
      </c>
      <c r="AD127" s="692">
        <f t="shared" si="16"/>
        <v>0</v>
      </c>
      <c r="AE127" s="692">
        <f t="shared" si="17"/>
        <v>0</v>
      </c>
      <c r="AF127" s="692">
        <f t="shared" si="18"/>
        <v>0</v>
      </c>
      <c r="AG127" s="38"/>
      <c r="AH127" s="692">
        <f t="shared" si="23"/>
        <v>0</v>
      </c>
      <c r="AI127" s="692">
        <f t="shared" si="24"/>
        <v>0</v>
      </c>
      <c r="AJ127" s="692">
        <f t="shared" si="25"/>
        <v>0</v>
      </c>
      <c r="AL127" s="38">
        <f t="shared" si="26"/>
        <v>0</v>
      </c>
    </row>
    <row r="128" spans="1:38" s="232" customFormat="1">
      <c r="A128" s="283"/>
      <c r="B128" s="283" t="s">
        <v>110</v>
      </c>
      <c r="C128" s="667"/>
      <c r="D128" s="68" t="s">
        <v>488</v>
      </c>
      <c r="E128" s="679"/>
      <c r="F128" s="529">
        <f>VLOOKUP(D128,'May 2013 Revenue'!D:V,19,FALSE)</f>
        <v>0</v>
      </c>
      <c r="G128" s="680"/>
      <c r="H128" s="680"/>
      <c r="I128" s="755"/>
      <c r="J128" s="682">
        <f>SUM(E128:I128)</f>
        <v>0</v>
      </c>
      <c r="K128" s="683"/>
      <c r="L128" s="684"/>
      <c r="M128" s="753"/>
      <c r="N128" s="683">
        <v>0</v>
      </c>
      <c r="O128" s="686"/>
      <c r="P128" s="683">
        <v>0</v>
      </c>
      <c r="Q128" s="687">
        <f t="shared" si="1"/>
        <v>0</v>
      </c>
      <c r="R128" s="687"/>
      <c r="S128" s="687"/>
      <c r="T128" s="688">
        <v>0</v>
      </c>
      <c r="U128" s="693"/>
      <c r="V128" s="690">
        <f t="shared" si="15"/>
        <v>0</v>
      </c>
      <c r="W128" s="683"/>
      <c r="X128" s="474">
        <f t="shared" si="19"/>
        <v>0</v>
      </c>
      <c r="Y128" s="474">
        <f t="shared" si="20"/>
        <v>0</v>
      </c>
      <c r="Z128" s="475">
        <f t="shared" si="21"/>
        <v>0</v>
      </c>
      <c r="AA128" s="475">
        <v>0</v>
      </c>
      <c r="AB128" s="476">
        <v>0</v>
      </c>
      <c r="AC128" s="38">
        <f t="shared" si="22"/>
        <v>0</v>
      </c>
      <c r="AD128" s="692">
        <f t="shared" si="16"/>
        <v>0</v>
      </c>
      <c r="AE128" s="692">
        <f t="shared" si="17"/>
        <v>0</v>
      </c>
      <c r="AF128" s="692">
        <f t="shared" si="18"/>
        <v>0</v>
      </c>
      <c r="AG128" s="38"/>
      <c r="AH128" s="692">
        <f t="shared" si="23"/>
        <v>0</v>
      </c>
      <c r="AI128" s="692">
        <f t="shared" si="24"/>
        <v>0</v>
      </c>
      <c r="AJ128" s="692">
        <f t="shared" si="25"/>
        <v>0</v>
      </c>
      <c r="AL128" s="38">
        <f t="shared" si="26"/>
        <v>0</v>
      </c>
    </row>
    <row r="129" spans="1:38" s="232" customFormat="1">
      <c r="A129" s="283"/>
      <c r="B129" s="283" t="s">
        <v>110</v>
      </c>
      <c r="C129" s="667" t="s">
        <v>555</v>
      </c>
      <c r="D129" s="123" t="s">
        <v>192</v>
      </c>
      <c r="E129" s="679"/>
      <c r="F129" s="529">
        <f>VLOOKUP(D129,'May 2013 Revenue'!D:V,19,FALSE)</f>
        <v>-5000</v>
      </c>
      <c r="G129" s="680"/>
      <c r="H129" s="680"/>
      <c r="I129" s="755"/>
      <c r="J129" s="682">
        <f t="shared" ref="J129:J136" si="42">SUM(F129:I129)</f>
        <v>-5000</v>
      </c>
      <c r="K129" s="683"/>
      <c r="L129" s="684"/>
      <c r="M129" s="753">
        <v>10000</v>
      </c>
      <c r="N129" s="683">
        <v>0</v>
      </c>
      <c r="O129" s="686"/>
      <c r="P129" s="683">
        <v>0</v>
      </c>
      <c r="Q129" s="687">
        <f t="shared" si="1"/>
        <v>10000</v>
      </c>
      <c r="R129" s="687"/>
      <c r="S129" s="687"/>
      <c r="T129" s="688">
        <v>0</v>
      </c>
      <c r="U129" s="693"/>
      <c r="V129" s="690">
        <f t="shared" si="15"/>
        <v>-10000</v>
      </c>
      <c r="W129" s="683"/>
      <c r="X129" s="474">
        <f t="shared" si="19"/>
        <v>10000</v>
      </c>
      <c r="Y129" s="474">
        <f t="shared" si="20"/>
        <v>0</v>
      </c>
      <c r="Z129" s="475">
        <f t="shared" si="21"/>
        <v>0</v>
      </c>
      <c r="AA129" s="475">
        <v>0</v>
      </c>
      <c r="AB129" s="476">
        <v>0</v>
      </c>
      <c r="AC129" s="38">
        <f t="shared" si="22"/>
        <v>0</v>
      </c>
      <c r="AD129" s="692">
        <f t="shared" si="16"/>
        <v>-5000</v>
      </c>
      <c r="AE129" s="692">
        <f t="shared" si="17"/>
        <v>0</v>
      </c>
      <c r="AF129" s="692">
        <f t="shared" si="18"/>
        <v>0</v>
      </c>
      <c r="AG129" s="38"/>
      <c r="AH129" s="692">
        <f t="shared" si="23"/>
        <v>10000</v>
      </c>
      <c r="AI129" s="692">
        <f t="shared" si="24"/>
        <v>0</v>
      </c>
      <c r="AJ129" s="692">
        <f t="shared" si="25"/>
        <v>0</v>
      </c>
      <c r="AL129" s="38">
        <f t="shared" si="26"/>
        <v>5000</v>
      </c>
    </row>
    <row r="130" spans="1:38" s="232" customFormat="1" hidden="1">
      <c r="A130" s="283"/>
      <c r="B130" s="283" t="s">
        <v>110</v>
      </c>
      <c r="C130" s="667" t="s">
        <v>555</v>
      </c>
      <c r="D130" s="123" t="s">
        <v>193</v>
      </c>
      <c r="E130" s="679"/>
      <c r="F130" s="529">
        <f>VLOOKUP(D130,'May 2013 Revenue'!D:V,19,FALSE)</f>
        <v>0</v>
      </c>
      <c r="G130" s="680"/>
      <c r="H130" s="680"/>
      <c r="I130" s="755"/>
      <c r="J130" s="682">
        <f t="shared" si="42"/>
        <v>0</v>
      </c>
      <c r="K130" s="683"/>
      <c r="L130" s="684"/>
      <c r="M130" s="753"/>
      <c r="N130" s="683">
        <v>0</v>
      </c>
      <c r="O130" s="686"/>
      <c r="P130" s="683">
        <v>0</v>
      </c>
      <c r="Q130" s="687">
        <f t="shared" si="1"/>
        <v>0</v>
      </c>
      <c r="R130" s="687"/>
      <c r="S130" s="687"/>
      <c r="T130" s="688">
        <v>0</v>
      </c>
      <c r="U130" s="693"/>
      <c r="V130" s="690">
        <f t="shared" si="15"/>
        <v>0</v>
      </c>
      <c r="W130" s="683"/>
      <c r="X130" s="474">
        <f t="shared" si="19"/>
        <v>0</v>
      </c>
      <c r="Y130" s="474">
        <f t="shared" si="20"/>
        <v>0</v>
      </c>
      <c r="Z130" s="475">
        <f t="shared" si="21"/>
        <v>0</v>
      </c>
      <c r="AA130" s="475">
        <v>0</v>
      </c>
      <c r="AB130" s="476">
        <v>0</v>
      </c>
      <c r="AC130" s="38">
        <f t="shared" si="22"/>
        <v>0</v>
      </c>
      <c r="AD130" s="692">
        <f t="shared" si="16"/>
        <v>0</v>
      </c>
      <c r="AE130" s="692">
        <f t="shared" si="17"/>
        <v>0</v>
      </c>
      <c r="AF130" s="692">
        <f t="shared" si="18"/>
        <v>0</v>
      </c>
      <c r="AG130" s="38"/>
      <c r="AH130" s="692">
        <f t="shared" si="23"/>
        <v>0</v>
      </c>
      <c r="AI130" s="692">
        <f t="shared" si="24"/>
        <v>0</v>
      </c>
      <c r="AJ130" s="692">
        <f t="shared" si="25"/>
        <v>0</v>
      </c>
      <c r="AL130" s="38">
        <f t="shared" si="26"/>
        <v>0</v>
      </c>
    </row>
    <row r="131" spans="1:38" s="232" customFormat="1" hidden="1">
      <c r="A131" s="283"/>
      <c r="B131" s="283" t="s">
        <v>110</v>
      </c>
      <c r="C131" s="667" t="s">
        <v>555</v>
      </c>
      <c r="D131" s="123" t="s">
        <v>194</v>
      </c>
      <c r="E131" s="679"/>
      <c r="F131" s="529">
        <f>VLOOKUP(D131,'May 2013 Revenue'!D:V,19,FALSE)</f>
        <v>0</v>
      </c>
      <c r="G131" s="680"/>
      <c r="H131" s="680"/>
      <c r="I131" s="755"/>
      <c r="J131" s="682">
        <f t="shared" si="42"/>
        <v>0</v>
      </c>
      <c r="K131" s="683"/>
      <c r="L131" s="684"/>
      <c r="M131" s="753"/>
      <c r="N131" s="683">
        <v>0</v>
      </c>
      <c r="O131" s="686"/>
      <c r="P131" s="683">
        <v>0</v>
      </c>
      <c r="Q131" s="687">
        <f t="shared" si="1"/>
        <v>0</v>
      </c>
      <c r="R131" s="687"/>
      <c r="S131" s="687"/>
      <c r="T131" s="688">
        <v>0</v>
      </c>
      <c r="U131" s="693"/>
      <c r="V131" s="690">
        <f t="shared" si="15"/>
        <v>0</v>
      </c>
      <c r="W131" s="683"/>
      <c r="X131" s="474">
        <f t="shared" si="19"/>
        <v>0</v>
      </c>
      <c r="Y131" s="474">
        <f t="shared" si="20"/>
        <v>0</v>
      </c>
      <c r="Z131" s="475">
        <f t="shared" si="21"/>
        <v>0</v>
      </c>
      <c r="AA131" s="475">
        <v>0</v>
      </c>
      <c r="AB131" s="476">
        <v>0</v>
      </c>
      <c r="AC131" s="38">
        <f t="shared" si="22"/>
        <v>0</v>
      </c>
      <c r="AD131" s="692">
        <f t="shared" si="16"/>
        <v>0</v>
      </c>
      <c r="AE131" s="692">
        <f t="shared" si="17"/>
        <v>0</v>
      </c>
      <c r="AF131" s="692">
        <f t="shared" si="18"/>
        <v>0</v>
      </c>
      <c r="AG131" s="38"/>
      <c r="AH131" s="692">
        <f t="shared" si="23"/>
        <v>0</v>
      </c>
      <c r="AI131" s="692">
        <f t="shared" si="24"/>
        <v>0</v>
      </c>
      <c r="AJ131" s="692">
        <f t="shared" si="25"/>
        <v>0</v>
      </c>
      <c r="AL131" s="38">
        <f t="shared" si="26"/>
        <v>0</v>
      </c>
    </row>
    <row r="132" spans="1:38" s="232" customFormat="1" hidden="1">
      <c r="A132" s="283"/>
      <c r="B132" s="283" t="s">
        <v>110</v>
      </c>
      <c r="C132" s="667" t="s">
        <v>555</v>
      </c>
      <c r="D132" s="123" t="s">
        <v>195</v>
      </c>
      <c r="E132" s="679"/>
      <c r="F132" s="529">
        <f>VLOOKUP(D132,'May 2013 Revenue'!D:V,19,FALSE)</f>
        <v>0</v>
      </c>
      <c r="G132" s="680"/>
      <c r="H132" s="680"/>
      <c r="I132" s="755"/>
      <c r="J132" s="682">
        <f t="shared" si="42"/>
        <v>0</v>
      </c>
      <c r="K132" s="683"/>
      <c r="L132" s="684"/>
      <c r="M132" s="753"/>
      <c r="N132" s="683">
        <v>0</v>
      </c>
      <c r="O132" s="686"/>
      <c r="P132" s="683">
        <v>0</v>
      </c>
      <c r="Q132" s="687">
        <f t="shared" si="1"/>
        <v>0</v>
      </c>
      <c r="R132" s="687"/>
      <c r="S132" s="687"/>
      <c r="T132" s="688">
        <v>0</v>
      </c>
      <c r="U132" s="693"/>
      <c r="V132" s="690">
        <f t="shared" si="15"/>
        <v>0</v>
      </c>
      <c r="W132" s="683"/>
      <c r="X132" s="474">
        <f t="shared" si="19"/>
        <v>0</v>
      </c>
      <c r="Y132" s="474">
        <f t="shared" si="20"/>
        <v>0</v>
      </c>
      <c r="Z132" s="475">
        <f t="shared" si="21"/>
        <v>0</v>
      </c>
      <c r="AA132" s="475">
        <v>0</v>
      </c>
      <c r="AB132" s="476">
        <v>0</v>
      </c>
      <c r="AC132" s="38">
        <f t="shared" si="22"/>
        <v>0</v>
      </c>
      <c r="AD132" s="692">
        <f t="shared" si="16"/>
        <v>0</v>
      </c>
      <c r="AE132" s="692">
        <f t="shared" si="17"/>
        <v>0</v>
      </c>
      <c r="AF132" s="692">
        <f t="shared" si="18"/>
        <v>0</v>
      </c>
      <c r="AG132" s="38"/>
      <c r="AH132" s="692">
        <f t="shared" si="23"/>
        <v>0</v>
      </c>
      <c r="AI132" s="692">
        <f t="shared" si="24"/>
        <v>0</v>
      </c>
      <c r="AJ132" s="692">
        <f t="shared" si="25"/>
        <v>0</v>
      </c>
      <c r="AL132" s="38">
        <f t="shared" si="26"/>
        <v>0</v>
      </c>
    </row>
    <row r="133" spans="1:38" s="232" customFormat="1" hidden="1">
      <c r="A133" s="283"/>
      <c r="B133" s="283" t="s">
        <v>110</v>
      </c>
      <c r="C133" s="667" t="s">
        <v>555</v>
      </c>
      <c r="D133" s="123" t="s">
        <v>196</v>
      </c>
      <c r="E133" s="679"/>
      <c r="F133" s="529">
        <f>VLOOKUP(D133,'May 2013 Revenue'!D:V,19,FALSE)</f>
        <v>0</v>
      </c>
      <c r="G133" s="680"/>
      <c r="H133" s="680"/>
      <c r="I133" s="755"/>
      <c r="J133" s="682">
        <f t="shared" si="42"/>
        <v>0</v>
      </c>
      <c r="K133" s="683"/>
      <c r="L133" s="684"/>
      <c r="M133" s="753"/>
      <c r="N133" s="683">
        <v>0</v>
      </c>
      <c r="O133" s="686"/>
      <c r="P133" s="683">
        <v>0</v>
      </c>
      <c r="Q133" s="687">
        <f t="shared" si="1"/>
        <v>0</v>
      </c>
      <c r="R133" s="687"/>
      <c r="S133" s="687"/>
      <c r="T133" s="688">
        <v>0</v>
      </c>
      <c r="U133" s="693"/>
      <c r="V133" s="690">
        <f t="shared" si="15"/>
        <v>0</v>
      </c>
      <c r="W133" s="683"/>
      <c r="X133" s="474">
        <f t="shared" si="19"/>
        <v>0</v>
      </c>
      <c r="Y133" s="474">
        <f t="shared" si="20"/>
        <v>0</v>
      </c>
      <c r="Z133" s="475">
        <f t="shared" si="21"/>
        <v>0</v>
      </c>
      <c r="AA133" s="475">
        <v>0</v>
      </c>
      <c r="AB133" s="476">
        <v>0</v>
      </c>
      <c r="AC133" s="38">
        <f t="shared" si="22"/>
        <v>0</v>
      </c>
      <c r="AD133" s="692">
        <f t="shared" si="16"/>
        <v>0</v>
      </c>
      <c r="AE133" s="692">
        <f t="shared" si="17"/>
        <v>0</v>
      </c>
      <c r="AF133" s="692">
        <f t="shared" si="18"/>
        <v>0</v>
      </c>
      <c r="AG133" s="38"/>
      <c r="AH133" s="692">
        <f t="shared" si="23"/>
        <v>0</v>
      </c>
      <c r="AI133" s="692">
        <f t="shared" si="24"/>
        <v>0</v>
      </c>
      <c r="AJ133" s="692">
        <f t="shared" si="25"/>
        <v>0</v>
      </c>
      <c r="AL133" s="38">
        <f t="shared" si="26"/>
        <v>0</v>
      </c>
    </row>
    <row r="134" spans="1:38" s="232" customFormat="1" hidden="1">
      <c r="A134" s="283"/>
      <c r="B134" s="283" t="s">
        <v>110</v>
      </c>
      <c r="C134" s="667" t="s">
        <v>555</v>
      </c>
      <c r="D134" s="123" t="s">
        <v>197</v>
      </c>
      <c r="E134" s="679"/>
      <c r="F134" s="529">
        <f>VLOOKUP(D134,'May 2013 Revenue'!D:V,19,FALSE)</f>
        <v>0</v>
      </c>
      <c r="G134" s="680"/>
      <c r="H134" s="680"/>
      <c r="I134" s="755"/>
      <c r="J134" s="682">
        <f t="shared" si="42"/>
        <v>0</v>
      </c>
      <c r="K134" s="683"/>
      <c r="L134" s="684"/>
      <c r="M134" s="753"/>
      <c r="N134" s="683">
        <v>0</v>
      </c>
      <c r="O134" s="686"/>
      <c r="P134" s="683">
        <v>0</v>
      </c>
      <c r="Q134" s="687">
        <f t="shared" si="1"/>
        <v>0</v>
      </c>
      <c r="R134" s="687"/>
      <c r="S134" s="687"/>
      <c r="T134" s="688">
        <v>0</v>
      </c>
      <c r="U134" s="693"/>
      <c r="V134" s="690">
        <f t="shared" si="15"/>
        <v>0</v>
      </c>
      <c r="W134" s="683"/>
      <c r="X134" s="474">
        <f t="shared" si="19"/>
        <v>0</v>
      </c>
      <c r="Y134" s="474">
        <f t="shared" si="20"/>
        <v>0</v>
      </c>
      <c r="Z134" s="475">
        <f t="shared" si="21"/>
        <v>0</v>
      </c>
      <c r="AA134" s="475">
        <v>0</v>
      </c>
      <c r="AB134" s="476">
        <v>0</v>
      </c>
      <c r="AC134" s="38">
        <f t="shared" si="22"/>
        <v>0</v>
      </c>
      <c r="AD134" s="692">
        <f t="shared" si="16"/>
        <v>0</v>
      </c>
      <c r="AE134" s="692">
        <f t="shared" si="17"/>
        <v>0</v>
      </c>
      <c r="AF134" s="692">
        <f t="shared" si="18"/>
        <v>0</v>
      </c>
      <c r="AG134" s="38"/>
      <c r="AH134" s="692">
        <f t="shared" si="23"/>
        <v>0</v>
      </c>
      <c r="AI134" s="692">
        <f t="shared" si="24"/>
        <v>0</v>
      </c>
      <c r="AJ134" s="692">
        <f t="shared" si="25"/>
        <v>0</v>
      </c>
      <c r="AL134" s="38">
        <f t="shared" si="26"/>
        <v>0</v>
      </c>
    </row>
    <row r="135" spans="1:38" s="232" customFormat="1" hidden="1">
      <c r="A135" s="283"/>
      <c r="B135" s="283" t="s">
        <v>110</v>
      </c>
      <c r="C135" s="667" t="s">
        <v>555</v>
      </c>
      <c r="D135" s="123" t="s">
        <v>440</v>
      </c>
      <c r="E135" s="679"/>
      <c r="F135" s="529">
        <f>VLOOKUP(D135,'May 2013 Revenue'!D:V,19,FALSE)</f>
        <v>0</v>
      </c>
      <c r="G135" s="680"/>
      <c r="H135" s="680"/>
      <c r="I135" s="755"/>
      <c r="J135" s="682">
        <f t="shared" si="42"/>
        <v>0</v>
      </c>
      <c r="K135" s="683"/>
      <c r="L135" s="684"/>
      <c r="M135" s="753"/>
      <c r="N135" s="683">
        <v>0</v>
      </c>
      <c r="O135" s="686"/>
      <c r="P135" s="683">
        <v>0</v>
      </c>
      <c r="Q135" s="687">
        <f t="shared" si="1"/>
        <v>0</v>
      </c>
      <c r="R135" s="687"/>
      <c r="S135" s="687"/>
      <c r="T135" s="688">
        <v>0</v>
      </c>
      <c r="U135" s="693"/>
      <c r="V135" s="690">
        <f t="shared" si="15"/>
        <v>0</v>
      </c>
      <c r="W135" s="683"/>
      <c r="X135" s="474">
        <f t="shared" si="19"/>
        <v>0</v>
      </c>
      <c r="Y135" s="474">
        <f t="shared" si="20"/>
        <v>0</v>
      </c>
      <c r="Z135" s="475">
        <f t="shared" si="21"/>
        <v>0</v>
      </c>
      <c r="AA135" s="475">
        <v>0</v>
      </c>
      <c r="AB135" s="476">
        <v>0</v>
      </c>
      <c r="AC135" s="38">
        <f t="shared" si="22"/>
        <v>0</v>
      </c>
      <c r="AD135" s="692">
        <f t="shared" si="16"/>
        <v>0</v>
      </c>
      <c r="AE135" s="692">
        <f t="shared" si="17"/>
        <v>0</v>
      </c>
      <c r="AF135" s="692">
        <f t="shared" si="18"/>
        <v>0</v>
      </c>
      <c r="AG135" s="38"/>
      <c r="AH135" s="692">
        <f t="shared" si="23"/>
        <v>0</v>
      </c>
      <c r="AI135" s="692">
        <f t="shared" si="24"/>
        <v>0</v>
      </c>
      <c r="AJ135" s="692">
        <f t="shared" si="25"/>
        <v>0</v>
      </c>
      <c r="AL135" s="38">
        <f t="shared" si="26"/>
        <v>0</v>
      </c>
    </row>
    <row r="136" spans="1:38" s="232" customFormat="1">
      <c r="A136" s="283"/>
      <c r="B136" s="283" t="s">
        <v>110</v>
      </c>
      <c r="C136" s="667" t="s">
        <v>555</v>
      </c>
      <c r="D136" s="123" t="s">
        <v>481</v>
      </c>
      <c r="E136" s="679"/>
      <c r="F136" s="529">
        <f>VLOOKUP(D136,'May 2013 Revenue'!D:V,19,FALSE)</f>
        <v>0</v>
      </c>
      <c r="G136" s="680"/>
      <c r="H136" s="680"/>
      <c r="I136" s="755"/>
      <c r="J136" s="682">
        <f t="shared" si="42"/>
        <v>0</v>
      </c>
      <c r="K136" s="683"/>
      <c r="L136" s="684"/>
      <c r="M136" s="753"/>
      <c r="N136" s="683">
        <v>0</v>
      </c>
      <c r="O136" s="686"/>
      <c r="P136" s="683">
        <v>0</v>
      </c>
      <c r="Q136" s="687">
        <f t="shared" si="1"/>
        <v>0</v>
      </c>
      <c r="R136" s="687"/>
      <c r="S136" s="687"/>
      <c r="T136" s="688">
        <v>0</v>
      </c>
      <c r="U136" s="693"/>
      <c r="V136" s="690">
        <f t="shared" si="15"/>
        <v>0</v>
      </c>
      <c r="W136" s="683"/>
      <c r="X136" s="474">
        <f t="shared" si="19"/>
        <v>0</v>
      </c>
      <c r="Y136" s="474">
        <f t="shared" si="20"/>
        <v>0</v>
      </c>
      <c r="Z136" s="475">
        <f t="shared" si="21"/>
        <v>0</v>
      </c>
      <c r="AA136" s="475">
        <v>0</v>
      </c>
      <c r="AB136" s="476">
        <v>0</v>
      </c>
      <c r="AC136" s="38">
        <f t="shared" si="22"/>
        <v>0</v>
      </c>
      <c r="AD136" s="692">
        <f t="shared" si="16"/>
        <v>0</v>
      </c>
      <c r="AE136" s="692">
        <f t="shared" si="17"/>
        <v>0</v>
      </c>
      <c r="AF136" s="692">
        <f t="shared" si="18"/>
        <v>0</v>
      </c>
      <c r="AG136" s="38"/>
      <c r="AH136" s="692">
        <f t="shared" si="23"/>
        <v>0</v>
      </c>
      <c r="AI136" s="692">
        <f t="shared" si="24"/>
        <v>0</v>
      </c>
      <c r="AJ136" s="692">
        <f t="shared" si="25"/>
        <v>0</v>
      </c>
      <c r="AL136" s="38">
        <f t="shared" si="26"/>
        <v>0</v>
      </c>
    </row>
    <row r="137" spans="1:38" s="232" customFormat="1">
      <c r="A137" s="283"/>
      <c r="B137" s="283" t="s">
        <v>109</v>
      </c>
      <c r="C137" s="667" t="s">
        <v>555</v>
      </c>
      <c r="D137" s="123" t="s">
        <v>248</v>
      </c>
      <c r="E137" s="679"/>
      <c r="F137" s="529">
        <f>VLOOKUP(D137,'May 2013 Revenue'!D:V,19,FALSE)</f>
        <v>0</v>
      </c>
      <c r="G137" s="680"/>
      <c r="H137" s="680"/>
      <c r="I137" s="755"/>
      <c r="J137" s="682">
        <f t="shared" ref="J137:J200" si="43">SUM(E137:I137)</f>
        <v>0</v>
      </c>
      <c r="K137" s="683"/>
      <c r="L137" s="684"/>
      <c r="M137" s="753"/>
      <c r="N137" s="683">
        <v>0</v>
      </c>
      <c r="O137" s="686"/>
      <c r="P137" s="683">
        <v>0</v>
      </c>
      <c r="Q137" s="687">
        <f t="shared" si="1"/>
        <v>0</v>
      </c>
      <c r="R137" s="687"/>
      <c r="S137" s="687"/>
      <c r="T137" s="688">
        <v>0</v>
      </c>
      <c r="U137" s="693"/>
      <c r="V137" s="690">
        <f t="shared" si="15"/>
        <v>0</v>
      </c>
      <c r="W137" s="683"/>
      <c r="X137" s="474">
        <f t="shared" si="19"/>
        <v>0</v>
      </c>
      <c r="Y137" s="474">
        <f t="shared" si="20"/>
        <v>0</v>
      </c>
      <c r="Z137" s="475">
        <f t="shared" si="21"/>
        <v>0</v>
      </c>
      <c r="AA137" s="475">
        <v>0</v>
      </c>
      <c r="AB137" s="476">
        <v>0</v>
      </c>
      <c r="AC137" s="38">
        <f t="shared" si="22"/>
        <v>0</v>
      </c>
      <c r="AD137" s="692">
        <f t="shared" si="16"/>
        <v>0</v>
      </c>
      <c r="AE137" s="692">
        <f t="shared" si="17"/>
        <v>0</v>
      </c>
      <c r="AF137" s="692">
        <f t="shared" si="18"/>
        <v>0</v>
      </c>
      <c r="AG137" s="38"/>
      <c r="AH137" s="692">
        <f t="shared" si="23"/>
        <v>0</v>
      </c>
      <c r="AI137" s="692">
        <f t="shared" si="24"/>
        <v>0</v>
      </c>
      <c r="AJ137" s="692">
        <f t="shared" si="25"/>
        <v>0</v>
      </c>
      <c r="AL137" s="38">
        <f t="shared" si="26"/>
        <v>0</v>
      </c>
    </row>
    <row r="138" spans="1:38" s="232" customFormat="1">
      <c r="A138" s="283"/>
      <c r="B138" s="20" t="s">
        <v>109</v>
      </c>
      <c r="C138" s="667"/>
      <c r="D138" s="68" t="s">
        <v>465</v>
      </c>
      <c r="E138" s="679"/>
      <c r="F138" s="529">
        <f>VLOOKUP(D138,'May 2013 Revenue'!D:V,19,FALSE)</f>
        <v>-5000</v>
      </c>
      <c r="G138" s="680"/>
      <c r="H138" s="680"/>
      <c r="I138" s="755"/>
      <c r="J138" s="682">
        <f t="shared" si="43"/>
        <v>-5000</v>
      </c>
      <c r="K138" s="683"/>
      <c r="L138" s="684"/>
      <c r="M138" s="753">
        <v>8000</v>
      </c>
      <c r="N138" s="683">
        <v>0</v>
      </c>
      <c r="O138" s="686"/>
      <c r="P138" s="683">
        <v>0</v>
      </c>
      <c r="Q138" s="687">
        <f t="shared" si="1"/>
        <v>8000</v>
      </c>
      <c r="R138" s="687"/>
      <c r="S138" s="687"/>
      <c r="T138" s="688">
        <v>0</v>
      </c>
      <c r="U138" s="693"/>
      <c r="V138" s="690">
        <f t="shared" si="15"/>
        <v>-8000</v>
      </c>
      <c r="W138" s="683"/>
      <c r="X138" s="474">
        <f t="shared" si="19"/>
        <v>0</v>
      </c>
      <c r="Y138" s="474">
        <f t="shared" si="20"/>
        <v>8000</v>
      </c>
      <c r="Z138" s="475">
        <f t="shared" si="21"/>
        <v>0</v>
      </c>
      <c r="AA138" s="475">
        <v>0</v>
      </c>
      <c r="AB138" s="476">
        <v>0</v>
      </c>
      <c r="AC138" s="38">
        <f t="shared" si="22"/>
        <v>0</v>
      </c>
      <c r="AD138" s="692">
        <f t="shared" si="16"/>
        <v>0</v>
      </c>
      <c r="AE138" s="692">
        <f t="shared" si="17"/>
        <v>-5000</v>
      </c>
      <c r="AF138" s="692">
        <f t="shared" si="18"/>
        <v>0</v>
      </c>
      <c r="AG138" s="38"/>
      <c r="AH138" s="692">
        <f t="shared" si="23"/>
        <v>0</v>
      </c>
      <c r="AI138" s="692">
        <f t="shared" si="24"/>
        <v>8000</v>
      </c>
      <c r="AJ138" s="692">
        <f t="shared" si="25"/>
        <v>0</v>
      </c>
      <c r="AL138" s="38">
        <f t="shared" si="26"/>
        <v>3000</v>
      </c>
    </row>
    <row r="139" spans="1:38">
      <c r="A139" s="21"/>
      <c r="B139" s="21" t="s">
        <v>110</v>
      </c>
      <c r="C139" s="666" t="s">
        <v>556</v>
      </c>
      <c r="D139" s="68" t="s">
        <v>261</v>
      </c>
      <c r="E139" s="679"/>
      <c r="F139" s="529">
        <f>VLOOKUP(D139,'May 2013 Revenue'!D:V,19,FALSE)</f>
        <v>-14374.489999999991</v>
      </c>
      <c r="G139" s="680"/>
      <c r="H139" s="680"/>
      <c r="I139" s="755"/>
      <c r="J139" s="682">
        <f t="shared" si="43"/>
        <v>-14374.489999999991</v>
      </c>
      <c r="K139" s="683"/>
      <c r="L139" s="684"/>
      <c r="M139" s="753">
        <v>280000</v>
      </c>
      <c r="N139" s="683">
        <v>0</v>
      </c>
      <c r="O139" s="686"/>
      <c r="P139" s="683">
        <v>0</v>
      </c>
      <c r="Q139" s="687">
        <f t="shared" si="1"/>
        <v>280000</v>
      </c>
      <c r="R139" s="687"/>
      <c r="S139" s="687"/>
      <c r="T139" s="688">
        <f>287331.56-T140</f>
        <v>268466.74</v>
      </c>
      <c r="U139" s="693"/>
      <c r="V139" s="690">
        <f t="shared" si="15"/>
        <v>-11533.260000000009</v>
      </c>
      <c r="W139" s="683"/>
      <c r="X139" s="474">
        <f t="shared" si="19"/>
        <v>280000</v>
      </c>
      <c r="Y139" s="474">
        <f t="shared" si="20"/>
        <v>0</v>
      </c>
      <c r="Z139" s="475">
        <f t="shared" si="21"/>
        <v>0</v>
      </c>
      <c r="AA139" s="475">
        <v>0</v>
      </c>
      <c r="AB139" s="476">
        <v>0</v>
      </c>
      <c r="AC139" s="38">
        <f t="shared" si="22"/>
        <v>0</v>
      </c>
      <c r="AD139" s="692">
        <f t="shared" si="16"/>
        <v>-14374.489999999991</v>
      </c>
      <c r="AE139" s="692">
        <f t="shared" si="17"/>
        <v>0</v>
      </c>
      <c r="AF139" s="692">
        <f t="shared" si="18"/>
        <v>0</v>
      </c>
      <c r="AG139" s="38"/>
      <c r="AH139" s="692">
        <f t="shared" si="23"/>
        <v>280000</v>
      </c>
      <c r="AI139" s="692">
        <f t="shared" si="24"/>
        <v>0</v>
      </c>
      <c r="AJ139" s="692">
        <f t="shared" si="25"/>
        <v>0</v>
      </c>
      <c r="AL139" s="38">
        <f t="shared" si="26"/>
        <v>265625.51</v>
      </c>
    </row>
    <row r="140" spans="1:38" s="269" customFormat="1">
      <c r="A140" s="21"/>
      <c r="B140" s="21" t="s">
        <v>110</v>
      </c>
      <c r="C140" s="666" t="s">
        <v>556</v>
      </c>
      <c r="D140" s="68" t="s">
        <v>262</v>
      </c>
      <c r="E140" s="679"/>
      <c r="F140" s="529">
        <f>VLOOKUP(D140,'May 2013 Revenue'!D:V,19,FALSE)</f>
        <v>-1554.0699999999997</v>
      </c>
      <c r="G140" s="680"/>
      <c r="H140" s="680"/>
      <c r="I140" s="755"/>
      <c r="J140" s="682">
        <f t="shared" si="43"/>
        <v>-1554.0699999999997</v>
      </c>
      <c r="K140" s="683"/>
      <c r="L140" s="684"/>
      <c r="M140" s="753">
        <v>20000</v>
      </c>
      <c r="N140" s="683">
        <v>0</v>
      </c>
      <c r="O140" s="686"/>
      <c r="P140" s="683">
        <v>0</v>
      </c>
      <c r="Q140" s="687">
        <f t="shared" si="1"/>
        <v>20000</v>
      </c>
      <c r="R140" s="687"/>
      <c r="S140" s="687"/>
      <c r="T140" s="688">
        <v>18864.82</v>
      </c>
      <c r="U140" s="693"/>
      <c r="V140" s="690">
        <f t="shared" si="15"/>
        <v>-1135.1800000000003</v>
      </c>
      <c r="W140" s="683"/>
      <c r="X140" s="474">
        <f t="shared" si="19"/>
        <v>20000</v>
      </c>
      <c r="Y140" s="474">
        <f t="shared" si="20"/>
        <v>0</v>
      </c>
      <c r="Z140" s="475">
        <f t="shared" si="21"/>
        <v>0</v>
      </c>
      <c r="AA140" s="475">
        <v>0</v>
      </c>
      <c r="AB140" s="476">
        <v>0</v>
      </c>
      <c r="AC140" s="38">
        <f t="shared" si="22"/>
        <v>0</v>
      </c>
      <c r="AD140" s="692">
        <f t="shared" si="16"/>
        <v>-1554.0699999999997</v>
      </c>
      <c r="AE140" s="692">
        <f t="shared" si="17"/>
        <v>0</v>
      </c>
      <c r="AF140" s="692">
        <f t="shared" si="18"/>
        <v>0</v>
      </c>
      <c r="AG140" s="38"/>
      <c r="AH140" s="692">
        <f t="shared" si="23"/>
        <v>20000</v>
      </c>
      <c r="AI140" s="692">
        <f t="shared" si="24"/>
        <v>0</v>
      </c>
      <c r="AJ140" s="692">
        <f t="shared" si="25"/>
        <v>0</v>
      </c>
      <c r="AL140" s="38">
        <f t="shared" si="26"/>
        <v>18445.93</v>
      </c>
    </row>
    <row r="141" spans="1:38" s="269" customFormat="1">
      <c r="A141" s="21"/>
      <c r="B141" s="21" t="s">
        <v>114</v>
      </c>
      <c r="C141" s="675" t="s">
        <v>619</v>
      </c>
      <c r="D141" s="68" t="s">
        <v>626</v>
      </c>
      <c r="E141" s="679"/>
      <c r="F141" s="529">
        <f>VLOOKUP(D141,'May 2013 Revenue'!D:V,19,FALSE)</f>
        <v>0</v>
      </c>
      <c r="G141" s="680"/>
      <c r="H141" s="680"/>
      <c r="I141" s="770">
        <v>4631.54</v>
      </c>
      <c r="J141" s="682">
        <f t="shared" si="43"/>
        <v>4631.54</v>
      </c>
      <c r="K141" s="683"/>
      <c r="L141" s="684"/>
      <c r="M141" s="753"/>
      <c r="N141" s="683">
        <v>0</v>
      </c>
      <c r="O141" s="686"/>
      <c r="P141" s="683">
        <v>0</v>
      </c>
      <c r="Q141" s="687">
        <f t="shared" ref="Q141:Q207" si="44">L141+M141</f>
        <v>0</v>
      </c>
      <c r="R141" s="687"/>
      <c r="S141" s="687"/>
      <c r="T141" s="688">
        <v>0</v>
      </c>
      <c r="U141" s="693"/>
      <c r="V141" s="690">
        <f t="shared" si="15"/>
        <v>0</v>
      </c>
      <c r="W141" s="683"/>
      <c r="X141" s="474">
        <f t="shared" si="19"/>
        <v>0</v>
      </c>
      <c r="Y141" s="474">
        <f t="shared" si="20"/>
        <v>0</v>
      </c>
      <c r="Z141" s="475">
        <f t="shared" si="21"/>
        <v>0</v>
      </c>
      <c r="AA141" s="475">
        <v>0</v>
      </c>
      <c r="AB141" s="476">
        <v>0</v>
      </c>
      <c r="AC141" s="38">
        <f t="shared" si="22"/>
        <v>0</v>
      </c>
      <c r="AD141" s="692">
        <f t="shared" si="16"/>
        <v>0</v>
      </c>
      <c r="AE141" s="692">
        <f t="shared" si="17"/>
        <v>0</v>
      </c>
      <c r="AF141" s="692">
        <f t="shared" si="18"/>
        <v>4631.54</v>
      </c>
      <c r="AG141" s="38"/>
      <c r="AH141" s="692">
        <f t="shared" si="23"/>
        <v>0</v>
      </c>
      <c r="AI141" s="692">
        <f t="shared" si="24"/>
        <v>0</v>
      </c>
      <c r="AJ141" s="692">
        <f t="shared" si="25"/>
        <v>0</v>
      </c>
      <c r="AL141" s="38">
        <f t="shared" si="26"/>
        <v>4631.54</v>
      </c>
    </row>
    <row r="142" spans="1:38">
      <c r="A142" s="21"/>
      <c r="B142" s="21" t="s">
        <v>109</v>
      </c>
      <c r="C142" s="666"/>
      <c r="D142" s="68" t="s">
        <v>396</v>
      </c>
      <c r="E142" s="679"/>
      <c r="F142" s="529">
        <f>VLOOKUP(D142,'May 2013 Revenue'!D:V,19,FALSE)</f>
        <v>0</v>
      </c>
      <c r="G142" s="680"/>
      <c r="H142" s="680"/>
      <c r="I142" s="755"/>
      <c r="J142" s="682">
        <f t="shared" si="43"/>
        <v>0</v>
      </c>
      <c r="K142" s="683"/>
      <c r="L142" s="684"/>
      <c r="M142" s="753"/>
      <c r="N142" s="683">
        <v>0</v>
      </c>
      <c r="O142" s="686"/>
      <c r="P142" s="683">
        <v>0</v>
      </c>
      <c r="Q142" s="687">
        <f t="shared" si="44"/>
        <v>0</v>
      </c>
      <c r="R142" s="687"/>
      <c r="S142" s="687"/>
      <c r="T142" s="688">
        <v>0</v>
      </c>
      <c r="U142" s="693"/>
      <c r="V142" s="690">
        <f t="shared" si="15"/>
        <v>0</v>
      </c>
      <c r="W142" s="683"/>
      <c r="X142" s="474">
        <f t="shared" si="19"/>
        <v>0</v>
      </c>
      <c r="Y142" s="474">
        <f t="shared" si="20"/>
        <v>0</v>
      </c>
      <c r="Z142" s="475">
        <f t="shared" si="21"/>
        <v>0</v>
      </c>
      <c r="AA142" s="475">
        <v>0</v>
      </c>
      <c r="AB142" s="476">
        <v>0</v>
      </c>
      <c r="AC142" s="38">
        <f t="shared" si="22"/>
        <v>0</v>
      </c>
      <c r="AD142" s="692">
        <f t="shared" si="16"/>
        <v>0</v>
      </c>
      <c r="AE142" s="692">
        <f t="shared" si="17"/>
        <v>0</v>
      </c>
      <c r="AF142" s="692">
        <f t="shared" si="18"/>
        <v>0</v>
      </c>
      <c r="AG142" s="38"/>
      <c r="AH142" s="692">
        <f t="shared" si="23"/>
        <v>0</v>
      </c>
      <c r="AI142" s="692">
        <f t="shared" si="24"/>
        <v>0</v>
      </c>
      <c r="AJ142" s="692">
        <f t="shared" si="25"/>
        <v>0</v>
      </c>
      <c r="AL142" s="38">
        <f t="shared" si="26"/>
        <v>0</v>
      </c>
    </row>
    <row r="143" spans="1:38">
      <c r="A143" s="20"/>
      <c r="B143" s="20" t="s">
        <v>109</v>
      </c>
      <c r="C143" s="667" t="s">
        <v>557</v>
      </c>
      <c r="D143" s="68" t="s">
        <v>32</v>
      </c>
      <c r="E143" s="679"/>
      <c r="F143" s="529">
        <f>VLOOKUP(D143,'May 2013 Revenue'!D:V,19,FALSE)</f>
        <v>0</v>
      </c>
      <c r="G143" s="680"/>
      <c r="H143" s="680"/>
      <c r="I143" s="755"/>
      <c r="J143" s="682">
        <f t="shared" si="43"/>
        <v>0</v>
      </c>
      <c r="K143" s="683"/>
      <c r="L143" s="684"/>
      <c r="M143" s="753"/>
      <c r="N143" s="683">
        <v>0</v>
      </c>
      <c r="O143" s="686"/>
      <c r="P143" s="683">
        <v>0</v>
      </c>
      <c r="Q143" s="687">
        <f t="shared" si="44"/>
        <v>0</v>
      </c>
      <c r="R143" s="687"/>
      <c r="S143" s="687"/>
      <c r="T143" s="688">
        <v>0</v>
      </c>
      <c r="U143" s="693"/>
      <c r="V143" s="690">
        <f t="shared" si="15"/>
        <v>0</v>
      </c>
      <c r="W143" s="683"/>
      <c r="X143" s="474">
        <f t="shared" si="19"/>
        <v>0</v>
      </c>
      <c r="Y143" s="474">
        <f t="shared" si="20"/>
        <v>0</v>
      </c>
      <c r="Z143" s="475">
        <f t="shared" si="21"/>
        <v>0</v>
      </c>
      <c r="AA143" s="475">
        <v>0</v>
      </c>
      <c r="AB143" s="476">
        <v>0</v>
      </c>
      <c r="AC143" s="38">
        <f t="shared" si="22"/>
        <v>0</v>
      </c>
      <c r="AD143" s="692">
        <f t="shared" si="16"/>
        <v>0</v>
      </c>
      <c r="AE143" s="692">
        <f t="shared" si="17"/>
        <v>0</v>
      </c>
      <c r="AF143" s="692">
        <f t="shared" si="18"/>
        <v>0</v>
      </c>
      <c r="AG143" s="38"/>
      <c r="AH143" s="692">
        <f t="shared" si="23"/>
        <v>0</v>
      </c>
      <c r="AI143" s="692">
        <f t="shared" si="24"/>
        <v>0</v>
      </c>
      <c r="AJ143" s="692">
        <f t="shared" si="25"/>
        <v>0</v>
      </c>
      <c r="AL143" s="38">
        <f t="shared" si="26"/>
        <v>0</v>
      </c>
    </row>
    <row r="144" spans="1:38">
      <c r="A144" s="21"/>
      <c r="B144" s="21" t="s">
        <v>110</v>
      </c>
      <c r="C144" s="666"/>
      <c r="D144" s="68" t="s">
        <v>448</v>
      </c>
      <c r="E144" s="679"/>
      <c r="F144" s="529">
        <f>VLOOKUP(D144,'May 2013 Revenue'!D:V,19,FALSE)</f>
        <v>0</v>
      </c>
      <c r="G144" s="680"/>
      <c r="H144" s="680"/>
      <c r="I144" s="755"/>
      <c r="J144" s="682">
        <f t="shared" si="43"/>
        <v>0</v>
      </c>
      <c r="K144" s="683"/>
      <c r="L144" s="684"/>
      <c r="M144" s="753"/>
      <c r="N144" s="683">
        <v>0</v>
      </c>
      <c r="O144" s="686"/>
      <c r="P144" s="683">
        <v>0</v>
      </c>
      <c r="Q144" s="687">
        <f t="shared" si="44"/>
        <v>0</v>
      </c>
      <c r="R144" s="687"/>
      <c r="S144" s="687"/>
      <c r="T144" s="688">
        <v>0</v>
      </c>
      <c r="U144" s="693"/>
      <c r="V144" s="690">
        <f t="shared" si="15"/>
        <v>0</v>
      </c>
      <c r="W144" s="683"/>
      <c r="X144" s="474">
        <f t="shared" si="19"/>
        <v>0</v>
      </c>
      <c r="Y144" s="474">
        <f t="shared" si="20"/>
        <v>0</v>
      </c>
      <c r="Z144" s="475">
        <f t="shared" si="21"/>
        <v>0</v>
      </c>
      <c r="AA144" s="475">
        <v>0</v>
      </c>
      <c r="AB144" s="476">
        <v>0</v>
      </c>
      <c r="AC144" s="38">
        <f t="shared" si="22"/>
        <v>0</v>
      </c>
      <c r="AD144" s="692">
        <f t="shared" si="16"/>
        <v>0</v>
      </c>
      <c r="AE144" s="692">
        <f t="shared" si="17"/>
        <v>0</v>
      </c>
      <c r="AF144" s="692">
        <f t="shared" si="18"/>
        <v>0</v>
      </c>
      <c r="AG144" s="38"/>
      <c r="AH144" s="692">
        <f t="shared" si="23"/>
        <v>0</v>
      </c>
      <c r="AI144" s="692">
        <f t="shared" si="24"/>
        <v>0</v>
      </c>
      <c r="AJ144" s="692">
        <f t="shared" si="25"/>
        <v>0</v>
      </c>
      <c r="AL144" s="38">
        <f t="shared" si="26"/>
        <v>0</v>
      </c>
    </row>
    <row r="145" spans="1:38">
      <c r="A145" s="21"/>
      <c r="B145" s="21" t="s">
        <v>114</v>
      </c>
      <c r="C145" s="666"/>
      <c r="D145" s="68" t="s">
        <v>936</v>
      </c>
      <c r="E145" s="679"/>
      <c r="F145" s="529">
        <f>VLOOKUP(D145,'May 2013 Revenue'!D:V,19,FALSE)</f>
        <v>0</v>
      </c>
      <c r="G145" s="680"/>
      <c r="H145" s="680"/>
      <c r="I145" s="755"/>
      <c r="J145" s="682">
        <f t="shared" si="43"/>
        <v>0</v>
      </c>
      <c r="K145" s="683"/>
      <c r="L145" s="684"/>
      <c r="M145" s="753"/>
      <c r="N145" s="683">
        <v>0</v>
      </c>
      <c r="O145" s="686"/>
      <c r="P145" s="683">
        <v>0</v>
      </c>
      <c r="Q145" s="687">
        <f t="shared" si="44"/>
        <v>0</v>
      </c>
      <c r="R145" s="687"/>
      <c r="S145" s="687"/>
      <c r="T145" s="688">
        <v>0</v>
      </c>
      <c r="U145" s="693"/>
      <c r="V145" s="690">
        <f t="shared" ref="V145:V208" si="45">IF(T145="","",T145-Q145)</f>
        <v>0</v>
      </c>
      <c r="W145" s="683"/>
      <c r="X145" s="474">
        <f t="shared" si="19"/>
        <v>0</v>
      </c>
      <c r="Y145" s="474">
        <f t="shared" si="20"/>
        <v>0</v>
      </c>
      <c r="Z145" s="475">
        <f t="shared" si="21"/>
        <v>0</v>
      </c>
      <c r="AA145" s="475">
        <v>0</v>
      </c>
      <c r="AB145" s="476">
        <v>0</v>
      </c>
      <c r="AC145" s="38">
        <f t="shared" si="22"/>
        <v>0</v>
      </c>
      <c r="AD145" s="692">
        <f t="shared" si="16"/>
        <v>0</v>
      </c>
      <c r="AE145" s="692">
        <f t="shared" si="17"/>
        <v>0</v>
      </c>
      <c r="AF145" s="692">
        <f t="shared" si="18"/>
        <v>0</v>
      </c>
      <c r="AG145" s="38"/>
      <c r="AH145" s="692">
        <f t="shared" si="23"/>
        <v>0</v>
      </c>
      <c r="AI145" s="692">
        <f t="shared" si="24"/>
        <v>0</v>
      </c>
      <c r="AJ145" s="692">
        <f t="shared" si="25"/>
        <v>0</v>
      </c>
      <c r="AL145" s="38">
        <f t="shared" si="26"/>
        <v>0</v>
      </c>
    </row>
    <row r="146" spans="1:38">
      <c r="A146" s="21"/>
      <c r="B146" s="21" t="s">
        <v>110</v>
      </c>
      <c r="C146" s="666"/>
      <c r="D146" s="68" t="s">
        <v>877</v>
      </c>
      <c r="E146" s="679"/>
      <c r="F146" s="529">
        <f>VLOOKUP(D146,'May 2013 Revenue'!D:V,19,FALSE)</f>
        <v>0</v>
      </c>
      <c r="G146" s="680"/>
      <c r="H146" s="680"/>
      <c r="I146" s="755"/>
      <c r="J146" s="682">
        <f t="shared" si="43"/>
        <v>0</v>
      </c>
      <c r="K146" s="683"/>
      <c r="L146" s="684"/>
      <c r="M146" s="753"/>
      <c r="N146" s="683">
        <v>0</v>
      </c>
      <c r="O146" s="686"/>
      <c r="P146" s="683">
        <v>0</v>
      </c>
      <c r="Q146" s="687">
        <f t="shared" si="44"/>
        <v>0</v>
      </c>
      <c r="R146" s="687"/>
      <c r="S146" s="687"/>
      <c r="T146" s="688">
        <v>0</v>
      </c>
      <c r="U146" s="693"/>
      <c r="V146" s="690">
        <f t="shared" si="45"/>
        <v>0</v>
      </c>
      <c r="W146" s="683"/>
      <c r="X146" s="474">
        <f t="shared" si="19"/>
        <v>0</v>
      </c>
      <c r="Y146" s="474">
        <f t="shared" si="20"/>
        <v>0</v>
      </c>
      <c r="Z146" s="475">
        <f t="shared" si="21"/>
        <v>0</v>
      </c>
      <c r="AA146" s="475">
        <v>0</v>
      </c>
      <c r="AB146" s="476">
        <v>0</v>
      </c>
      <c r="AC146" s="38">
        <f t="shared" si="22"/>
        <v>0</v>
      </c>
      <c r="AD146" s="692">
        <f t="shared" si="16"/>
        <v>0</v>
      </c>
      <c r="AE146" s="692">
        <f t="shared" si="17"/>
        <v>0</v>
      </c>
      <c r="AF146" s="692">
        <f t="shared" si="18"/>
        <v>0</v>
      </c>
      <c r="AG146" s="38"/>
      <c r="AH146" s="692">
        <f t="shared" si="23"/>
        <v>0</v>
      </c>
      <c r="AI146" s="692">
        <f t="shared" si="24"/>
        <v>0</v>
      </c>
      <c r="AJ146" s="692">
        <f t="shared" si="25"/>
        <v>0</v>
      </c>
      <c r="AL146" s="38">
        <f t="shared" si="26"/>
        <v>0</v>
      </c>
    </row>
    <row r="147" spans="1:38">
      <c r="A147" s="21"/>
      <c r="B147" s="21" t="s">
        <v>110</v>
      </c>
      <c r="C147" s="666" t="s">
        <v>558</v>
      </c>
      <c r="D147" s="68" t="s">
        <v>122</v>
      </c>
      <c r="E147" s="679">
        <v>484.86</v>
      </c>
      <c r="F147" s="529">
        <f>VLOOKUP(D147,'May 2013 Revenue'!D:V,19,FALSE)</f>
        <v>0</v>
      </c>
      <c r="G147" s="680"/>
      <c r="H147" s="680"/>
      <c r="I147" s="755"/>
      <c r="J147" s="682">
        <f t="shared" si="43"/>
        <v>484.86</v>
      </c>
      <c r="K147" s="683"/>
      <c r="L147" s="684"/>
      <c r="M147" s="753"/>
      <c r="N147" s="683">
        <v>0</v>
      </c>
      <c r="O147" s="686"/>
      <c r="P147" s="683">
        <v>0</v>
      </c>
      <c r="Q147" s="687">
        <f t="shared" si="44"/>
        <v>0</v>
      </c>
      <c r="R147" s="687"/>
      <c r="S147" s="687"/>
      <c r="T147" s="688">
        <v>0</v>
      </c>
      <c r="U147" s="693"/>
      <c r="V147" s="690">
        <f t="shared" si="45"/>
        <v>0</v>
      </c>
      <c r="W147" s="683"/>
      <c r="X147" s="474">
        <f t="shared" si="19"/>
        <v>0</v>
      </c>
      <c r="Y147" s="474">
        <f t="shared" si="20"/>
        <v>0</v>
      </c>
      <c r="Z147" s="475">
        <f t="shared" si="21"/>
        <v>0</v>
      </c>
      <c r="AA147" s="475">
        <v>0</v>
      </c>
      <c r="AB147" s="476">
        <v>0</v>
      </c>
      <c r="AC147" s="38">
        <f t="shared" si="22"/>
        <v>0</v>
      </c>
      <c r="AD147" s="692">
        <f t="shared" si="16"/>
        <v>484.86</v>
      </c>
      <c r="AE147" s="692">
        <f t="shared" si="17"/>
        <v>0</v>
      </c>
      <c r="AF147" s="692">
        <f t="shared" si="18"/>
        <v>0</v>
      </c>
      <c r="AG147" s="38"/>
      <c r="AH147" s="692">
        <f t="shared" si="23"/>
        <v>0</v>
      </c>
      <c r="AI147" s="692">
        <f t="shared" si="24"/>
        <v>0</v>
      </c>
      <c r="AJ147" s="692">
        <f t="shared" si="25"/>
        <v>0</v>
      </c>
      <c r="AL147" s="38">
        <f t="shared" si="26"/>
        <v>484.86</v>
      </c>
    </row>
    <row r="148" spans="1:38">
      <c r="A148" s="21"/>
      <c r="B148" s="21" t="s">
        <v>114</v>
      </c>
      <c r="C148" s="666" t="s">
        <v>558</v>
      </c>
      <c r="D148" s="68" t="s">
        <v>629</v>
      </c>
      <c r="E148" s="679">
        <v>7.09</v>
      </c>
      <c r="F148" s="529">
        <f>VLOOKUP(D148,'May 2013 Revenue'!D:V,19,FALSE)</f>
        <v>0</v>
      </c>
      <c r="G148" s="680"/>
      <c r="H148" s="680"/>
      <c r="I148" s="755"/>
      <c r="J148" s="682">
        <f t="shared" si="43"/>
        <v>7.09</v>
      </c>
      <c r="K148" s="683"/>
      <c r="L148" s="684"/>
      <c r="M148" s="753"/>
      <c r="N148" s="683">
        <v>0</v>
      </c>
      <c r="O148" s="686"/>
      <c r="P148" s="683">
        <v>0</v>
      </c>
      <c r="Q148" s="687">
        <f t="shared" si="44"/>
        <v>0</v>
      </c>
      <c r="R148" s="687"/>
      <c r="S148" s="687"/>
      <c r="T148" s="688">
        <v>0</v>
      </c>
      <c r="U148" s="693"/>
      <c r="V148" s="690">
        <f t="shared" si="45"/>
        <v>0</v>
      </c>
      <c r="W148" s="683"/>
      <c r="X148" s="474">
        <f t="shared" si="19"/>
        <v>0</v>
      </c>
      <c r="Y148" s="474">
        <f t="shared" si="20"/>
        <v>0</v>
      </c>
      <c r="Z148" s="475">
        <f t="shared" si="21"/>
        <v>0</v>
      </c>
      <c r="AA148" s="475">
        <v>0</v>
      </c>
      <c r="AB148" s="476">
        <v>0</v>
      </c>
      <c r="AC148" s="38">
        <f t="shared" si="22"/>
        <v>0</v>
      </c>
      <c r="AD148" s="692">
        <f t="shared" ref="AD148:AD211" si="46">IF(B148="D",J148,0)</f>
        <v>0</v>
      </c>
      <c r="AE148" s="692">
        <f t="shared" ref="AE148:AE211" si="47">IF(B148="M",J148,0)</f>
        <v>0</v>
      </c>
      <c r="AF148" s="692">
        <f t="shared" ref="AF148:AF211" si="48">IF(B148="V",J148,0)</f>
        <v>7.09</v>
      </c>
      <c r="AG148" s="38"/>
      <c r="AH148" s="692">
        <f t="shared" si="23"/>
        <v>0</v>
      </c>
      <c r="AI148" s="692">
        <f t="shared" si="24"/>
        <v>0</v>
      </c>
      <c r="AJ148" s="692">
        <f t="shared" si="25"/>
        <v>0</v>
      </c>
      <c r="AL148" s="38">
        <f t="shared" ref="AL148:AL211" si="49">SUM(AD148:AJ148)</f>
        <v>7.09</v>
      </c>
    </row>
    <row r="149" spans="1:38">
      <c r="A149" s="21"/>
      <c r="B149" s="21" t="s">
        <v>109</v>
      </c>
      <c r="C149" s="666" t="s">
        <v>559</v>
      </c>
      <c r="D149" s="68" t="s">
        <v>33</v>
      </c>
      <c r="E149" s="679"/>
      <c r="F149" s="529">
        <f>VLOOKUP(D149,'May 2013 Revenue'!D:V,19,FALSE)</f>
        <v>0</v>
      </c>
      <c r="G149" s="680"/>
      <c r="H149" s="680"/>
      <c r="I149" s="755"/>
      <c r="J149" s="682">
        <f t="shared" si="43"/>
        <v>0</v>
      </c>
      <c r="K149" s="683"/>
      <c r="L149" s="684"/>
      <c r="M149" s="753"/>
      <c r="N149" s="683">
        <v>0</v>
      </c>
      <c r="O149" s="686"/>
      <c r="P149" s="683">
        <v>0</v>
      </c>
      <c r="Q149" s="687">
        <f t="shared" si="44"/>
        <v>0</v>
      </c>
      <c r="R149" s="687"/>
      <c r="S149" s="687"/>
      <c r="T149" s="688">
        <v>0</v>
      </c>
      <c r="U149" s="693"/>
      <c r="V149" s="690">
        <f t="shared" si="45"/>
        <v>0</v>
      </c>
      <c r="W149" s="683"/>
      <c r="X149" s="474">
        <f t="shared" si="19"/>
        <v>0</v>
      </c>
      <c r="Y149" s="474">
        <f t="shared" si="20"/>
        <v>0</v>
      </c>
      <c r="Z149" s="475">
        <f t="shared" si="21"/>
        <v>0</v>
      </c>
      <c r="AA149" s="475">
        <v>0</v>
      </c>
      <c r="AB149" s="476">
        <v>0</v>
      </c>
      <c r="AC149" s="38">
        <f t="shared" si="22"/>
        <v>0</v>
      </c>
      <c r="AD149" s="692">
        <f t="shared" si="46"/>
        <v>0</v>
      </c>
      <c r="AE149" s="692">
        <f t="shared" si="47"/>
        <v>0</v>
      </c>
      <c r="AF149" s="692">
        <f t="shared" si="48"/>
        <v>0</v>
      </c>
      <c r="AG149" s="38"/>
      <c r="AH149" s="692">
        <f t="shared" ref="AH149:AH212" si="50">IF(B149="D",Q149,0)</f>
        <v>0</v>
      </c>
      <c r="AI149" s="692">
        <f t="shared" ref="AI149:AI212" si="51">IF(B149="M",Q149,0)</f>
        <v>0</v>
      </c>
      <c r="AJ149" s="692">
        <f t="shared" ref="AJ149:AJ212" si="52">IF(B149="V",Q149,0)</f>
        <v>0</v>
      </c>
      <c r="AL149" s="38">
        <f t="shared" si="49"/>
        <v>0</v>
      </c>
    </row>
    <row r="150" spans="1:38">
      <c r="A150" s="21"/>
      <c r="B150" s="21" t="s">
        <v>109</v>
      </c>
      <c r="C150" s="666" t="s">
        <v>560</v>
      </c>
      <c r="D150" s="68" t="s">
        <v>379</v>
      </c>
      <c r="E150" s="679"/>
      <c r="F150" s="529">
        <f>VLOOKUP(D150,'May 2013 Revenue'!D:V,19,FALSE)</f>
        <v>70.97</v>
      </c>
      <c r="G150" s="680"/>
      <c r="H150" s="680"/>
      <c r="I150" s="755"/>
      <c r="J150" s="682">
        <f t="shared" si="43"/>
        <v>70.97</v>
      </c>
      <c r="K150" s="683"/>
      <c r="L150" s="684"/>
      <c r="M150" s="753"/>
      <c r="N150" s="683">
        <v>0</v>
      </c>
      <c r="O150" s="686"/>
      <c r="P150" s="683">
        <v>0</v>
      </c>
      <c r="Q150" s="687">
        <f t="shared" si="44"/>
        <v>0</v>
      </c>
      <c r="R150" s="687"/>
      <c r="S150" s="687"/>
      <c r="T150" s="688">
        <v>97.21</v>
      </c>
      <c r="U150" s="693"/>
      <c r="V150" s="690">
        <f t="shared" si="45"/>
        <v>97.21</v>
      </c>
      <c r="W150" s="683"/>
      <c r="X150" s="474">
        <f t="shared" ref="X150:X213" si="53">IF(B150="D",Q150,0)</f>
        <v>0</v>
      </c>
      <c r="Y150" s="474">
        <f t="shared" ref="Y150:Y213" si="54">IF(B150="M",Q150,0)</f>
        <v>0</v>
      </c>
      <c r="Z150" s="475">
        <f t="shared" ref="Z150:Z213" si="55">IF(B150="V",Q150,0)</f>
        <v>0</v>
      </c>
      <c r="AA150" s="475">
        <v>0</v>
      </c>
      <c r="AB150" s="476">
        <v>0</v>
      </c>
      <c r="AC150" s="38">
        <f t="shared" ref="AC150:AC213" si="56">(L150+M150)-(X150+Y150+Z150+AA150+AB150)</f>
        <v>0</v>
      </c>
      <c r="AD150" s="692">
        <f t="shared" si="46"/>
        <v>0</v>
      </c>
      <c r="AE150" s="692">
        <f t="shared" si="47"/>
        <v>70.97</v>
      </c>
      <c r="AF150" s="692">
        <f t="shared" si="48"/>
        <v>0</v>
      </c>
      <c r="AG150" s="38"/>
      <c r="AH150" s="692">
        <f t="shared" si="50"/>
        <v>0</v>
      </c>
      <c r="AI150" s="692">
        <f t="shared" si="51"/>
        <v>0</v>
      </c>
      <c r="AJ150" s="692">
        <f t="shared" si="52"/>
        <v>0</v>
      </c>
      <c r="AL150" s="38">
        <f t="shared" si="49"/>
        <v>70.97</v>
      </c>
    </row>
    <row r="151" spans="1:38" s="232" customFormat="1">
      <c r="A151" s="283"/>
      <c r="B151" s="283" t="s">
        <v>114</v>
      </c>
      <c r="C151" s="667"/>
      <c r="D151" s="500" t="s">
        <v>408</v>
      </c>
      <c r="E151" s="679"/>
      <c r="F151" s="529">
        <f>VLOOKUP(D151,'May 2013 Revenue'!D:V,19,FALSE)</f>
        <v>0</v>
      </c>
      <c r="G151" s="680"/>
      <c r="H151" s="680"/>
      <c r="I151" s="770">
        <v>7837.5</v>
      </c>
      <c r="J151" s="682">
        <f t="shared" si="43"/>
        <v>7837.5</v>
      </c>
      <c r="K151" s="683"/>
      <c r="L151" s="684"/>
      <c r="M151" s="753"/>
      <c r="N151" s="683">
        <v>0</v>
      </c>
      <c r="O151" s="686"/>
      <c r="P151" s="683">
        <v>0</v>
      </c>
      <c r="Q151" s="687">
        <f t="shared" si="44"/>
        <v>0</v>
      </c>
      <c r="R151" s="687"/>
      <c r="S151" s="687"/>
      <c r="T151" s="688">
        <v>0</v>
      </c>
      <c r="U151" s="693"/>
      <c r="V151" s="690">
        <f t="shared" si="45"/>
        <v>0</v>
      </c>
      <c r="W151" s="683"/>
      <c r="X151" s="474">
        <f t="shared" si="53"/>
        <v>0</v>
      </c>
      <c r="Y151" s="474">
        <f t="shared" si="54"/>
        <v>0</v>
      </c>
      <c r="Z151" s="475">
        <f t="shared" si="55"/>
        <v>0</v>
      </c>
      <c r="AA151" s="475">
        <v>0</v>
      </c>
      <c r="AB151" s="476">
        <v>0</v>
      </c>
      <c r="AC151" s="38">
        <f t="shared" si="56"/>
        <v>0</v>
      </c>
      <c r="AD151" s="692">
        <f t="shared" si="46"/>
        <v>0</v>
      </c>
      <c r="AE151" s="692">
        <f t="shared" si="47"/>
        <v>0</v>
      </c>
      <c r="AF151" s="692">
        <f t="shared" si="48"/>
        <v>7837.5</v>
      </c>
      <c r="AG151" s="38"/>
      <c r="AH151" s="692">
        <f t="shared" si="50"/>
        <v>0</v>
      </c>
      <c r="AI151" s="692">
        <f t="shared" si="51"/>
        <v>0</v>
      </c>
      <c r="AJ151" s="692">
        <f t="shared" si="52"/>
        <v>0</v>
      </c>
      <c r="AL151" s="38">
        <f t="shared" si="49"/>
        <v>7837.5</v>
      </c>
    </row>
    <row r="152" spans="1:38" s="232" customFormat="1">
      <c r="A152" s="283"/>
      <c r="B152" s="283" t="s">
        <v>110</v>
      </c>
      <c r="C152" s="667"/>
      <c r="D152" s="567" t="s">
        <v>445</v>
      </c>
      <c r="E152" s="679"/>
      <c r="F152" s="529">
        <f>VLOOKUP(D152,'May 2013 Revenue'!D:V,19,FALSE)</f>
        <v>0</v>
      </c>
      <c r="G152" s="680"/>
      <c r="H152" s="680"/>
      <c r="I152" s="755"/>
      <c r="J152" s="803">
        <f t="shared" si="43"/>
        <v>0</v>
      </c>
      <c r="K152" s="683"/>
      <c r="L152" s="684"/>
      <c r="M152" s="753"/>
      <c r="N152" s="683">
        <v>0</v>
      </c>
      <c r="O152" s="686"/>
      <c r="P152" s="683">
        <v>0</v>
      </c>
      <c r="Q152" s="687">
        <f t="shared" si="44"/>
        <v>0</v>
      </c>
      <c r="R152" s="687"/>
      <c r="S152" s="687"/>
      <c r="T152" s="688">
        <v>0</v>
      </c>
      <c r="U152" s="693"/>
      <c r="V152" s="690">
        <f t="shared" si="45"/>
        <v>0</v>
      </c>
      <c r="W152" s="683"/>
      <c r="X152" s="474">
        <f t="shared" si="53"/>
        <v>0</v>
      </c>
      <c r="Y152" s="474">
        <f t="shared" si="54"/>
        <v>0</v>
      </c>
      <c r="Z152" s="475">
        <f t="shared" si="55"/>
        <v>0</v>
      </c>
      <c r="AA152" s="475">
        <v>0</v>
      </c>
      <c r="AB152" s="476">
        <v>0</v>
      </c>
      <c r="AC152" s="38">
        <f t="shared" si="56"/>
        <v>0</v>
      </c>
      <c r="AD152" s="692">
        <f t="shared" si="46"/>
        <v>0</v>
      </c>
      <c r="AE152" s="692">
        <f t="shared" si="47"/>
        <v>0</v>
      </c>
      <c r="AF152" s="692">
        <f t="shared" si="48"/>
        <v>0</v>
      </c>
      <c r="AG152" s="38"/>
      <c r="AH152" s="692">
        <f t="shared" si="50"/>
        <v>0</v>
      </c>
      <c r="AI152" s="692">
        <f t="shared" si="51"/>
        <v>0</v>
      </c>
      <c r="AJ152" s="692">
        <f t="shared" si="52"/>
        <v>0</v>
      </c>
      <c r="AL152" s="38">
        <f t="shared" si="49"/>
        <v>0</v>
      </c>
    </row>
    <row r="153" spans="1:38" s="232" customFormat="1">
      <c r="A153" s="283"/>
      <c r="B153" s="283" t="s">
        <v>109</v>
      </c>
      <c r="C153" s="667" t="s">
        <v>562</v>
      </c>
      <c r="D153" s="567" t="s">
        <v>480</v>
      </c>
      <c r="E153" s="679"/>
      <c r="F153" s="529">
        <f>VLOOKUP(D153,'May 2013 Revenue'!D:V,19,FALSE)</f>
        <v>0</v>
      </c>
      <c r="G153" s="680"/>
      <c r="H153" s="680"/>
      <c r="I153" s="770">
        <v>7606.02</v>
      </c>
      <c r="J153" s="682">
        <f t="shared" si="43"/>
        <v>7606.02</v>
      </c>
      <c r="K153" s="683"/>
      <c r="L153" s="684"/>
      <c r="M153" s="753"/>
      <c r="N153" s="683">
        <v>0</v>
      </c>
      <c r="O153" s="686"/>
      <c r="P153" s="683">
        <v>0</v>
      </c>
      <c r="Q153" s="687">
        <f t="shared" si="44"/>
        <v>0</v>
      </c>
      <c r="R153" s="687"/>
      <c r="S153" s="687"/>
      <c r="T153" s="688">
        <v>0</v>
      </c>
      <c r="U153" s="693"/>
      <c r="V153" s="690">
        <f t="shared" si="45"/>
        <v>0</v>
      </c>
      <c r="W153" s="683"/>
      <c r="X153" s="474">
        <f t="shared" si="53"/>
        <v>0</v>
      </c>
      <c r="Y153" s="474">
        <f t="shared" si="54"/>
        <v>0</v>
      </c>
      <c r="Z153" s="475">
        <f t="shared" si="55"/>
        <v>0</v>
      </c>
      <c r="AA153" s="475">
        <v>0</v>
      </c>
      <c r="AB153" s="476">
        <v>0</v>
      </c>
      <c r="AC153" s="38">
        <f t="shared" si="56"/>
        <v>0</v>
      </c>
      <c r="AD153" s="692">
        <f t="shared" si="46"/>
        <v>0</v>
      </c>
      <c r="AE153" s="692">
        <f t="shared" si="47"/>
        <v>7606.02</v>
      </c>
      <c r="AF153" s="692">
        <f t="shared" si="48"/>
        <v>0</v>
      </c>
      <c r="AG153" s="38"/>
      <c r="AH153" s="692">
        <f t="shared" si="50"/>
        <v>0</v>
      </c>
      <c r="AI153" s="692">
        <f t="shared" si="51"/>
        <v>0</v>
      </c>
      <c r="AJ153" s="692">
        <f t="shared" si="52"/>
        <v>0</v>
      </c>
      <c r="AL153" s="38">
        <f t="shared" si="49"/>
        <v>7606.02</v>
      </c>
    </row>
    <row r="154" spans="1:38" s="232" customFormat="1">
      <c r="A154" s="403"/>
      <c r="B154" s="403" t="s">
        <v>109</v>
      </c>
      <c r="C154" s="666" t="s">
        <v>563</v>
      </c>
      <c r="D154" s="807" t="s">
        <v>327</v>
      </c>
      <c r="E154" s="679"/>
      <c r="F154" s="529">
        <f>VLOOKUP(D154,'May 2013 Revenue'!D:V,19,FALSE)</f>
        <v>5183.9199999999983</v>
      </c>
      <c r="G154" s="680"/>
      <c r="H154" s="680"/>
      <c r="I154" s="755"/>
      <c r="J154" s="682">
        <f t="shared" si="43"/>
        <v>5183.9199999999983</v>
      </c>
      <c r="K154" s="683"/>
      <c r="L154" s="684"/>
      <c r="M154" s="753">
        <v>35000</v>
      </c>
      <c r="N154" s="683">
        <v>0</v>
      </c>
      <c r="O154" s="686"/>
      <c r="P154" s="683">
        <v>0</v>
      </c>
      <c r="Q154" s="687">
        <f t="shared" si="44"/>
        <v>35000</v>
      </c>
      <c r="R154" s="687"/>
      <c r="S154" s="687"/>
      <c r="T154" s="688">
        <v>39060.269999999997</v>
      </c>
      <c r="U154" s="693"/>
      <c r="V154" s="690">
        <f t="shared" si="45"/>
        <v>4060.2699999999968</v>
      </c>
      <c r="W154" s="683"/>
      <c r="X154" s="474">
        <f t="shared" si="53"/>
        <v>0</v>
      </c>
      <c r="Y154" s="474">
        <f t="shared" si="54"/>
        <v>35000</v>
      </c>
      <c r="Z154" s="475">
        <f t="shared" si="55"/>
        <v>0</v>
      </c>
      <c r="AA154" s="475">
        <v>0</v>
      </c>
      <c r="AB154" s="476">
        <v>0</v>
      </c>
      <c r="AC154" s="38">
        <f t="shared" si="56"/>
        <v>0</v>
      </c>
      <c r="AD154" s="692">
        <f t="shared" si="46"/>
        <v>0</v>
      </c>
      <c r="AE154" s="692">
        <f t="shared" si="47"/>
        <v>5183.9199999999983</v>
      </c>
      <c r="AF154" s="692">
        <f t="shared" si="48"/>
        <v>0</v>
      </c>
      <c r="AG154" s="38"/>
      <c r="AH154" s="692">
        <f t="shared" si="50"/>
        <v>0</v>
      </c>
      <c r="AI154" s="692">
        <f t="shared" si="51"/>
        <v>35000</v>
      </c>
      <c r="AJ154" s="692">
        <f t="shared" si="52"/>
        <v>0</v>
      </c>
      <c r="AL154" s="38">
        <f t="shared" si="49"/>
        <v>40183.919999999998</v>
      </c>
    </row>
    <row r="155" spans="1:38" s="232" customFormat="1">
      <c r="A155" s="403"/>
      <c r="B155" s="403" t="s">
        <v>110</v>
      </c>
      <c r="C155" s="666" t="s">
        <v>563</v>
      </c>
      <c r="D155" s="123" t="s">
        <v>637</v>
      </c>
      <c r="E155" s="679"/>
      <c r="F155" s="529">
        <f>VLOOKUP(D155,'May 2013 Revenue'!D:V,19,FALSE)</f>
        <v>0</v>
      </c>
      <c r="G155" s="680"/>
      <c r="H155" s="680"/>
      <c r="I155" s="755"/>
      <c r="J155" s="682">
        <f t="shared" si="43"/>
        <v>0</v>
      </c>
      <c r="K155" s="683"/>
      <c r="L155" s="684"/>
      <c r="M155" s="753"/>
      <c r="N155" s="683">
        <v>0</v>
      </c>
      <c r="O155" s="686"/>
      <c r="P155" s="683">
        <v>0</v>
      </c>
      <c r="Q155" s="687">
        <f t="shared" si="44"/>
        <v>0</v>
      </c>
      <c r="R155" s="687"/>
      <c r="S155" s="687"/>
      <c r="T155" s="688">
        <v>0</v>
      </c>
      <c r="U155" s="693"/>
      <c r="V155" s="690">
        <f t="shared" si="45"/>
        <v>0</v>
      </c>
      <c r="W155" s="683"/>
      <c r="X155" s="474">
        <f t="shared" si="53"/>
        <v>0</v>
      </c>
      <c r="Y155" s="474">
        <f t="shared" si="54"/>
        <v>0</v>
      </c>
      <c r="Z155" s="475">
        <f t="shared" si="55"/>
        <v>0</v>
      </c>
      <c r="AA155" s="475">
        <v>0</v>
      </c>
      <c r="AB155" s="476">
        <v>0</v>
      </c>
      <c r="AC155" s="38">
        <f t="shared" si="56"/>
        <v>0</v>
      </c>
      <c r="AD155" s="692">
        <f t="shared" si="46"/>
        <v>0</v>
      </c>
      <c r="AE155" s="692">
        <f t="shared" si="47"/>
        <v>0</v>
      </c>
      <c r="AF155" s="692">
        <f t="shared" si="48"/>
        <v>0</v>
      </c>
      <c r="AG155" s="38"/>
      <c r="AH155" s="692">
        <f t="shared" si="50"/>
        <v>0</v>
      </c>
      <c r="AI155" s="692">
        <f t="shared" si="51"/>
        <v>0</v>
      </c>
      <c r="AJ155" s="692">
        <f t="shared" si="52"/>
        <v>0</v>
      </c>
      <c r="AL155" s="38">
        <f t="shared" si="49"/>
        <v>0</v>
      </c>
    </row>
    <row r="156" spans="1:38">
      <c r="A156" s="21" t="s">
        <v>212</v>
      </c>
      <c r="B156" s="21" t="s">
        <v>110</v>
      </c>
      <c r="C156" s="666"/>
      <c r="D156" s="68" t="s">
        <v>232</v>
      </c>
      <c r="E156" s="679">
        <v>10117.790000000001</v>
      </c>
      <c r="F156" s="529">
        <f>VLOOKUP(D156,'May 2013 Revenue'!D:V,19,FALSE)</f>
        <v>0</v>
      </c>
      <c r="G156" s="680"/>
      <c r="H156" s="680"/>
      <c r="I156" s="755"/>
      <c r="J156" s="682">
        <f t="shared" si="43"/>
        <v>10117.790000000001</v>
      </c>
      <c r="K156" s="683"/>
      <c r="L156" s="684"/>
      <c r="M156" s="753"/>
      <c r="N156" s="683">
        <v>0</v>
      </c>
      <c r="O156" s="686"/>
      <c r="P156" s="683">
        <v>0</v>
      </c>
      <c r="Q156" s="687">
        <f t="shared" si="44"/>
        <v>0</v>
      </c>
      <c r="R156" s="687"/>
      <c r="S156" s="687"/>
      <c r="T156" s="688">
        <v>0</v>
      </c>
      <c r="U156" s="693"/>
      <c r="V156" s="690">
        <f t="shared" si="45"/>
        <v>0</v>
      </c>
      <c r="W156" s="683"/>
      <c r="X156" s="474">
        <f t="shared" si="53"/>
        <v>0</v>
      </c>
      <c r="Y156" s="474">
        <f t="shared" si="54"/>
        <v>0</v>
      </c>
      <c r="Z156" s="475">
        <f t="shared" si="55"/>
        <v>0</v>
      </c>
      <c r="AA156" s="475">
        <v>0</v>
      </c>
      <c r="AB156" s="476">
        <v>0</v>
      </c>
      <c r="AC156" s="38">
        <f t="shared" si="56"/>
        <v>0</v>
      </c>
      <c r="AD156" s="692">
        <f t="shared" si="46"/>
        <v>10117.790000000001</v>
      </c>
      <c r="AE156" s="692">
        <f t="shared" si="47"/>
        <v>0</v>
      </c>
      <c r="AF156" s="692">
        <f t="shared" si="48"/>
        <v>0</v>
      </c>
      <c r="AG156" s="38"/>
      <c r="AH156" s="692">
        <f t="shared" si="50"/>
        <v>0</v>
      </c>
      <c r="AI156" s="692">
        <f t="shared" si="51"/>
        <v>0</v>
      </c>
      <c r="AJ156" s="692">
        <f t="shared" si="52"/>
        <v>0</v>
      </c>
      <c r="AL156" s="38">
        <f t="shared" si="49"/>
        <v>10117.790000000001</v>
      </c>
    </row>
    <row r="157" spans="1:38">
      <c r="A157" s="21"/>
      <c r="B157" s="21" t="s">
        <v>109</v>
      </c>
      <c r="C157" s="666" t="s">
        <v>564</v>
      </c>
      <c r="D157" s="68" t="s">
        <v>876</v>
      </c>
      <c r="E157" s="679"/>
      <c r="F157" s="529">
        <f>VLOOKUP(D157,'May 2013 Revenue'!D:V,19,FALSE)</f>
        <v>0</v>
      </c>
      <c r="G157" s="680"/>
      <c r="H157" s="680"/>
      <c r="I157" s="755"/>
      <c r="J157" s="682">
        <f t="shared" si="43"/>
        <v>0</v>
      </c>
      <c r="K157" s="683"/>
      <c r="L157" s="684"/>
      <c r="M157" s="753"/>
      <c r="N157" s="683">
        <v>0</v>
      </c>
      <c r="O157" s="686"/>
      <c r="P157" s="683">
        <v>0</v>
      </c>
      <c r="Q157" s="687">
        <f t="shared" si="44"/>
        <v>0</v>
      </c>
      <c r="R157" s="687"/>
      <c r="S157" s="687"/>
      <c r="T157" s="688">
        <v>0</v>
      </c>
      <c r="U157" s="693"/>
      <c r="V157" s="690">
        <f t="shared" si="45"/>
        <v>0</v>
      </c>
      <c r="W157" s="683"/>
      <c r="X157" s="474">
        <f t="shared" si="53"/>
        <v>0</v>
      </c>
      <c r="Y157" s="474">
        <f t="shared" si="54"/>
        <v>0</v>
      </c>
      <c r="Z157" s="475">
        <f t="shared" si="55"/>
        <v>0</v>
      </c>
      <c r="AA157" s="475">
        <v>0</v>
      </c>
      <c r="AB157" s="476">
        <v>0</v>
      </c>
      <c r="AC157" s="38">
        <f t="shared" si="56"/>
        <v>0</v>
      </c>
      <c r="AD157" s="692">
        <f t="shared" si="46"/>
        <v>0</v>
      </c>
      <c r="AE157" s="692">
        <f t="shared" si="47"/>
        <v>0</v>
      </c>
      <c r="AF157" s="692">
        <f t="shared" si="48"/>
        <v>0</v>
      </c>
      <c r="AG157" s="38"/>
      <c r="AH157" s="692">
        <f t="shared" si="50"/>
        <v>0</v>
      </c>
      <c r="AI157" s="692">
        <f t="shared" si="51"/>
        <v>0</v>
      </c>
      <c r="AJ157" s="692">
        <f t="shared" si="52"/>
        <v>0</v>
      </c>
      <c r="AL157" s="38">
        <f t="shared" si="49"/>
        <v>0</v>
      </c>
    </row>
    <row r="158" spans="1:38">
      <c r="A158" s="21"/>
      <c r="B158" s="21" t="s">
        <v>109</v>
      </c>
      <c r="C158" s="666" t="s">
        <v>564</v>
      </c>
      <c r="D158" s="68" t="s">
        <v>307</v>
      </c>
      <c r="E158" s="679"/>
      <c r="F158" s="529">
        <f>VLOOKUP(D158,'May 2013 Revenue'!D:V,19,FALSE)</f>
        <v>0</v>
      </c>
      <c r="G158" s="680"/>
      <c r="H158" s="680"/>
      <c r="I158" s="755"/>
      <c r="J158" s="682">
        <f t="shared" si="43"/>
        <v>0</v>
      </c>
      <c r="K158" s="683"/>
      <c r="L158" s="684"/>
      <c r="M158" s="753"/>
      <c r="N158" s="683">
        <v>0</v>
      </c>
      <c r="O158" s="686"/>
      <c r="P158" s="683">
        <v>0</v>
      </c>
      <c r="Q158" s="687">
        <f t="shared" si="44"/>
        <v>0</v>
      </c>
      <c r="R158" s="687"/>
      <c r="S158" s="687"/>
      <c r="T158" s="688">
        <v>0</v>
      </c>
      <c r="U158" s="693"/>
      <c r="V158" s="690">
        <f t="shared" si="45"/>
        <v>0</v>
      </c>
      <c r="W158" s="683"/>
      <c r="X158" s="474">
        <f t="shared" si="53"/>
        <v>0</v>
      </c>
      <c r="Y158" s="474">
        <f t="shared" si="54"/>
        <v>0</v>
      </c>
      <c r="Z158" s="475">
        <f t="shared" si="55"/>
        <v>0</v>
      </c>
      <c r="AA158" s="475">
        <v>0</v>
      </c>
      <c r="AB158" s="476">
        <v>0</v>
      </c>
      <c r="AC158" s="38">
        <f t="shared" si="56"/>
        <v>0</v>
      </c>
      <c r="AD158" s="692">
        <f t="shared" si="46"/>
        <v>0</v>
      </c>
      <c r="AE158" s="692">
        <f t="shared" si="47"/>
        <v>0</v>
      </c>
      <c r="AF158" s="692">
        <f t="shared" si="48"/>
        <v>0</v>
      </c>
      <c r="AG158" s="38"/>
      <c r="AH158" s="692">
        <f t="shared" si="50"/>
        <v>0</v>
      </c>
      <c r="AI158" s="692">
        <f t="shared" si="51"/>
        <v>0</v>
      </c>
      <c r="AJ158" s="692">
        <f t="shared" si="52"/>
        <v>0</v>
      </c>
      <c r="AL158" s="38">
        <f t="shared" si="49"/>
        <v>0</v>
      </c>
    </row>
    <row r="159" spans="1:38">
      <c r="A159" s="21"/>
      <c r="B159" s="21" t="s">
        <v>109</v>
      </c>
      <c r="C159" s="666" t="s">
        <v>565</v>
      </c>
      <c r="D159" s="68" t="s">
        <v>485</v>
      </c>
      <c r="E159" s="679"/>
      <c r="F159" s="529">
        <f>VLOOKUP(D159,'May 2013 Revenue'!D:V,19,FALSE)</f>
        <v>15611.179999999993</v>
      </c>
      <c r="G159" s="680"/>
      <c r="H159" s="680"/>
      <c r="I159" s="755"/>
      <c r="J159" s="682">
        <f t="shared" si="43"/>
        <v>15611.179999999993</v>
      </c>
      <c r="K159" s="683"/>
      <c r="L159" s="684"/>
      <c r="M159" s="753">
        <v>80000</v>
      </c>
      <c r="N159" s="683"/>
      <c r="O159" s="686"/>
      <c r="P159" s="683"/>
      <c r="Q159" s="687">
        <f t="shared" si="44"/>
        <v>80000</v>
      </c>
      <c r="R159" s="687"/>
      <c r="S159" s="687"/>
      <c r="T159" s="688">
        <f>2456.6+1595.37+5678.72+760.31+9299.44+5709.79+9523.78+1211.25+382.57+845.44+45384.37</f>
        <v>82847.640000000014</v>
      </c>
      <c r="U159" s="693"/>
      <c r="V159" s="690">
        <f t="shared" si="45"/>
        <v>2847.640000000014</v>
      </c>
      <c r="W159" s="683"/>
      <c r="X159" s="474">
        <f t="shared" si="53"/>
        <v>0</v>
      </c>
      <c r="Y159" s="474">
        <f t="shared" si="54"/>
        <v>80000</v>
      </c>
      <c r="Z159" s="475">
        <f t="shared" si="55"/>
        <v>0</v>
      </c>
      <c r="AA159" s="475">
        <v>0</v>
      </c>
      <c r="AB159" s="476">
        <v>0</v>
      </c>
      <c r="AC159" s="38">
        <f t="shared" si="56"/>
        <v>0</v>
      </c>
      <c r="AD159" s="692">
        <f t="shared" si="46"/>
        <v>0</v>
      </c>
      <c r="AE159" s="692">
        <f t="shared" si="47"/>
        <v>15611.179999999993</v>
      </c>
      <c r="AF159" s="692">
        <f t="shared" si="48"/>
        <v>0</v>
      </c>
      <c r="AG159" s="38"/>
      <c r="AH159" s="692">
        <f t="shared" si="50"/>
        <v>0</v>
      </c>
      <c r="AI159" s="692">
        <f t="shared" si="51"/>
        <v>80000</v>
      </c>
      <c r="AJ159" s="692">
        <f t="shared" si="52"/>
        <v>0</v>
      </c>
      <c r="AL159" s="38">
        <f t="shared" si="49"/>
        <v>95611.18</v>
      </c>
    </row>
    <row r="160" spans="1:38" s="232" customFormat="1">
      <c r="A160" s="403"/>
      <c r="B160" s="403" t="s">
        <v>109</v>
      </c>
      <c r="C160" s="666"/>
      <c r="D160" s="123" t="s">
        <v>220</v>
      </c>
      <c r="E160" s="679"/>
      <c r="F160" s="529">
        <f>VLOOKUP(D160,'May 2013 Revenue'!D:V,19,FALSE)</f>
        <v>0</v>
      </c>
      <c r="G160" s="680"/>
      <c r="H160" s="680"/>
      <c r="I160" s="755"/>
      <c r="J160" s="682">
        <f t="shared" si="43"/>
        <v>0</v>
      </c>
      <c r="K160" s="683"/>
      <c r="L160" s="684"/>
      <c r="M160" s="753"/>
      <c r="N160" s="683">
        <v>0</v>
      </c>
      <c r="O160" s="686"/>
      <c r="P160" s="683">
        <v>0</v>
      </c>
      <c r="Q160" s="687">
        <f t="shared" si="44"/>
        <v>0</v>
      </c>
      <c r="R160" s="687"/>
      <c r="S160" s="687"/>
      <c r="T160" s="688">
        <v>0</v>
      </c>
      <c r="U160" s="693"/>
      <c r="V160" s="690">
        <f t="shared" si="45"/>
        <v>0</v>
      </c>
      <c r="W160" s="683"/>
      <c r="X160" s="474">
        <f t="shared" si="53"/>
        <v>0</v>
      </c>
      <c r="Y160" s="474">
        <f t="shared" si="54"/>
        <v>0</v>
      </c>
      <c r="Z160" s="475">
        <f t="shared" si="55"/>
        <v>0</v>
      </c>
      <c r="AA160" s="475">
        <v>0</v>
      </c>
      <c r="AB160" s="476">
        <v>0</v>
      </c>
      <c r="AC160" s="38">
        <f t="shared" si="56"/>
        <v>0</v>
      </c>
      <c r="AD160" s="692">
        <f t="shared" si="46"/>
        <v>0</v>
      </c>
      <c r="AE160" s="692">
        <f t="shared" si="47"/>
        <v>0</v>
      </c>
      <c r="AF160" s="692">
        <f t="shared" si="48"/>
        <v>0</v>
      </c>
      <c r="AG160" s="38"/>
      <c r="AH160" s="692">
        <f t="shared" si="50"/>
        <v>0</v>
      </c>
      <c r="AI160" s="692">
        <f t="shared" si="51"/>
        <v>0</v>
      </c>
      <c r="AJ160" s="692">
        <f t="shared" si="52"/>
        <v>0</v>
      </c>
      <c r="AL160" s="38">
        <f t="shared" si="49"/>
        <v>0</v>
      </c>
    </row>
    <row r="161" spans="1:38" s="24" customFormat="1" hidden="1">
      <c r="A161" s="472"/>
      <c r="B161" s="21" t="s">
        <v>109</v>
      </c>
      <c r="C161" s="666"/>
      <c r="D161" s="68" t="s">
        <v>505</v>
      </c>
      <c r="E161" s="679"/>
      <c r="F161" s="529">
        <f>VLOOKUP(D161,'May 2013 Revenue'!D:V,19,FALSE)</f>
        <v>0</v>
      </c>
      <c r="G161" s="680"/>
      <c r="H161" s="680"/>
      <c r="I161" s="755"/>
      <c r="J161" s="682">
        <f t="shared" si="43"/>
        <v>0</v>
      </c>
      <c r="K161" s="698"/>
      <c r="L161" s="684"/>
      <c r="M161" s="753"/>
      <c r="N161" s="698">
        <v>0</v>
      </c>
      <c r="O161" s="686"/>
      <c r="P161" s="698">
        <v>0</v>
      </c>
      <c r="Q161" s="700">
        <f t="shared" si="44"/>
        <v>0</v>
      </c>
      <c r="R161" s="700"/>
      <c r="S161" s="700"/>
      <c r="T161" s="688">
        <v>0</v>
      </c>
      <c r="U161" s="701"/>
      <c r="V161" s="690">
        <f t="shared" si="45"/>
        <v>0</v>
      </c>
      <c r="W161" s="698"/>
      <c r="X161" s="474">
        <f t="shared" si="53"/>
        <v>0</v>
      </c>
      <c r="Y161" s="474">
        <f t="shared" si="54"/>
        <v>0</v>
      </c>
      <c r="Z161" s="475">
        <f t="shared" si="55"/>
        <v>0</v>
      </c>
      <c r="AA161" s="475">
        <v>0</v>
      </c>
      <c r="AB161" s="476">
        <v>0</v>
      </c>
      <c r="AC161" s="38">
        <f t="shared" si="56"/>
        <v>0</v>
      </c>
      <c r="AD161" s="692">
        <f t="shared" si="46"/>
        <v>0</v>
      </c>
      <c r="AE161" s="692">
        <f t="shared" si="47"/>
        <v>0</v>
      </c>
      <c r="AF161" s="692">
        <f t="shared" si="48"/>
        <v>0</v>
      </c>
      <c r="AG161" s="38"/>
      <c r="AH161" s="692">
        <f t="shared" si="50"/>
        <v>0</v>
      </c>
      <c r="AI161" s="692">
        <f t="shared" si="51"/>
        <v>0</v>
      </c>
      <c r="AJ161" s="692">
        <f t="shared" si="52"/>
        <v>0</v>
      </c>
      <c r="AL161" s="38">
        <f t="shared" si="49"/>
        <v>0</v>
      </c>
    </row>
    <row r="162" spans="1:38">
      <c r="A162" s="21"/>
      <c r="B162" s="21" t="s">
        <v>110</v>
      </c>
      <c r="C162" s="666"/>
      <c r="D162" s="68" t="s">
        <v>185</v>
      </c>
      <c r="E162" s="679"/>
      <c r="F162" s="529">
        <f>VLOOKUP(D162,'May 2013 Revenue'!D:V,19,FALSE)</f>
        <v>0</v>
      </c>
      <c r="G162" s="680"/>
      <c r="H162" s="680"/>
      <c r="I162" s="755"/>
      <c r="J162" s="682">
        <f t="shared" si="43"/>
        <v>0</v>
      </c>
      <c r="K162" s="683"/>
      <c r="L162" s="684"/>
      <c r="M162" s="753"/>
      <c r="N162" s="683">
        <v>0</v>
      </c>
      <c r="O162" s="686"/>
      <c r="P162" s="683">
        <v>0</v>
      </c>
      <c r="Q162" s="687">
        <f t="shared" si="44"/>
        <v>0</v>
      </c>
      <c r="R162" s="687"/>
      <c r="S162" s="687"/>
      <c r="T162" s="688">
        <v>0</v>
      </c>
      <c r="U162" s="693"/>
      <c r="V162" s="690">
        <f t="shared" si="45"/>
        <v>0</v>
      </c>
      <c r="W162" s="683"/>
      <c r="X162" s="474">
        <f t="shared" si="53"/>
        <v>0</v>
      </c>
      <c r="Y162" s="474">
        <f t="shared" si="54"/>
        <v>0</v>
      </c>
      <c r="Z162" s="475">
        <f t="shared" si="55"/>
        <v>0</v>
      </c>
      <c r="AA162" s="475">
        <v>0</v>
      </c>
      <c r="AB162" s="476">
        <v>0</v>
      </c>
      <c r="AC162" s="38">
        <f t="shared" si="56"/>
        <v>0</v>
      </c>
      <c r="AD162" s="692">
        <f t="shared" si="46"/>
        <v>0</v>
      </c>
      <c r="AE162" s="692">
        <f t="shared" si="47"/>
        <v>0</v>
      </c>
      <c r="AF162" s="692">
        <f t="shared" si="48"/>
        <v>0</v>
      </c>
      <c r="AG162" s="38"/>
      <c r="AH162" s="692">
        <f t="shared" si="50"/>
        <v>0</v>
      </c>
      <c r="AI162" s="692">
        <f t="shared" si="51"/>
        <v>0</v>
      </c>
      <c r="AJ162" s="692">
        <f t="shared" si="52"/>
        <v>0</v>
      </c>
      <c r="AL162" s="38">
        <f t="shared" si="49"/>
        <v>0</v>
      </c>
    </row>
    <row r="163" spans="1:38">
      <c r="A163" s="21"/>
      <c r="B163" s="21" t="s">
        <v>110</v>
      </c>
      <c r="C163" s="21"/>
      <c r="D163" s="68" t="s">
        <v>186</v>
      </c>
      <c r="E163" s="679"/>
      <c r="F163" s="529">
        <f>VLOOKUP(D163,'May 2013 Revenue'!D:V,19,FALSE)</f>
        <v>0</v>
      </c>
      <c r="G163" s="680"/>
      <c r="H163" s="680"/>
      <c r="I163" s="755"/>
      <c r="J163" s="682">
        <f t="shared" si="43"/>
        <v>0</v>
      </c>
      <c r="K163" s="683"/>
      <c r="L163" s="684"/>
      <c r="M163" s="753"/>
      <c r="N163" s="683">
        <v>0</v>
      </c>
      <c r="O163" s="686"/>
      <c r="P163" s="683">
        <v>0</v>
      </c>
      <c r="Q163" s="687">
        <f t="shared" si="44"/>
        <v>0</v>
      </c>
      <c r="R163" s="687"/>
      <c r="S163" s="687"/>
      <c r="T163" s="688">
        <v>0</v>
      </c>
      <c r="U163" s="693"/>
      <c r="V163" s="690">
        <f t="shared" si="45"/>
        <v>0</v>
      </c>
      <c r="W163" s="683"/>
      <c r="X163" s="474">
        <f t="shared" si="53"/>
        <v>0</v>
      </c>
      <c r="Y163" s="474">
        <f t="shared" si="54"/>
        <v>0</v>
      </c>
      <c r="Z163" s="475">
        <f t="shared" si="55"/>
        <v>0</v>
      </c>
      <c r="AA163" s="475">
        <v>0</v>
      </c>
      <c r="AB163" s="476">
        <v>0</v>
      </c>
      <c r="AC163" s="38">
        <f t="shared" si="56"/>
        <v>0</v>
      </c>
      <c r="AD163" s="692">
        <f t="shared" si="46"/>
        <v>0</v>
      </c>
      <c r="AE163" s="692">
        <f t="shared" si="47"/>
        <v>0</v>
      </c>
      <c r="AF163" s="692">
        <f t="shared" si="48"/>
        <v>0</v>
      </c>
      <c r="AG163" s="38"/>
      <c r="AH163" s="692">
        <f t="shared" si="50"/>
        <v>0</v>
      </c>
      <c r="AI163" s="692">
        <f t="shared" si="51"/>
        <v>0</v>
      </c>
      <c r="AJ163" s="692">
        <f t="shared" si="52"/>
        <v>0</v>
      </c>
      <c r="AL163" s="38">
        <f t="shared" si="49"/>
        <v>0</v>
      </c>
    </row>
    <row r="164" spans="1:38">
      <c r="A164" s="21"/>
      <c r="B164" s="21" t="s">
        <v>110</v>
      </c>
      <c r="C164" s="666"/>
      <c r="D164" s="68" t="s">
        <v>449</v>
      </c>
      <c r="E164" s="679"/>
      <c r="F164" s="529">
        <f>VLOOKUP(D164,'May 2013 Revenue'!D:V,19,FALSE)</f>
        <v>0</v>
      </c>
      <c r="G164" s="680"/>
      <c r="H164" s="680"/>
      <c r="I164" s="755"/>
      <c r="J164" s="682">
        <f t="shared" si="43"/>
        <v>0</v>
      </c>
      <c r="K164" s="683"/>
      <c r="L164" s="684"/>
      <c r="M164" s="753"/>
      <c r="N164" s="683">
        <v>0</v>
      </c>
      <c r="O164" s="686"/>
      <c r="P164" s="683">
        <v>0</v>
      </c>
      <c r="Q164" s="687">
        <f t="shared" si="44"/>
        <v>0</v>
      </c>
      <c r="R164" s="687"/>
      <c r="S164" s="687"/>
      <c r="T164" s="688">
        <v>0</v>
      </c>
      <c r="U164" s="693"/>
      <c r="V164" s="690">
        <f t="shared" si="45"/>
        <v>0</v>
      </c>
      <c r="W164" s="683"/>
      <c r="X164" s="474">
        <f t="shared" si="53"/>
        <v>0</v>
      </c>
      <c r="Y164" s="474">
        <f t="shared" si="54"/>
        <v>0</v>
      </c>
      <c r="Z164" s="475">
        <f t="shared" si="55"/>
        <v>0</v>
      </c>
      <c r="AA164" s="475">
        <v>0</v>
      </c>
      <c r="AB164" s="476">
        <v>0</v>
      </c>
      <c r="AC164" s="38">
        <f t="shared" si="56"/>
        <v>0</v>
      </c>
      <c r="AD164" s="692">
        <f t="shared" si="46"/>
        <v>0</v>
      </c>
      <c r="AE164" s="692">
        <f t="shared" si="47"/>
        <v>0</v>
      </c>
      <c r="AF164" s="692">
        <f t="shared" si="48"/>
        <v>0</v>
      </c>
      <c r="AG164" s="38"/>
      <c r="AH164" s="692">
        <f t="shared" si="50"/>
        <v>0</v>
      </c>
      <c r="AI164" s="692">
        <f t="shared" si="51"/>
        <v>0</v>
      </c>
      <c r="AJ164" s="692">
        <f t="shared" si="52"/>
        <v>0</v>
      </c>
      <c r="AL164" s="38">
        <f t="shared" si="49"/>
        <v>0</v>
      </c>
    </row>
    <row r="165" spans="1:38">
      <c r="A165" s="21"/>
      <c r="B165" s="21" t="s">
        <v>110</v>
      </c>
      <c r="C165" s="666" t="s">
        <v>566</v>
      </c>
      <c r="D165" s="68" t="s">
        <v>39</v>
      </c>
      <c r="E165" s="679"/>
      <c r="F165" s="529">
        <f>VLOOKUP(D165,'May 2013 Revenue'!D:V,19,FALSE)</f>
        <v>263.98999999999978</v>
      </c>
      <c r="G165" s="680"/>
      <c r="H165" s="680"/>
      <c r="I165" s="755"/>
      <c r="J165" s="682">
        <f t="shared" si="43"/>
        <v>263.98999999999978</v>
      </c>
      <c r="K165" s="683"/>
      <c r="L165" s="684"/>
      <c r="M165" s="753">
        <v>8000</v>
      </c>
      <c r="N165" s="683">
        <v>0</v>
      </c>
      <c r="O165" s="686"/>
      <c r="P165" s="683">
        <v>0</v>
      </c>
      <c r="Q165" s="687">
        <f t="shared" si="44"/>
        <v>8000</v>
      </c>
      <c r="R165" s="687"/>
      <c r="S165" s="687"/>
      <c r="T165" s="688">
        <v>7801.67</v>
      </c>
      <c r="U165" s="693"/>
      <c r="V165" s="690">
        <f t="shared" si="45"/>
        <v>-198.32999999999993</v>
      </c>
      <c r="W165" s="683"/>
      <c r="X165" s="474">
        <f t="shared" si="53"/>
        <v>8000</v>
      </c>
      <c r="Y165" s="474">
        <f t="shared" si="54"/>
        <v>0</v>
      </c>
      <c r="Z165" s="475">
        <f t="shared" si="55"/>
        <v>0</v>
      </c>
      <c r="AA165" s="475">
        <v>0</v>
      </c>
      <c r="AB165" s="476">
        <v>0</v>
      </c>
      <c r="AC165" s="38">
        <f t="shared" si="56"/>
        <v>0</v>
      </c>
      <c r="AD165" s="692">
        <f t="shared" si="46"/>
        <v>263.98999999999978</v>
      </c>
      <c r="AE165" s="692">
        <f t="shared" si="47"/>
        <v>0</v>
      </c>
      <c r="AF165" s="692">
        <f t="shared" si="48"/>
        <v>0</v>
      </c>
      <c r="AG165" s="38"/>
      <c r="AH165" s="692">
        <f t="shared" si="50"/>
        <v>8000</v>
      </c>
      <c r="AI165" s="692">
        <f t="shared" si="51"/>
        <v>0</v>
      </c>
      <c r="AJ165" s="692">
        <f t="shared" si="52"/>
        <v>0</v>
      </c>
      <c r="AL165" s="38">
        <f t="shared" si="49"/>
        <v>8263.99</v>
      </c>
    </row>
    <row r="166" spans="1:38">
      <c r="A166" s="21"/>
      <c r="B166" s="21" t="s">
        <v>110</v>
      </c>
      <c r="C166" s="666" t="s">
        <v>567</v>
      </c>
      <c r="D166" s="68" t="s">
        <v>435</v>
      </c>
      <c r="E166" s="679"/>
      <c r="F166" s="529">
        <f>VLOOKUP(D166,'May 2013 Revenue'!D:V,19,FALSE)</f>
        <v>54861.320000000007</v>
      </c>
      <c r="G166" s="680"/>
      <c r="H166" s="680"/>
      <c r="I166" s="755"/>
      <c r="J166" s="682">
        <f t="shared" si="43"/>
        <v>54861.320000000007</v>
      </c>
      <c r="K166" s="683"/>
      <c r="L166" s="684"/>
      <c r="M166" s="753">
        <v>95000</v>
      </c>
      <c r="N166" s="683">
        <v>0</v>
      </c>
      <c r="O166" s="686"/>
      <c r="P166" s="683">
        <v>0</v>
      </c>
      <c r="Q166" s="687">
        <f t="shared" si="44"/>
        <v>95000</v>
      </c>
      <c r="R166" s="687"/>
      <c r="S166" s="687"/>
      <c r="T166" s="688">
        <v>105459.43</v>
      </c>
      <c r="U166" s="693"/>
      <c r="V166" s="690">
        <f t="shared" si="45"/>
        <v>10459.429999999993</v>
      </c>
      <c r="W166" s="683"/>
      <c r="X166" s="474">
        <f t="shared" si="53"/>
        <v>95000</v>
      </c>
      <c r="Y166" s="474">
        <f t="shared" si="54"/>
        <v>0</v>
      </c>
      <c r="Z166" s="475">
        <f t="shared" si="55"/>
        <v>0</v>
      </c>
      <c r="AA166" s="475">
        <v>0</v>
      </c>
      <c r="AB166" s="476">
        <v>0</v>
      </c>
      <c r="AC166" s="38">
        <f t="shared" si="56"/>
        <v>0</v>
      </c>
      <c r="AD166" s="692">
        <f t="shared" si="46"/>
        <v>54861.320000000007</v>
      </c>
      <c r="AE166" s="692">
        <f t="shared" si="47"/>
        <v>0</v>
      </c>
      <c r="AF166" s="692">
        <f t="shared" si="48"/>
        <v>0</v>
      </c>
      <c r="AG166" s="38"/>
      <c r="AH166" s="692">
        <f t="shared" si="50"/>
        <v>95000</v>
      </c>
      <c r="AI166" s="692">
        <f t="shared" si="51"/>
        <v>0</v>
      </c>
      <c r="AJ166" s="692">
        <f t="shared" si="52"/>
        <v>0</v>
      </c>
      <c r="AL166" s="38">
        <f t="shared" si="49"/>
        <v>149861.32</v>
      </c>
    </row>
    <row r="167" spans="1:38">
      <c r="A167" s="21"/>
      <c r="B167" s="21" t="s">
        <v>110</v>
      </c>
      <c r="C167" s="675" t="s">
        <v>584</v>
      </c>
      <c r="D167" s="806" t="s">
        <v>99</v>
      </c>
      <c r="E167" s="679"/>
      <c r="F167" s="529">
        <f>VLOOKUP(D167,'May 2013 Revenue'!D:V,19,FALSE)</f>
        <v>-30000</v>
      </c>
      <c r="G167" s="680"/>
      <c r="H167" s="680"/>
      <c r="I167" s="755"/>
      <c r="J167" s="682">
        <f t="shared" si="43"/>
        <v>-30000</v>
      </c>
      <c r="K167" s="683"/>
      <c r="L167" s="684"/>
      <c r="M167" s="753">
        <v>45000</v>
      </c>
      <c r="N167" s="683">
        <v>0</v>
      </c>
      <c r="O167" s="686"/>
      <c r="P167" s="683">
        <v>0</v>
      </c>
      <c r="Q167" s="687">
        <f t="shared" si="44"/>
        <v>45000</v>
      </c>
      <c r="R167" s="687"/>
      <c r="S167" s="687"/>
      <c r="T167" s="688">
        <v>9243.58</v>
      </c>
      <c r="U167" s="693"/>
      <c r="V167" s="690">
        <f t="shared" si="45"/>
        <v>-35756.42</v>
      </c>
      <c r="W167" s="683"/>
      <c r="X167" s="474">
        <f t="shared" si="53"/>
        <v>45000</v>
      </c>
      <c r="Y167" s="474">
        <f t="shared" si="54"/>
        <v>0</v>
      </c>
      <c r="Z167" s="475">
        <f t="shared" si="55"/>
        <v>0</v>
      </c>
      <c r="AA167" s="475">
        <v>0</v>
      </c>
      <c r="AB167" s="476">
        <v>0</v>
      </c>
      <c r="AC167" s="38">
        <f t="shared" si="56"/>
        <v>0</v>
      </c>
      <c r="AD167" s="692">
        <f t="shared" si="46"/>
        <v>-30000</v>
      </c>
      <c r="AE167" s="692">
        <f>IF(B167="M",J167,0)</f>
        <v>0</v>
      </c>
      <c r="AF167" s="692">
        <f t="shared" si="48"/>
        <v>0</v>
      </c>
      <c r="AG167" s="38"/>
      <c r="AH167" s="692">
        <f t="shared" si="50"/>
        <v>45000</v>
      </c>
      <c r="AI167" s="692">
        <f t="shared" si="51"/>
        <v>0</v>
      </c>
      <c r="AJ167" s="692">
        <f t="shared" si="52"/>
        <v>0</v>
      </c>
      <c r="AL167" s="38">
        <f t="shared" si="49"/>
        <v>15000</v>
      </c>
    </row>
    <row r="168" spans="1:38" s="232" customFormat="1">
      <c r="A168" s="403"/>
      <c r="B168" s="403" t="s">
        <v>110</v>
      </c>
      <c r="C168" s="666"/>
      <c r="D168" s="123" t="s">
        <v>378</v>
      </c>
      <c r="E168" s="679"/>
      <c r="F168" s="529">
        <f>VLOOKUP(D168,'May 2013 Revenue'!D:V,19,FALSE)</f>
        <v>0</v>
      </c>
      <c r="G168" s="680"/>
      <c r="H168" s="680"/>
      <c r="I168" s="755"/>
      <c r="J168" s="682">
        <f t="shared" si="43"/>
        <v>0</v>
      </c>
      <c r="K168" s="683"/>
      <c r="L168" s="684"/>
      <c r="M168" s="753"/>
      <c r="N168" s="683">
        <v>0</v>
      </c>
      <c r="O168" s="686"/>
      <c r="P168" s="683">
        <v>0</v>
      </c>
      <c r="Q168" s="687">
        <f t="shared" si="44"/>
        <v>0</v>
      </c>
      <c r="R168" s="687"/>
      <c r="S168" s="687"/>
      <c r="T168" s="688">
        <v>0</v>
      </c>
      <c r="U168" s="693"/>
      <c r="V168" s="690">
        <f t="shared" si="45"/>
        <v>0</v>
      </c>
      <c r="W168" s="683"/>
      <c r="X168" s="474">
        <f t="shared" si="53"/>
        <v>0</v>
      </c>
      <c r="Y168" s="474">
        <f t="shared" si="54"/>
        <v>0</v>
      </c>
      <c r="Z168" s="475">
        <f t="shared" si="55"/>
        <v>0</v>
      </c>
      <c r="AA168" s="475">
        <v>0</v>
      </c>
      <c r="AB168" s="476">
        <v>0</v>
      </c>
      <c r="AC168" s="38">
        <f t="shared" si="56"/>
        <v>0</v>
      </c>
      <c r="AD168" s="692">
        <f t="shared" si="46"/>
        <v>0</v>
      </c>
      <c r="AE168" s="692">
        <f t="shared" si="47"/>
        <v>0</v>
      </c>
      <c r="AF168" s="692">
        <f t="shared" si="48"/>
        <v>0</v>
      </c>
      <c r="AG168" s="38"/>
      <c r="AH168" s="692">
        <f t="shared" si="50"/>
        <v>0</v>
      </c>
      <c r="AI168" s="692">
        <f t="shared" si="51"/>
        <v>0</v>
      </c>
      <c r="AJ168" s="692">
        <f t="shared" si="52"/>
        <v>0</v>
      </c>
      <c r="AL168" s="38">
        <f t="shared" si="49"/>
        <v>0</v>
      </c>
    </row>
    <row r="169" spans="1:38" s="232" customFormat="1">
      <c r="A169" s="403"/>
      <c r="B169" s="403" t="s">
        <v>110</v>
      </c>
      <c r="C169" s="666" t="s">
        <v>568</v>
      </c>
      <c r="D169" s="807" t="s">
        <v>303</v>
      </c>
      <c r="E169" s="679">
        <v>81465.84</v>
      </c>
      <c r="F169" s="529">
        <f>VLOOKUP(D169,'May 2013 Revenue'!D:V,19,FALSE)</f>
        <v>-225000</v>
      </c>
      <c r="G169" s="680"/>
      <c r="H169" s="680"/>
      <c r="I169" s="755"/>
      <c r="J169" s="682">
        <f t="shared" si="43"/>
        <v>-143534.16</v>
      </c>
      <c r="K169" s="683"/>
      <c r="L169" s="684"/>
      <c r="M169" s="753">
        <v>225000</v>
      </c>
      <c r="N169" s="683">
        <v>0</v>
      </c>
      <c r="O169" s="686"/>
      <c r="P169" s="683">
        <v>0</v>
      </c>
      <c r="Q169" s="687">
        <f t="shared" si="44"/>
        <v>225000</v>
      </c>
      <c r="R169" s="687"/>
      <c r="S169" s="687"/>
      <c r="T169" s="688">
        <v>0</v>
      </c>
      <c r="U169" s="693"/>
      <c r="V169" s="690">
        <f t="shared" si="45"/>
        <v>-225000</v>
      </c>
      <c r="W169" s="683"/>
      <c r="X169" s="474">
        <f t="shared" si="53"/>
        <v>225000</v>
      </c>
      <c r="Y169" s="474">
        <f t="shared" si="54"/>
        <v>0</v>
      </c>
      <c r="Z169" s="475">
        <f t="shared" si="55"/>
        <v>0</v>
      </c>
      <c r="AA169" s="475">
        <v>0</v>
      </c>
      <c r="AB169" s="476">
        <v>0</v>
      </c>
      <c r="AC169" s="38">
        <f t="shared" si="56"/>
        <v>0</v>
      </c>
      <c r="AD169" s="692">
        <f t="shared" si="46"/>
        <v>-143534.16</v>
      </c>
      <c r="AE169" s="692">
        <f t="shared" si="47"/>
        <v>0</v>
      </c>
      <c r="AF169" s="692">
        <f t="shared" si="48"/>
        <v>0</v>
      </c>
      <c r="AG169" s="38"/>
      <c r="AH169" s="692">
        <f t="shared" si="50"/>
        <v>225000</v>
      </c>
      <c r="AI169" s="692">
        <f t="shared" si="51"/>
        <v>0</v>
      </c>
      <c r="AJ169" s="692">
        <f t="shared" si="52"/>
        <v>0</v>
      </c>
      <c r="AL169" s="38">
        <f t="shared" si="49"/>
        <v>81465.84</v>
      </c>
    </row>
    <row r="170" spans="1:38" s="232" customFormat="1">
      <c r="A170" s="403"/>
      <c r="B170" s="403" t="s">
        <v>110</v>
      </c>
      <c r="C170" s="666"/>
      <c r="D170" s="807" t="s">
        <v>856</v>
      </c>
      <c r="E170" s="679">
        <f>5492.41+7271.27</f>
        <v>12763.68</v>
      </c>
      <c r="F170" s="529">
        <f>VLOOKUP(D170,'May 2013 Revenue'!D:V,19,FALSE)</f>
        <v>-36000</v>
      </c>
      <c r="G170" s="680"/>
      <c r="H170" s="680"/>
      <c r="I170" s="755"/>
      <c r="J170" s="682">
        <f t="shared" si="43"/>
        <v>-23236.32</v>
      </c>
      <c r="K170" s="683"/>
      <c r="L170" s="684"/>
      <c r="M170" s="753">
        <v>36000</v>
      </c>
      <c r="N170" s="683">
        <v>0</v>
      </c>
      <c r="O170" s="686"/>
      <c r="P170" s="683">
        <v>0</v>
      </c>
      <c r="Q170" s="687">
        <f t="shared" si="44"/>
        <v>36000</v>
      </c>
      <c r="R170" s="687"/>
      <c r="S170" s="687"/>
      <c r="T170" s="688">
        <v>0</v>
      </c>
      <c r="U170" s="693"/>
      <c r="V170" s="690">
        <f t="shared" si="45"/>
        <v>-36000</v>
      </c>
      <c r="W170" s="683"/>
      <c r="X170" s="474">
        <f t="shared" si="53"/>
        <v>36000</v>
      </c>
      <c r="Y170" s="474">
        <f t="shared" si="54"/>
        <v>0</v>
      </c>
      <c r="Z170" s="475">
        <f t="shared" si="55"/>
        <v>0</v>
      </c>
      <c r="AA170" s="475">
        <v>0</v>
      </c>
      <c r="AB170" s="476">
        <v>0</v>
      </c>
      <c r="AC170" s="38">
        <f t="shared" si="56"/>
        <v>0</v>
      </c>
      <c r="AD170" s="692">
        <f t="shared" si="46"/>
        <v>-23236.32</v>
      </c>
      <c r="AE170" s="692">
        <f t="shared" si="47"/>
        <v>0</v>
      </c>
      <c r="AF170" s="692">
        <f t="shared" si="48"/>
        <v>0</v>
      </c>
      <c r="AG170" s="38"/>
      <c r="AH170" s="692">
        <f t="shared" si="50"/>
        <v>36000</v>
      </c>
      <c r="AI170" s="692">
        <f t="shared" si="51"/>
        <v>0</v>
      </c>
      <c r="AJ170" s="692">
        <f t="shared" si="52"/>
        <v>0</v>
      </c>
      <c r="AL170" s="38">
        <f t="shared" si="49"/>
        <v>12763.68</v>
      </c>
    </row>
    <row r="171" spans="1:38" s="232" customFormat="1">
      <c r="A171" s="403"/>
      <c r="B171" s="403" t="s">
        <v>109</v>
      </c>
      <c r="C171" s="666" t="s">
        <v>569</v>
      </c>
      <c r="D171" s="123" t="s">
        <v>468</v>
      </c>
      <c r="E171" s="679"/>
      <c r="F171" s="529">
        <f>VLOOKUP(D171,'May 2013 Revenue'!D:V,19,FALSE)</f>
        <v>0</v>
      </c>
      <c r="G171" s="680"/>
      <c r="H171" s="680"/>
      <c r="I171" s="755"/>
      <c r="J171" s="682">
        <f t="shared" si="43"/>
        <v>0</v>
      </c>
      <c r="K171" s="683"/>
      <c r="L171" s="684"/>
      <c r="M171" s="753"/>
      <c r="N171" s="683">
        <v>0</v>
      </c>
      <c r="O171" s="686"/>
      <c r="P171" s="683">
        <v>0</v>
      </c>
      <c r="Q171" s="687">
        <f t="shared" si="44"/>
        <v>0</v>
      </c>
      <c r="R171" s="687"/>
      <c r="S171" s="687"/>
      <c r="T171" s="688">
        <v>0</v>
      </c>
      <c r="U171" s="693"/>
      <c r="V171" s="690">
        <f t="shared" si="45"/>
        <v>0</v>
      </c>
      <c r="W171" s="683"/>
      <c r="X171" s="474">
        <f t="shared" si="53"/>
        <v>0</v>
      </c>
      <c r="Y171" s="474">
        <f t="shared" si="54"/>
        <v>0</v>
      </c>
      <c r="Z171" s="475">
        <f t="shared" si="55"/>
        <v>0</v>
      </c>
      <c r="AA171" s="475">
        <v>0</v>
      </c>
      <c r="AB171" s="476">
        <v>0</v>
      </c>
      <c r="AC171" s="38">
        <f t="shared" si="56"/>
        <v>0</v>
      </c>
      <c r="AD171" s="692">
        <f t="shared" si="46"/>
        <v>0</v>
      </c>
      <c r="AE171" s="692">
        <f t="shared" si="47"/>
        <v>0</v>
      </c>
      <c r="AF171" s="692">
        <f t="shared" si="48"/>
        <v>0</v>
      </c>
      <c r="AG171" s="38"/>
      <c r="AH171" s="692">
        <f t="shared" si="50"/>
        <v>0</v>
      </c>
      <c r="AI171" s="692">
        <f t="shared" si="51"/>
        <v>0</v>
      </c>
      <c r="AJ171" s="692">
        <f t="shared" si="52"/>
        <v>0</v>
      </c>
      <c r="AL171" s="38">
        <f t="shared" si="49"/>
        <v>0</v>
      </c>
    </row>
    <row r="172" spans="1:38">
      <c r="A172" s="20"/>
      <c r="B172" s="20" t="s">
        <v>110</v>
      </c>
      <c r="C172" s="676" t="s">
        <v>844</v>
      </c>
      <c r="D172" s="68" t="s">
        <v>845</v>
      </c>
      <c r="E172" s="679"/>
      <c r="F172" s="529">
        <f>VLOOKUP(D172,'May 2013 Revenue'!D:V,19,FALSE)</f>
        <v>0</v>
      </c>
      <c r="G172" s="680"/>
      <c r="H172" s="680"/>
      <c r="I172" s="755"/>
      <c r="J172" s="682">
        <f t="shared" si="43"/>
        <v>0</v>
      </c>
      <c r="K172" s="683"/>
      <c r="L172" s="684"/>
      <c r="M172" s="753"/>
      <c r="N172" s="683">
        <v>0</v>
      </c>
      <c r="O172" s="686"/>
      <c r="P172" s="683">
        <v>0</v>
      </c>
      <c r="Q172" s="687">
        <f t="shared" si="44"/>
        <v>0</v>
      </c>
      <c r="R172" s="687"/>
      <c r="S172" s="687"/>
      <c r="T172" s="688">
        <v>0</v>
      </c>
      <c r="U172" s="693"/>
      <c r="V172" s="690">
        <f t="shared" si="45"/>
        <v>0</v>
      </c>
      <c r="W172" s="683"/>
      <c r="X172" s="474">
        <f t="shared" si="53"/>
        <v>0</v>
      </c>
      <c r="Y172" s="474">
        <f t="shared" si="54"/>
        <v>0</v>
      </c>
      <c r="Z172" s="475">
        <f t="shared" si="55"/>
        <v>0</v>
      </c>
      <c r="AA172" s="475">
        <v>0</v>
      </c>
      <c r="AB172" s="476">
        <v>0</v>
      </c>
      <c r="AC172" s="38">
        <f t="shared" si="56"/>
        <v>0</v>
      </c>
      <c r="AD172" s="692">
        <f t="shared" si="46"/>
        <v>0</v>
      </c>
      <c r="AE172" s="692">
        <f t="shared" si="47"/>
        <v>0</v>
      </c>
      <c r="AF172" s="692">
        <f t="shared" si="48"/>
        <v>0</v>
      </c>
      <c r="AG172" s="38"/>
      <c r="AH172" s="692">
        <f t="shared" si="50"/>
        <v>0</v>
      </c>
      <c r="AI172" s="692">
        <f t="shared" si="51"/>
        <v>0</v>
      </c>
      <c r="AJ172" s="692">
        <f t="shared" si="52"/>
        <v>0</v>
      </c>
      <c r="AL172" s="38">
        <f t="shared" si="49"/>
        <v>0</v>
      </c>
    </row>
    <row r="173" spans="1:38">
      <c r="A173" s="20"/>
      <c r="B173" s="20" t="s">
        <v>109</v>
      </c>
      <c r="C173" s="667" t="s">
        <v>570</v>
      </c>
      <c r="D173" s="68" t="s">
        <v>41</v>
      </c>
      <c r="E173" s="679"/>
      <c r="F173" s="529">
        <f>VLOOKUP(D173,'May 2013 Revenue'!D:V,19,FALSE)</f>
        <v>0</v>
      </c>
      <c r="G173" s="680"/>
      <c r="H173" s="680"/>
      <c r="I173" s="755"/>
      <c r="J173" s="682">
        <f t="shared" si="43"/>
        <v>0</v>
      </c>
      <c r="K173" s="683"/>
      <c r="L173" s="684"/>
      <c r="M173" s="753"/>
      <c r="N173" s="683">
        <v>0</v>
      </c>
      <c r="O173" s="686"/>
      <c r="P173" s="683">
        <v>0</v>
      </c>
      <c r="Q173" s="687">
        <f t="shared" si="44"/>
        <v>0</v>
      </c>
      <c r="R173" s="687"/>
      <c r="S173" s="687"/>
      <c r="T173" s="688">
        <v>0</v>
      </c>
      <c r="U173" s="693"/>
      <c r="V173" s="690">
        <f t="shared" si="45"/>
        <v>0</v>
      </c>
      <c r="W173" s="683"/>
      <c r="X173" s="474">
        <f t="shared" si="53"/>
        <v>0</v>
      </c>
      <c r="Y173" s="474">
        <f t="shared" si="54"/>
        <v>0</v>
      </c>
      <c r="Z173" s="475">
        <f t="shared" si="55"/>
        <v>0</v>
      </c>
      <c r="AA173" s="475">
        <v>0</v>
      </c>
      <c r="AB173" s="476">
        <v>0</v>
      </c>
      <c r="AC173" s="38">
        <f t="shared" si="56"/>
        <v>0</v>
      </c>
      <c r="AD173" s="692">
        <f t="shared" si="46"/>
        <v>0</v>
      </c>
      <c r="AE173" s="692">
        <f t="shared" si="47"/>
        <v>0</v>
      </c>
      <c r="AF173" s="692">
        <f t="shared" si="48"/>
        <v>0</v>
      </c>
      <c r="AG173" s="38"/>
      <c r="AH173" s="692">
        <f t="shared" si="50"/>
        <v>0</v>
      </c>
      <c r="AI173" s="692">
        <f t="shared" si="51"/>
        <v>0</v>
      </c>
      <c r="AJ173" s="692">
        <f t="shared" si="52"/>
        <v>0</v>
      </c>
      <c r="AL173" s="38">
        <f t="shared" si="49"/>
        <v>0</v>
      </c>
    </row>
    <row r="174" spans="1:38">
      <c r="A174" s="20"/>
      <c r="B174" s="20" t="s">
        <v>109</v>
      </c>
      <c r="C174" s="667" t="s">
        <v>570</v>
      </c>
      <c r="D174" s="68" t="s">
        <v>221</v>
      </c>
      <c r="E174" s="679"/>
      <c r="F174" s="529">
        <f>VLOOKUP(D174,'May 2013 Revenue'!D:V,19,FALSE)</f>
        <v>0</v>
      </c>
      <c r="G174" s="680"/>
      <c r="H174" s="680"/>
      <c r="I174" s="755"/>
      <c r="J174" s="682">
        <f t="shared" si="43"/>
        <v>0</v>
      </c>
      <c r="K174" s="683"/>
      <c r="L174" s="684"/>
      <c r="M174" s="753"/>
      <c r="N174" s="683">
        <v>0</v>
      </c>
      <c r="O174" s="686"/>
      <c r="P174" s="683">
        <v>0</v>
      </c>
      <c r="Q174" s="687">
        <f t="shared" si="44"/>
        <v>0</v>
      </c>
      <c r="R174" s="687"/>
      <c r="S174" s="687"/>
      <c r="T174" s="688">
        <v>0</v>
      </c>
      <c r="U174" s="693"/>
      <c r="V174" s="690">
        <f t="shared" si="45"/>
        <v>0</v>
      </c>
      <c r="W174" s="683"/>
      <c r="X174" s="474">
        <f t="shared" si="53"/>
        <v>0</v>
      </c>
      <c r="Y174" s="474">
        <f t="shared" si="54"/>
        <v>0</v>
      </c>
      <c r="Z174" s="475">
        <f t="shared" si="55"/>
        <v>0</v>
      </c>
      <c r="AA174" s="475">
        <v>0</v>
      </c>
      <c r="AB174" s="476">
        <v>0</v>
      </c>
      <c r="AC174" s="38">
        <f t="shared" si="56"/>
        <v>0</v>
      </c>
      <c r="AD174" s="692">
        <f t="shared" si="46"/>
        <v>0</v>
      </c>
      <c r="AE174" s="692">
        <f t="shared" si="47"/>
        <v>0</v>
      </c>
      <c r="AF174" s="692">
        <f t="shared" si="48"/>
        <v>0</v>
      </c>
      <c r="AG174" s="38"/>
      <c r="AH174" s="692">
        <f t="shared" si="50"/>
        <v>0</v>
      </c>
      <c r="AI174" s="692">
        <f t="shared" si="51"/>
        <v>0</v>
      </c>
      <c r="AJ174" s="692">
        <f t="shared" si="52"/>
        <v>0</v>
      </c>
      <c r="AL174" s="38">
        <f t="shared" si="49"/>
        <v>0</v>
      </c>
    </row>
    <row r="175" spans="1:38">
      <c r="A175" s="21"/>
      <c r="B175" s="21" t="s">
        <v>110</v>
      </c>
      <c r="C175" s="666"/>
      <c r="D175" s="68" t="s">
        <v>43</v>
      </c>
      <c r="E175" s="679"/>
      <c r="F175" s="529">
        <f>VLOOKUP(D175,'May 2013 Revenue'!D:V,19,FALSE)</f>
        <v>0</v>
      </c>
      <c r="G175" s="680"/>
      <c r="H175" s="680"/>
      <c r="I175" s="755"/>
      <c r="J175" s="682">
        <f t="shared" si="43"/>
        <v>0</v>
      </c>
      <c r="K175" s="683"/>
      <c r="L175" s="684"/>
      <c r="M175" s="753"/>
      <c r="N175" s="683">
        <v>0</v>
      </c>
      <c r="O175" s="686"/>
      <c r="P175" s="683">
        <v>0</v>
      </c>
      <c r="Q175" s="687">
        <f t="shared" si="44"/>
        <v>0</v>
      </c>
      <c r="R175" s="687"/>
      <c r="S175" s="687"/>
      <c r="T175" s="688">
        <v>0</v>
      </c>
      <c r="U175" s="693"/>
      <c r="V175" s="690">
        <f t="shared" si="45"/>
        <v>0</v>
      </c>
      <c r="W175" s="683"/>
      <c r="X175" s="474">
        <f t="shared" si="53"/>
        <v>0</v>
      </c>
      <c r="Y175" s="474">
        <f t="shared" si="54"/>
        <v>0</v>
      </c>
      <c r="Z175" s="475">
        <f t="shared" si="55"/>
        <v>0</v>
      </c>
      <c r="AA175" s="475">
        <v>0</v>
      </c>
      <c r="AB175" s="476">
        <v>0</v>
      </c>
      <c r="AC175" s="38">
        <f t="shared" si="56"/>
        <v>0</v>
      </c>
      <c r="AD175" s="692">
        <f t="shared" si="46"/>
        <v>0</v>
      </c>
      <c r="AE175" s="692">
        <f t="shared" si="47"/>
        <v>0</v>
      </c>
      <c r="AF175" s="692">
        <f t="shared" si="48"/>
        <v>0</v>
      </c>
      <c r="AG175" s="38"/>
      <c r="AH175" s="692">
        <f t="shared" si="50"/>
        <v>0</v>
      </c>
      <c r="AI175" s="692">
        <f t="shared" si="51"/>
        <v>0</v>
      </c>
      <c r="AJ175" s="692">
        <f t="shared" si="52"/>
        <v>0</v>
      </c>
      <c r="AL175" s="38">
        <f t="shared" si="49"/>
        <v>0</v>
      </c>
    </row>
    <row r="176" spans="1:38">
      <c r="A176" s="21"/>
      <c r="B176" s="21" t="s">
        <v>109</v>
      </c>
      <c r="C176" s="666" t="s">
        <v>571</v>
      </c>
      <c r="D176" s="68" t="s">
        <v>44</v>
      </c>
      <c r="E176" s="679"/>
      <c r="F176" s="529">
        <f>VLOOKUP(D176,'May 2013 Revenue'!D:V,19,FALSE)</f>
        <v>0</v>
      </c>
      <c r="G176" s="680"/>
      <c r="H176" s="680"/>
      <c r="I176" s="755"/>
      <c r="J176" s="682">
        <f t="shared" si="43"/>
        <v>0</v>
      </c>
      <c r="K176" s="683"/>
      <c r="L176" s="684"/>
      <c r="M176" s="753">
        <v>10000</v>
      </c>
      <c r="N176" s="683">
        <v>0</v>
      </c>
      <c r="O176" s="686"/>
      <c r="P176" s="683">
        <v>0</v>
      </c>
      <c r="Q176" s="687">
        <f t="shared" si="44"/>
        <v>10000</v>
      </c>
      <c r="R176" s="687"/>
      <c r="S176" s="687"/>
      <c r="T176" s="688">
        <v>0</v>
      </c>
      <c r="U176" s="693"/>
      <c r="V176" s="690">
        <f t="shared" si="45"/>
        <v>-10000</v>
      </c>
      <c r="W176" s="683"/>
      <c r="X176" s="474">
        <f t="shared" si="53"/>
        <v>0</v>
      </c>
      <c r="Y176" s="474">
        <f t="shared" si="54"/>
        <v>10000</v>
      </c>
      <c r="Z176" s="475">
        <f t="shared" si="55"/>
        <v>0</v>
      </c>
      <c r="AA176" s="475">
        <v>0</v>
      </c>
      <c r="AB176" s="476">
        <v>0</v>
      </c>
      <c r="AC176" s="38">
        <f t="shared" si="56"/>
        <v>0</v>
      </c>
      <c r="AD176" s="692">
        <f t="shared" si="46"/>
        <v>0</v>
      </c>
      <c r="AE176" s="692">
        <f t="shared" si="47"/>
        <v>0</v>
      </c>
      <c r="AF176" s="692">
        <f t="shared" si="48"/>
        <v>0</v>
      </c>
      <c r="AG176" s="38"/>
      <c r="AH176" s="692">
        <f t="shared" si="50"/>
        <v>0</v>
      </c>
      <c r="AI176" s="692">
        <f t="shared" si="51"/>
        <v>10000</v>
      </c>
      <c r="AJ176" s="692">
        <f t="shared" si="52"/>
        <v>0</v>
      </c>
      <c r="AL176" s="38">
        <f t="shared" si="49"/>
        <v>10000</v>
      </c>
    </row>
    <row r="177" spans="1:38">
      <c r="A177" s="21"/>
      <c r="B177" s="21" t="s">
        <v>114</v>
      </c>
      <c r="C177" s="666" t="s">
        <v>571</v>
      </c>
      <c r="D177" s="68" t="s">
        <v>44</v>
      </c>
      <c r="E177" s="679"/>
      <c r="F177" s="529">
        <v>-5000</v>
      </c>
      <c r="G177" s="680"/>
      <c r="H177" s="680"/>
      <c r="I177" s="755"/>
      <c r="J177" s="682">
        <f t="shared" si="43"/>
        <v>-5000</v>
      </c>
      <c r="K177" s="683"/>
      <c r="L177" s="684"/>
      <c r="M177" s="753">
        <v>0</v>
      </c>
      <c r="N177" s="683">
        <v>0</v>
      </c>
      <c r="O177" s="686"/>
      <c r="P177" s="683">
        <v>0</v>
      </c>
      <c r="Q177" s="687">
        <f t="shared" si="44"/>
        <v>0</v>
      </c>
      <c r="R177" s="687"/>
      <c r="S177" s="687"/>
      <c r="T177" s="688">
        <v>0</v>
      </c>
      <c r="U177" s="693"/>
      <c r="V177" s="690">
        <f t="shared" si="45"/>
        <v>0</v>
      </c>
      <c r="W177" s="683"/>
      <c r="X177" s="474">
        <f t="shared" si="53"/>
        <v>0</v>
      </c>
      <c r="Y177" s="474">
        <f t="shared" si="54"/>
        <v>0</v>
      </c>
      <c r="Z177" s="475">
        <f t="shared" si="55"/>
        <v>0</v>
      </c>
      <c r="AA177" s="475">
        <v>0</v>
      </c>
      <c r="AB177" s="476">
        <v>0</v>
      </c>
      <c r="AC177" s="38">
        <f t="shared" si="56"/>
        <v>0</v>
      </c>
      <c r="AD177" s="692">
        <f t="shared" si="46"/>
        <v>0</v>
      </c>
      <c r="AE177" s="692">
        <f t="shared" si="47"/>
        <v>0</v>
      </c>
      <c r="AF177" s="692">
        <f t="shared" si="48"/>
        <v>-5000</v>
      </c>
      <c r="AG177" s="38"/>
      <c r="AH177" s="692">
        <f t="shared" si="50"/>
        <v>0</v>
      </c>
      <c r="AI177" s="692">
        <f t="shared" si="51"/>
        <v>0</v>
      </c>
      <c r="AJ177" s="692">
        <f t="shared" si="52"/>
        <v>0</v>
      </c>
      <c r="AL177" s="38">
        <f t="shared" si="49"/>
        <v>-5000</v>
      </c>
    </row>
    <row r="178" spans="1:38">
      <c r="A178" s="21"/>
      <c r="B178" s="21" t="s">
        <v>110</v>
      </c>
      <c r="C178" s="666" t="s">
        <v>572</v>
      </c>
      <c r="D178" s="806" t="s">
        <v>388</v>
      </c>
      <c r="E178" s="679"/>
      <c r="F178" s="529">
        <f>VLOOKUP(D178,'May 2013 Revenue'!D:V,19,FALSE)</f>
        <v>-8000</v>
      </c>
      <c r="G178" s="680"/>
      <c r="H178" s="680"/>
      <c r="I178" s="755"/>
      <c r="J178" s="682">
        <f t="shared" si="43"/>
        <v>-8000</v>
      </c>
      <c r="K178" s="683"/>
      <c r="L178" s="684"/>
      <c r="M178" s="753">
        <v>16000</v>
      </c>
      <c r="N178" s="683">
        <v>0</v>
      </c>
      <c r="O178" s="686"/>
      <c r="P178" s="683">
        <v>0</v>
      </c>
      <c r="Q178" s="687">
        <f t="shared" si="44"/>
        <v>16000</v>
      </c>
      <c r="R178" s="687"/>
      <c r="S178" s="687"/>
      <c r="T178" s="688">
        <v>0</v>
      </c>
      <c r="U178" s="693"/>
      <c r="V178" s="690">
        <f t="shared" si="45"/>
        <v>-16000</v>
      </c>
      <c r="W178" s="683"/>
      <c r="X178" s="474">
        <f t="shared" si="53"/>
        <v>16000</v>
      </c>
      <c r="Y178" s="474">
        <f t="shared" si="54"/>
        <v>0</v>
      </c>
      <c r="Z178" s="475">
        <f t="shared" si="55"/>
        <v>0</v>
      </c>
      <c r="AA178" s="475">
        <v>0</v>
      </c>
      <c r="AB178" s="476">
        <v>0</v>
      </c>
      <c r="AC178" s="38">
        <f t="shared" si="56"/>
        <v>0</v>
      </c>
      <c r="AD178" s="692">
        <f t="shared" si="46"/>
        <v>-8000</v>
      </c>
      <c r="AE178" s="692">
        <f t="shared" si="47"/>
        <v>0</v>
      </c>
      <c r="AF178" s="692">
        <f t="shared" si="48"/>
        <v>0</v>
      </c>
      <c r="AG178" s="38"/>
      <c r="AH178" s="692">
        <f t="shared" si="50"/>
        <v>16000</v>
      </c>
      <c r="AI178" s="692">
        <f t="shared" si="51"/>
        <v>0</v>
      </c>
      <c r="AJ178" s="692">
        <f t="shared" si="52"/>
        <v>0</v>
      </c>
      <c r="AL178" s="38">
        <f t="shared" si="49"/>
        <v>8000</v>
      </c>
    </row>
    <row r="179" spans="1:38">
      <c r="A179" s="20"/>
      <c r="B179" s="20" t="s">
        <v>109</v>
      </c>
      <c r="C179" s="667"/>
      <c r="D179" s="806" t="s">
        <v>842</v>
      </c>
      <c r="E179" s="679"/>
      <c r="F179" s="529">
        <f>VLOOKUP(D179,'May 2013 Revenue'!D:V,19,FALSE)</f>
        <v>-62000</v>
      </c>
      <c r="G179" s="680"/>
      <c r="H179" s="680"/>
      <c r="I179" s="755"/>
      <c r="J179" s="682">
        <f t="shared" si="43"/>
        <v>-62000</v>
      </c>
      <c r="K179" s="683"/>
      <c r="L179" s="684"/>
      <c r="M179" s="753">
        <v>75000</v>
      </c>
      <c r="N179" s="683">
        <v>0</v>
      </c>
      <c r="O179" s="686"/>
      <c r="P179" s="683">
        <v>0</v>
      </c>
      <c r="Q179" s="687">
        <f t="shared" si="44"/>
        <v>75000</v>
      </c>
      <c r="R179" s="687"/>
      <c r="S179" s="687"/>
      <c r="T179" s="688">
        <v>0</v>
      </c>
      <c r="U179" s="693"/>
      <c r="V179" s="690">
        <f t="shared" si="45"/>
        <v>-75000</v>
      </c>
      <c r="W179" s="683"/>
      <c r="X179" s="474">
        <f t="shared" si="53"/>
        <v>0</v>
      </c>
      <c r="Y179" s="474">
        <f t="shared" si="54"/>
        <v>75000</v>
      </c>
      <c r="Z179" s="475">
        <f t="shared" si="55"/>
        <v>0</v>
      </c>
      <c r="AA179" s="475">
        <v>0</v>
      </c>
      <c r="AB179" s="476">
        <v>0</v>
      </c>
      <c r="AC179" s="38">
        <f t="shared" si="56"/>
        <v>0</v>
      </c>
      <c r="AD179" s="692">
        <f t="shared" si="46"/>
        <v>0</v>
      </c>
      <c r="AE179" s="692">
        <f t="shared" si="47"/>
        <v>-62000</v>
      </c>
      <c r="AF179" s="692">
        <f t="shared" si="48"/>
        <v>0</v>
      </c>
      <c r="AG179" s="38"/>
      <c r="AH179" s="692">
        <f t="shared" si="50"/>
        <v>0</v>
      </c>
      <c r="AI179" s="692">
        <f t="shared" si="51"/>
        <v>75000</v>
      </c>
      <c r="AJ179" s="692">
        <f t="shared" si="52"/>
        <v>0</v>
      </c>
      <c r="AL179" s="38">
        <f t="shared" si="49"/>
        <v>13000</v>
      </c>
    </row>
    <row r="180" spans="1:38">
      <c r="A180" s="21"/>
      <c r="B180" s="21" t="s">
        <v>110</v>
      </c>
      <c r="C180" s="666"/>
      <c r="D180" s="68" t="s">
        <v>45</v>
      </c>
      <c r="E180" s="679"/>
      <c r="F180" s="529">
        <f>VLOOKUP(D180,'May 2013 Revenue'!D:V,19,FALSE)</f>
        <v>77851.8</v>
      </c>
      <c r="G180" s="680"/>
      <c r="H180" s="680"/>
      <c r="I180" s="755"/>
      <c r="J180" s="682">
        <f t="shared" si="43"/>
        <v>77851.8</v>
      </c>
      <c r="K180" s="683"/>
      <c r="L180" s="684"/>
      <c r="M180" s="753">
        <v>90000</v>
      </c>
      <c r="N180" s="683">
        <v>0</v>
      </c>
      <c r="O180" s="686"/>
      <c r="P180" s="683">
        <v>0</v>
      </c>
      <c r="Q180" s="687">
        <f t="shared" si="44"/>
        <v>90000</v>
      </c>
      <c r="R180" s="687"/>
      <c r="S180" s="687"/>
      <c r="T180" s="688">
        <f>65994.32+3589.19</f>
        <v>69583.510000000009</v>
      </c>
      <c r="U180" s="693"/>
      <c r="V180" s="690">
        <f t="shared" si="45"/>
        <v>-20416.489999999991</v>
      </c>
      <c r="W180" s="683"/>
      <c r="X180" s="474">
        <f t="shared" si="53"/>
        <v>90000</v>
      </c>
      <c r="Y180" s="474">
        <f t="shared" si="54"/>
        <v>0</v>
      </c>
      <c r="Z180" s="475">
        <f t="shared" si="55"/>
        <v>0</v>
      </c>
      <c r="AA180" s="475">
        <v>0</v>
      </c>
      <c r="AB180" s="476">
        <v>0</v>
      </c>
      <c r="AC180" s="38">
        <f t="shared" si="56"/>
        <v>0</v>
      </c>
      <c r="AD180" s="692">
        <f t="shared" si="46"/>
        <v>77851.8</v>
      </c>
      <c r="AE180" s="692">
        <f t="shared" si="47"/>
        <v>0</v>
      </c>
      <c r="AF180" s="692">
        <f t="shared" si="48"/>
        <v>0</v>
      </c>
      <c r="AG180" s="38"/>
      <c r="AH180" s="692">
        <f t="shared" si="50"/>
        <v>90000</v>
      </c>
      <c r="AI180" s="692">
        <f t="shared" si="51"/>
        <v>0</v>
      </c>
      <c r="AJ180" s="692">
        <f t="shared" si="52"/>
        <v>0</v>
      </c>
      <c r="AL180" s="38">
        <f t="shared" si="49"/>
        <v>167851.8</v>
      </c>
    </row>
    <row r="181" spans="1:38">
      <c r="A181" s="20" t="s">
        <v>211</v>
      </c>
      <c r="B181" s="20" t="s">
        <v>109</v>
      </c>
      <c r="C181" s="667"/>
      <c r="D181" s="68" t="s">
        <v>923</v>
      </c>
      <c r="E181" s="679"/>
      <c r="F181" s="529">
        <f>VLOOKUP(D181,'May 2013 Revenue'!D:V,19,FALSE)</f>
        <v>0</v>
      </c>
      <c r="G181" s="680"/>
      <c r="H181" s="680"/>
      <c r="I181" s="755"/>
      <c r="J181" s="682">
        <f t="shared" si="43"/>
        <v>0</v>
      </c>
      <c r="K181" s="683"/>
      <c r="L181" s="684"/>
      <c r="M181" s="753"/>
      <c r="N181" s="683">
        <v>0</v>
      </c>
      <c r="O181" s="686"/>
      <c r="P181" s="683">
        <v>0</v>
      </c>
      <c r="Q181" s="687">
        <f t="shared" si="44"/>
        <v>0</v>
      </c>
      <c r="R181" s="687"/>
      <c r="S181" s="687"/>
      <c r="T181" s="688">
        <v>0</v>
      </c>
      <c r="U181" s="693"/>
      <c r="V181" s="690">
        <f t="shared" si="45"/>
        <v>0</v>
      </c>
      <c r="W181" s="697"/>
      <c r="X181" s="474">
        <f t="shared" si="53"/>
        <v>0</v>
      </c>
      <c r="Y181" s="474">
        <f t="shared" si="54"/>
        <v>0</v>
      </c>
      <c r="Z181" s="475">
        <f t="shared" si="55"/>
        <v>0</v>
      </c>
      <c r="AA181" s="475">
        <v>0</v>
      </c>
      <c r="AB181" s="476">
        <v>0</v>
      </c>
      <c r="AC181" s="38">
        <f t="shared" si="56"/>
        <v>0</v>
      </c>
      <c r="AD181" s="692">
        <f t="shared" si="46"/>
        <v>0</v>
      </c>
      <c r="AE181" s="692">
        <f t="shared" si="47"/>
        <v>0</v>
      </c>
      <c r="AF181" s="692">
        <f t="shared" si="48"/>
        <v>0</v>
      </c>
      <c r="AG181" s="38"/>
      <c r="AH181" s="692">
        <f t="shared" si="50"/>
        <v>0</v>
      </c>
      <c r="AI181" s="692">
        <f t="shared" si="51"/>
        <v>0</v>
      </c>
      <c r="AJ181" s="692">
        <f t="shared" si="52"/>
        <v>0</v>
      </c>
      <c r="AL181" s="38">
        <f t="shared" si="49"/>
        <v>0</v>
      </c>
    </row>
    <row r="182" spans="1:38">
      <c r="A182" s="20"/>
      <c r="B182" s="20" t="s">
        <v>110</v>
      </c>
      <c r="C182" s="667" t="s">
        <v>573</v>
      </c>
      <c r="D182" s="68" t="s">
        <v>102</v>
      </c>
      <c r="E182" s="679"/>
      <c r="F182" s="529">
        <f>VLOOKUP(D182,'May 2013 Revenue'!D:V,19,FALSE)</f>
        <v>-22662.969999999739</v>
      </c>
      <c r="G182" s="680"/>
      <c r="H182" s="680"/>
      <c r="I182" s="755"/>
      <c r="J182" s="682">
        <f t="shared" si="43"/>
        <v>-22662.969999999739</v>
      </c>
      <c r="K182" s="683"/>
      <c r="L182" s="684"/>
      <c r="M182" s="753">
        <v>2520000</v>
      </c>
      <c r="N182" s="683">
        <v>0</v>
      </c>
      <c r="O182" s="686"/>
      <c r="P182" s="683">
        <v>0</v>
      </c>
      <c r="Q182" s="687">
        <f t="shared" si="44"/>
        <v>2520000</v>
      </c>
      <c r="R182" s="687"/>
      <c r="S182" s="687"/>
      <c r="T182" s="688">
        <f>2587389.58+54569.33+325.82</f>
        <v>2642284.73</v>
      </c>
      <c r="U182" s="693"/>
      <c r="V182" s="690">
        <f t="shared" si="45"/>
        <v>122284.72999999998</v>
      </c>
      <c r="W182" s="697"/>
      <c r="X182" s="474">
        <f t="shared" si="53"/>
        <v>2520000</v>
      </c>
      <c r="Y182" s="474">
        <f t="shared" si="54"/>
        <v>0</v>
      </c>
      <c r="Z182" s="475">
        <f t="shared" si="55"/>
        <v>0</v>
      </c>
      <c r="AA182" s="475">
        <v>0</v>
      </c>
      <c r="AB182" s="476">
        <v>0</v>
      </c>
      <c r="AC182" s="38">
        <f t="shared" si="56"/>
        <v>0</v>
      </c>
      <c r="AD182" s="692">
        <f t="shared" si="46"/>
        <v>-22662.969999999739</v>
      </c>
      <c r="AE182" s="692">
        <f t="shared" si="47"/>
        <v>0</v>
      </c>
      <c r="AF182" s="692">
        <f t="shared" si="48"/>
        <v>0</v>
      </c>
      <c r="AG182" s="38"/>
      <c r="AH182" s="692">
        <f t="shared" si="50"/>
        <v>2520000</v>
      </c>
      <c r="AI182" s="692">
        <f t="shared" si="51"/>
        <v>0</v>
      </c>
      <c r="AJ182" s="692">
        <f t="shared" si="52"/>
        <v>0</v>
      </c>
      <c r="AL182" s="38">
        <f t="shared" si="49"/>
        <v>2497337.0300000003</v>
      </c>
    </row>
    <row r="183" spans="1:38">
      <c r="A183" s="20"/>
      <c r="B183" s="20" t="s">
        <v>110</v>
      </c>
      <c r="C183" s="667" t="s">
        <v>573</v>
      </c>
      <c r="D183" s="68" t="s">
        <v>511</v>
      </c>
      <c r="E183" s="679"/>
      <c r="F183" s="529">
        <f>VLOOKUP(D183,'May 2013 Revenue'!D:V,19,FALSE)</f>
        <v>706.33</v>
      </c>
      <c r="G183" s="680"/>
      <c r="H183" s="680"/>
      <c r="I183" s="755"/>
      <c r="J183" s="682">
        <f t="shared" si="43"/>
        <v>706.33</v>
      </c>
      <c r="K183" s="683"/>
      <c r="L183" s="684"/>
      <c r="M183" s="753"/>
      <c r="N183" s="683">
        <v>0</v>
      </c>
      <c r="O183" s="686"/>
      <c r="P183" s="683">
        <v>0</v>
      </c>
      <c r="Q183" s="687">
        <f t="shared" si="44"/>
        <v>0</v>
      </c>
      <c r="R183" s="687"/>
      <c r="S183" s="687"/>
      <c r="T183" s="688">
        <v>0</v>
      </c>
      <c r="U183" s="693"/>
      <c r="V183" s="690">
        <f t="shared" si="45"/>
        <v>0</v>
      </c>
      <c r="W183" s="697"/>
      <c r="X183" s="474">
        <f t="shared" si="53"/>
        <v>0</v>
      </c>
      <c r="Y183" s="474">
        <f t="shared" si="54"/>
        <v>0</v>
      </c>
      <c r="Z183" s="475">
        <f t="shared" si="55"/>
        <v>0</v>
      </c>
      <c r="AA183" s="475">
        <v>0</v>
      </c>
      <c r="AB183" s="476">
        <v>0</v>
      </c>
      <c r="AC183" s="38">
        <f t="shared" si="56"/>
        <v>0</v>
      </c>
      <c r="AD183" s="692">
        <f t="shared" si="46"/>
        <v>706.33</v>
      </c>
      <c r="AE183" s="692">
        <f t="shared" si="47"/>
        <v>0</v>
      </c>
      <c r="AF183" s="692">
        <f t="shared" si="48"/>
        <v>0</v>
      </c>
      <c r="AG183" s="38"/>
      <c r="AH183" s="692">
        <f t="shared" si="50"/>
        <v>0</v>
      </c>
      <c r="AI183" s="692">
        <f t="shared" si="51"/>
        <v>0</v>
      </c>
      <c r="AJ183" s="692">
        <f t="shared" si="52"/>
        <v>0</v>
      </c>
      <c r="AL183" s="38">
        <f t="shared" si="49"/>
        <v>706.33</v>
      </c>
    </row>
    <row r="184" spans="1:38">
      <c r="A184" s="21"/>
      <c r="B184" s="21" t="s">
        <v>110</v>
      </c>
      <c r="C184" s="666"/>
      <c r="D184" s="68" t="s">
        <v>50</v>
      </c>
      <c r="E184" s="679"/>
      <c r="F184" s="529">
        <f>VLOOKUP(D184,'May 2013 Revenue'!D:V,19,FALSE)</f>
        <v>0</v>
      </c>
      <c r="G184" s="680"/>
      <c r="H184" s="680"/>
      <c r="I184" s="770">
        <v>858.08</v>
      </c>
      <c r="J184" s="682">
        <f t="shared" si="43"/>
        <v>858.08</v>
      </c>
      <c r="K184" s="683"/>
      <c r="L184" s="684"/>
      <c r="M184" s="753"/>
      <c r="N184" s="683">
        <v>0</v>
      </c>
      <c r="O184" s="686"/>
      <c r="P184" s="683">
        <v>0</v>
      </c>
      <c r="Q184" s="687">
        <f t="shared" si="44"/>
        <v>0</v>
      </c>
      <c r="R184" s="687"/>
      <c r="S184" s="687"/>
      <c r="T184" s="688">
        <v>0</v>
      </c>
      <c r="U184" s="693"/>
      <c r="V184" s="690">
        <f t="shared" si="45"/>
        <v>0</v>
      </c>
      <c r="W184" s="683"/>
      <c r="X184" s="474">
        <f t="shared" si="53"/>
        <v>0</v>
      </c>
      <c r="Y184" s="474">
        <f t="shared" si="54"/>
        <v>0</v>
      </c>
      <c r="Z184" s="475">
        <f t="shared" si="55"/>
        <v>0</v>
      </c>
      <c r="AA184" s="475">
        <v>0</v>
      </c>
      <c r="AB184" s="476">
        <v>0</v>
      </c>
      <c r="AC184" s="38">
        <f t="shared" si="56"/>
        <v>0</v>
      </c>
      <c r="AD184" s="692">
        <f t="shared" si="46"/>
        <v>858.08</v>
      </c>
      <c r="AE184" s="692">
        <f t="shared" si="47"/>
        <v>0</v>
      </c>
      <c r="AF184" s="692">
        <f t="shared" si="48"/>
        <v>0</v>
      </c>
      <c r="AG184" s="38"/>
      <c r="AH184" s="692">
        <f t="shared" si="50"/>
        <v>0</v>
      </c>
      <c r="AI184" s="692">
        <f t="shared" si="51"/>
        <v>0</v>
      </c>
      <c r="AJ184" s="692">
        <f t="shared" si="52"/>
        <v>0</v>
      </c>
      <c r="AL184" s="38">
        <f t="shared" si="49"/>
        <v>858.08</v>
      </c>
    </row>
    <row r="185" spans="1:38">
      <c r="A185" s="21"/>
      <c r="B185" s="21" t="s">
        <v>109</v>
      </c>
      <c r="C185" s="666"/>
      <c r="D185" s="68" t="s">
        <v>51</v>
      </c>
      <c r="E185" s="679"/>
      <c r="F185" s="529">
        <f>VLOOKUP(D185,'May 2013 Revenue'!D:V,19,FALSE)</f>
        <v>0</v>
      </c>
      <c r="G185" s="680"/>
      <c r="H185" s="680"/>
      <c r="I185" s="755"/>
      <c r="J185" s="682">
        <f t="shared" si="43"/>
        <v>0</v>
      </c>
      <c r="K185" s="683"/>
      <c r="L185" s="684"/>
      <c r="M185" s="753"/>
      <c r="N185" s="683">
        <v>0</v>
      </c>
      <c r="O185" s="686"/>
      <c r="P185" s="683">
        <v>0</v>
      </c>
      <c r="Q185" s="687">
        <f t="shared" si="44"/>
        <v>0</v>
      </c>
      <c r="R185" s="687"/>
      <c r="S185" s="687"/>
      <c r="T185" s="688">
        <v>0</v>
      </c>
      <c r="U185" s="693"/>
      <c r="V185" s="690">
        <f t="shared" si="45"/>
        <v>0</v>
      </c>
      <c r="W185" s="683"/>
      <c r="X185" s="474">
        <f t="shared" si="53"/>
        <v>0</v>
      </c>
      <c r="Y185" s="474">
        <f t="shared" si="54"/>
        <v>0</v>
      </c>
      <c r="Z185" s="475">
        <f t="shared" si="55"/>
        <v>0</v>
      </c>
      <c r="AA185" s="475">
        <v>0</v>
      </c>
      <c r="AB185" s="476">
        <v>0</v>
      </c>
      <c r="AC185" s="38">
        <f t="shared" si="56"/>
        <v>0</v>
      </c>
      <c r="AD185" s="692">
        <f t="shared" si="46"/>
        <v>0</v>
      </c>
      <c r="AE185" s="692">
        <f t="shared" si="47"/>
        <v>0</v>
      </c>
      <c r="AF185" s="692">
        <f t="shared" si="48"/>
        <v>0</v>
      </c>
      <c r="AG185" s="38"/>
      <c r="AH185" s="692">
        <f t="shared" si="50"/>
        <v>0</v>
      </c>
      <c r="AI185" s="692">
        <f t="shared" si="51"/>
        <v>0</v>
      </c>
      <c r="AJ185" s="692">
        <f t="shared" si="52"/>
        <v>0</v>
      </c>
      <c r="AL185" s="38">
        <f t="shared" si="49"/>
        <v>0</v>
      </c>
    </row>
    <row r="186" spans="1:38">
      <c r="A186" s="21"/>
      <c r="B186" s="21" t="s">
        <v>109</v>
      </c>
      <c r="C186" s="666"/>
      <c r="D186" s="68" t="s">
        <v>107</v>
      </c>
      <c r="E186" s="679"/>
      <c r="F186" s="529">
        <f>VLOOKUP(D186,'May 2013 Revenue'!D:V,19,FALSE)</f>
        <v>0</v>
      </c>
      <c r="G186" s="680"/>
      <c r="H186" s="680"/>
      <c r="I186" s="755"/>
      <c r="J186" s="682">
        <f t="shared" si="43"/>
        <v>0</v>
      </c>
      <c r="K186" s="683"/>
      <c r="L186" s="684"/>
      <c r="M186" s="753"/>
      <c r="N186" s="683">
        <v>0</v>
      </c>
      <c r="O186" s="686"/>
      <c r="P186" s="683">
        <v>0</v>
      </c>
      <c r="Q186" s="687">
        <f t="shared" si="44"/>
        <v>0</v>
      </c>
      <c r="R186" s="687"/>
      <c r="S186" s="687"/>
      <c r="T186" s="688">
        <v>0</v>
      </c>
      <c r="U186" s="693"/>
      <c r="V186" s="690">
        <f t="shared" si="45"/>
        <v>0</v>
      </c>
      <c r="W186" s="683"/>
      <c r="X186" s="474">
        <f t="shared" si="53"/>
        <v>0</v>
      </c>
      <c r="Y186" s="474">
        <f t="shared" si="54"/>
        <v>0</v>
      </c>
      <c r="Z186" s="475">
        <f t="shared" si="55"/>
        <v>0</v>
      </c>
      <c r="AA186" s="475">
        <v>0</v>
      </c>
      <c r="AB186" s="476">
        <v>0</v>
      </c>
      <c r="AC186" s="38">
        <f t="shared" si="56"/>
        <v>0</v>
      </c>
      <c r="AD186" s="692">
        <f t="shared" si="46"/>
        <v>0</v>
      </c>
      <c r="AE186" s="692">
        <f t="shared" si="47"/>
        <v>0</v>
      </c>
      <c r="AF186" s="692">
        <f t="shared" si="48"/>
        <v>0</v>
      </c>
      <c r="AG186" s="38"/>
      <c r="AH186" s="692">
        <f t="shared" si="50"/>
        <v>0</v>
      </c>
      <c r="AI186" s="692">
        <f t="shared" si="51"/>
        <v>0</v>
      </c>
      <c r="AJ186" s="692">
        <f t="shared" si="52"/>
        <v>0</v>
      </c>
      <c r="AL186" s="38">
        <f t="shared" si="49"/>
        <v>0</v>
      </c>
    </row>
    <row r="187" spans="1:38">
      <c r="A187" s="21"/>
      <c r="B187" s="21" t="s">
        <v>109</v>
      </c>
      <c r="C187" s="666"/>
      <c r="D187" s="68" t="s">
        <v>467</v>
      </c>
      <c r="E187" s="679"/>
      <c r="F187" s="529">
        <f>VLOOKUP(D187,'May 2013 Revenue'!D:V,19,FALSE)</f>
        <v>0</v>
      </c>
      <c r="G187" s="680"/>
      <c r="H187" s="680"/>
      <c r="I187" s="755"/>
      <c r="J187" s="682">
        <f t="shared" si="43"/>
        <v>0</v>
      </c>
      <c r="K187" s="683"/>
      <c r="L187" s="684"/>
      <c r="M187" s="753"/>
      <c r="N187" s="683">
        <v>0</v>
      </c>
      <c r="O187" s="686"/>
      <c r="P187" s="683">
        <v>0</v>
      </c>
      <c r="Q187" s="687">
        <f t="shared" si="44"/>
        <v>0</v>
      </c>
      <c r="R187" s="687"/>
      <c r="S187" s="687"/>
      <c r="T187" s="688">
        <v>0</v>
      </c>
      <c r="U187" s="693"/>
      <c r="V187" s="690">
        <f t="shared" si="45"/>
        <v>0</v>
      </c>
      <c r="W187" s="683"/>
      <c r="X187" s="474">
        <f t="shared" si="53"/>
        <v>0</v>
      </c>
      <c r="Y187" s="474">
        <f t="shared" si="54"/>
        <v>0</v>
      </c>
      <c r="Z187" s="475">
        <f t="shared" si="55"/>
        <v>0</v>
      </c>
      <c r="AA187" s="475">
        <v>0</v>
      </c>
      <c r="AB187" s="476">
        <v>0</v>
      </c>
      <c r="AC187" s="38">
        <f t="shared" si="56"/>
        <v>0</v>
      </c>
      <c r="AD187" s="692">
        <f t="shared" si="46"/>
        <v>0</v>
      </c>
      <c r="AE187" s="692">
        <f t="shared" si="47"/>
        <v>0</v>
      </c>
      <c r="AF187" s="692">
        <f t="shared" si="48"/>
        <v>0</v>
      </c>
      <c r="AG187" s="38"/>
      <c r="AH187" s="692">
        <f t="shared" si="50"/>
        <v>0</v>
      </c>
      <c r="AI187" s="692">
        <f t="shared" si="51"/>
        <v>0</v>
      </c>
      <c r="AJ187" s="692">
        <f t="shared" si="52"/>
        <v>0</v>
      </c>
      <c r="AL187" s="38">
        <f t="shared" si="49"/>
        <v>0</v>
      </c>
    </row>
    <row r="188" spans="1:38">
      <c r="A188" s="21"/>
      <c r="B188" s="21" t="s">
        <v>109</v>
      </c>
      <c r="C188" s="666" t="s">
        <v>575</v>
      </c>
      <c r="D188" s="68" t="s">
        <v>54</v>
      </c>
      <c r="E188" s="679"/>
      <c r="F188" s="529">
        <f>VLOOKUP(D188,'May 2013 Revenue'!D:V,19,FALSE)</f>
        <v>0</v>
      </c>
      <c r="G188" s="680"/>
      <c r="H188" s="680"/>
      <c r="I188" s="755"/>
      <c r="J188" s="682">
        <f t="shared" si="43"/>
        <v>0</v>
      </c>
      <c r="K188" s="683"/>
      <c r="L188" s="684"/>
      <c r="M188" s="753"/>
      <c r="N188" s="683">
        <v>0</v>
      </c>
      <c r="O188" s="686"/>
      <c r="P188" s="683">
        <v>0</v>
      </c>
      <c r="Q188" s="687">
        <f t="shared" si="44"/>
        <v>0</v>
      </c>
      <c r="R188" s="687"/>
      <c r="S188" s="687"/>
      <c r="T188" s="688">
        <v>0</v>
      </c>
      <c r="U188" s="693"/>
      <c r="V188" s="690">
        <f t="shared" si="45"/>
        <v>0</v>
      </c>
      <c r="W188" s="683"/>
      <c r="X188" s="474">
        <f t="shared" si="53"/>
        <v>0</v>
      </c>
      <c r="Y188" s="474">
        <f t="shared" si="54"/>
        <v>0</v>
      </c>
      <c r="Z188" s="475">
        <f t="shared" si="55"/>
        <v>0</v>
      </c>
      <c r="AA188" s="475">
        <v>0</v>
      </c>
      <c r="AB188" s="476">
        <v>0</v>
      </c>
      <c r="AC188" s="38">
        <f t="shared" si="56"/>
        <v>0</v>
      </c>
      <c r="AD188" s="692">
        <f t="shared" si="46"/>
        <v>0</v>
      </c>
      <c r="AE188" s="692">
        <f t="shared" si="47"/>
        <v>0</v>
      </c>
      <c r="AF188" s="692">
        <f t="shared" si="48"/>
        <v>0</v>
      </c>
      <c r="AG188" s="38"/>
      <c r="AH188" s="692">
        <f t="shared" si="50"/>
        <v>0</v>
      </c>
      <c r="AI188" s="692">
        <f t="shared" si="51"/>
        <v>0</v>
      </c>
      <c r="AJ188" s="692">
        <f t="shared" si="52"/>
        <v>0</v>
      </c>
      <c r="AL188" s="38">
        <f t="shared" si="49"/>
        <v>0</v>
      </c>
    </row>
    <row r="189" spans="1:38">
      <c r="A189" s="20"/>
      <c r="B189" s="20" t="s">
        <v>110</v>
      </c>
      <c r="C189" s="667" t="s">
        <v>576</v>
      </c>
      <c r="D189" s="68" t="s">
        <v>394</v>
      </c>
      <c r="E189" s="679"/>
      <c r="F189" s="529">
        <f>VLOOKUP(D189,'May 2013 Revenue'!D:V,19,FALSE)</f>
        <v>0</v>
      </c>
      <c r="G189" s="680"/>
      <c r="H189" s="680"/>
      <c r="I189" s="755"/>
      <c r="J189" s="682">
        <f t="shared" si="43"/>
        <v>0</v>
      </c>
      <c r="K189" s="683"/>
      <c r="L189" s="684"/>
      <c r="M189" s="753"/>
      <c r="N189" s="683">
        <v>0</v>
      </c>
      <c r="O189" s="686"/>
      <c r="P189" s="683">
        <v>0</v>
      </c>
      <c r="Q189" s="687">
        <f t="shared" si="44"/>
        <v>0</v>
      </c>
      <c r="R189" s="687"/>
      <c r="S189" s="687"/>
      <c r="T189" s="688">
        <v>0</v>
      </c>
      <c r="U189" s="693"/>
      <c r="V189" s="690">
        <f t="shared" si="45"/>
        <v>0</v>
      </c>
      <c r="W189" s="683"/>
      <c r="X189" s="474">
        <f t="shared" si="53"/>
        <v>0</v>
      </c>
      <c r="Y189" s="474">
        <f t="shared" si="54"/>
        <v>0</v>
      </c>
      <c r="Z189" s="475">
        <f t="shared" si="55"/>
        <v>0</v>
      </c>
      <c r="AA189" s="475">
        <v>0</v>
      </c>
      <c r="AB189" s="476">
        <v>0</v>
      </c>
      <c r="AC189" s="38">
        <f t="shared" si="56"/>
        <v>0</v>
      </c>
      <c r="AD189" s="692">
        <f t="shared" si="46"/>
        <v>0</v>
      </c>
      <c r="AE189" s="692">
        <f t="shared" si="47"/>
        <v>0</v>
      </c>
      <c r="AF189" s="692">
        <f t="shared" si="48"/>
        <v>0</v>
      </c>
      <c r="AG189" s="38"/>
      <c r="AH189" s="692">
        <f t="shared" si="50"/>
        <v>0</v>
      </c>
      <c r="AI189" s="692">
        <f t="shared" si="51"/>
        <v>0</v>
      </c>
      <c r="AJ189" s="692">
        <f t="shared" si="52"/>
        <v>0</v>
      </c>
      <c r="AL189" s="38">
        <f t="shared" si="49"/>
        <v>0</v>
      </c>
    </row>
    <row r="190" spans="1:38">
      <c r="A190" s="20"/>
      <c r="B190" s="20" t="s">
        <v>110</v>
      </c>
      <c r="C190" s="667"/>
      <c r="D190" s="68" t="s">
        <v>55</v>
      </c>
      <c r="E190" s="679"/>
      <c r="F190" s="529">
        <f>VLOOKUP(D190,'May 2013 Revenue'!D:V,19,FALSE)</f>
        <v>631.35</v>
      </c>
      <c r="G190" s="680"/>
      <c r="H190" s="680"/>
      <c r="I190" s="755"/>
      <c r="J190" s="682">
        <f t="shared" si="43"/>
        <v>631.35</v>
      </c>
      <c r="K190" s="683"/>
      <c r="L190" s="684"/>
      <c r="M190" s="753"/>
      <c r="N190" s="683">
        <v>0</v>
      </c>
      <c r="O190" s="686"/>
      <c r="P190" s="683">
        <v>0</v>
      </c>
      <c r="Q190" s="687">
        <f t="shared" si="44"/>
        <v>0</v>
      </c>
      <c r="R190" s="687"/>
      <c r="S190" s="687"/>
      <c r="T190" s="688">
        <v>0</v>
      </c>
      <c r="U190" s="693"/>
      <c r="V190" s="690">
        <f t="shared" si="45"/>
        <v>0</v>
      </c>
      <c r="W190" s="683"/>
      <c r="X190" s="474">
        <f t="shared" si="53"/>
        <v>0</v>
      </c>
      <c r="Y190" s="474">
        <f t="shared" si="54"/>
        <v>0</v>
      </c>
      <c r="Z190" s="475">
        <f t="shared" si="55"/>
        <v>0</v>
      </c>
      <c r="AA190" s="475">
        <v>0</v>
      </c>
      <c r="AB190" s="476">
        <v>0</v>
      </c>
      <c r="AC190" s="38">
        <f t="shared" si="56"/>
        <v>0</v>
      </c>
      <c r="AD190" s="692">
        <f t="shared" si="46"/>
        <v>631.35</v>
      </c>
      <c r="AE190" s="692">
        <f t="shared" si="47"/>
        <v>0</v>
      </c>
      <c r="AF190" s="692">
        <f t="shared" si="48"/>
        <v>0</v>
      </c>
      <c r="AG190" s="38"/>
      <c r="AH190" s="692">
        <f t="shared" si="50"/>
        <v>0</v>
      </c>
      <c r="AI190" s="692">
        <f t="shared" si="51"/>
        <v>0</v>
      </c>
      <c r="AJ190" s="692">
        <f t="shared" si="52"/>
        <v>0</v>
      </c>
      <c r="AL190" s="38">
        <f t="shared" si="49"/>
        <v>631.35</v>
      </c>
    </row>
    <row r="191" spans="1:38">
      <c r="A191" s="20"/>
      <c r="B191" s="20" t="s">
        <v>110</v>
      </c>
      <c r="C191" s="676" t="s">
        <v>854</v>
      </c>
      <c r="D191" s="68" t="s">
        <v>855</v>
      </c>
      <c r="E191" s="679"/>
      <c r="F191" s="529">
        <f>VLOOKUP(D191,'May 2013 Revenue'!D:V,19,FALSE)</f>
        <v>1096.23</v>
      </c>
      <c r="G191" s="680"/>
      <c r="H191" s="680"/>
      <c r="I191" s="755"/>
      <c r="J191" s="682">
        <f t="shared" si="43"/>
        <v>1096.23</v>
      </c>
      <c r="K191" s="683"/>
      <c r="L191" s="684"/>
      <c r="M191" s="753"/>
      <c r="N191" s="683">
        <v>0</v>
      </c>
      <c r="O191" s="686"/>
      <c r="P191" s="683">
        <v>0</v>
      </c>
      <c r="Q191" s="687">
        <f t="shared" si="44"/>
        <v>0</v>
      </c>
      <c r="R191" s="687"/>
      <c r="S191" s="687"/>
      <c r="T191" s="688">
        <v>1085.3599999999999</v>
      </c>
      <c r="U191" s="693"/>
      <c r="V191" s="690">
        <f t="shared" si="45"/>
        <v>1085.3599999999999</v>
      </c>
      <c r="W191" s="683"/>
      <c r="X191" s="474">
        <f t="shared" si="53"/>
        <v>0</v>
      </c>
      <c r="Y191" s="474">
        <f t="shared" si="54"/>
        <v>0</v>
      </c>
      <c r="Z191" s="475">
        <f t="shared" si="55"/>
        <v>0</v>
      </c>
      <c r="AA191" s="475">
        <v>0</v>
      </c>
      <c r="AB191" s="476">
        <v>0</v>
      </c>
      <c r="AC191" s="38">
        <f t="shared" si="56"/>
        <v>0</v>
      </c>
      <c r="AD191" s="692">
        <f t="shared" si="46"/>
        <v>1096.23</v>
      </c>
      <c r="AE191" s="692">
        <f t="shared" si="47"/>
        <v>0</v>
      </c>
      <c r="AF191" s="692">
        <f t="shared" si="48"/>
        <v>0</v>
      </c>
      <c r="AG191" s="38"/>
      <c r="AH191" s="692">
        <f t="shared" si="50"/>
        <v>0</v>
      </c>
      <c r="AI191" s="692">
        <f t="shared" si="51"/>
        <v>0</v>
      </c>
      <c r="AJ191" s="692">
        <f t="shared" si="52"/>
        <v>0</v>
      </c>
      <c r="AL191" s="38">
        <f t="shared" si="49"/>
        <v>1096.23</v>
      </c>
    </row>
    <row r="192" spans="1:38">
      <c r="A192" s="20"/>
      <c r="B192" s="20" t="s">
        <v>109</v>
      </c>
      <c r="C192" s="667" t="s">
        <v>577</v>
      </c>
      <c r="D192" s="68" t="s">
        <v>159</v>
      </c>
      <c r="E192" s="679"/>
      <c r="F192" s="529">
        <f>VLOOKUP(D192,'May 2013 Revenue'!D:V,19,FALSE)</f>
        <v>6875.2799999999988</v>
      </c>
      <c r="G192" s="680"/>
      <c r="H192" s="680"/>
      <c r="I192" s="770">
        <f>13895.59+7298.57</f>
        <v>21194.16</v>
      </c>
      <c r="J192" s="682">
        <f t="shared" si="43"/>
        <v>28069.439999999999</v>
      </c>
      <c r="K192" s="683"/>
      <c r="L192" s="684"/>
      <c r="M192" s="753"/>
      <c r="N192" s="683">
        <v>0</v>
      </c>
      <c r="O192" s="686"/>
      <c r="P192" s="683">
        <v>0</v>
      </c>
      <c r="Q192" s="687">
        <f t="shared" si="44"/>
        <v>0</v>
      </c>
      <c r="R192" s="687"/>
      <c r="S192" s="687"/>
      <c r="T192" s="688">
        <v>0</v>
      </c>
      <c r="U192" s="693"/>
      <c r="V192" s="690">
        <f t="shared" si="45"/>
        <v>0</v>
      </c>
      <c r="W192" s="683"/>
      <c r="X192" s="474">
        <f t="shared" si="53"/>
        <v>0</v>
      </c>
      <c r="Y192" s="474">
        <f t="shared" si="54"/>
        <v>0</v>
      </c>
      <c r="Z192" s="475">
        <f t="shared" si="55"/>
        <v>0</v>
      </c>
      <c r="AA192" s="475">
        <v>0</v>
      </c>
      <c r="AB192" s="476">
        <v>0</v>
      </c>
      <c r="AC192" s="38">
        <f t="shared" si="56"/>
        <v>0</v>
      </c>
      <c r="AD192" s="692">
        <f t="shared" si="46"/>
        <v>0</v>
      </c>
      <c r="AE192" s="692">
        <f t="shared" si="47"/>
        <v>28069.439999999999</v>
      </c>
      <c r="AF192" s="692">
        <f t="shared" si="48"/>
        <v>0</v>
      </c>
      <c r="AG192" s="38"/>
      <c r="AH192" s="692">
        <f t="shared" si="50"/>
        <v>0</v>
      </c>
      <c r="AI192" s="692">
        <f t="shared" si="51"/>
        <v>0</v>
      </c>
      <c r="AJ192" s="692">
        <f t="shared" si="52"/>
        <v>0</v>
      </c>
      <c r="AL192" s="38">
        <f t="shared" si="49"/>
        <v>28069.439999999999</v>
      </c>
    </row>
    <row r="193" spans="1:38">
      <c r="A193" s="20"/>
      <c r="B193" s="20" t="s">
        <v>109</v>
      </c>
      <c r="C193" s="667" t="s">
        <v>577</v>
      </c>
      <c r="D193" s="68" t="s">
        <v>160</v>
      </c>
      <c r="E193" s="679"/>
      <c r="F193" s="529">
        <f>VLOOKUP(D193,'May 2013 Revenue'!D:V,19,FALSE)</f>
        <v>4420.2799999999988</v>
      </c>
      <c r="G193" s="680"/>
      <c r="H193" s="680"/>
      <c r="I193" s="755"/>
      <c r="J193" s="682">
        <f t="shared" si="43"/>
        <v>4420.2799999999988</v>
      </c>
      <c r="K193" s="683"/>
      <c r="L193" s="684"/>
      <c r="M193" s="753">
        <v>15000</v>
      </c>
      <c r="N193" s="683">
        <v>0</v>
      </c>
      <c r="O193" s="686"/>
      <c r="P193" s="683">
        <v>0</v>
      </c>
      <c r="Q193" s="687">
        <f t="shared" si="44"/>
        <v>15000</v>
      </c>
      <c r="R193" s="687"/>
      <c r="S193" s="687"/>
      <c r="T193" s="688">
        <f>8599.68+4530.97</f>
        <v>13130.650000000001</v>
      </c>
      <c r="U193" s="693"/>
      <c r="V193" s="690">
        <f t="shared" si="45"/>
        <v>-1869.3499999999985</v>
      </c>
      <c r="W193" s="683"/>
      <c r="X193" s="474">
        <f t="shared" si="53"/>
        <v>0</v>
      </c>
      <c r="Y193" s="474">
        <f t="shared" si="54"/>
        <v>15000</v>
      </c>
      <c r="Z193" s="475">
        <f t="shared" si="55"/>
        <v>0</v>
      </c>
      <c r="AA193" s="475">
        <v>0</v>
      </c>
      <c r="AB193" s="476">
        <v>0</v>
      </c>
      <c r="AC193" s="38">
        <f t="shared" si="56"/>
        <v>0</v>
      </c>
      <c r="AD193" s="692">
        <f t="shared" si="46"/>
        <v>0</v>
      </c>
      <c r="AE193" s="692">
        <f t="shared" si="47"/>
        <v>4420.2799999999988</v>
      </c>
      <c r="AF193" s="692">
        <f t="shared" si="48"/>
        <v>0</v>
      </c>
      <c r="AG193" s="38"/>
      <c r="AH193" s="692">
        <f t="shared" si="50"/>
        <v>0</v>
      </c>
      <c r="AI193" s="692">
        <f t="shared" si="51"/>
        <v>15000</v>
      </c>
      <c r="AJ193" s="692">
        <f t="shared" si="52"/>
        <v>0</v>
      </c>
      <c r="AL193" s="38">
        <f t="shared" si="49"/>
        <v>19420.28</v>
      </c>
    </row>
    <row r="194" spans="1:38">
      <c r="A194" s="21"/>
      <c r="B194" s="21" t="s">
        <v>109</v>
      </c>
      <c r="C194" s="667" t="s">
        <v>577</v>
      </c>
      <c r="D194" s="68" t="s">
        <v>161</v>
      </c>
      <c r="E194" s="679"/>
      <c r="F194" s="529">
        <f>VLOOKUP(D194,'May 2013 Revenue'!D:V,19,FALSE)</f>
        <v>0</v>
      </c>
      <c r="G194" s="680"/>
      <c r="H194" s="680"/>
      <c r="I194" s="755"/>
      <c r="J194" s="682">
        <f t="shared" si="43"/>
        <v>0</v>
      </c>
      <c r="K194" s="683"/>
      <c r="L194" s="684"/>
      <c r="M194" s="753"/>
      <c r="N194" s="683">
        <v>0</v>
      </c>
      <c r="O194" s="686"/>
      <c r="P194" s="683">
        <v>0</v>
      </c>
      <c r="Q194" s="687">
        <f t="shared" si="44"/>
        <v>0</v>
      </c>
      <c r="R194" s="687"/>
      <c r="S194" s="687"/>
      <c r="T194" s="688">
        <v>0</v>
      </c>
      <c r="U194" s="693"/>
      <c r="V194" s="690">
        <f t="shared" si="45"/>
        <v>0</v>
      </c>
      <c r="W194" s="683"/>
      <c r="X194" s="474">
        <f t="shared" si="53"/>
        <v>0</v>
      </c>
      <c r="Y194" s="474">
        <f t="shared" si="54"/>
        <v>0</v>
      </c>
      <c r="Z194" s="475">
        <f t="shared" si="55"/>
        <v>0</v>
      </c>
      <c r="AA194" s="475">
        <v>0</v>
      </c>
      <c r="AB194" s="476">
        <v>0</v>
      </c>
      <c r="AC194" s="38">
        <f t="shared" si="56"/>
        <v>0</v>
      </c>
      <c r="AD194" s="692">
        <f t="shared" si="46"/>
        <v>0</v>
      </c>
      <c r="AE194" s="692">
        <f t="shared" si="47"/>
        <v>0</v>
      </c>
      <c r="AF194" s="692">
        <f t="shared" si="48"/>
        <v>0</v>
      </c>
      <c r="AG194" s="38"/>
      <c r="AH194" s="692">
        <f t="shared" si="50"/>
        <v>0</v>
      </c>
      <c r="AI194" s="692">
        <f t="shared" si="51"/>
        <v>0</v>
      </c>
      <c r="AJ194" s="692">
        <f t="shared" si="52"/>
        <v>0</v>
      </c>
      <c r="AL194" s="38">
        <f t="shared" si="49"/>
        <v>0</v>
      </c>
    </row>
    <row r="195" spans="1:38">
      <c r="A195" s="21"/>
      <c r="B195" s="21" t="s">
        <v>109</v>
      </c>
      <c r="C195" s="667" t="s">
        <v>577</v>
      </c>
      <c r="D195" s="68" t="s">
        <v>162</v>
      </c>
      <c r="E195" s="679"/>
      <c r="F195" s="529">
        <f>VLOOKUP(D195,'May 2013 Revenue'!D:V,19,FALSE)</f>
        <v>0</v>
      </c>
      <c r="G195" s="680"/>
      <c r="H195" s="680"/>
      <c r="I195" s="755"/>
      <c r="J195" s="682">
        <f t="shared" si="43"/>
        <v>0</v>
      </c>
      <c r="K195" s="683"/>
      <c r="L195" s="684"/>
      <c r="M195" s="753"/>
      <c r="N195" s="683">
        <v>0</v>
      </c>
      <c r="O195" s="686"/>
      <c r="P195" s="683">
        <v>0</v>
      </c>
      <c r="Q195" s="687">
        <f t="shared" si="44"/>
        <v>0</v>
      </c>
      <c r="R195" s="687"/>
      <c r="S195" s="687"/>
      <c r="T195" s="688">
        <v>0</v>
      </c>
      <c r="U195" s="693"/>
      <c r="V195" s="690">
        <f t="shared" si="45"/>
        <v>0</v>
      </c>
      <c r="W195" s="683"/>
      <c r="X195" s="474">
        <f t="shared" si="53"/>
        <v>0</v>
      </c>
      <c r="Y195" s="474">
        <f t="shared" si="54"/>
        <v>0</v>
      </c>
      <c r="Z195" s="475">
        <f t="shared" si="55"/>
        <v>0</v>
      </c>
      <c r="AA195" s="475">
        <v>0</v>
      </c>
      <c r="AB195" s="476">
        <v>0</v>
      </c>
      <c r="AC195" s="38">
        <f t="shared" si="56"/>
        <v>0</v>
      </c>
      <c r="AD195" s="692">
        <f t="shared" si="46"/>
        <v>0</v>
      </c>
      <c r="AE195" s="692">
        <f t="shared" si="47"/>
        <v>0</v>
      </c>
      <c r="AF195" s="692">
        <f t="shared" si="48"/>
        <v>0</v>
      </c>
      <c r="AG195" s="38"/>
      <c r="AH195" s="692">
        <f t="shared" si="50"/>
        <v>0</v>
      </c>
      <c r="AI195" s="692">
        <f t="shared" si="51"/>
        <v>0</v>
      </c>
      <c r="AJ195" s="692">
        <f t="shared" si="52"/>
        <v>0</v>
      </c>
      <c r="AL195" s="38">
        <f t="shared" si="49"/>
        <v>0</v>
      </c>
    </row>
    <row r="196" spans="1:38">
      <c r="A196" s="21"/>
      <c r="B196" s="21" t="s">
        <v>109</v>
      </c>
      <c r="C196" s="666"/>
      <c r="D196" s="68" t="s">
        <v>163</v>
      </c>
      <c r="E196" s="679"/>
      <c r="F196" s="529">
        <f>VLOOKUP(D196,'May 2013 Revenue'!D:V,19,FALSE)</f>
        <v>-5000</v>
      </c>
      <c r="G196" s="680"/>
      <c r="H196" s="680"/>
      <c r="I196" s="770">
        <v>4742.67</v>
      </c>
      <c r="J196" s="682">
        <f t="shared" si="43"/>
        <v>-257.32999999999993</v>
      </c>
      <c r="K196" s="683"/>
      <c r="L196" s="684"/>
      <c r="M196" s="753"/>
      <c r="N196" s="683">
        <v>0</v>
      </c>
      <c r="O196" s="686"/>
      <c r="P196" s="683">
        <v>0</v>
      </c>
      <c r="Q196" s="687">
        <f t="shared" si="44"/>
        <v>0</v>
      </c>
      <c r="R196" s="687"/>
      <c r="S196" s="687"/>
      <c r="T196" s="688">
        <v>0</v>
      </c>
      <c r="U196" s="704"/>
      <c r="V196" s="690">
        <f t="shared" si="45"/>
        <v>0</v>
      </c>
      <c r="W196" s="705"/>
      <c r="X196" s="474">
        <f t="shared" si="53"/>
        <v>0</v>
      </c>
      <c r="Y196" s="474">
        <f t="shared" si="54"/>
        <v>0</v>
      </c>
      <c r="Z196" s="475">
        <f t="shared" si="55"/>
        <v>0</v>
      </c>
      <c r="AA196" s="475">
        <v>0</v>
      </c>
      <c r="AB196" s="476">
        <v>0</v>
      </c>
      <c r="AC196" s="38">
        <f t="shared" si="56"/>
        <v>0</v>
      </c>
      <c r="AD196" s="692">
        <f t="shared" si="46"/>
        <v>0</v>
      </c>
      <c r="AE196" s="692">
        <f t="shared" si="47"/>
        <v>-257.32999999999993</v>
      </c>
      <c r="AF196" s="692">
        <f t="shared" si="48"/>
        <v>0</v>
      </c>
      <c r="AG196" s="38"/>
      <c r="AH196" s="692">
        <f t="shared" si="50"/>
        <v>0</v>
      </c>
      <c r="AI196" s="692">
        <f t="shared" si="51"/>
        <v>0</v>
      </c>
      <c r="AJ196" s="692">
        <f t="shared" si="52"/>
        <v>0</v>
      </c>
      <c r="AL196" s="38">
        <f t="shared" si="49"/>
        <v>-257.32999999999993</v>
      </c>
    </row>
    <row r="197" spans="1:38">
      <c r="A197" s="21"/>
      <c r="B197" s="21" t="s">
        <v>109</v>
      </c>
      <c r="C197" s="666"/>
      <c r="D197" s="412" t="s">
        <v>164</v>
      </c>
      <c r="E197" s="679"/>
      <c r="F197" s="529">
        <f>VLOOKUP(D197,'May 2013 Revenue'!D:V,19,FALSE)</f>
        <v>0</v>
      </c>
      <c r="G197" s="680"/>
      <c r="H197" s="680"/>
      <c r="I197" s="755"/>
      <c r="J197" s="682">
        <f t="shared" si="43"/>
        <v>0</v>
      </c>
      <c r="K197" s="683"/>
      <c r="L197" s="684"/>
      <c r="M197" s="753"/>
      <c r="N197" s="683">
        <v>0</v>
      </c>
      <c r="O197" s="686"/>
      <c r="P197" s="683">
        <v>0</v>
      </c>
      <c r="Q197" s="687">
        <f t="shared" si="44"/>
        <v>0</v>
      </c>
      <c r="R197" s="687"/>
      <c r="S197" s="687"/>
      <c r="T197" s="688">
        <v>0</v>
      </c>
      <c r="U197" s="704"/>
      <c r="V197" s="690">
        <f t="shared" si="45"/>
        <v>0</v>
      </c>
      <c r="W197" s="705"/>
      <c r="X197" s="474">
        <f t="shared" si="53"/>
        <v>0</v>
      </c>
      <c r="Y197" s="474">
        <f t="shared" si="54"/>
        <v>0</v>
      </c>
      <c r="Z197" s="475">
        <f t="shared" si="55"/>
        <v>0</v>
      </c>
      <c r="AA197" s="475">
        <v>0</v>
      </c>
      <c r="AB197" s="476">
        <v>0</v>
      </c>
      <c r="AC197" s="38">
        <f t="shared" si="56"/>
        <v>0</v>
      </c>
      <c r="AD197" s="692">
        <f t="shared" si="46"/>
        <v>0</v>
      </c>
      <c r="AE197" s="692">
        <f t="shared" si="47"/>
        <v>0</v>
      </c>
      <c r="AF197" s="692">
        <f t="shared" si="48"/>
        <v>0</v>
      </c>
      <c r="AG197" s="38"/>
      <c r="AH197" s="692">
        <f t="shared" si="50"/>
        <v>0</v>
      </c>
      <c r="AI197" s="692">
        <f t="shared" si="51"/>
        <v>0</v>
      </c>
      <c r="AJ197" s="692">
        <f t="shared" si="52"/>
        <v>0</v>
      </c>
      <c r="AL197" s="38">
        <f t="shared" si="49"/>
        <v>0</v>
      </c>
    </row>
    <row r="198" spans="1:38">
      <c r="A198" s="21" t="s">
        <v>109</v>
      </c>
      <c r="B198" s="21" t="s">
        <v>114</v>
      </c>
      <c r="C198" s="666" t="s">
        <v>578</v>
      </c>
      <c r="D198" s="412" t="s">
        <v>318</v>
      </c>
      <c r="E198" s="679">
        <v>35046</v>
      </c>
      <c r="F198" s="529">
        <f>VLOOKUP(D198,'May 2013 Revenue'!D:V,19,FALSE)</f>
        <v>-60000</v>
      </c>
      <c r="G198" s="680"/>
      <c r="H198" s="680"/>
      <c r="I198" s="755"/>
      <c r="J198" s="682">
        <f t="shared" si="43"/>
        <v>-24954</v>
      </c>
      <c r="K198" s="683"/>
      <c r="L198" s="684"/>
      <c r="M198" s="753">
        <v>65000</v>
      </c>
      <c r="N198" s="683">
        <v>0</v>
      </c>
      <c r="O198" s="686"/>
      <c r="P198" s="683">
        <v>0</v>
      </c>
      <c r="Q198" s="687">
        <f t="shared" si="44"/>
        <v>65000</v>
      </c>
      <c r="R198" s="687"/>
      <c r="S198" s="687"/>
      <c r="T198" s="688">
        <v>0</v>
      </c>
      <c r="U198" s="704"/>
      <c r="V198" s="690">
        <f t="shared" si="45"/>
        <v>-65000</v>
      </c>
      <c r="W198" s="683"/>
      <c r="X198" s="474">
        <f t="shared" si="53"/>
        <v>0</v>
      </c>
      <c r="Y198" s="474">
        <f t="shared" si="54"/>
        <v>0</v>
      </c>
      <c r="Z198" s="475">
        <f t="shared" si="55"/>
        <v>65000</v>
      </c>
      <c r="AA198" s="475">
        <v>0</v>
      </c>
      <c r="AB198" s="476">
        <v>0</v>
      </c>
      <c r="AC198" s="38">
        <f t="shared" si="56"/>
        <v>0</v>
      </c>
      <c r="AD198" s="692">
        <f t="shared" si="46"/>
        <v>0</v>
      </c>
      <c r="AE198" s="692">
        <f t="shared" si="47"/>
        <v>0</v>
      </c>
      <c r="AF198" s="692">
        <f t="shared" si="48"/>
        <v>-24954</v>
      </c>
      <c r="AG198" s="38"/>
      <c r="AH198" s="692">
        <f t="shared" si="50"/>
        <v>0</v>
      </c>
      <c r="AI198" s="692">
        <f t="shared" si="51"/>
        <v>0</v>
      </c>
      <c r="AJ198" s="692">
        <f t="shared" si="52"/>
        <v>65000</v>
      </c>
      <c r="AL198" s="38">
        <f t="shared" si="49"/>
        <v>40046</v>
      </c>
    </row>
    <row r="199" spans="1:38">
      <c r="A199" s="20" t="s">
        <v>211</v>
      </c>
      <c r="B199" s="20" t="s">
        <v>109</v>
      </c>
      <c r="C199" s="667"/>
      <c r="D199" s="68" t="s">
        <v>57</v>
      </c>
      <c r="E199" s="679"/>
      <c r="F199" s="529">
        <f>VLOOKUP(D199,'May 2013 Revenue'!D:V,19,FALSE)</f>
        <v>0</v>
      </c>
      <c r="G199" s="680"/>
      <c r="H199" s="680"/>
      <c r="I199" s="755"/>
      <c r="J199" s="682">
        <f t="shared" si="43"/>
        <v>0</v>
      </c>
      <c r="K199" s="683"/>
      <c r="L199" s="684"/>
      <c r="M199" s="753"/>
      <c r="N199" s="683">
        <v>0</v>
      </c>
      <c r="O199" s="686"/>
      <c r="P199" s="683">
        <v>0</v>
      </c>
      <c r="Q199" s="687">
        <f t="shared" si="44"/>
        <v>0</v>
      </c>
      <c r="R199" s="687"/>
      <c r="S199" s="687"/>
      <c r="T199" s="688">
        <v>0</v>
      </c>
      <c r="U199" s="693"/>
      <c r="V199" s="690">
        <f t="shared" si="45"/>
        <v>0</v>
      </c>
      <c r="W199" s="683"/>
      <c r="X199" s="474">
        <f t="shared" si="53"/>
        <v>0</v>
      </c>
      <c r="Y199" s="474">
        <f t="shared" si="54"/>
        <v>0</v>
      </c>
      <c r="Z199" s="475">
        <f t="shared" si="55"/>
        <v>0</v>
      </c>
      <c r="AA199" s="475">
        <v>0</v>
      </c>
      <c r="AB199" s="476">
        <v>0</v>
      </c>
      <c r="AC199" s="38">
        <f t="shared" si="56"/>
        <v>0</v>
      </c>
      <c r="AD199" s="692">
        <f t="shared" si="46"/>
        <v>0</v>
      </c>
      <c r="AE199" s="692">
        <f t="shared" si="47"/>
        <v>0</v>
      </c>
      <c r="AF199" s="692">
        <f t="shared" si="48"/>
        <v>0</v>
      </c>
      <c r="AG199" s="38"/>
      <c r="AH199" s="692">
        <f t="shared" si="50"/>
        <v>0</v>
      </c>
      <c r="AI199" s="692">
        <f t="shared" si="51"/>
        <v>0</v>
      </c>
      <c r="AJ199" s="692">
        <f t="shared" si="52"/>
        <v>0</v>
      </c>
      <c r="AL199" s="38">
        <f t="shared" si="49"/>
        <v>0</v>
      </c>
    </row>
    <row r="200" spans="1:38">
      <c r="A200" s="20"/>
      <c r="B200" s="20" t="s">
        <v>114</v>
      </c>
      <c r="C200" s="676" t="s">
        <v>621</v>
      </c>
      <c r="D200" s="68" t="s">
        <v>622</v>
      </c>
      <c r="E200" s="679"/>
      <c r="F200" s="529">
        <f>VLOOKUP(D200,'May 2013 Revenue'!D:V,19,FALSE)</f>
        <v>0</v>
      </c>
      <c r="G200" s="680"/>
      <c r="H200" s="680"/>
      <c r="I200" s="755"/>
      <c r="J200" s="682">
        <f t="shared" si="43"/>
        <v>0</v>
      </c>
      <c r="K200" s="683"/>
      <c r="L200" s="684"/>
      <c r="M200" s="753"/>
      <c r="N200" s="683">
        <v>0</v>
      </c>
      <c r="O200" s="686"/>
      <c r="P200" s="683">
        <v>0</v>
      </c>
      <c r="Q200" s="687">
        <f t="shared" si="44"/>
        <v>0</v>
      </c>
      <c r="R200" s="687"/>
      <c r="S200" s="687"/>
      <c r="T200" s="688">
        <v>0</v>
      </c>
      <c r="U200" s="704"/>
      <c r="V200" s="690">
        <f t="shared" si="45"/>
        <v>0</v>
      </c>
      <c r="W200" s="683"/>
      <c r="X200" s="474">
        <f t="shared" si="53"/>
        <v>0</v>
      </c>
      <c r="Y200" s="474">
        <f t="shared" si="54"/>
        <v>0</v>
      </c>
      <c r="Z200" s="475">
        <f t="shared" si="55"/>
        <v>0</v>
      </c>
      <c r="AA200" s="475">
        <v>0</v>
      </c>
      <c r="AB200" s="476">
        <v>0</v>
      </c>
      <c r="AC200" s="38">
        <f t="shared" si="56"/>
        <v>0</v>
      </c>
      <c r="AD200" s="692">
        <f t="shared" si="46"/>
        <v>0</v>
      </c>
      <c r="AE200" s="692">
        <f t="shared" si="47"/>
        <v>0</v>
      </c>
      <c r="AF200" s="692">
        <f t="shared" si="48"/>
        <v>0</v>
      </c>
      <c r="AG200" s="38"/>
      <c r="AH200" s="692">
        <f t="shared" si="50"/>
        <v>0</v>
      </c>
      <c r="AI200" s="692">
        <f t="shared" si="51"/>
        <v>0</v>
      </c>
      <c r="AJ200" s="692">
        <f t="shared" si="52"/>
        <v>0</v>
      </c>
      <c r="AL200" s="38">
        <f t="shared" si="49"/>
        <v>0</v>
      </c>
    </row>
    <row r="201" spans="1:38">
      <c r="A201" s="20"/>
      <c r="B201" s="20" t="s">
        <v>110</v>
      </c>
      <c r="C201" s="667"/>
      <c r="D201" s="68" t="s">
        <v>497</v>
      </c>
      <c r="E201" s="679"/>
      <c r="F201" s="529">
        <f>VLOOKUP(D201,'May 2013 Revenue'!D:V,19,FALSE)</f>
        <v>0</v>
      </c>
      <c r="G201" s="680"/>
      <c r="H201" s="680"/>
      <c r="I201" s="755"/>
      <c r="J201" s="682">
        <f t="shared" ref="J201:J222" si="57">SUM(E201:I201)</f>
        <v>0</v>
      </c>
      <c r="K201" s="683"/>
      <c r="L201" s="684"/>
      <c r="M201" s="753"/>
      <c r="N201" s="683">
        <v>0</v>
      </c>
      <c r="O201" s="686"/>
      <c r="P201" s="683">
        <v>0</v>
      </c>
      <c r="Q201" s="687">
        <f t="shared" si="44"/>
        <v>0</v>
      </c>
      <c r="R201" s="687"/>
      <c r="S201" s="687"/>
      <c r="T201" s="688">
        <v>0</v>
      </c>
      <c r="U201" s="693"/>
      <c r="V201" s="690">
        <f t="shared" si="45"/>
        <v>0</v>
      </c>
      <c r="W201" s="683"/>
      <c r="X201" s="474">
        <f t="shared" si="53"/>
        <v>0</v>
      </c>
      <c r="Y201" s="474">
        <f t="shared" si="54"/>
        <v>0</v>
      </c>
      <c r="Z201" s="475">
        <f t="shared" si="55"/>
        <v>0</v>
      </c>
      <c r="AA201" s="475">
        <v>0</v>
      </c>
      <c r="AB201" s="476">
        <v>0</v>
      </c>
      <c r="AC201" s="38">
        <f t="shared" si="56"/>
        <v>0</v>
      </c>
      <c r="AD201" s="692">
        <f t="shared" si="46"/>
        <v>0</v>
      </c>
      <c r="AE201" s="692">
        <f t="shared" si="47"/>
        <v>0</v>
      </c>
      <c r="AF201" s="692">
        <f t="shared" si="48"/>
        <v>0</v>
      </c>
      <c r="AG201" s="38"/>
      <c r="AH201" s="692">
        <f t="shared" si="50"/>
        <v>0</v>
      </c>
      <c r="AI201" s="692">
        <f t="shared" si="51"/>
        <v>0</v>
      </c>
      <c r="AJ201" s="692">
        <f t="shared" si="52"/>
        <v>0</v>
      </c>
      <c r="AL201" s="38">
        <f t="shared" si="49"/>
        <v>0</v>
      </c>
    </row>
    <row r="202" spans="1:38">
      <c r="A202" s="20"/>
      <c r="B202" s="20" t="s">
        <v>110</v>
      </c>
      <c r="C202" s="667"/>
      <c r="D202" s="68" t="s">
        <v>509</v>
      </c>
      <c r="E202" s="679"/>
      <c r="F202" s="529">
        <f>VLOOKUP(D202,'May 2013 Revenue'!D:V,19,FALSE)</f>
        <v>-30000</v>
      </c>
      <c r="G202" s="680"/>
      <c r="H202" s="680"/>
      <c r="I202" s="755"/>
      <c r="J202" s="682">
        <f t="shared" si="57"/>
        <v>-30000</v>
      </c>
      <c r="K202" s="683"/>
      <c r="L202" s="684"/>
      <c r="M202" s="753">
        <v>45000</v>
      </c>
      <c r="N202" s="683"/>
      <c r="O202" s="686"/>
      <c r="P202" s="683"/>
      <c r="Q202" s="687">
        <f t="shared" si="44"/>
        <v>45000</v>
      </c>
      <c r="R202" s="687"/>
      <c r="S202" s="687"/>
      <c r="T202" s="688">
        <v>13387.81</v>
      </c>
      <c r="U202" s="693"/>
      <c r="V202" s="690">
        <f t="shared" si="45"/>
        <v>-31612.190000000002</v>
      </c>
      <c r="W202" s="683"/>
      <c r="X202" s="474">
        <f t="shared" si="53"/>
        <v>45000</v>
      </c>
      <c r="Y202" s="474">
        <f t="shared" si="54"/>
        <v>0</v>
      </c>
      <c r="Z202" s="475">
        <f t="shared" si="55"/>
        <v>0</v>
      </c>
      <c r="AA202" s="475">
        <v>0</v>
      </c>
      <c r="AB202" s="476">
        <v>0</v>
      </c>
      <c r="AC202" s="38">
        <f t="shared" si="56"/>
        <v>0</v>
      </c>
      <c r="AD202" s="692">
        <f t="shared" si="46"/>
        <v>-30000</v>
      </c>
      <c r="AE202" s="692">
        <f t="shared" si="47"/>
        <v>0</v>
      </c>
      <c r="AF202" s="692">
        <f t="shared" si="48"/>
        <v>0</v>
      </c>
      <c r="AG202" s="38"/>
      <c r="AH202" s="692">
        <f t="shared" si="50"/>
        <v>45000</v>
      </c>
      <c r="AI202" s="692">
        <f t="shared" si="51"/>
        <v>0</v>
      </c>
      <c r="AJ202" s="692">
        <f t="shared" si="52"/>
        <v>0</v>
      </c>
      <c r="AL202" s="38">
        <f t="shared" si="49"/>
        <v>15000</v>
      </c>
    </row>
    <row r="203" spans="1:38" s="627" customFormat="1">
      <c r="A203" s="610"/>
      <c r="B203" s="610" t="s">
        <v>110</v>
      </c>
      <c r="C203" s="667" t="s">
        <v>580</v>
      </c>
      <c r="D203" s="612" t="s">
        <v>476</v>
      </c>
      <c r="E203" s="679"/>
      <c r="F203" s="529">
        <f>VLOOKUP(D203,'May 2013 Revenue'!D:V,19,FALSE)</f>
        <v>0</v>
      </c>
      <c r="G203" s="680"/>
      <c r="H203" s="680"/>
      <c r="I203" s="755"/>
      <c r="J203" s="682">
        <f t="shared" si="57"/>
        <v>0</v>
      </c>
      <c r="K203" s="683"/>
      <c r="L203" s="684"/>
      <c r="M203" s="753"/>
      <c r="N203" s="683">
        <v>0</v>
      </c>
      <c r="O203" s="686"/>
      <c r="P203" s="683">
        <v>0</v>
      </c>
      <c r="Q203" s="687">
        <f t="shared" si="44"/>
        <v>0</v>
      </c>
      <c r="R203" s="687"/>
      <c r="S203" s="687"/>
      <c r="T203" s="688">
        <v>0</v>
      </c>
      <c r="U203" s="706"/>
      <c r="V203" s="690">
        <f t="shared" si="45"/>
        <v>0</v>
      </c>
      <c r="W203" s="707"/>
      <c r="X203" s="474">
        <f t="shared" si="53"/>
        <v>0</v>
      </c>
      <c r="Y203" s="474">
        <f t="shared" si="54"/>
        <v>0</v>
      </c>
      <c r="Z203" s="475">
        <f t="shared" si="55"/>
        <v>0</v>
      </c>
      <c r="AA203" s="475">
        <v>0</v>
      </c>
      <c r="AB203" s="476">
        <v>0</v>
      </c>
      <c r="AC203" s="38">
        <f t="shared" si="56"/>
        <v>0</v>
      </c>
      <c r="AD203" s="692">
        <f t="shared" si="46"/>
        <v>0</v>
      </c>
      <c r="AE203" s="692">
        <f t="shared" si="47"/>
        <v>0</v>
      </c>
      <c r="AF203" s="692">
        <f t="shared" si="48"/>
        <v>0</v>
      </c>
      <c r="AG203" s="38"/>
      <c r="AH203" s="692">
        <f t="shared" si="50"/>
        <v>0</v>
      </c>
      <c r="AI203" s="692">
        <f t="shared" si="51"/>
        <v>0</v>
      </c>
      <c r="AJ203" s="692">
        <f t="shared" si="52"/>
        <v>0</v>
      </c>
      <c r="AL203" s="38">
        <f t="shared" si="49"/>
        <v>0</v>
      </c>
    </row>
    <row r="204" spans="1:38" s="232" customFormat="1">
      <c r="A204" s="283"/>
      <c r="B204" s="283" t="s">
        <v>114</v>
      </c>
      <c r="C204" s="667" t="s">
        <v>580</v>
      </c>
      <c r="D204" s="123" t="s">
        <v>371</v>
      </c>
      <c r="E204" s="679"/>
      <c r="F204" s="529">
        <f>VLOOKUP(D204,'May 2013 Revenue'!D:V,19,FALSE)</f>
        <v>724.90999999999985</v>
      </c>
      <c r="G204" s="680"/>
      <c r="H204" s="680"/>
      <c r="I204" s="755"/>
      <c r="J204" s="682">
        <f t="shared" si="57"/>
        <v>724.90999999999985</v>
      </c>
      <c r="K204" s="683"/>
      <c r="L204" s="684">
        <v>10000</v>
      </c>
      <c r="M204" s="753"/>
      <c r="N204" s="683">
        <v>0</v>
      </c>
      <c r="O204" s="686"/>
      <c r="P204" s="683">
        <v>0</v>
      </c>
      <c r="Q204" s="687">
        <f t="shared" si="44"/>
        <v>10000</v>
      </c>
      <c r="R204" s="687"/>
      <c r="S204" s="687"/>
      <c r="T204" s="688">
        <v>10275.1</v>
      </c>
      <c r="U204" s="693"/>
      <c r="V204" s="690">
        <f t="shared" si="45"/>
        <v>275.10000000000036</v>
      </c>
      <c r="W204" s="683"/>
      <c r="X204" s="474">
        <f t="shared" si="53"/>
        <v>0</v>
      </c>
      <c r="Y204" s="474">
        <f t="shared" si="54"/>
        <v>0</v>
      </c>
      <c r="Z204" s="475">
        <f t="shared" si="55"/>
        <v>10000</v>
      </c>
      <c r="AA204" s="475">
        <v>0</v>
      </c>
      <c r="AB204" s="476">
        <v>0</v>
      </c>
      <c r="AC204" s="38">
        <f t="shared" si="56"/>
        <v>0</v>
      </c>
      <c r="AD204" s="692">
        <f t="shared" si="46"/>
        <v>0</v>
      </c>
      <c r="AE204" s="692">
        <f t="shared" si="47"/>
        <v>0</v>
      </c>
      <c r="AF204" s="692">
        <f t="shared" si="48"/>
        <v>724.90999999999985</v>
      </c>
      <c r="AG204" s="38"/>
      <c r="AH204" s="692">
        <f t="shared" si="50"/>
        <v>0</v>
      </c>
      <c r="AI204" s="692">
        <f t="shared" si="51"/>
        <v>0</v>
      </c>
      <c r="AJ204" s="692">
        <f t="shared" si="52"/>
        <v>10000</v>
      </c>
      <c r="AL204" s="38">
        <f t="shared" si="49"/>
        <v>10724.91</v>
      </c>
    </row>
    <row r="205" spans="1:38" s="232" customFormat="1">
      <c r="A205" s="283"/>
      <c r="B205" s="283" t="s">
        <v>110</v>
      </c>
      <c r="C205" s="667" t="s">
        <v>580</v>
      </c>
      <c r="D205" s="123" t="s">
        <v>422</v>
      </c>
      <c r="E205" s="679"/>
      <c r="F205" s="529">
        <f>VLOOKUP(D205,'May 2013 Revenue'!D:V,19,FALSE)</f>
        <v>0</v>
      </c>
      <c r="G205" s="680"/>
      <c r="H205" s="680"/>
      <c r="I205" s="755"/>
      <c r="J205" s="682">
        <f t="shared" si="57"/>
        <v>0</v>
      </c>
      <c r="K205" s="683"/>
      <c r="L205" s="684"/>
      <c r="M205" s="753"/>
      <c r="N205" s="683">
        <v>0</v>
      </c>
      <c r="O205" s="686"/>
      <c r="P205" s="683">
        <v>0</v>
      </c>
      <c r="Q205" s="687">
        <f t="shared" si="44"/>
        <v>0</v>
      </c>
      <c r="R205" s="687"/>
      <c r="S205" s="687"/>
      <c r="T205" s="688">
        <v>0</v>
      </c>
      <c r="U205" s="693"/>
      <c r="V205" s="690">
        <f t="shared" si="45"/>
        <v>0</v>
      </c>
      <c r="W205" s="683"/>
      <c r="X205" s="474">
        <f t="shared" si="53"/>
        <v>0</v>
      </c>
      <c r="Y205" s="474">
        <f t="shared" si="54"/>
        <v>0</v>
      </c>
      <c r="Z205" s="475">
        <f t="shared" si="55"/>
        <v>0</v>
      </c>
      <c r="AA205" s="475">
        <v>0</v>
      </c>
      <c r="AB205" s="476">
        <v>0</v>
      </c>
      <c r="AC205" s="38">
        <f t="shared" si="56"/>
        <v>0</v>
      </c>
      <c r="AD205" s="692">
        <f t="shared" si="46"/>
        <v>0</v>
      </c>
      <c r="AE205" s="692">
        <f t="shared" si="47"/>
        <v>0</v>
      </c>
      <c r="AF205" s="692">
        <f t="shared" si="48"/>
        <v>0</v>
      </c>
      <c r="AG205" s="38"/>
      <c r="AH205" s="692">
        <f t="shared" si="50"/>
        <v>0</v>
      </c>
      <c r="AI205" s="692">
        <f t="shared" si="51"/>
        <v>0</v>
      </c>
      <c r="AJ205" s="692">
        <f t="shared" si="52"/>
        <v>0</v>
      </c>
      <c r="AL205" s="38">
        <f t="shared" si="49"/>
        <v>0</v>
      </c>
    </row>
    <row r="206" spans="1:38" s="232" customFormat="1">
      <c r="A206" s="283"/>
      <c r="B206" s="283" t="s">
        <v>110</v>
      </c>
      <c r="C206" s="667" t="s">
        <v>580</v>
      </c>
      <c r="D206" s="123" t="s">
        <v>442</v>
      </c>
      <c r="E206" s="679"/>
      <c r="F206" s="529">
        <f>VLOOKUP(D206,'May 2013 Revenue'!D:V,19,FALSE)</f>
        <v>3.4299999999930151</v>
      </c>
      <c r="G206" s="680"/>
      <c r="H206" s="680"/>
      <c r="I206" s="755"/>
      <c r="J206" s="682">
        <f t="shared" si="57"/>
        <v>3.4299999999930151</v>
      </c>
      <c r="K206" s="683"/>
      <c r="L206" s="684">
        <v>1090000</v>
      </c>
      <c r="M206" s="753"/>
      <c r="N206" s="683">
        <v>0</v>
      </c>
      <c r="O206" s="686"/>
      <c r="P206" s="683">
        <v>0</v>
      </c>
      <c r="Q206" s="687">
        <f t="shared" si="44"/>
        <v>1090000</v>
      </c>
      <c r="R206" s="687"/>
      <c r="S206" s="687"/>
      <c r="T206" s="688">
        <f>495007.76+596612.39</f>
        <v>1091620.1499999999</v>
      </c>
      <c r="U206" s="693"/>
      <c r="V206" s="690">
        <f t="shared" si="45"/>
        <v>1620.1499999999069</v>
      </c>
      <c r="W206" s="683"/>
      <c r="X206" s="474">
        <f t="shared" si="53"/>
        <v>1090000</v>
      </c>
      <c r="Y206" s="474">
        <f t="shared" si="54"/>
        <v>0</v>
      </c>
      <c r="Z206" s="475">
        <f t="shared" si="55"/>
        <v>0</v>
      </c>
      <c r="AA206" s="475">
        <v>0</v>
      </c>
      <c r="AB206" s="476">
        <v>0</v>
      </c>
      <c r="AC206" s="38">
        <f t="shared" si="56"/>
        <v>0</v>
      </c>
      <c r="AD206" s="692">
        <f t="shared" si="46"/>
        <v>3.4299999999930151</v>
      </c>
      <c r="AE206" s="692">
        <f t="shared" si="47"/>
        <v>0</v>
      </c>
      <c r="AF206" s="692">
        <f t="shared" si="48"/>
        <v>0</v>
      </c>
      <c r="AG206" s="38"/>
      <c r="AH206" s="692">
        <f t="shared" si="50"/>
        <v>1090000</v>
      </c>
      <c r="AI206" s="692">
        <f t="shared" si="51"/>
        <v>0</v>
      </c>
      <c r="AJ206" s="692">
        <f t="shared" si="52"/>
        <v>0</v>
      </c>
      <c r="AL206" s="38">
        <f t="shared" si="49"/>
        <v>1090003.43</v>
      </c>
    </row>
    <row r="207" spans="1:38">
      <c r="A207" s="21" t="s">
        <v>97</v>
      </c>
      <c r="B207" s="21" t="s">
        <v>109</v>
      </c>
      <c r="C207" s="666"/>
      <c r="D207" s="68" t="s">
        <v>381</v>
      </c>
      <c r="E207" s="679"/>
      <c r="F207" s="529">
        <f>VLOOKUP(D207,'May 2013 Revenue'!D:V,19,FALSE)</f>
        <v>0</v>
      </c>
      <c r="G207" s="680"/>
      <c r="H207" s="680"/>
      <c r="I207" s="755"/>
      <c r="J207" s="682">
        <f t="shared" si="57"/>
        <v>0</v>
      </c>
      <c r="K207" s="683"/>
      <c r="L207" s="684"/>
      <c r="M207" s="753"/>
      <c r="N207" s="683">
        <v>0</v>
      </c>
      <c r="O207" s="686"/>
      <c r="P207" s="683">
        <v>0</v>
      </c>
      <c r="Q207" s="687">
        <f t="shared" si="44"/>
        <v>0</v>
      </c>
      <c r="R207" s="687"/>
      <c r="S207" s="687"/>
      <c r="T207" s="688">
        <v>0</v>
      </c>
      <c r="U207" s="693"/>
      <c r="V207" s="690">
        <f t="shared" si="45"/>
        <v>0</v>
      </c>
      <c r="W207" s="683"/>
      <c r="X207" s="474">
        <f t="shared" si="53"/>
        <v>0</v>
      </c>
      <c r="Y207" s="474">
        <f t="shared" si="54"/>
        <v>0</v>
      </c>
      <c r="Z207" s="475">
        <f t="shared" si="55"/>
        <v>0</v>
      </c>
      <c r="AA207" s="475">
        <v>0</v>
      </c>
      <c r="AB207" s="476">
        <v>0</v>
      </c>
      <c r="AC207" s="38">
        <f t="shared" si="56"/>
        <v>0</v>
      </c>
      <c r="AD207" s="692">
        <f t="shared" si="46"/>
        <v>0</v>
      </c>
      <c r="AE207" s="692">
        <f t="shared" si="47"/>
        <v>0</v>
      </c>
      <c r="AF207" s="692">
        <f t="shared" si="48"/>
        <v>0</v>
      </c>
      <c r="AG207" s="38"/>
      <c r="AH207" s="692">
        <f t="shared" si="50"/>
        <v>0</v>
      </c>
      <c r="AI207" s="692">
        <f t="shared" si="51"/>
        <v>0</v>
      </c>
      <c r="AJ207" s="692">
        <f t="shared" si="52"/>
        <v>0</v>
      </c>
      <c r="AL207" s="38">
        <f t="shared" si="49"/>
        <v>0</v>
      </c>
    </row>
    <row r="208" spans="1:38">
      <c r="A208" s="21" t="s">
        <v>97</v>
      </c>
      <c r="B208" s="21" t="s">
        <v>114</v>
      </c>
      <c r="C208" s="666"/>
      <c r="D208" s="68" t="s">
        <v>376</v>
      </c>
      <c r="E208" s="679"/>
      <c r="F208" s="529">
        <f>VLOOKUP(D208,'May 2013 Revenue'!D:V,19,FALSE)</f>
        <v>0</v>
      </c>
      <c r="G208" s="680"/>
      <c r="H208" s="680"/>
      <c r="I208" s="755"/>
      <c r="J208" s="682">
        <f t="shared" si="57"/>
        <v>0</v>
      </c>
      <c r="K208" s="683"/>
      <c r="L208" s="684"/>
      <c r="M208" s="753"/>
      <c r="N208" s="683">
        <v>0</v>
      </c>
      <c r="O208" s="686"/>
      <c r="P208" s="683">
        <v>0</v>
      </c>
      <c r="Q208" s="687">
        <f t="shared" ref="Q208:Q222" si="58">L208+M208</f>
        <v>0</v>
      </c>
      <c r="R208" s="687"/>
      <c r="S208" s="687"/>
      <c r="T208" s="688">
        <v>0</v>
      </c>
      <c r="U208" s="693"/>
      <c r="V208" s="690">
        <f t="shared" si="45"/>
        <v>0</v>
      </c>
      <c r="W208" s="683"/>
      <c r="X208" s="474">
        <f t="shared" si="53"/>
        <v>0</v>
      </c>
      <c r="Y208" s="474">
        <f t="shared" si="54"/>
        <v>0</v>
      </c>
      <c r="Z208" s="475">
        <f t="shared" si="55"/>
        <v>0</v>
      </c>
      <c r="AA208" s="475">
        <v>0</v>
      </c>
      <c r="AB208" s="476">
        <v>0</v>
      </c>
      <c r="AC208" s="38">
        <f t="shared" si="56"/>
        <v>0</v>
      </c>
      <c r="AD208" s="692">
        <f t="shared" si="46"/>
        <v>0</v>
      </c>
      <c r="AE208" s="692">
        <f t="shared" si="47"/>
        <v>0</v>
      </c>
      <c r="AF208" s="692">
        <f t="shared" si="48"/>
        <v>0</v>
      </c>
      <c r="AG208" s="38"/>
      <c r="AH208" s="692">
        <f t="shared" si="50"/>
        <v>0</v>
      </c>
      <c r="AI208" s="692">
        <f t="shared" si="51"/>
        <v>0</v>
      </c>
      <c r="AJ208" s="692">
        <f t="shared" si="52"/>
        <v>0</v>
      </c>
      <c r="AL208" s="38">
        <f t="shared" si="49"/>
        <v>0</v>
      </c>
    </row>
    <row r="209" spans="1:38">
      <c r="A209" s="20"/>
      <c r="B209" s="20" t="s">
        <v>110</v>
      </c>
      <c r="C209" s="667"/>
      <c r="D209" s="68" t="s">
        <v>390</v>
      </c>
      <c r="E209" s="679"/>
      <c r="F209" s="529">
        <f>VLOOKUP(D209,'May 2013 Revenue'!D:V,19,FALSE)</f>
        <v>0</v>
      </c>
      <c r="G209" s="680"/>
      <c r="H209" s="680"/>
      <c r="I209" s="755"/>
      <c r="J209" s="682">
        <f t="shared" si="57"/>
        <v>0</v>
      </c>
      <c r="K209" s="683"/>
      <c r="L209" s="684"/>
      <c r="M209" s="753"/>
      <c r="N209" s="683">
        <v>0</v>
      </c>
      <c r="O209" s="686"/>
      <c r="P209" s="683">
        <v>0</v>
      </c>
      <c r="Q209" s="687">
        <f t="shared" si="58"/>
        <v>0</v>
      </c>
      <c r="R209" s="687"/>
      <c r="S209" s="687"/>
      <c r="T209" s="688">
        <v>0</v>
      </c>
      <c r="U209" s="693"/>
      <c r="V209" s="690">
        <f t="shared" ref="V209:V221" si="59">IF(T209="","",T209-Q209)</f>
        <v>0</v>
      </c>
      <c r="W209" s="683"/>
      <c r="X209" s="474">
        <f t="shared" si="53"/>
        <v>0</v>
      </c>
      <c r="Y209" s="474">
        <f t="shared" si="54"/>
        <v>0</v>
      </c>
      <c r="Z209" s="475">
        <f t="shared" si="55"/>
        <v>0</v>
      </c>
      <c r="AA209" s="475">
        <v>0</v>
      </c>
      <c r="AB209" s="476">
        <v>0</v>
      </c>
      <c r="AC209" s="38">
        <f t="shared" si="56"/>
        <v>0</v>
      </c>
      <c r="AD209" s="692">
        <f t="shared" si="46"/>
        <v>0</v>
      </c>
      <c r="AE209" s="692">
        <f t="shared" si="47"/>
        <v>0</v>
      </c>
      <c r="AF209" s="692">
        <f t="shared" si="48"/>
        <v>0</v>
      </c>
      <c r="AG209" s="38"/>
      <c r="AH209" s="692">
        <f t="shared" si="50"/>
        <v>0</v>
      </c>
      <c r="AI209" s="692">
        <f t="shared" si="51"/>
        <v>0</v>
      </c>
      <c r="AJ209" s="692">
        <f t="shared" si="52"/>
        <v>0</v>
      </c>
      <c r="AL209" s="38">
        <f t="shared" si="49"/>
        <v>0</v>
      </c>
    </row>
    <row r="210" spans="1:38">
      <c r="A210" s="20"/>
      <c r="B210" s="20" t="s">
        <v>110</v>
      </c>
      <c r="C210" s="667" t="s">
        <v>581</v>
      </c>
      <c r="D210" s="123" t="s">
        <v>166</v>
      </c>
      <c r="E210" s="679"/>
      <c r="F210" s="529">
        <f>VLOOKUP(D210,'May 2013 Revenue'!D:V,19,FALSE)</f>
        <v>0</v>
      </c>
      <c r="G210" s="680"/>
      <c r="H210" s="680"/>
      <c r="I210" s="755"/>
      <c r="J210" s="682">
        <f t="shared" si="57"/>
        <v>0</v>
      </c>
      <c r="K210" s="683"/>
      <c r="L210" s="684"/>
      <c r="M210" s="753"/>
      <c r="N210" s="683">
        <v>0</v>
      </c>
      <c r="O210" s="686"/>
      <c r="P210" s="683">
        <v>0</v>
      </c>
      <c r="Q210" s="687">
        <f t="shared" si="58"/>
        <v>0</v>
      </c>
      <c r="R210" s="687"/>
      <c r="S210" s="687"/>
      <c r="T210" s="688">
        <v>0</v>
      </c>
      <c r="U210" s="693"/>
      <c r="V210" s="690">
        <f t="shared" si="59"/>
        <v>0</v>
      </c>
      <c r="W210" s="683"/>
      <c r="X210" s="474">
        <f t="shared" si="53"/>
        <v>0</v>
      </c>
      <c r="Y210" s="474">
        <f t="shared" si="54"/>
        <v>0</v>
      </c>
      <c r="Z210" s="475">
        <f t="shared" si="55"/>
        <v>0</v>
      </c>
      <c r="AA210" s="475">
        <v>0</v>
      </c>
      <c r="AB210" s="476">
        <v>0</v>
      </c>
      <c r="AC210" s="38">
        <f t="shared" si="56"/>
        <v>0</v>
      </c>
      <c r="AD210" s="692">
        <f t="shared" si="46"/>
        <v>0</v>
      </c>
      <c r="AE210" s="692">
        <f t="shared" si="47"/>
        <v>0</v>
      </c>
      <c r="AF210" s="692">
        <f t="shared" si="48"/>
        <v>0</v>
      </c>
      <c r="AG210" s="38"/>
      <c r="AH210" s="692">
        <f t="shared" si="50"/>
        <v>0</v>
      </c>
      <c r="AI210" s="692">
        <f t="shared" si="51"/>
        <v>0</v>
      </c>
      <c r="AJ210" s="692">
        <f t="shared" si="52"/>
        <v>0</v>
      </c>
      <c r="AL210" s="38">
        <f t="shared" si="49"/>
        <v>0</v>
      </c>
    </row>
    <row r="211" spans="1:38">
      <c r="A211" s="20"/>
      <c r="B211" s="20" t="s">
        <v>109</v>
      </c>
      <c r="C211" s="667" t="s">
        <v>581</v>
      </c>
      <c r="D211" s="123" t="s">
        <v>165</v>
      </c>
      <c r="E211" s="679"/>
      <c r="F211" s="529">
        <f>VLOOKUP(D211,'May 2013 Revenue'!D:V,19,FALSE)</f>
        <v>0</v>
      </c>
      <c r="G211" s="680"/>
      <c r="H211" s="680"/>
      <c r="I211" s="755"/>
      <c r="J211" s="682">
        <f t="shared" si="57"/>
        <v>0</v>
      </c>
      <c r="K211" s="683"/>
      <c r="L211" s="684"/>
      <c r="M211" s="753"/>
      <c r="N211" s="683">
        <v>0</v>
      </c>
      <c r="O211" s="686"/>
      <c r="P211" s="683">
        <v>0</v>
      </c>
      <c r="Q211" s="687">
        <f t="shared" si="58"/>
        <v>0</v>
      </c>
      <c r="R211" s="687"/>
      <c r="S211" s="687"/>
      <c r="T211" s="688">
        <v>0</v>
      </c>
      <c r="U211" s="693"/>
      <c r="V211" s="690">
        <f t="shared" si="59"/>
        <v>0</v>
      </c>
      <c r="W211" s="683"/>
      <c r="X211" s="474">
        <f t="shared" si="53"/>
        <v>0</v>
      </c>
      <c r="Y211" s="474">
        <f t="shared" si="54"/>
        <v>0</v>
      </c>
      <c r="Z211" s="475">
        <f t="shared" si="55"/>
        <v>0</v>
      </c>
      <c r="AA211" s="475">
        <v>0</v>
      </c>
      <c r="AB211" s="476">
        <v>0</v>
      </c>
      <c r="AC211" s="38">
        <f t="shared" si="56"/>
        <v>0</v>
      </c>
      <c r="AD211" s="692">
        <f t="shared" si="46"/>
        <v>0</v>
      </c>
      <c r="AE211" s="692">
        <f t="shared" si="47"/>
        <v>0</v>
      </c>
      <c r="AF211" s="692">
        <f t="shared" si="48"/>
        <v>0</v>
      </c>
      <c r="AG211" s="38"/>
      <c r="AH211" s="692">
        <f t="shared" si="50"/>
        <v>0</v>
      </c>
      <c r="AI211" s="692">
        <f t="shared" si="51"/>
        <v>0</v>
      </c>
      <c r="AJ211" s="692">
        <f t="shared" si="52"/>
        <v>0</v>
      </c>
      <c r="AL211" s="38">
        <f t="shared" si="49"/>
        <v>0</v>
      </c>
    </row>
    <row r="212" spans="1:38">
      <c r="A212" s="20"/>
      <c r="B212" s="20" t="s">
        <v>109</v>
      </c>
      <c r="C212" s="667"/>
      <c r="D212" s="123" t="s">
        <v>310</v>
      </c>
      <c r="E212" s="679"/>
      <c r="F212" s="529">
        <f>VLOOKUP(D212,'May 2013 Revenue'!D:V,19,FALSE)</f>
        <v>0</v>
      </c>
      <c r="G212" s="680"/>
      <c r="H212" s="680"/>
      <c r="I212" s="755"/>
      <c r="J212" s="682">
        <f t="shared" si="57"/>
        <v>0</v>
      </c>
      <c r="K212" s="683"/>
      <c r="L212" s="684"/>
      <c r="M212" s="753"/>
      <c r="N212" s="683">
        <v>0</v>
      </c>
      <c r="O212" s="686"/>
      <c r="P212" s="683">
        <v>0</v>
      </c>
      <c r="Q212" s="687">
        <f t="shared" si="58"/>
        <v>0</v>
      </c>
      <c r="R212" s="687"/>
      <c r="S212" s="687"/>
      <c r="T212" s="688">
        <v>0</v>
      </c>
      <c r="U212" s="693"/>
      <c r="V212" s="690">
        <f t="shared" si="59"/>
        <v>0</v>
      </c>
      <c r="W212" s="683"/>
      <c r="X212" s="474">
        <f t="shared" si="53"/>
        <v>0</v>
      </c>
      <c r="Y212" s="474">
        <f t="shared" si="54"/>
        <v>0</v>
      </c>
      <c r="Z212" s="475">
        <f t="shared" si="55"/>
        <v>0</v>
      </c>
      <c r="AA212" s="475">
        <v>0</v>
      </c>
      <c r="AB212" s="476">
        <v>0</v>
      </c>
      <c r="AC212" s="38">
        <f t="shared" si="56"/>
        <v>0</v>
      </c>
      <c r="AD212" s="692">
        <f t="shared" ref="AD212:AD222" si="60">IF(B212="D",J212,0)</f>
        <v>0</v>
      </c>
      <c r="AE212" s="692">
        <f t="shared" ref="AE212:AE222" si="61">IF(B212="M",J212,0)</f>
        <v>0</v>
      </c>
      <c r="AF212" s="692">
        <f t="shared" ref="AF212:AF222" si="62">IF(B212="V",J212,0)</f>
        <v>0</v>
      </c>
      <c r="AG212" s="38"/>
      <c r="AH212" s="692">
        <f t="shared" si="50"/>
        <v>0</v>
      </c>
      <c r="AI212" s="692">
        <f t="shared" si="51"/>
        <v>0</v>
      </c>
      <c r="AJ212" s="692">
        <f t="shared" si="52"/>
        <v>0</v>
      </c>
      <c r="AL212" s="38">
        <f t="shared" ref="AL212:AL222" si="63">SUM(AD212:AJ212)</f>
        <v>0</v>
      </c>
    </row>
    <row r="213" spans="1:38">
      <c r="A213" s="20"/>
      <c r="B213" s="20" t="s">
        <v>109</v>
      </c>
      <c r="C213" s="667"/>
      <c r="D213" s="123" t="s">
        <v>441</v>
      </c>
      <c r="E213" s="679"/>
      <c r="F213" s="529">
        <f>VLOOKUP(D213,'May 2013 Revenue'!D:V,19,FALSE)</f>
        <v>0</v>
      </c>
      <c r="G213" s="680"/>
      <c r="H213" s="680"/>
      <c r="I213" s="755"/>
      <c r="J213" s="682">
        <f t="shared" si="57"/>
        <v>0</v>
      </c>
      <c r="K213" s="683"/>
      <c r="L213" s="684"/>
      <c r="M213" s="753"/>
      <c r="N213" s="683">
        <v>0</v>
      </c>
      <c r="O213" s="686"/>
      <c r="P213" s="683">
        <v>0</v>
      </c>
      <c r="Q213" s="687">
        <f t="shared" si="58"/>
        <v>0</v>
      </c>
      <c r="R213" s="687"/>
      <c r="S213" s="687"/>
      <c r="T213" s="688">
        <v>0</v>
      </c>
      <c r="U213" s="693"/>
      <c r="V213" s="690">
        <f t="shared" si="59"/>
        <v>0</v>
      </c>
      <c r="W213" s="683"/>
      <c r="X213" s="474">
        <f t="shared" si="53"/>
        <v>0</v>
      </c>
      <c r="Y213" s="474">
        <f t="shared" si="54"/>
        <v>0</v>
      </c>
      <c r="Z213" s="475">
        <f t="shared" si="55"/>
        <v>0</v>
      </c>
      <c r="AA213" s="475">
        <v>0</v>
      </c>
      <c r="AB213" s="476">
        <v>0</v>
      </c>
      <c r="AC213" s="38">
        <f t="shared" si="56"/>
        <v>0</v>
      </c>
      <c r="AD213" s="692">
        <f t="shared" si="60"/>
        <v>0</v>
      </c>
      <c r="AE213" s="692">
        <f t="shared" si="61"/>
        <v>0</v>
      </c>
      <c r="AF213" s="692">
        <f t="shared" si="62"/>
        <v>0</v>
      </c>
      <c r="AG213" s="38"/>
      <c r="AH213" s="692">
        <f t="shared" ref="AH213:AH222" si="64">IF(B213="D",Q213,0)</f>
        <v>0</v>
      </c>
      <c r="AI213" s="692">
        <f t="shared" ref="AI213:AI222" si="65">IF(B213="M",Q213,0)</f>
        <v>0</v>
      </c>
      <c r="AJ213" s="692">
        <f t="shared" ref="AJ213:AJ222" si="66">IF(B213="V",Q213,0)</f>
        <v>0</v>
      </c>
      <c r="AL213" s="38">
        <f t="shared" si="63"/>
        <v>0</v>
      </c>
    </row>
    <row r="214" spans="1:38">
      <c r="A214" s="20"/>
      <c r="B214" s="20" t="s">
        <v>109</v>
      </c>
      <c r="C214" s="667"/>
      <c r="D214" s="68" t="s">
        <v>121</v>
      </c>
      <c r="E214" s="679"/>
      <c r="F214" s="529">
        <f>VLOOKUP(D214,'May 2013 Revenue'!D:V,19,FALSE)</f>
        <v>0</v>
      </c>
      <c r="G214" s="680"/>
      <c r="H214" s="680"/>
      <c r="I214" s="755"/>
      <c r="J214" s="682">
        <f t="shared" si="57"/>
        <v>0</v>
      </c>
      <c r="K214" s="683"/>
      <c r="L214" s="684"/>
      <c r="M214" s="753"/>
      <c r="N214" s="683">
        <v>0</v>
      </c>
      <c r="O214" s="686"/>
      <c r="P214" s="683">
        <v>0</v>
      </c>
      <c r="Q214" s="687">
        <f t="shared" si="58"/>
        <v>0</v>
      </c>
      <c r="R214" s="687"/>
      <c r="S214" s="687"/>
      <c r="T214" s="688">
        <v>0</v>
      </c>
      <c r="U214" s="693"/>
      <c r="V214" s="690">
        <f t="shared" si="59"/>
        <v>0</v>
      </c>
      <c r="W214" s="683"/>
      <c r="X214" s="474">
        <f t="shared" ref="X214:X222" si="67">IF(B214="D",Q214,0)</f>
        <v>0</v>
      </c>
      <c r="Y214" s="474">
        <f t="shared" ref="Y214:Y222" si="68">IF(B214="M",Q214,0)</f>
        <v>0</v>
      </c>
      <c r="Z214" s="475">
        <f t="shared" ref="Z214:Z222" si="69">IF(B214="V",Q214,0)</f>
        <v>0</v>
      </c>
      <c r="AA214" s="475">
        <v>0</v>
      </c>
      <c r="AB214" s="476">
        <v>0</v>
      </c>
      <c r="AC214" s="38">
        <f t="shared" ref="AC214:AC222" si="70">(L214+M214)-(X214+Y214+Z214+AA214+AB214)</f>
        <v>0</v>
      </c>
      <c r="AD214" s="692">
        <f t="shared" si="60"/>
        <v>0</v>
      </c>
      <c r="AE214" s="692">
        <f t="shared" si="61"/>
        <v>0</v>
      </c>
      <c r="AF214" s="692">
        <f t="shared" si="62"/>
        <v>0</v>
      </c>
      <c r="AG214" s="38"/>
      <c r="AH214" s="692">
        <f t="shared" si="64"/>
        <v>0</v>
      </c>
      <c r="AI214" s="692">
        <f t="shared" si="65"/>
        <v>0</v>
      </c>
      <c r="AJ214" s="692">
        <f t="shared" si="66"/>
        <v>0</v>
      </c>
      <c r="AL214" s="38">
        <f t="shared" si="63"/>
        <v>0</v>
      </c>
    </row>
    <row r="215" spans="1:38">
      <c r="A215" s="20"/>
      <c r="B215" s="20" t="s">
        <v>110</v>
      </c>
      <c r="C215" s="667"/>
      <c r="D215" s="68" t="s">
        <v>168</v>
      </c>
      <c r="E215" s="679"/>
      <c r="F215" s="529">
        <f>VLOOKUP(D215,'May 2013 Revenue'!D:V,19,FALSE)</f>
        <v>0</v>
      </c>
      <c r="G215" s="680"/>
      <c r="H215" s="680"/>
      <c r="I215" s="755"/>
      <c r="J215" s="682">
        <f t="shared" si="57"/>
        <v>0</v>
      </c>
      <c r="K215" s="683"/>
      <c r="L215" s="684"/>
      <c r="M215" s="753"/>
      <c r="N215" s="683">
        <v>0</v>
      </c>
      <c r="O215" s="686"/>
      <c r="P215" s="683">
        <v>0</v>
      </c>
      <c r="Q215" s="687">
        <f t="shared" si="58"/>
        <v>0</v>
      </c>
      <c r="R215" s="687"/>
      <c r="S215" s="687"/>
      <c r="T215" s="688">
        <v>0</v>
      </c>
      <c r="U215" s="693"/>
      <c r="V215" s="690">
        <f t="shared" si="59"/>
        <v>0</v>
      </c>
      <c r="W215" s="683"/>
      <c r="X215" s="474">
        <f t="shared" si="67"/>
        <v>0</v>
      </c>
      <c r="Y215" s="474">
        <f t="shared" si="68"/>
        <v>0</v>
      </c>
      <c r="Z215" s="475">
        <f t="shared" si="69"/>
        <v>0</v>
      </c>
      <c r="AA215" s="475">
        <v>0</v>
      </c>
      <c r="AB215" s="476">
        <v>0</v>
      </c>
      <c r="AC215" s="38">
        <f t="shared" si="70"/>
        <v>0</v>
      </c>
      <c r="AD215" s="692">
        <f t="shared" si="60"/>
        <v>0</v>
      </c>
      <c r="AE215" s="692">
        <f t="shared" si="61"/>
        <v>0</v>
      </c>
      <c r="AF215" s="692">
        <f t="shared" si="62"/>
        <v>0</v>
      </c>
      <c r="AG215" s="38"/>
      <c r="AH215" s="692">
        <f t="shared" si="64"/>
        <v>0</v>
      </c>
      <c r="AI215" s="692">
        <f t="shared" si="65"/>
        <v>0</v>
      </c>
      <c r="AJ215" s="692">
        <f t="shared" si="66"/>
        <v>0</v>
      </c>
      <c r="AL215" s="38">
        <f t="shared" si="63"/>
        <v>0</v>
      </c>
    </row>
    <row r="216" spans="1:38">
      <c r="A216" s="20"/>
      <c r="B216" s="20" t="s">
        <v>109</v>
      </c>
      <c r="C216" s="667" t="s">
        <v>582</v>
      </c>
      <c r="D216" s="68" t="s">
        <v>167</v>
      </c>
      <c r="E216" s="679"/>
      <c r="F216" s="529">
        <f>VLOOKUP(D216,'May 2013 Revenue'!D:V,19,FALSE)</f>
        <v>0</v>
      </c>
      <c r="G216" s="680"/>
      <c r="H216" s="680"/>
      <c r="I216" s="755"/>
      <c r="J216" s="682">
        <f t="shared" si="57"/>
        <v>0</v>
      </c>
      <c r="K216" s="683"/>
      <c r="L216" s="684"/>
      <c r="M216" s="753"/>
      <c r="N216" s="683">
        <v>0</v>
      </c>
      <c r="O216" s="686"/>
      <c r="P216" s="683">
        <v>0</v>
      </c>
      <c r="Q216" s="687">
        <f t="shared" si="58"/>
        <v>0</v>
      </c>
      <c r="R216" s="687"/>
      <c r="S216" s="687"/>
      <c r="T216" s="688">
        <v>0</v>
      </c>
      <c r="U216" s="693"/>
      <c r="V216" s="690">
        <f t="shared" si="59"/>
        <v>0</v>
      </c>
      <c r="W216" s="683"/>
      <c r="X216" s="474">
        <f t="shared" si="67"/>
        <v>0</v>
      </c>
      <c r="Y216" s="474">
        <f t="shared" si="68"/>
        <v>0</v>
      </c>
      <c r="Z216" s="475">
        <f t="shared" si="69"/>
        <v>0</v>
      </c>
      <c r="AA216" s="475">
        <v>0</v>
      </c>
      <c r="AB216" s="476">
        <v>0</v>
      </c>
      <c r="AC216" s="38">
        <f t="shared" si="70"/>
        <v>0</v>
      </c>
      <c r="AD216" s="692">
        <f t="shared" si="60"/>
        <v>0</v>
      </c>
      <c r="AE216" s="692">
        <f t="shared" si="61"/>
        <v>0</v>
      </c>
      <c r="AF216" s="692">
        <f t="shared" si="62"/>
        <v>0</v>
      </c>
      <c r="AG216" s="38"/>
      <c r="AH216" s="692">
        <f t="shared" si="64"/>
        <v>0</v>
      </c>
      <c r="AI216" s="692">
        <f t="shared" si="65"/>
        <v>0</v>
      </c>
      <c r="AJ216" s="692">
        <f t="shared" si="66"/>
        <v>0</v>
      </c>
      <c r="AL216" s="38">
        <f t="shared" si="63"/>
        <v>0</v>
      </c>
    </row>
    <row r="217" spans="1:38">
      <c r="A217" s="20" t="s">
        <v>218</v>
      </c>
      <c r="B217" s="20" t="s">
        <v>110</v>
      </c>
      <c r="C217" s="667"/>
      <c r="D217" s="68" t="s">
        <v>60</v>
      </c>
      <c r="E217" s="679"/>
      <c r="F217" s="529">
        <f>VLOOKUP(D217,'May 2013 Revenue'!D:V,19,FALSE)</f>
        <v>-10000</v>
      </c>
      <c r="G217" s="680"/>
      <c r="H217" s="680"/>
      <c r="I217" s="755"/>
      <c r="J217" s="682">
        <f t="shared" si="57"/>
        <v>-10000</v>
      </c>
      <c r="K217" s="683"/>
      <c r="L217" s="684"/>
      <c r="M217" s="753">
        <v>15000</v>
      </c>
      <c r="N217" s="683">
        <v>0</v>
      </c>
      <c r="O217" s="686"/>
      <c r="P217" s="683">
        <v>0</v>
      </c>
      <c r="Q217" s="687">
        <f t="shared" si="58"/>
        <v>15000</v>
      </c>
      <c r="R217" s="687"/>
      <c r="S217" s="687"/>
      <c r="T217" s="688">
        <v>0</v>
      </c>
      <c r="U217" s="693"/>
      <c r="V217" s="690">
        <f t="shared" si="59"/>
        <v>-15000</v>
      </c>
      <c r="W217" s="697"/>
      <c r="X217" s="474">
        <f t="shared" si="67"/>
        <v>15000</v>
      </c>
      <c r="Y217" s="474">
        <f t="shared" si="68"/>
        <v>0</v>
      </c>
      <c r="Z217" s="475">
        <f t="shared" si="69"/>
        <v>0</v>
      </c>
      <c r="AA217" s="475">
        <v>0</v>
      </c>
      <c r="AB217" s="476">
        <v>0</v>
      </c>
      <c r="AC217" s="38">
        <f t="shared" si="70"/>
        <v>0</v>
      </c>
      <c r="AD217" s="692">
        <f t="shared" si="60"/>
        <v>-10000</v>
      </c>
      <c r="AE217" s="692">
        <f t="shared" si="61"/>
        <v>0</v>
      </c>
      <c r="AF217" s="692">
        <f t="shared" si="62"/>
        <v>0</v>
      </c>
      <c r="AG217" s="38"/>
      <c r="AH217" s="692">
        <f t="shared" si="64"/>
        <v>15000</v>
      </c>
      <c r="AI217" s="692">
        <f t="shared" si="65"/>
        <v>0</v>
      </c>
      <c r="AJ217" s="692">
        <f t="shared" si="66"/>
        <v>0</v>
      </c>
      <c r="AL217" s="38">
        <f t="shared" si="63"/>
        <v>5000</v>
      </c>
    </row>
    <row r="218" spans="1:38">
      <c r="A218" s="20"/>
      <c r="B218" s="20" t="s">
        <v>110</v>
      </c>
      <c r="C218" s="667" t="s">
        <v>583</v>
      </c>
      <c r="D218" s="68" t="s">
        <v>169</v>
      </c>
      <c r="E218" s="679"/>
      <c r="F218" s="529">
        <f>VLOOKUP(D218,'May 2013 Revenue'!D:V,19,FALSE)</f>
        <v>0</v>
      </c>
      <c r="G218" s="680"/>
      <c r="H218" s="680"/>
      <c r="I218" s="755"/>
      <c r="J218" s="682">
        <f t="shared" si="57"/>
        <v>0</v>
      </c>
      <c r="K218" s="683"/>
      <c r="L218" s="684"/>
      <c r="M218" s="753"/>
      <c r="N218" s="683">
        <v>0</v>
      </c>
      <c r="O218" s="686"/>
      <c r="P218" s="683">
        <v>0</v>
      </c>
      <c r="Q218" s="687">
        <f t="shared" si="58"/>
        <v>0</v>
      </c>
      <c r="R218" s="687"/>
      <c r="S218" s="687"/>
      <c r="T218" s="688">
        <v>0</v>
      </c>
      <c r="U218" s="693"/>
      <c r="V218" s="690">
        <f t="shared" si="59"/>
        <v>0</v>
      </c>
      <c r="W218" s="683"/>
      <c r="X218" s="474">
        <f t="shared" si="67"/>
        <v>0</v>
      </c>
      <c r="Y218" s="474">
        <f t="shared" si="68"/>
        <v>0</v>
      </c>
      <c r="Z218" s="475">
        <f t="shared" si="69"/>
        <v>0</v>
      </c>
      <c r="AA218" s="475">
        <v>0</v>
      </c>
      <c r="AB218" s="476">
        <v>0</v>
      </c>
      <c r="AC218" s="38">
        <f t="shared" si="70"/>
        <v>0</v>
      </c>
      <c r="AD218" s="692">
        <f t="shared" si="60"/>
        <v>0</v>
      </c>
      <c r="AE218" s="692">
        <f t="shared" si="61"/>
        <v>0</v>
      </c>
      <c r="AF218" s="692">
        <f t="shared" si="62"/>
        <v>0</v>
      </c>
      <c r="AG218" s="38"/>
      <c r="AH218" s="692">
        <f t="shared" si="64"/>
        <v>0</v>
      </c>
      <c r="AI218" s="692">
        <f t="shared" si="65"/>
        <v>0</v>
      </c>
      <c r="AJ218" s="692">
        <f t="shared" si="66"/>
        <v>0</v>
      </c>
      <c r="AL218" s="38">
        <f t="shared" si="63"/>
        <v>0</v>
      </c>
    </row>
    <row r="219" spans="1:38">
      <c r="A219" s="21"/>
      <c r="B219" s="21" t="s">
        <v>110</v>
      </c>
      <c r="C219" s="666"/>
      <c r="D219" s="810" t="s">
        <v>945</v>
      </c>
      <c r="E219" s="679"/>
      <c r="F219" s="529">
        <f>VLOOKUP(D219,'May 2013 Revenue'!D:V,19,FALSE)</f>
        <v>0</v>
      </c>
      <c r="G219" s="680"/>
      <c r="H219" s="680"/>
      <c r="I219" s="755"/>
      <c r="J219" s="682">
        <f t="shared" si="57"/>
        <v>0</v>
      </c>
      <c r="K219" s="683"/>
      <c r="L219" s="684"/>
      <c r="M219" s="753"/>
      <c r="N219" s="683">
        <v>0</v>
      </c>
      <c r="O219" s="686"/>
      <c r="P219" s="683">
        <v>0</v>
      </c>
      <c r="Q219" s="687">
        <f t="shared" si="58"/>
        <v>0</v>
      </c>
      <c r="R219" s="687"/>
      <c r="S219" s="687"/>
      <c r="T219" s="688">
        <v>0</v>
      </c>
      <c r="U219" s="693"/>
      <c r="V219" s="690">
        <f t="shared" si="59"/>
        <v>0</v>
      </c>
      <c r="W219" s="683"/>
      <c r="X219" s="474">
        <f t="shared" si="67"/>
        <v>0</v>
      </c>
      <c r="Y219" s="474">
        <f t="shared" si="68"/>
        <v>0</v>
      </c>
      <c r="Z219" s="475">
        <f t="shared" si="69"/>
        <v>0</v>
      </c>
      <c r="AA219" s="475">
        <v>0</v>
      </c>
      <c r="AB219" s="476">
        <v>0</v>
      </c>
      <c r="AC219" s="38">
        <f t="shared" si="70"/>
        <v>0</v>
      </c>
      <c r="AD219" s="692">
        <f t="shared" si="60"/>
        <v>0</v>
      </c>
      <c r="AE219" s="692">
        <f t="shared" si="61"/>
        <v>0</v>
      </c>
      <c r="AF219" s="692">
        <f t="shared" si="62"/>
        <v>0</v>
      </c>
      <c r="AG219" s="38"/>
      <c r="AH219" s="692">
        <f t="shared" si="64"/>
        <v>0</v>
      </c>
      <c r="AI219" s="692">
        <f t="shared" si="65"/>
        <v>0</v>
      </c>
      <c r="AJ219" s="692">
        <f t="shared" si="66"/>
        <v>0</v>
      </c>
      <c r="AL219" s="38">
        <f t="shared" si="63"/>
        <v>0</v>
      </c>
    </row>
    <row r="220" spans="1:38">
      <c r="A220" s="21"/>
      <c r="B220" s="21" t="s">
        <v>114</v>
      </c>
      <c r="C220" s="666"/>
      <c r="D220" s="68" t="s">
        <v>591</v>
      </c>
      <c r="E220" s="679"/>
      <c r="F220" s="529">
        <f>VLOOKUP(D220,'May 2013 Revenue'!D:V,19,FALSE)</f>
        <v>2223.6400000000003</v>
      </c>
      <c r="G220" s="680"/>
      <c r="H220" s="680"/>
      <c r="I220" s="755"/>
      <c r="J220" s="682">
        <f t="shared" si="57"/>
        <v>2223.6400000000003</v>
      </c>
      <c r="K220" s="683"/>
      <c r="L220" s="684"/>
      <c r="M220" s="753"/>
      <c r="N220" s="683">
        <v>0</v>
      </c>
      <c r="O220" s="686"/>
      <c r="P220" s="683">
        <v>0</v>
      </c>
      <c r="Q220" s="687">
        <f t="shared" si="58"/>
        <v>0</v>
      </c>
      <c r="R220" s="687"/>
      <c r="S220" s="687"/>
      <c r="T220" s="688">
        <f>378.9+1032.98+181.67+358.76</f>
        <v>1952.3100000000002</v>
      </c>
      <c r="U220" s="693"/>
      <c r="V220" s="690">
        <f t="shared" si="59"/>
        <v>1952.3100000000002</v>
      </c>
      <c r="W220" s="683"/>
      <c r="X220" s="474">
        <f t="shared" si="67"/>
        <v>0</v>
      </c>
      <c r="Y220" s="474">
        <f t="shared" si="68"/>
        <v>0</v>
      </c>
      <c r="Z220" s="475">
        <f t="shared" si="69"/>
        <v>0</v>
      </c>
      <c r="AA220" s="475">
        <v>0</v>
      </c>
      <c r="AB220" s="476">
        <v>0</v>
      </c>
      <c r="AC220" s="38">
        <f t="shared" si="70"/>
        <v>0</v>
      </c>
      <c r="AD220" s="692">
        <f t="shared" si="60"/>
        <v>0</v>
      </c>
      <c r="AE220" s="692">
        <f t="shared" si="61"/>
        <v>0</v>
      </c>
      <c r="AF220" s="692">
        <f t="shared" si="62"/>
        <v>2223.6400000000003</v>
      </c>
      <c r="AG220" s="38"/>
      <c r="AH220" s="692">
        <f t="shared" si="64"/>
        <v>0</v>
      </c>
      <c r="AI220" s="692">
        <f t="shared" si="65"/>
        <v>0</v>
      </c>
      <c r="AJ220" s="692">
        <f t="shared" si="66"/>
        <v>0</v>
      </c>
      <c r="AL220" s="38">
        <f t="shared" si="63"/>
        <v>2223.6400000000003</v>
      </c>
    </row>
    <row r="221" spans="1:38">
      <c r="A221" s="21"/>
      <c r="B221" s="21" t="s">
        <v>114</v>
      </c>
      <c r="C221" s="672"/>
      <c r="D221" s="519" t="s">
        <v>433</v>
      </c>
      <c r="E221" s="679"/>
      <c r="F221" s="529">
        <f>VLOOKUP(D221,'May 2013 Revenue'!D:V,19,FALSE)</f>
        <v>0</v>
      </c>
      <c r="G221" s="680"/>
      <c r="H221" s="680"/>
      <c r="I221" s="755"/>
      <c r="J221" s="682">
        <f t="shared" si="57"/>
        <v>0</v>
      </c>
      <c r="K221" s="683"/>
      <c r="L221" s="684"/>
      <c r="M221" s="753"/>
      <c r="N221" s="683">
        <v>0</v>
      </c>
      <c r="O221" s="686"/>
      <c r="P221" s="683">
        <v>0</v>
      </c>
      <c r="Q221" s="687">
        <f t="shared" si="58"/>
        <v>0</v>
      </c>
      <c r="R221" s="687"/>
      <c r="S221" s="687"/>
      <c r="T221" s="688">
        <v>0</v>
      </c>
      <c r="U221" s="693"/>
      <c r="V221" s="690">
        <f t="shared" si="59"/>
        <v>0</v>
      </c>
      <c r="W221" s="683"/>
      <c r="X221" s="474">
        <f t="shared" si="67"/>
        <v>0</v>
      </c>
      <c r="Y221" s="474">
        <f t="shared" si="68"/>
        <v>0</v>
      </c>
      <c r="Z221" s="475">
        <f t="shared" si="69"/>
        <v>0</v>
      </c>
      <c r="AA221" s="475">
        <v>0</v>
      </c>
      <c r="AB221" s="476">
        <v>0</v>
      </c>
      <c r="AC221" s="38">
        <f t="shared" si="70"/>
        <v>0</v>
      </c>
      <c r="AD221" s="692">
        <f t="shared" si="60"/>
        <v>0</v>
      </c>
      <c r="AE221" s="692">
        <f t="shared" si="61"/>
        <v>0</v>
      </c>
      <c r="AF221" s="692">
        <f t="shared" si="62"/>
        <v>0</v>
      </c>
      <c r="AG221" s="38"/>
      <c r="AH221" s="692">
        <f t="shared" si="64"/>
        <v>0</v>
      </c>
      <c r="AI221" s="692">
        <f t="shared" si="65"/>
        <v>0</v>
      </c>
      <c r="AJ221" s="692">
        <f t="shared" si="66"/>
        <v>0</v>
      </c>
      <c r="AL221" s="38">
        <f t="shared" si="63"/>
        <v>0</v>
      </c>
    </row>
    <row r="222" spans="1:38" s="146" customFormat="1" ht="13" thickBot="1">
      <c r="A222" s="21"/>
      <c r="B222" s="21" t="s">
        <v>110</v>
      </c>
      <c r="C222" s="666"/>
      <c r="D222" s="68" t="s">
        <v>593</v>
      </c>
      <c r="E222" s="679"/>
      <c r="F222" s="529">
        <f>VLOOKUP(D222,'May 2013 Revenue'!D:V,19,FALSE)</f>
        <v>0</v>
      </c>
      <c r="G222" s="680"/>
      <c r="H222" s="680"/>
      <c r="I222" s="755"/>
      <c r="J222" s="682">
        <f t="shared" si="57"/>
        <v>0</v>
      </c>
      <c r="K222" s="683"/>
      <c r="L222" s="684"/>
      <c r="M222" s="753"/>
      <c r="N222" s="683">
        <v>0</v>
      </c>
      <c r="O222" s="686"/>
      <c r="P222" s="683">
        <v>0</v>
      </c>
      <c r="Q222" s="687">
        <f t="shared" si="58"/>
        <v>0</v>
      </c>
      <c r="R222" s="687"/>
      <c r="S222" s="687"/>
      <c r="T222" s="688">
        <v>0</v>
      </c>
      <c r="U222" s="693"/>
      <c r="V222" s="690">
        <f t="shared" ref="V222" si="71">IF(T222="","",T222-Q222)</f>
        <v>0</v>
      </c>
      <c r="W222" s="683"/>
      <c r="X222" s="474">
        <f t="shared" si="67"/>
        <v>0</v>
      </c>
      <c r="Y222" s="474">
        <f t="shared" si="68"/>
        <v>0</v>
      </c>
      <c r="Z222" s="475">
        <f t="shared" si="69"/>
        <v>0</v>
      </c>
      <c r="AA222" s="475">
        <v>0</v>
      </c>
      <c r="AB222" s="476">
        <v>0</v>
      </c>
      <c r="AC222" s="38">
        <f t="shared" si="70"/>
        <v>0</v>
      </c>
      <c r="AD222" s="692">
        <f t="shared" si="60"/>
        <v>0</v>
      </c>
      <c r="AE222" s="692">
        <f t="shared" si="61"/>
        <v>0</v>
      </c>
      <c r="AF222" s="692">
        <f t="shared" si="62"/>
        <v>0</v>
      </c>
      <c r="AG222" s="38"/>
      <c r="AH222" s="692">
        <f t="shared" si="64"/>
        <v>0</v>
      </c>
      <c r="AI222" s="692">
        <f t="shared" si="65"/>
        <v>0</v>
      </c>
      <c r="AJ222" s="692">
        <f t="shared" si="66"/>
        <v>0</v>
      </c>
      <c r="AL222" s="38">
        <f t="shared" si="63"/>
        <v>0</v>
      </c>
    </row>
    <row r="223" spans="1:38" ht="13" thickBot="1">
      <c r="A223" s="107"/>
      <c r="B223" s="108"/>
      <c r="C223" s="673"/>
      <c r="D223" s="71" t="s">
        <v>86</v>
      </c>
      <c r="E223" s="454">
        <f t="shared" ref="E223:J223" si="72">SUM(E16:E222)</f>
        <v>161113.72</v>
      </c>
      <c r="F223" s="454">
        <f t="shared" si="72"/>
        <v>-272151.60999999975</v>
      </c>
      <c r="G223" s="454">
        <f t="shared" si="72"/>
        <v>0</v>
      </c>
      <c r="H223" s="454">
        <f t="shared" si="72"/>
        <v>0</v>
      </c>
      <c r="I223" s="454">
        <f t="shared" si="72"/>
        <v>9915219.7599999979</v>
      </c>
      <c r="J223" s="454">
        <f t="shared" si="72"/>
        <v>9804181.8699999973</v>
      </c>
      <c r="K223" s="454"/>
      <c r="L223" s="454">
        <f>SUM(L16:L222)</f>
        <v>1100000</v>
      </c>
      <c r="M223" s="454">
        <f>SUM(M16:M222)</f>
        <v>6460818</v>
      </c>
      <c r="N223" s="454">
        <f>SUM(N16:N222)</f>
        <v>0</v>
      </c>
      <c r="O223" s="100">
        <f>SUM(O16:O222)</f>
        <v>0</v>
      </c>
      <c r="P223" s="157">
        <f>SUM(P17:P222)</f>
        <v>0</v>
      </c>
      <c r="Q223" s="100">
        <f>SUM(Q16:Q222)</f>
        <v>7560818</v>
      </c>
      <c r="R223" s="100"/>
      <c r="S223" s="100"/>
      <c r="T223" s="100">
        <f>SUM(T16:T222)</f>
        <v>7469503.7700000005</v>
      </c>
      <c r="U223" s="708"/>
      <c r="V223" s="100">
        <f>SUM(V16:V222)</f>
        <v>-91314.230000000127</v>
      </c>
      <c r="W223" s="683"/>
      <c r="X223" s="314">
        <f>SUM(X16:X222)</f>
        <v>6593818</v>
      </c>
      <c r="Y223" s="314">
        <f>SUM(Y16:Y222)</f>
        <v>853000</v>
      </c>
      <c r="Z223" s="314">
        <f>SUM(Z16:Z222)</f>
        <v>114000</v>
      </c>
      <c r="AA223" s="314">
        <f>SUM(AA16:AA222)</f>
        <v>0</v>
      </c>
      <c r="AB223" s="314">
        <f>SUM(AB16:AB222)</f>
        <v>0</v>
      </c>
      <c r="AC223" s="38"/>
      <c r="AD223" s="314">
        <f>SUM(AD16:AD222)</f>
        <v>9899837.6099999975</v>
      </c>
      <c r="AE223" s="314">
        <f>SUM(AE16:AE222)</f>
        <v>-66960.84000000004</v>
      </c>
      <c r="AF223" s="314">
        <f>SUM(AF16:AF222)</f>
        <v>-28694.9</v>
      </c>
      <c r="AG223" s="38"/>
      <c r="AH223" s="314">
        <f>SUM(AH16:AH222)</f>
        <v>6593818</v>
      </c>
      <c r="AI223" s="314">
        <f>SUM(AI16:AI222)</f>
        <v>853000</v>
      </c>
      <c r="AJ223" s="314">
        <f>SUM(AJ16:AJ222)</f>
        <v>114000</v>
      </c>
    </row>
    <row r="224" spans="1:38" ht="13" thickBot="1">
      <c r="A224" s="65"/>
      <c r="B224" s="65"/>
      <c r="C224" s="674"/>
      <c r="D224" s="141"/>
      <c r="E224" s="709" t="s">
        <v>293</v>
      </c>
      <c r="F224" s="160">
        <f>F223+E223</f>
        <v>-111037.88999999975</v>
      </c>
      <c r="G224" s="153"/>
      <c r="H224" s="153" t="s">
        <v>225</v>
      </c>
      <c r="I224" s="153">
        <f>I223+H223+G223</f>
        <v>9915219.7599999979</v>
      </c>
      <c r="J224" s="323"/>
      <c r="K224" s="153"/>
      <c r="L224" s="153" t="s">
        <v>296</v>
      </c>
      <c r="M224" s="100">
        <f>M223+L223</f>
        <v>7560818</v>
      </c>
      <c r="N224" s="153"/>
      <c r="O224" s="641"/>
      <c r="P224" s="153"/>
      <c r="Q224" s="153"/>
      <c r="R224" s="153"/>
      <c r="S224" s="153"/>
      <c r="T224" s="153"/>
      <c r="U224" s="153"/>
      <c r="V224" s="153"/>
      <c r="W224" s="153"/>
      <c r="X224" s="139"/>
      <c r="Y224" s="139"/>
      <c r="Z224" s="139"/>
      <c r="AA224" s="139"/>
      <c r="AB224" s="104"/>
      <c r="AC224" s="38"/>
      <c r="AD224" s="711"/>
      <c r="AE224" s="711"/>
      <c r="AF224" s="711"/>
      <c r="AG224" s="38"/>
      <c r="AH224" s="38"/>
      <c r="AI224" s="38"/>
      <c r="AJ224" s="38"/>
    </row>
    <row r="225" spans="1:38" ht="13" thickBot="1">
      <c r="A225" s="65"/>
      <c r="B225" s="65"/>
      <c r="C225" s="674"/>
      <c r="E225" s="159"/>
      <c r="F225" s="153"/>
      <c r="G225" s="153"/>
      <c r="H225" s="153"/>
      <c r="I225" s="153"/>
      <c r="J225" s="153"/>
      <c r="K225" s="153"/>
      <c r="L225" s="153"/>
      <c r="M225" s="710"/>
      <c r="N225" s="153"/>
      <c r="O225" s="153"/>
      <c r="P225" s="153"/>
      <c r="Q225" s="153"/>
      <c r="R225" s="153"/>
      <c r="S225" s="153"/>
      <c r="T225" s="153"/>
      <c r="U225" s="153"/>
      <c r="V225" s="153"/>
      <c r="W225" s="153"/>
      <c r="X225" s="331" t="s">
        <v>345</v>
      </c>
      <c r="Y225" s="139"/>
      <c r="Z225" s="139"/>
      <c r="AA225" s="139"/>
      <c r="AB225" s="104"/>
      <c r="AC225" s="164" t="s">
        <v>633</v>
      </c>
      <c r="AD225" s="798">
        <f>-45000+2815.48</f>
        <v>-42184.52</v>
      </c>
      <c r="AE225" s="798"/>
      <c r="AF225" s="798">
        <f>-SUM(AD225)</f>
        <v>42184.52</v>
      </c>
      <c r="AG225" s="38"/>
      <c r="AH225" s="711"/>
      <c r="AI225" s="711"/>
      <c r="AJ225" s="711"/>
    </row>
    <row r="226" spans="1:38" ht="17" thickTop="1" thickBot="1">
      <c r="E226" s="712"/>
      <c r="F226" s="713"/>
      <c r="G226" s="714"/>
      <c r="H226" s="715"/>
      <c r="I226" s="715"/>
      <c r="J226" s="164"/>
      <c r="K226" s="169"/>
      <c r="L226" s="233"/>
      <c r="M226" s="233"/>
      <c r="N226" s="38"/>
      <c r="O226" s="642"/>
      <c r="P226" s="139"/>
      <c r="Q226" s="139"/>
      <c r="R226" s="139"/>
      <c r="S226" s="139"/>
      <c r="T226" s="33"/>
      <c r="U226" s="33"/>
      <c r="V226" s="33"/>
      <c r="W226" s="169"/>
      <c r="X226" s="332"/>
      <c r="Y226" s="333"/>
      <c r="Z226" s="491"/>
      <c r="AA226" s="491"/>
      <c r="AB226" s="334"/>
      <c r="AC226" s="164" t="s">
        <v>634</v>
      </c>
      <c r="AD226" s="798">
        <v>-83161.22</v>
      </c>
      <c r="AE226" s="798"/>
      <c r="AF226" s="802">
        <f>-SUM(AD226)</f>
        <v>83161.22</v>
      </c>
      <c r="AG226" s="38"/>
      <c r="AH226" s="38"/>
      <c r="AI226" s="38"/>
      <c r="AJ226" s="38"/>
    </row>
    <row r="227" spans="1:38" ht="17" thickBot="1">
      <c r="E227" s="712"/>
      <c r="F227" s="713"/>
      <c r="G227" s="714"/>
      <c r="H227" s="715"/>
      <c r="J227" s="79">
        <f>J223</f>
        <v>9804181.8699999973</v>
      </c>
      <c r="K227" s="715" t="s">
        <v>957</v>
      </c>
      <c r="L227" s="169"/>
      <c r="M227" s="493"/>
      <c r="N227" s="38"/>
      <c r="O227" s="80"/>
      <c r="P227" s="104"/>
      <c r="Q227" s="139"/>
      <c r="R227" s="139"/>
      <c r="S227" s="139"/>
      <c r="T227" s="33"/>
      <c r="U227" s="33"/>
      <c r="V227" s="33"/>
      <c r="W227" s="169"/>
      <c r="X227" s="487"/>
      <c r="Y227" s="488"/>
      <c r="Z227" s="492" t="s">
        <v>399</v>
      </c>
      <c r="AA227" s="492" t="s">
        <v>400</v>
      </c>
      <c r="AB227" s="488"/>
      <c r="AC227" s="717" t="s">
        <v>475</v>
      </c>
      <c r="AD227" s="718">
        <f>SUM(AD223:AD226)</f>
        <v>9774491.8699999973</v>
      </c>
      <c r="AE227" s="718">
        <f>AE223</f>
        <v>-66960.84000000004</v>
      </c>
      <c r="AF227" s="718">
        <f>SUM(AF223:AF226)</f>
        <v>96650.84</v>
      </c>
      <c r="AG227" s="718"/>
      <c r="AH227" s="718">
        <f>AH223</f>
        <v>6593818</v>
      </c>
      <c r="AI227" s="718">
        <f>AI223</f>
        <v>853000</v>
      </c>
      <c r="AJ227" s="719">
        <f>AJ223</f>
        <v>114000</v>
      </c>
      <c r="AL227" s="38">
        <f>SUM(AL17:AL226)</f>
        <v>17364999.869999997</v>
      </c>
    </row>
    <row r="228" spans="1:38" ht="15" thickBot="1">
      <c r="D228" s="143"/>
      <c r="E228" s="759"/>
      <c r="F228" s="713"/>
      <c r="G228" s="714"/>
      <c r="H228" s="720"/>
      <c r="J228" s="750">
        <f>SUM('June GL'!H5)</f>
        <v>0</v>
      </c>
      <c r="K228" s="757" t="s">
        <v>251</v>
      </c>
      <c r="L228" s="722"/>
      <c r="M228" s="642"/>
      <c r="N228" s="33"/>
      <c r="O228" s="80"/>
      <c r="P228" s="104"/>
      <c r="Q228" s="139"/>
      <c r="R228" s="139"/>
      <c r="S228" s="139"/>
      <c r="T228" s="33"/>
      <c r="U228" s="33"/>
      <c r="V228" s="33"/>
      <c r="W228" s="169"/>
      <c r="X228" s="158" t="s">
        <v>609</v>
      </c>
      <c r="Y228" s="104" t="s">
        <v>352</v>
      </c>
      <c r="Z228" s="104">
        <f>X223+Y223+Z223</f>
        <v>7560818</v>
      </c>
      <c r="AA228" s="104"/>
      <c r="AB228" s="136"/>
      <c r="AC228" s="723"/>
      <c r="AD228" s="38"/>
      <c r="AE228" s="38"/>
      <c r="AF228" s="38"/>
      <c r="AG228" s="38"/>
      <c r="AH228" s="38"/>
      <c r="AI228" s="38"/>
      <c r="AJ228" s="38"/>
    </row>
    <row r="229" spans="1:38" ht="15" thickTop="1">
      <c r="D229" s="143"/>
      <c r="E229" s="712"/>
      <c r="F229" s="713"/>
      <c r="G229" s="714"/>
      <c r="H229" s="714" t="s">
        <v>249</v>
      </c>
      <c r="J229" s="173">
        <f>J228+J227</f>
        <v>9804181.8699999973</v>
      </c>
      <c r="K229" s="714" t="s">
        <v>454</v>
      </c>
      <c r="L229" s="722"/>
      <c r="M229" s="80"/>
      <c r="N229" s="104"/>
      <c r="O229" s="173"/>
      <c r="P229" s="104"/>
      <c r="Q229" s="139"/>
      <c r="R229" s="139"/>
      <c r="S229" s="139"/>
      <c r="T229" s="139"/>
      <c r="U229" s="139"/>
      <c r="V229" s="139"/>
      <c r="W229" s="169"/>
      <c r="X229" s="158"/>
      <c r="Y229" s="104"/>
      <c r="Z229" s="104"/>
      <c r="AA229" s="104"/>
      <c r="AB229" s="136"/>
      <c r="AC229" s="723"/>
      <c r="AD229" s="38"/>
      <c r="AE229" s="38"/>
      <c r="AF229" s="38" t="s">
        <v>86</v>
      </c>
      <c r="AG229" s="38"/>
      <c r="AH229" s="233">
        <f>SUM(AD227+AH227)</f>
        <v>16368309.869999997</v>
      </c>
      <c r="AI229" s="233">
        <f t="shared" ref="AI229:AJ229" si="73">SUM(AE227+AI227)</f>
        <v>786039.15999999992</v>
      </c>
      <c r="AJ229" s="233">
        <f t="shared" si="73"/>
        <v>210650.84</v>
      </c>
    </row>
    <row r="230" spans="1:38" ht="14">
      <c r="D230" s="143"/>
      <c r="E230" s="712"/>
      <c r="F230" s="713"/>
      <c r="G230" s="714"/>
      <c r="H230" s="714"/>
      <c r="J230" s="80"/>
      <c r="K230" s="714"/>
      <c r="L230" s="722"/>
      <c r="M230" s="104"/>
      <c r="N230" s="38"/>
      <c r="O230" s="139"/>
      <c r="P230" s="104"/>
      <c r="Q230" s="139"/>
      <c r="R230" s="139"/>
      <c r="S230" s="139"/>
      <c r="T230" s="139"/>
      <c r="U230" s="139"/>
      <c r="V230" s="139"/>
      <c r="W230" s="169"/>
      <c r="X230" s="158" t="s">
        <v>600</v>
      </c>
      <c r="Y230" s="104" t="s">
        <v>355</v>
      </c>
      <c r="Z230" s="104"/>
      <c r="AA230" s="104">
        <f>X223</f>
        <v>6593818</v>
      </c>
      <c r="AB230" s="136"/>
      <c r="AC230" s="38"/>
      <c r="AD230" s="797" t="s">
        <v>882</v>
      </c>
      <c r="AE230" s="38"/>
      <c r="AF230" s="38"/>
      <c r="AG230" s="38"/>
      <c r="AH230" s="233"/>
      <c r="AI230" s="233"/>
      <c r="AJ230" s="233"/>
    </row>
    <row r="231" spans="1:38" ht="15" thickBot="1">
      <c r="D231" s="143" t="s">
        <v>823</v>
      </c>
      <c r="E231" s="712"/>
      <c r="F231" s="713"/>
      <c r="G231" s="714"/>
      <c r="H231" s="714"/>
      <c r="J231" s="661">
        <f>M224</f>
        <v>7560818</v>
      </c>
      <c r="K231" s="714" t="s">
        <v>958</v>
      </c>
      <c r="L231" s="645"/>
      <c r="M231" s="173"/>
      <c r="N231" s="38"/>
      <c r="O231" s="139"/>
      <c r="P231" s="104"/>
      <c r="Q231" s="139"/>
      <c r="R231" s="139"/>
      <c r="S231" s="139"/>
      <c r="T231" s="726"/>
      <c r="U231" s="139"/>
      <c r="V231" s="727"/>
      <c r="W231" s="169"/>
      <c r="X231" s="158"/>
      <c r="Y231" s="104" t="s">
        <v>356</v>
      </c>
      <c r="Z231" s="104"/>
      <c r="AA231" s="104">
        <f>AA223</f>
        <v>0</v>
      </c>
      <c r="AB231" s="136"/>
      <c r="AC231" s="38"/>
      <c r="AD231" s="38"/>
      <c r="AE231" s="38"/>
      <c r="AF231" s="38"/>
      <c r="AG231" s="38"/>
      <c r="AH231" s="799" t="s">
        <v>897</v>
      </c>
      <c r="AI231" s="801">
        <f>SUM(AH229:AJ229)</f>
        <v>17364999.869999997</v>
      </c>
      <c r="AJ231" s="800"/>
    </row>
    <row r="232" spans="1:38" ht="16" thickTop="1" thickBot="1">
      <c r="D232" s="143"/>
      <c r="E232" s="712"/>
      <c r="F232" s="713"/>
      <c r="G232" s="714"/>
      <c r="H232" s="714"/>
      <c r="J232" s="173">
        <v>0</v>
      </c>
      <c r="K232" s="714"/>
      <c r="L232" s="722"/>
      <c r="M232" s="173"/>
      <c r="N232" s="38"/>
      <c r="O232" s="33"/>
      <c r="P232" s="38"/>
      <c r="Q232" s="139"/>
      <c r="R232" s="139"/>
      <c r="S232" s="139"/>
      <c r="T232" s="139"/>
      <c r="U232" s="139"/>
      <c r="V232" s="139"/>
      <c r="W232" s="169"/>
      <c r="X232" s="158"/>
      <c r="Y232" s="104"/>
      <c r="Z232" s="104"/>
      <c r="AA232" s="104"/>
      <c r="AB232" s="136"/>
      <c r="AC232" s="38"/>
      <c r="AD232" s="38"/>
      <c r="AE232" s="38"/>
      <c r="AF232" s="38"/>
      <c r="AG232" s="38"/>
    </row>
    <row r="233" spans="1:38" ht="15" thickBot="1">
      <c r="E233" s="712"/>
      <c r="F233" s="713"/>
      <c r="G233" s="714"/>
      <c r="H233" s="714"/>
      <c r="J233" s="754">
        <f>J227+J231</f>
        <v>17364999.869999997</v>
      </c>
      <c r="K233" s="714" t="s">
        <v>930</v>
      </c>
      <c r="L233" s="722"/>
      <c r="M233" s="173"/>
      <c r="N233" s="38"/>
      <c r="O233" s="33"/>
      <c r="P233" s="38"/>
      <c r="Q233" s="139"/>
      <c r="R233" s="139"/>
      <c r="S233" s="139"/>
      <c r="T233" s="139"/>
      <c r="U233" s="139"/>
      <c r="V233" s="139"/>
      <c r="W233" s="169"/>
      <c r="X233" s="158" t="s">
        <v>601</v>
      </c>
      <c r="Y233" s="104" t="s">
        <v>357</v>
      </c>
      <c r="Z233" s="104"/>
      <c r="AA233" s="104">
        <f>Y223</f>
        <v>853000</v>
      </c>
      <c r="AB233" s="136"/>
      <c r="AC233" s="38"/>
      <c r="AD233" s="38"/>
      <c r="AE233" s="38"/>
      <c r="AF233" s="38"/>
      <c r="AG233" s="38"/>
      <c r="AH233" s="796" t="s">
        <v>857</v>
      </c>
      <c r="AI233" s="38">
        <f>AI231-AJ229</f>
        <v>17154349.029999997</v>
      </c>
      <c r="AJ233" s="38"/>
    </row>
    <row r="234" spans="1:38">
      <c r="D234" s="161"/>
      <c r="E234" s="712"/>
      <c r="F234" s="713"/>
      <c r="G234" s="714"/>
      <c r="H234" s="714"/>
      <c r="J234" s="637"/>
      <c r="K234" s="714"/>
      <c r="L234" s="173"/>
      <c r="M234" s="731"/>
      <c r="N234" s="38"/>
      <c r="O234" s="33"/>
      <c r="P234" s="38"/>
      <c r="Q234" s="139"/>
      <c r="R234" s="139"/>
      <c r="S234" s="139"/>
      <c r="T234" s="139"/>
      <c r="U234" s="139"/>
      <c r="V234" s="139"/>
      <c r="W234" s="169"/>
      <c r="X234" s="415"/>
      <c r="Y234" s="104" t="s">
        <v>358</v>
      </c>
      <c r="Z234" s="104"/>
      <c r="AA234" s="104">
        <f>AB223</f>
        <v>0</v>
      </c>
      <c r="AB234" s="136"/>
      <c r="AC234" s="38"/>
      <c r="AD234" s="38"/>
      <c r="AE234" s="38"/>
      <c r="AF234" s="38"/>
      <c r="AG234" s="38"/>
      <c r="AH234" s="38"/>
      <c r="AI234" s="38"/>
      <c r="AJ234" s="38"/>
    </row>
    <row r="235" spans="1:38">
      <c r="E235" s="712"/>
      <c r="F235" s="713"/>
      <c r="G235" s="714"/>
      <c r="H235" s="714"/>
      <c r="J235" s="658">
        <f>SUM(AD227:AJ227)</f>
        <v>17364999.869999997</v>
      </c>
      <c r="K235" s="714" t="s">
        <v>518</v>
      </c>
      <c r="L235" s="732"/>
      <c r="M235" s="637"/>
      <c r="N235" s="38"/>
      <c r="O235" s="33"/>
      <c r="P235" s="38"/>
      <c r="Q235" s="139"/>
      <c r="R235" s="139"/>
      <c r="S235" s="139"/>
      <c r="T235" s="139"/>
      <c r="U235" s="139"/>
      <c r="V235" s="139"/>
      <c r="W235" s="169"/>
      <c r="X235" s="415"/>
      <c r="Y235" s="104"/>
      <c r="Z235" s="104"/>
      <c r="AA235" s="104"/>
      <c r="AB235" s="136"/>
      <c r="AC235" s="38"/>
      <c r="AD235" s="38"/>
      <c r="AE235" s="38"/>
      <c r="AF235" s="38"/>
      <c r="AG235" s="38"/>
      <c r="AH235" s="38"/>
      <c r="AI235" s="38"/>
      <c r="AJ235" s="38"/>
    </row>
    <row r="236" spans="1:38" ht="13" thickBot="1">
      <c r="E236" s="712"/>
      <c r="F236" s="713"/>
      <c r="G236" s="714"/>
      <c r="H236" s="714"/>
      <c r="J236" s="169"/>
      <c r="K236" s="714" t="s">
        <v>454</v>
      </c>
      <c r="L236" s="733"/>
      <c r="M236" s="795"/>
      <c r="N236" s="38"/>
      <c r="O236" s="33"/>
      <c r="P236" s="38"/>
      <c r="Q236" s="139"/>
      <c r="R236" s="139"/>
      <c r="S236" s="139"/>
      <c r="T236" s="139"/>
      <c r="U236" s="139"/>
      <c r="V236" s="139"/>
      <c r="W236" s="169"/>
      <c r="X236" s="158" t="s">
        <v>602</v>
      </c>
      <c r="Y236" s="488" t="s">
        <v>359</v>
      </c>
      <c r="Z236" s="488"/>
      <c r="AA236" s="488">
        <f>Z223</f>
        <v>114000</v>
      </c>
      <c r="AB236" s="414"/>
      <c r="AC236" s="38"/>
      <c r="AD236" s="38"/>
      <c r="AE236" s="38"/>
      <c r="AF236" s="38"/>
      <c r="AG236" s="38"/>
      <c r="AH236" s="38"/>
      <c r="AI236" s="38"/>
      <c r="AJ236" s="38"/>
    </row>
    <row r="237" spans="1:38" ht="15" thickBot="1">
      <c r="E237" s="712"/>
      <c r="F237" s="713"/>
      <c r="G237" s="714"/>
      <c r="H237" s="714"/>
      <c r="J237" s="736"/>
      <c r="K237" s="714" t="s">
        <v>519</v>
      </c>
      <c r="L237" s="169"/>
      <c r="M237" s="169"/>
      <c r="N237" s="38"/>
      <c r="O237" s="33"/>
      <c r="P237" s="38"/>
      <c r="Q237" s="33"/>
      <c r="R237" s="33"/>
      <c r="S237" s="33"/>
      <c r="T237" s="33"/>
      <c r="U237" s="33"/>
      <c r="V237" s="33"/>
      <c r="W237" s="169"/>
      <c r="X237" s="416"/>
      <c r="Y237" s="104"/>
      <c r="Z237" s="80">
        <f>SUM(Z228:Z236)</f>
        <v>7560818</v>
      </c>
      <c r="AA237" s="80">
        <f>SUM(AA228:AA236)</f>
        <v>7560818</v>
      </c>
      <c r="AB237" s="136"/>
      <c r="AC237" s="38"/>
      <c r="AD237" s="38"/>
      <c r="AE237" s="38"/>
      <c r="AF237" s="38"/>
      <c r="AG237" s="38"/>
      <c r="AH237" s="38"/>
      <c r="AI237" s="38"/>
      <c r="AJ237" s="38"/>
    </row>
    <row r="238" spans="1:38">
      <c r="E238" s="712"/>
      <c r="F238" s="713"/>
      <c r="G238" s="714"/>
      <c r="H238" s="714"/>
      <c r="I238" s="714"/>
      <c r="J238" s="169"/>
      <c r="K238" s="169"/>
      <c r="L238" s="169"/>
      <c r="M238" s="169"/>
      <c r="N238" s="38"/>
      <c r="O238" s="33"/>
      <c r="P238" s="38"/>
      <c r="Q238" s="33"/>
      <c r="R238" s="33"/>
      <c r="S238" s="33"/>
      <c r="T238" s="33"/>
      <c r="U238" s="33"/>
      <c r="V238" s="33"/>
      <c r="W238" s="169"/>
      <c r="X238" s="416"/>
      <c r="Y238" s="104"/>
      <c r="Z238" s="104"/>
      <c r="AA238" s="104"/>
      <c r="AB238" s="136"/>
      <c r="AC238" s="38"/>
      <c r="AD238" s="38"/>
      <c r="AE238" s="38"/>
      <c r="AF238" s="38"/>
      <c r="AG238" s="38"/>
      <c r="AH238" s="38"/>
      <c r="AI238" s="38"/>
      <c r="AJ238" s="38"/>
    </row>
    <row r="239" spans="1:38" ht="13" thickBot="1">
      <c r="E239" s="712"/>
      <c r="F239" s="713"/>
      <c r="G239" s="714"/>
      <c r="H239" s="714"/>
      <c r="I239" s="714"/>
      <c r="J239" s="169"/>
      <c r="K239" s="169"/>
      <c r="L239" s="169"/>
      <c r="M239" s="169"/>
      <c r="N239" s="38"/>
      <c r="O239" s="33"/>
      <c r="P239" s="38"/>
      <c r="Q239" s="33"/>
      <c r="R239" s="33"/>
      <c r="S239" s="33"/>
      <c r="T239" s="33"/>
      <c r="U239" s="33"/>
      <c r="V239" s="33"/>
      <c r="W239" s="169"/>
      <c r="X239" s="330"/>
      <c r="Y239" s="279"/>
      <c r="Z239" s="279"/>
      <c r="AA239" s="279"/>
      <c r="AB239" s="280"/>
      <c r="AC239" s="38"/>
      <c r="AD239" s="38"/>
      <c r="AE239" s="38"/>
      <c r="AF239" s="38"/>
      <c r="AG239" s="38"/>
      <c r="AH239" s="38"/>
      <c r="AI239" s="38"/>
      <c r="AJ239" s="38"/>
    </row>
    <row r="240" spans="1:38">
      <c r="E240" s="712"/>
      <c r="F240" s="713"/>
      <c r="G240" s="714"/>
      <c r="H240" s="714"/>
      <c r="I240" s="714"/>
      <c r="J240" s="169"/>
      <c r="K240" s="169"/>
      <c r="L240" s="169"/>
      <c r="M240" s="169"/>
      <c r="N240" s="38"/>
      <c r="O240" s="33"/>
      <c r="P240" s="38"/>
      <c r="Q240" s="33"/>
      <c r="R240" s="33"/>
      <c r="S240" s="33"/>
      <c r="T240" s="33"/>
      <c r="U240" s="33"/>
      <c r="V240" s="33"/>
      <c r="W240" s="169"/>
      <c r="X240" s="104"/>
      <c r="Y240" s="104"/>
      <c r="Z240" s="104"/>
      <c r="AA240" s="104"/>
      <c r="AB240" s="104"/>
      <c r="AC240" s="38"/>
      <c r="AD240" s="38"/>
      <c r="AE240" s="38"/>
      <c r="AF240" s="38"/>
      <c r="AG240" s="38"/>
      <c r="AH240" s="38"/>
      <c r="AI240" s="38"/>
      <c r="AJ240" s="38"/>
    </row>
    <row r="241" spans="5:36">
      <c r="E241" s="712"/>
      <c r="F241" s="713"/>
      <c r="G241" s="714"/>
      <c r="H241" s="714"/>
      <c r="I241" s="714"/>
      <c r="J241" s="169"/>
      <c r="K241" s="169"/>
      <c r="L241" s="169"/>
      <c r="M241" s="169"/>
      <c r="N241" s="38"/>
      <c r="O241" s="33"/>
      <c r="P241" s="38"/>
      <c r="Q241" s="33"/>
      <c r="R241" s="33"/>
      <c r="S241" s="33"/>
      <c r="T241" s="33"/>
      <c r="U241" s="33"/>
      <c r="V241" s="33"/>
      <c r="W241" s="169"/>
      <c r="AC241" s="38"/>
      <c r="AD241" s="38"/>
      <c r="AE241" s="38"/>
      <c r="AF241" s="38"/>
      <c r="AG241" s="38"/>
      <c r="AH241" s="38"/>
      <c r="AI241" s="38"/>
      <c r="AJ241" s="38"/>
    </row>
    <row r="242" spans="5:36">
      <c r="E242" s="712"/>
      <c r="F242" s="713"/>
      <c r="G242" s="714"/>
      <c r="H242" s="714"/>
      <c r="I242" s="714"/>
      <c r="J242" s="169"/>
      <c r="K242" s="169"/>
      <c r="L242" s="169"/>
      <c r="M242" s="169"/>
      <c r="N242" s="38"/>
      <c r="O242" s="33"/>
      <c r="P242" s="38"/>
      <c r="Q242" s="33"/>
      <c r="R242" s="33"/>
      <c r="S242" s="33"/>
      <c r="T242" s="33"/>
      <c r="U242" s="33"/>
      <c r="V242" s="33"/>
      <c r="W242" s="169"/>
      <c r="AC242" s="38"/>
      <c r="AD242" s="38"/>
      <c r="AE242" s="38"/>
      <c r="AF242" s="38"/>
      <c r="AG242" s="38"/>
      <c r="AH242" s="38"/>
      <c r="AI242" s="38"/>
      <c r="AJ242" s="38"/>
    </row>
    <row r="243" spans="5:36">
      <c r="E243" s="712"/>
      <c r="F243" s="713"/>
      <c r="G243" s="714"/>
      <c r="H243" s="714"/>
      <c r="I243" s="714"/>
      <c r="J243" s="169"/>
      <c r="K243" s="169"/>
      <c r="L243" s="169"/>
      <c r="M243" s="169"/>
      <c r="N243" s="38"/>
      <c r="O243" s="33"/>
      <c r="P243" s="38"/>
      <c r="Q243" s="33"/>
      <c r="R243" s="33"/>
      <c r="S243" s="33"/>
      <c r="T243" s="33"/>
      <c r="U243" s="33"/>
      <c r="V243" s="33"/>
      <c r="W243" s="169"/>
      <c r="AC243" s="38"/>
      <c r="AD243" s="38"/>
      <c r="AE243" s="38"/>
      <c r="AF243" s="38"/>
      <c r="AG243" s="38"/>
      <c r="AH243" s="38"/>
      <c r="AI243" s="38"/>
      <c r="AJ243" s="38"/>
    </row>
    <row r="244" spans="5:36">
      <c r="E244" s="712"/>
      <c r="F244" s="713"/>
      <c r="G244" s="714"/>
      <c r="H244" s="714"/>
      <c r="I244" s="714"/>
      <c r="J244" s="169"/>
      <c r="K244" s="169"/>
      <c r="L244" s="169"/>
      <c r="M244" s="169"/>
      <c r="N244" s="38"/>
      <c r="O244" s="33"/>
      <c r="P244" s="38"/>
      <c r="Q244" s="33"/>
      <c r="R244" s="33"/>
      <c r="S244" s="33"/>
      <c r="T244" s="33"/>
      <c r="U244" s="33"/>
      <c r="V244" s="33"/>
      <c r="W244" s="169"/>
      <c r="AC244" s="38"/>
      <c r="AD244" s="38"/>
      <c r="AE244" s="38"/>
      <c r="AF244" s="38"/>
      <c r="AG244" s="38"/>
      <c r="AH244" s="38"/>
      <c r="AI244" s="38"/>
      <c r="AJ244" s="38"/>
    </row>
    <row r="245" spans="5:36">
      <c r="E245" s="712"/>
      <c r="F245" s="713"/>
      <c r="G245" s="714"/>
      <c r="H245" s="714"/>
      <c r="I245" s="714"/>
      <c r="J245" s="169"/>
      <c r="K245" s="169"/>
      <c r="L245" s="169"/>
      <c r="M245" s="169"/>
      <c r="N245" s="38"/>
      <c r="O245" s="33"/>
      <c r="P245" s="38"/>
      <c r="Q245" s="33"/>
      <c r="R245" s="33"/>
      <c r="S245" s="33"/>
      <c r="T245" s="33"/>
      <c r="U245" s="33"/>
      <c r="V245" s="33"/>
      <c r="W245" s="169"/>
      <c r="AC245" s="38"/>
      <c r="AD245" s="38"/>
      <c r="AE245" s="38"/>
      <c r="AF245" s="38"/>
      <c r="AG245" s="38"/>
      <c r="AH245" s="38"/>
      <c r="AI245" s="38"/>
      <c r="AJ245" s="38"/>
    </row>
    <row r="246" spans="5:36">
      <c r="E246" s="712"/>
      <c r="F246" s="713"/>
      <c r="G246" s="714"/>
      <c r="H246" s="714"/>
      <c r="I246" s="714"/>
      <c r="J246" s="169"/>
      <c r="K246" s="169"/>
      <c r="L246" s="169"/>
      <c r="M246" s="169"/>
      <c r="N246" s="38"/>
      <c r="O246" s="33"/>
      <c r="P246" s="38"/>
      <c r="Q246" s="33"/>
      <c r="R246" s="33"/>
      <c r="S246" s="33"/>
      <c r="T246" s="33"/>
      <c r="U246" s="33"/>
      <c r="V246" s="33"/>
      <c r="W246" s="169"/>
      <c r="AC246" s="38"/>
      <c r="AD246" s="38"/>
      <c r="AE246" s="38"/>
      <c r="AF246" s="38"/>
      <c r="AG246" s="38"/>
      <c r="AH246" s="38"/>
      <c r="AI246" s="38"/>
      <c r="AJ246"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245"/>
  <sheetViews>
    <sheetView topLeftCell="D150" zoomScale="90" zoomScaleNormal="90" zoomScalePageLayoutView="90" workbookViewId="0">
      <selection activeCell="T181" sqref="T181"/>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7.3984375" style="146" customWidth="1"/>
    <col min="16" max="16" width="1.796875" style="16" customWidth="1"/>
    <col min="17" max="20" width="15.3984375" style="146"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4.796875" style="559" bestFit="1" customWidth="1"/>
    <col min="36" max="36" width="14.19921875" style="559" customWidth="1"/>
    <col min="37" max="37" width="9.3984375" style="16"/>
    <col min="38" max="38" width="14.796875" style="16" bestFit="1" customWidth="1"/>
    <col min="39" max="16384" width="9.3984375" style="16"/>
  </cols>
  <sheetData>
    <row r="1" spans="1:36">
      <c r="D1" s="147" t="s">
        <v>71</v>
      </c>
      <c r="F1" s="29"/>
      <c r="G1" s="162"/>
      <c r="H1" s="163"/>
      <c r="I1" s="163"/>
      <c r="J1" s="169"/>
      <c r="K1" s="169"/>
      <c r="L1" s="169"/>
      <c r="M1" s="169"/>
      <c r="N1" s="169"/>
      <c r="W1" s="40"/>
    </row>
    <row r="2" spans="1:36">
      <c r="D2" s="147" t="s">
        <v>858</v>
      </c>
      <c r="F2" s="29"/>
      <c r="G2" s="162"/>
      <c r="H2" s="163"/>
      <c r="I2" s="163"/>
      <c r="J2" s="169"/>
      <c r="K2" s="169"/>
      <c r="L2" s="169"/>
      <c r="M2" s="169"/>
      <c r="N2" s="169"/>
      <c r="W2" s="40"/>
    </row>
    <row r="3" spans="1:36">
      <c r="D3" s="147" t="s">
        <v>938</v>
      </c>
      <c r="F3" s="29"/>
      <c r="G3" s="18"/>
      <c r="H3" s="168"/>
      <c r="I3" s="168"/>
      <c r="J3" s="169"/>
      <c r="K3" s="169"/>
      <c r="L3" s="169"/>
      <c r="M3" s="169"/>
      <c r="N3" s="169"/>
    </row>
    <row r="4" spans="1:36">
      <c r="D4" s="148"/>
      <c r="G4" s="164"/>
      <c r="H4" s="168"/>
      <c r="I4" s="168"/>
      <c r="J4" s="169"/>
      <c r="K4" s="169"/>
      <c r="L4" s="169"/>
      <c r="M4" s="169"/>
      <c r="N4" s="169"/>
    </row>
    <row r="5" spans="1:36" ht="13" thickBot="1">
      <c r="D5" s="148"/>
      <c r="G5" s="161"/>
      <c r="H5" s="630"/>
      <c r="I5" s="630"/>
      <c r="J5" s="169"/>
      <c r="K5" s="169"/>
      <c r="L5" s="169"/>
      <c r="M5" s="169"/>
      <c r="N5" s="169"/>
    </row>
    <row r="6" spans="1:36">
      <c r="B6" s="460"/>
      <c r="C6" s="668"/>
      <c r="D6" s="461" t="s">
        <v>84</v>
      </c>
      <c r="E6" s="462" t="s">
        <v>85</v>
      </c>
      <c r="G6" s="161"/>
      <c r="H6" s="630"/>
      <c r="I6" s="630"/>
      <c r="J6" s="169"/>
      <c r="K6" s="169"/>
      <c r="L6" s="169"/>
      <c r="M6" s="169"/>
      <c r="N6" s="169"/>
      <c r="O6" s="152"/>
      <c r="P6" s="18"/>
      <c r="Q6" s="152"/>
      <c r="R6" s="152"/>
      <c r="S6" s="152"/>
      <c r="T6" s="152"/>
      <c r="U6" s="152"/>
      <c r="V6" s="152"/>
    </row>
    <row r="7" spans="1:36">
      <c r="B7" s="459"/>
      <c r="C7" s="113"/>
      <c r="D7" s="458" t="s">
        <v>75</v>
      </c>
      <c r="E7" s="287" t="s">
        <v>115</v>
      </c>
      <c r="F7" s="29"/>
      <c r="G7" s="161"/>
      <c r="H7" s="630"/>
      <c r="I7" s="630"/>
      <c r="J7" s="172"/>
      <c r="K7" s="41"/>
      <c r="L7" s="37"/>
      <c r="M7" s="37"/>
      <c r="W7" s="41"/>
    </row>
    <row r="8" spans="1:36">
      <c r="B8" s="459"/>
      <c r="C8" s="669"/>
      <c r="D8" s="568" t="s">
        <v>73</v>
      </c>
      <c r="E8" s="572" t="s">
        <v>446</v>
      </c>
      <c r="F8" s="29"/>
      <c r="G8" s="164"/>
      <c r="H8" s="630"/>
      <c r="I8" s="630"/>
      <c r="J8" s="75"/>
      <c r="K8" s="41"/>
      <c r="L8" s="77"/>
      <c r="M8" s="77"/>
      <c r="N8" s="27"/>
      <c r="O8" s="151"/>
      <c r="P8" s="27"/>
      <c r="Q8" s="151"/>
      <c r="R8" s="151"/>
      <c r="S8" s="151"/>
      <c r="T8" s="151"/>
      <c r="U8" s="151"/>
      <c r="V8" s="151"/>
      <c r="W8" s="41"/>
    </row>
    <row r="9" spans="1:36">
      <c r="B9" s="459"/>
      <c r="C9" s="113"/>
      <c r="D9" s="458" t="s">
        <v>76</v>
      </c>
      <c r="E9" s="465" t="s">
        <v>79</v>
      </c>
      <c r="F9" s="29"/>
      <c r="G9" s="161"/>
      <c r="H9" s="134"/>
      <c r="I9" s="134"/>
      <c r="J9" s="78"/>
      <c r="L9" s="79"/>
      <c r="M9" s="79"/>
      <c r="N9" s="27"/>
      <c r="O9" s="151"/>
      <c r="P9" s="27"/>
      <c r="Q9" s="151"/>
      <c r="R9" s="151"/>
      <c r="S9" s="151"/>
      <c r="T9" s="151"/>
      <c r="U9" s="151"/>
      <c r="V9" s="151"/>
    </row>
    <row r="10" spans="1:36">
      <c r="B10" s="459"/>
      <c r="C10" s="113"/>
      <c r="D10" s="458" t="s">
        <v>88</v>
      </c>
      <c r="E10" s="468" t="s">
        <v>89</v>
      </c>
      <c r="F10" s="29"/>
      <c r="J10" s="76"/>
      <c r="L10" s="174"/>
      <c r="M10" s="76"/>
      <c r="N10" s="27"/>
      <c r="O10" s="151"/>
      <c r="P10" s="27"/>
      <c r="Q10" s="151"/>
      <c r="R10" s="151"/>
      <c r="S10" s="151"/>
      <c r="T10" s="151"/>
      <c r="U10" s="151"/>
      <c r="V10" s="151"/>
    </row>
    <row r="11" spans="1:36">
      <c r="B11" s="459"/>
      <c r="C11" s="113"/>
      <c r="D11" s="458" t="s">
        <v>116</v>
      </c>
      <c r="E11" s="99" t="s">
        <v>117</v>
      </c>
      <c r="F11" s="29"/>
      <c r="G11" s="166"/>
      <c r="H11" s="145"/>
      <c r="I11" s="145"/>
      <c r="J11" s="76"/>
      <c r="L11" s="173"/>
      <c r="M11" s="173"/>
      <c r="N11" s="27"/>
      <c r="O11" s="151"/>
      <c r="P11" s="27"/>
      <c r="Q11" s="151"/>
      <c r="R11" s="151"/>
      <c r="S11" s="151"/>
      <c r="T11" s="151"/>
      <c r="U11" s="151"/>
      <c r="V11" s="151"/>
    </row>
    <row r="12" spans="1:36" ht="13" thickBot="1">
      <c r="B12" s="469"/>
      <c r="C12" s="670"/>
      <c r="D12" s="470" t="s">
        <v>103</v>
      </c>
      <c r="E12" s="471" t="s">
        <v>101</v>
      </c>
      <c r="F12" s="29"/>
      <c r="G12" s="166"/>
      <c r="H12" s="150"/>
      <c r="I12" s="150"/>
      <c r="J12" s="76"/>
    </row>
    <row r="13" spans="1:36" ht="13" thickBot="1">
      <c r="A13" s="152"/>
      <c r="B13" s="152"/>
      <c r="C13" s="67"/>
      <c r="D13" s="54"/>
      <c r="E13" s="34"/>
      <c r="G13" s="167"/>
      <c r="H13" s="49"/>
      <c r="I13" s="49"/>
      <c r="J13" s="50"/>
      <c r="K13" s="50"/>
      <c r="L13" s="50"/>
      <c r="M13" s="745"/>
      <c r="N13" s="146"/>
      <c r="P13" s="146"/>
      <c r="W13" s="50"/>
      <c r="X13" s="33"/>
      <c r="Y13" s="33"/>
      <c r="Z13" s="33"/>
      <c r="AA13" s="33"/>
    </row>
    <row r="14" spans="1:36" ht="13" thickBot="1">
      <c r="D14" s="526"/>
      <c r="E14" s="582" t="s">
        <v>939</v>
      </c>
      <c r="F14" s="583" t="s">
        <v>288</v>
      </c>
      <c r="G14" s="96"/>
      <c r="H14" s="96"/>
      <c r="I14" s="96"/>
      <c r="J14" s="96" t="s">
        <v>289</v>
      </c>
      <c r="K14" s="581"/>
      <c r="L14" s="96" t="s">
        <v>289</v>
      </c>
      <c r="M14" s="96" t="s">
        <v>289</v>
      </c>
      <c r="N14" s="93"/>
      <c r="O14" s="96"/>
      <c r="P14" s="93"/>
      <c r="Q14" s="13"/>
      <c r="R14" s="13"/>
      <c r="S14" s="13"/>
      <c r="T14" s="96"/>
      <c r="U14" s="101"/>
      <c r="V14" s="96"/>
      <c r="W14" s="93"/>
      <c r="X14" s="96"/>
      <c r="Y14" s="96"/>
      <c r="Z14" s="304"/>
      <c r="AA14" s="304"/>
      <c r="AB14" s="304"/>
      <c r="AE14" s="560" t="s">
        <v>266</v>
      </c>
      <c r="AI14" s="561" t="s">
        <v>267</v>
      </c>
    </row>
    <row r="15" spans="1:36" ht="13" thickBot="1">
      <c r="A15" s="22" t="s">
        <v>95</v>
      </c>
      <c r="B15" s="22" t="s">
        <v>100</v>
      </c>
      <c r="C15" s="36" t="s">
        <v>522</v>
      </c>
      <c r="D15" s="36" t="s">
        <v>67</v>
      </c>
      <c r="E15" s="450" t="s">
        <v>230</v>
      </c>
      <c r="F15" s="528" t="s">
        <v>229</v>
      </c>
      <c r="G15" s="176" t="s">
        <v>288</v>
      </c>
      <c r="H15" s="545" t="s">
        <v>289</v>
      </c>
      <c r="I15" s="758" t="s">
        <v>289</v>
      </c>
      <c r="J15" s="313" t="s">
        <v>105</v>
      </c>
      <c r="K15" s="93"/>
      <c r="L15" s="94" t="s">
        <v>104</v>
      </c>
      <c r="M15" s="95" t="s">
        <v>106</v>
      </c>
      <c r="N15" s="102"/>
      <c r="O15" s="427" t="s">
        <v>839</v>
      </c>
      <c r="P15" s="102"/>
      <c r="Q15" s="313" t="s">
        <v>940</v>
      </c>
      <c r="R15" s="313" t="s">
        <v>946</v>
      </c>
      <c r="S15" s="313" t="s">
        <v>947</v>
      </c>
      <c r="T15" s="156" t="s">
        <v>934</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6">
      <c r="A16" s="372" t="s">
        <v>109</v>
      </c>
      <c r="B16" s="472" t="s">
        <v>109</v>
      </c>
      <c r="C16" s="666"/>
      <c r="D16" s="373" t="s">
        <v>382</v>
      </c>
      <c r="E16" s="679"/>
      <c r="F16" s="529">
        <f>VLOOKUP(D16,'Apr 2013 Revenue'!D:V,19,FALSE)</f>
        <v>0</v>
      </c>
      <c r="G16" s="680"/>
      <c r="H16" s="680"/>
      <c r="I16" s="755"/>
      <c r="J16" s="682">
        <f t="shared" ref="J16:J55" si="0">SUM(E16:I16)</f>
        <v>0</v>
      </c>
      <c r="K16" s="683"/>
      <c r="L16" s="684"/>
      <c r="M16" s="753"/>
      <c r="N16" s="683">
        <v>0</v>
      </c>
      <c r="O16" s="686"/>
      <c r="P16" s="683">
        <v>0</v>
      </c>
      <c r="Q16" s="687">
        <f t="shared" ref="Q16:Q139" si="1">L16+M16</f>
        <v>0</v>
      </c>
      <c r="R16" s="687"/>
      <c r="S16" s="687"/>
      <c r="T16" s="688">
        <v>0</v>
      </c>
      <c r="U16" s="689"/>
      <c r="V16" s="690">
        <f t="shared" ref="V16:V80" si="2">IF(T16="","",T16-Q16)</f>
        <v>0</v>
      </c>
      <c r="W16" s="691"/>
      <c r="X16" s="474">
        <f t="shared" ref="X16:X80" si="3">IF(B16="D",Q16,0)</f>
        <v>0</v>
      </c>
      <c r="Y16" s="474">
        <f t="shared" ref="Y16:Y80" si="4">IF(B16="M",Q16,0)</f>
        <v>0</v>
      </c>
      <c r="Z16" s="475">
        <f t="shared" ref="Z16:Z80" si="5">IF(B16="V",Q16,0)</f>
        <v>0</v>
      </c>
      <c r="AA16" s="475">
        <v>0</v>
      </c>
      <c r="AB16" s="476">
        <v>0</v>
      </c>
      <c r="AC16" s="38">
        <f t="shared" ref="AC16:AC80" si="6">(L16+M16)-(X16+Y16+Z16+AA16+AB16)</f>
        <v>0</v>
      </c>
      <c r="AD16" s="692">
        <f t="shared" ref="AD16:AD79" si="7">IF(B16="D",J16,0)</f>
        <v>0</v>
      </c>
      <c r="AE16" s="692">
        <f t="shared" ref="AE16:AE79" si="8">IF(B16="M",J16,0)</f>
        <v>0</v>
      </c>
      <c r="AF16" s="692">
        <f t="shared" ref="AF16:AF79" si="9">IF(B16="V",J16,0)</f>
        <v>0</v>
      </c>
      <c r="AG16" s="38"/>
      <c r="AH16" s="692">
        <f t="shared" ref="AH16:AH80" si="10">IF(B16="D",Q16,0)</f>
        <v>0</v>
      </c>
      <c r="AI16" s="692">
        <f t="shared" ref="AI16:AI80" si="11">IF(B16="M",Q16,0)</f>
        <v>0</v>
      </c>
      <c r="AJ16" s="692">
        <f t="shared" ref="AJ16:AJ80" si="12">IF(B16="V",Q16,0)</f>
        <v>0</v>
      </c>
    </row>
    <row r="17" spans="1:38">
      <c r="A17" s="20" t="s">
        <v>109</v>
      </c>
      <c r="B17" s="20" t="s">
        <v>110</v>
      </c>
      <c r="C17" s="671" t="s">
        <v>523</v>
      </c>
      <c r="D17" s="123" t="s">
        <v>317</v>
      </c>
      <c r="E17" s="679"/>
      <c r="F17" s="529">
        <f>VLOOKUP(D17,'Apr 2013 Revenue'!D:V,19,FALSE)</f>
        <v>2510.7099999999991</v>
      </c>
      <c r="G17" s="680"/>
      <c r="H17" s="680"/>
      <c r="I17" s="755"/>
      <c r="J17" s="682">
        <f t="shared" si="0"/>
        <v>2510.7099999999991</v>
      </c>
      <c r="K17" s="683"/>
      <c r="L17" s="684"/>
      <c r="M17" s="753">
        <v>10000</v>
      </c>
      <c r="N17" s="683">
        <v>0</v>
      </c>
      <c r="O17" s="686"/>
      <c r="P17" s="683">
        <v>0</v>
      </c>
      <c r="Q17" s="687">
        <f t="shared" si="1"/>
        <v>10000</v>
      </c>
      <c r="R17" s="687"/>
      <c r="S17" s="687"/>
      <c r="T17" s="688">
        <f>9993.68+2799.3</f>
        <v>12792.98</v>
      </c>
      <c r="U17" s="693"/>
      <c r="V17" s="690">
        <f t="shared" si="2"/>
        <v>2792.9799999999996</v>
      </c>
      <c r="W17" s="683"/>
      <c r="X17" s="474">
        <f t="shared" si="3"/>
        <v>10000</v>
      </c>
      <c r="Y17" s="474">
        <f t="shared" si="4"/>
        <v>0</v>
      </c>
      <c r="Z17" s="475">
        <f t="shared" si="5"/>
        <v>0</v>
      </c>
      <c r="AA17" s="475">
        <v>0</v>
      </c>
      <c r="AB17" s="476">
        <v>0</v>
      </c>
      <c r="AC17" s="38">
        <f t="shared" si="6"/>
        <v>0</v>
      </c>
      <c r="AD17" s="692">
        <f t="shared" si="7"/>
        <v>2510.7099999999991</v>
      </c>
      <c r="AE17" s="692">
        <f t="shared" si="8"/>
        <v>0</v>
      </c>
      <c r="AF17" s="692">
        <f t="shared" si="9"/>
        <v>0</v>
      </c>
      <c r="AG17" s="38"/>
      <c r="AH17" s="692">
        <f t="shared" si="10"/>
        <v>10000</v>
      </c>
      <c r="AI17" s="692">
        <f t="shared" si="11"/>
        <v>0</v>
      </c>
      <c r="AJ17" s="692">
        <f t="shared" si="12"/>
        <v>0</v>
      </c>
      <c r="AL17" s="38">
        <f>SUM(AD17:AJ17)</f>
        <v>12510.71</v>
      </c>
    </row>
    <row r="18" spans="1:38">
      <c r="A18" s="20" t="s">
        <v>109</v>
      </c>
      <c r="B18" s="20" t="s">
        <v>109</v>
      </c>
      <c r="C18" s="671" t="s">
        <v>523</v>
      </c>
      <c r="D18" s="68" t="s">
        <v>393</v>
      </c>
      <c r="E18" s="679"/>
      <c r="F18" s="529">
        <f>VLOOKUP(D18,'Apr 2013 Revenue'!D:V,19,FALSE)</f>
        <v>2309.2300000000032</v>
      </c>
      <c r="G18" s="680"/>
      <c r="H18" s="680"/>
      <c r="I18" s="755"/>
      <c r="J18" s="682">
        <f t="shared" si="0"/>
        <v>2309.2300000000032</v>
      </c>
      <c r="K18" s="683"/>
      <c r="L18" s="684"/>
      <c r="M18" s="753">
        <v>40000</v>
      </c>
      <c r="N18" s="683">
        <v>0</v>
      </c>
      <c r="O18" s="686"/>
      <c r="P18" s="683">
        <v>0</v>
      </c>
      <c r="Q18" s="687">
        <f t="shared" si="1"/>
        <v>40000</v>
      </c>
      <c r="R18" s="687"/>
      <c r="S18" s="687"/>
      <c r="T18" s="688">
        <v>41852.76</v>
      </c>
      <c r="U18" s="693"/>
      <c r="V18" s="690">
        <f t="shared" si="2"/>
        <v>1852.760000000002</v>
      </c>
      <c r="W18" s="683"/>
      <c r="X18" s="474">
        <f t="shared" si="3"/>
        <v>0</v>
      </c>
      <c r="Y18" s="474">
        <f t="shared" si="4"/>
        <v>40000</v>
      </c>
      <c r="Z18" s="475">
        <f t="shared" si="5"/>
        <v>0</v>
      </c>
      <c r="AA18" s="475">
        <v>0</v>
      </c>
      <c r="AB18" s="476">
        <v>0</v>
      </c>
      <c r="AC18" s="38">
        <f t="shared" si="6"/>
        <v>0</v>
      </c>
      <c r="AD18" s="692">
        <f t="shared" si="7"/>
        <v>0</v>
      </c>
      <c r="AE18" s="692">
        <f t="shared" si="8"/>
        <v>2309.2300000000032</v>
      </c>
      <c r="AF18" s="692">
        <f t="shared" si="9"/>
        <v>0</v>
      </c>
      <c r="AG18" s="38"/>
      <c r="AH18" s="692">
        <f t="shared" si="10"/>
        <v>0</v>
      </c>
      <c r="AI18" s="692">
        <f t="shared" si="11"/>
        <v>40000</v>
      </c>
      <c r="AJ18" s="692">
        <f t="shared" si="12"/>
        <v>0</v>
      </c>
      <c r="AL18" s="38">
        <f t="shared" ref="AL18:AL81" si="13">SUM(AD18:AJ18)</f>
        <v>42309.23</v>
      </c>
    </row>
    <row r="19" spans="1:38">
      <c r="A19" s="20" t="s">
        <v>109</v>
      </c>
      <c r="B19" s="20" t="s">
        <v>109</v>
      </c>
      <c r="C19" s="671" t="s">
        <v>523</v>
      </c>
      <c r="D19" s="68" t="s">
        <v>129</v>
      </c>
      <c r="E19" s="679"/>
      <c r="F19" s="529">
        <f>VLOOKUP(D19,'Apr 2013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row>
    <row r="20" spans="1:38">
      <c r="A20" s="20" t="s">
        <v>109</v>
      </c>
      <c r="B20" s="20" t="s">
        <v>109</v>
      </c>
      <c r="C20" s="671" t="s">
        <v>523</v>
      </c>
      <c r="D20" s="351" t="s">
        <v>878</v>
      </c>
      <c r="E20" s="679"/>
      <c r="F20" s="529">
        <f>VLOOKUP(D20,'Apr 2013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row>
    <row r="21" spans="1:38">
      <c r="A21" s="20"/>
      <c r="B21" s="20" t="s">
        <v>110</v>
      </c>
      <c r="C21" s="667" t="s">
        <v>524</v>
      </c>
      <c r="D21" s="123" t="s">
        <v>380</v>
      </c>
      <c r="E21" s="679"/>
      <c r="F21" s="529">
        <f>VLOOKUP(D21,'Apr 2013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row>
    <row r="22" spans="1:38">
      <c r="A22" s="20"/>
      <c r="B22" s="20" t="s">
        <v>110</v>
      </c>
      <c r="C22" s="667" t="s">
        <v>524</v>
      </c>
      <c r="D22" s="123" t="s">
        <v>132</v>
      </c>
      <c r="E22" s="679"/>
      <c r="F22" s="529">
        <f>VLOOKUP(D22,'Apr 2013 Revenue'!D:V,19,FALSE)</f>
        <v>0</v>
      </c>
      <c r="G22" s="680"/>
      <c r="H22" s="680"/>
      <c r="I22" s="755"/>
      <c r="J22" s="682">
        <f t="shared" si="0"/>
        <v>0</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0</v>
      </c>
      <c r="AE22" s="692">
        <f t="shared" si="8"/>
        <v>0</v>
      </c>
      <c r="AF22" s="692">
        <f t="shared" si="9"/>
        <v>0</v>
      </c>
      <c r="AG22" s="38"/>
      <c r="AH22" s="692">
        <f t="shared" si="10"/>
        <v>0</v>
      </c>
      <c r="AI22" s="692">
        <f t="shared" si="11"/>
        <v>0</v>
      </c>
      <c r="AJ22" s="692">
        <f t="shared" si="12"/>
        <v>0</v>
      </c>
      <c r="AL22" s="38">
        <f t="shared" si="13"/>
        <v>0</v>
      </c>
    </row>
    <row r="23" spans="1:38">
      <c r="A23" s="20"/>
      <c r="B23" s="20" t="s">
        <v>110</v>
      </c>
      <c r="C23" s="667" t="s">
        <v>524</v>
      </c>
      <c r="D23" s="123" t="s">
        <v>133</v>
      </c>
      <c r="E23" s="679"/>
      <c r="F23" s="529">
        <f>VLOOKUP(D23,'Apr 2013 Revenue'!D:V,19,FALSE)</f>
        <v>-5000</v>
      </c>
      <c r="G23" s="680"/>
      <c r="H23" s="680"/>
      <c r="I23" s="755"/>
      <c r="J23" s="682">
        <f t="shared" si="0"/>
        <v>-5000</v>
      </c>
      <c r="K23" s="683"/>
      <c r="L23" s="684"/>
      <c r="M23" s="753">
        <v>10000</v>
      </c>
      <c r="N23" s="683">
        <v>0</v>
      </c>
      <c r="O23" s="686"/>
      <c r="P23" s="683">
        <v>0</v>
      </c>
      <c r="Q23" s="687">
        <f t="shared" si="1"/>
        <v>10000</v>
      </c>
      <c r="R23" s="687"/>
      <c r="S23" s="687"/>
      <c r="T23" s="688">
        <v>0</v>
      </c>
      <c r="U23" s="693"/>
      <c r="V23" s="690">
        <f t="shared" si="2"/>
        <v>-10000</v>
      </c>
      <c r="W23" s="683"/>
      <c r="X23" s="474">
        <f t="shared" si="3"/>
        <v>10000</v>
      </c>
      <c r="Y23" s="474">
        <f t="shared" si="4"/>
        <v>0</v>
      </c>
      <c r="Z23" s="475">
        <f t="shared" si="5"/>
        <v>0</v>
      </c>
      <c r="AA23" s="475">
        <v>0</v>
      </c>
      <c r="AB23" s="476">
        <v>0</v>
      </c>
      <c r="AC23" s="38">
        <f t="shared" si="6"/>
        <v>0</v>
      </c>
      <c r="AD23" s="692">
        <f t="shared" si="7"/>
        <v>-5000</v>
      </c>
      <c r="AE23" s="692">
        <f t="shared" si="8"/>
        <v>0</v>
      </c>
      <c r="AF23" s="692">
        <f t="shared" si="9"/>
        <v>0</v>
      </c>
      <c r="AG23" s="38"/>
      <c r="AH23" s="692">
        <f t="shared" si="10"/>
        <v>10000</v>
      </c>
      <c r="AI23" s="692">
        <f t="shared" si="11"/>
        <v>0</v>
      </c>
      <c r="AJ23" s="692">
        <f t="shared" si="12"/>
        <v>0</v>
      </c>
      <c r="AL23" s="38">
        <f t="shared" si="13"/>
        <v>5000</v>
      </c>
    </row>
    <row r="24" spans="1:38" s="232" customFormat="1">
      <c r="A24" s="283" t="s">
        <v>211</v>
      </c>
      <c r="B24" s="283" t="s">
        <v>109</v>
      </c>
      <c r="C24" s="667" t="s">
        <v>525</v>
      </c>
      <c r="D24" s="123" t="s">
        <v>419</v>
      </c>
      <c r="E24" s="679">
        <f>24761.78+107.31</f>
        <v>24869.09</v>
      </c>
      <c r="F24" s="529">
        <f>VLOOKUP(D24,'Apr 2013 Revenue'!D:V,19,FALSE)</f>
        <v>-10000</v>
      </c>
      <c r="G24" s="680"/>
      <c r="H24" s="680"/>
      <c r="I24" s="755"/>
      <c r="J24" s="682">
        <f t="shared" si="0"/>
        <v>14869.09</v>
      </c>
      <c r="K24" s="683"/>
      <c r="L24" s="684"/>
      <c r="M24" s="753">
        <v>16000</v>
      </c>
      <c r="N24" s="683">
        <v>0</v>
      </c>
      <c r="O24" s="686"/>
      <c r="P24" s="683">
        <v>0</v>
      </c>
      <c r="Q24" s="687">
        <f t="shared" si="1"/>
        <v>16000</v>
      </c>
      <c r="R24" s="687"/>
      <c r="S24" s="687"/>
      <c r="T24" s="688">
        <v>0</v>
      </c>
      <c r="U24" s="693"/>
      <c r="V24" s="690">
        <f t="shared" si="2"/>
        <v>-16000</v>
      </c>
      <c r="W24" s="683"/>
      <c r="X24" s="474">
        <f t="shared" si="3"/>
        <v>0</v>
      </c>
      <c r="Y24" s="474">
        <f t="shared" si="4"/>
        <v>16000</v>
      </c>
      <c r="Z24" s="475">
        <f t="shared" si="5"/>
        <v>0</v>
      </c>
      <c r="AA24" s="475">
        <v>0</v>
      </c>
      <c r="AB24" s="476">
        <v>0</v>
      </c>
      <c r="AC24" s="38">
        <f t="shared" si="6"/>
        <v>0</v>
      </c>
      <c r="AD24" s="692">
        <f t="shared" si="7"/>
        <v>0</v>
      </c>
      <c r="AE24" s="692">
        <f t="shared" si="8"/>
        <v>14869.09</v>
      </c>
      <c r="AF24" s="692">
        <f t="shared" si="9"/>
        <v>0</v>
      </c>
      <c r="AG24" s="38"/>
      <c r="AH24" s="692">
        <f t="shared" si="10"/>
        <v>0</v>
      </c>
      <c r="AI24" s="692">
        <f t="shared" si="11"/>
        <v>16000</v>
      </c>
      <c r="AJ24" s="692">
        <f t="shared" si="12"/>
        <v>0</v>
      </c>
      <c r="AL24" s="38">
        <f t="shared" si="13"/>
        <v>30869.09</v>
      </c>
    </row>
    <row r="25" spans="1:38">
      <c r="A25" s="20"/>
      <c r="B25" s="20" t="s">
        <v>110</v>
      </c>
      <c r="C25" s="667"/>
      <c r="D25" s="68" t="s">
        <v>922</v>
      </c>
      <c r="E25" s="679"/>
      <c r="F25" s="529">
        <f>VLOOKUP(D25,'Apr 2013 Revenue'!D:V,19,FALSE)</f>
        <v>0</v>
      </c>
      <c r="G25" s="680"/>
      <c r="H25" s="680"/>
      <c r="I25" s="770">
        <v>917.23</v>
      </c>
      <c r="J25" s="682">
        <f t="shared" si="0"/>
        <v>917.23</v>
      </c>
      <c r="K25" s="683"/>
      <c r="L25" s="684"/>
      <c r="M25" s="753"/>
      <c r="N25" s="683">
        <v>0</v>
      </c>
      <c r="O25" s="686"/>
      <c r="P25" s="683">
        <v>0</v>
      </c>
      <c r="Q25" s="687">
        <f t="shared" si="1"/>
        <v>0</v>
      </c>
      <c r="R25" s="687"/>
      <c r="S25" s="687"/>
      <c r="T25" s="688">
        <v>0</v>
      </c>
      <c r="U25" s="693"/>
      <c r="V25" s="690">
        <f t="shared" si="2"/>
        <v>0</v>
      </c>
      <c r="W25" s="683"/>
      <c r="X25" s="474">
        <f t="shared" si="3"/>
        <v>0</v>
      </c>
      <c r="Y25" s="474">
        <f t="shared" si="4"/>
        <v>0</v>
      </c>
      <c r="Z25" s="475">
        <f t="shared" si="5"/>
        <v>0</v>
      </c>
      <c r="AA25" s="475">
        <v>0</v>
      </c>
      <c r="AB25" s="476">
        <v>0</v>
      </c>
      <c r="AC25" s="38">
        <f t="shared" si="6"/>
        <v>0</v>
      </c>
      <c r="AD25" s="692">
        <f t="shared" si="7"/>
        <v>917.23</v>
      </c>
      <c r="AE25" s="692">
        <f t="shared" si="8"/>
        <v>0</v>
      </c>
      <c r="AF25" s="692">
        <f t="shared" si="9"/>
        <v>0</v>
      </c>
      <c r="AG25" s="38"/>
      <c r="AH25" s="692">
        <f t="shared" si="10"/>
        <v>0</v>
      </c>
      <c r="AI25" s="692">
        <f t="shared" si="11"/>
        <v>0</v>
      </c>
      <c r="AJ25" s="692">
        <f t="shared" si="12"/>
        <v>0</v>
      </c>
      <c r="AL25" s="38">
        <f t="shared" si="13"/>
        <v>917.23</v>
      </c>
    </row>
    <row r="26" spans="1:38">
      <c r="A26" s="20"/>
      <c r="B26" s="20" t="s">
        <v>110</v>
      </c>
      <c r="C26" s="667"/>
      <c r="D26" s="68" t="s">
        <v>589</v>
      </c>
      <c r="E26" s="679"/>
      <c r="F26" s="529">
        <f>VLOOKUP(D26,'Apr 2013 Revenue'!D:V,19,FALSE)</f>
        <v>-8000</v>
      </c>
      <c r="G26" s="680"/>
      <c r="H26" s="680"/>
      <c r="I26" s="755"/>
      <c r="J26" s="682">
        <f t="shared" si="0"/>
        <v>-8000</v>
      </c>
      <c r="K26" s="683"/>
      <c r="L26" s="684"/>
      <c r="M26" s="753">
        <v>16000</v>
      </c>
      <c r="N26" s="683">
        <v>0</v>
      </c>
      <c r="O26" s="686"/>
      <c r="P26" s="683">
        <v>0</v>
      </c>
      <c r="Q26" s="687">
        <f t="shared" si="1"/>
        <v>16000</v>
      </c>
      <c r="R26" s="687"/>
      <c r="S26" s="687"/>
      <c r="T26" s="688">
        <v>0</v>
      </c>
      <c r="U26" s="693"/>
      <c r="V26" s="690">
        <f t="shared" si="2"/>
        <v>-16000</v>
      </c>
      <c r="W26" s="683"/>
      <c r="X26" s="474">
        <f t="shared" si="3"/>
        <v>16000</v>
      </c>
      <c r="Y26" s="474">
        <f t="shared" si="4"/>
        <v>0</v>
      </c>
      <c r="Z26" s="475">
        <f t="shared" si="5"/>
        <v>0</v>
      </c>
      <c r="AA26" s="475">
        <v>0</v>
      </c>
      <c r="AB26" s="476">
        <v>0</v>
      </c>
      <c r="AC26" s="38">
        <f t="shared" si="6"/>
        <v>0</v>
      </c>
      <c r="AD26" s="692">
        <f t="shared" si="7"/>
        <v>-8000</v>
      </c>
      <c r="AE26" s="692">
        <f t="shared" si="8"/>
        <v>0</v>
      </c>
      <c r="AF26" s="692">
        <f t="shared" si="9"/>
        <v>0</v>
      </c>
      <c r="AG26" s="38"/>
      <c r="AH26" s="692">
        <f t="shared" si="10"/>
        <v>16000</v>
      </c>
      <c r="AI26" s="692">
        <f t="shared" si="11"/>
        <v>0</v>
      </c>
      <c r="AJ26" s="692">
        <f t="shared" si="12"/>
        <v>0</v>
      </c>
      <c r="AL26" s="38">
        <f t="shared" si="13"/>
        <v>8000</v>
      </c>
    </row>
    <row r="27" spans="1:38">
      <c r="A27" s="20"/>
      <c r="B27" s="20" t="s">
        <v>110</v>
      </c>
      <c r="C27" s="667"/>
      <c r="D27" s="68" t="s">
        <v>829</v>
      </c>
      <c r="E27" s="679"/>
      <c r="F27" s="529">
        <f>VLOOKUP(D27,'Apr 2013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row>
    <row r="28" spans="1:38">
      <c r="A28" s="20"/>
      <c r="B28" s="20" t="s">
        <v>109</v>
      </c>
      <c r="C28" s="667" t="s">
        <v>526</v>
      </c>
      <c r="D28" s="68" t="s">
        <v>385</v>
      </c>
      <c r="E28" s="679"/>
      <c r="F28" s="529">
        <f>VLOOKUP(D28,'Apr 2013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91"/>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row>
    <row r="29" spans="1:38" s="232" customFormat="1">
      <c r="A29" s="283"/>
      <c r="B29" s="283" t="s">
        <v>110</v>
      </c>
      <c r="C29" s="667" t="s">
        <v>527</v>
      </c>
      <c r="D29" s="123" t="s">
        <v>401</v>
      </c>
      <c r="E29" s="679"/>
      <c r="F29" s="529">
        <f>VLOOKUP(D29,'Apr 2013 Revenue'!D:V,19,FALSE)</f>
        <v>59755.199999999953</v>
      </c>
      <c r="G29" s="680"/>
      <c r="H29" s="680"/>
      <c r="I29" s="755"/>
      <c r="J29" s="682">
        <f t="shared" si="0"/>
        <v>59755.199999999953</v>
      </c>
      <c r="K29" s="683"/>
      <c r="L29" s="684"/>
      <c r="M29" s="753">
        <v>550000</v>
      </c>
      <c r="N29" s="683">
        <v>0</v>
      </c>
      <c r="O29" s="686"/>
      <c r="P29" s="683">
        <v>0</v>
      </c>
      <c r="Q29" s="687">
        <f t="shared" si="1"/>
        <v>550000</v>
      </c>
      <c r="R29" s="687"/>
      <c r="S29" s="687"/>
      <c r="T29" s="688">
        <v>810227.5</v>
      </c>
      <c r="U29" s="693"/>
      <c r="V29" s="690">
        <f t="shared" si="2"/>
        <v>260227.5</v>
      </c>
      <c r="W29" s="683"/>
      <c r="X29" s="474">
        <f t="shared" si="3"/>
        <v>550000</v>
      </c>
      <c r="Y29" s="474">
        <f t="shared" si="4"/>
        <v>0</v>
      </c>
      <c r="Z29" s="475">
        <f t="shared" si="5"/>
        <v>0</v>
      </c>
      <c r="AA29" s="475">
        <v>0</v>
      </c>
      <c r="AB29" s="476">
        <v>0</v>
      </c>
      <c r="AC29" s="38">
        <f t="shared" si="6"/>
        <v>0</v>
      </c>
      <c r="AD29" s="692">
        <f t="shared" si="7"/>
        <v>59755.199999999953</v>
      </c>
      <c r="AE29" s="692">
        <f t="shared" si="8"/>
        <v>0</v>
      </c>
      <c r="AF29" s="692">
        <f t="shared" si="9"/>
        <v>0</v>
      </c>
      <c r="AG29" s="38"/>
      <c r="AH29" s="692">
        <f t="shared" si="10"/>
        <v>550000</v>
      </c>
      <c r="AI29" s="692">
        <f t="shared" si="11"/>
        <v>0</v>
      </c>
      <c r="AJ29" s="692">
        <f t="shared" si="12"/>
        <v>0</v>
      </c>
      <c r="AL29" s="38">
        <f t="shared" si="13"/>
        <v>609755.19999999995</v>
      </c>
    </row>
    <row r="30" spans="1:38" s="232" customFormat="1">
      <c r="A30" s="283"/>
      <c r="B30" s="283" t="s">
        <v>110</v>
      </c>
      <c r="C30" s="667" t="s">
        <v>528</v>
      </c>
      <c r="D30" s="123" t="s">
        <v>403</v>
      </c>
      <c r="E30" s="679"/>
      <c r="F30" s="529">
        <f>VLOOKUP(D30,'Apr 2013 Revenue'!D:V,19,FALSE)</f>
        <v>17768.649999999994</v>
      </c>
      <c r="G30" s="680"/>
      <c r="H30" s="680"/>
      <c r="I30" s="755"/>
      <c r="J30" s="682">
        <f t="shared" si="0"/>
        <v>17768.649999999994</v>
      </c>
      <c r="K30" s="683"/>
      <c r="L30" s="684"/>
      <c r="M30" s="753">
        <v>100000</v>
      </c>
      <c r="N30" s="683">
        <v>0</v>
      </c>
      <c r="O30" s="686"/>
      <c r="P30" s="683">
        <v>0</v>
      </c>
      <c r="Q30" s="687">
        <f t="shared" si="1"/>
        <v>100000</v>
      </c>
      <c r="R30" s="687"/>
      <c r="S30" s="687"/>
      <c r="T30" s="688">
        <v>140364.76</v>
      </c>
      <c r="U30" s="693"/>
      <c r="V30" s="690">
        <f t="shared" si="2"/>
        <v>40364.760000000009</v>
      </c>
      <c r="W30" s="683"/>
      <c r="X30" s="474">
        <f t="shared" si="3"/>
        <v>100000</v>
      </c>
      <c r="Y30" s="474">
        <f t="shared" si="4"/>
        <v>0</v>
      </c>
      <c r="Z30" s="475">
        <f t="shared" si="5"/>
        <v>0</v>
      </c>
      <c r="AA30" s="475">
        <v>0</v>
      </c>
      <c r="AB30" s="476">
        <v>0</v>
      </c>
      <c r="AC30" s="38">
        <f t="shared" si="6"/>
        <v>0</v>
      </c>
      <c r="AD30" s="692">
        <f t="shared" si="7"/>
        <v>17768.649999999994</v>
      </c>
      <c r="AE30" s="692">
        <f t="shared" si="8"/>
        <v>0</v>
      </c>
      <c r="AF30" s="692">
        <f t="shared" si="9"/>
        <v>0</v>
      </c>
      <c r="AG30" s="38"/>
      <c r="AH30" s="692">
        <f t="shared" si="10"/>
        <v>100000</v>
      </c>
      <c r="AI30" s="692">
        <f t="shared" si="11"/>
        <v>0</v>
      </c>
      <c r="AJ30" s="692">
        <f t="shared" si="12"/>
        <v>0</v>
      </c>
      <c r="AL30" s="38">
        <f t="shared" si="13"/>
        <v>117768.65</v>
      </c>
    </row>
    <row r="31" spans="1:38" s="232" customFormat="1">
      <c r="A31" s="283"/>
      <c r="B31" s="283" t="s">
        <v>110</v>
      </c>
      <c r="C31" s="667" t="s">
        <v>528</v>
      </c>
      <c r="D31" s="123" t="s">
        <v>404</v>
      </c>
      <c r="E31" s="679"/>
      <c r="F31" s="529">
        <f>VLOOKUP(D31,'Apr 2013 Revenue'!D:V,19,FALSE)</f>
        <v>14702.470000000001</v>
      </c>
      <c r="G31" s="680"/>
      <c r="H31" s="680"/>
      <c r="I31" s="755"/>
      <c r="J31" s="682">
        <f t="shared" si="0"/>
        <v>14702.470000000001</v>
      </c>
      <c r="K31" s="683"/>
      <c r="L31" s="684"/>
      <c r="M31" s="753">
        <v>100000</v>
      </c>
      <c r="N31" s="683">
        <v>0</v>
      </c>
      <c r="O31" s="686"/>
      <c r="P31" s="683">
        <v>0</v>
      </c>
      <c r="Q31" s="687">
        <f t="shared" si="1"/>
        <v>100000</v>
      </c>
      <c r="R31" s="687"/>
      <c r="S31" s="687"/>
      <c r="T31" s="688">
        <v>143866.31</v>
      </c>
      <c r="U31" s="693"/>
      <c r="V31" s="690">
        <f t="shared" si="2"/>
        <v>43866.31</v>
      </c>
      <c r="W31" s="683"/>
      <c r="X31" s="474">
        <f t="shared" si="3"/>
        <v>100000</v>
      </c>
      <c r="Y31" s="474">
        <f t="shared" si="4"/>
        <v>0</v>
      </c>
      <c r="Z31" s="475">
        <f t="shared" si="5"/>
        <v>0</v>
      </c>
      <c r="AA31" s="475">
        <v>0</v>
      </c>
      <c r="AB31" s="476">
        <v>0</v>
      </c>
      <c r="AC31" s="38">
        <f t="shared" si="6"/>
        <v>0</v>
      </c>
      <c r="AD31" s="692">
        <f t="shared" si="7"/>
        <v>14702.470000000001</v>
      </c>
      <c r="AE31" s="692">
        <f t="shared" si="8"/>
        <v>0</v>
      </c>
      <c r="AF31" s="692">
        <f t="shared" si="9"/>
        <v>0</v>
      </c>
      <c r="AG31" s="38"/>
      <c r="AH31" s="692">
        <f t="shared" si="10"/>
        <v>100000</v>
      </c>
      <c r="AI31" s="692">
        <f t="shared" si="11"/>
        <v>0</v>
      </c>
      <c r="AJ31" s="692">
        <f t="shared" si="12"/>
        <v>0</v>
      </c>
      <c r="AL31" s="38">
        <f t="shared" si="13"/>
        <v>114702.47</v>
      </c>
    </row>
    <row r="32" spans="1:38" s="232" customFormat="1">
      <c r="A32" s="283"/>
      <c r="B32" s="283" t="s">
        <v>110</v>
      </c>
      <c r="C32" s="667" t="s">
        <v>528</v>
      </c>
      <c r="D32" s="123" t="s">
        <v>405</v>
      </c>
      <c r="E32" s="679"/>
      <c r="F32" s="529">
        <f>VLOOKUP(D32,'Apr 2013 Revenue'!D:V,19,FALSE)</f>
        <v>3188.3899999999994</v>
      </c>
      <c r="G32" s="680"/>
      <c r="H32" s="680"/>
      <c r="I32" s="755"/>
      <c r="J32" s="682">
        <f t="shared" si="0"/>
        <v>3188.3899999999994</v>
      </c>
      <c r="K32" s="683"/>
      <c r="L32" s="684"/>
      <c r="M32" s="753">
        <v>20000</v>
      </c>
      <c r="N32" s="683">
        <v>0</v>
      </c>
      <c r="O32" s="686"/>
      <c r="P32" s="683">
        <v>0</v>
      </c>
      <c r="Q32" s="687">
        <f t="shared" si="1"/>
        <v>20000</v>
      </c>
      <c r="R32" s="687"/>
      <c r="S32" s="687"/>
      <c r="T32" s="688">
        <v>26697.59</v>
      </c>
      <c r="U32" s="693"/>
      <c r="V32" s="690">
        <f t="shared" si="2"/>
        <v>6697.59</v>
      </c>
      <c r="W32" s="683"/>
      <c r="X32" s="474">
        <f t="shared" si="3"/>
        <v>20000</v>
      </c>
      <c r="Y32" s="474">
        <f t="shared" si="4"/>
        <v>0</v>
      </c>
      <c r="Z32" s="475">
        <f t="shared" si="5"/>
        <v>0</v>
      </c>
      <c r="AA32" s="475">
        <v>0</v>
      </c>
      <c r="AB32" s="476">
        <v>0</v>
      </c>
      <c r="AC32" s="38">
        <f t="shared" si="6"/>
        <v>0</v>
      </c>
      <c r="AD32" s="692">
        <f t="shared" si="7"/>
        <v>3188.3899999999994</v>
      </c>
      <c r="AE32" s="692">
        <f t="shared" si="8"/>
        <v>0</v>
      </c>
      <c r="AF32" s="692">
        <f t="shared" si="9"/>
        <v>0</v>
      </c>
      <c r="AG32" s="38"/>
      <c r="AH32" s="692">
        <f t="shared" si="10"/>
        <v>20000</v>
      </c>
      <c r="AI32" s="692">
        <f t="shared" si="11"/>
        <v>0</v>
      </c>
      <c r="AJ32" s="692">
        <f t="shared" si="12"/>
        <v>0</v>
      </c>
      <c r="AL32" s="38">
        <f t="shared" si="13"/>
        <v>23188.39</v>
      </c>
    </row>
    <row r="33" spans="1:38" s="232" customFormat="1">
      <c r="A33" s="283"/>
      <c r="B33" s="283" t="s">
        <v>110</v>
      </c>
      <c r="C33" s="667" t="s">
        <v>528</v>
      </c>
      <c r="D33" s="123" t="s">
        <v>406</v>
      </c>
      <c r="E33" s="679"/>
      <c r="F33" s="529">
        <f>VLOOKUP(D33,'Apr 2013 Revenue'!D:V,19,FALSE)</f>
        <v>2810.8899999999994</v>
      </c>
      <c r="G33" s="680"/>
      <c r="H33" s="680"/>
      <c r="I33" s="755"/>
      <c r="J33" s="682">
        <f t="shared" si="0"/>
        <v>2810.8899999999994</v>
      </c>
      <c r="K33" s="683"/>
      <c r="L33" s="684"/>
      <c r="M33" s="753">
        <v>8000</v>
      </c>
      <c r="N33" s="683">
        <v>0</v>
      </c>
      <c r="O33" s="686"/>
      <c r="P33" s="683">
        <v>0</v>
      </c>
      <c r="Q33" s="687">
        <f t="shared" si="1"/>
        <v>8000</v>
      </c>
      <c r="R33" s="687"/>
      <c r="S33" s="687"/>
      <c r="T33" s="688">
        <v>11848.51</v>
      </c>
      <c r="U33" s="693"/>
      <c r="V33" s="690">
        <f t="shared" si="2"/>
        <v>3848.51</v>
      </c>
      <c r="W33" s="683"/>
      <c r="X33" s="474">
        <f t="shared" si="3"/>
        <v>8000</v>
      </c>
      <c r="Y33" s="474">
        <f t="shared" si="4"/>
        <v>0</v>
      </c>
      <c r="Z33" s="475">
        <f t="shared" si="5"/>
        <v>0</v>
      </c>
      <c r="AA33" s="475">
        <v>0</v>
      </c>
      <c r="AB33" s="476">
        <v>0</v>
      </c>
      <c r="AC33" s="38">
        <f t="shared" si="6"/>
        <v>0</v>
      </c>
      <c r="AD33" s="692">
        <f t="shared" si="7"/>
        <v>2810.8899999999994</v>
      </c>
      <c r="AE33" s="692">
        <f t="shared" si="8"/>
        <v>0</v>
      </c>
      <c r="AF33" s="692">
        <f t="shared" si="9"/>
        <v>0</v>
      </c>
      <c r="AG33" s="38"/>
      <c r="AH33" s="692">
        <f t="shared" si="10"/>
        <v>8000</v>
      </c>
      <c r="AI33" s="692">
        <f t="shared" si="11"/>
        <v>0</v>
      </c>
      <c r="AJ33" s="692">
        <f t="shared" si="12"/>
        <v>0</v>
      </c>
      <c r="AL33" s="38">
        <f t="shared" si="13"/>
        <v>10810.89</v>
      </c>
    </row>
    <row r="34" spans="1:38" s="232" customFormat="1">
      <c r="A34" s="283"/>
      <c r="B34" s="283" t="s">
        <v>110</v>
      </c>
      <c r="C34" s="667" t="s">
        <v>528</v>
      </c>
      <c r="D34" s="123" t="s">
        <v>407</v>
      </c>
      <c r="E34" s="679"/>
      <c r="F34" s="529">
        <f>VLOOKUP(D34,'Apr 2013 Revenue'!D:V,19,FALSE)</f>
        <v>4022.05</v>
      </c>
      <c r="G34" s="680"/>
      <c r="H34" s="680"/>
      <c r="I34" s="755"/>
      <c r="J34" s="682">
        <f t="shared" si="0"/>
        <v>4022.05</v>
      </c>
      <c r="K34" s="683"/>
      <c r="L34" s="684"/>
      <c r="M34" s="753">
        <v>5000</v>
      </c>
      <c r="N34" s="683">
        <v>0</v>
      </c>
      <c r="O34" s="686"/>
      <c r="P34" s="683">
        <v>0</v>
      </c>
      <c r="Q34" s="687">
        <f t="shared" si="1"/>
        <v>5000</v>
      </c>
      <c r="R34" s="687"/>
      <c r="S34" s="687"/>
      <c r="T34" s="688">
        <v>5090.2299999999996</v>
      </c>
      <c r="U34" s="693"/>
      <c r="V34" s="690">
        <f t="shared" si="2"/>
        <v>90.229999999999563</v>
      </c>
      <c r="W34" s="683"/>
      <c r="X34" s="474">
        <f t="shared" si="3"/>
        <v>5000</v>
      </c>
      <c r="Y34" s="474">
        <f t="shared" si="4"/>
        <v>0</v>
      </c>
      <c r="Z34" s="475">
        <f t="shared" si="5"/>
        <v>0</v>
      </c>
      <c r="AA34" s="475">
        <v>0</v>
      </c>
      <c r="AB34" s="476">
        <v>0</v>
      </c>
      <c r="AC34" s="38">
        <f t="shared" si="6"/>
        <v>0</v>
      </c>
      <c r="AD34" s="692">
        <f t="shared" si="7"/>
        <v>4022.05</v>
      </c>
      <c r="AE34" s="692">
        <f t="shared" si="8"/>
        <v>0</v>
      </c>
      <c r="AF34" s="692">
        <f t="shared" si="9"/>
        <v>0</v>
      </c>
      <c r="AG34" s="38"/>
      <c r="AH34" s="692">
        <f t="shared" si="10"/>
        <v>5000</v>
      </c>
      <c r="AI34" s="692">
        <f t="shared" si="11"/>
        <v>0</v>
      </c>
      <c r="AJ34" s="692">
        <f t="shared" si="12"/>
        <v>0</v>
      </c>
      <c r="AL34" s="38">
        <f t="shared" si="13"/>
        <v>9022.0499999999993</v>
      </c>
    </row>
    <row r="35" spans="1:38" s="232" customFormat="1">
      <c r="A35" s="283"/>
      <c r="B35" s="283" t="s">
        <v>110</v>
      </c>
      <c r="C35" s="667" t="s">
        <v>528</v>
      </c>
      <c r="D35" s="123" t="s">
        <v>880</v>
      </c>
      <c r="E35" s="679"/>
      <c r="F35" s="529">
        <f>VLOOKUP(D35,'Apr 2013 Revenue'!D:V,19,FALSE)</f>
        <v>1886.69</v>
      </c>
      <c r="G35" s="680"/>
      <c r="H35" s="680"/>
      <c r="I35" s="755"/>
      <c r="J35" s="682">
        <f t="shared" si="0"/>
        <v>1886.69</v>
      </c>
      <c r="K35" s="683"/>
      <c r="L35" s="684"/>
      <c r="M35" s="753"/>
      <c r="N35" s="683">
        <v>0</v>
      </c>
      <c r="O35" s="686"/>
      <c r="P35" s="683">
        <v>0</v>
      </c>
      <c r="Q35" s="687">
        <f t="shared" si="1"/>
        <v>0</v>
      </c>
      <c r="R35" s="687"/>
      <c r="S35" s="687"/>
      <c r="T35" s="688">
        <v>2853.05</v>
      </c>
      <c r="U35" s="693"/>
      <c r="V35" s="690">
        <f t="shared" si="2"/>
        <v>2853.05</v>
      </c>
      <c r="W35" s="683"/>
      <c r="X35" s="474">
        <f t="shared" si="3"/>
        <v>0</v>
      </c>
      <c r="Y35" s="474">
        <f t="shared" si="4"/>
        <v>0</v>
      </c>
      <c r="Z35" s="475">
        <f t="shared" si="5"/>
        <v>0</v>
      </c>
      <c r="AA35" s="475">
        <v>0</v>
      </c>
      <c r="AB35" s="476">
        <v>0</v>
      </c>
      <c r="AC35" s="38">
        <f t="shared" si="6"/>
        <v>0</v>
      </c>
      <c r="AD35" s="692">
        <f t="shared" si="7"/>
        <v>1886.69</v>
      </c>
      <c r="AE35" s="692">
        <f t="shared" si="8"/>
        <v>0</v>
      </c>
      <c r="AF35" s="692">
        <f t="shared" si="9"/>
        <v>0</v>
      </c>
      <c r="AG35" s="38"/>
      <c r="AH35" s="692">
        <f t="shared" si="10"/>
        <v>0</v>
      </c>
      <c r="AI35" s="692">
        <f t="shared" si="11"/>
        <v>0</v>
      </c>
      <c r="AJ35" s="692">
        <f t="shared" si="12"/>
        <v>0</v>
      </c>
      <c r="AL35" s="38">
        <f t="shared" si="13"/>
        <v>1886.69</v>
      </c>
    </row>
    <row r="36" spans="1:38" s="232" customFormat="1">
      <c r="A36" s="283"/>
      <c r="B36" s="283" t="s">
        <v>110</v>
      </c>
      <c r="C36" s="667" t="s">
        <v>528</v>
      </c>
      <c r="D36" s="123" t="s">
        <v>881</v>
      </c>
      <c r="E36" s="679"/>
      <c r="F36" s="529">
        <f>VLOOKUP(D36,'Apr 2013 Revenue'!D:V,19,FALSE)</f>
        <v>1689.82</v>
      </c>
      <c r="G36" s="680"/>
      <c r="H36" s="680"/>
      <c r="I36" s="755"/>
      <c r="J36" s="682">
        <f t="shared" si="0"/>
        <v>1689.82</v>
      </c>
      <c r="K36" s="683"/>
      <c r="L36" s="684"/>
      <c r="M36" s="753"/>
      <c r="N36" s="683">
        <v>0</v>
      </c>
      <c r="O36" s="686"/>
      <c r="P36" s="683">
        <v>0</v>
      </c>
      <c r="Q36" s="687">
        <f t="shared" si="1"/>
        <v>0</v>
      </c>
      <c r="R36" s="687"/>
      <c r="S36" s="687"/>
      <c r="T36" s="688">
        <v>2539.19</v>
      </c>
      <c r="U36" s="693"/>
      <c r="V36" s="690">
        <f t="shared" si="2"/>
        <v>2539.19</v>
      </c>
      <c r="W36" s="683"/>
      <c r="X36" s="474">
        <f t="shared" si="3"/>
        <v>0</v>
      </c>
      <c r="Y36" s="474">
        <f t="shared" si="4"/>
        <v>0</v>
      </c>
      <c r="Z36" s="475">
        <f t="shared" si="5"/>
        <v>0</v>
      </c>
      <c r="AA36" s="475">
        <v>0</v>
      </c>
      <c r="AB36" s="476">
        <v>0</v>
      </c>
      <c r="AC36" s="38">
        <f t="shared" si="6"/>
        <v>0</v>
      </c>
      <c r="AD36" s="692">
        <f t="shared" si="7"/>
        <v>1689.82</v>
      </c>
      <c r="AE36" s="692">
        <f t="shared" si="8"/>
        <v>0</v>
      </c>
      <c r="AF36" s="692">
        <f t="shared" si="9"/>
        <v>0</v>
      </c>
      <c r="AG36" s="38"/>
      <c r="AH36" s="692">
        <f t="shared" si="10"/>
        <v>0</v>
      </c>
      <c r="AI36" s="692">
        <f t="shared" si="11"/>
        <v>0</v>
      </c>
      <c r="AJ36" s="692">
        <f t="shared" si="12"/>
        <v>0</v>
      </c>
      <c r="AL36" s="38">
        <f t="shared" si="13"/>
        <v>1689.82</v>
      </c>
    </row>
    <row r="37" spans="1:38" s="232" customFormat="1">
      <c r="A37" s="283"/>
      <c r="B37" s="283" t="s">
        <v>110</v>
      </c>
      <c r="C37" s="667" t="s">
        <v>528</v>
      </c>
      <c r="D37" s="123" t="s">
        <v>820</v>
      </c>
      <c r="E37" s="679"/>
      <c r="F37" s="529">
        <f>VLOOKUP(D37,'Apr 2013 Revenue'!D:V,19,FALSE)</f>
        <v>-3079.5600000000013</v>
      </c>
      <c r="G37" s="680"/>
      <c r="H37" s="680"/>
      <c r="I37" s="755"/>
      <c r="J37" s="682">
        <f t="shared" si="0"/>
        <v>-3079.5600000000013</v>
      </c>
      <c r="K37" s="683"/>
      <c r="L37" s="684"/>
      <c r="M37" s="753">
        <v>15000</v>
      </c>
      <c r="N37" s="683">
        <v>0</v>
      </c>
      <c r="O37" s="686"/>
      <c r="P37" s="683">
        <v>0</v>
      </c>
      <c r="Q37" s="687">
        <f t="shared" si="1"/>
        <v>15000</v>
      </c>
      <c r="R37" s="687"/>
      <c r="S37" s="687"/>
      <c r="T37" s="688">
        <v>23663.02</v>
      </c>
      <c r="U37" s="693"/>
      <c r="V37" s="690">
        <f t="shared" si="2"/>
        <v>8663.02</v>
      </c>
      <c r="W37" s="683"/>
      <c r="X37" s="474">
        <f t="shared" si="3"/>
        <v>15000</v>
      </c>
      <c r="Y37" s="474">
        <f t="shared" si="4"/>
        <v>0</v>
      </c>
      <c r="Z37" s="475">
        <f t="shared" si="5"/>
        <v>0</v>
      </c>
      <c r="AA37" s="475">
        <v>0</v>
      </c>
      <c r="AB37" s="476">
        <v>0</v>
      </c>
      <c r="AC37" s="38">
        <f t="shared" si="6"/>
        <v>0</v>
      </c>
      <c r="AD37" s="692">
        <f t="shared" si="7"/>
        <v>-3079.5600000000013</v>
      </c>
      <c r="AE37" s="692">
        <f t="shared" si="8"/>
        <v>0</v>
      </c>
      <c r="AF37" s="692">
        <f t="shared" si="9"/>
        <v>0</v>
      </c>
      <c r="AG37" s="38"/>
      <c r="AH37" s="692">
        <f t="shared" si="10"/>
        <v>15000</v>
      </c>
      <c r="AI37" s="692">
        <f t="shared" si="11"/>
        <v>0</v>
      </c>
      <c r="AJ37" s="692">
        <f t="shared" si="12"/>
        <v>0</v>
      </c>
      <c r="AL37" s="38">
        <f t="shared" si="13"/>
        <v>11920.439999999999</v>
      </c>
    </row>
    <row r="38" spans="1:38" s="232" customFormat="1">
      <c r="A38" s="283"/>
      <c r="B38" s="283" t="s">
        <v>110</v>
      </c>
      <c r="C38" s="667" t="s">
        <v>527</v>
      </c>
      <c r="D38" s="123" t="s">
        <v>460</v>
      </c>
      <c r="E38" s="679"/>
      <c r="F38" s="529">
        <f>VLOOKUP(D38,'Apr 2013 Revenue'!D:V,19,FALSE)</f>
        <v>0</v>
      </c>
      <c r="G38" s="680"/>
      <c r="H38" s="680"/>
      <c r="I38" s="770">
        <v>47521.69</v>
      </c>
      <c r="J38" s="682">
        <f t="shared" si="0"/>
        <v>47521.69</v>
      </c>
      <c r="K38" s="683"/>
      <c r="L38" s="684"/>
      <c r="M38" s="753"/>
      <c r="N38" s="683">
        <v>0</v>
      </c>
      <c r="O38" s="686"/>
      <c r="P38" s="683">
        <v>0</v>
      </c>
      <c r="Q38" s="687">
        <f t="shared" si="1"/>
        <v>0</v>
      </c>
      <c r="R38" s="687"/>
      <c r="S38" s="687"/>
      <c r="T38" s="688">
        <v>0</v>
      </c>
      <c r="U38" s="693"/>
      <c r="V38" s="690">
        <f t="shared" si="2"/>
        <v>0</v>
      </c>
      <c r="W38" s="683"/>
      <c r="X38" s="474">
        <f t="shared" si="3"/>
        <v>0</v>
      </c>
      <c r="Y38" s="474">
        <f t="shared" si="4"/>
        <v>0</v>
      </c>
      <c r="Z38" s="475">
        <f t="shared" si="5"/>
        <v>0</v>
      </c>
      <c r="AA38" s="475">
        <v>0</v>
      </c>
      <c r="AB38" s="476">
        <v>0</v>
      </c>
      <c r="AC38" s="38">
        <f t="shared" si="6"/>
        <v>0</v>
      </c>
      <c r="AD38" s="692">
        <f t="shared" si="7"/>
        <v>47521.69</v>
      </c>
      <c r="AE38" s="692">
        <f t="shared" si="8"/>
        <v>0</v>
      </c>
      <c r="AF38" s="692">
        <f t="shared" si="9"/>
        <v>0</v>
      </c>
      <c r="AG38" s="38"/>
      <c r="AH38" s="692">
        <f t="shared" si="10"/>
        <v>0</v>
      </c>
      <c r="AI38" s="692">
        <f t="shared" si="11"/>
        <v>0</v>
      </c>
      <c r="AJ38" s="692">
        <f t="shared" si="12"/>
        <v>0</v>
      </c>
      <c r="AL38" s="38">
        <f t="shared" si="13"/>
        <v>47521.69</v>
      </c>
    </row>
    <row r="39" spans="1:38" s="232" customFormat="1">
      <c r="A39" s="283"/>
      <c r="B39" s="283" t="s">
        <v>110</v>
      </c>
      <c r="C39" s="676" t="s">
        <v>528</v>
      </c>
      <c r="D39" s="123" t="s">
        <v>623</v>
      </c>
      <c r="E39" s="679"/>
      <c r="F39" s="529">
        <f>VLOOKUP(D39,'Apr 2013 Revenue'!D:V,19,FALSE)</f>
        <v>0</v>
      </c>
      <c r="G39" s="680"/>
      <c r="H39" s="680"/>
      <c r="I39" s="770">
        <v>9131.3700000000008</v>
      </c>
      <c r="J39" s="682">
        <f t="shared" si="0"/>
        <v>9131.3700000000008</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9131.3700000000008</v>
      </c>
      <c r="AE39" s="692">
        <f t="shared" si="8"/>
        <v>0</v>
      </c>
      <c r="AF39" s="692">
        <f t="shared" si="9"/>
        <v>0</v>
      </c>
      <c r="AG39" s="38"/>
      <c r="AH39" s="692">
        <f t="shared" si="10"/>
        <v>0</v>
      </c>
      <c r="AI39" s="692">
        <f t="shared" si="11"/>
        <v>0</v>
      </c>
      <c r="AJ39" s="692">
        <f t="shared" si="12"/>
        <v>0</v>
      </c>
      <c r="AL39" s="38">
        <f t="shared" si="13"/>
        <v>9131.3700000000008</v>
      </c>
    </row>
    <row r="40" spans="1:38" s="232" customFormat="1">
      <c r="A40" s="403"/>
      <c r="B40" s="403" t="s">
        <v>114</v>
      </c>
      <c r="C40" s="666" t="s">
        <v>529</v>
      </c>
      <c r="D40" s="123" t="s">
        <v>108</v>
      </c>
      <c r="E40" s="679"/>
      <c r="F40" s="529">
        <f>VLOOKUP(D40,'Apr 2013 Revenue'!D:V,19,FALSE)</f>
        <v>436.97999999999956</v>
      </c>
      <c r="G40" s="680"/>
      <c r="H40" s="680"/>
      <c r="I40" s="755"/>
      <c r="J40" s="682">
        <f t="shared" si="0"/>
        <v>436.97999999999956</v>
      </c>
      <c r="K40" s="683"/>
      <c r="L40" s="684"/>
      <c r="M40" s="753">
        <v>8000</v>
      </c>
      <c r="N40" s="683">
        <v>0</v>
      </c>
      <c r="O40" s="686"/>
      <c r="P40" s="683">
        <v>0</v>
      </c>
      <c r="Q40" s="687">
        <f t="shared" si="1"/>
        <v>8000</v>
      </c>
      <c r="R40" s="687"/>
      <c r="S40" s="687"/>
      <c r="T40" s="688">
        <v>0</v>
      </c>
      <c r="U40" s="693"/>
      <c r="V40" s="690">
        <f t="shared" si="2"/>
        <v>-8000</v>
      </c>
      <c r="W40" s="683"/>
      <c r="X40" s="474">
        <f t="shared" si="3"/>
        <v>0</v>
      </c>
      <c r="Y40" s="474">
        <f t="shared" si="4"/>
        <v>0</v>
      </c>
      <c r="Z40" s="475">
        <f t="shared" si="5"/>
        <v>8000</v>
      </c>
      <c r="AA40" s="475">
        <v>0</v>
      </c>
      <c r="AB40" s="476">
        <v>0</v>
      </c>
      <c r="AC40" s="38">
        <f t="shared" si="6"/>
        <v>0</v>
      </c>
      <c r="AD40" s="692">
        <f t="shared" si="7"/>
        <v>0</v>
      </c>
      <c r="AE40" s="692">
        <f t="shared" si="8"/>
        <v>0</v>
      </c>
      <c r="AF40" s="692">
        <f t="shared" si="9"/>
        <v>436.97999999999956</v>
      </c>
      <c r="AG40" s="38"/>
      <c r="AH40" s="692">
        <f t="shared" si="10"/>
        <v>0</v>
      </c>
      <c r="AI40" s="692">
        <f t="shared" si="11"/>
        <v>0</v>
      </c>
      <c r="AJ40" s="692">
        <f t="shared" si="12"/>
        <v>8000</v>
      </c>
      <c r="AL40" s="38">
        <f t="shared" si="13"/>
        <v>8436.98</v>
      </c>
    </row>
    <row r="41" spans="1:38" s="232" customFormat="1">
      <c r="A41" s="403"/>
      <c r="B41" s="403" t="s">
        <v>110</v>
      </c>
      <c r="C41" s="666"/>
      <c r="D41" s="123" t="s">
        <v>911</v>
      </c>
      <c r="E41" s="679">
        <v>7079.68</v>
      </c>
      <c r="F41" s="529">
        <f>VLOOKUP(D41,'Apr 2013 Revenue'!D:V,19,FALSE)</f>
        <v>2015.7999999999993</v>
      </c>
      <c r="G41" s="680"/>
      <c r="H41" s="680"/>
      <c r="I41" s="755"/>
      <c r="J41" s="682">
        <f t="shared" si="0"/>
        <v>9095.48</v>
      </c>
      <c r="K41" s="683"/>
      <c r="L41" s="684"/>
      <c r="M41" s="753">
        <v>10000</v>
      </c>
      <c r="N41" s="683">
        <v>0</v>
      </c>
      <c r="O41" s="686"/>
      <c r="P41" s="683">
        <v>0</v>
      </c>
      <c r="Q41" s="687">
        <f t="shared" si="1"/>
        <v>10000</v>
      </c>
      <c r="R41" s="687"/>
      <c r="S41" s="687"/>
      <c r="T41" s="688">
        <v>0</v>
      </c>
      <c r="U41" s="693"/>
      <c r="V41" s="690">
        <f t="shared" si="2"/>
        <v>-10000</v>
      </c>
      <c r="W41" s="683"/>
      <c r="X41" s="474">
        <f t="shared" si="3"/>
        <v>10000</v>
      </c>
      <c r="Y41" s="474">
        <f t="shared" si="4"/>
        <v>0</v>
      </c>
      <c r="Z41" s="475">
        <f t="shared" si="5"/>
        <v>0</v>
      </c>
      <c r="AA41" s="475">
        <v>0</v>
      </c>
      <c r="AB41" s="476">
        <v>0</v>
      </c>
      <c r="AC41" s="38">
        <f t="shared" si="6"/>
        <v>0</v>
      </c>
      <c r="AD41" s="692">
        <f t="shared" si="7"/>
        <v>9095.48</v>
      </c>
      <c r="AE41" s="692">
        <f t="shared" si="8"/>
        <v>0</v>
      </c>
      <c r="AF41" s="692">
        <f t="shared" si="9"/>
        <v>0</v>
      </c>
      <c r="AG41" s="38"/>
      <c r="AH41" s="692">
        <f t="shared" si="10"/>
        <v>10000</v>
      </c>
      <c r="AI41" s="692">
        <f t="shared" si="11"/>
        <v>0</v>
      </c>
      <c r="AJ41" s="692">
        <f t="shared" si="12"/>
        <v>0</v>
      </c>
      <c r="AL41" s="38">
        <f t="shared" si="13"/>
        <v>19095.48</v>
      </c>
    </row>
    <row r="42" spans="1:38">
      <c r="A42" s="21"/>
      <c r="B42" s="21" t="s">
        <v>110</v>
      </c>
      <c r="C42" s="666"/>
      <c r="D42" s="68" t="s">
        <v>234</v>
      </c>
      <c r="E42" s="679">
        <v>7796.44</v>
      </c>
      <c r="F42" s="529">
        <f>VLOOKUP(D42,'Apr 2013 Revenue'!D:V,19,FALSE)</f>
        <v>-10000</v>
      </c>
      <c r="G42" s="680"/>
      <c r="H42" s="680"/>
      <c r="I42" s="755"/>
      <c r="J42" s="682">
        <f t="shared" si="0"/>
        <v>-2203.5600000000004</v>
      </c>
      <c r="K42" s="683"/>
      <c r="L42" s="684"/>
      <c r="M42" s="753">
        <v>5000</v>
      </c>
      <c r="N42" s="683">
        <v>0</v>
      </c>
      <c r="O42" s="686"/>
      <c r="P42" s="683">
        <v>0</v>
      </c>
      <c r="Q42" s="687">
        <f t="shared" si="1"/>
        <v>5000</v>
      </c>
      <c r="R42" s="687"/>
      <c r="S42" s="687"/>
      <c r="T42" s="688">
        <v>0</v>
      </c>
      <c r="U42" s="693"/>
      <c r="V42" s="690">
        <f t="shared" si="2"/>
        <v>-5000</v>
      </c>
      <c r="W42" s="683"/>
      <c r="X42" s="474">
        <f t="shared" si="3"/>
        <v>5000</v>
      </c>
      <c r="Y42" s="474">
        <f t="shared" si="4"/>
        <v>0</v>
      </c>
      <c r="Z42" s="475">
        <f t="shared" si="5"/>
        <v>0</v>
      </c>
      <c r="AA42" s="475">
        <v>0</v>
      </c>
      <c r="AB42" s="476">
        <v>0</v>
      </c>
      <c r="AC42" s="38">
        <f t="shared" si="6"/>
        <v>0</v>
      </c>
      <c r="AD42" s="692">
        <f t="shared" si="7"/>
        <v>-2203.5600000000004</v>
      </c>
      <c r="AE42" s="692">
        <f t="shared" si="8"/>
        <v>0</v>
      </c>
      <c r="AF42" s="692">
        <f t="shared" si="9"/>
        <v>0</v>
      </c>
      <c r="AG42" s="38"/>
      <c r="AH42" s="692">
        <f t="shared" si="10"/>
        <v>5000</v>
      </c>
      <c r="AI42" s="692">
        <f t="shared" si="11"/>
        <v>0</v>
      </c>
      <c r="AJ42" s="692">
        <f t="shared" si="12"/>
        <v>0</v>
      </c>
      <c r="AL42" s="38">
        <f t="shared" si="13"/>
        <v>2796.4399999999996</v>
      </c>
    </row>
    <row r="43" spans="1:38">
      <c r="A43" s="20"/>
      <c r="B43" s="20" t="s">
        <v>109</v>
      </c>
      <c r="C43" s="667"/>
      <c r="D43" s="68" t="s">
        <v>598</v>
      </c>
      <c r="E43" s="679">
        <f>1763.45+1695.38+1152.41+1250.04</f>
        <v>5861.28</v>
      </c>
      <c r="F43" s="529">
        <f>VLOOKUP(D43,'Apr 2013 Revenue'!D:V,19,FALSE)</f>
        <v>1024.23</v>
      </c>
      <c r="G43" s="680"/>
      <c r="H43" s="680"/>
      <c r="I43" s="755"/>
      <c r="J43" s="682">
        <f t="shared" si="0"/>
        <v>6885.51</v>
      </c>
      <c r="K43" s="683"/>
      <c r="L43" s="684"/>
      <c r="M43" s="753"/>
      <c r="N43" s="683">
        <v>0</v>
      </c>
      <c r="O43" s="686"/>
      <c r="P43" s="683">
        <v>0</v>
      </c>
      <c r="Q43" s="687">
        <f t="shared" si="1"/>
        <v>0</v>
      </c>
      <c r="R43" s="687"/>
      <c r="S43" s="687"/>
      <c r="T43" s="688">
        <v>0</v>
      </c>
      <c r="U43" s="693"/>
      <c r="V43" s="690">
        <f t="shared" si="2"/>
        <v>0</v>
      </c>
      <c r="W43" s="683"/>
      <c r="X43" s="474">
        <f t="shared" si="3"/>
        <v>0</v>
      </c>
      <c r="Y43" s="474">
        <f t="shared" si="4"/>
        <v>0</v>
      </c>
      <c r="Z43" s="475">
        <f t="shared" si="5"/>
        <v>0</v>
      </c>
      <c r="AA43" s="475">
        <v>0</v>
      </c>
      <c r="AB43" s="476">
        <v>0</v>
      </c>
      <c r="AC43" s="38">
        <f t="shared" si="6"/>
        <v>0</v>
      </c>
      <c r="AD43" s="692">
        <f t="shared" si="7"/>
        <v>0</v>
      </c>
      <c r="AE43" s="692">
        <f t="shared" si="8"/>
        <v>6885.51</v>
      </c>
      <c r="AF43" s="692">
        <f t="shared" si="9"/>
        <v>0</v>
      </c>
      <c r="AG43" s="38"/>
      <c r="AH43" s="692">
        <f t="shared" si="10"/>
        <v>0</v>
      </c>
      <c r="AI43" s="692">
        <f t="shared" si="11"/>
        <v>0</v>
      </c>
      <c r="AJ43" s="692">
        <f t="shared" si="12"/>
        <v>0</v>
      </c>
      <c r="AL43" s="38">
        <f t="shared" si="13"/>
        <v>6885.51</v>
      </c>
    </row>
    <row r="44" spans="1:38">
      <c r="A44" s="20"/>
      <c r="B44" s="20" t="s">
        <v>110</v>
      </c>
      <c r="C44" s="667"/>
      <c r="D44" s="68" t="s">
        <v>311</v>
      </c>
      <c r="E44" s="679"/>
      <c r="F44" s="529">
        <f>VLOOKUP(D44,'Apr 2013 Revenue'!D:V,19,FALSE)</f>
        <v>0</v>
      </c>
      <c r="G44" s="680"/>
      <c r="H44" s="680"/>
      <c r="I44" s="755"/>
      <c r="J44" s="682">
        <f t="shared" si="0"/>
        <v>0</v>
      </c>
      <c r="K44" s="683"/>
      <c r="L44" s="684"/>
      <c r="M44" s="753"/>
      <c r="N44" s="683">
        <v>0</v>
      </c>
      <c r="O44" s="686"/>
      <c r="P44" s="683">
        <v>0</v>
      </c>
      <c r="Q44" s="687">
        <f t="shared" si="1"/>
        <v>0</v>
      </c>
      <c r="R44" s="687"/>
      <c r="S44" s="687"/>
      <c r="T44" s="688">
        <v>0</v>
      </c>
      <c r="U44" s="693"/>
      <c r="V44" s="690">
        <f t="shared" si="2"/>
        <v>0</v>
      </c>
      <c r="W44" s="683"/>
      <c r="X44" s="474">
        <f t="shared" si="3"/>
        <v>0</v>
      </c>
      <c r="Y44" s="474">
        <f t="shared" si="4"/>
        <v>0</v>
      </c>
      <c r="Z44" s="475">
        <f t="shared" si="5"/>
        <v>0</v>
      </c>
      <c r="AA44" s="475">
        <v>0</v>
      </c>
      <c r="AB44" s="476">
        <v>0</v>
      </c>
      <c r="AC44" s="38">
        <f t="shared" si="6"/>
        <v>0</v>
      </c>
      <c r="AD44" s="692">
        <f t="shared" si="7"/>
        <v>0</v>
      </c>
      <c r="AE44" s="692">
        <f t="shared" si="8"/>
        <v>0</v>
      </c>
      <c r="AF44" s="692">
        <f t="shared" si="9"/>
        <v>0</v>
      </c>
      <c r="AG44" s="38"/>
      <c r="AH44" s="692">
        <f t="shared" si="10"/>
        <v>0</v>
      </c>
      <c r="AI44" s="692">
        <f t="shared" si="11"/>
        <v>0</v>
      </c>
      <c r="AJ44" s="692">
        <f t="shared" si="12"/>
        <v>0</v>
      </c>
      <c r="AL44" s="38">
        <f t="shared" si="13"/>
        <v>0</v>
      </c>
    </row>
    <row r="45" spans="1:38">
      <c r="A45" s="20"/>
      <c r="B45" s="20" t="s">
        <v>110</v>
      </c>
      <c r="C45" s="667"/>
      <c r="D45" s="68" t="s">
        <v>451</v>
      </c>
      <c r="E45" s="679"/>
      <c r="F45" s="529">
        <f>VLOOKUP(D45,'Apr 2013 Revenue'!D:V,19,FALSE)</f>
        <v>-50000</v>
      </c>
      <c r="G45" s="680"/>
      <c r="H45" s="680"/>
      <c r="I45" s="755"/>
      <c r="J45" s="682">
        <f t="shared" si="0"/>
        <v>-50000</v>
      </c>
      <c r="K45" s="683"/>
      <c r="L45" s="684"/>
      <c r="M45" s="753">
        <v>60000</v>
      </c>
      <c r="N45" s="683">
        <v>0</v>
      </c>
      <c r="O45" s="686"/>
      <c r="P45" s="683">
        <v>0</v>
      </c>
      <c r="Q45" s="687">
        <f t="shared" si="1"/>
        <v>60000</v>
      </c>
      <c r="R45" s="687"/>
      <c r="S45" s="687"/>
      <c r="T45" s="688">
        <v>0</v>
      </c>
      <c r="U45" s="693"/>
      <c r="V45" s="690">
        <f t="shared" si="2"/>
        <v>-60000</v>
      </c>
      <c r="W45" s="683"/>
      <c r="X45" s="474">
        <f t="shared" si="3"/>
        <v>60000</v>
      </c>
      <c r="Y45" s="474">
        <f t="shared" si="4"/>
        <v>0</v>
      </c>
      <c r="Z45" s="475">
        <f t="shared" si="5"/>
        <v>0</v>
      </c>
      <c r="AA45" s="475">
        <v>0</v>
      </c>
      <c r="AB45" s="476">
        <v>0</v>
      </c>
      <c r="AC45" s="38">
        <f t="shared" si="6"/>
        <v>0</v>
      </c>
      <c r="AD45" s="692">
        <f t="shared" si="7"/>
        <v>-50000</v>
      </c>
      <c r="AE45" s="692">
        <f t="shared" si="8"/>
        <v>0</v>
      </c>
      <c r="AF45" s="692">
        <f t="shared" si="9"/>
        <v>0</v>
      </c>
      <c r="AG45" s="38"/>
      <c r="AH45" s="692">
        <f t="shared" si="10"/>
        <v>60000</v>
      </c>
      <c r="AI45" s="692">
        <f t="shared" si="11"/>
        <v>0</v>
      </c>
      <c r="AJ45" s="692">
        <f t="shared" si="12"/>
        <v>0</v>
      </c>
      <c r="AL45" s="38">
        <f t="shared" si="13"/>
        <v>10000</v>
      </c>
    </row>
    <row r="46" spans="1:38">
      <c r="A46" s="20"/>
      <c r="B46" s="20" t="s">
        <v>109</v>
      </c>
      <c r="C46" s="667"/>
      <c r="D46" s="68" t="s">
        <v>469</v>
      </c>
      <c r="E46" s="679"/>
      <c r="F46" s="529">
        <f>VLOOKUP(D46,'Apr 2013 Revenue'!D:V,19,FALSE)</f>
        <v>0</v>
      </c>
      <c r="G46" s="680"/>
      <c r="H46" s="680"/>
      <c r="I46" s="755"/>
      <c r="J46" s="682">
        <f t="shared" si="0"/>
        <v>0</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row>
    <row r="47" spans="1:38">
      <c r="A47" s="20"/>
      <c r="B47" s="20" t="s">
        <v>110</v>
      </c>
      <c r="C47" s="667" t="s">
        <v>530</v>
      </c>
      <c r="D47" s="68" t="s">
        <v>69</v>
      </c>
      <c r="E47" s="679"/>
      <c r="F47" s="529">
        <f>VLOOKUP(D47,'Apr 2013 Revenue'!D:V,19,FALSE)</f>
        <v>2098.4699999999998</v>
      </c>
      <c r="G47" s="680"/>
      <c r="H47" s="680"/>
      <c r="I47" s="755"/>
      <c r="J47" s="682">
        <f t="shared" si="0"/>
        <v>2098.4699999999998</v>
      </c>
      <c r="K47" s="683"/>
      <c r="L47" s="684"/>
      <c r="M47" s="753"/>
      <c r="N47" s="683">
        <v>0</v>
      </c>
      <c r="O47" s="686"/>
      <c r="P47" s="683">
        <v>0</v>
      </c>
      <c r="Q47" s="687">
        <f t="shared" si="1"/>
        <v>0</v>
      </c>
      <c r="R47" s="687"/>
      <c r="S47" s="687"/>
      <c r="T47" s="688">
        <v>2018.57</v>
      </c>
      <c r="U47" s="693"/>
      <c r="V47" s="690">
        <f t="shared" si="2"/>
        <v>2018.57</v>
      </c>
      <c r="W47" s="683"/>
      <c r="X47" s="474">
        <f t="shared" si="3"/>
        <v>0</v>
      </c>
      <c r="Y47" s="474">
        <f t="shared" si="4"/>
        <v>0</v>
      </c>
      <c r="Z47" s="475">
        <f t="shared" si="5"/>
        <v>0</v>
      </c>
      <c r="AA47" s="475">
        <v>0</v>
      </c>
      <c r="AB47" s="476">
        <v>0</v>
      </c>
      <c r="AC47" s="38">
        <f t="shared" si="6"/>
        <v>0</v>
      </c>
      <c r="AD47" s="692">
        <f t="shared" si="7"/>
        <v>2098.4699999999998</v>
      </c>
      <c r="AE47" s="692">
        <f t="shared" si="8"/>
        <v>0</v>
      </c>
      <c r="AF47" s="692">
        <f t="shared" si="9"/>
        <v>0</v>
      </c>
      <c r="AG47" s="38"/>
      <c r="AH47" s="692">
        <f t="shared" si="10"/>
        <v>0</v>
      </c>
      <c r="AI47" s="692">
        <f t="shared" si="11"/>
        <v>0</v>
      </c>
      <c r="AJ47" s="692">
        <f t="shared" si="12"/>
        <v>0</v>
      </c>
      <c r="AL47" s="38">
        <f t="shared" si="13"/>
        <v>2098.4699999999998</v>
      </c>
    </row>
    <row r="48" spans="1:38" hidden="1">
      <c r="A48" s="20"/>
      <c r="B48" s="20" t="s">
        <v>110</v>
      </c>
      <c r="C48" s="667" t="s">
        <v>531</v>
      </c>
      <c r="D48" s="68" t="s">
        <v>237</v>
      </c>
      <c r="E48" s="679"/>
      <c r="F48" s="529">
        <f>VLOOKUP(D48,'Apr 2013 Revenue'!D:V,19,FALSE)</f>
        <v>0</v>
      </c>
      <c r="G48" s="680"/>
      <c r="H48" s="680"/>
      <c r="I48" s="755"/>
      <c r="J48" s="682">
        <f t="shared" si="0"/>
        <v>0</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row>
    <row r="49" spans="1:38">
      <c r="A49" s="20" t="s">
        <v>211</v>
      </c>
      <c r="B49" s="20" t="s">
        <v>110</v>
      </c>
      <c r="C49" s="667" t="s">
        <v>532</v>
      </c>
      <c r="D49" s="68" t="s">
        <v>7</v>
      </c>
      <c r="E49" s="679"/>
      <c r="F49" s="529">
        <f>VLOOKUP(D49,'Apr 2013 Revenue'!D:V,19,FALSE)</f>
        <v>-15000</v>
      </c>
      <c r="G49" s="680"/>
      <c r="H49" s="680"/>
      <c r="I49" s="755"/>
      <c r="J49" s="682">
        <f t="shared" si="0"/>
        <v>-15000</v>
      </c>
      <c r="K49" s="683"/>
      <c r="L49" s="684"/>
      <c r="M49" s="753">
        <v>30000</v>
      </c>
      <c r="N49" s="683">
        <v>0</v>
      </c>
      <c r="O49" s="686"/>
      <c r="P49" s="683">
        <v>0</v>
      </c>
      <c r="Q49" s="687">
        <f t="shared" si="1"/>
        <v>30000</v>
      </c>
      <c r="R49" s="687"/>
      <c r="S49" s="687"/>
      <c r="T49" s="688">
        <v>0</v>
      </c>
      <c r="U49" s="693"/>
      <c r="V49" s="690">
        <f t="shared" si="2"/>
        <v>-30000</v>
      </c>
      <c r="W49" s="697"/>
      <c r="X49" s="474">
        <f t="shared" si="3"/>
        <v>30000</v>
      </c>
      <c r="Y49" s="474">
        <f t="shared" si="4"/>
        <v>0</v>
      </c>
      <c r="Z49" s="475">
        <f t="shared" si="5"/>
        <v>0</v>
      </c>
      <c r="AA49" s="475">
        <v>0</v>
      </c>
      <c r="AB49" s="476">
        <v>0</v>
      </c>
      <c r="AC49" s="38">
        <f t="shared" si="6"/>
        <v>0</v>
      </c>
      <c r="AD49" s="692">
        <f t="shared" si="7"/>
        <v>-15000</v>
      </c>
      <c r="AE49" s="692">
        <f t="shared" si="8"/>
        <v>0</v>
      </c>
      <c r="AF49" s="692">
        <f t="shared" si="9"/>
        <v>0</v>
      </c>
      <c r="AG49" s="38"/>
      <c r="AH49" s="692">
        <f t="shared" si="10"/>
        <v>30000</v>
      </c>
      <c r="AI49" s="692">
        <f t="shared" si="11"/>
        <v>0</v>
      </c>
      <c r="AJ49" s="692">
        <f t="shared" si="12"/>
        <v>0</v>
      </c>
      <c r="AL49" s="38">
        <f t="shared" si="13"/>
        <v>15000</v>
      </c>
    </row>
    <row r="50" spans="1:38" s="232" customFormat="1" hidden="1">
      <c r="A50" s="283" t="s">
        <v>97</v>
      </c>
      <c r="B50" s="283" t="s">
        <v>109</v>
      </c>
      <c r="C50" s="667" t="s">
        <v>533</v>
      </c>
      <c r="D50" s="123" t="s">
        <v>415</v>
      </c>
      <c r="E50" s="679"/>
      <c r="F50" s="529">
        <f>VLOOKUP(D50,'Apr 2013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row>
    <row r="51" spans="1:38" s="232" customFormat="1" hidden="1">
      <c r="A51" s="283"/>
      <c r="B51" s="283" t="s">
        <v>109</v>
      </c>
      <c r="C51" s="667" t="s">
        <v>533</v>
      </c>
      <c r="D51" s="123" t="s">
        <v>416</v>
      </c>
      <c r="E51" s="679"/>
      <c r="F51" s="529">
        <f>VLOOKUP(D51,'Apr 2013 Revenue'!D:V,19,FALSE)</f>
        <v>0</v>
      </c>
      <c r="G51" s="680"/>
      <c r="H51" s="680"/>
      <c r="I51" s="755"/>
      <c r="J51" s="682">
        <f t="shared" si="0"/>
        <v>0</v>
      </c>
      <c r="K51" s="683"/>
      <c r="L51" s="684"/>
      <c r="M51" s="753"/>
      <c r="N51" s="683">
        <v>0</v>
      </c>
      <c r="O51" s="686"/>
      <c r="P51" s="683">
        <v>0</v>
      </c>
      <c r="Q51" s="687">
        <f t="shared" si="1"/>
        <v>0</v>
      </c>
      <c r="R51" s="687"/>
      <c r="S51" s="687"/>
      <c r="T51" s="688">
        <v>0</v>
      </c>
      <c r="U51" s="693"/>
      <c r="V51" s="690">
        <f t="shared" si="2"/>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3"/>
        <v>0</v>
      </c>
    </row>
    <row r="52" spans="1:38" s="232" customFormat="1" hidden="1">
      <c r="A52" s="283"/>
      <c r="B52" s="283" t="s">
        <v>109</v>
      </c>
      <c r="C52" s="667" t="s">
        <v>533</v>
      </c>
      <c r="D52" s="123" t="s">
        <v>417</v>
      </c>
      <c r="E52" s="679"/>
      <c r="F52" s="529">
        <f>VLOOKUP(D52,'Apr 2013 Revenue'!D:V,19,FALSE)</f>
        <v>0</v>
      </c>
      <c r="G52" s="680"/>
      <c r="H52" s="680"/>
      <c r="I52" s="755"/>
      <c r="J52" s="682">
        <f t="shared" si="0"/>
        <v>0</v>
      </c>
      <c r="K52" s="683"/>
      <c r="L52" s="684"/>
      <c r="M52" s="753"/>
      <c r="N52" s="683">
        <v>0</v>
      </c>
      <c r="O52" s="686"/>
      <c r="P52" s="683">
        <v>0</v>
      </c>
      <c r="Q52" s="687">
        <f t="shared" si="1"/>
        <v>0</v>
      </c>
      <c r="R52" s="687"/>
      <c r="S52" s="687"/>
      <c r="T52" s="688">
        <v>0</v>
      </c>
      <c r="U52" s="693"/>
      <c r="V52" s="690">
        <f t="shared" si="2"/>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3"/>
        <v>0</v>
      </c>
    </row>
    <row r="53" spans="1:38" s="232" customFormat="1" hidden="1">
      <c r="A53" s="283"/>
      <c r="B53" s="283" t="s">
        <v>109</v>
      </c>
      <c r="C53" s="667" t="s">
        <v>533</v>
      </c>
      <c r="D53" s="123" t="s">
        <v>418</v>
      </c>
      <c r="E53" s="679"/>
      <c r="F53" s="529">
        <f>VLOOKUP(D53,'Apr 2013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row>
    <row r="54" spans="1:38">
      <c r="A54" s="20" t="s">
        <v>211</v>
      </c>
      <c r="B54" s="20" t="s">
        <v>109</v>
      </c>
      <c r="C54" s="667" t="s">
        <v>534</v>
      </c>
      <c r="D54" s="68" t="s">
        <v>9</v>
      </c>
      <c r="E54" s="679">
        <v>5561.36</v>
      </c>
      <c r="F54" s="529">
        <f>VLOOKUP(D54,'Apr 2013 Revenue'!D:V,19,FALSE)</f>
        <v>0</v>
      </c>
      <c r="G54" s="680"/>
      <c r="H54" s="680"/>
      <c r="I54" s="755"/>
      <c r="J54" s="682">
        <f t="shared" si="0"/>
        <v>5561.36</v>
      </c>
      <c r="K54" s="683"/>
      <c r="L54" s="684"/>
      <c r="M54" s="753"/>
      <c r="N54" s="683">
        <v>0</v>
      </c>
      <c r="O54" s="686"/>
      <c r="P54" s="683">
        <v>0</v>
      </c>
      <c r="Q54" s="687">
        <f t="shared" si="1"/>
        <v>0</v>
      </c>
      <c r="R54" s="687"/>
      <c r="S54" s="687"/>
      <c r="T54" s="688">
        <v>0</v>
      </c>
      <c r="U54" s="693"/>
      <c r="V54" s="690">
        <f t="shared" si="2"/>
        <v>0</v>
      </c>
      <c r="W54" s="697"/>
      <c r="X54" s="474">
        <f t="shared" si="3"/>
        <v>0</v>
      </c>
      <c r="Y54" s="474">
        <f t="shared" si="4"/>
        <v>0</v>
      </c>
      <c r="Z54" s="475">
        <f t="shared" si="5"/>
        <v>0</v>
      </c>
      <c r="AA54" s="475">
        <v>0</v>
      </c>
      <c r="AB54" s="476">
        <v>0</v>
      </c>
      <c r="AC54" s="38">
        <f t="shared" si="6"/>
        <v>0</v>
      </c>
      <c r="AD54" s="692">
        <f t="shared" si="7"/>
        <v>0</v>
      </c>
      <c r="AE54" s="692">
        <f t="shared" si="8"/>
        <v>5561.36</v>
      </c>
      <c r="AF54" s="692">
        <f t="shared" si="9"/>
        <v>0</v>
      </c>
      <c r="AG54" s="38"/>
      <c r="AH54" s="692">
        <f t="shared" si="10"/>
        <v>0</v>
      </c>
      <c r="AI54" s="692">
        <f t="shared" si="11"/>
        <v>0</v>
      </c>
      <c r="AJ54" s="692">
        <f t="shared" si="12"/>
        <v>0</v>
      </c>
      <c r="AL54" s="38">
        <f t="shared" si="13"/>
        <v>5561.36</v>
      </c>
    </row>
    <row r="55" spans="1:38">
      <c r="A55" s="20" t="s">
        <v>211</v>
      </c>
      <c r="B55" s="20" t="s">
        <v>114</v>
      </c>
      <c r="C55" s="667"/>
      <c r="D55" s="68" t="s">
        <v>487</v>
      </c>
      <c r="E55" s="679"/>
      <c r="F55" s="529">
        <f>VLOOKUP(D55,'Apr 2013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row>
    <row r="56" spans="1:38">
      <c r="A56" s="20"/>
      <c r="B56" s="20" t="s">
        <v>109</v>
      </c>
      <c r="C56" s="676" t="s">
        <v>906</v>
      </c>
      <c r="D56" s="68" t="s">
        <v>830</v>
      </c>
      <c r="E56" s="679"/>
      <c r="F56" s="529">
        <f>VLOOKUP(D56,'Apr 2013 Revenue'!D:V,19,FALSE)</f>
        <v>35814.19</v>
      </c>
      <c r="G56" s="680"/>
      <c r="H56" s="680"/>
      <c r="I56" s="755"/>
      <c r="J56" s="682">
        <f>SUM(F56:I56)</f>
        <v>35814.19</v>
      </c>
      <c r="K56" s="683"/>
      <c r="L56" s="684"/>
      <c r="M56" s="753">
        <v>450000</v>
      </c>
      <c r="N56" s="683">
        <v>0</v>
      </c>
      <c r="O56" s="686"/>
      <c r="P56" s="683">
        <v>0</v>
      </c>
      <c r="Q56" s="687">
        <f t="shared" si="1"/>
        <v>450000</v>
      </c>
      <c r="R56" s="687"/>
      <c r="S56" s="687"/>
      <c r="T56" s="688">
        <v>445581.35</v>
      </c>
      <c r="U56" s="693"/>
      <c r="V56" s="690">
        <f t="shared" si="2"/>
        <v>-4418.6500000000233</v>
      </c>
      <c r="W56" s="683"/>
      <c r="X56" s="474">
        <f t="shared" si="3"/>
        <v>0</v>
      </c>
      <c r="Y56" s="474">
        <f t="shared" si="4"/>
        <v>450000</v>
      </c>
      <c r="Z56" s="475">
        <f t="shared" si="5"/>
        <v>0</v>
      </c>
      <c r="AA56" s="475">
        <v>0</v>
      </c>
      <c r="AB56" s="476">
        <v>0</v>
      </c>
      <c r="AC56" s="38">
        <f t="shared" si="6"/>
        <v>0</v>
      </c>
      <c r="AD56" s="692">
        <f t="shared" si="7"/>
        <v>0</v>
      </c>
      <c r="AE56" s="692">
        <f t="shared" si="8"/>
        <v>35814.19</v>
      </c>
      <c r="AF56" s="692">
        <f t="shared" si="9"/>
        <v>0</v>
      </c>
      <c r="AG56" s="38"/>
      <c r="AH56" s="692">
        <f t="shared" si="10"/>
        <v>0</v>
      </c>
      <c r="AI56" s="692">
        <f t="shared" si="11"/>
        <v>450000</v>
      </c>
      <c r="AJ56" s="692">
        <f t="shared" si="12"/>
        <v>0</v>
      </c>
      <c r="AL56" s="38">
        <f t="shared" si="13"/>
        <v>485814.19</v>
      </c>
    </row>
    <row r="57" spans="1:38">
      <c r="A57" s="20"/>
      <c r="B57" s="20" t="s">
        <v>109</v>
      </c>
      <c r="C57" s="667"/>
      <c r="D57" s="68" t="s">
        <v>374</v>
      </c>
      <c r="E57" s="679"/>
      <c r="F57" s="529">
        <f>VLOOKUP(D57,'Apr 2013 Revenue'!D:V,19,FALSE)</f>
        <v>-5000</v>
      </c>
      <c r="G57" s="680"/>
      <c r="H57" s="680"/>
      <c r="I57" s="755"/>
      <c r="J57" s="682">
        <f t="shared" ref="J57:J122" si="14">SUM(E57:I57)</f>
        <v>-5000</v>
      </c>
      <c r="K57" s="683"/>
      <c r="L57" s="684"/>
      <c r="M57" s="753">
        <v>10000</v>
      </c>
      <c r="N57" s="683">
        <v>0</v>
      </c>
      <c r="O57" s="686"/>
      <c r="P57" s="683">
        <v>0</v>
      </c>
      <c r="Q57" s="687">
        <f t="shared" si="1"/>
        <v>10000</v>
      </c>
      <c r="R57" s="687"/>
      <c r="S57" s="687"/>
      <c r="T57" s="688">
        <v>0</v>
      </c>
      <c r="U57" s="693"/>
      <c r="V57" s="690">
        <f t="shared" si="2"/>
        <v>-10000</v>
      </c>
      <c r="W57" s="683"/>
      <c r="X57" s="474">
        <f t="shared" si="3"/>
        <v>0</v>
      </c>
      <c r="Y57" s="474">
        <f t="shared" si="4"/>
        <v>10000</v>
      </c>
      <c r="Z57" s="475">
        <f t="shared" si="5"/>
        <v>0</v>
      </c>
      <c r="AA57" s="475">
        <v>0</v>
      </c>
      <c r="AB57" s="476">
        <v>0</v>
      </c>
      <c r="AC57" s="38">
        <f t="shared" si="6"/>
        <v>0</v>
      </c>
      <c r="AD57" s="692">
        <f t="shared" si="7"/>
        <v>0</v>
      </c>
      <c r="AE57" s="692">
        <f t="shared" si="8"/>
        <v>-5000</v>
      </c>
      <c r="AF57" s="692">
        <f t="shared" si="9"/>
        <v>0</v>
      </c>
      <c r="AG57" s="38"/>
      <c r="AH57" s="692">
        <f t="shared" si="10"/>
        <v>0</v>
      </c>
      <c r="AI57" s="692">
        <f t="shared" si="11"/>
        <v>10000</v>
      </c>
      <c r="AJ57" s="692">
        <f t="shared" si="12"/>
        <v>0</v>
      </c>
      <c r="AL57" s="38">
        <f t="shared" si="13"/>
        <v>5000</v>
      </c>
    </row>
    <row r="58" spans="1:38">
      <c r="A58" s="20"/>
      <c r="B58" s="20" t="s">
        <v>114</v>
      </c>
      <c r="C58" s="667"/>
      <c r="D58" s="68" t="s">
        <v>502</v>
      </c>
      <c r="E58" s="679">
        <v>203.16</v>
      </c>
      <c r="F58" s="529">
        <f>VLOOKUP(D58,'Apr 2013 Revenue'!D:V,19,FALSE)</f>
        <v>0</v>
      </c>
      <c r="G58" s="680"/>
      <c r="H58" s="680"/>
      <c r="I58" s="755"/>
      <c r="J58" s="682">
        <f t="shared" si="14"/>
        <v>203.16</v>
      </c>
      <c r="K58" s="683"/>
      <c r="L58" s="684"/>
      <c r="M58" s="753"/>
      <c r="N58" s="683">
        <v>0</v>
      </c>
      <c r="O58" s="686"/>
      <c r="P58" s="683">
        <v>0</v>
      </c>
      <c r="Q58" s="687">
        <f t="shared" si="1"/>
        <v>0</v>
      </c>
      <c r="R58" s="687"/>
      <c r="S58" s="687"/>
      <c r="T58" s="688">
        <v>0</v>
      </c>
      <c r="U58" s="693"/>
      <c r="V58" s="690">
        <f t="shared" si="2"/>
        <v>0</v>
      </c>
      <c r="W58" s="683"/>
      <c r="X58" s="474">
        <f t="shared" si="3"/>
        <v>0</v>
      </c>
      <c r="Y58" s="474">
        <f t="shared" si="4"/>
        <v>0</v>
      </c>
      <c r="Z58" s="475">
        <f t="shared" si="5"/>
        <v>0</v>
      </c>
      <c r="AA58" s="475">
        <v>0</v>
      </c>
      <c r="AB58" s="476">
        <v>0</v>
      </c>
      <c r="AC58" s="38">
        <f t="shared" si="6"/>
        <v>0</v>
      </c>
      <c r="AD58" s="692">
        <f t="shared" si="7"/>
        <v>0</v>
      </c>
      <c r="AE58" s="692">
        <f t="shared" si="8"/>
        <v>0</v>
      </c>
      <c r="AF58" s="692">
        <f t="shared" si="9"/>
        <v>203.16</v>
      </c>
      <c r="AG58" s="38"/>
      <c r="AH58" s="692">
        <f t="shared" si="10"/>
        <v>0</v>
      </c>
      <c r="AI58" s="692">
        <f t="shared" si="11"/>
        <v>0</v>
      </c>
      <c r="AJ58" s="692">
        <f t="shared" si="12"/>
        <v>0</v>
      </c>
      <c r="AL58" s="38">
        <f t="shared" si="13"/>
        <v>203.16</v>
      </c>
    </row>
    <row r="59" spans="1:38">
      <c r="A59" s="21"/>
      <c r="B59" s="21" t="s">
        <v>110</v>
      </c>
      <c r="C59" s="666" t="s">
        <v>535</v>
      </c>
      <c r="D59" s="123" t="s">
        <v>517</v>
      </c>
      <c r="E59" s="679">
        <v>187315.07</v>
      </c>
      <c r="F59" s="529">
        <f>VLOOKUP(D59,'Apr 2013 Revenue'!D:V,19,FALSE)</f>
        <v>-118788.51999999999</v>
      </c>
      <c r="G59" s="680"/>
      <c r="H59" s="680"/>
      <c r="I59" s="755"/>
      <c r="J59" s="682">
        <f t="shared" si="14"/>
        <v>68526.550000000017</v>
      </c>
      <c r="K59" s="683"/>
      <c r="L59" s="684"/>
      <c r="M59" s="753">
        <v>250000</v>
      </c>
      <c r="N59" s="683">
        <v>0</v>
      </c>
      <c r="O59" s="686"/>
      <c r="P59" s="683">
        <v>0</v>
      </c>
      <c r="Q59" s="687">
        <f t="shared" si="1"/>
        <v>250000</v>
      </c>
      <c r="R59" s="687"/>
      <c r="S59" s="687"/>
      <c r="T59" s="688">
        <v>274994.42</v>
      </c>
      <c r="U59" s="693"/>
      <c r="V59" s="690">
        <f t="shared" si="2"/>
        <v>24994.419999999984</v>
      </c>
      <c r="W59" s="697"/>
      <c r="X59" s="474">
        <f t="shared" si="3"/>
        <v>250000</v>
      </c>
      <c r="Y59" s="474">
        <f t="shared" si="4"/>
        <v>0</v>
      </c>
      <c r="Z59" s="475">
        <f t="shared" si="5"/>
        <v>0</v>
      </c>
      <c r="AA59" s="475">
        <v>0</v>
      </c>
      <c r="AB59" s="476">
        <v>0</v>
      </c>
      <c r="AC59" s="38">
        <f t="shared" si="6"/>
        <v>0</v>
      </c>
      <c r="AD59" s="692">
        <f t="shared" si="7"/>
        <v>68526.550000000017</v>
      </c>
      <c r="AE59" s="692">
        <f t="shared" si="8"/>
        <v>0</v>
      </c>
      <c r="AF59" s="692">
        <f t="shared" si="9"/>
        <v>0</v>
      </c>
      <c r="AG59" s="38"/>
      <c r="AH59" s="692">
        <f t="shared" si="10"/>
        <v>250000</v>
      </c>
      <c r="AI59" s="692">
        <f t="shared" si="11"/>
        <v>0</v>
      </c>
      <c r="AJ59" s="692">
        <f t="shared" si="12"/>
        <v>0</v>
      </c>
      <c r="AL59" s="38">
        <f t="shared" si="13"/>
        <v>318526.55000000005</v>
      </c>
    </row>
    <row r="60" spans="1:38">
      <c r="A60" s="20"/>
      <c r="B60" s="20" t="s">
        <v>110</v>
      </c>
      <c r="C60" s="667" t="s">
        <v>536</v>
      </c>
      <c r="D60" s="68" t="s">
        <v>450</v>
      </c>
      <c r="E60" s="679"/>
      <c r="F60" s="529">
        <f>VLOOKUP(D60,'Apr 2013 Revenue'!D:V,19,FALSE)</f>
        <v>0</v>
      </c>
      <c r="G60" s="680"/>
      <c r="H60" s="680"/>
      <c r="I60" s="755"/>
      <c r="J60" s="682">
        <f t="shared" si="14"/>
        <v>0</v>
      </c>
      <c r="K60" s="683"/>
      <c r="L60" s="684"/>
      <c r="M60" s="753"/>
      <c r="N60" s="683">
        <v>0</v>
      </c>
      <c r="O60" s="686"/>
      <c r="P60" s="683">
        <v>0</v>
      </c>
      <c r="Q60" s="687">
        <f t="shared" si="1"/>
        <v>0</v>
      </c>
      <c r="R60" s="687"/>
      <c r="S60" s="687"/>
      <c r="T60" s="688">
        <v>1116.22</v>
      </c>
      <c r="U60" s="693"/>
      <c r="V60" s="690">
        <f t="shared" si="2"/>
        <v>1116.22</v>
      </c>
      <c r="W60" s="683"/>
      <c r="X60" s="474">
        <f t="shared" si="3"/>
        <v>0</v>
      </c>
      <c r="Y60" s="474">
        <f t="shared" si="4"/>
        <v>0</v>
      </c>
      <c r="Z60" s="475">
        <f t="shared" si="5"/>
        <v>0</v>
      </c>
      <c r="AA60" s="475">
        <v>0</v>
      </c>
      <c r="AB60" s="476">
        <v>0</v>
      </c>
      <c r="AC60" s="38">
        <f t="shared" si="6"/>
        <v>0</v>
      </c>
      <c r="AD60" s="692">
        <f t="shared" si="7"/>
        <v>0</v>
      </c>
      <c r="AE60" s="692">
        <f t="shared" si="8"/>
        <v>0</v>
      </c>
      <c r="AF60" s="692">
        <f t="shared" si="9"/>
        <v>0</v>
      </c>
      <c r="AG60" s="38"/>
      <c r="AH60" s="692">
        <f t="shared" si="10"/>
        <v>0</v>
      </c>
      <c r="AI60" s="692">
        <f t="shared" si="11"/>
        <v>0</v>
      </c>
      <c r="AJ60" s="692">
        <f t="shared" si="12"/>
        <v>0</v>
      </c>
      <c r="AL60" s="38">
        <f t="shared" si="13"/>
        <v>0</v>
      </c>
    </row>
    <row r="61" spans="1:38">
      <c r="A61" s="21" t="s">
        <v>109</v>
      </c>
      <c r="B61" s="21" t="s">
        <v>110</v>
      </c>
      <c r="C61" s="666"/>
      <c r="D61" s="68" t="s">
        <v>438</v>
      </c>
      <c r="E61" s="679"/>
      <c r="F61" s="529">
        <f>VLOOKUP(D61,'Apr 2013 Revenue'!D:V,19,FALSE)</f>
        <v>0</v>
      </c>
      <c r="G61" s="680"/>
      <c r="H61" s="680"/>
      <c r="I61" s="755"/>
      <c r="J61" s="682">
        <f t="shared" si="14"/>
        <v>0</v>
      </c>
      <c r="K61" s="683"/>
      <c r="L61" s="684"/>
      <c r="M61" s="753"/>
      <c r="N61" s="683">
        <v>0</v>
      </c>
      <c r="O61" s="686"/>
      <c r="P61" s="683">
        <v>0</v>
      </c>
      <c r="Q61" s="687">
        <f t="shared" si="1"/>
        <v>0</v>
      </c>
      <c r="R61" s="687"/>
      <c r="S61" s="687"/>
      <c r="T61" s="688">
        <v>0</v>
      </c>
      <c r="U61" s="693"/>
      <c r="V61" s="690">
        <f t="shared" si="2"/>
        <v>0</v>
      </c>
      <c r="W61" s="697"/>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3"/>
        <v>0</v>
      </c>
    </row>
    <row r="62" spans="1:38">
      <c r="A62" s="21"/>
      <c r="B62" s="21" t="s">
        <v>110</v>
      </c>
      <c r="C62" s="666"/>
      <c r="D62" s="68" t="s">
        <v>628</v>
      </c>
      <c r="E62" s="679"/>
      <c r="F62" s="529">
        <f>VLOOKUP(D62,'Apr 2013 Revenue'!D:V,19,FALSE)</f>
        <v>0</v>
      </c>
      <c r="G62" s="680"/>
      <c r="H62" s="680"/>
      <c r="I62" s="755"/>
      <c r="J62" s="682">
        <f t="shared" si="14"/>
        <v>0</v>
      </c>
      <c r="K62" s="683"/>
      <c r="L62" s="684"/>
      <c r="M62" s="753"/>
      <c r="N62" s="683">
        <v>0</v>
      </c>
      <c r="O62" s="686"/>
      <c r="P62" s="683">
        <v>0</v>
      </c>
      <c r="Q62" s="687">
        <f t="shared" si="1"/>
        <v>0</v>
      </c>
      <c r="R62" s="687"/>
      <c r="S62" s="687"/>
      <c r="T62" s="688">
        <v>0</v>
      </c>
      <c r="U62" s="693"/>
      <c r="V62" s="690">
        <f t="shared" si="2"/>
        <v>0</v>
      </c>
      <c r="W62" s="697"/>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row>
    <row r="63" spans="1:38">
      <c r="A63" s="21"/>
      <c r="B63" s="21" t="s">
        <v>110</v>
      </c>
      <c r="C63" s="666" t="s">
        <v>537</v>
      </c>
      <c r="D63" s="68" t="s">
        <v>12</v>
      </c>
      <c r="E63" s="679"/>
      <c r="F63" s="529">
        <f>VLOOKUP(D63,'Apr 2013 Revenue'!D:V,19,FALSE)</f>
        <v>0</v>
      </c>
      <c r="G63" s="680"/>
      <c r="H63" s="680"/>
      <c r="I63" s="755"/>
      <c r="J63" s="682">
        <f t="shared" si="14"/>
        <v>0</v>
      </c>
      <c r="K63" s="683"/>
      <c r="L63" s="684"/>
      <c r="M63" s="753"/>
      <c r="N63" s="683">
        <v>0</v>
      </c>
      <c r="O63" s="686"/>
      <c r="P63" s="683">
        <v>0</v>
      </c>
      <c r="Q63" s="687">
        <f t="shared" si="1"/>
        <v>0</v>
      </c>
      <c r="R63" s="687"/>
      <c r="S63" s="687"/>
      <c r="T63" s="688">
        <v>0</v>
      </c>
      <c r="U63" s="693"/>
      <c r="V63" s="690">
        <f t="shared" si="2"/>
        <v>0</v>
      </c>
      <c r="W63" s="683"/>
      <c r="X63" s="474">
        <f t="shared" si="3"/>
        <v>0</v>
      </c>
      <c r="Y63" s="474">
        <f t="shared" si="4"/>
        <v>0</v>
      </c>
      <c r="Z63" s="475">
        <f t="shared" si="5"/>
        <v>0</v>
      </c>
      <c r="AA63" s="475">
        <v>0</v>
      </c>
      <c r="AB63" s="476">
        <v>0</v>
      </c>
      <c r="AC63" s="38">
        <f t="shared" si="6"/>
        <v>0</v>
      </c>
      <c r="AD63" s="692">
        <f t="shared" si="7"/>
        <v>0</v>
      </c>
      <c r="AE63" s="692">
        <f t="shared" si="8"/>
        <v>0</v>
      </c>
      <c r="AF63" s="692">
        <f t="shared" si="9"/>
        <v>0</v>
      </c>
      <c r="AG63" s="38"/>
      <c r="AH63" s="692">
        <f t="shared" si="10"/>
        <v>0</v>
      </c>
      <c r="AI63" s="692">
        <f t="shared" si="11"/>
        <v>0</v>
      </c>
      <c r="AJ63" s="692">
        <f t="shared" si="12"/>
        <v>0</v>
      </c>
      <c r="AL63" s="38">
        <f t="shared" si="13"/>
        <v>0</v>
      </c>
    </row>
    <row r="64" spans="1:38" s="232" customFormat="1">
      <c r="A64" s="283" t="s">
        <v>211</v>
      </c>
      <c r="B64" s="283" t="s">
        <v>110</v>
      </c>
      <c r="C64" s="667" t="s">
        <v>538</v>
      </c>
      <c r="D64" s="123" t="s">
        <v>170</v>
      </c>
      <c r="E64" s="679"/>
      <c r="F64" s="529">
        <f>VLOOKUP(D64,'Apr 2013 Revenue'!D:V,19,FALSE)</f>
        <v>-100000</v>
      </c>
      <c r="G64" s="680"/>
      <c r="H64" s="680"/>
      <c r="I64" s="755"/>
      <c r="J64" s="682">
        <f t="shared" si="14"/>
        <v>-100000</v>
      </c>
      <c r="K64" s="683"/>
      <c r="L64" s="684"/>
      <c r="M64" s="753">
        <v>200000</v>
      </c>
      <c r="N64" s="683">
        <v>0</v>
      </c>
      <c r="O64" s="686"/>
      <c r="P64" s="683">
        <v>0</v>
      </c>
      <c r="Q64" s="687">
        <f t="shared" si="1"/>
        <v>200000</v>
      </c>
      <c r="R64" s="687"/>
      <c r="S64" s="687"/>
      <c r="T64" s="688">
        <v>0</v>
      </c>
      <c r="U64" s="693"/>
      <c r="V64" s="690">
        <f t="shared" si="2"/>
        <v>-200000</v>
      </c>
      <c r="W64" s="683"/>
      <c r="X64" s="474">
        <f t="shared" si="3"/>
        <v>200000</v>
      </c>
      <c r="Y64" s="474">
        <f t="shared" si="4"/>
        <v>0</v>
      </c>
      <c r="Z64" s="475">
        <f t="shared" si="5"/>
        <v>0</v>
      </c>
      <c r="AA64" s="475">
        <v>0</v>
      </c>
      <c r="AB64" s="476">
        <v>0</v>
      </c>
      <c r="AC64" s="38">
        <f t="shared" si="6"/>
        <v>0</v>
      </c>
      <c r="AD64" s="692">
        <f t="shared" si="7"/>
        <v>-100000</v>
      </c>
      <c r="AE64" s="692">
        <f t="shared" si="8"/>
        <v>0</v>
      </c>
      <c r="AF64" s="692">
        <f t="shared" si="9"/>
        <v>0</v>
      </c>
      <c r="AG64" s="38"/>
      <c r="AH64" s="692">
        <f t="shared" si="10"/>
        <v>200000</v>
      </c>
      <c r="AI64" s="692">
        <f t="shared" si="11"/>
        <v>0</v>
      </c>
      <c r="AJ64" s="692">
        <f t="shared" si="12"/>
        <v>0</v>
      </c>
      <c r="AL64" s="38">
        <f t="shared" si="13"/>
        <v>100000</v>
      </c>
    </row>
    <row r="65" spans="1:38" s="232" customFormat="1">
      <c r="A65" s="283" t="s">
        <v>211</v>
      </c>
      <c r="B65" s="283" t="s">
        <v>110</v>
      </c>
      <c r="C65" s="667" t="s">
        <v>538</v>
      </c>
      <c r="D65" s="123" t="s">
        <v>171</v>
      </c>
      <c r="E65" s="679"/>
      <c r="F65" s="529">
        <f>VLOOKUP(D65,'Apr 2013 Revenue'!D:V,19,FALSE)</f>
        <v>0</v>
      </c>
      <c r="G65" s="680"/>
      <c r="H65" s="680"/>
      <c r="I65" s="755"/>
      <c r="J65" s="682">
        <f t="shared" si="14"/>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row>
    <row r="66" spans="1:38" s="232" customFormat="1" hidden="1">
      <c r="A66" s="283" t="s">
        <v>211</v>
      </c>
      <c r="B66" s="283" t="s">
        <v>110</v>
      </c>
      <c r="C66" s="667" t="s">
        <v>538</v>
      </c>
      <c r="D66" s="123" t="s">
        <v>13</v>
      </c>
      <c r="E66" s="679"/>
      <c r="F66" s="529">
        <f>VLOOKUP(D66,'Apr 2013 Revenue'!D:V,19,FALSE)</f>
        <v>0</v>
      </c>
      <c r="G66" s="680"/>
      <c r="H66" s="680"/>
      <c r="I66" s="755"/>
      <c r="J66" s="682">
        <f t="shared" si="14"/>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row>
    <row r="67" spans="1:38" s="232" customFormat="1" hidden="1">
      <c r="A67" s="283" t="s">
        <v>211</v>
      </c>
      <c r="B67" s="283" t="s">
        <v>110</v>
      </c>
      <c r="C67" s="667" t="s">
        <v>538</v>
      </c>
      <c r="D67" s="123" t="s">
        <v>172</v>
      </c>
      <c r="E67" s="679"/>
      <c r="F67" s="529">
        <f>VLOOKUP(D67,'Apr 2013 Revenue'!D:V,19,FALSE)</f>
        <v>0</v>
      </c>
      <c r="G67" s="680"/>
      <c r="H67" s="680"/>
      <c r="I67" s="755"/>
      <c r="J67" s="682">
        <f t="shared" si="14"/>
        <v>0</v>
      </c>
      <c r="K67" s="683"/>
      <c r="L67" s="684"/>
      <c r="M67" s="753"/>
      <c r="N67" s="683">
        <v>0</v>
      </c>
      <c r="O67" s="686"/>
      <c r="P67" s="683">
        <v>0</v>
      </c>
      <c r="Q67" s="687">
        <f t="shared" si="1"/>
        <v>0</v>
      </c>
      <c r="R67" s="687"/>
      <c r="S67" s="687"/>
      <c r="T67" s="688">
        <v>0</v>
      </c>
      <c r="U67" s="693"/>
      <c r="V67" s="690">
        <f t="shared" si="2"/>
        <v>0</v>
      </c>
      <c r="W67" s="683"/>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row>
    <row r="68" spans="1:38" s="232" customFormat="1" hidden="1">
      <c r="A68" s="283" t="s">
        <v>211</v>
      </c>
      <c r="B68" s="283" t="s">
        <v>110</v>
      </c>
      <c r="C68" s="667" t="s">
        <v>538</v>
      </c>
      <c r="D68" s="123" t="s">
        <v>173</v>
      </c>
      <c r="E68" s="679"/>
      <c r="F68" s="529">
        <f>VLOOKUP(D68,'Apr 2013 Revenue'!D:V,19,FALSE)</f>
        <v>0</v>
      </c>
      <c r="G68" s="680"/>
      <c r="H68" s="680"/>
      <c r="I68" s="755"/>
      <c r="J68" s="682">
        <f t="shared" si="14"/>
        <v>0</v>
      </c>
      <c r="K68" s="683"/>
      <c r="L68" s="684"/>
      <c r="M68" s="753"/>
      <c r="N68" s="683">
        <v>0</v>
      </c>
      <c r="O68" s="686"/>
      <c r="P68" s="683">
        <v>0</v>
      </c>
      <c r="Q68" s="687">
        <f t="shared" si="1"/>
        <v>0</v>
      </c>
      <c r="R68" s="687"/>
      <c r="S68" s="687"/>
      <c r="T68" s="688">
        <v>0</v>
      </c>
      <c r="U68" s="693"/>
      <c r="V68" s="690">
        <f t="shared" si="2"/>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row>
    <row r="69" spans="1:38" s="232" customFormat="1" hidden="1">
      <c r="A69" s="283" t="s">
        <v>211</v>
      </c>
      <c r="B69" s="283" t="s">
        <v>110</v>
      </c>
      <c r="C69" s="667" t="s">
        <v>538</v>
      </c>
      <c r="D69" s="123" t="s">
        <v>174</v>
      </c>
      <c r="E69" s="679"/>
      <c r="F69" s="529">
        <f>VLOOKUP(D69,'Apr 2013 Revenue'!D:V,19,FALSE)</f>
        <v>0</v>
      </c>
      <c r="G69" s="680"/>
      <c r="H69" s="680"/>
      <c r="I69" s="755"/>
      <c r="J69" s="682">
        <f t="shared" si="14"/>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row>
    <row r="70" spans="1:38" s="232" customFormat="1">
      <c r="A70" s="283"/>
      <c r="B70" s="283" t="s">
        <v>109</v>
      </c>
      <c r="C70" s="794"/>
      <c r="D70" s="351" t="s">
        <v>14</v>
      </c>
      <c r="E70" s="679"/>
      <c r="F70" s="529">
        <f>VLOOKUP(D70,'Apr 2013 Revenue'!D:V,19,FALSE)</f>
        <v>0</v>
      </c>
      <c r="G70" s="680"/>
      <c r="H70" s="680"/>
      <c r="I70" s="755"/>
      <c r="J70" s="682">
        <f t="shared" si="14"/>
        <v>0</v>
      </c>
      <c r="K70" s="683"/>
      <c r="L70" s="684"/>
      <c r="M70" s="753"/>
      <c r="N70" s="683">
        <v>0</v>
      </c>
      <c r="O70" s="686"/>
      <c r="P70" s="683">
        <v>0</v>
      </c>
      <c r="Q70" s="687">
        <f t="shared" si="1"/>
        <v>0</v>
      </c>
      <c r="R70" s="687"/>
      <c r="S70" s="687"/>
      <c r="T70" s="688">
        <v>0</v>
      </c>
      <c r="U70" s="693"/>
      <c r="V70" s="690">
        <f t="shared" si="2"/>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3"/>
        <v>0</v>
      </c>
    </row>
    <row r="71" spans="1:38" hidden="1">
      <c r="A71" s="20"/>
      <c r="B71" s="20" t="s">
        <v>110</v>
      </c>
      <c r="C71" s="667"/>
      <c r="D71" s="68" t="s">
        <v>15</v>
      </c>
      <c r="E71" s="679"/>
      <c r="F71" s="529">
        <f>VLOOKUP(D71,'Apr 2013 Revenue'!D:V,19,FALSE)</f>
        <v>0</v>
      </c>
      <c r="G71" s="680"/>
      <c r="H71" s="680"/>
      <c r="I71" s="755"/>
      <c r="J71" s="682">
        <f t="shared" si="14"/>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row>
    <row r="72" spans="1:38">
      <c r="A72" s="20"/>
      <c r="B72" s="20" t="s">
        <v>110</v>
      </c>
      <c r="C72" s="667"/>
      <c r="D72" s="68" t="s">
        <v>646</v>
      </c>
      <c r="E72" s="679"/>
      <c r="F72" s="529">
        <f>VLOOKUP(D72,'Apr 2013 Revenue'!D:V,19,FALSE)</f>
        <v>0</v>
      </c>
      <c r="G72" s="680"/>
      <c r="H72" s="680"/>
      <c r="I72" s="755"/>
      <c r="J72" s="682">
        <f t="shared" si="14"/>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row>
    <row r="73" spans="1:38">
      <c r="A73" s="20" t="s">
        <v>109</v>
      </c>
      <c r="B73" s="20" t="s">
        <v>109</v>
      </c>
      <c r="C73" s="667" t="s">
        <v>539</v>
      </c>
      <c r="D73" s="68" t="s">
        <v>510</v>
      </c>
      <c r="E73" s="679"/>
      <c r="F73" s="529">
        <f>VLOOKUP(D73,'Apr 2013 Revenue'!D:V,19,FALSE)</f>
        <v>0</v>
      </c>
      <c r="G73" s="680"/>
      <c r="H73" s="680"/>
      <c r="I73" s="755"/>
      <c r="J73" s="682">
        <f t="shared" si="14"/>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row>
    <row r="74" spans="1:38">
      <c r="A74" s="20"/>
      <c r="B74" s="20" t="s">
        <v>109</v>
      </c>
      <c r="C74" s="667"/>
      <c r="D74" s="68" t="s">
        <v>16</v>
      </c>
      <c r="E74" s="679"/>
      <c r="F74" s="529">
        <f>VLOOKUP(D74,'Apr 2013 Revenue'!D:V,19,FALSE)</f>
        <v>0</v>
      </c>
      <c r="G74" s="680"/>
      <c r="H74" s="680"/>
      <c r="I74" s="755"/>
      <c r="J74" s="682">
        <f t="shared" si="14"/>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row>
    <row r="75" spans="1:38">
      <c r="A75" s="20"/>
      <c r="B75" s="20" t="s">
        <v>110</v>
      </c>
      <c r="C75" s="667"/>
      <c r="D75" s="68" t="s">
        <v>597</v>
      </c>
      <c r="E75" s="679"/>
      <c r="F75" s="529">
        <f>VLOOKUP(D75,'Apr 2013 Revenue'!D:V,19,FALSE)</f>
        <v>200.89000000001397</v>
      </c>
      <c r="G75" s="680"/>
      <c r="H75" s="680"/>
      <c r="I75" s="755"/>
      <c r="J75" s="682">
        <f t="shared" si="14"/>
        <v>200.89000000001397</v>
      </c>
      <c r="K75" s="683"/>
      <c r="L75" s="684"/>
      <c r="M75" s="753">
        <v>150000</v>
      </c>
      <c r="N75" s="683">
        <v>0</v>
      </c>
      <c r="O75" s="686"/>
      <c r="P75" s="683">
        <v>0</v>
      </c>
      <c r="Q75" s="687">
        <f t="shared" si="1"/>
        <v>150000</v>
      </c>
      <c r="R75" s="687"/>
      <c r="S75" s="687"/>
      <c r="T75" s="688">
        <f>159549.9+29103.3+13955.33+21800.87+1639.4</f>
        <v>226048.79999999996</v>
      </c>
      <c r="U75" s="693"/>
      <c r="V75" s="690">
        <f t="shared" si="2"/>
        <v>76048.799999999959</v>
      </c>
      <c r="W75" s="683"/>
      <c r="X75" s="474">
        <f t="shared" si="3"/>
        <v>150000</v>
      </c>
      <c r="Y75" s="474">
        <f t="shared" si="4"/>
        <v>0</v>
      </c>
      <c r="Z75" s="475">
        <f t="shared" si="5"/>
        <v>0</v>
      </c>
      <c r="AA75" s="475">
        <v>0</v>
      </c>
      <c r="AB75" s="476">
        <v>0</v>
      </c>
      <c r="AC75" s="38">
        <f t="shared" si="6"/>
        <v>0</v>
      </c>
      <c r="AD75" s="692">
        <f t="shared" si="7"/>
        <v>200.89000000001397</v>
      </c>
      <c r="AE75" s="692">
        <f t="shared" si="8"/>
        <v>0</v>
      </c>
      <c r="AF75" s="692">
        <f t="shared" si="9"/>
        <v>0</v>
      </c>
      <c r="AG75" s="38"/>
      <c r="AH75" s="692">
        <f t="shared" si="10"/>
        <v>150000</v>
      </c>
      <c r="AI75" s="692">
        <f t="shared" si="11"/>
        <v>0</v>
      </c>
      <c r="AJ75" s="692">
        <f t="shared" si="12"/>
        <v>0</v>
      </c>
      <c r="AL75" s="38">
        <f t="shared" si="13"/>
        <v>150200.89000000001</v>
      </c>
    </row>
    <row r="76" spans="1:38" s="232" customFormat="1">
      <c r="A76" s="283"/>
      <c r="B76" s="283" t="s">
        <v>109</v>
      </c>
      <c r="C76" s="667" t="s">
        <v>540</v>
      </c>
      <c r="D76" s="373" t="s">
        <v>410</v>
      </c>
      <c r="E76" s="679"/>
      <c r="F76" s="529">
        <f>VLOOKUP(D76,'Apr 2013 Revenue'!D:V,19,FALSE)</f>
        <v>-20000</v>
      </c>
      <c r="G76" s="680"/>
      <c r="H76" s="680"/>
      <c r="I76" s="755"/>
      <c r="J76" s="682">
        <f t="shared" si="14"/>
        <v>-20000</v>
      </c>
      <c r="K76" s="683"/>
      <c r="L76" s="684"/>
      <c r="M76" s="753">
        <v>40000</v>
      </c>
      <c r="N76" s="683">
        <v>0</v>
      </c>
      <c r="O76" s="686"/>
      <c r="P76" s="683">
        <v>0</v>
      </c>
      <c r="Q76" s="687">
        <f t="shared" si="1"/>
        <v>40000</v>
      </c>
      <c r="R76" s="687"/>
      <c r="S76" s="687"/>
      <c r="T76" s="688">
        <v>0</v>
      </c>
      <c r="U76" s="693"/>
      <c r="V76" s="690">
        <f t="shared" si="2"/>
        <v>-40000</v>
      </c>
      <c r="W76" s="683"/>
      <c r="X76" s="474">
        <f t="shared" si="3"/>
        <v>0</v>
      </c>
      <c r="Y76" s="474">
        <f t="shared" si="4"/>
        <v>40000</v>
      </c>
      <c r="Z76" s="475">
        <f t="shared" si="5"/>
        <v>0</v>
      </c>
      <c r="AA76" s="475">
        <v>0</v>
      </c>
      <c r="AB76" s="476">
        <v>0</v>
      </c>
      <c r="AC76" s="38">
        <f t="shared" si="6"/>
        <v>0</v>
      </c>
      <c r="AD76" s="692">
        <f t="shared" si="7"/>
        <v>0</v>
      </c>
      <c r="AE76" s="692">
        <f t="shared" si="8"/>
        <v>-20000</v>
      </c>
      <c r="AF76" s="692">
        <f t="shared" si="9"/>
        <v>0</v>
      </c>
      <c r="AG76" s="38"/>
      <c r="AH76" s="692">
        <f t="shared" si="10"/>
        <v>0</v>
      </c>
      <c r="AI76" s="692">
        <f t="shared" si="11"/>
        <v>40000</v>
      </c>
      <c r="AJ76" s="692">
        <f t="shared" si="12"/>
        <v>0</v>
      </c>
      <c r="AL76" s="38">
        <f t="shared" si="13"/>
        <v>20000</v>
      </c>
    </row>
    <row r="77" spans="1:38" s="232" customFormat="1">
      <c r="A77" s="283"/>
      <c r="B77" s="283" t="s">
        <v>109</v>
      </c>
      <c r="C77" s="667" t="s">
        <v>540</v>
      </c>
      <c r="D77" s="373" t="s">
        <v>879</v>
      </c>
      <c r="E77" s="679"/>
      <c r="F77" s="529">
        <f>VLOOKUP(D77,'Apr 2013 Revenue'!D:V,19,FALSE)</f>
        <v>0</v>
      </c>
      <c r="G77" s="680"/>
      <c r="H77" s="680"/>
      <c r="I77" s="755"/>
      <c r="J77" s="682">
        <f t="shared" si="14"/>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row>
    <row r="78" spans="1:38" s="232" customFormat="1">
      <c r="A78" s="283"/>
      <c r="B78" s="283" t="s">
        <v>109</v>
      </c>
      <c r="C78" s="667" t="s">
        <v>540</v>
      </c>
      <c r="D78" s="373" t="s">
        <v>620</v>
      </c>
      <c r="E78" s="679"/>
      <c r="F78" s="529">
        <f>VLOOKUP(D78,'Apr 2013 Revenue'!D:V,19,FALSE)</f>
        <v>0</v>
      </c>
      <c r="G78" s="680"/>
      <c r="H78" s="680"/>
      <c r="I78" s="755"/>
      <c r="J78" s="682">
        <f t="shared" si="14"/>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row>
    <row r="79" spans="1:38">
      <c r="A79" s="20"/>
      <c r="B79" s="20" t="s">
        <v>110</v>
      </c>
      <c r="C79" s="667" t="s">
        <v>541</v>
      </c>
      <c r="D79" s="351" t="s">
        <v>507</v>
      </c>
      <c r="E79" s="679"/>
      <c r="F79" s="529">
        <f>VLOOKUP(D79,'Apr 2013 Revenue'!D:V,19,FALSE)</f>
        <v>0</v>
      </c>
      <c r="G79" s="680"/>
      <c r="H79" s="680"/>
      <c r="I79" s="755"/>
      <c r="J79" s="682">
        <f t="shared" si="14"/>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row>
    <row r="80" spans="1:38">
      <c r="A80" s="20"/>
      <c r="B80" s="20" t="s">
        <v>110</v>
      </c>
      <c r="C80" s="667" t="s">
        <v>541</v>
      </c>
      <c r="D80" s="351" t="s">
        <v>506</v>
      </c>
      <c r="E80" s="679"/>
      <c r="F80" s="529">
        <f>VLOOKUP(D80,'Apr 2013 Revenue'!D:V,19,FALSE)</f>
        <v>0</v>
      </c>
      <c r="G80" s="680"/>
      <c r="H80" s="680"/>
      <c r="I80" s="755"/>
      <c r="J80" s="682">
        <f t="shared" si="14"/>
        <v>0</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ref="AD80:AD146" si="15">IF(B80="D",J80,0)</f>
        <v>0</v>
      </c>
      <c r="AE80" s="692">
        <f t="shared" ref="AE80:AE146" si="16">IF(B80="M",J80,0)</f>
        <v>0</v>
      </c>
      <c r="AF80" s="692">
        <f t="shared" ref="AF80:AF146" si="17">IF(B80="V",J80,0)</f>
        <v>0</v>
      </c>
      <c r="AG80" s="38"/>
      <c r="AH80" s="692">
        <f t="shared" si="10"/>
        <v>0</v>
      </c>
      <c r="AI80" s="692">
        <f t="shared" si="11"/>
        <v>0</v>
      </c>
      <c r="AJ80" s="692">
        <f t="shared" si="12"/>
        <v>0</v>
      </c>
      <c r="AL80" s="38">
        <f t="shared" si="13"/>
        <v>0</v>
      </c>
    </row>
    <row r="81" spans="1:38">
      <c r="A81" s="20"/>
      <c r="B81" s="20" t="s">
        <v>110</v>
      </c>
      <c r="C81" s="667" t="s">
        <v>542</v>
      </c>
      <c r="D81" s="68" t="s">
        <v>305</v>
      </c>
      <c r="E81" s="679"/>
      <c r="F81" s="529">
        <f>VLOOKUP(D81,'Apr 2013 Revenue'!D:V,19,FALSE)</f>
        <v>0</v>
      </c>
      <c r="G81" s="680"/>
      <c r="H81" s="680"/>
      <c r="I81" s="755"/>
      <c r="J81" s="682">
        <f t="shared" si="14"/>
        <v>0</v>
      </c>
      <c r="K81" s="683"/>
      <c r="L81" s="684"/>
      <c r="M81" s="753"/>
      <c r="N81" s="683">
        <v>0</v>
      </c>
      <c r="O81" s="686"/>
      <c r="P81" s="683">
        <v>0</v>
      </c>
      <c r="Q81" s="687">
        <f t="shared" si="1"/>
        <v>0</v>
      </c>
      <c r="R81" s="687"/>
      <c r="S81" s="687"/>
      <c r="T81" s="688">
        <v>0</v>
      </c>
      <c r="U81" s="693"/>
      <c r="V81" s="690">
        <f t="shared" ref="V81:V148" si="18">IF(T81="","",T81-Q81)</f>
        <v>0</v>
      </c>
      <c r="W81" s="683"/>
      <c r="X81" s="474">
        <f t="shared" ref="X81:X148" si="19">IF(B81="D",Q81,0)</f>
        <v>0</v>
      </c>
      <c r="Y81" s="474">
        <f t="shared" ref="Y81:Y148" si="20">IF(B81="M",Q81,0)</f>
        <v>0</v>
      </c>
      <c r="Z81" s="475">
        <f t="shared" ref="Z81:Z148" si="21">IF(B81="V",Q81,0)</f>
        <v>0</v>
      </c>
      <c r="AA81" s="475">
        <v>0</v>
      </c>
      <c r="AB81" s="476">
        <v>0</v>
      </c>
      <c r="AC81" s="38">
        <f t="shared" ref="AC81:AC148" si="22">(L81+M81)-(X81+Y81+Z81+AA81+AB81)</f>
        <v>0</v>
      </c>
      <c r="AD81" s="692">
        <f t="shared" si="15"/>
        <v>0</v>
      </c>
      <c r="AE81" s="692">
        <f t="shared" si="16"/>
        <v>0</v>
      </c>
      <c r="AF81" s="692">
        <f t="shared" si="17"/>
        <v>0</v>
      </c>
      <c r="AG81" s="38"/>
      <c r="AH81" s="692">
        <f t="shared" ref="AH81:AH147" si="23">IF(B81="D",Q81,0)</f>
        <v>0</v>
      </c>
      <c r="AI81" s="692">
        <f t="shared" ref="AI81:AI147" si="24">IF(B81="M",Q81,0)</f>
        <v>0</v>
      </c>
      <c r="AJ81" s="692">
        <f t="shared" ref="AJ81:AJ147" si="25">IF(B81="V",Q81,0)</f>
        <v>0</v>
      </c>
      <c r="AL81" s="38">
        <f t="shared" si="13"/>
        <v>0</v>
      </c>
    </row>
    <row r="82" spans="1:38">
      <c r="A82" s="20"/>
      <c r="B82" s="20" t="s">
        <v>110</v>
      </c>
      <c r="C82" s="667" t="s">
        <v>543</v>
      </c>
      <c r="D82" s="68" t="s">
        <v>199</v>
      </c>
      <c r="E82" s="679">
        <v>19.670000000000002</v>
      </c>
      <c r="F82" s="529">
        <f>VLOOKUP(D82,'Apr 2013 Revenue'!D:V,19,FALSE)</f>
        <v>0</v>
      </c>
      <c r="G82" s="680"/>
      <c r="H82" s="680"/>
      <c r="I82" s="755"/>
      <c r="J82" s="682">
        <f t="shared" si="14"/>
        <v>19.670000000000002</v>
      </c>
      <c r="K82" s="683"/>
      <c r="L82" s="684"/>
      <c r="M82" s="753"/>
      <c r="N82" s="683">
        <v>0</v>
      </c>
      <c r="O82" s="686"/>
      <c r="P82" s="683">
        <v>0</v>
      </c>
      <c r="Q82" s="687">
        <f t="shared" si="1"/>
        <v>0</v>
      </c>
      <c r="R82" s="687"/>
      <c r="S82" s="687"/>
      <c r="T82" s="688">
        <v>0</v>
      </c>
      <c r="U82" s="693"/>
      <c r="V82" s="690">
        <f t="shared" si="18"/>
        <v>0</v>
      </c>
      <c r="W82" s="683"/>
      <c r="X82" s="474">
        <f t="shared" si="19"/>
        <v>0</v>
      </c>
      <c r="Y82" s="474">
        <f t="shared" si="20"/>
        <v>0</v>
      </c>
      <c r="Z82" s="475">
        <f t="shared" si="21"/>
        <v>0</v>
      </c>
      <c r="AA82" s="475">
        <v>0</v>
      </c>
      <c r="AB82" s="476">
        <v>0</v>
      </c>
      <c r="AC82" s="38">
        <f t="shared" si="22"/>
        <v>0</v>
      </c>
      <c r="AD82" s="692">
        <f t="shared" si="15"/>
        <v>19.670000000000002</v>
      </c>
      <c r="AE82" s="692">
        <f t="shared" si="16"/>
        <v>0</v>
      </c>
      <c r="AF82" s="692">
        <f t="shared" si="17"/>
        <v>0</v>
      </c>
      <c r="AG82" s="38"/>
      <c r="AH82" s="692">
        <f t="shared" si="23"/>
        <v>0</v>
      </c>
      <c r="AI82" s="692">
        <f t="shared" si="24"/>
        <v>0</v>
      </c>
      <c r="AJ82" s="692">
        <f t="shared" si="25"/>
        <v>0</v>
      </c>
      <c r="AL82" s="38">
        <f t="shared" ref="AL82:AL146" si="26">SUM(AD82:AJ82)</f>
        <v>19.670000000000002</v>
      </c>
    </row>
    <row r="83" spans="1:38">
      <c r="A83" s="20"/>
      <c r="B83" s="20" t="s">
        <v>110</v>
      </c>
      <c r="C83" s="667" t="s">
        <v>543</v>
      </c>
      <c r="D83" s="68" t="s">
        <v>200</v>
      </c>
      <c r="E83" s="679">
        <v>26.6</v>
      </c>
      <c r="F83" s="529">
        <f>VLOOKUP(D83,'Apr 2013 Revenue'!D:V,19,FALSE)</f>
        <v>0</v>
      </c>
      <c r="G83" s="680"/>
      <c r="H83" s="680"/>
      <c r="I83" s="755"/>
      <c r="J83" s="682">
        <f t="shared" si="14"/>
        <v>26.6</v>
      </c>
      <c r="K83" s="683"/>
      <c r="L83" s="684"/>
      <c r="M83" s="753"/>
      <c r="N83" s="683">
        <v>0</v>
      </c>
      <c r="O83" s="686"/>
      <c r="P83" s="683">
        <v>0</v>
      </c>
      <c r="Q83" s="687">
        <f t="shared" si="1"/>
        <v>0</v>
      </c>
      <c r="R83" s="687"/>
      <c r="S83" s="687"/>
      <c r="T83" s="688">
        <v>0</v>
      </c>
      <c r="U83" s="693"/>
      <c r="V83" s="690">
        <f t="shared" si="18"/>
        <v>0</v>
      </c>
      <c r="W83" s="683"/>
      <c r="X83" s="474">
        <f t="shared" si="19"/>
        <v>0</v>
      </c>
      <c r="Y83" s="474">
        <f t="shared" si="20"/>
        <v>0</v>
      </c>
      <c r="Z83" s="475">
        <f t="shared" si="21"/>
        <v>0</v>
      </c>
      <c r="AA83" s="475">
        <v>0</v>
      </c>
      <c r="AB83" s="476">
        <v>0</v>
      </c>
      <c r="AC83" s="38">
        <f t="shared" si="22"/>
        <v>0</v>
      </c>
      <c r="AD83" s="692">
        <f t="shared" si="15"/>
        <v>26.6</v>
      </c>
      <c r="AE83" s="692">
        <f t="shared" si="16"/>
        <v>0</v>
      </c>
      <c r="AF83" s="692">
        <f t="shared" si="17"/>
        <v>0</v>
      </c>
      <c r="AG83" s="38"/>
      <c r="AH83" s="692">
        <f t="shared" si="23"/>
        <v>0</v>
      </c>
      <c r="AI83" s="692">
        <f t="shared" si="24"/>
        <v>0</v>
      </c>
      <c r="AJ83" s="692">
        <f t="shared" si="25"/>
        <v>0</v>
      </c>
      <c r="AL83" s="38">
        <f t="shared" si="26"/>
        <v>26.6</v>
      </c>
    </row>
    <row r="84" spans="1:38">
      <c r="A84" s="20"/>
      <c r="B84" s="20" t="s">
        <v>110</v>
      </c>
      <c r="C84" s="667" t="s">
        <v>543</v>
      </c>
      <c r="D84" s="68" t="s">
        <v>201</v>
      </c>
      <c r="E84" s="679">
        <v>23.65</v>
      </c>
      <c r="F84" s="529">
        <f>VLOOKUP(D84,'Apr 2013 Revenue'!D:V,19,FALSE)</f>
        <v>0</v>
      </c>
      <c r="G84" s="680"/>
      <c r="H84" s="680"/>
      <c r="I84" s="755"/>
      <c r="J84" s="682">
        <f t="shared" si="14"/>
        <v>23.65</v>
      </c>
      <c r="K84" s="683"/>
      <c r="L84" s="684"/>
      <c r="M84" s="753"/>
      <c r="N84" s="683">
        <v>0</v>
      </c>
      <c r="O84" s="686"/>
      <c r="P84" s="683">
        <v>0</v>
      </c>
      <c r="Q84" s="687">
        <f t="shared" si="1"/>
        <v>0</v>
      </c>
      <c r="R84" s="687"/>
      <c r="S84" s="687"/>
      <c r="T84" s="688">
        <v>0</v>
      </c>
      <c r="U84" s="693"/>
      <c r="V84" s="690">
        <f t="shared" si="18"/>
        <v>0</v>
      </c>
      <c r="W84" s="683"/>
      <c r="X84" s="474">
        <f t="shared" si="19"/>
        <v>0</v>
      </c>
      <c r="Y84" s="474">
        <f t="shared" si="20"/>
        <v>0</v>
      </c>
      <c r="Z84" s="475">
        <f t="shared" si="21"/>
        <v>0</v>
      </c>
      <c r="AA84" s="475">
        <v>0</v>
      </c>
      <c r="AB84" s="476">
        <v>0</v>
      </c>
      <c r="AC84" s="38">
        <f t="shared" si="22"/>
        <v>0</v>
      </c>
      <c r="AD84" s="692">
        <f t="shared" si="15"/>
        <v>23.65</v>
      </c>
      <c r="AE84" s="692">
        <f t="shared" si="16"/>
        <v>0</v>
      </c>
      <c r="AF84" s="692">
        <f t="shared" si="17"/>
        <v>0</v>
      </c>
      <c r="AG84" s="38"/>
      <c r="AH84" s="692">
        <f t="shared" si="23"/>
        <v>0</v>
      </c>
      <c r="AI84" s="692">
        <f t="shared" si="24"/>
        <v>0</v>
      </c>
      <c r="AJ84" s="692">
        <f t="shared" si="25"/>
        <v>0</v>
      </c>
      <c r="AL84" s="38">
        <f t="shared" si="26"/>
        <v>23.65</v>
      </c>
    </row>
    <row r="85" spans="1:38">
      <c r="A85" s="20" t="s">
        <v>97</v>
      </c>
      <c r="B85" s="20" t="s">
        <v>114</v>
      </c>
      <c r="C85" s="667"/>
      <c r="D85" s="68" t="s">
        <v>387</v>
      </c>
      <c r="E85" s="679"/>
      <c r="F85" s="529">
        <f>VLOOKUP(D85,'Apr 2013 Revenue'!D:V,19,FALSE)</f>
        <v>-5544.92</v>
      </c>
      <c r="G85" s="680"/>
      <c r="H85" s="680"/>
      <c r="I85" s="755"/>
      <c r="J85" s="682">
        <f t="shared" si="14"/>
        <v>-5544.92</v>
      </c>
      <c r="K85" s="683"/>
      <c r="L85" s="684"/>
      <c r="M85" s="753">
        <v>15000</v>
      </c>
      <c r="N85" s="683">
        <v>0</v>
      </c>
      <c r="O85" s="686"/>
      <c r="P85" s="683">
        <v>0</v>
      </c>
      <c r="Q85" s="687">
        <f t="shared" si="1"/>
        <v>15000</v>
      </c>
      <c r="R85" s="687"/>
      <c r="S85" s="687"/>
      <c r="T85" s="688">
        <v>13689.42</v>
      </c>
      <c r="U85" s="693"/>
      <c r="V85" s="690">
        <f t="shared" si="18"/>
        <v>-1310.58</v>
      </c>
      <c r="W85" s="683"/>
      <c r="X85" s="474">
        <f t="shared" si="19"/>
        <v>0</v>
      </c>
      <c r="Y85" s="474">
        <f t="shared" si="20"/>
        <v>0</v>
      </c>
      <c r="Z85" s="475">
        <f t="shared" si="21"/>
        <v>15000</v>
      </c>
      <c r="AA85" s="475">
        <v>0</v>
      </c>
      <c r="AB85" s="476">
        <v>0</v>
      </c>
      <c r="AC85" s="38">
        <f t="shared" si="22"/>
        <v>0</v>
      </c>
      <c r="AD85" s="692">
        <f t="shared" si="15"/>
        <v>0</v>
      </c>
      <c r="AE85" s="692">
        <f t="shared" si="16"/>
        <v>0</v>
      </c>
      <c r="AF85" s="692">
        <f t="shared" si="17"/>
        <v>-5544.92</v>
      </c>
      <c r="AG85" s="38"/>
      <c r="AH85" s="692">
        <f t="shared" si="23"/>
        <v>0</v>
      </c>
      <c r="AI85" s="692">
        <f t="shared" si="24"/>
        <v>0</v>
      </c>
      <c r="AJ85" s="692">
        <f t="shared" si="25"/>
        <v>15000</v>
      </c>
      <c r="AL85" s="38">
        <f t="shared" si="26"/>
        <v>9455.08</v>
      </c>
    </row>
    <row r="86" spans="1:38">
      <c r="A86" s="20" t="s">
        <v>97</v>
      </c>
      <c r="B86" s="20" t="s">
        <v>114</v>
      </c>
      <c r="C86" s="667"/>
      <c r="D86" s="68" t="s">
        <v>482</v>
      </c>
      <c r="E86" s="679"/>
      <c r="F86" s="529">
        <f>VLOOKUP(D86,'Apr 2013 Revenue'!D:V,19,FALSE)</f>
        <v>0</v>
      </c>
      <c r="G86" s="680"/>
      <c r="H86" s="680"/>
      <c r="I86" s="755"/>
      <c r="J86" s="682">
        <f t="shared" si="14"/>
        <v>0</v>
      </c>
      <c r="K86" s="683"/>
      <c r="L86" s="684"/>
      <c r="M86" s="753"/>
      <c r="N86" s="683"/>
      <c r="O86" s="686"/>
      <c r="P86" s="683"/>
      <c r="Q86" s="687">
        <f t="shared" si="1"/>
        <v>0</v>
      </c>
      <c r="R86" s="687"/>
      <c r="S86" s="687"/>
      <c r="T86" s="688">
        <v>0</v>
      </c>
      <c r="U86" s="693"/>
      <c r="V86" s="690">
        <f t="shared" si="18"/>
        <v>0</v>
      </c>
      <c r="W86" s="683"/>
      <c r="X86" s="474">
        <f t="shared" si="19"/>
        <v>0</v>
      </c>
      <c r="Y86" s="474">
        <f t="shared" si="20"/>
        <v>0</v>
      </c>
      <c r="Z86" s="475">
        <f t="shared" si="21"/>
        <v>0</v>
      </c>
      <c r="AA86" s="475">
        <v>0</v>
      </c>
      <c r="AB86" s="476">
        <v>0</v>
      </c>
      <c r="AC86" s="38">
        <f t="shared" si="22"/>
        <v>0</v>
      </c>
      <c r="AD86" s="692">
        <f t="shared" si="15"/>
        <v>0</v>
      </c>
      <c r="AE86" s="692">
        <f t="shared" si="16"/>
        <v>0</v>
      </c>
      <c r="AF86" s="692">
        <f t="shared" si="17"/>
        <v>0</v>
      </c>
      <c r="AG86" s="38"/>
      <c r="AH86" s="692">
        <f t="shared" si="23"/>
        <v>0</v>
      </c>
      <c r="AI86" s="692">
        <f t="shared" si="24"/>
        <v>0</v>
      </c>
      <c r="AJ86" s="692">
        <f t="shared" si="25"/>
        <v>0</v>
      </c>
      <c r="AL86" s="38">
        <f t="shared" si="26"/>
        <v>0</v>
      </c>
    </row>
    <row r="87" spans="1:38">
      <c r="A87" s="20" t="s">
        <v>109</v>
      </c>
      <c r="B87" s="20" t="s">
        <v>109</v>
      </c>
      <c r="C87" s="667" t="s">
        <v>544</v>
      </c>
      <c r="D87" s="68" t="s">
        <v>383</v>
      </c>
      <c r="E87" s="679"/>
      <c r="F87" s="529">
        <f>VLOOKUP(D87,'Apr 2013 Revenue'!D:V,19,FALSE)</f>
        <v>0</v>
      </c>
      <c r="G87" s="680"/>
      <c r="H87" s="680"/>
      <c r="I87" s="755"/>
      <c r="J87" s="682">
        <f t="shared" si="14"/>
        <v>0</v>
      </c>
      <c r="K87" s="683"/>
      <c r="L87" s="684"/>
      <c r="M87" s="753"/>
      <c r="N87" s="683">
        <v>0</v>
      </c>
      <c r="O87" s="686"/>
      <c r="P87" s="683">
        <v>0</v>
      </c>
      <c r="Q87" s="687">
        <f t="shared" si="1"/>
        <v>0</v>
      </c>
      <c r="R87" s="687"/>
      <c r="S87" s="687"/>
      <c r="T87" s="688">
        <v>105.75</v>
      </c>
      <c r="U87" s="693"/>
      <c r="V87" s="690">
        <f t="shared" si="18"/>
        <v>105.75</v>
      </c>
      <c r="W87" s="683"/>
      <c r="X87" s="474">
        <f t="shared" si="19"/>
        <v>0</v>
      </c>
      <c r="Y87" s="474">
        <f t="shared" si="20"/>
        <v>0</v>
      </c>
      <c r="Z87" s="475">
        <f t="shared" si="21"/>
        <v>0</v>
      </c>
      <c r="AA87" s="475">
        <v>0</v>
      </c>
      <c r="AB87" s="476">
        <v>0</v>
      </c>
      <c r="AC87" s="38">
        <f t="shared" si="22"/>
        <v>0</v>
      </c>
      <c r="AD87" s="692">
        <f t="shared" si="15"/>
        <v>0</v>
      </c>
      <c r="AE87" s="692">
        <f t="shared" si="16"/>
        <v>0</v>
      </c>
      <c r="AF87" s="692">
        <f t="shared" si="17"/>
        <v>0</v>
      </c>
      <c r="AG87" s="38"/>
      <c r="AH87" s="692">
        <f t="shared" si="23"/>
        <v>0</v>
      </c>
      <c r="AI87" s="692">
        <f t="shared" si="24"/>
        <v>0</v>
      </c>
      <c r="AJ87" s="692">
        <f t="shared" si="25"/>
        <v>0</v>
      </c>
      <c r="AL87" s="38">
        <f t="shared" si="26"/>
        <v>0</v>
      </c>
    </row>
    <row r="88" spans="1:38">
      <c r="A88" s="21" t="s">
        <v>211</v>
      </c>
      <c r="B88" s="21" t="s">
        <v>109</v>
      </c>
      <c r="C88" s="666" t="s">
        <v>545</v>
      </c>
      <c r="D88" s="68" t="s">
        <v>181</v>
      </c>
      <c r="E88" s="679"/>
      <c r="F88" s="529">
        <f>VLOOKUP(D88,'Apr 2013 Revenue'!D:V,19,FALSE)</f>
        <v>0</v>
      </c>
      <c r="G88" s="680"/>
      <c r="H88" s="680"/>
      <c r="I88" s="755"/>
      <c r="J88" s="682">
        <f t="shared" si="14"/>
        <v>0</v>
      </c>
      <c r="K88" s="683"/>
      <c r="L88" s="684"/>
      <c r="M88" s="753"/>
      <c r="N88" s="683">
        <v>0</v>
      </c>
      <c r="O88" s="686"/>
      <c r="P88" s="683">
        <v>0</v>
      </c>
      <c r="Q88" s="687">
        <f t="shared" si="1"/>
        <v>0</v>
      </c>
      <c r="R88" s="687"/>
      <c r="S88" s="687"/>
      <c r="T88" s="688">
        <v>0</v>
      </c>
      <c r="U88" s="693"/>
      <c r="V88" s="690">
        <f t="shared" si="18"/>
        <v>0</v>
      </c>
      <c r="W88" s="683"/>
      <c r="X88" s="474">
        <f t="shared" si="19"/>
        <v>0</v>
      </c>
      <c r="Y88" s="474">
        <f t="shared" si="20"/>
        <v>0</v>
      </c>
      <c r="Z88" s="475">
        <f t="shared" si="21"/>
        <v>0</v>
      </c>
      <c r="AA88" s="475">
        <v>0</v>
      </c>
      <c r="AB88" s="476">
        <v>0</v>
      </c>
      <c r="AC88" s="38">
        <f t="shared" si="22"/>
        <v>0</v>
      </c>
      <c r="AD88" s="692">
        <f t="shared" si="15"/>
        <v>0</v>
      </c>
      <c r="AE88" s="692">
        <f t="shared" si="16"/>
        <v>0</v>
      </c>
      <c r="AF88" s="692">
        <f t="shared" si="17"/>
        <v>0</v>
      </c>
      <c r="AG88" s="38"/>
      <c r="AH88" s="692">
        <f t="shared" si="23"/>
        <v>0</v>
      </c>
      <c r="AI88" s="692">
        <f t="shared" si="24"/>
        <v>0</v>
      </c>
      <c r="AJ88" s="692">
        <f t="shared" si="25"/>
        <v>0</v>
      </c>
      <c r="AL88" s="38">
        <f t="shared" si="26"/>
        <v>0</v>
      </c>
    </row>
    <row r="89" spans="1:38">
      <c r="A89" s="21" t="s">
        <v>211</v>
      </c>
      <c r="B89" s="21" t="s">
        <v>110</v>
      </c>
      <c r="C89" s="666"/>
      <c r="D89" s="68" t="s">
        <v>504</v>
      </c>
      <c r="E89" s="679"/>
      <c r="F89" s="529">
        <f>VLOOKUP(D89,'Apr 2013 Revenue'!D:V,19,FALSE)</f>
        <v>0</v>
      </c>
      <c r="G89" s="680"/>
      <c r="H89" s="680"/>
      <c r="I89" s="755"/>
      <c r="J89" s="682">
        <f t="shared" si="14"/>
        <v>0</v>
      </c>
      <c r="K89" s="683"/>
      <c r="L89" s="684"/>
      <c r="M89" s="753"/>
      <c r="N89" s="683">
        <v>0</v>
      </c>
      <c r="O89" s="686"/>
      <c r="P89" s="683">
        <v>0</v>
      </c>
      <c r="Q89" s="687">
        <f t="shared" si="1"/>
        <v>0</v>
      </c>
      <c r="R89" s="687"/>
      <c r="S89" s="687"/>
      <c r="T89" s="688">
        <v>0</v>
      </c>
      <c r="U89" s="693"/>
      <c r="V89" s="690">
        <f t="shared" si="18"/>
        <v>0</v>
      </c>
      <c r="W89" s="683"/>
      <c r="X89" s="474">
        <f t="shared" si="19"/>
        <v>0</v>
      </c>
      <c r="Y89" s="474">
        <f t="shared" si="20"/>
        <v>0</v>
      </c>
      <c r="Z89" s="475">
        <f t="shared" si="21"/>
        <v>0</v>
      </c>
      <c r="AA89" s="475">
        <v>0</v>
      </c>
      <c r="AB89" s="476">
        <v>0</v>
      </c>
      <c r="AC89" s="38">
        <f t="shared" si="22"/>
        <v>0</v>
      </c>
      <c r="AD89" s="692">
        <f t="shared" si="15"/>
        <v>0</v>
      </c>
      <c r="AE89" s="692">
        <f t="shared" si="16"/>
        <v>0</v>
      </c>
      <c r="AF89" s="692">
        <f t="shared" si="17"/>
        <v>0</v>
      </c>
      <c r="AG89" s="38"/>
      <c r="AH89" s="692">
        <f t="shared" si="23"/>
        <v>0</v>
      </c>
      <c r="AI89" s="692">
        <f t="shared" si="24"/>
        <v>0</v>
      </c>
      <c r="AJ89" s="692">
        <f t="shared" si="25"/>
        <v>0</v>
      </c>
      <c r="AL89" s="38">
        <f t="shared" si="26"/>
        <v>0</v>
      </c>
    </row>
    <row r="90" spans="1:38">
      <c r="A90" s="20" t="s">
        <v>211</v>
      </c>
      <c r="B90" s="20" t="s">
        <v>109</v>
      </c>
      <c r="C90" s="667" t="s">
        <v>546</v>
      </c>
      <c r="D90" s="68" t="s">
        <v>142</v>
      </c>
      <c r="E90" s="679">
        <v>1036.55</v>
      </c>
      <c r="F90" s="529">
        <f>VLOOKUP(D90,'Apr 2013 Revenue'!D:V,19,FALSE)</f>
        <v>0</v>
      </c>
      <c r="G90" s="680"/>
      <c r="H90" s="680"/>
      <c r="I90" s="755"/>
      <c r="J90" s="682">
        <f t="shared" si="14"/>
        <v>1036.55</v>
      </c>
      <c r="K90" s="683"/>
      <c r="L90" s="684"/>
      <c r="M90" s="753"/>
      <c r="N90" s="683">
        <v>0</v>
      </c>
      <c r="O90" s="686"/>
      <c r="P90" s="683">
        <v>0</v>
      </c>
      <c r="Q90" s="687">
        <f t="shared" si="1"/>
        <v>0</v>
      </c>
      <c r="R90" s="687"/>
      <c r="S90" s="687"/>
      <c r="T90" s="688">
        <v>0</v>
      </c>
      <c r="U90" s="693"/>
      <c r="V90" s="690">
        <f t="shared" si="18"/>
        <v>0</v>
      </c>
      <c r="W90" s="697"/>
      <c r="X90" s="474">
        <f t="shared" si="19"/>
        <v>0</v>
      </c>
      <c r="Y90" s="474">
        <f t="shared" si="20"/>
        <v>0</v>
      </c>
      <c r="Z90" s="475">
        <f t="shared" si="21"/>
        <v>0</v>
      </c>
      <c r="AA90" s="475">
        <v>0</v>
      </c>
      <c r="AB90" s="476">
        <v>0</v>
      </c>
      <c r="AC90" s="38">
        <f t="shared" si="22"/>
        <v>0</v>
      </c>
      <c r="AD90" s="692">
        <f t="shared" si="15"/>
        <v>0</v>
      </c>
      <c r="AE90" s="692">
        <f t="shared" si="16"/>
        <v>1036.55</v>
      </c>
      <c r="AF90" s="692">
        <f t="shared" si="17"/>
        <v>0</v>
      </c>
      <c r="AG90" s="38"/>
      <c r="AH90" s="692">
        <f t="shared" si="23"/>
        <v>0</v>
      </c>
      <c r="AI90" s="692">
        <f t="shared" si="24"/>
        <v>0</v>
      </c>
      <c r="AJ90" s="692">
        <f t="shared" si="25"/>
        <v>0</v>
      </c>
      <c r="AL90" s="38">
        <f t="shared" si="26"/>
        <v>1036.55</v>
      </c>
    </row>
    <row r="91" spans="1:38">
      <c r="A91" s="20" t="s">
        <v>211</v>
      </c>
      <c r="B91" s="20" t="s">
        <v>109</v>
      </c>
      <c r="C91" s="667" t="s">
        <v>546</v>
      </c>
      <c r="D91" s="68" t="s">
        <v>143</v>
      </c>
      <c r="E91" s="679">
        <v>90.53</v>
      </c>
      <c r="F91" s="529">
        <f>VLOOKUP(D91,'Apr 2013 Revenue'!D:V,19,FALSE)</f>
        <v>0</v>
      </c>
      <c r="G91" s="680"/>
      <c r="H91" s="680"/>
      <c r="I91" s="755"/>
      <c r="J91" s="682">
        <f t="shared" si="14"/>
        <v>90.53</v>
      </c>
      <c r="K91" s="683"/>
      <c r="L91" s="684"/>
      <c r="M91" s="753"/>
      <c r="N91" s="683">
        <v>0</v>
      </c>
      <c r="O91" s="686"/>
      <c r="P91" s="683">
        <v>0</v>
      </c>
      <c r="Q91" s="687">
        <f t="shared" si="1"/>
        <v>0</v>
      </c>
      <c r="R91" s="687"/>
      <c r="S91" s="687"/>
      <c r="T91" s="688">
        <v>0</v>
      </c>
      <c r="U91" s="693"/>
      <c r="V91" s="690">
        <f t="shared" si="18"/>
        <v>0</v>
      </c>
      <c r="W91" s="697"/>
      <c r="X91" s="474">
        <f t="shared" si="19"/>
        <v>0</v>
      </c>
      <c r="Y91" s="474">
        <f t="shared" si="20"/>
        <v>0</v>
      </c>
      <c r="Z91" s="475">
        <f t="shared" si="21"/>
        <v>0</v>
      </c>
      <c r="AA91" s="475">
        <v>0</v>
      </c>
      <c r="AB91" s="476">
        <v>0</v>
      </c>
      <c r="AC91" s="38">
        <f t="shared" si="22"/>
        <v>0</v>
      </c>
      <c r="AD91" s="692">
        <f t="shared" si="15"/>
        <v>0</v>
      </c>
      <c r="AE91" s="692">
        <f t="shared" si="16"/>
        <v>90.53</v>
      </c>
      <c r="AF91" s="692">
        <f t="shared" si="17"/>
        <v>0</v>
      </c>
      <c r="AG91" s="38"/>
      <c r="AH91" s="692">
        <f t="shared" si="23"/>
        <v>0</v>
      </c>
      <c r="AI91" s="692">
        <f t="shared" si="24"/>
        <v>0</v>
      </c>
      <c r="AJ91" s="692">
        <f t="shared" si="25"/>
        <v>0</v>
      </c>
      <c r="AL91" s="38">
        <f t="shared" si="26"/>
        <v>90.53</v>
      </c>
    </row>
    <row r="92" spans="1:38">
      <c r="A92" s="20" t="s">
        <v>109</v>
      </c>
      <c r="B92" s="20" t="s">
        <v>109</v>
      </c>
      <c r="C92" s="667"/>
      <c r="D92" s="68" t="s">
        <v>498</v>
      </c>
      <c r="E92" s="679"/>
      <c r="F92" s="529">
        <f>VLOOKUP(D92,'Apr 2013 Revenue'!D:V,19,FALSE)</f>
        <v>0</v>
      </c>
      <c r="G92" s="680"/>
      <c r="H92" s="680"/>
      <c r="I92" s="755"/>
      <c r="J92" s="682">
        <f t="shared" si="14"/>
        <v>0</v>
      </c>
      <c r="K92" s="683"/>
      <c r="L92" s="684"/>
      <c r="M92" s="753"/>
      <c r="N92" s="683">
        <v>0</v>
      </c>
      <c r="O92" s="686"/>
      <c r="P92" s="683">
        <v>0</v>
      </c>
      <c r="Q92" s="687">
        <f t="shared" si="1"/>
        <v>0</v>
      </c>
      <c r="R92" s="687"/>
      <c r="S92" s="687"/>
      <c r="T92" s="688">
        <v>0</v>
      </c>
      <c r="U92" s="693"/>
      <c r="V92" s="690">
        <f t="shared" si="18"/>
        <v>0</v>
      </c>
      <c r="W92" s="683"/>
      <c r="X92" s="474">
        <f t="shared" si="19"/>
        <v>0</v>
      </c>
      <c r="Y92" s="474">
        <f t="shared" si="20"/>
        <v>0</v>
      </c>
      <c r="Z92" s="475">
        <f t="shared" si="21"/>
        <v>0</v>
      </c>
      <c r="AA92" s="475">
        <v>0</v>
      </c>
      <c r="AB92" s="476">
        <v>0</v>
      </c>
      <c r="AC92" s="38">
        <f t="shared" si="22"/>
        <v>0</v>
      </c>
      <c r="AD92" s="692">
        <f t="shared" si="15"/>
        <v>0</v>
      </c>
      <c r="AE92" s="692">
        <f t="shared" si="16"/>
        <v>0</v>
      </c>
      <c r="AF92" s="692">
        <f t="shared" si="17"/>
        <v>0</v>
      </c>
      <c r="AG92" s="38"/>
      <c r="AH92" s="692">
        <f t="shared" si="23"/>
        <v>0</v>
      </c>
      <c r="AI92" s="692">
        <f t="shared" si="24"/>
        <v>0</v>
      </c>
      <c r="AJ92" s="692">
        <f t="shared" si="25"/>
        <v>0</v>
      </c>
      <c r="AL92" s="38">
        <f t="shared" si="26"/>
        <v>0</v>
      </c>
    </row>
    <row r="93" spans="1:38">
      <c r="A93" s="21"/>
      <c r="B93" s="21" t="s">
        <v>110</v>
      </c>
      <c r="C93" s="666"/>
      <c r="D93" s="68" t="s">
        <v>20</v>
      </c>
      <c r="E93" s="679"/>
      <c r="F93" s="529">
        <f>VLOOKUP(D93,'Apr 2013 Revenue'!D:V,19,FALSE)</f>
        <v>0</v>
      </c>
      <c r="G93" s="680"/>
      <c r="H93" s="680"/>
      <c r="I93" s="755"/>
      <c r="J93" s="682">
        <f t="shared" si="14"/>
        <v>0</v>
      </c>
      <c r="K93" s="683"/>
      <c r="L93" s="684"/>
      <c r="M93" s="753"/>
      <c r="N93" s="683">
        <v>0</v>
      </c>
      <c r="O93" s="686"/>
      <c r="P93" s="683">
        <v>0</v>
      </c>
      <c r="Q93" s="687">
        <f t="shared" si="1"/>
        <v>0</v>
      </c>
      <c r="R93" s="687"/>
      <c r="S93" s="687"/>
      <c r="T93" s="688">
        <v>0</v>
      </c>
      <c r="U93" s="693"/>
      <c r="V93" s="690">
        <f t="shared" si="18"/>
        <v>0</v>
      </c>
      <c r="W93" s="683"/>
      <c r="X93" s="474">
        <f t="shared" si="19"/>
        <v>0</v>
      </c>
      <c r="Y93" s="474">
        <f t="shared" si="20"/>
        <v>0</v>
      </c>
      <c r="Z93" s="475">
        <f t="shared" si="21"/>
        <v>0</v>
      </c>
      <c r="AA93" s="475">
        <v>0</v>
      </c>
      <c r="AB93" s="476">
        <v>0</v>
      </c>
      <c r="AC93" s="38">
        <f t="shared" si="22"/>
        <v>0</v>
      </c>
      <c r="AD93" s="692">
        <f t="shared" si="15"/>
        <v>0</v>
      </c>
      <c r="AE93" s="692">
        <f t="shared" si="16"/>
        <v>0</v>
      </c>
      <c r="AF93" s="692">
        <f t="shared" si="17"/>
        <v>0</v>
      </c>
      <c r="AG93" s="38"/>
      <c r="AH93" s="692">
        <f t="shared" si="23"/>
        <v>0</v>
      </c>
      <c r="AI93" s="692">
        <f t="shared" si="24"/>
        <v>0</v>
      </c>
      <c r="AJ93" s="692">
        <f t="shared" si="25"/>
        <v>0</v>
      </c>
      <c r="AL93" s="38">
        <f t="shared" si="26"/>
        <v>0</v>
      </c>
    </row>
    <row r="94" spans="1:38">
      <c r="A94" s="21"/>
      <c r="B94" s="21" t="s">
        <v>110</v>
      </c>
      <c r="C94" s="666" t="s">
        <v>547</v>
      </c>
      <c r="D94" s="68" t="s">
        <v>203</v>
      </c>
      <c r="E94" s="679"/>
      <c r="F94" s="529">
        <f>VLOOKUP(D94,'Apr 2013 Revenue'!D:V,19,FALSE)</f>
        <v>0</v>
      </c>
      <c r="G94" s="680"/>
      <c r="H94" s="680"/>
      <c r="I94" s="755"/>
      <c r="J94" s="682">
        <f t="shared" si="14"/>
        <v>0</v>
      </c>
      <c r="K94" s="683"/>
      <c r="L94" s="684"/>
      <c r="M94" s="753"/>
      <c r="N94" s="683">
        <v>0</v>
      </c>
      <c r="O94" s="686"/>
      <c r="P94" s="683">
        <v>0</v>
      </c>
      <c r="Q94" s="687">
        <f t="shared" si="1"/>
        <v>0</v>
      </c>
      <c r="R94" s="687"/>
      <c r="S94" s="687"/>
      <c r="T94" s="688">
        <v>0</v>
      </c>
      <c r="U94" s="693"/>
      <c r="V94" s="690">
        <f t="shared" si="18"/>
        <v>0</v>
      </c>
      <c r="W94" s="683"/>
      <c r="X94" s="474">
        <f t="shared" si="19"/>
        <v>0</v>
      </c>
      <c r="Y94" s="474">
        <f t="shared" si="20"/>
        <v>0</v>
      </c>
      <c r="Z94" s="475">
        <f t="shared" si="21"/>
        <v>0</v>
      </c>
      <c r="AA94" s="475">
        <v>0</v>
      </c>
      <c r="AB94" s="476">
        <v>0</v>
      </c>
      <c r="AC94" s="38">
        <f t="shared" si="22"/>
        <v>0</v>
      </c>
      <c r="AD94" s="692">
        <f t="shared" si="15"/>
        <v>0</v>
      </c>
      <c r="AE94" s="692">
        <f t="shared" si="16"/>
        <v>0</v>
      </c>
      <c r="AF94" s="692">
        <f t="shared" si="17"/>
        <v>0</v>
      </c>
      <c r="AG94" s="38"/>
      <c r="AH94" s="692">
        <f t="shared" si="23"/>
        <v>0</v>
      </c>
      <c r="AI94" s="692">
        <f t="shared" si="24"/>
        <v>0</v>
      </c>
      <c r="AJ94" s="692">
        <f t="shared" si="25"/>
        <v>0</v>
      </c>
      <c r="AL94" s="38">
        <f t="shared" si="26"/>
        <v>0</v>
      </c>
    </row>
    <row r="95" spans="1:38">
      <c r="A95" s="21"/>
      <c r="B95" s="21" t="s">
        <v>110</v>
      </c>
      <c r="C95" s="666" t="s">
        <v>547</v>
      </c>
      <c r="D95" s="68" t="s">
        <v>202</v>
      </c>
      <c r="E95" s="679"/>
      <c r="F95" s="529">
        <f>VLOOKUP(D95,'Apr 2013 Revenue'!D:V,19,FALSE)</f>
        <v>0</v>
      </c>
      <c r="G95" s="680"/>
      <c r="H95" s="680"/>
      <c r="I95" s="755"/>
      <c r="J95" s="682">
        <f t="shared" si="14"/>
        <v>0</v>
      </c>
      <c r="K95" s="683"/>
      <c r="L95" s="684"/>
      <c r="M95" s="753"/>
      <c r="N95" s="683">
        <v>0</v>
      </c>
      <c r="O95" s="686"/>
      <c r="P95" s="683">
        <v>0</v>
      </c>
      <c r="Q95" s="687">
        <f t="shared" si="1"/>
        <v>0</v>
      </c>
      <c r="R95" s="687"/>
      <c r="S95" s="687"/>
      <c r="T95" s="688">
        <v>0</v>
      </c>
      <c r="U95" s="693"/>
      <c r="V95" s="690">
        <f t="shared" si="18"/>
        <v>0</v>
      </c>
      <c r="W95" s="683"/>
      <c r="X95" s="474">
        <f t="shared" si="19"/>
        <v>0</v>
      </c>
      <c r="Y95" s="474">
        <f t="shared" si="20"/>
        <v>0</v>
      </c>
      <c r="Z95" s="475">
        <f t="shared" si="21"/>
        <v>0</v>
      </c>
      <c r="AA95" s="475">
        <v>0</v>
      </c>
      <c r="AB95" s="476">
        <v>0</v>
      </c>
      <c r="AC95" s="38">
        <f t="shared" si="22"/>
        <v>0</v>
      </c>
      <c r="AD95" s="692">
        <f t="shared" si="15"/>
        <v>0</v>
      </c>
      <c r="AE95" s="692">
        <f t="shared" si="16"/>
        <v>0</v>
      </c>
      <c r="AF95" s="692">
        <f t="shared" si="17"/>
        <v>0</v>
      </c>
      <c r="AG95" s="38"/>
      <c r="AH95" s="692">
        <f t="shared" si="23"/>
        <v>0</v>
      </c>
      <c r="AI95" s="692">
        <f t="shared" si="24"/>
        <v>0</v>
      </c>
      <c r="AJ95" s="692">
        <f t="shared" si="25"/>
        <v>0</v>
      </c>
      <c r="AL95" s="38">
        <f t="shared" si="26"/>
        <v>0</v>
      </c>
    </row>
    <row r="96" spans="1:38">
      <c r="A96" s="20" t="s">
        <v>211</v>
      </c>
      <c r="B96" s="20" t="s">
        <v>110</v>
      </c>
      <c r="C96" s="667"/>
      <c r="D96" s="373" t="s">
        <v>466</v>
      </c>
      <c r="E96" s="679"/>
      <c r="F96" s="529">
        <f>VLOOKUP(D96,'Apr 2013 Revenue'!D:V,19,FALSE)</f>
        <v>0</v>
      </c>
      <c r="G96" s="680"/>
      <c r="H96" s="680"/>
      <c r="I96" s="770">
        <v>737.75</v>
      </c>
      <c r="J96" s="682">
        <f t="shared" si="14"/>
        <v>737.75</v>
      </c>
      <c r="K96" s="683"/>
      <c r="L96" s="684"/>
      <c r="M96" s="753"/>
      <c r="N96" s="683">
        <v>0</v>
      </c>
      <c r="O96" s="686"/>
      <c r="P96" s="683">
        <v>0</v>
      </c>
      <c r="Q96" s="687">
        <f t="shared" si="1"/>
        <v>0</v>
      </c>
      <c r="R96" s="687"/>
      <c r="S96" s="687"/>
      <c r="T96" s="688">
        <v>0</v>
      </c>
      <c r="U96" s="693"/>
      <c r="V96" s="690">
        <f t="shared" si="18"/>
        <v>0</v>
      </c>
      <c r="W96" s="683"/>
      <c r="X96" s="474">
        <f t="shared" si="19"/>
        <v>0</v>
      </c>
      <c r="Y96" s="474">
        <f t="shared" si="20"/>
        <v>0</v>
      </c>
      <c r="Z96" s="475">
        <f t="shared" si="21"/>
        <v>0</v>
      </c>
      <c r="AA96" s="475">
        <v>0</v>
      </c>
      <c r="AB96" s="476">
        <v>0</v>
      </c>
      <c r="AC96" s="38">
        <f t="shared" si="22"/>
        <v>0</v>
      </c>
      <c r="AD96" s="692">
        <f t="shared" si="15"/>
        <v>737.75</v>
      </c>
      <c r="AE96" s="692">
        <f t="shared" si="16"/>
        <v>0</v>
      </c>
      <c r="AF96" s="692">
        <f t="shared" si="17"/>
        <v>0</v>
      </c>
      <c r="AG96" s="38"/>
      <c r="AH96" s="692">
        <f t="shared" si="23"/>
        <v>0</v>
      </c>
      <c r="AI96" s="692">
        <f t="shared" si="24"/>
        <v>0</v>
      </c>
      <c r="AJ96" s="692">
        <f t="shared" si="25"/>
        <v>0</v>
      </c>
      <c r="AL96" s="38">
        <f t="shared" si="26"/>
        <v>737.75</v>
      </c>
    </row>
    <row r="97" spans="1:38">
      <c r="A97" s="20"/>
      <c r="B97" s="20" t="s">
        <v>110</v>
      </c>
      <c r="C97" s="667"/>
      <c r="D97" s="373" t="s">
        <v>627</v>
      </c>
      <c r="E97" s="679"/>
      <c r="F97" s="529">
        <f>VLOOKUP(D97,'Apr 2013 Revenue'!D:V,19,FALSE)</f>
        <v>0</v>
      </c>
      <c r="G97" s="680"/>
      <c r="H97" s="680"/>
      <c r="I97" s="755"/>
      <c r="J97" s="682">
        <f t="shared" si="14"/>
        <v>0</v>
      </c>
      <c r="K97" s="683"/>
      <c r="L97" s="684"/>
      <c r="M97" s="753"/>
      <c r="N97" s="683">
        <v>0</v>
      </c>
      <c r="O97" s="686"/>
      <c r="P97" s="683">
        <v>0</v>
      </c>
      <c r="Q97" s="687">
        <f t="shared" si="1"/>
        <v>0</v>
      </c>
      <c r="R97" s="687"/>
      <c r="S97" s="687"/>
      <c r="T97" s="688">
        <v>0</v>
      </c>
      <c r="U97" s="693"/>
      <c r="V97" s="690">
        <f t="shared" si="18"/>
        <v>0</v>
      </c>
      <c r="W97" s="683"/>
      <c r="X97" s="474">
        <f t="shared" si="19"/>
        <v>0</v>
      </c>
      <c r="Y97" s="474">
        <f t="shared" si="20"/>
        <v>0</v>
      </c>
      <c r="Z97" s="475">
        <f t="shared" si="21"/>
        <v>0</v>
      </c>
      <c r="AA97" s="475">
        <v>0</v>
      </c>
      <c r="AB97" s="476">
        <v>0</v>
      </c>
      <c r="AC97" s="38">
        <f t="shared" si="22"/>
        <v>0</v>
      </c>
      <c r="AD97" s="692">
        <f t="shared" si="15"/>
        <v>0</v>
      </c>
      <c r="AE97" s="692">
        <f t="shared" si="16"/>
        <v>0</v>
      </c>
      <c r="AF97" s="692">
        <f t="shared" si="17"/>
        <v>0</v>
      </c>
      <c r="AG97" s="38"/>
      <c r="AH97" s="692">
        <f t="shared" si="23"/>
        <v>0</v>
      </c>
      <c r="AI97" s="692">
        <f t="shared" si="24"/>
        <v>0</v>
      </c>
      <c r="AJ97" s="692">
        <f t="shared" si="25"/>
        <v>0</v>
      </c>
      <c r="AL97" s="38">
        <f t="shared" si="26"/>
        <v>0</v>
      </c>
    </row>
    <row r="98" spans="1:38" s="232" customFormat="1">
      <c r="A98" s="283"/>
      <c r="B98" s="283" t="s">
        <v>110</v>
      </c>
      <c r="C98" s="667"/>
      <c r="D98" s="123" t="s">
        <v>386</v>
      </c>
      <c r="E98" s="679"/>
      <c r="F98" s="529">
        <f>VLOOKUP(D98,'Apr 2013 Revenue'!D:V,19,FALSE)</f>
        <v>0</v>
      </c>
      <c r="G98" s="680"/>
      <c r="H98" s="680"/>
      <c r="I98" s="770">
        <v>2793952.97</v>
      </c>
      <c r="J98" s="682">
        <f t="shared" si="14"/>
        <v>2793952.97</v>
      </c>
      <c r="K98" s="683"/>
      <c r="L98" s="684"/>
      <c r="M98" s="753"/>
      <c r="N98" s="683">
        <v>0</v>
      </c>
      <c r="O98" s="686"/>
      <c r="P98" s="683">
        <v>0</v>
      </c>
      <c r="Q98" s="687">
        <f t="shared" si="1"/>
        <v>0</v>
      </c>
      <c r="R98" s="687"/>
      <c r="S98" s="687"/>
      <c r="T98" s="688">
        <v>0</v>
      </c>
      <c r="U98" s="693"/>
      <c r="V98" s="690">
        <f t="shared" si="18"/>
        <v>0</v>
      </c>
      <c r="W98" s="683"/>
      <c r="X98" s="474">
        <f t="shared" si="19"/>
        <v>0</v>
      </c>
      <c r="Y98" s="474">
        <f t="shared" si="20"/>
        <v>0</v>
      </c>
      <c r="Z98" s="475">
        <f t="shared" si="21"/>
        <v>0</v>
      </c>
      <c r="AA98" s="475">
        <v>0</v>
      </c>
      <c r="AB98" s="476">
        <v>0</v>
      </c>
      <c r="AC98" s="38">
        <f t="shared" si="22"/>
        <v>0</v>
      </c>
      <c r="AD98" s="692">
        <f t="shared" si="15"/>
        <v>2793952.97</v>
      </c>
      <c r="AE98" s="692">
        <f t="shared" si="16"/>
        <v>0</v>
      </c>
      <c r="AF98" s="692">
        <f t="shared" si="17"/>
        <v>0</v>
      </c>
      <c r="AG98" s="38"/>
      <c r="AH98" s="692">
        <f t="shared" si="23"/>
        <v>0</v>
      </c>
      <c r="AI98" s="692">
        <f t="shared" si="24"/>
        <v>0</v>
      </c>
      <c r="AJ98" s="692">
        <f t="shared" si="25"/>
        <v>0</v>
      </c>
      <c r="AL98" s="38">
        <f t="shared" si="26"/>
        <v>2793952.97</v>
      </c>
    </row>
    <row r="99" spans="1:38" s="232" customFormat="1">
      <c r="A99" s="283"/>
      <c r="B99" s="283" t="s">
        <v>110</v>
      </c>
      <c r="C99" s="667"/>
      <c r="D99" s="123" t="s">
        <v>331</v>
      </c>
      <c r="E99" s="679"/>
      <c r="F99" s="529">
        <f>VLOOKUP(D99,'Apr 2013 Revenue'!D:V,19,FALSE)</f>
        <v>0</v>
      </c>
      <c r="G99" s="680"/>
      <c r="H99" s="680"/>
      <c r="I99" s="770">
        <v>17773.900000000001</v>
      </c>
      <c r="J99" s="682">
        <f t="shared" si="14"/>
        <v>17773.900000000001</v>
      </c>
      <c r="K99" s="683"/>
      <c r="L99" s="684"/>
      <c r="M99" s="753"/>
      <c r="N99" s="683">
        <v>0</v>
      </c>
      <c r="O99" s="686"/>
      <c r="P99" s="683">
        <v>0</v>
      </c>
      <c r="Q99" s="687">
        <f t="shared" si="1"/>
        <v>0</v>
      </c>
      <c r="R99" s="687"/>
      <c r="S99" s="687"/>
      <c r="T99" s="688">
        <v>0</v>
      </c>
      <c r="U99" s="693"/>
      <c r="V99" s="690">
        <f t="shared" si="18"/>
        <v>0</v>
      </c>
      <c r="W99" s="683"/>
      <c r="X99" s="474">
        <f t="shared" si="19"/>
        <v>0</v>
      </c>
      <c r="Y99" s="474">
        <f t="shared" si="20"/>
        <v>0</v>
      </c>
      <c r="Z99" s="475">
        <f t="shared" si="21"/>
        <v>0</v>
      </c>
      <c r="AA99" s="475">
        <v>0</v>
      </c>
      <c r="AB99" s="476">
        <v>0</v>
      </c>
      <c r="AC99" s="38">
        <f t="shared" si="22"/>
        <v>0</v>
      </c>
      <c r="AD99" s="692">
        <f t="shared" si="15"/>
        <v>17773.900000000001</v>
      </c>
      <c r="AE99" s="692">
        <f t="shared" si="16"/>
        <v>0</v>
      </c>
      <c r="AF99" s="692">
        <f t="shared" si="17"/>
        <v>0</v>
      </c>
      <c r="AG99" s="38"/>
      <c r="AH99" s="692">
        <f t="shared" si="23"/>
        <v>0</v>
      </c>
      <c r="AI99" s="692">
        <f t="shared" si="24"/>
        <v>0</v>
      </c>
      <c r="AJ99" s="692">
        <f t="shared" si="25"/>
        <v>0</v>
      </c>
      <c r="AL99" s="38">
        <f t="shared" si="26"/>
        <v>17773.900000000001</v>
      </c>
    </row>
    <row r="100" spans="1:38" s="232" customFormat="1">
      <c r="A100" s="283"/>
      <c r="B100" s="283" t="s">
        <v>110</v>
      </c>
      <c r="C100" s="667"/>
      <c r="D100" s="413" t="s">
        <v>332</v>
      </c>
      <c r="E100" s="679"/>
      <c r="F100" s="529">
        <f>VLOOKUP(D100,'Apr 2013 Revenue'!D:V,19,FALSE)</f>
        <v>0</v>
      </c>
      <c r="G100" s="680"/>
      <c r="H100" s="680"/>
      <c r="I100" s="770">
        <v>1291735.26</v>
      </c>
      <c r="J100" s="682">
        <f t="shared" si="14"/>
        <v>1291735.26</v>
      </c>
      <c r="K100" s="683"/>
      <c r="L100" s="684"/>
      <c r="M100" s="753"/>
      <c r="N100" s="683">
        <v>0</v>
      </c>
      <c r="O100" s="686"/>
      <c r="P100" s="683">
        <v>0</v>
      </c>
      <c r="Q100" s="687">
        <f t="shared" si="1"/>
        <v>0</v>
      </c>
      <c r="R100" s="687"/>
      <c r="S100" s="687"/>
      <c r="T100" s="688">
        <v>0</v>
      </c>
      <c r="U100" s="693"/>
      <c r="V100" s="690">
        <f t="shared" si="18"/>
        <v>0</v>
      </c>
      <c r="W100" s="683"/>
      <c r="X100" s="474">
        <f t="shared" si="19"/>
        <v>0</v>
      </c>
      <c r="Y100" s="474">
        <f t="shared" si="20"/>
        <v>0</v>
      </c>
      <c r="Z100" s="475">
        <f t="shared" si="21"/>
        <v>0</v>
      </c>
      <c r="AA100" s="475">
        <v>0</v>
      </c>
      <c r="AB100" s="476">
        <v>0</v>
      </c>
      <c r="AC100" s="38">
        <f t="shared" si="22"/>
        <v>0</v>
      </c>
      <c r="AD100" s="692">
        <f t="shared" si="15"/>
        <v>1291735.26</v>
      </c>
      <c r="AE100" s="692">
        <f t="shared" si="16"/>
        <v>0</v>
      </c>
      <c r="AF100" s="692">
        <f t="shared" si="17"/>
        <v>0</v>
      </c>
      <c r="AG100" s="38"/>
      <c r="AH100" s="692">
        <f t="shared" si="23"/>
        <v>0</v>
      </c>
      <c r="AI100" s="692">
        <f t="shared" si="24"/>
        <v>0</v>
      </c>
      <c r="AJ100" s="692">
        <f t="shared" si="25"/>
        <v>0</v>
      </c>
      <c r="AL100" s="38">
        <f t="shared" si="26"/>
        <v>1291735.26</v>
      </c>
    </row>
    <row r="101" spans="1:38" s="232" customFormat="1">
      <c r="A101" s="283"/>
      <c r="B101" s="283" t="s">
        <v>110</v>
      </c>
      <c r="C101" s="667"/>
      <c r="D101" s="123" t="s">
        <v>333</v>
      </c>
      <c r="E101" s="679"/>
      <c r="F101" s="529">
        <f>VLOOKUP(D101,'Apr 2013 Revenue'!D:V,19,FALSE)</f>
        <v>0</v>
      </c>
      <c r="G101" s="680"/>
      <c r="H101" s="680"/>
      <c r="I101" s="770">
        <v>519.15</v>
      </c>
      <c r="J101" s="682">
        <f t="shared" si="14"/>
        <v>519.15</v>
      </c>
      <c r="K101" s="683"/>
      <c r="L101" s="684"/>
      <c r="M101" s="753"/>
      <c r="N101" s="683">
        <v>0</v>
      </c>
      <c r="O101" s="686"/>
      <c r="P101" s="683">
        <v>0</v>
      </c>
      <c r="Q101" s="687">
        <f t="shared" si="1"/>
        <v>0</v>
      </c>
      <c r="R101" s="687"/>
      <c r="S101" s="687"/>
      <c r="T101" s="688">
        <v>0</v>
      </c>
      <c r="U101" s="693"/>
      <c r="V101" s="690">
        <f t="shared" si="18"/>
        <v>0</v>
      </c>
      <c r="W101" s="683"/>
      <c r="X101" s="474">
        <f t="shared" si="19"/>
        <v>0</v>
      </c>
      <c r="Y101" s="474">
        <f t="shared" si="20"/>
        <v>0</v>
      </c>
      <c r="Z101" s="475">
        <f t="shared" si="21"/>
        <v>0</v>
      </c>
      <c r="AA101" s="475">
        <v>0</v>
      </c>
      <c r="AB101" s="476">
        <v>0</v>
      </c>
      <c r="AC101" s="38">
        <f t="shared" si="22"/>
        <v>0</v>
      </c>
      <c r="AD101" s="692">
        <f t="shared" si="15"/>
        <v>519.15</v>
      </c>
      <c r="AE101" s="692">
        <f t="shared" si="16"/>
        <v>0</v>
      </c>
      <c r="AF101" s="692">
        <f t="shared" si="17"/>
        <v>0</v>
      </c>
      <c r="AG101" s="38"/>
      <c r="AH101" s="692">
        <f t="shared" si="23"/>
        <v>0</v>
      </c>
      <c r="AI101" s="692">
        <f t="shared" si="24"/>
        <v>0</v>
      </c>
      <c r="AJ101" s="692">
        <f t="shared" si="25"/>
        <v>0</v>
      </c>
      <c r="AL101" s="38">
        <f t="shared" si="26"/>
        <v>519.15</v>
      </c>
    </row>
    <row r="102" spans="1:38" s="232" customFormat="1">
      <c r="A102" s="283"/>
      <c r="B102" s="283" t="s">
        <v>110</v>
      </c>
      <c r="C102" s="667"/>
      <c r="D102" s="123" t="s">
        <v>334</v>
      </c>
      <c r="E102" s="679"/>
      <c r="F102" s="529">
        <f>VLOOKUP(D102,'Apr 2013 Revenue'!D:V,19,FALSE)</f>
        <v>0</v>
      </c>
      <c r="G102" s="680"/>
      <c r="H102" s="680"/>
      <c r="I102" s="770">
        <v>283236.17</v>
      </c>
      <c r="J102" s="682">
        <f t="shared" si="14"/>
        <v>283236.17</v>
      </c>
      <c r="K102" s="683"/>
      <c r="L102" s="684"/>
      <c r="M102" s="753"/>
      <c r="N102" s="683">
        <v>0</v>
      </c>
      <c r="O102" s="686"/>
      <c r="P102" s="683">
        <v>0</v>
      </c>
      <c r="Q102" s="687">
        <f t="shared" si="1"/>
        <v>0</v>
      </c>
      <c r="R102" s="687"/>
      <c r="S102" s="687"/>
      <c r="T102" s="688">
        <v>0</v>
      </c>
      <c r="U102" s="693"/>
      <c r="V102" s="690">
        <f t="shared" si="18"/>
        <v>0</v>
      </c>
      <c r="W102" s="683"/>
      <c r="X102" s="474">
        <f t="shared" si="19"/>
        <v>0</v>
      </c>
      <c r="Y102" s="474">
        <f t="shared" si="20"/>
        <v>0</v>
      </c>
      <c r="Z102" s="475">
        <f t="shared" si="21"/>
        <v>0</v>
      </c>
      <c r="AA102" s="475">
        <v>0</v>
      </c>
      <c r="AB102" s="476">
        <v>0</v>
      </c>
      <c r="AC102" s="38">
        <f t="shared" si="22"/>
        <v>0</v>
      </c>
      <c r="AD102" s="692">
        <f t="shared" si="15"/>
        <v>283236.17</v>
      </c>
      <c r="AE102" s="692">
        <f t="shared" si="16"/>
        <v>0</v>
      </c>
      <c r="AF102" s="692">
        <f t="shared" si="17"/>
        <v>0</v>
      </c>
      <c r="AG102" s="38"/>
      <c r="AH102" s="692">
        <f t="shared" si="23"/>
        <v>0</v>
      </c>
      <c r="AI102" s="692">
        <f t="shared" si="24"/>
        <v>0</v>
      </c>
      <c r="AJ102" s="692">
        <f t="shared" si="25"/>
        <v>0</v>
      </c>
      <c r="AL102" s="38">
        <f t="shared" si="26"/>
        <v>283236.17</v>
      </c>
    </row>
    <row r="103" spans="1:38" s="232" customFormat="1">
      <c r="A103" s="283"/>
      <c r="B103" s="283" t="s">
        <v>110</v>
      </c>
      <c r="C103" s="667"/>
      <c r="D103" s="123" t="s">
        <v>335</v>
      </c>
      <c r="E103" s="679"/>
      <c r="F103" s="529">
        <f>VLOOKUP(D103,'Apr 2013 Revenue'!D:V,19,FALSE)</f>
        <v>0</v>
      </c>
      <c r="G103" s="680"/>
      <c r="H103" s="680"/>
      <c r="I103" s="770">
        <v>396.48</v>
      </c>
      <c r="J103" s="682">
        <f t="shared" si="14"/>
        <v>396.48</v>
      </c>
      <c r="K103" s="683"/>
      <c r="L103" s="684"/>
      <c r="M103" s="753"/>
      <c r="N103" s="683">
        <v>0</v>
      </c>
      <c r="O103" s="686"/>
      <c r="P103" s="683">
        <v>0</v>
      </c>
      <c r="Q103" s="687">
        <f t="shared" si="1"/>
        <v>0</v>
      </c>
      <c r="R103" s="687"/>
      <c r="S103" s="687"/>
      <c r="T103" s="688">
        <v>0</v>
      </c>
      <c r="U103" s="693"/>
      <c r="V103" s="690">
        <f t="shared" si="18"/>
        <v>0</v>
      </c>
      <c r="W103" s="683"/>
      <c r="X103" s="474">
        <f t="shared" si="19"/>
        <v>0</v>
      </c>
      <c r="Y103" s="474">
        <f t="shared" si="20"/>
        <v>0</v>
      </c>
      <c r="Z103" s="475">
        <f t="shared" si="21"/>
        <v>0</v>
      </c>
      <c r="AA103" s="475">
        <v>0</v>
      </c>
      <c r="AB103" s="476">
        <v>0</v>
      </c>
      <c r="AC103" s="38">
        <f t="shared" si="22"/>
        <v>0</v>
      </c>
      <c r="AD103" s="692">
        <f t="shared" si="15"/>
        <v>396.48</v>
      </c>
      <c r="AE103" s="692">
        <f t="shared" si="16"/>
        <v>0</v>
      </c>
      <c r="AF103" s="692">
        <f t="shared" si="17"/>
        <v>0</v>
      </c>
      <c r="AG103" s="38"/>
      <c r="AH103" s="692">
        <f t="shared" si="23"/>
        <v>0</v>
      </c>
      <c r="AI103" s="692">
        <f t="shared" si="24"/>
        <v>0</v>
      </c>
      <c r="AJ103" s="692">
        <f t="shared" si="25"/>
        <v>0</v>
      </c>
      <c r="AL103" s="38">
        <f t="shared" si="26"/>
        <v>396.48</v>
      </c>
    </row>
    <row r="104" spans="1:38" s="232" customFormat="1">
      <c r="A104" s="283"/>
      <c r="B104" s="283" t="s">
        <v>110</v>
      </c>
      <c r="C104" s="667"/>
      <c r="D104" s="123" t="s">
        <v>336</v>
      </c>
      <c r="E104" s="679"/>
      <c r="F104" s="529">
        <f>VLOOKUP(D104,'Apr 2013 Revenue'!D:V,19,FALSE)</f>
        <v>0</v>
      </c>
      <c r="G104" s="680"/>
      <c r="H104" s="680"/>
      <c r="I104" s="770">
        <v>284964.87</v>
      </c>
      <c r="J104" s="682">
        <f t="shared" si="14"/>
        <v>284964.87</v>
      </c>
      <c r="K104" s="683"/>
      <c r="L104" s="684"/>
      <c r="M104" s="753"/>
      <c r="N104" s="683">
        <v>0</v>
      </c>
      <c r="O104" s="686"/>
      <c r="P104" s="683">
        <v>0</v>
      </c>
      <c r="Q104" s="687">
        <f t="shared" si="1"/>
        <v>0</v>
      </c>
      <c r="R104" s="687"/>
      <c r="S104" s="687"/>
      <c r="T104" s="688">
        <v>0</v>
      </c>
      <c r="U104" s="693"/>
      <c r="V104" s="690">
        <f t="shared" si="18"/>
        <v>0</v>
      </c>
      <c r="W104" s="683"/>
      <c r="X104" s="474">
        <f t="shared" si="19"/>
        <v>0</v>
      </c>
      <c r="Y104" s="474">
        <f t="shared" si="20"/>
        <v>0</v>
      </c>
      <c r="Z104" s="475">
        <f t="shared" si="21"/>
        <v>0</v>
      </c>
      <c r="AA104" s="475">
        <v>0</v>
      </c>
      <c r="AB104" s="476">
        <v>0</v>
      </c>
      <c r="AC104" s="38">
        <f t="shared" si="22"/>
        <v>0</v>
      </c>
      <c r="AD104" s="692">
        <f t="shared" si="15"/>
        <v>284964.87</v>
      </c>
      <c r="AE104" s="692">
        <f t="shared" si="16"/>
        <v>0</v>
      </c>
      <c r="AF104" s="692">
        <f t="shared" si="17"/>
        <v>0</v>
      </c>
      <c r="AG104" s="38"/>
      <c r="AH104" s="692">
        <f t="shared" si="23"/>
        <v>0</v>
      </c>
      <c r="AI104" s="692">
        <f t="shared" si="24"/>
        <v>0</v>
      </c>
      <c r="AJ104" s="692">
        <f t="shared" si="25"/>
        <v>0</v>
      </c>
      <c r="AL104" s="38">
        <f t="shared" si="26"/>
        <v>284964.87</v>
      </c>
    </row>
    <row r="105" spans="1:38" s="232" customFormat="1">
      <c r="A105" s="283"/>
      <c r="B105" s="283" t="s">
        <v>110</v>
      </c>
      <c r="C105" s="667"/>
      <c r="D105" s="123" t="s">
        <v>337</v>
      </c>
      <c r="E105" s="679"/>
      <c r="F105" s="529">
        <f>VLOOKUP(D105,'Apr 2013 Revenue'!D:V,19,FALSE)</f>
        <v>0</v>
      </c>
      <c r="G105" s="680"/>
      <c r="H105" s="680"/>
      <c r="I105" s="770">
        <v>357.48</v>
      </c>
      <c r="J105" s="682">
        <f t="shared" si="14"/>
        <v>357.48</v>
      </c>
      <c r="K105" s="683"/>
      <c r="L105" s="684"/>
      <c r="M105" s="753"/>
      <c r="N105" s="683">
        <v>0</v>
      </c>
      <c r="O105" s="686"/>
      <c r="P105" s="683">
        <v>0</v>
      </c>
      <c r="Q105" s="687">
        <f t="shared" si="1"/>
        <v>0</v>
      </c>
      <c r="R105" s="687"/>
      <c r="S105" s="687"/>
      <c r="T105" s="688">
        <v>0</v>
      </c>
      <c r="U105" s="693"/>
      <c r="V105" s="690">
        <f t="shared" si="18"/>
        <v>0</v>
      </c>
      <c r="W105" s="683"/>
      <c r="X105" s="474">
        <f t="shared" si="19"/>
        <v>0</v>
      </c>
      <c r="Y105" s="474">
        <f t="shared" si="20"/>
        <v>0</v>
      </c>
      <c r="Z105" s="475">
        <f t="shared" si="21"/>
        <v>0</v>
      </c>
      <c r="AA105" s="475">
        <v>0</v>
      </c>
      <c r="AB105" s="476">
        <v>0</v>
      </c>
      <c r="AC105" s="38">
        <f t="shared" si="22"/>
        <v>0</v>
      </c>
      <c r="AD105" s="692">
        <f t="shared" si="15"/>
        <v>357.48</v>
      </c>
      <c r="AE105" s="692">
        <f t="shared" si="16"/>
        <v>0</v>
      </c>
      <c r="AF105" s="692">
        <f t="shared" si="17"/>
        <v>0</v>
      </c>
      <c r="AG105" s="38"/>
      <c r="AH105" s="692">
        <f t="shared" si="23"/>
        <v>0</v>
      </c>
      <c r="AI105" s="692">
        <f t="shared" si="24"/>
        <v>0</v>
      </c>
      <c r="AJ105" s="692">
        <f t="shared" si="25"/>
        <v>0</v>
      </c>
      <c r="AL105" s="38">
        <f t="shared" si="26"/>
        <v>357.48</v>
      </c>
    </row>
    <row r="106" spans="1:38" s="232" customFormat="1">
      <c r="A106" s="283"/>
      <c r="B106" s="283" t="s">
        <v>110</v>
      </c>
      <c r="C106" s="667"/>
      <c r="D106" s="123" t="s">
        <v>338</v>
      </c>
      <c r="E106" s="679"/>
      <c r="F106" s="529">
        <f>VLOOKUP(D106,'Apr 2013 Revenue'!D:V,19,FALSE)</f>
        <v>0</v>
      </c>
      <c r="G106" s="680"/>
      <c r="H106" s="680"/>
      <c r="I106" s="770">
        <v>76681.47</v>
      </c>
      <c r="J106" s="682">
        <f t="shared" si="14"/>
        <v>76681.47</v>
      </c>
      <c r="K106" s="683"/>
      <c r="L106" s="684"/>
      <c r="M106" s="753"/>
      <c r="N106" s="683">
        <v>0</v>
      </c>
      <c r="O106" s="686"/>
      <c r="P106" s="683">
        <v>0</v>
      </c>
      <c r="Q106" s="687">
        <f t="shared" si="1"/>
        <v>0</v>
      </c>
      <c r="R106" s="687"/>
      <c r="S106" s="687"/>
      <c r="T106" s="688">
        <v>0</v>
      </c>
      <c r="U106" s="693"/>
      <c r="V106" s="690">
        <f t="shared" si="18"/>
        <v>0</v>
      </c>
      <c r="W106" s="683"/>
      <c r="X106" s="474">
        <f t="shared" si="19"/>
        <v>0</v>
      </c>
      <c r="Y106" s="474">
        <f t="shared" si="20"/>
        <v>0</v>
      </c>
      <c r="Z106" s="475">
        <f t="shared" si="21"/>
        <v>0</v>
      </c>
      <c r="AA106" s="475">
        <v>0</v>
      </c>
      <c r="AB106" s="476">
        <v>0</v>
      </c>
      <c r="AC106" s="38">
        <f t="shared" si="22"/>
        <v>0</v>
      </c>
      <c r="AD106" s="692">
        <f t="shared" si="15"/>
        <v>76681.47</v>
      </c>
      <c r="AE106" s="692">
        <f t="shared" si="16"/>
        <v>0</v>
      </c>
      <c r="AF106" s="692">
        <f t="shared" si="17"/>
        <v>0</v>
      </c>
      <c r="AG106" s="38"/>
      <c r="AH106" s="692">
        <f t="shared" si="23"/>
        <v>0</v>
      </c>
      <c r="AI106" s="692">
        <f t="shared" si="24"/>
        <v>0</v>
      </c>
      <c r="AJ106" s="692">
        <f t="shared" si="25"/>
        <v>0</v>
      </c>
      <c r="AL106" s="38">
        <f t="shared" si="26"/>
        <v>76681.47</v>
      </c>
    </row>
    <row r="107" spans="1:38" s="232" customFormat="1">
      <c r="A107" s="283"/>
      <c r="B107" s="283" t="s">
        <v>110</v>
      </c>
      <c r="C107" s="667"/>
      <c r="D107" s="123" t="s">
        <v>339</v>
      </c>
      <c r="E107" s="679"/>
      <c r="F107" s="529">
        <f>VLOOKUP(D107,'Apr 2013 Revenue'!D:V,19,FALSE)</f>
        <v>0</v>
      </c>
      <c r="G107" s="680"/>
      <c r="H107" s="680"/>
      <c r="I107" s="770">
        <v>94454.27</v>
      </c>
      <c r="J107" s="682">
        <f t="shared" si="14"/>
        <v>94454.27</v>
      </c>
      <c r="K107" s="683"/>
      <c r="L107" s="684"/>
      <c r="M107" s="753"/>
      <c r="N107" s="683">
        <v>0</v>
      </c>
      <c r="O107" s="686"/>
      <c r="P107" s="683">
        <v>0</v>
      </c>
      <c r="Q107" s="687">
        <f t="shared" si="1"/>
        <v>0</v>
      </c>
      <c r="R107" s="687"/>
      <c r="S107" s="687"/>
      <c r="T107" s="688">
        <v>0</v>
      </c>
      <c r="U107" s="693"/>
      <c r="V107" s="690">
        <f t="shared" si="18"/>
        <v>0</v>
      </c>
      <c r="W107" s="683"/>
      <c r="X107" s="474">
        <f t="shared" si="19"/>
        <v>0</v>
      </c>
      <c r="Y107" s="474">
        <f t="shared" si="20"/>
        <v>0</v>
      </c>
      <c r="Z107" s="475">
        <f t="shared" si="21"/>
        <v>0</v>
      </c>
      <c r="AA107" s="475">
        <v>0</v>
      </c>
      <c r="AB107" s="476">
        <v>0</v>
      </c>
      <c r="AC107" s="38">
        <f t="shared" si="22"/>
        <v>0</v>
      </c>
      <c r="AD107" s="692">
        <f t="shared" si="15"/>
        <v>94454.27</v>
      </c>
      <c r="AE107" s="692">
        <f t="shared" si="16"/>
        <v>0</v>
      </c>
      <c r="AF107" s="692">
        <f t="shared" si="17"/>
        <v>0</v>
      </c>
      <c r="AG107" s="38"/>
      <c r="AH107" s="692">
        <f t="shared" si="23"/>
        <v>0</v>
      </c>
      <c r="AI107" s="692">
        <f t="shared" si="24"/>
        <v>0</v>
      </c>
      <c r="AJ107" s="692">
        <f t="shared" si="25"/>
        <v>0</v>
      </c>
      <c r="AL107" s="38">
        <f t="shared" si="26"/>
        <v>94454.27</v>
      </c>
    </row>
    <row r="108" spans="1:38" s="232" customFormat="1">
      <c r="A108" s="283"/>
      <c r="B108" s="283" t="s">
        <v>110</v>
      </c>
      <c r="C108" s="667"/>
      <c r="D108" s="123" t="s">
        <v>340</v>
      </c>
      <c r="E108" s="679"/>
      <c r="F108" s="529">
        <f>VLOOKUP(D108,'Apr 2013 Revenue'!D:V,19,FALSE)</f>
        <v>0</v>
      </c>
      <c r="G108" s="680"/>
      <c r="H108" s="680"/>
      <c r="I108" s="770">
        <v>74.069999999999993</v>
      </c>
      <c r="J108" s="682">
        <f t="shared" si="14"/>
        <v>74.069999999999993</v>
      </c>
      <c r="K108" s="683"/>
      <c r="L108" s="684"/>
      <c r="M108" s="753"/>
      <c r="N108" s="683">
        <v>0</v>
      </c>
      <c r="O108" s="686"/>
      <c r="P108" s="683">
        <v>0</v>
      </c>
      <c r="Q108" s="687">
        <f t="shared" si="1"/>
        <v>0</v>
      </c>
      <c r="R108" s="687"/>
      <c r="S108" s="687"/>
      <c r="T108" s="688">
        <v>0</v>
      </c>
      <c r="U108" s="693"/>
      <c r="V108" s="690">
        <f t="shared" si="18"/>
        <v>0</v>
      </c>
      <c r="W108" s="683"/>
      <c r="X108" s="474">
        <f t="shared" si="19"/>
        <v>0</v>
      </c>
      <c r="Y108" s="474">
        <f t="shared" si="20"/>
        <v>0</v>
      </c>
      <c r="Z108" s="475">
        <f t="shared" si="21"/>
        <v>0</v>
      </c>
      <c r="AA108" s="475">
        <v>0</v>
      </c>
      <c r="AB108" s="476">
        <v>0</v>
      </c>
      <c r="AC108" s="38">
        <f t="shared" si="22"/>
        <v>0</v>
      </c>
      <c r="AD108" s="692">
        <f t="shared" si="15"/>
        <v>74.069999999999993</v>
      </c>
      <c r="AE108" s="692">
        <f t="shared" si="16"/>
        <v>0</v>
      </c>
      <c r="AF108" s="692">
        <f t="shared" si="17"/>
        <v>0</v>
      </c>
      <c r="AG108" s="38"/>
      <c r="AH108" s="692">
        <f t="shared" si="23"/>
        <v>0</v>
      </c>
      <c r="AI108" s="692">
        <f t="shared" si="24"/>
        <v>0</v>
      </c>
      <c r="AJ108" s="692">
        <f t="shared" si="25"/>
        <v>0</v>
      </c>
      <c r="AL108" s="38">
        <f t="shared" si="26"/>
        <v>74.069999999999993</v>
      </c>
    </row>
    <row r="109" spans="1:38" s="232" customFormat="1">
      <c r="A109" s="283"/>
      <c r="B109" s="283" t="s">
        <v>110</v>
      </c>
      <c r="C109" s="667"/>
      <c r="D109" s="123" t="s">
        <v>439</v>
      </c>
      <c r="E109" s="679"/>
      <c r="F109" s="529">
        <f>VLOOKUP(D109,'Apr 2013 Revenue'!D:V,19,FALSE)</f>
        <v>0</v>
      </c>
      <c r="G109" s="680"/>
      <c r="H109" s="680"/>
      <c r="I109" s="770">
        <v>1608.27</v>
      </c>
      <c r="J109" s="682">
        <f t="shared" si="14"/>
        <v>1608.27</v>
      </c>
      <c r="K109" s="683"/>
      <c r="L109" s="684"/>
      <c r="M109" s="753"/>
      <c r="N109" s="683">
        <v>0</v>
      </c>
      <c r="O109" s="686"/>
      <c r="P109" s="683">
        <v>0</v>
      </c>
      <c r="Q109" s="687">
        <f t="shared" si="1"/>
        <v>0</v>
      </c>
      <c r="R109" s="687"/>
      <c r="S109" s="687"/>
      <c r="T109" s="688">
        <v>0</v>
      </c>
      <c r="U109" s="693"/>
      <c r="V109" s="690">
        <f t="shared" si="18"/>
        <v>0</v>
      </c>
      <c r="W109" s="683"/>
      <c r="X109" s="474">
        <f t="shared" si="19"/>
        <v>0</v>
      </c>
      <c r="Y109" s="474">
        <f t="shared" si="20"/>
        <v>0</v>
      </c>
      <c r="Z109" s="475">
        <f t="shared" si="21"/>
        <v>0</v>
      </c>
      <c r="AA109" s="475">
        <v>0</v>
      </c>
      <c r="AB109" s="476">
        <v>0</v>
      </c>
      <c r="AC109" s="38">
        <f t="shared" si="22"/>
        <v>0</v>
      </c>
      <c r="AD109" s="692">
        <f t="shared" si="15"/>
        <v>1608.27</v>
      </c>
      <c r="AE109" s="692">
        <f t="shared" si="16"/>
        <v>0</v>
      </c>
      <c r="AF109" s="692">
        <f t="shared" si="17"/>
        <v>0</v>
      </c>
      <c r="AG109" s="38"/>
      <c r="AH109" s="692">
        <f t="shared" si="23"/>
        <v>0</v>
      </c>
      <c r="AI109" s="692">
        <f t="shared" si="24"/>
        <v>0</v>
      </c>
      <c r="AJ109" s="692">
        <f t="shared" si="25"/>
        <v>0</v>
      </c>
      <c r="AL109" s="38">
        <f t="shared" si="26"/>
        <v>1608.27</v>
      </c>
    </row>
    <row r="110" spans="1:38" s="232" customFormat="1">
      <c r="A110" s="283"/>
      <c r="B110" s="283" t="s">
        <v>110</v>
      </c>
      <c r="C110" s="667"/>
      <c r="D110" s="123" t="s">
        <v>592</v>
      </c>
      <c r="E110" s="679"/>
      <c r="F110" s="529">
        <f>VLOOKUP(D110,'Apr 2013 Revenue'!D:V,19,FALSE)</f>
        <v>0</v>
      </c>
      <c r="G110" s="680"/>
      <c r="H110" s="680"/>
      <c r="I110" s="770">
        <v>460.82</v>
      </c>
      <c r="J110" s="682">
        <f t="shared" si="14"/>
        <v>460.82</v>
      </c>
      <c r="K110" s="683"/>
      <c r="L110" s="684"/>
      <c r="M110" s="753"/>
      <c r="N110" s="683">
        <v>0</v>
      </c>
      <c r="O110" s="686"/>
      <c r="P110" s="683">
        <v>0</v>
      </c>
      <c r="Q110" s="687">
        <f t="shared" si="1"/>
        <v>0</v>
      </c>
      <c r="R110" s="687"/>
      <c r="S110" s="687"/>
      <c r="T110" s="688">
        <v>0</v>
      </c>
      <c r="U110" s="693"/>
      <c r="V110" s="690">
        <f t="shared" si="18"/>
        <v>0</v>
      </c>
      <c r="W110" s="683"/>
      <c r="X110" s="474">
        <f t="shared" si="19"/>
        <v>0</v>
      </c>
      <c r="Y110" s="474">
        <f t="shared" si="20"/>
        <v>0</v>
      </c>
      <c r="Z110" s="475">
        <f t="shared" si="21"/>
        <v>0</v>
      </c>
      <c r="AA110" s="475">
        <v>0</v>
      </c>
      <c r="AB110" s="476">
        <v>0</v>
      </c>
      <c r="AC110" s="38">
        <f t="shared" si="22"/>
        <v>0</v>
      </c>
      <c r="AD110" s="692">
        <f t="shared" si="15"/>
        <v>460.82</v>
      </c>
      <c r="AE110" s="692">
        <f t="shared" si="16"/>
        <v>0</v>
      </c>
      <c r="AF110" s="692">
        <f t="shared" si="17"/>
        <v>0</v>
      </c>
      <c r="AG110" s="38"/>
      <c r="AH110" s="692">
        <f t="shared" si="23"/>
        <v>0</v>
      </c>
      <c r="AI110" s="692">
        <f t="shared" si="24"/>
        <v>0</v>
      </c>
      <c r="AJ110" s="692">
        <f t="shared" si="25"/>
        <v>0</v>
      </c>
      <c r="AL110" s="38">
        <f t="shared" si="26"/>
        <v>460.82</v>
      </c>
    </row>
    <row r="111" spans="1:38" s="232" customFormat="1">
      <c r="A111" s="283"/>
      <c r="B111" s="283" t="s">
        <v>110</v>
      </c>
      <c r="C111" s="667"/>
      <c r="D111" s="123" t="s">
        <v>512</v>
      </c>
      <c r="E111" s="679"/>
      <c r="F111" s="529">
        <f>VLOOKUP(D111,'Apr 2013 Revenue'!D:V,19,FALSE)</f>
        <v>0</v>
      </c>
      <c r="G111" s="680"/>
      <c r="H111" s="680"/>
      <c r="I111" s="770">
        <f>19026.4+1804.99+1155.46+5475.87+250.95</f>
        <v>27713.670000000002</v>
      </c>
      <c r="J111" s="682">
        <f t="shared" si="14"/>
        <v>27713.670000000002</v>
      </c>
      <c r="K111" s="683"/>
      <c r="L111" s="684"/>
      <c r="M111" s="753"/>
      <c r="N111" s="683">
        <v>0</v>
      </c>
      <c r="O111" s="686"/>
      <c r="P111" s="683"/>
      <c r="Q111" s="687">
        <f t="shared" si="1"/>
        <v>0</v>
      </c>
      <c r="R111" s="687"/>
      <c r="S111" s="687"/>
      <c r="T111" s="688">
        <v>0</v>
      </c>
      <c r="U111" s="693"/>
      <c r="V111" s="690">
        <f t="shared" si="18"/>
        <v>0</v>
      </c>
      <c r="W111" s="683"/>
      <c r="X111" s="474">
        <f t="shared" si="19"/>
        <v>0</v>
      </c>
      <c r="Y111" s="474">
        <f t="shared" si="20"/>
        <v>0</v>
      </c>
      <c r="Z111" s="475">
        <f t="shared" si="21"/>
        <v>0</v>
      </c>
      <c r="AA111" s="475">
        <v>0</v>
      </c>
      <c r="AB111" s="476">
        <v>0</v>
      </c>
      <c r="AC111" s="38">
        <f t="shared" si="22"/>
        <v>0</v>
      </c>
      <c r="AD111" s="692">
        <f t="shared" si="15"/>
        <v>27713.670000000002</v>
      </c>
      <c r="AE111" s="692">
        <f t="shared" si="16"/>
        <v>0</v>
      </c>
      <c r="AF111" s="692">
        <f t="shared" si="17"/>
        <v>0</v>
      </c>
      <c r="AG111" s="38"/>
      <c r="AH111" s="692">
        <f t="shared" si="23"/>
        <v>0</v>
      </c>
      <c r="AI111" s="692">
        <f t="shared" si="24"/>
        <v>0</v>
      </c>
      <c r="AJ111" s="692">
        <f t="shared" si="25"/>
        <v>0</v>
      </c>
      <c r="AL111" s="38">
        <f t="shared" si="26"/>
        <v>27713.670000000002</v>
      </c>
    </row>
    <row r="112" spans="1:38" s="24" customFormat="1">
      <c r="A112" s="32"/>
      <c r="B112" s="32" t="s">
        <v>110</v>
      </c>
      <c r="C112" s="667"/>
      <c r="D112" s="68" t="s">
        <v>588</v>
      </c>
      <c r="E112" s="679"/>
      <c r="F112" s="529">
        <f>VLOOKUP(D112,'Apr 2013 Revenue'!D:V,19,FALSE)</f>
        <v>0</v>
      </c>
      <c r="G112" s="680"/>
      <c r="H112" s="680"/>
      <c r="I112" s="755"/>
      <c r="J112" s="682">
        <f t="shared" si="14"/>
        <v>0</v>
      </c>
      <c r="K112" s="683"/>
      <c r="L112" s="684"/>
      <c r="M112" s="753"/>
      <c r="N112" s="698"/>
      <c r="O112" s="699"/>
      <c r="P112" s="698"/>
      <c r="Q112" s="687">
        <f t="shared" si="1"/>
        <v>0</v>
      </c>
      <c r="R112" s="687"/>
      <c r="S112" s="687"/>
      <c r="T112" s="688">
        <v>0</v>
      </c>
      <c r="U112" s="693"/>
      <c r="V112" s="690">
        <f t="shared" si="18"/>
        <v>0</v>
      </c>
      <c r="W112" s="683"/>
      <c r="X112" s="474">
        <f t="shared" si="19"/>
        <v>0</v>
      </c>
      <c r="Y112" s="474">
        <f t="shared" si="20"/>
        <v>0</v>
      </c>
      <c r="Z112" s="475">
        <f t="shared" si="21"/>
        <v>0</v>
      </c>
      <c r="AA112" s="475">
        <v>0</v>
      </c>
      <c r="AB112" s="476">
        <v>0</v>
      </c>
      <c r="AC112" s="38">
        <f t="shared" si="22"/>
        <v>0</v>
      </c>
      <c r="AD112" s="692">
        <f t="shared" si="15"/>
        <v>0</v>
      </c>
      <c r="AE112" s="692">
        <f t="shared" si="16"/>
        <v>0</v>
      </c>
      <c r="AF112" s="692">
        <f t="shared" si="17"/>
        <v>0</v>
      </c>
      <c r="AG112" s="38"/>
      <c r="AH112" s="692">
        <f t="shared" si="23"/>
        <v>0</v>
      </c>
      <c r="AI112" s="692">
        <f t="shared" si="24"/>
        <v>0</v>
      </c>
      <c r="AJ112" s="692">
        <f t="shared" si="25"/>
        <v>0</v>
      </c>
      <c r="AL112" s="38">
        <f t="shared" si="26"/>
        <v>0</v>
      </c>
    </row>
    <row r="113" spans="1:38" s="24" customFormat="1">
      <c r="A113" s="32"/>
      <c r="B113" s="32" t="s">
        <v>110</v>
      </c>
      <c r="C113" s="667"/>
      <c r="D113" s="68" t="s">
        <v>935</v>
      </c>
      <c r="E113" s="679"/>
      <c r="F113" s="529">
        <f>VLOOKUP(D113,'Apr 2013 Revenue'!D:V,19,FALSE)</f>
        <v>-5000</v>
      </c>
      <c r="G113" s="680"/>
      <c r="H113" s="680"/>
      <c r="I113" s="755"/>
      <c r="J113" s="682">
        <f t="shared" ref="J113" si="27">SUM(E113:I113)</f>
        <v>-5000</v>
      </c>
      <c r="K113" s="683"/>
      <c r="L113" s="684"/>
      <c r="M113" s="753">
        <v>10000</v>
      </c>
      <c r="N113" s="698"/>
      <c r="O113" s="699"/>
      <c r="P113" s="698"/>
      <c r="Q113" s="687">
        <f t="shared" si="1"/>
        <v>10000</v>
      </c>
      <c r="R113" s="687"/>
      <c r="S113" s="687"/>
      <c r="T113" s="688">
        <v>6756.14</v>
      </c>
      <c r="U113" s="693"/>
      <c r="V113" s="690">
        <f t="shared" si="18"/>
        <v>-3243.8599999999997</v>
      </c>
      <c r="W113" s="683"/>
      <c r="X113" s="474">
        <f t="shared" si="19"/>
        <v>10000</v>
      </c>
      <c r="Y113" s="474">
        <f t="shared" si="20"/>
        <v>0</v>
      </c>
      <c r="Z113" s="475">
        <f t="shared" si="21"/>
        <v>0</v>
      </c>
      <c r="AA113" s="475">
        <v>0</v>
      </c>
      <c r="AB113" s="476">
        <v>0</v>
      </c>
      <c r="AC113" s="38">
        <f t="shared" si="22"/>
        <v>0</v>
      </c>
      <c r="AD113" s="692">
        <f t="shared" si="15"/>
        <v>-5000</v>
      </c>
      <c r="AE113" s="692">
        <f t="shared" si="16"/>
        <v>0</v>
      </c>
      <c r="AF113" s="692">
        <f t="shared" si="17"/>
        <v>0</v>
      </c>
      <c r="AG113" s="38"/>
      <c r="AH113" s="692">
        <f t="shared" si="23"/>
        <v>10000</v>
      </c>
      <c r="AI113" s="692">
        <f t="shared" si="24"/>
        <v>0</v>
      </c>
      <c r="AJ113" s="692">
        <f t="shared" si="25"/>
        <v>0</v>
      </c>
      <c r="AL113" s="38">
        <f t="shared" ref="AL113" si="28">SUM(AD113:AJ113)</f>
        <v>5000</v>
      </c>
    </row>
    <row r="114" spans="1:38">
      <c r="A114" s="21"/>
      <c r="B114" s="21" t="s">
        <v>109</v>
      </c>
      <c r="C114" s="666" t="s">
        <v>548</v>
      </c>
      <c r="D114" s="68" t="s">
        <v>461</v>
      </c>
      <c r="E114" s="679"/>
      <c r="F114" s="529">
        <f>VLOOKUP(D114,'Apr 2013 Revenue'!D:V,19,FALSE)</f>
        <v>2674.81</v>
      </c>
      <c r="G114" s="680"/>
      <c r="H114" s="680"/>
      <c r="I114" s="755"/>
      <c r="J114" s="682">
        <f t="shared" si="14"/>
        <v>2674.81</v>
      </c>
      <c r="K114" s="683"/>
      <c r="L114" s="684"/>
      <c r="M114" s="753"/>
      <c r="N114" s="683">
        <v>0</v>
      </c>
      <c r="O114" s="686"/>
      <c r="P114" s="683">
        <v>0</v>
      </c>
      <c r="Q114" s="687">
        <f t="shared" si="1"/>
        <v>0</v>
      </c>
      <c r="R114" s="687"/>
      <c r="S114" s="687"/>
      <c r="T114" s="688">
        <v>2637.89</v>
      </c>
      <c r="U114" s="693"/>
      <c r="V114" s="690">
        <f t="shared" si="18"/>
        <v>2637.89</v>
      </c>
      <c r="W114" s="683"/>
      <c r="X114" s="474">
        <f t="shared" si="19"/>
        <v>0</v>
      </c>
      <c r="Y114" s="474">
        <f t="shared" si="20"/>
        <v>0</v>
      </c>
      <c r="Z114" s="475">
        <f t="shared" si="21"/>
        <v>0</v>
      </c>
      <c r="AA114" s="475">
        <v>0</v>
      </c>
      <c r="AB114" s="476">
        <v>0</v>
      </c>
      <c r="AC114" s="38">
        <f t="shared" si="22"/>
        <v>0</v>
      </c>
      <c r="AD114" s="692">
        <f t="shared" si="15"/>
        <v>0</v>
      </c>
      <c r="AE114" s="692">
        <f t="shared" si="16"/>
        <v>2674.81</v>
      </c>
      <c r="AF114" s="692">
        <f t="shared" si="17"/>
        <v>0</v>
      </c>
      <c r="AG114" s="38"/>
      <c r="AH114" s="692">
        <f t="shared" si="23"/>
        <v>0</v>
      </c>
      <c r="AI114" s="692">
        <f t="shared" si="24"/>
        <v>0</v>
      </c>
      <c r="AJ114" s="692">
        <f t="shared" si="25"/>
        <v>0</v>
      </c>
      <c r="AL114" s="38">
        <f t="shared" si="26"/>
        <v>2674.81</v>
      </c>
    </row>
    <row r="115" spans="1:38">
      <c r="A115" s="20"/>
      <c r="B115" s="20" t="s">
        <v>109</v>
      </c>
      <c r="C115" s="667" t="s">
        <v>549</v>
      </c>
      <c r="D115" s="68" t="s">
        <v>22</v>
      </c>
      <c r="E115" s="679"/>
      <c r="F115" s="529">
        <f>VLOOKUP(D115,'Apr 2013 Revenue'!D:V,19,FALSE)</f>
        <v>0</v>
      </c>
      <c r="G115" s="680"/>
      <c r="H115" s="680"/>
      <c r="I115" s="755"/>
      <c r="J115" s="682">
        <f t="shared" si="14"/>
        <v>0</v>
      </c>
      <c r="K115" s="683"/>
      <c r="L115" s="684"/>
      <c r="M115" s="753"/>
      <c r="N115" s="683">
        <v>0</v>
      </c>
      <c r="O115" s="686"/>
      <c r="P115" s="683">
        <v>0</v>
      </c>
      <c r="Q115" s="687">
        <f t="shared" si="1"/>
        <v>0</v>
      </c>
      <c r="R115" s="687"/>
      <c r="S115" s="687"/>
      <c r="T115" s="688">
        <v>0</v>
      </c>
      <c r="U115" s="693"/>
      <c r="V115" s="690">
        <f t="shared" si="18"/>
        <v>0</v>
      </c>
      <c r="W115" s="683"/>
      <c r="X115" s="474">
        <f t="shared" si="19"/>
        <v>0</v>
      </c>
      <c r="Y115" s="474">
        <f t="shared" si="20"/>
        <v>0</v>
      </c>
      <c r="Z115" s="475">
        <f t="shared" si="21"/>
        <v>0</v>
      </c>
      <c r="AA115" s="475">
        <v>0</v>
      </c>
      <c r="AB115" s="476">
        <v>0</v>
      </c>
      <c r="AC115" s="38">
        <f t="shared" si="22"/>
        <v>0</v>
      </c>
      <c r="AD115" s="692">
        <f t="shared" si="15"/>
        <v>0</v>
      </c>
      <c r="AE115" s="692">
        <f t="shared" si="16"/>
        <v>0</v>
      </c>
      <c r="AF115" s="692">
        <f t="shared" si="17"/>
        <v>0</v>
      </c>
      <c r="AG115" s="38"/>
      <c r="AH115" s="692">
        <f t="shared" si="23"/>
        <v>0</v>
      </c>
      <c r="AI115" s="692">
        <f t="shared" si="24"/>
        <v>0</v>
      </c>
      <c r="AJ115" s="692">
        <f t="shared" si="25"/>
        <v>0</v>
      </c>
      <c r="AL115" s="38">
        <f t="shared" si="26"/>
        <v>0</v>
      </c>
    </row>
    <row r="116" spans="1:38">
      <c r="A116" s="20"/>
      <c r="B116" s="20" t="s">
        <v>110</v>
      </c>
      <c r="C116" s="667"/>
      <c r="D116" s="68" t="s">
        <v>24</v>
      </c>
      <c r="E116" s="679"/>
      <c r="F116" s="529">
        <f>VLOOKUP(D116,'Apr 2013 Revenue'!D:V,19,FALSE)</f>
        <v>0</v>
      </c>
      <c r="G116" s="680"/>
      <c r="H116" s="680"/>
      <c r="I116" s="755"/>
      <c r="J116" s="682">
        <f t="shared" si="14"/>
        <v>0</v>
      </c>
      <c r="K116" s="683"/>
      <c r="L116" s="684"/>
      <c r="M116" s="753"/>
      <c r="N116" s="683">
        <v>0</v>
      </c>
      <c r="O116" s="686"/>
      <c r="P116" s="683">
        <v>0</v>
      </c>
      <c r="Q116" s="687">
        <f t="shared" si="1"/>
        <v>0</v>
      </c>
      <c r="R116" s="687"/>
      <c r="S116" s="687"/>
      <c r="T116" s="688">
        <v>0</v>
      </c>
      <c r="U116" s="693"/>
      <c r="V116" s="690">
        <f t="shared" si="18"/>
        <v>0</v>
      </c>
      <c r="W116" s="683"/>
      <c r="X116" s="474">
        <f t="shared" si="19"/>
        <v>0</v>
      </c>
      <c r="Y116" s="474">
        <f t="shared" si="20"/>
        <v>0</v>
      </c>
      <c r="Z116" s="475">
        <f t="shared" si="21"/>
        <v>0</v>
      </c>
      <c r="AA116" s="475">
        <v>0</v>
      </c>
      <c r="AB116" s="476">
        <v>0</v>
      </c>
      <c r="AC116" s="38">
        <f t="shared" si="22"/>
        <v>0</v>
      </c>
      <c r="AD116" s="692">
        <f t="shared" si="15"/>
        <v>0</v>
      </c>
      <c r="AE116" s="692">
        <f t="shared" si="16"/>
        <v>0</v>
      </c>
      <c r="AF116" s="692">
        <f t="shared" si="17"/>
        <v>0</v>
      </c>
      <c r="AG116" s="38"/>
      <c r="AH116" s="692">
        <f t="shared" si="23"/>
        <v>0</v>
      </c>
      <c r="AI116" s="692">
        <f t="shared" si="24"/>
        <v>0</v>
      </c>
      <c r="AJ116" s="692">
        <f t="shared" si="25"/>
        <v>0</v>
      </c>
      <c r="AL116" s="38">
        <f t="shared" si="26"/>
        <v>0</v>
      </c>
    </row>
    <row r="117" spans="1:38">
      <c r="A117" s="21"/>
      <c r="B117" s="21" t="s">
        <v>110</v>
      </c>
      <c r="C117" s="666"/>
      <c r="D117" s="68" t="s">
        <v>937</v>
      </c>
      <c r="E117" s="679"/>
      <c r="F117" s="529">
        <f>VLOOKUP(D117,'Apr 2013 Revenue'!D:V,19,FALSE)</f>
        <v>0</v>
      </c>
      <c r="G117" s="680"/>
      <c r="H117" s="680"/>
      <c r="I117" s="755"/>
      <c r="J117" s="682">
        <f t="shared" si="14"/>
        <v>0</v>
      </c>
      <c r="K117" s="683"/>
      <c r="L117" s="684"/>
      <c r="M117" s="753"/>
      <c r="N117" s="683">
        <v>0</v>
      </c>
      <c r="O117" s="686"/>
      <c r="P117" s="683">
        <v>0</v>
      </c>
      <c r="Q117" s="687">
        <f t="shared" si="1"/>
        <v>0</v>
      </c>
      <c r="R117" s="687"/>
      <c r="S117" s="687"/>
      <c r="T117" s="688">
        <v>0</v>
      </c>
      <c r="U117" s="693"/>
      <c r="V117" s="690">
        <f t="shared" si="18"/>
        <v>0</v>
      </c>
      <c r="W117" s="683"/>
      <c r="X117" s="474">
        <f t="shared" si="19"/>
        <v>0</v>
      </c>
      <c r="Y117" s="474">
        <f t="shared" si="20"/>
        <v>0</v>
      </c>
      <c r="Z117" s="475">
        <f t="shared" si="21"/>
        <v>0</v>
      </c>
      <c r="AA117" s="475">
        <v>0</v>
      </c>
      <c r="AB117" s="476">
        <v>0</v>
      </c>
      <c r="AC117" s="38">
        <f t="shared" si="22"/>
        <v>0</v>
      </c>
      <c r="AD117" s="692">
        <f t="shared" si="15"/>
        <v>0</v>
      </c>
      <c r="AE117" s="692">
        <f t="shared" si="16"/>
        <v>0</v>
      </c>
      <c r="AF117" s="692">
        <f t="shared" si="17"/>
        <v>0</v>
      </c>
      <c r="AG117" s="38"/>
      <c r="AH117" s="692">
        <f t="shared" si="23"/>
        <v>0</v>
      </c>
      <c r="AI117" s="692">
        <f t="shared" si="24"/>
        <v>0</v>
      </c>
      <c r="AJ117" s="692">
        <f t="shared" si="25"/>
        <v>0</v>
      </c>
      <c r="AL117" s="38">
        <f t="shared" ref="AL117" si="29">SUM(AD117:AJ117)</f>
        <v>0</v>
      </c>
    </row>
    <row r="118" spans="1:38">
      <c r="A118" s="21"/>
      <c r="B118" s="21" t="s">
        <v>110</v>
      </c>
      <c r="C118" s="666" t="s">
        <v>550</v>
      </c>
      <c r="D118" s="68" t="s">
        <v>282</v>
      </c>
      <c r="E118" s="679"/>
      <c r="F118" s="529">
        <f>VLOOKUP(D118,'Apr 2013 Revenue'!D:V,19,FALSE)</f>
        <v>-46426.7</v>
      </c>
      <c r="G118" s="680"/>
      <c r="H118" s="680"/>
      <c r="I118" s="755"/>
      <c r="J118" s="682">
        <f t="shared" si="14"/>
        <v>-46426.7</v>
      </c>
      <c r="K118" s="683"/>
      <c r="L118" s="684"/>
      <c r="M118" s="753">
        <v>40000</v>
      </c>
      <c r="N118" s="683">
        <v>0</v>
      </c>
      <c r="O118" s="686"/>
      <c r="P118" s="683">
        <v>0</v>
      </c>
      <c r="Q118" s="687">
        <f t="shared" si="1"/>
        <v>40000</v>
      </c>
      <c r="R118" s="687"/>
      <c r="S118" s="687"/>
      <c r="T118" s="688">
        <v>56794.02</v>
      </c>
      <c r="U118" s="693"/>
      <c r="V118" s="690">
        <f t="shared" si="18"/>
        <v>16794.019999999997</v>
      </c>
      <c r="W118" s="683"/>
      <c r="X118" s="474">
        <f t="shared" si="19"/>
        <v>40000</v>
      </c>
      <c r="Y118" s="474">
        <f t="shared" si="20"/>
        <v>0</v>
      </c>
      <c r="Z118" s="475">
        <f t="shared" si="21"/>
        <v>0</v>
      </c>
      <c r="AA118" s="475">
        <v>0</v>
      </c>
      <c r="AB118" s="476">
        <v>0</v>
      </c>
      <c r="AC118" s="38">
        <f t="shared" si="22"/>
        <v>0</v>
      </c>
      <c r="AD118" s="692">
        <f t="shared" si="15"/>
        <v>-46426.7</v>
      </c>
      <c r="AE118" s="692">
        <f t="shared" si="16"/>
        <v>0</v>
      </c>
      <c r="AF118" s="692">
        <f t="shared" si="17"/>
        <v>0</v>
      </c>
      <c r="AG118" s="38"/>
      <c r="AH118" s="692">
        <f t="shared" si="23"/>
        <v>40000</v>
      </c>
      <c r="AI118" s="692">
        <f t="shared" si="24"/>
        <v>0</v>
      </c>
      <c r="AJ118" s="692">
        <f t="shared" si="25"/>
        <v>0</v>
      </c>
      <c r="AL118" s="38">
        <f t="shared" si="26"/>
        <v>-6426.6999999999971</v>
      </c>
    </row>
    <row r="119" spans="1:38">
      <c r="A119" s="21"/>
      <c r="B119" s="21" t="s">
        <v>109</v>
      </c>
      <c r="C119" s="666" t="s">
        <v>551</v>
      </c>
      <c r="D119" s="68" t="s">
        <v>499</v>
      </c>
      <c r="E119" s="679"/>
      <c r="F119" s="529">
        <f>VLOOKUP(D119,'Apr 2013 Revenue'!D:V,19,FALSE)</f>
        <v>0</v>
      </c>
      <c r="G119" s="680"/>
      <c r="H119" s="680"/>
      <c r="I119" s="755"/>
      <c r="J119" s="682">
        <f t="shared" si="14"/>
        <v>0</v>
      </c>
      <c r="K119" s="683"/>
      <c r="L119" s="684"/>
      <c r="M119" s="753"/>
      <c r="N119" s="683">
        <v>0</v>
      </c>
      <c r="O119" s="686"/>
      <c r="P119" s="683">
        <v>0</v>
      </c>
      <c r="Q119" s="687">
        <f t="shared" si="1"/>
        <v>0</v>
      </c>
      <c r="R119" s="687"/>
      <c r="S119" s="687"/>
      <c r="T119" s="688">
        <v>0</v>
      </c>
      <c r="U119" s="693"/>
      <c r="V119" s="690">
        <f t="shared" si="18"/>
        <v>0</v>
      </c>
      <c r="W119" s="683"/>
      <c r="X119" s="474">
        <f t="shared" si="19"/>
        <v>0</v>
      </c>
      <c r="Y119" s="474">
        <f t="shared" si="20"/>
        <v>0</v>
      </c>
      <c r="Z119" s="475">
        <f t="shared" si="21"/>
        <v>0</v>
      </c>
      <c r="AA119" s="475">
        <v>0</v>
      </c>
      <c r="AB119" s="476">
        <v>0</v>
      </c>
      <c r="AC119" s="38">
        <f t="shared" si="22"/>
        <v>0</v>
      </c>
      <c r="AD119" s="692">
        <f t="shared" si="15"/>
        <v>0</v>
      </c>
      <c r="AE119" s="692">
        <f t="shared" si="16"/>
        <v>0</v>
      </c>
      <c r="AF119" s="692">
        <f t="shared" si="17"/>
        <v>0</v>
      </c>
      <c r="AG119" s="38"/>
      <c r="AH119" s="692">
        <f t="shared" si="23"/>
        <v>0</v>
      </c>
      <c r="AI119" s="692">
        <f t="shared" si="24"/>
        <v>0</v>
      </c>
      <c r="AJ119" s="692">
        <f t="shared" si="25"/>
        <v>0</v>
      </c>
      <c r="AL119" s="38">
        <f t="shared" si="26"/>
        <v>0</v>
      </c>
    </row>
    <row r="120" spans="1:38">
      <c r="A120" s="21"/>
      <c r="B120" s="21" t="s">
        <v>110</v>
      </c>
      <c r="C120" s="666"/>
      <c r="D120" s="68" t="s">
        <v>28</v>
      </c>
      <c r="E120" s="679"/>
      <c r="F120" s="529">
        <f>VLOOKUP(D120,'Apr 2013 Revenue'!D:V,19,FALSE)</f>
        <v>0</v>
      </c>
      <c r="G120" s="680"/>
      <c r="H120" s="680"/>
      <c r="I120" s="770">
        <v>13580</v>
      </c>
      <c r="J120" s="682">
        <f t="shared" si="14"/>
        <v>13580</v>
      </c>
      <c r="K120" s="683"/>
      <c r="L120" s="684"/>
      <c r="M120" s="753"/>
      <c r="N120" s="683">
        <v>0</v>
      </c>
      <c r="O120" s="686"/>
      <c r="P120" s="683">
        <v>0</v>
      </c>
      <c r="Q120" s="687">
        <f t="shared" si="1"/>
        <v>0</v>
      </c>
      <c r="R120" s="687"/>
      <c r="S120" s="687"/>
      <c r="T120" s="688">
        <v>0</v>
      </c>
      <c r="U120" s="693"/>
      <c r="V120" s="690">
        <f t="shared" si="18"/>
        <v>0</v>
      </c>
      <c r="W120" s="683"/>
      <c r="X120" s="474">
        <f t="shared" si="19"/>
        <v>0</v>
      </c>
      <c r="Y120" s="474">
        <f t="shared" si="20"/>
        <v>0</v>
      </c>
      <c r="Z120" s="475">
        <f t="shared" si="21"/>
        <v>0</v>
      </c>
      <c r="AA120" s="475">
        <v>0</v>
      </c>
      <c r="AB120" s="476">
        <v>0</v>
      </c>
      <c r="AC120" s="38">
        <f t="shared" si="22"/>
        <v>0</v>
      </c>
      <c r="AD120" s="692">
        <f t="shared" si="15"/>
        <v>13580</v>
      </c>
      <c r="AE120" s="692">
        <f t="shared" si="16"/>
        <v>0</v>
      </c>
      <c r="AF120" s="692">
        <f t="shared" si="17"/>
        <v>0</v>
      </c>
      <c r="AG120" s="38"/>
      <c r="AH120" s="692">
        <f t="shared" si="23"/>
        <v>0</v>
      </c>
      <c r="AI120" s="692">
        <f t="shared" si="24"/>
        <v>0</v>
      </c>
      <c r="AJ120" s="692">
        <f t="shared" si="25"/>
        <v>0</v>
      </c>
      <c r="AL120" s="38">
        <f t="shared" si="26"/>
        <v>13580</v>
      </c>
    </row>
    <row r="121" spans="1:38">
      <c r="A121" s="21"/>
      <c r="B121" s="21" t="s">
        <v>114</v>
      </c>
      <c r="C121" s="666" t="s">
        <v>552</v>
      </c>
      <c r="D121" s="68" t="s">
        <v>513</v>
      </c>
      <c r="E121" s="679">
        <v>3450.3</v>
      </c>
      <c r="F121" s="529">
        <f>VLOOKUP(D121,'Apr 2013 Revenue'!D:V,19,FALSE)</f>
        <v>-8000</v>
      </c>
      <c r="G121" s="680"/>
      <c r="H121" s="680"/>
      <c r="I121" s="755"/>
      <c r="J121" s="682">
        <f t="shared" si="14"/>
        <v>-4549.7</v>
      </c>
      <c r="K121" s="683"/>
      <c r="L121" s="684"/>
      <c r="M121" s="753">
        <v>8000</v>
      </c>
      <c r="N121" s="683">
        <v>0</v>
      </c>
      <c r="O121" s="686"/>
      <c r="P121" s="683">
        <v>0</v>
      </c>
      <c r="Q121" s="687">
        <f>L121+M121</f>
        <v>8000</v>
      </c>
      <c r="R121" s="687"/>
      <c r="S121" s="687"/>
      <c r="T121" s="688">
        <v>0</v>
      </c>
      <c r="U121" s="693"/>
      <c r="V121" s="690">
        <f t="shared" si="18"/>
        <v>-8000</v>
      </c>
      <c r="W121" s="683"/>
      <c r="X121" s="474">
        <f t="shared" si="19"/>
        <v>0</v>
      </c>
      <c r="Y121" s="474">
        <f t="shared" si="20"/>
        <v>0</v>
      </c>
      <c r="Z121" s="475">
        <f t="shared" si="21"/>
        <v>8000</v>
      </c>
      <c r="AA121" s="475">
        <v>0</v>
      </c>
      <c r="AB121" s="476">
        <v>0</v>
      </c>
      <c r="AC121" s="38">
        <f t="shared" si="22"/>
        <v>0</v>
      </c>
      <c r="AD121" s="692">
        <f t="shared" si="15"/>
        <v>0</v>
      </c>
      <c r="AE121" s="692">
        <f t="shared" si="16"/>
        <v>0</v>
      </c>
      <c r="AF121" s="692">
        <f t="shared" si="17"/>
        <v>-4549.7</v>
      </c>
      <c r="AG121" s="38"/>
      <c r="AH121" s="692">
        <f t="shared" si="23"/>
        <v>0</v>
      </c>
      <c r="AI121" s="692">
        <f t="shared" si="24"/>
        <v>0</v>
      </c>
      <c r="AJ121" s="692">
        <f t="shared" si="25"/>
        <v>8000</v>
      </c>
      <c r="AL121" s="38">
        <f t="shared" si="26"/>
        <v>3450.3</v>
      </c>
    </row>
    <row r="122" spans="1:38">
      <c r="A122" s="21"/>
      <c r="B122" s="21" t="s">
        <v>109</v>
      </c>
      <c r="C122" s="666" t="s">
        <v>553</v>
      </c>
      <c r="D122" s="68" t="s">
        <v>308</v>
      </c>
      <c r="E122" s="679"/>
      <c r="F122" s="529">
        <f>VLOOKUP(D122,'Apr 2013 Revenue'!D:V,19,FALSE)</f>
        <v>1196.04</v>
      </c>
      <c r="G122" s="680"/>
      <c r="H122" s="680"/>
      <c r="I122" s="755"/>
      <c r="J122" s="682">
        <f t="shared" si="14"/>
        <v>1196.04</v>
      </c>
      <c r="K122" s="683"/>
      <c r="L122" s="684"/>
      <c r="M122" s="753"/>
      <c r="N122" s="683">
        <v>0</v>
      </c>
      <c r="O122" s="686"/>
      <c r="P122" s="683">
        <v>0</v>
      </c>
      <c r="Q122" s="687">
        <f t="shared" si="1"/>
        <v>0</v>
      </c>
      <c r="R122" s="687"/>
      <c r="S122" s="687"/>
      <c r="T122" s="688">
        <v>1216.75</v>
      </c>
      <c r="U122" s="693"/>
      <c r="V122" s="690">
        <f t="shared" si="18"/>
        <v>1216.75</v>
      </c>
      <c r="W122" s="683"/>
      <c r="X122" s="474">
        <f t="shared" si="19"/>
        <v>0</v>
      </c>
      <c r="Y122" s="474">
        <f t="shared" si="20"/>
        <v>0</v>
      </c>
      <c r="Z122" s="475">
        <f t="shared" si="21"/>
        <v>0</v>
      </c>
      <c r="AA122" s="475">
        <v>0</v>
      </c>
      <c r="AB122" s="476">
        <v>0</v>
      </c>
      <c r="AC122" s="38">
        <f t="shared" si="22"/>
        <v>0</v>
      </c>
      <c r="AD122" s="692">
        <f t="shared" si="15"/>
        <v>0</v>
      </c>
      <c r="AE122" s="692">
        <f t="shared" si="16"/>
        <v>1196.04</v>
      </c>
      <c r="AF122" s="692">
        <f t="shared" si="17"/>
        <v>0</v>
      </c>
      <c r="AG122" s="38"/>
      <c r="AH122" s="692">
        <f t="shared" si="23"/>
        <v>0</v>
      </c>
      <c r="AI122" s="692">
        <f t="shared" si="24"/>
        <v>0</v>
      </c>
      <c r="AJ122" s="692">
        <f t="shared" si="25"/>
        <v>0</v>
      </c>
      <c r="AL122" s="38">
        <f t="shared" si="26"/>
        <v>1196.04</v>
      </c>
    </row>
    <row r="123" spans="1:38" s="232" customFormat="1">
      <c r="A123" s="283" t="s">
        <v>211</v>
      </c>
      <c r="B123" s="283" t="s">
        <v>109</v>
      </c>
      <c r="C123" s="667" t="s">
        <v>554</v>
      </c>
      <c r="D123" s="123" t="s">
        <v>389</v>
      </c>
      <c r="E123" s="679"/>
      <c r="F123" s="529">
        <f>VLOOKUP(D123,'Apr 2013 Revenue'!D:V,19,FALSE)</f>
        <v>0</v>
      </c>
      <c r="G123" s="680"/>
      <c r="H123" s="680"/>
      <c r="I123" s="755"/>
      <c r="J123" s="682">
        <f>SUM(E123:I123)</f>
        <v>0</v>
      </c>
      <c r="K123" s="683"/>
      <c r="L123" s="684"/>
      <c r="M123" s="753"/>
      <c r="N123" s="683">
        <v>0</v>
      </c>
      <c r="O123" s="686"/>
      <c r="P123" s="683">
        <v>0</v>
      </c>
      <c r="Q123" s="687">
        <f t="shared" si="1"/>
        <v>0</v>
      </c>
      <c r="R123" s="687"/>
      <c r="S123" s="687"/>
      <c r="T123" s="688">
        <v>0</v>
      </c>
      <c r="U123" s="693"/>
      <c r="V123" s="690">
        <f t="shared" si="18"/>
        <v>0</v>
      </c>
      <c r="W123" s="683"/>
      <c r="X123" s="474">
        <f t="shared" si="19"/>
        <v>0</v>
      </c>
      <c r="Y123" s="474">
        <f t="shared" si="20"/>
        <v>0</v>
      </c>
      <c r="Z123" s="475">
        <f t="shared" si="21"/>
        <v>0</v>
      </c>
      <c r="AA123" s="475">
        <v>0</v>
      </c>
      <c r="AB123" s="476">
        <v>0</v>
      </c>
      <c r="AC123" s="38">
        <f t="shared" si="22"/>
        <v>0</v>
      </c>
      <c r="AD123" s="692">
        <f t="shared" si="15"/>
        <v>0</v>
      </c>
      <c r="AE123" s="692">
        <f t="shared" si="16"/>
        <v>0</v>
      </c>
      <c r="AF123" s="692">
        <f t="shared" si="17"/>
        <v>0</v>
      </c>
      <c r="AG123" s="38"/>
      <c r="AH123" s="692">
        <f t="shared" si="23"/>
        <v>0</v>
      </c>
      <c r="AI123" s="692">
        <f t="shared" si="24"/>
        <v>0</v>
      </c>
      <c r="AJ123" s="692">
        <f t="shared" si="25"/>
        <v>0</v>
      </c>
      <c r="AL123" s="38">
        <f t="shared" si="26"/>
        <v>0</v>
      </c>
    </row>
    <row r="124" spans="1:38" s="232" customFormat="1">
      <c r="A124" s="283"/>
      <c r="B124" s="283" t="s">
        <v>110</v>
      </c>
      <c r="C124" s="667"/>
      <c r="D124" s="123" t="s">
        <v>807</v>
      </c>
      <c r="E124" s="679"/>
      <c r="F124" s="529">
        <f>VLOOKUP(D124,'Apr 2013 Revenue'!D:V,19,FALSE)</f>
        <v>4171.79</v>
      </c>
      <c r="G124" s="680"/>
      <c r="H124" s="680"/>
      <c r="I124" s="755"/>
      <c r="J124" s="682">
        <f>SUM(E124:I124)</f>
        <v>4171.79</v>
      </c>
      <c r="K124" s="683"/>
      <c r="L124" s="684"/>
      <c r="M124" s="753">
        <v>5000</v>
      </c>
      <c r="N124" s="683">
        <v>0</v>
      </c>
      <c r="O124" s="686"/>
      <c r="P124" s="683">
        <v>0</v>
      </c>
      <c r="Q124" s="687">
        <f t="shared" si="1"/>
        <v>5000</v>
      </c>
      <c r="R124" s="687"/>
      <c r="S124" s="687"/>
      <c r="T124" s="688">
        <v>3430.31</v>
      </c>
      <c r="U124" s="693"/>
      <c r="V124" s="690">
        <f t="shared" si="18"/>
        <v>-1569.69</v>
      </c>
      <c r="W124" s="683"/>
      <c r="X124" s="474">
        <f t="shared" si="19"/>
        <v>5000</v>
      </c>
      <c r="Y124" s="474">
        <f t="shared" si="20"/>
        <v>0</v>
      </c>
      <c r="Z124" s="475">
        <f t="shared" si="21"/>
        <v>0</v>
      </c>
      <c r="AA124" s="475">
        <v>0</v>
      </c>
      <c r="AB124" s="476">
        <v>0</v>
      </c>
      <c r="AC124" s="38">
        <f t="shared" si="22"/>
        <v>0</v>
      </c>
      <c r="AD124" s="692">
        <f t="shared" si="15"/>
        <v>4171.79</v>
      </c>
      <c r="AE124" s="692">
        <f t="shared" si="16"/>
        <v>0</v>
      </c>
      <c r="AF124" s="692">
        <f t="shared" si="17"/>
        <v>0</v>
      </c>
      <c r="AG124" s="38"/>
      <c r="AH124" s="692">
        <f t="shared" si="23"/>
        <v>5000</v>
      </c>
      <c r="AI124" s="692">
        <f t="shared" si="24"/>
        <v>0</v>
      </c>
      <c r="AJ124" s="692">
        <f t="shared" si="25"/>
        <v>0</v>
      </c>
      <c r="AL124" s="38">
        <f t="shared" si="26"/>
        <v>9171.7900000000009</v>
      </c>
    </row>
    <row r="125" spans="1:38" s="232" customFormat="1">
      <c r="A125" s="283"/>
      <c r="B125" s="283" t="s">
        <v>109</v>
      </c>
      <c r="C125" s="667"/>
      <c r="D125" s="123" t="s">
        <v>808</v>
      </c>
      <c r="E125" s="679"/>
      <c r="F125" s="529">
        <f>VLOOKUP(D125,'Apr 2013 Revenue'!D:V,19,FALSE)</f>
        <v>18120.820000000007</v>
      </c>
      <c r="G125" s="680"/>
      <c r="H125" s="680"/>
      <c r="I125" s="755"/>
      <c r="J125" s="682">
        <f>SUM(E125:I125)</f>
        <v>18120.820000000007</v>
      </c>
      <c r="K125" s="683"/>
      <c r="L125" s="684"/>
      <c r="M125" s="753">
        <v>40000</v>
      </c>
      <c r="N125" s="683">
        <v>0</v>
      </c>
      <c r="O125" s="686"/>
      <c r="P125" s="683">
        <v>0</v>
      </c>
      <c r="Q125" s="687">
        <f t="shared" si="1"/>
        <v>40000</v>
      </c>
      <c r="R125" s="687"/>
      <c r="S125" s="687"/>
      <c r="T125" s="688">
        <f>31546.82+1070.74+9112.19</f>
        <v>41729.75</v>
      </c>
      <c r="U125" s="693"/>
      <c r="V125" s="690">
        <f t="shared" ref="V125" si="30">IF(T125="","",T125-Q125)</f>
        <v>1729.75</v>
      </c>
      <c r="W125" s="683"/>
      <c r="X125" s="474">
        <f t="shared" si="19"/>
        <v>0</v>
      </c>
      <c r="Y125" s="474">
        <f t="shared" si="20"/>
        <v>40000</v>
      </c>
      <c r="Z125" s="475">
        <f t="shared" si="21"/>
        <v>0</v>
      </c>
      <c r="AA125" s="475">
        <v>0</v>
      </c>
      <c r="AB125" s="476">
        <v>0</v>
      </c>
      <c r="AC125" s="38">
        <f t="shared" si="22"/>
        <v>0</v>
      </c>
      <c r="AD125" s="692">
        <f t="shared" si="15"/>
        <v>0</v>
      </c>
      <c r="AE125" s="692">
        <f t="shared" si="16"/>
        <v>18120.820000000007</v>
      </c>
      <c r="AF125" s="692">
        <f t="shared" si="17"/>
        <v>0</v>
      </c>
      <c r="AG125" s="38"/>
      <c r="AH125" s="692">
        <f t="shared" si="23"/>
        <v>0</v>
      </c>
      <c r="AI125" s="692">
        <f t="shared" si="24"/>
        <v>40000</v>
      </c>
      <c r="AJ125" s="692">
        <f t="shared" si="25"/>
        <v>0</v>
      </c>
      <c r="AL125" s="38">
        <f t="shared" si="26"/>
        <v>58120.820000000007</v>
      </c>
    </row>
    <row r="126" spans="1:38" s="232" customFormat="1">
      <c r="A126" s="403"/>
      <c r="B126" s="403" t="s">
        <v>110</v>
      </c>
      <c r="C126" s="666" t="s">
        <v>563</v>
      </c>
      <c r="D126" s="123" t="s">
        <v>867</v>
      </c>
      <c r="E126" s="679"/>
      <c r="F126" s="529">
        <f>VLOOKUP(D126,'Apr 2013 Revenue'!D:V,19,FALSE)</f>
        <v>0</v>
      </c>
      <c r="G126" s="680"/>
      <c r="H126" s="680"/>
      <c r="I126" s="755"/>
      <c r="J126" s="682">
        <f>SUM(E126:I126)</f>
        <v>0</v>
      </c>
      <c r="K126" s="683"/>
      <c r="L126" s="684"/>
      <c r="M126" s="753"/>
      <c r="N126" s="683">
        <v>0</v>
      </c>
      <c r="O126" s="686"/>
      <c r="P126" s="683">
        <v>0</v>
      </c>
      <c r="Q126" s="687">
        <f t="shared" si="1"/>
        <v>0</v>
      </c>
      <c r="R126" s="687"/>
      <c r="S126" s="687"/>
      <c r="T126" s="688">
        <v>0</v>
      </c>
      <c r="U126" s="693"/>
      <c r="V126" s="690">
        <f t="shared" ref="V126" si="31">IF(T126="","",T126-Q126)</f>
        <v>0</v>
      </c>
      <c r="W126" s="683"/>
      <c r="X126" s="474">
        <f t="shared" si="19"/>
        <v>0</v>
      </c>
      <c r="Y126" s="474">
        <f t="shared" si="20"/>
        <v>0</v>
      </c>
      <c r="Z126" s="475">
        <f t="shared" si="21"/>
        <v>0</v>
      </c>
      <c r="AA126" s="475">
        <v>0</v>
      </c>
      <c r="AB126" s="476">
        <v>0</v>
      </c>
      <c r="AC126" s="38">
        <f t="shared" si="22"/>
        <v>0</v>
      </c>
      <c r="AD126" s="692">
        <f t="shared" si="15"/>
        <v>0</v>
      </c>
      <c r="AE126" s="692">
        <f t="shared" si="16"/>
        <v>0</v>
      </c>
      <c r="AF126" s="692">
        <f t="shared" si="17"/>
        <v>0</v>
      </c>
      <c r="AG126" s="38"/>
      <c r="AH126" s="692">
        <f t="shared" si="23"/>
        <v>0</v>
      </c>
      <c r="AI126" s="692">
        <f t="shared" si="24"/>
        <v>0</v>
      </c>
      <c r="AJ126" s="692">
        <f t="shared" si="25"/>
        <v>0</v>
      </c>
      <c r="AL126" s="38">
        <f t="shared" si="26"/>
        <v>0</v>
      </c>
    </row>
    <row r="127" spans="1:38" s="232" customFormat="1">
      <c r="A127" s="283"/>
      <c r="B127" s="283" t="s">
        <v>110</v>
      </c>
      <c r="C127" s="667"/>
      <c r="D127" s="68" t="s">
        <v>488</v>
      </c>
      <c r="E127" s="679"/>
      <c r="F127" s="529">
        <f>VLOOKUP(D127,'Apr 2013 Revenue'!D:V,19,FALSE)</f>
        <v>0</v>
      </c>
      <c r="G127" s="680"/>
      <c r="H127" s="680"/>
      <c r="I127" s="755"/>
      <c r="J127" s="682">
        <f>SUM(E127:I127)</f>
        <v>0</v>
      </c>
      <c r="K127" s="683"/>
      <c r="L127" s="684"/>
      <c r="M127" s="753"/>
      <c r="N127" s="683">
        <v>0</v>
      </c>
      <c r="O127" s="686"/>
      <c r="P127" s="683">
        <v>0</v>
      </c>
      <c r="Q127" s="687">
        <f t="shared" si="1"/>
        <v>0</v>
      </c>
      <c r="R127" s="687"/>
      <c r="S127" s="687"/>
      <c r="T127" s="688">
        <v>0</v>
      </c>
      <c r="U127" s="693"/>
      <c r="V127" s="690">
        <f t="shared" si="18"/>
        <v>0</v>
      </c>
      <c r="W127" s="683"/>
      <c r="X127" s="474">
        <f t="shared" si="19"/>
        <v>0</v>
      </c>
      <c r="Y127" s="474">
        <f t="shared" si="20"/>
        <v>0</v>
      </c>
      <c r="Z127" s="475">
        <f t="shared" si="21"/>
        <v>0</v>
      </c>
      <c r="AA127" s="475">
        <v>0</v>
      </c>
      <c r="AB127" s="476">
        <v>0</v>
      </c>
      <c r="AC127" s="38">
        <f t="shared" si="22"/>
        <v>0</v>
      </c>
      <c r="AD127" s="692">
        <f t="shared" si="15"/>
        <v>0</v>
      </c>
      <c r="AE127" s="692">
        <f t="shared" si="16"/>
        <v>0</v>
      </c>
      <c r="AF127" s="692">
        <f t="shared" si="17"/>
        <v>0</v>
      </c>
      <c r="AG127" s="38"/>
      <c r="AH127" s="692">
        <f t="shared" si="23"/>
        <v>0</v>
      </c>
      <c r="AI127" s="692">
        <f t="shared" si="24"/>
        <v>0</v>
      </c>
      <c r="AJ127" s="692">
        <f t="shared" si="25"/>
        <v>0</v>
      </c>
      <c r="AL127" s="38">
        <f t="shared" si="26"/>
        <v>0</v>
      </c>
    </row>
    <row r="128" spans="1:38" s="232" customFormat="1">
      <c r="A128" s="283"/>
      <c r="B128" s="283" t="s">
        <v>110</v>
      </c>
      <c r="C128" s="667" t="s">
        <v>555</v>
      </c>
      <c r="D128" s="123" t="s">
        <v>192</v>
      </c>
      <c r="E128" s="679"/>
      <c r="F128" s="529">
        <f>VLOOKUP(D128,'Apr 2013 Revenue'!D:V,19,FALSE)</f>
        <v>-926.21</v>
      </c>
      <c r="G128" s="680"/>
      <c r="H128" s="680"/>
      <c r="I128" s="755"/>
      <c r="J128" s="682">
        <f t="shared" ref="J128:J135" si="32">SUM(F128:I128)</f>
        <v>-926.21</v>
      </c>
      <c r="K128" s="683"/>
      <c r="L128" s="684"/>
      <c r="M128" s="753">
        <v>5000</v>
      </c>
      <c r="N128" s="683">
        <v>0</v>
      </c>
      <c r="O128" s="686"/>
      <c r="P128" s="683">
        <v>0</v>
      </c>
      <c r="Q128" s="687">
        <f t="shared" si="1"/>
        <v>5000</v>
      </c>
      <c r="R128" s="687"/>
      <c r="S128" s="687"/>
      <c r="T128" s="688">
        <v>0</v>
      </c>
      <c r="U128" s="693"/>
      <c r="V128" s="690">
        <f t="shared" si="18"/>
        <v>-5000</v>
      </c>
      <c r="W128" s="683"/>
      <c r="X128" s="474">
        <f t="shared" si="19"/>
        <v>5000</v>
      </c>
      <c r="Y128" s="474">
        <f t="shared" si="20"/>
        <v>0</v>
      </c>
      <c r="Z128" s="475">
        <f t="shared" si="21"/>
        <v>0</v>
      </c>
      <c r="AA128" s="475">
        <v>0</v>
      </c>
      <c r="AB128" s="476">
        <v>0</v>
      </c>
      <c r="AC128" s="38">
        <f t="shared" si="22"/>
        <v>0</v>
      </c>
      <c r="AD128" s="692">
        <f t="shared" si="15"/>
        <v>-926.21</v>
      </c>
      <c r="AE128" s="692">
        <f t="shared" si="16"/>
        <v>0</v>
      </c>
      <c r="AF128" s="692">
        <f t="shared" si="17"/>
        <v>0</v>
      </c>
      <c r="AG128" s="38"/>
      <c r="AH128" s="692">
        <f t="shared" si="23"/>
        <v>5000</v>
      </c>
      <c r="AI128" s="692">
        <f t="shared" si="24"/>
        <v>0</v>
      </c>
      <c r="AJ128" s="692">
        <f t="shared" si="25"/>
        <v>0</v>
      </c>
      <c r="AL128" s="38">
        <f t="shared" si="26"/>
        <v>4073.79</v>
      </c>
    </row>
    <row r="129" spans="1:38" s="232" customFormat="1" hidden="1">
      <c r="A129" s="283"/>
      <c r="B129" s="283" t="s">
        <v>110</v>
      </c>
      <c r="C129" s="667" t="s">
        <v>555</v>
      </c>
      <c r="D129" s="123" t="s">
        <v>193</v>
      </c>
      <c r="E129" s="679"/>
      <c r="F129" s="529">
        <f>VLOOKUP(D129,'Apr 2013 Revenue'!D:V,19,FALSE)</f>
        <v>0</v>
      </c>
      <c r="G129" s="680"/>
      <c r="H129" s="680"/>
      <c r="I129" s="755"/>
      <c r="J129" s="682">
        <f t="shared" si="32"/>
        <v>0</v>
      </c>
      <c r="K129" s="683"/>
      <c r="L129" s="684"/>
      <c r="M129" s="753"/>
      <c r="N129" s="683">
        <v>0</v>
      </c>
      <c r="O129" s="686"/>
      <c r="P129" s="683">
        <v>0</v>
      </c>
      <c r="Q129" s="687">
        <f t="shared" si="1"/>
        <v>0</v>
      </c>
      <c r="R129" s="687"/>
      <c r="S129" s="687"/>
      <c r="T129" s="688">
        <v>0</v>
      </c>
      <c r="U129" s="693"/>
      <c r="V129" s="690">
        <f t="shared" si="18"/>
        <v>0</v>
      </c>
      <c r="W129" s="683"/>
      <c r="X129" s="474">
        <f t="shared" si="19"/>
        <v>0</v>
      </c>
      <c r="Y129" s="474">
        <f t="shared" si="20"/>
        <v>0</v>
      </c>
      <c r="Z129" s="475">
        <f t="shared" si="21"/>
        <v>0</v>
      </c>
      <c r="AA129" s="475">
        <v>0</v>
      </c>
      <c r="AB129" s="476">
        <v>0</v>
      </c>
      <c r="AC129" s="38">
        <f t="shared" si="22"/>
        <v>0</v>
      </c>
      <c r="AD129" s="692">
        <f t="shared" si="15"/>
        <v>0</v>
      </c>
      <c r="AE129" s="692">
        <f t="shared" si="16"/>
        <v>0</v>
      </c>
      <c r="AF129" s="692">
        <f t="shared" si="17"/>
        <v>0</v>
      </c>
      <c r="AG129" s="38"/>
      <c r="AH129" s="692">
        <f t="shared" si="23"/>
        <v>0</v>
      </c>
      <c r="AI129" s="692">
        <f t="shared" si="24"/>
        <v>0</v>
      </c>
      <c r="AJ129" s="692">
        <f t="shared" si="25"/>
        <v>0</v>
      </c>
      <c r="AL129" s="38">
        <f t="shared" si="26"/>
        <v>0</v>
      </c>
    </row>
    <row r="130" spans="1:38" s="232" customFormat="1" hidden="1">
      <c r="A130" s="283"/>
      <c r="B130" s="283" t="s">
        <v>110</v>
      </c>
      <c r="C130" s="667" t="s">
        <v>555</v>
      </c>
      <c r="D130" s="123" t="s">
        <v>194</v>
      </c>
      <c r="E130" s="679"/>
      <c r="F130" s="529">
        <f>VLOOKUP(D130,'Apr 2013 Revenue'!D:V,19,FALSE)</f>
        <v>0</v>
      </c>
      <c r="G130" s="680"/>
      <c r="H130" s="680"/>
      <c r="I130" s="755"/>
      <c r="J130" s="682">
        <f t="shared" si="32"/>
        <v>0</v>
      </c>
      <c r="K130" s="683"/>
      <c r="L130" s="684"/>
      <c r="M130" s="753"/>
      <c r="N130" s="683">
        <v>0</v>
      </c>
      <c r="O130" s="686"/>
      <c r="P130" s="683">
        <v>0</v>
      </c>
      <c r="Q130" s="687">
        <f t="shared" si="1"/>
        <v>0</v>
      </c>
      <c r="R130" s="687"/>
      <c r="S130" s="687"/>
      <c r="T130" s="688">
        <v>0</v>
      </c>
      <c r="U130" s="693"/>
      <c r="V130" s="690">
        <f t="shared" si="18"/>
        <v>0</v>
      </c>
      <c r="W130" s="683"/>
      <c r="X130" s="474">
        <f t="shared" si="19"/>
        <v>0</v>
      </c>
      <c r="Y130" s="474">
        <f t="shared" si="20"/>
        <v>0</v>
      </c>
      <c r="Z130" s="475">
        <f t="shared" si="21"/>
        <v>0</v>
      </c>
      <c r="AA130" s="475">
        <v>0</v>
      </c>
      <c r="AB130" s="476">
        <v>0</v>
      </c>
      <c r="AC130" s="38">
        <f t="shared" si="22"/>
        <v>0</v>
      </c>
      <c r="AD130" s="692">
        <f t="shared" si="15"/>
        <v>0</v>
      </c>
      <c r="AE130" s="692">
        <f t="shared" si="16"/>
        <v>0</v>
      </c>
      <c r="AF130" s="692">
        <f t="shared" si="17"/>
        <v>0</v>
      </c>
      <c r="AG130" s="38"/>
      <c r="AH130" s="692">
        <f t="shared" si="23"/>
        <v>0</v>
      </c>
      <c r="AI130" s="692">
        <f t="shared" si="24"/>
        <v>0</v>
      </c>
      <c r="AJ130" s="692">
        <f t="shared" si="25"/>
        <v>0</v>
      </c>
      <c r="AL130" s="38">
        <f t="shared" si="26"/>
        <v>0</v>
      </c>
    </row>
    <row r="131" spans="1:38" s="232" customFormat="1" hidden="1">
      <c r="A131" s="283"/>
      <c r="B131" s="283" t="s">
        <v>110</v>
      </c>
      <c r="C131" s="667" t="s">
        <v>555</v>
      </c>
      <c r="D131" s="123" t="s">
        <v>195</v>
      </c>
      <c r="E131" s="679"/>
      <c r="F131" s="529">
        <f>VLOOKUP(D131,'Apr 2013 Revenue'!D:V,19,FALSE)</f>
        <v>0</v>
      </c>
      <c r="G131" s="680"/>
      <c r="H131" s="680"/>
      <c r="I131" s="755"/>
      <c r="J131" s="682">
        <f t="shared" si="32"/>
        <v>0</v>
      </c>
      <c r="K131" s="683"/>
      <c r="L131" s="684"/>
      <c r="M131" s="753"/>
      <c r="N131" s="683">
        <v>0</v>
      </c>
      <c r="O131" s="686"/>
      <c r="P131" s="683">
        <v>0</v>
      </c>
      <c r="Q131" s="687">
        <f t="shared" si="1"/>
        <v>0</v>
      </c>
      <c r="R131" s="687"/>
      <c r="S131" s="687"/>
      <c r="T131" s="688">
        <v>0</v>
      </c>
      <c r="U131" s="693"/>
      <c r="V131" s="690">
        <f t="shared" si="18"/>
        <v>0</v>
      </c>
      <c r="W131" s="683"/>
      <c r="X131" s="474">
        <f t="shared" si="19"/>
        <v>0</v>
      </c>
      <c r="Y131" s="474">
        <f t="shared" si="20"/>
        <v>0</v>
      </c>
      <c r="Z131" s="475">
        <f t="shared" si="21"/>
        <v>0</v>
      </c>
      <c r="AA131" s="475">
        <v>0</v>
      </c>
      <c r="AB131" s="476">
        <v>0</v>
      </c>
      <c r="AC131" s="38">
        <f t="shared" si="22"/>
        <v>0</v>
      </c>
      <c r="AD131" s="692">
        <f t="shared" si="15"/>
        <v>0</v>
      </c>
      <c r="AE131" s="692">
        <f t="shared" si="16"/>
        <v>0</v>
      </c>
      <c r="AF131" s="692">
        <f t="shared" si="17"/>
        <v>0</v>
      </c>
      <c r="AG131" s="38"/>
      <c r="AH131" s="692">
        <f t="shared" si="23"/>
        <v>0</v>
      </c>
      <c r="AI131" s="692">
        <f t="shared" si="24"/>
        <v>0</v>
      </c>
      <c r="AJ131" s="692">
        <f t="shared" si="25"/>
        <v>0</v>
      </c>
      <c r="AL131" s="38">
        <f t="shared" si="26"/>
        <v>0</v>
      </c>
    </row>
    <row r="132" spans="1:38" s="232" customFormat="1" hidden="1">
      <c r="A132" s="283"/>
      <c r="B132" s="283" t="s">
        <v>110</v>
      </c>
      <c r="C132" s="667" t="s">
        <v>555</v>
      </c>
      <c r="D132" s="123" t="s">
        <v>196</v>
      </c>
      <c r="E132" s="679"/>
      <c r="F132" s="529">
        <f>VLOOKUP(D132,'Apr 2013 Revenue'!D:V,19,FALSE)</f>
        <v>0</v>
      </c>
      <c r="G132" s="680"/>
      <c r="H132" s="680"/>
      <c r="I132" s="755"/>
      <c r="J132" s="682">
        <f t="shared" si="32"/>
        <v>0</v>
      </c>
      <c r="K132" s="683"/>
      <c r="L132" s="684"/>
      <c r="M132" s="753"/>
      <c r="N132" s="683">
        <v>0</v>
      </c>
      <c r="O132" s="686"/>
      <c r="P132" s="683">
        <v>0</v>
      </c>
      <c r="Q132" s="687">
        <f t="shared" si="1"/>
        <v>0</v>
      </c>
      <c r="R132" s="687"/>
      <c r="S132" s="687"/>
      <c r="T132" s="688">
        <v>0</v>
      </c>
      <c r="U132" s="693"/>
      <c r="V132" s="690">
        <f t="shared" si="18"/>
        <v>0</v>
      </c>
      <c r="W132" s="683"/>
      <c r="X132" s="474">
        <f t="shared" si="19"/>
        <v>0</v>
      </c>
      <c r="Y132" s="474">
        <f t="shared" si="20"/>
        <v>0</v>
      </c>
      <c r="Z132" s="475">
        <f t="shared" si="21"/>
        <v>0</v>
      </c>
      <c r="AA132" s="475">
        <v>0</v>
      </c>
      <c r="AB132" s="476">
        <v>0</v>
      </c>
      <c r="AC132" s="38">
        <f t="shared" si="22"/>
        <v>0</v>
      </c>
      <c r="AD132" s="692">
        <f t="shared" si="15"/>
        <v>0</v>
      </c>
      <c r="AE132" s="692">
        <f t="shared" si="16"/>
        <v>0</v>
      </c>
      <c r="AF132" s="692">
        <f t="shared" si="17"/>
        <v>0</v>
      </c>
      <c r="AG132" s="38"/>
      <c r="AH132" s="692">
        <f t="shared" si="23"/>
        <v>0</v>
      </c>
      <c r="AI132" s="692">
        <f t="shared" si="24"/>
        <v>0</v>
      </c>
      <c r="AJ132" s="692">
        <f t="shared" si="25"/>
        <v>0</v>
      </c>
      <c r="AL132" s="38">
        <f t="shared" si="26"/>
        <v>0</v>
      </c>
    </row>
    <row r="133" spans="1:38" s="232" customFormat="1" hidden="1">
      <c r="A133" s="283"/>
      <c r="B133" s="283" t="s">
        <v>110</v>
      </c>
      <c r="C133" s="667" t="s">
        <v>555</v>
      </c>
      <c r="D133" s="123" t="s">
        <v>197</v>
      </c>
      <c r="E133" s="679"/>
      <c r="F133" s="529">
        <f>VLOOKUP(D133,'Apr 2013 Revenue'!D:V,19,FALSE)</f>
        <v>0</v>
      </c>
      <c r="G133" s="680"/>
      <c r="H133" s="680"/>
      <c r="I133" s="755"/>
      <c r="J133" s="682">
        <f t="shared" si="32"/>
        <v>0</v>
      </c>
      <c r="K133" s="683"/>
      <c r="L133" s="684"/>
      <c r="M133" s="753"/>
      <c r="N133" s="683">
        <v>0</v>
      </c>
      <c r="O133" s="686"/>
      <c r="P133" s="683">
        <v>0</v>
      </c>
      <c r="Q133" s="687">
        <f t="shared" si="1"/>
        <v>0</v>
      </c>
      <c r="R133" s="687"/>
      <c r="S133" s="687"/>
      <c r="T133" s="688">
        <v>0</v>
      </c>
      <c r="U133" s="693"/>
      <c r="V133" s="690">
        <f t="shared" si="18"/>
        <v>0</v>
      </c>
      <c r="W133" s="683"/>
      <c r="X133" s="474">
        <f t="shared" si="19"/>
        <v>0</v>
      </c>
      <c r="Y133" s="474">
        <f t="shared" si="20"/>
        <v>0</v>
      </c>
      <c r="Z133" s="475">
        <f t="shared" si="21"/>
        <v>0</v>
      </c>
      <c r="AA133" s="475">
        <v>0</v>
      </c>
      <c r="AB133" s="476">
        <v>0</v>
      </c>
      <c r="AC133" s="38">
        <f t="shared" si="22"/>
        <v>0</v>
      </c>
      <c r="AD133" s="692">
        <f t="shared" si="15"/>
        <v>0</v>
      </c>
      <c r="AE133" s="692">
        <f t="shared" si="16"/>
        <v>0</v>
      </c>
      <c r="AF133" s="692">
        <f t="shared" si="17"/>
        <v>0</v>
      </c>
      <c r="AG133" s="38"/>
      <c r="AH133" s="692">
        <f t="shared" si="23"/>
        <v>0</v>
      </c>
      <c r="AI133" s="692">
        <f t="shared" si="24"/>
        <v>0</v>
      </c>
      <c r="AJ133" s="692">
        <f t="shared" si="25"/>
        <v>0</v>
      </c>
      <c r="AL133" s="38">
        <f t="shared" si="26"/>
        <v>0</v>
      </c>
    </row>
    <row r="134" spans="1:38" s="232" customFormat="1" hidden="1">
      <c r="A134" s="283"/>
      <c r="B134" s="283" t="s">
        <v>110</v>
      </c>
      <c r="C134" s="667" t="s">
        <v>555</v>
      </c>
      <c r="D134" s="123" t="s">
        <v>440</v>
      </c>
      <c r="E134" s="679"/>
      <c r="F134" s="529">
        <f>VLOOKUP(D134,'Apr 2013 Revenue'!D:V,19,FALSE)</f>
        <v>0</v>
      </c>
      <c r="G134" s="680"/>
      <c r="H134" s="680"/>
      <c r="I134" s="755"/>
      <c r="J134" s="682">
        <f t="shared" si="32"/>
        <v>0</v>
      </c>
      <c r="K134" s="683"/>
      <c r="L134" s="684"/>
      <c r="M134" s="753"/>
      <c r="N134" s="683">
        <v>0</v>
      </c>
      <c r="O134" s="686"/>
      <c r="P134" s="683">
        <v>0</v>
      </c>
      <c r="Q134" s="687">
        <f t="shared" si="1"/>
        <v>0</v>
      </c>
      <c r="R134" s="687"/>
      <c r="S134" s="687"/>
      <c r="T134" s="688">
        <v>0</v>
      </c>
      <c r="U134" s="693"/>
      <c r="V134" s="690">
        <f t="shared" si="18"/>
        <v>0</v>
      </c>
      <c r="W134" s="683"/>
      <c r="X134" s="474">
        <f t="shared" si="19"/>
        <v>0</v>
      </c>
      <c r="Y134" s="474">
        <f t="shared" si="20"/>
        <v>0</v>
      </c>
      <c r="Z134" s="475">
        <f t="shared" si="21"/>
        <v>0</v>
      </c>
      <c r="AA134" s="475">
        <v>0</v>
      </c>
      <c r="AB134" s="476">
        <v>0</v>
      </c>
      <c r="AC134" s="38">
        <f t="shared" si="22"/>
        <v>0</v>
      </c>
      <c r="AD134" s="692">
        <f t="shared" si="15"/>
        <v>0</v>
      </c>
      <c r="AE134" s="692">
        <f t="shared" si="16"/>
        <v>0</v>
      </c>
      <c r="AF134" s="692">
        <f t="shared" si="17"/>
        <v>0</v>
      </c>
      <c r="AG134" s="38"/>
      <c r="AH134" s="692">
        <f t="shared" si="23"/>
        <v>0</v>
      </c>
      <c r="AI134" s="692">
        <f t="shared" si="24"/>
        <v>0</v>
      </c>
      <c r="AJ134" s="692">
        <f t="shared" si="25"/>
        <v>0</v>
      </c>
      <c r="AL134" s="38">
        <f t="shared" si="26"/>
        <v>0</v>
      </c>
    </row>
    <row r="135" spans="1:38" s="232" customFormat="1">
      <c r="A135" s="283"/>
      <c r="B135" s="283" t="s">
        <v>110</v>
      </c>
      <c r="C135" s="667" t="s">
        <v>555</v>
      </c>
      <c r="D135" s="123" t="s">
        <v>481</v>
      </c>
      <c r="E135" s="679"/>
      <c r="F135" s="529">
        <f>VLOOKUP(D135,'Apr 2013 Revenue'!D:V,19,FALSE)</f>
        <v>372.61</v>
      </c>
      <c r="G135" s="680"/>
      <c r="H135" s="680"/>
      <c r="I135" s="755"/>
      <c r="J135" s="682">
        <f t="shared" si="32"/>
        <v>372.61</v>
      </c>
      <c r="K135" s="683"/>
      <c r="L135" s="684"/>
      <c r="M135" s="753"/>
      <c r="N135" s="683">
        <v>0</v>
      </c>
      <c r="O135" s="686"/>
      <c r="P135" s="683">
        <v>0</v>
      </c>
      <c r="Q135" s="687">
        <f t="shared" si="1"/>
        <v>0</v>
      </c>
      <c r="R135" s="687"/>
      <c r="S135" s="687"/>
      <c r="T135" s="688">
        <v>0</v>
      </c>
      <c r="U135" s="693"/>
      <c r="V135" s="690">
        <f t="shared" si="18"/>
        <v>0</v>
      </c>
      <c r="W135" s="683"/>
      <c r="X135" s="474">
        <f t="shared" si="19"/>
        <v>0</v>
      </c>
      <c r="Y135" s="474">
        <f t="shared" si="20"/>
        <v>0</v>
      </c>
      <c r="Z135" s="475">
        <f t="shared" si="21"/>
        <v>0</v>
      </c>
      <c r="AA135" s="475">
        <v>0</v>
      </c>
      <c r="AB135" s="476">
        <v>0</v>
      </c>
      <c r="AC135" s="38">
        <f t="shared" si="22"/>
        <v>0</v>
      </c>
      <c r="AD135" s="692">
        <f t="shared" si="15"/>
        <v>372.61</v>
      </c>
      <c r="AE135" s="692">
        <f t="shared" si="16"/>
        <v>0</v>
      </c>
      <c r="AF135" s="692">
        <f t="shared" si="17"/>
        <v>0</v>
      </c>
      <c r="AG135" s="38"/>
      <c r="AH135" s="692">
        <f t="shared" si="23"/>
        <v>0</v>
      </c>
      <c r="AI135" s="692">
        <f t="shared" si="24"/>
        <v>0</v>
      </c>
      <c r="AJ135" s="692">
        <f t="shared" si="25"/>
        <v>0</v>
      </c>
      <c r="AL135" s="38">
        <f t="shared" si="26"/>
        <v>372.61</v>
      </c>
    </row>
    <row r="136" spans="1:38" s="232" customFormat="1">
      <c r="A136" s="283"/>
      <c r="B136" s="283" t="s">
        <v>109</v>
      </c>
      <c r="C136" s="667" t="s">
        <v>555</v>
      </c>
      <c r="D136" s="123" t="s">
        <v>248</v>
      </c>
      <c r="E136" s="679"/>
      <c r="F136" s="529">
        <f>VLOOKUP(D136,'Apr 2013 Revenue'!D:V,19,FALSE)</f>
        <v>0</v>
      </c>
      <c r="G136" s="680"/>
      <c r="H136" s="680"/>
      <c r="I136" s="755"/>
      <c r="J136" s="682">
        <f t="shared" ref="J136:J167" si="33">SUM(E136:I136)</f>
        <v>0</v>
      </c>
      <c r="K136" s="683"/>
      <c r="L136" s="684"/>
      <c r="M136" s="753"/>
      <c r="N136" s="683">
        <v>0</v>
      </c>
      <c r="O136" s="686"/>
      <c r="P136" s="683">
        <v>0</v>
      </c>
      <c r="Q136" s="687">
        <f t="shared" si="1"/>
        <v>0</v>
      </c>
      <c r="R136" s="687"/>
      <c r="S136" s="687"/>
      <c r="T136" s="688">
        <v>0</v>
      </c>
      <c r="U136" s="693"/>
      <c r="V136" s="690">
        <f t="shared" si="18"/>
        <v>0</v>
      </c>
      <c r="W136" s="683"/>
      <c r="X136" s="474">
        <f t="shared" si="19"/>
        <v>0</v>
      </c>
      <c r="Y136" s="474">
        <f t="shared" si="20"/>
        <v>0</v>
      </c>
      <c r="Z136" s="475">
        <f t="shared" si="21"/>
        <v>0</v>
      </c>
      <c r="AA136" s="475">
        <v>0</v>
      </c>
      <c r="AB136" s="476">
        <v>0</v>
      </c>
      <c r="AC136" s="38">
        <f t="shared" si="22"/>
        <v>0</v>
      </c>
      <c r="AD136" s="692">
        <f t="shared" si="15"/>
        <v>0</v>
      </c>
      <c r="AE136" s="692">
        <f t="shared" si="16"/>
        <v>0</v>
      </c>
      <c r="AF136" s="692">
        <f t="shared" si="17"/>
        <v>0</v>
      </c>
      <c r="AG136" s="38"/>
      <c r="AH136" s="692">
        <f t="shared" si="23"/>
        <v>0</v>
      </c>
      <c r="AI136" s="692">
        <f t="shared" si="24"/>
        <v>0</v>
      </c>
      <c r="AJ136" s="692">
        <f t="shared" si="25"/>
        <v>0</v>
      </c>
      <c r="AL136" s="38">
        <f t="shared" si="26"/>
        <v>0</v>
      </c>
    </row>
    <row r="137" spans="1:38" s="232" customFormat="1">
      <c r="A137" s="283"/>
      <c r="B137" s="20" t="s">
        <v>109</v>
      </c>
      <c r="C137" s="667"/>
      <c r="D137" s="68" t="s">
        <v>465</v>
      </c>
      <c r="E137" s="679">
        <v>5105.3900000000003</v>
      </c>
      <c r="F137" s="529">
        <f>VLOOKUP(D137,'Apr 2013 Revenue'!D:V,19,FALSE)</f>
        <v>-9000</v>
      </c>
      <c r="G137" s="680"/>
      <c r="H137" s="680"/>
      <c r="I137" s="755"/>
      <c r="J137" s="682">
        <f t="shared" si="33"/>
        <v>-3894.6099999999997</v>
      </c>
      <c r="K137" s="683"/>
      <c r="L137" s="684"/>
      <c r="M137" s="753">
        <v>5000</v>
      </c>
      <c r="N137" s="683">
        <v>0</v>
      </c>
      <c r="O137" s="686"/>
      <c r="P137" s="683">
        <v>0</v>
      </c>
      <c r="Q137" s="687">
        <f t="shared" si="1"/>
        <v>5000</v>
      </c>
      <c r="R137" s="687"/>
      <c r="S137" s="687"/>
      <c r="T137" s="688">
        <v>0</v>
      </c>
      <c r="U137" s="693"/>
      <c r="V137" s="690">
        <f t="shared" si="18"/>
        <v>-5000</v>
      </c>
      <c r="W137" s="683"/>
      <c r="X137" s="474">
        <f t="shared" si="19"/>
        <v>0</v>
      </c>
      <c r="Y137" s="474">
        <f t="shared" si="20"/>
        <v>5000</v>
      </c>
      <c r="Z137" s="475">
        <f t="shared" si="21"/>
        <v>0</v>
      </c>
      <c r="AA137" s="475">
        <v>0</v>
      </c>
      <c r="AB137" s="476">
        <v>0</v>
      </c>
      <c r="AC137" s="38">
        <f t="shared" si="22"/>
        <v>0</v>
      </c>
      <c r="AD137" s="692">
        <f t="shared" si="15"/>
        <v>0</v>
      </c>
      <c r="AE137" s="692">
        <f t="shared" si="16"/>
        <v>-3894.6099999999997</v>
      </c>
      <c r="AF137" s="692">
        <f t="shared" si="17"/>
        <v>0</v>
      </c>
      <c r="AG137" s="38"/>
      <c r="AH137" s="692">
        <f t="shared" si="23"/>
        <v>0</v>
      </c>
      <c r="AI137" s="692">
        <f t="shared" si="24"/>
        <v>5000</v>
      </c>
      <c r="AJ137" s="692">
        <f t="shared" si="25"/>
        <v>0</v>
      </c>
      <c r="AL137" s="38">
        <f t="shared" si="26"/>
        <v>1105.3900000000003</v>
      </c>
    </row>
    <row r="138" spans="1:38">
      <c r="A138" s="21"/>
      <c r="B138" s="21" t="s">
        <v>110</v>
      </c>
      <c r="C138" s="666" t="s">
        <v>556</v>
      </c>
      <c r="D138" s="68" t="s">
        <v>261</v>
      </c>
      <c r="E138" s="679"/>
      <c r="F138" s="529">
        <f>VLOOKUP(D138,'Apr 2013 Revenue'!D:V,19,FALSE)</f>
        <v>-9105.8499999999767</v>
      </c>
      <c r="G138" s="680"/>
      <c r="H138" s="680"/>
      <c r="I138" s="755"/>
      <c r="J138" s="682">
        <f t="shared" si="33"/>
        <v>-9105.8499999999767</v>
      </c>
      <c r="K138" s="683"/>
      <c r="L138" s="684"/>
      <c r="M138" s="753">
        <v>300000</v>
      </c>
      <c r="N138" s="683">
        <v>0</v>
      </c>
      <c r="O138" s="686"/>
      <c r="P138" s="683">
        <v>0</v>
      </c>
      <c r="Q138" s="687">
        <f t="shared" si="1"/>
        <v>300000</v>
      </c>
      <c r="R138" s="687"/>
      <c r="S138" s="687"/>
      <c r="T138" s="688">
        <f>304071.44-T139</f>
        <v>285625.51</v>
      </c>
      <c r="U138" s="693"/>
      <c r="V138" s="690">
        <f t="shared" si="18"/>
        <v>-14374.489999999991</v>
      </c>
      <c r="W138" s="683"/>
      <c r="X138" s="474">
        <f t="shared" si="19"/>
        <v>300000</v>
      </c>
      <c r="Y138" s="474">
        <f t="shared" si="20"/>
        <v>0</v>
      </c>
      <c r="Z138" s="475">
        <f t="shared" si="21"/>
        <v>0</v>
      </c>
      <c r="AA138" s="475">
        <v>0</v>
      </c>
      <c r="AB138" s="476">
        <v>0</v>
      </c>
      <c r="AC138" s="38">
        <f t="shared" si="22"/>
        <v>0</v>
      </c>
      <c r="AD138" s="692">
        <f t="shared" si="15"/>
        <v>-9105.8499999999767</v>
      </c>
      <c r="AE138" s="692">
        <f t="shared" si="16"/>
        <v>0</v>
      </c>
      <c r="AF138" s="692">
        <f t="shared" si="17"/>
        <v>0</v>
      </c>
      <c r="AG138" s="38"/>
      <c r="AH138" s="692">
        <f t="shared" si="23"/>
        <v>300000</v>
      </c>
      <c r="AI138" s="692">
        <f t="shared" si="24"/>
        <v>0</v>
      </c>
      <c r="AJ138" s="692">
        <f t="shared" si="25"/>
        <v>0</v>
      </c>
      <c r="AL138" s="38">
        <f t="shared" si="26"/>
        <v>290894.15000000002</v>
      </c>
    </row>
    <row r="139" spans="1:38" s="269" customFormat="1">
      <c r="A139" s="21"/>
      <c r="B139" s="21" t="s">
        <v>110</v>
      </c>
      <c r="C139" s="666" t="s">
        <v>556</v>
      </c>
      <c r="D139" s="68" t="s">
        <v>262</v>
      </c>
      <c r="E139" s="679"/>
      <c r="F139" s="529">
        <f>VLOOKUP(D139,'Apr 2013 Revenue'!D:V,19,FALSE)</f>
        <v>-4683.8100000000013</v>
      </c>
      <c r="G139" s="680"/>
      <c r="H139" s="680"/>
      <c r="I139" s="755"/>
      <c r="J139" s="682">
        <f t="shared" si="33"/>
        <v>-4683.8100000000013</v>
      </c>
      <c r="K139" s="683"/>
      <c r="L139" s="684"/>
      <c r="M139" s="753">
        <v>20000</v>
      </c>
      <c r="N139" s="683">
        <v>0</v>
      </c>
      <c r="O139" s="686"/>
      <c r="P139" s="683">
        <v>0</v>
      </c>
      <c r="Q139" s="687">
        <f t="shared" si="1"/>
        <v>20000</v>
      </c>
      <c r="R139" s="687"/>
      <c r="S139" s="687"/>
      <c r="T139" s="688">
        <v>18445.93</v>
      </c>
      <c r="U139" s="693"/>
      <c r="V139" s="690">
        <f t="shared" si="18"/>
        <v>-1554.0699999999997</v>
      </c>
      <c r="W139" s="683"/>
      <c r="X139" s="474">
        <f t="shared" si="19"/>
        <v>20000</v>
      </c>
      <c r="Y139" s="474">
        <f t="shared" si="20"/>
        <v>0</v>
      </c>
      <c r="Z139" s="475">
        <f t="shared" si="21"/>
        <v>0</v>
      </c>
      <c r="AA139" s="475">
        <v>0</v>
      </c>
      <c r="AB139" s="476">
        <v>0</v>
      </c>
      <c r="AC139" s="38">
        <f t="shared" si="22"/>
        <v>0</v>
      </c>
      <c r="AD139" s="692">
        <f t="shared" si="15"/>
        <v>-4683.8100000000013</v>
      </c>
      <c r="AE139" s="692">
        <f t="shared" si="16"/>
        <v>0</v>
      </c>
      <c r="AF139" s="692">
        <f t="shared" si="17"/>
        <v>0</v>
      </c>
      <c r="AG139" s="38"/>
      <c r="AH139" s="692">
        <f t="shared" si="23"/>
        <v>20000</v>
      </c>
      <c r="AI139" s="692">
        <f t="shared" si="24"/>
        <v>0</v>
      </c>
      <c r="AJ139" s="692">
        <f t="shared" si="25"/>
        <v>0</v>
      </c>
      <c r="AL139" s="38">
        <f t="shared" si="26"/>
        <v>15316.189999999999</v>
      </c>
    </row>
    <row r="140" spans="1:38" s="269" customFormat="1">
      <c r="A140" s="21"/>
      <c r="B140" s="21" t="s">
        <v>114</v>
      </c>
      <c r="C140" s="675" t="s">
        <v>619</v>
      </c>
      <c r="D140" s="68" t="s">
        <v>626</v>
      </c>
      <c r="E140" s="679"/>
      <c r="F140" s="529">
        <f>VLOOKUP(D140,'Apr 2013 Revenue'!D:V,19,FALSE)</f>
        <v>0</v>
      </c>
      <c r="G140" s="680"/>
      <c r="H140" s="680"/>
      <c r="I140" s="770">
        <v>4431.3999999999996</v>
      </c>
      <c r="J140" s="682">
        <f t="shared" si="33"/>
        <v>4431.3999999999996</v>
      </c>
      <c r="K140" s="683"/>
      <c r="L140" s="684"/>
      <c r="M140" s="753"/>
      <c r="N140" s="683">
        <v>0</v>
      </c>
      <c r="O140" s="686"/>
      <c r="P140" s="683">
        <v>0</v>
      </c>
      <c r="Q140" s="687">
        <f t="shared" ref="Q140:Q206" si="34">L140+M140</f>
        <v>0</v>
      </c>
      <c r="R140" s="687"/>
      <c r="S140" s="687"/>
      <c r="T140" s="688">
        <v>0</v>
      </c>
      <c r="U140" s="693"/>
      <c r="V140" s="690">
        <f t="shared" si="18"/>
        <v>0</v>
      </c>
      <c r="W140" s="683"/>
      <c r="X140" s="474">
        <f t="shared" si="19"/>
        <v>0</v>
      </c>
      <c r="Y140" s="474">
        <f t="shared" si="20"/>
        <v>0</v>
      </c>
      <c r="Z140" s="475">
        <f t="shared" si="21"/>
        <v>0</v>
      </c>
      <c r="AA140" s="475">
        <v>0</v>
      </c>
      <c r="AB140" s="476">
        <v>0</v>
      </c>
      <c r="AC140" s="38">
        <f t="shared" si="22"/>
        <v>0</v>
      </c>
      <c r="AD140" s="692">
        <f t="shared" si="15"/>
        <v>0</v>
      </c>
      <c r="AE140" s="692">
        <f t="shared" si="16"/>
        <v>0</v>
      </c>
      <c r="AF140" s="692">
        <f t="shared" si="17"/>
        <v>4431.3999999999996</v>
      </c>
      <c r="AG140" s="38"/>
      <c r="AH140" s="692">
        <f t="shared" si="23"/>
        <v>0</v>
      </c>
      <c r="AI140" s="692">
        <f t="shared" si="24"/>
        <v>0</v>
      </c>
      <c r="AJ140" s="692">
        <f t="shared" si="25"/>
        <v>0</v>
      </c>
      <c r="AL140" s="38">
        <f t="shared" si="26"/>
        <v>4431.3999999999996</v>
      </c>
    </row>
    <row r="141" spans="1:38">
      <c r="A141" s="21"/>
      <c r="B141" s="21" t="s">
        <v>109</v>
      </c>
      <c r="C141" s="666"/>
      <c r="D141" s="68" t="s">
        <v>396</v>
      </c>
      <c r="E141" s="679"/>
      <c r="F141" s="529">
        <f>VLOOKUP(D141,'Apr 2013 Revenue'!D:V,19,FALSE)</f>
        <v>5.97</v>
      </c>
      <c r="G141" s="680"/>
      <c r="H141" s="680"/>
      <c r="I141" s="755"/>
      <c r="J141" s="682">
        <f t="shared" si="33"/>
        <v>5.97</v>
      </c>
      <c r="K141" s="683"/>
      <c r="L141" s="684"/>
      <c r="M141" s="753"/>
      <c r="N141" s="683">
        <v>0</v>
      </c>
      <c r="O141" s="686"/>
      <c r="P141" s="683">
        <v>0</v>
      </c>
      <c r="Q141" s="687">
        <f t="shared" si="34"/>
        <v>0</v>
      </c>
      <c r="R141" s="687"/>
      <c r="S141" s="687"/>
      <c r="T141" s="688">
        <v>0</v>
      </c>
      <c r="U141" s="693"/>
      <c r="V141" s="690">
        <f t="shared" si="18"/>
        <v>0</v>
      </c>
      <c r="W141" s="683"/>
      <c r="X141" s="474">
        <f t="shared" si="19"/>
        <v>0</v>
      </c>
      <c r="Y141" s="474">
        <f t="shared" si="20"/>
        <v>0</v>
      </c>
      <c r="Z141" s="475">
        <f t="shared" si="21"/>
        <v>0</v>
      </c>
      <c r="AA141" s="475">
        <v>0</v>
      </c>
      <c r="AB141" s="476">
        <v>0</v>
      </c>
      <c r="AC141" s="38">
        <f t="shared" si="22"/>
        <v>0</v>
      </c>
      <c r="AD141" s="692">
        <f t="shared" si="15"/>
        <v>0</v>
      </c>
      <c r="AE141" s="692">
        <f t="shared" si="16"/>
        <v>5.97</v>
      </c>
      <c r="AF141" s="692">
        <f t="shared" si="17"/>
        <v>0</v>
      </c>
      <c r="AG141" s="38"/>
      <c r="AH141" s="692">
        <f t="shared" si="23"/>
        <v>0</v>
      </c>
      <c r="AI141" s="692">
        <f t="shared" si="24"/>
        <v>0</v>
      </c>
      <c r="AJ141" s="692">
        <f t="shared" si="25"/>
        <v>0</v>
      </c>
      <c r="AL141" s="38">
        <f t="shared" si="26"/>
        <v>5.97</v>
      </c>
    </row>
    <row r="142" spans="1:38">
      <c r="A142" s="20"/>
      <c r="B142" s="20" t="s">
        <v>109</v>
      </c>
      <c r="C142" s="667" t="s">
        <v>557</v>
      </c>
      <c r="D142" s="68" t="s">
        <v>32</v>
      </c>
      <c r="E142" s="679">
        <f>86.45+2.21+41.69</f>
        <v>130.35</v>
      </c>
      <c r="F142" s="529">
        <f>VLOOKUP(D142,'Apr 2013 Revenue'!D:V,19,FALSE)</f>
        <v>41.730000000000004</v>
      </c>
      <c r="G142" s="680"/>
      <c r="H142" s="680"/>
      <c r="I142" s="755"/>
      <c r="J142" s="682">
        <f t="shared" si="33"/>
        <v>172.07999999999998</v>
      </c>
      <c r="K142" s="683"/>
      <c r="L142" s="684"/>
      <c r="M142" s="753"/>
      <c r="N142" s="683">
        <v>0</v>
      </c>
      <c r="O142" s="686"/>
      <c r="P142" s="683">
        <v>0</v>
      </c>
      <c r="Q142" s="687">
        <f t="shared" si="34"/>
        <v>0</v>
      </c>
      <c r="R142" s="687"/>
      <c r="S142" s="687"/>
      <c r="T142" s="688">
        <v>0</v>
      </c>
      <c r="U142" s="693"/>
      <c r="V142" s="690">
        <f t="shared" si="18"/>
        <v>0</v>
      </c>
      <c r="W142" s="683"/>
      <c r="X142" s="474">
        <f t="shared" si="19"/>
        <v>0</v>
      </c>
      <c r="Y142" s="474">
        <f t="shared" si="20"/>
        <v>0</v>
      </c>
      <c r="Z142" s="475">
        <f t="shared" si="21"/>
        <v>0</v>
      </c>
      <c r="AA142" s="475">
        <v>0</v>
      </c>
      <c r="AB142" s="476">
        <v>0</v>
      </c>
      <c r="AC142" s="38">
        <f t="shared" si="22"/>
        <v>0</v>
      </c>
      <c r="AD142" s="692">
        <f t="shared" si="15"/>
        <v>0</v>
      </c>
      <c r="AE142" s="692">
        <f t="shared" si="16"/>
        <v>172.07999999999998</v>
      </c>
      <c r="AF142" s="692">
        <f t="shared" si="17"/>
        <v>0</v>
      </c>
      <c r="AG142" s="38"/>
      <c r="AH142" s="692">
        <f t="shared" si="23"/>
        <v>0</v>
      </c>
      <c r="AI142" s="692">
        <f t="shared" si="24"/>
        <v>0</v>
      </c>
      <c r="AJ142" s="692">
        <f t="shared" si="25"/>
        <v>0</v>
      </c>
      <c r="AL142" s="38">
        <f t="shared" si="26"/>
        <v>172.07999999999998</v>
      </c>
    </row>
    <row r="143" spans="1:38">
      <c r="A143" s="21"/>
      <c r="B143" s="21" t="s">
        <v>110</v>
      </c>
      <c r="C143" s="666"/>
      <c r="D143" s="68" t="s">
        <v>448</v>
      </c>
      <c r="E143" s="679"/>
      <c r="F143" s="529">
        <f>VLOOKUP(D143,'Apr 2013 Revenue'!D:V,19,FALSE)</f>
        <v>0</v>
      </c>
      <c r="G143" s="680"/>
      <c r="H143" s="680"/>
      <c r="I143" s="755"/>
      <c r="J143" s="682">
        <f t="shared" si="33"/>
        <v>0</v>
      </c>
      <c r="K143" s="683"/>
      <c r="L143" s="684"/>
      <c r="M143" s="753"/>
      <c r="N143" s="683">
        <v>0</v>
      </c>
      <c r="O143" s="686"/>
      <c r="P143" s="683">
        <v>0</v>
      </c>
      <c r="Q143" s="687">
        <f t="shared" si="34"/>
        <v>0</v>
      </c>
      <c r="R143" s="687"/>
      <c r="S143" s="687"/>
      <c r="T143" s="688">
        <v>0</v>
      </c>
      <c r="U143" s="693"/>
      <c r="V143" s="690">
        <f t="shared" si="18"/>
        <v>0</v>
      </c>
      <c r="W143" s="683"/>
      <c r="X143" s="474">
        <f t="shared" si="19"/>
        <v>0</v>
      </c>
      <c r="Y143" s="474">
        <f t="shared" si="20"/>
        <v>0</v>
      </c>
      <c r="Z143" s="475">
        <f t="shared" si="21"/>
        <v>0</v>
      </c>
      <c r="AA143" s="475">
        <v>0</v>
      </c>
      <c r="AB143" s="476">
        <v>0</v>
      </c>
      <c r="AC143" s="38">
        <f t="shared" si="22"/>
        <v>0</v>
      </c>
      <c r="AD143" s="692">
        <f t="shared" si="15"/>
        <v>0</v>
      </c>
      <c r="AE143" s="692">
        <f t="shared" si="16"/>
        <v>0</v>
      </c>
      <c r="AF143" s="692">
        <f t="shared" si="17"/>
        <v>0</v>
      </c>
      <c r="AG143" s="38"/>
      <c r="AH143" s="692">
        <f t="shared" si="23"/>
        <v>0</v>
      </c>
      <c r="AI143" s="692">
        <f t="shared" si="24"/>
        <v>0</v>
      </c>
      <c r="AJ143" s="692">
        <f t="shared" si="25"/>
        <v>0</v>
      </c>
      <c r="AL143" s="38">
        <f t="shared" si="26"/>
        <v>0</v>
      </c>
    </row>
    <row r="144" spans="1:38">
      <c r="A144" s="21"/>
      <c r="B144" s="21" t="s">
        <v>114</v>
      </c>
      <c r="C144" s="666"/>
      <c r="D144" s="68" t="s">
        <v>936</v>
      </c>
      <c r="E144" s="679"/>
      <c r="F144" s="529">
        <f>VLOOKUP(D144,'Apr 2013 Revenue'!D:V,19,FALSE)</f>
        <v>0</v>
      </c>
      <c r="G144" s="680"/>
      <c r="H144" s="680"/>
      <c r="I144" s="755"/>
      <c r="J144" s="682">
        <f t="shared" si="33"/>
        <v>0</v>
      </c>
      <c r="K144" s="683"/>
      <c r="L144" s="684"/>
      <c r="M144" s="753"/>
      <c r="N144" s="683">
        <v>0</v>
      </c>
      <c r="O144" s="686"/>
      <c r="P144" s="683">
        <v>0</v>
      </c>
      <c r="Q144" s="687">
        <f t="shared" si="34"/>
        <v>0</v>
      </c>
      <c r="R144" s="687"/>
      <c r="S144" s="687"/>
      <c r="T144" s="688">
        <v>0</v>
      </c>
      <c r="U144" s="693"/>
      <c r="V144" s="690">
        <f t="shared" si="18"/>
        <v>0</v>
      </c>
      <c r="W144" s="683"/>
      <c r="X144" s="474">
        <f t="shared" si="19"/>
        <v>0</v>
      </c>
      <c r="Y144" s="474">
        <f t="shared" si="20"/>
        <v>0</v>
      </c>
      <c r="Z144" s="475">
        <f t="shared" si="21"/>
        <v>0</v>
      </c>
      <c r="AA144" s="475">
        <v>0</v>
      </c>
      <c r="AB144" s="476">
        <v>0</v>
      </c>
      <c r="AC144" s="38">
        <f t="shared" si="22"/>
        <v>0</v>
      </c>
      <c r="AD144" s="692">
        <f t="shared" si="15"/>
        <v>0</v>
      </c>
      <c r="AE144" s="692">
        <f t="shared" si="16"/>
        <v>0</v>
      </c>
      <c r="AF144" s="692">
        <f t="shared" si="17"/>
        <v>0</v>
      </c>
      <c r="AG144" s="38"/>
      <c r="AH144" s="692">
        <f t="shared" si="23"/>
        <v>0</v>
      </c>
      <c r="AI144" s="692">
        <f t="shared" si="24"/>
        <v>0</v>
      </c>
      <c r="AJ144" s="692">
        <f t="shared" si="25"/>
        <v>0</v>
      </c>
      <c r="AL144" s="38">
        <f t="shared" ref="AL144" si="35">SUM(AD144:AJ144)</f>
        <v>0</v>
      </c>
    </row>
    <row r="145" spans="1:38">
      <c r="A145" s="21"/>
      <c r="B145" s="21" t="s">
        <v>110</v>
      </c>
      <c r="C145" s="666"/>
      <c r="D145" s="68" t="s">
        <v>877</v>
      </c>
      <c r="E145" s="679"/>
      <c r="F145" s="529">
        <f>VLOOKUP(D145,'Apr 2013 Revenue'!D:V,19,FALSE)</f>
        <v>0</v>
      </c>
      <c r="G145" s="680"/>
      <c r="H145" s="680"/>
      <c r="I145" s="755"/>
      <c r="J145" s="682">
        <f t="shared" si="33"/>
        <v>0</v>
      </c>
      <c r="K145" s="683"/>
      <c r="L145" s="684"/>
      <c r="M145" s="753"/>
      <c r="N145" s="683">
        <v>0</v>
      </c>
      <c r="O145" s="686"/>
      <c r="P145" s="683">
        <v>0</v>
      </c>
      <c r="Q145" s="687">
        <f t="shared" si="34"/>
        <v>0</v>
      </c>
      <c r="R145" s="687"/>
      <c r="S145" s="687"/>
      <c r="T145" s="688">
        <v>0</v>
      </c>
      <c r="U145" s="693"/>
      <c r="V145" s="690">
        <f t="shared" si="18"/>
        <v>0</v>
      </c>
      <c r="W145" s="683"/>
      <c r="X145" s="474">
        <f t="shared" si="19"/>
        <v>0</v>
      </c>
      <c r="Y145" s="474">
        <f t="shared" si="20"/>
        <v>0</v>
      </c>
      <c r="Z145" s="475">
        <f t="shared" si="21"/>
        <v>0</v>
      </c>
      <c r="AA145" s="475">
        <v>0</v>
      </c>
      <c r="AB145" s="476">
        <v>0</v>
      </c>
      <c r="AC145" s="38">
        <f t="shared" si="22"/>
        <v>0</v>
      </c>
      <c r="AD145" s="692">
        <f t="shared" si="15"/>
        <v>0</v>
      </c>
      <c r="AE145" s="692">
        <f t="shared" si="16"/>
        <v>0</v>
      </c>
      <c r="AF145" s="692">
        <f t="shared" si="17"/>
        <v>0</v>
      </c>
      <c r="AG145" s="38"/>
      <c r="AH145" s="692">
        <f t="shared" si="23"/>
        <v>0</v>
      </c>
      <c r="AI145" s="692">
        <f t="shared" si="24"/>
        <v>0</v>
      </c>
      <c r="AJ145" s="692">
        <f t="shared" si="25"/>
        <v>0</v>
      </c>
      <c r="AL145" s="38">
        <f t="shared" si="26"/>
        <v>0</v>
      </c>
    </row>
    <row r="146" spans="1:38">
      <c r="A146" s="21"/>
      <c r="B146" s="21" t="s">
        <v>110</v>
      </c>
      <c r="C146" s="666" t="s">
        <v>558</v>
      </c>
      <c r="D146" s="68" t="s">
        <v>122</v>
      </c>
      <c r="E146" s="679">
        <v>484.23</v>
      </c>
      <c r="F146" s="529">
        <f>VLOOKUP(D146,'Apr 2013 Revenue'!D:V,19,FALSE)</f>
        <v>0</v>
      </c>
      <c r="G146" s="680"/>
      <c r="H146" s="680"/>
      <c r="I146" s="755"/>
      <c r="J146" s="682">
        <f t="shared" si="33"/>
        <v>484.23</v>
      </c>
      <c r="K146" s="683"/>
      <c r="L146" s="684"/>
      <c r="M146" s="753"/>
      <c r="N146" s="683">
        <v>0</v>
      </c>
      <c r="O146" s="686"/>
      <c r="P146" s="683">
        <v>0</v>
      </c>
      <c r="Q146" s="687">
        <f t="shared" si="34"/>
        <v>0</v>
      </c>
      <c r="R146" s="687"/>
      <c r="S146" s="687"/>
      <c r="T146" s="688">
        <v>0</v>
      </c>
      <c r="U146" s="693"/>
      <c r="V146" s="690">
        <f t="shared" si="18"/>
        <v>0</v>
      </c>
      <c r="W146" s="683"/>
      <c r="X146" s="474">
        <f t="shared" si="19"/>
        <v>0</v>
      </c>
      <c r="Y146" s="474">
        <f t="shared" si="20"/>
        <v>0</v>
      </c>
      <c r="Z146" s="475">
        <f t="shared" si="21"/>
        <v>0</v>
      </c>
      <c r="AA146" s="475">
        <v>0</v>
      </c>
      <c r="AB146" s="476">
        <v>0</v>
      </c>
      <c r="AC146" s="38">
        <f t="shared" si="22"/>
        <v>0</v>
      </c>
      <c r="AD146" s="692">
        <f t="shared" si="15"/>
        <v>484.23</v>
      </c>
      <c r="AE146" s="692">
        <f t="shared" si="16"/>
        <v>0</v>
      </c>
      <c r="AF146" s="692">
        <f t="shared" si="17"/>
        <v>0</v>
      </c>
      <c r="AG146" s="38"/>
      <c r="AH146" s="692">
        <f t="shared" si="23"/>
        <v>0</v>
      </c>
      <c r="AI146" s="692">
        <f t="shared" si="24"/>
        <v>0</v>
      </c>
      <c r="AJ146" s="692">
        <f t="shared" si="25"/>
        <v>0</v>
      </c>
      <c r="AL146" s="38">
        <f t="shared" si="26"/>
        <v>484.23</v>
      </c>
    </row>
    <row r="147" spans="1:38">
      <c r="A147" s="21"/>
      <c r="B147" s="21" t="s">
        <v>114</v>
      </c>
      <c r="C147" s="666" t="s">
        <v>558</v>
      </c>
      <c r="D147" s="68" t="s">
        <v>629</v>
      </c>
      <c r="E147" s="679">
        <v>37.799999999999997</v>
      </c>
      <c r="F147" s="529">
        <f>VLOOKUP(D147,'Apr 2013 Revenue'!D:V,19,FALSE)</f>
        <v>0</v>
      </c>
      <c r="G147" s="680"/>
      <c r="H147" s="680"/>
      <c r="I147" s="755"/>
      <c r="J147" s="682">
        <f t="shared" si="33"/>
        <v>37.799999999999997</v>
      </c>
      <c r="K147" s="683"/>
      <c r="L147" s="684"/>
      <c r="M147" s="753"/>
      <c r="N147" s="683">
        <v>0</v>
      </c>
      <c r="O147" s="686"/>
      <c r="P147" s="683">
        <v>0</v>
      </c>
      <c r="Q147" s="687">
        <f t="shared" si="34"/>
        <v>0</v>
      </c>
      <c r="R147" s="687"/>
      <c r="S147" s="687"/>
      <c r="T147" s="688">
        <v>0</v>
      </c>
      <c r="U147" s="693"/>
      <c r="V147" s="690">
        <f t="shared" si="18"/>
        <v>0</v>
      </c>
      <c r="W147" s="683"/>
      <c r="X147" s="474">
        <f t="shared" si="19"/>
        <v>0</v>
      </c>
      <c r="Y147" s="474">
        <f t="shared" si="20"/>
        <v>0</v>
      </c>
      <c r="Z147" s="475">
        <f t="shared" si="21"/>
        <v>0</v>
      </c>
      <c r="AA147" s="475">
        <v>0</v>
      </c>
      <c r="AB147" s="476">
        <v>0</v>
      </c>
      <c r="AC147" s="38">
        <f t="shared" si="22"/>
        <v>0</v>
      </c>
      <c r="AD147" s="692">
        <f t="shared" ref="AD147:AD210" si="36">IF(B147="D",J147,0)</f>
        <v>0</v>
      </c>
      <c r="AE147" s="692">
        <f t="shared" ref="AE147:AE210" si="37">IF(B147="M",J147,0)</f>
        <v>0</v>
      </c>
      <c r="AF147" s="692">
        <f t="shared" ref="AF147:AF210" si="38">IF(B147="V",J147,0)</f>
        <v>37.799999999999997</v>
      </c>
      <c r="AG147" s="38"/>
      <c r="AH147" s="692">
        <f t="shared" si="23"/>
        <v>0</v>
      </c>
      <c r="AI147" s="692">
        <f t="shared" si="24"/>
        <v>0</v>
      </c>
      <c r="AJ147" s="692">
        <f t="shared" si="25"/>
        <v>0</v>
      </c>
      <c r="AL147" s="38">
        <f t="shared" ref="AL147:AL210" si="39">SUM(AD147:AJ147)</f>
        <v>37.799999999999997</v>
      </c>
    </row>
    <row r="148" spans="1:38">
      <c r="A148" s="21"/>
      <c r="B148" s="21" t="s">
        <v>109</v>
      </c>
      <c r="C148" s="666" t="s">
        <v>559</v>
      </c>
      <c r="D148" s="68" t="s">
        <v>33</v>
      </c>
      <c r="E148" s="679"/>
      <c r="F148" s="529">
        <f>VLOOKUP(D148,'Apr 2013 Revenue'!D:V,19,FALSE)</f>
        <v>0</v>
      </c>
      <c r="G148" s="680"/>
      <c r="H148" s="680"/>
      <c r="I148" s="755"/>
      <c r="J148" s="682">
        <f t="shared" si="33"/>
        <v>0</v>
      </c>
      <c r="K148" s="683"/>
      <c r="L148" s="684"/>
      <c r="M148" s="753"/>
      <c r="N148" s="683">
        <v>0</v>
      </c>
      <c r="O148" s="686"/>
      <c r="P148" s="683">
        <v>0</v>
      </c>
      <c r="Q148" s="687">
        <f t="shared" si="34"/>
        <v>0</v>
      </c>
      <c r="R148" s="687"/>
      <c r="S148" s="687"/>
      <c r="T148" s="688">
        <v>0</v>
      </c>
      <c r="U148" s="693"/>
      <c r="V148" s="690">
        <f t="shared" si="18"/>
        <v>0</v>
      </c>
      <c r="W148" s="683"/>
      <c r="X148" s="474">
        <f t="shared" si="19"/>
        <v>0</v>
      </c>
      <c r="Y148" s="474">
        <f t="shared" si="20"/>
        <v>0</v>
      </c>
      <c r="Z148" s="475">
        <f t="shared" si="21"/>
        <v>0</v>
      </c>
      <c r="AA148" s="475">
        <v>0</v>
      </c>
      <c r="AB148" s="476">
        <v>0</v>
      </c>
      <c r="AC148" s="38">
        <f t="shared" si="22"/>
        <v>0</v>
      </c>
      <c r="AD148" s="692">
        <f t="shared" si="36"/>
        <v>0</v>
      </c>
      <c r="AE148" s="692">
        <f t="shared" si="37"/>
        <v>0</v>
      </c>
      <c r="AF148" s="692">
        <f t="shared" si="38"/>
        <v>0</v>
      </c>
      <c r="AG148" s="38"/>
      <c r="AH148" s="692">
        <f t="shared" ref="AH148:AH211" si="40">IF(B148="D",Q148,0)</f>
        <v>0</v>
      </c>
      <c r="AI148" s="692">
        <f t="shared" ref="AI148:AI211" si="41">IF(B148="M",Q148,0)</f>
        <v>0</v>
      </c>
      <c r="AJ148" s="692">
        <f t="shared" ref="AJ148:AJ211" si="42">IF(B148="V",Q148,0)</f>
        <v>0</v>
      </c>
      <c r="AL148" s="38">
        <f t="shared" si="39"/>
        <v>0</v>
      </c>
    </row>
    <row r="149" spans="1:38">
      <c r="A149" s="21"/>
      <c r="B149" s="21" t="s">
        <v>109</v>
      </c>
      <c r="C149" s="666" t="s">
        <v>560</v>
      </c>
      <c r="D149" s="68" t="s">
        <v>379</v>
      </c>
      <c r="E149" s="679"/>
      <c r="F149" s="529">
        <f>VLOOKUP(D149,'Apr 2013 Revenue'!D:V,19,FALSE)</f>
        <v>34.43</v>
      </c>
      <c r="G149" s="680"/>
      <c r="H149" s="680"/>
      <c r="I149" s="755"/>
      <c r="J149" s="682">
        <f t="shared" si="33"/>
        <v>34.43</v>
      </c>
      <c r="K149" s="683"/>
      <c r="L149" s="684"/>
      <c r="M149" s="753"/>
      <c r="N149" s="683">
        <v>0</v>
      </c>
      <c r="O149" s="686"/>
      <c r="P149" s="683">
        <v>0</v>
      </c>
      <c r="Q149" s="687">
        <f t="shared" si="34"/>
        <v>0</v>
      </c>
      <c r="R149" s="687"/>
      <c r="S149" s="687"/>
      <c r="T149" s="688">
        <v>70.97</v>
      </c>
      <c r="U149" s="693"/>
      <c r="V149" s="690">
        <f t="shared" ref="V149:V212" si="43">IF(T149="","",T149-Q149)</f>
        <v>70.97</v>
      </c>
      <c r="W149" s="683"/>
      <c r="X149" s="474">
        <f t="shared" ref="X149:X212" si="44">IF(B149="D",Q149,0)</f>
        <v>0</v>
      </c>
      <c r="Y149" s="474">
        <f t="shared" ref="Y149:Y212" si="45">IF(B149="M",Q149,0)</f>
        <v>0</v>
      </c>
      <c r="Z149" s="475">
        <f t="shared" ref="Z149:Z212" si="46">IF(B149="V",Q149,0)</f>
        <v>0</v>
      </c>
      <c r="AA149" s="475">
        <v>0</v>
      </c>
      <c r="AB149" s="476">
        <v>0</v>
      </c>
      <c r="AC149" s="38">
        <f t="shared" ref="AC149:AC212" si="47">(L149+M149)-(X149+Y149+Z149+AA149+AB149)</f>
        <v>0</v>
      </c>
      <c r="AD149" s="692">
        <f t="shared" si="36"/>
        <v>0</v>
      </c>
      <c r="AE149" s="692">
        <f t="shared" si="37"/>
        <v>34.43</v>
      </c>
      <c r="AF149" s="692">
        <f t="shared" si="38"/>
        <v>0</v>
      </c>
      <c r="AG149" s="38"/>
      <c r="AH149" s="692">
        <f t="shared" si="40"/>
        <v>0</v>
      </c>
      <c r="AI149" s="692">
        <f t="shared" si="41"/>
        <v>0</v>
      </c>
      <c r="AJ149" s="692">
        <f t="shared" si="42"/>
        <v>0</v>
      </c>
      <c r="AL149" s="38">
        <f t="shared" si="39"/>
        <v>34.43</v>
      </c>
    </row>
    <row r="150" spans="1:38" s="232" customFormat="1">
      <c r="A150" s="283"/>
      <c r="B150" s="283" t="s">
        <v>114</v>
      </c>
      <c r="C150" s="667"/>
      <c r="D150" s="500" t="s">
        <v>408</v>
      </c>
      <c r="E150" s="679"/>
      <c r="F150" s="529">
        <f>VLOOKUP(D150,'Apr 2013 Revenue'!D:V,19,FALSE)</f>
        <v>0</v>
      </c>
      <c r="G150" s="680"/>
      <c r="H150" s="680"/>
      <c r="I150" s="770">
        <v>7837.5</v>
      </c>
      <c r="J150" s="682">
        <f t="shared" si="33"/>
        <v>7837.5</v>
      </c>
      <c r="K150" s="683"/>
      <c r="L150" s="684"/>
      <c r="M150" s="753"/>
      <c r="N150" s="683">
        <v>0</v>
      </c>
      <c r="O150" s="686"/>
      <c r="P150" s="683">
        <v>0</v>
      </c>
      <c r="Q150" s="687">
        <f t="shared" si="34"/>
        <v>0</v>
      </c>
      <c r="R150" s="687"/>
      <c r="S150" s="687"/>
      <c r="T150" s="688">
        <v>0</v>
      </c>
      <c r="U150" s="693"/>
      <c r="V150" s="690">
        <f t="shared" si="43"/>
        <v>0</v>
      </c>
      <c r="W150" s="683"/>
      <c r="X150" s="474">
        <f t="shared" si="44"/>
        <v>0</v>
      </c>
      <c r="Y150" s="474">
        <f t="shared" si="45"/>
        <v>0</v>
      </c>
      <c r="Z150" s="475">
        <f t="shared" si="46"/>
        <v>0</v>
      </c>
      <c r="AA150" s="475">
        <v>0</v>
      </c>
      <c r="AB150" s="476">
        <v>0</v>
      </c>
      <c r="AC150" s="38">
        <f t="shared" si="47"/>
        <v>0</v>
      </c>
      <c r="AD150" s="692">
        <f t="shared" si="36"/>
        <v>0</v>
      </c>
      <c r="AE150" s="692">
        <f t="shared" si="37"/>
        <v>0</v>
      </c>
      <c r="AF150" s="692">
        <f t="shared" si="38"/>
        <v>7837.5</v>
      </c>
      <c r="AG150" s="38"/>
      <c r="AH150" s="692">
        <f t="shared" si="40"/>
        <v>0</v>
      </c>
      <c r="AI150" s="692">
        <f t="shared" si="41"/>
        <v>0</v>
      </c>
      <c r="AJ150" s="692">
        <f t="shared" si="42"/>
        <v>0</v>
      </c>
      <c r="AL150" s="38">
        <f t="shared" si="39"/>
        <v>7837.5</v>
      </c>
    </row>
    <row r="151" spans="1:38" s="232" customFormat="1">
      <c r="A151" s="283"/>
      <c r="B151" s="283" t="s">
        <v>110</v>
      </c>
      <c r="C151" s="667"/>
      <c r="D151" s="567" t="s">
        <v>445</v>
      </c>
      <c r="E151" s="679"/>
      <c r="F151" s="529">
        <f>VLOOKUP(D151,'Apr 2013 Revenue'!D:V,19,FALSE)</f>
        <v>0</v>
      </c>
      <c r="G151" s="680"/>
      <c r="H151" s="680"/>
      <c r="I151" s="755"/>
      <c r="J151" s="803">
        <f t="shared" si="33"/>
        <v>0</v>
      </c>
      <c r="K151" s="683"/>
      <c r="L151" s="684"/>
      <c r="M151" s="753"/>
      <c r="N151" s="683">
        <v>0</v>
      </c>
      <c r="O151" s="686"/>
      <c r="P151" s="683">
        <v>0</v>
      </c>
      <c r="Q151" s="687">
        <f t="shared" si="34"/>
        <v>0</v>
      </c>
      <c r="R151" s="687"/>
      <c r="S151" s="687"/>
      <c r="T151" s="688">
        <v>0</v>
      </c>
      <c r="U151" s="693"/>
      <c r="V151" s="690">
        <f t="shared" si="43"/>
        <v>0</v>
      </c>
      <c r="W151" s="683"/>
      <c r="X151" s="474">
        <f t="shared" si="44"/>
        <v>0</v>
      </c>
      <c r="Y151" s="474">
        <f t="shared" si="45"/>
        <v>0</v>
      </c>
      <c r="Z151" s="475">
        <f t="shared" si="46"/>
        <v>0</v>
      </c>
      <c r="AA151" s="475">
        <v>0</v>
      </c>
      <c r="AB151" s="476">
        <v>0</v>
      </c>
      <c r="AC151" s="38">
        <f t="shared" si="47"/>
        <v>0</v>
      </c>
      <c r="AD151" s="692">
        <f t="shared" si="36"/>
        <v>0</v>
      </c>
      <c r="AE151" s="692">
        <f t="shared" si="37"/>
        <v>0</v>
      </c>
      <c r="AF151" s="692">
        <f t="shared" si="38"/>
        <v>0</v>
      </c>
      <c r="AG151" s="38"/>
      <c r="AH151" s="692">
        <f t="shared" si="40"/>
        <v>0</v>
      </c>
      <c r="AI151" s="692">
        <f t="shared" si="41"/>
        <v>0</v>
      </c>
      <c r="AJ151" s="692">
        <f t="shared" si="42"/>
        <v>0</v>
      </c>
      <c r="AL151" s="38">
        <f t="shared" si="39"/>
        <v>0</v>
      </c>
    </row>
    <row r="152" spans="1:38" s="232" customFormat="1">
      <c r="A152" s="283"/>
      <c r="B152" s="283" t="s">
        <v>109</v>
      </c>
      <c r="C152" s="667" t="s">
        <v>562</v>
      </c>
      <c r="D152" s="567" t="s">
        <v>480</v>
      </c>
      <c r="E152" s="679"/>
      <c r="F152" s="529">
        <f>VLOOKUP(D152,'Apr 2013 Revenue'!D:V,19,FALSE)</f>
        <v>0</v>
      </c>
      <c r="G152" s="680"/>
      <c r="H152" s="680"/>
      <c r="I152" s="770">
        <v>6831.49</v>
      </c>
      <c r="J152" s="682">
        <f t="shared" si="33"/>
        <v>6831.49</v>
      </c>
      <c r="K152" s="683"/>
      <c r="L152" s="684"/>
      <c r="M152" s="753"/>
      <c r="N152" s="683">
        <v>0</v>
      </c>
      <c r="O152" s="686"/>
      <c r="P152" s="683">
        <v>0</v>
      </c>
      <c r="Q152" s="687">
        <f t="shared" si="34"/>
        <v>0</v>
      </c>
      <c r="R152" s="687"/>
      <c r="S152" s="687"/>
      <c r="T152" s="688">
        <v>0</v>
      </c>
      <c r="U152" s="693"/>
      <c r="V152" s="690">
        <f t="shared" si="43"/>
        <v>0</v>
      </c>
      <c r="W152" s="683"/>
      <c r="X152" s="474">
        <f t="shared" si="44"/>
        <v>0</v>
      </c>
      <c r="Y152" s="474">
        <f t="shared" si="45"/>
        <v>0</v>
      </c>
      <c r="Z152" s="475">
        <f t="shared" si="46"/>
        <v>0</v>
      </c>
      <c r="AA152" s="475">
        <v>0</v>
      </c>
      <c r="AB152" s="476">
        <v>0</v>
      </c>
      <c r="AC152" s="38">
        <f t="shared" si="47"/>
        <v>0</v>
      </c>
      <c r="AD152" s="692">
        <f t="shared" si="36"/>
        <v>0</v>
      </c>
      <c r="AE152" s="692">
        <f t="shared" si="37"/>
        <v>6831.49</v>
      </c>
      <c r="AF152" s="692">
        <f t="shared" si="38"/>
        <v>0</v>
      </c>
      <c r="AG152" s="38"/>
      <c r="AH152" s="692">
        <f t="shared" si="40"/>
        <v>0</v>
      </c>
      <c r="AI152" s="692">
        <f t="shared" si="41"/>
        <v>0</v>
      </c>
      <c r="AJ152" s="692">
        <f t="shared" si="42"/>
        <v>0</v>
      </c>
      <c r="AL152" s="38">
        <f t="shared" si="39"/>
        <v>6831.49</v>
      </c>
    </row>
    <row r="153" spans="1:38" s="232" customFormat="1">
      <c r="A153" s="403"/>
      <c r="B153" s="403" t="s">
        <v>109</v>
      </c>
      <c r="C153" s="666" t="s">
        <v>563</v>
      </c>
      <c r="D153" s="807" t="s">
        <v>327</v>
      </c>
      <c r="E153" s="679">
        <v>38548.33</v>
      </c>
      <c r="F153" s="529">
        <f>VLOOKUP(D153,'Apr 2013 Revenue'!D:V,19,FALSE)</f>
        <v>-42090.81</v>
      </c>
      <c r="G153" s="680"/>
      <c r="H153" s="680"/>
      <c r="I153" s="755"/>
      <c r="J153" s="682">
        <f t="shared" si="33"/>
        <v>-3542.4799999999959</v>
      </c>
      <c r="K153" s="683"/>
      <c r="L153" s="684"/>
      <c r="M153" s="753">
        <v>30000</v>
      </c>
      <c r="N153" s="683">
        <v>0</v>
      </c>
      <c r="O153" s="686"/>
      <c r="P153" s="683">
        <v>0</v>
      </c>
      <c r="Q153" s="687">
        <f t="shared" si="34"/>
        <v>30000</v>
      </c>
      <c r="R153" s="687"/>
      <c r="S153" s="687"/>
      <c r="T153" s="688">
        <v>35183.919999999998</v>
      </c>
      <c r="U153" s="693"/>
      <c r="V153" s="690">
        <f t="shared" si="43"/>
        <v>5183.9199999999983</v>
      </c>
      <c r="W153" s="683"/>
      <c r="X153" s="474">
        <f t="shared" si="44"/>
        <v>0</v>
      </c>
      <c r="Y153" s="474">
        <f t="shared" si="45"/>
        <v>30000</v>
      </c>
      <c r="Z153" s="475">
        <f t="shared" si="46"/>
        <v>0</v>
      </c>
      <c r="AA153" s="475">
        <v>0</v>
      </c>
      <c r="AB153" s="476">
        <v>0</v>
      </c>
      <c r="AC153" s="38">
        <f t="shared" si="47"/>
        <v>0</v>
      </c>
      <c r="AD153" s="692">
        <f t="shared" si="36"/>
        <v>0</v>
      </c>
      <c r="AE153" s="692">
        <f t="shared" si="37"/>
        <v>-3542.4799999999959</v>
      </c>
      <c r="AF153" s="692">
        <f t="shared" si="38"/>
        <v>0</v>
      </c>
      <c r="AG153" s="38"/>
      <c r="AH153" s="692">
        <f t="shared" si="40"/>
        <v>0</v>
      </c>
      <c r="AI153" s="692">
        <f t="shared" si="41"/>
        <v>30000</v>
      </c>
      <c r="AJ153" s="692">
        <f t="shared" si="42"/>
        <v>0</v>
      </c>
      <c r="AL153" s="38">
        <f t="shared" si="39"/>
        <v>26457.520000000004</v>
      </c>
    </row>
    <row r="154" spans="1:38" s="232" customFormat="1">
      <c r="A154" s="403"/>
      <c r="B154" s="403" t="s">
        <v>110</v>
      </c>
      <c r="C154" s="666" t="s">
        <v>563</v>
      </c>
      <c r="D154" s="123" t="s">
        <v>637</v>
      </c>
      <c r="E154" s="679"/>
      <c r="F154" s="529">
        <f>VLOOKUP(D154,'Apr 2013 Revenue'!D:V,19,FALSE)</f>
        <v>0</v>
      </c>
      <c r="G154" s="680"/>
      <c r="H154" s="680"/>
      <c r="I154" s="755"/>
      <c r="J154" s="682">
        <f t="shared" si="33"/>
        <v>0</v>
      </c>
      <c r="K154" s="683"/>
      <c r="L154" s="684"/>
      <c r="M154" s="753"/>
      <c r="N154" s="683">
        <v>0</v>
      </c>
      <c r="O154" s="686"/>
      <c r="P154" s="683">
        <v>0</v>
      </c>
      <c r="Q154" s="687">
        <f t="shared" si="34"/>
        <v>0</v>
      </c>
      <c r="R154" s="687"/>
      <c r="S154" s="687"/>
      <c r="T154" s="688">
        <v>0</v>
      </c>
      <c r="U154" s="693"/>
      <c r="V154" s="690">
        <f t="shared" si="43"/>
        <v>0</v>
      </c>
      <c r="W154" s="683"/>
      <c r="X154" s="474">
        <f t="shared" si="44"/>
        <v>0</v>
      </c>
      <c r="Y154" s="474">
        <f t="shared" si="45"/>
        <v>0</v>
      </c>
      <c r="Z154" s="475">
        <f t="shared" si="46"/>
        <v>0</v>
      </c>
      <c r="AA154" s="475">
        <v>0</v>
      </c>
      <c r="AB154" s="476">
        <v>0</v>
      </c>
      <c r="AC154" s="38">
        <f t="shared" si="47"/>
        <v>0</v>
      </c>
      <c r="AD154" s="692">
        <f t="shared" si="36"/>
        <v>0</v>
      </c>
      <c r="AE154" s="692">
        <f t="shared" si="37"/>
        <v>0</v>
      </c>
      <c r="AF154" s="692">
        <f t="shared" si="38"/>
        <v>0</v>
      </c>
      <c r="AG154" s="38"/>
      <c r="AH154" s="692">
        <f t="shared" si="40"/>
        <v>0</v>
      </c>
      <c r="AI154" s="692">
        <f t="shared" si="41"/>
        <v>0</v>
      </c>
      <c r="AJ154" s="692">
        <f t="shared" si="42"/>
        <v>0</v>
      </c>
      <c r="AL154" s="38">
        <f t="shared" si="39"/>
        <v>0</v>
      </c>
    </row>
    <row r="155" spans="1:38">
      <c r="A155" s="21" t="s">
        <v>212</v>
      </c>
      <c r="B155" s="21" t="s">
        <v>110</v>
      </c>
      <c r="C155" s="666"/>
      <c r="D155" s="68" t="s">
        <v>232</v>
      </c>
      <c r="E155" s="679"/>
      <c r="F155" s="529">
        <f>VLOOKUP(D155,'Apr 2013 Revenue'!D:V,19,FALSE)</f>
        <v>0</v>
      </c>
      <c r="G155" s="680"/>
      <c r="H155" s="680"/>
      <c r="I155" s="755"/>
      <c r="J155" s="682">
        <f t="shared" si="33"/>
        <v>0</v>
      </c>
      <c r="K155" s="683"/>
      <c r="L155" s="684"/>
      <c r="M155" s="753"/>
      <c r="N155" s="683">
        <v>0</v>
      </c>
      <c r="O155" s="686"/>
      <c r="P155" s="683">
        <v>0</v>
      </c>
      <c r="Q155" s="687">
        <f t="shared" si="34"/>
        <v>0</v>
      </c>
      <c r="R155" s="687"/>
      <c r="S155" s="687"/>
      <c r="T155" s="688">
        <v>0</v>
      </c>
      <c r="U155" s="693"/>
      <c r="V155" s="690">
        <f t="shared" si="43"/>
        <v>0</v>
      </c>
      <c r="W155" s="683"/>
      <c r="X155" s="474">
        <f t="shared" si="44"/>
        <v>0</v>
      </c>
      <c r="Y155" s="474">
        <f t="shared" si="45"/>
        <v>0</v>
      </c>
      <c r="Z155" s="475">
        <f t="shared" si="46"/>
        <v>0</v>
      </c>
      <c r="AA155" s="475">
        <v>0</v>
      </c>
      <c r="AB155" s="476">
        <v>0</v>
      </c>
      <c r="AC155" s="38">
        <f t="shared" si="47"/>
        <v>0</v>
      </c>
      <c r="AD155" s="692">
        <f t="shared" si="36"/>
        <v>0</v>
      </c>
      <c r="AE155" s="692">
        <f t="shared" si="37"/>
        <v>0</v>
      </c>
      <c r="AF155" s="692">
        <f t="shared" si="38"/>
        <v>0</v>
      </c>
      <c r="AG155" s="38"/>
      <c r="AH155" s="692">
        <f t="shared" si="40"/>
        <v>0</v>
      </c>
      <c r="AI155" s="692">
        <f t="shared" si="41"/>
        <v>0</v>
      </c>
      <c r="AJ155" s="692">
        <f t="shared" si="42"/>
        <v>0</v>
      </c>
      <c r="AL155" s="38">
        <f t="shared" si="39"/>
        <v>0</v>
      </c>
    </row>
    <row r="156" spans="1:38">
      <c r="A156" s="21"/>
      <c r="B156" s="21" t="s">
        <v>109</v>
      </c>
      <c r="C156" s="666" t="s">
        <v>564</v>
      </c>
      <c r="D156" s="68" t="s">
        <v>876</v>
      </c>
      <c r="E156" s="679"/>
      <c r="F156" s="529">
        <f>VLOOKUP(D156,'Apr 2013 Revenue'!D:V,19,FALSE)</f>
        <v>0</v>
      </c>
      <c r="G156" s="680"/>
      <c r="H156" s="680"/>
      <c r="I156" s="755"/>
      <c r="J156" s="682">
        <f t="shared" si="33"/>
        <v>0</v>
      </c>
      <c r="K156" s="683"/>
      <c r="L156" s="684"/>
      <c r="M156" s="753"/>
      <c r="N156" s="683">
        <v>0</v>
      </c>
      <c r="O156" s="686"/>
      <c r="P156" s="683">
        <v>0</v>
      </c>
      <c r="Q156" s="687">
        <f t="shared" si="34"/>
        <v>0</v>
      </c>
      <c r="R156" s="687"/>
      <c r="S156" s="687"/>
      <c r="T156" s="688">
        <v>0</v>
      </c>
      <c r="U156" s="693"/>
      <c r="V156" s="690">
        <f t="shared" si="43"/>
        <v>0</v>
      </c>
      <c r="W156" s="683"/>
      <c r="X156" s="474">
        <f t="shared" si="44"/>
        <v>0</v>
      </c>
      <c r="Y156" s="474">
        <f t="shared" si="45"/>
        <v>0</v>
      </c>
      <c r="Z156" s="475">
        <f t="shared" si="46"/>
        <v>0</v>
      </c>
      <c r="AA156" s="475">
        <v>0</v>
      </c>
      <c r="AB156" s="476">
        <v>0</v>
      </c>
      <c r="AC156" s="38">
        <f t="shared" si="47"/>
        <v>0</v>
      </c>
      <c r="AD156" s="692">
        <f t="shared" si="36"/>
        <v>0</v>
      </c>
      <c r="AE156" s="692">
        <f t="shared" si="37"/>
        <v>0</v>
      </c>
      <c r="AF156" s="692">
        <f t="shared" si="38"/>
        <v>0</v>
      </c>
      <c r="AG156" s="38"/>
      <c r="AH156" s="692">
        <f t="shared" si="40"/>
        <v>0</v>
      </c>
      <c r="AI156" s="692">
        <f t="shared" si="41"/>
        <v>0</v>
      </c>
      <c r="AJ156" s="692">
        <f t="shared" si="42"/>
        <v>0</v>
      </c>
      <c r="AL156" s="38">
        <f t="shared" si="39"/>
        <v>0</v>
      </c>
    </row>
    <row r="157" spans="1:38">
      <c r="A157" s="21"/>
      <c r="B157" s="21" t="s">
        <v>109</v>
      </c>
      <c r="C157" s="666" t="s">
        <v>564</v>
      </c>
      <c r="D157" s="68" t="s">
        <v>307</v>
      </c>
      <c r="E157" s="679"/>
      <c r="F157" s="529">
        <f>VLOOKUP(D157,'Apr 2013 Revenue'!D:V,19,FALSE)</f>
        <v>0</v>
      </c>
      <c r="G157" s="680"/>
      <c r="H157" s="680"/>
      <c r="I157" s="755"/>
      <c r="J157" s="682">
        <f t="shared" si="33"/>
        <v>0</v>
      </c>
      <c r="K157" s="683"/>
      <c r="L157" s="684"/>
      <c r="M157" s="753"/>
      <c r="N157" s="683">
        <v>0</v>
      </c>
      <c r="O157" s="686"/>
      <c r="P157" s="683">
        <v>0</v>
      </c>
      <c r="Q157" s="687">
        <f t="shared" si="34"/>
        <v>0</v>
      </c>
      <c r="R157" s="687"/>
      <c r="S157" s="687"/>
      <c r="T157" s="688">
        <v>0</v>
      </c>
      <c r="U157" s="693"/>
      <c r="V157" s="690">
        <f t="shared" si="43"/>
        <v>0</v>
      </c>
      <c r="W157" s="683"/>
      <c r="X157" s="474">
        <f t="shared" si="44"/>
        <v>0</v>
      </c>
      <c r="Y157" s="474">
        <f t="shared" si="45"/>
        <v>0</v>
      </c>
      <c r="Z157" s="475">
        <f t="shared" si="46"/>
        <v>0</v>
      </c>
      <c r="AA157" s="475">
        <v>0</v>
      </c>
      <c r="AB157" s="476">
        <v>0</v>
      </c>
      <c r="AC157" s="38">
        <f t="shared" si="47"/>
        <v>0</v>
      </c>
      <c r="AD157" s="692">
        <f t="shared" si="36"/>
        <v>0</v>
      </c>
      <c r="AE157" s="692">
        <f t="shared" si="37"/>
        <v>0</v>
      </c>
      <c r="AF157" s="692">
        <f t="shared" si="38"/>
        <v>0</v>
      </c>
      <c r="AG157" s="38"/>
      <c r="AH157" s="692">
        <f t="shared" si="40"/>
        <v>0</v>
      </c>
      <c r="AI157" s="692">
        <f t="shared" si="41"/>
        <v>0</v>
      </c>
      <c r="AJ157" s="692">
        <f t="shared" si="42"/>
        <v>0</v>
      </c>
      <c r="AL157" s="38">
        <f t="shared" si="39"/>
        <v>0</v>
      </c>
    </row>
    <row r="158" spans="1:38">
      <c r="A158" s="21"/>
      <c r="B158" s="21" t="s">
        <v>109</v>
      </c>
      <c r="C158" s="666" t="s">
        <v>565</v>
      </c>
      <c r="D158" s="68" t="s">
        <v>485</v>
      </c>
      <c r="E158" s="679"/>
      <c r="F158" s="529">
        <f>VLOOKUP(D158,'Apr 2013 Revenue'!D:V,19,FALSE)</f>
        <v>32180.51999999999</v>
      </c>
      <c r="G158" s="680"/>
      <c r="H158" s="680"/>
      <c r="I158" s="755"/>
      <c r="J158" s="682">
        <f t="shared" si="33"/>
        <v>32180.51999999999</v>
      </c>
      <c r="K158" s="683"/>
      <c r="L158" s="684"/>
      <c r="M158" s="753">
        <v>65000</v>
      </c>
      <c r="N158" s="683"/>
      <c r="O158" s="686"/>
      <c r="P158" s="683"/>
      <c r="Q158" s="687">
        <f t="shared" si="34"/>
        <v>65000</v>
      </c>
      <c r="R158" s="687"/>
      <c r="S158" s="687"/>
      <c r="T158" s="688">
        <f>8973.55+5447.03+5176.63+2470.05+288+45451.16+861.76+815.87+1766.07+9319.12+41.94</f>
        <v>80611.179999999993</v>
      </c>
      <c r="U158" s="693"/>
      <c r="V158" s="690">
        <f t="shared" si="43"/>
        <v>15611.179999999993</v>
      </c>
      <c r="W158" s="683"/>
      <c r="X158" s="474">
        <f t="shared" si="44"/>
        <v>0</v>
      </c>
      <c r="Y158" s="474">
        <f t="shared" si="45"/>
        <v>65000</v>
      </c>
      <c r="Z158" s="475">
        <f t="shared" si="46"/>
        <v>0</v>
      </c>
      <c r="AA158" s="475">
        <v>0</v>
      </c>
      <c r="AB158" s="476">
        <v>0</v>
      </c>
      <c r="AC158" s="38">
        <f t="shared" si="47"/>
        <v>0</v>
      </c>
      <c r="AD158" s="692">
        <f t="shared" si="36"/>
        <v>0</v>
      </c>
      <c r="AE158" s="692">
        <f t="shared" si="37"/>
        <v>32180.51999999999</v>
      </c>
      <c r="AF158" s="692">
        <f t="shared" si="38"/>
        <v>0</v>
      </c>
      <c r="AG158" s="38"/>
      <c r="AH158" s="692">
        <f t="shared" si="40"/>
        <v>0</v>
      </c>
      <c r="AI158" s="692">
        <f t="shared" si="41"/>
        <v>65000</v>
      </c>
      <c r="AJ158" s="692">
        <f t="shared" si="42"/>
        <v>0</v>
      </c>
      <c r="AL158" s="38">
        <f t="shared" si="39"/>
        <v>97180.51999999999</v>
      </c>
    </row>
    <row r="159" spans="1:38" s="232" customFormat="1">
      <c r="A159" s="403"/>
      <c r="B159" s="403" t="s">
        <v>109</v>
      </c>
      <c r="C159" s="666"/>
      <c r="D159" s="123" t="s">
        <v>220</v>
      </c>
      <c r="E159" s="679"/>
      <c r="F159" s="529">
        <f>VLOOKUP(D159,'Apr 2013 Revenue'!D:V,19,FALSE)</f>
        <v>0</v>
      </c>
      <c r="G159" s="680"/>
      <c r="H159" s="680"/>
      <c r="I159" s="755"/>
      <c r="J159" s="682">
        <f t="shared" si="33"/>
        <v>0</v>
      </c>
      <c r="K159" s="683"/>
      <c r="L159" s="684"/>
      <c r="M159" s="753"/>
      <c r="N159" s="683">
        <v>0</v>
      </c>
      <c r="O159" s="686"/>
      <c r="P159" s="683">
        <v>0</v>
      </c>
      <c r="Q159" s="687">
        <f t="shared" si="34"/>
        <v>0</v>
      </c>
      <c r="R159" s="687"/>
      <c r="S159" s="687"/>
      <c r="T159" s="688">
        <v>0</v>
      </c>
      <c r="U159" s="693"/>
      <c r="V159" s="690">
        <f t="shared" si="43"/>
        <v>0</v>
      </c>
      <c r="W159" s="683"/>
      <c r="X159" s="474">
        <f t="shared" si="44"/>
        <v>0</v>
      </c>
      <c r="Y159" s="474">
        <f t="shared" si="45"/>
        <v>0</v>
      </c>
      <c r="Z159" s="475">
        <f t="shared" si="46"/>
        <v>0</v>
      </c>
      <c r="AA159" s="475">
        <v>0</v>
      </c>
      <c r="AB159" s="476">
        <v>0</v>
      </c>
      <c r="AC159" s="38">
        <f t="shared" si="47"/>
        <v>0</v>
      </c>
      <c r="AD159" s="692">
        <f t="shared" si="36"/>
        <v>0</v>
      </c>
      <c r="AE159" s="692">
        <f t="shared" si="37"/>
        <v>0</v>
      </c>
      <c r="AF159" s="692">
        <f t="shared" si="38"/>
        <v>0</v>
      </c>
      <c r="AG159" s="38"/>
      <c r="AH159" s="692">
        <f t="shared" si="40"/>
        <v>0</v>
      </c>
      <c r="AI159" s="692">
        <f t="shared" si="41"/>
        <v>0</v>
      </c>
      <c r="AJ159" s="692">
        <f t="shared" si="42"/>
        <v>0</v>
      </c>
      <c r="AL159" s="38">
        <f t="shared" si="39"/>
        <v>0</v>
      </c>
    </row>
    <row r="160" spans="1:38" s="24" customFormat="1" hidden="1">
      <c r="A160" s="472"/>
      <c r="B160" s="21" t="s">
        <v>109</v>
      </c>
      <c r="C160" s="666"/>
      <c r="D160" s="68" t="s">
        <v>505</v>
      </c>
      <c r="E160" s="679"/>
      <c r="F160" s="529">
        <f>VLOOKUP(D160,'Apr 2013 Revenue'!D:V,19,FALSE)</f>
        <v>0</v>
      </c>
      <c r="G160" s="680"/>
      <c r="H160" s="680"/>
      <c r="I160" s="755"/>
      <c r="J160" s="682">
        <f t="shared" si="33"/>
        <v>0</v>
      </c>
      <c r="K160" s="698"/>
      <c r="L160" s="684"/>
      <c r="M160" s="753"/>
      <c r="N160" s="698">
        <v>0</v>
      </c>
      <c r="O160" s="686"/>
      <c r="P160" s="698">
        <v>0</v>
      </c>
      <c r="Q160" s="700">
        <f t="shared" si="34"/>
        <v>0</v>
      </c>
      <c r="R160" s="700"/>
      <c r="S160" s="700"/>
      <c r="T160" s="688">
        <v>0</v>
      </c>
      <c r="U160" s="701"/>
      <c r="V160" s="702">
        <f t="shared" si="43"/>
        <v>0</v>
      </c>
      <c r="W160" s="698"/>
      <c r="X160" s="474">
        <f t="shared" si="44"/>
        <v>0</v>
      </c>
      <c r="Y160" s="474">
        <f t="shared" si="45"/>
        <v>0</v>
      </c>
      <c r="Z160" s="475">
        <f t="shared" si="46"/>
        <v>0</v>
      </c>
      <c r="AA160" s="475">
        <v>0</v>
      </c>
      <c r="AB160" s="476">
        <v>0</v>
      </c>
      <c r="AC160" s="38">
        <f t="shared" si="47"/>
        <v>0</v>
      </c>
      <c r="AD160" s="692">
        <f t="shared" si="36"/>
        <v>0</v>
      </c>
      <c r="AE160" s="692">
        <f t="shared" si="37"/>
        <v>0</v>
      </c>
      <c r="AF160" s="692">
        <f t="shared" si="38"/>
        <v>0</v>
      </c>
      <c r="AG160" s="38"/>
      <c r="AH160" s="692">
        <f t="shared" si="40"/>
        <v>0</v>
      </c>
      <c r="AI160" s="692">
        <f t="shared" si="41"/>
        <v>0</v>
      </c>
      <c r="AJ160" s="692">
        <f t="shared" si="42"/>
        <v>0</v>
      </c>
      <c r="AL160" s="38">
        <f t="shared" si="39"/>
        <v>0</v>
      </c>
    </row>
    <row r="161" spans="1:38">
      <c r="A161" s="21"/>
      <c r="B161" s="21" t="s">
        <v>110</v>
      </c>
      <c r="C161" s="666"/>
      <c r="D161" s="68" t="s">
        <v>185</v>
      </c>
      <c r="E161" s="679">
        <v>556.5</v>
      </c>
      <c r="F161" s="529">
        <f>VLOOKUP(D161,'Apr 2013 Revenue'!D:V,19,FALSE)</f>
        <v>0</v>
      </c>
      <c r="G161" s="680"/>
      <c r="H161" s="680"/>
      <c r="I161" s="755"/>
      <c r="J161" s="682">
        <f t="shared" si="33"/>
        <v>556.5</v>
      </c>
      <c r="K161" s="683"/>
      <c r="L161" s="684"/>
      <c r="M161" s="753"/>
      <c r="N161" s="683">
        <v>0</v>
      </c>
      <c r="O161" s="686"/>
      <c r="P161" s="683">
        <v>0</v>
      </c>
      <c r="Q161" s="687">
        <f t="shared" si="34"/>
        <v>0</v>
      </c>
      <c r="R161" s="687"/>
      <c r="S161" s="687"/>
      <c r="T161" s="688">
        <v>0</v>
      </c>
      <c r="U161" s="693"/>
      <c r="V161" s="690">
        <f t="shared" si="43"/>
        <v>0</v>
      </c>
      <c r="W161" s="683"/>
      <c r="X161" s="474">
        <f t="shared" si="44"/>
        <v>0</v>
      </c>
      <c r="Y161" s="474">
        <f t="shared" si="45"/>
        <v>0</v>
      </c>
      <c r="Z161" s="475">
        <f t="shared" si="46"/>
        <v>0</v>
      </c>
      <c r="AA161" s="475">
        <v>0</v>
      </c>
      <c r="AB161" s="476">
        <v>0</v>
      </c>
      <c r="AC161" s="38">
        <f t="shared" si="47"/>
        <v>0</v>
      </c>
      <c r="AD161" s="692">
        <f t="shared" si="36"/>
        <v>556.5</v>
      </c>
      <c r="AE161" s="692">
        <f t="shared" si="37"/>
        <v>0</v>
      </c>
      <c r="AF161" s="692">
        <f t="shared" si="38"/>
        <v>0</v>
      </c>
      <c r="AG161" s="38"/>
      <c r="AH161" s="692">
        <f t="shared" si="40"/>
        <v>0</v>
      </c>
      <c r="AI161" s="692">
        <f t="shared" si="41"/>
        <v>0</v>
      </c>
      <c r="AJ161" s="692">
        <f t="shared" si="42"/>
        <v>0</v>
      </c>
      <c r="AL161" s="38">
        <f t="shared" si="39"/>
        <v>556.5</v>
      </c>
    </row>
    <row r="162" spans="1:38">
      <c r="A162" s="21"/>
      <c r="B162" s="21" t="s">
        <v>110</v>
      </c>
      <c r="C162" s="21"/>
      <c r="D162" s="68" t="s">
        <v>186</v>
      </c>
      <c r="E162" s="679">
        <v>382.82</v>
      </c>
      <c r="F162" s="529">
        <f>VLOOKUP(D162,'Apr 2013 Revenue'!D:V,19,FALSE)</f>
        <v>0</v>
      </c>
      <c r="G162" s="680"/>
      <c r="H162" s="680"/>
      <c r="I162" s="755"/>
      <c r="J162" s="682">
        <f t="shared" si="33"/>
        <v>382.82</v>
      </c>
      <c r="K162" s="683"/>
      <c r="L162" s="684"/>
      <c r="M162" s="753"/>
      <c r="N162" s="683">
        <v>0</v>
      </c>
      <c r="O162" s="686"/>
      <c r="P162" s="683">
        <v>0</v>
      </c>
      <c r="Q162" s="687">
        <f t="shared" si="34"/>
        <v>0</v>
      </c>
      <c r="R162" s="687"/>
      <c r="S162" s="687"/>
      <c r="T162" s="688">
        <v>0</v>
      </c>
      <c r="U162" s="693"/>
      <c r="V162" s="690">
        <f t="shared" si="43"/>
        <v>0</v>
      </c>
      <c r="W162" s="683"/>
      <c r="X162" s="474">
        <f t="shared" si="44"/>
        <v>0</v>
      </c>
      <c r="Y162" s="474">
        <f t="shared" si="45"/>
        <v>0</v>
      </c>
      <c r="Z162" s="475">
        <f t="shared" si="46"/>
        <v>0</v>
      </c>
      <c r="AA162" s="475">
        <v>0</v>
      </c>
      <c r="AB162" s="476">
        <v>0</v>
      </c>
      <c r="AC162" s="38">
        <f t="shared" si="47"/>
        <v>0</v>
      </c>
      <c r="AD162" s="692">
        <f t="shared" si="36"/>
        <v>382.82</v>
      </c>
      <c r="AE162" s="692">
        <f t="shared" si="37"/>
        <v>0</v>
      </c>
      <c r="AF162" s="692">
        <f t="shared" si="38"/>
        <v>0</v>
      </c>
      <c r="AG162" s="38"/>
      <c r="AH162" s="692">
        <f t="shared" si="40"/>
        <v>0</v>
      </c>
      <c r="AI162" s="692">
        <f t="shared" si="41"/>
        <v>0</v>
      </c>
      <c r="AJ162" s="692">
        <f t="shared" si="42"/>
        <v>0</v>
      </c>
      <c r="AL162" s="38">
        <f t="shared" si="39"/>
        <v>382.82</v>
      </c>
    </row>
    <row r="163" spans="1:38">
      <c r="A163" s="21"/>
      <c r="B163" s="21" t="s">
        <v>110</v>
      </c>
      <c r="C163" s="666"/>
      <c r="D163" s="68" t="s">
        <v>449</v>
      </c>
      <c r="E163" s="679"/>
      <c r="F163" s="529">
        <f>VLOOKUP(D163,'Apr 2013 Revenue'!D:V,19,FALSE)</f>
        <v>0</v>
      </c>
      <c r="G163" s="680"/>
      <c r="H163" s="680"/>
      <c r="I163" s="755"/>
      <c r="J163" s="682">
        <f t="shared" si="33"/>
        <v>0</v>
      </c>
      <c r="K163" s="683"/>
      <c r="L163" s="684"/>
      <c r="M163" s="753"/>
      <c r="N163" s="683">
        <v>0</v>
      </c>
      <c r="O163" s="686"/>
      <c r="P163" s="683">
        <v>0</v>
      </c>
      <c r="Q163" s="687">
        <f t="shared" si="34"/>
        <v>0</v>
      </c>
      <c r="R163" s="687"/>
      <c r="S163" s="687"/>
      <c r="T163" s="688">
        <v>0</v>
      </c>
      <c r="U163" s="693"/>
      <c r="V163" s="690">
        <f t="shared" si="43"/>
        <v>0</v>
      </c>
      <c r="W163" s="683"/>
      <c r="X163" s="474">
        <f t="shared" si="44"/>
        <v>0</v>
      </c>
      <c r="Y163" s="474">
        <f t="shared" si="45"/>
        <v>0</v>
      </c>
      <c r="Z163" s="475">
        <f t="shared" si="46"/>
        <v>0</v>
      </c>
      <c r="AA163" s="475">
        <v>0</v>
      </c>
      <c r="AB163" s="476">
        <v>0</v>
      </c>
      <c r="AC163" s="38">
        <f t="shared" si="47"/>
        <v>0</v>
      </c>
      <c r="AD163" s="692">
        <f t="shared" si="36"/>
        <v>0</v>
      </c>
      <c r="AE163" s="692">
        <f t="shared" si="37"/>
        <v>0</v>
      </c>
      <c r="AF163" s="692">
        <f t="shared" si="38"/>
        <v>0</v>
      </c>
      <c r="AG163" s="38"/>
      <c r="AH163" s="692">
        <f t="shared" si="40"/>
        <v>0</v>
      </c>
      <c r="AI163" s="692">
        <f t="shared" si="41"/>
        <v>0</v>
      </c>
      <c r="AJ163" s="692">
        <f t="shared" si="42"/>
        <v>0</v>
      </c>
      <c r="AL163" s="38">
        <f t="shared" si="39"/>
        <v>0</v>
      </c>
    </row>
    <row r="164" spans="1:38">
      <c r="A164" s="21"/>
      <c r="B164" s="21" t="s">
        <v>110</v>
      </c>
      <c r="C164" s="666" t="s">
        <v>566</v>
      </c>
      <c r="D164" s="68" t="s">
        <v>39</v>
      </c>
      <c r="E164" s="679"/>
      <c r="F164" s="529">
        <f>VLOOKUP(D164,'Apr 2013 Revenue'!D:V,19,FALSE)</f>
        <v>-471.8100000000004</v>
      </c>
      <c r="G164" s="680"/>
      <c r="H164" s="680"/>
      <c r="I164" s="755"/>
      <c r="J164" s="682">
        <f t="shared" si="33"/>
        <v>-471.8100000000004</v>
      </c>
      <c r="K164" s="683"/>
      <c r="L164" s="684"/>
      <c r="M164" s="753">
        <v>8000</v>
      </c>
      <c r="N164" s="683">
        <v>0</v>
      </c>
      <c r="O164" s="686"/>
      <c r="P164" s="683">
        <v>0</v>
      </c>
      <c r="Q164" s="687">
        <f t="shared" si="34"/>
        <v>8000</v>
      </c>
      <c r="R164" s="687"/>
      <c r="S164" s="687"/>
      <c r="T164" s="688">
        <v>8263.99</v>
      </c>
      <c r="U164" s="693"/>
      <c r="V164" s="690">
        <f t="shared" si="43"/>
        <v>263.98999999999978</v>
      </c>
      <c r="W164" s="683"/>
      <c r="X164" s="474">
        <f t="shared" si="44"/>
        <v>8000</v>
      </c>
      <c r="Y164" s="474">
        <f t="shared" si="45"/>
        <v>0</v>
      </c>
      <c r="Z164" s="475">
        <f t="shared" si="46"/>
        <v>0</v>
      </c>
      <c r="AA164" s="475">
        <v>0</v>
      </c>
      <c r="AB164" s="476">
        <v>0</v>
      </c>
      <c r="AC164" s="38">
        <f t="shared" si="47"/>
        <v>0</v>
      </c>
      <c r="AD164" s="692">
        <f t="shared" si="36"/>
        <v>-471.8100000000004</v>
      </c>
      <c r="AE164" s="692">
        <f t="shared" si="37"/>
        <v>0</v>
      </c>
      <c r="AF164" s="692">
        <f t="shared" si="38"/>
        <v>0</v>
      </c>
      <c r="AG164" s="38"/>
      <c r="AH164" s="692">
        <f t="shared" si="40"/>
        <v>8000</v>
      </c>
      <c r="AI164" s="692">
        <f t="shared" si="41"/>
        <v>0</v>
      </c>
      <c r="AJ164" s="692">
        <f t="shared" si="42"/>
        <v>0</v>
      </c>
      <c r="AL164" s="38">
        <f t="shared" si="39"/>
        <v>7528.19</v>
      </c>
    </row>
    <row r="165" spans="1:38">
      <c r="A165" s="21"/>
      <c r="B165" s="21" t="s">
        <v>110</v>
      </c>
      <c r="C165" s="666" t="s">
        <v>567</v>
      </c>
      <c r="D165" s="68" t="s">
        <v>435</v>
      </c>
      <c r="E165" s="679"/>
      <c r="F165" s="529">
        <f>VLOOKUP(D165,'Apr 2013 Revenue'!D:V,19,FALSE)</f>
        <v>-22006.190000000002</v>
      </c>
      <c r="G165" s="680"/>
      <c r="H165" s="680"/>
      <c r="I165" s="755"/>
      <c r="J165" s="682">
        <f t="shared" si="33"/>
        <v>-22006.190000000002</v>
      </c>
      <c r="K165" s="683"/>
      <c r="L165" s="684"/>
      <c r="M165" s="753">
        <v>40000</v>
      </c>
      <c r="N165" s="683">
        <v>0</v>
      </c>
      <c r="O165" s="686"/>
      <c r="P165" s="683">
        <v>0</v>
      </c>
      <c r="Q165" s="687">
        <f t="shared" si="34"/>
        <v>40000</v>
      </c>
      <c r="R165" s="687"/>
      <c r="S165" s="687"/>
      <c r="T165" s="688">
        <v>94861.32</v>
      </c>
      <c r="U165" s="693"/>
      <c r="V165" s="690">
        <f t="shared" si="43"/>
        <v>54861.320000000007</v>
      </c>
      <c r="W165" s="683"/>
      <c r="X165" s="474">
        <f t="shared" si="44"/>
        <v>40000</v>
      </c>
      <c r="Y165" s="474">
        <f t="shared" si="45"/>
        <v>0</v>
      </c>
      <c r="Z165" s="475">
        <f t="shared" si="46"/>
        <v>0</v>
      </c>
      <c r="AA165" s="475">
        <v>0</v>
      </c>
      <c r="AB165" s="476">
        <v>0</v>
      </c>
      <c r="AC165" s="38">
        <f t="shared" si="47"/>
        <v>0</v>
      </c>
      <c r="AD165" s="692">
        <f t="shared" si="36"/>
        <v>-22006.190000000002</v>
      </c>
      <c r="AE165" s="692">
        <f t="shared" si="37"/>
        <v>0</v>
      </c>
      <c r="AF165" s="692">
        <f t="shared" si="38"/>
        <v>0</v>
      </c>
      <c r="AG165" s="38"/>
      <c r="AH165" s="692">
        <f t="shared" si="40"/>
        <v>40000</v>
      </c>
      <c r="AI165" s="692">
        <f t="shared" si="41"/>
        <v>0</v>
      </c>
      <c r="AJ165" s="692">
        <f t="shared" si="42"/>
        <v>0</v>
      </c>
      <c r="AL165" s="38">
        <f t="shared" si="39"/>
        <v>17993.809999999998</v>
      </c>
    </row>
    <row r="166" spans="1:38">
      <c r="A166" s="21"/>
      <c r="B166" s="21" t="s">
        <v>110</v>
      </c>
      <c r="C166" s="675" t="s">
        <v>584</v>
      </c>
      <c r="D166" s="806" t="s">
        <v>99</v>
      </c>
      <c r="E166" s="679">
        <v>14399.66</v>
      </c>
      <c r="F166" s="529">
        <f>VLOOKUP(D166,'Apr 2013 Revenue'!D:V,19,FALSE)</f>
        <v>-30000</v>
      </c>
      <c r="G166" s="680"/>
      <c r="H166" s="680"/>
      <c r="I166" s="755"/>
      <c r="J166" s="682">
        <f t="shared" si="33"/>
        <v>-15600.34</v>
      </c>
      <c r="K166" s="683"/>
      <c r="L166" s="684"/>
      <c r="M166" s="753">
        <v>30000</v>
      </c>
      <c r="N166" s="683">
        <v>0</v>
      </c>
      <c r="O166" s="686"/>
      <c r="P166" s="683">
        <v>0</v>
      </c>
      <c r="Q166" s="687">
        <f t="shared" si="34"/>
        <v>30000</v>
      </c>
      <c r="R166" s="687"/>
      <c r="S166" s="687"/>
      <c r="T166" s="688">
        <v>0</v>
      </c>
      <c r="U166" s="693"/>
      <c r="V166" s="690">
        <f t="shared" si="43"/>
        <v>-30000</v>
      </c>
      <c r="W166" s="683"/>
      <c r="X166" s="474">
        <f t="shared" si="44"/>
        <v>30000</v>
      </c>
      <c r="Y166" s="474">
        <f t="shared" si="45"/>
        <v>0</v>
      </c>
      <c r="Z166" s="475">
        <f t="shared" si="46"/>
        <v>0</v>
      </c>
      <c r="AA166" s="475">
        <v>0</v>
      </c>
      <c r="AB166" s="476">
        <v>0</v>
      </c>
      <c r="AC166" s="38">
        <f t="shared" si="47"/>
        <v>0</v>
      </c>
      <c r="AD166" s="692">
        <f t="shared" si="36"/>
        <v>-15600.34</v>
      </c>
      <c r="AE166" s="692">
        <f>IF(B166="M",J166,0)</f>
        <v>0</v>
      </c>
      <c r="AF166" s="692">
        <f t="shared" si="38"/>
        <v>0</v>
      </c>
      <c r="AG166" s="38"/>
      <c r="AH166" s="692">
        <f t="shared" si="40"/>
        <v>30000</v>
      </c>
      <c r="AI166" s="692">
        <f t="shared" si="41"/>
        <v>0</v>
      </c>
      <c r="AJ166" s="692">
        <f t="shared" si="42"/>
        <v>0</v>
      </c>
      <c r="AL166" s="38">
        <f t="shared" si="39"/>
        <v>14399.66</v>
      </c>
    </row>
    <row r="167" spans="1:38" s="232" customFormat="1">
      <c r="A167" s="403"/>
      <c r="B167" s="403" t="s">
        <v>110</v>
      </c>
      <c r="C167" s="666"/>
      <c r="D167" s="123" t="s">
        <v>378</v>
      </c>
      <c r="E167" s="679"/>
      <c r="F167" s="529">
        <f>VLOOKUP(D167,'Apr 2013 Revenue'!D:V,19,FALSE)</f>
        <v>0</v>
      </c>
      <c r="G167" s="680"/>
      <c r="H167" s="680"/>
      <c r="I167" s="755"/>
      <c r="J167" s="682">
        <f t="shared" si="33"/>
        <v>0</v>
      </c>
      <c r="K167" s="683"/>
      <c r="L167" s="684"/>
      <c r="M167" s="753"/>
      <c r="N167" s="683">
        <v>0</v>
      </c>
      <c r="O167" s="686"/>
      <c r="P167" s="683">
        <v>0</v>
      </c>
      <c r="Q167" s="687">
        <f t="shared" si="34"/>
        <v>0</v>
      </c>
      <c r="R167" s="687"/>
      <c r="S167" s="687"/>
      <c r="T167" s="688">
        <v>0</v>
      </c>
      <c r="U167" s="693"/>
      <c r="V167" s="690">
        <f t="shared" si="43"/>
        <v>0</v>
      </c>
      <c r="W167" s="683"/>
      <c r="X167" s="474">
        <f t="shared" si="44"/>
        <v>0</v>
      </c>
      <c r="Y167" s="474">
        <f t="shared" si="45"/>
        <v>0</v>
      </c>
      <c r="Z167" s="475">
        <f t="shared" si="46"/>
        <v>0</v>
      </c>
      <c r="AA167" s="475">
        <v>0</v>
      </c>
      <c r="AB167" s="476">
        <v>0</v>
      </c>
      <c r="AC167" s="38">
        <f t="shared" si="47"/>
        <v>0</v>
      </c>
      <c r="AD167" s="692">
        <f t="shared" si="36"/>
        <v>0</v>
      </c>
      <c r="AE167" s="692">
        <f t="shared" si="37"/>
        <v>0</v>
      </c>
      <c r="AF167" s="692">
        <f t="shared" si="38"/>
        <v>0</v>
      </c>
      <c r="AG167" s="38"/>
      <c r="AH167" s="692">
        <f t="shared" si="40"/>
        <v>0</v>
      </c>
      <c r="AI167" s="692">
        <f t="shared" si="41"/>
        <v>0</v>
      </c>
      <c r="AJ167" s="692">
        <f t="shared" si="42"/>
        <v>0</v>
      </c>
      <c r="AL167" s="38">
        <f t="shared" si="39"/>
        <v>0</v>
      </c>
    </row>
    <row r="168" spans="1:38" s="232" customFormat="1">
      <c r="A168" s="403"/>
      <c r="B168" s="403" t="s">
        <v>110</v>
      </c>
      <c r="C168" s="666" t="s">
        <v>568</v>
      </c>
      <c r="D168" s="807" t="s">
        <v>303</v>
      </c>
      <c r="E168" s="679"/>
      <c r="F168" s="529">
        <f>VLOOKUP(D168,'Apr 2013 Revenue'!D:V,19,FALSE)</f>
        <v>-150000</v>
      </c>
      <c r="G168" s="680"/>
      <c r="H168" s="680"/>
      <c r="I168" s="755"/>
      <c r="J168" s="682">
        <f t="shared" ref="J168:J187" si="48">SUM(E168:I168)</f>
        <v>-150000</v>
      </c>
      <c r="K168" s="683"/>
      <c r="L168" s="684"/>
      <c r="M168" s="753">
        <v>225000</v>
      </c>
      <c r="N168" s="683">
        <v>0</v>
      </c>
      <c r="O168" s="686"/>
      <c r="P168" s="683">
        <v>0</v>
      </c>
      <c r="Q168" s="687">
        <f t="shared" si="34"/>
        <v>225000</v>
      </c>
      <c r="R168" s="687"/>
      <c r="S168" s="687"/>
      <c r="T168" s="688">
        <v>0</v>
      </c>
      <c r="U168" s="693"/>
      <c r="V168" s="690">
        <f t="shared" si="43"/>
        <v>-225000</v>
      </c>
      <c r="W168" s="683"/>
      <c r="X168" s="474">
        <f t="shared" si="44"/>
        <v>225000</v>
      </c>
      <c r="Y168" s="474">
        <f t="shared" si="45"/>
        <v>0</v>
      </c>
      <c r="Z168" s="475">
        <f t="shared" si="46"/>
        <v>0</v>
      </c>
      <c r="AA168" s="475">
        <v>0</v>
      </c>
      <c r="AB168" s="476">
        <v>0</v>
      </c>
      <c r="AC168" s="38">
        <f t="shared" si="47"/>
        <v>0</v>
      </c>
      <c r="AD168" s="692">
        <f t="shared" si="36"/>
        <v>-150000</v>
      </c>
      <c r="AE168" s="692">
        <f t="shared" si="37"/>
        <v>0</v>
      </c>
      <c r="AF168" s="692">
        <f t="shared" si="38"/>
        <v>0</v>
      </c>
      <c r="AG168" s="38"/>
      <c r="AH168" s="692">
        <f t="shared" si="40"/>
        <v>225000</v>
      </c>
      <c r="AI168" s="692">
        <f t="shared" si="41"/>
        <v>0</v>
      </c>
      <c r="AJ168" s="692">
        <f t="shared" si="42"/>
        <v>0</v>
      </c>
      <c r="AL168" s="38">
        <f t="shared" si="39"/>
        <v>75000</v>
      </c>
    </row>
    <row r="169" spans="1:38" s="232" customFormat="1">
      <c r="A169" s="403"/>
      <c r="B169" s="403" t="s">
        <v>110</v>
      </c>
      <c r="C169" s="666"/>
      <c r="D169" s="807" t="s">
        <v>856</v>
      </c>
      <c r="E169" s="679"/>
      <c r="F169" s="529">
        <f>VLOOKUP(D169,'Apr 2013 Revenue'!D:V,19,FALSE)</f>
        <v>-24000</v>
      </c>
      <c r="G169" s="680"/>
      <c r="H169" s="680"/>
      <c r="I169" s="755"/>
      <c r="J169" s="682">
        <f t="shared" si="48"/>
        <v>-24000</v>
      </c>
      <c r="K169" s="683"/>
      <c r="L169" s="684"/>
      <c r="M169" s="753">
        <v>36000</v>
      </c>
      <c r="N169" s="683">
        <v>0</v>
      </c>
      <c r="O169" s="686"/>
      <c r="P169" s="683">
        <v>0</v>
      </c>
      <c r="Q169" s="687">
        <f t="shared" si="34"/>
        <v>36000</v>
      </c>
      <c r="R169" s="687"/>
      <c r="S169" s="687"/>
      <c r="T169" s="688">
        <v>0</v>
      </c>
      <c r="U169" s="693"/>
      <c r="V169" s="690">
        <f t="shared" si="43"/>
        <v>-36000</v>
      </c>
      <c r="W169" s="683"/>
      <c r="X169" s="474">
        <f t="shared" si="44"/>
        <v>36000</v>
      </c>
      <c r="Y169" s="474">
        <f t="shared" si="45"/>
        <v>0</v>
      </c>
      <c r="Z169" s="475">
        <f t="shared" si="46"/>
        <v>0</v>
      </c>
      <c r="AA169" s="475">
        <v>0</v>
      </c>
      <c r="AB169" s="476">
        <v>0</v>
      </c>
      <c r="AC169" s="38">
        <f t="shared" si="47"/>
        <v>0</v>
      </c>
      <c r="AD169" s="692">
        <f t="shared" si="36"/>
        <v>-24000</v>
      </c>
      <c r="AE169" s="692">
        <f t="shared" si="37"/>
        <v>0</v>
      </c>
      <c r="AF169" s="692">
        <f t="shared" si="38"/>
        <v>0</v>
      </c>
      <c r="AG169" s="38"/>
      <c r="AH169" s="692">
        <f t="shared" si="40"/>
        <v>36000</v>
      </c>
      <c r="AI169" s="692">
        <f t="shared" si="41"/>
        <v>0</v>
      </c>
      <c r="AJ169" s="692">
        <f t="shared" si="42"/>
        <v>0</v>
      </c>
      <c r="AL169" s="38">
        <f t="shared" si="39"/>
        <v>12000</v>
      </c>
    </row>
    <row r="170" spans="1:38" s="232" customFormat="1">
      <c r="A170" s="403"/>
      <c r="B170" s="403" t="s">
        <v>109</v>
      </c>
      <c r="C170" s="666" t="s">
        <v>569</v>
      </c>
      <c r="D170" s="123" t="s">
        <v>468</v>
      </c>
      <c r="E170" s="679"/>
      <c r="F170" s="529">
        <f>VLOOKUP(D170,'Apr 2013 Revenue'!D:V,19,FALSE)</f>
        <v>0</v>
      </c>
      <c r="G170" s="680"/>
      <c r="H170" s="680"/>
      <c r="I170" s="755"/>
      <c r="J170" s="682">
        <f t="shared" si="48"/>
        <v>0</v>
      </c>
      <c r="K170" s="683"/>
      <c r="L170" s="684"/>
      <c r="M170" s="753"/>
      <c r="N170" s="683">
        <v>0</v>
      </c>
      <c r="O170" s="686"/>
      <c r="P170" s="683">
        <v>0</v>
      </c>
      <c r="Q170" s="687">
        <f t="shared" si="34"/>
        <v>0</v>
      </c>
      <c r="R170" s="687"/>
      <c r="S170" s="687"/>
      <c r="T170" s="688">
        <v>0</v>
      </c>
      <c r="U170" s="693"/>
      <c r="V170" s="690">
        <f t="shared" si="43"/>
        <v>0</v>
      </c>
      <c r="W170" s="683"/>
      <c r="X170" s="474">
        <f t="shared" si="44"/>
        <v>0</v>
      </c>
      <c r="Y170" s="474">
        <f t="shared" si="45"/>
        <v>0</v>
      </c>
      <c r="Z170" s="475">
        <f t="shared" si="46"/>
        <v>0</v>
      </c>
      <c r="AA170" s="475">
        <v>0</v>
      </c>
      <c r="AB170" s="476">
        <v>0</v>
      </c>
      <c r="AC170" s="38">
        <f t="shared" si="47"/>
        <v>0</v>
      </c>
      <c r="AD170" s="692">
        <f t="shared" si="36"/>
        <v>0</v>
      </c>
      <c r="AE170" s="692">
        <f t="shared" si="37"/>
        <v>0</v>
      </c>
      <c r="AF170" s="692">
        <f t="shared" si="38"/>
        <v>0</v>
      </c>
      <c r="AG170" s="38"/>
      <c r="AH170" s="692">
        <f t="shared" si="40"/>
        <v>0</v>
      </c>
      <c r="AI170" s="692">
        <f t="shared" si="41"/>
        <v>0</v>
      </c>
      <c r="AJ170" s="692">
        <f t="shared" si="42"/>
        <v>0</v>
      </c>
      <c r="AL170" s="38">
        <f t="shared" si="39"/>
        <v>0</v>
      </c>
    </row>
    <row r="171" spans="1:38">
      <c r="A171" s="20"/>
      <c r="B171" s="20" t="s">
        <v>110</v>
      </c>
      <c r="C171" s="676" t="s">
        <v>844</v>
      </c>
      <c r="D171" s="68" t="s">
        <v>845</v>
      </c>
      <c r="E171" s="679"/>
      <c r="F171" s="529">
        <f>VLOOKUP(D171,'Apr 2013 Revenue'!D:V,19,FALSE)</f>
        <v>0</v>
      </c>
      <c r="G171" s="680"/>
      <c r="H171" s="680"/>
      <c r="I171" s="755"/>
      <c r="J171" s="682">
        <f t="shared" si="48"/>
        <v>0</v>
      </c>
      <c r="K171" s="683"/>
      <c r="L171" s="684"/>
      <c r="M171" s="753"/>
      <c r="N171" s="683">
        <v>0</v>
      </c>
      <c r="O171" s="686"/>
      <c r="P171" s="683">
        <v>0</v>
      </c>
      <c r="Q171" s="687">
        <f t="shared" si="34"/>
        <v>0</v>
      </c>
      <c r="R171" s="687"/>
      <c r="S171" s="687"/>
      <c r="T171" s="688">
        <v>0</v>
      </c>
      <c r="U171" s="693"/>
      <c r="V171" s="690">
        <f t="shared" si="43"/>
        <v>0</v>
      </c>
      <c r="W171" s="683"/>
      <c r="X171" s="474">
        <f t="shared" si="44"/>
        <v>0</v>
      </c>
      <c r="Y171" s="474">
        <f t="shared" si="45"/>
        <v>0</v>
      </c>
      <c r="Z171" s="475">
        <f t="shared" si="46"/>
        <v>0</v>
      </c>
      <c r="AA171" s="475">
        <v>0</v>
      </c>
      <c r="AB171" s="476">
        <v>0</v>
      </c>
      <c r="AC171" s="38">
        <f t="shared" si="47"/>
        <v>0</v>
      </c>
      <c r="AD171" s="692">
        <f t="shared" si="36"/>
        <v>0</v>
      </c>
      <c r="AE171" s="692">
        <f t="shared" si="37"/>
        <v>0</v>
      </c>
      <c r="AF171" s="692">
        <f t="shared" si="38"/>
        <v>0</v>
      </c>
      <c r="AG171" s="38"/>
      <c r="AH171" s="692">
        <f t="shared" si="40"/>
        <v>0</v>
      </c>
      <c r="AI171" s="692">
        <f t="shared" si="41"/>
        <v>0</v>
      </c>
      <c r="AJ171" s="692">
        <f t="shared" si="42"/>
        <v>0</v>
      </c>
      <c r="AL171" s="38">
        <f t="shared" si="39"/>
        <v>0</v>
      </c>
    </row>
    <row r="172" spans="1:38">
      <c r="A172" s="20"/>
      <c r="B172" s="20" t="s">
        <v>109</v>
      </c>
      <c r="C172" s="667" t="s">
        <v>570</v>
      </c>
      <c r="D172" s="68" t="s">
        <v>41</v>
      </c>
      <c r="E172" s="679"/>
      <c r="F172" s="529">
        <f>VLOOKUP(D172,'Apr 2013 Revenue'!D:V,19,FALSE)</f>
        <v>0</v>
      </c>
      <c r="G172" s="680"/>
      <c r="H172" s="680"/>
      <c r="I172" s="755"/>
      <c r="J172" s="682">
        <f t="shared" si="48"/>
        <v>0</v>
      </c>
      <c r="K172" s="683"/>
      <c r="L172" s="684"/>
      <c r="M172" s="753"/>
      <c r="N172" s="683">
        <v>0</v>
      </c>
      <c r="O172" s="686"/>
      <c r="P172" s="683">
        <v>0</v>
      </c>
      <c r="Q172" s="687">
        <f t="shared" si="34"/>
        <v>0</v>
      </c>
      <c r="R172" s="687"/>
      <c r="S172" s="687"/>
      <c r="T172" s="688">
        <v>0</v>
      </c>
      <c r="U172" s="693"/>
      <c r="V172" s="690">
        <f t="shared" si="43"/>
        <v>0</v>
      </c>
      <c r="W172" s="683"/>
      <c r="X172" s="474">
        <f t="shared" si="44"/>
        <v>0</v>
      </c>
      <c r="Y172" s="474">
        <f t="shared" si="45"/>
        <v>0</v>
      </c>
      <c r="Z172" s="475">
        <f t="shared" si="46"/>
        <v>0</v>
      </c>
      <c r="AA172" s="475">
        <v>0</v>
      </c>
      <c r="AB172" s="476">
        <v>0</v>
      </c>
      <c r="AC172" s="38">
        <f t="shared" si="47"/>
        <v>0</v>
      </c>
      <c r="AD172" s="692">
        <f t="shared" si="36"/>
        <v>0</v>
      </c>
      <c r="AE172" s="692">
        <f t="shared" si="37"/>
        <v>0</v>
      </c>
      <c r="AF172" s="692">
        <f t="shared" si="38"/>
        <v>0</v>
      </c>
      <c r="AG172" s="38"/>
      <c r="AH172" s="692">
        <f t="shared" si="40"/>
        <v>0</v>
      </c>
      <c r="AI172" s="692">
        <f t="shared" si="41"/>
        <v>0</v>
      </c>
      <c r="AJ172" s="692">
        <f t="shared" si="42"/>
        <v>0</v>
      </c>
      <c r="AL172" s="38">
        <f t="shared" si="39"/>
        <v>0</v>
      </c>
    </row>
    <row r="173" spans="1:38">
      <c r="A173" s="20"/>
      <c r="B173" s="20" t="s">
        <v>109</v>
      </c>
      <c r="C173" s="667" t="s">
        <v>570</v>
      </c>
      <c r="D173" s="68" t="s">
        <v>221</v>
      </c>
      <c r="E173" s="679"/>
      <c r="F173" s="529">
        <f>VLOOKUP(D173,'Apr 2013 Revenue'!D:V,19,FALSE)</f>
        <v>0</v>
      </c>
      <c r="G173" s="680"/>
      <c r="H173" s="680"/>
      <c r="I173" s="755"/>
      <c r="J173" s="682">
        <f t="shared" si="48"/>
        <v>0</v>
      </c>
      <c r="K173" s="683"/>
      <c r="L173" s="684"/>
      <c r="M173" s="753"/>
      <c r="N173" s="683">
        <v>0</v>
      </c>
      <c r="O173" s="686"/>
      <c r="P173" s="683">
        <v>0</v>
      </c>
      <c r="Q173" s="687">
        <f t="shared" si="34"/>
        <v>0</v>
      </c>
      <c r="R173" s="687"/>
      <c r="S173" s="687"/>
      <c r="T173" s="688">
        <v>0</v>
      </c>
      <c r="U173" s="693"/>
      <c r="V173" s="690">
        <f t="shared" si="43"/>
        <v>0</v>
      </c>
      <c r="W173" s="683"/>
      <c r="X173" s="474">
        <f t="shared" si="44"/>
        <v>0</v>
      </c>
      <c r="Y173" s="474">
        <f t="shared" si="45"/>
        <v>0</v>
      </c>
      <c r="Z173" s="475">
        <f t="shared" si="46"/>
        <v>0</v>
      </c>
      <c r="AA173" s="475">
        <v>0</v>
      </c>
      <c r="AB173" s="476">
        <v>0</v>
      </c>
      <c r="AC173" s="38">
        <f t="shared" si="47"/>
        <v>0</v>
      </c>
      <c r="AD173" s="692">
        <f t="shared" si="36"/>
        <v>0</v>
      </c>
      <c r="AE173" s="692">
        <f t="shared" si="37"/>
        <v>0</v>
      </c>
      <c r="AF173" s="692">
        <f t="shared" si="38"/>
        <v>0</v>
      </c>
      <c r="AG173" s="38"/>
      <c r="AH173" s="692">
        <f t="shared" si="40"/>
        <v>0</v>
      </c>
      <c r="AI173" s="692">
        <f t="shared" si="41"/>
        <v>0</v>
      </c>
      <c r="AJ173" s="692">
        <f t="shared" si="42"/>
        <v>0</v>
      </c>
      <c r="AL173" s="38">
        <f t="shared" si="39"/>
        <v>0</v>
      </c>
    </row>
    <row r="174" spans="1:38">
      <c r="A174" s="21"/>
      <c r="B174" s="21" t="s">
        <v>110</v>
      </c>
      <c r="C174" s="666"/>
      <c r="D174" s="68" t="s">
        <v>43</v>
      </c>
      <c r="E174" s="679"/>
      <c r="F174" s="529">
        <f>VLOOKUP(D174,'Apr 2013 Revenue'!D:V,19,FALSE)</f>
        <v>0</v>
      </c>
      <c r="G174" s="680"/>
      <c r="H174" s="680"/>
      <c r="I174" s="755"/>
      <c r="J174" s="682">
        <f t="shared" si="48"/>
        <v>0</v>
      </c>
      <c r="K174" s="683"/>
      <c r="L174" s="684"/>
      <c r="M174" s="753"/>
      <c r="N174" s="683">
        <v>0</v>
      </c>
      <c r="O174" s="686"/>
      <c r="P174" s="683">
        <v>0</v>
      </c>
      <c r="Q174" s="687">
        <f t="shared" si="34"/>
        <v>0</v>
      </c>
      <c r="R174" s="687"/>
      <c r="S174" s="687"/>
      <c r="T174" s="688">
        <v>0</v>
      </c>
      <c r="U174" s="693"/>
      <c r="V174" s="690">
        <f t="shared" si="43"/>
        <v>0</v>
      </c>
      <c r="W174" s="683"/>
      <c r="X174" s="474">
        <f t="shared" si="44"/>
        <v>0</v>
      </c>
      <c r="Y174" s="474">
        <f t="shared" si="45"/>
        <v>0</v>
      </c>
      <c r="Z174" s="475">
        <f t="shared" si="46"/>
        <v>0</v>
      </c>
      <c r="AA174" s="475">
        <v>0</v>
      </c>
      <c r="AB174" s="476">
        <v>0</v>
      </c>
      <c r="AC174" s="38">
        <f t="shared" si="47"/>
        <v>0</v>
      </c>
      <c r="AD174" s="692">
        <f t="shared" si="36"/>
        <v>0</v>
      </c>
      <c r="AE174" s="692">
        <f t="shared" si="37"/>
        <v>0</v>
      </c>
      <c r="AF174" s="692">
        <f t="shared" si="38"/>
        <v>0</v>
      </c>
      <c r="AG174" s="38"/>
      <c r="AH174" s="692">
        <f t="shared" si="40"/>
        <v>0</v>
      </c>
      <c r="AI174" s="692">
        <f t="shared" si="41"/>
        <v>0</v>
      </c>
      <c r="AJ174" s="692">
        <f t="shared" si="42"/>
        <v>0</v>
      </c>
      <c r="AL174" s="38">
        <f t="shared" si="39"/>
        <v>0</v>
      </c>
    </row>
    <row r="175" spans="1:38">
      <c r="A175" s="21"/>
      <c r="B175" s="21" t="s">
        <v>109</v>
      </c>
      <c r="C175" s="666" t="s">
        <v>571</v>
      </c>
      <c r="D175" s="68" t="s">
        <v>44</v>
      </c>
      <c r="E175" s="679"/>
      <c r="F175" s="529">
        <f>VLOOKUP(D175,'Apr 2013 Revenue'!D:V,19,FALSE)</f>
        <v>0</v>
      </c>
      <c r="G175" s="680"/>
      <c r="H175" s="680"/>
      <c r="I175" s="755"/>
      <c r="J175" s="682">
        <f t="shared" si="48"/>
        <v>0</v>
      </c>
      <c r="K175" s="683"/>
      <c r="L175" s="684"/>
      <c r="M175" s="753"/>
      <c r="N175" s="683">
        <v>0</v>
      </c>
      <c r="O175" s="686"/>
      <c r="P175" s="683">
        <v>0</v>
      </c>
      <c r="Q175" s="687">
        <f t="shared" si="34"/>
        <v>0</v>
      </c>
      <c r="R175" s="687"/>
      <c r="S175" s="687"/>
      <c r="T175" s="688">
        <v>0</v>
      </c>
      <c r="U175" s="693"/>
      <c r="V175" s="690">
        <f t="shared" si="43"/>
        <v>0</v>
      </c>
      <c r="W175" s="683"/>
      <c r="X175" s="474">
        <f t="shared" si="44"/>
        <v>0</v>
      </c>
      <c r="Y175" s="474">
        <f t="shared" si="45"/>
        <v>0</v>
      </c>
      <c r="Z175" s="475">
        <f t="shared" si="46"/>
        <v>0</v>
      </c>
      <c r="AA175" s="475">
        <v>0</v>
      </c>
      <c r="AB175" s="476">
        <v>0</v>
      </c>
      <c r="AC175" s="38">
        <f t="shared" si="47"/>
        <v>0</v>
      </c>
      <c r="AD175" s="692">
        <f t="shared" si="36"/>
        <v>0</v>
      </c>
      <c r="AE175" s="692">
        <f t="shared" si="37"/>
        <v>0</v>
      </c>
      <c r="AF175" s="692">
        <f t="shared" si="38"/>
        <v>0</v>
      </c>
      <c r="AG175" s="38"/>
      <c r="AH175" s="692">
        <f t="shared" si="40"/>
        <v>0</v>
      </c>
      <c r="AI175" s="692">
        <f t="shared" si="41"/>
        <v>0</v>
      </c>
      <c r="AJ175" s="692">
        <f t="shared" si="42"/>
        <v>0</v>
      </c>
      <c r="AL175" s="38">
        <f t="shared" si="39"/>
        <v>0</v>
      </c>
    </row>
    <row r="176" spans="1:38">
      <c r="A176" s="21"/>
      <c r="B176" s="21" t="s">
        <v>114</v>
      </c>
      <c r="C176" s="666" t="s">
        <v>571</v>
      </c>
      <c r="D176" s="68" t="s">
        <v>44</v>
      </c>
      <c r="E176" s="679"/>
      <c r="F176" s="529">
        <f>VLOOKUP(D176,'Apr 2013 Revenue'!D:V,19,FALSE)</f>
        <v>0</v>
      </c>
      <c r="G176" s="680"/>
      <c r="H176" s="680"/>
      <c r="I176" s="755"/>
      <c r="J176" s="682">
        <f t="shared" si="48"/>
        <v>0</v>
      </c>
      <c r="K176" s="683"/>
      <c r="L176" s="684"/>
      <c r="M176" s="753">
        <v>5000</v>
      </c>
      <c r="N176" s="683">
        <v>0</v>
      </c>
      <c r="O176" s="686"/>
      <c r="P176" s="683">
        <v>0</v>
      </c>
      <c r="Q176" s="687">
        <f t="shared" si="34"/>
        <v>5000</v>
      </c>
      <c r="R176" s="687"/>
      <c r="S176" s="687"/>
      <c r="T176" s="688">
        <v>0</v>
      </c>
      <c r="U176" s="693"/>
      <c r="V176" s="690">
        <f t="shared" si="43"/>
        <v>-5000</v>
      </c>
      <c r="W176" s="683"/>
      <c r="X176" s="474">
        <f t="shared" si="44"/>
        <v>0</v>
      </c>
      <c r="Y176" s="474">
        <f t="shared" si="45"/>
        <v>0</v>
      </c>
      <c r="Z176" s="475">
        <f t="shared" si="46"/>
        <v>5000</v>
      </c>
      <c r="AA176" s="475">
        <v>0</v>
      </c>
      <c r="AB176" s="476">
        <v>0</v>
      </c>
      <c r="AC176" s="38">
        <f t="shared" si="47"/>
        <v>0</v>
      </c>
      <c r="AD176" s="692">
        <f t="shared" si="36"/>
        <v>0</v>
      </c>
      <c r="AE176" s="692">
        <f t="shared" si="37"/>
        <v>0</v>
      </c>
      <c r="AF176" s="692">
        <f t="shared" si="38"/>
        <v>0</v>
      </c>
      <c r="AG176" s="38"/>
      <c r="AH176" s="692">
        <f t="shared" si="40"/>
        <v>0</v>
      </c>
      <c r="AI176" s="692">
        <f t="shared" si="41"/>
        <v>0</v>
      </c>
      <c r="AJ176" s="692">
        <f t="shared" si="42"/>
        <v>5000</v>
      </c>
      <c r="AL176" s="38">
        <f t="shared" si="39"/>
        <v>5000</v>
      </c>
    </row>
    <row r="177" spans="1:38">
      <c r="A177" s="21"/>
      <c r="B177" s="21" t="s">
        <v>110</v>
      </c>
      <c r="C177" s="666" t="s">
        <v>572</v>
      </c>
      <c r="D177" s="806" t="s">
        <v>388</v>
      </c>
      <c r="E177" s="679"/>
      <c r="F177" s="529">
        <f>VLOOKUP(D177,'Apr 2013 Revenue'!D:V,19,FALSE)</f>
        <v>2493.2999999999993</v>
      </c>
      <c r="G177" s="680"/>
      <c r="H177" s="680"/>
      <c r="I177" s="755"/>
      <c r="J177" s="682">
        <f t="shared" si="48"/>
        <v>2493.2999999999993</v>
      </c>
      <c r="K177" s="683"/>
      <c r="L177" s="684"/>
      <c r="M177" s="753">
        <v>8000</v>
      </c>
      <c r="N177" s="683">
        <v>0</v>
      </c>
      <c r="O177" s="686"/>
      <c r="P177" s="683">
        <v>0</v>
      </c>
      <c r="Q177" s="687">
        <f t="shared" si="34"/>
        <v>8000</v>
      </c>
      <c r="R177" s="687"/>
      <c r="S177" s="687"/>
      <c r="T177" s="688">
        <v>0</v>
      </c>
      <c r="U177" s="693"/>
      <c r="V177" s="690">
        <f t="shared" si="43"/>
        <v>-8000</v>
      </c>
      <c r="W177" s="683"/>
      <c r="X177" s="474">
        <f t="shared" si="44"/>
        <v>8000</v>
      </c>
      <c r="Y177" s="474">
        <f t="shared" si="45"/>
        <v>0</v>
      </c>
      <c r="Z177" s="475">
        <f t="shared" si="46"/>
        <v>0</v>
      </c>
      <c r="AA177" s="475">
        <v>0</v>
      </c>
      <c r="AB177" s="476">
        <v>0</v>
      </c>
      <c r="AC177" s="38">
        <f t="shared" si="47"/>
        <v>0</v>
      </c>
      <c r="AD177" s="692">
        <f t="shared" si="36"/>
        <v>2493.2999999999993</v>
      </c>
      <c r="AE177" s="692">
        <f t="shared" si="37"/>
        <v>0</v>
      </c>
      <c r="AF177" s="692">
        <f t="shared" si="38"/>
        <v>0</v>
      </c>
      <c r="AG177" s="38"/>
      <c r="AH177" s="692">
        <f t="shared" si="40"/>
        <v>8000</v>
      </c>
      <c r="AI177" s="692">
        <f t="shared" si="41"/>
        <v>0</v>
      </c>
      <c r="AJ177" s="692">
        <f t="shared" si="42"/>
        <v>0</v>
      </c>
      <c r="AL177" s="38">
        <f t="shared" si="39"/>
        <v>10493.3</v>
      </c>
    </row>
    <row r="178" spans="1:38">
      <c r="A178" s="20"/>
      <c r="B178" s="20" t="s">
        <v>109</v>
      </c>
      <c r="C178" s="667"/>
      <c r="D178" s="806" t="s">
        <v>842</v>
      </c>
      <c r="E178" s="679"/>
      <c r="F178" s="529">
        <f>VLOOKUP(D178,'Apr 2013 Revenue'!D:V,19,FALSE)</f>
        <v>-50000</v>
      </c>
      <c r="G178" s="680"/>
      <c r="H178" s="680"/>
      <c r="I178" s="755"/>
      <c r="J178" s="682">
        <f t="shared" si="48"/>
        <v>-50000</v>
      </c>
      <c r="K178" s="683"/>
      <c r="L178" s="684"/>
      <c r="M178" s="753">
        <v>62000</v>
      </c>
      <c r="N178" s="683">
        <v>0</v>
      </c>
      <c r="O178" s="686"/>
      <c r="P178" s="683">
        <v>0</v>
      </c>
      <c r="Q178" s="687">
        <f t="shared" si="34"/>
        <v>62000</v>
      </c>
      <c r="R178" s="687"/>
      <c r="S178" s="687"/>
      <c r="T178" s="688">
        <v>0</v>
      </c>
      <c r="U178" s="693"/>
      <c r="V178" s="690">
        <f t="shared" si="43"/>
        <v>-62000</v>
      </c>
      <c r="W178" s="683"/>
      <c r="X178" s="474">
        <f t="shared" si="44"/>
        <v>0</v>
      </c>
      <c r="Y178" s="474">
        <f t="shared" si="45"/>
        <v>62000</v>
      </c>
      <c r="Z178" s="475">
        <f t="shared" si="46"/>
        <v>0</v>
      </c>
      <c r="AA178" s="475">
        <v>0</v>
      </c>
      <c r="AB178" s="476">
        <v>0</v>
      </c>
      <c r="AC178" s="38">
        <f t="shared" si="47"/>
        <v>0</v>
      </c>
      <c r="AD178" s="692">
        <f t="shared" si="36"/>
        <v>0</v>
      </c>
      <c r="AE178" s="692">
        <f t="shared" si="37"/>
        <v>-50000</v>
      </c>
      <c r="AF178" s="692">
        <f t="shared" si="38"/>
        <v>0</v>
      </c>
      <c r="AG178" s="38"/>
      <c r="AH178" s="692">
        <f t="shared" si="40"/>
        <v>0</v>
      </c>
      <c r="AI178" s="692">
        <f t="shared" si="41"/>
        <v>62000</v>
      </c>
      <c r="AJ178" s="692">
        <f t="shared" si="42"/>
        <v>0</v>
      </c>
      <c r="AL178" s="38">
        <f t="shared" si="39"/>
        <v>12000</v>
      </c>
    </row>
    <row r="179" spans="1:38">
      <c r="A179" s="21"/>
      <c r="B179" s="21" t="s">
        <v>110</v>
      </c>
      <c r="C179" s="666"/>
      <c r="D179" s="68" t="s">
        <v>45</v>
      </c>
      <c r="E179" s="679"/>
      <c r="F179" s="529">
        <f>VLOOKUP(D179,'Apr 2013 Revenue'!D:V,19,FALSE)</f>
        <v>2371.7299999999996</v>
      </c>
      <c r="G179" s="680"/>
      <c r="H179" s="680"/>
      <c r="I179" s="755"/>
      <c r="J179" s="682">
        <f t="shared" si="48"/>
        <v>2371.7299999999996</v>
      </c>
      <c r="K179" s="683"/>
      <c r="L179" s="684"/>
      <c r="M179" s="753">
        <v>20000</v>
      </c>
      <c r="N179" s="683">
        <v>0</v>
      </c>
      <c r="O179" s="686"/>
      <c r="P179" s="683">
        <v>0</v>
      </c>
      <c r="Q179" s="687">
        <f t="shared" si="34"/>
        <v>20000</v>
      </c>
      <c r="R179" s="687"/>
      <c r="S179" s="687"/>
      <c r="T179" s="688">
        <f>94290.78+3561.02</f>
        <v>97851.8</v>
      </c>
      <c r="U179" s="693"/>
      <c r="V179" s="690">
        <f t="shared" si="43"/>
        <v>77851.8</v>
      </c>
      <c r="W179" s="683"/>
      <c r="X179" s="474">
        <f t="shared" si="44"/>
        <v>20000</v>
      </c>
      <c r="Y179" s="474">
        <f t="shared" si="45"/>
        <v>0</v>
      </c>
      <c r="Z179" s="475">
        <f t="shared" si="46"/>
        <v>0</v>
      </c>
      <c r="AA179" s="475">
        <v>0</v>
      </c>
      <c r="AB179" s="476">
        <v>0</v>
      </c>
      <c r="AC179" s="38">
        <f t="shared" si="47"/>
        <v>0</v>
      </c>
      <c r="AD179" s="692">
        <f t="shared" si="36"/>
        <v>2371.7299999999996</v>
      </c>
      <c r="AE179" s="692">
        <f t="shared" si="37"/>
        <v>0</v>
      </c>
      <c r="AF179" s="692">
        <f t="shared" si="38"/>
        <v>0</v>
      </c>
      <c r="AG179" s="38"/>
      <c r="AH179" s="692">
        <f t="shared" si="40"/>
        <v>20000</v>
      </c>
      <c r="AI179" s="692">
        <f t="shared" si="41"/>
        <v>0</v>
      </c>
      <c r="AJ179" s="692">
        <f t="shared" si="42"/>
        <v>0</v>
      </c>
      <c r="AL179" s="38">
        <f t="shared" si="39"/>
        <v>22371.73</v>
      </c>
    </row>
    <row r="180" spans="1:38">
      <c r="A180" s="20" t="s">
        <v>211</v>
      </c>
      <c r="B180" s="20" t="s">
        <v>109</v>
      </c>
      <c r="C180" s="667"/>
      <c r="D180" s="68" t="s">
        <v>923</v>
      </c>
      <c r="E180" s="679">
        <v>107.89</v>
      </c>
      <c r="F180" s="529">
        <f>VLOOKUP(D180,'Apr 2013 Revenue'!D:V,19,FALSE)</f>
        <v>109.83</v>
      </c>
      <c r="G180" s="680"/>
      <c r="H180" s="680"/>
      <c r="I180" s="755"/>
      <c r="J180" s="682">
        <f t="shared" si="48"/>
        <v>217.72</v>
      </c>
      <c r="K180" s="683"/>
      <c r="L180" s="684"/>
      <c r="M180" s="753"/>
      <c r="N180" s="683">
        <v>0</v>
      </c>
      <c r="O180" s="686"/>
      <c r="P180" s="683">
        <v>0</v>
      </c>
      <c r="Q180" s="687">
        <f t="shared" si="34"/>
        <v>0</v>
      </c>
      <c r="R180" s="687"/>
      <c r="S180" s="687"/>
      <c r="T180" s="688">
        <v>0</v>
      </c>
      <c r="U180" s="693"/>
      <c r="V180" s="690">
        <f t="shared" si="43"/>
        <v>0</v>
      </c>
      <c r="W180" s="697"/>
      <c r="X180" s="474">
        <f t="shared" si="44"/>
        <v>0</v>
      </c>
      <c r="Y180" s="474">
        <f t="shared" si="45"/>
        <v>0</v>
      </c>
      <c r="Z180" s="475">
        <f t="shared" si="46"/>
        <v>0</v>
      </c>
      <c r="AA180" s="475">
        <v>0</v>
      </c>
      <c r="AB180" s="476">
        <v>0</v>
      </c>
      <c r="AC180" s="38">
        <f t="shared" si="47"/>
        <v>0</v>
      </c>
      <c r="AD180" s="692">
        <f t="shared" si="36"/>
        <v>0</v>
      </c>
      <c r="AE180" s="692">
        <f t="shared" si="37"/>
        <v>217.72</v>
      </c>
      <c r="AF180" s="692">
        <f t="shared" si="38"/>
        <v>0</v>
      </c>
      <c r="AG180" s="38"/>
      <c r="AH180" s="692">
        <f t="shared" si="40"/>
        <v>0</v>
      </c>
      <c r="AI180" s="692">
        <f t="shared" si="41"/>
        <v>0</v>
      </c>
      <c r="AJ180" s="692">
        <f t="shared" si="42"/>
        <v>0</v>
      </c>
      <c r="AL180" s="38">
        <f t="shared" si="39"/>
        <v>217.72</v>
      </c>
    </row>
    <row r="181" spans="1:38">
      <c r="A181" s="20"/>
      <c r="B181" s="20" t="s">
        <v>110</v>
      </c>
      <c r="C181" s="667" t="s">
        <v>573</v>
      </c>
      <c r="D181" s="68" t="s">
        <v>102</v>
      </c>
      <c r="E181" s="679"/>
      <c r="F181" s="529">
        <f>VLOOKUP(D181,'Apr 2013 Revenue'!D:V,19,FALSE)</f>
        <v>-259513.38000000035</v>
      </c>
      <c r="G181" s="680"/>
      <c r="H181" s="680"/>
      <c r="I181" s="755"/>
      <c r="J181" s="682">
        <f t="shared" si="48"/>
        <v>-259513.38000000035</v>
      </c>
      <c r="K181" s="683"/>
      <c r="L181" s="684"/>
      <c r="M181" s="753">
        <v>2580000</v>
      </c>
      <c r="N181" s="683">
        <v>0</v>
      </c>
      <c r="O181" s="686"/>
      <c r="P181" s="683">
        <v>0</v>
      </c>
      <c r="Q181" s="687">
        <f t="shared" si="34"/>
        <v>2580000</v>
      </c>
      <c r="R181" s="687"/>
      <c r="S181" s="687"/>
      <c r="T181" s="688">
        <f>2497547.7+59522.71+266.62</f>
        <v>2557337.0300000003</v>
      </c>
      <c r="U181" s="693"/>
      <c r="V181" s="690">
        <f t="shared" si="43"/>
        <v>-22662.969999999739</v>
      </c>
      <c r="W181" s="697"/>
      <c r="X181" s="474">
        <f t="shared" si="44"/>
        <v>2580000</v>
      </c>
      <c r="Y181" s="474">
        <f t="shared" si="45"/>
        <v>0</v>
      </c>
      <c r="Z181" s="475">
        <f t="shared" si="46"/>
        <v>0</v>
      </c>
      <c r="AA181" s="475">
        <v>0</v>
      </c>
      <c r="AB181" s="476">
        <v>0</v>
      </c>
      <c r="AC181" s="38">
        <f t="shared" si="47"/>
        <v>0</v>
      </c>
      <c r="AD181" s="692">
        <f t="shared" si="36"/>
        <v>-259513.38000000035</v>
      </c>
      <c r="AE181" s="692">
        <f t="shared" si="37"/>
        <v>0</v>
      </c>
      <c r="AF181" s="692">
        <f t="shared" si="38"/>
        <v>0</v>
      </c>
      <c r="AG181" s="38"/>
      <c r="AH181" s="692">
        <f t="shared" si="40"/>
        <v>2580000</v>
      </c>
      <c r="AI181" s="692">
        <f t="shared" si="41"/>
        <v>0</v>
      </c>
      <c r="AJ181" s="692">
        <f t="shared" si="42"/>
        <v>0</v>
      </c>
      <c r="AL181" s="38">
        <f t="shared" si="39"/>
        <v>2320486.6199999996</v>
      </c>
    </row>
    <row r="182" spans="1:38">
      <c r="A182" s="20"/>
      <c r="B182" s="20" t="s">
        <v>110</v>
      </c>
      <c r="C182" s="667" t="s">
        <v>573</v>
      </c>
      <c r="D182" s="68" t="s">
        <v>511</v>
      </c>
      <c r="E182" s="679"/>
      <c r="F182" s="529">
        <f>VLOOKUP(D182,'Apr 2013 Revenue'!D:V,19,FALSE)</f>
        <v>549.29</v>
      </c>
      <c r="G182" s="680"/>
      <c r="H182" s="680"/>
      <c r="I182" s="755"/>
      <c r="J182" s="682">
        <f t="shared" si="48"/>
        <v>549.29</v>
      </c>
      <c r="K182" s="683"/>
      <c r="L182" s="684"/>
      <c r="M182" s="753"/>
      <c r="N182" s="683">
        <v>0</v>
      </c>
      <c r="O182" s="686"/>
      <c r="P182" s="683">
        <v>0</v>
      </c>
      <c r="Q182" s="687">
        <f t="shared" si="34"/>
        <v>0</v>
      </c>
      <c r="R182" s="687"/>
      <c r="S182" s="687"/>
      <c r="T182" s="688">
        <v>706.33</v>
      </c>
      <c r="U182" s="693"/>
      <c r="V182" s="690">
        <f t="shared" si="43"/>
        <v>706.33</v>
      </c>
      <c r="W182" s="697"/>
      <c r="X182" s="474">
        <f t="shared" si="44"/>
        <v>0</v>
      </c>
      <c r="Y182" s="474">
        <f t="shared" si="45"/>
        <v>0</v>
      </c>
      <c r="Z182" s="475">
        <f t="shared" si="46"/>
        <v>0</v>
      </c>
      <c r="AA182" s="475">
        <v>0</v>
      </c>
      <c r="AB182" s="476">
        <v>0</v>
      </c>
      <c r="AC182" s="38">
        <f t="shared" si="47"/>
        <v>0</v>
      </c>
      <c r="AD182" s="692">
        <f t="shared" si="36"/>
        <v>549.29</v>
      </c>
      <c r="AE182" s="692">
        <f t="shared" si="37"/>
        <v>0</v>
      </c>
      <c r="AF182" s="692">
        <f t="shared" si="38"/>
        <v>0</v>
      </c>
      <c r="AG182" s="38"/>
      <c r="AH182" s="692">
        <f t="shared" si="40"/>
        <v>0</v>
      </c>
      <c r="AI182" s="692">
        <f t="shared" si="41"/>
        <v>0</v>
      </c>
      <c r="AJ182" s="692">
        <f t="shared" si="42"/>
        <v>0</v>
      </c>
      <c r="AL182" s="38">
        <f t="shared" si="39"/>
        <v>549.29</v>
      </c>
    </row>
    <row r="183" spans="1:38">
      <c r="A183" s="21"/>
      <c r="B183" s="21" t="s">
        <v>110</v>
      </c>
      <c r="C183" s="666"/>
      <c r="D183" s="68" t="s">
        <v>50</v>
      </c>
      <c r="E183" s="679">
        <v>753.16</v>
      </c>
      <c r="F183" s="529">
        <f>VLOOKUP(D183,'Apr 2013 Revenue'!D:V,19,FALSE)</f>
        <v>0</v>
      </c>
      <c r="G183" s="680"/>
      <c r="H183" s="680"/>
      <c r="I183" s="770">
        <v>1055.69</v>
      </c>
      <c r="J183" s="682">
        <f t="shared" si="48"/>
        <v>1808.85</v>
      </c>
      <c r="K183" s="683"/>
      <c r="L183" s="684"/>
      <c r="M183" s="753"/>
      <c r="N183" s="683">
        <v>0</v>
      </c>
      <c r="O183" s="686"/>
      <c r="P183" s="683">
        <v>0</v>
      </c>
      <c r="Q183" s="687">
        <f t="shared" si="34"/>
        <v>0</v>
      </c>
      <c r="R183" s="687"/>
      <c r="S183" s="687"/>
      <c r="T183" s="688">
        <v>0</v>
      </c>
      <c r="U183" s="693"/>
      <c r="V183" s="690">
        <f t="shared" si="43"/>
        <v>0</v>
      </c>
      <c r="W183" s="683"/>
      <c r="X183" s="474">
        <f t="shared" si="44"/>
        <v>0</v>
      </c>
      <c r="Y183" s="474">
        <f t="shared" si="45"/>
        <v>0</v>
      </c>
      <c r="Z183" s="475">
        <f t="shared" si="46"/>
        <v>0</v>
      </c>
      <c r="AA183" s="475">
        <v>0</v>
      </c>
      <c r="AB183" s="476">
        <v>0</v>
      </c>
      <c r="AC183" s="38">
        <f t="shared" si="47"/>
        <v>0</v>
      </c>
      <c r="AD183" s="692">
        <f t="shared" si="36"/>
        <v>1808.85</v>
      </c>
      <c r="AE183" s="692">
        <f t="shared" si="37"/>
        <v>0</v>
      </c>
      <c r="AF183" s="692">
        <f t="shared" si="38"/>
        <v>0</v>
      </c>
      <c r="AG183" s="38"/>
      <c r="AH183" s="692">
        <f t="shared" si="40"/>
        <v>0</v>
      </c>
      <c r="AI183" s="692">
        <f t="shared" si="41"/>
        <v>0</v>
      </c>
      <c r="AJ183" s="692">
        <f t="shared" si="42"/>
        <v>0</v>
      </c>
      <c r="AL183" s="38">
        <f t="shared" si="39"/>
        <v>1808.85</v>
      </c>
    </row>
    <row r="184" spans="1:38">
      <c r="A184" s="21"/>
      <c r="B184" s="21" t="s">
        <v>109</v>
      </c>
      <c r="C184" s="666"/>
      <c r="D184" s="68" t="s">
        <v>51</v>
      </c>
      <c r="E184" s="679"/>
      <c r="F184" s="529">
        <f>VLOOKUP(D184,'Apr 2013 Revenue'!D:V,19,FALSE)</f>
        <v>0</v>
      </c>
      <c r="G184" s="680"/>
      <c r="H184" s="680"/>
      <c r="I184" s="755"/>
      <c r="J184" s="682">
        <f t="shared" si="48"/>
        <v>0</v>
      </c>
      <c r="K184" s="683"/>
      <c r="L184" s="684"/>
      <c r="M184" s="753"/>
      <c r="N184" s="683">
        <v>0</v>
      </c>
      <c r="O184" s="686"/>
      <c r="P184" s="683">
        <v>0</v>
      </c>
      <c r="Q184" s="687">
        <f t="shared" si="34"/>
        <v>0</v>
      </c>
      <c r="R184" s="687"/>
      <c r="S184" s="687"/>
      <c r="T184" s="688">
        <v>0</v>
      </c>
      <c r="U184" s="693"/>
      <c r="V184" s="690">
        <f t="shared" si="43"/>
        <v>0</v>
      </c>
      <c r="W184" s="683"/>
      <c r="X184" s="474">
        <f t="shared" si="44"/>
        <v>0</v>
      </c>
      <c r="Y184" s="474">
        <f t="shared" si="45"/>
        <v>0</v>
      </c>
      <c r="Z184" s="475">
        <f t="shared" si="46"/>
        <v>0</v>
      </c>
      <c r="AA184" s="475">
        <v>0</v>
      </c>
      <c r="AB184" s="476">
        <v>0</v>
      </c>
      <c r="AC184" s="38">
        <f t="shared" si="47"/>
        <v>0</v>
      </c>
      <c r="AD184" s="692">
        <f t="shared" si="36"/>
        <v>0</v>
      </c>
      <c r="AE184" s="692">
        <f t="shared" si="37"/>
        <v>0</v>
      </c>
      <c r="AF184" s="692">
        <f t="shared" si="38"/>
        <v>0</v>
      </c>
      <c r="AG184" s="38"/>
      <c r="AH184" s="692">
        <f t="shared" si="40"/>
        <v>0</v>
      </c>
      <c r="AI184" s="692">
        <f t="shared" si="41"/>
        <v>0</v>
      </c>
      <c r="AJ184" s="692">
        <f t="shared" si="42"/>
        <v>0</v>
      </c>
      <c r="AL184" s="38">
        <f t="shared" si="39"/>
        <v>0</v>
      </c>
    </row>
    <row r="185" spans="1:38">
      <c r="A185" s="21"/>
      <c r="B185" s="21" t="s">
        <v>109</v>
      </c>
      <c r="C185" s="666"/>
      <c r="D185" s="68" t="s">
        <v>107</v>
      </c>
      <c r="E185" s="679"/>
      <c r="F185" s="529">
        <f>VLOOKUP(D185,'Apr 2013 Revenue'!D:V,19,FALSE)</f>
        <v>-9000</v>
      </c>
      <c r="G185" s="680"/>
      <c r="H185" s="680"/>
      <c r="I185" s="755"/>
      <c r="J185" s="682">
        <f t="shared" si="48"/>
        <v>-9000</v>
      </c>
      <c r="K185" s="683"/>
      <c r="L185" s="684"/>
      <c r="M185" s="753"/>
      <c r="N185" s="683">
        <v>0</v>
      </c>
      <c r="O185" s="686"/>
      <c r="P185" s="683">
        <v>0</v>
      </c>
      <c r="Q185" s="687">
        <f t="shared" si="34"/>
        <v>0</v>
      </c>
      <c r="R185" s="687"/>
      <c r="S185" s="687"/>
      <c r="T185" s="688">
        <v>0</v>
      </c>
      <c r="U185" s="693"/>
      <c r="V185" s="690">
        <f t="shared" si="43"/>
        <v>0</v>
      </c>
      <c r="W185" s="683"/>
      <c r="X185" s="474">
        <f t="shared" si="44"/>
        <v>0</v>
      </c>
      <c r="Y185" s="474">
        <f t="shared" si="45"/>
        <v>0</v>
      </c>
      <c r="Z185" s="475">
        <f t="shared" si="46"/>
        <v>0</v>
      </c>
      <c r="AA185" s="475">
        <v>0</v>
      </c>
      <c r="AB185" s="476">
        <v>0</v>
      </c>
      <c r="AC185" s="38">
        <f t="shared" si="47"/>
        <v>0</v>
      </c>
      <c r="AD185" s="692">
        <f t="shared" si="36"/>
        <v>0</v>
      </c>
      <c r="AE185" s="692">
        <f t="shared" si="37"/>
        <v>-9000</v>
      </c>
      <c r="AF185" s="692">
        <f t="shared" si="38"/>
        <v>0</v>
      </c>
      <c r="AG185" s="38"/>
      <c r="AH185" s="692">
        <f t="shared" si="40"/>
        <v>0</v>
      </c>
      <c r="AI185" s="692">
        <f t="shared" si="41"/>
        <v>0</v>
      </c>
      <c r="AJ185" s="692">
        <f t="shared" si="42"/>
        <v>0</v>
      </c>
      <c r="AL185" s="38">
        <f t="shared" si="39"/>
        <v>-9000</v>
      </c>
    </row>
    <row r="186" spans="1:38">
      <c r="A186" s="21"/>
      <c r="B186" s="21" t="s">
        <v>109</v>
      </c>
      <c r="C186" s="666"/>
      <c r="D186" s="68" t="s">
        <v>467</v>
      </c>
      <c r="E186" s="679"/>
      <c r="F186" s="529">
        <f>VLOOKUP(D186,'Apr 2013 Revenue'!D:V,19,FALSE)</f>
        <v>0</v>
      </c>
      <c r="G186" s="680"/>
      <c r="H186" s="680"/>
      <c r="I186" s="755"/>
      <c r="J186" s="682">
        <f t="shared" si="48"/>
        <v>0</v>
      </c>
      <c r="K186" s="683"/>
      <c r="L186" s="684"/>
      <c r="M186" s="753"/>
      <c r="N186" s="683">
        <v>0</v>
      </c>
      <c r="O186" s="686"/>
      <c r="P186" s="683">
        <v>0</v>
      </c>
      <c r="Q186" s="687">
        <f t="shared" si="34"/>
        <v>0</v>
      </c>
      <c r="R186" s="687"/>
      <c r="S186" s="687"/>
      <c r="T186" s="688">
        <v>0</v>
      </c>
      <c r="U186" s="693"/>
      <c r="V186" s="690">
        <f t="shared" si="43"/>
        <v>0</v>
      </c>
      <c r="W186" s="683"/>
      <c r="X186" s="474">
        <f t="shared" si="44"/>
        <v>0</v>
      </c>
      <c r="Y186" s="474">
        <f t="shared" si="45"/>
        <v>0</v>
      </c>
      <c r="Z186" s="475">
        <f t="shared" si="46"/>
        <v>0</v>
      </c>
      <c r="AA186" s="475">
        <v>0</v>
      </c>
      <c r="AB186" s="476">
        <v>0</v>
      </c>
      <c r="AC186" s="38">
        <f t="shared" si="47"/>
        <v>0</v>
      </c>
      <c r="AD186" s="692">
        <f t="shared" si="36"/>
        <v>0</v>
      </c>
      <c r="AE186" s="692">
        <f t="shared" si="37"/>
        <v>0</v>
      </c>
      <c r="AF186" s="692">
        <f t="shared" si="38"/>
        <v>0</v>
      </c>
      <c r="AG186" s="38"/>
      <c r="AH186" s="692">
        <f t="shared" si="40"/>
        <v>0</v>
      </c>
      <c r="AI186" s="692">
        <f t="shared" si="41"/>
        <v>0</v>
      </c>
      <c r="AJ186" s="692">
        <f t="shared" si="42"/>
        <v>0</v>
      </c>
      <c r="AL186" s="38">
        <f t="shared" si="39"/>
        <v>0</v>
      </c>
    </row>
    <row r="187" spans="1:38">
      <c r="A187" s="21"/>
      <c r="B187" s="21" t="s">
        <v>109</v>
      </c>
      <c r="C187" s="666" t="s">
        <v>575</v>
      </c>
      <c r="D187" s="68" t="s">
        <v>54</v>
      </c>
      <c r="E187" s="679"/>
      <c r="F187" s="529">
        <f>VLOOKUP(D187,'Apr 2013 Revenue'!D:V,19,FALSE)</f>
        <v>0</v>
      </c>
      <c r="G187" s="680"/>
      <c r="H187" s="680"/>
      <c r="I187" s="755"/>
      <c r="J187" s="682">
        <f t="shared" si="48"/>
        <v>0</v>
      </c>
      <c r="K187" s="683"/>
      <c r="L187" s="684"/>
      <c r="M187" s="753"/>
      <c r="N187" s="683">
        <v>0</v>
      </c>
      <c r="O187" s="686"/>
      <c r="P187" s="683">
        <v>0</v>
      </c>
      <c r="Q187" s="687">
        <f t="shared" si="34"/>
        <v>0</v>
      </c>
      <c r="R187" s="687"/>
      <c r="S187" s="687"/>
      <c r="T187" s="688">
        <v>0</v>
      </c>
      <c r="U187" s="693"/>
      <c r="V187" s="690">
        <f t="shared" si="43"/>
        <v>0</v>
      </c>
      <c r="W187" s="683"/>
      <c r="X187" s="474">
        <f t="shared" si="44"/>
        <v>0</v>
      </c>
      <c r="Y187" s="474">
        <f t="shared" si="45"/>
        <v>0</v>
      </c>
      <c r="Z187" s="475">
        <f t="shared" si="46"/>
        <v>0</v>
      </c>
      <c r="AA187" s="475">
        <v>0</v>
      </c>
      <c r="AB187" s="476">
        <v>0</v>
      </c>
      <c r="AC187" s="38">
        <f t="shared" si="47"/>
        <v>0</v>
      </c>
      <c r="AD187" s="692">
        <f t="shared" si="36"/>
        <v>0</v>
      </c>
      <c r="AE187" s="692">
        <f t="shared" si="37"/>
        <v>0</v>
      </c>
      <c r="AF187" s="692">
        <f t="shared" si="38"/>
        <v>0</v>
      </c>
      <c r="AG187" s="38"/>
      <c r="AH187" s="692">
        <f t="shared" si="40"/>
        <v>0</v>
      </c>
      <c r="AI187" s="692">
        <f t="shared" si="41"/>
        <v>0</v>
      </c>
      <c r="AJ187" s="692">
        <f t="shared" si="42"/>
        <v>0</v>
      </c>
      <c r="AL187" s="38">
        <f t="shared" si="39"/>
        <v>0</v>
      </c>
    </row>
    <row r="188" spans="1:38">
      <c r="A188" s="20"/>
      <c r="B188" s="20" t="s">
        <v>110</v>
      </c>
      <c r="C188" s="667" t="s">
        <v>576</v>
      </c>
      <c r="D188" s="68" t="s">
        <v>394</v>
      </c>
      <c r="E188" s="679"/>
      <c r="F188" s="529">
        <f>VLOOKUP(D188,'Apr 2013 Revenue'!D:V,19,FALSE)</f>
        <v>0</v>
      </c>
      <c r="G188" s="680"/>
      <c r="H188" s="680"/>
      <c r="I188" s="755"/>
      <c r="J188" s="682">
        <f t="shared" ref="J188:J221" si="49">SUM(E188:I188)</f>
        <v>0</v>
      </c>
      <c r="K188" s="683"/>
      <c r="L188" s="684"/>
      <c r="M188" s="753"/>
      <c r="N188" s="683">
        <v>0</v>
      </c>
      <c r="O188" s="686"/>
      <c r="P188" s="683">
        <v>0</v>
      </c>
      <c r="Q188" s="687">
        <f t="shared" si="34"/>
        <v>0</v>
      </c>
      <c r="R188" s="687"/>
      <c r="S188" s="687"/>
      <c r="T188" s="688">
        <v>0</v>
      </c>
      <c r="U188" s="693"/>
      <c r="V188" s="690">
        <f t="shared" si="43"/>
        <v>0</v>
      </c>
      <c r="W188" s="683"/>
      <c r="X188" s="474">
        <f t="shared" si="44"/>
        <v>0</v>
      </c>
      <c r="Y188" s="474">
        <f t="shared" si="45"/>
        <v>0</v>
      </c>
      <c r="Z188" s="475">
        <f t="shared" si="46"/>
        <v>0</v>
      </c>
      <c r="AA188" s="475">
        <v>0</v>
      </c>
      <c r="AB188" s="476">
        <v>0</v>
      </c>
      <c r="AC188" s="38">
        <f t="shared" si="47"/>
        <v>0</v>
      </c>
      <c r="AD188" s="692">
        <f t="shared" si="36"/>
        <v>0</v>
      </c>
      <c r="AE188" s="692">
        <f t="shared" si="37"/>
        <v>0</v>
      </c>
      <c r="AF188" s="692">
        <f t="shared" si="38"/>
        <v>0</v>
      </c>
      <c r="AG188" s="38"/>
      <c r="AH188" s="692">
        <f t="shared" si="40"/>
        <v>0</v>
      </c>
      <c r="AI188" s="692">
        <f t="shared" si="41"/>
        <v>0</v>
      </c>
      <c r="AJ188" s="692">
        <f t="shared" si="42"/>
        <v>0</v>
      </c>
      <c r="AL188" s="38">
        <f t="shared" si="39"/>
        <v>0</v>
      </c>
    </row>
    <row r="189" spans="1:38">
      <c r="A189" s="20"/>
      <c r="B189" s="20" t="s">
        <v>110</v>
      </c>
      <c r="C189" s="667"/>
      <c r="D189" s="68" t="s">
        <v>55</v>
      </c>
      <c r="E189" s="679"/>
      <c r="F189" s="529">
        <f>VLOOKUP(D189,'Apr 2013 Revenue'!D:V,19,FALSE)</f>
        <v>655.54</v>
      </c>
      <c r="G189" s="680"/>
      <c r="H189" s="680"/>
      <c r="I189" s="755"/>
      <c r="J189" s="682">
        <f t="shared" si="49"/>
        <v>655.54</v>
      </c>
      <c r="K189" s="683"/>
      <c r="L189" s="684"/>
      <c r="M189" s="753"/>
      <c r="N189" s="683">
        <v>0</v>
      </c>
      <c r="O189" s="686"/>
      <c r="P189" s="683">
        <v>0</v>
      </c>
      <c r="Q189" s="687">
        <f t="shared" si="34"/>
        <v>0</v>
      </c>
      <c r="R189" s="687"/>
      <c r="S189" s="687"/>
      <c r="T189" s="688">
        <v>631.35</v>
      </c>
      <c r="U189" s="693"/>
      <c r="V189" s="690">
        <f t="shared" si="43"/>
        <v>631.35</v>
      </c>
      <c r="W189" s="683"/>
      <c r="X189" s="474">
        <f t="shared" si="44"/>
        <v>0</v>
      </c>
      <c r="Y189" s="474">
        <f t="shared" si="45"/>
        <v>0</v>
      </c>
      <c r="Z189" s="475">
        <f t="shared" si="46"/>
        <v>0</v>
      </c>
      <c r="AA189" s="475">
        <v>0</v>
      </c>
      <c r="AB189" s="476">
        <v>0</v>
      </c>
      <c r="AC189" s="38">
        <f t="shared" si="47"/>
        <v>0</v>
      </c>
      <c r="AD189" s="692">
        <f t="shared" si="36"/>
        <v>655.54</v>
      </c>
      <c r="AE189" s="692">
        <f t="shared" si="37"/>
        <v>0</v>
      </c>
      <c r="AF189" s="692">
        <f t="shared" si="38"/>
        <v>0</v>
      </c>
      <c r="AG189" s="38"/>
      <c r="AH189" s="692">
        <f t="shared" si="40"/>
        <v>0</v>
      </c>
      <c r="AI189" s="692">
        <f t="shared" si="41"/>
        <v>0</v>
      </c>
      <c r="AJ189" s="692">
        <f t="shared" si="42"/>
        <v>0</v>
      </c>
      <c r="AL189" s="38">
        <f t="shared" si="39"/>
        <v>655.54</v>
      </c>
    </row>
    <row r="190" spans="1:38">
      <c r="A190" s="20"/>
      <c r="B190" s="20" t="s">
        <v>110</v>
      </c>
      <c r="C190" s="676" t="s">
        <v>854</v>
      </c>
      <c r="D190" s="68" t="s">
        <v>855</v>
      </c>
      <c r="E190" s="679"/>
      <c r="F190" s="529">
        <f>VLOOKUP(D190,'Apr 2013 Revenue'!D:V,19,FALSE)</f>
        <v>975.77</v>
      </c>
      <c r="G190" s="680"/>
      <c r="H190" s="680"/>
      <c r="I190" s="755"/>
      <c r="J190" s="682">
        <f t="shared" si="49"/>
        <v>975.77</v>
      </c>
      <c r="K190" s="683"/>
      <c r="L190" s="684"/>
      <c r="M190" s="753"/>
      <c r="N190" s="683">
        <v>0</v>
      </c>
      <c r="O190" s="686"/>
      <c r="P190" s="683">
        <v>0</v>
      </c>
      <c r="Q190" s="687">
        <f t="shared" si="34"/>
        <v>0</v>
      </c>
      <c r="R190" s="687"/>
      <c r="S190" s="687"/>
      <c r="T190" s="688">
        <v>1096.23</v>
      </c>
      <c r="U190" s="693"/>
      <c r="V190" s="690">
        <f t="shared" si="43"/>
        <v>1096.23</v>
      </c>
      <c r="W190" s="683"/>
      <c r="X190" s="474">
        <f t="shared" si="44"/>
        <v>0</v>
      </c>
      <c r="Y190" s="474">
        <f t="shared" si="45"/>
        <v>0</v>
      </c>
      <c r="Z190" s="475">
        <f t="shared" si="46"/>
        <v>0</v>
      </c>
      <c r="AA190" s="475">
        <v>0</v>
      </c>
      <c r="AB190" s="476">
        <v>0</v>
      </c>
      <c r="AC190" s="38">
        <f t="shared" si="47"/>
        <v>0</v>
      </c>
      <c r="AD190" s="692">
        <f t="shared" si="36"/>
        <v>975.77</v>
      </c>
      <c r="AE190" s="692">
        <f t="shared" si="37"/>
        <v>0</v>
      </c>
      <c r="AF190" s="692">
        <f t="shared" si="38"/>
        <v>0</v>
      </c>
      <c r="AG190" s="38"/>
      <c r="AH190" s="692">
        <f t="shared" si="40"/>
        <v>0</v>
      </c>
      <c r="AI190" s="692">
        <f t="shared" si="41"/>
        <v>0</v>
      </c>
      <c r="AJ190" s="692">
        <f t="shared" si="42"/>
        <v>0</v>
      </c>
      <c r="AL190" s="38">
        <f t="shared" si="39"/>
        <v>975.77</v>
      </c>
    </row>
    <row r="191" spans="1:38">
      <c r="A191" s="20"/>
      <c r="B191" s="20" t="s">
        <v>109</v>
      </c>
      <c r="C191" s="667" t="s">
        <v>577</v>
      </c>
      <c r="D191" s="68" t="s">
        <v>159</v>
      </c>
      <c r="E191" s="679"/>
      <c r="F191" s="529">
        <f>VLOOKUP(D191,'Apr 2013 Revenue'!D:V,19,FALSE)</f>
        <v>0</v>
      </c>
      <c r="G191" s="680"/>
      <c r="H191" s="680"/>
      <c r="I191" s="755"/>
      <c r="J191" s="682">
        <f t="shared" si="49"/>
        <v>0</v>
      </c>
      <c r="K191" s="683"/>
      <c r="L191" s="684"/>
      <c r="M191" s="753">
        <v>15000</v>
      </c>
      <c r="N191" s="683">
        <v>0</v>
      </c>
      <c r="O191" s="686"/>
      <c r="P191" s="683">
        <v>0</v>
      </c>
      <c r="Q191" s="687">
        <f t="shared" si="34"/>
        <v>15000</v>
      </c>
      <c r="R191" s="687"/>
      <c r="S191" s="687"/>
      <c r="T191" s="688">
        <f>14429.72+7445.56</f>
        <v>21875.279999999999</v>
      </c>
      <c r="U191" s="693"/>
      <c r="V191" s="690">
        <f t="shared" si="43"/>
        <v>6875.2799999999988</v>
      </c>
      <c r="W191" s="683"/>
      <c r="X191" s="474">
        <f t="shared" si="44"/>
        <v>0</v>
      </c>
      <c r="Y191" s="474">
        <f t="shared" si="45"/>
        <v>15000</v>
      </c>
      <c r="Z191" s="475">
        <f t="shared" si="46"/>
        <v>0</v>
      </c>
      <c r="AA191" s="475">
        <v>0</v>
      </c>
      <c r="AB191" s="476">
        <v>0</v>
      </c>
      <c r="AC191" s="38">
        <f t="shared" si="47"/>
        <v>0</v>
      </c>
      <c r="AD191" s="692">
        <f t="shared" si="36"/>
        <v>0</v>
      </c>
      <c r="AE191" s="692">
        <f t="shared" si="37"/>
        <v>0</v>
      </c>
      <c r="AF191" s="692">
        <f t="shared" si="38"/>
        <v>0</v>
      </c>
      <c r="AG191" s="38"/>
      <c r="AH191" s="692">
        <f t="shared" si="40"/>
        <v>0</v>
      </c>
      <c r="AI191" s="692">
        <f t="shared" si="41"/>
        <v>15000</v>
      </c>
      <c r="AJ191" s="692">
        <f t="shared" si="42"/>
        <v>0</v>
      </c>
      <c r="AL191" s="38">
        <f t="shared" si="39"/>
        <v>15000</v>
      </c>
    </row>
    <row r="192" spans="1:38">
      <c r="A192" s="20"/>
      <c r="B192" s="20" t="s">
        <v>109</v>
      </c>
      <c r="C192" s="667" t="s">
        <v>577</v>
      </c>
      <c r="D192" s="68" t="s">
        <v>160</v>
      </c>
      <c r="E192" s="679"/>
      <c r="F192" s="529">
        <f>VLOOKUP(D192,'Apr 2013 Revenue'!D:V,19,FALSE)</f>
        <v>0</v>
      </c>
      <c r="G192" s="680"/>
      <c r="H192" s="680"/>
      <c r="I192" s="755"/>
      <c r="J192" s="682">
        <f t="shared" si="49"/>
        <v>0</v>
      </c>
      <c r="K192" s="683"/>
      <c r="L192" s="684"/>
      <c r="M192" s="753">
        <v>10000</v>
      </c>
      <c r="N192" s="683">
        <v>0</v>
      </c>
      <c r="O192" s="686"/>
      <c r="P192" s="683">
        <v>0</v>
      </c>
      <c r="Q192" s="687">
        <f t="shared" si="34"/>
        <v>10000</v>
      </c>
      <c r="R192" s="687"/>
      <c r="S192" s="687"/>
      <c r="T192" s="688">
        <f>9500.17+4920.11</f>
        <v>14420.279999999999</v>
      </c>
      <c r="U192" s="693"/>
      <c r="V192" s="690">
        <f t="shared" si="43"/>
        <v>4420.2799999999988</v>
      </c>
      <c r="W192" s="683"/>
      <c r="X192" s="474">
        <f t="shared" si="44"/>
        <v>0</v>
      </c>
      <c r="Y192" s="474">
        <f t="shared" si="45"/>
        <v>10000</v>
      </c>
      <c r="Z192" s="475">
        <f t="shared" si="46"/>
        <v>0</v>
      </c>
      <c r="AA192" s="475">
        <v>0</v>
      </c>
      <c r="AB192" s="476">
        <v>0</v>
      </c>
      <c r="AC192" s="38">
        <f t="shared" si="47"/>
        <v>0</v>
      </c>
      <c r="AD192" s="692">
        <f t="shared" si="36"/>
        <v>0</v>
      </c>
      <c r="AE192" s="692">
        <f t="shared" si="37"/>
        <v>0</v>
      </c>
      <c r="AF192" s="692">
        <f t="shared" si="38"/>
        <v>0</v>
      </c>
      <c r="AG192" s="38"/>
      <c r="AH192" s="692">
        <f t="shared" si="40"/>
        <v>0</v>
      </c>
      <c r="AI192" s="692">
        <f t="shared" si="41"/>
        <v>10000</v>
      </c>
      <c r="AJ192" s="692">
        <f t="shared" si="42"/>
        <v>0</v>
      </c>
      <c r="AL192" s="38">
        <f t="shared" si="39"/>
        <v>10000</v>
      </c>
    </row>
    <row r="193" spans="1:38">
      <c r="A193" s="21"/>
      <c r="B193" s="21" t="s">
        <v>109</v>
      </c>
      <c r="C193" s="667" t="s">
        <v>577</v>
      </c>
      <c r="D193" s="68" t="s">
        <v>161</v>
      </c>
      <c r="E193" s="679"/>
      <c r="F193" s="529">
        <f>VLOOKUP(D193,'Apr 2013 Revenue'!D:V,19,FALSE)</f>
        <v>0</v>
      </c>
      <c r="G193" s="680"/>
      <c r="H193" s="680"/>
      <c r="I193" s="755"/>
      <c r="J193" s="682">
        <f t="shared" si="49"/>
        <v>0</v>
      </c>
      <c r="K193" s="683"/>
      <c r="L193" s="684"/>
      <c r="M193" s="753"/>
      <c r="N193" s="683">
        <v>0</v>
      </c>
      <c r="O193" s="686"/>
      <c r="P193" s="683">
        <v>0</v>
      </c>
      <c r="Q193" s="687">
        <f t="shared" si="34"/>
        <v>0</v>
      </c>
      <c r="R193" s="687"/>
      <c r="S193" s="687"/>
      <c r="T193" s="688">
        <v>0</v>
      </c>
      <c r="U193" s="693"/>
      <c r="V193" s="690">
        <f t="shared" si="43"/>
        <v>0</v>
      </c>
      <c r="W193" s="683"/>
      <c r="X193" s="474">
        <f t="shared" si="44"/>
        <v>0</v>
      </c>
      <c r="Y193" s="474">
        <f t="shared" si="45"/>
        <v>0</v>
      </c>
      <c r="Z193" s="475">
        <f t="shared" si="46"/>
        <v>0</v>
      </c>
      <c r="AA193" s="475">
        <v>0</v>
      </c>
      <c r="AB193" s="476">
        <v>0</v>
      </c>
      <c r="AC193" s="38">
        <f t="shared" si="47"/>
        <v>0</v>
      </c>
      <c r="AD193" s="692">
        <f t="shared" si="36"/>
        <v>0</v>
      </c>
      <c r="AE193" s="692">
        <f t="shared" si="37"/>
        <v>0</v>
      </c>
      <c r="AF193" s="692">
        <f t="shared" si="38"/>
        <v>0</v>
      </c>
      <c r="AG193" s="38"/>
      <c r="AH193" s="692">
        <f t="shared" si="40"/>
        <v>0</v>
      </c>
      <c r="AI193" s="692">
        <f t="shared" si="41"/>
        <v>0</v>
      </c>
      <c r="AJ193" s="692">
        <f t="shared" si="42"/>
        <v>0</v>
      </c>
      <c r="AL193" s="38">
        <f t="shared" si="39"/>
        <v>0</v>
      </c>
    </row>
    <row r="194" spans="1:38">
      <c r="A194" s="21"/>
      <c r="B194" s="21" t="s">
        <v>109</v>
      </c>
      <c r="C194" s="667" t="s">
        <v>577</v>
      </c>
      <c r="D194" s="68" t="s">
        <v>162</v>
      </c>
      <c r="E194" s="679"/>
      <c r="F194" s="529">
        <f>VLOOKUP(D194,'Apr 2013 Revenue'!D:V,19,FALSE)</f>
        <v>0</v>
      </c>
      <c r="G194" s="680"/>
      <c r="H194" s="680"/>
      <c r="I194" s="755"/>
      <c r="J194" s="682">
        <f t="shared" si="49"/>
        <v>0</v>
      </c>
      <c r="K194" s="683"/>
      <c r="L194" s="684"/>
      <c r="M194" s="753"/>
      <c r="N194" s="683">
        <v>0</v>
      </c>
      <c r="O194" s="686"/>
      <c r="P194" s="683">
        <v>0</v>
      </c>
      <c r="Q194" s="687">
        <f t="shared" si="34"/>
        <v>0</v>
      </c>
      <c r="R194" s="687"/>
      <c r="S194" s="687"/>
      <c r="T194" s="688">
        <v>0</v>
      </c>
      <c r="U194" s="693"/>
      <c r="V194" s="690">
        <f t="shared" si="43"/>
        <v>0</v>
      </c>
      <c r="W194" s="683"/>
      <c r="X194" s="474">
        <f t="shared" si="44"/>
        <v>0</v>
      </c>
      <c r="Y194" s="474">
        <f t="shared" si="45"/>
        <v>0</v>
      </c>
      <c r="Z194" s="475">
        <f t="shared" si="46"/>
        <v>0</v>
      </c>
      <c r="AA194" s="475">
        <v>0</v>
      </c>
      <c r="AB194" s="476">
        <v>0</v>
      </c>
      <c r="AC194" s="38">
        <f t="shared" si="47"/>
        <v>0</v>
      </c>
      <c r="AD194" s="692">
        <f t="shared" si="36"/>
        <v>0</v>
      </c>
      <c r="AE194" s="692">
        <f t="shared" si="37"/>
        <v>0</v>
      </c>
      <c r="AF194" s="692">
        <f t="shared" si="38"/>
        <v>0</v>
      </c>
      <c r="AG194" s="38"/>
      <c r="AH194" s="692">
        <f t="shared" si="40"/>
        <v>0</v>
      </c>
      <c r="AI194" s="692">
        <f t="shared" si="41"/>
        <v>0</v>
      </c>
      <c r="AJ194" s="692">
        <f t="shared" si="42"/>
        <v>0</v>
      </c>
      <c r="AL194" s="38">
        <f t="shared" si="39"/>
        <v>0</v>
      </c>
    </row>
    <row r="195" spans="1:38">
      <c r="A195" s="21"/>
      <c r="B195" s="21" t="s">
        <v>109</v>
      </c>
      <c r="C195" s="666"/>
      <c r="D195" s="68" t="s">
        <v>163</v>
      </c>
      <c r="E195" s="679"/>
      <c r="F195" s="529">
        <f>VLOOKUP(D195,'Apr 2013 Revenue'!D:V,19,FALSE)</f>
        <v>0</v>
      </c>
      <c r="G195" s="680"/>
      <c r="H195" s="680"/>
      <c r="I195" s="770">
        <v>4698.21</v>
      </c>
      <c r="J195" s="682">
        <f t="shared" si="49"/>
        <v>4698.21</v>
      </c>
      <c r="K195" s="683"/>
      <c r="L195" s="684"/>
      <c r="M195" s="753">
        <v>5000</v>
      </c>
      <c r="N195" s="683">
        <v>0</v>
      </c>
      <c r="O195" s="686"/>
      <c r="P195" s="683">
        <v>0</v>
      </c>
      <c r="Q195" s="687">
        <f t="shared" si="34"/>
        <v>5000</v>
      </c>
      <c r="R195" s="687"/>
      <c r="S195" s="687"/>
      <c r="T195" s="688">
        <v>0</v>
      </c>
      <c r="U195" s="704"/>
      <c r="V195" s="690">
        <f t="shared" si="43"/>
        <v>-5000</v>
      </c>
      <c r="W195" s="705"/>
      <c r="X195" s="474">
        <f t="shared" si="44"/>
        <v>0</v>
      </c>
      <c r="Y195" s="474">
        <f t="shared" si="45"/>
        <v>5000</v>
      </c>
      <c r="Z195" s="475">
        <f t="shared" si="46"/>
        <v>0</v>
      </c>
      <c r="AA195" s="475">
        <v>0</v>
      </c>
      <c r="AB195" s="476">
        <v>0</v>
      </c>
      <c r="AC195" s="38">
        <f t="shared" si="47"/>
        <v>0</v>
      </c>
      <c r="AD195" s="692">
        <f t="shared" si="36"/>
        <v>0</v>
      </c>
      <c r="AE195" s="692">
        <f t="shared" si="37"/>
        <v>4698.21</v>
      </c>
      <c r="AF195" s="692">
        <f t="shared" si="38"/>
        <v>0</v>
      </c>
      <c r="AG195" s="38"/>
      <c r="AH195" s="692">
        <f t="shared" si="40"/>
        <v>0</v>
      </c>
      <c r="AI195" s="692">
        <f t="shared" si="41"/>
        <v>5000</v>
      </c>
      <c r="AJ195" s="692">
        <f t="shared" si="42"/>
        <v>0</v>
      </c>
      <c r="AL195" s="38">
        <f t="shared" si="39"/>
        <v>9698.2099999999991</v>
      </c>
    </row>
    <row r="196" spans="1:38">
      <c r="A196" s="21"/>
      <c r="B196" s="21" t="s">
        <v>109</v>
      </c>
      <c r="C196" s="666"/>
      <c r="D196" s="412" t="s">
        <v>164</v>
      </c>
      <c r="E196" s="679"/>
      <c r="F196" s="529">
        <f>VLOOKUP(D196,'Apr 2013 Revenue'!D:V,19,FALSE)</f>
        <v>0</v>
      </c>
      <c r="G196" s="680"/>
      <c r="H196" s="680"/>
      <c r="I196" s="755"/>
      <c r="J196" s="682">
        <f t="shared" si="49"/>
        <v>0</v>
      </c>
      <c r="K196" s="683"/>
      <c r="L196" s="684"/>
      <c r="M196" s="753"/>
      <c r="N196" s="683">
        <v>0</v>
      </c>
      <c r="O196" s="686"/>
      <c r="P196" s="683">
        <v>0</v>
      </c>
      <c r="Q196" s="687">
        <f t="shared" si="34"/>
        <v>0</v>
      </c>
      <c r="R196" s="687"/>
      <c r="S196" s="687"/>
      <c r="T196" s="688">
        <v>0</v>
      </c>
      <c r="U196" s="704"/>
      <c r="V196" s="690">
        <f t="shared" si="43"/>
        <v>0</v>
      </c>
      <c r="W196" s="705"/>
      <c r="X196" s="474">
        <f t="shared" si="44"/>
        <v>0</v>
      </c>
      <c r="Y196" s="474">
        <f t="shared" si="45"/>
        <v>0</v>
      </c>
      <c r="Z196" s="475">
        <f t="shared" si="46"/>
        <v>0</v>
      </c>
      <c r="AA196" s="475">
        <v>0</v>
      </c>
      <c r="AB196" s="476">
        <v>0</v>
      </c>
      <c r="AC196" s="38">
        <f t="shared" si="47"/>
        <v>0</v>
      </c>
      <c r="AD196" s="692">
        <f t="shared" si="36"/>
        <v>0</v>
      </c>
      <c r="AE196" s="692">
        <f t="shared" si="37"/>
        <v>0</v>
      </c>
      <c r="AF196" s="692">
        <f t="shared" si="38"/>
        <v>0</v>
      </c>
      <c r="AG196" s="38"/>
      <c r="AH196" s="692">
        <f t="shared" si="40"/>
        <v>0</v>
      </c>
      <c r="AI196" s="692">
        <f t="shared" si="41"/>
        <v>0</v>
      </c>
      <c r="AJ196" s="692">
        <f t="shared" si="42"/>
        <v>0</v>
      </c>
      <c r="AL196" s="38">
        <f t="shared" si="39"/>
        <v>0</v>
      </c>
    </row>
    <row r="197" spans="1:38">
      <c r="A197" s="21" t="s">
        <v>109</v>
      </c>
      <c r="B197" s="21" t="s">
        <v>114</v>
      </c>
      <c r="C197" s="666" t="s">
        <v>578</v>
      </c>
      <c r="D197" s="412" t="s">
        <v>318</v>
      </c>
      <c r="E197" s="679">
        <v>34232</v>
      </c>
      <c r="F197" s="529">
        <f>VLOOKUP(D197,'Apr 2013 Revenue'!D:V,19,FALSE)</f>
        <v>-45000</v>
      </c>
      <c r="G197" s="680"/>
      <c r="H197" s="680"/>
      <c r="I197" s="755"/>
      <c r="J197" s="682">
        <f t="shared" si="49"/>
        <v>-10768</v>
      </c>
      <c r="K197" s="683"/>
      <c r="L197" s="684"/>
      <c r="M197" s="753">
        <v>60000</v>
      </c>
      <c r="N197" s="683">
        <v>0</v>
      </c>
      <c r="O197" s="686"/>
      <c r="P197" s="683">
        <v>0</v>
      </c>
      <c r="Q197" s="687">
        <f t="shared" si="34"/>
        <v>60000</v>
      </c>
      <c r="R197" s="687"/>
      <c r="S197" s="687"/>
      <c r="T197" s="688">
        <v>0</v>
      </c>
      <c r="U197" s="704"/>
      <c r="V197" s="690">
        <f t="shared" si="43"/>
        <v>-60000</v>
      </c>
      <c r="W197" s="683"/>
      <c r="X197" s="474">
        <f t="shared" si="44"/>
        <v>0</v>
      </c>
      <c r="Y197" s="474">
        <f t="shared" si="45"/>
        <v>0</v>
      </c>
      <c r="Z197" s="475">
        <f t="shared" si="46"/>
        <v>60000</v>
      </c>
      <c r="AA197" s="475">
        <v>0</v>
      </c>
      <c r="AB197" s="476">
        <v>0</v>
      </c>
      <c r="AC197" s="38">
        <f t="shared" si="47"/>
        <v>0</v>
      </c>
      <c r="AD197" s="692">
        <f t="shared" si="36"/>
        <v>0</v>
      </c>
      <c r="AE197" s="692">
        <f t="shared" si="37"/>
        <v>0</v>
      </c>
      <c r="AF197" s="692">
        <f t="shared" si="38"/>
        <v>-10768</v>
      </c>
      <c r="AG197" s="38"/>
      <c r="AH197" s="692">
        <f t="shared" si="40"/>
        <v>0</v>
      </c>
      <c r="AI197" s="692">
        <f t="shared" si="41"/>
        <v>0</v>
      </c>
      <c r="AJ197" s="692">
        <f t="shared" si="42"/>
        <v>60000</v>
      </c>
      <c r="AL197" s="38">
        <f t="shared" si="39"/>
        <v>49232</v>
      </c>
    </row>
    <row r="198" spans="1:38">
      <c r="A198" s="20" t="s">
        <v>211</v>
      </c>
      <c r="B198" s="20" t="s">
        <v>109</v>
      </c>
      <c r="C198" s="667"/>
      <c r="D198" s="68" t="s">
        <v>57</v>
      </c>
      <c r="E198" s="679"/>
      <c r="F198" s="529">
        <f>VLOOKUP(D198,'Apr 2013 Revenue'!D:V,19,FALSE)</f>
        <v>0</v>
      </c>
      <c r="G198" s="680"/>
      <c r="H198" s="680"/>
      <c r="I198" s="755"/>
      <c r="J198" s="682">
        <f t="shared" si="49"/>
        <v>0</v>
      </c>
      <c r="K198" s="683"/>
      <c r="L198" s="684"/>
      <c r="M198" s="753"/>
      <c r="N198" s="683">
        <v>0</v>
      </c>
      <c r="O198" s="686"/>
      <c r="P198" s="683">
        <v>0</v>
      </c>
      <c r="Q198" s="687">
        <f t="shared" si="34"/>
        <v>0</v>
      </c>
      <c r="R198" s="687"/>
      <c r="S198" s="687"/>
      <c r="T198" s="688">
        <v>0</v>
      </c>
      <c r="U198" s="693"/>
      <c r="V198" s="690">
        <f t="shared" si="43"/>
        <v>0</v>
      </c>
      <c r="W198" s="683"/>
      <c r="X198" s="474">
        <f t="shared" si="44"/>
        <v>0</v>
      </c>
      <c r="Y198" s="474">
        <f t="shared" si="45"/>
        <v>0</v>
      </c>
      <c r="Z198" s="475">
        <f t="shared" si="46"/>
        <v>0</v>
      </c>
      <c r="AA198" s="475">
        <v>0</v>
      </c>
      <c r="AB198" s="476">
        <v>0</v>
      </c>
      <c r="AC198" s="38">
        <f t="shared" si="47"/>
        <v>0</v>
      </c>
      <c r="AD198" s="692">
        <f t="shared" si="36"/>
        <v>0</v>
      </c>
      <c r="AE198" s="692">
        <f t="shared" si="37"/>
        <v>0</v>
      </c>
      <c r="AF198" s="692">
        <f t="shared" si="38"/>
        <v>0</v>
      </c>
      <c r="AG198" s="38"/>
      <c r="AH198" s="692">
        <f t="shared" si="40"/>
        <v>0</v>
      </c>
      <c r="AI198" s="692">
        <f t="shared" si="41"/>
        <v>0</v>
      </c>
      <c r="AJ198" s="692">
        <f t="shared" si="42"/>
        <v>0</v>
      </c>
      <c r="AL198" s="38">
        <f t="shared" si="39"/>
        <v>0</v>
      </c>
    </row>
    <row r="199" spans="1:38">
      <c r="A199" s="20"/>
      <c r="B199" s="20" t="s">
        <v>114</v>
      </c>
      <c r="C199" s="676" t="s">
        <v>621</v>
      </c>
      <c r="D199" s="68" t="s">
        <v>622</v>
      </c>
      <c r="E199" s="679">
        <v>2027.75</v>
      </c>
      <c r="F199" s="529">
        <f>VLOOKUP(D199,'Apr 2013 Revenue'!D:V,19,FALSE)</f>
        <v>0</v>
      </c>
      <c r="G199" s="680"/>
      <c r="H199" s="680"/>
      <c r="I199" s="755"/>
      <c r="J199" s="682">
        <f t="shared" si="49"/>
        <v>2027.75</v>
      </c>
      <c r="K199" s="683"/>
      <c r="L199" s="684"/>
      <c r="M199" s="753"/>
      <c r="N199" s="683">
        <v>0</v>
      </c>
      <c r="O199" s="686"/>
      <c r="P199" s="683">
        <v>0</v>
      </c>
      <c r="Q199" s="687">
        <f t="shared" si="34"/>
        <v>0</v>
      </c>
      <c r="R199" s="687"/>
      <c r="S199" s="687"/>
      <c r="T199" s="688">
        <v>0</v>
      </c>
      <c r="U199" s="704"/>
      <c r="V199" s="690">
        <f t="shared" si="43"/>
        <v>0</v>
      </c>
      <c r="W199" s="683"/>
      <c r="X199" s="474">
        <f t="shared" si="44"/>
        <v>0</v>
      </c>
      <c r="Y199" s="474">
        <f t="shared" si="45"/>
        <v>0</v>
      </c>
      <c r="Z199" s="475">
        <f t="shared" si="46"/>
        <v>0</v>
      </c>
      <c r="AA199" s="475">
        <v>0</v>
      </c>
      <c r="AB199" s="476">
        <v>0</v>
      </c>
      <c r="AC199" s="38">
        <f t="shared" si="47"/>
        <v>0</v>
      </c>
      <c r="AD199" s="692">
        <f t="shared" si="36"/>
        <v>0</v>
      </c>
      <c r="AE199" s="692">
        <f t="shared" si="37"/>
        <v>0</v>
      </c>
      <c r="AF199" s="692">
        <f t="shared" si="38"/>
        <v>2027.75</v>
      </c>
      <c r="AG199" s="38"/>
      <c r="AH199" s="692">
        <f t="shared" si="40"/>
        <v>0</v>
      </c>
      <c r="AI199" s="692">
        <f t="shared" si="41"/>
        <v>0</v>
      </c>
      <c r="AJ199" s="692">
        <f t="shared" si="42"/>
        <v>0</v>
      </c>
      <c r="AL199" s="38">
        <f t="shared" si="39"/>
        <v>2027.75</v>
      </c>
    </row>
    <row r="200" spans="1:38">
      <c r="A200" s="20"/>
      <c r="B200" s="20" t="s">
        <v>110</v>
      </c>
      <c r="C200" s="667"/>
      <c r="D200" s="68" t="s">
        <v>497</v>
      </c>
      <c r="E200" s="679"/>
      <c r="F200" s="529">
        <f>VLOOKUP(D200,'Apr 2013 Revenue'!D:V,19,FALSE)</f>
        <v>0</v>
      </c>
      <c r="G200" s="680"/>
      <c r="H200" s="680"/>
      <c r="I200" s="755"/>
      <c r="J200" s="682">
        <f t="shared" si="49"/>
        <v>0</v>
      </c>
      <c r="K200" s="683"/>
      <c r="L200" s="684"/>
      <c r="M200" s="753"/>
      <c r="N200" s="683">
        <v>0</v>
      </c>
      <c r="O200" s="686"/>
      <c r="P200" s="683">
        <v>0</v>
      </c>
      <c r="Q200" s="687">
        <f t="shared" si="34"/>
        <v>0</v>
      </c>
      <c r="R200" s="687"/>
      <c r="S200" s="687"/>
      <c r="T200" s="688">
        <v>0</v>
      </c>
      <c r="U200" s="693"/>
      <c r="V200" s="690">
        <f t="shared" si="43"/>
        <v>0</v>
      </c>
      <c r="W200" s="683"/>
      <c r="X200" s="474">
        <f t="shared" si="44"/>
        <v>0</v>
      </c>
      <c r="Y200" s="474">
        <f t="shared" si="45"/>
        <v>0</v>
      </c>
      <c r="Z200" s="475">
        <f t="shared" si="46"/>
        <v>0</v>
      </c>
      <c r="AA200" s="475">
        <v>0</v>
      </c>
      <c r="AB200" s="476">
        <v>0</v>
      </c>
      <c r="AC200" s="38">
        <f t="shared" si="47"/>
        <v>0</v>
      </c>
      <c r="AD200" s="692">
        <f t="shared" si="36"/>
        <v>0</v>
      </c>
      <c r="AE200" s="692">
        <f t="shared" si="37"/>
        <v>0</v>
      </c>
      <c r="AF200" s="692">
        <f t="shared" si="38"/>
        <v>0</v>
      </c>
      <c r="AG200" s="38"/>
      <c r="AH200" s="692">
        <f t="shared" si="40"/>
        <v>0</v>
      </c>
      <c r="AI200" s="692">
        <f t="shared" si="41"/>
        <v>0</v>
      </c>
      <c r="AJ200" s="692">
        <f t="shared" si="42"/>
        <v>0</v>
      </c>
      <c r="AL200" s="38">
        <f t="shared" si="39"/>
        <v>0</v>
      </c>
    </row>
    <row r="201" spans="1:38">
      <c r="A201" s="20"/>
      <c r="B201" s="20" t="s">
        <v>110</v>
      </c>
      <c r="C201" s="667"/>
      <c r="D201" s="68" t="s">
        <v>509</v>
      </c>
      <c r="E201" s="679"/>
      <c r="F201" s="529">
        <f>VLOOKUP(D201,'Apr 2013 Revenue'!D:V,19,FALSE)</f>
        <v>-15000</v>
      </c>
      <c r="G201" s="680"/>
      <c r="H201" s="680"/>
      <c r="I201" s="755"/>
      <c r="J201" s="682">
        <f t="shared" si="49"/>
        <v>-15000</v>
      </c>
      <c r="K201" s="683"/>
      <c r="L201" s="684"/>
      <c r="M201" s="753">
        <v>30000</v>
      </c>
      <c r="N201" s="683"/>
      <c r="O201" s="686"/>
      <c r="P201" s="683"/>
      <c r="Q201" s="687">
        <f t="shared" si="34"/>
        <v>30000</v>
      </c>
      <c r="R201" s="687"/>
      <c r="S201" s="687"/>
      <c r="T201" s="688">
        <v>0</v>
      </c>
      <c r="U201" s="693"/>
      <c r="V201" s="690">
        <f t="shared" si="43"/>
        <v>-30000</v>
      </c>
      <c r="W201" s="683"/>
      <c r="X201" s="474">
        <f t="shared" si="44"/>
        <v>30000</v>
      </c>
      <c r="Y201" s="474">
        <f t="shared" si="45"/>
        <v>0</v>
      </c>
      <c r="Z201" s="475">
        <f t="shared" si="46"/>
        <v>0</v>
      </c>
      <c r="AA201" s="475">
        <v>0</v>
      </c>
      <c r="AB201" s="476">
        <v>0</v>
      </c>
      <c r="AC201" s="38">
        <f t="shared" si="47"/>
        <v>0</v>
      </c>
      <c r="AD201" s="692">
        <f t="shared" si="36"/>
        <v>-15000</v>
      </c>
      <c r="AE201" s="692">
        <f t="shared" si="37"/>
        <v>0</v>
      </c>
      <c r="AF201" s="692">
        <f t="shared" si="38"/>
        <v>0</v>
      </c>
      <c r="AG201" s="38"/>
      <c r="AH201" s="692">
        <f t="shared" si="40"/>
        <v>30000</v>
      </c>
      <c r="AI201" s="692">
        <f t="shared" si="41"/>
        <v>0</v>
      </c>
      <c r="AJ201" s="692">
        <f t="shared" si="42"/>
        <v>0</v>
      </c>
      <c r="AL201" s="38">
        <f t="shared" si="39"/>
        <v>15000</v>
      </c>
    </row>
    <row r="202" spans="1:38" s="627" customFormat="1">
      <c r="A202" s="610"/>
      <c r="B202" s="610" t="s">
        <v>110</v>
      </c>
      <c r="C202" s="667" t="s">
        <v>580</v>
      </c>
      <c r="D202" s="612" t="s">
        <v>476</v>
      </c>
      <c r="E202" s="679"/>
      <c r="F202" s="529">
        <f>VLOOKUP(D202,'Apr 2013 Revenue'!D:V,19,FALSE)</f>
        <v>0</v>
      </c>
      <c r="G202" s="680"/>
      <c r="H202" s="680"/>
      <c r="I202" s="755"/>
      <c r="J202" s="682">
        <f t="shared" si="49"/>
        <v>0</v>
      </c>
      <c r="K202" s="683"/>
      <c r="L202" s="684"/>
      <c r="M202" s="753"/>
      <c r="N202" s="683">
        <v>0</v>
      </c>
      <c r="O202" s="686"/>
      <c r="P202" s="683">
        <v>0</v>
      </c>
      <c r="Q202" s="687">
        <f t="shared" si="34"/>
        <v>0</v>
      </c>
      <c r="R202" s="687"/>
      <c r="S202" s="687"/>
      <c r="T202" s="688">
        <v>0</v>
      </c>
      <c r="U202" s="706"/>
      <c r="V202" s="690">
        <f t="shared" si="43"/>
        <v>0</v>
      </c>
      <c r="W202" s="707"/>
      <c r="X202" s="474">
        <f t="shared" si="44"/>
        <v>0</v>
      </c>
      <c r="Y202" s="474">
        <f t="shared" si="45"/>
        <v>0</v>
      </c>
      <c r="Z202" s="475">
        <f t="shared" si="46"/>
        <v>0</v>
      </c>
      <c r="AA202" s="475">
        <v>0</v>
      </c>
      <c r="AB202" s="476">
        <v>0</v>
      </c>
      <c r="AC202" s="38">
        <f t="shared" si="47"/>
        <v>0</v>
      </c>
      <c r="AD202" s="692">
        <f t="shared" si="36"/>
        <v>0</v>
      </c>
      <c r="AE202" s="692">
        <f t="shared" si="37"/>
        <v>0</v>
      </c>
      <c r="AF202" s="692">
        <f t="shared" si="38"/>
        <v>0</v>
      </c>
      <c r="AG202" s="38"/>
      <c r="AH202" s="692">
        <f t="shared" si="40"/>
        <v>0</v>
      </c>
      <c r="AI202" s="692">
        <f t="shared" si="41"/>
        <v>0</v>
      </c>
      <c r="AJ202" s="692">
        <f t="shared" si="42"/>
        <v>0</v>
      </c>
      <c r="AL202" s="38">
        <f t="shared" si="39"/>
        <v>0</v>
      </c>
    </row>
    <row r="203" spans="1:38" s="232" customFormat="1">
      <c r="A203" s="283"/>
      <c r="B203" s="283" t="s">
        <v>114</v>
      </c>
      <c r="C203" s="667" t="s">
        <v>580</v>
      </c>
      <c r="D203" s="123" t="s">
        <v>371</v>
      </c>
      <c r="E203" s="679"/>
      <c r="F203" s="529">
        <f>VLOOKUP(D203,'Apr 2013 Revenue'!D:V,19,FALSE)</f>
        <v>-2724.2</v>
      </c>
      <c r="G203" s="680"/>
      <c r="H203" s="680"/>
      <c r="I203" s="755"/>
      <c r="J203" s="682">
        <f t="shared" si="49"/>
        <v>-2724.2</v>
      </c>
      <c r="K203" s="683"/>
      <c r="L203" s="684"/>
      <c r="M203" s="753">
        <v>7000</v>
      </c>
      <c r="N203" s="683">
        <v>0</v>
      </c>
      <c r="O203" s="686"/>
      <c r="P203" s="683">
        <v>0</v>
      </c>
      <c r="Q203" s="687">
        <f t="shared" si="34"/>
        <v>7000</v>
      </c>
      <c r="R203" s="687"/>
      <c r="S203" s="687"/>
      <c r="T203" s="688">
        <f>7013.95+710.96</f>
        <v>7724.91</v>
      </c>
      <c r="U203" s="693"/>
      <c r="V203" s="690">
        <f t="shared" si="43"/>
        <v>724.90999999999985</v>
      </c>
      <c r="W203" s="683"/>
      <c r="X203" s="474">
        <f t="shared" si="44"/>
        <v>0</v>
      </c>
      <c r="Y203" s="474">
        <f t="shared" si="45"/>
        <v>0</v>
      </c>
      <c r="Z203" s="475">
        <f t="shared" si="46"/>
        <v>7000</v>
      </c>
      <c r="AA203" s="475">
        <v>0</v>
      </c>
      <c r="AB203" s="476">
        <v>0</v>
      </c>
      <c r="AC203" s="38">
        <f t="shared" si="47"/>
        <v>0</v>
      </c>
      <c r="AD203" s="692">
        <f t="shared" si="36"/>
        <v>0</v>
      </c>
      <c r="AE203" s="692">
        <f t="shared" si="37"/>
        <v>0</v>
      </c>
      <c r="AF203" s="692">
        <f t="shared" si="38"/>
        <v>-2724.2</v>
      </c>
      <c r="AG203" s="38"/>
      <c r="AH203" s="692">
        <f t="shared" si="40"/>
        <v>0</v>
      </c>
      <c r="AI203" s="692">
        <f t="shared" si="41"/>
        <v>0</v>
      </c>
      <c r="AJ203" s="692">
        <f t="shared" si="42"/>
        <v>7000</v>
      </c>
      <c r="AL203" s="38">
        <f t="shared" si="39"/>
        <v>4275.8</v>
      </c>
    </row>
    <row r="204" spans="1:38" s="232" customFormat="1">
      <c r="A204" s="283"/>
      <c r="B204" s="283" t="s">
        <v>110</v>
      </c>
      <c r="C204" s="667" t="s">
        <v>580</v>
      </c>
      <c r="D204" s="123" t="s">
        <v>422</v>
      </c>
      <c r="E204" s="679"/>
      <c r="F204" s="529">
        <f>VLOOKUP(D204,'Apr 2013 Revenue'!D:V,19,FALSE)</f>
        <v>0</v>
      </c>
      <c r="G204" s="680"/>
      <c r="H204" s="680"/>
      <c r="I204" s="755"/>
      <c r="J204" s="682">
        <f t="shared" si="49"/>
        <v>0</v>
      </c>
      <c r="K204" s="683"/>
      <c r="L204" s="684"/>
      <c r="M204" s="753"/>
      <c r="N204" s="683">
        <v>0</v>
      </c>
      <c r="O204" s="686"/>
      <c r="P204" s="683">
        <v>0</v>
      </c>
      <c r="Q204" s="687">
        <f t="shared" si="34"/>
        <v>0</v>
      </c>
      <c r="R204" s="687"/>
      <c r="S204" s="687"/>
      <c r="T204" s="688">
        <v>0</v>
      </c>
      <c r="U204" s="693"/>
      <c r="V204" s="690">
        <f t="shared" si="43"/>
        <v>0</v>
      </c>
      <c r="W204" s="683"/>
      <c r="X204" s="474">
        <f t="shared" si="44"/>
        <v>0</v>
      </c>
      <c r="Y204" s="474">
        <f t="shared" si="45"/>
        <v>0</v>
      </c>
      <c r="Z204" s="475">
        <f t="shared" si="46"/>
        <v>0</v>
      </c>
      <c r="AA204" s="475">
        <v>0</v>
      </c>
      <c r="AB204" s="476">
        <v>0</v>
      </c>
      <c r="AC204" s="38">
        <f t="shared" si="47"/>
        <v>0</v>
      </c>
      <c r="AD204" s="692">
        <f t="shared" si="36"/>
        <v>0</v>
      </c>
      <c r="AE204" s="692">
        <f t="shared" si="37"/>
        <v>0</v>
      </c>
      <c r="AF204" s="692">
        <f t="shared" si="38"/>
        <v>0</v>
      </c>
      <c r="AG204" s="38"/>
      <c r="AH204" s="692">
        <f t="shared" si="40"/>
        <v>0</v>
      </c>
      <c r="AI204" s="692">
        <f t="shared" si="41"/>
        <v>0</v>
      </c>
      <c r="AJ204" s="692">
        <f t="shared" si="42"/>
        <v>0</v>
      </c>
      <c r="AL204" s="38">
        <f t="shared" si="39"/>
        <v>0</v>
      </c>
    </row>
    <row r="205" spans="1:38" s="232" customFormat="1">
      <c r="A205" s="283"/>
      <c r="B205" s="283" t="s">
        <v>110</v>
      </c>
      <c r="C205" s="667" t="s">
        <v>580</v>
      </c>
      <c r="D205" s="123" t="s">
        <v>442</v>
      </c>
      <c r="E205" s="679"/>
      <c r="F205" s="529">
        <f>VLOOKUP(D205,'Apr 2013 Revenue'!D:V,19,FALSE)</f>
        <v>-37185.840000000026</v>
      </c>
      <c r="G205" s="680"/>
      <c r="H205" s="680"/>
      <c r="I205" s="755"/>
      <c r="J205" s="682">
        <f t="shared" si="49"/>
        <v>-37185.840000000026</v>
      </c>
      <c r="K205" s="683"/>
      <c r="L205" s="684"/>
      <c r="M205" s="753">
        <v>438000</v>
      </c>
      <c r="N205" s="683">
        <v>0</v>
      </c>
      <c r="O205" s="686"/>
      <c r="P205" s="683">
        <v>0</v>
      </c>
      <c r="Q205" s="687">
        <f t="shared" si="34"/>
        <v>438000</v>
      </c>
      <c r="R205" s="687"/>
      <c r="S205" s="687"/>
      <c r="T205" s="688">
        <v>438003.43</v>
      </c>
      <c r="U205" s="693"/>
      <c r="V205" s="690">
        <f t="shared" si="43"/>
        <v>3.4299999999930151</v>
      </c>
      <c r="W205" s="683"/>
      <c r="X205" s="474">
        <f t="shared" si="44"/>
        <v>438000</v>
      </c>
      <c r="Y205" s="474">
        <f t="shared" si="45"/>
        <v>0</v>
      </c>
      <c r="Z205" s="475">
        <f t="shared" si="46"/>
        <v>0</v>
      </c>
      <c r="AA205" s="475">
        <v>0</v>
      </c>
      <c r="AB205" s="476">
        <v>0</v>
      </c>
      <c r="AC205" s="38">
        <f t="shared" si="47"/>
        <v>0</v>
      </c>
      <c r="AD205" s="692">
        <f t="shared" si="36"/>
        <v>-37185.840000000026</v>
      </c>
      <c r="AE205" s="692">
        <f t="shared" si="37"/>
        <v>0</v>
      </c>
      <c r="AF205" s="692">
        <f t="shared" si="38"/>
        <v>0</v>
      </c>
      <c r="AG205" s="38"/>
      <c r="AH205" s="692">
        <f t="shared" si="40"/>
        <v>438000</v>
      </c>
      <c r="AI205" s="692">
        <f t="shared" si="41"/>
        <v>0</v>
      </c>
      <c r="AJ205" s="692">
        <f t="shared" si="42"/>
        <v>0</v>
      </c>
      <c r="AL205" s="38">
        <f t="shared" si="39"/>
        <v>400814.16</v>
      </c>
    </row>
    <row r="206" spans="1:38">
      <c r="A206" s="21" t="s">
        <v>97</v>
      </c>
      <c r="B206" s="21" t="s">
        <v>109</v>
      </c>
      <c r="C206" s="666"/>
      <c r="D206" s="68" t="s">
        <v>381</v>
      </c>
      <c r="E206" s="679"/>
      <c r="F206" s="529">
        <f>VLOOKUP(D206,'Apr 2013 Revenue'!D:V,19,FALSE)</f>
        <v>0</v>
      </c>
      <c r="G206" s="680"/>
      <c r="H206" s="680"/>
      <c r="I206" s="755"/>
      <c r="J206" s="682">
        <f t="shared" si="49"/>
        <v>0</v>
      </c>
      <c r="K206" s="683"/>
      <c r="L206" s="684"/>
      <c r="M206" s="753"/>
      <c r="N206" s="683">
        <v>0</v>
      </c>
      <c r="O206" s="686"/>
      <c r="P206" s="683">
        <v>0</v>
      </c>
      <c r="Q206" s="687">
        <f t="shared" si="34"/>
        <v>0</v>
      </c>
      <c r="R206" s="687"/>
      <c r="S206" s="687"/>
      <c r="T206" s="688">
        <v>0</v>
      </c>
      <c r="U206" s="693"/>
      <c r="V206" s="690">
        <f t="shared" si="43"/>
        <v>0</v>
      </c>
      <c r="W206" s="683"/>
      <c r="X206" s="474">
        <f t="shared" si="44"/>
        <v>0</v>
      </c>
      <c r="Y206" s="474">
        <f t="shared" si="45"/>
        <v>0</v>
      </c>
      <c r="Z206" s="475">
        <f t="shared" si="46"/>
        <v>0</v>
      </c>
      <c r="AA206" s="475">
        <v>0</v>
      </c>
      <c r="AB206" s="476">
        <v>0</v>
      </c>
      <c r="AC206" s="38">
        <f t="shared" si="47"/>
        <v>0</v>
      </c>
      <c r="AD206" s="692">
        <f t="shared" si="36"/>
        <v>0</v>
      </c>
      <c r="AE206" s="692">
        <f t="shared" si="37"/>
        <v>0</v>
      </c>
      <c r="AF206" s="692">
        <f t="shared" si="38"/>
        <v>0</v>
      </c>
      <c r="AG206" s="38"/>
      <c r="AH206" s="692">
        <f t="shared" si="40"/>
        <v>0</v>
      </c>
      <c r="AI206" s="692">
        <f t="shared" si="41"/>
        <v>0</v>
      </c>
      <c r="AJ206" s="692">
        <f t="shared" si="42"/>
        <v>0</v>
      </c>
      <c r="AL206" s="38">
        <f t="shared" si="39"/>
        <v>0</v>
      </c>
    </row>
    <row r="207" spans="1:38">
      <c r="A207" s="21" t="s">
        <v>97</v>
      </c>
      <c r="B207" s="21" t="s">
        <v>114</v>
      </c>
      <c r="C207" s="666"/>
      <c r="D207" s="68" t="s">
        <v>376</v>
      </c>
      <c r="E207" s="679"/>
      <c r="F207" s="529">
        <f>VLOOKUP(D207,'Apr 2013 Revenue'!D:V,19,FALSE)</f>
        <v>0</v>
      </c>
      <c r="G207" s="680"/>
      <c r="H207" s="680"/>
      <c r="I207" s="755"/>
      <c r="J207" s="682">
        <f t="shared" si="49"/>
        <v>0</v>
      </c>
      <c r="K207" s="683"/>
      <c r="L207" s="684"/>
      <c r="M207" s="753"/>
      <c r="N207" s="683">
        <v>0</v>
      </c>
      <c r="O207" s="686"/>
      <c r="P207" s="683">
        <v>0</v>
      </c>
      <c r="Q207" s="687">
        <f t="shared" ref="Q207:Q221" si="50">L207+M207</f>
        <v>0</v>
      </c>
      <c r="R207" s="687"/>
      <c r="S207" s="687"/>
      <c r="T207" s="688">
        <v>0</v>
      </c>
      <c r="U207" s="693"/>
      <c r="V207" s="690">
        <f t="shared" si="43"/>
        <v>0</v>
      </c>
      <c r="W207" s="683"/>
      <c r="X207" s="474">
        <f t="shared" si="44"/>
        <v>0</v>
      </c>
      <c r="Y207" s="474">
        <f t="shared" si="45"/>
        <v>0</v>
      </c>
      <c r="Z207" s="475">
        <f t="shared" si="46"/>
        <v>0</v>
      </c>
      <c r="AA207" s="475">
        <v>0</v>
      </c>
      <c r="AB207" s="476">
        <v>0</v>
      </c>
      <c r="AC207" s="38">
        <f t="shared" si="47"/>
        <v>0</v>
      </c>
      <c r="AD207" s="692">
        <f t="shared" si="36"/>
        <v>0</v>
      </c>
      <c r="AE207" s="692">
        <f t="shared" si="37"/>
        <v>0</v>
      </c>
      <c r="AF207" s="692">
        <f t="shared" si="38"/>
        <v>0</v>
      </c>
      <c r="AG207" s="38"/>
      <c r="AH207" s="692">
        <f t="shared" si="40"/>
        <v>0</v>
      </c>
      <c r="AI207" s="692">
        <f t="shared" si="41"/>
        <v>0</v>
      </c>
      <c r="AJ207" s="692">
        <f t="shared" si="42"/>
        <v>0</v>
      </c>
      <c r="AL207" s="38">
        <f t="shared" si="39"/>
        <v>0</v>
      </c>
    </row>
    <row r="208" spans="1:38">
      <c r="A208" s="20"/>
      <c r="B208" s="20" t="s">
        <v>110</v>
      </c>
      <c r="C208" s="667"/>
      <c r="D208" s="68" t="s">
        <v>390</v>
      </c>
      <c r="E208" s="679"/>
      <c r="F208" s="529">
        <f>VLOOKUP(D208,'Apr 2013 Revenue'!D:V,19,FALSE)</f>
        <v>0</v>
      </c>
      <c r="G208" s="680"/>
      <c r="H208" s="680"/>
      <c r="I208" s="755"/>
      <c r="J208" s="682">
        <f t="shared" si="49"/>
        <v>0</v>
      </c>
      <c r="K208" s="683"/>
      <c r="L208" s="684"/>
      <c r="M208" s="753"/>
      <c r="N208" s="683">
        <v>0</v>
      </c>
      <c r="O208" s="686"/>
      <c r="P208" s="683">
        <v>0</v>
      </c>
      <c r="Q208" s="687">
        <f t="shared" si="50"/>
        <v>0</v>
      </c>
      <c r="R208" s="687"/>
      <c r="S208" s="687"/>
      <c r="T208" s="688">
        <v>0</v>
      </c>
      <c r="U208" s="693"/>
      <c r="V208" s="690">
        <f t="shared" si="43"/>
        <v>0</v>
      </c>
      <c r="W208" s="683"/>
      <c r="X208" s="474">
        <f t="shared" si="44"/>
        <v>0</v>
      </c>
      <c r="Y208" s="474">
        <f t="shared" si="45"/>
        <v>0</v>
      </c>
      <c r="Z208" s="475">
        <f t="shared" si="46"/>
        <v>0</v>
      </c>
      <c r="AA208" s="475">
        <v>0</v>
      </c>
      <c r="AB208" s="476">
        <v>0</v>
      </c>
      <c r="AC208" s="38">
        <f t="shared" si="47"/>
        <v>0</v>
      </c>
      <c r="AD208" s="692">
        <f t="shared" si="36"/>
        <v>0</v>
      </c>
      <c r="AE208" s="692">
        <f t="shared" si="37"/>
        <v>0</v>
      </c>
      <c r="AF208" s="692">
        <f t="shared" si="38"/>
        <v>0</v>
      </c>
      <c r="AG208" s="38"/>
      <c r="AH208" s="692">
        <f t="shared" si="40"/>
        <v>0</v>
      </c>
      <c r="AI208" s="692">
        <f t="shared" si="41"/>
        <v>0</v>
      </c>
      <c r="AJ208" s="692">
        <f t="shared" si="42"/>
        <v>0</v>
      </c>
      <c r="AL208" s="38">
        <f t="shared" si="39"/>
        <v>0</v>
      </c>
    </row>
    <row r="209" spans="1:38">
      <c r="A209" s="20"/>
      <c r="B209" s="20" t="s">
        <v>110</v>
      </c>
      <c r="C209" s="667" t="s">
        <v>581</v>
      </c>
      <c r="D209" s="123" t="s">
        <v>166</v>
      </c>
      <c r="E209" s="679"/>
      <c r="F209" s="529">
        <f>VLOOKUP(D209,'Apr 2013 Revenue'!D:V,19,FALSE)</f>
        <v>0</v>
      </c>
      <c r="G209" s="680"/>
      <c r="H209" s="680"/>
      <c r="I209" s="755"/>
      <c r="J209" s="682">
        <f t="shared" si="49"/>
        <v>0</v>
      </c>
      <c r="K209" s="683"/>
      <c r="L209" s="684"/>
      <c r="M209" s="753"/>
      <c r="N209" s="683">
        <v>0</v>
      </c>
      <c r="O209" s="686"/>
      <c r="P209" s="683">
        <v>0</v>
      </c>
      <c r="Q209" s="687">
        <f t="shared" si="50"/>
        <v>0</v>
      </c>
      <c r="R209" s="687"/>
      <c r="S209" s="687"/>
      <c r="T209" s="688">
        <v>0</v>
      </c>
      <c r="U209" s="693"/>
      <c r="V209" s="690">
        <f t="shared" si="43"/>
        <v>0</v>
      </c>
      <c r="W209" s="683"/>
      <c r="X209" s="474">
        <f t="shared" si="44"/>
        <v>0</v>
      </c>
      <c r="Y209" s="474">
        <f t="shared" si="45"/>
        <v>0</v>
      </c>
      <c r="Z209" s="475">
        <f t="shared" si="46"/>
        <v>0</v>
      </c>
      <c r="AA209" s="475">
        <v>0</v>
      </c>
      <c r="AB209" s="476">
        <v>0</v>
      </c>
      <c r="AC209" s="38">
        <f t="shared" si="47"/>
        <v>0</v>
      </c>
      <c r="AD209" s="692">
        <f t="shared" si="36"/>
        <v>0</v>
      </c>
      <c r="AE209" s="692">
        <f t="shared" si="37"/>
        <v>0</v>
      </c>
      <c r="AF209" s="692">
        <f t="shared" si="38"/>
        <v>0</v>
      </c>
      <c r="AG209" s="38"/>
      <c r="AH209" s="692">
        <f t="shared" si="40"/>
        <v>0</v>
      </c>
      <c r="AI209" s="692">
        <f t="shared" si="41"/>
        <v>0</v>
      </c>
      <c r="AJ209" s="692">
        <f t="shared" si="42"/>
        <v>0</v>
      </c>
      <c r="AL209" s="38">
        <f t="shared" si="39"/>
        <v>0</v>
      </c>
    </row>
    <row r="210" spans="1:38">
      <c r="A210" s="20"/>
      <c r="B210" s="20" t="s">
        <v>109</v>
      </c>
      <c r="C210" s="667" t="s">
        <v>581</v>
      </c>
      <c r="D210" s="123" t="s">
        <v>165</v>
      </c>
      <c r="E210" s="679"/>
      <c r="F210" s="529">
        <f>VLOOKUP(D210,'Apr 2013 Revenue'!D:V,19,FALSE)</f>
        <v>0</v>
      </c>
      <c r="G210" s="680"/>
      <c r="H210" s="680"/>
      <c r="I210" s="755"/>
      <c r="J210" s="682">
        <f t="shared" si="49"/>
        <v>0</v>
      </c>
      <c r="K210" s="683"/>
      <c r="L210" s="684"/>
      <c r="M210" s="753"/>
      <c r="N210" s="683">
        <v>0</v>
      </c>
      <c r="O210" s="686"/>
      <c r="P210" s="683">
        <v>0</v>
      </c>
      <c r="Q210" s="687">
        <f t="shared" si="50"/>
        <v>0</v>
      </c>
      <c r="R210" s="687"/>
      <c r="S210" s="687"/>
      <c r="T210" s="688">
        <v>0</v>
      </c>
      <c r="U210" s="693"/>
      <c r="V210" s="690">
        <f t="shared" si="43"/>
        <v>0</v>
      </c>
      <c r="W210" s="683"/>
      <c r="X210" s="474">
        <f t="shared" si="44"/>
        <v>0</v>
      </c>
      <c r="Y210" s="474">
        <f t="shared" si="45"/>
        <v>0</v>
      </c>
      <c r="Z210" s="475">
        <f t="shared" si="46"/>
        <v>0</v>
      </c>
      <c r="AA210" s="475">
        <v>0</v>
      </c>
      <c r="AB210" s="476">
        <v>0</v>
      </c>
      <c r="AC210" s="38">
        <f t="shared" si="47"/>
        <v>0</v>
      </c>
      <c r="AD210" s="692">
        <f t="shared" si="36"/>
        <v>0</v>
      </c>
      <c r="AE210" s="692">
        <f t="shared" si="37"/>
        <v>0</v>
      </c>
      <c r="AF210" s="692">
        <f t="shared" si="38"/>
        <v>0</v>
      </c>
      <c r="AG210" s="38"/>
      <c r="AH210" s="692">
        <f t="shared" si="40"/>
        <v>0</v>
      </c>
      <c r="AI210" s="692">
        <f t="shared" si="41"/>
        <v>0</v>
      </c>
      <c r="AJ210" s="692">
        <f t="shared" si="42"/>
        <v>0</v>
      </c>
      <c r="AL210" s="38">
        <f t="shared" si="39"/>
        <v>0</v>
      </c>
    </row>
    <row r="211" spans="1:38">
      <c r="A211" s="20"/>
      <c r="B211" s="20" t="s">
        <v>109</v>
      </c>
      <c r="C211" s="667"/>
      <c r="D211" s="123" t="s">
        <v>310</v>
      </c>
      <c r="E211" s="679"/>
      <c r="F211" s="529">
        <f>VLOOKUP(D211,'Apr 2013 Revenue'!D:V,19,FALSE)</f>
        <v>0</v>
      </c>
      <c r="G211" s="680"/>
      <c r="H211" s="680"/>
      <c r="I211" s="755"/>
      <c r="J211" s="682">
        <f t="shared" si="49"/>
        <v>0</v>
      </c>
      <c r="K211" s="683"/>
      <c r="L211" s="684"/>
      <c r="M211" s="753"/>
      <c r="N211" s="683">
        <v>0</v>
      </c>
      <c r="O211" s="686"/>
      <c r="P211" s="683">
        <v>0</v>
      </c>
      <c r="Q211" s="687">
        <f t="shared" si="50"/>
        <v>0</v>
      </c>
      <c r="R211" s="687"/>
      <c r="S211" s="687"/>
      <c r="T211" s="688">
        <v>0</v>
      </c>
      <c r="U211" s="693"/>
      <c r="V211" s="690">
        <f t="shared" si="43"/>
        <v>0</v>
      </c>
      <c r="W211" s="683"/>
      <c r="X211" s="474">
        <f t="shared" si="44"/>
        <v>0</v>
      </c>
      <c r="Y211" s="474">
        <f t="shared" si="45"/>
        <v>0</v>
      </c>
      <c r="Z211" s="475">
        <f t="shared" si="46"/>
        <v>0</v>
      </c>
      <c r="AA211" s="475">
        <v>0</v>
      </c>
      <c r="AB211" s="476">
        <v>0</v>
      </c>
      <c r="AC211" s="38">
        <f t="shared" si="47"/>
        <v>0</v>
      </c>
      <c r="AD211" s="692">
        <f t="shared" ref="AD211:AD221" si="51">IF(B211="D",J211,0)</f>
        <v>0</v>
      </c>
      <c r="AE211" s="692">
        <f t="shared" ref="AE211:AE221" si="52">IF(B211="M",J211,0)</f>
        <v>0</v>
      </c>
      <c r="AF211" s="692">
        <f t="shared" ref="AF211:AF221" si="53">IF(B211="V",J211,0)</f>
        <v>0</v>
      </c>
      <c r="AG211" s="38"/>
      <c r="AH211" s="692">
        <f t="shared" si="40"/>
        <v>0</v>
      </c>
      <c r="AI211" s="692">
        <f t="shared" si="41"/>
        <v>0</v>
      </c>
      <c r="AJ211" s="692">
        <f t="shared" si="42"/>
        <v>0</v>
      </c>
      <c r="AL211" s="38">
        <f t="shared" ref="AL211:AL221" si="54">SUM(AD211:AJ211)</f>
        <v>0</v>
      </c>
    </row>
    <row r="212" spans="1:38">
      <c r="A212" s="20"/>
      <c r="B212" s="20" t="s">
        <v>109</v>
      </c>
      <c r="C212" s="667"/>
      <c r="D212" s="123" t="s">
        <v>441</v>
      </c>
      <c r="E212" s="679"/>
      <c r="F212" s="529">
        <f>VLOOKUP(D212,'Apr 2013 Revenue'!D:V,19,FALSE)</f>
        <v>0</v>
      </c>
      <c r="G212" s="680"/>
      <c r="H212" s="680"/>
      <c r="I212" s="755"/>
      <c r="J212" s="682">
        <f t="shared" si="49"/>
        <v>0</v>
      </c>
      <c r="K212" s="683"/>
      <c r="L212" s="684"/>
      <c r="M212" s="753"/>
      <c r="N212" s="683">
        <v>0</v>
      </c>
      <c r="O212" s="686"/>
      <c r="P212" s="683">
        <v>0</v>
      </c>
      <c r="Q212" s="687">
        <f t="shared" si="50"/>
        <v>0</v>
      </c>
      <c r="R212" s="687"/>
      <c r="S212" s="687"/>
      <c r="T212" s="688">
        <v>0</v>
      </c>
      <c r="U212" s="693"/>
      <c r="V212" s="690">
        <f t="shared" si="43"/>
        <v>0</v>
      </c>
      <c r="W212" s="683"/>
      <c r="X212" s="474">
        <f t="shared" si="44"/>
        <v>0</v>
      </c>
      <c r="Y212" s="474">
        <f t="shared" si="45"/>
        <v>0</v>
      </c>
      <c r="Z212" s="475">
        <f t="shared" si="46"/>
        <v>0</v>
      </c>
      <c r="AA212" s="475">
        <v>0</v>
      </c>
      <c r="AB212" s="476">
        <v>0</v>
      </c>
      <c r="AC212" s="38">
        <f t="shared" si="47"/>
        <v>0</v>
      </c>
      <c r="AD212" s="692">
        <f t="shared" si="51"/>
        <v>0</v>
      </c>
      <c r="AE212" s="692">
        <f t="shared" si="52"/>
        <v>0</v>
      </c>
      <c r="AF212" s="692">
        <f t="shared" si="53"/>
        <v>0</v>
      </c>
      <c r="AG212" s="38"/>
      <c r="AH212" s="692">
        <f t="shared" ref="AH212:AH221" si="55">IF(B212="D",Q212,0)</f>
        <v>0</v>
      </c>
      <c r="AI212" s="692">
        <f t="shared" ref="AI212:AI221" si="56">IF(B212="M",Q212,0)</f>
        <v>0</v>
      </c>
      <c r="AJ212" s="692">
        <f t="shared" ref="AJ212:AJ221" si="57">IF(B212="V",Q212,0)</f>
        <v>0</v>
      </c>
      <c r="AL212" s="38">
        <f t="shared" si="54"/>
        <v>0</v>
      </c>
    </row>
    <row r="213" spans="1:38">
      <c r="A213" s="20"/>
      <c r="B213" s="20" t="s">
        <v>109</v>
      </c>
      <c r="C213" s="667"/>
      <c r="D213" s="68" t="s">
        <v>121</v>
      </c>
      <c r="E213" s="679"/>
      <c r="F213" s="529">
        <f>VLOOKUP(D213,'Apr 2013 Revenue'!D:V,19,FALSE)</f>
        <v>0</v>
      </c>
      <c r="G213" s="680"/>
      <c r="H213" s="680"/>
      <c r="I213" s="755"/>
      <c r="J213" s="682">
        <f t="shared" si="49"/>
        <v>0</v>
      </c>
      <c r="K213" s="683"/>
      <c r="L213" s="684"/>
      <c r="M213" s="753"/>
      <c r="N213" s="683">
        <v>0</v>
      </c>
      <c r="O213" s="686"/>
      <c r="P213" s="683">
        <v>0</v>
      </c>
      <c r="Q213" s="687">
        <f t="shared" si="50"/>
        <v>0</v>
      </c>
      <c r="R213" s="687"/>
      <c r="S213" s="687"/>
      <c r="T213" s="688">
        <v>0</v>
      </c>
      <c r="U213" s="693"/>
      <c r="V213" s="690">
        <f t="shared" ref="V213:V221" si="58">IF(T213="","",T213-Q213)</f>
        <v>0</v>
      </c>
      <c r="W213" s="683"/>
      <c r="X213" s="474">
        <f t="shared" ref="X213:X221" si="59">IF(B213="D",Q213,0)</f>
        <v>0</v>
      </c>
      <c r="Y213" s="474">
        <f t="shared" ref="Y213:Y221" si="60">IF(B213="M",Q213,0)</f>
        <v>0</v>
      </c>
      <c r="Z213" s="475">
        <f t="shared" ref="Z213:Z221" si="61">IF(B213="V",Q213,0)</f>
        <v>0</v>
      </c>
      <c r="AA213" s="475">
        <v>0</v>
      </c>
      <c r="AB213" s="476">
        <v>0</v>
      </c>
      <c r="AC213" s="38">
        <f t="shared" ref="AC213:AC221" si="62">(L213+M213)-(X213+Y213+Z213+AA213+AB213)</f>
        <v>0</v>
      </c>
      <c r="AD213" s="692">
        <f t="shared" si="51"/>
        <v>0</v>
      </c>
      <c r="AE213" s="692">
        <f t="shared" si="52"/>
        <v>0</v>
      </c>
      <c r="AF213" s="692">
        <f t="shared" si="53"/>
        <v>0</v>
      </c>
      <c r="AG213" s="38"/>
      <c r="AH213" s="692">
        <f t="shared" si="55"/>
        <v>0</v>
      </c>
      <c r="AI213" s="692">
        <f t="shared" si="56"/>
        <v>0</v>
      </c>
      <c r="AJ213" s="692">
        <f t="shared" si="57"/>
        <v>0</v>
      </c>
      <c r="AL213" s="38">
        <f t="shared" si="54"/>
        <v>0</v>
      </c>
    </row>
    <row r="214" spans="1:38">
      <c r="A214" s="20"/>
      <c r="B214" s="20" t="s">
        <v>110</v>
      </c>
      <c r="C214" s="667"/>
      <c r="D214" s="68" t="s">
        <v>168</v>
      </c>
      <c r="E214" s="679">
        <v>2968</v>
      </c>
      <c r="F214" s="529">
        <f>VLOOKUP(D214,'Apr 2013 Revenue'!D:V,19,FALSE)</f>
        <v>0</v>
      </c>
      <c r="G214" s="680"/>
      <c r="H214" s="680"/>
      <c r="I214" s="755"/>
      <c r="J214" s="682">
        <f t="shared" si="49"/>
        <v>2968</v>
      </c>
      <c r="K214" s="683"/>
      <c r="L214" s="684"/>
      <c r="M214" s="753"/>
      <c r="N214" s="683">
        <v>0</v>
      </c>
      <c r="O214" s="686"/>
      <c r="P214" s="683">
        <v>0</v>
      </c>
      <c r="Q214" s="687">
        <f t="shared" si="50"/>
        <v>0</v>
      </c>
      <c r="R214" s="687"/>
      <c r="S214" s="687"/>
      <c r="T214" s="688">
        <v>0</v>
      </c>
      <c r="U214" s="693"/>
      <c r="V214" s="690">
        <f t="shared" si="58"/>
        <v>0</v>
      </c>
      <c r="W214" s="683"/>
      <c r="X214" s="474">
        <f t="shared" si="59"/>
        <v>0</v>
      </c>
      <c r="Y214" s="474">
        <f t="shared" si="60"/>
        <v>0</v>
      </c>
      <c r="Z214" s="475">
        <f t="shared" si="61"/>
        <v>0</v>
      </c>
      <c r="AA214" s="475">
        <v>0</v>
      </c>
      <c r="AB214" s="476">
        <v>0</v>
      </c>
      <c r="AC214" s="38">
        <f t="shared" si="62"/>
        <v>0</v>
      </c>
      <c r="AD214" s="692">
        <f t="shared" si="51"/>
        <v>2968</v>
      </c>
      <c r="AE214" s="692">
        <f t="shared" si="52"/>
        <v>0</v>
      </c>
      <c r="AF214" s="692">
        <f t="shared" si="53"/>
        <v>0</v>
      </c>
      <c r="AG214" s="38"/>
      <c r="AH214" s="692">
        <f t="shared" si="55"/>
        <v>0</v>
      </c>
      <c r="AI214" s="692">
        <f t="shared" si="56"/>
        <v>0</v>
      </c>
      <c r="AJ214" s="692">
        <f t="shared" si="57"/>
        <v>0</v>
      </c>
      <c r="AL214" s="38">
        <f t="shared" si="54"/>
        <v>2968</v>
      </c>
    </row>
    <row r="215" spans="1:38">
      <c r="A215" s="20"/>
      <c r="B215" s="20" t="s">
        <v>109</v>
      </c>
      <c r="C215" s="667" t="s">
        <v>582</v>
      </c>
      <c r="D215" s="68" t="s">
        <v>167</v>
      </c>
      <c r="E215" s="679"/>
      <c r="F215" s="529">
        <f>VLOOKUP(D215,'Apr 2013 Revenue'!D:V,19,FALSE)</f>
        <v>0</v>
      </c>
      <c r="G215" s="680"/>
      <c r="H215" s="680"/>
      <c r="I215" s="755"/>
      <c r="J215" s="682">
        <f t="shared" si="49"/>
        <v>0</v>
      </c>
      <c r="K215" s="683"/>
      <c r="L215" s="684"/>
      <c r="M215" s="753"/>
      <c r="N215" s="683">
        <v>0</v>
      </c>
      <c r="O215" s="686"/>
      <c r="P215" s="683">
        <v>0</v>
      </c>
      <c r="Q215" s="687">
        <f t="shared" si="50"/>
        <v>0</v>
      </c>
      <c r="R215" s="687"/>
      <c r="S215" s="687"/>
      <c r="T215" s="688">
        <v>0</v>
      </c>
      <c r="U215" s="693"/>
      <c r="V215" s="690">
        <f t="shared" si="58"/>
        <v>0</v>
      </c>
      <c r="W215" s="683"/>
      <c r="X215" s="474">
        <f t="shared" si="59"/>
        <v>0</v>
      </c>
      <c r="Y215" s="474">
        <f t="shared" si="60"/>
        <v>0</v>
      </c>
      <c r="Z215" s="475">
        <f t="shared" si="61"/>
        <v>0</v>
      </c>
      <c r="AA215" s="475">
        <v>0</v>
      </c>
      <c r="AB215" s="476">
        <v>0</v>
      </c>
      <c r="AC215" s="38">
        <f t="shared" si="62"/>
        <v>0</v>
      </c>
      <c r="AD215" s="692">
        <f t="shared" si="51"/>
        <v>0</v>
      </c>
      <c r="AE215" s="692">
        <f t="shared" si="52"/>
        <v>0</v>
      </c>
      <c r="AF215" s="692">
        <f t="shared" si="53"/>
        <v>0</v>
      </c>
      <c r="AG215" s="38"/>
      <c r="AH215" s="692">
        <f t="shared" si="55"/>
        <v>0</v>
      </c>
      <c r="AI215" s="692">
        <f t="shared" si="56"/>
        <v>0</v>
      </c>
      <c r="AJ215" s="692">
        <f t="shared" si="57"/>
        <v>0</v>
      </c>
      <c r="AL215" s="38">
        <f t="shared" si="54"/>
        <v>0</v>
      </c>
    </row>
    <row r="216" spans="1:38">
      <c r="A216" s="20" t="s">
        <v>218</v>
      </c>
      <c r="B216" s="20" t="s">
        <v>110</v>
      </c>
      <c r="C216" s="667"/>
      <c r="D216" s="68" t="s">
        <v>60</v>
      </c>
      <c r="E216" s="679">
        <v>15772.3</v>
      </c>
      <c r="F216" s="529">
        <f>VLOOKUP(D216,'Apr 2013 Revenue'!D:V,19,FALSE)</f>
        <v>-13000</v>
      </c>
      <c r="G216" s="680"/>
      <c r="H216" s="680"/>
      <c r="I216" s="755"/>
      <c r="J216" s="682">
        <f t="shared" si="49"/>
        <v>2772.2999999999993</v>
      </c>
      <c r="K216" s="683"/>
      <c r="L216" s="684"/>
      <c r="M216" s="753">
        <v>10000</v>
      </c>
      <c r="N216" s="683">
        <v>0</v>
      </c>
      <c r="O216" s="686"/>
      <c r="P216" s="683">
        <v>0</v>
      </c>
      <c r="Q216" s="687">
        <f t="shared" si="50"/>
        <v>10000</v>
      </c>
      <c r="R216" s="687"/>
      <c r="S216" s="687"/>
      <c r="T216" s="688">
        <v>0</v>
      </c>
      <c r="U216" s="693"/>
      <c r="V216" s="690">
        <f t="shared" si="58"/>
        <v>-10000</v>
      </c>
      <c r="W216" s="697"/>
      <c r="X216" s="474">
        <f t="shared" si="59"/>
        <v>10000</v>
      </c>
      <c r="Y216" s="474">
        <f t="shared" si="60"/>
        <v>0</v>
      </c>
      <c r="Z216" s="475">
        <f t="shared" si="61"/>
        <v>0</v>
      </c>
      <c r="AA216" s="475">
        <v>0</v>
      </c>
      <c r="AB216" s="476">
        <v>0</v>
      </c>
      <c r="AC216" s="38">
        <f t="shared" si="62"/>
        <v>0</v>
      </c>
      <c r="AD216" s="692">
        <f t="shared" si="51"/>
        <v>2772.2999999999993</v>
      </c>
      <c r="AE216" s="692">
        <f t="shared" si="52"/>
        <v>0</v>
      </c>
      <c r="AF216" s="692">
        <f t="shared" si="53"/>
        <v>0</v>
      </c>
      <c r="AG216" s="38"/>
      <c r="AH216" s="692">
        <f t="shared" si="55"/>
        <v>10000</v>
      </c>
      <c r="AI216" s="692">
        <f t="shared" si="56"/>
        <v>0</v>
      </c>
      <c r="AJ216" s="692">
        <f t="shared" si="57"/>
        <v>0</v>
      </c>
      <c r="AL216" s="38">
        <f t="shared" si="54"/>
        <v>12772.3</v>
      </c>
    </row>
    <row r="217" spans="1:38">
      <c r="A217" s="20"/>
      <c r="B217" s="20" t="s">
        <v>110</v>
      </c>
      <c r="C217" s="667" t="s">
        <v>583</v>
      </c>
      <c r="D217" s="68" t="s">
        <v>169</v>
      </c>
      <c r="E217" s="679"/>
      <c r="F217" s="529">
        <f>VLOOKUP(D217,'Apr 2013 Revenue'!D:V,19,FALSE)</f>
        <v>0</v>
      </c>
      <c r="G217" s="680"/>
      <c r="H217" s="680"/>
      <c r="I217" s="770">
        <v>203.04</v>
      </c>
      <c r="J217" s="682">
        <f t="shared" si="49"/>
        <v>203.04</v>
      </c>
      <c r="K217" s="683"/>
      <c r="L217" s="684"/>
      <c r="M217" s="753"/>
      <c r="N217" s="683">
        <v>0</v>
      </c>
      <c r="O217" s="686"/>
      <c r="P217" s="683">
        <v>0</v>
      </c>
      <c r="Q217" s="687">
        <f t="shared" si="50"/>
        <v>0</v>
      </c>
      <c r="R217" s="687"/>
      <c r="S217" s="687"/>
      <c r="T217" s="688">
        <v>0</v>
      </c>
      <c r="U217" s="693"/>
      <c r="V217" s="690">
        <f t="shared" si="58"/>
        <v>0</v>
      </c>
      <c r="W217" s="683"/>
      <c r="X217" s="474">
        <f t="shared" si="59"/>
        <v>0</v>
      </c>
      <c r="Y217" s="474">
        <f t="shared" si="60"/>
        <v>0</v>
      </c>
      <c r="Z217" s="475">
        <f t="shared" si="61"/>
        <v>0</v>
      </c>
      <c r="AA217" s="475">
        <v>0</v>
      </c>
      <c r="AB217" s="476">
        <v>0</v>
      </c>
      <c r="AC217" s="38">
        <f t="shared" si="62"/>
        <v>0</v>
      </c>
      <c r="AD217" s="692">
        <f t="shared" si="51"/>
        <v>203.04</v>
      </c>
      <c r="AE217" s="692">
        <f t="shared" si="52"/>
        <v>0</v>
      </c>
      <c r="AF217" s="692">
        <f t="shared" si="53"/>
        <v>0</v>
      </c>
      <c r="AG217" s="38"/>
      <c r="AH217" s="692">
        <f t="shared" si="55"/>
        <v>0</v>
      </c>
      <c r="AI217" s="692">
        <f t="shared" si="56"/>
        <v>0</v>
      </c>
      <c r="AJ217" s="692">
        <f t="shared" si="57"/>
        <v>0</v>
      </c>
      <c r="AL217" s="38">
        <f t="shared" si="54"/>
        <v>203.04</v>
      </c>
    </row>
    <row r="218" spans="1:38">
      <c r="A218" s="21"/>
      <c r="B218" s="21" t="s">
        <v>110</v>
      </c>
      <c r="C218" s="666"/>
      <c r="D218" s="810" t="s">
        <v>945</v>
      </c>
      <c r="E218" s="811">
        <v>-295710.09999999998</v>
      </c>
      <c r="F218" s="529">
        <v>0</v>
      </c>
      <c r="G218" s="680"/>
      <c r="H218" s="680"/>
      <c r="I218" s="755"/>
      <c r="J218" s="682">
        <f t="shared" si="49"/>
        <v>-295710.09999999998</v>
      </c>
      <c r="K218" s="683"/>
      <c r="L218" s="684"/>
      <c r="M218" s="753"/>
      <c r="N218" s="683">
        <v>0</v>
      </c>
      <c r="O218" s="686"/>
      <c r="P218" s="683">
        <v>0</v>
      </c>
      <c r="Q218" s="687">
        <f t="shared" si="50"/>
        <v>0</v>
      </c>
      <c r="R218" s="687"/>
      <c r="S218" s="687"/>
      <c r="T218" s="688">
        <v>0</v>
      </c>
      <c r="U218" s="693"/>
      <c r="V218" s="690">
        <f t="shared" si="58"/>
        <v>0</v>
      </c>
      <c r="W218" s="683"/>
      <c r="X218" s="474">
        <f t="shared" si="59"/>
        <v>0</v>
      </c>
      <c r="Y218" s="474">
        <f t="shared" si="60"/>
        <v>0</v>
      </c>
      <c r="Z218" s="475">
        <f t="shared" si="61"/>
        <v>0</v>
      </c>
      <c r="AA218" s="475">
        <v>0</v>
      </c>
      <c r="AB218" s="476">
        <v>0</v>
      </c>
      <c r="AC218" s="38">
        <f t="shared" si="62"/>
        <v>0</v>
      </c>
      <c r="AD218" s="692">
        <f t="shared" si="51"/>
        <v>-295710.09999999998</v>
      </c>
      <c r="AE218" s="692">
        <f t="shared" si="52"/>
        <v>0</v>
      </c>
      <c r="AF218" s="692">
        <f t="shared" si="53"/>
        <v>0</v>
      </c>
      <c r="AG218" s="38"/>
      <c r="AH218" s="692">
        <f t="shared" si="55"/>
        <v>0</v>
      </c>
      <c r="AI218" s="692">
        <f t="shared" si="56"/>
        <v>0</v>
      </c>
      <c r="AJ218" s="692">
        <f t="shared" si="57"/>
        <v>0</v>
      </c>
      <c r="AL218" s="38">
        <f t="shared" si="54"/>
        <v>-295710.09999999998</v>
      </c>
    </row>
    <row r="219" spans="1:38">
      <c r="A219" s="21"/>
      <c r="B219" s="21" t="s">
        <v>114</v>
      </c>
      <c r="C219" s="666"/>
      <c r="D219" s="68" t="s">
        <v>591</v>
      </c>
      <c r="E219" s="679"/>
      <c r="F219" s="529">
        <f>VLOOKUP(D219,'Apr 2013 Revenue'!D:V,19,FALSE)</f>
        <v>2444.9699999999998</v>
      </c>
      <c r="G219" s="680"/>
      <c r="H219" s="680"/>
      <c r="I219" s="755"/>
      <c r="J219" s="682">
        <f t="shared" si="49"/>
        <v>2444.9699999999998</v>
      </c>
      <c r="K219" s="683"/>
      <c r="L219" s="684"/>
      <c r="M219" s="753"/>
      <c r="N219" s="683">
        <v>0</v>
      </c>
      <c r="O219" s="686"/>
      <c r="P219" s="683">
        <v>0</v>
      </c>
      <c r="Q219" s="687">
        <f t="shared" si="50"/>
        <v>0</v>
      </c>
      <c r="R219" s="687"/>
      <c r="S219" s="687"/>
      <c r="T219" s="688">
        <f>1112.71+403.41+433.22+274.3</f>
        <v>2223.6400000000003</v>
      </c>
      <c r="U219" s="693"/>
      <c r="V219" s="690">
        <f t="shared" si="58"/>
        <v>2223.6400000000003</v>
      </c>
      <c r="W219" s="683"/>
      <c r="X219" s="474">
        <f t="shared" si="59"/>
        <v>0</v>
      </c>
      <c r="Y219" s="474">
        <f t="shared" si="60"/>
        <v>0</v>
      </c>
      <c r="Z219" s="475">
        <f t="shared" si="61"/>
        <v>0</v>
      </c>
      <c r="AA219" s="475">
        <v>0</v>
      </c>
      <c r="AB219" s="476">
        <v>0</v>
      </c>
      <c r="AC219" s="38">
        <f t="shared" si="62"/>
        <v>0</v>
      </c>
      <c r="AD219" s="692">
        <f t="shared" si="51"/>
        <v>0</v>
      </c>
      <c r="AE219" s="692">
        <f t="shared" si="52"/>
        <v>0</v>
      </c>
      <c r="AF219" s="692">
        <f t="shared" si="53"/>
        <v>2444.9699999999998</v>
      </c>
      <c r="AG219" s="38"/>
      <c r="AH219" s="692">
        <f t="shared" si="55"/>
        <v>0</v>
      </c>
      <c r="AI219" s="692">
        <f t="shared" si="56"/>
        <v>0</v>
      </c>
      <c r="AJ219" s="692">
        <f t="shared" si="57"/>
        <v>0</v>
      </c>
      <c r="AL219" s="38">
        <f t="shared" si="54"/>
        <v>2444.9699999999998</v>
      </c>
    </row>
    <row r="220" spans="1:38">
      <c r="A220" s="21"/>
      <c r="B220" s="21" t="s">
        <v>114</v>
      </c>
      <c r="C220" s="672"/>
      <c r="D220" s="519" t="s">
        <v>433</v>
      </c>
      <c r="E220" s="679"/>
      <c r="F220" s="529">
        <f>VLOOKUP(D220,'Apr 2013 Revenue'!D:V,19,FALSE)</f>
        <v>0</v>
      </c>
      <c r="G220" s="680"/>
      <c r="H220" s="680"/>
      <c r="I220" s="755"/>
      <c r="J220" s="682">
        <f t="shared" si="49"/>
        <v>0</v>
      </c>
      <c r="K220" s="683"/>
      <c r="L220" s="684"/>
      <c r="M220" s="753"/>
      <c r="N220" s="683">
        <v>0</v>
      </c>
      <c r="O220" s="686"/>
      <c r="P220" s="683">
        <v>0</v>
      </c>
      <c r="Q220" s="687">
        <f t="shared" si="50"/>
        <v>0</v>
      </c>
      <c r="R220" s="687"/>
      <c r="S220" s="687"/>
      <c r="T220" s="688">
        <v>0</v>
      </c>
      <c r="U220" s="693"/>
      <c r="V220" s="690">
        <f t="shared" si="58"/>
        <v>0</v>
      </c>
      <c r="W220" s="683"/>
      <c r="X220" s="474">
        <f t="shared" si="59"/>
        <v>0</v>
      </c>
      <c r="Y220" s="474">
        <f t="shared" si="60"/>
        <v>0</v>
      </c>
      <c r="Z220" s="475">
        <f t="shared" si="61"/>
        <v>0</v>
      </c>
      <c r="AA220" s="475">
        <v>0</v>
      </c>
      <c r="AB220" s="476">
        <v>0</v>
      </c>
      <c r="AC220" s="38">
        <f t="shared" si="62"/>
        <v>0</v>
      </c>
      <c r="AD220" s="692">
        <f t="shared" si="51"/>
        <v>0</v>
      </c>
      <c r="AE220" s="692">
        <f t="shared" si="52"/>
        <v>0</v>
      </c>
      <c r="AF220" s="692">
        <f t="shared" si="53"/>
        <v>0</v>
      </c>
      <c r="AG220" s="38"/>
      <c r="AH220" s="692">
        <f t="shared" si="55"/>
        <v>0</v>
      </c>
      <c r="AI220" s="692">
        <f t="shared" si="56"/>
        <v>0</v>
      </c>
      <c r="AJ220" s="692">
        <f t="shared" si="57"/>
        <v>0</v>
      </c>
      <c r="AL220" s="38">
        <f t="shared" si="54"/>
        <v>0</v>
      </c>
    </row>
    <row r="221" spans="1:38" s="146" customFormat="1" ht="13" thickBot="1">
      <c r="A221" s="21"/>
      <c r="B221" s="21" t="s">
        <v>110</v>
      </c>
      <c r="C221" s="666"/>
      <c r="D221" s="68" t="s">
        <v>593</v>
      </c>
      <c r="E221" s="679">
        <v>19.52</v>
      </c>
      <c r="F221" s="529">
        <f>VLOOKUP(D221,'Apr 2013 Revenue'!D:V,19,FALSE)</f>
        <v>0</v>
      </c>
      <c r="G221" s="680"/>
      <c r="H221" s="680"/>
      <c r="I221" s="755"/>
      <c r="J221" s="682">
        <f t="shared" si="49"/>
        <v>19.52</v>
      </c>
      <c r="K221" s="683"/>
      <c r="L221" s="684"/>
      <c r="M221" s="753"/>
      <c r="N221" s="683">
        <v>0</v>
      </c>
      <c r="O221" s="686"/>
      <c r="P221" s="683">
        <v>0</v>
      </c>
      <c r="Q221" s="687">
        <f t="shared" si="50"/>
        <v>0</v>
      </c>
      <c r="R221" s="687"/>
      <c r="S221" s="687"/>
      <c r="T221" s="688">
        <v>0</v>
      </c>
      <c r="U221" s="693"/>
      <c r="V221" s="690">
        <f t="shared" si="58"/>
        <v>0</v>
      </c>
      <c r="W221" s="683"/>
      <c r="X221" s="474">
        <f t="shared" si="59"/>
        <v>0</v>
      </c>
      <c r="Y221" s="474">
        <f t="shared" si="60"/>
        <v>0</v>
      </c>
      <c r="Z221" s="475">
        <f t="shared" si="61"/>
        <v>0</v>
      </c>
      <c r="AA221" s="475">
        <v>0</v>
      </c>
      <c r="AB221" s="476">
        <v>0</v>
      </c>
      <c r="AC221" s="38">
        <f t="shared" si="62"/>
        <v>0</v>
      </c>
      <c r="AD221" s="692">
        <f t="shared" si="51"/>
        <v>19.52</v>
      </c>
      <c r="AE221" s="692">
        <f t="shared" si="52"/>
        <v>0</v>
      </c>
      <c r="AF221" s="692">
        <f t="shared" si="53"/>
        <v>0</v>
      </c>
      <c r="AG221" s="38"/>
      <c r="AH221" s="692">
        <f t="shared" si="55"/>
        <v>0</v>
      </c>
      <c r="AI221" s="692">
        <f t="shared" si="56"/>
        <v>0</v>
      </c>
      <c r="AJ221" s="692">
        <f t="shared" si="57"/>
        <v>0</v>
      </c>
      <c r="AL221" s="38">
        <f t="shared" si="54"/>
        <v>19.52</v>
      </c>
    </row>
    <row r="222" spans="1:38" ht="13" thickBot="1">
      <c r="A222" s="107"/>
      <c r="B222" s="108"/>
      <c r="C222" s="673"/>
      <c r="D222" s="71" t="s">
        <v>86</v>
      </c>
      <c r="E222" s="454">
        <f t="shared" ref="E222:J222" si="63">SUM(E16:E221)</f>
        <v>63148.980000000018</v>
      </c>
      <c r="F222" s="454">
        <f t="shared" si="63"/>
        <v>-912913.99000000022</v>
      </c>
      <c r="G222" s="454">
        <f t="shared" si="63"/>
        <v>0</v>
      </c>
      <c r="H222" s="454">
        <f t="shared" si="63"/>
        <v>0</v>
      </c>
      <c r="I222" s="454">
        <f t="shared" si="63"/>
        <v>4970874.2200000016</v>
      </c>
      <c r="J222" s="454">
        <f t="shared" si="63"/>
        <v>4121109.2100000004</v>
      </c>
      <c r="K222" s="454"/>
      <c r="L222" s="454">
        <f>SUM(L16:L221)</f>
        <v>0</v>
      </c>
      <c r="M222" s="454">
        <f>SUM(M16:M221)</f>
        <v>6235000</v>
      </c>
      <c r="N222" s="454">
        <f>SUM(N16:N221)</f>
        <v>0</v>
      </c>
      <c r="O222" s="100">
        <f>SUM(O16:O221)</f>
        <v>0</v>
      </c>
      <c r="P222" s="157">
        <f>SUM(P17:P221)</f>
        <v>0</v>
      </c>
      <c r="Q222" s="100">
        <f>SUM(Q16:Q221)</f>
        <v>6235000</v>
      </c>
      <c r="R222" s="100"/>
      <c r="S222" s="100"/>
      <c r="T222" s="100">
        <f>SUM(T16:T221)</f>
        <v>5962848.3900000015</v>
      </c>
      <c r="U222" s="708"/>
      <c r="V222" s="100">
        <f>SUM(V16:V221)</f>
        <v>-272151.60999999975</v>
      </c>
      <c r="W222" s="683"/>
      <c r="X222" s="314">
        <f>SUM(X16:X221)</f>
        <v>5344000</v>
      </c>
      <c r="Y222" s="314">
        <f>SUM(Y16:Y221)</f>
        <v>788000</v>
      </c>
      <c r="Z222" s="314">
        <f>SUM(Z16:Z221)</f>
        <v>103000</v>
      </c>
      <c r="AA222" s="314">
        <f>SUM(AA16:AA221)</f>
        <v>0</v>
      </c>
      <c r="AB222" s="314">
        <f>SUM(AB16:AB221)</f>
        <v>0</v>
      </c>
      <c r="AC222" s="38"/>
      <c r="AD222" s="314">
        <f>SUM(AD16:AD221)</f>
        <v>4086015.0100000016</v>
      </c>
      <c r="AE222" s="314">
        <f>SUM(AE16:AE221)</f>
        <v>41261.460000000014</v>
      </c>
      <c r="AF222" s="314">
        <f>SUM(AF16:AF221)</f>
        <v>-6167.26</v>
      </c>
      <c r="AG222" s="38"/>
      <c r="AH222" s="314">
        <f>SUM(AH16:AH221)</f>
        <v>5344000</v>
      </c>
      <c r="AI222" s="314">
        <f>SUM(AI16:AI221)</f>
        <v>788000</v>
      </c>
      <c r="AJ222" s="314">
        <f>SUM(AJ16:AJ221)</f>
        <v>103000</v>
      </c>
    </row>
    <row r="223" spans="1:38" ht="13" thickBot="1">
      <c r="A223" s="65"/>
      <c r="B223" s="65"/>
      <c r="C223" s="674"/>
      <c r="D223" s="141"/>
      <c r="E223" s="709" t="s">
        <v>293</v>
      </c>
      <c r="F223" s="160">
        <f>F222+E222</f>
        <v>-849765.01000000024</v>
      </c>
      <c r="G223" s="153"/>
      <c r="H223" s="153" t="s">
        <v>225</v>
      </c>
      <c r="I223" s="153">
        <f>I222+H222+G222</f>
        <v>4970874.2200000016</v>
      </c>
      <c r="J223" s="323"/>
      <c r="K223" s="153"/>
      <c r="L223" s="153" t="s">
        <v>296</v>
      </c>
      <c r="M223" s="100">
        <f>M222+L222</f>
        <v>6235000</v>
      </c>
      <c r="N223" s="153"/>
      <c r="O223" s="641"/>
      <c r="P223" s="153"/>
      <c r="Q223" s="153"/>
      <c r="R223" s="153"/>
      <c r="S223" s="153"/>
      <c r="T223" s="153"/>
      <c r="U223" s="153"/>
      <c r="V223" s="153"/>
      <c r="W223" s="153"/>
      <c r="X223" s="139"/>
      <c r="Y223" s="139"/>
      <c r="Z223" s="139"/>
      <c r="AA223" s="139"/>
      <c r="AB223" s="104"/>
      <c r="AC223" s="38"/>
      <c r="AD223" s="711"/>
      <c r="AE223" s="711"/>
      <c r="AF223" s="711"/>
      <c r="AG223" s="38"/>
      <c r="AH223" s="38"/>
      <c r="AI223" s="38"/>
      <c r="AJ223" s="38"/>
    </row>
    <row r="224" spans="1:38" ht="13" thickBot="1">
      <c r="A224" s="65"/>
      <c r="B224" s="65"/>
      <c r="C224" s="674"/>
      <c r="E224" s="159"/>
      <c r="F224" s="153"/>
      <c r="G224" s="153"/>
      <c r="H224" s="153"/>
      <c r="I224" s="153"/>
      <c r="J224" s="153"/>
      <c r="K224" s="153"/>
      <c r="L224" s="153"/>
      <c r="M224" s="710"/>
      <c r="N224" s="153"/>
      <c r="O224" s="153"/>
      <c r="P224" s="153"/>
      <c r="Q224" s="153"/>
      <c r="R224" s="153"/>
      <c r="S224" s="153"/>
      <c r="T224" s="153"/>
      <c r="U224" s="153"/>
      <c r="V224" s="153"/>
      <c r="W224" s="153"/>
      <c r="X224" s="331" t="s">
        <v>345</v>
      </c>
      <c r="Y224" s="139"/>
      <c r="Z224" s="139"/>
      <c r="AA224" s="139"/>
      <c r="AB224" s="104"/>
      <c r="AC224" s="164" t="s">
        <v>633</v>
      </c>
      <c r="AD224" s="798">
        <f>-45000+2815.48</f>
        <v>-42184.52</v>
      </c>
      <c r="AE224" s="798"/>
      <c r="AF224" s="798">
        <f>-SUM(AD224)</f>
        <v>42184.52</v>
      </c>
      <c r="AG224" s="38"/>
      <c r="AH224" s="711"/>
      <c r="AI224" s="711"/>
      <c r="AJ224" s="711"/>
    </row>
    <row r="225" spans="4:38" ht="17" thickTop="1" thickBot="1">
      <c r="E225" s="712"/>
      <c r="F225" s="713"/>
      <c r="G225" s="714"/>
      <c r="H225" s="715"/>
      <c r="I225" s="715"/>
      <c r="J225" s="164"/>
      <c r="K225" s="169"/>
      <c r="L225" s="233"/>
      <c r="M225" s="233"/>
      <c r="N225" s="38"/>
      <c r="O225" s="642"/>
      <c r="P225" s="139"/>
      <c r="Q225" s="139"/>
      <c r="R225" s="139"/>
      <c r="S225" s="139"/>
      <c r="T225" s="33"/>
      <c r="U225" s="33"/>
      <c r="V225" s="33"/>
      <c r="W225" s="169"/>
      <c r="X225" s="332"/>
      <c r="Y225" s="333"/>
      <c r="Z225" s="491"/>
      <c r="AA225" s="491"/>
      <c r="AB225" s="334"/>
      <c r="AC225" s="164" t="s">
        <v>634</v>
      </c>
      <c r="AD225" s="798">
        <v>-83161.22</v>
      </c>
      <c r="AE225" s="798"/>
      <c r="AF225" s="802">
        <f>-SUM(AD225)</f>
        <v>83161.22</v>
      </c>
      <c r="AG225" s="38"/>
      <c r="AH225" s="38"/>
      <c r="AI225" s="38"/>
      <c r="AJ225" s="38"/>
    </row>
    <row r="226" spans="4:38" ht="17" thickBot="1">
      <c r="E226" s="712"/>
      <c r="F226" s="713"/>
      <c r="G226" s="714"/>
      <c r="H226" s="715"/>
      <c r="J226" s="79">
        <f>J222</f>
        <v>4121109.2100000004</v>
      </c>
      <c r="K226" s="715" t="s">
        <v>928</v>
      </c>
      <c r="L226" s="169"/>
      <c r="M226" s="493"/>
      <c r="N226" s="38"/>
      <c r="O226" s="80"/>
      <c r="P226" s="104"/>
      <c r="Q226" s="139"/>
      <c r="R226" s="139"/>
      <c r="S226" s="139"/>
      <c r="T226" s="33"/>
      <c r="U226" s="33"/>
      <c r="V226" s="33"/>
      <c r="W226" s="169"/>
      <c r="X226" s="487"/>
      <c r="Y226" s="488"/>
      <c r="Z226" s="492" t="s">
        <v>399</v>
      </c>
      <c r="AA226" s="492" t="s">
        <v>400</v>
      </c>
      <c r="AB226" s="488"/>
      <c r="AC226" s="717" t="s">
        <v>475</v>
      </c>
      <c r="AD226" s="718">
        <f>SUM(AD222:AD225)</f>
        <v>3960669.2700000014</v>
      </c>
      <c r="AE226" s="718">
        <f>AE222</f>
        <v>41261.460000000014</v>
      </c>
      <c r="AF226" s="718">
        <f>SUM(AF222:AF225)</f>
        <v>119178.48</v>
      </c>
      <c r="AG226" s="718"/>
      <c r="AH226" s="718">
        <f>AH222</f>
        <v>5344000</v>
      </c>
      <c r="AI226" s="718">
        <f>AI222</f>
        <v>788000</v>
      </c>
      <c r="AJ226" s="719">
        <f>AJ222</f>
        <v>103000</v>
      </c>
      <c r="AL226" s="38">
        <f>SUM(AL17:AL225)</f>
        <v>10356109.210000001</v>
      </c>
    </row>
    <row r="227" spans="4:38" ht="15" thickBot="1">
      <c r="D227" s="143"/>
      <c r="E227" s="759"/>
      <c r="F227" s="713"/>
      <c r="G227" s="714"/>
      <c r="H227" s="720"/>
      <c r="J227" s="750">
        <f>SUM('June GL'!H5)</f>
        <v>0</v>
      </c>
      <c r="K227" s="757" t="s">
        <v>251</v>
      </c>
      <c r="L227" s="722"/>
      <c r="M227" s="642"/>
      <c r="N227" s="33"/>
      <c r="O227" s="80"/>
      <c r="P227" s="104"/>
      <c r="Q227" s="139"/>
      <c r="R227" s="139"/>
      <c r="S227" s="139"/>
      <c r="T227" s="33"/>
      <c r="U227" s="33"/>
      <c r="V227" s="33"/>
      <c r="W227" s="169"/>
      <c r="X227" s="158" t="s">
        <v>609</v>
      </c>
      <c r="Y227" s="104" t="s">
        <v>352</v>
      </c>
      <c r="Z227" s="104">
        <f>X222+Y222+Z222</f>
        <v>6235000</v>
      </c>
      <c r="AA227" s="104"/>
      <c r="AB227" s="136"/>
      <c r="AC227" s="723"/>
      <c r="AD227" s="38"/>
      <c r="AE227" s="38"/>
      <c r="AF227" s="38"/>
      <c r="AG227" s="38"/>
      <c r="AH227" s="38"/>
      <c r="AI227" s="38"/>
      <c r="AJ227" s="38"/>
    </row>
    <row r="228" spans="4:38" ht="15" thickTop="1">
      <c r="D228" s="143"/>
      <c r="E228" s="712"/>
      <c r="F228" s="713"/>
      <c r="G228" s="714"/>
      <c r="H228" s="714" t="s">
        <v>249</v>
      </c>
      <c r="J228" s="173">
        <f>J227+J226</f>
        <v>4121109.2100000004</v>
      </c>
      <c r="K228" s="714" t="s">
        <v>454</v>
      </c>
      <c r="L228" s="722"/>
      <c r="M228" s="80"/>
      <c r="N228" s="104"/>
      <c r="O228" s="173"/>
      <c r="P228" s="104"/>
      <c r="Q228" s="139"/>
      <c r="R228" s="139"/>
      <c r="S228" s="139"/>
      <c r="T228" s="139"/>
      <c r="U228" s="139"/>
      <c r="V228" s="139"/>
      <c r="W228" s="169"/>
      <c r="X228" s="158"/>
      <c r="Y228" s="104"/>
      <c r="Z228" s="104"/>
      <c r="AA228" s="104"/>
      <c r="AB228" s="136"/>
      <c r="AC228" s="723"/>
      <c r="AD228" s="38"/>
      <c r="AE228" s="38"/>
      <c r="AF228" s="38" t="s">
        <v>86</v>
      </c>
      <c r="AG228" s="38"/>
      <c r="AH228" s="233">
        <f>SUM(AD226+AH226)</f>
        <v>9304669.2700000014</v>
      </c>
      <c r="AI228" s="233">
        <f t="shared" ref="AI228:AJ228" si="64">SUM(AE226+AI226)</f>
        <v>829261.46</v>
      </c>
      <c r="AJ228" s="233">
        <f t="shared" si="64"/>
        <v>222178.47999999998</v>
      </c>
    </row>
    <row r="229" spans="4:38" ht="14">
      <c r="D229" s="143"/>
      <c r="E229" s="712"/>
      <c r="F229" s="713"/>
      <c r="G229" s="714"/>
      <c r="H229" s="714"/>
      <c r="J229" s="80"/>
      <c r="K229" s="714"/>
      <c r="L229" s="722"/>
      <c r="M229" s="104"/>
      <c r="N229" s="38"/>
      <c r="O229" s="139"/>
      <c r="P229" s="104"/>
      <c r="Q229" s="139"/>
      <c r="R229" s="139"/>
      <c r="S229" s="139"/>
      <c r="T229" s="139"/>
      <c r="U229" s="139"/>
      <c r="V229" s="139"/>
      <c r="W229" s="169"/>
      <c r="X229" s="158" t="s">
        <v>600</v>
      </c>
      <c r="Y229" s="104" t="s">
        <v>355</v>
      </c>
      <c r="Z229" s="104"/>
      <c r="AA229" s="104">
        <f>X222</f>
        <v>5344000</v>
      </c>
      <c r="AB229" s="136"/>
      <c r="AC229" s="38"/>
      <c r="AD229" s="797" t="s">
        <v>882</v>
      </c>
      <c r="AE229" s="38"/>
      <c r="AF229" s="38"/>
      <c r="AG229" s="38"/>
      <c r="AH229" s="233"/>
      <c r="AI229" s="233"/>
      <c r="AJ229" s="233"/>
    </row>
    <row r="230" spans="4:38" ht="15" thickBot="1">
      <c r="D230" s="143" t="s">
        <v>823</v>
      </c>
      <c r="E230" s="712"/>
      <c r="F230" s="713"/>
      <c r="G230" s="714"/>
      <c r="H230" s="714"/>
      <c r="J230" s="661">
        <f>M223</f>
        <v>6235000</v>
      </c>
      <c r="K230" s="714" t="s">
        <v>929</v>
      </c>
      <c r="L230" s="645"/>
      <c r="M230" s="173"/>
      <c r="N230" s="38"/>
      <c r="O230" s="139"/>
      <c r="P230" s="104"/>
      <c r="Q230" s="139"/>
      <c r="R230" s="139"/>
      <c r="S230" s="139"/>
      <c r="T230" s="726"/>
      <c r="U230" s="139"/>
      <c r="V230" s="727"/>
      <c r="W230" s="169"/>
      <c r="X230" s="158"/>
      <c r="Y230" s="104" t="s">
        <v>356</v>
      </c>
      <c r="Z230" s="104"/>
      <c r="AA230" s="104">
        <f>AA222</f>
        <v>0</v>
      </c>
      <c r="AB230" s="136"/>
      <c r="AC230" s="38"/>
      <c r="AD230" s="38"/>
      <c r="AE230" s="38"/>
      <c r="AF230" s="38"/>
      <c r="AG230" s="38"/>
      <c r="AH230" s="799" t="s">
        <v>897</v>
      </c>
      <c r="AI230" s="801">
        <f>SUM(AH228:AJ228)</f>
        <v>10356109.210000001</v>
      </c>
      <c r="AJ230" s="800"/>
    </row>
    <row r="231" spans="4:38" ht="16" thickTop="1" thickBot="1">
      <c r="D231" s="143"/>
      <c r="E231" s="712"/>
      <c r="F231" s="713"/>
      <c r="G231" s="714"/>
      <c r="H231" s="714"/>
      <c r="J231" s="173">
        <v>0</v>
      </c>
      <c r="K231" s="714"/>
      <c r="L231" s="722"/>
      <c r="M231" s="173"/>
      <c r="N231" s="38"/>
      <c r="O231" s="33"/>
      <c r="P231" s="38"/>
      <c r="Q231" s="139"/>
      <c r="R231" s="139"/>
      <c r="S231" s="139"/>
      <c r="T231" s="139"/>
      <c r="U231" s="139"/>
      <c r="V231" s="139"/>
      <c r="W231" s="169"/>
      <c r="X231" s="158"/>
      <c r="Y231" s="104"/>
      <c r="Z231" s="104"/>
      <c r="AA231" s="104"/>
      <c r="AB231" s="136"/>
      <c r="AC231" s="38"/>
      <c r="AD231" s="38"/>
      <c r="AE231" s="38"/>
      <c r="AF231" s="38"/>
      <c r="AG231" s="38"/>
    </row>
    <row r="232" spans="4:38" ht="15" thickBot="1">
      <c r="E232" s="712"/>
      <c r="F232" s="713"/>
      <c r="G232" s="714"/>
      <c r="H232" s="714"/>
      <c r="J232" s="754">
        <f>J226+J230</f>
        <v>10356109.210000001</v>
      </c>
      <c r="K232" s="714" t="s">
        <v>930</v>
      </c>
      <c r="L232" s="722"/>
      <c r="M232" s="173"/>
      <c r="N232" s="38"/>
      <c r="O232" s="33"/>
      <c r="P232" s="38"/>
      <c r="Q232" s="139"/>
      <c r="R232" s="139"/>
      <c r="S232" s="139"/>
      <c r="T232" s="139"/>
      <c r="U232" s="139"/>
      <c r="V232" s="139"/>
      <c r="W232" s="169"/>
      <c r="X232" s="158" t="s">
        <v>601</v>
      </c>
      <c r="Y232" s="104" t="s">
        <v>357</v>
      </c>
      <c r="Z232" s="104"/>
      <c r="AA232" s="104">
        <f>Y222</f>
        <v>788000</v>
      </c>
      <c r="AB232" s="136"/>
      <c r="AC232" s="38"/>
      <c r="AD232" s="38"/>
      <c r="AE232" s="38"/>
      <c r="AF232" s="38"/>
      <c r="AG232" s="38"/>
      <c r="AH232" s="796" t="s">
        <v>857</v>
      </c>
      <c r="AI232" s="38">
        <f>AI230-AJ228</f>
        <v>10133930.73</v>
      </c>
      <c r="AJ232" s="38"/>
    </row>
    <row r="233" spans="4:38">
      <c r="D233" s="161"/>
      <c r="E233" s="712"/>
      <c r="F233" s="713"/>
      <c r="G233" s="714"/>
      <c r="H233" s="714"/>
      <c r="J233" s="637"/>
      <c r="K233" s="714"/>
      <c r="L233" s="173"/>
      <c r="M233" s="731"/>
      <c r="N233" s="38"/>
      <c r="O233" s="33"/>
      <c r="P233" s="38"/>
      <c r="Q233" s="139"/>
      <c r="R233" s="139"/>
      <c r="S233" s="139"/>
      <c r="T233" s="139"/>
      <c r="U233" s="139"/>
      <c r="V233" s="139"/>
      <c r="W233" s="169"/>
      <c r="X233" s="415"/>
      <c r="Y233" s="104" t="s">
        <v>358</v>
      </c>
      <c r="Z233" s="104"/>
      <c r="AA233" s="104">
        <f>AB222</f>
        <v>0</v>
      </c>
      <c r="AB233" s="136"/>
      <c r="AC233" s="38"/>
      <c r="AD233" s="38"/>
      <c r="AE233" s="38"/>
      <c r="AF233" s="38"/>
      <c r="AG233" s="38"/>
      <c r="AH233" s="38"/>
      <c r="AI233" s="38"/>
      <c r="AJ233" s="38"/>
    </row>
    <row r="234" spans="4:38">
      <c r="E234" s="712"/>
      <c r="F234" s="713"/>
      <c r="G234" s="714"/>
      <c r="H234" s="714"/>
      <c r="J234" s="658">
        <f>SUM(AD226:AJ226)</f>
        <v>10356109.210000001</v>
      </c>
      <c r="K234" s="714" t="s">
        <v>518</v>
      </c>
      <c r="L234" s="732"/>
      <c r="M234" s="637"/>
      <c r="N234" s="38"/>
      <c r="O234" s="33"/>
      <c r="P234" s="38"/>
      <c r="Q234" s="139"/>
      <c r="R234" s="139"/>
      <c r="S234" s="139"/>
      <c r="T234" s="139"/>
      <c r="U234" s="139"/>
      <c r="V234" s="139"/>
      <c r="W234" s="169"/>
      <c r="X234" s="415"/>
      <c r="Y234" s="104"/>
      <c r="Z234" s="104"/>
      <c r="AA234" s="104"/>
      <c r="AB234" s="136"/>
      <c r="AC234" s="38"/>
      <c r="AD234" s="38"/>
      <c r="AE234" s="38"/>
      <c r="AF234" s="38"/>
      <c r="AG234" s="38"/>
      <c r="AH234" s="38"/>
      <c r="AI234" s="38"/>
      <c r="AJ234" s="38"/>
    </row>
    <row r="235" spans="4:38" ht="13" thickBot="1">
      <c r="E235" s="712"/>
      <c r="F235" s="713"/>
      <c r="G235" s="714"/>
      <c r="H235" s="714"/>
      <c r="J235" s="169"/>
      <c r="K235" s="714" t="s">
        <v>454</v>
      </c>
      <c r="L235" s="733"/>
      <c r="M235" s="795"/>
      <c r="N235" s="38"/>
      <c r="O235" s="33"/>
      <c r="P235" s="38"/>
      <c r="Q235" s="139"/>
      <c r="R235" s="139"/>
      <c r="S235" s="139"/>
      <c r="T235" s="139"/>
      <c r="U235" s="139"/>
      <c r="V235" s="139"/>
      <c r="W235" s="169"/>
      <c r="X235" s="158" t="s">
        <v>602</v>
      </c>
      <c r="Y235" s="488" t="s">
        <v>359</v>
      </c>
      <c r="Z235" s="488"/>
      <c r="AA235" s="488">
        <f>Z222</f>
        <v>103000</v>
      </c>
      <c r="AB235" s="414"/>
      <c r="AC235" s="38"/>
      <c r="AD235" s="38"/>
      <c r="AE235" s="38"/>
      <c r="AF235" s="38"/>
      <c r="AG235" s="38"/>
      <c r="AH235" s="38"/>
      <c r="AI235" s="38"/>
      <c r="AJ235" s="38"/>
    </row>
    <row r="236" spans="4:38" ht="15" thickBot="1">
      <c r="E236" s="712"/>
      <c r="F236" s="713"/>
      <c r="G236" s="714"/>
      <c r="H236" s="714"/>
      <c r="J236" s="736"/>
      <c r="K236" s="714" t="s">
        <v>519</v>
      </c>
      <c r="L236" s="169"/>
      <c r="M236" s="169"/>
      <c r="N236" s="38"/>
      <c r="O236" s="33"/>
      <c r="P236" s="38"/>
      <c r="Q236" s="33"/>
      <c r="R236" s="33"/>
      <c r="S236" s="33"/>
      <c r="T236" s="33"/>
      <c r="U236" s="33"/>
      <c r="V236" s="33"/>
      <c r="W236" s="169"/>
      <c r="X236" s="416"/>
      <c r="Y236" s="104"/>
      <c r="Z236" s="80">
        <f>SUM(Z227:Z235)</f>
        <v>6235000</v>
      </c>
      <c r="AA236" s="80">
        <f>SUM(AA227:AA235)</f>
        <v>6235000</v>
      </c>
      <c r="AB236" s="136"/>
      <c r="AC236" s="38"/>
      <c r="AD236" s="38"/>
      <c r="AE236" s="38"/>
      <c r="AF236" s="38"/>
      <c r="AG236" s="38"/>
      <c r="AH236" s="38"/>
      <c r="AI236" s="38"/>
      <c r="AJ236" s="38"/>
    </row>
    <row r="237" spans="4:38">
      <c r="E237" s="712"/>
      <c r="F237" s="713"/>
      <c r="G237" s="714"/>
      <c r="H237" s="714"/>
      <c r="I237" s="714"/>
      <c r="J237" s="169"/>
      <c r="K237" s="169"/>
      <c r="L237" s="169"/>
      <c r="M237" s="169"/>
      <c r="N237" s="38"/>
      <c r="O237" s="33"/>
      <c r="P237" s="38"/>
      <c r="Q237" s="33"/>
      <c r="R237" s="33"/>
      <c r="S237" s="33"/>
      <c r="T237" s="33"/>
      <c r="U237" s="33"/>
      <c r="V237" s="33"/>
      <c r="W237" s="169"/>
      <c r="X237" s="416"/>
      <c r="Y237" s="104"/>
      <c r="Z237" s="104"/>
      <c r="AA237" s="104"/>
      <c r="AB237" s="136"/>
      <c r="AC237" s="38"/>
      <c r="AD237" s="38"/>
      <c r="AE237" s="38"/>
      <c r="AF237" s="38"/>
      <c r="AG237" s="38"/>
      <c r="AH237" s="38"/>
      <c r="AI237" s="38"/>
      <c r="AJ237" s="38"/>
    </row>
    <row r="238" spans="4:38" ht="13" thickBot="1">
      <c r="E238" s="712"/>
      <c r="F238" s="713"/>
      <c r="G238" s="714"/>
      <c r="H238" s="714"/>
      <c r="I238" s="714"/>
      <c r="J238" s="169"/>
      <c r="K238" s="169"/>
      <c r="L238" s="169"/>
      <c r="M238" s="169"/>
      <c r="N238" s="38"/>
      <c r="O238" s="33"/>
      <c r="P238" s="38"/>
      <c r="Q238" s="33"/>
      <c r="R238" s="33"/>
      <c r="S238" s="33"/>
      <c r="T238" s="33"/>
      <c r="U238" s="33"/>
      <c r="V238" s="33"/>
      <c r="W238" s="169"/>
      <c r="X238" s="330"/>
      <c r="Y238" s="279"/>
      <c r="Z238" s="279"/>
      <c r="AA238" s="279"/>
      <c r="AB238" s="280"/>
      <c r="AC238" s="38"/>
      <c r="AD238" s="38"/>
      <c r="AE238" s="38"/>
      <c r="AF238" s="38"/>
      <c r="AG238" s="38"/>
      <c r="AH238" s="38"/>
      <c r="AI238" s="38"/>
      <c r="AJ238" s="38"/>
    </row>
    <row r="239" spans="4:38">
      <c r="E239" s="712"/>
      <c r="F239" s="713"/>
      <c r="G239" s="714"/>
      <c r="H239" s="714"/>
      <c r="I239" s="714"/>
      <c r="J239" s="169"/>
      <c r="K239" s="169"/>
      <c r="L239" s="169"/>
      <c r="M239" s="169"/>
      <c r="N239" s="38"/>
      <c r="O239" s="33"/>
      <c r="P239" s="38"/>
      <c r="Q239" s="33"/>
      <c r="R239" s="33"/>
      <c r="S239" s="33"/>
      <c r="T239" s="33"/>
      <c r="U239" s="33"/>
      <c r="V239" s="33"/>
      <c r="W239" s="169"/>
      <c r="X239" s="104"/>
      <c r="Y239" s="104"/>
      <c r="Z239" s="104"/>
      <c r="AA239" s="104"/>
      <c r="AB239" s="104"/>
      <c r="AC239" s="38"/>
      <c r="AD239" s="38"/>
      <c r="AE239" s="38"/>
      <c r="AF239" s="38"/>
      <c r="AG239" s="38"/>
      <c r="AH239" s="38"/>
      <c r="AI239" s="38"/>
      <c r="AJ239" s="38"/>
    </row>
    <row r="240" spans="4:38">
      <c r="E240" s="712"/>
      <c r="F240" s="713"/>
      <c r="G240" s="714"/>
      <c r="H240" s="714"/>
      <c r="I240" s="714"/>
      <c r="J240" s="169"/>
      <c r="K240" s="169"/>
      <c r="L240" s="169"/>
      <c r="M240" s="169"/>
      <c r="N240" s="38"/>
      <c r="O240" s="33"/>
      <c r="P240" s="38"/>
      <c r="Q240" s="33"/>
      <c r="R240" s="33"/>
      <c r="S240" s="33"/>
      <c r="T240" s="33"/>
      <c r="U240" s="33"/>
      <c r="V240" s="33"/>
      <c r="W240" s="169"/>
      <c r="AC240" s="38"/>
      <c r="AD240" s="38"/>
      <c r="AE240" s="38"/>
      <c r="AF240" s="38"/>
      <c r="AG240" s="38"/>
      <c r="AH240" s="38"/>
      <c r="AI240" s="38"/>
      <c r="AJ240" s="38"/>
    </row>
    <row r="241" spans="5:36">
      <c r="E241" s="712"/>
      <c r="F241" s="713"/>
      <c r="G241" s="714"/>
      <c r="H241" s="714"/>
      <c r="I241" s="714"/>
      <c r="J241" s="169"/>
      <c r="K241" s="169"/>
      <c r="L241" s="169"/>
      <c r="M241" s="169"/>
      <c r="N241" s="38"/>
      <c r="O241" s="33"/>
      <c r="P241" s="38"/>
      <c r="Q241" s="33"/>
      <c r="R241" s="33"/>
      <c r="S241" s="33"/>
      <c r="T241" s="33"/>
      <c r="U241" s="33"/>
      <c r="V241" s="33"/>
      <c r="W241" s="169"/>
      <c r="AC241" s="38"/>
      <c r="AD241" s="38"/>
      <c r="AE241" s="38"/>
      <c r="AF241" s="38"/>
      <c r="AG241" s="38"/>
      <c r="AH241" s="38"/>
      <c r="AI241" s="38"/>
      <c r="AJ241" s="38"/>
    </row>
    <row r="242" spans="5:36">
      <c r="E242" s="712"/>
      <c r="F242" s="713"/>
      <c r="G242" s="714"/>
      <c r="H242" s="714"/>
      <c r="I242" s="714"/>
      <c r="J242" s="169"/>
      <c r="K242" s="169"/>
      <c r="L242" s="169"/>
      <c r="M242" s="169"/>
      <c r="N242" s="38"/>
      <c r="O242" s="33"/>
      <c r="P242" s="38"/>
      <c r="Q242" s="33"/>
      <c r="R242" s="33"/>
      <c r="S242" s="33"/>
      <c r="T242" s="33"/>
      <c r="U242" s="33"/>
      <c r="V242" s="33"/>
      <c r="W242" s="169"/>
      <c r="AC242" s="38"/>
      <c r="AD242" s="38"/>
      <c r="AE242" s="38"/>
      <c r="AF242" s="38"/>
      <c r="AG242" s="38"/>
      <c r="AH242" s="38"/>
      <c r="AI242" s="38"/>
      <c r="AJ242" s="38"/>
    </row>
    <row r="243" spans="5:36">
      <c r="E243" s="712"/>
      <c r="F243" s="713"/>
      <c r="G243" s="714"/>
      <c r="H243" s="714"/>
      <c r="I243" s="714"/>
      <c r="J243" s="169"/>
      <c r="K243" s="169"/>
      <c r="L243" s="169"/>
      <c r="M243" s="169"/>
      <c r="N243" s="38"/>
      <c r="O243" s="33"/>
      <c r="P243" s="38"/>
      <c r="Q243" s="33"/>
      <c r="R243" s="33"/>
      <c r="S243" s="33"/>
      <c r="T243" s="33"/>
      <c r="U243" s="33"/>
      <c r="V243" s="33"/>
      <c r="W243" s="169"/>
      <c r="AC243" s="38"/>
      <c r="AD243" s="38"/>
      <c r="AE243" s="38"/>
      <c r="AF243" s="38"/>
      <c r="AG243" s="38"/>
      <c r="AH243" s="38"/>
      <c r="AI243" s="38"/>
      <c r="AJ243" s="38"/>
    </row>
    <row r="244" spans="5:36">
      <c r="E244" s="712"/>
      <c r="F244" s="713"/>
      <c r="G244" s="714"/>
      <c r="H244" s="714"/>
      <c r="I244" s="714"/>
      <c r="J244" s="169"/>
      <c r="K244" s="169"/>
      <c r="L244" s="169"/>
      <c r="M244" s="169"/>
      <c r="N244" s="38"/>
      <c r="O244" s="33"/>
      <c r="P244" s="38"/>
      <c r="Q244" s="33"/>
      <c r="R244" s="33"/>
      <c r="S244" s="33"/>
      <c r="T244" s="33"/>
      <c r="U244" s="33"/>
      <c r="V244" s="33"/>
      <c r="W244" s="169"/>
      <c r="AC244" s="38"/>
      <c r="AD244" s="38"/>
      <c r="AE244" s="38"/>
      <c r="AF244" s="38"/>
      <c r="AG244" s="38"/>
      <c r="AH244" s="38"/>
      <c r="AI244" s="38"/>
      <c r="AJ244" s="38"/>
    </row>
    <row r="245" spans="5:36">
      <c r="E245" s="712"/>
      <c r="F245" s="713"/>
      <c r="G245" s="714"/>
      <c r="H245" s="714"/>
      <c r="I245" s="714"/>
      <c r="J245" s="169"/>
      <c r="K245" s="169"/>
      <c r="L245" s="169"/>
      <c r="M245" s="169"/>
      <c r="N245" s="38"/>
      <c r="O245" s="33"/>
      <c r="P245" s="38"/>
      <c r="Q245" s="33"/>
      <c r="R245" s="33"/>
      <c r="S245" s="33"/>
      <c r="T245" s="33"/>
      <c r="U245" s="33"/>
      <c r="V245" s="33"/>
      <c r="W245" s="169"/>
      <c r="AC245" s="38"/>
      <c r="AD245" s="38"/>
      <c r="AE245" s="38"/>
      <c r="AF245" s="38"/>
      <c r="AG245" s="38"/>
      <c r="AH245" s="38"/>
      <c r="AI245" s="38"/>
      <c r="AJ245" s="38"/>
    </row>
  </sheetData>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245"/>
  <sheetViews>
    <sheetView topLeftCell="A10" workbookViewId="0">
      <pane xSplit="4" ySplit="6" topLeftCell="E205" activePane="bottomRight" state="frozen"/>
      <selection activeCell="A10" sqref="A10"/>
      <selection pane="topRight" activeCell="E10" sqref="E10"/>
      <selection pane="bottomLeft" activeCell="A16" sqref="A16"/>
      <selection pane="bottomRight" activeCell="J232" sqref="J232"/>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7.3984375" style="146" customWidth="1"/>
    <col min="16" max="16" width="1.796875" style="16" customWidth="1"/>
    <col min="17" max="20" width="15.3984375" style="146"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4.796875" style="559" bestFit="1" customWidth="1"/>
    <col min="36" max="36" width="14.19921875" style="559" customWidth="1"/>
    <col min="37" max="37" width="9.3984375" style="16"/>
    <col min="38" max="38" width="14.796875" style="16" bestFit="1" customWidth="1"/>
    <col min="39" max="16384" width="9.3984375" style="16"/>
  </cols>
  <sheetData>
    <row r="1" spans="1:36">
      <c r="D1" s="147" t="s">
        <v>71</v>
      </c>
      <c r="F1" s="29"/>
      <c r="G1" s="162"/>
      <c r="H1" s="163"/>
      <c r="I1" s="163"/>
      <c r="J1" s="169"/>
      <c r="K1" s="169"/>
      <c r="L1" s="169"/>
      <c r="M1" s="169"/>
      <c r="N1" s="169"/>
      <c r="W1" s="40"/>
    </row>
    <row r="2" spans="1:36">
      <c r="D2" s="147" t="s">
        <v>858</v>
      </c>
      <c r="F2" s="29"/>
      <c r="G2" s="162"/>
      <c r="H2" s="163"/>
      <c r="I2" s="163"/>
      <c r="J2" s="169"/>
      <c r="K2" s="169"/>
      <c r="L2" s="169"/>
      <c r="M2" s="169"/>
      <c r="N2" s="169"/>
      <c r="W2" s="40"/>
    </row>
    <row r="3" spans="1:36">
      <c r="D3" s="147" t="s">
        <v>931</v>
      </c>
      <c r="F3" s="29"/>
      <c r="G3" s="18"/>
      <c r="H3" s="168"/>
      <c r="I3" s="168"/>
      <c r="J3" s="169"/>
      <c r="K3" s="169"/>
      <c r="L3" s="169"/>
      <c r="M3" s="169"/>
      <c r="N3" s="169"/>
    </row>
    <row r="4" spans="1:36">
      <c r="D4" s="148"/>
      <c r="G4" s="164"/>
      <c r="H4" s="168"/>
      <c r="I4" s="168"/>
      <c r="J4" s="169"/>
      <c r="K4" s="169"/>
      <c r="L4" s="169"/>
      <c r="M4" s="169"/>
      <c r="N4" s="169"/>
    </row>
    <row r="5" spans="1:36" ht="13" thickBot="1">
      <c r="D5" s="148"/>
      <c r="G5" s="161"/>
      <c r="H5" s="630"/>
      <c r="I5" s="630"/>
      <c r="J5" s="169"/>
      <c r="K5" s="169"/>
      <c r="L5" s="169"/>
      <c r="M5" s="169"/>
      <c r="N5" s="169"/>
    </row>
    <row r="6" spans="1:36">
      <c r="B6" s="460"/>
      <c r="C6" s="668"/>
      <c r="D6" s="461" t="s">
        <v>84</v>
      </c>
      <c r="E6" s="462" t="s">
        <v>85</v>
      </c>
      <c r="G6" s="161"/>
      <c r="H6" s="630"/>
      <c r="I6" s="630"/>
      <c r="J6" s="169"/>
      <c r="K6" s="169"/>
      <c r="L6" s="169"/>
      <c r="M6" s="169"/>
      <c r="N6" s="169"/>
      <c r="O6" s="152"/>
      <c r="P6" s="18"/>
      <c r="Q6" s="152"/>
      <c r="R6" s="152"/>
      <c r="S6" s="152"/>
      <c r="T6" s="152"/>
      <c r="U6" s="152"/>
      <c r="V6" s="152"/>
    </row>
    <row r="7" spans="1:36">
      <c r="B7" s="459"/>
      <c r="C7" s="113"/>
      <c r="D7" s="458" t="s">
        <v>75</v>
      </c>
      <c r="E7" s="287" t="s">
        <v>115</v>
      </c>
      <c r="F7" s="29"/>
      <c r="G7" s="161"/>
      <c r="H7" s="630"/>
      <c r="I7" s="630"/>
      <c r="J7" s="172"/>
      <c r="K7" s="41"/>
      <c r="L7" s="37"/>
      <c r="M7" s="37"/>
      <c r="W7" s="41"/>
    </row>
    <row r="8" spans="1:36">
      <c r="B8" s="459"/>
      <c r="C8" s="669"/>
      <c r="D8" s="568" t="s">
        <v>73</v>
      </c>
      <c r="E8" s="572" t="s">
        <v>446</v>
      </c>
      <c r="F8" s="29"/>
      <c r="G8" s="164"/>
      <c r="H8" s="630"/>
      <c r="I8" s="630"/>
      <c r="J8" s="75"/>
      <c r="K8" s="41"/>
      <c r="L8" s="77"/>
      <c r="M8" s="77"/>
      <c r="N8" s="27"/>
      <c r="O8" s="151"/>
      <c r="P8" s="27"/>
      <c r="Q8" s="151"/>
      <c r="R8" s="151"/>
      <c r="S8" s="151"/>
      <c r="T8" s="151"/>
      <c r="U8" s="151"/>
      <c r="V8" s="151"/>
      <c r="W8" s="41"/>
    </row>
    <row r="9" spans="1:36">
      <c r="B9" s="459"/>
      <c r="C9" s="113"/>
      <c r="D9" s="458" t="s">
        <v>76</v>
      </c>
      <c r="E9" s="465" t="s">
        <v>79</v>
      </c>
      <c r="F9" s="29"/>
      <c r="G9" s="161"/>
      <c r="H9" s="134"/>
      <c r="I9" s="134"/>
      <c r="J9" s="78"/>
      <c r="L9" s="79"/>
      <c r="M9" s="79"/>
      <c r="N9" s="27"/>
      <c r="O9" s="151"/>
      <c r="P9" s="27"/>
      <c r="Q9" s="151"/>
      <c r="R9" s="151"/>
      <c r="S9" s="151"/>
      <c r="T9" s="151"/>
      <c r="U9" s="151"/>
      <c r="V9" s="151"/>
    </row>
    <row r="10" spans="1:36">
      <c r="B10" s="459"/>
      <c r="C10" s="113"/>
      <c r="D10" s="458" t="s">
        <v>88</v>
      </c>
      <c r="E10" s="468" t="s">
        <v>89</v>
      </c>
      <c r="F10" s="29"/>
      <c r="J10" s="76"/>
      <c r="L10" s="174"/>
      <c r="M10" s="76"/>
      <c r="N10" s="27"/>
      <c r="O10" s="151"/>
      <c r="P10" s="27"/>
      <c r="Q10" s="151"/>
      <c r="R10" s="151"/>
      <c r="S10" s="151"/>
      <c r="T10" s="151"/>
      <c r="U10" s="151"/>
      <c r="V10" s="151"/>
    </row>
    <row r="11" spans="1:36">
      <c r="B11" s="459"/>
      <c r="C11" s="113"/>
      <c r="D11" s="458" t="s">
        <v>116</v>
      </c>
      <c r="E11" s="99" t="s">
        <v>117</v>
      </c>
      <c r="F11" s="29"/>
      <c r="G11" s="166"/>
      <c r="H11" s="145"/>
      <c r="I11" s="145"/>
      <c r="J11" s="76"/>
      <c r="L11" s="173"/>
      <c r="M11" s="173"/>
      <c r="N11" s="27"/>
      <c r="O11" s="151"/>
      <c r="P11" s="27"/>
      <c r="Q11" s="151"/>
      <c r="R11" s="151"/>
      <c r="S11" s="151"/>
      <c r="T11" s="151"/>
      <c r="U11" s="151"/>
      <c r="V11" s="151"/>
    </row>
    <row r="12" spans="1:36" ht="13" thickBot="1">
      <c r="B12" s="469"/>
      <c r="C12" s="670"/>
      <c r="D12" s="470" t="s">
        <v>103</v>
      </c>
      <c r="E12" s="471" t="s">
        <v>101</v>
      </c>
      <c r="F12" s="29"/>
      <c r="G12" s="166"/>
      <c r="H12" s="150"/>
      <c r="I12" s="150"/>
      <c r="J12" s="76"/>
    </row>
    <row r="13" spans="1:36" ht="13" thickBot="1">
      <c r="A13" s="152"/>
      <c r="B13" s="152"/>
      <c r="C13" s="67"/>
      <c r="D13" s="54"/>
      <c r="E13" s="34"/>
      <c r="G13" s="167"/>
      <c r="H13" s="49"/>
      <c r="I13" s="49"/>
      <c r="J13" s="50"/>
      <c r="K13" s="50"/>
      <c r="L13" s="50"/>
      <c r="M13" s="745"/>
      <c r="N13" s="146"/>
      <c r="P13" s="146"/>
      <c r="W13" s="50"/>
      <c r="X13" s="33"/>
      <c r="Y13" s="33"/>
      <c r="Z13" s="33"/>
      <c r="AA13" s="33"/>
    </row>
    <row r="14" spans="1:36" ht="13" thickBot="1">
      <c r="D14" s="526"/>
      <c r="E14" s="582" t="s">
        <v>932</v>
      </c>
      <c r="F14" s="583" t="s">
        <v>256</v>
      </c>
      <c r="G14" s="96"/>
      <c r="H14" s="96"/>
      <c r="I14" s="96"/>
      <c r="J14" s="96" t="s">
        <v>288</v>
      </c>
      <c r="K14" s="581"/>
      <c r="L14" s="96" t="s">
        <v>288</v>
      </c>
      <c r="M14" s="96" t="s">
        <v>288</v>
      </c>
      <c r="N14" s="93"/>
      <c r="O14" s="96"/>
      <c r="P14" s="93"/>
      <c r="Q14" s="13"/>
      <c r="R14" s="13" t="s">
        <v>948</v>
      </c>
      <c r="S14" s="13"/>
      <c r="T14" s="96"/>
      <c r="U14" s="101"/>
      <c r="V14" s="96"/>
      <c r="W14" s="93"/>
      <c r="X14" s="96"/>
      <c r="Y14" s="96"/>
      <c r="Z14" s="304"/>
      <c r="AA14" s="304"/>
      <c r="AB14" s="304"/>
      <c r="AE14" s="560" t="s">
        <v>266</v>
      </c>
      <c r="AI14" s="561" t="s">
        <v>267</v>
      </c>
    </row>
    <row r="15" spans="1:36" ht="13" thickBot="1">
      <c r="A15" s="22" t="s">
        <v>95</v>
      </c>
      <c r="B15" s="22" t="s">
        <v>100</v>
      </c>
      <c r="C15" s="36" t="s">
        <v>522</v>
      </c>
      <c r="D15" s="36" t="s">
        <v>67</v>
      </c>
      <c r="E15" s="450" t="s">
        <v>230</v>
      </c>
      <c r="F15" s="528" t="s">
        <v>229</v>
      </c>
      <c r="G15" s="176" t="s">
        <v>288</v>
      </c>
      <c r="H15" s="545" t="s">
        <v>289</v>
      </c>
      <c r="I15" s="758" t="s">
        <v>288</v>
      </c>
      <c r="J15" s="313" t="s">
        <v>105</v>
      </c>
      <c r="K15" s="93"/>
      <c r="L15" s="94" t="s">
        <v>104</v>
      </c>
      <c r="M15" s="95" t="s">
        <v>106</v>
      </c>
      <c r="N15" s="102"/>
      <c r="O15" s="427" t="s">
        <v>839</v>
      </c>
      <c r="P15" s="102"/>
      <c r="Q15" s="313" t="s">
        <v>933</v>
      </c>
      <c r="R15" s="313" t="s">
        <v>946</v>
      </c>
      <c r="S15" s="313" t="s">
        <v>947</v>
      </c>
      <c r="T15" s="156" t="s">
        <v>934</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6">
      <c r="A16" s="372" t="s">
        <v>109</v>
      </c>
      <c r="B16" s="472" t="s">
        <v>109</v>
      </c>
      <c r="C16" s="666"/>
      <c r="D16" s="373" t="s">
        <v>382</v>
      </c>
      <c r="E16" s="679"/>
      <c r="F16" s="529">
        <f>VLOOKUP(D16,'Mar 2013 Revenue'!D:T,17,FALSE)</f>
        <v>0</v>
      </c>
      <c r="G16" s="680"/>
      <c r="H16" s="680"/>
      <c r="I16" s="755"/>
      <c r="J16" s="682">
        <f t="shared" ref="J16:J55" si="0">SUM(E16:I16)</f>
        <v>0</v>
      </c>
      <c r="K16" s="683"/>
      <c r="L16" s="684"/>
      <c r="M16" s="753"/>
      <c r="N16" s="683">
        <v>0</v>
      </c>
      <c r="O16" s="686"/>
      <c r="P16" s="683">
        <v>0</v>
      </c>
      <c r="Q16" s="687">
        <f t="shared" ref="Q16:Q139" si="1">L16+M16</f>
        <v>0</v>
      </c>
      <c r="R16" s="687"/>
      <c r="S16" s="687"/>
      <c r="T16" s="688">
        <v>0</v>
      </c>
      <c r="U16" s="689"/>
      <c r="V16" s="690">
        <f t="shared" ref="V16" si="2">IF(T16="","",T16-Q16-R16-S16)</f>
        <v>0</v>
      </c>
      <c r="W16" s="691"/>
      <c r="X16" s="474">
        <f t="shared" ref="X16:X80" si="3">IF(B16="D",Q16,0)</f>
        <v>0</v>
      </c>
      <c r="Y16" s="474">
        <f t="shared" ref="Y16:Y80" si="4">IF(B16="M",Q16,0)</f>
        <v>0</v>
      </c>
      <c r="Z16" s="475">
        <f t="shared" ref="Z16:Z80" si="5">IF(B16="V",Q16,0)</f>
        <v>0</v>
      </c>
      <c r="AA16" s="475">
        <v>0</v>
      </c>
      <c r="AB16" s="476">
        <v>0</v>
      </c>
      <c r="AC16" s="38">
        <f t="shared" ref="AC16:AC80" si="6">(L16+M16)-(X16+Y16+Z16+AA16+AB16)</f>
        <v>0</v>
      </c>
      <c r="AD16" s="692">
        <f t="shared" ref="AD16:AD79" si="7">IF(B16="D",J16,0)</f>
        <v>0</v>
      </c>
      <c r="AE16" s="692">
        <f t="shared" ref="AE16:AE79" si="8">IF(B16="M",J16,0)</f>
        <v>0</v>
      </c>
      <c r="AF16" s="692">
        <f t="shared" ref="AF16:AF79" si="9">IF(B16="V",J16,0)</f>
        <v>0</v>
      </c>
      <c r="AG16" s="38"/>
      <c r="AH16" s="692">
        <f t="shared" ref="AH16:AH80" si="10">IF(B16="D",Q16,0)</f>
        <v>0</v>
      </c>
      <c r="AI16" s="692">
        <f t="shared" ref="AI16:AI80" si="11">IF(B16="M",Q16,0)</f>
        <v>0</v>
      </c>
      <c r="AJ16" s="692">
        <f t="shared" ref="AJ16:AJ80" si="12">IF(B16="V",Q16,0)</f>
        <v>0</v>
      </c>
    </row>
    <row r="17" spans="1:38">
      <c r="A17" s="20" t="s">
        <v>109</v>
      </c>
      <c r="B17" s="20" t="s">
        <v>110</v>
      </c>
      <c r="C17" s="671" t="s">
        <v>523</v>
      </c>
      <c r="D17" s="123" t="s">
        <v>317</v>
      </c>
      <c r="E17" s="679"/>
      <c r="F17" s="529">
        <f>VLOOKUP(D17,'Mar 2013 Revenue'!D:T,17,FALSE)</f>
        <v>-345.56999999999971</v>
      </c>
      <c r="G17" s="680"/>
      <c r="H17" s="680"/>
      <c r="I17" s="755"/>
      <c r="J17" s="682">
        <f t="shared" si="0"/>
        <v>-345.56999999999971</v>
      </c>
      <c r="K17" s="683"/>
      <c r="L17" s="684"/>
      <c r="M17" s="753">
        <v>10000</v>
      </c>
      <c r="N17" s="683">
        <v>0</v>
      </c>
      <c r="O17" s="686"/>
      <c r="P17" s="683">
        <v>0</v>
      </c>
      <c r="Q17" s="687">
        <f t="shared" si="1"/>
        <v>10000</v>
      </c>
      <c r="R17" s="687"/>
      <c r="S17" s="687"/>
      <c r="T17" s="688">
        <f>9008.16+3502.55</f>
        <v>12510.71</v>
      </c>
      <c r="U17" s="693"/>
      <c r="V17" s="690">
        <f>IF(T17="","",T17-Q17-R17-S17)</f>
        <v>2510.7099999999991</v>
      </c>
      <c r="W17" s="683"/>
      <c r="X17" s="474">
        <f t="shared" si="3"/>
        <v>10000</v>
      </c>
      <c r="Y17" s="474">
        <f t="shared" si="4"/>
        <v>0</v>
      </c>
      <c r="Z17" s="475">
        <f t="shared" si="5"/>
        <v>0</v>
      </c>
      <c r="AA17" s="475">
        <v>0</v>
      </c>
      <c r="AB17" s="476">
        <v>0</v>
      </c>
      <c r="AC17" s="38">
        <f t="shared" si="6"/>
        <v>0</v>
      </c>
      <c r="AD17" s="692">
        <f t="shared" si="7"/>
        <v>-345.56999999999971</v>
      </c>
      <c r="AE17" s="692">
        <f t="shared" si="8"/>
        <v>0</v>
      </c>
      <c r="AF17" s="692">
        <f t="shared" si="9"/>
        <v>0</v>
      </c>
      <c r="AG17" s="38"/>
      <c r="AH17" s="692">
        <f t="shared" si="10"/>
        <v>10000</v>
      </c>
      <c r="AI17" s="692">
        <f t="shared" si="11"/>
        <v>0</v>
      </c>
      <c r="AJ17" s="692">
        <f t="shared" si="12"/>
        <v>0</v>
      </c>
      <c r="AL17" s="38">
        <f>SUM(AD17:AJ17)</f>
        <v>9654.43</v>
      </c>
    </row>
    <row r="18" spans="1:38">
      <c r="A18" s="20" t="s">
        <v>109</v>
      </c>
      <c r="B18" s="20" t="s">
        <v>109</v>
      </c>
      <c r="C18" s="671" t="s">
        <v>523</v>
      </c>
      <c r="D18" s="68" t="s">
        <v>393</v>
      </c>
      <c r="E18" s="679"/>
      <c r="F18" s="529">
        <f>VLOOKUP(D18,'Mar 2013 Revenue'!D:T,17,FALSE)</f>
        <v>5289.4800000000032</v>
      </c>
      <c r="G18" s="680"/>
      <c r="H18" s="680"/>
      <c r="I18" s="755"/>
      <c r="J18" s="682">
        <f t="shared" si="0"/>
        <v>5289.4800000000032</v>
      </c>
      <c r="K18" s="683"/>
      <c r="L18" s="684"/>
      <c r="M18" s="753">
        <v>40000</v>
      </c>
      <c r="N18" s="683">
        <v>0</v>
      </c>
      <c r="O18" s="686"/>
      <c r="P18" s="683">
        <v>0</v>
      </c>
      <c r="Q18" s="687">
        <f t="shared" si="1"/>
        <v>40000</v>
      </c>
      <c r="R18" s="687"/>
      <c r="S18" s="687"/>
      <c r="T18" s="688">
        <v>42309.23</v>
      </c>
      <c r="U18" s="693"/>
      <c r="V18" s="690">
        <f t="shared" ref="V18:V81" si="13">IF(T18="","",T18-Q18-R18-S18)</f>
        <v>2309.2300000000032</v>
      </c>
      <c r="W18" s="683"/>
      <c r="X18" s="474">
        <f t="shared" si="3"/>
        <v>0</v>
      </c>
      <c r="Y18" s="474">
        <f t="shared" si="4"/>
        <v>40000</v>
      </c>
      <c r="Z18" s="475">
        <f t="shared" si="5"/>
        <v>0</v>
      </c>
      <c r="AA18" s="475">
        <v>0</v>
      </c>
      <c r="AB18" s="476">
        <v>0</v>
      </c>
      <c r="AC18" s="38">
        <f t="shared" si="6"/>
        <v>0</v>
      </c>
      <c r="AD18" s="692">
        <f t="shared" si="7"/>
        <v>0</v>
      </c>
      <c r="AE18" s="692">
        <f t="shared" si="8"/>
        <v>5289.4800000000032</v>
      </c>
      <c r="AF18" s="692">
        <f t="shared" si="9"/>
        <v>0</v>
      </c>
      <c r="AG18" s="38"/>
      <c r="AH18" s="692">
        <f t="shared" si="10"/>
        <v>0</v>
      </c>
      <c r="AI18" s="692">
        <f t="shared" si="11"/>
        <v>40000</v>
      </c>
      <c r="AJ18" s="692">
        <f t="shared" si="12"/>
        <v>0</v>
      </c>
      <c r="AL18" s="38">
        <f t="shared" ref="AL18:AL81" si="14">SUM(AD18:AJ18)</f>
        <v>45289.48</v>
      </c>
    </row>
    <row r="19" spans="1:38">
      <c r="A19" s="20" t="s">
        <v>109</v>
      </c>
      <c r="B19" s="20" t="s">
        <v>109</v>
      </c>
      <c r="C19" s="671" t="s">
        <v>523</v>
      </c>
      <c r="D19" s="68" t="s">
        <v>129</v>
      </c>
      <c r="E19" s="679"/>
      <c r="F19" s="529">
        <f>VLOOKUP(D19,'Mar 2013 Revenue'!D:T,17,FALSE)</f>
        <v>18.28</v>
      </c>
      <c r="G19" s="680"/>
      <c r="H19" s="680"/>
      <c r="I19" s="755"/>
      <c r="J19" s="682">
        <f t="shared" si="0"/>
        <v>18.28</v>
      </c>
      <c r="K19" s="683"/>
      <c r="L19" s="684"/>
      <c r="M19" s="753"/>
      <c r="N19" s="683">
        <v>0</v>
      </c>
      <c r="O19" s="686"/>
      <c r="P19" s="683">
        <v>0</v>
      </c>
      <c r="Q19" s="687">
        <f t="shared" si="1"/>
        <v>0</v>
      </c>
      <c r="R19" s="687"/>
      <c r="S19" s="687"/>
      <c r="T19" s="688">
        <v>0</v>
      </c>
      <c r="U19" s="693"/>
      <c r="V19" s="690">
        <f t="shared" si="13"/>
        <v>0</v>
      </c>
      <c r="W19" s="683"/>
      <c r="X19" s="474">
        <f t="shared" si="3"/>
        <v>0</v>
      </c>
      <c r="Y19" s="474">
        <f t="shared" si="4"/>
        <v>0</v>
      </c>
      <c r="Z19" s="475">
        <f t="shared" si="5"/>
        <v>0</v>
      </c>
      <c r="AA19" s="475">
        <v>0</v>
      </c>
      <c r="AB19" s="476">
        <v>0</v>
      </c>
      <c r="AC19" s="38">
        <f t="shared" si="6"/>
        <v>0</v>
      </c>
      <c r="AD19" s="692">
        <f t="shared" si="7"/>
        <v>0</v>
      </c>
      <c r="AE19" s="692">
        <f t="shared" si="8"/>
        <v>18.28</v>
      </c>
      <c r="AF19" s="692">
        <f t="shared" si="9"/>
        <v>0</v>
      </c>
      <c r="AG19" s="38"/>
      <c r="AH19" s="692">
        <f t="shared" si="10"/>
        <v>0</v>
      </c>
      <c r="AI19" s="692">
        <f t="shared" si="11"/>
        <v>0</v>
      </c>
      <c r="AJ19" s="692">
        <f t="shared" si="12"/>
        <v>0</v>
      </c>
      <c r="AL19" s="38">
        <f t="shared" si="14"/>
        <v>18.28</v>
      </c>
    </row>
    <row r="20" spans="1:38">
      <c r="A20" s="20" t="s">
        <v>109</v>
      </c>
      <c r="B20" s="20" t="s">
        <v>109</v>
      </c>
      <c r="C20" s="671" t="s">
        <v>523</v>
      </c>
      <c r="D20" s="351" t="s">
        <v>878</v>
      </c>
      <c r="E20" s="679">
        <v>1551.64</v>
      </c>
      <c r="F20" s="529">
        <f>VLOOKUP(D20,'Mar 2013 Revenue'!D:T,17,FALSE)</f>
        <v>0</v>
      </c>
      <c r="G20" s="680"/>
      <c r="H20" s="680"/>
      <c r="I20" s="755"/>
      <c r="J20" s="682">
        <f t="shared" si="0"/>
        <v>1551.64</v>
      </c>
      <c r="K20" s="683"/>
      <c r="L20" s="684"/>
      <c r="M20" s="753"/>
      <c r="N20" s="683">
        <v>0</v>
      </c>
      <c r="O20" s="686"/>
      <c r="P20" s="683">
        <v>0</v>
      </c>
      <c r="Q20" s="687">
        <f t="shared" si="1"/>
        <v>0</v>
      </c>
      <c r="R20" s="687"/>
      <c r="S20" s="687"/>
      <c r="T20" s="688">
        <v>0</v>
      </c>
      <c r="U20" s="693"/>
      <c r="V20" s="690">
        <f t="shared" si="13"/>
        <v>0</v>
      </c>
      <c r="W20" s="683"/>
      <c r="X20" s="474">
        <f t="shared" si="3"/>
        <v>0</v>
      </c>
      <c r="Y20" s="474">
        <f t="shared" si="4"/>
        <v>0</v>
      </c>
      <c r="Z20" s="475">
        <f t="shared" si="5"/>
        <v>0</v>
      </c>
      <c r="AA20" s="475">
        <v>0</v>
      </c>
      <c r="AB20" s="476">
        <v>0</v>
      </c>
      <c r="AC20" s="38">
        <f t="shared" si="6"/>
        <v>0</v>
      </c>
      <c r="AD20" s="692">
        <f t="shared" si="7"/>
        <v>0</v>
      </c>
      <c r="AE20" s="692">
        <f t="shared" si="8"/>
        <v>1551.64</v>
      </c>
      <c r="AF20" s="692">
        <f t="shared" si="9"/>
        <v>0</v>
      </c>
      <c r="AG20" s="38"/>
      <c r="AH20" s="692">
        <f t="shared" si="10"/>
        <v>0</v>
      </c>
      <c r="AI20" s="692">
        <f t="shared" si="11"/>
        <v>0</v>
      </c>
      <c r="AJ20" s="692">
        <f t="shared" si="12"/>
        <v>0</v>
      </c>
      <c r="AL20" s="38">
        <f t="shared" si="14"/>
        <v>1551.64</v>
      </c>
    </row>
    <row r="21" spans="1:38">
      <c r="A21" s="20"/>
      <c r="B21" s="20" t="s">
        <v>110</v>
      </c>
      <c r="C21" s="667" t="s">
        <v>524</v>
      </c>
      <c r="D21" s="123" t="s">
        <v>380</v>
      </c>
      <c r="E21" s="679"/>
      <c r="F21" s="529">
        <f>VLOOKUP(D21,'Mar 2013 Revenue'!D:T,17,FALSE)</f>
        <v>-2071.38</v>
      </c>
      <c r="G21" s="680"/>
      <c r="H21" s="680"/>
      <c r="I21" s="755"/>
      <c r="J21" s="682">
        <f t="shared" si="0"/>
        <v>-2071.38</v>
      </c>
      <c r="K21" s="683"/>
      <c r="L21" s="684"/>
      <c r="M21" s="753"/>
      <c r="N21" s="683">
        <v>0</v>
      </c>
      <c r="O21" s="686"/>
      <c r="P21" s="683">
        <v>0</v>
      </c>
      <c r="Q21" s="687">
        <f t="shared" si="1"/>
        <v>0</v>
      </c>
      <c r="R21" s="687"/>
      <c r="S21" s="687"/>
      <c r="T21" s="688">
        <v>0</v>
      </c>
      <c r="U21" s="693"/>
      <c r="V21" s="690">
        <f t="shared" si="13"/>
        <v>0</v>
      </c>
      <c r="W21" s="683"/>
      <c r="X21" s="474">
        <f t="shared" si="3"/>
        <v>0</v>
      </c>
      <c r="Y21" s="474">
        <f t="shared" si="4"/>
        <v>0</v>
      </c>
      <c r="Z21" s="475">
        <f t="shared" si="5"/>
        <v>0</v>
      </c>
      <c r="AA21" s="475">
        <v>0</v>
      </c>
      <c r="AB21" s="476">
        <v>0</v>
      </c>
      <c r="AC21" s="38">
        <f t="shared" si="6"/>
        <v>0</v>
      </c>
      <c r="AD21" s="692">
        <f t="shared" si="7"/>
        <v>-2071.38</v>
      </c>
      <c r="AE21" s="692">
        <f t="shared" si="8"/>
        <v>0</v>
      </c>
      <c r="AF21" s="692">
        <f t="shared" si="9"/>
        <v>0</v>
      </c>
      <c r="AG21" s="38"/>
      <c r="AH21" s="692">
        <f t="shared" si="10"/>
        <v>0</v>
      </c>
      <c r="AI21" s="692">
        <f t="shared" si="11"/>
        <v>0</v>
      </c>
      <c r="AJ21" s="692">
        <f t="shared" si="12"/>
        <v>0</v>
      </c>
      <c r="AL21" s="38">
        <f t="shared" si="14"/>
        <v>-2071.38</v>
      </c>
    </row>
    <row r="22" spans="1:38">
      <c r="A22" s="20"/>
      <c r="B22" s="20" t="s">
        <v>110</v>
      </c>
      <c r="C22" s="667" t="s">
        <v>524</v>
      </c>
      <c r="D22" s="123" t="s">
        <v>132</v>
      </c>
      <c r="E22" s="679"/>
      <c r="F22" s="529">
        <f>VLOOKUP(D22,'Mar 2013 Revenue'!D:T,17,FALSE)</f>
        <v>-2562.46</v>
      </c>
      <c r="G22" s="680"/>
      <c r="H22" s="680"/>
      <c r="I22" s="755"/>
      <c r="J22" s="682">
        <f t="shared" si="0"/>
        <v>-2562.46</v>
      </c>
      <c r="K22" s="683"/>
      <c r="L22" s="684"/>
      <c r="M22" s="753"/>
      <c r="N22" s="683">
        <v>0</v>
      </c>
      <c r="O22" s="686"/>
      <c r="P22" s="683">
        <v>0</v>
      </c>
      <c r="Q22" s="687">
        <f t="shared" si="1"/>
        <v>0</v>
      </c>
      <c r="R22" s="687"/>
      <c r="S22" s="687"/>
      <c r="T22" s="688">
        <v>0</v>
      </c>
      <c r="U22" s="693"/>
      <c r="V22" s="690">
        <f t="shared" si="13"/>
        <v>0</v>
      </c>
      <c r="W22" s="683"/>
      <c r="X22" s="474">
        <f t="shared" si="3"/>
        <v>0</v>
      </c>
      <c r="Y22" s="474">
        <f t="shared" si="4"/>
        <v>0</v>
      </c>
      <c r="Z22" s="475">
        <f t="shared" si="5"/>
        <v>0</v>
      </c>
      <c r="AA22" s="475">
        <v>0</v>
      </c>
      <c r="AB22" s="476">
        <v>0</v>
      </c>
      <c r="AC22" s="38">
        <f t="shared" si="6"/>
        <v>0</v>
      </c>
      <c r="AD22" s="692">
        <f t="shared" si="7"/>
        <v>-2562.46</v>
      </c>
      <c r="AE22" s="692">
        <f t="shared" si="8"/>
        <v>0</v>
      </c>
      <c r="AF22" s="692">
        <f t="shared" si="9"/>
        <v>0</v>
      </c>
      <c r="AG22" s="38"/>
      <c r="AH22" s="692">
        <f t="shared" si="10"/>
        <v>0</v>
      </c>
      <c r="AI22" s="692">
        <f t="shared" si="11"/>
        <v>0</v>
      </c>
      <c r="AJ22" s="692">
        <f t="shared" si="12"/>
        <v>0</v>
      </c>
      <c r="AL22" s="38">
        <f t="shared" si="14"/>
        <v>-2562.46</v>
      </c>
    </row>
    <row r="23" spans="1:38">
      <c r="A23" s="20"/>
      <c r="B23" s="20" t="s">
        <v>110</v>
      </c>
      <c r="C23" s="667" t="s">
        <v>524</v>
      </c>
      <c r="D23" s="123" t="s">
        <v>133</v>
      </c>
      <c r="E23" s="679"/>
      <c r="F23" s="529">
        <f>VLOOKUP(D23,'Mar 2013 Revenue'!D:T,17,FALSE)</f>
        <v>-2564.1999999999998</v>
      </c>
      <c r="G23" s="680"/>
      <c r="H23" s="680"/>
      <c r="I23" s="755"/>
      <c r="J23" s="682">
        <f t="shared" si="0"/>
        <v>-2564.1999999999998</v>
      </c>
      <c r="K23" s="683"/>
      <c r="L23" s="684"/>
      <c r="M23" s="753">
        <v>5000</v>
      </c>
      <c r="N23" s="683">
        <v>0</v>
      </c>
      <c r="O23" s="686"/>
      <c r="P23" s="683">
        <v>0</v>
      </c>
      <c r="Q23" s="687">
        <f t="shared" si="1"/>
        <v>5000</v>
      </c>
      <c r="R23" s="687"/>
      <c r="S23" s="687"/>
      <c r="T23" s="688">
        <v>0</v>
      </c>
      <c r="U23" s="693"/>
      <c r="V23" s="690">
        <f t="shared" si="13"/>
        <v>-5000</v>
      </c>
      <c r="W23" s="683"/>
      <c r="X23" s="474">
        <f t="shared" si="3"/>
        <v>5000</v>
      </c>
      <c r="Y23" s="474">
        <f t="shared" si="4"/>
        <v>0</v>
      </c>
      <c r="Z23" s="475">
        <f t="shared" si="5"/>
        <v>0</v>
      </c>
      <c r="AA23" s="475">
        <v>0</v>
      </c>
      <c r="AB23" s="476">
        <v>0</v>
      </c>
      <c r="AC23" s="38">
        <f t="shared" si="6"/>
        <v>0</v>
      </c>
      <c r="AD23" s="692">
        <f t="shared" si="7"/>
        <v>-2564.1999999999998</v>
      </c>
      <c r="AE23" s="692">
        <f t="shared" si="8"/>
        <v>0</v>
      </c>
      <c r="AF23" s="692">
        <f t="shared" si="9"/>
        <v>0</v>
      </c>
      <c r="AG23" s="38"/>
      <c r="AH23" s="692">
        <f t="shared" si="10"/>
        <v>5000</v>
      </c>
      <c r="AI23" s="692">
        <f t="shared" si="11"/>
        <v>0</v>
      </c>
      <c r="AJ23" s="692">
        <f t="shared" si="12"/>
        <v>0</v>
      </c>
      <c r="AL23" s="38">
        <f t="shared" si="14"/>
        <v>2435.8000000000002</v>
      </c>
    </row>
    <row r="24" spans="1:38" s="232" customFormat="1">
      <c r="A24" s="283" t="s">
        <v>211</v>
      </c>
      <c r="B24" s="283" t="s">
        <v>109</v>
      </c>
      <c r="C24" s="667" t="s">
        <v>525</v>
      </c>
      <c r="D24" s="123" t="s">
        <v>419</v>
      </c>
      <c r="E24" s="679">
        <f>28869.68+91.47</f>
        <v>28961.15</v>
      </c>
      <c r="F24" s="529">
        <f>VLOOKUP(D24,'Mar 2013 Revenue'!D:T,17,FALSE)</f>
        <v>-30000</v>
      </c>
      <c r="G24" s="680"/>
      <c r="H24" s="680"/>
      <c r="I24" s="755"/>
      <c r="J24" s="682">
        <f t="shared" si="0"/>
        <v>-1038.8499999999985</v>
      </c>
      <c r="K24" s="683"/>
      <c r="L24" s="684"/>
      <c r="M24" s="753">
        <v>10000</v>
      </c>
      <c r="N24" s="683">
        <v>0</v>
      </c>
      <c r="O24" s="686"/>
      <c r="P24" s="683">
        <v>0</v>
      </c>
      <c r="Q24" s="687">
        <f t="shared" si="1"/>
        <v>10000</v>
      </c>
      <c r="R24" s="687"/>
      <c r="S24" s="687"/>
      <c r="T24" s="688">
        <v>0</v>
      </c>
      <c r="U24" s="693"/>
      <c r="V24" s="690">
        <f t="shared" si="13"/>
        <v>-10000</v>
      </c>
      <c r="W24" s="683"/>
      <c r="X24" s="474">
        <f t="shared" si="3"/>
        <v>0</v>
      </c>
      <c r="Y24" s="474">
        <f t="shared" si="4"/>
        <v>10000</v>
      </c>
      <c r="Z24" s="475">
        <f t="shared" si="5"/>
        <v>0</v>
      </c>
      <c r="AA24" s="475">
        <v>0</v>
      </c>
      <c r="AB24" s="476">
        <v>0</v>
      </c>
      <c r="AC24" s="38">
        <f t="shared" si="6"/>
        <v>0</v>
      </c>
      <c r="AD24" s="692">
        <f t="shared" si="7"/>
        <v>0</v>
      </c>
      <c r="AE24" s="692">
        <f t="shared" si="8"/>
        <v>-1038.8499999999985</v>
      </c>
      <c r="AF24" s="692">
        <f t="shared" si="9"/>
        <v>0</v>
      </c>
      <c r="AG24" s="38"/>
      <c r="AH24" s="692">
        <f t="shared" si="10"/>
        <v>0</v>
      </c>
      <c r="AI24" s="692">
        <f t="shared" si="11"/>
        <v>10000</v>
      </c>
      <c r="AJ24" s="692">
        <f t="shared" si="12"/>
        <v>0</v>
      </c>
      <c r="AL24" s="38">
        <f t="shared" si="14"/>
        <v>8961.1500000000015</v>
      </c>
    </row>
    <row r="25" spans="1:38">
      <c r="A25" s="20"/>
      <c r="B25" s="20" t="s">
        <v>110</v>
      </c>
      <c r="C25" s="667"/>
      <c r="D25" s="68" t="s">
        <v>922</v>
      </c>
      <c r="E25" s="679"/>
      <c r="F25" s="529">
        <f>VLOOKUP(D25,'Mar 2013 Revenue'!D:T,17,FALSE)</f>
        <v>0</v>
      </c>
      <c r="G25" s="680"/>
      <c r="H25" s="680"/>
      <c r="I25" s="804">
        <v>690.3</v>
      </c>
      <c r="J25" s="682">
        <f t="shared" si="0"/>
        <v>690.3</v>
      </c>
      <c r="K25" s="683"/>
      <c r="L25" s="684"/>
      <c r="M25" s="753"/>
      <c r="N25" s="683">
        <v>0</v>
      </c>
      <c r="O25" s="686"/>
      <c r="P25" s="683">
        <v>0</v>
      </c>
      <c r="Q25" s="687">
        <f t="shared" si="1"/>
        <v>0</v>
      </c>
      <c r="R25" s="687"/>
      <c r="S25" s="687"/>
      <c r="T25" s="688">
        <v>0</v>
      </c>
      <c r="U25" s="693"/>
      <c r="V25" s="690">
        <f t="shared" si="13"/>
        <v>0</v>
      </c>
      <c r="W25" s="683"/>
      <c r="X25" s="474">
        <f t="shared" si="3"/>
        <v>0</v>
      </c>
      <c r="Y25" s="474">
        <f t="shared" si="4"/>
        <v>0</v>
      </c>
      <c r="Z25" s="475">
        <f t="shared" si="5"/>
        <v>0</v>
      </c>
      <c r="AA25" s="475">
        <v>0</v>
      </c>
      <c r="AB25" s="476">
        <v>0</v>
      </c>
      <c r="AC25" s="38">
        <f t="shared" si="6"/>
        <v>0</v>
      </c>
      <c r="AD25" s="692">
        <f t="shared" si="7"/>
        <v>690.3</v>
      </c>
      <c r="AE25" s="692">
        <f t="shared" si="8"/>
        <v>0</v>
      </c>
      <c r="AF25" s="692">
        <f t="shared" si="9"/>
        <v>0</v>
      </c>
      <c r="AG25" s="38"/>
      <c r="AH25" s="692">
        <f t="shared" si="10"/>
        <v>0</v>
      </c>
      <c r="AI25" s="692">
        <f t="shared" si="11"/>
        <v>0</v>
      </c>
      <c r="AJ25" s="692">
        <f t="shared" si="12"/>
        <v>0</v>
      </c>
      <c r="AL25" s="38">
        <f t="shared" si="14"/>
        <v>690.3</v>
      </c>
    </row>
    <row r="26" spans="1:38">
      <c r="A26" s="20"/>
      <c r="B26" s="20" t="s">
        <v>110</v>
      </c>
      <c r="C26" s="667"/>
      <c r="D26" s="68" t="s">
        <v>589</v>
      </c>
      <c r="E26" s="679"/>
      <c r="F26" s="529">
        <f>VLOOKUP(D26,'Mar 2013 Revenue'!D:T,17,FALSE)</f>
        <v>5145.8600000000006</v>
      </c>
      <c r="G26" s="680"/>
      <c r="H26" s="680"/>
      <c r="I26" s="755"/>
      <c r="J26" s="682">
        <f t="shared" si="0"/>
        <v>5145.8600000000006</v>
      </c>
      <c r="K26" s="683"/>
      <c r="L26" s="684"/>
      <c r="M26" s="753">
        <v>8000</v>
      </c>
      <c r="N26" s="683">
        <v>0</v>
      </c>
      <c r="O26" s="686"/>
      <c r="P26" s="683">
        <v>0</v>
      </c>
      <c r="Q26" s="687">
        <f t="shared" si="1"/>
        <v>8000</v>
      </c>
      <c r="R26" s="687"/>
      <c r="S26" s="687"/>
      <c r="T26" s="688">
        <v>0</v>
      </c>
      <c r="U26" s="693"/>
      <c r="V26" s="690">
        <f t="shared" si="13"/>
        <v>-8000</v>
      </c>
      <c r="W26" s="683"/>
      <c r="X26" s="474">
        <f t="shared" si="3"/>
        <v>8000</v>
      </c>
      <c r="Y26" s="474">
        <f t="shared" si="4"/>
        <v>0</v>
      </c>
      <c r="Z26" s="475">
        <f t="shared" si="5"/>
        <v>0</v>
      </c>
      <c r="AA26" s="475">
        <v>0</v>
      </c>
      <c r="AB26" s="476">
        <v>0</v>
      </c>
      <c r="AC26" s="38">
        <f t="shared" si="6"/>
        <v>0</v>
      </c>
      <c r="AD26" s="692">
        <f t="shared" si="7"/>
        <v>5145.8600000000006</v>
      </c>
      <c r="AE26" s="692">
        <f t="shared" si="8"/>
        <v>0</v>
      </c>
      <c r="AF26" s="692">
        <f t="shared" si="9"/>
        <v>0</v>
      </c>
      <c r="AG26" s="38"/>
      <c r="AH26" s="692">
        <f t="shared" si="10"/>
        <v>8000</v>
      </c>
      <c r="AI26" s="692">
        <f t="shared" si="11"/>
        <v>0</v>
      </c>
      <c r="AJ26" s="692">
        <f t="shared" si="12"/>
        <v>0</v>
      </c>
      <c r="AL26" s="38">
        <f t="shared" si="14"/>
        <v>13145.86</v>
      </c>
    </row>
    <row r="27" spans="1:38">
      <c r="A27" s="20"/>
      <c r="B27" s="20" t="s">
        <v>110</v>
      </c>
      <c r="C27" s="667"/>
      <c r="D27" s="68" t="s">
        <v>829</v>
      </c>
      <c r="E27" s="679"/>
      <c r="F27" s="529">
        <f>VLOOKUP(D27,'Mar 2013 Revenue'!D:T,17,FALSE)</f>
        <v>0</v>
      </c>
      <c r="G27" s="680"/>
      <c r="H27" s="680"/>
      <c r="I27" s="755"/>
      <c r="J27" s="682">
        <f t="shared" si="0"/>
        <v>0</v>
      </c>
      <c r="K27" s="683"/>
      <c r="L27" s="684"/>
      <c r="M27" s="753"/>
      <c r="N27" s="683">
        <v>0</v>
      </c>
      <c r="O27" s="686"/>
      <c r="P27" s="683">
        <v>0</v>
      </c>
      <c r="Q27" s="687">
        <f t="shared" si="1"/>
        <v>0</v>
      </c>
      <c r="R27" s="687"/>
      <c r="S27" s="687"/>
      <c r="T27" s="688">
        <v>0</v>
      </c>
      <c r="U27" s="693"/>
      <c r="V27" s="690">
        <f t="shared" si="13"/>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4"/>
        <v>0</v>
      </c>
    </row>
    <row r="28" spans="1:38">
      <c r="A28" s="20"/>
      <c r="B28" s="20" t="s">
        <v>109</v>
      </c>
      <c r="C28" s="667" t="s">
        <v>526</v>
      </c>
      <c r="D28" s="68" t="s">
        <v>385</v>
      </c>
      <c r="E28" s="679"/>
      <c r="F28" s="529">
        <f>VLOOKUP(D28,'Mar 2013 Revenue'!D:T,17,FALSE)</f>
        <v>0</v>
      </c>
      <c r="G28" s="680"/>
      <c r="H28" s="680"/>
      <c r="I28" s="755"/>
      <c r="J28" s="682">
        <f t="shared" si="0"/>
        <v>0</v>
      </c>
      <c r="K28" s="683"/>
      <c r="L28" s="684"/>
      <c r="M28" s="753"/>
      <c r="N28" s="683">
        <v>0</v>
      </c>
      <c r="O28" s="686"/>
      <c r="P28" s="683">
        <v>0</v>
      </c>
      <c r="Q28" s="687">
        <f t="shared" si="1"/>
        <v>0</v>
      </c>
      <c r="R28" s="687"/>
      <c r="S28" s="687"/>
      <c r="T28" s="688">
        <v>0</v>
      </c>
      <c r="U28" s="693"/>
      <c r="V28" s="690">
        <f t="shared" si="13"/>
        <v>0</v>
      </c>
      <c r="W28" s="691"/>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4"/>
        <v>0</v>
      </c>
    </row>
    <row r="29" spans="1:38" s="232" customFormat="1">
      <c r="A29" s="283"/>
      <c r="B29" s="283" t="s">
        <v>110</v>
      </c>
      <c r="C29" s="667" t="s">
        <v>527</v>
      </c>
      <c r="D29" s="123" t="s">
        <v>401</v>
      </c>
      <c r="E29" s="679"/>
      <c r="F29" s="529">
        <f>VLOOKUP(D29,'Mar 2013 Revenue'!D:T,17,FALSE)</f>
        <v>61828.599999999977</v>
      </c>
      <c r="G29" s="680"/>
      <c r="H29" s="680"/>
      <c r="I29" s="755"/>
      <c r="J29" s="682">
        <f t="shared" si="0"/>
        <v>61828.599999999977</v>
      </c>
      <c r="K29" s="683"/>
      <c r="L29" s="684"/>
      <c r="M29" s="753">
        <v>425000</v>
      </c>
      <c r="N29" s="683">
        <v>0</v>
      </c>
      <c r="O29" s="686"/>
      <c r="P29" s="683">
        <v>0</v>
      </c>
      <c r="Q29" s="687">
        <f t="shared" si="1"/>
        <v>425000</v>
      </c>
      <c r="R29" s="687"/>
      <c r="S29" s="687">
        <v>55000</v>
      </c>
      <c r="T29" s="688">
        <v>539755.19999999995</v>
      </c>
      <c r="U29" s="693"/>
      <c r="V29" s="690">
        <f t="shared" si="13"/>
        <v>59755.199999999953</v>
      </c>
      <c r="W29" s="683"/>
      <c r="X29" s="474">
        <f t="shared" si="3"/>
        <v>425000</v>
      </c>
      <c r="Y29" s="474">
        <f t="shared" si="4"/>
        <v>0</v>
      </c>
      <c r="Z29" s="475">
        <f t="shared" si="5"/>
        <v>0</v>
      </c>
      <c r="AA29" s="475">
        <v>0</v>
      </c>
      <c r="AB29" s="476">
        <v>0</v>
      </c>
      <c r="AC29" s="38">
        <f t="shared" si="6"/>
        <v>0</v>
      </c>
      <c r="AD29" s="692">
        <f t="shared" si="7"/>
        <v>61828.599999999977</v>
      </c>
      <c r="AE29" s="692">
        <f t="shared" si="8"/>
        <v>0</v>
      </c>
      <c r="AF29" s="692">
        <f t="shared" si="9"/>
        <v>0</v>
      </c>
      <c r="AG29" s="38"/>
      <c r="AH29" s="692">
        <f t="shared" si="10"/>
        <v>425000</v>
      </c>
      <c r="AI29" s="692">
        <f t="shared" si="11"/>
        <v>0</v>
      </c>
      <c r="AJ29" s="692">
        <f t="shared" si="12"/>
        <v>0</v>
      </c>
      <c r="AL29" s="38">
        <f t="shared" si="14"/>
        <v>486828.6</v>
      </c>
    </row>
    <row r="30" spans="1:38" s="232" customFormat="1">
      <c r="A30" s="283"/>
      <c r="B30" s="283" t="s">
        <v>110</v>
      </c>
      <c r="C30" s="667" t="s">
        <v>528</v>
      </c>
      <c r="D30" s="123" t="s">
        <v>403</v>
      </c>
      <c r="E30" s="679"/>
      <c r="F30" s="529">
        <f>VLOOKUP(D30,'Mar 2013 Revenue'!D:T,17,FALSE)</f>
        <v>18366.039999999994</v>
      </c>
      <c r="G30" s="680"/>
      <c r="H30" s="680"/>
      <c r="I30" s="755"/>
      <c r="J30" s="682">
        <f t="shared" si="0"/>
        <v>18366.039999999994</v>
      </c>
      <c r="K30" s="683"/>
      <c r="L30" s="684"/>
      <c r="M30" s="753">
        <v>80000</v>
      </c>
      <c r="N30" s="683">
        <v>0</v>
      </c>
      <c r="O30" s="686"/>
      <c r="P30" s="683">
        <v>0</v>
      </c>
      <c r="Q30" s="687">
        <f t="shared" si="1"/>
        <v>80000</v>
      </c>
      <c r="R30" s="687"/>
      <c r="S30" s="687"/>
      <c r="T30" s="688">
        <v>97768.65</v>
      </c>
      <c r="U30" s="693"/>
      <c r="V30" s="690">
        <f t="shared" si="13"/>
        <v>17768.649999999994</v>
      </c>
      <c r="W30" s="683"/>
      <c r="X30" s="474">
        <f t="shared" si="3"/>
        <v>80000</v>
      </c>
      <c r="Y30" s="474">
        <f t="shared" si="4"/>
        <v>0</v>
      </c>
      <c r="Z30" s="475">
        <f t="shared" si="5"/>
        <v>0</v>
      </c>
      <c r="AA30" s="475">
        <v>0</v>
      </c>
      <c r="AB30" s="476">
        <v>0</v>
      </c>
      <c r="AC30" s="38">
        <f t="shared" si="6"/>
        <v>0</v>
      </c>
      <c r="AD30" s="692">
        <f t="shared" si="7"/>
        <v>18366.039999999994</v>
      </c>
      <c r="AE30" s="692">
        <f t="shared" si="8"/>
        <v>0</v>
      </c>
      <c r="AF30" s="692">
        <f t="shared" si="9"/>
        <v>0</v>
      </c>
      <c r="AG30" s="38"/>
      <c r="AH30" s="692">
        <f t="shared" si="10"/>
        <v>80000</v>
      </c>
      <c r="AI30" s="692">
        <f t="shared" si="11"/>
        <v>0</v>
      </c>
      <c r="AJ30" s="692">
        <f t="shared" si="12"/>
        <v>0</v>
      </c>
      <c r="AL30" s="38">
        <f t="shared" si="14"/>
        <v>98366.04</v>
      </c>
    </row>
    <row r="31" spans="1:38" s="232" customFormat="1">
      <c r="A31" s="283"/>
      <c r="B31" s="283" t="s">
        <v>110</v>
      </c>
      <c r="C31" s="667" t="s">
        <v>528</v>
      </c>
      <c r="D31" s="123" t="s">
        <v>404</v>
      </c>
      <c r="E31" s="679"/>
      <c r="F31" s="529">
        <f>VLOOKUP(D31,'Mar 2013 Revenue'!D:T,17,FALSE)</f>
        <v>12091.440000000002</v>
      </c>
      <c r="G31" s="680"/>
      <c r="H31" s="680"/>
      <c r="I31" s="755"/>
      <c r="J31" s="682">
        <f t="shared" si="0"/>
        <v>12091.440000000002</v>
      </c>
      <c r="K31" s="683"/>
      <c r="L31" s="684"/>
      <c r="M31" s="753">
        <v>85000</v>
      </c>
      <c r="N31" s="683">
        <v>0</v>
      </c>
      <c r="O31" s="686"/>
      <c r="P31" s="683">
        <v>0</v>
      </c>
      <c r="Q31" s="687">
        <f t="shared" si="1"/>
        <v>85000</v>
      </c>
      <c r="R31" s="687"/>
      <c r="S31" s="687"/>
      <c r="T31" s="688">
        <v>99702.47</v>
      </c>
      <c r="U31" s="693"/>
      <c r="V31" s="690">
        <f t="shared" si="13"/>
        <v>14702.470000000001</v>
      </c>
      <c r="W31" s="683"/>
      <c r="X31" s="474">
        <f t="shared" si="3"/>
        <v>85000</v>
      </c>
      <c r="Y31" s="474">
        <f t="shared" si="4"/>
        <v>0</v>
      </c>
      <c r="Z31" s="475">
        <f t="shared" si="5"/>
        <v>0</v>
      </c>
      <c r="AA31" s="475">
        <v>0</v>
      </c>
      <c r="AB31" s="476">
        <v>0</v>
      </c>
      <c r="AC31" s="38">
        <f t="shared" si="6"/>
        <v>0</v>
      </c>
      <c r="AD31" s="692">
        <f t="shared" si="7"/>
        <v>12091.440000000002</v>
      </c>
      <c r="AE31" s="692">
        <f t="shared" si="8"/>
        <v>0</v>
      </c>
      <c r="AF31" s="692">
        <f t="shared" si="9"/>
        <v>0</v>
      </c>
      <c r="AG31" s="38"/>
      <c r="AH31" s="692">
        <f t="shared" si="10"/>
        <v>85000</v>
      </c>
      <c r="AI31" s="692">
        <f t="shared" si="11"/>
        <v>0</v>
      </c>
      <c r="AJ31" s="692">
        <f t="shared" si="12"/>
        <v>0</v>
      </c>
      <c r="AL31" s="38">
        <f t="shared" si="14"/>
        <v>97091.44</v>
      </c>
    </row>
    <row r="32" spans="1:38" s="232" customFormat="1">
      <c r="A32" s="283"/>
      <c r="B32" s="283" t="s">
        <v>110</v>
      </c>
      <c r="C32" s="667" t="s">
        <v>528</v>
      </c>
      <c r="D32" s="123" t="s">
        <v>405</v>
      </c>
      <c r="E32" s="679"/>
      <c r="F32" s="529">
        <f>VLOOKUP(D32,'Mar 2013 Revenue'!D:T,17,FALSE)</f>
        <v>1783.1599999999999</v>
      </c>
      <c r="G32" s="680"/>
      <c r="H32" s="680"/>
      <c r="I32" s="755"/>
      <c r="J32" s="682">
        <f t="shared" si="0"/>
        <v>1783.1599999999999</v>
      </c>
      <c r="K32" s="683"/>
      <c r="L32" s="684"/>
      <c r="M32" s="753">
        <v>15000</v>
      </c>
      <c r="N32" s="683">
        <v>0</v>
      </c>
      <c r="O32" s="686"/>
      <c r="P32" s="683">
        <v>0</v>
      </c>
      <c r="Q32" s="687">
        <f t="shared" si="1"/>
        <v>15000</v>
      </c>
      <c r="R32" s="687"/>
      <c r="S32" s="687"/>
      <c r="T32" s="688">
        <v>18188.39</v>
      </c>
      <c r="U32" s="693"/>
      <c r="V32" s="690">
        <f t="shared" si="13"/>
        <v>3188.3899999999994</v>
      </c>
      <c r="W32" s="683"/>
      <c r="X32" s="474">
        <f t="shared" si="3"/>
        <v>15000</v>
      </c>
      <c r="Y32" s="474">
        <f t="shared" si="4"/>
        <v>0</v>
      </c>
      <c r="Z32" s="475">
        <f t="shared" si="5"/>
        <v>0</v>
      </c>
      <c r="AA32" s="475">
        <v>0</v>
      </c>
      <c r="AB32" s="476">
        <v>0</v>
      </c>
      <c r="AC32" s="38">
        <f t="shared" si="6"/>
        <v>0</v>
      </c>
      <c r="AD32" s="692">
        <f t="shared" si="7"/>
        <v>1783.1599999999999</v>
      </c>
      <c r="AE32" s="692">
        <f t="shared" si="8"/>
        <v>0</v>
      </c>
      <c r="AF32" s="692">
        <f t="shared" si="9"/>
        <v>0</v>
      </c>
      <c r="AG32" s="38"/>
      <c r="AH32" s="692">
        <f t="shared" si="10"/>
        <v>15000</v>
      </c>
      <c r="AI32" s="692">
        <f t="shared" si="11"/>
        <v>0</v>
      </c>
      <c r="AJ32" s="692">
        <f t="shared" si="12"/>
        <v>0</v>
      </c>
      <c r="AL32" s="38">
        <f t="shared" si="14"/>
        <v>16783.16</v>
      </c>
    </row>
    <row r="33" spans="1:38" s="232" customFormat="1">
      <c r="A33" s="283"/>
      <c r="B33" s="283" t="s">
        <v>110</v>
      </c>
      <c r="C33" s="667" t="s">
        <v>528</v>
      </c>
      <c r="D33" s="123" t="s">
        <v>406</v>
      </c>
      <c r="E33" s="679"/>
      <c r="F33" s="529">
        <f>VLOOKUP(D33,'Mar 2013 Revenue'!D:T,17,FALSE)</f>
        <v>358.02000000000044</v>
      </c>
      <c r="G33" s="680"/>
      <c r="H33" s="680"/>
      <c r="I33" s="755"/>
      <c r="J33" s="682">
        <f t="shared" si="0"/>
        <v>358.02000000000044</v>
      </c>
      <c r="K33" s="683"/>
      <c r="L33" s="684"/>
      <c r="M33" s="753">
        <v>6000</v>
      </c>
      <c r="N33" s="683">
        <v>0</v>
      </c>
      <c r="O33" s="686"/>
      <c r="P33" s="683">
        <v>0</v>
      </c>
      <c r="Q33" s="687">
        <f t="shared" si="1"/>
        <v>6000</v>
      </c>
      <c r="R33" s="687"/>
      <c r="S33" s="687"/>
      <c r="T33" s="688">
        <v>8810.89</v>
      </c>
      <c r="U33" s="693"/>
      <c r="V33" s="690">
        <f t="shared" si="13"/>
        <v>2810.8899999999994</v>
      </c>
      <c r="W33" s="683"/>
      <c r="X33" s="474">
        <f t="shared" si="3"/>
        <v>6000</v>
      </c>
      <c r="Y33" s="474">
        <f t="shared" si="4"/>
        <v>0</v>
      </c>
      <c r="Z33" s="475">
        <f t="shared" si="5"/>
        <v>0</v>
      </c>
      <c r="AA33" s="475">
        <v>0</v>
      </c>
      <c r="AB33" s="476">
        <v>0</v>
      </c>
      <c r="AC33" s="38">
        <f t="shared" si="6"/>
        <v>0</v>
      </c>
      <c r="AD33" s="692">
        <f t="shared" si="7"/>
        <v>358.02000000000044</v>
      </c>
      <c r="AE33" s="692">
        <f t="shared" si="8"/>
        <v>0</v>
      </c>
      <c r="AF33" s="692">
        <f t="shared" si="9"/>
        <v>0</v>
      </c>
      <c r="AG33" s="38"/>
      <c r="AH33" s="692">
        <f t="shared" si="10"/>
        <v>6000</v>
      </c>
      <c r="AI33" s="692">
        <f t="shared" si="11"/>
        <v>0</v>
      </c>
      <c r="AJ33" s="692">
        <f t="shared" si="12"/>
        <v>0</v>
      </c>
      <c r="AL33" s="38">
        <f t="shared" si="14"/>
        <v>6358.02</v>
      </c>
    </row>
    <row r="34" spans="1:38" s="232" customFormat="1">
      <c r="A34" s="283"/>
      <c r="B34" s="283" t="s">
        <v>110</v>
      </c>
      <c r="C34" s="667" t="s">
        <v>528</v>
      </c>
      <c r="D34" s="123" t="s">
        <v>407</v>
      </c>
      <c r="E34" s="679"/>
      <c r="F34" s="529">
        <f>VLOOKUP(D34,'Mar 2013 Revenue'!D:T,17,FALSE)</f>
        <v>2821.15</v>
      </c>
      <c r="G34" s="680"/>
      <c r="H34" s="680"/>
      <c r="I34" s="755"/>
      <c r="J34" s="682">
        <f t="shared" si="0"/>
        <v>2821.15</v>
      </c>
      <c r="K34" s="683"/>
      <c r="L34" s="684"/>
      <c r="M34" s="753"/>
      <c r="N34" s="683">
        <v>0</v>
      </c>
      <c r="O34" s="686"/>
      <c r="P34" s="683">
        <v>0</v>
      </c>
      <c r="Q34" s="687">
        <f t="shared" si="1"/>
        <v>0</v>
      </c>
      <c r="R34" s="687"/>
      <c r="S34" s="687"/>
      <c r="T34" s="688">
        <v>4022.05</v>
      </c>
      <c r="U34" s="693"/>
      <c r="V34" s="690">
        <f t="shared" si="13"/>
        <v>4022.05</v>
      </c>
      <c r="W34" s="683"/>
      <c r="X34" s="474">
        <f t="shared" si="3"/>
        <v>0</v>
      </c>
      <c r="Y34" s="474">
        <f t="shared" si="4"/>
        <v>0</v>
      </c>
      <c r="Z34" s="475">
        <f t="shared" si="5"/>
        <v>0</v>
      </c>
      <c r="AA34" s="475">
        <v>0</v>
      </c>
      <c r="AB34" s="476">
        <v>0</v>
      </c>
      <c r="AC34" s="38">
        <f t="shared" si="6"/>
        <v>0</v>
      </c>
      <c r="AD34" s="692">
        <f t="shared" si="7"/>
        <v>2821.15</v>
      </c>
      <c r="AE34" s="692">
        <f t="shared" si="8"/>
        <v>0</v>
      </c>
      <c r="AF34" s="692">
        <f t="shared" si="9"/>
        <v>0</v>
      </c>
      <c r="AG34" s="38"/>
      <c r="AH34" s="692">
        <f t="shared" si="10"/>
        <v>0</v>
      </c>
      <c r="AI34" s="692">
        <f t="shared" si="11"/>
        <v>0</v>
      </c>
      <c r="AJ34" s="692">
        <f t="shared" si="12"/>
        <v>0</v>
      </c>
      <c r="AL34" s="38">
        <f t="shared" si="14"/>
        <v>2821.15</v>
      </c>
    </row>
    <row r="35" spans="1:38" s="232" customFormat="1">
      <c r="A35" s="283"/>
      <c r="B35" s="283" t="s">
        <v>110</v>
      </c>
      <c r="C35" s="667" t="s">
        <v>528</v>
      </c>
      <c r="D35" s="123" t="s">
        <v>880</v>
      </c>
      <c r="E35" s="679"/>
      <c r="F35" s="529">
        <f>VLOOKUP(D35,'Mar 2013 Revenue'!D:T,17,FALSE)</f>
        <v>2048.25</v>
      </c>
      <c r="G35" s="680"/>
      <c r="H35" s="680"/>
      <c r="I35" s="755"/>
      <c r="J35" s="682">
        <f t="shared" si="0"/>
        <v>2048.25</v>
      </c>
      <c r="K35" s="683"/>
      <c r="L35" s="684"/>
      <c r="M35" s="753"/>
      <c r="N35" s="683">
        <v>0</v>
      </c>
      <c r="O35" s="686"/>
      <c r="P35" s="683">
        <v>0</v>
      </c>
      <c r="Q35" s="687">
        <f t="shared" si="1"/>
        <v>0</v>
      </c>
      <c r="R35" s="687"/>
      <c r="S35" s="687"/>
      <c r="T35" s="688">
        <v>1886.69</v>
      </c>
      <c r="U35" s="693"/>
      <c r="V35" s="690">
        <f t="shared" si="13"/>
        <v>1886.69</v>
      </c>
      <c r="W35" s="683"/>
      <c r="X35" s="474">
        <f t="shared" si="3"/>
        <v>0</v>
      </c>
      <c r="Y35" s="474">
        <f t="shared" si="4"/>
        <v>0</v>
      </c>
      <c r="Z35" s="475">
        <f t="shared" si="5"/>
        <v>0</v>
      </c>
      <c r="AA35" s="475">
        <v>0</v>
      </c>
      <c r="AB35" s="476">
        <v>0</v>
      </c>
      <c r="AC35" s="38">
        <f t="shared" si="6"/>
        <v>0</v>
      </c>
      <c r="AD35" s="692">
        <f t="shared" si="7"/>
        <v>2048.25</v>
      </c>
      <c r="AE35" s="692">
        <f t="shared" si="8"/>
        <v>0</v>
      </c>
      <c r="AF35" s="692">
        <f t="shared" si="9"/>
        <v>0</v>
      </c>
      <c r="AG35" s="38"/>
      <c r="AH35" s="692">
        <f t="shared" si="10"/>
        <v>0</v>
      </c>
      <c r="AI35" s="692">
        <f t="shared" si="11"/>
        <v>0</v>
      </c>
      <c r="AJ35" s="692">
        <f t="shared" si="12"/>
        <v>0</v>
      </c>
      <c r="AL35" s="38">
        <f t="shared" si="14"/>
        <v>2048.25</v>
      </c>
    </row>
    <row r="36" spans="1:38" s="232" customFormat="1">
      <c r="A36" s="283"/>
      <c r="B36" s="283" t="s">
        <v>110</v>
      </c>
      <c r="C36" s="667" t="s">
        <v>528</v>
      </c>
      <c r="D36" s="123" t="s">
        <v>881</v>
      </c>
      <c r="E36" s="679"/>
      <c r="F36" s="529">
        <f>VLOOKUP(D36,'Mar 2013 Revenue'!D:T,17,FALSE)</f>
        <v>1687.89</v>
      </c>
      <c r="G36" s="680"/>
      <c r="H36" s="680"/>
      <c r="I36" s="755"/>
      <c r="J36" s="682">
        <f t="shared" si="0"/>
        <v>1687.89</v>
      </c>
      <c r="K36" s="683"/>
      <c r="L36" s="684"/>
      <c r="M36" s="753"/>
      <c r="N36" s="683">
        <v>0</v>
      </c>
      <c r="O36" s="686"/>
      <c r="P36" s="683">
        <v>0</v>
      </c>
      <c r="Q36" s="687">
        <f t="shared" si="1"/>
        <v>0</v>
      </c>
      <c r="R36" s="687"/>
      <c r="S36" s="687"/>
      <c r="T36" s="688">
        <v>1689.82</v>
      </c>
      <c r="U36" s="693"/>
      <c r="V36" s="690">
        <f t="shared" si="13"/>
        <v>1689.82</v>
      </c>
      <c r="W36" s="683"/>
      <c r="X36" s="474">
        <f t="shared" si="3"/>
        <v>0</v>
      </c>
      <c r="Y36" s="474">
        <f t="shared" si="4"/>
        <v>0</v>
      </c>
      <c r="Z36" s="475">
        <f t="shared" si="5"/>
        <v>0</v>
      </c>
      <c r="AA36" s="475">
        <v>0</v>
      </c>
      <c r="AB36" s="476">
        <v>0</v>
      </c>
      <c r="AC36" s="38">
        <f t="shared" si="6"/>
        <v>0</v>
      </c>
      <c r="AD36" s="692">
        <f t="shared" si="7"/>
        <v>1687.89</v>
      </c>
      <c r="AE36" s="692">
        <f t="shared" si="8"/>
        <v>0</v>
      </c>
      <c r="AF36" s="692">
        <f t="shared" si="9"/>
        <v>0</v>
      </c>
      <c r="AG36" s="38"/>
      <c r="AH36" s="692">
        <f t="shared" si="10"/>
        <v>0</v>
      </c>
      <c r="AI36" s="692">
        <f t="shared" si="11"/>
        <v>0</v>
      </c>
      <c r="AJ36" s="692">
        <f t="shared" si="12"/>
        <v>0</v>
      </c>
      <c r="AL36" s="38">
        <f t="shared" si="14"/>
        <v>1687.89</v>
      </c>
    </row>
    <row r="37" spans="1:38" s="232" customFormat="1">
      <c r="A37" s="283"/>
      <c r="B37" s="283" t="s">
        <v>110</v>
      </c>
      <c r="C37" s="667" t="s">
        <v>528</v>
      </c>
      <c r="D37" s="123" t="s">
        <v>820</v>
      </c>
      <c r="E37" s="679"/>
      <c r="F37" s="529">
        <f>VLOOKUP(D37,'Mar 2013 Revenue'!D:T,17,FALSE)</f>
        <v>-1495.5600000000013</v>
      </c>
      <c r="G37" s="680"/>
      <c r="H37" s="680"/>
      <c r="I37" s="755"/>
      <c r="J37" s="682">
        <f t="shared" si="0"/>
        <v>-1495.5600000000013</v>
      </c>
      <c r="K37" s="683"/>
      <c r="L37" s="684"/>
      <c r="M37" s="753">
        <v>20000</v>
      </c>
      <c r="N37" s="683">
        <v>0</v>
      </c>
      <c r="O37" s="686"/>
      <c r="P37" s="683">
        <v>0</v>
      </c>
      <c r="Q37" s="687">
        <f t="shared" si="1"/>
        <v>20000</v>
      </c>
      <c r="R37" s="687"/>
      <c r="S37" s="687"/>
      <c r="T37" s="688">
        <v>16920.439999999999</v>
      </c>
      <c r="U37" s="693"/>
      <c r="V37" s="690">
        <f t="shared" si="13"/>
        <v>-3079.5600000000013</v>
      </c>
      <c r="W37" s="683"/>
      <c r="X37" s="474">
        <f t="shared" si="3"/>
        <v>20000</v>
      </c>
      <c r="Y37" s="474">
        <f t="shared" si="4"/>
        <v>0</v>
      </c>
      <c r="Z37" s="475">
        <f t="shared" si="5"/>
        <v>0</v>
      </c>
      <c r="AA37" s="475">
        <v>0</v>
      </c>
      <c r="AB37" s="476">
        <v>0</v>
      </c>
      <c r="AC37" s="38">
        <f t="shared" si="6"/>
        <v>0</v>
      </c>
      <c r="AD37" s="692">
        <f t="shared" si="7"/>
        <v>-1495.5600000000013</v>
      </c>
      <c r="AE37" s="692">
        <f t="shared" si="8"/>
        <v>0</v>
      </c>
      <c r="AF37" s="692">
        <f t="shared" si="9"/>
        <v>0</v>
      </c>
      <c r="AG37" s="38"/>
      <c r="AH37" s="692">
        <f t="shared" si="10"/>
        <v>20000</v>
      </c>
      <c r="AI37" s="692">
        <f t="shared" si="11"/>
        <v>0</v>
      </c>
      <c r="AJ37" s="692">
        <f t="shared" si="12"/>
        <v>0</v>
      </c>
      <c r="AL37" s="38">
        <f t="shared" si="14"/>
        <v>18504.439999999999</v>
      </c>
    </row>
    <row r="38" spans="1:38" s="232" customFormat="1">
      <c r="A38" s="283"/>
      <c r="B38" s="283" t="s">
        <v>110</v>
      </c>
      <c r="C38" s="667" t="s">
        <v>527</v>
      </c>
      <c r="D38" s="123" t="s">
        <v>460</v>
      </c>
      <c r="E38" s="679"/>
      <c r="F38" s="529">
        <f>VLOOKUP(D38,'Mar 2013 Revenue'!D:T,17,FALSE)</f>
        <v>0</v>
      </c>
      <c r="G38" s="680"/>
      <c r="H38" s="680"/>
      <c r="I38" s="770">
        <v>43618.78</v>
      </c>
      <c r="J38" s="682">
        <f t="shared" si="0"/>
        <v>43618.78</v>
      </c>
      <c r="K38" s="683"/>
      <c r="L38" s="684"/>
      <c r="M38" s="753"/>
      <c r="N38" s="683">
        <v>0</v>
      </c>
      <c r="O38" s="686"/>
      <c r="P38" s="683">
        <v>0</v>
      </c>
      <c r="Q38" s="687">
        <f t="shared" si="1"/>
        <v>0</v>
      </c>
      <c r="R38" s="687"/>
      <c r="S38" s="687"/>
      <c r="T38" s="688">
        <v>0</v>
      </c>
      <c r="U38" s="693"/>
      <c r="V38" s="690">
        <f t="shared" si="13"/>
        <v>0</v>
      </c>
      <c r="W38" s="683"/>
      <c r="X38" s="474">
        <f t="shared" si="3"/>
        <v>0</v>
      </c>
      <c r="Y38" s="474">
        <f t="shared" si="4"/>
        <v>0</v>
      </c>
      <c r="Z38" s="475">
        <f t="shared" si="5"/>
        <v>0</v>
      </c>
      <c r="AA38" s="475">
        <v>0</v>
      </c>
      <c r="AB38" s="476">
        <v>0</v>
      </c>
      <c r="AC38" s="38">
        <f t="shared" si="6"/>
        <v>0</v>
      </c>
      <c r="AD38" s="692">
        <f t="shared" si="7"/>
        <v>43618.78</v>
      </c>
      <c r="AE38" s="692">
        <f t="shared" si="8"/>
        <v>0</v>
      </c>
      <c r="AF38" s="692">
        <f t="shared" si="9"/>
        <v>0</v>
      </c>
      <c r="AG38" s="38"/>
      <c r="AH38" s="692">
        <f t="shared" si="10"/>
        <v>0</v>
      </c>
      <c r="AI38" s="692">
        <f t="shared" si="11"/>
        <v>0</v>
      </c>
      <c r="AJ38" s="692">
        <f t="shared" si="12"/>
        <v>0</v>
      </c>
      <c r="AL38" s="38">
        <f t="shared" si="14"/>
        <v>43618.78</v>
      </c>
    </row>
    <row r="39" spans="1:38" s="232" customFormat="1">
      <c r="A39" s="283"/>
      <c r="B39" s="283" t="s">
        <v>110</v>
      </c>
      <c r="C39" s="676" t="s">
        <v>528</v>
      </c>
      <c r="D39" s="123" t="s">
        <v>623</v>
      </c>
      <c r="E39" s="679"/>
      <c r="F39" s="529">
        <f>VLOOKUP(D39,'Mar 2013 Revenue'!D:T,17,FALSE)</f>
        <v>0</v>
      </c>
      <c r="G39" s="680"/>
      <c r="H39" s="680"/>
      <c r="I39" s="804">
        <v>9709.98</v>
      </c>
      <c r="J39" s="682">
        <f t="shared" si="0"/>
        <v>9709.98</v>
      </c>
      <c r="K39" s="683"/>
      <c r="L39" s="684"/>
      <c r="M39" s="753"/>
      <c r="N39" s="683">
        <v>0</v>
      </c>
      <c r="O39" s="686"/>
      <c r="P39" s="683">
        <v>0</v>
      </c>
      <c r="Q39" s="687">
        <f t="shared" si="1"/>
        <v>0</v>
      </c>
      <c r="R39" s="687"/>
      <c r="S39" s="687"/>
      <c r="T39" s="688">
        <v>0</v>
      </c>
      <c r="U39" s="693"/>
      <c r="V39" s="690">
        <f t="shared" si="13"/>
        <v>0</v>
      </c>
      <c r="W39" s="683"/>
      <c r="X39" s="474">
        <f t="shared" si="3"/>
        <v>0</v>
      </c>
      <c r="Y39" s="474">
        <f t="shared" si="4"/>
        <v>0</v>
      </c>
      <c r="Z39" s="475">
        <f t="shared" si="5"/>
        <v>0</v>
      </c>
      <c r="AA39" s="475">
        <v>0</v>
      </c>
      <c r="AB39" s="476">
        <v>0</v>
      </c>
      <c r="AC39" s="38">
        <f t="shared" si="6"/>
        <v>0</v>
      </c>
      <c r="AD39" s="692">
        <f t="shared" si="7"/>
        <v>9709.98</v>
      </c>
      <c r="AE39" s="692">
        <f t="shared" si="8"/>
        <v>0</v>
      </c>
      <c r="AF39" s="692">
        <f t="shared" si="9"/>
        <v>0</v>
      </c>
      <c r="AG39" s="38"/>
      <c r="AH39" s="692">
        <f t="shared" si="10"/>
        <v>0</v>
      </c>
      <c r="AI39" s="692">
        <f t="shared" si="11"/>
        <v>0</v>
      </c>
      <c r="AJ39" s="692">
        <f t="shared" si="12"/>
        <v>0</v>
      </c>
      <c r="AL39" s="38">
        <f t="shared" si="14"/>
        <v>9709.98</v>
      </c>
    </row>
    <row r="40" spans="1:38" s="232" customFormat="1">
      <c r="A40" s="403"/>
      <c r="B40" s="403" t="s">
        <v>114</v>
      </c>
      <c r="C40" s="666" t="s">
        <v>529</v>
      </c>
      <c r="D40" s="123" t="s">
        <v>108</v>
      </c>
      <c r="E40" s="679"/>
      <c r="F40" s="529">
        <f>VLOOKUP(D40,'Mar 2013 Revenue'!D:T,17,FALSE)</f>
        <v>212.26000000000022</v>
      </c>
      <c r="G40" s="680"/>
      <c r="H40" s="680"/>
      <c r="I40" s="755"/>
      <c r="J40" s="682">
        <f t="shared" si="0"/>
        <v>212.26000000000022</v>
      </c>
      <c r="K40" s="683"/>
      <c r="L40" s="684"/>
      <c r="M40" s="753">
        <v>8000</v>
      </c>
      <c r="N40" s="683">
        <v>0</v>
      </c>
      <c r="O40" s="686"/>
      <c r="P40" s="683">
        <v>0</v>
      </c>
      <c r="Q40" s="687">
        <f t="shared" si="1"/>
        <v>8000</v>
      </c>
      <c r="R40" s="687"/>
      <c r="S40" s="687"/>
      <c r="T40" s="688">
        <v>8436.98</v>
      </c>
      <c r="U40" s="693"/>
      <c r="V40" s="690">
        <f t="shared" si="13"/>
        <v>436.97999999999956</v>
      </c>
      <c r="W40" s="683"/>
      <c r="X40" s="474">
        <f t="shared" si="3"/>
        <v>0</v>
      </c>
      <c r="Y40" s="474">
        <f t="shared" si="4"/>
        <v>0</v>
      </c>
      <c r="Z40" s="475">
        <f t="shared" si="5"/>
        <v>8000</v>
      </c>
      <c r="AA40" s="475">
        <v>0</v>
      </c>
      <c r="AB40" s="476">
        <v>0</v>
      </c>
      <c r="AC40" s="38">
        <f t="shared" si="6"/>
        <v>0</v>
      </c>
      <c r="AD40" s="692">
        <f t="shared" si="7"/>
        <v>0</v>
      </c>
      <c r="AE40" s="692">
        <f t="shared" si="8"/>
        <v>0</v>
      </c>
      <c r="AF40" s="692">
        <f t="shared" si="9"/>
        <v>212.26000000000022</v>
      </c>
      <c r="AG40" s="38"/>
      <c r="AH40" s="692">
        <f t="shared" si="10"/>
        <v>0</v>
      </c>
      <c r="AI40" s="692">
        <f t="shared" si="11"/>
        <v>0</v>
      </c>
      <c r="AJ40" s="692">
        <f t="shared" si="12"/>
        <v>8000</v>
      </c>
      <c r="AL40" s="38">
        <f t="shared" si="14"/>
        <v>8212.26</v>
      </c>
    </row>
    <row r="41" spans="1:38" s="232" customFormat="1">
      <c r="A41" s="403"/>
      <c r="B41" s="403" t="s">
        <v>110</v>
      </c>
      <c r="C41" s="666"/>
      <c r="D41" s="123" t="s">
        <v>911</v>
      </c>
      <c r="E41" s="679"/>
      <c r="F41" s="529">
        <f>VLOOKUP(D41,'Mar 2013 Revenue'!D:T,17,FALSE)</f>
        <v>-5000</v>
      </c>
      <c r="G41" s="680"/>
      <c r="H41" s="680"/>
      <c r="I41" s="755"/>
      <c r="J41" s="682">
        <f t="shared" si="0"/>
        <v>-5000</v>
      </c>
      <c r="K41" s="683"/>
      <c r="L41" s="684"/>
      <c r="M41" s="753">
        <v>10000</v>
      </c>
      <c r="N41" s="683">
        <v>0</v>
      </c>
      <c r="O41" s="686"/>
      <c r="P41" s="683">
        <v>0</v>
      </c>
      <c r="Q41" s="687">
        <f t="shared" si="1"/>
        <v>10000</v>
      </c>
      <c r="R41" s="687"/>
      <c r="S41" s="687"/>
      <c r="T41" s="688">
        <v>12015.8</v>
      </c>
      <c r="U41" s="693"/>
      <c r="V41" s="690">
        <f t="shared" si="13"/>
        <v>2015.7999999999993</v>
      </c>
      <c r="W41" s="683"/>
      <c r="X41" s="474">
        <f t="shared" si="3"/>
        <v>10000</v>
      </c>
      <c r="Y41" s="474">
        <f t="shared" si="4"/>
        <v>0</v>
      </c>
      <c r="Z41" s="475">
        <f t="shared" si="5"/>
        <v>0</v>
      </c>
      <c r="AA41" s="475">
        <v>0</v>
      </c>
      <c r="AB41" s="476">
        <v>0</v>
      </c>
      <c r="AC41" s="38">
        <f t="shared" si="6"/>
        <v>0</v>
      </c>
      <c r="AD41" s="692">
        <f t="shared" si="7"/>
        <v>-5000</v>
      </c>
      <c r="AE41" s="692">
        <f t="shared" si="8"/>
        <v>0</v>
      </c>
      <c r="AF41" s="692">
        <f t="shared" si="9"/>
        <v>0</v>
      </c>
      <c r="AG41" s="38"/>
      <c r="AH41" s="692">
        <f t="shared" si="10"/>
        <v>10000</v>
      </c>
      <c r="AI41" s="692">
        <f t="shared" si="11"/>
        <v>0</v>
      </c>
      <c r="AJ41" s="692">
        <f t="shared" si="12"/>
        <v>0</v>
      </c>
      <c r="AL41" s="38">
        <f t="shared" si="14"/>
        <v>5000</v>
      </c>
    </row>
    <row r="42" spans="1:38">
      <c r="A42" s="21"/>
      <c r="B42" s="21" t="s">
        <v>110</v>
      </c>
      <c r="C42" s="666"/>
      <c r="D42" s="68" t="s">
        <v>234</v>
      </c>
      <c r="E42" s="679"/>
      <c r="F42" s="529">
        <f>VLOOKUP(D42,'Mar 2013 Revenue'!D:T,17,FALSE)</f>
        <v>-8000</v>
      </c>
      <c r="G42" s="680"/>
      <c r="H42" s="680"/>
      <c r="I42" s="755"/>
      <c r="J42" s="682">
        <f t="shared" si="0"/>
        <v>-8000</v>
      </c>
      <c r="K42" s="683"/>
      <c r="L42" s="684"/>
      <c r="M42" s="753">
        <v>10000</v>
      </c>
      <c r="N42" s="683">
        <v>0</v>
      </c>
      <c r="O42" s="686"/>
      <c r="P42" s="683">
        <v>0</v>
      </c>
      <c r="Q42" s="687">
        <f t="shared" si="1"/>
        <v>10000</v>
      </c>
      <c r="R42" s="687"/>
      <c r="S42" s="687"/>
      <c r="T42" s="688">
        <v>0</v>
      </c>
      <c r="U42" s="693"/>
      <c r="V42" s="690">
        <f t="shared" si="13"/>
        <v>-10000</v>
      </c>
      <c r="W42" s="683"/>
      <c r="X42" s="474">
        <f t="shared" si="3"/>
        <v>10000</v>
      </c>
      <c r="Y42" s="474">
        <f t="shared" si="4"/>
        <v>0</v>
      </c>
      <c r="Z42" s="475">
        <f t="shared" si="5"/>
        <v>0</v>
      </c>
      <c r="AA42" s="475">
        <v>0</v>
      </c>
      <c r="AB42" s="476">
        <v>0</v>
      </c>
      <c r="AC42" s="38">
        <f t="shared" si="6"/>
        <v>0</v>
      </c>
      <c r="AD42" s="692">
        <f t="shared" si="7"/>
        <v>-8000</v>
      </c>
      <c r="AE42" s="692">
        <f t="shared" si="8"/>
        <v>0</v>
      </c>
      <c r="AF42" s="692">
        <f t="shared" si="9"/>
        <v>0</v>
      </c>
      <c r="AG42" s="38"/>
      <c r="AH42" s="692">
        <f t="shared" si="10"/>
        <v>10000</v>
      </c>
      <c r="AI42" s="692">
        <f t="shared" si="11"/>
        <v>0</v>
      </c>
      <c r="AJ42" s="692">
        <f t="shared" si="12"/>
        <v>0</v>
      </c>
      <c r="AL42" s="38">
        <f t="shared" si="14"/>
        <v>2000</v>
      </c>
    </row>
    <row r="43" spans="1:38">
      <c r="A43" s="20"/>
      <c r="B43" s="20" t="s">
        <v>109</v>
      </c>
      <c r="C43" s="667"/>
      <c r="D43" s="68" t="s">
        <v>598</v>
      </c>
      <c r="E43" s="679"/>
      <c r="F43" s="529">
        <f>VLOOKUP(D43,'Mar 2013 Revenue'!D:T,17,FALSE)</f>
        <v>0</v>
      </c>
      <c r="G43" s="680"/>
      <c r="H43" s="680"/>
      <c r="I43" s="755"/>
      <c r="J43" s="682">
        <f t="shared" si="0"/>
        <v>0</v>
      </c>
      <c r="K43" s="683"/>
      <c r="L43" s="684"/>
      <c r="M43" s="753"/>
      <c r="N43" s="683">
        <v>0</v>
      </c>
      <c r="O43" s="686"/>
      <c r="P43" s="683">
        <v>0</v>
      </c>
      <c r="Q43" s="687">
        <f t="shared" si="1"/>
        <v>0</v>
      </c>
      <c r="R43" s="687"/>
      <c r="S43" s="687"/>
      <c r="T43" s="688">
        <v>1024.23</v>
      </c>
      <c r="U43" s="693"/>
      <c r="V43" s="690">
        <f t="shared" si="13"/>
        <v>1024.23</v>
      </c>
      <c r="W43" s="683"/>
      <c r="X43" s="474">
        <f t="shared" si="3"/>
        <v>0</v>
      </c>
      <c r="Y43" s="474">
        <f t="shared" si="4"/>
        <v>0</v>
      </c>
      <c r="Z43" s="475">
        <f t="shared" si="5"/>
        <v>0</v>
      </c>
      <c r="AA43" s="475">
        <v>0</v>
      </c>
      <c r="AB43" s="476">
        <v>0</v>
      </c>
      <c r="AC43" s="38">
        <f t="shared" si="6"/>
        <v>0</v>
      </c>
      <c r="AD43" s="692">
        <f t="shared" si="7"/>
        <v>0</v>
      </c>
      <c r="AE43" s="692">
        <f t="shared" si="8"/>
        <v>0</v>
      </c>
      <c r="AF43" s="692">
        <f t="shared" si="9"/>
        <v>0</v>
      </c>
      <c r="AG43" s="38"/>
      <c r="AH43" s="692">
        <f t="shared" si="10"/>
        <v>0</v>
      </c>
      <c r="AI43" s="692">
        <f t="shared" si="11"/>
        <v>0</v>
      </c>
      <c r="AJ43" s="692">
        <f t="shared" si="12"/>
        <v>0</v>
      </c>
      <c r="AL43" s="38">
        <f t="shared" si="14"/>
        <v>0</v>
      </c>
    </row>
    <row r="44" spans="1:38">
      <c r="A44" s="20"/>
      <c r="B44" s="20" t="s">
        <v>110</v>
      </c>
      <c r="C44" s="667"/>
      <c r="D44" s="68" t="s">
        <v>311</v>
      </c>
      <c r="E44" s="679"/>
      <c r="F44" s="529">
        <f>VLOOKUP(D44,'Mar 2013 Revenue'!D:T,17,FALSE)</f>
        <v>0</v>
      </c>
      <c r="G44" s="680"/>
      <c r="H44" s="680"/>
      <c r="I44" s="755"/>
      <c r="J44" s="682">
        <f t="shared" si="0"/>
        <v>0</v>
      </c>
      <c r="K44" s="683"/>
      <c r="L44" s="684"/>
      <c r="M44" s="753"/>
      <c r="N44" s="683">
        <v>0</v>
      </c>
      <c r="O44" s="686"/>
      <c r="P44" s="683">
        <v>0</v>
      </c>
      <c r="Q44" s="687">
        <f t="shared" si="1"/>
        <v>0</v>
      </c>
      <c r="R44" s="687"/>
      <c r="S44" s="687"/>
      <c r="T44" s="688">
        <v>0</v>
      </c>
      <c r="U44" s="693"/>
      <c r="V44" s="690">
        <f t="shared" si="13"/>
        <v>0</v>
      </c>
      <c r="W44" s="683"/>
      <c r="X44" s="474">
        <f t="shared" si="3"/>
        <v>0</v>
      </c>
      <c r="Y44" s="474">
        <f t="shared" si="4"/>
        <v>0</v>
      </c>
      <c r="Z44" s="475">
        <f t="shared" si="5"/>
        <v>0</v>
      </c>
      <c r="AA44" s="475">
        <v>0</v>
      </c>
      <c r="AB44" s="476">
        <v>0</v>
      </c>
      <c r="AC44" s="38">
        <f t="shared" si="6"/>
        <v>0</v>
      </c>
      <c r="AD44" s="692">
        <f t="shared" si="7"/>
        <v>0</v>
      </c>
      <c r="AE44" s="692">
        <f t="shared" si="8"/>
        <v>0</v>
      </c>
      <c r="AF44" s="692">
        <f t="shared" si="9"/>
        <v>0</v>
      </c>
      <c r="AG44" s="38"/>
      <c r="AH44" s="692">
        <f t="shared" si="10"/>
        <v>0</v>
      </c>
      <c r="AI44" s="692">
        <f t="shared" si="11"/>
        <v>0</v>
      </c>
      <c r="AJ44" s="692">
        <f t="shared" si="12"/>
        <v>0</v>
      </c>
      <c r="AL44" s="38">
        <f t="shared" si="14"/>
        <v>0</v>
      </c>
    </row>
    <row r="45" spans="1:38">
      <c r="A45" s="20"/>
      <c r="B45" s="20" t="s">
        <v>110</v>
      </c>
      <c r="C45" s="667"/>
      <c r="D45" s="68" t="s">
        <v>451</v>
      </c>
      <c r="E45" s="679">
        <v>20910.63</v>
      </c>
      <c r="F45" s="529">
        <f>VLOOKUP(D45,'Mar 2013 Revenue'!D:T,17,FALSE)</f>
        <v>-18323.96</v>
      </c>
      <c r="G45" s="680"/>
      <c r="H45" s="680"/>
      <c r="I45" s="755"/>
      <c r="J45" s="682">
        <f t="shared" si="0"/>
        <v>2586.6700000000019</v>
      </c>
      <c r="K45" s="683"/>
      <c r="L45" s="684"/>
      <c r="M45" s="753">
        <v>50000</v>
      </c>
      <c r="N45" s="683">
        <v>0</v>
      </c>
      <c r="O45" s="686"/>
      <c r="P45" s="683">
        <v>0</v>
      </c>
      <c r="Q45" s="687">
        <f t="shared" si="1"/>
        <v>50000</v>
      </c>
      <c r="R45" s="687"/>
      <c r="S45" s="687"/>
      <c r="T45" s="688">
        <v>0</v>
      </c>
      <c r="U45" s="693"/>
      <c r="V45" s="690">
        <f t="shared" si="13"/>
        <v>-50000</v>
      </c>
      <c r="W45" s="683"/>
      <c r="X45" s="474">
        <f t="shared" si="3"/>
        <v>50000</v>
      </c>
      <c r="Y45" s="474">
        <f t="shared" si="4"/>
        <v>0</v>
      </c>
      <c r="Z45" s="475">
        <f t="shared" si="5"/>
        <v>0</v>
      </c>
      <c r="AA45" s="475">
        <v>0</v>
      </c>
      <c r="AB45" s="476">
        <v>0</v>
      </c>
      <c r="AC45" s="38">
        <f t="shared" si="6"/>
        <v>0</v>
      </c>
      <c r="AD45" s="692">
        <f t="shared" si="7"/>
        <v>2586.6700000000019</v>
      </c>
      <c r="AE45" s="692">
        <f t="shared" si="8"/>
        <v>0</v>
      </c>
      <c r="AF45" s="692">
        <f t="shared" si="9"/>
        <v>0</v>
      </c>
      <c r="AG45" s="38"/>
      <c r="AH45" s="692">
        <f t="shared" si="10"/>
        <v>50000</v>
      </c>
      <c r="AI45" s="692">
        <f t="shared" si="11"/>
        <v>0</v>
      </c>
      <c r="AJ45" s="692">
        <f t="shared" si="12"/>
        <v>0</v>
      </c>
      <c r="AL45" s="38">
        <f t="shared" si="14"/>
        <v>52586.67</v>
      </c>
    </row>
    <row r="46" spans="1:38">
      <c r="A46" s="20"/>
      <c r="B46" s="20" t="s">
        <v>109</v>
      </c>
      <c r="C46" s="667"/>
      <c r="D46" s="68" t="s">
        <v>469</v>
      </c>
      <c r="E46" s="679"/>
      <c r="F46" s="529">
        <f>VLOOKUP(D46,'Mar 2013 Revenue'!D:T,17,FALSE)</f>
        <v>0</v>
      </c>
      <c r="G46" s="680"/>
      <c r="H46" s="680"/>
      <c r="I46" s="755"/>
      <c r="J46" s="682">
        <f t="shared" si="0"/>
        <v>0</v>
      </c>
      <c r="K46" s="683"/>
      <c r="L46" s="684"/>
      <c r="M46" s="753"/>
      <c r="N46" s="683">
        <v>0</v>
      </c>
      <c r="O46" s="686"/>
      <c r="P46" s="683">
        <v>0</v>
      </c>
      <c r="Q46" s="687">
        <f t="shared" si="1"/>
        <v>0</v>
      </c>
      <c r="R46" s="687"/>
      <c r="S46" s="687"/>
      <c r="T46" s="688">
        <v>0</v>
      </c>
      <c r="U46" s="693"/>
      <c r="V46" s="690">
        <f t="shared" si="13"/>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4"/>
        <v>0</v>
      </c>
    </row>
    <row r="47" spans="1:38">
      <c r="A47" s="20"/>
      <c r="B47" s="20" t="s">
        <v>110</v>
      </c>
      <c r="C47" s="667" t="s">
        <v>530</v>
      </c>
      <c r="D47" s="68" t="s">
        <v>69</v>
      </c>
      <c r="E47" s="679">
        <v>2032.06</v>
      </c>
      <c r="F47" s="529">
        <f>VLOOKUP(D47,'Mar 2013 Revenue'!D:T,17,FALSE)</f>
        <v>2087.96</v>
      </c>
      <c r="G47" s="680"/>
      <c r="H47" s="680"/>
      <c r="I47" s="755"/>
      <c r="J47" s="682">
        <f t="shared" si="0"/>
        <v>4120.0200000000004</v>
      </c>
      <c r="K47" s="683"/>
      <c r="L47" s="684"/>
      <c r="M47" s="753"/>
      <c r="N47" s="683">
        <v>0</v>
      </c>
      <c r="O47" s="686"/>
      <c r="P47" s="683">
        <v>0</v>
      </c>
      <c r="Q47" s="687">
        <f t="shared" si="1"/>
        <v>0</v>
      </c>
      <c r="R47" s="687"/>
      <c r="S47" s="687"/>
      <c r="T47" s="688">
        <v>2098.4699999999998</v>
      </c>
      <c r="U47" s="693"/>
      <c r="V47" s="690">
        <f t="shared" si="13"/>
        <v>2098.4699999999998</v>
      </c>
      <c r="W47" s="683"/>
      <c r="X47" s="474">
        <f t="shared" si="3"/>
        <v>0</v>
      </c>
      <c r="Y47" s="474">
        <f t="shared" si="4"/>
        <v>0</v>
      </c>
      <c r="Z47" s="475">
        <f t="shared" si="5"/>
        <v>0</v>
      </c>
      <c r="AA47" s="475">
        <v>0</v>
      </c>
      <c r="AB47" s="476">
        <v>0</v>
      </c>
      <c r="AC47" s="38">
        <f t="shared" si="6"/>
        <v>0</v>
      </c>
      <c r="AD47" s="692">
        <f t="shared" si="7"/>
        <v>4120.0200000000004</v>
      </c>
      <c r="AE47" s="692">
        <f t="shared" si="8"/>
        <v>0</v>
      </c>
      <c r="AF47" s="692">
        <f t="shared" si="9"/>
        <v>0</v>
      </c>
      <c r="AG47" s="38"/>
      <c r="AH47" s="692">
        <f t="shared" si="10"/>
        <v>0</v>
      </c>
      <c r="AI47" s="692">
        <f t="shared" si="11"/>
        <v>0</v>
      </c>
      <c r="AJ47" s="692">
        <f t="shared" si="12"/>
        <v>0</v>
      </c>
      <c r="AL47" s="38">
        <f t="shared" si="14"/>
        <v>4120.0200000000004</v>
      </c>
    </row>
    <row r="48" spans="1:38" hidden="1">
      <c r="A48" s="20"/>
      <c r="B48" s="20" t="s">
        <v>110</v>
      </c>
      <c r="C48" s="667" t="s">
        <v>531</v>
      </c>
      <c r="D48" s="68" t="s">
        <v>237</v>
      </c>
      <c r="E48" s="679"/>
      <c r="F48" s="529">
        <f>VLOOKUP(D48,'Mar 2013 Revenue'!D:T,17,FALSE)</f>
        <v>0</v>
      </c>
      <c r="G48" s="680"/>
      <c r="H48" s="680"/>
      <c r="I48" s="755"/>
      <c r="J48" s="682">
        <f t="shared" si="0"/>
        <v>0</v>
      </c>
      <c r="K48" s="683"/>
      <c r="L48" s="684"/>
      <c r="M48" s="753"/>
      <c r="N48" s="683">
        <v>0</v>
      </c>
      <c r="O48" s="686"/>
      <c r="P48" s="683">
        <v>0</v>
      </c>
      <c r="Q48" s="687">
        <f t="shared" si="1"/>
        <v>0</v>
      </c>
      <c r="R48" s="687"/>
      <c r="S48" s="687"/>
      <c r="T48" s="688">
        <v>0</v>
      </c>
      <c r="U48" s="693"/>
      <c r="V48" s="690">
        <f t="shared" si="13"/>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4"/>
        <v>0</v>
      </c>
    </row>
    <row r="49" spans="1:38">
      <c r="A49" s="20" t="s">
        <v>211</v>
      </c>
      <c r="B49" s="20" t="s">
        <v>110</v>
      </c>
      <c r="C49" s="667" t="s">
        <v>532</v>
      </c>
      <c r="D49" s="68" t="s">
        <v>7</v>
      </c>
      <c r="E49" s="679"/>
      <c r="F49" s="529">
        <f>VLOOKUP(D49,'Mar 2013 Revenue'!D:T,17,FALSE)</f>
        <v>23143.54</v>
      </c>
      <c r="G49" s="680"/>
      <c r="H49" s="680"/>
      <c r="I49" s="755"/>
      <c r="J49" s="682">
        <f t="shared" si="0"/>
        <v>23143.54</v>
      </c>
      <c r="K49" s="683"/>
      <c r="L49" s="684"/>
      <c r="M49" s="753">
        <v>15000</v>
      </c>
      <c r="N49" s="683">
        <v>0</v>
      </c>
      <c r="O49" s="686"/>
      <c r="P49" s="683">
        <v>0</v>
      </c>
      <c r="Q49" s="687">
        <f t="shared" si="1"/>
        <v>15000</v>
      </c>
      <c r="R49" s="687"/>
      <c r="S49" s="687"/>
      <c r="T49" s="688">
        <v>0</v>
      </c>
      <c r="U49" s="693"/>
      <c r="V49" s="690">
        <f t="shared" si="13"/>
        <v>-15000</v>
      </c>
      <c r="W49" s="697"/>
      <c r="X49" s="474">
        <f t="shared" si="3"/>
        <v>15000</v>
      </c>
      <c r="Y49" s="474">
        <f t="shared" si="4"/>
        <v>0</v>
      </c>
      <c r="Z49" s="475">
        <f t="shared" si="5"/>
        <v>0</v>
      </c>
      <c r="AA49" s="475">
        <v>0</v>
      </c>
      <c r="AB49" s="476">
        <v>0</v>
      </c>
      <c r="AC49" s="38">
        <f t="shared" si="6"/>
        <v>0</v>
      </c>
      <c r="AD49" s="692">
        <f t="shared" si="7"/>
        <v>23143.54</v>
      </c>
      <c r="AE49" s="692">
        <f t="shared" si="8"/>
        <v>0</v>
      </c>
      <c r="AF49" s="692">
        <f t="shared" si="9"/>
        <v>0</v>
      </c>
      <c r="AG49" s="38"/>
      <c r="AH49" s="692">
        <f t="shared" si="10"/>
        <v>15000</v>
      </c>
      <c r="AI49" s="692">
        <f t="shared" si="11"/>
        <v>0</v>
      </c>
      <c r="AJ49" s="692">
        <f t="shared" si="12"/>
        <v>0</v>
      </c>
      <c r="AL49" s="38">
        <f t="shared" si="14"/>
        <v>38143.54</v>
      </c>
    </row>
    <row r="50" spans="1:38" s="232" customFormat="1" hidden="1">
      <c r="A50" s="283" t="s">
        <v>97</v>
      </c>
      <c r="B50" s="283" t="s">
        <v>109</v>
      </c>
      <c r="C50" s="667" t="s">
        <v>533</v>
      </c>
      <c r="D50" s="123" t="s">
        <v>415</v>
      </c>
      <c r="E50" s="679"/>
      <c r="F50" s="529">
        <f>VLOOKUP(D50,'Mar 2013 Revenue'!D:T,17,FALSE)</f>
        <v>0</v>
      </c>
      <c r="G50" s="680"/>
      <c r="H50" s="680"/>
      <c r="I50" s="755"/>
      <c r="J50" s="682">
        <f t="shared" si="0"/>
        <v>0</v>
      </c>
      <c r="K50" s="683"/>
      <c r="L50" s="684"/>
      <c r="M50" s="753"/>
      <c r="N50" s="683">
        <v>0</v>
      </c>
      <c r="O50" s="686"/>
      <c r="P50" s="683">
        <v>0</v>
      </c>
      <c r="Q50" s="687">
        <f t="shared" si="1"/>
        <v>0</v>
      </c>
      <c r="R50" s="687"/>
      <c r="S50" s="687"/>
      <c r="T50" s="688">
        <v>0</v>
      </c>
      <c r="U50" s="693"/>
      <c r="V50" s="690">
        <f t="shared" si="13"/>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4"/>
        <v>0</v>
      </c>
    </row>
    <row r="51" spans="1:38" s="232" customFormat="1" hidden="1">
      <c r="A51" s="283"/>
      <c r="B51" s="283" t="s">
        <v>109</v>
      </c>
      <c r="C51" s="667" t="s">
        <v>533</v>
      </c>
      <c r="D51" s="123" t="s">
        <v>416</v>
      </c>
      <c r="E51" s="679"/>
      <c r="F51" s="529">
        <f>VLOOKUP(D51,'Mar 2013 Revenue'!D:T,17,FALSE)</f>
        <v>0</v>
      </c>
      <c r="G51" s="680"/>
      <c r="H51" s="680"/>
      <c r="I51" s="755"/>
      <c r="J51" s="682">
        <f t="shared" si="0"/>
        <v>0</v>
      </c>
      <c r="K51" s="683"/>
      <c r="L51" s="684"/>
      <c r="M51" s="753"/>
      <c r="N51" s="683">
        <v>0</v>
      </c>
      <c r="O51" s="686"/>
      <c r="P51" s="683">
        <v>0</v>
      </c>
      <c r="Q51" s="687">
        <f t="shared" si="1"/>
        <v>0</v>
      </c>
      <c r="R51" s="687"/>
      <c r="S51" s="687"/>
      <c r="T51" s="688">
        <v>0</v>
      </c>
      <c r="U51" s="693"/>
      <c r="V51" s="690">
        <f t="shared" si="13"/>
        <v>0</v>
      </c>
      <c r="W51" s="683"/>
      <c r="X51" s="474">
        <f t="shared" si="3"/>
        <v>0</v>
      </c>
      <c r="Y51" s="474">
        <f t="shared" si="4"/>
        <v>0</v>
      </c>
      <c r="Z51" s="475">
        <f t="shared" si="5"/>
        <v>0</v>
      </c>
      <c r="AA51" s="475">
        <v>0</v>
      </c>
      <c r="AB51" s="476">
        <v>0</v>
      </c>
      <c r="AC51" s="38">
        <f t="shared" si="6"/>
        <v>0</v>
      </c>
      <c r="AD51" s="692">
        <f t="shared" si="7"/>
        <v>0</v>
      </c>
      <c r="AE51" s="692">
        <f t="shared" si="8"/>
        <v>0</v>
      </c>
      <c r="AF51" s="692">
        <f t="shared" si="9"/>
        <v>0</v>
      </c>
      <c r="AG51" s="38"/>
      <c r="AH51" s="692">
        <f t="shared" si="10"/>
        <v>0</v>
      </c>
      <c r="AI51" s="692">
        <f t="shared" si="11"/>
        <v>0</v>
      </c>
      <c r="AJ51" s="692">
        <f t="shared" si="12"/>
        <v>0</v>
      </c>
      <c r="AL51" s="38">
        <f t="shared" si="14"/>
        <v>0</v>
      </c>
    </row>
    <row r="52" spans="1:38" s="232" customFormat="1" hidden="1">
      <c r="A52" s="283"/>
      <c r="B52" s="283" t="s">
        <v>109</v>
      </c>
      <c r="C52" s="667" t="s">
        <v>533</v>
      </c>
      <c r="D52" s="123" t="s">
        <v>417</v>
      </c>
      <c r="E52" s="679"/>
      <c r="F52" s="529">
        <f>VLOOKUP(D52,'Mar 2013 Revenue'!D:T,17,FALSE)</f>
        <v>0</v>
      </c>
      <c r="G52" s="680"/>
      <c r="H52" s="680"/>
      <c r="I52" s="755"/>
      <c r="J52" s="682">
        <f t="shared" si="0"/>
        <v>0</v>
      </c>
      <c r="K52" s="683"/>
      <c r="L52" s="684"/>
      <c r="M52" s="753"/>
      <c r="N52" s="683">
        <v>0</v>
      </c>
      <c r="O52" s="686"/>
      <c r="P52" s="683">
        <v>0</v>
      </c>
      <c r="Q52" s="687">
        <f t="shared" si="1"/>
        <v>0</v>
      </c>
      <c r="R52" s="687"/>
      <c r="S52" s="687"/>
      <c r="T52" s="688">
        <v>0</v>
      </c>
      <c r="U52" s="693"/>
      <c r="V52" s="690">
        <f t="shared" si="13"/>
        <v>0</v>
      </c>
      <c r="W52" s="683"/>
      <c r="X52" s="474">
        <f t="shared" si="3"/>
        <v>0</v>
      </c>
      <c r="Y52" s="474">
        <f t="shared" si="4"/>
        <v>0</v>
      </c>
      <c r="Z52" s="475">
        <f t="shared" si="5"/>
        <v>0</v>
      </c>
      <c r="AA52" s="475">
        <v>0</v>
      </c>
      <c r="AB52" s="476">
        <v>0</v>
      </c>
      <c r="AC52" s="38">
        <f t="shared" si="6"/>
        <v>0</v>
      </c>
      <c r="AD52" s="692">
        <f t="shared" si="7"/>
        <v>0</v>
      </c>
      <c r="AE52" s="692">
        <f t="shared" si="8"/>
        <v>0</v>
      </c>
      <c r="AF52" s="692">
        <f t="shared" si="9"/>
        <v>0</v>
      </c>
      <c r="AG52" s="38"/>
      <c r="AH52" s="692">
        <f t="shared" si="10"/>
        <v>0</v>
      </c>
      <c r="AI52" s="692">
        <f t="shared" si="11"/>
        <v>0</v>
      </c>
      <c r="AJ52" s="692">
        <f t="shared" si="12"/>
        <v>0</v>
      </c>
      <c r="AL52" s="38">
        <f t="shared" si="14"/>
        <v>0</v>
      </c>
    </row>
    <row r="53" spans="1:38" s="232" customFormat="1" hidden="1">
      <c r="A53" s="283"/>
      <c r="B53" s="283" t="s">
        <v>109</v>
      </c>
      <c r="C53" s="667" t="s">
        <v>533</v>
      </c>
      <c r="D53" s="123" t="s">
        <v>418</v>
      </c>
      <c r="E53" s="679"/>
      <c r="F53" s="529">
        <f>VLOOKUP(D53,'Mar 2013 Revenue'!D:T,17,FALSE)</f>
        <v>0</v>
      </c>
      <c r="G53" s="680"/>
      <c r="H53" s="680"/>
      <c r="I53" s="755"/>
      <c r="J53" s="682">
        <f t="shared" si="0"/>
        <v>0</v>
      </c>
      <c r="K53" s="683"/>
      <c r="L53" s="684"/>
      <c r="M53" s="753"/>
      <c r="N53" s="683">
        <v>0</v>
      </c>
      <c r="O53" s="686"/>
      <c r="P53" s="683">
        <v>0</v>
      </c>
      <c r="Q53" s="687">
        <f t="shared" si="1"/>
        <v>0</v>
      </c>
      <c r="R53" s="687"/>
      <c r="S53" s="687"/>
      <c r="T53" s="688">
        <v>0</v>
      </c>
      <c r="U53" s="693"/>
      <c r="V53" s="690">
        <f t="shared" si="13"/>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4"/>
        <v>0</v>
      </c>
    </row>
    <row r="54" spans="1:38">
      <c r="A54" s="20" t="s">
        <v>211</v>
      </c>
      <c r="B54" s="20" t="s">
        <v>109</v>
      </c>
      <c r="C54" s="667" t="s">
        <v>534</v>
      </c>
      <c r="D54" s="68" t="s">
        <v>9</v>
      </c>
      <c r="E54" s="679"/>
      <c r="F54" s="529">
        <f>VLOOKUP(D54,'Mar 2013 Revenue'!D:T,17,FALSE)</f>
        <v>0</v>
      </c>
      <c r="G54" s="680"/>
      <c r="H54" s="680"/>
      <c r="I54" s="755"/>
      <c r="J54" s="682">
        <f t="shared" si="0"/>
        <v>0</v>
      </c>
      <c r="K54" s="683"/>
      <c r="L54" s="684"/>
      <c r="M54" s="753"/>
      <c r="N54" s="683">
        <v>0</v>
      </c>
      <c r="O54" s="686"/>
      <c r="P54" s="683">
        <v>0</v>
      </c>
      <c r="Q54" s="687">
        <f t="shared" si="1"/>
        <v>0</v>
      </c>
      <c r="R54" s="687"/>
      <c r="S54" s="687"/>
      <c r="T54" s="688">
        <v>0</v>
      </c>
      <c r="U54" s="693"/>
      <c r="V54" s="690">
        <f t="shared" si="13"/>
        <v>0</v>
      </c>
      <c r="W54" s="697"/>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4"/>
        <v>0</v>
      </c>
    </row>
    <row r="55" spans="1:38">
      <c r="A55" s="20" t="s">
        <v>211</v>
      </c>
      <c r="B55" s="20" t="s">
        <v>114</v>
      </c>
      <c r="C55" s="667"/>
      <c r="D55" s="68" t="s">
        <v>487</v>
      </c>
      <c r="E55" s="679"/>
      <c r="F55" s="529">
        <f>VLOOKUP(D55,'Mar 2013 Revenue'!D:T,17,FALSE)</f>
        <v>0</v>
      </c>
      <c r="G55" s="680"/>
      <c r="H55" s="680"/>
      <c r="I55" s="755"/>
      <c r="J55" s="682">
        <f t="shared" si="0"/>
        <v>0</v>
      </c>
      <c r="K55" s="683"/>
      <c r="L55" s="684"/>
      <c r="M55" s="753"/>
      <c r="N55" s="683">
        <v>0</v>
      </c>
      <c r="O55" s="686"/>
      <c r="P55" s="683">
        <v>0</v>
      </c>
      <c r="Q55" s="687">
        <f t="shared" si="1"/>
        <v>0</v>
      </c>
      <c r="R55" s="687"/>
      <c r="S55" s="687"/>
      <c r="T55" s="688">
        <v>0</v>
      </c>
      <c r="U55" s="693"/>
      <c r="V55" s="690">
        <f t="shared" si="13"/>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4"/>
        <v>0</v>
      </c>
    </row>
    <row r="56" spans="1:38">
      <c r="A56" s="20"/>
      <c r="B56" s="20" t="s">
        <v>109</v>
      </c>
      <c r="C56" s="676" t="s">
        <v>906</v>
      </c>
      <c r="D56" s="68" t="s">
        <v>830</v>
      </c>
      <c r="E56" s="679"/>
      <c r="F56" s="529">
        <f>VLOOKUP(D56,'Mar 2013 Revenue'!D:T,17,FALSE)</f>
        <v>0</v>
      </c>
      <c r="G56" s="680"/>
      <c r="H56" s="680"/>
      <c r="I56" s="755"/>
      <c r="J56" s="682">
        <f>SUM(F56:I56)</f>
        <v>0</v>
      </c>
      <c r="K56" s="683"/>
      <c r="L56" s="684"/>
      <c r="M56" s="753">
        <v>175000</v>
      </c>
      <c r="N56" s="683">
        <v>0</v>
      </c>
      <c r="O56" s="686"/>
      <c r="P56" s="683">
        <v>0</v>
      </c>
      <c r="Q56" s="687">
        <f t="shared" si="1"/>
        <v>175000</v>
      </c>
      <c r="R56" s="687">
        <v>220000</v>
      </c>
      <c r="S56" s="687"/>
      <c r="T56" s="688">
        <v>430814.19</v>
      </c>
      <c r="U56" s="693"/>
      <c r="V56" s="690">
        <f t="shared" si="13"/>
        <v>35814.19</v>
      </c>
      <c r="W56" s="683"/>
      <c r="X56" s="474">
        <f t="shared" si="3"/>
        <v>0</v>
      </c>
      <c r="Y56" s="474">
        <f t="shared" si="4"/>
        <v>175000</v>
      </c>
      <c r="Z56" s="475">
        <f t="shared" si="5"/>
        <v>0</v>
      </c>
      <c r="AA56" s="475">
        <v>0</v>
      </c>
      <c r="AB56" s="476">
        <v>0</v>
      </c>
      <c r="AC56" s="38">
        <f t="shared" si="6"/>
        <v>0</v>
      </c>
      <c r="AD56" s="692">
        <f t="shared" si="7"/>
        <v>0</v>
      </c>
      <c r="AE56" s="692">
        <f t="shared" si="8"/>
        <v>0</v>
      </c>
      <c r="AF56" s="692">
        <f t="shared" si="9"/>
        <v>0</v>
      </c>
      <c r="AG56" s="38"/>
      <c r="AH56" s="692">
        <f t="shared" si="10"/>
        <v>0</v>
      </c>
      <c r="AI56" s="692">
        <f t="shared" si="11"/>
        <v>175000</v>
      </c>
      <c r="AJ56" s="692">
        <f t="shared" si="12"/>
        <v>0</v>
      </c>
      <c r="AL56" s="38">
        <f t="shared" si="14"/>
        <v>175000</v>
      </c>
    </row>
    <row r="57" spans="1:38">
      <c r="A57" s="20"/>
      <c r="B57" s="20" t="s">
        <v>109</v>
      </c>
      <c r="C57" s="667"/>
      <c r="D57" s="68" t="s">
        <v>374</v>
      </c>
      <c r="E57" s="679"/>
      <c r="F57" s="529">
        <f>VLOOKUP(D57,'Mar 2013 Revenue'!D:T,17,FALSE)</f>
        <v>1592.6899999999987</v>
      </c>
      <c r="G57" s="680"/>
      <c r="H57" s="680"/>
      <c r="I57" s="755"/>
      <c r="J57" s="682">
        <f t="shared" ref="J57:J122" si="15">SUM(E57:I57)</f>
        <v>1592.6899999999987</v>
      </c>
      <c r="K57" s="683"/>
      <c r="L57" s="684"/>
      <c r="M57" s="753">
        <v>5000</v>
      </c>
      <c r="N57" s="683">
        <v>0</v>
      </c>
      <c r="O57" s="686"/>
      <c r="P57" s="683">
        <v>0</v>
      </c>
      <c r="Q57" s="687">
        <f t="shared" si="1"/>
        <v>5000</v>
      </c>
      <c r="R57" s="687"/>
      <c r="S57" s="687"/>
      <c r="T57" s="688">
        <v>0</v>
      </c>
      <c r="U57" s="693"/>
      <c r="V57" s="690">
        <f t="shared" si="13"/>
        <v>-5000</v>
      </c>
      <c r="W57" s="683"/>
      <c r="X57" s="474">
        <f t="shared" si="3"/>
        <v>0</v>
      </c>
      <c r="Y57" s="474">
        <f t="shared" si="4"/>
        <v>5000</v>
      </c>
      <c r="Z57" s="475">
        <f t="shared" si="5"/>
        <v>0</v>
      </c>
      <c r="AA57" s="475">
        <v>0</v>
      </c>
      <c r="AB57" s="476">
        <v>0</v>
      </c>
      <c r="AC57" s="38">
        <f t="shared" si="6"/>
        <v>0</v>
      </c>
      <c r="AD57" s="692">
        <f t="shared" si="7"/>
        <v>0</v>
      </c>
      <c r="AE57" s="692">
        <f t="shared" si="8"/>
        <v>1592.6899999999987</v>
      </c>
      <c r="AF57" s="692">
        <f t="shared" si="9"/>
        <v>0</v>
      </c>
      <c r="AG57" s="38"/>
      <c r="AH57" s="692">
        <f t="shared" si="10"/>
        <v>0</v>
      </c>
      <c r="AI57" s="692">
        <f t="shared" si="11"/>
        <v>5000</v>
      </c>
      <c r="AJ57" s="692">
        <f t="shared" si="12"/>
        <v>0</v>
      </c>
      <c r="AL57" s="38">
        <f t="shared" si="14"/>
        <v>6592.6899999999987</v>
      </c>
    </row>
    <row r="58" spans="1:38">
      <c r="A58" s="20"/>
      <c r="B58" s="20" t="s">
        <v>114</v>
      </c>
      <c r="C58" s="667"/>
      <c r="D58" s="68" t="s">
        <v>502</v>
      </c>
      <c r="E58" s="679"/>
      <c r="F58" s="529">
        <f>VLOOKUP(D58,'Mar 2013 Revenue'!D:T,17,FALSE)</f>
        <v>0</v>
      </c>
      <c r="G58" s="680"/>
      <c r="H58" s="680"/>
      <c r="I58" s="755"/>
      <c r="J58" s="682">
        <f t="shared" si="15"/>
        <v>0</v>
      </c>
      <c r="K58" s="683"/>
      <c r="L58" s="684"/>
      <c r="M58" s="753"/>
      <c r="N58" s="683">
        <v>0</v>
      </c>
      <c r="O58" s="686"/>
      <c r="P58" s="683">
        <v>0</v>
      </c>
      <c r="Q58" s="687">
        <f t="shared" si="1"/>
        <v>0</v>
      </c>
      <c r="R58" s="687"/>
      <c r="S58" s="687"/>
      <c r="T58" s="688">
        <v>0</v>
      </c>
      <c r="U58" s="693"/>
      <c r="V58" s="690">
        <f t="shared" si="13"/>
        <v>0</v>
      </c>
      <c r="W58" s="683"/>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4"/>
        <v>0</v>
      </c>
    </row>
    <row r="59" spans="1:38">
      <c r="A59" s="21"/>
      <c r="B59" s="21" t="s">
        <v>110</v>
      </c>
      <c r="C59" s="666" t="s">
        <v>535</v>
      </c>
      <c r="D59" s="123" t="s">
        <v>517</v>
      </c>
      <c r="E59" s="679"/>
      <c r="F59" s="529">
        <f>VLOOKUP(D59,'Mar 2013 Revenue'!D:T,17,FALSE)</f>
        <v>-145000</v>
      </c>
      <c r="G59" s="680"/>
      <c r="H59" s="680"/>
      <c r="I59" s="755"/>
      <c r="J59" s="682">
        <f t="shared" si="15"/>
        <v>-145000</v>
      </c>
      <c r="K59" s="683"/>
      <c r="L59" s="684"/>
      <c r="M59" s="753">
        <v>300000</v>
      </c>
      <c r="N59" s="683">
        <v>0</v>
      </c>
      <c r="O59" s="686"/>
      <c r="P59" s="683">
        <v>0</v>
      </c>
      <c r="Q59" s="687">
        <f t="shared" si="1"/>
        <v>300000</v>
      </c>
      <c r="R59" s="687">
        <v>80000</v>
      </c>
      <c r="S59" s="687"/>
      <c r="T59" s="688">
        <v>261211.48</v>
      </c>
      <c r="U59" s="693"/>
      <c r="V59" s="690">
        <f t="shared" si="13"/>
        <v>-118788.51999999999</v>
      </c>
      <c r="W59" s="697"/>
      <c r="X59" s="474">
        <f t="shared" si="3"/>
        <v>300000</v>
      </c>
      <c r="Y59" s="474">
        <f t="shared" si="4"/>
        <v>0</v>
      </c>
      <c r="Z59" s="475">
        <f t="shared" si="5"/>
        <v>0</v>
      </c>
      <c r="AA59" s="475">
        <v>0</v>
      </c>
      <c r="AB59" s="476">
        <v>0</v>
      </c>
      <c r="AC59" s="38">
        <f t="shared" si="6"/>
        <v>0</v>
      </c>
      <c r="AD59" s="692">
        <f t="shared" si="7"/>
        <v>-145000</v>
      </c>
      <c r="AE59" s="692">
        <f t="shared" si="8"/>
        <v>0</v>
      </c>
      <c r="AF59" s="692">
        <f t="shared" si="9"/>
        <v>0</v>
      </c>
      <c r="AG59" s="38"/>
      <c r="AH59" s="692">
        <f t="shared" si="10"/>
        <v>300000</v>
      </c>
      <c r="AI59" s="692">
        <f t="shared" si="11"/>
        <v>0</v>
      </c>
      <c r="AJ59" s="692">
        <f t="shared" si="12"/>
        <v>0</v>
      </c>
      <c r="AL59" s="38">
        <f t="shared" si="14"/>
        <v>155000</v>
      </c>
    </row>
    <row r="60" spans="1:38">
      <c r="A60" s="20"/>
      <c r="B60" s="20" t="s">
        <v>110</v>
      </c>
      <c r="C60" s="667" t="s">
        <v>536</v>
      </c>
      <c r="D60" s="68" t="s">
        <v>450</v>
      </c>
      <c r="E60" s="679"/>
      <c r="F60" s="529">
        <f>VLOOKUP(D60,'Mar 2013 Revenue'!D:T,17,FALSE)</f>
        <v>0</v>
      </c>
      <c r="G60" s="680"/>
      <c r="H60" s="680"/>
      <c r="I60" s="755"/>
      <c r="J60" s="682">
        <f t="shared" si="15"/>
        <v>0</v>
      </c>
      <c r="K60" s="683"/>
      <c r="L60" s="684"/>
      <c r="M60" s="753"/>
      <c r="N60" s="683">
        <v>0</v>
      </c>
      <c r="O60" s="686"/>
      <c r="P60" s="683">
        <v>0</v>
      </c>
      <c r="Q60" s="687">
        <f t="shared" si="1"/>
        <v>0</v>
      </c>
      <c r="R60" s="687"/>
      <c r="S60" s="687"/>
      <c r="T60" s="688">
        <v>0</v>
      </c>
      <c r="U60" s="693"/>
      <c r="V60" s="690">
        <f t="shared" si="13"/>
        <v>0</v>
      </c>
      <c r="W60" s="683"/>
      <c r="X60" s="474">
        <f t="shared" si="3"/>
        <v>0</v>
      </c>
      <c r="Y60" s="474">
        <f t="shared" si="4"/>
        <v>0</v>
      </c>
      <c r="Z60" s="475">
        <f t="shared" si="5"/>
        <v>0</v>
      </c>
      <c r="AA60" s="475">
        <v>0</v>
      </c>
      <c r="AB60" s="476">
        <v>0</v>
      </c>
      <c r="AC60" s="38">
        <f t="shared" si="6"/>
        <v>0</v>
      </c>
      <c r="AD60" s="692">
        <f t="shared" si="7"/>
        <v>0</v>
      </c>
      <c r="AE60" s="692">
        <f t="shared" si="8"/>
        <v>0</v>
      </c>
      <c r="AF60" s="692">
        <f t="shared" si="9"/>
        <v>0</v>
      </c>
      <c r="AG60" s="38"/>
      <c r="AH60" s="692">
        <f t="shared" si="10"/>
        <v>0</v>
      </c>
      <c r="AI60" s="692">
        <f t="shared" si="11"/>
        <v>0</v>
      </c>
      <c r="AJ60" s="692">
        <f t="shared" si="12"/>
        <v>0</v>
      </c>
      <c r="AL60" s="38">
        <f t="shared" si="14"/>
        <v>0</v>
      </c>
    </row>
    <row r="61" spans="1:38">
      <c r="A61" s="21" t="s">
        <v>109</v>
      </c>
      <c r="B61" s="21" t="s">
        <v>110</v>
      </c>
      <c r="C61" s="666"/>
      <c r="D61" s="68" t="s">
        <v>438</v>
      </c>
      <c r="E61" s="679"/>
      <c r="F61" s="529">
        <f>VLOOKUP(D61,'Mar 2013 Revenue'!D:T,17,FALSE)</f>
        <v>0</v>
      </c>
      <c r="G61" s="680"/>
      <c r="H61" s="680"/>
      <c r="I61" s="755"/>
      <c r="J61" s="682">
        <f t="shared" si="15"/>
        <v>0</v>
      </c>
      <c r="K61" s="683"/>
      <c r="L61" s="684"/>
      <c r="M61" s="753"/>
      <c r="N61" s="683">
        <v>0</v>
      </c>
      <c r="O61" s="686"/>
      <c r="P61" s="683">
        <v>0</v>
      </c>
      <c r="Q61" s="687">
        <f t="shared" si="1"/>
        <v>0</v>
      </c>
      <c r="R61" s="687"/>
      <c r="S61" s="687"/>
      <c r="T61" s="688">
        <v>0</v>
      </c>
      <c r="U61" s="693"/>
      <c r="V61" s="690">
        <f t="shared" si="13"/>
        <v>0</v>
      </c>
      <c r="W61" s="697"/>
      <c r="X61" s="474">
        <f t="shared" si="3"/>
        <v>0</v>
      </c>
      <c r="Y61" s="474">
        <f t="shared" si="4"/>
        <v>0</v>
      </c>
      <c r="Z61" s="475">
        <f t="shared" si="5"/>
        <v>0</v>
      </c>
      <c r="AA61" s="475">
        <v>0</v>
      </c>
      <c r="AB61" s="476">
        <v>0</v>
      </c>
      <c r="AC61" s="38">
        <f t="shared" si="6"/>
        <v>0</v>
      </c>
      <c r="AD61" s="692">
        <f t="shared" si="7"/>
        <v>0</v>
      </c>
      <c r="AE61" s="692">
        <f t="shared" si="8"/>
        <v>0</v>
      </c>
      <c r="AF61" s="692">
        <f t="shared" si="9"/>
        <v>0</v>
      </c>
      <c r="AG61" s="38"/>
      <c r="AH61" s="692">
        <f t="shared" si="10"/>
        <v>0</v>
      </c>
      <c r="AI61" s="692">
        <f t="shared" si="11"/>
        <v>0</v>
      </c>
      <c r="AJ61" s="692">
        <f t="shared" si="12"/>
        <v>0</v>
      </c>
      <c r="AL61" s="38">
        <f t="shared" si="14"/>
        <v>0</v>
      </c>
    </row>
    <row r="62" spans="1:38">
      <c r="A62" s="21"/>
      <c r="B62" s="21" t="s">
        <v>110</v>
      </c>
      <c r="C62" s="666"/>
      <c r="D62" s="68" t="s">
        <v>628</v>
      </c>
      <c r="E62" s="679"/>
      <c r="F62" s="529">
        <f>VLOOKUP(D62,'Mar 2013 Revenue'!D:T,17,FALSE)</f>
        <v>0</v>
      </c>
      <c r="G62" s="680"/>
      <c r="H62" s="680"/>
      <c r="I62" s="755"/>
      <c r="J62" s="682">
        <f t="shared" si="15"/>
        <v>0</v>
      </c>
      <c r="K62" s="683"/>
      <c r="L62" s="684"/>
      <c r="M62" s="753"/>
      <c r="N62" s="683">
        <v>0</v>
      </c>
      <c r="O62" s="686"/>
      <c r="P62" s="683">
        <v>0</v>
      </c>
      <c r="Q62" s="687">
        <f t="shared" si="1"/>
        <v>0</v>
      </c>
      <c r="R62" s="687"/>
      <c r="S62" s="687"/>
      <c r="T62" s="688">
        <v>0</v>
      </c>
      <c r="U62" s="693"/>
      <c r="V62" s="690">
        <f t="shared" si="13"/>
        <v>0</v>
      </c>
      <c r="W62" s="697"/>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4"/>
        <v>0</v>
      </c>
    </row>
    <row r="63" spans="1:38">
      <c r="A63" s="21"/>
      <c r="B63" s="21" t="s">
        <v>110</v>
      </c>
      <c r="C63" s="666" t="s">
        <v>537</v>
      </c>
      <c r="D63" s="68" t="s">
        <v>12</v>
      </c>
      <c r="E63" s="679"/>
      <c r="F63" s="529">
        <f>VLOOKUP(D63,'Mar 2013 Revenue'!D:T,17,FALSE)</f>
        <v>0</v>
      </c>
      <c r="G63" s="680"/>
      <c r="H63" s="680"/>
      <c r="I63" s="755"/>
      <c r="J63" s="682">
        <f t="shared" si="15"/>
        <v>0</v>
      </c>
      <c r="K63" s="683"/>
      <c r="L63" s="684"/>
      <c r="M63" s="753"/>
      <c r="N63" s="683">
        <v>0</v>
      </c>
      <c r="O63" s="686"/>
      <c r="P63" s="683">
        <v>0</v>
      </c>
      <c r="Q63" s="687">
        <f t="shared" si="1"/>
        <v>0</v>
      </c>
      <c r="R63" s="687"/>
      <c r="S63" s="687"/>
      <c r="T63" s="688">
        <v>0</v>
      </c>
      <c r="U63" s="693"/>
      <c r="V63" s="690">
        <f t="shared" si="13"/>
        <v>0</v>
      </c>
      <c r="W63" s="683"/>
      <c r="X63" s="474">
        <f t="shared" si="3"/>
        <v>0</v>
      </c>
      <c r="Y63" s="474">
        <f t="shared" si="4"/>
        <v>0</v>
      </c>
      <c r="Z63" s="475">
        <f t="shared" si="5"/>
        <v>0</v>
      </c>
      <c r="AA63" s="475">
        <v>0</v>
      </c>
      <c r="AB63" s="476">
        <v>0</v>
      </c>
      <c r="AC63" s="38">
        <f t="shared" si="6"/>
        <v>0</v>
      </c>
      <c r="AD63" s="692">
        <f t="shared" si="7"/>
        <v>0</v>
      </c>
      <c r="AE63" s="692">
        <f t="shared" si="8"/>
        <v>0</v>
      </c>
      <c r="AF63" s="692">
        <f t="shared" si="9"/>
        <v>0</v>
      </c>
      <c r="AG63" s="38"/>
      <c r="AH63" s="692">
        <f t="shared" si="10"/>
        <v>0</v>
      </c>
      <c r="AI63" s="692">
        <f t="shared" si="11"/>
        <v>0</v>
      </c>
      <c r="AJ63" s="692">
        <f t="shared" si="12"/>
        <v>0</v>
      </c>
      <c r="AL63" s="38">
        <f t="shared" si="14"/>
        <v>0</v>
      </c>
    </row>
    <row r="64" spans="1:38" s="232" customFormat="1">
      <c r="A64" s="283" t="s">
        <v>211</v>
      </c>
      <c r="B64" s="283" t="s">
        <v>110</v>
      </c>
      <c r="C64" s="667" t="s">
        <v>538</v>
      </c>
      <c r="D64" s="123" t="s">
        <v>170</v>
      </c>
      <c r="E64" s="679"/>
      <c r="F64" s="529">
        <f>VLOOKUP(D64,'Mar 2013 Revenue'!D:T,17,FALSE)</f>
        <v>30052.5</v>
      </c>
      <c r="G64" s="680"/>
      <c r="H64" s="680"/>
      <c r="I64" s="755"/>
      <c r="J64" s="682">
        <f t="shared" si="15"/>
        <v>30052.5</v>
      </c>
      <c r="K64" s="683"/>
      <c r="L64" s="684"/>
      <c r="M64" s="753">
        <v>100000</v>
      </c>
      <c r="N64" s="683">
        <v>0</v>
      </c>
      <c r="O64" s="686"/>
      <c r="P64" s="683">
        <v>0</v>
      </c>
      <c r="Q64" s="687">
        <f t="shared" si="1"/>
        <v>100000</v>
      </c>
      <c r="R64" s="687"/>
      <c r="S64" s="687"/>
      <c r="T64" s="688">
        <v>0</v>
      </c>
      <c r="U64" s="693"/>
      <c r="V64" s="690">
        <f t="shared" si="13"/>
        <v>-100000</v>
      </c>
      <c r="W64" s="683"/>
      <c r="X64" s="474">
        <f t="shared" si="3"/>
        <v>100000</v>
      </c>
      <c r="Y64" s="474">
        <f t="shared" si="4"/>
        <v>0</v>
      </c>
      <c r="Z64" s="475">
        <f t="shared" si="5"/>
        <v>0</v>
      </c>
      <c r="AA64" s="475">
        <v>0</v>
      </c>
      <c r="AB64" s="476">
        <v>0</v>
      </c>
      <c r="AC64" s="38">
        <f t="shared" si="6"/>
        <v>0</v>
      </c>
      <c r="AD64" s="692">
        <f t="shared" si="7"/>
        <v>30052.5</v>
      </c>
      <c r="AE64" s="692">
        <f t="shared" si="8"/>
        <v>0</v>
      </c>
      <c r="AF64" s="692">
        <f t="shared" si="9"/>
        <v>0</v>
      </c>
      <c r="AG64" s="38"/>
      <c r="AH64" s="692">
        <f t="shared" si="10"/>
        <v>100000</v>
      </c>
      <c r="AI64" s="692">
        <f t="shared" si="11"/>
        <v>0</v>
      </c>
      <c r="AJ64" s="692">
        <f t="shared" si="12"/>
        <v>0</v>
      </c>
      <c r="AL64" s="38">
        <f t="shared" si="14"/>
        <v>130052.5</v>
      </c>
    </row>
    <row r="65" spans="1:38" s="232" customFormat="1">
      <c r="A65" s="283" t="s">
        <v>211</v>
      </c>
      <c r="B65" s="283" t="s">
        <v>110</v>
      </c>
      <c r="C65" s="667" t="s">
        <v>538</v>
      </c>
      <c r="D65" s="123" t="s">
        <v>171</v>
      </c>
      <c r="E65" s="679"/>
      <c r="F65" s="529">
        <f>VLOOKUP(D65,'Mar 2013 Revenue'!D:T,17,FALSE)</f>
        <v>0</v>
      </c>
      <c r="G65" s="680"/>
      <c r="H65" s="680"/>
      <c r="I65" s="755"/>
      <c r="J65" s="682">
        <f t="shared" si="15"/>
        <v>0</v>
      </c>
      <c r="K65" s="683"/>
      <c r="L65" s="684"/>
      <c r="M65" s="753"/>
      <c r="N65" s="683">
        <v>0</v>
      </c>
      <c r="O65" s="686"/>
      <c r="P65" s="683">
        <v>0</v>
      </c>
      <c r="Q65" s="687">
        <f t="shared" si="1"/>
        <v>0</v>
      </c>
      <c r="R65" s="687"/>
      <c r="S65" s="687"/>
      <c r="T65" s="688">
        <v>0</v>
      </c>
      <c r="U65" s="693"/>
      <c r="V65" s="690">
        <f t="shared" si="13"/>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4"/>
        <v>0</v>
      </c>
    </row>
    <row r="66" spans="1:38" s="232" customFormat="1" hidden="1">
      <c r="A66" s="283" t="s">
        <v>211</v>
      </c>
      <c r="B66" s="283" t="s">
        <v>110</v>
      </c>
      <c r="C66" s="667" t="s">
        <v>538</v>
      </c>
      <c r="D66" s="123" t="s">
        <v>13</v>
      </c>
      <c r="E66" s="679"/>
      <c r="F66" s="529">
        <f>VLOOKUP(D66,'Mar 2013 Revenue'!D:T,17,FALSE)</f>
        <v>0</v>
      </c>
      <c r="G66" s="680"/>
      <c r="H66" s="680"/>
      <c r="I66" s="755"/>
      <c r="J66" s="682">
        <f t="shared" si="15"/>
        <v>0</v>
      </c>
      <c r="K66" s="683"/>
      <c r="L66" s="684"/>
      <c r="M66" s="753"/>
      <c r="N66" s="683">
        <v>0</v>
      </c>
      <c r="O66" s="686"/>
      <c r="P66" s="683">
        <v>0</v>
      </c>
      <c r="Q66" s="687">
        <f t="shared" si="1"/>
        <v>0</v>
      </c>
      <c r="R66" s="687"/>
      <c r="S66" s="687"/>
      <c r="T66" s="688">
        <v>0</v>
      </c>
      <c r="U66" s="693"/>
      <c r="V66" s="690">
        <f t="shared" si="13"/>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4"/>
        <v>0</v>
      </c>
    </row>
    <row r="67" spans="1:38" s="232" customFormat="1" hidden="1">
      <c r="A67" s="283" t="s">
        <v>211</v>
      </c>
      <c r="B67" s="283" t="s">
        <v>110</v>
      </c>
      <c r="C67" s="667" t="s">
        <v>538</v>
      </c>
      <c r="D67" s="123" t="s">
        <v>172</v>
      </c>
      <c r="E67" s="679"/>
      <c r="F67" s="529">
        <f>VLOOKUP(D67,'Mar 2013 Revenue'!D:T,17,FALSE)</f>
        <v>0</v>
      </c>
      <c r="G67" s="680"/>
      <c r="H67" s="680"/>
      <c r="I67" s="755"/>
      <c r="J67" s="682">
        <f t="shared" si="15"/>
        <v>0</v>
      </c>
      <c r="K67" s="683"/>
      <c r="L67" s="684"/>
      <c r="M67" s="753"/>
      <c r="N67" s="683">
        <v>0</v>
      </c>
      <c r="O67" s="686"/>
      <c r="P67" s="683">
        <v>0</v>
      </c>
      <c r="Q67" s="687">
        <f t="shared" si="1"/>
        <v>0</v>
      </c>
      <c r="R67" s="687"/>
      <c r="S67" s="687"/>
      <c r="T67" s="688">
        <v>0</v>
      </c>
      <c r="U67" s="693"/>
      <c r="V67" s="690">
        <f t="shared" si="13"/>
        <v>0</v>
      </c>
      <c r="W67" s="683"/>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4"/>
        <v>0</v>
      </c>
    </row>
    <row r="68" spans="1:38" s="232" customFormat="1" hidden="1">
      <c r="A68" s="283" t="s">
        <v>211</v>
      </c>
      <c r="B68" s="283" t="s">
        <v>110</v>
      </c>
      <c r="C68" s="667" t="s">
        <v>538</v>
      </c>
      <c r="D68" s="123" t="s">
        <v>173</v>
      </c>
      <c r="E68" s="679"/>
      <c r="F68" s="529">
        <f>VLOOKUP(D68,'Mar 2013 Revenue'!D:T,17,FALSE)</f>
        <v>0</v>
      </c>
      <c r="G68" s="680"/>
      <c r="H68" s="680"/>
      <c r="I68" s="755"/>
      <c r="J68" s="682">
        <f t="shared" si="15"/>
        <v>0</v>
      </c>
      <c r="K68" s="683"/>
      <c r="L68" s="684"/>
      <c r="M68" s="753"/>
      <c r="N68" s="683">
        <v>0</v>
      </c>
      <c r="O68" s="686"/>
      <c r="P68" s="683">
        <v>0</v>
      </c>
      <c r="Q68" s="687">
        <f t="shared" si="1"/>
        <v>0</v>
      </c>
      <c r="R68" s="687"/>
      <c r="S68" s="687"/>
      <c r="T68" s="688">
        <v>0</v>
      </c>
      <c r="U68" s="693"/>
      <c r="V68" s="690">
        <f t="shared" si="13"/>
        <v>0</v>
      </c>
      <c r="W68" s="683"/>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4"/>
        <v>0</v>
      </c>
    </row>
    <row r="69" spans="1:38" s="232" customFormat="1" hidden="1">
      <c r="A69" s="283" t="s">
        <v>211</v>
      </c>
      <c r="B69" s="283" t="s">
        <v>110</v>
      </c>
      <c r="C69" s="667" t="s">
        <v>538</v>
      </c>
      <c r="D69" s="123" t="s">
        <v>174</v>
      </c>
      <c r="E69" s="679"/>
      <c r="F69" s="529">
        <f>VLOOKUP(D69,'Mar 2013 Revenue'!D:T,17,FALSE)</f>
        <v>0</v>
      </c>
      <c r="G69" s="680"/>
      <c r="H69" s="680"/>
      <c r="I69" s="755"/>
      <c r="J69" s="682">
        <f t="shared" si="15"/>
        <v>0</v>
      </c>
      <c r="K69" s="683"/>
      <c r="L69" s="684"/>
      <c r="M69" s="753"/>
      <c r="N69" s="683">
        <v>0</v>
      </c>
      <c r="O69" s="686"/>
      <c r="P69" s="683">
        <v>0</v>
      </c>
      <c r="Q69" s="687">
        <f t="shared" si="1"/>
        <v>0</v>
      </c>
      <c r="R69" s="687"/>
      <c r="S69" s="687"/>
      <c r="T69" s="688">
        <v>0</v>
      </c>
      <c r="U69" s="693"/>
      <c r="V69" s="690">
        <f t="shared" si="13"/>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4"/>
        <v>0</v>
      </c>
    </row>
    <row r="70" spans="1:38" s="232" customFormat="1">
      <c r="A70" s="283"/>
      <c r="B70" s="283" t="s">
        <v>109</v>
      </c>
      <c r="C70" s="794"/>
      <c r="D70" s="351" t="s">
        <v>14</v>
      </c>
      <c r="E70" s="679"/>
      <c r="F70" s="529">
        <f>VLOOKUP(D70,'Mar 2013 Revenue'!D:T,17,FALSE)</f>
        <v>0</v>
      </c>
      <c r="G70" s="680"/>
      <c r="H70" s="680"/>
      <c r="I70" s="755"/>
      <c r="J70" s="682">
        <f t="shared" si="15"/>
        <v>0</v>
      </c>
      <c r="K70" s="683"/>
      <c r="L70" s="684"/>
      <c r="M70" s="753"/>
      <c r="N70" s="683">
        <v>0</v>
      </c>
      <c r="O70" s="686"/>
      <c r="P70" s="683">
        <v>0</v>
      </c>
      <c r="Q70" s="687">
        <f t="shared" si="1"/>
        <v>0</v>
      </c>
      <c r="R70" s="687"/>
      <c r="S70" s="687"/>
      <c r="T70" s="688">
        <v>0</v>
      </c>
      <c r="U70" s="693"/>
      <c r="V70" s="690">
        <f t="shared" si="13"/>
        <v>0</v>
      </c>
      <c r="W70" s="683"/>
      <c r="X70" s="474">
        <f t="shared" si="3"/>
        <v>0</v>
      </c>
      <c r="Y70" s="474">
        <f t="shared" si="4"/>
        <v>0</v>
      </c>
      <c r="Z70" s="475">
        <f t="shared" si="5"/>
        <v>0</v>
      </c>
      <c r="AA70" s="475">
        <v>0</v>
      </c>
      <c r="AB70" s="476">
        <v>0</v>
      </c>
      <c r="AC70" s="38">
        <f t="shared" si="6"/>
        <v>0</v>
      </c>
      <c r="AD70" s="692">
        <f t="shared" si="7"/>
        <v>0</v>
      </c>
      <c r="AE70" s="692">
        <f t="shared" si="8"/>
        <v>0</v>
      </c>
      <c r="AF70" s="692">
        <f t="shared" si="9"/>
        <v>0</v>
      </c>
      <c r="AG70" s="38"/>
      <c r="AH70" s="692">
        <f t="shared" si="10"/>
        <v>0</v>
      </c>
      <c r="AI70" s="692">
        <f t="shared" si="11"/>
        <v>0</v>
      </c>
      <c r="AJ70" s="692">
        <f t="shared" si="12"/>
        <v>0</v>
      </c>
      <c r="AL70" s="38">
        <f t="shared" si="14"/>
        <v>0</v>
      </c>
    </row>
    <row r="71" spans="1:38" hidden="1">
      <c r="A71" s="20"/>
      <c r="B71" s="20" t="s">
        <v>110</v>
      </c>
      <c r="C71" s="667"/>
      <c r="D71" s="68" t="s">
        <v>15</v>
      </c>
      <c r="E71" s="679"/>
      <c r="F71" s="529">
        <f>VLOOKUP(D71,'Mar 2013 Revenue'!D:T,17,FALSE)</f>
        <v>0</v>
      </c>
      <c r="G71" s="680"/>
      <c r="H71" s="680"/>
      <c r="I71" s="755"/>
      <c r="J71" s="682">
        <f t="shared" si="15"/>
        <v>0</v>
      </c>
      <c r="K71" s="683"/>
      <c r="L71" s="684"/>
      <c r="M71" s="753"/>
      <c r="N71" s="683">
        <v>0</v>
      </c>
      <c r="O71" s="686"/>
      <c r="P71" s="683">
        <v>0</v>
      </c>
      <c r="Q71" s="687">
        <f t="shared" si="1"/>
        <v>0</v>
      </c>
      <c r="R71" s="687"/>
      <c r="S71" s="687"/>
      <c r="T71" s="688">
        <v>0</v>
      </c>
      <c r="U71" s="693"/>
      <c r="V71" s="690">
        <f t="shared" si="13"/>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4"/>
        <v>0</v>
      </c>
    </row>
    <row r="72" spans="1:38">
      <c r="A72" s="20"/>
      <c r="B72" s="20" t="s">
        <v>110</v>
      </c>
      <c r="C72" s="667"/>
      <c r="D72" s="68" t="s">
        <v>646</v>
      </c>
      <c r="E72" s="679"/>
      <c r="F72" s="529">
        <f>VLOOKUP(D72,'Mar 2013 Revenue'!D:T,17,FALSE)</f>
        <v>0</v>
      </c>
      <c r="G72" s="680"/>
      <c r="H72" s="680"/>
      <c r="I72" s="804">
        <v>341.85</v>
      </c>
      <c r="J72" s="682">
        <f t="shared" si="15"/>
        <v>341.85</v>
      </c>
      <c r="K72" s="683"/>
      <c r="L72" s="684"/>
      <c r="M72" s="753"/>
      <c r="N72" s="683">
        <v>0</v>
      </c>
      <c r="O72" s="686"/>
      <c r="P72" s="683">
        <v>0</v>
      </c>
      <c r="Q72" s="687">
        <f t="shared" si="1"/>
        <v>0</v>
      </c>
      <c r="R72" s="687"/>
      <c r="S72" s="687"/>
      <c r="T72" s="688">
        <v>0</v>
      </c>
      <c r="U72" s="693"/>
      <c r="V72" s="690">
        <f t="shared" si="13"/>
        <v>0</v>
      </c>
      <c r="W72" s="683"/>
      <c r="X72" s="474">
        <f t="shared" si="3"/>
        <v>0</v>
      </c>
      <c r="Y72" s="474">
        <f t="shared" si="4"/>
        <v>0</v>
      </c>
      <c r="Z72" s="475">
        <f t="shared" si="5"/>
        <v>0</v>
      </c>
      <c r="AA72" s="475">
        <v>0</v>
      </c>
      <c r="AB72" s="476">
        <v>0</v>
      </c>
      <c r="AC72" s="38">
        <f t="shared" si="6"/>
        <v>0</v>
      </c>
      <c r="AD72" s="692">
        <f t="shared" si="7"/>
        <v>341.85</v>
      </c>
      <c r="AE72" s="692">
        <f t="shared" si="8"/>
        <v>0</v>
      </c>
      <c r="AF72" s="692">
        <f t="shared" si="9"/>
        <v>0</v>
      </c>
      <c r="AG72" s="38"/>
      <c r="AH72" s="692">
        <f t="shared" si="10"/>
        <v>0</v>
      </c>
      <c r="AI72" s="692">
        <f t="shared" si="11"/>
        <v>0</v>
      </c>
      <c r="AJ72" s="692">
        <f t="shared" si="12"/>
        <v>0</v>
      </c>
      <c r="AL72" s="38">
        <f t="shared" si="14"/>
        <v>341.85</v>
      </c>
    </row>
    <row r="73" spans="1:38">
      <c r="A73" s="20" t="s">
        <v>109</v>
      </c>
      <c r="B73" s="20" t="s">
        <v>109</v>
      </c>
      <c r="C73" s="667" t="s">
        <v>539</v>
      </c>
      <c r="D73" s="68" t="s">
        <v>510</v>
      </c>
      <c r="E73" s="679">
        <v>948.67</v>
      </c>
      <c r="F73" s="529">
        <f>VLOOKUP(D73,'Mar 2013 Revenue'!D:T,17,FALSE)</f>
        <v>0</v>
      </c>
      <c r="G73" s="680"/>
      <c r="H73" s="680"/>
      <c r="I73" s="755"/>
      <c r="J73" s="682">
        <f t="shared" si="15"/>
        <v>948.67</v>
      </c>
      <c r="K73" s="683"/>
      <c r="L73" s="684"/>
      <c r="M73" s="753"/>
      <c r="N73" s="683">
        <v>0</v>
      </c>
      <c r="O73" s="686"/>
      <c r="P73" s="683">
        <v>0</v>
      </c>
      <c r="Q73" s="687">
        <f t="shared" si="1"/>
        <v>0</v>
      </c>
      <c r="R73" s="687"/>
      <c r="S73" s="687"/>
      <c r="T73" s="688">
        <v>0</v>
      </c>
      <c r="U73" s="693"/>
      <c r="V73" s="690">
        <f t="shared" si="13"/>
        <v>0</v>
      </c>
      <c r="W73" s="683"/>
      <c r="X73" s="474">
        <f t="shared" si="3"/>
        <v>0</v>
      </c>
      <c r="Y73" s="474">
        <f t="shared" si="4"/>
        <v>0</v>
      </c>
      <c r="Z73" s="475">
        <f t="shared" si="5"/>
        <v>0</v>
      </c>
      <c r="AA73" s="475">
        <v>0</v>
      </c>
      <c r="AB73" s="476">
        <v>0</v>
      </c>
      <c r="AC73" s="38">
        <f t="shared" si="6"/>
        <v>0</v>
      </c>
      <c r="AD73" s="692">
        <f t="shared" si="7"/>
        <v>0</v>
      </c>
      <c r="AE73" s="692">
        <f t="shared" si="8"/>
        <v>948.67</v>
      </c>
      <c r="AF73" s="692">
        <f t="shared" si="9"/>
        <v>0</v>
      </c>
      <c r="AG73" s="38"/>
      <c r="AH73" s="692">
        <f t="shared" si="10"/>
        <v>0</v>
      </c>
      <c r="AI73" s="692">
        <f t="shared" si="11"/>
        <v>0</v>
      </c>
      <c r="AJ73" s="692">
        <f t="shared" si="12"/>
        <v>0</v>
      </c>
      <c r="AL73" s="38">
        <f t="shared" si="14"/>
        <v>948.67</v>
      </c>
    </row>
    <row r="74" spans="1:38">
      <c r="A74" s="20"/>
      <c r="B74" s="20" t="s">
        <v>109</v>
      </c>
      <c r="C74" s="667"/>
      <c r="D74" s="68" t="s">
        <v>16</v>
      </c>
      <c r="E74" s="679"/>
      <c r="F74" s="529">
        <f>VLOOKUP(D74,'Mar 2013 Revenue'!D:T,17,FALSE)</f>
        <v>0</v>
      </c>
      <c r="G74" s="680"/>
      <c r="H74" s="680"/>
      <c r="I74" s="755"/>
      <c r="J74" s="682">
        <f t="shared" si="15"/>
        <v>0</v>
      </c>
      <c r="K74" s="683"/>
      <c r="L74" s="684"/>
      <c r="M74" s="753"/>
      <c r="N74" s="683">
        <v>0</v>
      </c>
      <c r="O74" s="686"/>
      <c r="P74" s="683">
        <v>0</v>
      </c>
      <c r="Q74" s="687">
        <f t="shared" si="1"/>
        <v>0</v>
      </c>
      <c r="R74" s="687"/>
      <c r="S74" s="687"/>
      <c r="T74" s="688">
        <v>0</v>
      </c>
      <c r="U74" s="693"/>
      <c r="V74" s="690">
        <f t="shared" si="13"/>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4"/>
        <v>0</v>
      </c>
    </row>
    <row r="75" spans="1:38">
      <c r="A75" s="20"/>
      <c r="B75" s="20" t="s">
        <v>110</v>
      </c>
      <c r="C75" s="667"/>
      <c r="D75" s="68" t="s">
        <v>597</v>
      </c>
      <c r="E75" s="679"/>
      <c r="F75" s="529">
        <f>VLOOKUP(D75,'Mar 2013 Revenue'!D:T,17,FALSE)</f>
        <v>21366.410000000003</v>
      </c>
      <c r="G75" s="680"/>
      <c r="H75" s="680"/>
      <c r="I75" s="755"/>
      <c r="J75" s="682">
        <f t="shared" si="15"/>
        <v>21366.410000000003</v>
      </c>
      <c r="K75" s="683"/>
      <c r="L75" s="684"/>
      <c r="M75" s="753">
        <v>140000</v>
      </c>
      <c r="N75" s="683">
        <v>0</v>
      </c>
      <c r="O75" s="686"/>
      <c r="P75" s="683">
        <v>0</v>
      </c>
      <c r="Q75" s="687">
        <f t="shared" si="1"/>
        <v>140000</v>
      </c>
      <c r="R75" s="687"/>
      <c r="S75" s="687">
        <v>6000</v>
      </c>
      <c r="T75" s="688">
        <f>104240.3+20866.8+7767.89+12548.29+777.61</f>
        <v>146200.89000000001</v>
      </c>
      <c r="U75" s="693"/>
      <c r="V75" s="690">
        <f t="shared" si="13"/>
        <v>200.89000000001397</v>
      </c>
      <c r="W75" s="683"/>
      <c r="X75" s="474">
        <f t="shared" si="3"/>
        <v>140000</v>
      </c>
      <c r="Y75" s="474">
        <f t="shared" si="4"/>
        <v>0</v>
      </c>
      <c r="Z75" s="475">
        <f t="shared" si="5"/>
        <v>0</v>
      </c>
      <c r="AA75" s="475">
        <v>0</v>
      </c>
      <c r="AB75" s="476">
        <v>0</v>
      </c>
      <c r="AC75" s="38">
        <f t="shared" si="6"/>
        <v>0</v>
      </c>
      <c r="AD75" s="692">
        <f t="shared" si="7"/>
        <v>21366.410000000003</v>
      </c>
      <c r="AE75" s="692">
        <f t="shared" si="8"/>
        <v>0</v>
      </c>
      <c r="AF75" s="692">
        <f t="shared" si="9"/>
        <v>0</v>
      </c>
      <c r="AG75" s="38"/>
      <c r="AH75" s="692">
        <f t="shared" si="10"/>
        <v>140000</v>
      </c>
      <c r="AI75" s="692">
        <f t="shared" si="11"/>
        <v>0</v>
      </c>
      <c r="AJ75" s="692">
        <f t="shared" si="12"/>
        <v>0</v>
      </c>
      <c r="AL75" s="38">
        <f t="shared" si="14"/>
        <v>161366.41</v>
      </c>
    </row>
    <row r="76" spans="1:38" s="232" customFormat="1">
      <c r="A76" s="283"/>
      <c r="B76" s="283" t="s">
        <v>109</v>
      </c>
      <c r="C76" s="667" t="s">
        <v>540</v>
      </c>
      <c r="D76" s="373" t="s">
        <v>410</v>
      </c>
      <c r="E76" s="679">
        <f>964.73+17735.09</f>
        <v>18699.82</v>
      </c>
      <c r="F76" s="529">
        <f>VLOOKUP(D76,'Mar 2013 Revenue'!D:T,17,FALSE)</f>
        <v>-19966.599999999999</v>
      </c>
      <c r="G76" s="680"/>
      <c r="H76" s="680"/>
      <c r="I76" s="755"/>
      <c r="J76" s="682">
        <f t="shared" si="15"/>
        <v>-1266.7799999999988</v>
      </c>
      <c r="K76" s="683"/>
      <c r="L76" s="684"/>
      <c r="M76" s="753">
        <v>20000</v>
      </c>
      <c r="N76" s="683">
        <v>0</v>
      </c>
      <c r="O76" s="686"/>
      <c r="P76" s="683">
        <v>0</v>
      </c>
      <c r="Q76" s="687">
        <f t="shared" si="1"/>
        <v>20000</v>
      </c>
      <c r="R76" s="687"/>
      <c r="S76" s="687"/>
      <c r="T76" s="688">
        <v>0</v>
      </c>
      <c r="U76" s="693"/>
      <c r="V76" s="690">
        <f t="shared" si="13"/>
        <v>-20000</v>
      </c>
      <c r="W76" s="683"/>
      <c r="X76" s="474">
        <f t="shared" si="3"/>
        <v>0</v>
      </c>
      <c r="Y76" s="474">
        <f t="shared" si="4"/>
        <v>20000</v>
      </c>
      <c r="Z76" s="475">
        <f t="shared" si="5"/>
        <v>0</v>
      </c>
      <c r="AA76" s="475">
        <v>0</v>
      </c>
      <c r="AB76" s="476">
        <v>0</v>
      </c>
      <c r="AC76" s="38">
        <f t="shared" si="6"/>
        <v>0</v>
      </c>
      <c r="AD76" s="692">
        <f t="shared" si="7"/>
        <v>0</v>
      </c>
      <c r="AE76" s="692">
        <f t="shared" si="8"/>
        <v>-1266.7799999999988</v>
      </c>
      <c r="AF76" s="692">
        <f t="shared" si="9"/>
        <v>0</v>
      </c>
      <c r="AG76" s="38"/>
      <c r="AH76" s="692">
        <f t="shared" si="10"/>
        <v>0</v>
      </c>
      <c r="AI76" s="692">
        <f t="shared" si="11"/>
        <v>20000</v>
      </c>
      <c r="AJ76" s="692">
        <f t="shared" si="12"/>
        <v>0</v>
      </c>
      <c r="AL76" s="38">
        <f t="shared" si="14"/>
        <v>18733.22</v>
      </c>
    </row>
    <row r="77" spans="1:38" s="232" customFormat="1">
      <c r="A77" s="283"/>
      <c r="B77" s="283" t="s">
        <v>109</v>
      </c>
      <c r="C77" s="667" t="s">
        <v>540</v>
      </c>
      <c r="D77" s="373" t="s">
        <v>879</v>
      </c>
      <c r="E77" s="679"/>
      <c r="F77" s="529">
        <f>VLOOKUP(D77,'Mar 2013 Revenue'!D:T,17,FALSE)</f>
        <v>0</v>
      </c>
      <c r="G77" s="680"/>
      <c r="H77" s="680"/>
      <c r="I77" s="755"/>
      <c r="J77" s="682">
        <f t="shared" si="15"/>
        <v>0</v>
      </c>
      <c r="K77" s="683"/>
      <c r="L77" s="684"/>
      <c r="M77" s="753"/>
      <c r="N77" s="683">
        <v>0</v>
      </c>
      <c r="O77" s="686"/>
      <c r="P77" s="683">
        <v>0</v>
      </c>
      <c r="Q77" s="687">
        <f t="shared" si="1"/>
        <v>0</v>
      </c>
      <c r="R77" s="687"/>
      <c r="S77" s="687"/>
      <c r="T77" s="688">
        <v>0</v>
      </c>
      <c r="U77" s="693"/>
      <c r="V77" s="690">
        <f t="shared" si="13"/>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4"/>
        <v>0</v>
      </c>
    </row>
    <row r="78" spans="1:38" s="232" customFormat="1">
      <c r="A78" s="283"/>
      <c r="B78" s="283" t="s">
        <v>109</v>
      </c>
      <c r="C78" s="667" t="s">
        <v>540</v>
      </c>
      <c r="D78" s="373" t="s">
        <v>620</v>
      </c>
      <c r="E78" s="679"/>
      <c r="F78" s="529">
        <f>VLOOKUP(D78,'Mar 2013 Revenue'!D:T,17,FALSE)</f>
        <v>0</v>
      </c>
      <c r="G78" s="680"/>
      <c r="H78" s="680"/>
      <c r="I78" s="755"/>
      <c r="J78" s="682">
        <f t="shared" si="15"/>
        <v>0</v>
      </c>
      <c r="K78" s="683"/>
      <c r="L78" s="684"/>
      <c r="M78" s="753"/>
      <c r="N78" s="683">
        <v>0</v>
      </c>
      <c r="O78" s="686"/>
      <c r="P78" s="683">
        <v>0</v>
      </c>
      <c r="Q78" s="687">
        <f t="shared" si="1"/>
        <v>0</v>
      </c>
      <c r="R78" s="687"/>
      <c r="S78" s="687"/>
      <c r="T78" s="688">
        <v>0</v>
      </c>
      <c r="U78" s="693"/>
      <c r="V78" s="690">
        <f t="shared" si="13"/>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4"/>
        <v>0</v>
      </c>
    </row>
    <row r="79" spans="1:38">
      <c r="A79" s="20"/>
      <c r="B79" s="20" t="s">
        <v>110</v>
      </c>
      <c r="C79" s="667" t="s">
        <v>541</v>
      </c>
      <c r="D79" s="351" t="s">
        <v>507</v>
      </c>
      <c r="E79" s="679">
        <f>1612.83+1257.9+1097.49+2107+1156.4</f>
        <v>7231.6200000000008</v>
      </c>
      <c r="F79" s="529">
        <f>VLOOKUP(D79,'Mar 2013 Revenue'!D:T,17,FALSE)</f>
        <v>0</v>
      </c>
      <c r="G79" s="680"/>
      <c r="H79" s="680"/>
      <c r="I79" s="755"/>
      <c r="J79" s="682">
        <f t="shared" si="15"/>
        <v>7231.6200000000008</v>
      </c>
      <c r="K79" s="683"/>
      <c r="L79" s="684"/>
      <c r="M79" s="753"/>
      <c r="N79" s="683">
        <v>0</v>
      </c>
      <c r="O79" s="686"/>
      <c r="P79" s="683">
        <v>0</v>
      </c>
      <c r="Q79" s="687">
        <f t="shared" si="1"/>
        <v>0</v>
      </c>
      <c r="R79" s="687"/>
      <c r="S79" s="687"/>
      <c r="T79" s="688">
        <v>0</v>
      </c>
      <c r="U79" s="693"/>
      <c r="V79" s="690">
        <f t="shared" si="13"/>
        <v>0</v>
      </c>
      <c r="W79" s="683"/>
      <c r="X79" s="474">
        <f t="shared" si="3"/>
        <v>0</v>
      </c>
      <c r="Y79" s="474">
        <f t="shared" si="4"/>
        <v>0</v>
      </c>
      <c r="Z79" s="475">
        <f t="shared" si="5"/>
        <v>0</v>
      </c>
      <c r="AA79" s="475">
        <v>0</v>
      </c>
      <c r="AB79" s="476">
        <v>0</v>
      </c>
      <c r="AC79" s="38">
        <f t="shared" si="6"/>
        <v>0</v>
      </c>
      <c r="AD79" s="692">
        <f t="shared" si="7"/>
        <v>7231.6200000000008</v>
      </c>
      <c r="AE79" s="692">
        <f t="shared" si="8"/>
        <v>0</v>
      </c>
      <c r="AF79" s="692">
        <f t="shared" si="9"/>
        <v>0</v>
      </c>
      <c r="AG79" s="38"/>
      <c r="AH79" s="692">
        <f t="shared" si="10"/>
        <v>0</v>
      </c>
      <c r="AI79" s="692">
        <f t="shared" si="11"/>
        <v>0</v>
      </c>
      <c r="AJ79" s="692">
        <f t="shared" si="12"/>
        <v>0</v>
      </c>
      <c r="AL79" s="38">
        <f t="shared" si="14"/>
        <v>7231.6200000000008</v>
      </c>
    </row>
    <row r="80" spans="1:38">
      <c r="A80" s="20"/>
      <c r="B80" s="20" t="s">
        <v>110</v>
      </c>
      <c r="C80" s="667" t="s">
        <v>541</v>
      </c>
      <c r="D80" s="351" t="s">
        <v>506</v>
      </c>
      <c r="E80" s="679">
        <f>668.81+423.39+581.54+642.73+479.96</f>
        <v>2796.43</v>
      </c>
      <c r="F80" s="529">
        <f>VLOOKUP(D80,'Mar 2013 Revenue'!D:T,17,FALSE)</f>
        <v>0</v>
      </c>
      <c r="G80" s="680"/>
      <c r="H80" s="680"/>
      <c r="I80" s="755"/>
      <c r="J80" s="682">
        <f t="shared" si="15"/>
        <v>2796.43</v>
      </c>
      <c r="K80" s="683"/>
      <c r="L80" s="684"/>
      <c r="M80" s="753"/>
      <c r="N80" s="683">
        <v>0</v>
      </c>
      <c r="O80" s="686"/>
      <c r="P80" s="683">
        <v>0</v>
      </c>
      <c r="Q80" s="687">
        <f t="shared" si="1"/>
        <v>0</v>
      </c>
      <c r="R80" s="687"/>
      <c r="S80" s="687"/>
      <c r="T80" s="688">
        <v>0</v>
      </c>
      <c r="U80" s="693"/>
      <c r="V80" s="690">
        <f t="shared" si="13"/>
        <v>0</v>
      </c>
      <c r="W80" s="683"/>
      <c r="X80" s="474">
        <f t="shared" si="3"/>
        <v>0</v>
      </c>
      <c r="Y80" s="474">
        <f t="shared" si="4"/>
        <v>0</v>
      </c>
      <c r="Z80" s="475">
        <f t="shared" si="5"/>
        <v>0</v>
      </c>
      <c r="AA80" s="475">
        <v>0</v>
      </c>
      <c r="AB80" s="476">
        <v>0</v>
      </c>
      <c r="AC80" s="38">
        <f t="shared" si="6"/>
        <v>0</v>
      </c>
      <c r="AD80" s="692">
        <f t="shared" ref="AD80:AD146" si="16">IF(B80="D",J80,0)</f>
        <v>2796.43</v>
      </c>
      <c r="AE80" s="692">
        <f t="shared" ref="AE80:AE146" si="17">IF(B80="M",J80,0)</f>
        <v>0</v>
      </c>
      <c r="AF80" s="692">
        <f t="shared" ref="AF80:AF146" si="18">IF(B80="V",J80,0)</f>
        <v>0</v>
      </c>
      <c r="AG80" s="38"/>
      <c r="AH80" s="692">
        <f t="shared" si="10"/>
        <v>0</v>
      </c>
      <c r="AI80" s="692">
        <f t="shared" si="11"/>
        <v>0</v>
      </c>
      <c r="AJ80" s="692">
        <f t="shared" si="12"/>
        <v>0</v>
      </c>
      <c r="AL80" s="38">
        <f t="shared" si="14"/>
        <v>2796.43</v>
      </c>
    </row>
    <row r="81" spans="1:38">
      <c r="A81" s="20"/>
      <c r="B81" s="20" t="s">
        <v>110</v>
      </c>
      <c r="C81" s="667" t="s">
        <v>542</v>
      </c>
      <c r="D81" s="68" t="s">
        <v>305</v>
      </c>
      <c r="E81" s="679"/>
      <c r="F81" s="529">
        <f>VLOOKUP(D81,'Mar 2013 Revenue'!D:T,17,FALSE)</f>
        <v>0</v>
      </c>
      <c r="G81" s="680"/>
      <c r="H81" s="680"/>
      <c r="I81" s="755"/>
      <c r="J81" s="682">
        <f t="shared" si="15"/>
        <v>0</v>
      </c>
      <c r="K81" s="683"/>
      <c r="L81" s="684"/>
      <c r="M81" s="753"/>
      <c r="N81" s="683">
        <v>0</v>
      </c>
      <c r="O81" s="686"/>
      <c r="P81" s="683">
        <v>0</v>
      </c>
      <c r="Q81" s="687">
        <f t="shared" si="1"/>
        <v>0</v>
      </c>
      <c r="R81" s="687"/>
      <c r="S81" s="687"/>
      <c r="T81" s="688">
        <v>0</v>
      </c>
      <c r="U81" s="693"/>
      <c r="V81" s="690">
        <f t="shared" si="13"/>
        <v>0</v>
      </c>
      <c r="W81" s="683"/>
      <c r="X81" s="474">
        <f t="shared" ref="X81:X148" si="19">IF(B81="D",Q81,0)</f>
        <v>0</v>
      </c>
      <c r="Y81" s="474">
        <f t="shared" ref="Y81:Y148" si="20">IF(B81="M",Q81,0)</f>
        <v>0</v>
      </c>
      <c r="Z81" s="475">
        <f t="shared" ref="Z81:Z148" si="21">IF(B81="V",Q81,0)</f>
        <v>0</v>
      </c>
      <c r="AA81" s="475">
        <v>0</v>
      </c>
      <c r="AB81" s="476">
        <v>0</v>
      </c>
      <c r="AC81" s="38">
        <f t="shared" ref="AC81:AC148" si="22">(L81+M81)-(X81+Y81+Z81+AA81+AB81)</f>
        <v>0</v>
      </c>
      <c r="AD81" s="692">
        <f t="shared" si="16"/>
        <v>0</v>
      </c>
      <c r="AE81" s="692">
        <f t="shared" si="17"/>
        <v>0</v>
      </c>
      <c r="AF81" s="692">
        <f t="shared" si="18"/>
        <v>0</v>
      </c>
      <c r="AG81" s="38"/>
      <c r="AH81" s="692">
        <f t="shared" ref="AH81:AH147" si="23">IF(B81="D",Q81,0)</f>
        <v>0</v>
      </c>
      <c r="AI81" s="692">
        <f t="shared" ref="AI81:AI147" si="24">IF(B81="M",Q81,0)</f>
        <v>0</v>
      </c>
      <c r="AJ81" s="692">
        <f t="shared" ref="AJ81:AJ147" si="25">IF(B81="V",Q81,0)</f>
        <v>0</v>
      </c>
      <c r="AL81" s="38">
        <f t="shared" si="14"/>
        <v>0</v>
      </c>
    </row>
    <row r="82" spans="1:38">
      <c r="A82" s="20"/>
      <c r="B82" s="20" t="s">
        <v>110</v>
      </c>
      <c r="C82" s="667" t="s">
        <v>543</v>
      </c>
      <c r="D82" s="68" t="s">
        <v>199</v>
      </c>
      <c r="E82" s="679">
        <f>20.3+3.81</f>
        <v>24.11</v>
      </c>
      <c r="F82" s="529">
        <f>VLOOKUP(D82,'Mar 2013 Revenue'!D:T,17,FALSE)</f>
        <v>0</v>
      </c>
      <c r="G82" s="680"/>
      <c r="H82" s="680"/>
      <c r="I82" s="755"/>
      <c r="J82" s="682">
        <f t="shared" si="15"/>
        <v>24.11</v>
      </c>
      <c r="K82" s="683"/>
      <c r="L82" s="684"/>
      <c r="M82" s="753"/>
      <c r="N82" s="683">
        <v>0</v>
      </c>
      <c r="O82" s="686"/>
      <c r="P82" s="683">
        <v>0</v>
      </c>
      <c r="Q82" s="687">
        <f t="shared" si="1"/>
        <v>0</v>
      </c>
      <c r="R82" s="687"/>
      <c r="S82" s="687"/>
      <c r="T82" s="688">
        <v>0</v>
      </c>
      <c r="U82" s="693"/>
      <c r="V82" s="690">
        <f t="shared" ref="V82:V145" si="26">IF(T82="","",T82-Q82-R82-S82)</f>
        <v>0</v>
      </c>
      <c r="W82" s="683"/>
      <c r="X82" s="474">
        <f t="shared" si="19"/>
        <v>0</v>
      </c>
      <c r="Y82" s="474">
        <f t="shared" si="20"/>
        <v>0</v>
      </c>
      <c r="Z82" s="475">
        <f t="shared" si="21"/>
        <v>0</v>
      </c>
      <c r="AA82" s="475">
        <v>0</v>
      </c>
      <c r="AB82" s="476">
        <v>0</v>
      </c>
      <c r="AC82" s="38">
        <f t="shared" si="22"/>
        <v>0</v>
      </c>
      <c r="AD82" s="692">
        <f t="shared" si="16"/>
        <v>24.11</v>
      </c>
      <c r="AE82" s="692">
        <f t="shared" si="17"/>
        <v>0</v>
      </c>
      <c r="AF82" s="692">
        <f t="shared" si="18"/>
        <v>0</v>
      </c>
      <c r="AG82" s="38"/>
      <c r="AH82" s="692">
        <f t="shared" si="23"/>
        <v>0</v>
      </c>
      <c r="AI82" s="692">
        <f t="shared" si="24"/>
        <v>0</v>
      </c>
      <c r="AJ82" s="692">
        <f t="shared" si="25"/>
        <v>0</v>
      </c>
      <c r="AL82" s="38">
        <f t="shared" ref="AL82:AL146" si="27">SUM(AD82:AJ82)</f>
        <v>24.11</v>
      </c>
    </row>
    <row r="83" spans="1:38">
      <c r="A83" s="20"/>
      <c r="B83" s="20" t="s">
        <v>110</v>
      </c>
      <c r="C83" s="667" t="s">
        <v>543</v>
      </c>
      <c r="D83" s="68" t="s">
        <v>200</v>
      </c>
      <c r="E83" s="679">
        <f>88.2+126</f>
        <v>214.2</v>
      </c>
      <c r="F83" s="529">
        <f>VLOOKUP(D83,'Mar 2013 Revenue'!D:T,17,FALSE)</f>
        <v>0</v>
      </c>
      <c r="G83" s="680"/>
      <c r="H83" s="680"/>
      <c r="I83" s="755"/>
      <c r="J83" s="682">
        <f t="shared" si="15"/>
        <v>214.2</v>
      </c>
      <c r="K83" s="683"/>
      <c r="L83" s="684"/>
      <c r="M83" s="753"/>
      <c r="N83" s="683">
        <v>0</v>
      </c>
      <c r="O83" s="686"/>
      <c r="P83" s="683">
        <v>0</v>
      </c>
      <c r="Q83" s="687">
        <f t="shared" si="1"/>
        <v>0</v>
      </c>
      <c r="R83" s="687"/>
      <c r="S83" s="687"/>
      <c r="T83" s="688">
        <v>0</v>
      </c>
      <c r="U83" s="693"/>
      <c r="V83" s="690">
        <f t="shared" si="26"/>
        <v>0</v>
      </c>
      <c r="W83" s="683"/>
      <c r="X83" s="474">
        <f t="shared" si="19"/>
        <v>0</v>
      </c>
      <c r="Y83" s="474">
        <f t="shared" si="20"/>
        <v>0</v>
      </c>
      <c r="Z83" s="475">
        <f t="shared" si="21"/>
        <v>0</v>
      </c>
      <c r="AA83" s="475">
        <v>0</v>
      </c>
      <c r="AB83" s="476">
        <v>0</v>
      </c>
      <c r="AC83" s="38">
        <f t="shared" si="22"/>
        <v>0</v>
      </c>
      <c r="AD83" s="692">
        <f t="shared" si="16"/>
        <v>214.2</v>
      </c>
      <c r="AE83" s="692">
        <f t="shared" si="17"/>
        <v>0</v>
      </c>
      <c r="AF83" s="692">
        <f t="shared" si="18"/>
        <v>0</v>
      </c>
      <c r="AG83" s="38"/>
      <c r="AH83" s="692">
        <f t="shared" si="23"/>
        <v>0</v>
      </c>
      <c r="AI83" s="692">
        <f t="shared" si="24"/>
        <v>0</v>
      </c>
      <c r="AJ83" s="692">
        <f t="shared" si="25"/>
        <v>0</v>
      </c>
      <c r="AL83" s="38">
        <f t="shared" si="27"/>
        <v>214.2</v>
      </c>
    </row>
    <row r="84" spans="1:38">
      <c r="A84" s="20"/>
      <c r="B84" s="20" t="s">
        <v>110</v>
      </c>
      <c r="C84" s="667" t="s">
        <v>543</v>
      </c>
      <c r="D84" s="68" t="s">
        <v>201</v>
      </c>
      <c r="E84" s="679">
        <f>4.44+2.22</f>
        <v>6.66</v>
      </c>
      <c r="F84" s="529">
        <f>VLOOKUP(D84,'Mar 2013 Revenue'!D:T,17,FALSE)</f>
        <v>0</v>
      </c>
      <c r="G84" s="680"/>
      <c r="H84" s="680"/>
      <c r="I84" s="755"/>
      <c r="J84" s="682">
        <f t="shared" si="15"/>
        <v>6.66</v>
      </c>
      <c r="K84" s="683"/>
      <c r="L84" s="684"/>
      <c r="M84" s="753"/>
      <c r="N84" s="683">
        <v>0</v>
      </c>
      <c r="O84" s="686"/>
      <c r="P84" s="683">
        <v>0</v>
      </c>
      <c r="Q84" s="687">
        <f t="shared" si="1"/>
        <v>0</v>
      </c>
      <c r="R84" s="687"/>
      <c r="S84" s="687"/>
      <c r="T84" s="688">
        <v>0</v>
      </c>
      <c r="U84" s="693"/>
      <c r="V84" s="690">
        <f t="shared" si="26"/>
        <v>0</v>
      </c>
      <c r="W84" s="683"/>
      <c r="X84" s="474">
        <f t="shared" si="19"/>
        <v>0</v>
      </c>
      <c r="Y84" s="474">
        <f t="shared" si="20"/>
        <v>0</v>
      </c>
      <c r="Z84" s="475">
        <f t="shared" si="21"/>
        <v>0</v>
      </c>
      <c r="AA84" s="475">
        <v>0</v>
      </c>
      <c r="AB84" s="476">
        <v>0</v>
      </c>
      <c r="AC84" s="38">
        <f t="shared" si="22"/>
        <v>0</v>
      </c>
      <c r="AD84" s="692">
        <f t="shared" si="16"/>
        <v>6.66</v>
      </c>
      <c r="AE84" s="692">
        <f t="shared" si="17"/>
        <v>0</v>
      </c>
      <c r="AF84" s="692">
        <f t="shared" si="18"/>
        <v>0</v>
      </c>
      <c r="AG84" s="38"/>
      <c r="AH84" s="692">
        <f t="shared" si="23"/>
        <v>0</v>
      </c>
      <c r="AI84" s="692">
        <f t="shared" si="24"/>
        <v>0</v>
      </c>
      <c r="AJ84" s="692">
        <f t="shared" si="25"/>
        <v>0</v>
      </c>
      <c r="AL84" s="38">
        <f t="shared" si="27"/>
        <v>6.66</v>
      </c>
    </row>
    <row r="85" spans="1:38">
      <c r="A85" s="20" t="s">
        <v>97</v>
      </c>
      <c r="B85" s="20" t="s">
        <v>114</v>
      </c>
      <c r="C85" s="667"/>
      <c r="D85" s="68" t="s">
        <v>387</v>
      </c>
      <c r="E85" s="679"/>
      <c r="F85" s="529">
        <f>VLOOKUP(D85,'Mar 2013 Revenue'!D:T,17,FALSE)</f>
        <v>4764.2200000000012</v>
      </c>
      <c r="G85" s="680"/>
      <c r="H85" s="680"/>
      <c r="I85" s="755"/>
      <c r="J85" s="682">
        <f t="shared" si="15"/>
        <v>4764.2200000000012</v>
      </c>
      <c r="K85" s="683"/>
      <c r="L85" s="684"/>
      <c r="M85" s="753">
        <v>20000</v>
      </c>
      <c r="N85" s="683">
        <v>0</v>
      </c>
      <c r="O85" s="686"/>
      <c r="P85" s="683">
        <v>0</v>
      </c>
      <c r="Q85" s="687">
        <f t="shared" si="1"/>
        <v>20000</v>
      </c>
      <c r="R85" s="687"/>
      <c r="S85" s="687"/>
      <c r="T85" s="688">
        <v>14455.08</v>
      </c>
      <c r="U85" s="693"/>
      <c r="V85" s="690">
        <f t="shared" si="26"/>
        <v>-5544.92</v>
      </c>
      <c r="W85" s="683"/>
      <c r="X85" s="474">
        <f t="shared" si="19"/>
        <v>0</v>
      </c>
      <c r="Y85" s="474">
        <f t="shared" si="20"/>
        <v>0</v>
      </c>
      <c r="Z85" s="475">
        <f t="shared" si="21"/>
        <v>20000</v>
      </c>
      <c r="AA85" s="475">
        <v>0</v>
      </c>
      <c r="AB85" s="476">
        <v>0</v>
      </c>
      <c r="AC85" s="38">
        <f t="shared" si="22"/>
        <v>0</v>
      </c>
      <c r="AD85" s="692">
        <f t="shared" si="16"/>
        <v>0</v>
      </c>
      <c r="AE85" s="692">
        <f t="shared" si="17"/>
        <v>0</v>
      </c>
      <c r="AF85" s="692">
        <f t="shared" si="18"/>
        <v>4764.2200000000012</v>
      </c>
      <c r="AG85" s="38"/>
      <c r="AH85" s="692">
        <f t="shared" si="23"/>
        <v>0</v>
      </c>
      <c r="AI85" s="692">
        <f t="shared" si="24"/>
        <v>0</v>
      </c>
      <c r="AJ85" s="692">
        <f t="shared" si="25"/>
        <v>20000</v>
      </c>
      <c r="AL85" s="38">
        <f t="shared" si="27"/>
        <v>24764.22</v>
      </c>
    </row>
    <row r="86" spans="1:38">
      <c r="A86" s="20" t="s">
        <v>97</v>
      </c>
      <c r="B86" s="20" t="s">
        <v>114</v>
      </c>
      <c r="C86" s="667"/>
      <c r="D86" s="68" t="s">
        <v>482</v>
      </c>
      <c r="E86" s="679"/>
      <c r="F86" s="529">
        <f>VLOOKUP(D86,'Mar 2013 Revenue'!D:T,17,FALSE)</f>
        <v>0</v>
      </c>
      <c r="G86" s="680"/>
      <c r="H86" s="680"/>
      <c r="I86" s="755"/>
      <c r="J86" s="682">
        <f t="shared" si="15"/>
        <v>0</v>
      </c>
      <c r="K86" s="683"/>
      <c r="L86" s="684"/>
      <c r="M86" s="753"/>
      <c r="N86" s="683"/>
      <c r="O86" s="686"/>
      <c r="P86" s="683"/>
      <c r="Q86" s="687">
        <f t="shared" si="1"/>
        <v>0</v>
      </c>
      <c r="R86" s="687"/>
      <c r="S86" s="687"/>
      <c r="T86" s="688">
        <v>0</v>
      </c>
      <c r="U86" s="693"/>
      <c r="V86" s="690">
        <f t="shared" si="26"/>
        <v>0</v>
      </c>
      <c r="W86" s="683"/>
      <c r="X86" s="474">
        <f t="shared" si="19"/>
        <v>0</v>
      </c>
      <c r="Y86" s="474">
        <f t="shared" si="20"/>
        <v>0</v>
      </c>
      <c r="Z86" s="475">
        <f t="shared" si="21"/>
        <v>0</v>
      </c>
      <c r="AA86" s="475">
        <v>0</v>
      </c>
      <c r="AB86" s="476">
        <v>0</v>
      </c>
      <c r="AC86" s="38">
        <f t="shared" si="22"/>
        <v>0</v>
      </c>
      <c r="AD86" s="692">
        <f t="shared" si="16"/>
        <v>0</v>
      </c>
      <c r="AE86" s="692">
        <f t="shared" si="17"/>
        <v>0</v>
      </c>
      <c r="AF86" s="692">
        <f t="shared" si="18"/>
        <v>0</v>
      </c>
      <c r="AG86" s="38"/>
      <c r="AH86" s="692">
        <f t="shared" si="23"/>
        <v>0</v>
      </c>
      <c r="AI86" s="692">
        <f t="shared" si="24"/>
        <v>0</v>
      </c>
      <c r="AJ86" s="692">
        <f t="shared" si="25"/>
        <v>0</v>
      </c>
      <c r="AL86" s="38">
        <f t="shared" si="27"/>
        <v>0</v>
      </c>
    </row>
    <row r="87" spans="1:38">
      <c r="A87" s="20" t="s">
        <v>109</v>
      </c>
      <c r="B87" s="20" t="s">
        <v>109</v>
      </c>
      <c r="C87" s="667" t="s">
        <v>544</v>
      </c>
      <c r="D87" s="68" t="s">
        <v>383</v>
      </c>
      <c r="E87" s="679"/>
      <c r="F87" s="529">
        <f>VLOOKUP(D87,'Mar 2013 Revenue'!D:T,17,FALSE)</f>
        <v>127.07</v>
      </c>
      <c r="G87" s="680"/>
      <c r="H87" s="680"/>
      <c r="I87" s="755"/>
      <c r="J87" s="682">
        <f t="shared" si="15"/>
        <v>127.07</v>
      </c>
      <c r="K87" s="683"/>
      <c r="L87" s="684"/>
      <c r="M87" s="753"/>
      <c r="N87" s="683">
        <v>0</v>
      </c>
      <c r="O87" s="686"/>
      <c r="P87" s="683">
        <v>0</v>
      </c>
      <c r="Q87" s="687">
        <f t="shared" si="1"/>
        <v>0</v>
      </c>
      <c r="R87" s="687"/>
      <c r="S87" s="687"/>
      <c r="T87" s="688">
        <v>0</v>
      </c>
      <c r="U87" s="693"/>
      <c r="V87" s="690">
        <f t="shared" si="26"/>
        <v>0</v>
      </c>
      <c r="W87" s="683"/>
      <c r="X87" s="474">
        <f t="shared" si="19"/>
        <v>0</v>
      </c>
      <c r="Y87" s="474">
        <f t="shared" si="20"/>
        <v>0</v>
      </c>
      <c r="Z87" s="475">
        <f t="shared" si="21"/>
        <v>0</v>
      </c>
      <c r="AA87" s="475">
        <v>0</v>
      </c>
      <c r="AB87" s="476">
        <v>0</v>
      </c>
      <c r="AC87" s="38">
        <f t="shared" si="22"/>
        <v>0</v>
      </c>
      <c r="AD87" s="692">
        <f t="shared" si="16"/>
        <v>0</v>
      </c>
      <c r="AE87" s="692">
        <f t="shared" si="17"/>
        <v>127.07</v>
      </c>
      <c r="AF87" s="692">
        <f t="shared" si="18"/>
        <v>0</v>
      </c>
      <c r="AG87" s="38"/>
      <c r="AH87" s="692">
        <f t="shared" si="23"/>
        <v>0</v>
      </c>
      <c r="AI87" s="692">
        <f t="shared" si="24"/>
        <v>0</v>
      </c>
      <c r="AJ87" s="692">
        <f t="shared" si="25"/>
        <v>0</v>
      </c>
      <c r="AL87" s="38">
        <f t="shared" si="27"/>
        <v>127.07</v>
      </c>
    </row>
    <row r="88" spans="1:38">
      <c r="A88" s="21" t="s">
        <v>211</v>
      </c>
      <c r="B88" s="21" t="s">
        <v>109</v>
      </c>
      <c r="C88" s="666" t="s">
        <v>545</v>
      </c>
      <c r="D88" s="68" t="s">
        <v>181</v>
      </c>
      <c r="E88" s="679"/>
      <c r="F88" s="529">
        <f>VLOOKUP(D88,'Mar 2013 Revenue'!D:T,17,FALSE)</f>
        <v>-8930.48</v>
      </c>
      <c r="G88" s="680"/>
      <c r="H88" s="680"/>
      <c r="I88" s="755"/>
      <c r="J88" s="682">
        <f t="shared" si="15"/>
        <v>-8930.48</v>
      </c>
      <c r="K88" s="683"/>
      <c r="L88" s="684"/>
      <c r="M88" s="753"/>
      <c r="N88" s="683">
        <v>0</v>
      </c>
      <c r="O88" s="686"/>
      <c r="P88" s="683">
        <v>0</v>
      </c>
      <c r="Q88" s="687">
        <f t="shared" si="1"/>
        <v>0</v>
      </c>
      <c r="R88" s="687"/>
      <c r="S88" s="687"/>
      <c r="T88" s="688">
        <v>0</v>
      </c>
      <c r="U88" s="693"/>
      <c r="V88" s="690">
        <f t="shared" si="26"/>
        <v>0</v>
      </c>
      <c r="W88" s="683"/>
      <c r="X88" s="474">
        <f t="shared" si="19"/>
        <v>0</v>
      </c>
      <c r="Y88" s="474">
        <f t="shared" si="20"/>
        <v>0</v>
      </c>
      <c r="Z88" s="475">
        <f t="shared" si="21"/>
        <v>0</v>
      </c>
      <c r="AA88" s="475">
        <v>0</v>
      </c>
      <c r="AB88" s="476">
        <v>0</v>
      </c>
      <c r="AC88" s="38">
        <f t="shared" si="22"/>
        <v>0</v>
      </c>
      <c r="AD88" s="692">
        <f t="shared" si="16"/>
        <v>0</v>
      </c>
      <c r="AE88" s="692">
        <f t="shared" si="17"/>
        <v>-8930.48</v>
      </c>
      <c r="AF88" s="692">
        <f t="shared" si="18"/>
        <v>0</v>
      </c>
      <c r="AG88" s="38"/>
      <c r="AH88" s="692">
        <f t="shared" si="23"/>
        <v>0</v>
      </c>
      <c r="AI88" s="692">
        <f t="shared" si="24"/>
        <v>0</v>
      </c>
      <c r="AJ88" s="692">
        <f t="shared" si="25"/>
        <v>0</v>
      </c>
      <c r="AL88" s="38">
        <f t="shared" si="27"/>
        <v>-8930.48</v>
      </c>
    </row>
    <row r="89" spans="1:38">
      <c r="A89" s="21" t="s">
        <v>211</v>
      </c>
      <c r="B89" s="21" t="s">
        <v>110</v>
      </c>
      <c r="C89" s="666"/>
      <c r="D89" s="68" t="s">
        <v>504</v>
      </c>
      <c r="E89" s="679"/>
      <c r="F89" s="529">
        <f>VLOOKUP(D89,'Mar 2013 Revenue'!D:T,17,FALSE)</f>
        <v>0</v>
      </c>
      <c r="G89" s="680"/>
      <c r="H89" s="680"/>
      <c r="I89" s="755"/>
      <c r="J89" s="682">
        <f t="shared" si="15"/>
        <v>0</v>
      </c>
      <c r="K89" s="683"/>
      <c r="L89" s="684"/>
      <c r="M89" s="753"/>
      <c r="N89" s="683">
        <v>0</v>
      </c>
      <c r="O89" s="686"/>
      <c r="P89" s="683">
        <v>0</v>
      </c>
      <c r="Q89" s="687">
        <f t="shared" si="1"/>
        <v>0</v>
      </c>
      <c r="R89" s="687"/>
      <c r="S89" s="687"/>
      <c r="T89" s="688">
        <v>0</v>
      </c>
      <c r="U89" s="693"/>
      <c r="V89" s="690">
        <f t="shared" si="26"/>
        <v>0</v>
      </c>
      <c r="W89" s="683"/>
      <c r="X89" s="474">
        <f t="shared" si="19"/>
        <v>0</v>
      </c>
      <c r="Y89" s="474">
        <f t="shared" si="20"/>
        <v>0</v>
      </c>
      <c r="Z89" s="475">
        <f t="shared" si="21"/>
        <v>0</v>
      </c>
      <c r="AA89" s="475">
        <v>0</v>
      </c>
      <c r="AB89" s="476">
        <v>0</v>
      </c>
      <c r="AC89" s="38">
        <f t="shared" si="22"/>
        <v>0</v>
      </c>
      <c r="AD89" s="692">
        <f t="shared" si="16"/>
        <v>0</v>
      </c>
      <c r="AE89" s="692">
        <f t="shared" si="17"/>
        <v>0</v>
      </c>
      <c r="AF89" s="692">
        <f t="shared" si="18"/>
        <v>0</v>
      </c>
      <c r="AG89" s="38"/>
      <c r="AH89" s="692">
        <f t="shared" si="23"/>
        <v>0</v>
      </c>
      <c r="AI89" s="692">
        <f t="shared" si="24"/>
        <v>0</v>
      </c>
      <c r="AJ89" s="692">
        <f t="shared" si="25"/>
        <v>0</v>
      </c>
      <c r="AL89" s="38">
        <f t="shared" si="27"/>
        <v>0</v>
      </c>
    </row>
    <row r="90" spans="1:38">
      <c r="A90" s="20" t="s">
        <v>211</v>
      </c>
      <c r="B90" s="20" t="s">
        <v>109</v>
      </c>
      <c r="C90" s="667" t="s">
        <v>546</v>
      </c>
      <c r="D90" s="68" t="s">
        <v>142</v>
      </c>
      <c r="E90" s="679"/>
      <c r="F90" s="529">
        <f>VLOOKUP(D90,'Mar 2013 Revenue'!D:T,17,FALSE)</f>
        <v>0</v>
      </c>
      <c r="G90" s="680"/>
      <c r="H90" s="680"/>
      <c r="I90" s="755"/>
      <c r="J90" s="682">
        <f t="shared" si="15"/>
        <v>0</v>
      </c>
      <c r="K90" s="683"/>
      <c r="L90" s="684"/>
      <c r="M90" s="753"/>
      <c r="N90" s="683">
        <v>0</v>
      </c>
      <c r="O90" s="686"/>
      <c r="P90" s="683">
        <v>0</v>
      </c>
      <c r="Q90" s="687">
        <f t="shared" si="1"/>
        <v>0</v>
      </c>
      <c r="R90" s="687"/>
      <c r="S90" s="687"/>
      <c r="T90" s="688">
        <v>0</v>
      </c>
      <c r="U90" s="693"/>
      <c r="V90" s="690">
        <f t="shared" si="26"/>
        <v>0</v>
      </c>
      <c r="W90" s="697"/>
      <c r="X90" s="474">
        <f t="shared" si="19"/>
        <v>0</v>
      </c>
      <c r="Y90" s="474">
        <f t="shared" si="20"/>
        <v>0</v>
      </c>
      <c r="Z90" s="475">
        <f t="shared" si="21"/>
        <v>0</v>
      </c>
      <c r="AA90" s="475">
        <v>0</v>
      </c>
      <c r="AB90" s="476">
        <v>0</v>
      </c>
      <c r="AC90" s="38">
        <f t="shared" si="22"/>
        <v>0</v>
      </c>
      <c r="AD90" s="692">
        <f t="shared" si="16"/>
        <v>0</v>
      </c>
      <c r="AE90" s="692">
        <f t="shared" si="17"/>
        <v>0</v>
      </c>
      <c r="AF90" s="692">
        <f t="shared" si="18"/>
        <v>0</v>
      </c>
      <c r="AG90" s="38"/>
      <c r="AH90" s="692">
        <f t="shared" si="23"/>
        <v>0</v>
      </c>
      <c r="AI90" s="692">
        <f t="shared" si="24"/>
        <v>0</v>
      </c>
      <c r="AJ90" s="692">
        <f t="shared" si="25"/>
        <v>0</v>
      </c>
      <c r="AL90" s="38">
        <f t="shared" si="27"/>
        <v>0</v>
      </c>
    </row>
    <row r="91" spans="1:38">
      <c r="A91" s="20" t="s">
        <v>211</v>
      </c>
      <c r="B91" s="20" t="s">
        <v>109</v>
      </c>
      <c r="C91" s="667" t="s">
        <v>546</v>
      </c>
      <c r="D91" s="68" t="s">
        <v>143</v>
      </c>
      <c r="E91" s="679"/>
      <c r="F91" s="529">
        <f>VLOOKUP(D91,'Mar 2013 Revenue'!D:T,17,FALSE)</f>
        <v>0</v>
      </c>
      <c r="G91" s="680"/>
      <c r="H91" s="680"/>
      <c r="I91" s="755"/>
      <c r="J91" s="682">
        <f t="shared" si="15"/>
        <v>0</v>
      </c>
      <c r="K91" s="683"/>
      <c r="L91" s="684"/>
      <c r="M91" s="753"/>
      <c r="N91" s="683">
        <v>0</v>
      </c>
      <c r="O91" s="686"/>
      <c r="P91" s="683">
        <v>0</v>
      </c>
      <c r="Q91" s="687">
        <f t="shared" si="1"/>
        <v>0</v>
      </c>
      <c r="R91" s="687"/>
      <c r="S91" s="687"/>
      <c r="T91" s="688">
        <v>0</v>
      </c>
      <c r="U91" s="693"/>
      <c r="V91" s="690">
        <f t="shared" si="26"/>
        <v>0</v>
      </c>
      <c r="W91" s="697"/>
      <c r="X91" s="474">
        <f t="shared" si="19"/>
        <v>0</v>
      </c>
      <c r="Y91" s="474">
        <f t="shared" si="20"/>
        <v>0</v>
      </c>
      <c r="Z91" s="475">
        <f t="shared" si="21"/>
        <v>0</v>
      </c>
      <c r="AA91" s="475">
        <v>0</v>
      </c>
      <c r="AB91" s="476">
        <v>0</v>
      </c>
      <c r="AC91" s="38">
        <f t="shared" si="22"/>
        <v>0</v>
      </c>
      <c r="AD91" s="692">
        <f t="shared" si="16"/>
        <v>0</v>
      </c>
      <c r="AE91" s="692">
        <f t="shared" si="17"/>
        <v>0</v>
      </c>
      <c r="AF91" s="692">
        <f t="shared" si="18"/>
        <v>0</v>
      </c>
      <c r="AG91" s="38"/>
      <c r="AH91" s="692">
        <f t="shared" si="23"/>
        <v>0</v>
      </c>
      <c r="AI91" s="692">
        <f t="shared" si="24"/>
        <v>0</v>
      </c>
      <c r="AJ91" s="692">
        <f t="shared" si="25"/>
        <v>0</v>
      </c>
      <c r="AL91" s="38">
        <f t="shared" si="27"/>
        <v>0</v>
      </c>
    </row>
    <row r="92" spans="1:38">
      <c r="A92" s="20" t="s">
        <v>109</v>
      </c>
      <c r="B92" s="20" t="s">
        <v>109</v>
      </c>
      <c r="C92" s="667"/>
      <c r="D92" s="68" t="s">
        <v>498</v>
      </c>
      <c r="E92" s="679"/>
      <c r="F92" s="529">
        <f>VLOOKUP(D92,'Mar 2013 Revenue'!D:T,17,FALSE)</f>
        <v>0</v>
      </c>
      <c r="G92" s="680"/>
      <c r="H92" s="680"/>
      <c r="I92" s="755"/>
      <c r="J92" s="682">
        <f t="shared" si="15"/>
        <v>0</v>
      </c>
      <c r="K92" s="683"/>
      <c r="L92" s="684"/>
      <c r="M92" s="753"/>
      <c r="N92" s="683">
        <v>0</v>
      </c>
      <c r="O92" s="686"/>
      <c r="P92" s="683">
        <v>0</v>
      </c>
      <c r="Q92" s="687">
        <f t="shared" si="1"/>
        <v>0</v>
      </c>
      <c r="R92" s="687"/>
      <c r="S92" s="687"/>
      <c r="T92" s="688">
        <v>0</v>
      </c>
      <c r="U92" s="693"/>
      <c r="V92" s="690">
        <f t="shared" si="26"/>
        <v>0</v>
      </c>
      <c r="W92" s="683"/>
      <c r="X92" s="474">
        <f t="shared" si="19"/>
        <v>0</v>
      </c>
      <c r="Y92" s="474">
        <f t="shared" si="20"/>
        <v>0</v>
      </c>
      <c r="Z92" s="475">
        <f t="shared" si="21"/>
        <v>0</v>
      </c>
      <c r="AA92" s="475">
        <v>0</v>
      </c>
      <c r="AB92" s="476">
        <v>0</v>
      </c>
      <c r="AC92" s="38">
        <f t="shared" si="22"/>
        <v>0</v>
      </c>
      <c r="AD92" s="692">
        <f t="shared" si="16"/>
        <v>0</v>
      </c>
      <c r="AE92" s="692">
        <f t="shared" si="17"/>
        <v>0</v>
      </c>
      <c r="AF92" s="692">
        <f t="shared" si="18"/>
        <v>0</v>
      </c>
      <c r="AG92" s="38"/>
      <c r="AH92" s="692">
        <f t="shared" si="23"/>
        <v>0</v>
      </c>
      <c r="AI92" s="692">
        <f t="shared" si="24"/>
        <v>0</v>
      </c>
      <c r="AJ92" s="692">
        <f t="shared" si="25"/>
        <v>0</v>
      </c>
      <c r="AL92" s="38">
        <f t="shared" si="27"/>
        <v>0</v>
      </c>
    </row>
    <row r="93" spans="1:38">
      <c r="A93" s="21"/>
      <c r="B93" s="21" t="s">
        <v>110</v>
      </c>
      <c r="C93" s="666"/>
      <c r="D93" s="68" t="s">
        <v>20</v>
      </c>
      <c r="E93" s="679"/>
      <c r="F93" s="529">
        <f>VLOOKUP(D93,'Mar 2013 Revenue'!D:T,17,FALSE)</f>
        <v>0</v>
      </c>
      <c r="G93" s="680"/>
      <c r="H93" s="680"/>
      <c r="I93" s="804">
        <v>100.96</v>
      </c>
      <c r="J93" s="682">
        <f t="shared" si="15"/>
        <v>100.96</v>
      </c>
      <c r="K93" s="683"/>
      <c r="L93" s="684"/>
      <c r="M93" s="753"/>
      <c r="N93" s="683">
        <v>0</v>
      </c>
      <c r="O93" s="686"/>
      <c r="P93" s="683">
        <v>0</v>
      </c>
      <c r="Q93" s="687">
        <f t="shared" si="1"/>
        <v>0</v>
      </c>
      <c r="R93" s="687"/>
      <c r="S93" s="687"/>
      <c r="T93" s="688">
        <v>0</v>
      </c>
      <c r="U93" s="693"/>
      <c r="V93" s="690">
        <f t="shared" si="26"/>
        <v>0</v>
      </c>
      <c r="W93" s="683"/>
      <c r="X93" s="474">
        <f t="shared" si="19"/>
        <v>0</v>
      </c>
      <c r="Y93" s="474">
        <f t="shared" si="20"/>
        <v>0</v>
      </c>
      <c r="Z93" s="475">
        <f t="shared" si="21"/>
        <v>0</v>
      </c>
      <c r="AA93" s="475">
        <v>0</v>
      </c>
      <c r="AB93" s="476">
        <v>0</v>
      </c>
      <c r="AC93" s="38">
        <f t="shared" si="22"/>
        <v>0</v>
      </c>
      <c r="AD93" s="692">
        <f t="shared" si="16"/>
        <v>100.96</v>
      </c>
      <c r="AE93" s="692">
        <f t="shared" si="17"/>
        <v>0</v>
      </c>
      <c r="AF93" s="692">
        <f t="shared" si="18"/>
        <v>0</v>
      </c>
      <c r="AG93" s="38"/>
      <c r="AH93" s="692">
        <f t="shared" si="23"/>
        <v>0</v>
      </c>
      <c r="AI93" s="692">
        <f t="shared" si="24"/>
        <v>0</v>
      </c>
      <c r="AJ93" s="692">
        <f t="shared" si="25"/>
        <v>0</v>
      </c>
      <c r="AL93" s="38">
        <f t="shared" si="27"/>
        <v>100.96</v>
      </c>
    </row>
    <row r="94" spans="1:38">
      <c r="A94" s="21"/>
      <c r="B94" s="21" t="s">
        <v>110</v>
      </c>
      <c r="C94" s="666" t="s">
        <v>547</v>
      </c>
      <c r="D94" s="68" t="s">
        <v>203</v>
      </c>
      <c r="E94" s="679"/>
      <c r="F94" s="529">
        <f>VLOOKUP(D94,'Mar 2013 Revenue'!D:T,17,FALSE)</f>
        <v>0</v>
      </c>
      <c r="G94" s="680"/>
      <c r="H94" s="680"/>
      <c r="I94" s="755"/>
      <c r="J94" s="682">
        <f t="shared" si="15"/>
        <v>0</v>
      </c>
      <c r="K94" s="683"/>
      <c r="L94" s="684"/>
      <c r="M94" s="753"/>
      <c r="N94" s="683">
        <v>0</v>
      </c>
      <c r="O94" s="686"/>
      <c r="P94" s="683">
        <v>0</v>
      </c>
      <c r="Q94" s="687">
        <f t="shared" si="1"/>
        <v>0</v>
      </c>
      <c r="R94" s="687"/>
      <c r="S94" s="687"/>
      <c r="T94" s="688">
        <v>0</v>
      </c>
      <c r="U94" s="693"/>
      <c r="V94" s="690">
        <f t="shared" si="26"/>
        <v>0</v>
      </c>
      <c r="W94" s="683"/>
      <c r="X94" s="474">
        <f t="shared" si="19"/>
        <v>0</v>
      </c>
      <c r="Y94" s="474">
        <f t="shared" si="20"/>
        <v>0</v>
      </c>
      <c r="Z94" s="475">
        <f t="shared" si="21"/>
        <v>0</v>
      </c>
      <c r="AA94" s="475">
        <v>0</v>
      </c>
      <c r="AB94" s="476">
        <v>0</v>
      </c>
      <c r="AC94" s="38">
        <f t="shared" si="22"/>
        <v>0</v>
      </c>
      <c r="AD94" s="692">
        <f t="shared" si="16"/>
        <v>0</v>
      </c>
      <c r="AE94" s="692">
        <f t="shared" si="17"/>
        <v>0</v>
      </c>
      <c r="AF94" s="692">
        <f t="shared" si="18"/>
        <v>0</v>
      </c>
      <c r="AG94" s="38"/>
      <c r="AH94" s="692">
        <f t="shared" si="23"/>
        <v>0</v>
      </c>
      <c r="AI94" s="692">
        <f t="shared" si="24"/>
        <v>0</v>
      </c>
      <c r="AJ94" s="692">
        <f t="shared" si="25"/>
        <v>0</v>
      </c>
      <c r="AL94" s="38">
        <f t="shared" si="27"/>
        <v>0</v>
      </c>
    </row>
    <row r="95" spans="1:38">
      <c r="A95" s="21"/>
      <c r="B95" s="21" t="s">
        <v>110</v>
      </c>
      <c r="C95" s="666" t="s">
        <v>547</v>
      </c>
      <c r="D95" s="68" t="s">
        <v>202</v>
      </c>
      <c r="E95" s="679"/>
      <c r="F95" s="529">
        <f>VLOOKUP(D95,'Mar 2013 Revenue'!D:T,17,FALSE)</f>
        <v>0</v>
      </c>
      <c r="G95" s="680"/>
      <c r="H95" s="680"/>
      <c r="I95" s="755"/>
      <c r="J95" s="682">
        <f t="shared" si="15"/>
        <v>0</v>
      </c>
      <c r="K95" s="683"/>
      <c r="L95" s="684"/>
      <c r="M95" s="753"/>
      <c r="N95" s="683">
        <v>0</v>
      </c>
      <c r="O95" s="686"/>
      <c r="P95" s="683">
        <v>0</v>
      </c>
      <c r="Q95" s="687">
        <f t="shared" si="1"/>
        <v>0</v>
      </c>
      <c r="R95" s="687"/>
      <c r="S95" s="687"/>
      <c r="T95" s="688">
        <v>0</v>
      </c>
      <c r="U95" s="693"/>
      <c r="V95" s="690">
        <f t="shared" si="26"/>
        <v>0</v>
      </c>
      <c r="W95" s="683"/>
      <c r="X95" s="474">
        <f t="shared" si="19"/>
        <v>0</v>
      </c>
      <c r="Y95" s="474">
        <f t="shared" si="20"/>
        <v>0</v>
      </c>
      <c r="Z95" s="475">
        <f t="shared" si="21"/>
        <v>0</v>
      </c>
      <c r="AA95" s="475">
        <v>0</v>
      </c>
      <c r="AB95" s="476">
        <v>0</v>
      </c>
      <c r="AC95" s="38">
        <f t="shared" si="22"/>
        <v>0</v>
      </c>
      <c r="AD95" s="692">
        <f t="shared" si="16"/>
        <v>0</v>
      </c>
      <c r="AE95" s="692">
        <f t="shared" si="17"/>
        <v>0</v>
      </c>
      <c r="AF95" s="692">
        <f t="shared" si="18"/>
        <v>0</v>
      </c>
      <c r="AG95" s="38"/>
      <c r="AH95" s="692">
        <f t="shared" si="23"/>
        <v>0</v>
      </c>
      <c r="AI95" s="692">
        <f t="shared" si="24"/>
        <v>0</v>
      </c>
      <c r="AJ95" s="692">
        <f t="shared" si="25"/>
        <v>0</v>
      </c>
      <c r="AL95" s="38">
        <f t="shared" si="27"/>
        <v>0</v>
      </c>
    </row>
    <row r="96" spans="1:38">
      <c r="A96" s="20" t="s">
        <v>211</v>
      </c>
      <c r="B96" s="20" t="s">
        <v>110</v>
      </c>
      <c r="C96" s="667"/>
      <c r="D96" s="373" t="s">
        <v>466</v>
      </c>
      <c r="E96" s="679"/>
      <c r="F96" s="529">
        <f>VLOOKUP(D96,'Mar 2013 Revenue'!D:T,17,FALSE)</f>
        <v>0</v>
      </c>
      <c r="G96" s="680"/>
      <c r="H96" s="680"/>
      <c r="I96" s="770">
        <v>963.42</v>
      </c>
      <c r="J96" s="682">
        <f t="shared" si="15"/>
        <v>963.42</v>
      </c>
      <c r="K96" s="683"/>
      <c r="L96" s="684"/>
      <c r="M96" s="753"/>
      <c r="N96" s="683">
        <v>0</v>
      </c>
      <c r="O96" s="686"/>
      <c r="P96" s="683">
        <v>0</v>
      </c>
      <c r="Q96" s="687">
        <f t="shared" si="1"/>
        <v>0</v>
      </c>
      <c r="R96" s="687"/>
      <c r="S96" s="687"/>
      <c r="T96" s="688">
        <v>0</v>
      </c>
      <c r="U96" s="693"/>
      <c r="V96" s="690">
        <f t="shared" si="26"/>
        <v>0</v>
      </c>
      <c r="W96" s="683"/>
      <c r="X96" s="474">
        <f t="shared" si="19"/>
        <v>0</v>
      </c>
      <c r="Y96" s="474">
        <f t="shared" si="20"/>
        <v>0</v>
      </c>
      <c r="Z96" s="475">
        <f t="shared" si="21"/>
        <v>0</v>
      </c>
      <c r="AA96" s="475">
        <v>0</v>
      </c>
      <c r="AB96" s="476">
        <v>0</v>
      </c>
      <c r="AC96" s="38">
        <f t="shared" si="22"/>
        <v>0</v>
      </c>
      <c r="AD96" s="692">
        <f t="shared" si="16"/>
        <v>963.42</v>
      </c>
      <c r="AE96" s="692">
        <f t="shared" si="17"/>
        <v>0</v>
      </c>
      <c r="AF96" s="692">
        <f t="shared" si="18"/>
        <v>0</v>
      </c>
      <c r="AG96" s="38"/>
      <c r="AH96" s="692">
        <f t="shared" si="23"/>
        <v>0</v>
      </c>
      <c r="AI96" s="692">
        <f t="shared" si="24"/>
        <v>0</v>
      </c>
      <c r="AJ96" s="692">
        <f t="shared" si="25"/>
        <v>0</v>
      </c>
      <c r="AL96" s="38">
        <f t="shared" si="27"/>
        <v>963.42</v>
      </c>
    </row>
    <row r="97" spans="1:38">
      <c r="A97" s="20"/>
      <c r="B97" s="20" t="s">
        <v>110</v>
      </c>
      <c r="C97" s="667"/>
      <c r="D97" s="373" t="s">
        <v>627</v>
      </c>
      <c r="E97" s="679"/>
      <c r="F97" s="529">
        <f>VLOOKUP(D97,'Mar 2013 Revenue'!D:T,17,FALSE)</f>
        <v>0</v>
      </c>
      <c r="G97" s="680"/>
      <c r="H97" s="680"/>
      <c r="I97" s="755"/>
      <c r="J97" s="682">
        <f t="shared" si="15"/>
        <v>0</v>
      </c>
      <c r="K97" s="683"/>
      <c r="L97" s="684"/>
      <c r="M97" s="753"/>
      <c r="N97" s="683">
        <v>0</v>
      </c>
      <c r="O97" s="686"/>
      <c r="P97" s="683">
        <v>0</v>
      </c>
      <c r="Q97" s="687">
        <f t="shared" si="1"/>
        <v>0</v>
      </c>
      <c r="R97" s="687"/>
      <c r="S97" s="687"/>
      <c r="T97" s="688">
        <v>0</v>
      </c>
      <c r="U97" s="693"/>
      <c r="V97" s="690">
        <f t="shared" si="26"/>
        <v>0</v>
      </c>
      <c r="W97" s="683"/>
      <c r="X97" s="474">
        <f t="shared" si="19"/>
        <v>0</v>
      </c>
      <c r="Y97" s="474">
        <f t="shared" si="20"/>
        <v>0</v>
      </c>
      <c r="Z97" s="475">
        <f t="shared" si="21"/>
        <v>0</v>
      </c>
      <c r="AA97" s="475">
        <v>0</v>
      </c>
      <c r="AB97" s="476">
        <v>0</v>
      </c>
      <c r="AC97" s="38">
        <f t="shared" si="22"/>
        <v>0</v>
      </c>
      <c r="AD97" s="692">
        <f t="shared" si="16"/>
        <v>0</v>
      </c>
      <c r="AE97" s="692">
        <f t="shared" si="17"/>
        <v>0</v>
      </c>
      <c r="AF97" s="692">
        <f t="shared" si="18"/>
        <v>0</v>
      </c>
      <c r="AG97" s="38"/>
      <c r="AH97" s="692">
        <f t="shared" si="23"/>
        <v>0</v>
      </c>
      <c r="AI97" s="692">
        <f t="shared" si="24"/>
        <v>0</v>
      </c>
      <c r="AJ97" s="692">
        <f t="shared" si="25"/>
        <v>0</v>
      </c>
      <c r="AL97" s="38">
        <f t="shared" si="27"/>
        <v>0</v>
      </c>
    </row>
    <row r="98" spans="1:38" s="232" customFormat="1">
      <c r="A98" s="283"/>
      <c r="B98" s="283" t="s">
        <v>110</v>
      </c>
      <c r="C98" s="667"/>
      <c r="D98" s="123" t="s">
        <v>386</v>
      </c>
      <c r="E98" s="679"/>
      <c r="F98" s="529">
        <f>VLOOKUP(D98,'Mar 2013 Revenue'!D:T,17,FALSE)</f>
        <v>0</v>
      </c>
      <c r="G98" s="680"/>
      <c r="H98" s="680"/>
      <c r="I98" s="804">
        <v>3061502.31</v>
      </c>
      <c r="J98" s="682">
        <f t="shared" si="15"/>
        <v>3061502.31</v>
      </c>
      <c r="K98" s="683"/>
      <c r="L98" s="684"/>
      <c r="M98" s="753"/>
      <c r="N98" s="683">
        <v>0</v>
      </c>
      <c r="O98" s="686"/>
      <c r="P98" s="683">
        <v>0</v>
      </c>
      <c r="Q98" s="687">
        <f t="shared" si="1"/>
        <v>0</v>
      </c>
      <c r="R98" s="687"/>
      <c r="S98" s="687"/>
      <c r="T98" s="688">
        <v>0</v>
      </c>
      <c r="U98" s="693"/>
      <c r="V98" s="690">
        <f t="shared" si="26"/>
        <v>0</v>
      </c>
      <c r="W98" s="683"/>
      <c r="X98" s="474">
        <f t="shared" si="19"/>
        <v>0</v>
      </c>
      <c r="Y98" s="474">
        <f t="shared" si="20"/>
        <v>0</v>
      </c>
      <c r="Z98" s="475">
        <f t="shared" si="21"/>
        <v>0</v>
      </c>
      <c r="AA98" s="475">
        <v>0</v>
      </c>
      <c r="AB98" s="476">
        <v>0</v>
      </c>
      <c r="AC98" s="38">
        <f t="shared" si="22"/>
        <v>0</v>
      </c>
      <c r="AD98" s="692">
        <f t="shared" si="16"/>
        <v>3061502.31</v>
      </c>
      <c r="AE98" s="692">
        <f t="shared" si="17"/>
        <v>0</v>
      </c>
      <c r="AF98" s="692">
        <f t="shared" si="18"/>
        <v>0</v>
      </c>
      <c r="AG98" s="38"/>
      <c r="AH98" s="692">
        <f t="shared" si="23"/>
        <v>0</v>
      </c>
      <c r="AI98" s="692">
        <f t="shared" si="24"/>
        <v>0</v>
      </c>
      <c r="AJ98" s="692">
        <f t="shared" si="25"/>
        <v>0</v>
      </c>
      <c r="AL98" s="38">
        <f t="shared" si="27"/>
        <v>3061502.31</v>
      </c>
    </row>
    <row r="99" spans="1:38" s="232" customFormat="1">
      <c r="A99" s="283"/>
      <c r="B99" s="283" t="s">
        <v>110</v>
      </c>
      <c r="C99" s="667"/>
      <c r="D99" s="123" t="s">
        <v>331</v>
      </c>
      <c r="E99" s="679"/>
      <c r="F99" s="529">
        <f>VLOOKUP(D99,'Mar 2013 Revenue'!D:T,17,FALSE)</f>
        <v>0</v>
      </c>
      <c r="G99" s="680"/>
      <c r="H99" s="680"/>
      <c r="I99" s="804">
        <v>24471.119999999999</v>
      </c>
      <c r="J99" s="682">
        <f t="shared" si="15"/>
        <v>24471.119999999999</v>
      </c>
      <c r="K99" s="683"/>
      <c r="L99" s="684"/>
      <c r="M99" s="753"/>
      <c r="N99" s="683">
        <v>0</v>
      </c>
      <c r="O99" s="686"/>
      <c r="P99" s="683">
        <v>0</v>
      </c>
      <c r="Q99" s="687">
        <f t="shared" si="1"/>
        <v>0</v>
      </c>
      <c r="R99" s="687"/>
      <c r="S99" s="687"/>
      <c r="T99" s="688">
        <v>0</v>
      </c>
      <c r="U99" s="693"/>
      <c r="V99" s="690">
        <f t="shared" si="26"/>
        <v>0</v>
      </c>
      <c r="W99" s="683"/>
      <c r="X99" s="474">
        <f t="shared" si="19"/>
        <v>0</v>
      </c>
      <c r="Y99" s="474">
        <f t="shared" si="20"/>
        <v>0</v>
      </c>
      <c r="Z99" s="475">
        <f t="shared" si="21"/>
        <v>0</v>
      </c>
      <c r="AA99" s="475">
        <v>0</v>
      </c>
      <c r="AB99" s="476">
        <v>0</v>
      </c>
      <c r="AC99" s="38">
        <f t="shared" si="22"/>
        <v>0</v>
      </c>
      <c r="AD99" s="692">
        <f t="shared" si="16"/>
        <v>24471.119999999999</v>
      </c>
      <c r="AE99" s="692">
        <f t="shared" si="17"/>
        <v>0</v>
      </c>
      <c r="AF99" s="692">
        <f t="shared" si="18"/>
        <v>0</v>
      </c>
      <c r="AG99" s="38"/>
      <c r="AH99" s="692">
        <f t="shared" si="23"/>
        <v>0</v>
      </c>
      <c r="AI99" s="692">
        <f t="shared" si="24"/>
        <v>0</v>
      </c>
      <c r="AJ99" s="692">
        <f t="shared" si="25"/>
        <v>0</v>
      </c>
      <c r="AL99" s="38">
        <f t="shared" si="27"/>
        <v>24471.119999999999</v>
      </c>
    </row>
    <row r="100" spans="1:38" s="232" customFormat="1">
      <c r="A100" s="283"/>
      <c r="B100" s="283" t="s">
        <v>110</v>
      </c>
      <c r="C100" s="667"/>
      <c r="D100" s="413" t="s">
        <v>332</v>
      </c>
      <c r="E100" s="679"/>
      <c r="F100" s="529">
        <f>VLOOKUP(D100,'Mar 2013 Revenue'!D:T,17,FALSE)</f>
        <v>0</v>
      </c>
      <c r="G100" s="680"/>
      <c r="H100" s="680"/>
      <c r="I100" s="804">
        <v>1600005.39</v>
      </c>
      <c r="J100" s="682">
        <f t="shared" si="15"/>
        <v>1600005.39</v>
      </c>
      <c r="K100" s="683"/>
      <c r="L100" s="684"/>
      <c r="M100" s="753"/>
      <c r="N100" s="683">
        <v>0</v>
      </c>
      <c r="O100" s="686"/>
      <c r="P100" s="683">
        <v>0</v>
      </c>
      <c r="Q100" s="687">
        <f t="shared" si="1"/>
        <v>0</v>
      </c>
      <c r="R100" s="687"/>
      <c r="S100" s="687"/>
      <c r="T100" s="688">
        <v>0</v>
      </c>
      <c r="U100" s="693"/>
      <c r="V100" s="690">
        <f t="shared" si="26"/>
        <v>0</v>
      </c>
      <c r="W100" s="683"/>
      <c r="X100" s="474">
        <f t="shared" si="19"/>
        <v>0</v>
      </c>
      <c r="Y100" s="474">
        <f t="shared" si="20"/>
        <v>0</v>
      </c>
      <c r="Z100" s="475">
        <f t="shared" si="21"/>
        <v>0</v>
      </c>
      <c r="AA100" s="475">
        <v>0</v>
      </c>
      <c r="AB100" s="476">
        <v>0</v>
      </c>
      <c r="AC100" s="38">
        <f t="shared" si="22"/>
        <v>0</v>
      </c>
      <c r="AD100" s="692">
        <f t="shared" si="16"/>
        <v>1600005.39</v>
      </c>
      <c r="AE100" s="692">
        <f t="shared" si="17"/>
        <v>0</v>
      </c>
      <c r="AF100" s="692">
        <f t="shared" si="18"/>
        <v>0</v>
      </c>
      <c r="AG100" s="38"/>
      <c r="AH100" s="692">
        <f t="shared" si="23"/>
        <v>0</v>
      </c>
      <c r="AI100" s="692">
        <f t="shared" si="24"/>
        <v>0</v>
      </c>
      <c r="AJ100" s="692">
        <f t="shared" si="25"/>
        <v>0</v>
      </c>
      <c r="AL100" s="38">
        <f t="shared" si="27"/>
        <v>1600005.39</v>
      </c>
    </row>
    <row r="101" spans="1:38" s="232" customFormat="1">
      <c r="A101" s="283"/>
      <c r="B101" s="283" t="s">
        <v>110</v>
      </c>
      <c r="C101" s="667"/>
      <c r="D101" s="123" t="s">
        <v>333</v>
      </c>
      <c r="E101" s="679"/>
      <c r="F101" s="529">
        <f>VLOOKUP(D101,'Mar 2013 Revenue'!D:T,17,FALSE)</f>
        <v>0</v>
      </c>
      <c r="G101" s="680"/>
      <c r="H101" s="680"/>
      <c r="I101" s="804">
        <v>760.3</v>
      </c>
      <c r="J101" s="682">
        <f t="shared" si="15"/>
        <v>760.3</v>
      </c>
      <c r="K101" s="683"/>
      <c r="L101" s="684"/>
      <c r="M101" s="753"/>
      <c r="N101" s="683">
        <v>0</v>
      </c>
      <c r="O101" s="686"/>
      <c r="P101" s="683">
        <v>0</v>
      </c>
      <c r="Q101" s="687">
        <f t="shared" si="1"/>
        <v>0</v>
      </c>
      <c r="R101" s="687"/>
      <c r="S101" s="687"/>
      <c r="T101" s="688">
        <v>0</v>
      </c>
      <c r="U101" s="693"/>
      <c r="V101" s="690">
        <f t="shared" si="26"/>
        <v>0</v>
      </c>
      <c r="W101" s="683"/>
      <c r="X101" s="474">
        <f t="shared" si="19"/>
        <v>0</v>
      </c>
      <c r="Y101" s="474">
        <f t="shared" si="20"/>
        <v>0</v>
      </c>
      <c r="Z101" s="475">
        <f t="shared" si="21"/>
        <v>0</v>
      </c>
      <c r="AA101" s="475">
        <v>0</v>
      </c>
      <c r="AB101" s="476">
        <v>0</v>
      </c>
      <c r="AC101" s="38">
        <f t="shared" si="22"/>
        <v>0</v>
      </c>
      <c r="AD101" s="692">
        <f t="shared" si="16"/>
        <v>760.3</v>
      </c>
      <c r="AE101" s="692">
        <f t="shared" si="17"/>
        <v>0</v>
      </c>
      <c r="AF101" s="692">
        <f t="shared" si="18"/>
        <v>0</v>
      </c>
      <c r="AG101" s="38"/>
      <c r="AH101" s="692">
        <f t="shared" si="23"/>
        <v>0</v>
      </c>
      <c r="AI101" s="692">
        <f t="shared" si="24"/>
        <v>0</v>
      </c>
      <c r="AJ101" s="692">
        <f t="shared" si="25"/>
        <v>0</v>
      </c>
      <c r="AL101" s="38">
        <f t="shared" si="27"/>
        <v>760.3</v>
      </c>
    </row>
    <row r="102" spans="1:38" s="232" customFormat="1">
      <c r="A102" s="283"/>
      <c r="B102" s="283" t="s">
        <v>110</v>
      </c>
      <c r="C102" s="667"/>
      <c r="D102" s="123" t="s">
        <v>334</v>
      </c>
      <c r="E102" s="679"/>
      <c r="F102" s="529">
        <f>VLOOKUP(D102,'Mar 2013 Revenue'!D:T,17,FALSE)</f>
        <v>0</v>
      </c>
      <c r="G102" s="680"/>
      <c r="H102" s="680"/>
      <c r="I102" s="804">
        <v>325935.18</v>
      </c>
      <c r="J102" s="682">
        <f t="shared" si="15"/>
        <v>325935.18</v>
      </c>
      <c r="K102" s="683"/>
      <c r="L102" s="684"/>
      <c r="M102" s="753"/>
      <c r="N102" s="683">
        <v>0</v>
      </c>
      <c r="O102" s="686"/>
      <c r="P102" s="683">
        <v>0</v>
      </c>
      <c r="Q102" s="687">
        <f t="shared" si="1"/>
        <v>0</v>
      </c>
      <c r="R102" s="687"/>
      <c r="S102" s="687"/>
      <c r="T102" s="688">
        <v>0</v>
      </c>
      <c r="U102" s="693"/>
      <c r="V102" s="690">
        <f t="shared" si="26"/>
        <v>0</v>
      </c>
      <c r="W102" s="683"/>
      <c r="X102" s="474">
        <f t="shared" si="19"/>
        <v>0</v>
      </c>
      <c r="Y102" s="474">
        <f t="shared" si="20"/>
        <v>0</v>
      </c>
      <c r="Z102" s="475">
        <f t="shared" si="21"/>
        <v>0</v>
      </c>
      <c r="AA102" s="475">
        <v>0</v>
      </c>
      <c r="AB102" s="476">
        <v>0</v>
      </c>
      <c r="AC102" s="38">
        <f t="shared" si="22"/>
        <v>0</v>
      </c>
      <c r="AD102" s="692">
        <f t="shared" si="16"/>
        <v>325935.18</v>
      </c>
      <c r="AE102" s="692">
        <f t="shared" si="17"/>
        <v>0</v>
      </c>
      <c r="AF102" s="692">
        <f t="shared" si="18"/>
        <v>0</v>
      </c>
      <c r="AG102" s="38"/>
      <c r="AH102" s="692">
        <f t="shared" si="23"/>
        <v>0</v>
      </c>
      <c r="AI102" s="692">
        <f t="shared" si="24"/>
        <v>0</v>
      </c>
      <c r="AJ102" s="692">
        <f t="shared" si="25"/>
        <v>0</v>
      </c>
      <c r="AL102" s="38">
        <f t="shared" si="27"/>
        <v>325935.18</v>
      </c>
    </row>
    <row r="103" spans="1:38" s="232" customFormat="1">
      <c r="A103" s="283"/>
      <c r="B103" s="283" t="s">
        <v>110</v>
      </c>
      <c r="C103" s="667"/>
      <c r="D103" s="123" t="s">
        <v>335</v>
      </c>
      <c r="E103" s="679"/>
      <c r="F103" s="529">
        <f>VLOOKUP(D103,'Mar 2013 Revenue'!D:T,17,FALSE)</f>
        <v>0</v>
      </c>
      <c r="G103" s="680"/>
      <c r="H103" s="680"/>
      <c r="I103" s="804">
        <v>571.02</v>
      </c>
      <c r="J103" s="682">
        <f t="shared" si="15"/>
        <v>571.02</v>
      </c>
      <c r="K103" s="683"/>
      <c r="L103" s="684"/>
      <c r="M103" s="753"/>
      <c r="N103" s="683">
        <v>0</v>
      </c>
      <c r="O103" s="686"/>
      <c r="P103" s="683">
        <v>0</v>
      </c>
      <c r="Q103" s="687">
        <f t="shared" si="1"/>
        <v>0</v>
      </c>
      <c r="R103" s="687"/>
      <c r="S103" s="687"/>
      <c r="T103" s="688">
        <v>0</v>
      </c>
      <c r="U103" s="693"/>
      <c r="V103" s="690">
        <f t="shared" si="26"/>
        <v>0</v>
      </c>
      <c r="W103" s="683"/>
      <c r="X103" s="474">
        <f t="shared" si="19"/>
        <v>0</v>
      </c>
      <c r="Y103" s="474">
        <f t="shared" si="20"/>
        <v>0</v>
      </c>
      <c r="Z103" s="475">
        <f t="shared" si="21"/>
        <v>0</v>
      </c>
      <c r="AA103" s="475">
        <v>0</v>
      </c>
      <c r="AB103" s="476">
        <v>0</v>
      </c>
      <c r="AC103" s="38">
        <f t="shared" si="22"/>
        <v>0</v>
      </c>
      <c r="AD103" s="692">
        <f t="shared" si="16"/>
        <v>571.02</v>
      </c>
      <c r="AE103" s="692">
        <f t="shared" si="17"/>
        <v>0</v>
      </c>
      <c r="AF103" s="692">
        <f t="shared" si="18"/>
        <v>0</v>
      </c>
      <c r="AG103" s="38"/>
      <c r="AH103" s="692">
        <f t="shared" si="23"/>
        <v>0</v>
      </c>
      <c r="AI103" s="692">
        <f t="shared" si="24"/>
        <v>0</v>
      </c>
      <c r="AJ103" s="692">
        <f t="shared" si="25"/>
        <v>0</v>
      </c>
      <c r="AL103" s="38">
        <f t="shared" si="27"/>
        <v>571.02</v>
      </c>
    </row>
    <row r="104" spans="1:38" s="232" customFormat="1">
      <c r="A104" s="283"/>
      <c r="B104" s="283" t="s">
        <v>110</v>
      </c>
      <c r="C104" s="667"/>
      <c r="D104" s="123" t="s">
        <v>336</v>
      </c>
      <c r="E104" s="679"/>
      <c r="F104" s="529">
        <f>VLOOKUP(D104,'Mar 2013 Revenue'!D:T,17,FALSE)</f>
        <v>0</v>
      </c>
      <c r="G104" s="680"/>
      <c r="H104" s="680"/>
      <c r="I104" s="804">
        <v>370952.85</v>
      </c>
      <c r="J104" s="682">
        <f t="shared" si="15"/>
        <v>370952.85</v>
      </c>
      <c r="K104" s="683"/>
      <c r="L104" s="684"/>
      <c r="M104" s="753"/>
      <c r="N104" s="683">
        <v>0</v>
      </c>
      <c r="O104" s="686"/>
      <c r="P104" s="683">
        <v>0</v>
      </c>
      <c r="Q104" s="687">
        <f t="shared" si="1"/>
        <v>0</v>
      </c>
      <c r="R104" s="687"/>
      <c r="S104" s="687"/>
      <c r="T104" s="688">
        <v>0</v>
      </c>
      <c r="U104" s="693"/>
      <c r="V104" s="690">
        <f t="shared" si="26"/>
        <v>0</v>
      </c>
      <c r="W104" s="683"/>
      <c r="X104" s="474">
        <f t="shared" si="19"/>
        <v>0</v>
      </c>
      <c r="Y104" s="474">
        <f t="shared" si="20"/>
        <v>0</v>
      </c>
      <c r="Z104" s="475">
        <f t="shared" si="21"/>
        <v>0</v>
      </c>
      <c r="AA104" s="475">
        <v>0</v>
      </c>
      <c r="AB104" s="476">
        <v>0</v>
      </c>
      <c r="AC104" s="38">
        <f t="shared" si="22"/>
        <v>0</v>
      </c>
      <c r="AD104" s="692">
        <f t="shared" si="16"/>
        <v>370952.85</v>
      </c>
      <c r="AE104" s="692">
        <f t="shared" si="17"/>
        <v>0</v>
      </c>
      <c r="AF104" s="692">
        <f t="shared" si="18"/>
        <v>0</v>
      </c>
      <c r="AG104" s="38"/>
      <c r="AH104" s="692">
        <f t="shared" si="23"/>
        <v>0</v>
      </c>
      <c r="AI104" s="692">
        <f t="shared" si="24"/>
        <v>0</v>
      </c>
      <c r="AJ104" s="692">
        <f t="shared" si="25"/>
        <v>0</v>
      </c>
      <c r="AL104" s="38">
        <f t="shared" si="27"/>
        <v>370952.85</v>
      </c>
    </row>
    <row r="105" spans="1:38" s="232" customFormat="1">
      <c r="A105" s="283"/>
      <c r="B105" s="283" t="s">
        <v>110</v>
      </c>
      <c r="C105" s="667"/>
      <c r="D105" s="123" t="s">
        <v>337</v>
      </c>
      <c r="E105" s="679"/>
      <c r="F105" s="529">
        <f>VLOOKUP(D105,'Mar 2013 Revenue'!D:T,17,FALSE)</f>
        <v>0</v>
      </c>
      <c r="G105" s="680"/>
      <c r="H105" s="680"/>
      <c r="I105" s="804">
        <v>459.02</v>
      </c>
      <c r="J105" s="682">
        <f t="shared" si="15"/>
        <v>459.02</v>
      </c>
      <c r="K105" s="683"/>
      <c r="L105" s="684"/>
      <c r="M105" s="753"/>
      <c r="N105" s="683">
        <v>0</v>
      </c>
      <c r="O105" s="686"/>
      <c r="P105" s="683">
        <v>0</v>
      </c>
      <c r="Q105" s="687">
        <f t="shared" si="1"/>
        <v>0</v>
      </c>
      <c r="R105" s="687"/>
      <c r="S105" s="687"/>
      <c r="T105" s="688">
        <v>0</v>
      </c>
      <c r="U105" s="693"/>
      <c r="V105" s="690">
        <f t="shared" si="26"/>
        <v>0</v>
      </c>
      <c r="W105" s="683"/>
      <c r="X105" s="474">
        <f t="shared" si="19"/>
        <v>0</v>
      </c>
      <c r="Y105" s="474">
        <f t="shared" si="20"/>
        <v>0</v>
      </c>
      <c r="Z105" s="475">
        <f t="shared" si="21"/>
        <v>0</v>
      </c>
      <c r="AA105" s="475">
        <v>0</v>
      </c>
      <c r="AB105" s="476">
        <v>0</v>
      </c>
      <c r="AC105" s="38">
        <f t="shared" si="22"/>
        <v>0</v>
      </c>
      <c r="AD105" s="692">
        <f t="shared" si="16"/>
        <v>459.02</v>
      </c>
      <c r="AE105" s="692">
        <f t="shared" si="17"/>
        <v>0</v>
      </c>
      <c r="AF105" s="692">
        <f t="shared" si="18"/>
        <v>0</v>
      </c>
      <c r="AG105" s="38"/>
      <c r="AH105" s="692">
        <f t="shared" si="23"/>
        <v>0</v>
      </c>
      <c r="AI105" s="692">
        <f t="shared" si="24"/>
        <v>0</v>
      </c>
      <c r="AJ105" s="692">
        <f t="shared" si="25"/>
        <v>0</v>
      </c>
      <c r="AL105" s="38">
        <f t="shared" si="27"/>
        <v>459.02</v>
      </c>
    </row>
    <row r="106" spans="1:38" s="232" customFormat="1">
      <c r="A106" s="283"/>
      <c r="B106" s="283" t="s">
        <v>110</v>
      </c>
      <c r="C106" s="667"/>
      <c r="D106" s="123" t="s">
        <v>338</v>
      </c>
      <c r="E106" s="679"/>
      <c r="F106" s="529">
        <f>VLOOKUP(D106,'Mar 2013 Revenue'!D:T,17,FALSE)</f>
        <v>0</v>
      </c>
      <c r="G106" s="680"/>
      <c r="H106" s="680"/>
      <c r="I106" s="804">
        <v>108159.12</v>
      </c>
      <c r="J106" s="682">
        <f t="shared" si="15"/>
        <v>108159.12</v>
      </c>
      <c r="K106" s="683"/>
      <c r="L106" s="684"/>
      <c r="M106" s="753"/>
      <c r="N106" s="683">
        <v>0</v>
      </c>
      <c r="O106" s="686"/>
      <c r="P106" s="683">
        <v>0</v>
      </c>
      <c r="Q106" s="687">
        <f t="shared" si="1"/>
        <v>0</v>
      </c>
      <c r="R106" s="687"/>
      <c r="S106" s="687"/>
      <c r="T106" s="688">
        <v>0</v>
      </c>
      <c r="U106" s="693"/>
      <c r="V106" s="690">
        <f t="shared" si="26"/>
        <v>0</v>
      </c>
      <c r="W106" s="683"/>
      <c r="X106" s="474">
        <f t="shared" si="19"/>
        <v>0</v>
      </c>
      <c r="Y106" s="474">
        <f t="shared" si="20"/>
        <v>0</v>
      </c>
      <c r="Z106" s="475">
        <f t="shared" si="21"/>
        <v>0</v>
      </c>
      <c r="AA106" s="475">
        <v>0</v>
      </c>
      <c r="AB106" s="476">
        <v>0</v>
      </c>
      <c r="AC106" s="38">
        <f t="shared" si="22"/>
        <v>0</v>
      </c>
      <c r="AD106" s="692">
        <f t="shared" si="16"/>
        <v>108159.12</v>
      </c>
      <c r="AE106" s="692">
        <f t="shared" si="17"/>
        <v>0</v>
      </c>
      <c r="AF106" s="692">
        <f t="shared" si="18"/>
        <v>0</v>
      </c>
      <c r="AG106" s="38"/>
      <c r="AH106" s="692">
        <f t="shared" si="23"/>
        <v>0</v>
      </c>
      <c r="AI106" s="692">
        <f t="shared" si="24"/>
        <v>0</v>
      </c>
      <c r="AJ106" s="692">
        <f t="shared" si="25"/>
        <v>0</v>
      </c>
      <c r="AL106" s="38">
        <f t="shared" si="27"/>
        <v>108159.12</v>
      </c>
    </row>
    <row r="107" spans="1:38" s="232" customFormat="1">
      <c r="A107" s="283"/>
      <c r="B107" s="283" t="s">
        <v>110</v>
      </c>
      <c r="C107" s="667"/>
      <c r="D107" s="123" t="s">
        <v>339</v>
      </c>
      <c r="E107" s="679"/>
      <c r="F107" s="529">
        <f>VLOOKUP(D107,'Mar 2013 Revenue'!D:T,17,FALSE)</f>
        <v>0</v>
      </c>
      <c r="G107" s="680"/>
      <c r="H107" s="680"/>
      <c r="I107" s="804">
        <v>125235.08</v>
      </c>
      <c r="J107" s="682">
        <f t="shared" si="15"/>
        <v>125235.08</v>
      </c>
      <c r="K107" s="683"/>
      <c r="L107" s="684"/>
      <c r="M107" s="753"/>
      <c r="N107" s="683">
        <v>0</v>
      </c>
      <c r="O107" s="686"/>
      <c r="P107" s="683">
        <v>0</v>
      </c>
      <c r="Q107" s="687">
        <f t="shared" si="1"/>
        <v>0</v>
      </c>
      <c r="R107" s="687"/>
      <c r="S107" s="687"/>
      <c r="T107" s="688">
        <v>0</v>
      </c>
      <c r="U107" s="693"/>
      <c r="V107" s="690">
        <f t="shared" si="26"/>
        <v>0</v>
      </c>
      <c r="W107" s="683"/>
      <c r="X107" s="474">
        <f t="shared" si="19"/>
        <v>0</v>
      </c>
      <c r="Y107" s="474">
        <f t="shared" si="20"/>
        <v>0</v>
      </c>
      <c r="Z107" s="475">
        <f t="shared" si="21"/>
        <v>0</v>
      </c>
      <c r="AA107" s="475">
        <v>0</v>
      </c>
      <c r="AB107" s="476">
        <v>0</v>
      </c>
      <c r="AC107" s="38">
        <f t="shared" si="22"/>
        <v>0</v>
      </c>
      <c r="AD107" s="692">
        <f t="shared" si="16"/>
        <v>125235.08</v>
      </c>
      <c r="AE107" s="692">
        <f t="shared" si="17"/>
        <v>0</v>
      </c>
      <c r="AF107" s="692">
        <f t="shared" si="18"/>
        <v>0</v>
      </c>
      <c r="AG107" s="38"/>
      <c r="AH107" s="692">
        <f t="shared" si="23"/>
        <v>0</v>
      </c>
      <c r="AI107" s="692">
        <f t="shared" si="24"/>
        <v>0</v>
      </c>
      <c r="AJ107" s="692">
        <f t="shared" si="25"/>
        <v>0</v>
      </c>
      <c r="AL107" s="38">
        <f t="shared" si="27"/>
        <v>125235.08</v>
      </c>
    </row>
    <row r="108" spans="1:38" s="232" customFormat="1">
      <c r="A108" s="283"/>
      <c r="B108" s="283" t="s">
        <v>110</v>
      </c>
      <c r="C108" s="667"/>
      <c r="D108" s="123" t="s">
        <v>340</v>
      </c>
      <c r="E108" s="679"/>
      <c r="F108" s="529">
        <f>VLOOKUP(D108,'Mar 2013 Revenue'!D:T,17,FALSE)</f>
        <v>0</v>
      </c>
      <c r="G108" s="680"/>
      <c r="H108" s="680"/>
      <c r="I108" s="804">
        <v>87.05</v>
      </c>
      <c r="J108" s="682">
        <f t="shared" si="15"/>
        <v>87.05</v>
      </c>
      <c r="K108" s="683"/>
      <c r="L108" s="684"/>
      <c r="M108" s="753"/>
      <c r="N108" s="683">
        <v>0</v>
      </c>
      <c r="O108" s="686"/>
      <c r="P108" s="683">
        <v>0</v>
      </c>
      <c r="Q108" s="687">
        <f t="shared" si="1"/>
        <v>0</v>
      </c>
      <c r="R108" s="687"/>
      <c r="S108" s="687"/>
      <c r="T108" s="688">
        <v>0</v>
      </c>
      <c r="U108" s="693"/>
      <c r="V108" s="690">
        <f t="shared" si="26"/>
        <v>0</v>
      </c>
      <c r="W108" s="683"/>
      <c r="X108" s="474">
        <f t="shared" si="19"/>
        <v>0</v>
      </c>
      <c r="Y108" s="474">
        <f t="shared" si="20"/>
        <v>0</v>
      </c>
      <c r="Z108" s="475">
        <f t="shared" si="21"/>
        <v>0</v>
      </c>
      <c r="AA108" s="475">
        <v>0</v>
      </c>
      <c r="AB108" s="476">
        <v>0</v>
      </c>
      <c r="AC108" s="38">
        <f t="shared" si="22"/>
        <v>0</v>
      </c>
      <c r="AD108" s="692">
        <f t="shared" si="16"/>
        <v>87.05</v>
      </c>
      <c r="AE108" s="692">
        <f t="shared" si="17"/>
        <v>0</v>
      </c>
      <c r="AF108" s="692">
        <f t="shared" si="18"/>
        <v>0</v>
      </c>
      <c r="AG108" s="38"/>
      <c r="AH108" s="692">
        <f t="shared" si="23"/>
        <v>0</v>
      </c>
      <c r="AI108" s="692">
        <f t="shared" si="24"/>
        <v>0</v>
      </c>
      <c r="AJ108" s="692">
        <f t="shared" si="25"/>
        <v>0</v>
      </c>
      <c r="AL108" s="38">
        <f t="shared" si="27"/>
        <v>87.05</v>
      </c>
    </row>
    <row r="109" spans="1:38" s="232" customFormat="1">
      <c r="A109" s="283"/>
      <c r="B109" s="283" t="s">
        <v>110</v>
      </c>
      <c r="C109" s="667"/>
      <c r="D109" s="123" t="s">
        <v>439</v>
      </c>
      <c r="E109" s="679"/>
      <c r="F109" s="529">
        <f>VLOOKUP(D109,'Mar 2013 Revenue'!D:T,17,FALSE)</f>
        <v>0</v>
      </c>
      <c r="G109" s="680"/>
      <c r="H109" s="680"/>
      <c r="I109" s="804">
        <v>2387.58</v>
      </c>
      <c r="J109" s="682">
        <f t="shared" si="15"/>
        <v>2387.58</v>
      </c>
      <c r="K109" s="683"/>
      <c r="L109" s="684"/>
      <c r="M109" s="753"/>
      <c r="N109" s="683">
        <v>0</v>
      </c>
      <c r="O109" s="686"/>
      <c r="P109" s="683">
        <v>0</v>
      </c>
      <c r="Q109" s="687">
        <f t="shared" si="1"/>
        <v>0</v>
      </c>
      <c r="R109" s="687"/>
      <c r="S109" s="687"/>
      <c r="T109" s="688">
        <v>0</v>
      </c>
      <c r="U109" s="693"/>
      <c r="V109" s="690">
        <f t="shared" si="26"/>
        <v>0</v>
      </c>
      <c r="W109" s="683"/>
      <c r="X109" s="474">
        <f t="shared" si="19"/>
        <v>0</v>
      </c>
      <c r="Y109" s="474">
        <f t="shared" si="20"/>
        <v>0</v>
      </c>
      <c r="Z109" s="475">
        <f t="shared" si="21"/>
        <v>0</v>
      </c>
      <c r="AA109" s="475">
        <v>0</v>
      </c>
      <c r="AB109" s="476">
        <v>0</v>
      </c>
      <c r="AC109" s="38">
        <f t="shared" si="22"/>
        <v>0</v>
      </c>
      <c r="AD109" s="692">
        <f t="shared" si="16"/>
        <v>2387.58</v>
      </c>
      <c r="AE109" s="692">
        <f t="shared" si="17"/>
        <v>0</v>
      </c>
      <c r="AF109" s="692">
        <f t="shared" si="18"/>
        <v>0</v>
      </c>
      <c r="AG109" s="38"/>
      <c r="AH109" s="692">
        <f t="shared" si="23"/>
        <v>0</v>
      </c>
      <c r="AI109" s="692">
        <f t="shared" si="24"/>
        <v>0</v>
      </c>
      <c r="AJ109" s="692">
        <f t="shared" si="25"/>
        <v>0</v>
      </c>
      <c r="AL109" s="38">
        <f t="shared" si="27"/>
        <v>2387.58</v>
      </c>
    </row>
    <row r="110" spans="1:38" s="232" customFormat="1">
      <c r="A110" s="283"/>
      <c r="B110" s="283" t="s">
        <v>110</v>
      </c>
      <c r="C110" s="667"/>
      <c r="D110" s="123" t="s">
        <v>592</v>
      </c>
      <c r="E110" s="679"/>
      <c r="F110" s="529">
        <f>VLOOKUP(D110,'Mar 2013 Revenue'!D:T,17,FALSE)</f>
        <v>0</v>
      </c>
      <c r="G110" s="680"/>
      <c r="H110" s="680"/>
      <c r="I110" s="804">
        <v>810.58</v>
      </c>
      <c r="J110" s="682">
        <f t="shared" si="15"/>
        <v>810.58</v>
      </c>
      <c r="K110" s="683"/>
      <c r="L110" s="684"/>
      <c r="M110" s="753"/>
      <c r="N110" s="683">
        <v>0</v>
      </c>
      <c r="O110" s="686"/>
      <c r="P110" s="683">
        <v>0</v>
      </c>
      <c r="Q110" s="687">
        <f t="shared" si="1"/>
        <v>0</v>
      </c>
      <c r="R110" s="687"/>
      <c r="S110" s="687"/>
      <c r="T110" s="688">
        <v>0</v>
      </c>
      <c r="U110" s="693"/>
      <c r="V110" s="690">
        <f t="shared" si="26"/>
        <v>0</v>
      </c>
      <c r="W110" s="683"/>
      <c r="X110" s="474">
        <f t="shared" si="19"/>
        <v>0</v>
      </c>
      <c r="Y110" s="474">
        <f t="shared" si="20"/>
        <v>0</v>
      </c>
      <c r="Z110" s="475">
        <f t="shared" si="21"/>
        <v>0</v>
      </c>
      <c r="AA110" s="475">
        <v>0</v>
      </c>
      <c r="AB110" s="476">
        <v>0</v>
      </c>
      <c r="AC110" s="38">
        <f t="shared" si="22"/>
        <v>0</v>
      </c>
      <c r="AD110" s="692">
        <f t="shared" si="16"/>
        <v>810.58</v>
      </c>
      <c r="AE110" s="692">
        <f t="shared" si="17"/>
        <v>0</v>
      </c>
      <c r="AF110" s="692">
        <f t="shared" si="18"/>
        <v>0</v>
      </c>
      <c r="AG110" s="38"/>
      <c r="AH110" s="692">
        <f t="shared" si="23"/>
        <v>0</v>
      </c>
      <c r="AI110" s="692">
        <f t="shared" si="24"/>
        <v>0</v>
      </c>
      <c r="AJ110" s="692">
        <f t="shared" si="25"/>
        <v>0</v>
      </c>
      <c r="AL110" s="38">
        <f t="shared" si="27"/>
        <v>810.58</v>
      </c>
    </row>
    <row r="111" spans="1:38" s="232" customFormat="1">
      <c r="A111" s="283"/>
      <c r="B111" s="283" t="s">
        <v>110</v>
      </c>
      <c r="C111" s="667"/>
      <c r="D111" s="123" t="s">
        <v>512</v>
      </c>
      <c r="E111" s="679"/>
      <c r="F111" s="529">
        <f>VLOOKUP(D111,'Mar 2013 Revenue'!D:T,17,FALSE)</f>
        <v>0</v>
      </c>
      <c r="G111" s="680"/>
      <c r="H111" s="680"/>
      <c r="I111" s="804">
        <f>22665.49+2201.42+1272.41+6638.15+416.5</f>
        <v>33193.97</v>
      </c>
      <c r="J111" s="682">
        <f t="shared" si="15"/>
        <v>33193.97</v>
      </c>
      <c r="K111" s="683"/>
      <c r="L111" s="684"/>
      <c r="M111" s="753"/>
      <c r="N111" s="683">
        <v>0</v>
      </c>
      <c r="O111" s="686"/>
      <c r="P111" s="683"/>
      <c r="Q111" s="687">
        <f t="shared" si="1"/>
        <v>0</v>
      </c>
      <c r="R111" s="687"/>
      <c r="S111" s="687"/>
      <c r="T111" s="688">
        <v>0</v>
      </c>
      <c r="U111" s="693"/>
      <c r="V111" s="690">
        <f t="shared" si="26"/>
        <v>0</v>
      </c>
      <c r="W111" s="683"/>
      <c r="X111" s="474">
        <f t="shared" si="19"/>
        <v>0</v>
      </c>
      <c r="Y111" s="474">
        <f t="shared" si="20"/>
        <v>0</v>
      </c>
      <c r="Z111" s="475">
        <f t="shared" si="21"/>
        <v>0</v>
      </c>
      <c r="AA111" s="475">
        <v>0</v>
      </c>
      <c r="AB111" s="476">
        <v>0</v>
      </c>
      <c r="AC111" s="38">
        <f t="shared" si="22"/>
        <v>0</v>
      </c>
      <c r="AD111" s="692">
        <f t="shared" si="16"/>
        <v>33193.97</v>
      </c>
      <c r="AE111" s="692">
        <f t="shared" si="17"/>
        <v>0</v>
      </c>
      <c r="AF111" s="692">
        <f t="shared" si="18"/>
        <v>0</v>
      </c>
      <c r="AG111" s="38"/>
      <c r="AH111" s="692">
        <f t="shared" si="23"/>
        <v>0</v>
      </c>
      <c r="AI111" s="692">
        <f t="shared" si="24"/>
        <v>0</v>
      </c>
      <c r="AJ111" s="692">
        <f t="shared" si="25"/>
        <v>0</v>
      </c>
      <c r="AL111" s="38">
        <f t="shared" si="27"/>
        <v>33193.97</v>
      </c>
    </row>
    <row r="112" spans="1:38" s="24" customFormat="1">
      <c r="A112" s="32"/>
      <c r="B112" s="32" t="s">
        <v>110</v>
      </c>
      <c r="C112" s="667"/>
      <c r="D112" s="68" t="s">
        <v>588</v>
      </c>
      <c r="E112" s="679"/>
      <c r="F112" s="529">
        <f>VLOOKUP(D112,'Mar 2013 Revenue'!D:T,17,FALSE)</f>
        <v>0</v>
      </c>
      <c r="G112" s="680"/>
      <c r="H112" s="680"/>
      <c r="I112" s="755"/>
      <c r="J112" s="682">
        <f t="shared" si="15"/>
        <v>0</v>
      </c>
      <c r="K112" s="683"/>
      <c r="L112" s="684"/>
      <c r="M112" s="753"/>
      <c r="N112" s="698"/>
      <c r="O112" s="699"/>
      <c r="P112" s="698"/>
      <c r="Q112" s="687">
        <f t="shared" si="1"/>
        <v>0</v>
      </c>
      <c r="R112" s="687"/>
      <c r="S112" s="687"/>
      <c r="T112" s="688">
        <v>0</v>
      </c>
      <c r="U112" s="693"/>
      <c r="V112" s="690">
        <f t="shared" si="26"/>
        <v>0</v>
      </c>
      <c r="W112" s="683"/>
      <c r="X112" s="474">
        <f t="shared" si="19"/>
        <v>0</v>
      </c>
      <c r="Y112" s="474">
        <f t="shared" si="20"/>
        <v>0</v>
      </c>
      <c r="Z112" s="475">
        <f t="shared" si="21"/>
        <v>0</v>
      </c>
      <c r="AA112" s="475">
        <v>0</v>
      </c>
      <c r="AB112" s="476">
        <v>0</v>
      </c>
      <c r="AC112" s="38">
        <f t="shared" si="22"/>
        <v>0</v>
      </c>
      <c r="AD112" s="692">
        <f t="shared" si="16"/>
        <v>0</v>
      </c>
      <c r="AE112" s="692">
        <f t="shared" si="17"/>
        <v>0</v>
      </c>
      <c r="AF112" s="692">
        <f t="shared" si="18"/>
        <v>0</v>
      </c>
      <c r="AG112" s="38"/>
      <c r="AH112" s="692">
        <f t="shared" si="23"/>
        <v>0</v>
      </c>
      <c r="AI112" s="692">
        <f t="shared" si="24"/>
        <v>0</v>
      </c>
      <c r="AJ112" s="692">
        <f t="shared" si="25"/>
        <v>0</v>
      </c>
      <c r="AL112" s="38">
        <f t="shared" si="27"/>
        <v>0</v>
      </c>
    </row>
    <row r="113" spans="1:38" s="24" customFormat="1">
      <c r="A113" s="32"/>
      <c r="B113" s="32" t="s">
        <v>110</v>
      </c>
      <c r="C113" s="667"/>
      <c r="D113" s="68" t="s">
        <v>935</v>
      </c>
      <c r="E113" s="679">
        <f>1454.9+6079.64</f>
        <v>7534.5400000000009</v>
      </c>
      <c r="F113" s="529">
        <v>0</v>
      </c>
      <c r="G113" s="680"/>
      <c r="H113" s="680"/>
      <c r="I113" s="755"/>
      <c r="J113" s="682">
        <f t="shared" ref="J113" si="28">SUM(E113:I113)</f>
        <v>7534.5400000000009</v>
      </c>
      <c r="K113" s="683"/>
      <c r="L113" s="684"/>
      <c r="M113" s="753">
        <v>5000</v>
      </c>
      <c r="N113" s="698"/>
      <c r="O113" s="699"/>
      <c r="P113" s="698"/>
      <c r="Q113" s="687">
        <f t="shared" ref="Q113" si="29">L113+M113</f>
        <v>5000</v>
      </c>
      <c r="R113" s="687"/>
      <c r="S113" s="687"/>
      <c r="T113" s="688">
        <v>0</v>
      </c>
      <c r="U113" s="693"/>
      <c r="V113" s="690">
        <f t="shared" si="26"/>
        <v>-5000</v>
      </c>
      <c r="W113" s="683"/>
      <c r="X113" s="474">
        <f t="shared" ref="X113" si="30">IF(B113="D",Q113,0)</f>
        <v>5000</v>
      </c>
      <c r="Y113" s="474">
        <f t="shared" ref="Y113" si="31">IF(B113="M",Q113,0)</f>
        <v>0</v>
      </c>
      <c r="Z113" s="475">
        <f t="shared" ref="Z113" si="32">IF(B113="V",Q113,0)</f>
        <v>0</v>
      </c>
      <c r="AA113" s="475">
        <v>0</v>
      </c>
      <c r="AB113" s="476">
        <v>0</v>
      </c>
      <c r="AC113" s="38">
        <f t="shared" ref="AC113" si="33">(L113+M113)-(X113+Y113+Z113+AA113+AB113)</f>
        <v>0</v>
      </c>
      <c r="AD113" s="692">
        <f t="shared" ref="AD113" si="34">IF(B113="D",J113,0)</f>
        <v>7534.5400000000009</v>
      </c>
      <c r="AE113" s="692">
        <f t="shared" ref="AE113" si="35">IF(B113="M",J113,0)</f>
        <v>0</v>
      </c>
      <c r="AF113" s="692">
        <f t="shared" ref="AF113" si="36">IF(B113="V",J113,0)</f>
        <v>0</v>
      </c>
      <c r="AG113" s="38"/>
      <c r="AH113" s="692">
        <f t="shared" ref="AH113" si="37">IF(B113="D",Q113,0)</f>
        <v>5000</v>
      </c>
      <c r="AI113" s="692">
        <f t="shared" ref="AI113" si="38">IF(B113="M",Q113,0)</f>
        <v>0</v>
      </c>
      <c r="AJ113" s="692">
        <f t="shared" ref="AJ113" si="39">IF(B113="V",Q113,0)</f>
        <v>0</v>
      </c>
      <c r="AL113" s="38">
        <f t="shared" ref="AL113" si="40">SUM(AD113:AJ113)</f>
        <v>12534.54</v>
      </c>
    </row>
    <row r="114" spans="1:38">
      <c r="A114" s="21"/>
      <c r="B114" s="21" t="s">
        <v>109</v>
      </c>
      <c r="C114" s="666" t="s">
        <v>548</v>
      </c>
      <c r="D114" s="68" t="s">
        <v>461</v>
      </c>
      <c r="E114" s="679"/>
      <c r="F114" s="529">
        <f>VLOOKUP(D114,'Mar 2013 Revenue'!D:T,17,FALSE)</f>
        <v>2976.27</v>
      </c>
      <c r="G114" s="680"/>
      <c r="H114" s="680"/>
      <c r="I114" s="755"/>
      <c r="J114" s="682">
        <f t="shared" si="15"/>
        <v>2976.27</v>
      </c>
      <c r="K114" s="683"/>
      <c r="L114" s="684"/>
      <c r="M114" s="753"/>
      <c r="N114" s="683">
        <v>0</v>
      </c>
      <c r="O114" s="686"/>
      <c r="P114" s="683">
        <v>0</v>
      </c>
      <c r="Q114" s="687">
        <f t="shared" si="1"/>
        <v>0</v>
      </c>
      <c r="R114" s="687"/>
      <c r="S114" s="687"/>
      <c r="T114" s="688">
        <v>2674.81</v>
      </c>
      <c r="U114" s="693"/>
      <c r="V114" s="690">
        <f t="shared" si="26"/>
        <v>2674.81</v>
      </c>
      <c r="W114" s="683"/>
      <c r="X114" s="474">
        <f t="shared" si="19"/>
        <v>0</v>
      </c>
      <c r="Y114" s="474">
        <f t="shared" si="20"/>
        <v>0</v>
      </c>
      <c r="Z114" s="475">
        <f t="shared" si="21"/>
        <v>0</v>
      </c>
      <c r="AA114" s="475">
        <v>0</v>
      </c>
      <c r="AB114" s="476">
        <v>0</v>
      </c>
      <c r="AC114" s="38">
        <f t="shared" si="22"/>
        <v>0</v>
      </c>
      <c r="AD114" s="692">
        <f t="shared" si="16"/>
        <v>0</v>
      </c>
      <c r="AE114" s="692">
        <f t="shared" si="17"/>
        <v>2976.27</v>
      </c>
      <c r="AF114" s="692">
        <f t="shared" si="18"/>
        <v>0</v>
      </c>
      <c r="AG114" s="38"/>
      <c r="AH114" s="692">
        <f t="shared" si="23"/>
        <v>0</v>
      </c>
      <c r="AI114" s="692">
        <f t="shared" si="24"/>
        <v>0</v>
      </c>
      <c r="AJ114" s="692">
        <f t="shared" si="25"/>
        <v>0</v>
      </c>
      <c r="AL114" s="38">
        <f t="shared" si="27"/>
        <v>2976.27</v>
      </c>
    </row>
    <row r="115" spans="1:38">
      <c r="A115" s="20"/>
      <c r="B115" s="20" t="s">
        <v>109</v>
      </c>
      <c r="C115" s="667" t="s">
        <v>549</v>
      </c>
      <c r="D115" s="68" t="s">
        <v>22</v>
      </c>
      <c r="E115" s="679"/>
      <c r="F115" s="529">
        <f>VLOOKUP(D115,'Mar 2013 Revenue'!D:T,17,FALSE)</f>
        <v>0</v>
      </c>
      <c r="G115" s="680"/>
      <c r="H115" s="680"/>
      <c r="I115" s="755"/>
      <c r="J115" s="682">
        <f t="shared" si="15"/>
        <v>0</v>
      </c>
      <c r="K115" s="683"/>
      <c r="L115" s="684"/>
      <c r="M115" s="753"/>
      <c r="N115" s="683">
        <v>0</v>
      </c>
      <c r="O115" s="686"/>
      <c r="P115" s="683">
        <v>0</v>
      </c>
      <c r="Q115" s="687">
        <f t="shared" si="1"/>
        <v>0</v>
      </c>
      <c r="R115" s="687"/>
      <c r="S115" s="687"/>
      <c r="T115" s="688">
        <v>0</v>
      </c>
      <c r="U115" s="693"/>
      <c r="V115" s="690">
        <f t="shared" si="26"/>
        <v>0</v>
      </c>
      <c r="W115" s="683"/>
      <c r="X115" s="474">
        <f t="shared" si="19"/>
        <v>0</v>
      </c>
      <c r="Y115" s="474">
        <f t="shared" si="20"/>
        <v>0</v>
      </c>
      <c r="Z115" s="475">
        <f t="shared" si="21"/>
        <v>0</v>
      </c>
      <c r="AA115" s="475">
        <v>0</v>
      </c>
      <c r="AB115" s="476">
        <v>0</v>
      </c>
      <c r="AC115" s="38">
        <f t="shared" si="22"/>
        <v>0</v>
      </c>
      <c r="AD115" s="692">
        <f t="shared" si="16"/>
        <v>0</v>
      </c>
      <c r="AE115" s="692">
        <f t="shared" si="17"/>
        <v>0</v>
      </c>
      <c r="AF115" s="692">
        <f t="shared" si="18"/>
        <v>0</v>
      </c>
      <c r="AG115" s="38"/>
      <c r="AH115" s="692">
        <f t="shared" si="23"/>
        <v>0</v>
      </c>
      <c r="AI115" s="692">
        <f t="shared" si="24"/>
        <v>0</v>
      </c>
      <c r="AJ115" s="692">
        <f t="shared" si="25"/>
        <v>0</v>
      </c>
      <c r="AL115" s="38">
        <f t="shared" si="27"/>
        <v>0</v>
      </c>
    </row>
    <row r="116" spans="1:38">
      <c r="A116" s="20"/>
      <c r="B116" s="20" t="s">
        <v>110</v>
      </c>
      <c r="C116" s="667"/>
      <c r="D116" s="68" t="s">
        <v>24</v>
      </c>
      <c r="E116" s="679">
        <f>3441.77+3297.59</f>
        <v>6739.3600000000006</v>
      </c>
      <c r="F116" s="529">
        <f>VLOOKUP(D116,'Mar 2013 Revenue'!D:T,17,FALSE)</f>
        <v>0</v>
      </c>
      <c r="G116" s="680"/>
      <c r="H116" s="680"/>
      <c r="I116" s="755"/>
      <c r="J116" s="682">
        <f t="shared" si="15"/>
        <v>6739.3600000000006</v>
      </c>
      <c r="K116" s="683"/>
      <c r="L116" s="684"/>
      <c r="M116" s="753"/>
      <c r="N116" s="683">
        <v>0</v>
      </c>
      <c r="O116" s="686"/>
      <c r="P116" s="683">
        <v>0</v>
      </c>
      <c r="Q116" s="687">
        <f t="shared" si="1"/>
        <v>0</v>
      </c>
      <c r="R116" s="687"/>
      <c r="S116" s="687"/>
      <c r="T116" s="688">
        <v>0</v>
      </c>
      <c r="U116" s="693"/>
      <c r="V116" s="690">
        <f t="shared" si="26"/>
        <v>0</v>
      </c>
      <c r="W116" s="683"/>
      <c r="X116" s="474">
        <f t="shared" si="19"/>
        <v>0</v>
      </c>
      <c r="Y116" s="474">
        <f t="shared" si="20"/>
        <v>0</v>
      </c>
      <c r="Z116" s="475">
        <f t="shared" si="21"/>
        <v>0</v>
      </c>
      <c r="AA116" s="475">
        <v>0</v>
      </c>
      <c r="AB116" s="476">
        <v>0</v>
      </c>
      <c r="AC116" s="38">
        <f t="shared" si="22"/>
        <v>0</v>
      </c>
      <c r="AD116" s="692">
        <f t="shared" si="16"/>
        <v>6739.3600000000006</v>
      </c>
      <c r="AE116" s="692">
        <f t="shared" si="17"/>
        <v>0</v>
      </c>
      <c r="AF116" s="692">
        <f t="shared" si="18"/>
        <v>0</v>
      </c>
      <c r="AG116" s="38"/>
      <c r="AH116" s="692">
        <f t="shared" si="23"/>
        <v>0</v>
      </c>
      <c r="AI116" s="692">
        <f t="shared" si="24"/>
        <v>0</v>
      </c>
      <c r="AJ116" s="692">
        <f t="shared" si="25"/>
        <v>0</v>
      </c>
      <c r="AL116" s="38">
        <f t="shared" si="27"/>
        <v>6739.3600000000006</v>
      </c>
    </row>
    <row r="117" spans="1:38">
      <c r="A117" s="21"/>
      <c r="B117" s="21" t="s">
        <v>110</v>
      </c>
      <c r="C117" s="666"/>
      <c r="D117" s="68" t="s">
        <v>937</v>
      </c>
      <c r="E117" s="679">
        <v>19804.12</v>
      </c>
      <c r="F117" s="529">
        <v>0</v>
      </c>
      <c r="G117" s="680"/>
      <c r="H117" s="680"/>
      <c r="I117" s="755"/>
      <c r="J117" s="682">
        <f t="shared" ref="J117" si="41">SUM(E117:I117)</f>
        <v>19804.12</v>
      </c>
      <c r="K117" s="683"/>
      <c r="L117" s="684"/>
      <c r="M117" s="753"/>
      <c r="N117" s="683">
        <v>0</v>
      </c>
      <c r="O117" s="686"/>
      <c r="P117" s="683">
        <v>0</v>
      </c>
      <c r="Q117" s="687">
        <f t="shared" ref="Q117" si="42">L117+M117</f>
        <v>0</v>
      </c>
      <c r="R117" s="687"/>
      <c r="S117" s="687"/>
      <c r="T117" s="688">
        <v>0</v>
      </c>
      <c r="U117" s="693"/>
      <c r="V117" s="690">
        <f t="shared" si="26"/>
        <v>0</v>
      </c>
      <c r="W117" s="683"/>
      <c r="X117" s="474">
        <f t="shared" ref="X117" si="43">IF(B117="D",Q117,0)</f>
        <v>0</v>
      </c>
      <c r="Y117" s="474">
        <f t="shared" ref="Y117" si="44">IF(B117="M",Q117,0)</f>
        <v>0</v>
      </c>
      <c r="Z117" s="475">
        <f t="shared" ref="Z117" si="45">IF(B117="V",Q117,0)</f>
        <v>0</v>
      </c>
      <c r="AA117" s="475">
        <v>0</v>
      </c>
      <c r="AB117" s="476">
        <v>0</v>
      </c>
      <c r="AC117" s="38">
        <f t="shared" ref="AC117" si="46">(L117+M117)-(X117+Y117+Z117+AA117+AB117)</f>
        <v>0</v>
      </c>
      <c r="AD117" s="692">
        <f t="shared" ref="AD117" si="47">IF(B117="D",J117,0)</f>
        <v>19804.12</v>
      </c>
      <c r="AE117" s="692">
        <f t="shared" ref="AE117" si="48">IF(B117="M",J117,0)</f>
        <v>0</v>
      </c>
      <c r="AF117" s="692">
        <f t="shared" ref="AF117" si="49">IF(B117="V",J117,0)</f>
        <v>0</v>
      </c>
      <c r="AG117" s="38"/>
      <c r="AH117" s="692">
        <f t="shared" ref="AH117" si="50">IF(B117="D",Q117,0)</f>
        <v>0</v>
      </c>
      <c r="AI117" s="692">
        <f t="shared" ref="AI117" si="51">IF(B117="M",Q117,0)</f>
        <v>0</v>
      </c>
      <c r="AJ117" s="692">
        <f t="shared" ref="AJ117" si="52">IF(B117="V",Q117,0)</f>
        <v>0</v>
      </c>
      <c r="AL117" s="38">
        <f t="shared" ref="AL117" si="53">SUM(AD117:AJ117)</f>
        <v>19804.12</v>
      </c>
    </row>
    <row r="118" spans="1:38">
      <c r="A118" s="21"/>
      <c r="B118" s="21" t="s">
        <v>110</v>
      </c>
      <c r="C118" s="666" t="s">
        <v>550</v>
      </c>
      <c r="D118" s="68" t="s">
        <v>282</v>
      </c>
      <c r="E118" s="679"/>
      <c r="F118" s="529">
        <f>VLOOKUP(D118,'Mar 2013 Revenue'!D:T,17,FALSE)</f>
        <v>16065.809999999998</v>
      </c>
      <c r="G118" s="680"/>
      <c r="H118" s="680"/>
      <c r="I118" s="755"/>
      <c r="J118" s="682">
        <f t="shared" si="15"/>
        <v>16065.809999999998</v>
      </c>
      <c r="K118" s="683"/>
      <c r="L118" s="684"/>
      <c r="M118" s="753">
        <v>40000</v>
      </c>
      <c r="N118" s="683">
        <v>0</v>
      </c>
      <c r="O118" s="686"/>
      <c r="P118" s="683">
        <v>0</v>
      </c>
      <c r="Q118" s="687">
        <f t="shared" si="1"/>
        <v>40000</v>
      </c>
      <c r="R118" s="687">
        <v>67000</v>
      </c>
      <c r="S118" s="687"/>
      <c r="T118" s="688">
        <v>60573.3</v>
      </c>
      <c r="U118" s="693"/>
      <c r="V118" s="690">
        <f t="shared" si="26"/>
        <v>-46426.7</v>
      </c>
      <c r="W118" s="683"/>
      <c r="X118" s="474">
        <f t="shared" si="19"/>
        <v>40000</v>
      </c>
      <c r="Y118" s="474">
        <f t="shared" si="20"/>
        <v>0</v>
      </c>
      <c r="Z118" s="475">
        <f t="shared" si="21"/>
        <v>0</v>
      </c>
      <c r="AA118" s="475">
        <v>0</v>
      </c>
      <c r="AB118" s="476">
        <v>0</v>
      </c>
      <c r="AC118" s="38">
        <f t="shared" si="22"/>
        <v>0</v>
      </c>
      <c r="AD118" s="692">
        <f t="shared" si="16"/>
        <v>16065.809999999998</v>
      </c>
      <c r="AE118" s="692">
        <f t="shared" si="17"/>
        <v>0</v>
      </c>
      <c r="AF118" s="692">
        <f t="shared" si="18"/>
        <v>0</v>
      </c>
      <c r="AG118" s="38"/>
      <c r="AH118" s="692">
        <f t="shared" si="23"/>
        <v>40000</v>
      </c>
      <c r="AI118" s="692">
        <f t="shared" si="24"/>
        <v>0</v>
      </c>
      <c r="AJ118" s="692">
        <f t="shared" si="25"/>
        <v>0</v>
      </c>
      <c r="AL118" s="38">
        <f t="shared" si="27"/>
        <v>56065.81</v>
      </c>
    </row>
    <row r="119" spans="1:38">
      <c r="A119" s="21"/>
      <c r="B119" s="21" t="s">
        <v>109</v>
      </c>
      <c r="C119" s="666" t="s">
        <v>551</v>
      </c>
      <c r="D119" s="68" t="s">
        <v>499</v>
      </c>
      <c r="E119" s="679"/>
      <c r="F119" s="529">
        <f>VLOOKUP(D119,'Mar 2013 Revenue'!D:T,17,FALSE)</f>
        <v>0</v>
      </c>
      <c r="G119" s="680"/>
      <c r="H119" s="680"/>
      <c r="I119" s="755"/>
      <c r="J119" s="682">
        <f t="shared" si="15"/>
        <v>0</v>
      </c>
      <c r="K119" s="683"/>
      <c r="L119" s="684"/>
      <c r="M119" s="753"/>
      <c r="N119" s="683">
        <v>0</v>
      </c>
      <c r="O119" s="686"/>
      <c r="P119" s="683">
        <v>0</v>
      </c>
      <c r="Q119" s="687">
        <f t="shared" si="1"/>
        <v>0</v>
      </c>
      <c r="R119" s="687"/>
      <c r="S119" s="687"/>
      <c r="T119" s="688">
        <v>0</v>
      </c>
      <c r="U119" s="693"/>
      <c r="V119" s="690">
        <f t="shared" si="26"/>
        <v>0</v>
      </c>
      <c r="W119" s="683"/>
      <c r="X119" s="474">
        <f t="shared" si="19"/>
        <v>0</v>
      </c>
      <c r="Y119" s="474">
        <f t="shared" si="20"/>
        <v>0</v>
      </c>
      <c r="Z119" s="475">
        <f t="shared" si="21"/>
        <v>0</v>
      </c>
      <c r="AA119" s="475">
        <v>0</v>
      </c>
      <c r="AB119" s="476">
        <v>0</v>
      </c>
      <c r="AC119" s="38">
        <f t="shared" si="22"/>
        <v>0</v>
      </c>
      <c r="AD119" s="692">
        <f t="shared" si="16"/>
        <v>0</v>
      </c>
      <c r="AE119" s="692">
        <f t="shared" si="17"/>
        <v>0</v>
      </c>
      <c r="AF119" s="692">
        <f t="shared" si="18"/>
        <v>0</v>
      </c>
      <c r="AG119" s="38"/>
      <c r="AH119" s="692">
        <f t="shared" si="23"/>
        <v>0</v>
      </c>
      <c r="AI119" s="692">
        <f t="shared" si="24"/>
        <v>0</v>
      </c>
      <c r="AJ119" s="692">
        <f t="shared" si="25"/>
        <v>0</v>
      </c>
      <c r="AL119" s="38">
        <f t="shared" si="27"/>
        <v>0</v>
      </c>
    </row>
    <row r="120" spans="1:38">
      <c r="A120" s="21"/>
      <c r="B120" s="21" t="s">
        <v>110</v>
      </c>
      <c r="C120" s="666"/>
      <c r="D120" s="68" t="s">
        <v>28</v>
      </c>
      <c r="E120" s="679"/>
      <c r="F120" s="529">
        <f>VLOOKUP(D120,'Mar 2013 Revenue'!D:T,17,FALSE)</f>
        <v>0</v>
      </c>
      <c r="G120" s="680"/>
      <c r="H120" s="680"/>
      <c r="I120" s="770">
        <v>13937.7</v>
      </c>
      <c r="J120" s="682">
        <f t="shared" si="15"/>
        <v>13937.7</v>
      </c>
      <c r="K120" s="683"/>
      <c r="L120" s="684"/>
      <c r="M120" s="753"/>
      <c r="N120" s="683">
        <v>0</v>
      </c>
      <c r="O120" s="686"/>
      <c r="P120" s="683">
        <v>0</v>
      </c>
      <c r="Q120" s="687">
        <f t="shared" si="1"/>
        <v>0</v>
      </c>
      <c r="R120" s="687"/>
      <c r="S120" s="687"/>
      <c r="T120" s="688">
        <v>0</v>
      </c>
      <c r="U120" s="693"/>
      <c r="V120" s="690">
        <f t="shared" si="26"/>
        <v>0</v>
      </c>
      <c r="W120" s="683"/>
      <c r="X120" s="474">
        <f t="shared" si="19"/>
        <v>0</v>
      </c>
      <c r="Y120" s="474">
        <f t="shared" si="20"/>
        <v>0</v>
      </c>
      <c r="Z120" s="475">
        <f t="shared" si="21"/>
        <v>0</v>
      </c>
      <c r="AA120" s="475">
        <v>0</v>
      </c>
      <c r="AB120" s="476">
        <v>0</v>
      </c>
      <c r="AC120" s="38">
        <f t="shared" si="22"/>
        <v>0</v>
      </c>
      <c r="AD120" s="692">
        <f t="shared" si="16"/>
        <v>13937.7</v>
      </c>
      <c r="AE120" s="692">
        <f t="shared" si="17"/>
        <v>0</v>
      </c>
      <c r="AF120" s="692">
        <f t="shared" si="18"/>
        <v>0</v>
      </c>
      <c r="AG120" s="38"/>
      <c r="AH120" s="692">
        <f t="shared" si="23"/>
        <v>0</v>
      </c>
      <c r="AI120" s="692">
        <f t="shared" si="24"/>
        <v>0</v>
      </c>
      <c r="AJ120" s="692">
        <f t="shared" si="25"/>
        <v>0</v>
      </c>
      <c r="AL120" s="38">
        <f t="shared" si="27"/>
        <v>13937.7</v>
      </c>
    </row>
    <row r="121" spans="1:38">
      <c r="A121" s="21"/>
      <c r="B121" s="21" t="s">
        <v>114</v>
      </c>
      <c r="C121" s="666" t="s">
        <v>552</v>
      </c>
      <c r="D121" s="68" t="s">
        <v>513</v>
      </c>
      <c r="E121" s="679">
        <v>3128.6</v>
      </c>
      <c r="F121" s="529">
        <f>VLOOKUP(D121,'Mar 2013 Revenue'!D:T,17,FALSE)</f>
        <v>-8000</v>
      </c>
      <c r="G121" s="680"/>
      <c r="H121" s="680"/>
      <c r="I121" s="755"/>
      <c r="J121" s="682">
        <f t="shared" si="15"/>
        <v>-4871.3999999999996</v>
      </c>
      <c r="K121" s="683"/>
      <c r="L121" s="684"/>
      <c r="M121" s="753">
        <v>8000</v>
      </c>
      <c r="N121" s="683">
        <v>0</v>
      </c>
      <c r="O121" s="686"/>
      <c r="P121" s="683">
        <v>0</v>
      </c>
      <c r="Q121" s="687">
        <f>L121+M121</f>
        <v>8000</v>
      </c>
      <c r="R121" s="687"/>
      <c r="S121" s="687"/>
      <c r="T121" s="688">
        <v>0</v>
      </c>
      <c r="U121" s="693"/>
      <c r="V121" s="690">
        <f t="shared" si="26"/>
        <v>-8000</v>
      </c>
      <c r="W121" s="683"/>
      <c r="X121" s="474">
        <f t="shared" si="19"/>
        <v>0</v>
      </c>
      <c r="Y121" s="474">
        <f t="shared" si="20"/>
        <v>0</v>
      </c>
      <c r="Z121" s="475">
        <f t="shared" si="21"/>
        <v>8000</v>
      </c>
      <c r="AA121" s="475">
        <v>0</v>
      </c>
      <c r="AB121" s="476">
        <v>0</v>
      </c>
      <c r="AC121" s="38">
        <f t="shared" si="22"/>
        <v>0</v>
      </c>
      <c r="AD121" s="692">
        <f t="shared" si="16"/>
        <v>0</v>
      </c>
      <c r="AE121" s="692">
        <f t="shared" si="17"/>
        <v>0</v>
      </c>
      <c r="AF121" s="692">
        <f t="shared" si="18"/>
        <v>-4871.3999999999996</v>
      </c>
      <c r="AG121" s="38"/>
      <c r="AH121" s="692">
        <f t="shared" si="23"/>
        <v>0</v>
      </c>
      <c r="AI121" s="692">
        <f t="shared" si="24"/>
        <v>0</v>
      </c>
      <c r="AJ121" s="692">
        <f t="shared" si="25"/>
        <v>8000</v>
      </c>
      <c r="AL121" s="38">
        <f t="shared" si="27"/>
        <v>3128.6000000000004</v>
      </c>
    </row>
    <row r="122" spans="1:38">
      <c r="A122" s="21"/>
      <c r="B122" s="21" t="s">
        <v>109</v>
      </c>
      <c r="C122" s="666" t="s">
        <v>553</v>
      </c>
      <c r="D122" s="68" t="s">
        <v>308</v>
      </c>
      <c r="E122" s="679">
        <v>1068.43</v>
      </c>
      <c r="F122" s="529">
        <f>VLOOKUP(D122,'Mar 2013 Revenue'!D:T,17,FALSE)</f>
        <v>0</v>
      </c>
      <c r="G122" s="680"/>
      <c r="H122" s="680"/>
      <c r="I122" s="755"/>
      <c r="J122" s="682">
        <f t="shared" si="15"/>
        <v>1068.43</v>
      </c>
      <c r="K122" s="683"/>
      <c r="L122" s="684"/>
      <c r="M122" s="753"/>
      <c r="N122" s="683">
        <v>0</v>
      </c>
      <c r="O122" s="686"/>
      <c r="P122" s="683">
        <v>0</v>
      </c>
      <c r="Q122" s="687">
        <f t="shared" si="1"/>
        <v>0</v>
      </c>
      <c r="R122" s="687"/>
      <c r="S122" s="687"/>
      <c r="T122" s="688">
        <v>1196.04</v>
      </c>
      <c r="U122" s="693"/>
      <c r="V122" s="690">
        <f t="shared" si="26"/>
        <v>1196.04</v>
      </c>
      <c r="W122" s="683"/>
      <c r="X122" s="474">
        <f t="shared" si="19"/>
        <v>0</v>
      </c>
      <c r="Y122" s="474">
        <f t="shared" si="20"/>
        <v>0</v>
      </c>
      <c r="Z122" s="475">
        <f t="shared" si="21"/>
        <v>0</v>
      </c>
      <c r="AA122" s="475">
        <v>0</v>
      </c>
      <c r="AB122" s="476">
        <v>0</v>
      </c>
      <c r="AC122" s="38">
        <f t="shared" si="22"/>
        <v>0</v>
      </c>
      <c r="AD122" s="692">
        <f t="shared" si="16"/>
        <v>0</v>
      </c>
      <c r="AE122" s="692">
        <f t="shared" si="17"/>
        <v>1068.43</v>
      </c>
      <c r="AF122" s="692">
        <f t="shared" si="18"/>
        <v>0</v>
      </c>
      <c r="AG122" s="38"/>
      <c r="AH122" s="692">
        <f t="shared" si="23"/>
        <v>0</v>
      </c>
      <c r="AI122" s="692">
        <f t="shared" si="24"/>
        <v>0</v>
      </c>
      <c r="AJ122" s="692">
        <f t="shared" si="25"/>
        <v>0</v>
      </c>
      <c r="AL122" s="38">
        <f t="shared" si="27"/>
        <v>1068.43</v>
      </c>
    </row>
    <row r="123" spans="1:38" s="232" customFormat="1">
      <c r="A123" s="283" t="s">
        <v>211</v>
      </c>
      <c r="B123" s="283" t="s">
        <v>109</v>
      </c>
      <c r="C123" s="667" t="s">
        <v>554</v>
      </c>
      <c r="D123" s="123" t="s">
        <v>389</v>
      </c>
      <c r="E123" s="679"/>
      <c r="F123" s="529">
        <f>VLOOKUP(D123,'Mar 2013 Revenue'!D:T,17,FALSE)</f>
        <v>0</v>
      </c>
      <c r="G123" s="680"/>
      <c r="H123" s="680"/>
      <c r="I123" s="755"/>
      <c r="J123" s="682">
        <f t="shared" ref="J123:J187" si="54">SUM(E123:I123)</f>
        <v>0</v>
      </c>
      <c r="K123" s="683"/>
      <c r="L123" s="684"/>
      <c r="M123" s="753"/>
      <c r="N123" s="683">
        <v>0</v>
      </c>
      <c r="O123" s="686"/>
      <c r="P123" s="683">
        <v>0</v>
      </c>
      <c r="Q123" s="687">
        <f t="shared" si="1"/>
        <v>0</v>
      </c>
      <c r="R123" s="687"/>
      <c r="S123" s="687"/>
      <c r="T123" s="688">
        <v>0</v>
      </c>
      <c r="U123" s="693"/>
      <c r="V123" s="690">
        <f t="shared" si="26"/>
        <v>0</v>
      </c>
      <c r="W123" s="683"/>
      <c r="X123" s="474">
        <f t="shared" si="19"/>
        <v>0</v>
      </c>
      <c r="Y123" s="474">
        <f t="shared" si="20"/>
        <v>0</v>
      </c>
      <c r="Z123" s="475">
        <f t="shared" si="21"/>
        <v>0</v>
      </c>
      <c r="AA123" s="475">
        <v>0</v>
      </c>
      <c r="AB123" s="476">
        <v>0</v>
      </c>
      <c r="AC123" s="38">
        <f t="shared" si="22"/>
        <v>0</v>
      </c>
      <c r="AD123" s="692">
        <f t="shared" si="16"/>
        <v>0</v>
      </c>
      <c r="AE123" s="692">
        <f t="shared" si="17"/>
        <v>0</v>
      </c>
      <c r="AF123" s="692">
        <f t="shared" si="18"/>
        <v>0</v>
      </c>
      <c r="AG123" s="38"/>
      <c r="AH123" s="692">
        <f t="shared" si="23"/>
        <v>0</v>
      </c>
      <c r="AI123" s="692">
        <f t="shared" si="24"/>
        <v>0</v>
      </c>
      <c r="AJ123" s="692">
        <f t="shared" si="25"/>
        <v>0</v>
      </c>
      <c r="AL123" s="38">
        <f t="shared" si="27"/>
        <v>0</v>
      </c>
    </row>
    <row r="124" spans="1:38" s="232" customFormat="1">
      <c r="A124" s="283"/>
      <c r="B124" s="283" t="s">
        <v>110</v>
      </c>
      <c r="C124" s="667"/>
      <c r="D124" s="123" t="s">
        <v>807</v>
      </c>
      <c r="E124" s="679"/>
      <c r="F124" s="529">
        <f>VLOOKUP(D124,'Mar 2013 Revenue'!D:T,17,FALSE)</f>
        <v>2057.63</v>
      </c>
      <c r="G124" s="680"/>
      <c r="H124" s="680"/>
      <c r="I124" s="755"/>
      <c r="J124" s="682">
        <f t="shared" si="54"/>
        <v>2057.63</v>
      </c>
      <c r="K124" s="683"/>
      <c r="L124" s="684"/>
      <c r="M124" s="753"/>
      <c r="N124" s="683">
        <v>0</v>
      </c>
      <c r="O124" s="686"/>
      <c r="P124" s="683">
        <v>0</v>
      </c>
      <c r="Q124" s="687">
        <f t="shared" si="1"/>
        <v>0</v>
      </c>
      <c r="R124" s="687"/>
      <c r="S124" s="687"/>
      <c r="T124" s="688">
        <v>4171.79</v>
      </c>
      <c r="U124" s="693"/>
      <c r="V124" s="690">
        <f t="shared" si="26"/>
        <v>4171.79</v>
      </c>
      <c r="W124" s="683"/>
      <c r="X124" s="474">
        <f t="shared" si="19"/>
        <v>0</v>
      </c>
      <c r="Y124" s="474">
        <f t="shared" si="20"/>
        <v>0</v>
      </c>
      <c r="Z124" s="475">
        <f t="shared" si="21"/>
        <v>0</v>
      </c>
      <c r="AA124" s="475">
        <v>0</v>
      </c>
      <c r="AB124" s="476">
        <v>0</v>
      </c>
      <c r="AC124" s="38">
        <f t="shared" si="22"/>
        <v>0</v>
      </c>
      <c r="AD124" s="692">
        <f t="shared" si="16"/>
        <v>2057.63</v>
      </c>
      <c r="AE124" s="692">
        <f t="shared" si="17"/>
        <v>0</v>
      </c>
      <c r="AF124" s="692">
        <f t="shared" si="18"/>
        <v>0</v>
      </c>
      <c r="AG124" s="38"/>
      <c r="AH124" s="692">
        <f t="shared" si="23"/>
        <v>0</v>
      </c>
      <c r="AI124" s="692">
        <f t="shared" si="24"/>
        <v>0</v>
      </c>
      <c r="AJ124" s="692">
        <f t="shared" si="25"/>
        <v>0</v>
      </c>
      <c r="AL124" s="38">
        <f t="shared" si="27"/>
        <v>2057.63</v>
      </c>
    </row>
    <row r="125" spans="1:38" s="232" customFormat="1">
      <c r="A125" s="283"/>
      <c r="B125" s="283" t="s">
        <v>109</v>
      </c>
      <c r="C125" s="667"/>
      <c r="D125" s="123" t="s">
        <v>808</v>
      </c>
      <c r="E125" s="679"/>
      <c r="F125" s="529">
        <f>VLOOKUP(D125,'Mar 2013 Revenue'!D:T,17,FALSE)</f>
        <v>7668.1699999999983</v>
      </c>
      <c r="G125" s="680"/>
      <c r="H125" s="680"/>
      <c r="I125" s="755"/>
      <c r="J125" s="682">
        <f t="shared" si="54"/>
        <v>7668.1699999999983</v>
      </c>
      <c r="K125" s="683"/>
      <c r="L125" s="684"/>
      <c r="M125" s="753">
        <v>25000</v>
      </c>
      <c r="N125" s="683">
        <v>0</v>
      </c>
      <c r="O125" s="686"/>
      <c r="P125" s="683">
        <v>0</v>
      </c>
      <c r="Q125" s="687">
        <f t="shared" si="1"/>
        <v>25000</v>
      </c>
      <c r="R125" s="687"/>
      <c r="S125" s="687"/>
      <c r="T125" s="688">
        <f>8169.05+33712.11+1239.66</f>
        <v>43120.820000000007</v>
      </c>
      <c r="U125" s="693"/>
      <c r="V125" s="690">
        <f t="shared" si="26"/>
        <v>18120.820000000007</v>
      </c>
      <c r="W125" s="683"/>
      <c r="X125" s="474">
        <f t="shared" si="19"/>
        <v>0</v>
      </c>
      <c r="Y125" s="474">
        <f t="shared" si="20"/>
        <v>25000</v>
      </c>
      <c r="Z125" s="475">
        <f t="shared" si="21"/>
        <v>0</v>
      </c>
      <c r="AA125" s="475">
        <v>0</v>
      </c>
      <c r="AB125" s="476">
        <v>0</v>
      </c>
      <c r="AC125" s="38">
        <f t="shared" si="22"/>
        <v>0</v>
      </c>
      <c r="AD125" s="692">
        <f t="shared" si="16"/>
        <v>0</v>
      </c>
      <c r="AE125" s="692">
        <f t="shared" si="17"/>
        <v>7668.1699999999983</v>
      </c>
      <c r="AF125" s="692">
        <f t="shared" si="18"/>
        <v>0</v>
      </c>
      <c r="AG125" s="38"/>
      <c r="AH125" s="692">
        <f t="shared" si="23"/>
        <v>0</v>
      </c>
      <c r="AI125" s="692">
        <f t="shared" si="24"/>
        <v>25000</v>
      </c>
      <c r="AJ125" s="692">
        <f t="shared" si="25"/>
        <v>0</v>
      </c>
      <c r="AL125" s="38">
        <f t="shared" si="27"/>
        <v>32668.17</v>
      </c>
    </row>
    <row r="126" spans="1:38" s="232" customFormat="1">
      <c r="A126" s="403"/>
      <c r="B126" s="403" t="s">
        <v>110</v>
      </c>
      <c r="C126" s="666" t="s">
        <v>563</v>
      </c>
      <c r="D126" s="123" t="s">
        <v>867</v>
      </c>
      <c r="E126" s="679">
        <v>49.49</v>
      </c>
      <c r="F126" s="529">
        <f>VLOOKUP(D126,'Mar 2013 Revenue'!D:T,17,FALSE)</f>
        <v>0</v>
      </c>
      <c r="G126" s="680"/>
      <c r="H126" s="680"/>
      <c r="I126" s="755"/>
      <c r="J126" s="682">
        <f t="shared" si="54"/>
        <v>49.49</v>
      </c>
      <c r="K126" s="683"/>
      <c r="L126" s="684"/>
      <c r="M126" s="753"/>
      <c r="N126" s="683">
        <v>0</v>
      </c>
      <c r="O126" s="686"/>
      <c r="P126" s="683">
        <v>0</v>
      </c>
      <c r="Q126" s="687">
        <f t="shared" si="1"/>
        <v>0</v>
      </c>
      <c r="R126" s="687"/>
      <c r="S126" s="687"/>
      <c r="T126" s="688">
        <v>0</v>
      </c>
      <c r="U126" s="693"/>
      <c r="V126" s="690">
        <f t="shared" si="26"/>
        <v>0</v>
      </c>
      <c r="W126" s="683"/>
      <c r="X126" s="474">
        <f t="shared" si="19"/>
        <v>0</v>
      </c>
      <c r="Y126" s="474">
        <f t="shared" si="20"/>
        <v>0</v>
      </c>
      <c r="Z126" s="475">
        <f t="shared" si="21"/>
        <v>0</v>
      </c>
      <c r="AA126" s="475">
        <v>0</v>
      </c>
      <c r="AB126" s="476">
        <v>0</v>
      </c>
      <c r="AC126" s="38">
        <f t="shared" si="22"/>
        <v>0</v>
      </c>
      <c r="AD126" s="692">
        <f t="shared" si="16"/>
        <v>49.49</v>
      </c>
      <c r="AE126" s="692">
        <f t="shared" si="17"/>
        <v>0</v>
      </c>
      <c r="AF126" s="692">
        <f t="shared" si="18"/>
        <v>0</v>
      </c>
      <c r="AG126" s="38"/>
      <c r="AH126" s="692">
        <f t="shared" si="23"/>
        <v>0</v>
      </c>
      <c r="AI126" s="692">
        <f t="shared" si="24"/>
        <v>0</v>
      </c>
      <c r="AJ126" s="692">
        <f t="shared" si="25"/>
        <v>0</v>
      </c>
      <c r="AL126" s="38">
        <f t="shared" si="27"/>
        <v>49.49</v>
      </c>
    </row>
    <row r="127" spans="1:38" s="232" customFormat="1">
      <c r="A127" s="283"/>
      <c r="B127" s="283" t="s">
        <v>110</v>
      </c>
      <c r="C127" s="667"/>
      <c r="D127" s="68" t="s">
        <v>488</v>
      </c>
      <c r="E127" s="679"/>
      <c r="F127" s="529">
        <f>VLOOKUP(D127,'Mar 2013 Revenue'!D:T,17,FALSE)</f>
        <v>0</v>
      </c>
      <c r="G127" s="680"/>
      <c r="H127" s="680"/>
      <c r="I127" s="755"/>
      <c r="J127" s="682">
        <f t="shared" si="54"/>
        <v>0</v>
      </c>
      <c r="K127" s="683"/>
      <c r="L127" s="684"/>
      <c r="M127" s="753"/>
      <c r="N127" s="683">
        <v>0</v>
      </c>
      <c r="O127" s="686"/>
      <c r="P127" s="683">
        <v>0</v>
      </c>
      <c r="Q127" s="687">
        <f t="shared" si="1"/>
        <v>0</v>
      </c>
      <c r="R127" s="687"/>
      <c r="S127" s="687"/>
      <c r="T127" s="688">
        <v>0</v>
      </c>
      <c r="U127" s="693"/>
      <c r="V127" s="690">
        <f t="shared" si="26"/>
        <v>0</v>
      </c>
      <c r="W127" s="683"/>
      <c r="X127" s="474">
        <f t="shared" si="19"/>
        <v>0</v>
      </c>
      <c r="Y127" s="474">
        <f t="shared" si="20"/>
        <v>0</v>
      </c>
      <c r="Z127" s="475">
        <f t="shared" si="21"/>
        <v>0</v>
      </c>
      <c r="AA127" s="475">
        <v>0</v>
      </c>
      <c r="AB127" s="476">
        <v>0</v>
      </c>
      <c r="AC127" s="38">
        <f t="shared" si="22"/>
        <v>0</v>
      </c>
      <c r="AD127" s="692">
        <f t="shared" si="16"/>
        <v>0</v>
      </c>
      <c r="AE127" s="692">
        <f t="shared" si="17"/>
        <v>0</v>
      </c>
      <c r="AF127" s="692">
        <f t="shared" si="18"/>
        <v>0</v>
      </c>
      <c r="AG127" s="38"/>
      <c r="AH127" s="692">
        <f t="shared" si="23"/>
        <v>0</v>
      </c>
      <c r="AI127" s="692">
        <f t="shared" si="24"/>
        <v>0</v>
      </c>
      <c r="AJ127" s="692">
        <f t="shared" si="25"/>
        <v>0</v>
      </c>
      <c r="AL127" s="38">
        <f t="shared" si="27"/>
        <v>0</v>
      </c>
    </row>
    <row r="128" spans="1:38" s="232" customFormat="1">
      <c r="A128" s="283"/>
      <c r="B128" s="283" t="s">
        <v>110</v>
      </c>
      <c r="C128" s="667" t="s">
        <v>555</v>
      </c>
      <c r="D128" s="123" t="s">
        <v>192</v>
      </c>
      <c r="E128" s="679"/>
      <c r="F128" s="529">
        <f>VLOOKUP(D128,'Mar 2013 Revenue'!D:T,17,FALSE)</f>
        <v>0</v>
      </c>
      <c r="G128" s="680"/>
      <c r="H128" s="680"/>
      <c r="I128" s="755"/>
      <c r="J128" s="682">
        <f t="shared" si="54"/>
        <v>0</v>
      </c>
      <c r="K128" s="683"/>
      <c r="L128" s="684"/>
      <c r="M128" s="753">
        <v>6000</v>
      </c>
      <c r="N128" s="683">
        <v>0</v>
      </c>
      <c r="O128" s="686"/>
      <c r="P128" s="683">
        <v>0</v>
      </c>
      <c r="Q128" s="687">
        <f t="shared" si="1"/>
        <v>6000</v>
      </c>
      <c r="R128" s="812"/>
      <c r="S128" s="812"/>
      <c r="T128" s="679">
        <v>5073.79</v>
      </c>
      <c r="U128" s="693"/>
      <c r="V128" s="690">
        <f t="shared" si="26"/>
        <v>-926.21</v>
      </c>
      <c r="W128" s="683"/>
      <c r="X128" s="474">
        <f t="shared" si="19"/>
        <v>6000</v>
      </c>
      <c r="Y128" s="474">
        <f t="shared" si="20"/>
        <v>0</v>
      </c>
      <c r="Z128" s="475">
        <f t="shared" si="21"/>
        <v>0</v>
      </c>
      <c r="AA128" s="475">
        <v>0</v>
      </c>
      <c r="AB128" s="476">
        <v>0</v>
      </c>
      <c r="AC128" s="38">
        <f t="shared" si="22"/>
        <v>0</v>
      </c>
      <c r="AD128" s="692">
        <f t="shared" si="16"/>
        <v>0</v>
      </c>
      <c r="AE128" s="692">
        <f t="shared" si="17"/>
        <v>0</v>
      </c>
      <c r="AF128" s="692">
        <f t="shared" si="18"/>
        <v>0</v>
      </c>
      <c r="AG128" s="38"/>
      <c r="AH128" s="692">
        <f t="shared" si="23"/>
        <v>6000</v>
      </c>
      <c r="AI128" s="692">
        <f t="shared" si="24"/>
        <v>0</v>
      </c>
      <c r="AJ128" s="692">
        <f t="shared" si="25"/>
        <v>0</v>
      </c>
      <c r="AL128" s="38">
        <f t="shared" si="27"/>
        <v>6000</v>
      </c>
    </row>
    <row r="129" spans="1:38" s="232" customFormat="1">
      <c r="A129" s="283"/>
      <c r="B129" s="283" t="s">
        <v>110</v>
      </c>
      <c r="C129" s="667" t="s">
        <v>555</v>
      </c>
      <c r="D129" s="123" t="s">
        <v>193</v>
      </c>
      <c r="E129" s="679"/>
      <c r="F129" s="529">
        <f>VLOOKUP(D129,'Mar 2013 Revenue'!D:T,17,FALSE)</f>
        <v>0</v>
      </c>
      <c r="G129" s="680"/>
      <c r="H129" s="680"/>
      <c r="I129" s="755"/>
      <c r="J129" s="682">
        <f t="shared" si="54"/>
        <v>0</v>
      </c>
      <c r="K129" s="683"/>
      <c r="L129" s="684"/>
      <c r="M129" s="753"/>
      <c r="N129" s="683">
        <v>0</v>
      </c>
      <c r="O129" s="686"/>
      <c r="P129" s="683">
        <v>0</v>
      </c>
      <c r="Q129" s="687">
        <f t="shared" si="1"/>
        <v>0</v>
      </c>
      <c r="R129" s="812"/>
      <c r="S129" s="812"/>
      <c r="T129" s="679">
        <v>0</v>
      </c>
      <c r="U129" s="693"/>
      <c r="V129" s="690">
        <f t="shared" si="26"/>
        <v>0</v>
      </c>
      <c r="W129" s="683"/>
      <c r="X129" s="474">
        <f t="shared" si="19"/>
        <v>0</v>
      </c>
      <c r="Y129" s="474">
        <f t="shared" si="20"/>
        <v>0</v>
      </c>
      <c r="Z129" s="475">
        <f t="shared" si="21"/>
        <v>0</v>
      </c>
      <c r="AA129" s="475">
        <v>0</v>
      </c>
      <c r="AB129" s="476">
        <v>0</v>
      </c>
      <c r="AC129" s="38">
        <f t="shared" si="22"/>
        <v>0</v>
      </c>
      <c r="AD129" s="692">
        <f t="shared" si="16"/>
        <v>0</v>
      </c>
      <c r="AE129" s="692">
        <f t="shared" si="17"/>
        <v>0</v>
      </c>
      <c r="AF129" s="692">
        <f t="shared" si="18"/>
        <v>0</v>
      </c>
      <c r="AG129" s="38"/>
      <c r="AH129" s="692">
        <f t="shared" si="23"/>
        <v>0</v>
      </c>
      <c r="AI129" s="692">
        <f t="shared" si="24"/>
        <v>0</v>
      </c>
      <c r="AJ129" s="692">
        <f t="shared" si="25"/>
        <v>0</v>
      </c>
      <c r="AL129" s="38">
        <f t="shared" si="27"/>
        <v>0</v>
      </c>
    </row>
    <row r="130" spans="1:38" s="232" customFormat="1">
      <c r="A130" s="283"/>
      <c r="B130" s="283" t="s">
        <v>110</v>
      </c>
      <c r="C130" s="667" t="s">
        <v>555</v>
      </c>
      <c r="D130" s="123" t="s">
        <v>194</v>
      </c>
      <c r="E130" s="679"/>
      <c r="F130" s="529">
        <f>VLOOKUP(D130,'Mar 2013 Revenue'!D:T,17,FALSE)</f>
        <v>0</v>
      </c>
      <c r="G130" s="680"/>
      <c r="H130" s="680"/>
      <c r="I130" s="755"/>
      <c r="J130" s="682">
        <f t="shared" si="54"/>
        <v>0</v>
      </c>
      <c r="K130" s="683"/>
      <c r="L130" s="684"/>
      <c r="M130" s="753"/>
      <c r="N130" s="683">
        <v>0</v>
      </c>
      <c r="O130" s="686"/>
      <c r="P130" s="683">
        <v>0</v>
      </c>
      <c r="Q130" s="687">
        <f t="shared" si="1"/>
        <v>0</v>
      </c>
      <c r="R130" s="812"/>
      <c r="S130" s="812"/>
      <c r="T130" s="679">
        <v>0</v>
      </c>
      <c r="U130" s="693"/>
      <c r="V130" s="690">
        <f t="shared" si="26"/>
        <v>0</v>
      </c>
      <c r="W130" s="683"/>
      <c r="X130" s="474">
        <f t="shared" si="19"/>
        <v>0</v>
      </c>
      <c r="Y130" s="474">
        <f t="shared" si="20"/>
        <v>0</v>
      </c>
      <c r="Z130" s="475">
        <f t="shared" si="21"/>
        <v>0</v>
      </c>
      <c r="AA130" s="475">
        <v>0</v>
      </c>
      <c r="AB130" s="476">
        <v>0</v>
      </c>
      <c r="AC130" s="38">
        <f t="shared" si="22"/>
        <v>0</v>
      </c>
      <c r="AD130" s="692">
        <f t="shared" si="16"/>
        <v>0</v>
      </c>
      <c r="AE130" s="692">
        <f t="shared" si="17"/>
        <v>0</v>
      </c>
      <c r="AF130" s="692">
        <f t="shared" si="18"/>
        <v>0</v>
      </c>
      <c r="AG130" s="38"/>
      <c r="AH130" s="692">
        <f t="shared" si="23"/>
        <v>0</v>
      </c>
      <c r="AI130" s="692">
        <f t="shared" si="24"/>
        <v>0</v>
      </c>
      <c r="AJ130" s="692">
        <f t="shared" si="25"/>
        <v>0</v>
      </c>
      <c r="AL130" s="38">
        <f t="shared" si="27"/>
        <v>0</v>
      </c>
    </row>
    <row r="131" spans="1:38" s="232" customFormat="1">
      <c r="A131" s="283"/>
      <c r="B131" s="283" t="s">
        <v>110</v>
      </c>
      <c r="C131" s="667" t="s">
        <v>555</v>
      </c>
      <c r="D131" s="123" t="s">
        <v>195</v>
      </c>
      <c r="E131" s="679"/>
      <c r="F131" s="529">
        <f>VLOOKUP(D131,'Mar 2013 Revenue'!D:T,17,FALSE)</f>
        <v>0</v>
      </c>
      <c r="G131" s="680"/>
      <c r="H131" s="680"/>
      <c r="I131" s="755"/>
      <c r="J131" s="682">
        <f t="shared" si="54"/>
        <v>0</v>
      </c>
      <c r="K131" s="683"/>
      <c r="L131" s="684"/>
      <c r="M131" s="753"/>
      <c r="N131" s="683">
        <v>0</v>
      </c>
      <c r="O131" s="686"/>
      <c r="P131" s="683">
        <v>0</v>
      </c>
      <c r="Q131" s="687">
        <f t="shared" si="1"/>
        <v>0</v>
      </c>
      <c r="R131" s="812"/>
      <c r="S131" s="812"/>
      <c r="T131" s="679">
        <v>0</v>
      </c>
      <c r="U131" s="693"/>
      <c r="V131" s="690">
        <f t="shared" si="26"/>
        <v>0</v>
      </c>
      <c r="W131" s="683"/>
      <c r="X131" s="474">
        <f t="shared" si="19"/>
        <v>0</v>
      </c>
      <c r="Y131" s="474">
        <f t="shared" si="20"/>
        <v>0</v>
      </c>
      <c r="Z131" s="475">
        <f t="shared" si="21"/>
        <v>0</v>
      </c>
      <c r="AA131" s="475">
        <v>0</v>
      </c>
      <c r="AB131" s="476">
        <v>0</v>
      </c>
      <c r="AC131" s="38">
        <f t="shared" si="22"/>
        <v>0</v>
      </c>
      <c r="AD131" s="692">
        <f t="shared" si="16"/>
        <v>0</v>
      </c>
      <c r="AE131" s="692">
        <f t="shared" si="17"/>
        <v>0</v>
      </c>
      <c r="AF131" s="692">
        <f t="shared" si="18"/>
        <v>0</v>
      </c>
      <c r="AG131" s="38"/>
      <c r="AH131" s="692">
        <f t="shared" si="23"/>
        <v>0</v>
      </c>
      <c r="AI131" s="692">
        <f t="shared" si="24"/>
        <v>0</v>
      </c>
      <c r="AJ131" s="692">
        <f t="shared" si="25"/>
        <v>0</v>
      </c>
      <c r="AL131" s="38">
        <f t="shared" si="27"/>
        <v>0</v>
      </c>
    </row>
    <row r="132" spans="1:38" s="232" customFormat="1">
      <c r="A132" s="283"/>
      <c r="B132" s="283" t="s">
        <v>110</v>
      </c>
      <c r="C132" s="667" t="s">
        <v>555</v>
      </c>
      <c r="D132" s="123" t="s">
        <v>196</v>
      </c>
      <c r="E132" s="679"/>
      <c r="F132" s="529">
        <f>VLOOKUP(D132,'Mar 2013 Revenue'!D:T,17,FALSE)</f>
        <v>0</v>
      </c>
      <c r="G132" s="680"/>
      <c r="H132" s="680"/>
      <c r="I132" s="755"/>
      <c r="J132" s="682">
        <f t="shared" si="54"/>
        <v>0</v>
      </c>
      <c r="K132" s="683"/>
      <c r="L132" s="684"/>
      <c r="M132" s="753"/>
      <c r="N132" s="683">
        <v>0</v>
      </c>
      <c r="O132" s="686"/>
      <c r="P132" s="683">
        <v>0</v>
      </c>
      <c r="Q132" s="687">
        <f t="shared" si="1"/>
        <v>0</v>
      </c>
      <c r="R132" s="812"/>
      <c r="S132" s="812"/>
      <c r="T132" s="679">
        <v>0</v>
      </c>
      <c r="U132" s="693"/>
      <c r="V132" s="690">
        <f t="shared" si="26"/>
        <v>0</v>
      </c>
      <c r="W132" s="683"/>
      <c r="X132" s="474">
        <f t="shared" si="19"/>
        <v>0</v>
      </c>
      <c r="Y132" s="474">
        <f t="shared" si="20"/>
        <v>0</v>
      </c>
      <c r="Z132" s="475">
        <f t="shared" si="21"/>
        <v>0</v>
      </c>
      <c r="AA132" s="475">
        <v>0</v>
      </c>
      <c r="AB132" s="476">
        <v>0</v>
      </c>
      <c r="AC132" s="38">
        <f t="shared" si="22"/>
        <v>0</v>
      </c>
      <c r="AD132" s="692">
        <f t="shared" si="16"/>
        <v>0</v>
      </c>
      <c r="AE132" s="692">
        <f t="shared" si="17"/>
        <v>0</v>
      </c>
      <c r="AF132" s="692">
        <f t="shared" si="18"/>
        <v>0</v>
      </c>
      <c r="AG132" s="38"/>
      <c r="AH132" s="692">
        <f t="shared" si="23"/>
        <v>0</v>
      </c>
      <c r="AI132" s="692">
        <f t="shared" si="24"/>
        <v>0</v>
      </c>
      <c r="AJ132" s="692">
        <f t="shared" si="25"/>
        <v>0</v>
      </c>
      <c r="AL132" s="38">
        <f t="shared" si="27"/>
        <v>0</v>
      </c>
    </row>
    <row r="133" spans="1:38" s="232" customFormat="1">
      <c r="A133" s="283"/>
      <c r="B133" s="283" t="s">
        <v>110</v>
      </c>
      <c r="C133" s="667" t="s">
        <v>555</v>
      </c>
      <c r="D133" s="123" t="s">
        <v>197</v>
      </c>
      <c r="E133" s="679"/>
      <c r="F133" s="529">
        <f>VLOOKUP(D133,'Mar 2013 Revenue'!D:T,17,FALSE)</f>
        <v>0</v>
      </c>
      <c r="G133" s="680"/>
      <c r="H133" s="680"/>
      <c r="I133" s="755"/>
      <c r="J133" s="682">
        <f t="shared" si="54"/>
        <v>0</v>
      </c>
      <c r="K133" s="683"/>
      <c r="L133" s="684"/>
      <c r="M133" s="753"/>
      <c r="N133" s="683">
        <v>0</v>
      </c>
      <c r="O133" s="686"/>
      <c r="P133" s="683">
        <v>0</v>
      </c>
      <c r="Q133" s="687">
        <f t="shared" si="1"/>
        <v>0</v>
      </c>
      <c r="R133" s="812"/>
      <c r="S133" s="812"/>
      <c r="T133" s="679">
        <v>0</v>
      </c>
      <c r="U133" s="693"/>
      <c r="V133" s="690">
        <f t="shared" si="26"/>
        <v>0</v>
      </c>
      <c r="W133" s="683"/>
      <c r="X133" s="474">
        <f t="shared" si="19"/>
        <v>0</v>
      </c>
      <c r="Y133" s="474">
        <f t="shared" si="20"/>
        <v>0</v>
      </c>
      <c r="Z133" s="475">
        <f t="shared" si="21"/>
        <v>0</v>
      </c>
      <c r="AA133" s="475">
        <v>0</v>
      </c>
      <c r="AB133" s="476">
        <v>0</v>
      </c>
      <c r="AC133" s="38">
        <f t="shared" si="22"/>
        <v>0</v>
      </c>
      <c r="AD133" s="692">
        <f t="shared" si="16"/>
        <v>0</v>
      </c>
      <c r="AE133" s="692">
        <f t="shared" si="17"/>
        <v>0</v>
      </c>
      <c r="AF133" s="692">
        <f t="shared" si="18"/>
        <v>0</v>
      </c>
      <c r="AG133" s="38"/>
      <c r="AH133" s="692">
        <f t="shared" si="23"/>
        <v>0</v>
      </c>
      <c r="AI133" s="692">
        <f t="shared" si="24"/>
        <v>0</v>
      </c>
      <c r="AJ133" s="692">
        <f t="shared" si="25"/>
        <v>0</v>
      </c>
      <c r="AL133" s="38">
        <f t="shared" si="27"/>
        <v>0</v>
      </c>
    </row>
    <row r="134" spans="1:38" s="232" customFormat="1">
      <c r="A134" s="283"/>
      <c r="B134" s="283" t="s">
        <v>110</v>
      </c>
      <c r="C134" s="667" t="s">
        <v>555</v>
      </c>
      <c r="D134" s="123" t="s">
        <v>440</v>
      </c>
      <c r="E134" s="679"/>
      <c r="F134" s="529">
        <f>VLOOKUP(D134,'Mar 2013 Revenue'!D:T,17,FALSE)</f>
        <v>0</v>
      </c>
      <c r="G134" s="680"/>
      <c r="H134" s="680"/>
      <c r="I134" s="755"/>
      <c r="J134" s="682">
        <f t="shared" si="54"/>
        <v>0</v>
      </c>
      <c r="K134" s="683"/>
      <c r="L134" s="684"/>
      <c r="M134" s="753"/>
      <c r="N134" s="683">
        <v>0</v>
      </c>
      <c r="O134" s="686"/>
      <c r="P134" s="683">
        <v>0</v>
      </c>
      <c r="Q134" s="687">
        <f t="shared" si="1"/>
        <v>0</v>
      </c>
      <c r="R134" s="812"/>
      <c r="S134" s="812"/>
      <c r="T134" s="679">
        <v>0</v>
      </c>
      <c r="U134" s="693"/>
      <c r="V134" s="690">
        <f t="shared" si="26"/>
        <v>0</v>
      </c>
      <c r="W134" s="683"/>
      <c r="X134" s="474">
        <f t="shared" si="19"/>
        <v>0</v>
      </c>
      <c r="Y134" s="474">
        <f t="shared" si="20"/>
        <v>0</v>
      </c>
      <c r="Z134" s="475">
        <f t="shared" si="21"/>
        <v>0</v>
      </c>
      <c r="AA134" s="475">
        <v>0</v>
      </c>
      <c r="AB134" s="476">
        <v>0</v>
      </c>
      <c r="AC134" s="38">
        <f t="shared" si="22"/>
        <v>0</v>
      </c>
      <c r="AD134" s="692">
        <f t="shared" si="16"/>
        <v>0</v>
      </c>
      <c r="AE134" s="692">
        <f t="shared" si="17"/>
        <v>0</v>
      </c>
      <c r="AF134" s="692">
        <f t="shared" si="18"/>
        <v>0</v>
      </c>
      <c r="AG134" s="38"/>
      <c r="AH134" s="692">
        <f t="shared" si="23"/>
        <v>0</v>
      </c>
      <c r="AI134" s="692">
        <f t="shared" si="24"/>
        <v>0</v>
      </c>
      <c r="AJ134" s="692">
        <f t="shared" si="25"/>
        <v>0</v>
      </c>
      <c r="AL134" s="38">
        <f t="shared" si="27"/>
        <v>0</v>
      </c>
    </row>
    <row r="135" spans="1:38" s="232" customFormat="1">
      <c r="A135" s="283"/>
      <c r="B135" s="283" t="s">
        <v>110</v>
      </c>
      <c r="C135" s="667" t="s">
        <v>555</v>
      </c>
      <c r="D135" s="123" t="s">
        <v>481</v>
      </c>
      <c r="E135" s="679"/>
      <c r="F135" s="529">
        <f>VLOOKUP(D135,'Mar 2013 Revenue'!D:T,17,FALSE)</f>
        <v>0</v>
      </c>
      <c r="G135" s="680"/>
      <c r="H135" s="680"/>
      <c r="I135" s="755"/>
      <c r="J135" s="682">
        <f t="shared" si="54"/>
        <v>0</v>
      </c>
      <c r="K135" s="683"/>
      <c r="L135" s="684"/>
      <c r="M135" s="753"/>
      <c r="N135" s="683">
        <v>0</v>
      </c>
      <c r="O135" s="686"/>
      <c r="P135" s="683">
        <v>0</v>
      </c>
      <c r="Q135" s="687">
        <f t="shared" si="1"/>
        <v>0</v>
      </c>
      <c r="R135" s="812"/>
      <c r="S135" s="812"/>
      <c r="T135" s="679">
        <v>372.61</v>
      </c>
      <c r="U135" s="693"/>
      <c r="V135" s="690">
        <f t="shared" si="26"/>
        <v>372.61</v>
      </c>
      <c r="W135" s="683"/>
      <c r="X135" s="474">
        <f t="shared" si="19"/>
        <v>0</v>
      </c>
      <c r="Y135" s="474">
        <f t="shared" si="20"/>
        <v>0</v>
      </c>
      <c r="Z135" s="475">
        <f t="shared" si="21"/>
        <v>0</v>
      </c>
      <c r="AA135" s="475">
        <v>0</v>
      </c>
      <c r="AB135" s="476">
        <v>0</v>
      </c>
      <c r="AC135" s="38">
        <f t="shared" si="22"/>
        <v>0</v>
      </c>
      <c r="AD135" s="692">
        <f t="shared" si="16"/>
        <v>0</v>
      </c>
      <c r="AE135" s="692">
        <f t="shared" si="17"/>
        <v>0</v>
      </c>
      <c r="AF135" s="692">
        <f t="shared" si="18"/>
        <v>0</v>
      </c>
      <c r="AG135" s="38"/>
      <c r="AH135" s="692">
        <f t="shared" si="23"/>
        <v>0</v>
      </c>
      <c r="AI135" s="692">
        <f t="shared" si="24"/>
        <v>0</v>
      </c>
      <c r="AJ135" s="692">
        <f t="shared" si="25"/>
        <v>0</v>
      </c>
      <c r="AL135" s="38">
        <f t="shared" si="27"/>
        <v>0</v>
      </c>
    </row>
    <row r="136" spans="1:38" s="232" customFormat="1">
      <c r="A136" s="283"/>
      <c r="B136" s="283" t="s">
        <v>109</v>
      </c>
      <c r="C136" s="667" t="s">
        <v>555</v>
      </c>
      <c r="D136" s="123" t="s">
        <v>248</v>
      </c>
      <c r="E136" s="679"/>
      <c r="F136" s="529">
        <f>VLOOKUP(D136,'Mar 2013 Revenue'!D:T,17,FALSE)</f>
        <v>0</v>
      </c>
      <c r="G136" s="680"/>
      <c r="H136" s="680"/>
      <c r="I136" s="755"/>
      <c r="J136" s="682">
        <f t="shared" si="54"/>
        <v>0</v>
      </c>
      <c r="K136" s="683"/>
      <c r="L136" s="684"/>
      <c r="M136" s="753"/>
      <c r="N136" s="683">
        <v>0</v>
      </c>
      <c r="O136" s="686"/>
      <c r="P136" s="683">
        <v>0</v>
      </c>
      <c r="Q136" s="687">
        <f t="shared" si="1"/>
        <v>0</v>
      </c>
      <c r="R136" s="687"/>
      <c r="S136" s="687"/>
      <c r="T136" s="688">
        <v>0</v>
      </c>
      <c r="U136" s="693"/>
      <c r="V136" s="690">
        <f t="shared" si="26"/>
        <v>0</v>
      </c>
      <c r="W136" s="683"/>
      <c r="X136" s="474">
        <f t="shared" si="19"/>
        <v>0</v>
      </c>
      <c r="Y136" s="474">
        <f t="shared" si="20"/>
        <v>0</v>
      </c>
      <c r="Z136" s="475">
        <f t="shared" si="21"/>
        <v>0</v>
      </c>
      <c r="AA136" s="475">
        <v>0</v>
      </c>
      <c r="AB136" s="476">
        <v>0</v>
      </c>
      <c r="AC136" s="38">
        <f t="shared" si="22"/>
        <v>0</v>
      </c>
      <c r="AD136" s="692">
        <f t="shared" si="16"/>
        <v>0</v>
      </c>
      <c r="AE136" s="692">
        <f t="shared" si="17"/>
        <v>0</v>
      </c>
      <c r="AF136" s="692">
        <f t="shared" si="18"/>
        <v>0</v>
      </c>
      <c r="AG136" s="38"/>
      <c r="AH136" s="692">
        <f t="shared" si="23"/>
        <v>0</v>
      </c>
      <c r="AI136" s="692">
        <f t="shared" si="24"/>
        <v>0</v>
      </c>
      <c r="AJ136" s="692">
        <f t="shared" si="25"/>
        <v>0</v>
      </c>
      <c r="AL136" s="38">
        <f t="shared" si="27"/>
        <v>0</v>
      </c>
    </row>
    <row r="137" spans="1:38" s="232" customFormat="1">
      <c r="A137" s="283"/>
      <c r="B137" s="20" t="s">
        <v>109</v>
      </c>
      <c r="C137" s="667"/>
      <c r="D137" s="68" t="s">
        <v>465</v>
      </c>
      <c r="E137" s="679"/>
      <c r="F137" s="529">
        <f>VLOOKUP(D137,'Mar 2013 Revenue'!D:T,17,FALSE)</f>
        <v>-7000</v>
      </c>
      <c r="G137" s="680"/>
      <c r="H137" s="680"/>
      <c r="I137" s="755"/>
      <c r="J137" s="682">
        <f t="shared" si="54"/>
        <v>-7000</v>
      </c>
      <c r="K137" s="683"/>
      <c r="L137" s="684"/>
      <c r="M137" s="753">
        <v>9000</v>
      </c>
      <c r="N137" s="683">
        <v>0</v>
      </c>
      <c r="O137" s="686"/>
      <c r="P137" s="683">
        <v>0</v>
      </c>
      <c r="Q137" s="687">
        <f t="shared" si="1"/>
        <v>9000</v>
      </c>
      <c r="R137" s="687"/>
      <c r="S137" s="687"/>
      <c r="T137" s="688">
        <v>0</v>
      </c>
      <c r="U137" s="693"/>
      <c r="V137" s="690">
        <f t="shared" si="26"/>
        <v>-9000</v>
      </c>
      <c r="W137" s="683"/>
      <c r="X137" s="474">
        <f t="shared" si="19"/>
        <v>0</v>
      </c>
      <c r="Y137" s="474">
        <f t="shared" si="20"/>
        <v>9000</v>
      </c>
      <c r="Z137" s="475">
        <f t="shared" si="21"/>
        <v>0</v>
      </c>
      <c r="AA137" s="475">
        <v>0</v>
      </c>
      <c r="AB137" s="476">
        <v>0</v>
      </c>
      <c r="AC137" s="38">
        <f t="shared" si="22"/>
        <v>0</v>
      </c>
      <c r="AD137" s="692">
        <f t="shared" si="16"/>
        <v>0</v>
      </c>
      <c r="AE137" s="692">
        <f t="shared" si="17"/>
        <v>-7000</v>
      </c>
      <c r="AF137" s="692">
        <f t="shared" si="18"/>
        <v>0</v>
      </c>
      <c r="AG137" s="38"/>
      <c r="AH137" s="692">
        <f t="shared" si="23"/>
        <v>0</v>
      </c>
      <c r="AI137" s="692">
        <f t="shared" si="24"/>
        <v>9000</v>
      </c>
      <c r="AJ137" s="692">
        <f t="shared" si="25"/>
        <v>0</v>
      </c>
      <c r="AL137" s="38">
        <f t="shared" si="27"/>
        <v>2000</v>
      </c>
    </row>
    <row r="138" spans="1:38">
      <c r="A138" s="21"/>
      <c r="B138" s="21" t="s">
        <v>110</v>
      </c>
      <c r="C138" s="666" t="s">
        <v>556</v>
      </c>
      <c r="D138" s="68" t="s">
        <v>261</v>
      </c>
      <c r="E138" s="679"/>
      <c r="F138" s="529">
        <f>VLOOKUP(D138,'Mar 2013 Revenue'!D:T,17,FALSE)</f>
        <v>191133.07999999996</v>
      </c>
      <c r="G138" s="680"/>
      <c r="H138" s="680"/>
      <c r="I138" s="755"/>
      <c r="J138" s="682">
        <f t="shared" si="54"/>
        <v>191133.07999999996</v>
      </c>
      <c r="K138" s="683"/>
      <c r="L138" s="684"/>
      <c r="M138" s="753">
        <v>300000</v>
      </c>
      <c r="N138" s="683">
        <v>0</v>
      </c>
      <c r="O138" s="686"/>
      <c r="P138" s="683">
        <v>0</v>
      </c>
      <c r="Q138" s="687">
        <f t="shared" si="1"/>
        <v>300000</v>
      </c>
      <c r="R138" s="687"/>
      <c r="S138" s="687"/>
      <c r="T138" s="688">
        <f>311210.34-T139</f>
        <v>290894.15000000002</v>
      </c>
      <c r="U138" s="693"/>
      <c r="V138" s="690">
        <f t="shared" si="26"/>
        <v>-9105.8499999999767</v>
      </c>
      <c r="W138" s="683"/>
      <c r="X138" s="474">
        <f t="shared" si="19"/>
        <v>300000</v>
      </c>
      <c r="Y138" s="474">
        <f t="shared" si="20"/>
        <v>0</v>
      </c>
      <c r="Z138" s="475">
        <f t="shared" si="21"/>
        <v>0</v>
      </c>
      <c r="AA138" s="475">
        <v>0</v>
      </c>
      <c r="AB138" s="476">
        <v>0</v>
      </c>
      <c r="AC138" s="38">
        <f t="shared" si="22"/>
        <v>0</v>
      </c>
      <c r="AD138" s="692">
        <f t="shared" si="16"/>
        <v>191133.07999999996</v>
      </c>
      <c r="AE138" s="692">
        <f t="shared" si="17"/>
        <v>0</v>
      </c>
      <c r="AF138" s="692">
        <f t="shared" si="18"/>
        <v>0</v>
      </c>
      <c r="AG138" s="38"/>
      <c r="AH138" s="692">
        <f t="shared" si="23"/>
        <v>300000</v>
      </c>
      <c r="AI138" s="692">
        <f t="shared" si="24"/>
        <v>0</v>
      </c>
      <c r="AJ138" s="692">
        <f t="shared" si="25"/>
        <v>0</v>
      </c>
      <c r="AL138" s="38">
        <f t="shared" si="27"/>
        <v>491133.07999999996</v>
      </c>
    </row>
    <row r="139" spans="1:38" s="269" customFormat="1">
      <c r="A139" s="21"/>
      <c r="B139" s="21" t="s">
        <v>110</v>
      </c>
      <c r="C139" s="666" t="s">
        <v>556</v>
      </c>
      <c r="D139" s="68" t="s">
        <v>262</v>
      </c>
      <c r="E139" s="679"/>
      <c r="F139" s="529">
        <f>VLOOKUP(D139,'Mar 2013 Revenue'!D:T,17,FALSE)</f>
        <v>14909.02</v>
      </c>
      <c r="G139" s="680"/>
      <c r="H139" s="680"/>
      <c r="I139" s="755"/>
      <c r="J139" s="682">
        <f t="shared" si="54"/>
        <v>14909.02</v>
      </c>
      <c r="K139" s="683"/>
      <c r="L139" s="684"/>
      <c r="M139" s="753">
        <v>25000</v>
      </c>
      <c r="N139" s="683">
        <v>0</v>
      </c>
      <c r="O139" s="686"/>
      <c r="P139" s="683">
        <v>0</v>
      </c>
      <c r="Q139" s="687">
        <f t="shared" si="1"/>
        <v>25000</v>
      </c>
      <c r="R139" s="687"/>
      <c r="S139" s="687"/>
      <c r="T139" s="688">
        <v>20316.189999999999</v>
      </c>
      <c r="U139" s="693"/>
      <c r="V139" s="690">
        <f t="shared" si="26"/>
        <v>-4683.8100000000013</v>
      </c>
      <c r="W139" s="683"/>
      <c r="X139" s="474">
        <f t="shared" si="19"/>
        <v>25000</v>
      </c>
      <c r="Y139" s="474">
        <f t="shared" si="20"/>
        <v>0</v>
      </c>
      <c r="Z139" s="475">
        <f t="shared" si="21"/>
        <v>0</v>
      </c>
      <c r="AA139" s="475">
        <v>0</v>
      </c>
      <c r="AB139" s="476">
        <v>0</v>
      </c>
      <c r="AC139" s="38">
        <f t="shared" si="22"/>
        <v>0</v>
      </c>
      <c r="AD139" s="692">
        <f t="shared" si="16"/>
        <v>14909.02</v>
      </c>
      <c r="AE139" s="692">
        <f t="shared" si="17"/>
        <v>0</v>
      </c>
      <c r="AF139" s="692">
        <f t="shared" si="18"/>
        <v>0</v>
      </c>
      <c r="AG139" s="38"/>
      <c r="AH139" s="692">
        <f t="shared" si="23"/>
        <v>25000</v>
      </c>
      <c r="AI139" s="692">
        <f t="shared" si="24"/>
        <v>0</v>
      </c>
      <c r="AJ139" s="692">
        <f t="shared" si="25"/>
        <v>0</v>
      </c>
      <c r="AL139" s="38">
        <f t="shared" si="27"/>
        <v>39909.020000000004</v>
      </c>
    </row>
    <row r="140" spans="1:38" s="269" customFormat="1">
      <c r="A140" s="21"/>
      <c r="B140" s="21" t="s">
        <v>114</v>
      </c>
      <c r="C140" s="675" t="s">
        <v>619</v>
      </c>
      <c r="D140" s="68" t="s">
        <v>626</v>
      </c>
      <c r="E140" s="679"/>
      <c r="F140" s="529">
        <f>VLOOKUP(D140,'Mar 2013 Revenue'!D:T,17,FALSE)</f>
        <v>0</v>
      </c>
      <c r="G140" s="680"/>
      <c r="H140" s="680"/>
      <c r="I140" s="804">
        <v>5424.07</v>
      </c>
      <c r="J140" s="682">
        <f t="shared" si="54"/>
        <v>5424.07</v>
      </c>
      <c r="K140" s="683"/>
      <c r="L140" s="684"/>
      <c r="M140" s="753"/>
      <c r="N140" s="683">
        <v>0</v>
      </c>
      <c r="O140" s="686"/>
      <c r="P140" s="683">
        <v>0</v>
      </c>
      <c r="Q140" s="687">
        <f t="shared" ref="Q140:Q206" si="55">L140+M140</f>
        <v>0</v>
      </c>
      <c r="R140" s="687"/>
      <c r="S140" s="687"/>
      <c r="T140" s="688">
        <v>0</v>
      </c>
      <c r="U140" s="693"/>
      <c r="V140" s="690">
        <f t="shared" si="26"/>
        <v>0</v>
      </c>
      <c r="W140" s="683"/>
      <c r="X140" s="474">
        <f t="shared" si="19"/>
        <v>0</v>
      </c>
      <c r="Y140" s="474">
        <f t="shared" si="20"/>
        <v>0</v>
      </c>
      <c r="Z140" s="475">
        <f t="shared" si="21"/>
        <v>0</v>
      </c>
      <c r="AA140" s="475">
        <v>0</v>
      </c>
      <c r="AB140" s="476">
        <v>0</v>
      </c>
      <c r="AC140" s="38">
        <f t="shared" si="22"/>
        <v>0</v>
      </c>
      <c r="AD140" s="692">
        <f t="shared" si="16"/>
        <v>0</v>
      </c>
      <c r="AE140" s="692">
        <f t="shared" si="17"/>
        <v>0</v>
      </c>
      <c r="AF140" s="692">
        <f t="shared" si="18"/>
        <v>5424.07</v>
      </c>
      <c r="AG140" s="38"/>
      <c r="AH140" s="692">
        <f t="shared" si="23"/>
        <v>0</v>
      </c>
      <c r="AI140" s="692">
        <f t="shared" si="24"/>
        <v>0</v>
      </c>
      <c r="AJ140" s="692">
        <f t="shared" si="25"/>
        <v>0</v>
      </c>
      <c r="AL140" s="38">
        <f t="shared" si="27"/>
        <v>5424.07</v>
      </c>
    </row>
    <row r="141" spans="1:38">
      <c r="A141" s="21"/>
      <c r="B141" s="21" t="s">
        <v>109</v>
      </c>
      <c r="C141" s="666"/>
      <c r="D141" s="68" t="s">
        <v>396</v>
      </c>
      <c r="E141" s="679"/>
      <c r="F141" s="529">
        <f>VLOOKUP(D141,'Mar 2013 Revenue'!D:T,17,FALSE)</f>
        <v>7.16</v>
      </c>
      <c r="G141" s="680"/>
      <c r="H141" s="680"/>
      <c r="I141" s="755"/>
      <c r="J141" s="682">
        <f t="shared" si="54"/>
        <v>7.16</v>
      </c>
      <c r="K141" s="683"/>
      <c r="L141" s="684"/>
      <c r="M141" s="753"/>
      <c r="N141" s="683">
        <v>0</v>
      </c>
      <c r="O141" s="686"/>
      <c r="P141" s="683">
        <v>0</v>
      </c>
      <c r="Q141" s="687">
        <f t="shared" si="55"/>
        <v>0</v>
      </c>
      <c r="R141" s="687"/>
      <c r="S141" s="687"/>
      <c r="T141" s="688">
        <v>5.97</v>
      </c>
      <c r="U141" s="693"/>
      <c r="V141" s="690">
        <f t="shared" si="26"/>
        <v>5.97</v>
      </c>
      <c r="W141" s="683"/>
      <c r="X141" s="474">
        <f t="shared" si="19"/>
        <v>0</v>
      </c>
      <c r="Y141" s="474">
        <f t="shared" si="20"/>
        <v>0</v>
      </c>
      <c r="Z141" s="475">
        <f t="shared" si="21"/>
        <v>0</v>
      </c>
      <c r="AA141" s="475">
        <v>0</v>
      </c>
      <c r="AB141" s="476">
        <v>0</v>
      </c>
      <c r="AC141" s="38">
        <f t="shared" si="22"/>
        <v>0</v>
      </c>
      <c r="AD141" s="692">
        <f t="shared" si="16"/>
        <v>0</v>
      </c>
      <c r="AE141" s="692">
        <f t="shared" si="17"/>
        <v>7.16</v>
      </c>
      <c r="AF141" s="692">
        <f t="shared" si="18"/>
        <v>0</v>
      </c>
      <c r="AG141" s="38"/>
      <c r="AH141" s="692">
        <f t="shared" si="23"/>
        <v>0</v>
      </c>
      <c r="AI141" s="692">
        <f t="shared" si="24"/>
        <v>0</v>
      </c>
      <c r="AJ141" s="692">
        <f t="shared" si="25"/>
        <v>0</v>
      </c>
      <c r="AL141" s="38">
        <f t="shared" si="27"/>
        <v>7.16</v>
      </c>
    </row>
    <row r="142" spans="1:38">
      <c r="A142" s="20"/>
      <c r="B142" s="20" t="s">
        <v>109</v>
      </c>
      <c r="C142" s="667" t="s">
        <v>557</v>
      </c>
      <c r="D142" s="68" t="s">
        <v>32</v>
      </c>
      <c r="E142" s="679"/>
      <c r="F142" s="529">
        <f>VLOOKUP(D142,'Mar 2013 Revenue'!D:T,17,FALSE)</f>
        <v>42.92</v>
      </c>
      <c r="G142" s="680"/>
      <c r="H142" s="680"/>
      <c r="I142" s="755"/>
      <c r="J142" s="682">
        <f t="shared" si="54"/>
        <v>42.92</v>
      </c>
      <c r="K142" s="683"/>
      <c r="L142" s="684"/>
      <c r="M142" s="753"/>
      <c r="N142" s="683">
        <v>0</v>
      </c>
      <c r="O142" s="686"/>
      <c r="P142" s="683">
        <v>0</v>
      </c>
      <c r="Q142" s="687">
        <f t="shared" si="55"/>
        <v>0</v>
      </c>
      <c r="R142" s="687"/>
      <c r="S142" s="687"/>
      <c r="T142" s="688">
        <f>0.74+40.99</f>
        <v>41.730000000000004</v>
      </c>
      <c r="U142" s="693"/>
      <c r="V142" s="690">
        <f t="shared" si="26"/>
        <v>41.730000000000004</v>
      </c>
      <c r="W142" s="683"/>
      <c r="X142" s="474">
        <f t="shared" si="19"/>
        <v>0</v>
      </c>
      <c r="Y142" s="474">
        <f t="shared" si="20"/>
        <v>0</v>
      </c>
      <c r="Z142" s="475">
        <f t="shared" si="21"/>
        <v>0</v>
      </c>
      <c r="AA142" s="475">
        <v>0</v>
      </c>
      <c r="AB142" s="476">
        <v>0</v>
      </c>
      <c r="AC142" s="38">
        <f t="shared" si="22"/>
        <v>0</v>
      </c>
      <c r="AD142" s="692">
        <f t="shared" si="16"/>
        <v>0</v>
      </c>
      <c r="AE142" s="692">
        <f t="shared" si="17"/>
        <v>42.92</v>
      </c>
      <c r="AF142" s="692">
        <f t="shared" si="18"/>
        <v>0</v>
      </c>
      <c r="AG142" s="38"/>
      <c r="AH142" s="692">
        <f t="shared" si="23"/>
        <v>0</v>
      </c>
      <c r="AI142" s="692">
        <f t="shared" si="24"/>
        <v>0</v>
      </c>
      <c r="AJ142" s="692">
        <f t="shared" si="25"/>
        <v>0</v>
      </c>
      <c r="AL142" s="38">
        <f t="shared" si="27"/>
        <v>42.92</v>
      </c>
    </row>
    <row r="143" spans="1:38">
      <c r="A143" s="21"/>
      <c r="B143" s="21" t="s">
        <v>110</v>
      </c>
      <c r="C143" s="666"/>
      <c r="D143" s="68" t="s">
        <v>448</v>
      </c>
      <c r="E143" s="679"/>
      <c r="F143" s="529">
        <f>VLOOKUP(D143,'Mar 2013 Revenue'!D:T,17,FALSE)</f>
        <v>0</v>
      </c>
      <c r="G143" s="680"/>
      <c r="H143" s="680"/>
      <c r="I143" s="755"/>
      <c r="J143" s="682">
        <f t="shared" si="54"/>
        <v>0</v>
      </c>
      <c r="K143" s="683"/>
      <c r="L143" s="684"/>
      <c r="M143" s="753"/>
      <c r="N143" s="683">
        <v>0</v>
      </c>
      <c r="O143" s="686"/>
      <c r="P143" s="683">
        <v>0</v>
      </c>
      <c r="Q143" s="687">
        <f t="shared" si="55"/>
        <v>0</v>
      </c>
      <c r="R143" s="687"/>
      <c r="S143" s="687"/>
      <c r="T143" s="688">
        <v>0</v>
      </c>
      <c r="U143" s="693"/>
      <c r="V143" s="690">
        <f t="shared" si="26"/>
        <v>0</v>
      </c>
      <c r="W143" s="683"/>
      <c r="X143" s="474">
        <f t="shared" si="19"/>
        <v>0</v>
      </c>
      <c r="Y143" s="474">
        <f t="shared" si="20"/>
        <v>0</v>
      </c>
      <c r="Z143" s="475">
        <f t="shared" si="21"/>
        <v>0</v>
      </c>
      <c r="AA143" s="475">
        <v>0</v>
      </c>
      <c r="AB143" s="476">
        <v>0</v>
      </c>
      <c r="AC143" s="38">
        <f t="shared" si="22"/>
        <v>0</v>
      </c>
      <c r="AD143" s="692">
        <f t="shared" si="16"/>
        <v>0</v>
      </c>
      <c r="AE143" s="692">
        <f t="shared" si="17"/>
        <v>0</v>
      </c>
      <c r="AF143" s="692">
        <f t="shared" si="18"/>
        <v>0</v>
      </c>
      <c r="AG143" s="38"/>
      <c r="AH143" s="692">
        <f t="shared" si="23"/>
        <v>0</v>
      </c>
      <c r="AI143" s="692">
        <f t="shared" si="24"/>
        <v>0</v>
      </c>
      <c r="AJ143" s="692">
        <f t="shared" si="25"/>
        <v>0</v>
      </c>
      <c r="AL143" s="38">
        <f t="shared" si="27"/>
        <v>0</v>
      </c>
    </row>
    <row r="144" spans="1:38">
      <c r="A144" s="21"/>
      <c r="B144" s="21" t="s">
        <v>114</v>
      </c>
      <c r="C144" s="666"/>
      <c r="D144" s="68" t="s">
        <v>936</v>
      </c>
      <c r="E144" s="679">
        <v>2314.39</v>
      </c>
      <c r="F144" s="529">
        <v>0</v>
      </c>
      <c r="G144" s="680"/>
      <c r="H144" s="680"/>
      <c r="I144" s="755"/>
      <c r="J144" s="682">
        <f t="shared" ref="J144" si="56">SUM(E144:I144)</f>
        <v>2314.39</v>
      </c>
      <c r="K144" s="683"/>
      <c r="L144" s="684"/>
      <c r="M144" s="753"/>
      <c r="N144" s="683">
        <v>0</v>
      </c>
      <c r="O144" s="686"/>
      <c r="P144" s="683">
        <v>0</v>
      </c>
      <c r="Q144" s="687">
        <f t="shared" ref="Q144" si="57">L144+M144</f>
        <v>0</v>
      </c>
      <c r="R144" s="687"/>
      <c r="S144" s="687"/>
      <c r="T144" s="688">
        <v>0</v>
      </c>
      <c r="U144" s="693"/>
      <c r="V144" s="690">
        <f t="shared" si="26"/>
        <v>0</v>
      </c>
      <c r="W144" s="683"/>
      <c r="X144" s="474">
        <f t="shared" ref="X144" si="58">IF(B144="D",Q144,0)</f>
        <v>0</v>
      </c>
      <c r="Y144" s="474">
        <f t="shared" ref="Y144" si="59">IF(B144="M",Q144,0)</f>
        <v>0</v>
      </c>
      <c r="Z144" s="475">
        <f t="shared" ref="Z144" si="60">IF(B144="V",Q144,0)</f>
        <v>0</v>
      </c>
      <c r="AA144" s="475">
        <v>0</v>
      </c>
      <c r="AB144" s="476">
        <v>0</v>
      </c>
      <c r="AC144" s="38">
        <f t="shared" ref="AC144" si="61">(L144+M144)-(X144+Y144+Z144+AA144+AB144)</f>
        <v>0</v>
      </c>
      <c r="AD144" s="692">
        <f t="shared" ref="AD144" si="62">IF(B144="D",J144,0)</f>
        <v>0</v>
      </c>
      <c r="AE144" s="692">
        <f t="shared" ref="AE144" si="63">IF(B144="M",J144,0)</f>
        <v>0</v>
      </c>
      <c r="AF144" s="692">
        <f t="shared" ref="AF144" si="64">IF(B144="V",J144,0)</f>
        <v>2314.39</v>
      </c>
      <c r="AG144" s="38"/>
      <c r="AH144" s="692">
        <f t="shared" ref="AH144" si="65">IF(B144="D",Q144,0)</f>
        <v>0</v>
      </c>
      <c r="AI144" s="692">
        <f t="shared" ref="AI144" si="66">IF(B144="M",Q144,0)</f>
        <v>0</v>
      </c>
      <c r="AJ144" s="692">
        <f t="shared" ref="AJ144" si="67">IF(B144="V",Q144,0)</f>
        <v>0</v>
      </c>
      <c r="AL144" s="38">
        <f t="shared" ref="AL144" si="68">SUM(AD144:AJ144)</f>
        <v>2314.39</v>
      </c>
    </row>
    <row r="145" spans="1:38">
      <c r="A145" s="21"/>
      <c r="B145" s="21" t="s">
        <v>110</v>
      </c>
      <c r="C145" s="666"/>
      <c r="D145" s="68" t="s">
        <v>877</v>
      </c>
      <c r="E145" s="679"/>
      <c r="F145" s="529">
        <f>VLOOKUP(D145,'Mar 2013 Revenue'!D:T,17,FALSE)</f>
        <v>0</v>
      </c>
      <c r="G145" s="680"/>
      <c r="H145" s="680"/>
      <c r="I145" s="755"/>
      <c r="J145" s="682">
        <f t="shared" si="54"/>
        <v>0</v>
      </c>
      <c r="K145" s="683"/>
      <c r="L145" s="684"/>
      <c r="M145" s="753"/>
      <c r="N145" s="683">
        <v>0</v>
      </c>
      <c r="O145" s="686"/>
      <c r="P145" s="683">
        <v>0</v>
      </c>
      <c r="Q145" s="687">
        <f t="shared" si="55"/>
        <v>0</v>
      </c>
      <c r="R145" s="687"/>
      <c r="S145" s="687"/>
      <c r="T145" s="688">
        <v>0</v>
      </c>
      <c r="U145" s="693"/>
      <c r="V145" s="690">
        <f t="shared" si="26"/>
        <v>0</v>
      </c>
      <c r="W145" s="683"/>
      <c r="X145" s="474">
        <f t="shared" si="19"/>
        <v>0</v>
      </c>
      <c r="Y145" s="474">
        <f t="shared" si="20"/>
        <v>0</v>
      </c>
      <c r="Z145" s="475">
        <f t="shared" si="21"/>
        <v>0</v>
      </c>
      <c r="AA145" s="475">
        <v>0</v>
      </c>
      <c r="AB145" s="476">
        <v>0</v>
      </c>
      <c r="AC145" s="38">
        <f t="shared" si="22"/>
        <v>0</v>
      </c>
      <c r="AD145" s="692">
        <f t="shared" si="16"/>
        <v>0</v>
      </c>
      <c r="AE145" s="692">
        <f t="shared" si="17"/>
        <v>0</v>
      </c>
      <c r="AF145" s="692">
        <f t="shared" si="18"/>
        <v>0</v>
      </c>
      <c r="AG145" s="38"/>
      <c r="AH145" s="692">
        <f t="shared" si="23"/>
        <v>0</v>
      </c>
      <c r="AI145" s="692">
        <f t="shared" si="24"/>
        <v>0</v>
      </c>
      <c r="AJ145" s="692">
        <f t="shared" si="25"/>
        <v>0</v>
      </c>
      <c r="AL145" s="38">
        <f t="shared" si="27"/>
        <v>0</v>
      </c>
    </row>
    <row r="146" spans="1:38">
      <c r="A146" s="21"/>
      <c r="B146" s="21" t="s">
        <v>110</v>
      </c>
      <c r="C146" s="666" t="s">
        <v>558</v>
      </c>
      <c r="D146" s="68" t="s">
        <v>122</v>
      </c>
      <c r="E146" s="679"/>
      <c r="F146" s="529">
        <f>VLOOKUP(D146,'Mar 2013 Revenue'!D:T,17,FALSE)</f>
        <v>0</v>
      </c>
      <c r="G146" s="680"/>
      <c r="H146" s="680"/>
      <c r="I146" s="755"/>
      <c r="J146" s="682">
        <f t="shared" si="54"/>
        <v>0</v>
      </c>
      <c r="K146" s="683"/>
      <c r="L146" s="684"/>
      <c r="M146" s="753"/>
      <c r="N146" s="683">
        <v>0</v>
      </c>
      <c r="O146" s="686"/>
      <c r="P146" s="683">
        <v>0</v>
      </c>
      <c r="Q146" s="687">
        <f t="shared" si="55"/>
        <v>0</v>
      </c>
      <c r="R146" s="687"/>
      <c r="S146" s="687"/>
      <c r="T146" s="688">
        <v>0</v>
      </c>
      <c r="U146" s="693"/>
      <c r="V146" s="690">
        <f t="shared" ref="V146:V209" si="69">IF(T146="","",T146-Q146-R146-S146)</f>
        <v>0</v>
      </c>
      <c r="W146" s="683"/>
      <c r="X146" s="474">
        <f t="shared" si="19"/>
        <v>0</v>
      </c>
      <c r="Y146" s="474">
        <f t="shared" si="20"/>
        <v>0</v>
      </c>
      <c r="Z146" s="475">
        <f t="shared" si="21"/>
        <v>0</v>
      </c>
      <c r="AA146" s="475">
        <v>0</v>
      </c>
      <c r="AB146" s="476">
        <v>0</v>
      </c>
      <c r="AC146" s="38">
        <f t="shared" si="22"/>
        <v>0</v>
      </c>
      <c r="AD146" s="692">
        <f t="shared" si="16"/>
        <v>0</v>
      </c>
      <c r="AE146" s="692">
        <f t="shared" si="17"/>
        <v>0</v>
      </c>
      <c r="AF146" s="692">
        <f t="shared" si="18"/>
        <v>0</v>
      </c>
      <c r="AG146" s="38"/>
      <c r="AH146" s="692">
        <f t="shared" si="23"/>
        <v>0</v>
      </c>
      <c r="AI146" s="692">
        <f t="shared" si="24"/>
        <v>0</v>
      </c>
      <c r="AJ146" s="692">
        <f t="shared" si="25"/>
        <v>0</v>
      </c>
      <c r="AL146" s="38">
        <f t="shared" si="27"/>
        <v>0</v>
      </c>
    </row>
    <row r="147" spans="1:38">
      <c r="A147" s="21"/>
      <c r="B147" s="21" t="s">
        <v>114</v>
      </c>
      <c r="C147" s="666" t="s">
        <v>558</v>
      </c>
      <c r="D147" s="68" t="s">
        <v>629</v>
      </c>
      <c r="E147" s="679"/>
      <c r="F147" s="529">
        <f>VLOOKUP(D147,'Mar 2013 Revenue'!D:T,17,FALSE)</f>
        <v>0</v>
      </c>
      <c r="G147" s="680"/>
      <c r="H147" s="680"/>
      <c r="I147" s="755"/>
      <c r="J147" s="682">
        <f t="shared" si="54"/>
        <v>0</v>
      </c>
      <c r="K147" s="683"/>
      <c r="L147" s="684"/>
      <c r="M147" s="753"/>
      <c r="N147" s="683">
        <v>0</v>
      </c>
      <c r="O147" s="686"/>
      <c r="P147" s="683">
        <v>0</v>
      </c>
      <c r="Q147" s="687">
        <f t="shared" si="55"/>
        <v>0</v>
      </c>
      <c r="R147" s="687"/>
      <c r="S147" s="687"/>
      <c r="T147" s="688">
        <v>0</v>
      </c>
      <c r="U147" s="693"/>
      <c r="V147" s="690">
        <f t="shared" si="69"/>
        <v>0</v>
      </c>
      <c r="W147" s="683"/>
      <c r="X147" s="474">
        <f t="shared" si="19"/>
        <v>0</v>
      </c>
      <c r="Y147" s="474">
        <f t="shared" si="20"/>
        <v>0</v>
      </c>
      <c r="Z147" s="475">
        <f t="shared" si="21"/>
        <v>0</v>
      </c>
      <c r="AA147" s="475">
        <v>0</v>
      </c>
      <c r="AB147" s="476">
        <v>0</v>
      </c>
      <c r="AC147" s="38">
        <f t="shared" si="22"/>
        <v>0</v>
      </c>
      <c r="AD147" s="692">
        <f t="shared" ref="AD147:AD210" si="70">IF(B147="D",J147,0)</f>
        <v>0</v>
      </c>
      <c r="AE147" s="692">
        <f t="shared" ref="AE147:AE210" si="71">IF(B147="M",J147,0)</f>
        <v>0</v>
      </c>
      <c r="AF147" s="692">
        <f t="shared" ref="AF147:AF210" si="72">IF(B147="V",J147,0)</f>
        <v>0</v>
      </c>
      <c r="AG147" s="38"/>
      <c r="AH147" s="692">
        <f t="shared" si="23"/>
        <v>0</v>
      </c>
      <c r="AI147" s="692">
        <f t="shared" si="24"/>
        <v>0</v>
      </c>
      <c r="AJ147" s="692">
        <f t="shared" si="25"/>
        <v>0</v>
      </c>
      <c r="AL147" s="38">
        <f t="shared" ref="AL147:AL210" si="73">SUM(AD147:AJ147)</f>
        <v>0</v>
      </c>
    </row>
    <row r="148" spans="1:38">
      <c r="A148" s="21"/>
      <c r="B148" s="21" t="s">
        <v>109</v>
      </c>
      <c r="C148" s="666" t="s">
        <v>559</v>
      </c>
      <c r="D148" s="68" t="s">
        <v>33</v>
      </c>
      <c r="E148" s="679"/>
      <c r="F148" s="529">
        <f>VLOOKUP(D148,'Mar 2013 Revenue'!D:T,17,FALSE)</f>
        <v>1946.3</v>
      </c>
      <c r="G148" s="680"/>
      <c r="H148" s="680"/>
      <c r="I148" s="755"/>
      <c r="J148" s="682">
        <f t="shared" si="54"/>
        <v>1946.3</v>
      </c>
      <c r="K148" s="683"/>
      <c r="L148" s="684"/>
      <c r="M148" s="753"/>
      <c r="N148" s="683">
        <v>0</v>
      </c>
      <c r="O148" s="686"/>
      <c r="P148" s="683">
        <v>0</v>
      </c>
      <c r="Q148" s="687">
        <f t="shared" si="55"/>
        <v>0</v>
      </c>
      <c r="R148" s="687"/>
      <c r="S148" s="687"/>
      <c r="T148" s="688">
        <v>0</v>
      </c>
      <c r="U148" s="693"/>
      <c r="V148" s="690">
        <f t="shared" si="69"/>
        <v>0</v>
      </c>
      <c r="W148" s="683"/>
      <c r="X148" s="474">
        <f t="shared" si="19"/>
        <v>0</v>
      </c>
      <c r="Y148" s="474">
        <f t="shared" si="20"/>
        <v>0</v>
      </c>
      <c r="Z148" s="475">
        <f t="shared" si="21"/>
        <v>0</v>
      </c>
      <c r="AA148" s="475">
        <v>0</v>
      </c>
      <c r="AB148" s="476">
        <v>0</v>
      </c>
      <c r="AC148" s="38">
        <f t="shared" si="22"/>
        <v>0</v>
      </c>
      <c r="AD148" s="692">
        <f t="shared" si="70"/>
        <v>0</v>
      </c>
      <c r="AE148" s="692">
        <f t="shared" si="71"/>
        <v>1946.3</v>
      </c>
      <c r="AF148" s="692">
        <f t="shared" si="72"/>
        <v>0</v>
      </c>
      <c r="AG148" s="38"/>
      <c r="AH148" s="692">
        <f t="shared" ref="AH148:AH211" si="74">IF(B148="D",Q148,0)</f>
        <v>0</v>
      </c>
      <c r="AI148" s="692">
        <f t="shared" ref="AI148:AI211" si="75">IF(B148="M",Q148,0)</f>
        <v>0</v>
      </c>
      <c r="AJ148" s="692">
        <f t="shared" ref="AJ148:AJ211" si="76">IF(B148="V",Q148,0)</f>
        <v>0</v>
      </c>
      <c r="AL148" s="38">
        <f t="shared" si="73"/>
        <v>1946.3</v>
      </c>
    </row>
    <row r="149" spans="1:38">
      <c r="A149" s="21"/>
      <c r="B149" s="21" t="s">
        <v>109</v>
      </c>
      <c r="C149" s="666" t="s">
        <v>560</v>
      </c>
      <c r="D149" s="68" t="s">
        <v>379</v>
      </c>
      <c r="E149" s="679"/>
      <c r="F149" s="529">
        <f>VLOOKUP(D149,'Mar 2013 Revenue'!D:T,17,FALSE)</f>
        <v>109.69</v>
      </c>
      <c r="G149" s="680"/>
      <c r="H149" s="680"/>
      <c r="I149" s="755"/>
      <c r="J149" s="682">
        <f t="shared" si="54"/>
        <v>109.69</v>
      </c>
      <c r="K149" s="683"/>
      <c r="L149" s="684"/>
      <c r="M149" s="753"/>
      <c r="N149" s="683">
        <v>0</v>
      </c>
      <c r="O149" s="686"/>
      <c r="P149" s="683">
        <v>0</v>
      </c>
      <c r="Q149" s="687">
        <f t="shared" si="55"/>
        <v>0</v>
      </c>
      <c r="R149" s="687"/>
      <c r="S149" s="687"/>
      <c r="T149" s="688">
        <v>34.43</v>
      </c>
      <c r="U149" s="693"/>
      <c r="V149" s="690">
        <f t="shared" si="69"/>
        <v>34.43</v>
      </c>
      <c r="W149" s="683"/>
      <c r="X149" s="474">
        <f t="shared" ref="X149:X212" si="77">IF(B149="D",Q149,0)</f>
        <v>0</v>
      </c>
      <c r="Y149" s="474">
        <f t="shared" ref="Y149:Y212" si="78">IF(B149="M",Q149,0)</f>
        <v>0</v>
      </c>
      <c r="Z149" s="475">
        <f t="shared" ref="Z149:Z212" si="79">IF(B149="V",Q149,0)</f>
        <v>0</v>
      </c>
      <c r="AA149" s="475">
        <v>0</v>
      </c>
      <c r="AB149" s="476">
        <v>0</v>
      </c>
      <c r="AC149" s="38">
        <f t="shared" ref="AC149:AC212" si="80">(L149+M149)-(X149+Y149+Z149+AA149+AB149)</f>
        <v>0</v>
      </c>
      <c r="AD149" s="692">
        <f t="shared" si="70"/>
        <v>0</v>
      </c>
      <c r="AE149" s="692">
        <f t="shared" si="71"/>
        <v>109.69</v>
      </c>
      <c r="AF149" s="692">
        <f t="shared" si="72"/>
        <v>0</v>
      </c>
      <c r="AG149" s="38"/>
      <c r="AH149" s="692">
        <f t="shared" si="74"/>
        <v>0</v>
      </c>
      <c r="AI149" s="692">
        <f t="shared" si="75"/>
        <v>0</v>
      </c>
      <c r="AJ149" s="692">
        <f t="shared" si="76"/>
        <v>0</v>
      </c>
      <c r="AL149" s="38">
        <f t="shared" si="73"/>
        <v>109.69</v>
      </c>
    </row>
    <row r="150" spans="1:38" s="232" customFormat="1">
      <c r="A150" s="283"/>
      <c r="B150" s="283" t="s">
        <v>114</v>
      </c>
      <c r="C150" s="667"/>
      <c r="D150" s="500" t="s">
        <v>408</v>
      </c>
      <c r="E150" s="679"/>
      <c r="F150" s="529">
        <f>VLOOKUP(D150,'Mar 2013 Revenue'!D:T,17,FALSE)</f>
        <v>0</v>
      </c>
      <c r="G150" s="680"/>
      <c r="H150" s="680"/>
      <c r="I150" s="804">
        <v>7837.5</v>
      </c>
      <c r="J150" s="682">
        <f t="shared" si="54"/>
        <v>7837.5</v>
      </c>
      <c r="K150" s="683"/>
      <c r="L150" s="684"/>
      <c r="M150" s="753"/>
      <c r="N150" s="683">
        <v>0</v>
      </c>
      <c r="O150" s="686"/>
      <c r="P150" s="683">
        <v>0</v>
      </c>
      <c r="Q150" s="687">
        <f t="shared" si="55"/>
        <v>0</v>
      </c>
      <c r="R150" s="687"/>
      <c r="S150" s="687"/>
      <c r="T150" s="688">
        <v>0</v>
      </c>
      <c r="U150" s="693"/>
      <c r="V150" s="690">
        <f t="shared" si="69"/>
        <v>0</v>
      </c>
      <c r="W150" s="683"/>
      <c r="X150" s="474">
        <f t="shared" si="77"/>
        <v>0</v>
      </c>
      <c r="Y150" s="474">
        <f t="shared" si="78"/>
        <v>0</v>
      </c>
      <c r="Z150" s="475">
        <f t="shared" si="79"/>
        <v>0</v>
      </c>
      <c r="AA150" s="475">
        <v>0</v>
      </c>
      <c r="AB150" s="476">
        <v>0</v>
      </c>
      <c r="AC150" s="38">
        <f t="shared" si="80"/>
        <v>0</v>
      </c>
      <c r="AD150" s="692">
        <f t="shared" si="70"/>
        <v>0</v>
      </c>
      <c r="AE150" s="692">
        <f t="shared" si="71"/>
        <v>0</v>
      </c>
      <c r="AF150" s="692">
        <f t="shared" si="72"/>
        <v>7837.5</v>
      </c>
      <c r="AG150" s="38"/>
      <c r="AH150" s="692">
        <f t="shared" si="74"/>
        <v>0</v>
      </c>
      <c r="AI150" s="692">
        <f t="shared" si="75"/>
        <v>0</v>
      </c>
      <c r="AJ150" s="692">
        <f t="shared" si="76"/>
        <v>0</v>
      </c>
      <c r="AL150" s="38">
        <f t="shared" si="73"/>
        <v>7837.5</v>
      </c>
    </row>
    <row r="151" spans="1:38" s="232" customFormat="1">
      <c r="A151" s="283"/>
      <c r="B151" s="283" t="s">
        <v>110</v>
      </c>
      <c r="C151" s="667"/>
      <c r="D151" s="567" t="s">
        <v>445</v>
      </c>
      <c r="E151" s="679"/>
      <c r="F151" s="529">
        <f>VLOOKUP(D151,'Mar 2013 Revenue'!D:T,17,FALSE)</f>
        <v>0</v>
      </c>
      <c r="G151" s="680"/>
      <c r="H151" s="680"/>
      <c r="I151" s="755"/>
      <c r="J151" s="803">
        <f t="shared" si="54"/>
        <v>0</v>
      </c>
      <c r="K151" s="683"/>
      <c r="L151" s="684"/>
      <c r="M151" s="753"/>
      <c r="N151" s="683">
        <v>0</v>
      </c>
      <c r="O151" s="686"/>
      <c r="P151" s="683">
        <v>0</v>
      </c>
      <c r="Q151" s="687">
        <f t="shared" si="55"/>
        <v>0</v>
      </c>
      <c r="R151" s="687"/>
      <c r="S151" s="687"/>
      <c r="T151" s="688">
        <v>0</v>
      </c>
      <c r="U151" s="693"/>
      <c r="V151" s="690">
        <f t="shared" si="69"/>
        <v>0</v>
      </c>
      <c r="W151" s="683"/>
      <c r="X151" s="474">
        <f t="shared" si="77"/>
        <v>0</v>
      </c>
      <c r="Y151" s="474">
        <f t="shared" si="78"/>
        <v>0</v>
      </c>
      <c r="Z151" s="475">
        <f t="shared" si="79"/>
        <v>0</v>
      </c>
      <c r="AA151" s="475">
        <v>0</v>
      </c>
      <c r="AB151" s="476">
        <v>0</v>
      </c>
      <c r="AC151" s="38">
        <f t="shared" si="80"/>
        <v>0</v>
      </c>
      <c r="AD151" s="692">
        <f t="shared" si="70"/>
        <v>0</v>
      </c>
      <c r="AE151" s="692">
        <f t="shared" si="71"/>
        <v>0</v>
      </c>
      <c r="AF151" s="692">
        <f t="shared" si="72"/>
        <v>0</v>
      </c>
      <c r="AG151" s="38"/>
      <c r="AH151" s="692">
        <f t="shared" si="74"/>
        <v>0</v>
      </c>
      <c r="AI151" s="692">
        <f t="shared" si="75"/>
        <v>0</v>
      </c>
      <c r="AJ151" s="692">
        <f t="shared" si="76"/>
        <v>0</v>
      </c>
      <c r="AL151" s="38">
        <f t="shared" si="73"/>
        <v>0</v>
      </c>
    </row>
    <row r="152" spans="1:38" s="232" customFormat="1">
      <c r="A152" s="283"/>
      <c r="B152" s="283" t="s">
        <v>109</v>
      </c>
      <c r="C152" s="667" t="s">
        <v>562</v>
      </c>
      <c r="D152" s="567" t="s">
        <v>480</v>
      </c>
      <c r="E152" s="679"/>
      <c r="F152" s="529">
        <f>VLOOKUP(D152,'Mar 2013 Revenue'!D:T,17,FALSE)</f>
        <v>0</v>
      </c>
      <c r="G152" s="680"/>
      <c r="H152" s="680"/>
      <c r="I152" s="804">
        <v>7117.11</v>
      </c>
      <c r="J152" s="682">
        <f t="shared" si="54"/>
        <v>7117.11</v>
      </c>
      <c r="K152" s="683"/>
      <c r="L152" s="684"/>
      <c r="M152" s="753"/>
      <c r="N152" s="683">
        <v>0</v>
      </c>
      <c r="O152" s="686"/>
      <c r="P152" s="683">
        <v>0</v>
      </c>
      <c r="Q152" s="687">
        <f t="shared" si="55"/>
        <v>0</v>
      </c>
      <c r="R152" s="687"/>
      <c r="S152" s="687"/>
      <c r="T152" s="688">
        <v>0</v>
      </c>
      <c r="U152" s="693"/>
      <c r="V152" s="690">
        <f t="shared" si="69"/>
        <v>0</v>
      </c>
      <c r="W152" s="683"/>
      <c r="X152" s="474">
        <f t="shared" si="77"/>
        <v>0</v>
      </c>
      <c r="Y152" s="474">
        <f t="shared" si="78"/>
        <v>0</v>
      </c>
      <c r="Z152" s="475">
        <f t="shared" si="79"/>
        <v>0</v>
      </c>
      <c r="AA152" s="475">
        <v>0</v>
      </c>
      <c r="AB152" s="476">
        <v>0</v>
      </c>
      <c r="AC152" s="38">
        <f t="shared" si="80"/>
        <v>0</v>
      </c>
      <c r="AD152" s="692">
        <f t="shared" si="70"/>
        <v>0</v>
      </c>
      <c r="AE152" s="692">
        <f t="shared" si="71"/>
        <v>7117.11</v>
      </c>
      <c r="AF152" s="692">
        <f t="shared" si="72"/>
        <v>0</v>
      </c>
      <c r="AG152" s="38"/>
      <c r="AH152" s="692">
        <f t="shared" si="74"/>
        <v>0</v>
      </c>
      <c r="AI152" s="692">
        <f t="shared" si="75"/>
        <v>0</v>
      </c>
      <c r="AJ152" s="692">
        <f t="shared" si="76"/>
        <v>0</v>
      </c>
      <c r="AL152" s="38">
        <f t="shared" si="73"/>
        <v>7117.11</v>
      </c>
    </row>
    <row r="153" spans="1:38" s="232" customFormat="1">
      <c r="A153" s="403"/>
      <c r="B153" s="403" t="s">
        <v>109</v>
      </c>
      <c r="C153" s="666" t="s">
        <v>563</v>
      </c>
      <c r="D153" s="807" t="s">
        <v>327</v>
      </c>
      <c r="E153" s="679"/>
      <c r="F153" s="529">
        <f>VLOOKUP(D153,'Mar 2013 Revenue'!D:T,17,FALSE)</f>
        <v>-35000</v>
      </c>
      <c r="G153" s="680"/>
      <c r="H153" s="680"/>
      <c r="I153" s="755"/>
      <c r="J153" s="682">
        <f t="shared" si="54"/>
        <v>-35000</v>
      </c>
      <c r="K153" s="683"/>
      <c r="L153" s="684"/>
      <c r="M153" s="753">
        <v>70000</v>
      </c>
      <c r="N153" s="683">
        <v>0</v>
      </c>
      <c r="O153" s="686"/>
      <c r="P153" s="683">
        <v>0</v>
      </c>
      <c r="Q153" s="687">
        <f t="shared" si="55"/>
        <v>70000</v>
      </c>
      <c r="R153" s="687"/>
      <c r="S153" s="687"/>
      <c r="T153" s="688">
        <v>27909.19</v>
      </c>
      <c r="U153" s="693"/>
      <c r="V153" s="690">
        <f t="shared" si="69"/>
        <v>-42090.81</v>
      </c>
      <c r="W153" s="683"/>
      <c r="X153" s="474">
        <f t="shared" si="77"/>
        <v>0</v>
      </c>
      <c r="Y153" s="474">
        <f t="shared" si="78"/>
        <v>70000</v>
      </c>
      <c r="Z153" s="475">
        <f t="shared" si="79"/>
        <v>0</v>
      </c>
      <c r="AA153" s="475">
        <v>0</v>
      </c>
      <c r="AB153" s="476">
        <v>0</v>
      </c>
      <c r="AC153" s="38">
        <f t="shared" si="80"/>
        <v>0</v>
      </c>
      <c r="AD153" s="692">
        <f t="shared" si="70"/>
        <v>0</v>
      </c>
      <c r="AE153" s="692">
        <f t="shared" si="71"/>
        <v>-35000</v>
      </c>
      <c r="AF153" s="692">
        <f t="shared" si="72"/>
        <v>0</v>
      </c>
      <c r="AG153" s="38"/>
      <c r="AH153" s="692">
        <f t="shared" si="74"/>
        <v>0</v>
      </c>
      <c r="AI153" s="692">
        <f t="shared" si="75"/>
        <v>70000</v>
      </c>
      <c r="AJ153" s="692">
        <f t="shared" si="76"/>
        <v>0</v>
      </c>
      <c r="AL153" s="38">
        <f t="shared" si="73"/>
        <v>35000</v>
      </c>
    </row>
    <row r="154" spans="1:38" s="232" customFormat="1">
      <c r="A154" s="403"/>
      <c r="B154" s="403" t="s">
        <v>110</v>
      </c>
      <c r="C154" s="666" t="s">
        <v>563</v>
      </c>
      <c r="D154" s="123" t="s">
        <v>637</v>
      </c>
      <c r="E154" s="679"/>
      <c r="F154" s="529">
        <f>VLOOKUP(D154,'Mar 2013 Revenue'!D:T,17,FALSE)</f>
        <v>0</v>
      </c>
      <c r="G154" s="680"/>
      <c r="H154" s="680"/>
      <c r="I154" s="755"/>
      <c r="J154" s="682">
        <f t="shared" si="54"/>
        <v>0</v>
      </c>
      <c r="K154" s="683"/>
      <c r="L154" s="684"/>
      <c r="M154" s="753"/>
      <c r="N154" s="683">
        <v>0</v>
      </c>
      <c r="O154" s="686"/>
      <c r="P154" s="683">
        <v>0</v>
      </c>
      <c r="Q154" s="687">
        <f t="shared" si="55"/>
        <v>0</v>
      </c>
      <c r="R154" s="687"/>
      <c r="S154" s="687"/>
      <c r="T154" s="688">
        <v>0</v>
      </c>
      <c r="U154" s="693"/>
      <c r="V154" s="690">
        <f t="shared" si="69"/>
        <v>0</v>
      </c>
      <c r="W154" s="683"/>
      <c r="X154" s="474">
        <f t="shared" si="77"/>
        <v>0</v>
      </c>
      <c r="Y154" s="474">
        <f t="shared" si="78"/>
        <v>0</v>
      </c>
      <c r="Z154" s="475">
        <f t="shared" si="79"/>
        <v>0</v>
      </c>
      <c r="AA154" s="475">
        <v>0</v>
      </c>
      <c r="AB154" s="476">
        <v>0</v>
      </c>
      <c r="AC154" s="38">
        <f t="shared" si="80"/>
        <v>0</v>
      </c>
      <c r="AD154" s="692">
        <f t="shared" si="70"/>
        <v>0</v>
      </c>
      <c r="AE154" s="692">
        <f t="shared" si="71"/>
        <v>0</v>
      </c>
      <c r="AF154" s="692">
        <f t="shared" si="72"/>
        <v>0</v>
      </c>
      <c r="AG154" s="38"/>
      <c r="AH154" s="692">
        <f t="shared" si="74"/>
        <v>0</v>
      </c>
      <c r="AI154" s="692">
        <f t="shared" si="75"/>
        <v>0</v>
      </c>
      <c r="AJ154" s="692">
        <f t="shared" si="76"/>
        <v>0</v>
      </c>
      <c r="AL154" s="38">
        <f t="shared" si="73"/>
        <v>0</v>
      </c>
    </row>
    <row r="155" spans="1:38">
      <c r="A155" s="21" t="s">
        <v>212</v>
      </c>
      <c r="B155" s="21" t="s">
        <v>110</v>
      </c>
      <c r="C155" s="666"/>
      <c r="D155" s="68" t="s">
        <v>232</v>
      </c>
      <c r="E155" s="679"/>
      <c r="F155" s="529">
        <f>VLOOKUP(D155,'Mar 2013 Revenue'!D:T,17,FALSE)</f>
        <v>0</v>
      </c>
      <c r="G155" s="680"/>
      <c r="H155" s="680"/>
      <c r="I155" s="755"/>
      <c r="J155" s="682">
        <f t="shared" si="54"/>
        <v>0</v>
      </c>
      <c r="K155" s="683"/>
      <c r="L155" s="684"/>
      <c r="M155" s="753"/>
      <c r="N155" s="683">
        <v>0</v>
      </c>
      <c r="O155" s="686"/>
      <c r="P155" s="683">
        <v>0</v>
      </c>
      <c r="Q155" s="687">
        <f t="shared" si="55"/>
        <v>0</v>
      </c>
      <c r="R155" s="687"/>
      <c r="S155" s="687"/>
      <c r="T155" s="688">
        <v>0</v>
      </c>
      <c r="U155" s="693"/>
      <c r="V155" s="690">
        <f t="shared" si="69"/>
        <v>0</v>
      </c>
      <c r="W155" s="683"/>
      <c r="X155" s="474">
        <f t="shared" si="77"/>
        <v>0</v>
      </c>
      <c r="Y155" s="474">
        <f t="shared" si="78"/>
        <v>0</v>
      </c>
      <c r="Z155" s="475">
        <f t="shared" si="79"/>
        <v>0</v>
      </c>
      <c r="AA155" s="475">
        <v>0</v>
      </c>
      <c r="AB155" s="476">
        <v>0</v>
      </c>
      <c r="AC155" s="38">
        <f t="shared" si="80"/>
        <v>0</v>
      </c>
      <c r="AD155" s="692">
        <f t="shared" si="70"/>
        <v>0</v>
      </c>
      <c r="AE155" s="692">
        <f t="shared" si="71"/>
        <v>0</v>
      </c>
      <c r="AF155" s="692">
        <f t="shared" si="72"/>
        <v>0</v>
      </c>
      <c r="AG155" s="38"/>
      <c r="AH155" s="692">
        <f t="shared" si="74"/>
        <v>0</v>
      </c>
      <c r="AI155" s="692">
        <f t="shared" si="75"/>
        <v>0</v>
      </c>
      <c r="AJ155" s="692">
        <f t="shared" si="76"/>
        <v>0</v>
      </c>
      <c r="AL155" s="38">
        <f t="shared" si="73"/>
        <v>0</v>
      </c>
    </row>
    <row r="156" spans="1:38">
      <c r="A156" s="21"/>
      <c r="B156" s="21" t="s">
        <v>109</v>
      </c>
      <c r="C156" s="666" t="s">
        <v>564</v>
      </c>
      <c r="D156" s="68" t="s">
        <v>876</v>
      </c>
      <c r="E156" s="679"/>
      <c r="F156" s="529">
        <f>VLOOKUP(D156,'Mar 2013 Revenue'!D:T,17,FALSE)</f>
        <v>0</v>
      </c>
      <c r="G156" s="680"/>
      <c r="H156" s="680"/>
      <c r="I156" s="755"/>
      <c r="J156" s="682">
        <f t="shared" si="54"/>
        <v>0</v>
      </c>
      <c r="K156" s="683"/>
      <c r="L156" s="684"/>
      <c r="M156" s="753"/>
      <c r="N156" s="683">
        <v>0</v>
      </c>
      <c r="O156" s="686"/>
      <c r="P156" s="683">
        <v>0</v>
      </c>
      <c r="Q156" s="687">
        <f t="shared" si="55"/>
        <v>0</v>
      </c>
      <c r="R156" s="687"/>
      <c r="S156" s="687"/>
      <c r="T156" s="688">
        <v>0</v>
      </c>
      <c r="U156" s="693"/>
      <c r="V156" s="690">
        <f t="shared" si="69"/>
        <v>0</v>
      </c>
      <c r="W156" s="683"/>
      <c r="X156" s="474">
        <f t="shared" si="77"/>
        <v>0</v>
      </c>
      <c r="Y156" s="474">
        <f t="shared" si="78"/>
        <v>0</v>
      </c>
      <c r="Z156" s="475">
        <f t="shared" si="79"/>
        <v>0</v>
      </c>
      <c r="AA156" s="475">
        <v>0</v>
      </c>
      <c r="AB156" s="476">
        <v>0</v>
      </c>
      <c r="AC156" s="38">
        <f t="shared" si="80"/>
        <v>0</v>
      </c>
      <c r="AD156" s="692">
        <f t="shared" si="70"/>
        <v>0</v>
      </c>
      <c r="AE156" s="692">
        <f t="shared" si="71"/>
        <v>0</v>
      </c>
      <c r="AF156" s="692">
        <f t="shared" si="72"/>
        <v>0</v>
      </c>
      <c r="AG156" s="38"/>
      <c r="AH156" s="692">
        <f t="shared" si="74"/>
        <v>0</v>
      </c>
      <c r="AI156" s="692">
        <f t="shared" si="75"/>
        <v>0</v>
      </c>
      <c r="AJ156" s="692">
        <f t="shared" si="76"/>
        <v>0</v>
      </c>
      <c r="AL156" s="38">
        <f t="shared" si="73"/>
        <v>0</v>
      </c>
    </row>
    <row r="157" spans="1:38">
      <c r="A157" s="21"/>
      <c r="B157" s="21" t="s">
        <v>109</v>
      </c>
      <c r="C157" s="666" t="s">
        <v>564</v>
      </c>
      <c r="D157" s="68" t="s">
        <v>307</v>
      </c>
      <c r="E157" s="679"/>
      <c r="F157" s="529">
        <f>VLOOKUP(D157,'Mar 2013 Revenue'!D:T,17,FALSE)</f>
        <v>0</v>
      </c>
      <c r="G157" s="680"/>
      <c r="H157" s="680"/>
      <c r="I157" s="755"/>
      <c r="J157" s="682">
        <f t="shared" si="54"/>
        <v>0</v>
      </c>
      <c r="K157" s="683"/>
      <c r="L157" s="684"/>
      <c r="M157" s="753"/>
      <c r="N157" s="683">
        <v>0</v>
      </c>
      <c r="O157" s="686"/>
      <c r="P157" s="683">
        <v>0</v>
      </c>
      <c r="Q157" s="687">
        <f t="shared" si="55"/>
        <v>0</v>
      </c>
      <c r="R157" s="687"/>
      <c r="S157" s="687"/>
      <c r="T157" s="688">
        <v>0</v>
      </c>
      <c r="U157" s="693"/>
      <c r="V157" s="690">
        <f t="shared" si="69"/>
        <v>0</v>
      </c>
      <c r="W157" s="683"/>
      <c r="X157" s="474">
        <f t="shared" si="77"/>
        <v>0</v>
      </c>
      <c r="Y157" s="474">
        <f t="shared" si="78"/>
        <v>0</v>
      </c>
      <c r="Z157" s="475">
        <f t="shared" si="79"/>
        <v>0</v>
      </c>
      <c r="AA157" s="475">
        <v>0</v>
      </c>
      <c r="AB157" s="476">
        <v>0</v>
      </c>
      <c r="AC157" s="38">
        <f t="shared" si="80"/>
        <v>0</v>
      </c>
      <c r="AD157" s="692">
        <f t="shared" si="70"/>
        <v>0</v>
      </c>
      <c r="AE157" s="692">
        <f t="shared" si="71"/>
        <v>0</v>
      </c>
      <c r="AF157" s="692">
        <f t="shared" si="72"/>
        <v>0</v>
      </c>
      <c r="AG157" s="38"/>
      <c r="AH157" s="692">
        <f t="shared" si="74"/>
        <v>0</v>
      </c>
      <c r="AI157" s="692">
        <f t="shared" si="75"/>
        <v>0</v>
      </c>
      <c r="AJ157" s="692">
        <f t="shared" si="76"/>
        <v>0</v>
      </c>
      <c r="AL157" s="38">
        <f t="shared" si="73"/>
        <v>0</v>
      </c>
    </row>
    <row r="158" spans="1:38">
      <c r="A158" s="21"/>
      <c r="B158" s="21" t="s">
        <v>109</v>
      </c>
      <c r="C158" s="666" t="s">
        <v>565</v>
      </c>
      <c r="D158" s="68" t="s">
        <v>485</v>
      </c>
      <c r="E158" s="679"/>
      <c r="F158" s="529">
        <f>VLOOKUP(D158,'Mar 2013 Revenue'!D:T,17,FALSE)</f>
        <v>3282.4000000000015</v>
      </c>
      <c r="G158" s="680"/>
      <c r="H158" s="680"/>
      <c r="I158" s="755"/>
      <c r="J158" s="682">
        <f t="shared" si="54"/>
        <v>3282.4000000000015</v>
      </c>
      <c r="K158" s="683"/>
      <c r="L158" s="684"/>
      <c r="M158" s="753">
        <v>35000</v>
      </c>
      <c r="N158" s="683"/>
      <c r="O158" s="686"/>
      <c r="P158" s="683"/>
      <c r="Q158" s="687">
        <f t="shared" si="55"/>
        <v>35000</v>
      </c>
      <c r="R158" s="687"/>
      <c r="S158" s="687"/>
      <c r="T158" s="688">
        <f>8039.96+4615.18+4549.87+2345.84+1131.46+36000.17+669.13+682.84+768.09+8377.98</f>
        <v>67180.51999999999</v>
      </c>
      <c r="U158" s="693"/>
      <c r="V158" s="690">
        <f t="shared" si="69"/>
        <v>32180.51999999999</v>
      </c>
      <c r="W158" s="683"/>
      <c r="X158" s="474">
        <f t="shared" si="77"/>
        <v>0</v>
      </c>
      <c r="Y158" s="474">
        <f t="shared" si="78"/>
        <v>35000</v>
      </c>
      <c r="Z158" s="475">
        <f t="shared" si="79"/>
        <v>0</v>
      </c>
      <c r="AA158" s="475">
        <v>0</v>
      </c>
      <c r="AB158" s="476">
        <v>0</v>
      </c>
      <c r="AC158" s="38">
        <f t="shared" si="80"/>
        <v>0</v>
      </c>
      <c r="AD158" s="692">
        <f t="shared" si="70"/>
        <v>0</v>
      </c>
      <c r="AE158" s="692">
        <f t="shared" si="71"/>
        <v>3282.4000000000015</v>
      </c>
      <c r="AF158" s="692">
        <f t="shared" si="72"/>
        <v>0</v>
      </c>
      <c r="AG158" s="38"/>
      <c r="AH158" s="692">
        <f t="shared" si="74"/>
        <v>0</v>
      </c>
      <c r="AI158" s="692">
        <f t="shared" si="75"/>
        <v>35000</v>
      </c>
      <c r="AJ158" s="692">
        <f t="shared" si="76"/>
        <v>0</v>
      </c>
      <c r="AL158" s="38">
        <f t="shared" si="73"/>
        <v>38282.400000000001</v>
      </c>
    </row>
    <row r="159" spans="1:38" s="232" customFormat="1">
      <c r="A159" s="403"/>
      <c r="B159" s="403" t="s">
        <v>109</v>
      </c>
      <c r="C159" s="666"/>
      <c r="D159" s="123" t="s">
        <v>220</v>
      </c>
      <c r="E159" s="679"/>
      <c r="F159" s="529">
        <f>VLOOKUP(D159,'Mar 2013 Revenue'!D:T,17,FALSE)</f>
        <v>0</v>
      </c>
      <c r="G159" s="680"/>
      <c r="H159" s="680"/>
      <c r="I159" s="755"/>
      <c r="J159" s="682">
        <f t="shared" si="54"/>
        <v>0</v>
      </c>
      <c r="K159" s="683"/>
      <c r="L159" s="684"/>
      <c r="M159" s="753"/>
      <c r="N159" s="683">
        <v>0</v>
      </c>
      <c r="O159" s="686"/>
      <c r="P159" s="683">
        <v>0</v>
      </c>
      <c r="Q159" s="687">
        <f t="shared" si="55"/>
        <v>0</v>
      </c>
      <c r="R159" s="687"/>
      <c r="S159" s="687"/>
      <c r="T159" s="688">
        <v>0</v>
      </c>
      <c r="U159" s="693"/>
      <c r="V159" s="690">
        <f t="shared" si="69"/>
        <v>0</v>
      </c>
      <c r="W159" s="683"/>
      <c r="X159" s="474">
        <f t="shared" si="77"/>
        <v>0</v>
      </c>
      <c r="Y159" s="474">
        <f t="shared" si="78"/>
        <v>0</v>
      </c>
      <c r="Z159" s="475">
        <f t="shared" si="79"/>
        <v>0</v>
      </c>
      <c r="AA159" s="475">
        <v>0</v>
      </c>
      <c r="AB159" s="476">
        <v>0</v>
      </c>
      <c r="AC159" s="38">
        <f t="shared" si="80"/>
        <v>0</v>
      </c>
      <c r="AD159" s="692">
        <f t="shared" si="70"/>
        <v>0</v>
      </c>
      <c r="AE159" s="692">
        <f t="shared" si="71"/>
        <v>0</v>
      </c>
      <c r="AF159" s="692">
        <f t="shared" si="72"/>
        <v>0</v>
      </c>
      <c r="AG159" s="38"/>
      <c r="AH159" s="692">
        <f t="shared" si="74"/>
        <v>0</v>
      </c>
      <c r="AI159" s="692">
        <f t="shared" si="75"/>
        <v>0</v>
      </c>
      <c r="AJ159" s="692">
        <f t="shared" si="76"/>
        <v>0</v>
      </c>
      <c r="AL159" s="38">
        <f t="shared" si="73"/>
        <v>0</v>
      </c>
    </row>
    <row r="160" spans="1:38" s="24" customFormat="1" hidden="1">
      <c r="A160" s="472"/>
      <c r="B160" s="21" t="s">
        <v>109</v>
      </c>
      <c r="C160" s="666"/>
      <c r="D160" s="68" t="s">
        <v>505</v>
      </c>
      <c r="E160" s="679"/>
      <c r="F160" s="529">
        <f>VLOOKUP(D160,'Mar 2013 Revenue'!D:T,17,FALSE)</f>
        <v>0</v>
      </c>
      <c r="G160" s="680"/>
      <c r="H160" s="680"/>
      <c r="I160" s="755"/>
      <c r="J160" s="682">
        <f t="shared" si="54"/>
        <v>0</v>
      </c>
      <c r="K160" s="698"/>
      <c r="L160" s="684"/>
      <c r="M160" s="753"/>
      <c r="N160" s="698">
        <v>0</v>
      </c>
      <c r="O160" s="686"/>
      <c r="P160" s="698">
        <v>0</v>
      </c>
      <c r="Q160" s="700">
        <f t="shared" si="55"/>
        <v>0</v>
      </c>
      <c r="R160" s="700"/>
      <c r="S160" s="700"/>
      <c r="T160" s="688">
        <v>0</v>
      </c>
      <c r="U160" s="701"/>
      <c r="V160" s="690">
        <f t="shared" si="69"/>
        <v>0</v>
      </c>
      <c r="W160" s="698"/>
      <c r="X160" s="474">
        <f t="shared" si="77"/>
        <v>0</v>
      </c>
      <c r="Y160" s="474">
        <f t="shared" si="78"/>
        <v>0</v>
      </c>
      <c r="Z160" s="475">
        <f t="shared" si="79"/>
        <v>0</v>
      </c>
      <c r="AA160" s="475">
        <v>0</v>
      </c>
      <c r="AB160" s="476">
        <v>0</v>
      </c>
      <c r="AC160" s="38">
        <f t="shared" si="80"/>
        <v>0</v>
      </c>
      <c r="AD160" s="692">
        <f t="shared" si="70"/>
        <v>0</v>
      </c>
      <c r="AE160" s="692">
        <f t="shared" si="71"/>
        <v>0</v>
      </c>
      <c r="AF160" s="692">
        <f t="shared" si="72"/>
        <v>0</v>
      </c>
      <c r="AG160" s="38"/>
      <c r="AH160" s="692">
        <f t="shared" si="74"/>
        <v>0</v>
      </c>
      <c r="AI160" s="692">
        <f t="shared" si="75"/>
        <v>0</v>
      </c>
      <c r="AJ160" s="692">
        <f t="shared" si="76"/>
        <v>0</v>
      </c>
      <c r="AL160" s="38">
        <f t="shared" si="73"/>
        <v>0</v>
      </c>
    </row>
    <row r="161" spans="1:38">
      <c r="A161" s="21"/>
      <c r="B161" s="21" t="s">
        <v>110</v>
      </c>
      <c r="C161" s="666"/>
      <c r="D161" s="68" t="s">
        <v>185</v>
      </c>
      <c r="E161" s="679"/>
      <c r="F161" s="529">
        <f>VLOOKUP(D161,'Mar 2013 Revenue'!D:T,17,FALSE)</f>
        <v>0</v>
      </c>
      <c r="G161" s="680"/>
      <c r="H161" s="680"/>
      <c r="I161" s="755"/>
      <c r="J161" s="682">
        <f t="shared" si="54"/>
        <v>0</v>
      </c>
      <c r="K161" s="683"/>
      <c r="L161" s="684"/>
      <c r="M161" s="753"/>
      <c r="N161" s="683">
        <v>0</v>
      </c>
      <c r="O161" s="686"/>
      <c r="P161" s="683">
        <v>0</v>
      </c>
      <c r="Q161" s="687">
        <f t="shared" si="55"/>
        <v>0</v>
      </c>
      <c r="R161" s="687"/>
      <c r="S161" s="687"/>
      <c r="T161" s="688">
        <v>0</v>
      </c>
      <c r="U161" s="693"/>
      <c r="V161" s="690">
        <f t="shared" si="69"/>
        <v>0</v>
      </c>
      <c r="W161" s="683"/>
      <c r="X161" s="474">
        <f t="shared" si="77"/>
        <v>0</v>
      </c>
      <c r="Y161" s="474">
        <f t="shared" si="78"/>
        <v>0</v>
      </c>
      <c r="Z161" s="475">
        <f t="shared" si="79"/>
        <v>0</v>
      </c>
      <c r="AA161" s="475">
        <v>0</v>
      </c>
      <c r="AB161" s="476">
        <v>0</v>
      </c>
      <c r="AC161" s="38">
        <f t="shared" si="80"/>
        <v>0</v>
      </c>
      <c r="AD161" s="692">
        <f t="shared" si="70"/>
        <v>0</v>
      </c>
      <c r="AE161" s="692">
        <f t="shared" si="71"/>
        <v>0</v>
      </c>
      <c r="AF161" s="692">
        <f t="shared" si="72"/>
        <v>0</v>
      </c>
      <c r="AG161" s="38"/>
      <c r="AH161" s="692">
        <f t="shared" si="74"/>
        <v>0</v>
      </c>
      <c r="AI161" s="692">
        <f t="shared" si="75"/>
        <v>0</v>
      </c>
      <c r="AJ161" s="692">
        <f t="shared" si="76"/>
        <v>0</v>
      </c>
      <c r="AL161" s="38">
        <f t="shared" si="73"/>
        <v>0</v>
      </c>
    </row>
    <row r="162" spans="1:38">
      <c r="A162" s="21"/>
      <c r="B162" s="21" t="s">
        <v>896</v>
      </c>
      <c r="C162" s="21"/>
      <c r="D162" s="68" t="s">
        <v>186</v>
      </c>
      <c r="E162" s="679"/>
      <c r="F162" s="529">
        <f>VLOOKUP(D162,'Mar 2013 Revenue'!D:T,17,FALSE)</f>
        <v>0</v>
      </c>
      <c r="G162" s="680"/>
      <c r="H162" s="680"/>
      <c r="I162" s="755"/>
      <c r="J162" s="682">
        <f t="shared" si="54"/>
        <v>0</v>
      </c>
      <c r="K162" s="683"/>
      <c r="L162" s="684"/>
      <c r="M162" s="753"/>
      <c r="N162" s="683">
        <v>0</v>
      </c>
      <c r="O162" s="686"/>
      <c r="P162" s="683">
        <v>0</v>
      </c>
      <c r="Q162" s="687">
        <f t="shared" si="55"/>
        <v>0</v>
      </c>
      <c r="R162" s="687"/>
      <c r="S162" s="687"/>
      <c r="T162" s="688">
        <v>0</v>
      </c>
      <c r="U162" s="693"/>
      <c r="V162" s="690">
        <f t="shared" si="69"/>
        <v>0</v>
      </c>
      <c r="W162" s="683"/>
      <c r="X162" s="474">
        <f t="shared" si="77"/>
        <v>0</v>
      </c>
      <c r="Y162" s="474">
        <f t="shared" si="78"/>
        <v>0</v>
      </c>
      <c r="Z162" s="475">
        <f t="shared" si="79"/>
        <v>0</v>
      </c>
      <c r="AA162" s="475">
        <v>0</v>
      </c>
      <c r="AB162" s="476">
        <v>0</v>
      </c>
      <c r="AC162" s="38">
        <f t="shared" si="80"/>
        <v>0</v>
      </c>
      <c r="AD162" s="692">
        <f t="shared" si="70"/>
        <v>0</v>
      </c>
      <c r="AE162" s="692">
        <f t="shared" si="71"/>
        <v>0</v>
      </c>
      <c r="AF162" s="692">
        <f t="shared" si="72"/>
        <v>0</v>
      </c>
      <c r="AG162" s="38"/>
      <c r="AH162" s="692">
        <f t="shared" si="74"/>
        <v>0</v>
      </c>
      <c r="AI162" s="692">
        <f t="shared" si="75"/>
        <v>0</v>
      </c>
      <c r="AJ162" s="692">
        <f t="shared" si="76"/>
        <v>0</v>
      </c>
      <c r="AL162" s="38">
        <f t="shared" si="73"/>
        <v>0</v>
      </c>
    </row>
    <row r="163" spans="1:38">
      <c r="A163" s="21"/>
      <c r="B163" s="21" t="s">
        <v>110</v>
      </c>
      <c r="C163" s="666"/>
      <c r="D163" s="68" t="s">
        <v>449</v>
      </c>
      <c r="E163" s="679"/>
      <c r="F163" s="529">
        <f>VLOOKUP(D163,'Mar 2013 Revenue'!D:T,17,FALSE)</f>
        <v>0</v>
      </c>
      <c r="G163" s="680"/>
      <c r="H163" s="680"/>
      <c r="I163" s="755"/>
      <c r="J163" s="682">
        <f t="shared" si="54"/>
        <v>0</v>
      </c>
      <c r="K163" s="683"/>
      <c r="L163" s="684"/>
      <c r="M163" s="753"/>
      <c r="N163" s="683">
        <v>0</v>
      </c>
      <c r="O163" s="686"/>
      <c r="P163" s="683">
        <v>0</v>
      </c>
      <c r="Q163" s="687">
        <f t="shared" si="55"/>
        <v>0</v>
      </c>
      <c r="R163" s="687"/>
      <c r="S163" s="687"/>
      <c r="T163" s="688">
        <v>0</v>
      </c>
      <c r="U163" s="693"/>
      <c r="V163" s="690">
        <f t="shared" si="69"/>
        <v>0</v>
      </c>
      <c r="W163" s="683"/>
      <c r="X163" s="474">
        <f t="shared" si="77"/>
        <v>0</v>
      </c>
      <c r="Y163" s="474">
        <f t="shared" si="78"/>
        <v>0</v>
      </c>
      <c r="Z163" s="475">
        <f t="shared" si="79"/>
        <v>0</v>
      </c>
      <c r="AA163" s="475">
        <v>0</v>
      </c>
      <c r="AB163" s="476">
        <v>0</v>
      </c>
      <c r="AC163" s="38">
        <f t="shared" si="80"/>
        <v>0</v>
      </c>
      <c r="AD163" s="692">
        <f t="shared" si="70"/>
        <v>0</v>
      </c>
      <c r="AE163" s="692">
        <f t="shared" si="71"/>
        <v>0</v>
      </c>
      <c r="AF163" s="692">
        <f t="shared" si="72"/>
        <v>0</v>
      </c>
      <c r="AG163" s="38"/>
      <c r="AH163" s="692">
        <f t="shared" si="74"/>
        <v>0</v>
      </c>
      <c r="AI163" s="692">
        <f t="shared" si="75"/>
        <v>0</v>
      </c>
      <c r="AJ163" s="692">
        <f t="shared" si="76"/>
        <v>0</v>
      </c>
      <c r="AL163" s="38">
        <f t="shared" si="73"/>
        <v>0</v>
      </c>
    </row>
    <row r="164" spans="1:38">
      <c r="A164" s="21"/>
      <c r="B164" s="21" t="s">
        <v>110</v>
      </c>
      <c r="C164" s="666" t="s">
        <v>566</v>
      </c>
      <c r="D164" s="68" t="s">
        <v>39</v>
      </c>
      <c r="E164" s="679"/>
      <c r="F164" s="529">
        <f>VLOOKUP(D164,'Mar 2013 Revenue'!D:T,17,FALSE)</f>
        <v>2660.6899999999996</v>
      </c>
      <c r="G164" s="680"/>
      <c r="H164" s="680"/>
      <c r="I164" s="755"/>
      <c r="J164" s="682">
        <f t="shared" si="54"/>
        <v>2660.6899999999996</v>
      </c>
      <c r="K164" s="683"/>
      <c r="L164" s="684"/>
      <c r="M164" s="753">
        <v>8000</v>
      </c>
      <c r="N164" s="683">
        <v>0</v>
      </c>
      <c r="O164" s="686"/>
      <c r="P164" s="683">
        <v>0</v>
      </c>
      <c r="Q164" s="687">
        <f t="shared" si="55"/>
        <v>8000</v>
      </c>
      <c r="R164" s="687"/>
      <c r="S164" s="687"/>
      <c r="T164" s="688">
        <v>7528.19</v>
      </c>
      <c r="U164" s="693"/>
      <c r="V164" s="690">
        <f t="shared" si="69"/>
        <v>-471.8100000000004</v>
      </c>
      <c r="W164" s="683"/>
      <c r="X164" s="474">
        <f t="shared" si="77"/>
        <v>8000</v>
      </c>
      <c r="Y164" s="474">
        <f t="shared" si="78"/>
        <v>0</v>
      </c>
      <c r="Z164" s="475">
        <f t="shared" si="79"/>
        <v>0</v>
      </c>
      <c r="AA164" s="475">
        <v>0</v>
      </c>
      <c r="AB164" s="476">
        <v>0</v>
      </c>
      <c r="AC164" s="38">
        <f t="shared" si="80"/>
        <v>0</v>
      </c>
      <c r="AD164" s="692">
        <f t="shared" si="70"/>
        <v>2660.6899999999996</v>
      </c>
      <c r="AE164" s="692">
        <f t="shared" si="71"/>
        <v>0</v>
      </c>
      <c r="AF164" s="692">
        <f t="shared" si="72"/>
        <v>0</v>
      </c>
      <c r="AG164" s="38"/>
      <c r="AH164" s="692">
        <f t="shared" si="74"/>
        <v>8000</v>
      </c>
      <c r="AI164" s="692">
        <f t="shared" si="75"/>
        <v>0</v>
      </c>
      <c r="AJ164" s="692">
        <f t="shared" si="76"/>
        <v>0</v>
      </c>
      <c r="AL164" s="38">
        <f t="shared" si="73"/>
        <v>10660.689999999999</v>
      </c>
    </row>
    <row r="165" spans="1:38">
      <c r="A165" s="21"/>
      <c r="B165" s="21" t="s">
        <v>110</v>
      </c>
      <c r="C165" s="666" t="s">
        <v>567</v>
      </c>
      <c r="D165" s="68" t="s">
        <v>435</v>
      </c>
      <c r="E165" s="679"/>
      <c r="F165" s="529">
        <f>VLOOKUP(D165,'Mar 2013 Revenue'!D:T,17,FALSE)</f>
        <v>32798.239999999998</v>
      </c>
      <c r="G165" s="680"/>
      <c r="H165" s="680"/>
      <c r="I165" s="755"/>
      <c r="J165" s="682">
        <f t="shared" si="54"/>
        <v>32798.239999999998</v>
      </c>
      <c r="K165" s="683"/>
      <c r="L165" s="684"/>
      <c r="M165" s="753">
        <v>60000</v>
      </c>
      <c r="N165" s="683">
        <v>0</v>
      </c>
      <c r="O165" s="686"/>
      <c r="P165" s="683">
        <v>0</v>
      </c>
      <c r="Q165" s="687">
        <f t="shared" si="55"/>
        <v>60000</v>
      </c>
      <c r="R165" s="687"/>
      <c r="S165" s="687"/>
      <c r="T165" s="688">
        <v>37993.81</v>
      </c>
      <c r="U165" s="693"/>
      <c r="V165" s="690">
        <f t="shared" si="69"/>
        <v>-22006.190000000002</v>
      </c>
      <c r="W165" s="683"/>
      <c r="X165" s="474">
        <f t="shared" si="77"/>
        <v>60000</v>
      </c>
      <c r="Y165" s="474">
        <f t="shared" si="78"/>
        <v>0</v>
      </c>
      <c r="Z165" s="475">
        <f t="shared" si="79"/>
        <v>0</v>
      </c>
      <c r="AA165" s="475">
        <v>0</v>
      </c>
      <c r="AB165" s="476">
        <v>0</v>
      </c>
      <c r="AC165" s="38">
        <f t="shared" si="80"/>
        <v>0</v>
      </c>
      <c r="AD165" s="692">
        <f t="shared" si="70"/>
        <v>32798.239999999998</v>
      </c>
      <c r="AE165" s="692">
        <f t="shared" si="71"/>
        <v>0</v>
      </c>
      <c r="AF165" s="692">
        <f t="shared" si="72"/>
        <v>0</v>
      </c>
      <c r="AG165" s="38"/>
      <c r="AH165" s="692">
        <f t="shared" si="74"/>
        <v>60000</v>
      </c>
      <c r="AI165" s="692">
        <f t="shared" si="75"/>
        <v>0</v>
      </c>
      <c r="AJ165" s="692">
        <f t="shared" si="76"/>
        <v>0</v>
      </c>
      <c r="AL165" s="38">
        <f t="shared" si="73"/>
        <v>92798.239999999991</v>
      </c>
    </row>
    <row r="166" spans="1:38">
      <c r="A166" s="21"/>
      <c r="B166" s="21" t="s">
        <v>110</v>
      </c>
      <c r="C166" s="675" t="s">
        <v>584</v>
      </c>
      <c r="D166" s="806" t="s">
        <v>99</v>
      </c>
      <c r="E166" s="679"/>
      <c r="F166" s="529">
        <f>VLOOKUP(D166,'Mar 2013 Revenue'!D:T,17,FALSE)</f>
        <v>-15000</v>
      </c>
      <c r="G166" s="680"/>
      <c r="H166" s="680"/>
      <c r="I166" s="755"/>
      <c r="J166" s="682">
        <f t="shared" si="54"/>
        <v>-15000</v>
      </c>
      <c r="K166" s="683"/>
      <c r="L166" s="684"/>
      <c r="M166" s="753">
        <v>30000</v>
      </c>
      <c r="N166" s="683">
        <v>0</v>
      </c>
      <c r="O166" s="686"/>
      <c r="P166" s="683">
        <v>0</v>
      </c>
      <c r="Q166" s="687">
        <f t="shared" si="55"/>
        <v>30000</v>
      </c>
      <c r="R166" s="687"/>
      <c r="S166" s="687"/>
      <c r="T166" s="688">
        <v>0</v>
      </c>
      <c r="U166" s="693"/>
      <c r="V166" s="690">
        <f t="shared" si="69"/>
        <v>-30000</v>
      </c>
      <c r="W166" s="683"/>
      <c r="X166" s="474">
        <f t="shared" si="77"/>
        <v>30000</v>
      </c>
      <c r="Y166" s="474">
        <f t="shared" si="78"/>
        <v>0</v>
      </c>
      <c r="Z166" s="475">
        <f t="shared" si="79"/>
        <v>0</v>
      </c>
      <c r="AA166" s="475">
        <v>0</v>
      </c>
      <c r="AB166" s="476">
        <v>0</v>
      </c>
      <c r="AC166" s="38">
        <f t="shared" si="80"/>
        <v>0</v>
      </c>
      <c r="AD166" s="692">
        <f t="shared" si="70"/>
        <v>-15000</v>
      </c>
      <c r="AE166" s="692">
        <f t="shared" si="71"/>
        <v>0</v>
      </c>
      <c r="AF166" s="692">
        <f t="shared" si="72"/>
        <v>0</v>
      </c>
      <c r="AG166" s="38"/>
      <c r="AH166" s="692">
        <f t="shared" si="74"/>
        <v>30000</v>
      </c>
      <c r="AI166" s="692">
        <f t="shared" si="75"/>
        <v>0</v>
      </c>
      <c r="AJ166" s="692">
        <f t="shared" si="76"/>
        <v>0</v>
      </c>
      <c r="AL166" s="38">
        <f t="shared" si="73"/>
        <v>15000</v>
      </c>
    </row>
    <row r="167" spans="1:38" s="232" customFormat="1">
      <c r="A167" s="403"/>
      <c r="B167" s="403" t="s">
        <v>110</v>
      </c>
      <c r="C167" s="666"/>
      <c r="D167" s="123" t="s">
        <v>378</v>
      </c>
      <c r="E167" s="679"/>
      <c r="F167" s="529">
        <f>VLOOKUP(D167,'Mar 2013 Revenue'!D:T,17,FALSE)</f>
        <v>0</v>
      </c>
      <c r="G167" s="680"/>
      <c r="H167" s="680"/>
      <c r="I167" s="755"/>
      <c r="J167" s="682">
        <f t="shared" si="54"/>
        <v>0</v>
      </c>
      <c r="K167" s="683"/>
      <c r="L167" s="684"/>
      <c r="M167" s="753"/>
      <c r="N167" s="683">
        <v>0</v>
      </c>
      <c r="O167" s="686"/>
      <c r="P167" s="683">
        <v>0</v>
      </c>
      <c r="Q167" s="687">
        <f t="shared" si="55"/>
        <v>0</v>
      </c>
      <c r="R167" s="687"/>
      <c r="S167" s="687"/>
      <c r="T167" s="688">
        <v>0</v>
      </c>
      <c r="U167" s="693"/>
      <c r="V167" s="690">
        <f t="shared" si="69"/>
        <v>0</v>
      </c>
      <c r="W167" s="683"/>
      <c r="X167" s="474">
        <f t="shared" si="77"/>
        <v>0</v>
      </c>
      <c r="Y167" s="474">
        <f t="shared" si="78"/>
        <v>0</v>
      </c>
      <c r="Z167" s="475">
        <f t="shared" si="79"/>
        <v>0</v>
      </c>
      <c r="AA167" s="475">
        <v>0</v>
      </c>
      <c r="AB167" s="476">
        <v>0</v>
      </c>
      <c r="AC167" s="38">
        <f t="shared" si="80"/>
        <v>0</v>
      </c>
      <c r="AD167" s="692">
        <f t="shared" si="70"/>
        <v>0</v>
      </c>
      <c r="AE167" s="692">
        <f t="shared" si="71"/>
        <v>0</v>
      </c>
      <c r="AF167" s="692">
        <f t="shared" si="72"/>
        <v>0</v>
      </c>
      <c r="AG167" s="38"/>
      <c r="AH167" s="692">
        <f t="shared" si="74"/>
        <v>0</v>
      </c>
      <c r="AI167" s="692">
        <f t="shared" si="75"/>
        <v>0</v>
      </c>
      <c r="AJ167" s="692">
        <f t="shared" si="76"/>
        <v>0</v>
      </c>
      <c r="AL167" s="38">
        <f t="shared" si="73"/>
        <v>0</v>
      </c>
    </row>
    <row r="168" spans="1:38" s="232" customFormat="1">
      <c r="A168" s="403"/>
      <c r="B168" s="403" t="s">
        <v>110</v>
      </c>
      <c r="C168" s="666" t="s">
        <v>568</v>
      </c>
      <c r="D168" s="807" t="s">
        <v>303</v>
      </c>
      <c r="E168" s="679">
        <v>73965.58</v>
      </c>
      <c r="F168" s="529">
        <f>VLOOKUP(D168,'Mar 2013 Revenue'!D:T,17,FALSE)</f>
        <v>-160000</v>
      </c>
      <c r="G168" s="680"/>
      <c r="H168" s="680"/>
      <c r="I168" s="755"/>
      <c r="J168" s="682">
        <f t="shared" si="54"/>
        <v>-86034.42</v>
      </c>
      <c r="K168" s="683"/>
      <c r="L168" s="684"/>
      <c r="M168" s="753">
        <v>150000</v>
      </c>
      <c r="N168" s="683">
        <v>0</v>
      </c>
      <c r="O168" s="686"/>
      <c r="P168" s="683">
        <v>0</v>
      </c>
      <c r="Q168" s="687">
        <f t="shared" si="55"/>
        <v>150000</v>
      </c>
      <c r="R168" s="687"/>
      <c r="S168" s="687"/>
      <c r="T168" s="688">
        <v>0</v>
      </c>
      <c r="U168" s="693"/>
      <c r="V168" s="690">
        <f t="shared" si="69"/>
        <v>-150000</v>
      </c>
      <c r="W168" s="683"/>
      <c r="X168" s="474">
        <f t="shared" si="77"/>
        <v>150000</v>
      </c>
      <c r="Y168" s="474">
        <f t="shared" si="78"/>
        <v>0</v>
      </c>
      <c r="Z168" s="475">
        <f t="shared" si="79"/>
        <v>0</v>
      </c>
      <c r="AA168" s="475">
        <v>0</v>
      </c>
      <c r="AB168" s="476">
        <v>0</v>
      </c>
      <c r="AC168" s="38">
        <f t="shared" si="80"/>
        <v>0</v>
      </c>
      <c r="AD168" s="692">
        <f t="shared" si="70"/>
        <v>-86034.42</v>
      </c>
      <c r="AE168" s="692">
        <f t="shared" si="71"/>
        <v>0</v>
      </c>
      <c r="AF168" s="692">
        <f t="shared" si="72"/>
        <v>0</v>
      </c>
      <c r="AG168" s="38"/>
      <c r="AH168" s="692">
        <f t="shared" si="74"/>
        <v>150000</v>
      </c>
      <c r="AI168" s="692">
        <f t="shared" si="75"/>
        <v>0</v>
      </c>
      <c r="AJ168" s="692">
        <f t="shared" si="76"/>
        <v>0</v>
      </c>
      <c r="AL168" s="38">
        <f t="shared" si="73"/>
        <v>63965.58</v>
      </c>
    </row>
    <row r="169" spans="1:38" s="232" customFormat="1">
      <c r="A169" s="403"/>
      <c r="B169" s="403" t="s">
        <v>110</v>
      </c>
      <c r="C169" s="666"/>
      <c r="D169" s="807" t="s">
        <v>856</v>
      </c>
      <c r="E169" s="679">
        <f>4907.54+6202.4</f>
        <v>11109.939999999999</v>
      </c>
      <c r="F169" s="529">
        <f>VLOOKUP(D169,'Mar 2013 Revenue'!D:T,17,FALSE)</f>
        <v>-24000</v>
      </c>
      <c r="G169" s="680"/>
      <c r="H169" s="680"/>
      <c r="I169" s="755"/>
      <c r="J169" s="682">
        <f t="shared" si="54"/>
        <v>-12890.060000000001</v>
      </c>
      <c r="K169" s="683"/>
      <c r="L169" s="684"/>
      <c r="M169" s="753">
        <v>24000</v>
      </c>
      <c r="N169" s="683">
        <v>0</v>
      </c>
      <c r="O169" s="686"/>
      <c r="P169" s="683">
        <v>0</v>
      </c>
      <c r="Q169" s="687">
        <f t="shared" si="55"/>
        <v>24000</v>
      </c>
      <c r="R169" s="687"/>
      <c r="S169" s="687"/>
      <c r="T169" s="688">
        <v>0</v>
      </c>
      <c r="U169" s="693"/>
      <c r="V169" s="690">
        <f t="shared" si="69"/>
        <v>-24000</v>
      </c>
      <c r="W169" s="683"/>
      <c r="X169" s="474">
        <f t="shared" si="77"/>
        <v>24000</v>
      </c>
      <c r="Y169" s="474">
        <f t="shared" si="78"/>
        <v>0</v>
      </c>
      <c r="Z169" s="475">
        <f t="shared" si="79"/>
        <v>0</v>
      </c>
      <c r="AA169" s="475">
        <v>0</v>
      </c>
      <c r="AB169" s="476">
        <v>0</v>
      </c>
      <c r="AC169" s="38">
        <f t="shared" si="80"/>
        <v>0</v>
      </c>
      <c r="AD169" s="692">
        <f t="shared" si="70"/>
        <v>-12890.060000000001</v>
      </c>
      <c r="AE169" s="692">
        <f t="shared" si="71"/>
        <v>0</v>
      </c>
      <c r="AF169" s="692">
        <f t="shared" si="72"/>
        <v>0</v>
      </c>
      <c r="AG169" s="38"/>
      <c r="AH169" s="692">
        <f t="shared" si="74"/>
        <v>24000</v>
      </c>
      <c r="AI169" s="692">
        <f t="shared" si="75"/>
        <v>0</v>
      </c>
      <c r="AJ169" s="692">
        <f t="shared" si="76"/>
        <v>0</v>
      </c>
      <c r="AL169" s="38">
        <f t="shared" si="73"/>
        <v>11109.939999999999</v>
      </c>
    </row>
    <row r="170" spans="1:38" s="232" customFormat="1">
      <c r="A170" s="403"/>
      <c r="B170" s="403" t="s">
        <v>109</v>
      </c>
      <c r="C170" s="666" t="s">
        <v>569</v>
      </c>
      <c r="D170" s="123" t="s">
        <v>468</v>
      </c>
      <c r="E170" s="679"/>
      <c r="F170" s="529">
        <f>VLOOKUP(D170,'Mar 2013 Revenue'!D:T,17,FALSE)</f>
        <v>0</v>
      </c>
      <c r="G170" s="680"/>
      <c r="H170" s="680"/>
      <c r="I170" s="755"/>
      <c r="J170" s="682">
        <f t="shared" si="54"/>
        <v>0</v>
      </c>
      <c r="K170" s="683"/>
      <c r="L170" s="684"/>
      <c r="M170" s="753"/>
      <c r="N170" s="683">
        <v>0</v>
      </c>
      <c r="O170" s="686"/>
      <c r="P170" s="683">
        <v>0</v>
      </c>
      <c r="Q170" s="687">
        <f t="shared" si="55"/>
        <v>0</v>
      </c>
      <c r="R170" s="687"/>
      <c r="S170" s="687"/>
      <c r="T170" s="688">
        <v>0</v>
      </c>
      <c r="U170" s="693"/>
      <c r="V170" s="690">
        <f t="shared" si="69"/>
        <v>0</v>
      </c>
      <c r="W170" s="683"/>
      <c r="X170" s="474">
        <f t="shared" si="77"/>
        <v>0</v>
      </c>
      <c r="Y170" s="474">
        <f t="shared" si="78"/>
        <v>0</v>
      </c>
      <c r="Z170" s="475">
        <f t="shared" si="79"/>
        <v>0</v>
      </c>
      <c r="AA170" s="475">
        <v>0</v>
      </c>
      <c r="AB170" s="476">
        <v>0</v>
      </c>
      <c r="AC170" s="38">
        <f t="shared" si="80"/>
        <v>0</v>
      </c>
      <c r="AD170" s="692">
        <f t="shared" si="70"/>
        <v>0</v>
      </c>
      <c r="AE170" s="692">
        <f t="shared" si="71"/>
        <v>0</v>
      </c>
      <c r="AF170" s="692">
        <f t="shared" si="72"/>
        <v>0</v>
      </c>
      <c r="AG170" s="38"/>
      <c r="AH170" s="692">
        <f t="shared" si="74"/>
        <v>0</v>
      </c>
      <c r="AI170" s="692">
        <f t="shared" si="75"/>
        <v>0</v>
      </c>
      <c r="AJ170" s="692">
        <f t="shared" si="76"/>
        <v>0</v>
      </c>
      <c r="AL170" s="38">
        <f t="shared" si="73"/>
        <v>0</v>
      </c>
    </row>
    <row r="171" spans="1:38">
      <c r="A171" s="20"/>
      <c r="B171" s="20" t="s">
        <v>110</v>
      </c>
      <c r="C171" s="676" t="s">
        <v>844</v>
      </c>
      <c r="D171" s="68" t="s">
        <v>845</v>
      </c>
      <c r="E171" s="679"/>
      <c r="F171" s="529">
        <f>VLOOKUP(D171,'Mar 2013 Revenue'!D:T,17,FALSE)</f>
        <v>0</v>
      </c>
      <c r="G171" s="680"/>
      <c r="H171" s="680"/>
      <c r="I171" s="755"/>
      <c r="J171" s="682">
        <f t="shared" si="54"/>
        <v>0</v>
      </c>
      <c r="K171" s="683"/>
      <c r="L171" s="684"/>
      <c r="M171" s="753"/>
      <c r="N171" s="683">
        <v>0</v>
      </c>
      <c r="O171" s="686"/>
      <c r="P171" s="683">
        <v>0</v>
      </c>
      <c r="Q171" s="687">
        <f t="shared" si="55"/>
        <v>0</v>
      </c>
      <c r="R171" s="687"/>
      <c r="S171" s="687"/>
      <c r="T171" s="688">
        <v>0</v>
      </c>
      <c r="U171" s="693"/>
      <c r="V171" s="690">
        <f t="shared" si="69"/>
        <v>0</v>
      </c>
      <c r="W171" s="683"/>
      <c r="X171" s="474">
        <f t="shared" si="77"/>
        <v>0</v>
      </c>
      <c r="Y171" s="474">
        <f t="shared" si="78"/>
        <v>0</v>
      </c>
      <c r="Z171" s="475">
        <f t="shared" si="79"/>
        <v>0</v>
      </c>
      <c r="AA171" s="475">
        <v>0</v>
      </c>
      <c r="AB171" s="476">
        <v>0</v>
      </c>
      <c r="AC171" s="38">
        <f t="shared" si="80"/>
        <v>0</v>
      </c>
      <c r="AD171" s="692">
        <f t="shared" si="70"/>
        <v>0</v>
      </c>
      <c r="AE171" s="692">
        <f t="shared" si="71"/>
        <v>0</v>
      </c>
      <c r="AF171" s="692">
        <f t="shared" si="72"/>
        <v>0</v>
      </c>
      <c r="AG171" s="38"/>
      <c r="AH171" s="692">
        <f t="shared" si="74"/>
        <v>0</v>
      </c>
      <c r="AI171" s="692">
        <f t="shared" si="75"/>
        <v>0</v>
      </c>
      <c r="AJ171" s="692">
        <f t="shared" si="76"/>
        <v>0</v>
      </c>
      <c r="AL171" s="38">
        <f t="shared" si="73"/>
        <v>0</v>
      </c>
    </row>
    <row r="172" spans="1:38">
      <c r="A172" s="20"/>
      <c r="B172" s="20" t="s">
        <v>109</v>
      </c>
      <c r="C172" s="667" t="s">
        <v>570</v>
      </c>
      <c r="D172" s="68" t="s">
        <v>41</v>
      </c>
      <c r="E172" s="679"/>
      <c r="F172" s="529">
        <f>VLOOKUP(D172,'Mar 2013 Revenue'!D:T,17,FALSE)</f>
        <v>0</v>
      </c>
      <c r="G172" s="680"/>
      <c r="H172" s="680"/>
      <c r="I172" s="755"/>
      <c r="J172" s="682">
        <f t="shared" si="54"/>
        <v>0</v>
      </c>
      <c r="K172" s="683"/>
      <c r="L172" s="684"/>
      <c r="M172" s="753"/>
      <c r="N172" s="683">
        <v>0</v>
      </c>
      <c r="O172" s="686"/>
      <c r="P172" s="683">
        <v>0</v>
      </c>
      <c r="Q172" s="687">
        <f t="shared" si="55"/>
        <v>0</v>
      </c>
      <c r="R172" s="687"/>
      <c r="S172" s="687"/>
      <c r="T172" s="688">
        <v>0</v>
      </c>
      <c r="U172" s="693"/>
      <c r="V172" s="690">
        <f t="shared" si="69"/>
        <v>0</v>
      </c>
      <c r="W172" s="683"/>
      <c r="X172" s="474">
        <f t="shared" si="77"/>
        <v>0</v>
      </c>
      <c r="Y172" s="474">
        <f t="shared" si="78"/>
        <v>0</v>
      </c>
      <c r="Z172" s="475">
        <f t="shared" si="79"/>
        <v>0</v>
      </c>
      <c r="AA172" s="475">
        <v>0</v>
      </c>
      <c r="AB172" s="476">
        <v>0</v>
      </c>
      <c r="AC172" s="38">
        <f t="shared" si="80"/>
        <v>0</v>
      </c>
      <c r="AD172" s="692">
        <f t="shared" si="70"/>
        <v>0</v>
      </c>
      <c r="AE172" s="692">
        <f t="shared" si="71"/>
        <v>0</v>
      </c>
      <c r="AF172" s="692">
        <f t="shared" si="72"/>
        <v>0</v>
      </c>
      <c r="AG172" s="38"/>
      <c r="AH172" s="692">
        <f t="shared" si="74"/>
        <v>0</v>
      </c>
      <c r="AI172" s="692">
        <f t="shared" si="75"/>
        <v>0</v>
      </c>
      <c r="AJ172" s="692">
        <f t="shared" si="76"/>
        <v>0</v>
      </c>
      <c r="AL172" s="38">
        <f t="shared" si="73"/>
        <v>0</v>
      </c>
    </row>
    <row r="173" spans="1:38">
      <c r="A173" s="20"/>
      <c r="B173" s="20" t="s">
        <v>109</v>
      </c>
      <c r="C173" s="667" t="s">
        <v>570</v>
      </c>
      <c r="D173" s="68" t="s">
        <v>221</v>
      </c>
      <c r="E173" s="679"/>
      <c r="F173" s="529">
        <f>VLOOKUP(D173,'Mar 2013 Revenue'!D:T,17,FALSE)</f>
        <v>0</v>
      </c>
      <c r="G173" s="680"/>
      <c r="H173" s="680"/>
      <c r="I173" s="755"/>
      <c r="J173" s="682">
        <f t="shared" si="54"/>
        <v>0</v>
      </c>
      <c r="K173" s="683"/>
      <c r="L173" s="684"/>
      <c r="M173" s="753"/>
      <c r="N173" s="683">
        <v>0</v>
      </c>
      <c r="O173" s="686"/>
      <c r="P173" s="683">
        <v>0</v>
      </c>
      <c r="Q173" s="687">
        <f t="shared" si="55"/>
        <v>0</v>
      </c>
      <c r="R173" s="687"/>
      <c r="S173" s="687"/>
      <c r="T173" s="688">
        <v>0</v>
      </c>
      <c r="U173" s="693"/>
      <c r="V173" s="690">
        <f t="shared" si="69"/>
        <v>0</v>
      </c>
      <c r="W173" s="683"/>
      <c r="X173" s="474">
        <f t="shared" si="77"/>
        <v>0</v>
      </c>
      <c r="Y173" s="474">
        <f t="shared" si="78"/>
        <v>0</v>
      </c>
      <c r="Z173" s="475">
        <f t="shared" si="79"/>
        <v>0</v>
      </c>
      <c r="AA173" s="475">
        <v>0</v>
      </c>
      <c r="AB173" s="476">
        <v>0</v>
      </c>
      <c r="AC173" s="38">
        <f t="shared" si="80"/>
        <v>0</v>
      </c>
      <c r="AD173" s="692">
        <f t="shared" si="70"/>
        <v>0</v>
      </c>
      <c r="AE173" s="692">
        <f t="shared" si="71"/>
        <v>0</v>
      </c>
      <c r="AF173" s="692">
        <f t="shared" si="72"/>
        <v>0</v>
      </c>
      <c r="AG173" s="38"/>
      <c r="AH173" s="692">
        <f t="shared" si="74"/>
        <v>0</v>
      </c>
      <c r="AI173" s="692">
        <f t="shared" si="75"/>
        <v>0</v>
      </c>
      <c r="AJ173" s="692">
        <f t="shared" si="76"/>
        <v>0</v>
      </c>
      <c r="AL173" s="38">
        <f t="shared" si="73"/>
        <v>0</v>
      </c>
    </row>
    <row r="174" spans="1:38">
      <c r="A174" s="21"/>
      <c r="B174" s="21" t="s">
        <v>110</v>
      </c>
      <c r="C174" s="666"/>
      <c r="D174" s="68" t="s">
        <v>43</v>
      </c>
      <c r="E174" s="679"/>
      <c r="F174" s="529">
        <f>VLOOKUP(D174,'Mar 2013 Revenue'!D:T,17,FALSE)</f>
        <v>0</v>
      </c>
      <c r="G174" s="680"/>
      <c r="H174" s="680"/>
      <c r="I174" s="755"/>
      <c r="J174" s="682">
        <f t="shared" si="54"/>
        <v>0</v>
      </c>
      <c r="K174" s="683"/>
      <c r="L174" s="684"/>
      <c r="M174" s="753"/>
      <c r="N174" s="683">
        <v>0</v>
      </c>
      <c r="O174" s="686"/>
      <c r="P174" s="683">
        <v>0</v>
      </c>
      <c r="Q174" s="687">
        <f t="shared" si="55"/>
        <v>0</v>
      </c>
      <c r="R174" s="687"/>
      <c r="S174" s="687"/>
      <c r="T174" s="688">
        <v>0</v>
      </c>
      <c r="U174" s="693"/>
      <c r="V174" s="690">
        <f t="shared" si="69"/>
        <v>0</v>
      </c>
      <c r="W174" s="683"/>
      <c r="X174" s="474">
        <f t="shared" si="77"/>
        <v>0</v>
      </c>
      <c r="Y174" s="474">
        <f t="shared" si="78"/>
        <v>0</v>
      </c>
      <c r="Z174" s="475">
        <f t="shared" si="79"/>
        <v>0</v>
      </c>
      <c r="AA174" s="475">
        <v>0</v>
      </c>
      <c r="AB174" s="476">
        <v>0</v>
      </c>
      <c r="AC174" s="38">
        <f t="shared" si="80"/>
        <v>0</v>
      </c>
      <c r="AD174" s="692">
        <f t="shared" si="70"/>
        <v>0</v>
      </c>
      <c r="AE174" s="692">
        <f t="shared" si="71"/>
        <v>0</v>
      </c>
      <c r="AF174" s="692">
        <f t="shared" si="72"/>
        <v>0</v>
      </c>
      <c r="AG174" s="38"/>
      <c r="AH174" s="692">
        <f t="shared" si="74"/>
        <v>0</v>
      </c>
      <c r="AI174" s="692">
        <f t="shared" si="75"/>
        <v>0</v>
      </c>
      <c r="AJ174" s="692">
        <f t="shared" si="76"/>
        <v>0</v>
      </c>
      <c r="AL174" s="38">
        <f t="shared" si="73"/>
        <v>0</v>
      </c>
    </row>
    <row r="175" spans="1:38">
      <c r="A175" s="21"/>
      <c r="B175" s="21" t="s">
        <v>109</v>
      </c>
      <c r="C175" s="666" t="s">
        <v>571</v>
      </c>
      <c r="D175" s="68" t="s">
        <v>44</v>
      </c>
      <c r="E175" s="679"/>
      <c r="F175" s="529">
        <f>VLOOKUP(D175,'Mar 2013 Revenue'!D:T,17,FALSE)</f>
        <v>0</v>
      </c>
      <c r="G175" s="680"/>
      <c r="H175" s="680"/>
      <c r="I175" s="804">
        <v>5616</v>
      </c>
      <c r="J175" s="682">
        <f t="shared" si="54"/>
        <v>5616</v>
      </c>
      <c r="K175" s="683"/>
      <c r="L175" s="684"/>
      <c r="M175" s="753"/>
      <c r="N175" s="683">
        <v>0</v>
      </c>
      <c r="O175" s="686"/>
      <c r="P175" s="683">
        <v>0</v>
      </c>
      <c r="Q175" s="687">
        <f t="shared" si="55"/>
        <v>0</v>
      </c>
      <c r="R175" s="687"/>
      <c r="S175" s="687"/>
      <c r="T175" s="688">
        <v>0</v>
      </c>
      <c r="U175" s="693"/>
      <c r="V175" s="690">
        <f t="shared" si="69"/>
        <v>0</v>
      </c>
      <c r="W175" s="683"/>
      <c r="X175" s="474">
        <f t="shared" si="77"/>
        <v>0</v>
      </c>
      <c r="Y175" s="474">
        <f t="shared" si="78"/>
        <v>0</v>
      </c>
      <c r="Z175" s="475">
        <f t="shared" si="79"/>
        <v>0</v>
      </c>
      <c r="AA175" s="475">
        <v>0</v>
      </c>
      <c r="AB175" s="476">
        <v>0</v>
      </c>
      <c r="AC175" s="38">
        <f t="shared" si="80"/>
        <v>0</v>
      </c>
      <c r="AD175" s="692">
        <f t="shared" si="70"/>
        <v>0</v>
      </c>
      <c r="AE175" s="692">
        <f t="shared" si="71"/>
        <v>5616</v>
      </c>
      <c r="AF175" s="692">
        <f t="shared" si="72"/>
        <v>0</v>
      </c>
      <c r="AG175" s="38"/>
      <c r="AH175" s="692">
        <f t="shared" si="74"/>
        <v>0</v>
      </c>
      <c r="AI175" s="692">
        <f t="shared" si="75"/>
        <v>0</v>
      </c>
      <c r="AJ175" s="692">
        <f t="shared" si="76"/>
        <v>0</v>
      </c>
      <c r="AL175" s="38">
        <f t="shared" si="73"/>
        <v>5616</v>
      </c>
    </row>
    <row r="176" spans="1:38">
      <c r="A176" s="21"/>
      <c r="B176" s="21" t="s">
        <v>114</v>
      </c>
      <c r="C176" s="666" t="s">
        <v>571</v>
      </c>
      <c r="D176" s="68" t="s">
        <v>44</v>
      </c>
      <c r="E176" s="679"/>
      <c r="F176" s="529">
        <f>VLOOKUP(D176,'Mar 2013 Revenue'!D:T,17,FALSE)</f>
        <v>0</v>
      </c>
      <c r="G176" s="680"/>
      <c r="H176" s="680"/>
      <c r="I176" s="755"/>
      <c r="J176" s="682">
        <f t="shared" si="54"/>
        <v>0</v>
      </c>
      <c r="K176" s="683"/>
      <c r="L176" s="684"/>
      <c r="M176" s="753"/>
      <c r="N176" s="683">
        <v>0</v>
      </c>
      <c r="O176" s="686"/>
      <c r="P176" s="683">
        <v>0</v>
      </c>
      <c r="Q176" s="687">
        <f t="shared" si="55"/>
        <v>0</v>
      </c>
      <c r="R176" s="687"/>
      <c r="S176" s="687"/>
      <c r="T176" s="688">
        <v>0</v>
      </c>
      <c r="U176" s="693"/>
      <c r="V176" s="690">
        <f t="shared" si="69"/>
        <v>0</v>
      </c>
      <c r="W176" s="683"/>
      <c r="X176" s="474">
        <f t="shared" si="77"/>
        <v>0</v>
      </c>
      <c r="Y176" s="474">
        <f t="shared" si="78"/>
        <v>0</v>
      </c>
      <c r="Z176" s="475">
        <f t="shared" si="79"/>
        <v>0</v>
      </c>
      <c r="AA176" s="475">
        <v>0</v>
      </c>
      <c r="AB176" s="476">
        <v>0</v>
      </c>
      <c r="AC176" s="38">
        <f t="shared" si="80"/>
        <v>0</v>
      </c>
      <c r="AD176" s="692">
        <f t="shared" si="70"/>
        <v>0</v>
      </c>
      <c r="AE176" s="692">
        <f t="shared" si="71"/>
        <v>0</v>
      </c>
      <c r="AF176" s="692">
        <f t="shared" si="72"/>
        <v>0</v>
      </c>
      <c r="AG176" s="38"/>
      <c r="AH176" s="692">
        <f t="shared" si="74"/>
        <v>0</v>
      </c>
      <c r="AI176" s="692">
        <f t="shared" si="75"/>
        <v>0</v>
      </c>
      <c r="AJ176" s="692">
        <f t="shared" si="76"/>
        <v>0</v>
      </c>
      <c r="AL176" s="38">
        <f t="shared" si="73"/>
        <v>0</v>
      </c>
    </row>
    <row r="177" spans="1:38">
      <c r="A177" s="21"/>
      <c r="B177" s="21" t="s">
        <v>110</v>
      </c>
      <c r="C177" s="666" t="s">
        <v>572</v>
      </c>
      <c r="D177" s="806" t="s">
        <v>388</v>
      </c>
      <c r="E177" s="679"/>
      <c r="F177" s="529">
        <f>VLOOKUP(D177,'Mar 2013 Revenue'!D:T,17,FALSE)</f>
        <v>-8000</v>
      </c>
      <c r="G177" s="680"/>
      <c r="H177" s="680"/>
      <c r="I177" s="755"/>
      <c r="J177" s="682">
        <f t="shared" si="54"/>
        <v>-8000</v>
      </c>
      <c r="K177" s="683"/>
      <c r="L177" s="684"/>
      <c r="M177" s="753">
        <v>16000</v>
      </c>
      <c r="N177" s="683">
        <v>0</v>
      </c>
      <c r="O177" s="686"/>
      <c r="P177" s="683">
        <v>0</v>
      </c>
      <c r="Q177" s="687">
        <f t="shared" si="55"/>
        <v>16000</v>
      </c>
      <c r="R177" s="687"/>
      <c r="S177" s="687"/>
      <c r="T177" s="688">
        <f>18183.3+310</f>
        <v>18493.3</v>
      </c>
      <c r="U177" s="693"/>
      <c r="V177" s="690">
        <f t="shared" si="69"/>
        <v>2493.2999999999993</v>
      </c>
      <c r="W177" s="683"/>
      <c r="X177" s="474">
        <f t="shared" si="77"/>
        <v>16000</v>
      </c>
      <c r="Y177" s="474">
        <f t="shared" si="78"/>
        <v>0</v>
      </c>
      <c r="Z177" s="475">
        <f t="shared" si="79"/>
        <v>0</v>
      </c>
      <c r="AA177" s="475">
        <v>0</v>
      </c>
      <c r="AB177" s="476">
        <v>0</v>
      </c>
      <c r="AC177" s="38">
        <f t="shared" si="80"/>
        <v>0</v>
      </c>
      <c r="AD177" s="692">
        <f t="shared" si="70"/>
        <v>-8000</v>
      </c>
      <c r="AE177" s="692">
        <f t="shared" si="71"/>
        <v>0</v>
      </c>
      <c r="AF177" s="692">
        <f t="shared" si="72"/>
        <v>0</v>
      </c>
      <c r="AG177" s="38"/>
      <c r="AH177" s="692">
        <f t="shared" si="74"/>
        <v>16000</v>
      </c>
      <c r="AI177" s="692">
        <f t="shared" si="75"/>
        <v>0</v>
      </c>
      <c r="AJ177" s="692">
        <f t="shared" si="76"/>
        <v>0</v>
      </c>
      <c r="AL177" s="38">
        <f t="shared" si="73"/>
        <v>8000</v>
      </c>
    </row>
    <row r="178" spans="1:38">
      <c r="A178" s="20"/>
      <c r="B178" s="20" t="s">
        <v>109</v>
      </c>
      <c r="C178" s="667"/>
      <c r="D178" s="806" t="s">
        <v>842</v>
      </c>
      <c r="E178" s="679"/>
      <c r="F178" s="529">
        <f>VLOOKUP(D178,'Mar 2013 Revenue'!D:T,17,FALSE)</f>
        <v>-37000</v>
      </c>
      <c r="G178" s="680"/>
      <c r="H178" s="680"/>
      <c r="I178" s="755"/>
      <c r="J178" s="682">
        <f t="shared" si="54"/>
        <v>-37000</v>
      </c>
      <c r="K178" s="683"/>
      <c r="L178" s="684"/>
      <c r="M178" s="753">
        <v>50000</v>
      </c>
      <c r="N178" s="683">
        <v>0</v>
      </c>
      <c r="O178" s="686"/>
      <c r="P178" s="683">
        <v>0</v>
      </c>
      <c r="Q178" s="687">
        <f t="shared" si="55"/>
        <v>50000</v>
      </c>
      <c r="R178" s="687"/>
      <c r="S178" s="687"/>
      <c r="T178" s="688">
        <v>0</v>
      </c>
      <c r="U178" s="693"/>
      <c r="V178" s="690">
        <f t="shared" si="69"/>
        <v>-50000</v>
      </c>
      <c r="W178" s="683"/>
      <c r="X178" s="474">
        <f t="shared" si="77"/>
        <v>0</v>
      </c>
      <c r="Y178" s="474">
        <f t="shared" si="78"/>
        <v>50000</v>
      </c>
      <c r="Z178" s="475">
        <f t="shared" si="79"/>
        <v>0</v>
      </c>
      <c r="AA178" s="475">
        <v>0</v>
      </c>
      <c r="AB178" s="476">
        <v>0</v>
      </c>
      <c r="AC178" s="38">
        <f t="shared" si="80"/>
        <v>0</v>
      </c>
      <c r="AD178" s="692">
        <f t="shared" si="70"/>
        <v>0</v>
      </c>
      <c r="AE178" s="692">
        <f t="shared" si="71"/>
        <v>-37000</v>
      </c>
      <c r="AF178" s="692">
        <f t="shared" si="72"/>
        <v>0</v>
      </c>
      <c r="AG178" s="38"/>
      <c r="AH178" s="692">
        <f t="shared" si="74"/>
        <v>0</v>
      </c>
      <c r="AI178" s="692">
        <f t="shared" si="75"/>
        <v>50000</v>
      </c>
      <c r="AJ178" s="692">
        <f t="shared" si="76"/>
        <v>0</v>
      </c>
      <c r="AL178" s="38">
        <f t="shared" si="73"/>
        <v>13000</v>
      </c>
    </row>
    <row r="179" spans="1:38">
      <c r="A179" s="21"/>
      <c r="B179" s="21" t="s">
        <v>110</v>
      </c>
      <c r="C179" s="666"/>
      <c r="D179" s="68" t="s">
        <v>45</v>
      </c>
      <c r="E179" s="679"/>
      <c r="F179" s="529">
        <f>VLOOKUP(D179,'Mar 2013 Revenue'!D:T,17,FALSE)</f>
        <v>1748.1599999999999</v>
      </c>
      <c r="G179" s="680"/>
      <c r="H179" s="680"/>
      <c r="I179" s="755"/>
      <c r="J179" s="682">
        <f t="shared" si="54"/>
        <v>1748.1599999999999</v>
      </c>
      <c r="K179" s="683"/>
      <c r="L179" s="684"/>
      <c r="M179" s="753">
        <v>20000</v>
      </c>
      <c r="N179" s="683">
        <v>0</v>
      </c>
      <c r="O179" s="686"/>
      <c r="P179" s="683">
        <v>0</v>
      </c>
      <c r="Q179" s="687">
        <f t="shared" si="55"/>
        <v>20000</v>
      </c>
      <c r="R179" s="687"/>
      <c r="S179" s="687"/>
      <c r="T179" s="688">
        <f>21198.12+1173.61</f>
        <v>22371.73</v>
      </c>
      <c r="U179" s="693"/>
      <c r="V179" s="690">
        <f t="shared" si="69"/>
        <v>2371.7299999999996</v>
      </c>
      <c r="W179" s="683"/>
      <c r="X179" s="474">
        <f t="shared" si="77"/>
        <v>20000</v>
      </c>
      <c r="Y179" s="474">
        <f t="shared" si="78"/>
        <v>0</v>
      </c>
      <c r="Z179" s="475">
        <f t="shared" si="79"/>
        <v>0</v>
      </c>
      <c r="AA179" s="475">
        <v>0</v>
      </c>
      <c r="AB179" s="476">
        <v>0</v>
      </c>
      <c r="AC179" s="38">
        <f t="shared" si="80"/>
        <v>0</v>
      </c>
      <c r="AD179" s="692">
        <f t="shared" si="70"/>
        <v>1748.1599999999999</v>
      </c>
      <c r="AE179" s="692">
        <f t="shared" si="71"/>
        <v>0</v>
      </c>
      <c r="AF179" s="692">
        <f t="shared" si="72"/>
        <v>0</v>
      </c>
      <c r="AG179" s="38"/>
      <c r="AH179" s="692">
        <f t="shared" si="74"/>
        <v>20000</v>
      </c>
      <c r="AI179" s="692">
        <f t="shared" si="75"/>
        <v>0</v>
      </c>
      <c r="AJ179" s="692">
        <f t="shared" si="76"/>
        <v>0</v>
      </c>
      <c r="AL179" s="38">
        <f t="shared" si="73"/>
        <v>21748.16</v>
      </c>
    </row>
    <row r="180" spans="1:38">
      <c r="A180" s="20" t="s">
        <v>211</v>
      </c>
      <c r="B180" s="20" t="s">
        <v>109</v>
      </c>
      <c r="C180" s="667"/>
      <c r="D180" s="68" t="s">
        <v>923</v>
      </c>
      <c r="E180" s="679"/>
      <c r="F180" s="529">
        <f>VLOOKUP(D180,'Mar 2013 Revenue'!D:T,17,FALSE)</f>
        <v>0</v>
      </c>
      <c r="G180" s="680"/>
      <c r="H180" s="680"/>
      <c r="I180" s="770">
        <v>41.32</v>
      </c>
      <c r="J180" s="682">
        <f t="shared" si="54"/>
        <v>41.32</v>
      </c>
      <c r="K180" s="683"/>
      <c r="L180" s="684"/>
      <c r="M180" s="753"/>
      <c r="N180" s="683">
        <v>0</v>
      </c>
      <c r="O180" s="686"/>
      <c r="P180" s="683">
        <v>0</v>
      </c>
      <c r="Q180" s="687">
        <f t="shared" si="55"/>
        <v>0</v>
      </c>
      <c r="R180" s="687"/>
      <c r="S180" s="687"/>
      <c r="T180" s="688">
        <v>109.83</v>
      </c>
      <c r="U180" s="693"/>
      <c r="V180" s="690">
        <f t="shared" si="69"/>
        <v>109.83</v>
      </c>
      <c r="W180" s="697"/>
      <c r="X180" s="474">
        <f t="shared" si="77"/>
        <v>0</v>
      </c>
      <c r="Y180" s="474">
        <f t="shared" si="78"/>
        <v>0</v>
      </c>
      <c r="Z180" s="475">
        <f t="shared" si="79"/>
        <v>0</v>
      </c>
      <c r="AA180" s="475">
        <v>0</v>
      </c>
      <c r="AB180" s="476">
        <v>0</v>
      </c>
      <c r="AC180" s="38">
        <f t="shared" si="80"/>
        <v>0</v>
      </c>
      <c r="AD180" s="692">
        <f t="shared" si="70"/>
        <v>0</v>
      </c>
      <c r="AE180" s="692">
        <f t="shared" si="71"/>
        <v>41.32</v>
      </c>
      <c r="AF180" s="692">
        <f t="shared" si="72"/>
        <v>0</v>
      </c>
      <c r="AG180" s="38"/>
      <c r="AH180" s="692">
        <f t="shared" si="74"/>
        <v>0</v>
      </c>
      <c r="AI180" s="692">
        <f t="shared" si="75"/>
        <v>0</v>
      </c>
      <c r="AJ180" s="692">
        <f t="shared" si="76"/>
        <v>0</v>
      </c>
      <c r="AL180" s="38">
        <f t="shared" si="73"/>
        <v>41.32</v>
      </c>
    </row>
    <row r="181" spans="1:38">
      <c r="A181" s="20"/>
      <c r="B181" s="20" t="s">
        <v>110</v>
      </c>
      <c r="C181" s="667" t="s">
        <v>573</v>
      </c>
      <c r="D181" s="68" t="s">
        <v>102</v>
      </c>
      <c r="E181" s="679"/>
      <c r="F181" s="529">
        <f>VLOOKUP(D181,'Mar 2013 Revenue'!D:T,17,FALSE)</f>
        <v>72570.889999999898</v>
      </c>
      <c r="G181" s="680"/>
      <c r="H181" s="680"/>
      <c r="I181" s="755"/>
      <c r="J181" s="682">
        <f t="shared" si="54"/>
        <v>72570.889999999898</v>
      </c>
      <c r="K181" s="683"/>
      <c r="L181" s="684"/>
      <c r="M181" s="753">
        <v>1200000</v>
      </c>
      <c r="N181" s="683">
        <v>0</v>
      </c>
      <c r="O181" s="686"/>
      <c r="P181" s="683">
        <v>0</v>
      </c>
      <c r="Q181" s="687">
        <f t="shared" si="55"/>
        <v>1200000</v>
      </c>
      <c r="R181" s="687">
        <v>1490000</v>
      </c>
      <c r="S181" s="687">
        <v>23000</v>
      </c>
      <c r="T181" s="688">
        <f>2397755.03+55445.06+286.53</f>
        <v>2453486.6199999996</v>
      </c>
      <c r="U181" s="693"/>
      <c r="V181" s="690">
        <f t="shared" si="69"/>
        <v>-259513.38000000035</v>
      </c>
      <c r="W181" s="697"/>
      <c r="X181" s="474">
        <f t="shared" si="77"/>
        <v>1200000</v>
      </c>
      <c r="Y181" s="474">
        <f t="shared" si="78"/>
        <v>0</v>
      </c>
      <c r="Z181" s="475">
        <f t="shared" si="79"/>
        <v>0</v>
      </c>
      <c r="AA181" s="475">
        <v>0</v>
      </c>
      <c r="AB181" s="476">
        <v>0</v>
      </c>
      <c r="AC181" s="38">
        <f t="shared" si="80"/>
        <v>0</v>
      </c>
      <c r="AD181" s="692">
        <f t="shared" si="70"/>
        <v>72570.889999999898</v>
      </c>
      <c r="AE181" s="692">
        <f t="shared" si="71"/>
        <v>0</v>
      </c>
      <c r="AF181" s="692">
        <f t="shared" si="72"/>
        <v>0</v>
      </c>
      <c r="AG181" s="38"/>
      <c r="AH181" s="692">
        <f t="shared" si="74"/>
        <v>1200000</v>
      </c>
      <c r="AI181" s="692">
        <f t="shared" si="75"/>
        <v>0</v>
      </c>
      <c r="AJ181" s="692">
        <f t="shared" si="76"/>
        <v>0</v>
      </c>
      <c r="AL181" s="38">
        <f t="shared" si="73"/>
        <v>1272570.8899999999</v>
      </c>
    </row>
    <row r="182" spans="1:38">
      <c r="A182" s="20"/>
      <c r="B182" s="20" t="s">
        <v>110</v>
      </c>
      <c r="C182" s="667" t="s">
        <v>573</v>
      </c>
      <c r="D182" s="68" t="s">
        <v>511</v>
      </c>
      <c r="E182" s="679"/>
      <c r="F182" s="529">
        <f>VLOOKUP(D182,'Mar 2013 Revenue'!D:T,17,FALSE)</f>
        <v>0</v>
      </c>
      <c r="G182" s="680"/>
      <c r="H182" s="680"/>
      <c r="I182" s="755"/>
      <c r="J182" s="682">
        <f t="shared" si="54"/>
        <v>0</v>
      </c>
      <c r="K182" s="683"/>
      <c r="L182" s="684"/>
      <c r="M182" s="753"/>
      <c r="N182" s="683">
        <v>0</v>
      </c>
      <c r="O182" s="686"/>
      <c r="P182" s="683">
        <v>0</v>
      </c>
      <c r="Q182" s="687">
        <f t="shared" si="55"/>
        <v>0</v>
      </c>
      <c r="R182" s="687"/>
      <c r="S182" s="687"/>
      <c r="T182" s="688">
        <v>549.29</v>
      </c>
      <c r="U182" s="693"/>
      <c r="V182" s="690">
        <f t="shared" si="69"/>
        <v>549.29</v>
      </c>
      <c r="W182" s="697"/>
      <c r="X182" s="474">
        <f t="shared" si="77"/>
        <v>0</v>
      </c>
      <c r="Y182" s="474">
        <f t="shared" si="78"/>
        <v>0</v>
      </c>
      <c r="Z182" s="475">
        <f t="shared" si="79"/>
        <v>0</v>
      </c>
      <c r="AA182" s="475">
        <v>0</v>
      </c>
      <c r="AB182" s="476">
        <v>0</v>
      </c>
      <c r="AC182" s="38">
        <f t="shared" si="80"/>
        <v>0</v>
      </c>
      <c r="AD182" s="692">
        <f t="shared" si="70"/>
        <v>0</v>
      </c>
      <c r="AE182" s="692">
        <f t="shared" si="71"/>
        <v>0</v>
      </c>
      <c r="AF182" s="692">
        <f t="shared" si="72"/>
        <v>0</v>
      </c>
      <c r="AG182" s="38"/>
      <c r="AH182" s="692">
        <f t="shared" si="74"/>
        <v>0</v>
      </c>
      <c r="AI182" s="692">
        <f t="shared" si="75"/>
        <v>0</v>
      </c>
      <c r="AJ182" s="692">
        <f t="shared" si="76"/>
        <v>0</v>
      </c>
      <c r="AL182" s="38">
        <f t="shared" si="73"/>
        <v>0</v>
      </c>
    </row>
    <row r="183" spans="1:38">
      <c r="A183" s="21"/>
      <c r="B183" s="21" t="s">
        <v>110</v>
      </c>
      <c r="C183" s="666"/>
      <c r="D183" s="68" t="s">
        <v>50</v>
      </c>
      <c r="E183" s="679"/>
      <c r="F183" s="529">
        <f>VLOOKUP(D183,'Mar 2013 Revenue'!D:T,17,FALSE)</f>
        <v>0</v>
      </c>
      <c r="G183" s="680"/>
      <c r="H183" s="680"/>
      <c r="I183" s="804">
        <v>761.58</v>
      </c>
      <c r="J183" s="682">
        <f t="shared" si="54"/>
        <v>761.58</v>
      </c>
      <c r="K183" s="683"/>
      <c r="L183" s="684"/>
      <c r="M183" s="753"/>
      <c r="N183" s="683">
        <v>0</v>
      </c>
      <c r="O183" s="686"/>
      <c r="P183" s="683">
        <v>0</v>
      </c>
      <c r="Q183" s="687">
        <f t="shared" si="55"/>
        <v>0</v>
      </c>
      <c r="R183" s="687"/>
      <c r="S183" s="687"/>
      <c r="T183" s="688">
        <v>0</v>
      </c>
      <c r="U183" s="693"/>
      <c r="V183" s="690">
        <f t="shared" si="69"/>
        <v>0</v>
      </c>
      <c r="W183" s="683"/>
      <c r="X183" s="474">
        <f t="shared" si="77"/>
        <v>0</v>
      </c>
      <c r="Y183" s="474">
        <f t="shared" si="78"/>
        <v>0</v>
      </c>
      <c r="Z183" s="475">
        <f t="shared" si="79"/>
        <v>0</v>
      </c>
      <c r="AA183" s="475">
        <v>0</v>
      </c>
      <c r="AB183" s="476">
        <v>0</v>
      </c>
      <c r="AC183" s="38">
        <f t="shared" si="80"/>
        <v>0</v>
      </c>
      <c r="AD183" s="692">
        <f t="shared" si="70"/>
        <v>761.58</v>
      </c>
      <c r="AE183" s="692">
        <f t="shared" si="71"/>
        <v>0</v>
      </c>
      <c r="AF183" s="692">
        <f t="shared" si="72"/>
        <v>0</v>
      </c>
      <c r="AG183" s="38"/>
      <c r="AH183" s="692">
        <f t="shared" si="74"/>
        <v>0</v>
      </c>
      <c r="AI183" s="692">
        <f t="shared" si="75"/>
        <v>0</v>
      </c>
      <c r="AJ183" s="692">
        <f t="shared" si="76"/>
        <v>0</v>
      </c>
      <c r="AL183" s="38">
        <f t="shared" si="73"/>
        <v>761.58</v>
      </c>
    </row>
    <row r="184" spans="1:38">
      <c r="A184" s="21"/>
      <c r="B184" s="21" t="s">
        <v>109</v>
      </c>
      <c r="C184" s="666"/>
      <c r="D184" s="68" t="s">
        <v>51</v>
      </c>
      <c r="E184" s="679"/>
      <c r="F184" s="529">
        <f>VLOOKUP(D184,'Mar 2013 Revenue'!D:T,17,FALSE)</f>
        <v>0</v>
      </c>
      <c r="G184" s="680"/>
      <c r="H184" s="680"/>
      <c r="I184" s="755"/>
      <c r="J184" s="682">
        <f t="shared" si="54"/>
        <v>0</v>
      </c>
      <c r="K184" s="683"/>
      <c r="L184" s="684"/>
      <c r="M184" s="753"/>
      <c r="N184" s="683">
        <v>0</v>
      </c>
      <c r="O184" s="686"/>
      <c r="P184" s="683">
        <v>0</v>
      </c>
      <c r="Q184" s="687">
        <f t="shared" si="55"/>
        <v>0</v>
      </c>
      <c r="R184" s="687"/>
      <c r="S184" s="687"/>
      <c r="T184" s="688">
        <v>0</v>
      </c>
      <c r="U184" s="693"/>
      <c r="V184" s="690">
        <f t="shared" si="69"/>
        <v>0</v>
      </c>
      <c r="W184" s="683"/>
      <c r="X184" s="474">
        <f t="shared" si="77"/>
        <v>0</v>
      </c>
      <c r="Y184" s="474">
        <f t="shared" si="78"/>
        <v>0</v>
      </c>
      <c r="Z184" s="475">
        <f t="shared" si="79"/>
        <v>0</v>
      </c>
      <c r="AA184" s="475">
        <v>0</v>
      </c>
      <c r="AB184" s="476">
        <v>0</v>
      </c>
      <c r="AC184" s="38">
        <f t="shared" si="80"/>
        <v>0</v>
      </c>
      <c r="AD184" s="692">
        <f t="shared" si="70"/>
        <v>0</v>
      </c>
      <c r="AE184" s="692">
        <f t="shared" si="71"/>
        <v>0</v>
      </c>
      <c r="AF184" s="692">
        <f t="shared" si="72"/>
        <v>0</v>
      </c>
      <c r="AG184" s="38"/>
      <c r="AH184" s="692">
        <f t="shared" si="74"/>
        <v>0</v>
      </c>
      <c r="AI184" s="692">
        <f t="shared" si="75"/>
        <v>0</v>
      </c>
      <c r="AJ184" s="692">
        <f t="shared" si="76"/>
        <v>0</v>
      </c>
      <c r="AL184" s="38">
        <f t="shared" si="73"/>
        <v>0</v>
      </c>
    </row>
    <row r="185" spans="1:38">
      <c r="A185" s="21"/>
      <c r="B185" s="21" t="s">
        <v>109</v>
      </c>
      <c r="C185" s="666"/>
      <c r="D185" s="68" t="s">
        <v>107</v>
      </c>
      <c r="E185" s="679"/>
      <c r="F185" s="529">
        <f>VLOOKUP(D185,'Mar 2013 Revenue'!D:T,17,FALSE)</f>
        <v>-8000</v>
      </c>
      <c r="G185" s="680"/>
      <c r="H185" s="680"/>
      <c r="I185" s="755"/>
      <c r="J185" s="682">
        <f t="shared" si="54"/>
        <v>-8000</v>
      </c>
      <c r="K185" s="683"/>
      <c r="L185" s="684"/>
      <c r="M185" s="753">
        <v>9000</v>
      </c>
      <c r="N185" s="683">
        <v>0</v>
      </c>
      <c r="O185" s="686"/>
      <c r="P185" s="683">
        <v>0</v>
      </c>
      <c r="Q185" s="687">
        <f t="shared" si="55"/>
        <v>9000</v>
      </c>
      <c r="R185" s="687"/>
      <c r="S185" s="687"/>
      <c r="T185" s="688">
        <v>0</v>
      </c>
      <c r="U185" s="693"/>
      <c r="V185" s="690">
        <f t="shared" si="69"/>
        <v>-9000</v>
      </c>
      <c r="W185" s="683"/>
      <c r="X185" s="474">
        <f t="shared" si="77"/>
        <v>0</v>
      </c>
      <c r="Y185" s="474">
        <f t="shared" si="78"/>
        <v>9000</v>
      </c>
      <c r="Z185" s="475">
        <f t="shared" si="79"/>
        <v>0</v>
      </c>
      <c r="AA185" s="475">
        <v>0</v>
      </c>
      <c r="AB185" s="476">
        <v>0</v>
      </c>
      <c r="AC185" s="38">
        <f t="shared" si="80"/>
        <v>0</v>
      </c>
      <c r="AD185" s="692">
        <f t="shared" si="70"/>
        <v>0</v>
      </c>
      <c r="AE185" s="692">
        <f t="shared" si="71"/>
        <v>-8000</v>
      </c>
      <c r="AF185" s="692">
        <f t="shared" si="72"/>
        <v>0</v>
      </c>
      <c r="AG185" s="38"/>
      <c r="AH185" s="692">
        <f t="shared" si="74"/>
        <v>0</v>
      </c>
      <c r="AI185" s="692">
        <f t="shared" si="75"/>
        <v>9000</v>
      </c>
      <c r="AJ185" s="692">
        <f t="shared" si="76"/>
        <v>0</v>
      </c>
      <c r="AL185" s="38">
        <f t="shared" si="73"/>
        <v>1000</v>
      </c>
    </row>
    <row r="186" spans="1:38">
      <c r="A186" s="21"/>
      <c r="B186" s="21" t="s">
        <v>109</v>
      </c>
      <c r="C186" s="666"/>
      <c r="D186" s="68" t="s">
        <v>467</v>
      </c>
      <c r="E186" s="679"/>
      <c r="F186" s="529">
        <f>VLOOKUP(D186,'Mar 2013 Revenue'!D:T,17,FALSE)</f>
        <v>0</v>
      </c>
      <c r="G186" s="680"/>
      <c r="H186" s="680"/>
      <c r="I186" s="755"/>
      <c r="J186" s="682">
        <f t="shared" si="54"/>
        <v>0</v>
      </c>
      <c r="K186" s="683"/>
      <c r="L186" s="684"/>
      <c r="M186" s="753"/>
      <c r="N186" s="683">
        <v>0</v>
      </c>
      <c r="O186" s="686"/>
      <c r="P186" s="683">
        <v>0</v>
      </c>
      <c r="Q186" s="687">
        <f t="shared" si="55"/>
        <v>0</v>
      </c>
      <c r="R186" s="687"/>
      <c r="S186" s="687"/>
      <c r="T186" s="688">
        <v>0</v>
      </c>
      <c r="U186" s="693"/>
      <c r="V186" s="690">
        <f t="shared" si="69"/>
        <v>0</v>
      </c>
      <c r="W186" s="683"/>
      <c r="X186" s="474">
        <f t="shared" si="77"/>
        <v>0</v>
      </c>
      <c r="Y186" s="474">
        <f t="shared" si="78"/>
        <v>0</v>
      </c>
      <c r="Z186" s="475">
        <f t="shared" si="79"/>
        <v>0</v>
      </c>
      <c r="AA186" s="475">
        <v>0</v>
      </c>
      <c r="AB186" s="476">
        <v>0</v>
      </c>
      <c r="AC186" s="38">
        <f t="shared" si="80"/>
        <v>0</v>
      </c>
      <c r="AD186" s="692">
        <f t="shared" si="70"/>
        <v>0</v>
      </c>
      <c r="AE186" s="692">
        <f t="shared" si="71"/>
        <v>0</v>
      </c>
      <c r="AF186" s="692">
        <f t="shared" si="72"/>
        <v>0</v>
      </c>
      <c r="AG186" s="38"/>
      <c r="AH186" s="692">
        <f t="shared" si="74"/>
        <v>0</v>
      </c>
      <c r="AI186" s="692">
        <f t="shared" si="75"/>
        <v>0</v>
      </c>
      <c r="AJ186" s="692">
        <f t="shared" si="76"/>
        <v>0</v>
      </c>
      <c r="AL186" s="38">
        <f t="shared" si="73"/>
        <v>0</v>
      </c>
    </row>
    <row r="187" spans="1:38">
      <c r="A187" s="21"/>
      <c r="B187" s="21" t="s">
        <v>109</v>
      </c>
      <c r="C187" s="666" t="s">
        <v>575</v>
      </c>
      <c r="D187" s="68" t="s">
        <v>54</v>
      </c>
      <c r="E187" s="679">
        <v>16.55</v>
      </c>
      <c r="F187" s="529">
        <f>VLOOKUP(D187,'Mar 2013 Revenue'!D:T,17,FALSE)</f>
        <v>0</v>
      </c>
      <c r="G187" s="680"/>
      <c r="H187" s="680"/>
      <c r="I187" s="755"/>
      <c r="J187" s="682">
        <f t="shared" si="54"/>
        <v>16.55</v>
      </c>
      <c r="K187" s="683"/>
      <c r="L187" s="684"/>
      <c r="M187" s="753"/>
      <c r="N187" s="683">
        <v>0</v>
      </c>
      <c r="O187" s="686"/>
      <c r="P187" s="683">
        <v>0</v>
      </c>
      <c r="Q187" s="687">
        <f t="shared" si="55"/>
        <v>0</v>
      </c>
      <c r="R187" s="687"/>
      <c r="S187" s="687"/>
      <c r="T187" s="688">
        <v>0</v>
      </c>
      <c r="U187" s="693"/>
      <c r="V187" s="690">
        <f t="shared" si="69"/>
        <v>0</v>
      </c>
      <c r="W187" s="683"/>
      <c r="X187" s="474">
        <f t="shared" si="77"/>
        <v>0</v>
      </c>
      <c r="Y187" s="474">
        <f t="shared" si="78"/>
        <v>0</v>
      </c>
      <c r="Z187" s="475">
        <f t="shared" si="79"/>
        <v>0</v>
      </c>
      <c r="AA187" s="475">
        <v>0</v>
      </c>
      <c r="AB187" s="476">
        <v>0</v>
      </c>
      <c r="AC187" s="38">
        <f t="shared" si="80"/>
        <v>0</v>
      </c>
      <c r="AD187" s="692">
        <f t="shared" si="70"/>
        <v>0</v>
      </c>
      <c r="AE187" s="692">
        <f t="shared" si="71"/>
        <v>16.55</v>
      </c>
      <c r="AF187" s="692">
        <f t="shared" si="72"/>
        <v>0</v>
      </c>
      <c r="AG187" s="38"/>
      <c r="AH187" s="692">
        <f t="shared" si="74"/>
        <v>0</v>
      </c>
      <c r="AI187" s="692">
        <f t="shared" si="75"/>
        <v>0</v>
      </c>
      <c r="AJ187" s="692">
        <f t="shared" si="76"/>
        <v>0</v>
      </c>
      <c r="AL187" s="38">
        <f t="shared" si="73"/>
        <v>16.55</v>
      </c>
    </row>
    <row r="188" spans="1:38">
      <c r="A188" s="20"/>
      <c r="B188" s="20" t="s">
        <v>110</v>
      </c>
      <c r="C188" s="667" t="s">
        <v>576</v>
      </c>
      <c r="D188" s="68" t="s">
        <v>394</v>
      </c>
      <c r="E188" s="679"/>
      <c r="F188" s="529">
        <f>VLOOKUP(D188,'Mar 2013 Revenue'!D:T,17,FALSE)</f>
        <v>0</v>
      </c>
      <c r="G188" s="680"/>
      <c r="H188" s="680"/>
      <c r="I188" s="755"/>
      <c r="J188" s="682">
        <f t="shared" ref="J188:J221" si="81">SUM(E188:I188)</f>
        <v>0</v>
      </c>
      <c r="K188" s="683"/>
      <c r="L188" s="684"/>
      <c r="M188" s="753"/>
      <c r="N188" s="683">
        <v>0</v>
      </c>
      <c r="O188" s="686"/>
      <c r="P188" s="683">
        <v>0</v>
      </c>
      <c r="Q188" s="687">
        <f t="shared" si="55"/>
        <v>0</v>
      </c>
      <c r="R188" s="687"/>
      <c r="S188" s="687"/>
      <c r="T188" s="688">
        <v>0</v>
      </c>
      <c r="U188" s="693"/>
      <c r="V188" s="690">
        <f t="shared" si="69"/>
        <v>0</v>
      </c>
      <c r="W188" s="683"/>
      <c r="X188" s="474">
        <f t="shared" si="77"/>
        <v>0</v>
      </c>
      <c r="Y188" s="474">
        <f t="shared" si="78"/>
        <v>0</v>
      </c>
      <c r="Z188" s="475">
        <f t="shared" si="79"/>
        <v>0</v>
      </c>
      <c r="AA188" s="475">
        <v>0</v>
      </c>
      <c r="AB188" s="476">
        <v>0</v>
      </c>
      <c r="AC188" s="38">
        <f t="shared" si="80"/>
        <v>0</v>
      </c>
      <c r="AD188" s="692">
        <f t="shared" si="70"/>
        <v>0</v>
      </c>
      <c r="AE188" s="692">
        <f t="shared" si="71"/>
        <v>0</v>
      </c>
      <c r="AF188" s="692">
        <f t="shared" si="72"/>
        <v>0</v>
      </c>
      <c r="AG188" s="38"/>
      <c r="AH188" s="692">
        <f t="shared" si="74"/>
        <v>0</v>
      </c>
      <c r="AI188" s="692">
        <f t="shared" si="75"/>
        <v>0</v>
      </c>
      <c r="AJ188" s="692">
        <f t="shared" si="76"/>
        <v>0</v>
      </c>
      <c r="AL188" s="38">
        <f t="shared" si="73"/>
        <v>0</v>
      </c>
    </row>
    <row r="189" spans="1:38">
      <c r="A189" s="20"/>
      <c r="B189" s="20" t="s">
        <v>110</v>
      </c>
      <c r="C189" s="667"/>
      <c r="D189" s="68" t="s">
        <v>55</v>
      </c>
      <c r="E189" s="679"/>
      <c r="F189" s="529">
        <f>VLOOKUP(D189,'Mar 2013 Revenue'!D:T,17,FALSE)</f>
        <v>0</v>
      </c>
      <c r="G189" s="680"/>
      <c r="H189" s="680"/>
      <c r="I189" s="755"/>
      <c r="J189" s="682">
        <f t="shared" si="81"/>
        <v>0</v>
      </c>
      <c r="K189" s="683"/>
      <c r="L189" s="684"/>
      <c r="M189" s="753"/>
      <c r="N189" s="683">
        <v>0</v>
      </c>
      <c r="O189" s="686"/>
      <c r="P189" s="683">
        <v>0</v>
      </c>
      <c r="Q189" s="687">
        <f t="shared" si="55"/>
        <v>0</v>
      </c>
      <c r="R189" s="687"/>
      <c r="S189" s="687"/>
      <c r="T189" s="688">
        <v>655.54</v>
      </c>
      <c r="U189" s="693"/>
      <c r="V189" s="690">
        <f t="shared" si="69"/>
        <v>655.54</v>
      </c>
      <c r="W189" s="683"/>
      <c r="X189" s="474">
        <f t="shared" si="77"/>
        <v>0</v>
      </c>
      <c r="Y189" s="474">
        <f t="shared" si="78"/>
        <v>0</v>
      </c>
      <c r="Z189" s="475">
        <f t="shared" si="79"/>
        <v>0</v>
      </c>
      <c r="AA189" s="475">
        <v>0</v>
      </c>
      <c r="AB189" s="476">
        <v>0</v>
      </c>
      <c r="AC189" s="38">
        <f t="shared" si="80"/>
        <v>0</v>
      </c>
      <c r="AD189" s="692">
        <f t="shared" si="70"/>
        <v>0</v>
      </c>
      <c r="AE189" s="692">
        <f t="shared" si="71"/>
        <v>0</v>
      </c>
      <c r="AF189" s="692">
        <f t="shared" si="72"/>
        <v>0</v>
      </c>
      <c r="AG189" s="38"/>
      <c r="AH189" s="692">
        <f t="shared" si="74"/>
        <v>0</v>
      </c>
      <c r="AI189" s="692">
        <f t="shared" si="75"/>
        <v>0</v>
      </c>
      <c r="AJ189" s="692">
        <f t="shared" si="76"/>
        <v>0</v>
      </c>
      <c r="AL189" s="38">
        <f t="shared" si="73"/>
        <v>0</v>
      </c>
    </row>
    <row r="190" spans="1:38">
      <c r="A190" s="20"/>
      <c r="B190" s="20" t="s">
        <v>110</v>
      </c>
      <c r="C190" s="676" t="s">
        <v>854</v>
      </c>
      <c r="D190" s="68" t="s">
        <v>855</v>
      </c>
      <c r="E190" s="679"/>
      <c r="F190" s="529">
        <f>VLOOKUP(D190,'Mar 2013 Revenue'!D:T,17,FALSE)</f>
        <v>815.85</v>
      </c>
      <c r="G190" s="680"/>
      <c r="H190" s="680"/>
      <c r="I190" s="755"/>
      <c r="J190" s="682">
        <f t="shared" si="81"/>
        <v>815.85</v>
      </c>
      <c r="K190" s="683"/>
      <c r="L190" s="684"/>
      <c r="M190" s="753"/>
      <c r="N190" s="683">
        <v>0</v>
      </c>
      <c r="O190" s="686"/>
      <c r="P190" s="683">
        <v>0</v>
      </c>
      <c r="Q190" s="687">
        <f t="shared" si="55"/>
        <v>0</v>
      </c>
      <c r="R190" s="687"/>
      <c r="S190" s="687"/>
      <c r="T190" s="688">
        <v>975.77</v>
      </c>
      <c r="U190" s="693"/>
      <c r="V190" s="690">
        <f t="shared" si="69"/>
        <v>975.77</v>
      </c>
      <c r="W190" s="683"/>
      <c r="X190" s="474">
        <f t="shared" si="77"/>
        <v>0</v>
      </c>
      <c r="Y190" s="474">
        <f t="shared" si="78"/>
        <v>0</v>
      </c>
      <c r="Z190" s="475">
        <f t="shared" si="79"/>
        <v>0</v>
      </c>
      <c r="AA190" s="475">
        <v>0</v>
      </c>
      <c r="AB190" s="476">
        <v>0</v>
      </c>
      <c r="AC190" s="38">
        <f t="shared" si="80"/>
        <v>0</v>
      </c>
      <c r="AD190" s="692">
        <f t="shared" si="70"/>
        <v>815.85</v>
      </c>
      <c r="AE190" s="692">
        <f t="shared" si="71"/>
        <v>0</v>
      </c>
      <c r="AF190" s="692">
        <f t="shared" si="72"/>
        <v>0</v>
      </c>
      <c r="AG190" s="38"/>
      <c r="AH190" s="692">
        <f t="shared" si="74"/>
        <v>0</v>
      </c>
      <c r="AI190" s="692">
        <f t="shared" si="75"/>
        <v>0</v>
      </c>
      <c r="AJ190" s="692">
        <f t="shared" si="76"/>
        <v>0</v>
      </c>
      <c r="AL190" s="38">
        <f t="shared" si="73"/>
        <v>815.85</v>
      </c>
    </row>
    <row r="191" spans="1:38">
      <c r="A191" s="20"/>
      <c r="B191" s="20" t="s">
        <v>109</v>
      </c>
      <c r="C191" s="667" t="s">
        <v>577</v>
      </c>
      <c r="D191" s="68" t="s">
        <v>159</v>
      </c>
      <c r="E191" s="679"/>
      <c r="F191" s="529">
        <f>VLOOKUP(D191,'Mar 2013 Revenue'!D:T,17,FALSE)</f>
        <v>0</v>
      </c>
      <c r="G191" s="680"/>
      <c r="H191" s="680"/>
      <c r="I191" s="804">
        <v>13793.32</v>
      </c>
      <c r="J191" s="682">
        <f t="shared" si="81"/>
        <v>13793.32</v>
      </c>
      <c r="K191" s="683"/>
      <c r="L191" s="684"/>
      <c r="M191" s="753"/>
      <c r="N191" s="683">
        <v>0</v>
      </c>
      <c r="O191" s="686"/>
      <c r="P191" s="683">
        <v>0</v>
      </c>
      <c r="Q191" s="687">
        <f t="shared" si="55"/>
        <v>0</v>
      </c>
      <c r="R191" s="687"/>
      <c r="S191" s="687"/>
      <c r="T191" s="688">
        <v>0</v>
      </c>
      <c r="U191" s="693"/>
      <c r="V191" s="690">
        <f t="shared" si="69"/>
        <v>0</v>
      </c>
      <c r="W191" s="683"/>
      <c r="X191" s="474">
        <f t="shared" si="77"/>
        <v>0</v>
      </c>
      <c r="Y191" s="474">
        <f t="shared" si="78"/>
        <v>0</v>
      </c>
      <c r="Z191" s="475">
        <f t="shared" si="79"/>
        <v>0</v>
      </c>
      <c r="AA191" s="475">
        <v>0</v>
      </c>
      <c r="AB191" s="476">
        <v>0</v>
      </c>
      <c r="AC191" s="38">
        <f t="shared" si="80"/>
        <v>0</v>
      </c>
      <c r="AD191" s="692">
        <f t="shared" si="70"/>
        <v>0</v>
      </c>
      <c r="AE191" s="692">
        <f t="shared" si="71"/>
        <v>13793.32</v>
      </c>
      <c r="AF191" s="692">
        <f t="shared" si="72"/>
        <v>0</v>
      </c>
      <c r="AG191" s="38"/>
      <c r="AH191" s="692">
        <f t="shared" si="74"/>
        <v>0</v>
      </c>
      <c r="AI191" s="692">
        <f t="shared" si="75"/>
        <v>0</v>
      </c>
      <c r="AJ191" s="692">
        <f t="shared" si="76"/>
        <v>0</v>
      </c>
      <c r="AL191" s="38">
        <f t="shared" si="73"/>
        <v>13793.32</v>
      </c>
    </row>
    <row r="192" spans="1:38">
      <c r="A192" s="20"/>
      <c r="B192" s="20" t="s">
        <v>109</v>
      </c>
      <c r="C192" s="667" t="s">
        <v>577</v>
      </c>
      <c r="D192" s="68" t="s">
        <v>160</v>
      </c>
      <c r="E192" s="679"/>
      <c r="F192" s="529">
        <f>VLOOKUP(D192,'Mar 2013 Revenue'!D:T,17,FALSE)</f>
        <v>0</v>
      </c>
      <c r="G192" s="680"/>
      <c r="H192" s="680"/>
      <c r="I192" s="804">
        <v>9486.2900000000009</v>
      </c>
      <c r="J192" s="682">
        <f t="shared" si="81"/>
        <v>9486.2900000000009</v>
      </c>
      <c r="K192" s="683"/>
      <c r="L192" s="684"/>
      <c r="M192" s="753"/>
      <c r="N192" s="683">
        <v>0</v>
      </c>
      <c r="O192" s="686"/>
      <c r="P192" s="683">
        <v>0</v>
      </c>
      <c r="Q192" s="687">
        <f t="shared" si="55"/>
        <v>0</v>
      </c>
      <c r="R192" s="687"/>
      <c r="S192" s="687"/>
      <c r="T192" s="688">
        <v>0</v>
      </c>
      <c r="U192" s="693"/>
      <c r="V192" s="690">
        <f t="shared" si="69"/>
        <v>0</v>
      </c>
      <c r="W192" s="683"/>
      <c r="X192" s="474">
        <f t="shared" si="77"/>
        <v>0</v>
      </c>
      <c r="Y192" s="474">
        <f t="shared" si="78"/>
        <v>0</v>
      </c>
      <c r="Z192" s="475">
        <f t="shared" si="79"/>
        <v>0</v>
      </c>
      <c r="AA192" s="475">
        <v>0</v>
      </c>
      <c r="AB192" s="476">
        <v>0</v>
      </c>
      <c r="AC192" s="38">
        <f t="shared" si="80"/>
        <v>0</v>
      </c>
      <c r="AD192" s="692">
        <f t="shared" si="70"/>
        <v>0</v>
      </c>
      <c r="AE192" s="692">
        <f t="shared" si="71"/>
        <v>9486.2900000000009</v>
      </c>
      <c r="AF192" s="692">
        <f t="shared" si="72"/>
        <v>0</v>
      </c>
      <c r="AG192" s="38"/>
      <c r="AH192" s="692">
        <f t="shared" si="74"/>
        <v>0</v>
      </c>
      <c r="AI192" s="692">
        <f t="shared" si="75"/>
        <v>0</v>
      </c>
      <c r="AJ192" s="692">
        <f t="shared" si="76"/>
        <v>0</v>
      </c>
      <c r="AL192" s="38">
        <f t="shared" si="73"/>
        <v>9486.2900000000009</v>
      </c>
    </row>
    <row r="193" spans="1:38">
      <c r="A193" s="21"/>
      <c r="B193" s="21" t="s">
        <v>109</v>
      </c>
      <c r="C193" s="667" t="s">
        <v>577</v>
      </c>
      <c r="D193" s="68" t="s">
        <v>161</v>
      </c>
      <c r="E193" s="679"/>
      <c r="F193" s="529">
        <f>VLOOKUP(D193,'Mar 2013 Revenue'!D:T,17,FALSE)</f>
        <v>0</v>
      </c>
      <c r="G193" s="680"/>
      <c r="H193" s="680"/>
      <c r="I193" s="755"/>
      <c r="J193" s="682">
        <f t="shared" si="81"/>
        <v>0</v>
      </c>
      <c r="K193" s="683"/>
      <c r="L193" s="684"/>
      <c r="M193" s="753"/>
      <c r="N193" s="683">
        <v>0</v>
      </c>
      <c r="O193" s="686"/>
      <c r="P193" s="683">
        <v>0</v>
      </c>
      <c r="Q193" s="687">
        <f t="shared" si="55"/>
        <v>0</v>
      </c>
      <c r="R193" s="687"/>
      <c r="S193" s="687"/>
      <c r="T193" s="688">
        <v>0</v>
      </c>
      <c r="U193" s="693"/>
      <c r="V193" s="690">
        <f t="shared" si="69"/>
        <v>0</v>
      </c>
      <c r="W193" s="683"/>
      <c r="X193" s="474">
        <f t="shared" si="77"/>
        <v>0</v>
      </c>
      <c r="Y193" s="474">
        <f t="shared" si="78"/>
        <v>0</v>
      </c>
      <c r="Z193" s="475">
        <f t="shared" si="79"/>
        <v>0</v>
      </c>
      <c r="AA193" s="475">
        <v>0</v>
      </c>
      <c r="AB193" s="476">
        <v>0</v>
      </c>
      <c r="AC193" s="38">
        <f t="shared" si="80"/>
        <v>0</v>
      </c>
      <c r="AD193" s="692">
        <f t="shared" si="70"/>
        <v>0</v>
      </c>
      <c r="AE193" s="692">
        <f t="shared" si="71"/>
        <v>0</v>
      </c>
      <c r="AF193" s="692">
        <f t="shared" si="72"/>
        <v>0</v>
      </c>
      <c r="AG193" s="38"/>
      <c r="AH193" s="692">
        <f t="shared" si="74"/>
        <v>0</v>
      </c>
      <c r="AI193" s="692">
        <f t="shared" si="75"/>
        <v>0</v>
      </c>
      <c r="AJ193" s="692">
        <f t="shared" si="76"/>
        <v>0</v>
      </c>
      <c r="AL193" s="38">
        <f t="shared" si="73"/>
        <v>0</v>
      </c>
    </row>
    <row r="194" spans="1:38">
      <c r="A194" s="21"/>
      <c r="B194" s="21" t="s">
        <v>109</v>
      </c>
      <c r="C194" s="667" t="s">
        <v>577</v>
      </c>
      <c r="D194" s="68" t="s">
        <v>162</v>
      </c>
      <c r="E194" s="679"/>
      <c r="F194" s="529">
        <f>VLOOKUP(D194,'Mar 2013 Revenue'!D:T,17,FALSE)</f>
        <v>0</v>
      </c>
      <c r="G194" s="680"/>
      <c r="H194" s="680"/>
      <c r="I194" s="755"/>
      <c r="J194" s="682">
        <f t="shared" si="81"/>
        <v>0</v>
      </c>
      <c r="K194" s="683"/>
      <c r="L194" s="684"/>
      <c r="M194" s="753"/>
      <c r="N194" s="683">
        <v>0</v>
      </c>
      <c r="O194" s="686"/>
      <c r="P194" s="683">
        <v>0</v>
      </c>
      <c r="Q194" s="687">
        <f t="shared" si="55"/>
        <v>0</v>
      </c>
      <c r="R194" s="687"/>
      <c r="S194" s="687"/>
      <c r="T194" s="688">
        <v>0</v>
      </c>
      <c r="U194" s="693"/>
      <c r="V194" s="690">
        <f t="shared" si="69"/>
        <v>0</v>
      </c>
      <c r="W194" s="683"/>
      <c r="X194" s="474">
        <f t="shared" si="77"/>
        <v>0</v>
      </c>
      <c r="Y194" s="474">
        <f t="shared" si="78"/>
        <v>0</v>
      </c>
      <c r="Z194" s="475">
        <f t="shared" si="79"/>
        <v>0</v>
      </c>
      <c r="AA194" s="475">
        <v>0</v>
      </c>
      <c r="AB194" s="476">
        <v>0</v>
      </c>
      <c r="AC194" s="38">
        <f t="shared" si="80"/>
        <v>0</v>
      </c>
      <c r="AD194" s="692">
        <f t="shared" si="70"/>
        <v>0</v>
      </c>
      <c r="AE194" s="692">
        <f t="shared" si="71"/>
        <v>0</v>
      </c>
      <c r="AF194" s="692">
        <f t="shared" si="72"/>
        <v>0</v>
      </c>
      <c r="AG194" s="38"/>
      <c r="AH194" s="692">
        <f t="shared" si="74"/>
        <v>0</v>
      </c>
      <c r="AI194" s="692">
        <f t="shared" si="75"/>
        <v>0</v>
      </c>
      <c r="AJ194" s="692">
        <f t="shared" si="76"/>
        <v>0</v>
      </c>
      <c r="AL194" s="38">
        <f t="shared" si="73"/>
        <v>0</v>
      </c>
    </row>
    <row r="195" spans="1:38">
      <c r="A195" s="21"/>
      <c r="B195" s="21" t="s">
        <v>109</v>
      </c>
      <c r="C195" s="666"/>
      <c r="D195" s="68" t="s">
        <v>163</v>
      </c>
      <c r="E195" s="679"/>
      <c r="F195" s="529">
        <f>VLOOKUP(D195,'Mar 2013 Revenue'!D:T,17,FALSE)</f>
        <v>0</v>
      </c>
      <c r="G195" s="680"/>
      <c r="H195" s="680"/>
      <c r="I195" s="804">
        <v>4772.3100000000004</v>
      </c>
      <c r="J195" s="682">
        <f t="shared" si="81"/>
        <v>4772.3100000000004</v>
      </c>
      <c r="K195" s="683"/>
      <c r="L195" s="684"/>
      <c r="M195" s="753"/>
      <c r="N195" s="683">
        <v>0</v>
      </c>
      <c r="O195" s="686"/>
      <c r="P195" s="683">
        <v>0</v>
      </c>
      <c r="Q195" s="687">
        <f t="shared" si="55"/>
        <v>0</v>
      </c>
      <c r="R195" s="687"/>
      <c r="S195" s="687"/>
      <c r="T195" s="688">
        <v>0</v>
      </c>
      <c r="U195" s="704"/>
      <c r="V195" s="690">
        <f t="shared" si="69"/>
        <v>0</v>
      </c>
      <c r="W195" s="705"/>
      <c r="X195" s="474">
        <f t="shared" si="77"/>
        <v>0</v>
      </c>
      <c r="Y195" s="474">
        <f t="shared" si="78"/>
        <v>0</v>
      </c>
      <c r="Z195" s="475">
        <f t="shared" si="79"/>
        <v>0</v>
      </c>
      <c r="AA195" s="475">
        <v>0</v>
      </c>
      <c r="AB195" s="476">
        <v>0</v>
      </c>
      <c r="AC195" s="38">
        <f t="shared" si="80"/>
        <v>0</v>
      </c>
      <c r="AD195" s="692">
        <f t="shared" si="70"/>
        <v>0</v>
      </c>
      <c r="AE195" s="692">
        <f t="shared" si="71"/>
        <v>4772.3100000000004</v>
      </c>
      <c r="AF195" s="692">
        <f t="shared" si="72"/>
        <v>0</v>
      </c>
      <c r="AG195" s="38"/>
      <c r="AH195" s="692">
        <f t="shared" si="74"/>
        <v>0</v>
      </c>
      <c r="AI195" s="692">
        <f t="shared" si="75"/>
        <v>0</v>
      </c>
      <c r="AJ195" s="692">
        <f t="shared" si="76"/>
        <v>0</v>
      </c>
      <c r="AL195" s="38">
        <f t="shared" si="73"/>
        <v>4772.3100000000004</v>
      </c>
    </row>
    <row r="196" spans="1:38">
      <c r="A196" s="21"/>
      <c r="B196" s="21" t="s">
        <v>109</v>
      </c>
      <c r="C196" s="666"/>
      <c r="D196" s="412" t="s">
        <v>164</v>
      </c>
      <c r="E196" s="679"/>
      <c r="F196" s="529">
        <f>VLOOKUP(D196,'Mar 2013 Revenue'!D:T,17,FALSE)</f>
        <v>0</v>
      </c>
      <c r="G196" s="680"/>
      <c r="H196" s="680"/>
      <c r="I196" s="804">
        <v>30.76</v>
      </c>
      <c r="J196" s="682">
        <f t="shared" si="81"/>
        <v>30.76</v>
      </c>
      <c r="K196" s="683"/>
      <c r="L196" s="684"/>
      <c r="M196" s="753"/>
      <c r="N196" s="683">
        <v>0</v>
      </c>
      <c r="O196" s="686"/>
      <c r="P196" s="683">
        <v>0</v>
      </c>
      <c r="Q196" s="687">
        <f t="shared" si="55"/>
        <v>0</v>
      </c>
      <c r="R196" s="687"/>
      <c r="S196" s="687"/>
      <c r="T196" s="688">
        <v>0</v>
      </c>
      <c r="U196" s="704"/>
      <c r="V196" s="690">
        <f t="shared" si="69"/>
        <v>0</v>
      </c>
      <c r="W196" s="705"/>
      <c r="X196" s="474">
        <f t="shared" si="77"/>
        <v>0</v>
      </c>
      <c r="Y196" s="474">
        <f t="shared" si="78"/>
        <v>0</v>
      </c>
      <c r="Z196" s="475">
        <f t="shared" si="79"/>
        <v>0</v>
      </c>
      <c r="AA196" s="475">
        <v>0</v>
      </c>
      <c r="AB196" s="476">
        <v>0</v>
      </c>
      <c r="AC196" s="38">
        <f t="shared" si="80"/>
        <v>0</v>
      </c>
      <c r="AD196" s="692">
        <f t="shared" si="70"/>
        <v>0</v>
      </c>
      <c r="AE196" s="692">
        <f t="shared" si="71"/>
        <v>30.76</v>
      </c>
      <c r="AF196" s="692">
        <f t="shared" si="72"/>
        <v>0</v>
      </c>
      <c r="AG196" s="38"/>
      <c r="AH196" s="692">
        <f t="shared" si="74"/>
        <v>0</v>
      </c>
      <c r="AI196" s="692">
        <f t="shared" si="75"/>
        <v>0</v>
      </c>
      <c r="AJ196" s="692">
        <f t="shared" si="76"/>
        <v>0</v>
      </c>
      <c r="AL196" s="38">
        <f t="shared" si="73"/>
        <v>30.76</v>
      </c>
    </row>
    <row r="197" spans="1:38">
      <c r="A197" s="21" t="s">
        <v>109</v>
      </c>
      <c r="B197" s="21" t="s">
        <v>114</v>
      </c>
      <c r="C197" s="666" t="s">
        <v>578</v>
      </c>
      <c r="D197" s="412" t="s">
        <v>318</v>
      </c>
      <c r="E197" s="679">
        <v>24288</v>
      </c>
      <c r="F197" s="529">
        <f>VLOOKUP(D197,'Mar 2013 Revenue'!D:T,17,FALSE)</f>
        <v>-40000</v>
      </c>
      <c r="G197" s="680"/>
      <c r="H197" s="680"/>
      <c r="I197" s="755"/>
      <c r="J197" s="682">
        <f t="shared" si="81"/>
        <v>-15712</v>
      </c>
      <c r="K197" s="683"/>
      <c r="L197" s="684"/>
      <c r="M197" s="753">
        <v>45000</v>
      </c>
      <c r="N197" s="683">
        <v>0</v>
      </c>
      <c r="O197" s="686"/>
      <c r="P197" s="683">
        <v>0</v>
      </c>
      <c r="Q197" s="687">
        <f t="shared" si="55"/>
        <v>45000</v>
      </c>
      <c r="R197" s="687"/>
      <c r="S197" s="687"/>
      <c r="T197" s="688">
        <v>0</v>
      </c>
      <c r="U197" s="704"/>
      <c r="V197" s="690">
        <f t="shared" si="69"/>
        <v>-45000</v>
      </c>
      <c r="W197" s="683"/>
      <c r="X197" s="474">
        <f t="shared" si="77"/>
        <v>0</v>
      </c>
      <c r="Y197" s="474">
        <f t="shared" si="78"/>
        <v>0</v>
      </c>
      <c r="Z197" s="475">
        <f t="shared" si="79"/>
        <v>45000</v>
      </c>
      <c r="AA197" s="475">
        <v>0</v>
      </c>
      <c r="AB197" s="476">
        <v>0</v>
      </c>
      <c r="AC197" s="38">
        <f t="shared" si="80"/>
        <v>0</v>
      </c>
      <c r="AD197" s="692">
        <f t="shared" si="70"/>
        <v>0</v>
      </c>
      <c r="AE197" s="692">
        <f t="shared" si="71"/>
        <v>0</v>
      </c>
      <c r="AF197" s="692">
        <f t="shared" si="72"/>
        <v>-15712</v>
      </c>
      <c r="AG197" s="38"/>
      <c r="AH197" s="692">
        <f t="shared" si="74"/>
        <v>0</v>
      </c>
      <c r="AI197" s="692">
        <f t="shared" si="75"/>
        <v>0</v>
      </c>
      <c r="AJ197" s="692">
        <f t="shared" si="76"/>
        <v>45000</v>
      </c>
      <c r="AL197" s="38">
        <f t="shared" si="73"/>
        <v>29288</v>
      </c>
    </row>
    <row r="198" spans="1:38">
      <c r="A198" s="20" t="s">
        <v>211</v>
      </c>
      <c r="B198" s="20" t="s">
        <v>109</v>
      </c>
      <c r="C198" s="667"/>
      <c r="D198" s="68" t="s">
        <v>57</v>
      </c>
      <c r="E198" s="679"/>
      <c r="F198" s="529">
        <f>VLOOKUP(D198,'Mar 2013 Revenue'!D:T,17,FALSE)</f>
        <v>0</v>
      </c>
      <c r="G198" s="680"/>
      <c r="H198" s="680"/>
      <c r="I198" s="755"/>
      <c r="J198" s="682">
        <f t="shared" si="81"/>
        <v>0</v>
      </c>
      <c r="K198" s="683"/>
      <c r="L198" s="684"/>
      <c r="M198" s="753"/>
      <c r="N198" s="683">
        <v>0</v>
      </c>
      <c r="O198" s="686"/>
      <c r="P198" s="683">
        <v>0</v>
      </c>
      <c r="Q198" s="687">
        <f t="shared" si="55"/>
        <v>0</v>
      </c>
      <c r="R198" s="687"/>
      <c r="S198" s="687"/>
      <c r="T198" s="688">
        <v>0</v>
      </c>
      <c r="U198" s="693"/>
      <c r="V198" s="690">
        <f t="shared" si="69"/>
        <v>0</v>
      </c>
      <c r="W198" s="683"/>
      <c r="X198" s="474">
        <f t="shared" si="77"/>
        <v>0</v>
      </c>
      <c r="Y198" s="474">
        <f t="shared" si="78"/>
        <v>0</v>
      </c>
      <c r="Z198" s="475">
        <f t="shared" si="79"/>
        <v>0</v>
      </c>
      <c r="AA198" s="475">
        <v>0</v>
      </c>
      <c r="AB198" s="476">
        <v>0</v>
      </c>
      <c r="AC198" s="38">
        <f t="shared" si="80"/>
        <v>0</v>
      </c>
      <c r="AD198" s="692">
        <f t="shared" si="70"/>
        <v>0</v>
      </c>
      <c r="AE198" s="692">
        <f t="shared" si="71"/>
        <v>0</v>
      </c>
      <c r="AF198" s="692">
        <f t="shared" si="72"/>
        <v>0</v>
      </c>
      <c r="AG198" s="38"/>
      <c r="AH198" s="692">
        <f t="shared" si="74"/>
        <v>0</v>
      </c>
      <c r="AI198" s="692">
        <f t="shared" si="75"/>
        <v>0</v>
      </c>
      <c r="AJ198" s="692">
        <f t="shared" si="76"/>
        <v>0</v>
      </c>
      <c r="AL198" s="38">
        <f t="shared" si="73"/>
        <v>0</v>
      </c>
    </row>
    <row r="199" spans="1:38">
      <c r="A199" s="20"/>
      <c r="B199" s="20" t="s">
        <v>114</v>
      </c>
      <c r="C199" s="676" t="s">
        <v>621</v>
      </c>
      <c r="D199" s="68" t="s">
        <v>622</v>
      </c>
      <c r="E199" s="679">
        <v>1545.5</v>
      </c>
      <c r="F199" s="529">
        <f>VLOOKUP(D199,'Mar 2013 Revenue'!D:T,17,FALSE)</f>
        <v>0</v>
      </c>
      <c r="G199" s="680"/>
      <c r="H199" s="680"/>
      <c r="I199" s="755"/>
      <c r="J199" s="682">
        <f t="shared" si="81"/>
        <v>1545.5</v>
      </c>
      <c r="K199" s="683"/>
      <c r="L199" s="684"/>
      <c r="M199" s="753"/>
      <c r="N199" s="683">
        <v>0</v>
      </c>
      <c r="O199" s="686"/>
      <c r="P199" s="683">
        <v>0</v>
      </c>
      <c r="Q199" s="687">
        <f t="shared" si="55"/>
        <v>0</v>
      </c>
      <c r="R199" s="687"/>
      <c r="S199" s="687"/>
      <c r="T199" s="688">
        <v>0</v>
      </c>
      <c r="U199" s="704"/>
      <c r="V199" s="690">
        <f t="shared" si="69"/>
        <v>0</v>
      </c>
      <c r="W199" s="683"/>
      <c r="X199" s="474">
        <f t="shared" si="77"/>
        <v>0</v>
      </c>
      <c r="Y199" s="474">
        <f t="shared" si="78"/>
        <v>0</v>
      </c>
      <c r="Z199" s="475">
        <f t="shared" si="79"/>
        <v>0</v>
      </c>
      <c r="AA199" s="475">
        <v>0</v>
      </c>
      <c r="AB199" s="476">
        <v>0</v>
      </c>
      <c r="AC199" s="38">
        <f t="shared" si="80"/>
        <v>0</v>
      </c>
      <c r="AD199" s="692">
        <f t="shared" si="70"/>
        <v>0</v>
      </c>
      <c r="AE199" s="692">
        <f t="shared" si="71"/>
        <v>0</v>
      </c>
      <c r="AF199" s="692">
        <f t="shared" si="72"/>
        <v>1545.5</v>
      </c>
      <c r="AG199" s="38"/>
      <c r="AH199" s="692">
        <f t="shared" si="74"/>
        <v>0</v>
      </c>
      <c r="AI199" s="692">
        <f t="shared" si="75"/>
        <v>0</v>
      </c>
      <c r="AJ199" s="692">
        <f t="shared" si="76"/>
        <v>0</v>
      </c>
      <c r="AL199" s="38">
        <f t="shared" si="73"/>
        <v>1545.5</v>
      </c>
    </row>
    <row r="200" spans="1:38">
      <c r="A200" s="20"/>
      <c r="B200" s="20" t="s">
        <v>110</v>
      </c>
      <c r="C200" s="667"/>
      <c r="D200" s="68" t="s">
        <v>497</v>
      </c>
      <c r="E200" s="679"/>
      <c r="F200" s="529">
        <f>VLOOKUP(D200,'Mar 2013 Revenue'!D:T,17,FALSE)</f>
        <v>0</v>
      </c>
      <c r="G200" s="680"/>
      <c r="H200" s="680"/>
      <c r="I200" s="755"/>
      <c r="J200" s="682">
        <f t="shared" si="81"/>
        <v>0</v>
      </c>
      <c r="K200" s="683"/>
      <c r="L200" s="684"/>
      <c r="M200" s="753"/>
      <c r="N200" s="683">
        <v>0</v>
      </c>
      <c r="O200" s="686"/>
      <c r="P200" s="683">
        <v>0</v>
      </c>
      <c r="Q200" s="687">
        <f t="shared" si="55"/>
        <v>0</v>
      </c>
      <c r="R200" s="687"/>
      <c r="S200" s="687"/>
      <c r="T200" s="688">
        <v>0</v>
      </c>
      <c r="U200" s="693"/>
      <c r="V200" s="690">
        <f t="shared" si="69"/>
        <v>0</v>
      </c>
      <c r="W200" s="683"/>
      <c r="X200" s="474">
        <f t="shared" si="77"/>
        <v>0</v>
      </c>
      <c r="Y200" s="474">
        <f t="shared" si="78"/>
        <v>0</v>
      </c>
      <c r="Z200" s="475">
        <f t="shared" si="79"/>
        <v>0</v>
      </c>
      <c r="AA200" s="475">
        <v>0</v>
      </c>
      <c r="AB200" s="476">
        <v>0</v>
      </c>
      <c r="AC200" s="38">
        <f t="shared" si="80"/>
        <v>0</v>
      </c>
      <c r="AD200" s="692">
        <f t="shared" si="70"/>
        <v>0</v>
      </c>
      <c r="AE200" s="692">
        <f t="shared" si="71"/>
        <v>0</v>
      </c>
      <c r="AF200" s="692">
        <f t="shared" si="72"/>
        <v>0</v>
      </c>
      <c r="AG200" s="38"/>
      <c r="AH200" s="692">
        <f t="shared" si="74"/>
        <v>0</v>
      </c>
      <c r="AI200" s="692">
        <f t="shared" si="75"/>
        <v>0</v>
      </c>
      <c r="AJ200" s="692">
        <f t="shared" si="76"/>
        <v>0</v>
      </c>
      <c r="AL200" s="38">
        <f t="shared" si="73"/>
        <v>0</v>
      </c>
    </row>
    <row r="201" spans="1:38">
      <c r="A201" s="20"/>
      <c r="B201" s="20" t="s">
        <v>110</v>
      </c>
      <c r="C201" s="667"/>
      <c r="D201" s="68" t="s">
        <v>509</v>
      </c>
      <c r="E201" s="679"/>
      <c r="F201" s="529">
        <f>VLOOKUP(D201,'Mar 2013 Revenue'!D:T,17,FALSE)</f>
        <v>6929.7999999999993</v>
      </c>
      <c r="G201" s="680"/>
      <c r="H201" s="680"/>
      <c r="I201" s="755"/>
      <c r="J201" s="682">
        <f t="shared" si="81"/>
        <v>6929.7999999999993</v>
      </c>
      <c r="K201" s="683"/>
      <c r="L201" s="684"/>
      <c r="M201" s="753">
        <v>15000</v>
      </c>
      <c r="N201" s="683"/>
      <c r="O201" s="686"/>
      <c r="P201" s="683"/>
      <c r="Q201" s="687">
        <f t="shared" si="55"/>
        <v>15000</v>
      </c>
      <c r="R201" s="687"/>
      <c r="S201" s="687"/>
      <c r="T201" s="688">
        <v>0</v>
      </c>
      <c r="U201" s="693"/>
      <c r="V201" s="690">
        <f t="shared" si="69"/>
        <v>-15000</v>
      </c>
      <c r="W201" s="683"/>
      <c r="X201" s="474">
        <f t="shared" si="77"/>
        <v>15000</v>
      </c>
      <c r="Y201" s="474">
        <f t="shared" si="78"/>
        <v>0</v>
      </c>
      <c r="Z201" s="475">
        <f t="shared" si="79"/>
        <v>0</v>
      </c>
      <c r="AA201" s="475">
        <v>0</v>
      </c>
      <c r="AB201" s="476">
        <v>0</v>
      </c>
      <c r="AC201" s="38">
        <f t="shared" si="80"/>
        <v>0</v>
      </c>
      <c r="AD201" s="692">
        <f t="shared" si="70"/>
        <v>6929.7999999999993</v>
      </c>
      <c r="AE201" s="692">
        <f t="shared" si="71"/>
        <v>0</v>
      </c>
      <c r="AF201" s="692">
        <f t="shared" si="72"/>
        <v>0</v>
      </c>
      <c r="AG201" s="38"/>
      <c r="AH201" s="692">
        <f t="shared" si="74"/>
        <v>15000</v>
      </c>
      <c r="AI201" s="692">
        <f t="shared" si="75"/>
        <v>0</v>
      </c>
      <c r="AJ201" s="692">
        <f t="shared" si="76"/>
        <v>0</v>
      </c>
      <c r="AL201" s="38">
        <f t="shared" si="73"/>
        <v>21929.8</v>
      </c>
    </row>
    <row r="202" spans="1:38" s="627" customFormat="1">
      <c r="A202" s="610"/>
      <c r="B202" s="610" t="s">
        <v>110</v>
      </c>
      <c r="C202" s="667" t="s">
        <v>580</v>
      </c>
      <c r="D202" s="612" t="s">
        <v>476</v>
      </c>
      <c r="E202" s="679"/>
      <c r="F202" s="529">
        <f>VLOOKUP(D202,'Mar 2013 Revenue'!D:T,17,FALSE)</f>
        <v>0</v>
      </c>
      <c r="G202" s="680"/>
      <c r="H202" s="680"/>
      <c r="I202" s="755"/>
      <c r="J202" s="682">
        <f t="shared" si="81"/>
        <v>0</v>
      </c>
      <c r="K202" s="683"/>
      <c r="L202" s="684"/>
      <c r="M202" s="753"/>
      <c r="N202" s="683">
        <v>0</v>
      </c>
      <c r="O202" s="686"/>
      <c r="P202" s="683">
        <v>0</v>
      </c>
      <c r="Q202" s="687">
        <f t="shared" si="55"/>
        <v>0</v>
      </c>
      <c r="R202" s="687"/>
      <c r="S202" s="687"/>
      <c r="T202" s="688">
        <v>0</v>
      </c>
      <c r="U202" s="706"/>
      <c r="V202" s="690">
        <f t="shared" si="69"/>
        <v>0</v>
      </c>
      <c r="W202" s="707"/>
      <c r="X202" s="474">
        <f t="shared" si="77"/>
        <v>0</v>
      </c>
      <c r="Y202" s="474">
        <f t="shared" si="78"/>
        <v>0</v>
      </c>
      <c r="Z202" s="475">
        <f t="shared" si="79"/>
        <v>0</v>
      </c>
      <c r="AA202" s="475">
        <v>0</v>
      </c>
      <c r="AB202" s="476">
        <v>0</v>
      </c>
      <c r="AC202" s="38">
        <f t="shared" si="80"/>
        <v>0</v>
      </c>
      <c r="AD202" s="692">
        <f t="shared" si="70"/>
        <v>0</v>
      </c>
      <c r="AE202" s="692">
        <f t="shared" si="71"/>
        <v>0</v>
      </c>
      <c r="AF202" s="692">
        <f t="shared" si="72"/>
        <v>0</v>
      </c>
      <c r="AG202" s="38"/>
      <c r="AH202" s="692">
        <f t="shared" si="74"/>
        <v>0</v>
      </c>
      <c r="AI202" s="692">
        <f t="shared" si="75"/>
        <v>0</v>
      </c>
      <c r="AJ202" s="692">
        <f t="shared" si="76"/>
        <v>0</v>
      </c>
      <c r="AL202" s="38">
        <f t="shared" si="73"/>
        <v>0</v>
      </c>
    </row>
    <row r="203" spans="1:38" s="232" customFormat="1">
      <c r="A203" s="283"/>
      <c r="B203" s="283" t="s">
        <v>114</v>
      </c>
      <c r="C203" s="667" t="s">
        <v>580</v>
      </c>
      <c r="D203" s="123" t="s">
        <v>371</v>
      </c>
      <c r="E203" s="679"/>
      <c r="F203" s="529">
        <f>VLOOKUP(D203,'Mar 2013 Revenue'!D:T,17,FALSE)</f>
        <v>627.77000000000044</v>
      </c>
      <c r="G203" s="680"/>
      <c r="H203" s="680"/>
      <c r="I203" s="755"/>
      <c r="J203" s="682">
        <f t="shared" si="81"/>
        <v>627.77000000000044</v>
      </c>
      <c r="K203" s="683"/>
      <c r="L203" s="684"/>
      <c r="M203" s="753">
        <v>10000</v>
      </c>
      <c r="N203" s="683">
        <v>0</v>
      </c>
      <c r="O203" s="686"/>
      <c r="P203" s="683">
        <v>0</v>
      </c>
      <c r="Q203" s="687">
        <f t="shared" si="55"/>
        <v>10000</v>
      </c>
      <c r="R203" s="687"/>
      <c r="S203" s="687"/>
      <c r="T203" s="688">
        <f>612.7+6663.1</f>
        <v>7275.8</v>
      </c>
      <c r="U203" s="693"/>
      <c r="V203" s="690">
        <f t="shared" si="69"/>
        <v>-2724.2</v>
      </c>
      <c r="W203" s="683"/>
      <c r="X203" s="474">
        <f t="shared" si="77"/>
        <v>0</v>
      </c>
      <c r="Y203" s="474">
        <f t="shared" si="78"/>
        <v>0</v>
      </c>
      <c r="Z203" s="475">
        <f t="shared" si="79"/>
        <v>10000</v>
      </c>
      <c r="AA203" s="475">
        <v>0</v>
      </c>
      <c r="AB203" s="476">
        <v>0</v>
      </c>
      <c r="AC203" s="38">
        <f t="shared" si="80"/>
        <v>0</v>
      </c>
      <c r="AD203" s="692">
        <f t="shared" si="70"/>
        <v>0</v>
      </c>
      <c r="AE203" s="692">
        <f t="shared" si="71"/>
        <v>0</v>
      </c>
      <c r="AF203" s="692">
        <f t="shared" si="72"/>
        <v>627.77000000000044</v>
      </c>
      <c r="AG203" s="38"/>
      <c r="AH203" s="692">
        <f t="shared" si="74"/>
        <v>0</v>
      </c>
      <c r="AI203" s="692">
        <f t="shared" si="75"/>
        <v>0</v>
      </c>
      <c r="AJ203" s="692">
        <f t="shared" si="76"/>
        <v>10000</v>
      </c>
      <c r="AL203" s="38">
        <f t="shared" si="73"/>
        <v>10627.77</v>
      </c>
    </row>
    <row r="204" spans="1:38" s="232" customFormat="1">
      <c r="A204" s="283"/>
      <c r="B204" s="283" t="s">
        <v>110</v>
      </c>
      <c r="C204" s="667" t="s">
        <v>580</v>
      </c>
      <c r="D204" s="123" t="s">
        <v>422</v>
      </c>
      <c r="E204" s="679"/>
      <c r="F204" s="529">
        <f>VLOOKUP(D204,'Mar 2013 Revenue'!D:T,17,FALSE)</f>
        <v>0</v>
      </c>
      <c r="G204" s="680"/>
      <c r="H204" s="680"/>
      <c r="I204" s="755"/>
      <c r="J204" s="682">
        <f t="shared" si="81"/>
        <v>0</v>
      </c>
      <c r="K204" s="683"/>
      <c r="L204" s="684"/>
      <c r="M204" s="753"/>
      <c r="N204" s="683">
        <v>0</v>
      </c>
      <c r="O204" s="686"/>
      <c r="P204" s="683">
        <v>0</v>
      </c>
      <c r="Q204" s="687">
        <f t="shared" si="55"/>
        <v>0</v>
      </c>
      <c r="R204" s="687"/>
      <c r="S204" s="687"/>
      <c r="T204" s="688">
        <v>0</v>
      </c>
      <c r="U204" s="693"/>
      <c r="V204" s="690">
        <f t="shared" si="69"/>
        <v>0</v>
      </c>
      <c r="W204" s="683"/>
      <c r="X204" s="474">
        <f t="shared" si="77"/>
        <v>0</v>
      </c>
      <c r="Y204" s="474">
        <f t="shared" si="78"/>
        <v>0</v>
      </c>
      <c r="Z204" s="475">
        <f t="shared" si="79"/>
        <v>0</v>
      </c>
      <c r="AA204" s="475">
        <v>0</v>
      </c>
      <c r="AB204" s="476">
        <v>0</v>
      </c>
      <c r="AC204" s="38">
        <f t="shared" si="80"/>
        <v>0</v>
      </c>
      <c r="AD204" s="692">
        <f t="shared" si="70"/>
        <v>0</v>
      </c>
      <c r="AE204" s="692">
        <f t="shared" si="71"/>
        <v>0</v>
      </c>
      <c r="AF204" s="692">
        <f t="shared" si="72"/>
        <v>0</v>
      </c>
      <c r="AG204" s="38"/>
      <c r="AH204" s="692">
        <f t="shared" si="74"/>
        <v>0</v>
      </c>
      <c r="AI204" s="692">
        <f t="shared" si="75"/>
        <v>0</v>
      </c>
      <c r="AJ204" s="692">
        <f t="shared" si="76"/>
        <v>0</v>
      </c>
      <c r="AL204" s="38">
        <f t="shared" si="73"/>
        <v>0</v>
      </c>
    </row>
    <row r="205" spans="1:38" s="232" customFormat="1">
      <c r="A205" s="283"/>
      <c r="B205" s="283" t="s">
        <v>110</v>
      </c>
      <c r="C205" s="667" t="s">
        <v>580</v>
      </c>
      <c r="D205" s="123" t="s">
        <v>442</v>
      </c>
      <c r="E205" s="679"/>
      <c r="F205" s="529">
        <f>VLOOKUP(D205,'Mar 2013 Revenue'!D:T,17,FALSE)</f>
        <v>0.64000000001396984</v>
      </c>
      <c r="G205" s="680"/>
      <c r="H205" s="680"/>
      <c r="I205" s="755"/>
      <c r="J205" s="682">
        <f t="shared" si="81"/>
        <v>0.64000000001396984</v>
      </c>
      <c r="K205" s="683"/>
      <c r="L205" s="684"/>
      <c r="M205" s="753">
        <v>390000</v>
      </c>
      <c r="N205" s="683">
        <v>0</v>
      </c>
      <c r="O205" s="686"/>
      <c r="P205" s="683">
        <v>0</v>
      </c>
      <c r="Q205" s="687">
        <f t="shared" si="55"/>
        <v>390000</v>
      </c>
      <c r="R205" s="687"/>
      <c r="S205" s="687"/>
      <c r="T205" s="688">
        <v>352814.16</v>
      </c>
      <c r="U205" s="693"/>
      <c r="V205" s="690">
        <f t="shared" si="69"/>
        <v>-37185.840000000026</v>
      </c>
      <c r="W205" s="683"/>
      <c r="X205" s="474">
        <f t="shared" si="77"/>
        <v>390000</v>
      </c>
      <c r="Y205" s="474">
        <f t="shared" si="78"/>
        <v>0</v>
      </c>
      <c r="Z205" s="475">
        <f t="shared" si="79"/>
        <v>0</v>
      </c>
      <c r="AA205" s="475">
        <v>0</v>
      </c>
      <c r="AB205" s="476">
        <v>0</v>
      </c>
      <c r="AC205" s="38">
        <f t="shared" si="80"/>
        <v>0</v>
      </c>
      <c r="AD205" s="692">
        <f t="shared" si="70"/>
        <v>0.64000000001396984</v>
      </c>
      <c r="AE205" s="692">
        <f t="shared" si="71"/>
        <v>0</v>
      </c>
      <c r="AF205" s="692">
        <f t="shared" si="72"/>
        <v>0</v>
      </c>
      <c r="AG205" s="38"/>
      <c r="AH205" s="692">
        <f t="shared" si="74"/>
        <v>390000</v>
      </c>
      <c r="AI205" s="692">
        <f t="shared" si="75"/>
        <v>0</v>
      </c>
      <c r="AJ205" s="692">
        <f t="shared" si="76"/>
        <v>0</v>
      </c>
      <c r="AL205" s="38">
        <f t="shared" si="73"/>
        <v>390000.64000000001</v>
      </c>
    </row>
    <row r="206" spans="1:38">
      <c r="A206" s="21" t="s">
        <v>97</v>
      </c>
      <c r="B206" s="21" t="s">
        <v>109</v>
      </c>
      <c r="C206" s="666"/>
      <c r="D206" s="68" t="s">
        <v>381</v>
      </c>
      <c r="E206" s="679"/>
      <c r="F206" s="529">
        <f>VLOOKUP(D206,'Mar 2013 Revenue'!D:T,17,FALSE)</f>
        <v>0</v>
      </c>
      <c r="G206" s="680"/>
      <c r="H206" s="680"/>
      <c r="I206" s="755"/>
      <c r="J206" s="682">
        <f t="shared" si="81"/>
        <v>0</v>
      </c>
      <c r="K206" s="683"/>
      <c r="L206" s="684"/>
      <c r="M206" s="753"/>
      <c r="N206" s="683">
        <v>0</v>
      </c>
      <c r="O206" s="686"/>
      <c r="P206" s="683">
        <v>0</v>
      </c>
      <c r="Q206" s="687">
        <f t="shared" si="55"/>
        <v>0</v>
      </c>
      <c r="R206" s="687"/>
      <c r="S206" s="687"/>
      <c r="T206" s="688">
        <v>0</v>
      </c>
      <c r="U206" s="693"/>
      <c r="V206" s="690">
        <f t="shared" si="69"/>
        <v>0</v>
      </c>
      <c r="W206" s="683"/>
      <c r="X206" s="474">
        <f t="shared" si="77"/>
        <v>0</v>
      </c>
      <c r="Y206" s="474">
        <f t="shared" si="78"/>
        <v>0</v>
      </c>
      <c r="Z206" s="475">
        <f t="shared" si="79"/>
        <v>0</v>
      </c>
      <c r="AA206" s="475">
        <v>0</v>
      </c>
      <c r="AB206" s="476">
        <v>0</v>
      </c>
      <c r="AC206" s="38">
        <f t="shared" si="80"/>
        <v>0</v>
      </c>
      <c r="AD206" s="692">
        <f t="shared" si="70"/>
        <v>0</v>
      </c>
      <c r="AE206" s="692">
        <f t="shared" si="71"/>
        <v>0</v>
      </c>
      <c r="AF206" s="692">
        <f t="shared" si="72"/>
        <v>0</v>
      </c>
      <c r="AG206" s="38"/>
      <c r="AH206" s="692">
        <f t="shared" si="74"/>
        <v>0</v>
      </c>
      <c r="AI206" s="692">
        <f t="shared" si="75"/>
        <v>0</v>
      </c>
      <c r="AJ206" s="692">
        <f t="shared" si="76"/>
        <v>0</v>
      </c>
      <c r="AL206" s="38">
        <f t="shared" si="73"/>
        <v>0</v>
      </c>
    </row>
    <row r="207" spans="1:38">
      <c r="A207" s="21" t="s">
        <v>97</v>
      </c>
      <c r="B207" s="21" t="s">
        <v>114</v>
      </c>
      <c r="C207" s="666"/>
      <c r="D207" s="68" t="s">
        <v>376</v>
      </c>
      <c r="E207" s="679"/>
      <c r="F207" s="529">
        <f>VLOOKUP(D207,'Mar 2013 Revenue'!D:T,17,FALSE)</f>
        <v>0</v>
      </c>
      <c r="G207" s="680"/>
      <c r="H207" s="680"/>
      <c r="I207" s="755"/>
      <c r="J207" s="682">
        <f t="shared" si="81"/>
        <v>0</v>
      </c>
      <c r="K207" s="683"/>
      <c r="L207" s="684"/>
      <c r="M207" s="753"/>
      <c r="N207" s="683">
        <v>0</v>
      </c>
      <c r="O207" s="686"/>
      <c r="P207" s="683">
        <v>0</v>
      </c>
      <c r="Q207" s="687">
        <f t="shared" ref="Q207:Q221" si="82">L207+M207</f>
        <v>0</v>
      </c>
      <c r="R207" s="687"/>
      <c r="S207" s="687"/>
      <c r="T207" s="688">
        <v>0</v>
      </c>
      <c r="U207" s="693"/>
      <c r="V207" s="690">
        <f t="shared" si="69"/>
        <v>0</v>
      </c>
      <c r="W207" s="683"/>
      <c r="X207" s="474">
        <f t="shared" si="77"/>
        <v>0</v>
      </c>
      <c r="Y207" s="474">
        <f t="shared" si="78"/>
        <v>0</v>
      </c>
      <c r="Z207" s="475">
        <f t="shared" si="79"/>
        <v>0</v>
      </c>
      <c r="AA207" s="475">
        <v>0</v>
      </c>
      <c r="AB207" s="476">
        <v>0</v>
      </c>
      <c r="AC207" s="38">
        <f t="shared" si="80"/>
        <v>0</v>
      </c>
      <c r="AD207" s="692">
        <f t="shared" si="70"/>
        <v>0</v>
      </c>
      <c r="AE207" s="692">
        <f t="shared" si="71"/>
        <v>0</v>
      </c>
      <c r="AF207" s="692">
        <f t="shared" si="72"/>
        <v>0</v>
      </c>
      <c r="AG207" s="38"/>
      <c r="AH207" s="692">
        <f t="shared" si="74"/>
        <v>0</v>
      </c>
      <c r="AI207" s="692">
        <f t="shared" si="75"/>
        <v>0</v>
      </c>
      <c r="AJ207" s="692">
        <f t="shared" si="76"/>
        <v>0</v>
      </c>
      <c r="AL207" s="38">
        <f t="shared" si="73"/>
        <v>0</v>
      </c>
    </row>
    <row r="208" spans="1:38">
      <c r="A208" s="20"/>
      <c r="B208" s="20" t="s">
        <v>110</v>
      </c>
      <c r="C208" s="667"/>
      <c r="D208" s="68" t="s">
        <v>390</v>
      </c>
      <c r="E208" s="679"/>
      <c r="F208" s="529">
        <f>VLOOKUP(D208,'Mar 2013 Revenue'!D:T,17,FALSE)</f>
        <v>0</v>
      </c>
      <c r="G208" s="680"/>
      <c r="H208" s="680"/>
      <c r="I208" s="755"/>
      <c r="J208" s="682">
        <f t="shared" si="81"/>
        <v>0</v>
      </c>
      <c r="K208" s="683"/>
      <c r="L208" s="684"/>
      <c r="M208" s="753"/>
      <c r="N208" s="683">
        <v>0</v>
      </c>
      <c r="O208" s="686"/>
      <c r="P208" s="683">
        <v>0</v>
      </c>
      <c r="Q208" s="687">
        <f t="shared" si="82"/>
        <v>0</v>
      </c>
      <c r="R208" s="687"/>
      <c r="S208" s="687"/>
      <c r="T208" s="688">
        <v>0</v>
      </c>
      <c r="U208" s="693"/>
      <c r="V208" s="690">
        <f t="shared" si="69"/>
        <v>0</v>
      </c>
      <c r="W208" s="683"/>
      <c r="X208" s="474">
        <f t="shared" si="77"/>
        <v>0</v>
      </c>
      <c r="Y208" s="474">
        <f t="shared" si="78"/>
        <v>0</v>
      </c>
      <c r="Z208" s="475">
        <f t="shared" si="79"/>
        <v>0</v>
      </c>
      <c r="AA208" s="475">
        <v>0</v>
      </c>
      <c r="AB208" s="476">
        <v>0</v>
      </c>
      <c r="AC208" s="38">
        <f t="shared" si="80"/>
        <v>0</v>
      </c>
      <c r="AD208" s="692">
        <f t="shared" si="70"/>
        <v>0</v>
      </c>
      <c r="AE208" s="692">
        <f t="shared" si="71"/>
        <v>0</v>
      </c>
      <c r="AF208" s="692">
        <f t="shared" si="72"/>
        <v>0</v>
      </c>
      <c r="AG208" s="38"/>
      <c r="AH208" s="692">
        <f t="shared" si="74"/>
        <v>0</v>
      </c>
      <c r="AI208" s="692">
        <f t="shared" si="75"/>
        <v>0</v>
      </c>
      <c r="AJ208" s="692">
        <f t="shared" si="76"/>
        <v>0</v>
      </c>
      <c r="AL208" s="38">
        <f t="shared" si="73"/>
        <v>0</v>
      </c>
    </row>
    <row r="209" spans="1:38">
      <c r="A209" s="20"/>
      <c r="B209" s="20" t="s">
        <v>110</v>
      </c>
      <c r="C209" s="667" t="s">
        <v>581</v>
      </c>
      <c r="D209" s="123" t="s">
        <v>166</v>
      </c>
      <c r="E209" s="679"/>
      <c r="F209" s="529">
        <f>VLOOKUP(D209,'Mar 2013 Revenue'!D:T,17,FALSE)</f>
        <v>0</v>
      </c>
      <c r="G209" s="680"/>
      <c r="H209" s="680"/>
      <c r="I209" s="755"/>
      <c r="J209" s="682">
        <f t="shared" si="81"/>
        <v>0</v>
      </c>
      <c r="K209" s="683"/>
      <c r="L209" s="684"/>
      <c r="M209" s="753"/>
      <c r="N209" s="683">
        <v>0</v>
      </c>
      <c r="O209" s="686"/>
      <c r="P209" s="683">
        <v>0</v>
      </c>
      <c r="Q209" s="687">
        <f t="shared" si="82"/>
        <v>0</v>
      </c>
      <c r="R209" s="687"/>
      <c r="S209" s="687"/>
      <c r="T209" s="688">
        <v>0</v>
      </c>
      <c r="U209" s="693"/>
      <c r="V209" s="690">
        <f t="shared" si="69"/>
        <v>0</v>
      </c>
      <c r="W209" s="683"/>
      <c r="X209" s="474">
        <f t="shared" si="77"/>
        <v>0</v>
      </c>
      <c r="Y209" s="474">
        <f t="shared" si="78"/>
        <v>0</v>
      </c>
      <c r="Z209" s="475">
        <f t="shared" si="79"/>
        <v>0</v>
      </c>
      <c r="AA209" s="475">
        <v>0</v>
      </c>
      <c r="AB209" s="476">
        <v>0</v>
      </c>
      <c r="AC209" s="38">
        <f t="shared" si="80"/>
        <v>0</v>
      </c>
      <c r="AD209" s="692">
        <f t="shared" si="70"/>
        <v>0</v>
      </c>
      <c r="AE209" s="692">
        <f t="shared" si="71"/>
        <v>0</v>
      </c>
      <c r="AF209" s="692">
        <f t="shared" si="72"/>
        <v>0</v>
      </c>
      <c r="AG209" s="38"/>
      <c r="AH209" s="692">
        <f t="shared" si="74"/>
        <v>0</v>
      </c>
      <c r="AI209" s="692">
        <f t="shared" si="75"/>
        <v>0</v>
      </c>
      <c r="AJ209" s="692">
        <f t="shared" si="76"/>
        <v>0</v>
      </c>
      <c r="AL209" s="38">
        <f t="shared" si="73"/>
        <v>0</v>
      </c>
    </row>
    <row r="210" spans="1:38">
      <c r="A210" s="20"/>
      <c r="B210" s="20" t="s">
        <v>109</v>
      </c>
      <c r="C210" s="667" t="s">
        <v>581</v>
      </c>
      <c r="D210" s="123" t="s">
        <v>165</v>
      </c>
      <c r="E210" s="679"/>
      <c r="F210" s="529">
        <f>VLOOKUP(D210,'Mar 2013 Revenue'!D:T,17,FALSE)</f>
        <v>0</v>
      </c>
      <c r="G210" s="680"/>
      <c r="H210" s="680"/>
      <c r="I210" s="755"/>
      <c r="J210" s="682">
        <f t="shared" si="81"/>
        <v>0</v>
      </c>
      <c r="K210" s="683"/>
      <c r="L210" s="684"/>
      <c r="M210" s="753"/>
      <c r="N210" s="683">
        <v>0</v>
      </c>
      <c r="O210" s="686"/>
      <c r="P210" s="683">
        <v>0</v>
      </c>
      <c r="Q210" s="687">
        <f t="shared" si="82"/>
        <v>0</v>
      </c>
      <c r="R210" s="687"/>
      <c r="S210" s="687"/>
      <c r="T210" s="688">
        <v>0</v>
      </c>
      <c r="U210" s="693"/>
      <c r="V210" s="690">
        <f t="shared" ref="V210:V221" si="83">IF(T210="","",T210-Q210-R210-S210)</f>
        <v>0</v>
      </c>
      <c r="W210" s="683"/>
      <c r="X210" s="474">
        <f t="shared" si="77"/>
        <v>0</v>
      </c>
      <c r="Y210" s="474">
        <f t="shared" si="78"/>
        <v>0</v>
      </c>
      <c r="Z210" s="475">
        <f t="shared" si="79"/>
        <v>0</v>
      </c>
      <c r="AA210" s="475">
        <v>0</v>
      </c>
      <c r="AB210" s="476">
        <v>0</v>
      </c>
      <c r="AC210" s="38">
        <f t="shared" si="80"/>
        <v>0</v>
      </c>
      <c r="AD210" s="692">
        <f t="shared" si="70"/>
        <v>0</v>
      </c>
      <c r="AE210" s="692">
        <f t="shared" si="71"/>
        <v>0</v>
      </c>
      <c r="AF210" s="692">
        <f t="shared" si="72"/>
        <v>0</v>
      </c>
      <c r="AG210" s="38"/>
      <c r="AH210" s="692">
        <f t="shared" si="74"/>
        <v>0</v>
      </c>
      <c r="AI210" s="692">
        <f t="shared" si="75"/>
        <v>0</v>
      </c>
      <c r="AJ210" s="692">
        <f t="shared" si="76"/>
        <v>0</v>
      </c>
      <c r="AL210" s="38">
        <f t="shared" si="73"/>
        <v>0</v>
      </c>
    </row>
    <row r="211" spans="1:38">
      <c r="A211" s="20"/>
      <c r="B211" s="20" t="s">
        <v>109</v>
      </c>
      <c r="C211" s="667"/>
      <c r="D211" s="123" t="s">
        <v>310</v>
      </c>
      <c r="E211" s="679"/>
      <c r="F211" s="529">
        <f>VLOOKUP(D211,'Mar 2013 Revenue'!D:T,17,FALSE)</f>
        <v>0</v>
      </c>
      <c r="G211" s="680"/>
      <c r="H211" s="680"/>
      <c r="I211" s="755"/>
      <c r="J211" s="682">
        <f t="shared" si="81"/>
        <v>0</v>
      </c>
      <c r="K211" s="683"/>
      <c r="L211" s="684"/>
      <c r="M211" s="753"/>
      <c r="N211" s="683">
        <v>0</v>
      </c>
      <c r="O211" s="686"/>
      <c r="P211" s="683">
        <v>0</v>
      </c>
      <c r="Q211" s="687">
        <f t="shared" si="82"/>
        <v>0</v>
      </c>
      <c r="R211" s="687"/>
      <c r="S211" s="687"/>
      <c r="T211" s="688">
        <v>0</v>
      </c>
      <c r="U211" s="693"/>
      <c r="V211" s="690">
        <f t="shared" si="83"/>
        <v>0</v>
      </c>
      <c r="W211" s="683"/>
      <c r="X211" s="474">
        <f t="shared" si="77"/>
        <v>0</v>
      </c>
      <c r="Y211" s="474">
        <f t="shared" si="78"/>
        <v>0</v>
      </c>
      <c r="Z211" s="475">
        <f t="shared" si="79"/>
        <v>0</v>
      </c>
      <c r="AA211" s="475">
        <v>0</v>
      </c>
      <c r="AB211" s="476">
        <v>0</v>
      </c>
      <c r="AC211" s="38">
        <f t="shared" si="80"/>
        <v>0</v>
      </c>
      <c r="AD211" s="692">
        <f t="shared" ref="AD211:AD221" si="84">IF(B211="D",J211,0)</f>
        <v>0</v>
      </c>
      <c r="AE211" s="692">
        <f t="shared" ref="AE211:AE221" si="85">IF(B211="M",J211,0)</f>
        <v>0</v>
      </c>
      <c r="AF211" s="692">
        <f t="shared" ref="AF211:AF221" si="86">IF(B211="V",J211,0)</f>
        <v>0</v>
      </c>
      <c r="AG211" s="38"/>
      <c r="AH211" s="692">
        <f t="shared" si="74"/>
        <v>0</v>
      </c>
      <c r="AI211" s="692">
        <f t="shared" si="75"/>
        <v>0</v>
      </c>
      <c r="AJ211" s="692">
        <f t="shared" si="76"/>
        <v>0</v>
      </c>
      <c r="AL211" s="38">
        <f t="shared" ref="AL211:AL221" si="87">SUM(AD211:AJ211)</f>
        <v>0</v>
      </c>
    </row>
    <row r="212" spans="1:38">
      <c r="A212" s="20"/>
      <c r="B212" s="20" t="s">
        <v>109</v>
      </c>
      <c r="C212" s="667"/>
      <c r="D212" s="123" t="s">
        <v>441</v>
      </c>
      <c r="E212" s="679"/>
      <c r="F212" s="529">
        <f>VLOOKUP(D212,'Mar 2013 Revenue'!D:T,17,FALSE)</f>
        <v>0</v>
      </c>
      <c r="G212" s="680"/>
      <c r="H212" s="680"/>
      <c r="I212" s="755"/>
      <c r="J212" s="682">
        <f t="shared" si="81"/>
        <v>0</v>
      </c>
      <c r="K212" s="683"/>
      <c r="L212" s="684"/>
      <c r="M212" s="753"/>
      <c r="N212" s="683">
        <v>0</v>
      </c>
      <c r="O212" s="686"/>
      <c r="P212" s="683">
        <v>0</v>
      </c>
      <c r="Q212" s="687">
        <f t="shared" si="82"/>
        <v>0</v>
      </c>
      <c r="R212" s="687"/>
      <c r="S212" s="687"/>
      <c r="T212" s="688">
        <v>0</v>
      </c>
      <c r="U212" s="693"/>
      <c r="V212" s="690">
        <f t="shared" si="83"/>
        <v>0</v>
      </c>
      <c r="W212" s="683"/>
      <c r="X212" s="474">
        <f t="shared" si="77"/>
        <v>0</v>
      </c>
      <c r="Y212" s="474">
        <f t="shared" si="78"/>
        <v>0</v>
      </c>
      <c r="Z212" s="475">
        <f t="shared" si="79"/>
        <v>0</v>
      </c>
      <c r="AA212" s="475">
        <v>0</v>
      </c>
      <c r="AB212" s="476">
        <v>0</v>
      </c>
      <c r="AC212" s="38">
        <f t="shared" si="80"/>
        <v>0</v>
      </c>
      <c r="AD212" s="692">
        <f t="shared" si="84"/>
        <v>0</v>
      </c>
      <c r="AE212" s="692">
        <f t="shared" si="85"/>
        <v>0</v>
      </c>
      <c r="AF212" s="692">
        <f t="shared" si="86"/>
        <v>0</v>
      </c>
      <c r="AG212" s="38"/>
      <c r="AH212" s="692">
        <f t="shared" ref="AH212:AH221" si="88">IF(B212="D",Q212,0)</f>
        <v>0</v>
      </c>
      <c r="AI212" s="692">
        <f t="shared" ref="AI212:AI221" si="89">IF(B212="M",Q212,0)</f>
        <v>0</v>
      </c>
      <c r="AJ212" s="692">
        <f t="shared" ref="AJ212:AJ221" si="90">IF(B212="V",Q212,0)</f>
        <v>0</v>
      </c>
      <c r="AL212" s="38">
        <f t="shared" si="87"/>
        <v>0</v>
      </c>
    </row>
    <row r="213" spans="1:38">
      <c r="A213" s="20"/>
      <c r="B213" s="20" t="s">
        <v>109</v>
      </c>
      <c r="C213" s="667"/>
      <c r="D213" s="68" t="s">
        <v>121</v>
      </c>
      <c r="E213" s="679"/>
      <c r="F213" s="529">
        <f>VLOOKUP(D213,'Mar 2013 Revenue'!D:T,17,FALSE)</f>
        <v>0</v>
      </c>
      <c r="G213" s="680"/>
      <c r="H213" s="680"/>
      <c r="I213" s="755"/>
      <c r="J213" s="682">
        <f t="shared" si="81"/>
        <v>0</v>
      </c>
      <c r="K213" s="683"/>
      <c r="L213" s="684"/>
      <c r="M213" s="753"/>
      <c r="N213" s="683">
        <v>0</v>
      </c>
      <c r="O213" s="686"/>
      <c r="P213" s="683">
        <v>0</v>
      </c>
      <c r="Q213" s="687">
        <f t="shared" si="82"/>
        <v>0</v>
      </c>
      <c r="R213" s="687"/>
      <c r="S213" s="687"/>
      <c r="T213" s="688">
        <v>0</v>
      </c>
      <c r="U213" s="693"/>
      <c r="V213" s="690">
        <f t="shared" si="83"/>
        <v>0</v>
      </c>
      <c r="W213" s="683"/>
      <c r="X213" s="474">
        <f t="shared" ref="X213:X221" si="91">IF(B213="D",Q213,0)</f>
        <v>0</v>
      </c>
      <c r="Y213" s="474">
        <f t="shared" ref="Y213:Y221" si="92">IF(B213="M",Q213,0)</f>
        <v>0</v>
      </c>
      <c r="Z213" s="475">
        <f t="shared" ref="Z213:Z221" si="93">IF(B213="V",Q213,0)</f>
        <v>0</v>
      </c>
      <c r="AA213" s="475">
        <v>0</v>
      </c>
      <c r="AB213" s="476">
        <v>0</v>
      </c>
      <c r="AC213" s="38">
        <f t="shared" ref="AC213:AC221" si="94">(L213+M213)-(X213+Y213+Z213+AA213+AB213)</f>
        <v>0</v>
      </c>
      <c r="AD213" s="692">
        <f t="shared" si="84"/>
        <v>0</v>
      </c>
      <c r="AE213" s="692">
        <f t="shared" si="85"/>
        <v>0</v>
      </c>
      <c r="AF213" s="692">
        <f t="shared" si="86"/>
        <v>0</v>
      </c>
      <c r="AG213" s="38"/>
      <c r="AH213" s="692">
        <f t="shared" si="88"/>
        <v>0</v>
      </c>
      <c r="AI213" s="692">
        <f t="shared" si="89"/>
        <v>0</v>
      </c>
      <c r="AJ213" s="692">
        <f t="shared" si="90"/>
        <v>0</v>
      </c>
      <c r="AL213" s="38">
        <f t="shared" si="87"/>
        <v>0</v>
      </c>
    </row>
    <row r="214" spans="1:38">
      <c r="A214" s="20"/>
      <c r="B214" s="20" t="s">
        <v>110</v>
      </c>
      <c r="C214" s="667"/>
      <c r="D214" s="68" t="s">
        <v>168</v>
      </c>
      <c r="E214" s="679"/>
      <c r="F214" s="529">
        <f>VLOOKUP(D214,'Mar 2013 Revenue'!D:T,17,FALSE)</f>
        <v>0</v>
      </c>
      <c r="G214" s="680"/>
      <c r="H214" s="680"/>
      <c r="I214" s="755"/>
      <c r="J214" s="682">
        <f t="shared" si="81"/>
        <v>0</v>
      </c>
      <c r="K214" s="683"/>
      <c r="L214" s="684"/>
      <c r="M214" s="753"/>
      <c r="N214" s="683">
        <v>0</v>
      </c>
      <c r="O214" s="686"/>
      <c r="P214" s="683">
        <v>0</v>
      </c>
      <c r="Q214" s="687">
        <f t="shared" si="82"/>
        <v>0</v>
      </c>
      <c r="R214" s="687"/>
      <c r="S214" s="687"/>
      <c r="T214" s="688">
        <v>0</v>
      </c>
      <c r="U214" s="693"/>
      <c r="V214" s="690">
        <f t="shared" si="83"/>
        <v>0</v>
      </c>
      <c r="W214" s="683"/>
      <c r="X214" s="474">
        <f t="shared" si="91"/>
        <v>0</v>
      </c>
      <c r="Y214" s="474">
        <f t="shared" si="92"/>
        <v>0</v>
      </c>
      <c r="Z214" s="475">
        <f t="shared" si="93"/>
        <v>0</v>
      </c>
      <c r="AA214" s="475">
        <v>0</v>
      </c>
      <c r="AB214" s="476">
        <v>0</v>
      </c>
      <c r="AC214" s="38">
        <f t="shared" si="94"/>
        <v>0</v>
      </c>
      <c r="AD214" s="692">
        <f t="shared" si="84"/>
        <v>0</v>
      </c>
      <c r="AE214" s="692">
        <f t="shared" si="85"/>
        <v>0</v>
      </c>
      <c r="AF214" s="692">
        <f t="shared" si="86"/>
        <v>0</v>
      </c>
      <c r="AG214" s="38"/>
      <c r="AH214" s="692">
        <f t="shared" si="88"/>
        <v>0</v>
      </c>
      <c r="AI214" s="692">
        <f t="shared" si="89"/>
        <v>0</v>
      </c>
      <c r="AJ214" s="692">
        <f t="shared" si="90"/>
        <v>0</v>
      </c>
      <c r="AL214" s="38">
        <f t="shared" si="87"/>
        <v>0</v>
      </c>
    </row>
    <row r="215" spans="1:38">
      <c r="A215" s="20"/>
      <c r="B215" s="20" t="s">
        <v>109</v>
      </c>
      <c r="C215" s="667" t="s">
        <v>582</v>
      </c>
      <c r="D215" s="68" t="s">
        <v>167</v>
      </c>
      <c r="E215" s="679"/>
      <c r="F215" s="529">
        <f>VLOOKUP(D215,'Mar 2013 Revenue'!D:T,17,FALSE)</f>
        <v>0</v>
      </c>
      <c r="G215" s="680"/>
      <c r="H215" s="680"/>
      <c r="I215" s="755"/>
      <c r="J215" s="682">
        <f t="shared" si="81"/>
        <v>0</v>
      </c>
      <c r="K215" s="683"/>
      <c r="L215" s="684"/>
      <c r="M215" s="753"/>
      <c r="N215" s="683">
        <v>0</v>
      </c>
      <c r="O215" s="686"/>
      <c r="P215" s="683">
        <v>0</v>
      </c>
      <c r="Q215" s="687">
        <f t="shared" si="82"/>
        <v>0</v>
      </c>
      <c r="R215" s="687"/>
      <c r="S215" s="687"/>
      <c r="T215" s="688">
        <v>0</v>
      </c>
      <c r="U215" s="693"/>
      <c r="V215" s="690">
        <f t="shared" si="83"/>
        <v>0</v>
      </c>
      <c r="W215" s="683"/>
      <c r="X215" s="474">
        <f t="shared" si="91"/>
        <v>0</v>
      </c>
      <c r="Y215" s="474">
        <f t="shared" si="92"/>
        <v>0</v>
      </c>
      <c r="Z215" s="475">
        <f t="shared" si="93"/>
        <v>0</v>
      </c>
      <c r="AA215" s="475">
        <v>0</v>
      </c>
      <c r="AB215" s="476">
        <v>0</v>
      </c>
      <c r="AC215" s="38">
        <f t="shared" si="94"/>
        <v>0</v>
      </c>
      <c r="AD215" s="692">
        <f t="shared" si="84"/>
        <v>0</v>
      </c>
      <c r="AE215" s="692">
        <f t="shared" si="85"/>
        <v>0</v>
      </c>
      <c r="AF215" s="692">
        <f t="shared" si="86"/>
        <v>0</v>
      </c>
      <c r="AG215" s="38"/>
      <c r="AH215" s="692">
        <f t="shared" si="88"/>
        <v>0</v>
      </c>
      <c r="AI215" s="692">
        <f t="shared" si="89"/>
        <v>0</v>
      </c>
      <c r="AJ215" s="692">
        <f t="shared" si="90"/>
        <v>0</v>
      </c>
      <c r="AL215" s="38">
        <f t="shared" si="87"/>
        <v>0</v>
      </c>
    </row>
    <row r="216" spans="1:38">
      <c r="A216" s="20" t="s">
        <v>218</v>
      </c>
      <c r="B216" s="20" t="s">
        <v>110</v>
      </c>
      <c r="C216" s="667"/>
      <c r="D216" s="68" t="s">
        <v>60</v>
      </c>
      <c r="E216" s="679"/>
      <c r="F216" s="529">
        <f>VLOOKUP(D216,'Mar 2013 Revenue'!D:T,17,FALSE)</f>
        <v>-10000</v>
      </c>
      <c r="G216" s="680"/>
      <c r="H216" s="680"/>
      <c r="I216" s="755"/>
      <c r="J216" s="682">
        <f t="shared" si="81"/>
        <v>-10000</v>
      </c>
      <c r="K216" s="683"/>
      <c r="L216" s="684"/>
      <c r="M216" s="753">
        <v>13000</v>
      </c>
      <c r="N216" s="683">
        <v>0</v>
      </c>
      <c r="O216" s="686"/>
      <c r="P216" s="683">
        <v>0</v>
      </c>
      <c r="Q216" s="687">
        <f t="shared" si="82"/>
        <v>13000</v>
      </c>
      <c r="R216" s="687"/>
      <c r="S216" s="687"/>
      <c r="T216" s="688">
        <v>0</v>
      </c>
      <c r="U216" s="693"/>
      <c r="V216" s="690">
        <f t="shared" si="83"/>
        <v>-13000</v>
      </c>
      <c r="W216" s="697"/>
      <c r="X216" s="474">
        <f t="shared" si="91"/>
        <v>13000</v>
      </c>
      <c r="Y216" s="474">
        <f t="shared" si="92"/>
        <v>0</v>
      </c>
      <c r="Z216" s="475">
        <f t="shared" si="93"/>
        <v>0</v>
      </c>
      <c r="AA216" s="475">
        <v>0</v>
      </c>
      <c r="AB216" s="476">
        <v>0</v>
      </c>
      <c r="AC216" s="38">
        <f t="shared" si="94"/>
        <v>0</v>
      </c>
      <c r="AD216" s="692">
        <f t="shared" si="84"/>
        <v>-10000</v>
      </c>
      <c r="AE216" s="692">
        <f t="shared" si="85"/>
        <v>0</v>
      </c>
      <c r="AF216" s="692">
        <f t="shared" si="86"/>
        <v>0</v>
      </c>
      <c r="AG216" s="38"/>
      <c r="AH216" s="692">
        <f t="shared" si="88"/>
        <v>13000</v>
      </c>
      <c r="AI216" s="692">
        <f t="shared" si="89"/>
        <v>0</v>
      </c>
      <c r="AJ216" s="692">
        <f t="shared" si="90"/>
        <v>0</v>
      </c>
      <c r="AL216" s="38">
        <f t="shared" si="87"/>
        <v>3000</v>
      </c>
    </row>
    <row r="217" spans="1:38">
      <c r="A217" s="20"/>
      <c r="B217" s="20" t="s">
        <v>110</v>
      </c>
      <c r="C217" s="667" t="s">
        <v>583</v>
      </c>
      <c r="D217" s="68" t="s">
        <v>169</v>
      </c>
      <c r="E217" s="679"/>
      <c r="F217" s="529">
        <f>VLOOKUP(D217,'Mar 2013 Revenue'!D:T,17,FALSE)</f>
        <v>0</v>
      </c>
      <c r="G217" s="680"/>
      <c r="H217" s="680"/>
      <c r="I217" s="804">
        <v>251.67</v>
      </c>
      <c r="J217" s="682">
        <f t="shared" si="81"/>
        <v>251.67</v>
      </c>
      <c r="K217" s="683"/>
      <c r="L217" s="684"/>
      <c r="M217" s="753"/>
      <c r="N217" s="683">
        <v>0</v>
      </c>
      <c r="O217" s="686"/>
      <c r="P217" s="683">
        <v>0</v>
      </c>
      <c r="Q217" s="687">
        <f t="shared" si="82"/>
        <v>0</v>
      </c>
      <c r="R217" s="687"/>
      <c r="S217" s="687"/>
      <c r="T217" s="688">
        <v>0</v>
      </c>
      <c r="U217" s="693"/>
      <c r="V217" s="690">
        <f t="shared" si="83"/>
        <v>0</v>
      </c>
      <c r="W217" s="683"/>
      <c r="X217" s="474">
        <f t="shared" si="91"/>
        <v>0</v>
      </c>
      <c r="Y217" s="474">
        <f t="shared" si="92"/>
        <v>0</v>
      </c>
      <c r="Z217" s="475">
        <f t="shared" si="93"/>
        <v>0</v>
      </c>
      <c r="AA217" s="475">
        <v>0</v>
      </c>
      <c r="AB217" s="476">
        <v>0</v>
      </c>
      <c r="AC217" s="38">
        <f t="shared" si="94"/>
        <v>0</v>
      </c>
      <c r="AD217" s="692">
        <f t="shared" si="84"/>
        <v>251.67</v>
      </c>
      <c r="AE217" s="692">
        <f t="shared" si="85"/>
        <v>0</v>
      </c>
      <c r="AF217" s="692">
        <f t="shared" si="86"/>
        <v>0</v>
      </c>
      <c r="AG217" s="38"/>
      <c r="AH217" s="692">
        <f t="shared" si="88"/>
        <v>0</v>
      </c>
      <c r="AI217" s="692">
        <f t="shared" si="89"/>
        <v>0</v>
      </c>
      <c r="AJ217" s="692">
        <f t="shared" si="90"/>
        <v>0</v>
      </c>
      <c r="AL217" s="38">
        <f t="shared" si="87"/>
        <v>251.67</v>
      </c>
    </row>
    <row r="218" spans="1:38">
      <c r="A218" s="21"/>
      <c r="B218" s="21" t="s">
        <v>110</v>
      </c>
      <c r="C218" s="666"/>
      <c r="D218" s="68" t="s">
        <v>590</v>
      </c>
      <c r="E218" s="679"/>
      <c r="F218" s="529">
        <f>VLOOKUP(D218,'Mar 2013 Revenue'!D:T,17,FALSE)</f>
        <v>0</v>
      </c>
      <c r="G218" s="680"/>
      <c r="H218" s="680"/>
      <c r="I218" s="755"/>
      <c r="J218" s="682">
        <f t="shared" si="81"/>
        <v>0</v>
      </c>
      <c r="K218" s="683"/>
      <c r="L218" s="684"/>
      <c r="M218" s="753"/>
      <c r="N218" s="683">
        <v>0</v>
      </c>
      <c r="O218" s="686"/>
      <c r="P218" s="683">
        <v>0</v>
      </c>
      <c r="Q218" s="687">
        <f t="shared" si="82"/>
        <v>0</v>
      </c>
      <c r="R218" s="687"/>
      <c r="S218" s="687"/>
      <c r="T218" s="688">
        <v>0</v>
      </c>
      <c r="U218" s="693"/>
      <c r="V218" s="690">
        <f t="shared" si="83"/>
        <v>0</v>
      </c>
      <c r="W218" s="683"/>
      <c r="X218" s="474">
        <f t="shared" si="91"/>
        <v>0</v>
      </c>
      <c r="Y218" s="474">
        <f t="shared" si="92"/>
        <v>0</v>
      </c>
      <c r="Z218" s="475">
        <f t="shared" si="93"/>
        <v>0</v>
      </c>
      <c r="AA218" s="475">
        <v>0</v>
      </c>
      <c r="AB218" s="476">
        <v>0</v>
      </c>
      <c r="AC218" s="38">
        <f t="shared" si="94"/>
        <v>0</v>
      </c>
      <c r="AD218" s="692">
        <f t="shared" si="84"/>
        <v>0</v>
      </c>
      <c r="AE218" s="692">
        <f t="shared" si="85"/>
        <v>0</v>
      </c>
      <c r="AF218" s="692">
        <f t="shared" si="86"/>
        <v>0</v>
      </c>
      <c r="AG218" s="38"/>
      <c r="AH218" s="692">
        <f t="shared" si="88"/>
        <v>0</v>
      </c>
      <c r="AI218" s="692">
        <f t="shared" si="89"/>
        <v>0</v>
      </c>
      <c r="AJ218" s="692">
        <f t="shared" si="90"/>
        <v>0</v>
      </c>
      <c r="AL218" s="38">
        <f t="shared" si="87"/>
        <v>0</v>
      </c>
    </row>
    <row r="219" spans="1:38">
      <c r="A219" s="21"/>
      <c r="B219" s="21" t="s">
        <v>114</v>
      </c>
      <c r="C219" s="666"/>
      <c r="D219" s="68" t="s">
        <v>591</v>
      </c>
      <c r="E219" s="679"/>
      <c r="F219" s="529">
        <f>VLOOKUP(D219,'Mar 2013 Revenue'!D:T,17,FALSE)</f>
        <v>2402.04</v>
      </c>
      <c r="G219" s="680"/>
      <c r="H219" s="680"/>
      <c r="I219" s="755"/>
      <c r="J219" s="682">
        <f t="shared" si="81"/>
        <v>2402.04</v>
      </c>
      <c r="K219" s="683"/>
      <c r="L219" s="684"/>
      <c r="M219" s="753"/>
      <c r="N219" s="683">
        <v>0</v>
      </c>
      <c r="O219" s="686"/>
      <c r="P219" s="683">
        <v>0</v>
      </c>
      <c r="Q219" s="687">
        <f t="shared" si="82"/>
        <v>0</v>
      </c>
      <c r="R219" s="687"/>
      <c r="S219" s="687"/>
      <c r="T219" s="688">
        <f>465.55+259.49+1270.99+448.94</f>
        <v>2444.9699999999998</v>
      </c>
      <c r="U219" s="693"/>
      <c r="V219" s="690">
        <f t="shared" si="83"/>
        <v>2444.9699999999998</v>
      </c>
      <c r="W219" s="683"/>
      <c r="X219" s="474">
        <f t="shared" si="91"/>
        <v>0</v>
      </c>
      <c r="Y219" s="474">
        <f t="shared" si="92"/>
        <v>0</v>
      </c>
      <c r="Z219" s="475">
        <f t="shared" si="93"/>
        <v>0</v>
      </c>
      <c r="AA219" s="475">
        <v>0</v>
      </c>
      <c r="AB219" s="476">
        <v>0</v>
      </c>
      <c r="AC219" s="38">
        <f t="shared" si="94"/>
        <v>0</v>
      </c>
      <c r="AD219" s="692">
        <f t="shared" si="84"/>
        <v>0</v>
      </c>
      <c r="AE219" s="692">
        <f t="shared" si="85"/>
        <v>0</v>
      </c>
      <c r="AF219" s="692">
        <f t="shared" si="86"/>
        <v>2402.04</v>
      </c>
      <c r="AG219" s="38"/>
      <c r="AH219" s="692">
        <f t="shared" si="88"/>
        <v>0</v>
      </c>
      <c r="AI219" s="692">
        <f t="shared" si="89"/>
        <v>0</v>
      </c>
      <c r="AJ219" s="692">
        <f t="shared" si="90"/>
        <v>0</v>
      </c>
      <c r="AL219" s="38">
        <f t="shared" si="87"/>
        <v>2402.04</v>
      </c>
    </row>
    <row r="220" spans="1:38">
      <c r="A220" s="21"/>
      <c r="B220" s="21" t="s">
        <v>114</v>
      </c>
      <c r="C220" s="672"/>
      <c r="D220" s="519" t="s">
        <v>433</v>
      </c>
      <c r="E220" s="679"/>
      <c r="F220" s="529">
        <f>VLOOKUP(D220,'Mar 2013 Revenue'!D:T,17,FALSE)</f>
        <v>0</v>
      </c>
      <c r="G220" s="680"/>
      <c r="H220" s="680"/>
      <c r="I220" s="755"/>
      <c r="J220" s="682">
        <f t="shared" si="81"/>
        <v>0</v>
      </c>
      <c r="K220" s="683"/>
      <c r="L220" s="684"/>
      <c r="M220" s="753"/>
      <c r="N220" s="683">
        <v>0</v>
      </c>
      <c r="O220" s="686"/>
      <c r="P220" s="683">
        <v>0</v>
      </c>
      <c r="Q220" s="687">
        <f t="shared" si="82"/>
        <v>0</v>
      </c>
      <c r="R220" s="687"/>
      <c r="S220" s="687"/>
      <c r="T220" s="688">
        <v>0</v>
      </c>
      <c r="U220" s="693"/>
      <c r="V220" s="690">
        <f t="shared" si="83"/>
        <v>0</v>
      </c>
      <c r="W220" s="683"/>
      <c r="X220" s="474">
        <f t="shared" si="91"/>
        <v>0</v>
      </c>
      <c r="Y220" s="474">
        <f t="shared" si="92"/>
        <v>0</v>
      </c>
      <c r="Z220" s="475">
        <f t="shared" si="93"/>
        <v>0</v>
      </c>
      <c r="AA220" s="475">
        <v>0</v>
      </c>
      <c r="AB220" s="476">
        <v>0</v>
      </c>
      <c r="AC220" s="38">
        <f t="shared" si="94"/>
        <v>0</v>
      </c>
      <c r="AD220" s="692">
        <f t="shared" si="84"/>
        <v>0</v>
      </c>
      <c r="AE220" s="692">
        <f t="shared" si="85"/>
        <v>0</v>
      </c>
      <c r="AF220" s="692">
        <f t="shared" si="86"/>
        <v>0</v>
      </c>
      <c r="AG220" s="38"/>
      <c r="AH220" s="692">
        <f t="shared" si="88"/>
        <v>0</v>
      </c>
      <c r="AI220" s="692">
        <f t="shared" si="89"/>
        <v>0</v>
      </c>
      <c r="AJ220" s="692">
        <f t="shared" si="90"/>
        <v>0</v>
      </c>
      <c r="AL220" s="38">
        <f t="shared" si="87"/>
        <v>0</v>
      </c>
    </row>
    <row r="221" spans="1:38" s="146" customFormat="1" ht="13" thickBot="1">
      <c r="A221" s="21"/>
      <c r="B221" s="21" t="s">
        <v>110</v>
      </c>
      <c r="C221" s="666"/>
      <c r="D221" s="68" t="s">
        <v>593</v>
      </c>
      <c r="E221" s="679"/>
      <c r="F221" s="529">
        <f>VLOOKUP(D221,'Mar 2013 Revenue'!D:T,17,FALSE)</f>
        <v>0</v>
      </c>
      <c r="G221" s="680"/>
      <c r="H221" s="680"/>
      <c r="I221" s="755"/>
      <c r="J221" s="682">
        <f t="shared" si="81"/>
        <v>0</v>
      </c>
      <c r="K221" s="683"/>
      <c r="L221" s="684"/>
      <c r="M221" s="753"/>
      <c r="N221" s="683">
        <v>0</v>
      </c>
      <c r="O221" s="686"/>
      <c r="P221" s="683">
        <v>0</v>
      </c>
      <c r="Q221" s="687">
        <f t="shared" si="82"/>
        <v>0</v>
      </c>
      <c r="R221" s="687"/>
      <c r="S221" s="687"/>
      <c r="T221" s="688">
        <v>0</v>
      </c>
      <c r="U221" s="693"/>
      <c r="V221" s="690">
        <f t="shared" si="83"/>
        <v>0</v>
      </c>
      <c r="W221" s="683"/>
      <c r="X221" s="474">
        <f t="shared" si="91"/>
        <v>0</v>
      </c>
      <c r="Y221" s="474">
        <f t="shared" si="92"/>
        <v>0</v>
      </c>
      <c r="Z221" s="475">
        <f t="shared" si="93"/>
        <v>0</v>
      </c>
      <c r="AA221" s="475">
        <v>0</v>
      </c>
      <c r="AB221" s="476">
        <v>0</v>
      </c>
      <c r="AC221" s="38">
        <f t="shared" si="94"/>
        <v>0</v>
      </c>
      <c r="AD221" s="692">
        <f t="shared" si="84"/>
        <v>0</v>
      </c>
      <c r="AE221" s="692">
        <f t="shared" si="85"/>
        <v>0</v>
      </c>
      <c r="AF221" s="692">
        <f t="shared" si="86"/>
        <v>0</v>
      </c>
      <c r="AG221" s="38"/>
      <c r="AH221" s="692">
        <f t="shared" si="88"/>
        <v>0</v>
      </c>
      <c r="AI221" s="692">
        <f t="shared" si="89"/>
        <v>0</v>
      </c>
      <c r="AJ221" s="692">
        <f t="shared" si="90"/>
        <v>0</v>
      </c>
      <c r="AL221" s="38">
        <f t="shared" si="87"/>
        <v>0</v>
      </c>
    </row>
    <row r="222" spans="1:38" ht="13" thickBot="1">
      <c r="A222" s="107"/>
      <c r="B222" s="108"/>
      <c r="C222" s="673"/>
      <c r="D222" s="71" t="s">
        <v>86</v>
      </c>
      <c r="E222" s="454">
        <f t="shared" ref="E222:J222" si="95">SUM(E16:E221)</f>
        <v>234941.49</v>
      </c>
      <c r="F222" s="454">
        <f t="shared" si="95"/>
        <v>-40722.860000000182</v>
      </c>
      <c r="G222" s="454">
        <f t="shared" si="95"/>
        <v>0</v>
      </c>
      <c r="H222" s="454">
        <f t="shared" si="95"/>
        <v>0</v>
      </c>
      <c r="I222" s="454">
        <f t="shared" si="95"/>
        <v>5779025.4899999993</v>
      </c>
      <c r="J222" s="454">
        <f t="shared" si="95"/>
        <v>5973244.1199999973</v>
      </c>
      <c r="K222" s="454"/>
      <c r="L222" s="454">
        <f>SUM(L16:L221)</f>
        <v>0</v>
      </c>
      <c r="M222" s="454">
        <f>SUM(M16:M221)</f>
        <v>4120000</v>
      </c>
      <c r="N222" s="454">
        <f>SUM(N16:N221)</f>
        <v>0</v>
      </c>
      <c r="O222" s="100">
        <f>SUM(O16:O221)</f>
        <v>0</v>
      </c>
      <c r="P222" s="157">
        <f>SUM(P17:P221)</f>
        <v>0</v>
      </c>
      <c r="Q222" s="100">
        <f>SUM(Q16:Q221)</f>
        <v>4120000</v>
      </c>
      <c r="R222" s="100">
        <f t="shared" ref="R222:S222" si="96">SUM(R16:R221)</f>
        <v>1857000</v>
      </c>
      <c r="S222" s="100">
        <f t="shared" si="96"/>
        <v>84000</v>
      </c>
      <c r="T222" s="100">
        <f>SUM(T16:T221)</f>
        <v>5148086.01</v>
      </c>
      <c r="U222" s="708"/>
      <c r="V222" s="100">
        <f>SUM(V16:V221)</f>
        <v>-912913.99000000022</v>
      </c>
      <c r="W222" s="683"/>
      <c r="X222" s="314">
        <f>SUM(X16:X221)</f>
        <v>3581000</v>
      </c>
      <c r="Y222" s="314">
        <f>SUM(Y16:Y221)</f>
        <v>448000</v>
      </c>
      <c r="Z222" s="314">
        <f>SUM(Z16:Z221)</f>
        <v>91000</v>
      </c>
      <c r="AA222" s="314">
        <f>SUM(AA16:AA221)</f>
        <v>0</v>
      </c>
      <c r="AB222" s="314">
        <f>SUM(AB16:AB221)</f>
        <v>0</v>
      </c>
      <c r="AC222" s="38"/>
      <c r="AD222" s="314">
        <f>SUM(AD16:AD221)</f>
        <v>5999433.049999998</v>
      </c>
      <c r="AE222" s="314">
        <f>SUM(AE16:AE221)</f>
        <v>-30733.279999999992</v>
      </c>
      <c r="AF222" s="314">
        <f>SUM(AF16:AF221)</f>
        <v>4544.3500000000013</v>
      </c>
      <c r="AG222" s="38"/>
      <c r="AH222" s="314">
        <f>SUM(AH16:AH221)</f>
        <v>3581000</v>
      </c>
      <c r="AI222" s="314">
        <f>SUM(AI16:AI221)</f>
        <v>448000</v>
      </c>
      <c r="AJ222" s="314">
        <f>SUM(AJ16:AJ221)</f>
        <v>91000</v>
      </c>
    </row>
    <row r="223" spans="1:38" ht="13" thickBot="1">
      <c r="A223" s="65"/>
      <c r="B223" s="65"/>
      <c r="C223" s="674"/>
      <c r="D223" s="141"/>
      <c r="E223" s="709" t="s">
        <v>293</v>
      </c>
      <c r="F223" s="160">
        <f>F222-E222</f>
        <v>-275664.35000000015</v>
      </c>
      <c r="G223" s="153"/>
      <c r="H223" s="153" t="s">
        <v>225</v>
      </c>
      <c r="I223" s="153">
        <f>I222+H222+G222</f>
        <v>5779025.4899999993</v>
      </c>
      <c r="J223" s="323"/>
      <c r="K223" s="153"/>
      <c r="L223" s="153" t="s">
        <v>296</v>
      </c>
      <c r="M223" s="100">
        <f>M222+L222</f>
        <v>4120000</v>
      </c>
      <c r="N223" s="153"/>
      <c r="O223" s="641"/>
      <c r="P223" s="153"/>
      <c r="Q223" s="153"/>
      <c r="R223" s="153"/>
      <c r="S223" s="153"/>
      <c r="T223" s="153"/>
      <c r="U223" s="153"/>
      <c r="V223" s="153"/>
      <c r="W223" s="153"/>
      <c r="X223" s="139"/>
      <c r="Y223" s="139"/>
      <c r="Z223" s="139"/>
      <c r="AA223" s="139"/>
      <c r="AB223" s="104"/>
      <c r="AC223" s="38"/>
      <c r="AD223" s="711"/>
      <c r="AE223" s="711"/>
      <c r="AF223" s="711"/>
      <c r="AG223" s="38"/>
      <c r="AH223" s="38"/>
      <c r="AI223" s="38"/>
      <c r="AJ223" s="38"/>
    </row>
    <row r="224" spans="1:38" ht="13" thickBot="1">
      <c r="A224" s="65"/>
      <c r="B224" s="65"/>
      <c r="C224" s="674"/>
      <c r="E224" s="159"/>
      <c r="F224" s="153"/>
      <c r="G224" s="153"/>
      <c r="H224" s="153"/>
      <c r="I224" s="153"/>
      <c r="J224" s="153"/>
      <c r="K224" s="153"/>
      <c r="L224" s="153"/>
      <c r="M224" s="710"/>
      <c r="N224" s="153"/>
      <c r="O224" s="153"/>
      <c r="P224" s="153"/>
      <c r="Q224" s="153"/>
      <c r="R224" s="153"/>
      <c r="S224" s="153"/>
      <c r="T224" s="153"/>
      <c r="U224" s="153"/>
      <c r="V224" s="153"/>
      <c r="W224" s="153"/>
      <c r="X224" s="331" t="s">
        <v>345</v>
      </c>
      <c r="Y224" s="139"/>
      <c r="Z224" s="139"/>
      <c r="AA224" s="139"/>
      <c r="AB224" s="104"/>
      <c r="AC224" s="164" t="s">
        <v>633</v>
      </c>
      <c r="AD224" s="798">
        <v>-49580.13</v>
      </c>
      <c r="AE224" s="798"/>
      <c r="AF224" s="798">
        <f>-SUM(AD224)</f>
        <v>49580.13</v>
      </c>
      <c r="AG224" s="38"/>
      <c r="AH224" s="711"/>
      <c r="AI224" s="711"/>
      <c r="AJ224" s="711"/>
    </row>
    <row r="225" spans="4:38" ht="17" thickTop="1" thickBot="1">
      <c r="E225" s="712"/>
      <c r="F225" s="713"/>
      <c r="G225" s="714"/>
      <c r="H225" s="715"/>
      <c r="I225" s="715"/>
      <c r="J225" s="164"/>
      <c r="K225" s="169"/>
      <c r="L225" s="233"/>
      <c r="M225" s="233"/>
      <c r="N225" s="38"/>
      <c r="O225" s="642"/>
      <c r="P225" s="139"/>
      <c r="Q225" s="139"/>
      <c r="R225" s="139"/>
      <c r="S225" s="139"/>
      <c r="T225" s="33"/>
      <c r="U225" s="33"/>
      <c r="V225" s="33"/>
      <c r="W225" s="169"/>
      <c r="X225" s="332"/>
      <c r="Y225" s="333"/>
      <c r="Z225" s="491"/>
      <c r="AA225" s="491"/>
      <c r="AB225" s="334"/>
      <c r="AC225" s="164" t="s">
        <v>634</v>
      </c>
      <c r="AD225" s="798">
        <v>-142113.38</v>
      </c>
      <c r="AE225" s="798"/>
      <c r="AF225" s="802">
        <f>-SUM(AD225)</f>
        <v>142113.38</v>
      </c>
      <c r="AG225" s="38"/>
      <c r="AH225" s="38"/>
      <c r="AI225" s="38"/>
      <c r="AJ225" s="38"/>
    </row>
    <row r="226" spans="4:38" ht="17" thickBot="1">
      <c r="E226" s="712"/>
      <c r="F226" s="713"/>
      <c r="G226" s="714"/>
      <c r="H226" s="715"/>
      <c r="J226" s="79">
        <f>J222</f>
        <v>5973244.1199999973</v>
      </c>
      <c r="K226" s="715" t="s">
        <v>928</v>
      </c>
      <c r="L226" s="169"/>
      <c r="M226" s="493"/>
      <c r="N226" s="38"/>
      <c r="O226" s="80"/>
      <c r="P226" s="104"/>
      <c r="Q226" s="139"/>
      <c r="R226" s="139"/>
      <c r="S226" s="139"/>
      <c r="T226" s="33"/>
      <c r="U226" s="33"/>
      <c r="V226" s="33"/>
      <c r="W226" s="169"/>
      <c r="X226" s="487"/>
      <c r="Y226" s="488"/>
      <c r="Z226" s="492" t="s">
        <v>399</v>
      </c>
      <c r="AA226" s="492" t="s">
        <v>400</v>
      </c>
      <c r="AB226" s="488"/>
      <c r="AC226" s="717" t="s">
        <v>475</v>
      </c>
      <c r="AD226" s="718">
        <f>SUM(AD222:AD225)</f>
        <v>5807739.5399999982</v>
      </c>
      <c r="AE226" s="718">
        <f>AE222</f>
        <v>-30733.279999999992</v>
      </c>
      <c r="AF226" s="718">
        <f>SUM(AF222:AF225)</f>
        <v>196237.86</v>
      </c>
      <c r="AG226" s="718"/>
      <c r="AH226" s="718">
        <f>AH222</f>
        <v>3581000</v>
      </c>
      <c r="AI226" s="718">
        <f>AI222</f>
        <v>448000</v>
      </c>
      <c r="AJ226" s="719">
        <f>AJ222</f>
        <v>91000</v>
      </c>
      <c r="AL226" s="38">
        <f>SUM(AL17:AL225)</f>
        <v>10093244.119999999</v>
      </c>
    </row>
    <row r="227" spans="4:38" ht="15" thickBot="1">
      <c r="D227" s="143"/>
      <c r="E227" s="759"/>
      <c r="F227" s="713"/>
      <c r="G227" s="714"/>
      <c r="H227" s="720"/>
      <c r="J227" s="750">
        <f>SUM('June GL'!H2)</f>
        <v>0</v>
      </c>
      <c r="K227" s="757" t="s">
        <v>251</v>
      </c>
      <c r="L227" s="722"/>
      <c r="M227" s="642"/>
      <c r="N227" s="33"/>
      <c r="O227" s="80"/>
      <c r="P227" s="104"/>
      <c r="Q227" s="139"/>
      <c r="R227" s="139"/>
      <c r="S227" s="139"/>
      <c r="T227" s="33"/>
      <c r="U227" s="33"/>
      <c r="V227" s="33"/>
      <c r="W227" s="169"/>
      <c r="X227" s="158" t="s">
        <v>609</v>
      </c>
      <c r="Y227" s="104" t="s">
        <v>352</v>
      </c>
      <c r="Z227" s="104">
        <f>X222+Y222+Z222</f>
        <v>4120000</v>
      </c>
      <c r="AA227" s="104"/>
      <c r="AB227" s="136"/>
      <c r="AC227" s="723"/>
      <c r="AD227" s="38"/>
      <c r="AE227" s="38"/>
      <c r="AF227" s="38"/>
      <c r="AG227" s="38"/>
      <c r="AH227" s="38"/>
      <c r="AI227" s="38"/>
      <c r="AJ227" s="38"/>
    </row>
    <row r="228" spans="4:38" ht="15" thickTop="1">
      <c r="D228" s="143"/>
      <c r="E228" s="712"/>
      <c r="F228" s="713"/>
      <c r="G228" s="714"/>
      <c r="H228" s="714" t="s">
        <v>249</v>
      </c>
      <c r="J228" s="173">
        <f>J227+J226</f>
        <v>5973244.1199999973</v>
      </c>
      <c r="K228" s="714" t="s">
        <v>454</v>
      </c>
      <c r="L228" s="722"/>
      <c r="M228" s="80"/>
      <c r="N228" s="104"/>
      <c r="O228" s="173"/>
      <c r="P228" s="104"/>
      <c r="Q228" s="139"/>
      <c r="R228" s="139"/>
      <c r="S228" s="139"/>
      <c r="T228" s="139"/>
      <c r="U228" s="139"/>
      <c r="V228" s="139"/>
      <c r="W228" s="169"/>
      <c r="X228" s="158"/>
      <c r="Y228" s="104"/>
      <c r="Z228" s="104"/>
      <c r="AA228" s="104"/>
      <c r="AB228" s="136"/>
      <c r="AC228" s="723"/>
      <c r="AD228" s="38"/>
      <c r="AE228" s="38"/>
      <c r="AF228" s="38" t="s">
        <v>86</v>
      </c>
      <c r="AG228" s="38"/>
      <c r="AH228" s="233">
        <f>SUM(AD226+AH226)</f>
        <v>9388739.5399999991</v>
      </c>
      <c r="AI228" s="233">
        <f t="shared" ref="AI228:AJ228" si="97">SUM(AE226+AI226)</f>
        <v>417266.72000000003</v>
      </c>
      <c r="AJ228" s="233">
        <f t="shared" si="97"/>
        <v>287237.86</v>
      </c>
    </row>
    <row r="229" spans="4:38" ht="14">
      <c r="D229" s="143"/>
      <c r="E229" s="712"/>
      <c r="F229" s="713"/>
      <c r="G229" s="714"/>
      <c r="H229" s="714"/>
      <c r="J229" s="80"/>
      <c r="K229" s="714"/>
      <c r="L229" s="722"/>
      <c r="M229" s="104"/>
      <c r="N229" s="38"/>
      <c r="O229" s="139"/>
      <c r="P229" s="104"/>
      <c r="Q229" s="139"/>
      <c r="R229" s="139"/>
      <c r="S229" s="139"/>
      <c r="T229" s="139"/>
      <c r="U229" s="139"/>
      <c r="V229" s="139"/>
      <c r="W229" s="169"/>
      <c r="X229" s="158" t="s">
        <v>600</v>
      </c>
      <c r="Y229" s="104" t="s">
        <v>355</v>
      </c>
      <c r="Z229" s="104"/>
      <c r="AA229" s="104">
        <f>X222</f>
        <v>3581000</v>
      </c>
      <c r="AB229" s="136"/>
      <c r="AC229" s="38"/>
      <c r="AD229" s="797" t="s">
        <v>882</v>
      </c>
      <c r="AE229" s="38"/>
      <c r="AF229" s="38"/>
      <c r="AG229" s="38"/>
      <c r="AH229" s="233"/>
      <c r="AI229" s="233"/>
      <c r="AJ229" s="233"/>
    </row>
    <row r="230" spans="4:38" ht="15" thickBot="1">
      <c r="D230" s="143" t="s">
        <v>823</v>
      </c>
      <c r="E230" s="712"/>
      <c r="F230" s="713"/>
      <c r="G230" s="714"/>
      <c r="H230" s="714"/>
      <c r="J230" s="661">
        <f>M223</f>
        <v>4120000</v>
      </c>
      <c r="K230" s="714" t="s">
        <v>929</v>
      </c>
      <c r="L230" s="645"/>
      <c r="M230" s="173"/>
      <c r="N230" s="38"/>
      <c r="O230" s="139"/>
      <c r="P230" s="104"/>
      <c r="Q230" s="139"/>
      <c r="R230" s="139"/>
      <c r="S230" s="139"/>
      <c r="T230" s="726"/>
      <c r="U230" s="139"/>
      <c r="V230" s="727"/>
      <c r="W230" s="169"/>
      <c r="X230" s="158"/>
      <c r="Y230" s="104" t="s">
        <v>356</v>
      </c>
      <c r="Z230" s="104"/>
      <c r="AA230" s="104">
        <f>AA222</f>
        <v>0</v>
      </c>
      <c r="AB230" s="136"/>
      <c r="AC230" s="38"/>
      <c r="AD230" s="38"/>
      <c r="AE230" s="38"/>
      <c r="AF230" s="38"/>
      <c r="AG230" s="38"/>
      <c r="AH230" s="799" t="s">
        <v>897</v>
      </c>
      <c r="AI230" s="801">
        <f>SUM(AH228:AJ228)</f>
        <v>10093244.119999999</v>
      </c>
      <c r="AJ230" s="800"/>
    </row>
    <row r="231" spans="4:38" ht="16" thickTop="1" thickBot="1">
      <c r="D231" s="143"/>
      <c r="E231" s="712"/>
      <c r="F231" s="713"/>
      <c r="G231" s="714"/>
      <c r="H231" s="714"/>
      <c r="J231" s="173">
        <v>0</v>
      </c>
      <c r="K231" s="714"/>
      <c r="L231" s="722"/>
      <c r="M231" s="173"/>
      <c r="N231" s="38"/>
      <c r="O231" s="33"/>
      <c r="P231" s="38"/>
      <c r="Q231" s="139"/>
      <c r="R231" s="139"/>
      <c r="S231" s="139"/>
      <c r="T231" s="139"/>
      <c r="U231" s="139"/>
      <c r="V231" s="139"/>
      <c r="W231" s="169"/>
      <c r="X231" s="158"/>
      <c r="Y231" s="104"/>
      <c r="Z231" s="104"/>
      <c r="AA231" s="104"/>
      <c r="AB231" s="136"/>
      <c r="AC231" s="38"/>
      <c r="AD231" s="38"/>
      <c r="AE231" s="38"/>
      <c r="AF231" s="38"/>
      <c r="AG231" s="38"/>
    </row>
    <row r="232" spans="4:38" ht="15" thickBot="1">
      <c r="E232" s="712"/>
      <c r="F232" s="713"/>
      <c r="G232" s="714"/>
      <c r="H232" s="714"/>
      <c r="J232" s="754">
        <f>J226+J230</f>
        <v>10093244.119999997</v>
      </c>
      <c r="K232" s="714" t="s">
        <v>930</v>
      </c>
      <c r="L232" s="722"/>
      <c r="M232" s="173"/>
      <c r="N232" s="38"/>
      <c r="O232" s="33"/>
      <c r="P232" s="38"/>
      <c r="Q232" s="139"/>
      <c r="R232" s="139"/>
      <c r="S232" s="139"/>
      <c r="T232" s="139"/>
      <c r="U232" s="139"/>
      <c r="V232" s="139"/>
      <c r="W232" s="169"/>
      <c r="X232" s="158" t="s">
        <v>601</v>
      </c>
      <c r="Y232" s="104" t="s">
        <v>357</v>
      </c>
      <c r="Z232" s="104"/>
      <c r="AA232" s="104">
        <f>Y222</f>
        <v>448000</v>
      </c>
      <c r="AB232" s="136"/>
      <c r="AC232" s="38"/>
      <c r="AD232" s="38"/>
      <c r="AE232" s="38"/>
      <c r="AF232" s="38"/>
      <c r="AG232" s="38"/>
      <c r="AH232" s="796" t="s">
        <v>857</v>
      </c>
      <c r="AI232" s="38">
        <f>AI230-AJ228</f>
        <v>9806006.2599999998</v>
      </c>
      <c r="AJ232" s="38"/>
    </row>
    <row r="233" spans="4:38">
      <c r="D233" s="161"/>
      <c r="E233" s="712"/>
      <c r="F233" s="713"/>
      <c r="G233" s="714"/>
      <c r="H233" s="714"/>
      <c r="J233" s="637"/>
      <c r="K233" s="714"/>
      <c r="L233" s="173"/>
      <c r="M233" s="731"/>
      <c r="N233" s="38"/>
      <c r="O233" s="33"/>
      <c r="P233" s="38"/>
      <c r="Q233" s="139"/>
      <c r="R233" s="139"/>
      <c r="S233" s="139"/>
      <c r="T233" s="139"/>
      <c r="U233" s="139"/>
      <c r="V233" s="139"/>
      <c r="W233" s="169"/>
      <c r="X233" s="415"/>
      <c r="Y233" s="104" t="s">
        <v>358</v>
      </c>
      <c r="Z233" s="104"/>
      <c r="AA233" s="104">
        <f>AB222</f>
        <v>0</v>
      </c>
      <c r="AB233" s="136"/>
      <c r="AC233" s="38"/>
      <c r="AD233" s="38"/>
      <c r="AE233" s="38"/>
      <c r="AF233" s="38"/>
      <c r="AG233" s="38"/>
      <c r="AH233" s="38"/>
      <c r="AI233" s="38"/>
      <c r="AJ233" s="38"/>
    </row>
    <row r="234" spans="4:38">
      <c r="E234" s="712"/>
      <c r="F234" s="713"/>
      <c r="G234" s="714"/>
      <c r="H234" s="714"/>
      <c r="J234" s="658">
        <f>SUM(AD226:AJ226)</f>
        <v>10093244.119999997</v>
      </c>
      <c r="K234" s="714" t="s">
        <v>518</v>
      </c>
      <c r="L234" s="732"/>
      <c r="M234" s="637"/>
      <c r="N234" s="38"/>
      <c r="O234" s="33"/>
      <c r="P234" s="38"/>
      <c r="Q234" s="139"/>
      <c r="R234" s="139"/>
      <c r="S234" s="139"/>
      <c r="T234" s="139"/>
      <c r="U234" s="139"/>
      <c r="V234" s="139"/>
      <c r="W234" s="169"/>
      <c r="X234" s="415"/>
      <c r="Y234" s="104"/>
      <c r="Z234" s="104"/>
      <c r="AA234" s="104"/>
      <c r="AB234" s="136"/>
      <c r="AC234" s="38"/>
      <c r="AD234" s="38"/>
      <c r="AE234" s="38"/>
      <c r="AF234" s="38"/>
      <c r="AG234" s="38"/>
      <c r="AH234" s="38"/>
      <c r="AI234" s="38"/>
      <c r="AJ234" s="38"/>
    </row>
    <row r="235" spans="4:38" ht="13" thickBot="1">
      <c r="E235" s="712"/>
      <c r="F235" s="713"/>
      <c r="G235" s="714"/>
      <c r="H235" s="714"/>
      <c r="J235" s="169"/>
      <c r="K235" s="714" t="s">
        <v>454</v>
      </c>
      <c r="L235" s="733"/>
      <c r="M235" s="795"/>
      <c r="N235" s="38"/>
      <c r="O235" s="33"/>
      <c r="P235" s="38"/>
      <c r="Q235" s="139"/>
      <c r="R235" s="139"/>
      <c r="S235" s="139"/>
      <c r="T235" s="139"/>
      <c r="U235" s="139"/>
      <c r="V235" s="139"/>
      <c r="W235" s="169"/>
      <c r="X235" s="158" t="s">
        <v>602</v>
      </c>
      <c r="Y235" s="488" t="s">
        <v>359</v>
      </c>
      <c r="Z235" s="488"/>
      <c r="AA235" s="488">
        <f>Z222</f>
        <v>91000</v>
      </c>
      <c r="AB235" s="414"/>
      <c r="AC235" s="38"/>
      <c r="AD235" s="38"/>
      <c r="AE235" s="38"/>
      <c r="AF235" s="38"/>
      <c r="AG235" s="38"/>
      <c r="AH235" s="38"/>
      <c r="AI235" s="38"/>
      <c r="AJ235" s="38"/>
    </row>
    <row r="236" spans="4:38" ht="15" thickBot="1">
      <c r="E236" s="712"/>
      <c r="F236" s="713"/>
      <c r="G236" s="714"/>
      <c r="H236" s="714"/>
      <c r="J236" s="736"/>
      <c r="K236" s="714" t="s">
        <v>519</v>
      </c>
      <c r="L236" s="169"/>
      <c r="M236" s="169"/>
      <c r="N236" s="38"/>
      <c r="O236" s="33"/>
      <c r="P236" s="38"/>
      <c r="Q236" s="33"/>
      <c r="R236" s="33"/>
      <c r="S236" s="33"/>
      <c r="T236" s="33"/>
      <c r="U236" s="33"/>
      <c r="V236" s="33"/>
      <c r="W236" s="169"/>
      <c r="X236" s="416"/>
      <c r="Y236" s="104"/>
      <c r="Z236" s="80">
        <f>SUM(Z227:Z235)</f>
        <v>4120000</v>
      </c>
      <c r="AA236" s="80">
        <f>SUM(AA227:AA235)</f>
        <v>4120000</v>
      </c>
      <c r="AB236" s="136"/>
      <c r="AC236" s="38"/>
      <c r="AD236" s="38"/>
      <c r="AE236" s="38"/>
      <c r="AF236" s="38"/>
      <c r="AG236" s="38"/>
      <c r="AH236" s="38"/>
      <c r="AI236" s="38"/>
      <c r="AJ236" s="38"/>
    </row>
    <row r="237" spans="4:38">
      <c r="E237" s="712"/>
      <c r="F237" s="713"/>
      <c r="G237" s="714"/>
      <c r="H237" s="714"/>
      <c r="I237" s="714"/>
      <c r="J237" s="169"/>
      <c r="K237" s="169"/>
      <c r="L237" s="169"/>
      <c r="M237" s="169"/>
      <c r="N237" s="38"/>
      <c r="O237" s="33"/>
      <c r="P237" s="38"/>
      <c r="Q237" s="33"/>
      <c r="R237" s="33"/>
      <c r="S237" s="33"/>
      <c r="T237" s="33"/>
      <c r="U237" s="33"/>
      <c r="V237" s="33"/>
      <c r="W237" s="169"/>
      <c r="X237" s="416"/>
      <c r="Y237" s="104"/>
      <c r="Z237" s="104"/>
      <c r="AA237" s="104"/>
      <c r="AB237" s="136"/>
      <c r="AC237" s="38"/>
      <c r="AD237" s="38"/>
      <c r="AE237" s="38"/>
      <c r="AF237" s="38"/>
      <c r="AG237" s="38"/>
      <c r="AH237" s="38"/>
      <c r="AI237" s="38"/>
      <c r="AJ237" s="38"/>
    </row>
    <row r="238" spans="4:38" ht="13" thickBot="1">
      <c r="E238" s="712"/>
      <c r="F238" s="713"/>
      <c r="G238" s="714"/>
      <c r="H238" s="714"/>
      <c r="I238" s="714"/>
      <c r="J238" s="169"/>
      <c r="K238" s="169"/>
      <c r="L238" s="169"/>
      <c r="M238" s="169"/>
      <c r="N238" s="38"/>
      <c r="O238" s="33"/>
      <c r="P238" s="38"/>
      <c r="Q238" s="33"/>
      <c r="R238" s="33"/>
      <c r="S238" s="33"/>
      <c r="T238" s="33"/>
      <c r="U238" s="33"/>
      <c r="V238" s="33"/>
      <c r="W238" s="169"/>
      <c r="X238" s="330"/>
      <c r="Y238" s="279"/>
      <c r="Z238" s="279"/>
      <c r="AA238" s="279"/>
      <c r="AB238" s="280"/>
      <c r="AC238" s="38"/>
      <c r="AD238" s="38"/>
      <c r="AE238" s="38"/>
      <c r="AF238" s="38"/>
      <c r="AG238" s="38"/>
      <c r="AH238" s="38"/>
      <c r="AI238" s="38"/>
      <c r="AJ238" s="38"/>
    </row>
    <row r="239" spans="4:38">
      <c r="E239" s="712"/>
      <c r="F239" s="713"/>
      <c r="G239" s="714"/>
      <c r="H239" s="714"/>
      <c r="I239" s="714"/>
      <c r="J239" s="169"/>
      <c r="K239" s="169"/>
      <c r="L239" s="169"/>
      <c r="M239" s="169"/>
      <c r="N239" s="38"/>
      <c r="O239" s="33"/>
      <c r="P239" s="38"/>
      <c r="Q239" s="33"/>
      <c r="R239" s="33"/>
      <c r="S239" s="33"/>
      <c r="T239" s="33"/>
      <c r="U239" s="33"/>
      <c r="V239" s="33"/>
      <c r="W239" s="169"/>
      <c r="X239" s="104"/>
      <c r="Y239" s="104"/>
      <c r="Z239" s="104"/>
      <c r="AA239" s="104"/>
      <c r="AB239" s="104"/>
      <c r="AC239" s="38"/>
      <c r="AD239" s="38"/>
      <c r="AE239" s="38"/>
      <c r="AF239" s="38"/>
      <c r="AG239" s="38"/>
      <c r="AH239" s="38"/>
      <c r="AI239" s="38"/>
      <c r="AJ239" s="38"/>
    </row>
    <row r="240" spans="4:38">
      <c r="E240" s="712"/>
      <c r="F240" s="713"/>
      <c r="G240" s="714"/>
      <c r="H240" s="714"/>
      <c r="I240" s="714"/>
      <c r="J240" s="169"/>
      <c r="K240" s="169"/>
      <c r="L240" s="169"/>
      <c r="M240" s="169"/>
      <c r="N240" s="38"/>
      <c r="O240" s="33"/>
      <c r="P240" s="38"/>
      <c r="Q240" s="33"/>
      <c r="R240" s="33"/>
      <c r="S240" s="33"/>
      <c r="T240" s="33"/>
      <c r="U240" s="33"/>
      <c r="V240" s="33"/>
      <c r="W240" s="169"/>
      <c r="AC240" s="38"/>
      <c r="AD240" s="38"/>
      <c r="AE240" s="38"/>
      <c r="AF240" s="38"/>
      <c r="AG240" s="38"/>
      <c r="AH240" s="38"/>
      <c r="AI240" s="38"/>
      <c r="AJ240" s="38"/>
    </row>
    <row r="241" spans="5:36">
      <c r="E241" s="712"/>
      <c r="F241" s="713"/>
      <c r="G241" s="714"/>
      <c r="H241" s="714"/>
      <c r="I241" s="714"/>
      <c r="J241" s="169"/>
      <c r="K241" s="169"/>
      <c r="L241" s="169"/>
      <c r="M241" s="169"/>
      <c r="N241" s="38"/>
      <c r="O241" s="33"/>
      <c r="P241" s="38"/>
      <c r="Q241" s="33"/>
      <c r="R241" s="33"/>
      <c r="S241" s="33"/>
      <c r="T241" s="33"/>
      <c r="U241" s="33"/>
      <c r="V241" s="33"/>
      <c r="W241" s="169"/>
      <c r="AC241" s="38"/>
      <c r="AD241" s="38"/>
      <c r="AE241" s="38"/>
      <c r="AF241" s="38"/>
      <c r="AG241" s="38"/>
      <c r="AH241" s="38"/>
      <c r="AI241" s="38"/>
      <c r="AJ241" s="38"/>
    </row>
    <row r="242" spans="5:36">
      <c r="E242" s="712"/>
      <c r="F242" s="713"/>
      <c r="G242" s="714"/>
      <c r="H242" s="714"/>
      <c r="I242" s="714"/>
      <c r="J242" s="169"/>
      <c r="K242" s="169"/>
      <c r="L242" s="169"/>
      <c r="M242" s="169"/>
      <c r="N242" s="38"/>
      <c r="O242" s="33"/>
      <c r="P242" s="38"/>
      <c r="Q242" s="33"/>
      <c r="R242" s="33"/>
      <c r="S242" s="33"/>
      <c r="T242" s="33"/>
      <c r="U242" s="33"/>
      <c r="V242" s="33"/>
      <c r="W242" s="169"/>
      <c r="AC242" s="38"/>
      <c r="AD242" s="38"/>
      <c r="AE242" s="38"/>
      <c r="AF242" s="38"/>
      <c r="AG242" s="38"/>
      <c r="AH242" s="38"/>
      <c r="AI242" s="38"/>
      <c r="AJ242" s="38"/>
    </row>
    <row r="243" spans="5:36">
      <c r="E243" s="712"/>
      <c r="F243" s="713"/>
      <c r="G243" s="714"/>
      <c r="H243" s="714"/>
      <c r="I243" s="714"/>
      <c r="J243" s="169"/>
      <c r="K243" s="169"/>
      <c r="L243" s="169"/>
      <c r="M243" s="169"/>
      <c r="N243" s="38"/>
      <c r="O243" s="33"/>
      <c r="P243" s="38"/>
      <c r="Q243" s="33"/>
      <c r="R243" s="33"/>
      <c r="S243" s="33"/>
      <c r="T243" s="33"/>
      <c r="U243" s="33"/>
      <c r="V243" s="33"/>
      <c r="W243" s="169"/>
      <c r="AC243" s="38"/>
      <c r="AD243" s="38"/>
      <c r="AE243" s="38"/>
      <c r="AF243" s="38"/>
      <c r="AG243" s="38"/>
      <c r="AH243" s="38"/>
      <c r="AI243" s="38"/>
      <c r="AJ243" s="38"/>
    </row>
    <row r="244" spans="5:36">
      <c r="E244" s="712"/>
      <c r="F244" s="713"/>
      <c r="G244" s="714"/>
      <c r="H244" s="714"/>
      <c r="I244" s="714"/>
      <c r="J244" s="169"/>
      <c r="K244" s="169"/>
      <c r="L244" s="169"/>
      <c r="M244" s="169"/>
      <c r="N244" s="38"/>
      <c r="O244" s="33"/>
      <c r="P244" s="38"/>
      <c r="Q244" s="33"/>
      <c r="R244" s="33"/>
      <c r="S244" s="33"/>
      <c r="T244" s="33"/>
      <c r="U244" s="33"/>
      <c r="V244" s="33"/>
      <c r="W244" s="169"/>
      <c r="AC244" s="38"/>
      <c r="AD244" s="38"/>
      <c r="AE244" s="38"/>
      <c r="AF244" s="38"/>
      <c r="AG244" s="38"/>
      <c r="AH244" s="38"/>
      <c r="AI244" s="38"/>
      <c r="AJ244" s="38"/>
    </row>
    <row r="245" spans="5:36">
      <c r="E245" s="712"/>
      <c r="F245" s="713"/>
      <c r="G245" s="714"/>
      <c r="H245" s="714"/>
      <c r="I245" s="714"/>
      <c r="J245" s="169"/>
      <c r="K245" s="169"/>
      <c r="L245" s="169"/>
      <c r="M245" s="169"/>
      <c r="N245" s="38"/>
      <c r="O245" s="33"/>
      <c r="P245" s="38"/>
      <c r="Q245" s="33"/>
      <c r="R245" s="33"/>
      <c r="S245" s="33"/>
      <c r="T245" s="33"/>
      <c r="U245" s="33"/>
      <c r="V245" s="33"/>
      <c r="W245" s="169"/>
      <c r="AC245" s="38"/>
      <c r="AD245" s="38"/>
      <c r="AE245" s="38"/>
      <c r="AF245" s="38"/>
      <c r="AG245" s="38"/>
      <c r="AH245" s="38"/>
      <c r="AI245" s="38"/>
      <c r="AJ245"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42"/>
  <sheetViews>
    <sheetView topLeftCell="B139" workbookViewId="0">
      <selection activeCell="R178" sqref="R178"/>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7.3984375" style="146" customWidth="1"/>
    <col min="16" max="16" width="1.796875" style="16" customWidth="1"/>
    <col min="17" max="18" width="15.3984375" style="146" customWidth="1"/>
    <col min="19" max="19" width="1.796875" style="146" customWidth="1"/>
    <col min="20" max="20" width="15.3984375" style="146" customWidth="1"/>
    <col min="21" max="21" width="1.796875" style="24" customWidth="1"/>
    <col min="22" max="26" width="15.3984375" style="38" customWidth="1"/>
    <col min="27" max="27" width="15.3984375" style="16" customWidth="1"/>
    <col min="28" max="29" width="15.3984375" style="559" customWidth="1"/>
    <col min="30" max="30" width="15.796875" style="559" customWidth="1"/>
    <col min="31" max="31" width="2.3984375" style="559" customWidth="1"/>
    <col min="32" max="33" width="14.796875" style="559" bestFit="1" customWidth="1"/>
    <col min="34" max="34" width="14.19921875" style="559" customWidth="1"/>
    <col min="35" max="35" width="9.3984375" style="16"/>
    <col min="36" max="36" width="14.796875" style="16" bestFit="1" customWidth="1"/>
    <col min="37" max="16384" width="9.398437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924</v>
      </c>
      <c r="F3" s="29"/>
      <c r="G3" s="18"/>
      <c r="H3" s="168"/>
      <c r="I3" s="168"/>
      <c r="J3" s="169"/>
      <c r="K3" s="169"/>
      <c r="L3" s="169"/>
      <c r="M3" s="169"/>
      <c r="N3" s="169"/>
    </row>
    <row r="4" spans="1:34">
      <c r="D4" s="148"/>
      <c r="G4" s="164"/>
      <c r="H4" s="168"/>
      <c r="I4" s="168"/>
      <c r="J4" s="169"/>
      <c r="K4" s="169"/>
      <c r="L4" s="169"/>
      <c r="M4" s="169"/>
      <c r="N4" s="169"/>
    </row>
    <row r="5" spans="1:34" ht="13"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3" thickBot="1">
      <c r="B12" s="469"/>
      <c r="C12" s="670"/>
      <c r="D12" s="470" t="s">
        <v>103</v>
      </c>
      <c r="E12" s="471" t="s">
        <v>101</v>
      </c>
      <c r="F12" s="29"/>
      <c r="G12" s="166"/>
      <c r="H12" s="150"/>
      <c r="I12" s="150"/>
      <c r="J12" s="76"/>
    </row>
    <row r="13" spans="1:34" ht="13" thickBot="1">
      <c r="A13" s="152"/>
      <c r="B13" s="152"/>
      <c r="C13" s="67"/>
      <c r="D13" s="54"/>
      <c r="E13" s="34"/>
      <c r="G13" s="167"/>
      <c r="H13" s="49"/>
      <c r="I13" s="49"/>
      <c r="J13" s="50"/>
      <c r="K13" s="50"/>
      <c r="L13" s="50"/>
      <c r="M13" s="745"/>
      <c r="N13" s="146"/>
      <c r="P13" s="146"/>
      <c r="U13" s="50"/>
      <c r="V13" s="33"/>
      <c r="W13" s="33"/>
      <c r="X13" s="33"/>
      <c r="Y13" s="33"/>
    </row>
    <row r="14" spans="1:34" ht="13" thickBot="1">
      <c r="D14" s="526"/>
      <c r="E14" s="582" t="s">
        <v>925</v>
      </c>
      <c r="F14" s="583" t="s">
        <v>255</v>
      </c>
      <c r="G14" s="96"/>
      <c r="H14" s="96"/>
      <c r="I14" s="96"/>
      <c r="J14" s="96" t="s">
        <v>256</v>
      </c>
      <c r="K14" s="581"/>
      <c r="L14" s="96" t="s">
        <v>256</v>
      </c>
      <c r="M14" s="96" t="s">
        <v>256</v>
      </c>
      <c r="N14" s="93"/>
      <c r="O14" s="96"/>
      <c r="P14" s="93"/>
      <c r="Q14" s="13"/>
      <c r="R14" s="96"/>
      <c r="S14" s="101"/>
      <c r="T14" s="96"/>
      <c r="U14" s="93"/>
      <c r="V14" s="96"/>
      <c r="W14" s="96"/>
      <c r="X14" s="304"/>
      <c r="Y14" s="304"/>
      <c r="Z14" s="304"/>
      <c r="AC14" s="560" t="s">
        <v>266</v>
      </c>
      <c r="AG14" s="561" t="s">
        <v>267</v>
      </c>
    </row>
    <row r="15" spans="1:34" ht="13" thickBot="1">
      <c r="A15" s="22" t="s">
        <v>95</v>
      </c>
      <c r="B15" s="22" t="s">
        <v>100</v>
      </c>
      <c r="C15" s="36" t="s">
        <v>522</v>
      </c>
      <c r="D15" s="36" t="s">
        <v>67</v>
      </c>
      <c r="E15" s="450" t="s">
        <v>230</v>
      </c>
      <c r="F15" s="528" t="s">
        <v>229</v>
      </c>
      <c r="G15" s="176" t="s">
        <v>288</v>
      </c>
      <c r="H15" s="545" t="s">
        <v>289</v>
      </c>
      <c r="I15" s="758" t="s">
        <v>256</v>
      </c>
      <c r="J15" s="313" t="s">
        <v>105</v>
      </c>
      <c r="K15" s="93"/>
      <c r="L15" s="94" t="s">
        <v>104</v>
      </c>
      <c r="M15" s="95" t="s">
        <v>106</v>
      </c>
      <c r="N15" s="102"/>
      <c r="O15" s="427" t="s">
        <v>839</v>
      </c>
      <c r="P15" s="102"/>
      <c r="Q15" s="313" t="s">
        <v>926</v>
      </c>
      <c r="R15" s="156" t="s">
        <v>927</v>
      </c>
      <c r="S15" s="149"/>
      <c r="T15" s="327" t="s">
        <v>872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VLOOKUP(D16,'Feb 2013 Revenue'!D:T,17,FALSE)</f>
        <v>0</v>
      </c>
      <c r="G16" s="680"/>
      <c r="H16" s="680"/>
      <c r="I16" s="755"/>
      <c r="J16" s="682">
        <f t="shared" ref="J16:J55" si="0">SUM(E16:I16)</f>
        <v>0</v>
      </c>
      <c r="K16" s="683"/>
      <c r="L16" s="684"/>
      <c r="M16" s="753"/>
      <c r="N16" s="683">
        <v>0</v>
      </c>
      <c r="O16" s="686"/>
      <c r="P16" s="683">
        <v>0</v>
      </c>
      <c r="Q16" s="687">
        <f t="shared" ref="Q16:Q137" si="1">L16+M16</f>
        <v>0</v>
      </c>
      <c r="R16" s="688">
        <v>0</v>
      </c>
      <c r="S16" s="689"/>
      <c r="T16" s="690">
        <f t="shared" ref="T16:T79" si="2">IF(R16="","",R16-Q16)</f>
        <v>0</v>
      </c>
      <c r="U16" s="691"/>
      <c r="V16" s="474">
        <f t="shared" ref="V16:V80" si="3">IF(B16="D",Q16,0)</f>
        <v>0</v>
      </c>
      <c r="W16" s="474">
        <f t="shared" ref="W16:W80" si="4">IF(B16="M",Q16,0)</f>
        <v>0</v>
      </c>
      <c r="X16" s="475">
        <f t="shared" ref="X16:X80" si="5">IF(B16="V",Q16,0)</f>
        <v>0</v>
      </c>
      <c r="Y16" s="475">
        <v>0</v>
      </c>
      <c r="Z16" s="476">
        <v>0</v>
      </c>
      <c r="AA16" s="38">
        <f t="shared" ref="AA16:AA80" si="6">(L16+M16)-(V16+W16+X16+Y16+Z16)</f>
        <v>0</v>
      </c>
      <c r="AB16" s="692">
        <f t="shared" ref="AB16:AB79" si="7">IF(B16="D",J16,0)</f>
        <v>0</v>
      </c>
      <c r="AC16" s="692">
        <f t="shared" ref="AC16:AC79" si="8">IF(B16="M",J16,0)</f>
        <v>0</v>
      </c>
      <c r="AD16" s="692">
        <f t="shared" ref="AD16:AD79" si="9">IF(B16="V",J16,0)</f>
        <v>0</v>
      </c>
      <c r="AE16" s="38"/>
      <c r="AF16" s="692">
        <f t="shared" ref="AF16:AF80" si="10">IF(B16="D",Q16,0)</f>
        <v>0</v>
      </c>
      <c r="AG16" s="692">
        <f t="shared" ref="AG16:AG80" si="11">IF(B16="M",Q16,0)</f>
        <v>0</v>
      </c>
      <c r="AH16" s="692">
        <f t="shared" ref="AH16:AH80" si="12">IF(B16="V",Q16,0)</f>
        <v>0</v>
      </c>
    </row>
    <row r="17" spans="1:36">
      <c r="A17" s="20" t="s">
        <v>109</v>
      </c>
      <c r="B17" s="20" t="s">
        <v>110</v>
      </c>
      <c r="C17" s="671" t="s">
        <v>523</v>
      </c>
      <c r="D17" s="123" t="s">
        <v>317</v>
      </c>
      <c r="E17" s="679"/>
      <c r="F17" s="529">
        <f>VLOOKUP(D17,'Feb 2013 Revenue'!D:T,17,FALSE)</f>
        <v>-1936.25</v>
      </c>
      <c r="G17" s="680"/>
      <c r="H17" s="680"/>
      <c r="I17" s="755"/>
      <c r="J17" s="682">
        <f t="shared" si="0"/>
        <v>-1936.25</v>
      </c>
      <c r="K17" s="683"/>
      <c r="L17" s="684"/>
      <c r="M17" s="753">
        <v>10000</v>
      </c>
      <c r="N17" s="683">
        <v>0</v>
      </c>
      <c r="O17" s="686"/>
      <c r="P17" s="683">
        <v>0</v>
      </c>
      <c r="Q17" s="687">
        <f t="shared" si="1"/>
        <v>10000</v>
      </c>
      <c r="R17" s="688">
        <f>7848.41+1806.02</f>
        <v>9654.43</v>
      </c>
      <c r="S17" s="693"/>
      <c r="T17" s="690">
        <f t="shared" si="2"/>
        <v>-345.56999999999971</v>
      </c>
      <c r="U17" s="683"/>
      <c r="V17" s="474">
        <f t="shared" si="3"/>
        <v>10000</v>
      </c>
      <c r="W17" s="474">
        <f t="shared" si="4"/>
        <v>0</v>
      </c>
      <c r="X17" s="475">
        <f t="shared" si="5"/>
        <v>0</v>
      </c>
      <c r="Y17" s="475">
        <v>0</v>
      </c>
      <c r="Z17" s="476">
        <v>0</v>
      </c>
      <c r="AA17" s="38">
        <f t="shared" si="6"/>
        <v>0</v>
      </c>
      <c r="AB17" s="692">
        <f t="shared" si="7"/>
        <v>-1936.25</v>
      </c>
      <c r="AC17" s="692">
        <f t="shared" si="8"/>
        <v>0</v>
      </c>
      <c r="AD17" s="692">
        <f t="shared" si="9"/>
        <v>0</v>
      </c>
      <c r="AE17" s="38"/>
      <c r="AF17" s="692">
        <f t="shared" si="10"/>
        <v>10000</v>
      </c>
      <c r="AG17" s="692">
        <f t="shared" si="11"/>
        <v>0</v>
      </c>
      <c r="AH17" s="692">
        <f t="shared" si="12"/>
        <v>0</v>
      </c>
      <c r="AJ17" s="38">
        <f>SUM(AB17:AH17)</f>
        <v>8063.75</v>
      </c>
    </row>
    <row r="18" spans="1:36">
      <c r="A18" s="20" t="s">
        <v>109</v>
      </c>
      <c r="B18" s="20" t="s">
        <v>109</v>
      </c>
      <c r="C18" s="671" t="s">
        <v>523</v>
      </c>
      <c r="D18" s="68" t="s">
        <v>393</v>
      </c>
      <c r="E18" s="679"/>
      <c r="F18" s="529">
        <f>VLOOKUP(D18,'Feb 2013 Revenue'!D:T,17,FALSE)</f>
        <v>1136.0699999999997</v>
      </c>
      <c r="G18" s="680"/>
      <c r="H18" s="680"/>
      <c r="I18" s="755"/>
      <c r="J18" s="682">
        <f t="shared" si="0"/>
        <v>1136.0699999999997</v>
      </c>
      <c r="K18" s="683"/>
      <c r="L18" s="684"/>
      <c r="M18" s="753">
        <v>35000</v>
      </c>
      <c r="N18" s="683">
        <v>0</v>
      </c>
      <c r="O18" s="686"/>
      <c r="P18" s="683">
        <v>0</v>
      </c>
      <c r="Q18" s="687">
        <f t="shared" si="1"/>
        <v>35000</v>
      </c>
      <c r="R18" s="688">
        <v>40289.480000000003</v>
      </c>
      <c r="S18" s="693"/>
      <c r="T18" s="690">
        <f t="shared" si="2"/>
        <v>5289.4800000000032</v>
      </c>
      <c r="U18" s="683"/>
      <c r="V18" s="474">
        <f t="shared" si="3"/>
        <v>0</v>
      </c>
      <c r="W18" s="474">
        <f t="shared" si="4"/>
        <v>35000</v>
      </c>
      <c r="X18" s="475">
        <f t="shared" si="5"/>
        <v>0</v>
      </c>
      <c r="Y18" s="475">
        <v>0</v>
      </c>
      <c r="Z18" s="476">
        <v>0</v>
      </c>
      <c r="AA18" s="38">
        <f t="shared" si="6"/>
        <v>0</v>
      </c>
      <c r="AB18" s="692">
        <f t="shared" si="7"/>
        <v>0</v>
      </c>
      <c r="AC18" s="692">
        <f t="shared" si="8"/>
        <v>1136.0699999999997</v>
      </c>
      <c r="AD18" s="692">
        <f t="shared" si="9"/>
        <v>0</v>
      </c>
      <c r="AE18" s="38"/>
      <c r="AF18" s="692">
        <f t="shared" si="10"/>
        <v>0</v>
      </c>
      <c r="AG18" s="692">
        <f t="shared" si="11"/>
        <v>35000</v>
      </c>
      <c r="AH18" s="692">
        <f t="shared" si="12"/>
        <v>0</v>
      </c>
      <c r="AJ18" s="38">
        <f t="shared" ref="AJ18:AJ77" si="13">SUM(AB18:AH18)</f>
        <v>36136.07</v>
      </c>
    </row>
    <row r="19" spans="1:36">
      <c r="A19" s="20" t="s">
        <v>109</v>
      </c>
      <c r="B19" s="20" t="s">
        <v>109</v>
      </c>
      <c r="C19" s="671" t="s">
        <v>523</v>
      </c>
      <c r="D19" s="68" t="s">
        <v>129</v>
      </c>
      <c r="E19" s="679"/>
      <c r="F19" s="529">
        <f>VLOOKUP(D19,'Feb 2013 Revenue'!D:T,17,FALSE)</f>
        <v>5.9</v>
      </c>
      <c r="G19" s="680"/>
      <c r="H19" s="680"/>
      <c r="I19" s="755"/>
      <c r="J19" s="682">
        <f t="shared" si="0"/>
        <v>5.9</v>
      </c>
      <c r="K19" s="683"/>
      <c r="L19" s="684"/>
      <c r="M19" s="753"/>
      <c r="N19" s="683">
        <v>0</v>
      </c>
      <c r="O19" s="686"/>
      <c r="P19" s="683">
        <v>0</v>
      </c>
      <c r="Q19" s="687">
        <f t="shared" si="1"/>
        <v>0</v>
      </c>
      <c r="R19" s="688">
        <v>18.28</v>
      </c>
      <c r="S19" s="693"/>
      <c r="T19" s="690">
        <f t="shared" si="2"/>
        <v>18.28</v>
      </c>
      <c r="U19" s="683"/>
      <c r="V19" s="474">
        <f t="shared" si="3"/>
        <v>0</v>
      </c>
      <c r="W19" s="474">
        <f t="shared" si="4"/>
        <v>0</v>
      </c>
      <c r="X19" s="475">
        <f t="shared" si="5"/>
        <v>0</v>
      </c>
      <c r="Y19" s="475">
        <v>0</v>
      </c>
      <c r="Z19" s="476">
        <v>0</v>
      </c>
      <c r="AA19" s="38">
        <f t="shared" si="6"/>
        <v>0</v>
      </c>
      <c r="AB19" s="692">
        <f t="shared" si="7"/>
        <v>0</v>
      </c>
      <c r="AC19" s="692">
        <f t="shared" si="8"/>
        <v>5.9</v>
      </c>
      <c r="AD19" s="692">
        <f t="shared" si="9"/>
        <v>0</v>
      </c>
      <c r="AE19" s="38"/>
      <c r="AF19" s="692">
        <f t="shared" si="10"/>
        <v>0</v>
      </c>
      <c r="AG19" s="692">
        <f t="shared" si="11"/>
        <v>0</v>
      </c>
      <c r="AH19" s="692">
        <f t="shared" si="12"/>
        <v>0</v>
      </c>
      <c r="AJ19" s="38">
        <f t="shared" si="13"/>
        <v>5.9</v>
      </c>
    </row>
    <row r="20" spans="1:36">
      <c r="A20" s="20" t="s">
        <v>109</v>
      </c>
      <c r="B20" s="20" t="s">
        <v>109</v>
      </c>
      <c r="C20" s="671" t="s">
        <v>523</v>
      </c>
      <c r="D20" s="351" t="s">
        <v>878</v>
      </c>
      <c r="E20" s="679"/>
      <c r="F20" s="529">
        <f>VLOOKUP(D20,'Feb 2013 Revenue'!D:T,17,FALSE)</f>
        <v>0</v>
      </c>
      <c r="G20" s="680"/>
      <c r="H20" s="680"/>
      <c r="I20" s="755"/>
      <c r="J20" s="682">
        <f t="shared" si="0"/>
        <v>0</v>
      </c>
      <c r="K20" s="683"/>
      <c r="L20" s="684"/>
      <c r="M20" s="753"/>
      <c r="N20" s="683">
        <v>0</v>
      </c>
      <c r="O20" s="686"/>
      <c r="P20" s="683">
        <v>0</v>
      </c>
      <c r="Q20" s="687">
        <f t="shared" si="1"/>
        <v>0</v>
      </c>
      <c r="R20" s="688">
        <v>0</v>
      </c>
      <c r="S20" s="693"/>
      <c r="T20" s="690">
        <f t="shared" si="2"/>
        <v>0</v>
      </c>
      <c r="U20" s="683"/>
      <c r="V20" s="474">
        <f t="shared" si="3"/>
        <v>0</v>
      </c>
      <c r="W20" s="474">
        <f t="shared" si="4"/>
        <v>0</v>
      </c>
      <c r="X20" s="475">
        <f t="shared" si="5"/>
        <v>0</v>
      </c>
      <c r="Y20" s="475">
        <v>0</v>
      </c>
      <c r="Z20" s="476">
        <v>0</v>
      </c>
      <c r="AA20" s="38">
        <f t="shared" si="6"/>
        <v>0</v>
      </c>
      <c r="AB20" s="692">
        <f t="shared" si="7"/>
        <v>0</v>
      </c>
      <c r="AC20" s="692">
        <f t="shared" si="8"/>
        <v>0</v>
      </c>
      <c r="AD20" s="692">
        <f t="shared" si="9"/>
        <v>0</v>
      </c>
      <c r="AE20" s="38"/>
      <c r="AF20" s="692">
        <f t="shared" si="10"/>
        <v>0</v>
      </c>
      <c r="AG20" s="692">
        <f t="shared" si="11"/>
        <v>0</v>
      </c>
      <c r="AH20" s="692">
        <f t="shared" si="12"/>
        <v>0</v>
      </c>
      <c r="AJ20" s="38">
        <f t="shared" si="13"/>
        <v>0</v>
      </c>
    </row>
    <row r="21" spans="1:36">
      <c r="A21" s="20"/>
      <c r="B21" s="20" t="s">
        <v>110</v>
      </c>
      <c r="C21" s="667" t="s">
        <v>524</v>
      </c>
      <c r="D21" s="123" t="s">
        <v>380</v>
      </c>
      <c r="E21" s="679"/>
      <c r="F21" s="529">
        <f>VLOOKUP(D21,'Feb 2013 Revenue'!D:T,17,FALSE)</f>
        <v>0</v>
      </c>
      <c r="G21" s="680"/>
      <c r="H21" s="680"/>
      <c r="I21" s="755"/>
      <c r="J21" s="682">
        <f t="shared" si="0"/>
        <v>0</v>
      </c>
      <c r="K21" s="683"/>
      <c r="L21" s="684"/>
      <c r="M21" s="753">
        <v>4000</v>
      </c>
      <c r="N21" s="683">
        <v>0</v>
      </c>
      <c r="O21" s="686"/>
      <c r="P21" s="683">
        <v>0</v>
      </c>
      <c r="Q21" s="687">
        <f t="shared" si="1"/>
        <v>4000</v>
      </c>
      <c r="R21" s="688">
        <v>1928.62</v>
      </c>
      <c r="S21" s="693"/>
      <c r="T21" s="690">
        <f t="shared" si="2"/>
        <v>-2071.38</v>
      </c>
      <c r="U21" s="683"/>
      <c r="V21" s="474">
        <f t="shared" si="3"/>
        <v>4000</v>
      </c>
      <c r="W21" s="474">
        <f t="shared" si="4"/>
        <v>0</v>
      </c>
      <c r="X21" s="475">
        <f t="shared" si="5"/>
        <v>0</v>
      </c>
      <c r="Y21" s="475">
        <v>0</v>
      </c>
      <c r="Z21" s="476">
        <v>0</v>
      </c>
      <c r="AA21" s="38">
        <f t="shared" si="6"/>
        <v>0</v>
      </c>
      <c r="AB21" s="692">
        <f t="shared" si="7"/>
        <v>0</v>
      </c>
      <c r="AC21" s="692">
        <f t="shared" si="8"/>
        <v>0</v>
      </c>
      <c r="AD21" s="692">
        <f t="shared" si="9"/>
        <v>0</v>
      </c>
      <c r="AE21" s="38"/>
      <c r="AF21" s="692">
        <f t="shared" si="10"/>
        <v>4000</v>
      </c>
      <c r="AG21" s="692">
        <f t="shared" si="11"/>
        <v>0</v>
      </c>
      <c r="AH21" s="692">
        <f t="shared" si="12"/>
        <v>0</v>
      </c>
      <c r="AJ21" s="38">
        <f t="shared" si="13"/>
        <v>4000</v>
      </c>
    </row>
    <row r="22" spans="1:36">
      <c r="A22" s="20"/>
      <c r="B22" s="20" t="s">
        <v>110</v>
      </c>
      <c r="C22" s="667" t="s">
        <v>524</v>
      </c>
      <c r="D22" s="123" t="s">
        <v>132</v>
      </c>
      <c r="E22" s="679"/>
      <c r="F22" s="529">
        <f>VLOOKUP(D22,'Feb 2013 Revenue'!D:T,17,FALSE)</f>
        <v>0</v>
      </c>
      <c r="G22" s="680"/>
      <c r="H22" s="680"/>
      <c r="I22" s="755"/>
      <c r="J22" s="682">
        <f t="shared" si="0"/>
        <v>0</v>
      </c>
      <c r="K22" s="683"/>
      <c r="L22" s="684"/>
      <c r="M22" s="753">
        <v>5000</v>
      </c>
      <c r="N22" s="683">
        <v>0</v>
      </c>
      <c r="O22" s="686"/>
      <c r="P22" s="683">
        <v>0</v>
      </c>
      <c r="Q22" s="687">
        <f t="shared" si="1"/>
        <v>5000</v>
      </c>
      <c r="R22" s="688">
        <v>2437.54</v>
      </c>
      <c r="S22" s="693"/>
      <c r="T22" s="690">
        <f t="shared" si="2"/>
        <v>-2562.46</v>
      </c>
      <c r="U22" s="683"/>
      <c r="V22" s="474">
        <f t="shared" si="3"/>
        <v>5000</v>
      </c>
      <c r="W22" s="474">
        <f t="shared" si="4"/>
        <v>0</v>
      </c>
      <c r="X22" s="475">
        <f t="shared" si="5"/>
        <v>0</v>
      </c>
      <c r="Y22" s="475">
        <v>0</v>
      </c>
      <c r="Z22" s="476">
        <v>0</v>
      </c>
      <c r="AA22" s="38">
        <f t="shared" si="6"/>
        <v>0</v>
      </c>
      <c r="AB22" s="692">
        <f t="shared" si="7"/>
        <v>0</v>
      </c>
      <c r="AC22" s="692">
        <f t="shared" si="8"/>
        <v>0</v>
      </c>
      <c r="AD22" s="692">
        <f t="shared" si="9"/>
        <v>0</v>
      </c>
      <c r="AE22" s="38"/>
      <c r="AF22" s="692">
        <f t="shared" si="10"/>
        <v>5000</v>
      </c>
      <c r="AG22" s="692">
        <f t="shared" si="11"/>
        <v>0</v>
      </c>
      <c r="AH22" s="692">
        <f t="shared" si="12"/>
        <v>0</v>
      </c>
      <c r="AJ22" s="38">
        <f t="shared" si="13"/>
        <v>5000</v>
      </c>
    </row>
    <row r="23" spans="1:36">
      <c r="A23" s="20"/>
      <c r="B23" s="20" t="s">
        <v>110</v>
      </c>
      <c r="C23" s="667" t="s">
        <v>524</v>
      </c>
      <c r="D23" s="123" t="s">
        <v>133</v>
      </c>
      <c r="E23" s="679"/>
      <c r="F23" s="529">
        <f>VLOOKUP(D23,'Feb 2013 Revenue'!D:T,17,FALSE)</f>
        <v>0</v>
      </c>
      <c r="G23" s="680"/>
      <c r="H23" s="680"/>
      <c r="I23" s="755"/>
      <c r="J23" s="682">
        <f t="shared" si="0"/>
        <v>0</v>
      </c>
      <c r="K23" s="683"/>
      <c r="L23" s="684"/>
      <c r="M23" s="753">
        <v>6000</v>
      </c>
      <c r="N23" s="683">
        <v>0</v>
      </c>
      <c r="O23" s="686"/>
      <c r="P23" s="683">
        <v>0</v>
      </c>
      <c r="Q23" s="687">
        <f t="shared" si="1"/>
        <v>6000</v>
      </c>
      <c r="R23" s="688">
        <v>3435.8</v>
      </c>
      <c r="S23" s="693"/>
      <c r="T23" s="690">
        <f t="shared" si="2"/>
        <v>-2564.1999999999998</v>
      </c>
      <c r="U23" s="683"/>
      <c r="V23" s="474">
        <f t="shared" si="3"/>
        <v>6000</v>
      </c>
      <c r="W23" s="474">
        <f t="shared" si="4"/>
        <v>0</v>
      </c>
      <c r="X23" s="475">
        <f t="shared" si="5"/>
        <v>0</v>
      </c>
      <c r="Y23" s="475">
        <v>0</v>
      </c>
      <c r="Z23" s="476">
        <v>0</v>
      </c>
      <c r="AA23" s="38">
        <f t="shared" si="6"/>
        <v>0</v>
      </c>
      <c r="AB23" s="692">
        <f t="shared" si="7"/>
        <v>0</v>
      </c>
      <c r="AC23" s="692">
        <f t="shared" si="8"/>
        <v>0</v>
      </c>
      <c r="AD23" s="692">
        <f t="shared" si="9"/>
        <v>0</v>
      </c>
      <c r="AE23" s="38"/>
      <c r="AF23" s="692">
        <f t="shared" si="10"/>
        <v>6000</v>
      </c>
      <c r="AG23" s="692">
        <f t="shared" si="11"/>
        <v>0</v>
      </c>
      <c r="AH23" s="692">
        <f t="shared" si="12"/>
        <v>0</v>
      </c>
      <c r="AJ23" s="38">
        <f t="shared" si="13"/>
        <v>6000</v>
      </c>
    </row>
    <row r="24" spans="1:36" s="232" customFormat="1">
      <c r="A24" s="283" t="s">
        <v>211</v>
      </c>
      <c r="B24" s="283" t="s">
        <v>109</v>
      </c>
      <c r="C24" s="667" t="s">
        <v>525</v>
      </c>
      <c r="D24" s="123" t="s">
        <v>419</v>
      </c>
      <c r="E24" s="679"/>
      <c r="F24" s="529">
        <f>VLOOKUP(D24,'Feb 2013 Revenue'!D:T,17,FALSE)</f>
        <v>-20000</v>
      </c>
      <c r="G24" s="680"/>
      <c r="H24" s="680"/>
      <c r="I24" s="755"/>
      <c r="J24" s="682">
        <f t="shared" si="0"/>
        <v>-20000</v>
      </c>
      <c r="K24" s="683"/>
      <c r="L24" s="684"/>
      <c r="M24" s="753">
        <v>30000</v>
      </c>
      <c r="N24" s="683">
        <v>0</v>
      </c>
      <c r="O24" s="686"/>
      <c r="P24" s="683">
        <v>0</v>
      </c>
      <c r="Q24" s="687">
        <f t="shared" si="1"/>
        <v>30000</v>
      </c>
      <c r="R24" s="688">
        <v>0</v>
      </c>
      <c r="S24" s="693"/>
      <c r="T24" s="690">
        <f t="shared" si="2"/>
        <v>-30000</v>
      </c>
      <c r="U24" s="683"/>
      <c r="V24" s="474">
        <f t="shared" si="3"/>
        <v>0</v>
      </c>
      <c r="W24" s="474">
        <f t="shared" si="4"/>
        <v>30000</v>
      </c>
      <c r="X24" s="475">
        <f t="shared" si="5"/>
        <v>0</v>
      </c>
      <c r="Y24" s="475">
        <v>0</v>
      </c>
      <c r="Z24" s="476">
        <v>0</v>
      </c>
      <c r="AA24" s="38">
        <f t="shared" si="6"/>
        <v>0</v>
      </c>
      <c r="AB24" s="692">
        <f t="shared" si="7"/>
        <v>0</v>
      </c>
      <c r="AC24" s="692">
        <f t="shared" si="8"/>
        <v>-20000</v>
      </c>
      <c r="AD24" s="692">
        <f t="shared" si="9"/>
        <v>0</v>
      </c>
      <c r="AE24" s="38"/>
      <c r="AF24" s="692">
        <f t="shared" si="10"/>
        <v>0</v>
      </c>
      <c r="AG24" s="692">
        <f t="shared" si="11"/>
        <v>30000</v>
      </c>
      <c r="AH24" s="692">
        <f t="shared" si="12"/>
        <v>0</v>
      </c>
      <c r="AJ24" s="38">
        <f t="shared" si="13"/>
        <v>10000</v>
      </c>
    </row>
    <row r="25" spans="1:36">
      <c r="A25" s="20"/>
      <c r="B25" s="20" t="s">
        <v>110</v>
      </c>
      <c r="C25" s="667"/>
      <c r="D25" s="68" t="s">
        <v>922</v>
      </c>
      <c r="E25" s="679"/>
      <c r="F25" s="529">
        <f>VLOOKUP(D25,'Feb 2013 Revenue'!D:T,17,FALSE)</f>
        <v>0</v>
      </c>
      <c r="G25" s="680"/>
      <c r="H25" s="680"/>
      <c r="I25" s="755"/>
      <c r="J25" s="682">
        <f t="shared" si="0"/>
        <v>0</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0</v>
      </c>
      <c r="AC25" s="692">
        <f t="shared" si="8"/>
        <v>0</v>
      </c>
      <c r="AD25" s="692">
        <f t="shared" si="9"/>
        <v>0</v>
      </c>
      <c r="AE25" s="38"/>
      <c r="AF25" s="692">
        <f t="shared" si="10"/>
        <v>0</v>
      </c>
      <c r="AG25" s="692">
        <f t="shared" si="11"/>
        <v>0</v>
      </c>
      <c r="AH25" s="692">
        <f t="shared" si="12"/>
        <v>0</v>
      </c>
      <c r="AJ25" s="38">
        <f t="shared" si="13"/>
        <v>0</v>
      </c>
    </row>
    <row r="26" spans="1:36">
      <c r="A26" s="20"/>
      <c r="B26" s="20" t="s">
        <v>110</v>
      </c>
      <c r="C26" s="667"/>
      <c r="D26" s="68" t="s">
        <v>589</v>
      </c>
      <c r="E26" s="679"/>
      <c r="F26" s="529">
        <f>VLOOKUP(D26,'Feb 2013 Revenue'!D:T,17,FALSE)</f>
        <v>-12000</v>
      </c>
      <c r="G26" s="680"/>
      <c r="H26" s="680"/>
      <c r="I26" s="755"/>
      <c r="J26" s="682">
        <f t="shared" si="0"/>
        <v>-12000</v>
      </c>
      <c r="K26" s="683"/>
      <c r="L26" s="684"/>
      <c r="M26" s="753">
        <v>18000</v>
      </c>
      <c r="N26" s="683">
        <v>0</v>
      </c>
      <c r="O26" s="686"/>
      <c r="P26" s="683">
        <v>0</v>
      </c>
      <c r="Q26" s="687">
        <f t="shared" si="1"/>
        <v>18000</v>
      </c>
      <c r="R26" s="688">
        <v>23145.86</v>
      </c>
      <c r="S26" s="693"/>
      <c r="T26" s="690">
        <f t="shared" si="2"/>
        <v>5145.8600000000006</v>
      </c>
      <c r="U26" s="683"/>
      <c r="V26" s="474">
        <f t="shared" si="3"/>
        <v>18000</v>
      </c>
      <c r="W26" s="474">
        <f t="shared" si="4"/>
        <v>0</v>
      </c>
      <c r="X26" s="475">
        <f t="shared" si="5"/>
        <v>0</v>
      </c>
      <c r="Y26" s="475">
        <v>0</v>
      </c>
      <c r="Z26" s="476">
        <v>0</v>
      </c>
      <c r="AA26" s="38">
        <f t="shared" si="6"/>
        <v>0</v>
      </c>
      <c r="AB26" s="692">
        <f t="shared" si="7"/>
        <v>-12000</v>
      </c>
      <c r="AC26" s="692">
        <f t="shared" si="8"/>
        <v>0</v>
      </c>
      <c r="AD26" s="692">
        <f t="shared" si="9"/>
        <v>0</v>
      </c>
      <c r="AE26" s="38"/>
      <c r="AF26" s="692">
        <f t="shared" si="10"/>
        <v>18000</v>
      </c>
      <c r="AG26" s="692">
        <f t="shared" si="11"/>
        <v>0</v>
      </c>
      <c r="AH26" s="692">
        <f t="shared" si="12"/>
        <v>0</v>
      </c>
      <c r="AJ26" s="38">
        <f t="shared" si="13"/>
        <v>6000</v>
      </c>
    </row>
    <row r="27" spans="1:36">
      <c r="A27" s="20"/>
      <c r="B27" s="20" t="s">
        <v>110</v>
      </c>
      <c r="C27" s="667"/>
      <c r="D27" s="68" t="s">
        <v>829</v>
      </c>
      <c r="E27" s="679"/>
      <c r="F27" s="529">
        <f>VLOOKUP(D27,'Feb 2013 Revenue'!D:T,17,FALSE)</f>
        <v>0</v>
      </c>
      <c r="G27" s="680"/>
      <c r="H27" s="680"/>
      <c r="I27" s="755"/>
      <c r="J27" s="682">
        <f t="shared" si="0"/>
        <v>0</v>
      </c>
      <c r="K27" s="683"/>
      <c r="L27" s="684"/>
      <c r="M27" s="753"/>
      <c r="N27" s="683">
        <v>0</v>
      </c>
      <c r="O27" s="686"/>
      <c r="P27" s="683">
        <v>0</v>
      </c>
      <c r="Q27" s="687">
        <f t="shared" si="1"/>
        <v>0</v>
      </c>
      <c r="R27" s="688">
        <v>0</v>
      </c>
      <c r="S27" s="693"/>
      <c r="T27" s="690">
        <f t="shared" si="2"/>
        <v>0</v>
      </c>
      <c r="U27" s="683"/>
      <c r="V27" s="474">
        <f t="shared" si="3"/>
        <v>0</v>
      </c>
      <c r="W27" s="474">
        <f t="shared" si="4"/>
        <v>0</v>
      </c>
      <c r="X27" s="475">
        <f t="shared" si="5"/>
        <v>0</v>
      </c>
      <c r="Y27" s="475">
        <v>0</v>
      </c>
      <c r="Z27" s="476">
        <v>0</v>
      </c>
      <c r="AA27" s="38">
        <f t="shared" si="6"/>
        <v>0</v>
      </c>
      <c r="AB27" s="692">
        <f t="shared" si="7"/>
        <v>0</v>
      </c>
      <c r="AC27" s="692">
        <f t="shared" si="8"/>
        <v>0</v>
      </c>
      <c r="AD27" s="692">
        <f t="shared" si="9"/>
        <v>0</v>
      </c>
      <c r="AE27" s="38"/>
      <c r="AF27" s="692">
        <f t="shared" si="10"/>
        <v>0</v>
      </c>
      <c r="AG27" s="692">
        <f t="shared" si="11"/>
        <v>0</v>
      </c>
      <c r="AH27" s="692">
        <f t="shared" si="12"/>
        <v>0</v>
      </c>
      <c r="AJ27" s="38">
        <f t="shared" si="13"/>
        <v>0</v>
      </c>
    </row>
    <row r="28" spans="1:36">
      <c r="A28" s="20"/>
      <c r="B28" s="20" t="s">
        <v>109</v>
      </c>
      <c r="C28" s="667" t="s">
        <v>526</v>
      </c>
      <c r="D28" s="68" t="s">
        <v>385</v>
      </c>
      <c r="E28" s="679"/>
      <c r="F28" s="529">
        <f>VLOOKUP(D28,'Feb 2013 Revenue'!D:T,17,FALSE)</f>
        <v>0</v>
      </c>
      <c r="G28" s="680"/>
      <c r="H28" s="680"/>
      <c r="I28" s="755"/>
      <c r="J28" s="682">
        <f t="shared" si="0"/>
        <v>0</v>
      </c>
      <c r="K28" s="683"/>
      <c r="L28" s="684"/>
      <c r="M28" s="753"/>
      <c r="N28" s="683">
        <v>0</v>
      </c>
      <c r="O28" s="686"/>
      <c r="P28" s="683">
        <v>0</v>
      </c>
      <c r="Q28" s="687">
        <f t="shared" si="1"/>
        <v>0</v>
      </c>
      <c r="R28" s="688">
        <v>0</v>
      </c>
      <c r="S28" s="693"/>
      <c r="T28" s="690">
        <f t="shared" si="2"/>
        <v>0</v>
      </c>
      <c r="U28" s="691"/>
      <c r="V28" s="474">
        <f t="shared" si="3"/>
        <v>0</v>
      </c>
      <c r="W28" s="474">
        <f t="shared" si="4"/>
        <v>0</v>
      </c>
      <c r="X28" s="475">
        <f t="shared" si="5"/>
        <v>0</v>
      </c>
      <c r="Y28" s="475">
        <v>0</v>
      </c>
      <c r="Z28" s="476">
        <v>0</v>
      </c>
      <c r="AA28" s="38">
        <f t="shared" si="6"/>
        <v>0</v>
      </c>
      <c r="AB28" s="692">
        <f t="shared" si="7"/>
        <v>0</v>
      </c>
      <c r="AC28" s="692">
        <f t="shared" si="8"/>
        <v>0</v>
      </c>
      <c r="AD28" s="692">
        <f t="shared" si="9"/>
        <v>0</v>
      </c>
      <c r="AE28" s="38"/>
      <c r="AF28" s="692">
        <f t="shared" si="10"/>
        <v>0</v>
      </c>
      <c r="AG28" s="692">
        <f t="shared" si="11"/>
        <v>0</v>
      </c>
      <c r="AH28" s="692">
        <f t="shared" si="12"/>
        <v>0</v>
      </c>
      <c r="AJ28" s="38">
        <f t="shared" si="13"/>
        <v>0</v>
      </c>
    </row>
    <row r="29" spans="1:36" s="232" customFormat="1">
      <c r="A29" s="283"/>
      <c r="B29" s="283" t="s">
        <v>110</v>
      </c>
      <c r="C29" s="667" t="s">
        <v>527</v>
      </c>
      <c r="D29" s="123" t="s">
        <v>401</v>
      </c>
      <c r="E29" s="679"/>
      <c r="F29" s="529">
        <f>VLOOKUP(D29,'Feb 2013 Revenue'!D:T,17,FALSE)</f>
        <v>-56384.700000000012</v>
      </c>
      <c r="G29" s="680"/>
      <c r="H29" s="680"/>
      <c r="I29" s="755"/>
      <c r="J29" s="682">
        <f t="shared" si="0"/>
        <v>-56384.700000000012</v>
      </c>
      <c r="K29" s="683"/>
      <c r="L29" s="684"/>
      <c r="M29" s="753">
        <v>375000</v>
      </c>
      <c r="N29" s="683">
        <v>0</v>
      </c>
      <c r="O29" s="686"/>
      <c r="P29" s="683">
        <v>0</v>
      </c>
      <c r="Q29" s="687">
        <f t="shared" si="1"/>
        <v>375000</v>
      </c>
      <c r="R29" s="688">
        <v>436828.6</v>
      </c>
      <c r="S29" s="693"/>
      <c r="T29" s="690">
        <f t="shared" si="2"/>
        <v>61828.599999999977</v>
      </c>
      <c r="U29" s="683"/>
      <c r="V29" s="474">
        <f t="shared" si="3"/>
        <v>375000</v>
      </c>
      <c r="W29" s="474">
        <f t="shared" si="4"/>
        <v>0</v>
      </c>
      <c r="X29" s="475">
        <f t="shared" si="5"/>
        <v>0</v>
      </c>
      <c r="Y29" s="475">
        <v>0</v>
      </c>
      <c r="Z29" s="476">
        <v>0</v>
      </c>
      <c r="AA29" s="38">
        <f t="shared" si="6"/>
        <v>0</v>
      </c>
      <c r="AB29" s="692">
        <f t="shared" si="7"/>
        <v>-56384.700000000012</v>
      </c>
      <c r="AC29" s="692">
        <f t="shared" si="8"/>
        <v>0</v>
      </c>
      <c r="AD29" s="692">
        <f t="shared" si="9"/>
        <v>0</v>
      </c>
      <c r="AE29" s="38"/>
      <c r="AF29" s="692">
        <f t="shared" si="10"/>
        <v>375000</v>
      </c>
      <c r="AG29" s="692">
        <f t="shared" si="11"/>
        <v>0</v>
      </c>
      <c r="AH29" s="692">
        <f t="shared" si="12"/>
        <v>0</v>
      </c>
      <c r="AJ29" s="38">
        <f t="shared" si="13"/>
        <v>318615.3</v>
      </c>
    </row>
    <row r="30" spans="1:36" s="232" customFormat="1">
      <c r="A30" s="283"/>
      <c r="B30" s="283" t="s">
        <v>110</v>
      </c>
      <c r="C30" s="667" t="s">
        <v>528</v>
      </c>
      <c r="D30" s="123" t="s">
        <v>403</v>
      </c>
      <c r="E30" s="679"/>
      <c r="F30" s="529">
        <f>VLOOKUP(D30,'Feb 2013 Revenue'!D:T,17,FALSE)</f>
        <v>-15893.720000000001</v>
      </c>
      <c r="G30" s="680"/>
      <c r="H30" s="680"/>
      <c r="I30" s="755"/>
      <c r="J30" s="682">
        <f t="shared" si="0"/>
        <v>-15893.720000000001</v>
      </c>
      <c r="K30" s="683"/>
      <c r="L30" s="684"/>
      <c r="M30" s="753">
        <v>65000</v>
      </c>
      <c r="N30" s="683">
        <v>0</v>
      </c>
      <c r="O30" s="686"/>
      <c r="P30" s="683">
        <v>0</v>
      </c>
      <c r="Q30" s="687">
        <f t="shared" si="1"/>
        <v>65000</v>
      </c>
      <c r="R30" s="688">
        <v>83366.039999999994</v>
      </c>
      <c r="S30" s="693"/>
      <c r="T30" s="690">
        <f t="shared" si="2"/>
        <v>18366.039999999994</v>
      </c>
      <c r="U30" s="683"/>
      <c r="V30" s="474">
        <f t="shared" si="3"/>
        <v>65000</v>
      </c>
      <c r="W30" s="474">
        <f t="shared" si="4"/>
        <v>0</v>
      </c>
      <c r="X30" s="475">
        <f t="shared" si="5"/>
        <v>0</v>
      </c>
      <c r="Y30" s="475">
        <v>0</v>
      </c>
      <c r="Z30" s="476">
        <v>0</v>
      </c>
      <c r="AA30" s="38">
        <f t="shared" si="6"/>
        <v>0</v>
      </c>
      <c r="AB30" s="692">
        <f t="shared" si="7"/>
        <v>-15893.720000000001</v>
      </c>
      <c r="AC30" s="692">
        <f t="shared" si="8"/>
        <v>0</v>
      </c>
      <c r="AD30" s="692">
        <f t="shared" si="9"/>
        <v>0</v>
      </c>
      <c r="AE30" s="38"/>
      <c r="AF30" s="692">
        <f t="shared" si="10"/>
        <v>65000</v>
      </c>
      <c r="AG30" s="692">
        <f t="shared" si="11"/>
        <v>0</v>
      </c>
      <c r="AH30" s="692">
        <f t="shared" si="12"/>
        <v>0</v>
      </c>
      <c r="AJ30" s="38">
        <f t="shared" si="13"/>
        <v>49106.28</v>
      </c>
    </row>
    <row r="31" spans="1:36" s="232" customFormat="1">
      <c r="A31" s="283"/>
      <c r="B31" s="283" t="s">
        <v>110</v>
      </c>
      <c r="C31" s="667" t="s">
        <v>528</v>
      </c>
      <c r="D31" s="123" t="s">
        <v>404</v>
      </c>
      <c r="E31" s="679"/>
      <c r="F31" s="529">
        <f>VLOOKUP(D31,'Feb 2013 Revenue'!D:T,17,FALSE)</f>
        <v>-2568.1600000000035</v>
      </c>
      <c r="G31" s="680"/>
      <c r="H31" s="680"/>
      <c r="I31" s="755"/>
      <c r="J31" s="682">
        <f t="shared" si="0"/>
        <v>-2568.1600000000035</v>
      </c>
      <c r="K31" s="683"/>
      <c r="L31" s="684"/>
      <c r="M31" s="753">
        <v>75000</v>
      </c>
      <c r="N31" s="683">
        <v>0</v>
      </c>
      <c r="O31" s="686"/>
      <c r="P31" s="683">
        <v>0</v>
      </c>
      <c r="Q31" s="687">
        <f t="shared" si="1"/>
        <v>75000</v>
      </c>
      <c r="R31" s="688">
        <v>87091.44</v>
      </c>
      <c r="S31" s="693"/>
      <c r="T31" s="690">
        <f t="shared" si="2"/>
        <v>12091.440000000002</v>
      </c>
      <c r="U31" s="683"/>
      <c r="V31" s="474">
        <f t="shared" si="3"/>
        <v>75000</v>
      </c>
      <c r="W31" s="474">
        <f t="shared" si="4"/>
        <v>0</v>
      </c>
      <c r="X31" s="475">
        <f t="shared" si="5"/>
        <v>0</v>
      </c>
      <c r="Y31" s="475">
        <v>0</v>
      </c>
      <c r="Z31" s="476">
        <v>0</v>
      </c>
      <c r="AA31" s="38">
        <f t="shared" si="6"/>
        <v>0</v>
      </c>
      <c r="AB31" s="692">
        <f t="shared" si="7"/>
        <v>-2568.1600000000035</v>
      </c>
      <c r="AC31" s="692">
        <f t="shared" si="8"/>
        <v>0</v>
      </c>
      <c r="AD31" s="692">
        <f t="shared" si="9"/>
        <v>0</v>
      </c>
      <c r="AE31" s="38"/>
      <c r="AF31" s="692">
        <f t="shared" si="10"/>
        <v>75000</v>
      </c>
      <c r="AG31" s="692">
        <f t="shared" si="11"/>
        <v>0</v>
      </c>
      <c r="AH31" s="692">
        <f t="shared" si="12"/>
        <v>0</v>
      </c>
      <c r="AJ31" s="38">
        <f t="shared" si="13"/>
        <v>72431.839999999997</v>
      </c>
    </row>
    <row r="32" spans="1:36" s="232" customFormat="1">
      <c r="A32" s="283"/>
      <c r="B32" s="283" t="s">
        <v>110</v>
      </c>
      <c r="C32" s="667" t="s">
        <v>528</v>
      </c>
      <c r="D32" s="123" t="s">
        <v>405</v>
      </c>
      <c r="E32" s="679"/>
      <c r="F32" s="529">
        <f>VLOOKUP(D32,'Feb 2013 Revenue'!D:T,17,FALSE)</f>
        <v>-475.70999999999913</v>
      </c>
      <c r="G32" s="680"/>
      <c r="H32" s="680"/>
      <c r="I32" s="755"/>
      <c r="J32" s="682">
        <f t="shared" si="0"/>
        <v>-475.70999999999913</v>
      </c>
      <c r="K32" s="683"/>
      <c r="L32" s="684"/>
      <c r="M32" s="753">
        <v>15000</v>
      </c>
      <c r="N32" s="683">
        <v>0</v>
      </c>
      <c r="O32" s="686"/>
      <c r="P32" s="683">
        <v>0</v>
      </c>
      <c r="Q32" s="687">
        <f t="shared" si="1"/>
        <v>15000</v>
      </c>
      <c r="R32" s="688">
        <v>16783.16</v>
      </c>
      <c r="S32" s="693"/>
      <c r="T32" s="690">
        <f t="shared" si="2"/>
        <v>1783.1599999999999</v>
      </c>
      <c r="U32" s="683"/>
      <c r="V32" s="474">
        <f t="shared" si="3"/>
        <v>15000</v>
      </c>
      <c r="W32" s="474">
        <f t="shared" si="4"/>
        <v>0</v>
      </c>
      <c r="X32" s="475">
        <f t="shared" si="5"/>
        <v>0</v>
      </c>
      <c r="Y32" s="475">
        <v>0</v>
      </c>
      <c r="Z32" s="476">
        <v>0</v>
      </c>
      <c r="AA32" s="38">
        <f t="shared" si="6"/>
        <v>0</v>
      </c>
      <c r="AB32" s="692">
        <f t="shared" si="7"/>
        <v>-475.70999999999913</v>
      </c>
      <c r="AC32" s="692">
        <f t="shared" si="8"/>
        <v>0</v>
      </c>
      <c r="AD32" s="692">
        <f t="shared" si="9"/>
        <v>0</v>
      </c>
      <c r="AE32" s="38"/>
      <c r="AF32" s="692">
        <f t="shared" si="10"/>
        <v>15000</v>
      </c>
      <c r="AG32" s="692">
        <f t="shared" si="11"/>
        <v>0</v>
      </c>
      <c r="AH32" s="692">
        <f t="shared" si="12"/>
        <v>0</v>
      </c>
      <c r="AJ32" s="38">
        <f t="shared" si="13"/>
        <v>14524.29</v>
      </c>
    </row>
    <row r="33" spans="1:36" s="232" customFormat="1">
      <c r="A33" s="283"/>
      <c r="B33" s="283" t="s">
        <v>110</v>
      </c>
      <c r="C33" s="667" t="s">
        <v>528</v>
      </c>
      <c r="D33" s="123" t="s">
        <v>406</v>
      </c>
      <c r="E33" s="679"/>
      <c r="F33" s="529">
        <f>VLOOKUP(D33,'Feb 2013 Revenue'!D:T,17,FALSE)</f>
        <v>-460.51000000000022</v>
      </c>
      <c r="G33" s="680"/>
      <c r="H33" s="680"/>
      <c r="I33" s="755"/>
      <c r="J33" s="682">
        <f t="shared" si="0"/>
        <v>-460.51000000000022</v>
      </c>
      <c r="K33" s="683"/>
      <c r="L33" s="684"/>
      <c r="M33" s="753">
        <v>6000</v>
      </c>
      <c r="N33" s="683">
        <v>0</v>
      </c>
      <c r="O33" s="686"/>
      <c r="P33" s="683">
        <v>0</v>
      </c>
      <c r="Q33" s="687">
        <f t="shared" si="1"/>
        <v>6000</v>
      </c>
      <c r="R33" s="688">
        <v>6358.02</v>
      </c>
      <c r="S33" s="693"/>
      <c r="T33" s="690">
        <f t="shared" si="2"/>
        <v>358.02000000000044</v>
      </c>
      <c r="U33" s="683"/>
      <c r="V33" s="474">
        <f t="shared" si="3"/>
        <v>6000</v>
      </c>
      <c r="W33" s="474">
        <f t="shared" si="4"/>
        <v>0</v>
      </c>
      <c r="X33" s="475">
        <f t="shared" si="5"/>
        <v>0</v>
      </c>
      <c r="Y33" s="475">
        <v>0</v>
      </c>
      <c r="Z33" s="476">
        <v>0</v>
      </c>
      <c r="AA33" s="38">
        <f t="shared" si="6"/>
        <v>0</v>
      </c>
      <c r="AB33" s="692">
        <f t="shared" si="7"/>
        <v>-460.51000000000022</v>
      </c>
      <c r="AC33" s="692">
        <f t="shared" si="8"/>
        <v>0</v>
      </c>
      <c r="AD33" s="692">
        <f t="shared" si="9"/>
        <v>0</v>
      </c>
      <c r="AE33" s="38"/>
      <c r="AF33" s="692">
        <f t="shared" si="10"/>
        <v>6000</v>
      </c>
      <c r="AG33" s="692">
        <f t="shared" si="11"/>
        <v>0</v>
      </c>
      <c r="AH33" s="692">
        <f t="shared" si="12"/>
        <v>0</v>
      </c>
      <c r="AJ33" s="38">
        <f t="shared" si="13"/>
        <v>5539.49</v>
      </c>
    </row>
    <row r="34" spans="1:36" s="232" customFormat="1">
      <c r="A34" s="283"/>
      <c r="B34" s="283" t="s">
        <v>110</v>
      </c>
      <c r="C34" s="667" t="s">
        <v>528</v>
      </c>
      <c r="D34" s="123" t="s">
        <v>407</v>
      </c>
      <c r="E34" s="679"/>
      <c r="F34" s="529">
        <f>VLOOKUP(D34,'Feb 2013 Revenue'!D:T,17,FALSE)</f>
        <v>2387.98</v>
      </c>
      <c r="G34" s="680"/>
      <c r="H34" s="680"/>
      <c r="I34" s="755"/>
      <c r="J34" s="682">
        <f t="shared" si="0"/>
        <v>2387.98</v>
      </c>
      <c r="K34" s="683"/>
      <c r="L34" s="684"/>
      <c r="M34" s="753"/>
      <c r="N34" s="683">
        <v>0</v>
      </c>
      <c r="O34" s="686"/>
      <c r="P34" s="683">
        <v>0</v>
      </c>
      <c r="Q34" s="687">
        <f t="shared" si="1"/>
        <v>0</v>
      </c>
      <c r="R34" s="688">
        <v>2821.15</v>
      </c>
      <c r="S34" s="693"/>
      <c r="T34" s="690">
        <f t="shared" si="2"/>
        <v>2821.15</v>
      </c>
      <c r="U34" s="683"/>
      <c r="V34" s="474">
        <f t="shared" si="3"/>
        <v>0</v>
      </c>
      <c r="W34" s="474">
        <f t="shared" si="4"/>
        <v>0</v>
      </c>
      <c r="X34" s="475">
        <f t="shared" si="5"/>
        <v>0</v>
      </c>
      <c r="Y34" s="475">
        <v>0</v>
      </c>
      <c r="Z34" s="476">
        <v>0</v>
      </c>
      <c r="AA34" s="38">
        <f t="shared" si="6"/>
        <v>0</v>
      </c>
      <c r="AB34" s="692">
        <f t="shared" si="7"/>
        <v>2387.98</v>
      </c>
      <c r="AC34" s="692">
        <f t="shared" si="8"/>
        <v>0</v>
      </c>
      <c r="AD34" s="692">
        <f t="shared" si="9"/>
        <v>0</v>
      </c>
      <c r="AE34" s="38"/>
      <c r="AF34" s="692">
        <f t="shared" si="10"/>
        <v>0</v>
      </c>
      <c r="AG34" s="692">
        <f t="shared" si="11"/>
        <v>0</v>
      </c>
      <c r="AH34" s="692">
        <f t="shared" si="12"/>
        <v>0</v>
      </c>
      <c r="AJ34" s="38">
        <f t="shared" si="13"/>
        <v>2387.98</v>
      </c>
    </row>
    <row r="35" spans="1:36" s="232" customFormat="1">
      <c r="A35" s="283"/>
      <c r="B35" s="283" t="s">
        <v>110</v>
      </c>
      <c r="C35" s="667" t="s">
        <v>528</v>
      </c>
      <c r="D35" s="123" t="s">
        <v>880</v>
      </c>
      <c r="E35" s="679"/>
      <c r="F35" s="529">
        <f>VLOOKUP(D35,'Feb 2013 Revenue'!D:T,17,FALSE)</f>
        <v>1893.39</v>
      </c>
      <c r="G35" s="680"/>
      <c r="H35" s="680"/>
      <c r="I35" s="755"/>
      <c r="J35" s="682">
        <f t="shared" si="0"/>
        <v>1893.39</v>
      </c>
      <c r="K35" s="683"/>
      <c r="L35" s="684"/>
      <c r="M35" s="753"/>
      <c r="N35" s="683">
        <v>0</v>
      </c>
      <c r="O35" s="686"/>
      <c r="P35" s="683">
        <v>0</v>
      </c>
      <c r="Q35" s="687">
        <f t="shared" si="1"/>
        <v>0</v>
      </c>
      <c r="R35" s="688">
        <v>2048.25</v>
      </c>
      <c r="S35" s="693"/>
      <c r="T35" s="690">
        <f t="shared" si="2"/>
        <v>2048.25</v>
      </c>
      <c r="U35" s="683"/>
      <c r="V35" s="474">
        <f t="shared" si="3"/>
        <v>0</v>
      </c>
      <c r="W35" s="474">
        <f t="shared" si="4"/>
        <v>0</v>
      </c>
      <c r="X35" s="475">
        <f t="shared" si="5"/>
        <v>0</v>
      </c>
      <c r="Y35" s="475">
        <v>0</v>
      </c>
      <c r="Z35" s="476">
        <v>0</v>
      </c>
      <c r="AA35" s="38">
        <f t="shared" si="6"/>
        <v>0</v>
      </c>
      <c r="AB35" s="692">
        <f t="shared" si="7"/>
        <v>1893.39</v>
      </c>
      <c r="AC35" s="692">
        <f t="shared" si="8"/>
        <v>0</v>
      </c>
      <c r="AD35" s="692">
        <f t="shared" si="9"/>
        <v>0</v>
      </c>
      <c r="AE35" s="38"/>
      <c r="AF35" s="692">
        <f t="shared" si="10"/>
        <v>0</v>
      </c>
      <c r="AG35" s="692">
        <f t="shared" si="11"/>
        <v>0</v>
      </c>
      <c r="AH35" s="692">
        <f t="shared" si="12"/>
        <v>0</v>
      </c>
      <c r="AJ35" s="38">
        <f t="shared" si="13"/>
        <v>1893.39</v>
      </c>
    </row>
    <row r="36" spans="1:36" s="232" customFormat="1">
      <c r="A36" s="283"/>
      <c r="B36" s="283" t="s">
        <v>110</v>
      </c>
      <c r="C36" s="667" t="s">
        <v>528</v>
      </c>
      <c r="D36" s="123" t="s">
        <v>881</v>
      </c>
      <c r="E36" s="679"/>
      <c r="F36" s="529">
        <f>VLOOKUP(D36,'Feb 2013 Revenue'!D:T,17,FALSE)</f>
        <v>1363.82</v>
      </c>
      <c r="G36" s="680"/>
      <c r="H36" s="680"/>
      <c r="I36" s="755"/>
      <c r="J36" s="682">
        <f t="shared" si="0"/>
        <v>1363.82</v>
      </c>
      <c r="K36" s="683"/>
      <c r="L36" s="684"/>
      <c r="M36" s="753"/>
      <c r="N36" s="683">
        <v>0</v>
      </c>
      <c r="O36" s="686"/>
      <c r="P36" s="683">
        <v>0</v>
      </c>
      <c r="Q36" s="687">
        <f t="shared" si="1"/>
        <v>0</v>
      </c>
      <c r="R36" s="688">
        <v>1687.89</v>
      </c>
      <c r="S36" s="693"/>
      <c r="T36" s="690">
        <f t="shared" si="2"/>
        <v>1687.89</v>
      </c>
      <c r="U36" s="683"/>
      <c r="V36" s="474">
        <f t="shared" si="3"/>
        <v>0</v>
      </c>
      <c r="W36" s="474">
        <f t="shared" si="4"/>
        <v>0</v>
      </c>
      <c r="X36" s="475">
        <f t="shared" si="5"/>
        <v>0</v>
      </c>
      <c r="Y36" s="475">
        <v>0</v>
      </c>
      <c r="Z36" s="476">
        <v>0</v>
      </c>
      <c r="AA36" s="38">
        <f t="shared" si="6"/>
        <v>0</v>
      </c>
      <c r="AB36" s="692">
        <f t="shared" si="7"/>
        <v>1363.82</v>
      </c>
      <c r="AC36" s="692">
        <f t="shared" si="8"/>
        <v>0</v>
      </c>
      <c r="AD36" s="692">
        <f t="shared" si="9"/>
        <v>0</v>
      </c>
      <c r="AE36" s="38"/>
      <c r="AF36" s="692">
        <f t="shared" si="10"/>
        <v>0</v>
      </c>
      <c r="AG36" s="692">
        <f t="shared" si="11"/>
        <v>0</v>
      </c>
      <c r="AH36" s="692">
        <f t="shared" si="12"/>
        <v>0</v>
      </c>
      <c r="AJ36" s="38">
        <f t="shared" si="13"/>
        <v>1363.82</v>
      </c>
    </row>
    <row r="37" spans="1:36" s="232" customFormat="1">
      <c r="A37" s="283"/>
      <c r="B37" s="283" t="s">
        <v>110</v>
      </c>
      <c r="C37" s="667" t="s">
        <v>528</v>
      </c>
      <c r="D37" s="123" t="s">
        <v>820</v>
      </c>
      <c r="E37" s="679"/>
      <c r="F37" s="529">
        <f>VLOOKUP(D37,'Feb 2013 Revenue'!D:T,17,FALSE)</f>
        <v>-1099.119999999999</v>
      </c>
      <c r="G37" s="680"/>
      <c r="H37" s="680"/>
      <c r="I37" s="755"/>
      <c r="J37" s="682">
        <f t="shared" si="0"/>
        <v>-1099.119999999999</v>
      </c>
      <c r="K37" s="683"/>
      <c r="L37" s="684"/>
      <c r="M37" s="753">
        <v>20000</v>
      </c>
      <c r="N37" s="683">
        <v>0</v>
      </c>
      <c r="O37" s="686"/>
      <c r="P37" s="683">
        <v>0</v>
      </c>
      <c r="Q37" s="687">
        <f t="shared" si="1"/>
        <v>20000</v>
      </c>
      <c r="R37" s="688">
        <v>18504.439999999999</v>
      </c>
      <c r="S37" s="693"/>
      <c r="T37" s="690">
        <f t="shared" si="2"/>
        <v>-1495.5600000000013</v>
      </c>
      <c r="U37" s="683"/>
      <c r="V37" s="474">
        <f t="shared" si="3"/>
        <v>20000</v>
      </c>
      <c r="W37" s="474">
        <f t="shared" si="4"/>
        <v>0</v>
      </c>
      <c r="X37" s="475">
        <f t="shared" si="5"/>
        <v>0</v>
      </c>
      <c r="Y37" s="475">
        <v>0</v>
      </c>
      <c r="Z37" s="476">
        <v>0</v>
      </c>
      <c r="AA37" s="38">
        <f t="shared" si="6"/>
        <v>0</v>
      </c>
      <c r="AB37" s="692">
        <f t="shared" si="7"/>
        <v>-1099.119999999999</v>
      </c>
      <c r="AC37" s="692">
        <f t="shared" si="8"/>
        <v>0</v>
      </c>
      <c r="AD37" s="692">
        <f t="shared" si="9"/>
        <v>0</v>
      </c>
      <c r="AE37" s="38"/>
      <c r="AF37" s="692">
        <f t="shared" si="10"/>
        <v>20000</v>
      </c>
      <c r="AG37" s="692">
        <f t="shared" si="11"/>
        <v>0</v>
      </c>
      <c r="AH37" s="692">
        <f t="shared" si="12"/>
        <v>0</v>
      </c>
      <c r="AJ37" s="38">
        <f t="shared" si="13"/>
        <v>18900.88</v>
      </c>
    </row>
    <row r="38" spans="1:36" s="232" customFormat="1">
      <c r="A38" s="283"/>
      <c r="B38" s="283" t="s">
        <v>110</v>
      </c>
      <c r="C38" s="667" t="s">
        <v>527</v>
      </c>
      <c r="D38" s="123" t="s">
        <v>460</v>
      </c>
      <c r="E38" s="679"/>
      <c r="F38" s="529">
        <f>VLOOKUP(D38,'Feb 2013 Revenue'!D:T,17,FALSE)</f>
        <v>0</v>
      </c>
      <c r="G38" s="680"/>
      <c r="H38" s="680"/>
      <c r="I38" s="770">
        <v>34626.519999999997</v>
      </c>
      <c r="J38" s="682">
        <f t="shared" si="0"/>
        <v>34626.519999999997</v>
      </c>
      <c r="K38" s="683"/>
      <c r="L38" s="684"/>
      <c r="M38" s="753"/>
      <c r="N38" s="683">
        <v>0</v>
      </c>
      <c r="O38" s="686"/>
      <c r="P38" s="683">
        <v>0</v>
      </c>
      <c r="Q38" s="687">
        <f t="shared" si="1"/>
        <v>0</v>
      </c>
      <c r="R38" s="688">
        <v>0</v>
      </c>
      <c r="S38" s="693"/>
      <c r="T38" s="690">
        <f t="shared" si="2"/>
        <v>0</v>
      </c>
      <c r="U38" s="683"/>
      <c r="V38" s="474">
        <f t="shared" si="3"/>
        <v>0</v>
      </c>
      <c r="W38" s="474">
        <f t="shared" si="4"/>
        <v>0</v>
      </c>
      <c r="X38" s="475">
        <f t="shared" si="5"/>
        <v>0</v>
      </c>
      <c r="Y38" s="475">
        <v>0</v>
      </c>
      <c r="Z38" s="476">
        <v>0</v>
      </c>
      <c r="AA38" s="38">
        <f t="shared" si="6"/>
        <v>0</v>
      </c>
      <c r="AB38" s="692">
        <f t="shared" si="7"/>
        <v>34626.519999999997</v>
      </c>
      <c r="AC38" s="692">
        <f t="shared" si="8"/>
        <v>0</v>
      </c>
      <c r="AD38" s="692">
        <f t="shared" si="9"/>
        <v>0</v>
      </c>
      <c r="AE38" s="38"/>
      <c r="AF38" s="692">
        <f t="shared" si="10"/>
        <v>0</v>
      </c>
      <c r="AG38" s="692">
        <f t="shared" si="11"/>
        <v>0</v>
      </c>
      <c r="AH38" s="692">
        <f t="shared" si="12"/>
        <v>0</v>
      </c>
      <c r="AJ38" s="38">
        <f t="shared" si="13"/>
        <v>34626.519999999997</v>
      </c>
    </row>
    <row r="39" spans="1:36" s="232" customFormat="1">
      <c r="A39" s="283"/>
      <c r="B39" s="283" t="s">
        <v>110</v>
      </c>
      <c r="C39" s="676" t="s">
        <v>528</v>
      </c>
      <c r="D39" s="123" t="s">
        <v>623</v>
      </c>
      <c r="E39" s="679"/>
      <c r="F39" s="529">
        <f>VLOOKUP(D39,'Feb 2013 Revenue'!D:T,17,FALSE)</f>
        <v>0</v>
      </c>
      <c r="G39" s="680"/>
      <c r="H39" s="680"/>
      <c r="I39" s="770">
        <v>10085.620000000001</v>
      </c>
      <c r="J39" s="682">
        <f t="shared" si="0"/>
        <v>10085.620000000001</v>
      </c>
      <c r="K39" s="683"/>
      <c r="L39" s="684"/>
      <c r="M39" s="753"/>
      <c r="N39" s="683">
        <v>0</v>
      </c>
      <c r="O39" s="686"/>
      <c r="P39" s="683">
        <v>0</v>
      </c>
      <c r="Q39" s="687">
        <f t="shared" si="1"/>
        <v>0</v>
      </c>
      <c r="R39" s="688">
        <v>0</v>
      </c>
      <c r="S39" s="693"/>
      <c r="T39" s="690">
        <f t="shared" si="2"/>
        <v>0</v>
      </c>
      <c r="U39" s="683"/>
      <c r="V39" s="474">
        <f t="shared" si="3"/>
        <v>0</v>
      </c>
      <c r="W39" s="474">
        <f t="shared" si="4"/>
        <v>0</v>
      </c>
      <c r="X39" s="475">
        <f t="shared" si="5"/>
        <v>0</v>
      </c>
      <c r="Y39" s="475">
        <v>0</v>
      </c>
      <c r="Z39" s="476">
        <v>0</v>
      </c>
      <c r="AA39" s="38">
        <f t="shared" si="6"/>
        <v>0</v>
      </c>
      <c r="AB39" s="692">
        <f t="shared" si="7"/>
        <v>10085.620000000001</v>
      </c>
      <c r="AC39" s="692">
        <f t="shared" si="8"/>
        <v>0</v>
      </c>
      <c r="AD39" s="692">
        <f t="shared" si="9"/>
        <v>0</v>
      </c>
      <c r="AE39" s="38"/>
      <c r="AF39" s="692">
        <f t="shared" si="10"/>
        <v>0</v>
      </c>
      <c r="AG39" s="692">
        <f t="shared" si="11"/>
        <v>0</v>
      </c>
      <c r="AH39" s="692">
        <f t="shared" si="12"/>
        <v>0</v>
      </c>
      <c r="AJ39" s="38">
        <f t="shared" si="13"/>
        <v>10085.620000000001</v>
      </c>
    </row>
    <row r="40" spans="1:36" s="232" customFormat="1">
      <c r="A40" s="403"/>
      <c r="B40" s="403" t="s">
        <v>114</v>
      </c>
      <c r="C40" s="666" t="s">
        <v>529</v>
      </c>
      <c r="D40" s="123" t="s">
        <v>108</v>
      </c>
      <c r="E40" s="679"/>
      <c r="F40" s="529">
        <f>VLOOKUP(D40,'Feb 2013 Revenue'!D:T,17,FALSE)</f>
        <v>178.86999999999989</v>
      </c>
      <c r="G40" s="680"/>
      <c r="H40" s="680"/>
      <c r="I40" s="755"/>
      <c r="J40" s="682">
        <f t="shared" si="0"/>
        <v>178.86999999999989</v>
      </c>
      <c r="K40" s="683"/>
      <c r="L40" s="684"/>
      <c r="M40" s="753">
        <v>8000</v>
      </c>
      <c r="N40" s="683">
        <v>0</v>
      </c>
      <c r="O40" s="686"/>
      <c r="P40" s="683">
        <v>0</v>
      </c>
      <c r="Q40" s="687">
        <f t="shared" si="1"/>
        <v>8000</v>
      </c>
      <c r="R40" s="688">
        <v>8212.26</v>
      </c>
      <c r="S40" s="693"/>
      <c r="T40" s="690">
        <f t="shared" si="2"/>
        <v>212.26000000000022</v>
      </c>
      <c r="U40" s="683"/>
      <c r="V40" s="474">
        <f t="shared" si="3"/>
        <v>0</v>
      </c>
      <c r="W40" s="474">
        <f t="shared" si="4"/>
        <v>0</v>
      </c>
      <c r="X40" s="475">
        <f t="shared" si="5"/>
        <v>8000</v>
      </c>
      <c r="Y40" s="475">
        <v>0</v>
      </c>
      <c r="Z40" s="476">
        <v>0</v>
      </c>
      <c r="AA40" s="38">
        <f t="shared" si="6"/>
        <v>0</v>
      </c>
      <c r="AB40" s="692">
        <f t="shared" si="7"/>
        <v>0</v>
      </c>
      <c r="AC40" s="692">
        <f t="shared" si="8"/>
        <v>0</v>
      </c>
      <c r="AD40" s="692">
        <f t="shared" si="9"/>
        <v>178.86999999999989</v>
      </c>
      <c r="AE40" s="38"/>
      <c r="AF40" s="692">
        <f t="shared" si="10"/>
        <v>0</v>
      </c>
      <c r="AG40" s="692">
        <f t="shared" si="11"/>
        <v>0</v>
      </c>
      <c r="AH40" s="692">
        <f t="shared" si="12"/>
        <v>8000</v>
      </c>
      <c r="AJ40" s="38">
        <f t="shared" si="13"/>
        <v>8178.87</v>
      </c>
    </row>
    <row r="41" spans="1:36" s="232" customFormat="1">
      <c r="A41" s="403"/>
      <c r="B41" s="403" t="s">
        <v>110</v>
      </c>
      <c r="C41" s="666"/>
      <c r="D41" s="123" t="s">
        <v>911</v>
      </c>
      <c r="E41" s="679">
        <v>4633.58</v>
      </c>
      <c r="F41" s="529">
        <f>VLOOKUP(D41,'Feb 2013 Revenue'!D:T,17,FALSE)</f>
        <v>-5153.47</v>
      </c>
      <c r="G41" s="680"/>
      <c r="H41" s="680"/>
      <c r="I41" s="755"/>
      <c r="J41" s="682">
        <f t="shared" si="0"/>
        <v>-519.89000000000033</v>
      </c>
      <c r="K41" s="683"/>
      <c r="L41" s="684"/>
      <c r="M41" s="753">
        <v>5000</v>
      </c>
      <c r="N41" s="683">
        <v>0</v>
      </c>
      <c r="O41" s="686"/>
      <c r="P41" s="683">
        <v>0</v>
      </c>
      <c r="Q41" s="687">
        <f t="shared" si="1"/>
        <v>5000</v>
      </c>
      <c r="R41" s="688">
        <v>0</v>
      </c>
      <c r="S41" s="693"/>
      <c r="T41" s="690">
        <f t="shared" si="2"/>
        <v>-5000</v>
      </c>
      <c r="U41" s="683"/>
      <c r="V41" s="474">
        <f t="shared" si="3"/>
        <v>5000</v>
      </c>
      <c r="W41" s="474">
        <f t="shared" si="4"/>
        <v>0</v>
      </c>
      <c r="X41" s="475">
        <f t="shared" si="5"/>
        <v>0</v>
      </c>
      <c r="Y41" s="475">
        <v>0</v>
      </c>
      <c r="Z41" s="476">
        <v>0</v>
      </c>
      <c r="AA41" s="38">
        <f t="shared" si="6"/>
        <v>0</v>
      </c>
      <c r="AB41" s="692">
        <f t="shared" si="7"/>
        <v>-519.89000000000033</v>
      </c>
      <c r="AC41" s="692">
        <f t="shared" si="8"/>
        <v>0</v>
      </c>
      <c r="AD41" s="692">
        <f t="shared" si="9"/>
        <v>0</v>
      </c>
      <c r="AE41" s="38"/>
      <c r="AF41" s="692">
        <f t="shared" si="10"/>
        <v>5000</v>
      </c>
      <c r="AG41" s="692">
        <f t="shared" si="11"/>
        <v>0</v>
      </c>
      <c r="AH41" s="692">
        <f t="shared" si="12"/>
        <v>0</v>
      </c>
      <c r="AJ41" s="38">
        <f t="shared" ref="AJ41" si="14">SUM(AB41:AH41)</f>
        <v>4480.1099999999997</v>
      </c>
    </row>
    <row r="42" spans="1:36">
      <c r="A42" s="21"/>
      <c r="B42" s="21" t="s">
        <v>110</v>
      </c>
      <c r="C42" s="666"/>
      <c r="D42" s="68" t="s">
        <v>234</v>
      </c>
      <c r="E42" s="679"/>
      <c r="F42" s="529">
        <f>VLOOKUP(D42,'Feb 2013 Revenue'!D:T,17,FALSE)</f>
        <v>-5000</v>
      </c>
      <c r="G42" s="680"/>
      <c r="H42" s="680"/>
      <c r="I42" s="755"/>
      <c r="J42" s="682">
        <f t="shared" si="0"/>
        <v>-5000</v>
      </c>
      <c r="K42" s="683"/>
      <c r="L42" s="684"/>
      <c r="M42" s="753">
        <v>8000</v>
      </c>
      <c r="N42" s="683">
        <v>0</v>
      </c>
      <c r="O42" s="686"/>
      <c r="P42" s="683">
        <v>0</v>
      </c>
      <c r="Q42" s="687">
        <f t="shared" si="1"/>
        <v>8000</v>
      </c>
      <c r="R42" s="688">
        <v>0</v>
      </c>
      <c r="S42" s="693"/>
      <c r="T42" s="690">
        <f t="shared" si="2"/>
        <v>-8000</v>
      </c>
      <c r="U42" s="683"/>
      <c r="V42" s="474">
        <f t="shared" si="3"/>
        <v>8000</v>
      </c>
      <c r="W42" s="474">
        <f t="shared" si="4"/>
        <v>0</v>
      </c>
      <c r="X42" s="475">
        <f t="shared" si="5"/>
        <v>0</v>
      </c>
      <c r="Y42" s="475">
        <v>0</v>
      </c>
      <c r="Z42" s="476">
        <v>0</v>
      </c>
      <c r="AA42" s="38">
        <f t="shared" si="6"/>
        <v>0</v>
      </c>
      <c r="AB42" s="692">
        <f t="shared" si="7"/>
        <v>-5000</v>
      </c>
      <c r="AC42" s="692">
        <f t="shared" si="8"/>
        <v>0</v>
      </c>
      <c r="AD42" s="692">
        <f t="shared" si="9"/>
        <v>0</v>
      </c>
      <c r="AE42" s="38"/>
      <c r="AF42" s="692">
        <f t="shared" si="10"/>
        <v>8000</v>
      </c>
      <c r="AG42" s="692">
        <f t="shared" si="11"/>
        <v>0</v>
      </c>
      <c r="AH42" s="692">
        <f t="shared" si="12"/>
        <v>0</v>
      </c>
      <c r="AJ42" s="38">
        <f t="shared" si="13"/>
        <v>3000</v>
      </c>
    </row>
    <row r="43" spans="1:36">
      <c r="A43" s="20"/>
      <c r="B43" s="20" t="s">
        <v>109</v>
      </c>
      <c r="C43" s="667"/>
      <c r="D43" s="68" t="s">
        <v>598</v>
      </c>
      <c r="E43" s="679"/>
      <c r="F43" s="529">
        <f>VLOOKUP(D43,'Feb 2013 Revenue'!D:T,17,FALSE)</f>
        <v>0</v>
      </c>
      <c r="G43" s="680"/>
      <c r="H43" s="680"/>
      <c r="I43" s="755"/>
      <c r="J43" s="682">
        <f t="shared" si="0"/>
        <v>0</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7"/>
        <v>0</v>
      </c>
      <c r="AC43" s="692">
        <f t="shared" si="8"/>
        <v>0</v>
      </c>
      <c r="AD43" s="692">
        <f t="shared" si="9"/>
        <v>0</v>
      </c>
      <c r="AE43" s="38"/>
      <c r="AF43" s="692">
        <f t="shared" si="10"/>
        <v>0</v>
      </c>
      <c r="AG43" s="692">
        <f t="shared" si="11"/>
        <v>0</v>
      </c>
      <c r="AH43" s="692">
        <f t="shared" si="12"/>
        <v>0</v>
      </c>
      <c r="AJ43" s="38">
        <f t="shared" si="13"/>
        <v>0</v>
      </c>
    </row>
    <row r="44" spans="1:36">
      <c r="A44" s="20"/>
      <c r="B44" s="20" t="s">
        <v>110</v>
      </c>
      <c r="C44" s="667"/>
      <c r="D44" s="68" t="s">
        <v>311</v>
      </c>
      <c r="E44" s="679"/>
      <c r="F44" s="529">
        <f>VLOOKUP(D44,'Feb 2013 Revenue'!D:T,17,FALSE)</f>
        <v>0</v>
      </c>
      <c r="G44" s="680"/>
      <c r="H44" s="680"/>
      <c r="I44" s="755"/>
      <c r="J44" s="682">
        <f t="shared" si="0"/>
        <v>0</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7"/>
        <v>0</v>
      </c>
      <c r="AC44" s="692">
        <f t="shared" si="8"/>
        <v>0</v>
      </c>
      <c r="AD44" s="692">
        <f t="shared" si="9"/>
        <v>0</v>
      </c>
      <c r="AE44" s="38"/>
      <c r="AF44" s="692">
        <f t="shared" si="10"/>
        <v>0</v>
      </c>
      <c r="AG44" s="692">
        <f t="shared" si="11"/>
        <v>0</v>
      </c>
      <c r="AH44" s="692">
        <f t="shared" si="12"/>
        <v>0</v>
      </c>
      <c r="AJ44" s="38">
        <f t="shared" si="13"/>
        <v>0</v>
      </c>
    </row>
    <row r="45" spans="1:36">
      <c r="A45" s="20"/>
      <c r="B45" s="20" t="s">
        <v>110</v>
      </c>
      <c r="C45" s="667"/>
      <c r="D45" s="68" t="s">
        <v>451</v>
      </c>
      <c r="E45" s="679"/>
      <c r="F45" s="529">
        <f>VLOOKUP(D45,'Feb 2013 Revenue'!D:T,17,FALSE)</f>
        <v>-35000</v>
      </c>
      <c r="G45" s="680"/>
      <c r="H45" s="680"/>
      <c r="I45" s="755"/>
      <c r="J45" s="682">
        <f t="shared" si="0"/>
        <v>-35000</v>
      </c>
      <c r="K45" s="683"/>
      <c r="L45" s="684"/>
      <c r="M45" s="753">
        <v>50000</v>
      </c>
      <c r="N45" s="683">
        <v>0</v>
      </c>
      <c r="O45" s="686"/>
      <c r="P45" s="683">
        <v>0</v>
      </c>
      <c r="Q45" s="687">
        <f t="shared" si="1"/>
        <v>50000</v>
      </c>
      <c r="R45" s="688">
        <v>31676.04</v>
      </c>
      <c r="S45" s="693"/>
      <c r="T45" s="690">
        <f t="shared" si="2"/>
        <v>-18323.96</v>
      </c>
      <c r="U45" s="683"/>
      <c r="V45" s="474">
        <f t="shared" si="3"/>
        <v>50000</v>
      </c>
      <c r="W45" s="474">
        <f t="shared" si="4"/>
        <v>0</v>
      </c>
      <c r="X45" s="475">
        <f t="shared" si="5"/>
        <v>0</v>
      </c>
      <c r="Y45" s="475">
        <v>0</v>
      </c>
      <c r="Z45" s="476">
        <v>0</v>
      </c>
      <c r="AA45" s="38">
        <f t="shared" si="6"/>
        <v>0</v>
      </c>
      <c r="AB45" s="692">
        <f t="shared" si="7"/>
        <v>-35000</v>
      </c>
      <c r="AC45" s="692">
        <f t="shared" si="8"/>
        <v>0</v>
      </c>
      <c r="AD45" s="692">
        <f t="shared" si="9"/>
        <v>0</v>
      </c>
      <c r="AE45" s="38"/>
      <c r="AF45" s="692">
        <f t="shared" si="10"/>
        <v>50000</v>
      </c>
      <c r="AG45" s="692">
        <f t="shared" si="11"/>
        <v>0</v>
      </c>
      <c r="AH45" s="692">
        <f t="shared" si="12"/>
        <v>0</v>
      </c>
      <c r="AJ45" s="38">
        <f t="shared" si="13"/>
        <v>15000</v>
      </c>
    </row>
    <row r="46" spans="1:36">
      <c r="A46" s="20"/>
      <c r="B46" s="20" t="s">
        <v>109</v>
      </c>
      <c r="C46" s="667"/>
      <c r="D46" s="68" t="s">
        <v>469</v>
      </c>
      <c r="E46" s="679"/>
      <c r="F46" s="529">
        <f>VLOOKUP(D46,'Feb 2013 Revenue'!D:T,17,FALSE)</f>
        <v>0</v>
      </c>
      <c r="G46" s="680"/>
      <c r="H46" s="680"/>
      <c r="I46" s="804">
        <v>6191.24</v>
      </c>
      <c r="J46" s="682">
        <f t="shared" si="0"/>
        <v>6191.24</v>
      </c>
      <c r="K46" s="683"/>
      <c r="L46" s="684"/>
      <c r="M46" s="753"/>
      <c r="N46" s="683">
        <v>0</v>
      </c>
      <c r="O46" s="686"/>
      <c r="P46" s="683">
        <v>0</v>
      </c>
      <c r="Q46" s="687">
        <f t="shared" si="1"/>
        <v>0</v>
      </c>
      <c r="R46" s="688">
        <v>0</v>
      </c>
      <c r="S46" s="693"/>
      <c r="T46" s="690">
        <f t="shared" si="2"/>
        <v>0</v>
      </c>
      <c r="U46" s="683"/>
      <c r="V46" s="474">
        <f t="shared" si="3"/>
        <v>0</v>
      </c>
      <c r="W46" s="474">
        <f t="shared" si="4"/>
        <v>0</v>
      </c>
      <c r="X46" s="475">
        <f t="shared" si="5"/>
        <v>0</v>
      </c>
      <c r="Y46" s="475">
        <v>0</v>
      </c>
      <c r="Z46" s="476">
        <v>0</v>
      </c>
      <c r="AA46" s="38">
        <f t="shared" si="6"/>
        <v>0</v>
      </c>
      <c r="AB46" s="692">
        <f t="shared" si="7"/>
        <v>0</v>
      </c>
      <c r="AC46" s="692">
        <f t="shared" si="8"/>
        <v>6191.24</v>
      </c>
      <c r="AD46" s="692">
        <f t="shared" si="9"/>
        <v>0</v>
      </c>
      <c r="AE46" s="38"/>
      <c r="AF46" s="692">
        <f t="shared" si="10"/>
        <v>0</v>
      </c>
      <c r="AG46" s="692">
        <f t="shared" si="11"/>
        <v>0</v>
      </c>
      <c r="AH46" s="692">
        <f t="shared" si="12"/>
        <v>0</v>
      </c>
      <c r="AJ46" s="38">
        <f t="shared" si="13"/>
        <v>6191.24</v>
      </c>
    </row>
    <row r="47" spans="1:36">
      <c r="A47" s="20"/>
      <c r="B47" s="20" t="s">
        <v>110</v>
      </c>
      <c r="C47" s="667" t="s">
        <v>530</v>
      </c>
      <c r="D47" s="68" t="s">
        <v>69</v>
      </c>
      <c r="E47" s="679"/>
      <c r="F47" s="529">
        <f>VLOOKUP(D47,'Feb 2013 Revenue'!D:T,17,FALSE)</f>
        <v>0</v>
      </c>
      <c r="G47" s="680"/>
      <c r="H47" s="680"/>
      <c r="I47" s="755"/>
      <c r="J47" s="682">
        <f t="shared" si="0"/>
        <v>0</v>
      </c>
      <c r="K47" s="683"/>
      <c r="L47" s="684"/>
      <c r="M47" s="753"/>
      <c r="N47" s="683">
        <v>0</v>
      </c>
      <c r="O47" s="686"/>
      <c r="P47" s="683">
        <v>0</v>
      </c>
      <c r="Q47" s="687">
        <f t="shared" si="1"/>
        <v>0</v>
      </c>
      <c r="R47" s="688">
        <v>2087.96</v>
      </c>
      <c r="S47" s="693"/>
      <c r="T47" s="690">
        <f t="shared" si="2"/>
        <v>2087.96</v>
      </c>
      <c r="U47" s="683"/>
      <c r="V47" s="474">
        <f t="shared" si="3"/>
        <v>0</v>
      </c>
      <c r="W47" s="474">
        <f t="shared" si="4"/>
        <v>0</v>
      </c>
      <c r="X47" s="475">
        <f t="shared" si="5"/>
        <v>0</v>
      </c>
      <c r="Y47" s="475">
        <v>0</v>
      </c>
      <c r="Z47" s="476">
        <v>0</v>
      </c>
      <c r="AA47" s="38">
        <f t="shared" si="6"/>
        <v>0</v>
      </c>
      <c r="AB47" s="692">
        <f t="shared" si="7"/>
        <v>0</v>
      </c>
      <c r="AC47" s="692">
        <f t="shared" si="8"/>
        <v>0</v>
      </c>
      <c r="AD47" s="692">
        <f t="shared" si="9"/>
        <v>0</v>
      </c>
      <c r="AE47" s="38"/>
      <c r="AF47" s="692">
        <f t="shared" si="10"/>
        <v>0</v>
      </c>
      <c r="AG47" s="692">
        <f t="shared" si="11"/>
        <v>0</v>
      </c>
      <c r="AH47" s="692">
        <f t="shared" si="12"/>
        <v>0</v>
      </c>
      <c r="AJ47" s="38">
        <f t="shared" si="13"/>
        <v>0</v>
      </c>
    </row>
    <row r="48" spans="1:36">
      <c r="A48" s="20"/>
      <c r="B48" s="20" t="s">
        <v>110</v>
      </c>
      <c r="C48" s="667" t="s">
        <v>531</v>
      </c>
      <c r="D48" s="68" t="s">
        <v>237</v>
      </c>
      <c r="E48" s="679"/>
      <c r="F48" s="529">
        <f>VLOOKUP(D48,'Feb 2013 Revenue'!D:T,17,FALSE)</f>
        <v>-395.81999999999971</v>
      </c>
      <c r="G48" s="680"/>
      <c r="H48" s="680"/>
      <c r="I48" s="804">
        <v>10222.16</v>
      </c>
      <c r="J48" s="682">
        <f t="shared" si="0"/>
        <v>9826.34</v>
      </c>
      <c r="K48" s="683"/>
      <c r="L48" s="684"/>
      <c r="M48" s="753"/>
      <c r="N48" s="683">
        <v>0</v>
      </c>
      <c r="O48" s="686"/>
      <c r="P48" s="683">
        <v>0</v>
      </c>
      <c r="Q48" s="687">
        <f t="shared" si="1"/>
        <v>0</v>
      </c>
      <c r="R48" s="688">
        <v>0</v>
      </c>
      <c r="S48" s="693"/>
      <c r="T48" s="690">
        <f t="shared" si="2"/>
        <v>0</v>
      </c>
      <c r="U48" s="683"/>
      <c r="V48" s="474">
        <f t="shared" si="3"/>
        <v>0</v>
      </c>
      <c r="W48" s="474">
        <f t="shared" si="4"/>
        <v>0</v>
      </c>
      <c r="X48" s="475">
        <f t="shared" si="5"/>
        <v>0</v>
      </c>
      <c r="Y48" s="475">
        <v>0</v>
      </c>
      <c r="Z48" s="476">
        <v>0</v>
      </c>
      <c r="AA48" s="38">
        <f t="shared" si="6"/>
        <v>0</v>
      </c>
      <c r="AB48" s="692">
        <f t="shared" si="7"/>
        <v>9826.34</v>
      </c>
      <c r="AC48" s="692">
        <f t="shared" si="8"/>
        <v>0</v>
      </c>
      <c r="AD48" s="692">
        <f t="shared" si="9"/>
        <v>0</v>
      </c>
      <c r="AE48" s="38"/>
      <c r="AF48" s="692">
        <f t="shared" si="10"/>
        <v>0</v>
      </c>
      <c r="AG48" s="692">
        <f t="shared" si="11"/>
        <v>0</v>
      </c>
      <c r="AH48" s="692">
        <f t="shared" si="12"/>
        <v>0</v>
      </c>
      <c r="AJ48" s="38">
        <f t="shared" si="13"/>
        <v>9826.34</v>
      </c>
    </row>
    <row r="49" spans="1:36">
      <c r="A49" s="20" t="s">
        <v>211</v>
      </c>
      <c r="B49" s="20" t="s">
        <v>110</v>
      </c>
      <c r="C49" s="667" t="s">
        <v>532</v>
      </c>
      <c r="D49" s="68" t="s">
        <v>7</v>
      </c>
      <c r="E49" s="679"/>
      <c r="F49" s="529">
        <f>VLOOKUP(D49,'Feb 2013 Revenue'!D:T,17,FALSE)</f>
        <v>-20000</v>
      </c>
      <c r="G49" s="680"/>
      <c r="H49" s="680"/>
      <c r="I49" s="755"/>
      <c r="J49" s="682">
        <f t="shared" si="0"/>
        <v>-20000</v>
      </c>
      <c r="K49" s="683"/>
      <c r="L49" s="684"/>
      <c r="M49" s="753">
        <v>30000</v>
      </c>
      <c r="N49" s="683">
        <v>0</v>
      </c>
      <c r="O49" s="686"/>
      <c r="P49" s="683">
        <v>0</v>
      </c>
      <c r="Q49" s="687">
        <f t="shared" si="1"/>
        <v>30000</v>
      </c>
      <c r="R49" s="688">
        <v>53143.54</v>
      </c>
      <c r="S49" s="693"/>
      <c r="T49" s="690">
        <f t="shared" si="2"/>
        <v>23143.54</v>
      </c>
      <c r="U49" s="697"/>
      <c r="V49" s="474">
        <f t="shared" si="3"/>
        <v>30000</v>
      </c>
      <c r="W49" s="474">
        <f t="shared" si="4"/>
        <v>0</v>
      </c>
      <c r="X49" s="475">
        <f t="shared" si="5"/>
        <v>0</v>
      </c>
      <c r="Y49" s="475">
        <v>0</v>
      </c>
      <c r="Z49" s="476">
        <v>0</v>
      </c>
      <c r="AA49" s="38">
        <f t="shared" si="6"/>
        <v>0</v>
      </c>
      <c r="AB49" s="692">
        <f t="shared" si="7"/>
        <v>-20000</v>
      </c>
      <c r="AC49" s="692">
        <f t="shared" si="8"/>
        <v>0</v>
      </c>
      <c r="AD49" s="692">
        <f t="shared" si="9"/>
        <v>0</v>
      </c>
      <c r="AE49" s="38"/>
      <c r="AF49" s="692">
        <f t="shared" si="10"/>
        <v>30000</v>
      </c>
      <c r="AG49" s="692">
        <f t="shared" si="11"/>
        <v>0</v>
      </c>
      <c r="AH49" s="692">
        <f t="shared" si="12"/>
        <v>0</v>
      </c>
      <c r="AJ49" s="38">
        <f t="shared" si="13"/>
        <v>10000</v>
      </c>
    </row>
    <row r="50" spans="1:36" s="232" customFormat="1" hidden="1">
      <c r="A50" s="283" t="s">
        <v>97</v>
      </c>
      <c r="B50" s="283" t="s">
        <v>109</v>
      </c>
      <c r="C50" s="667" t="s">
        <v>533</v>
      </c>
      <c r="D50" s="123" t="s">
        <v>415</v>
      </c>
      <c r="E50" s="679"/>
      <c r="F50" s="529">
        <f>VLOOKUP(D50,'Feb 2013 Revenue'!D:T,17,FALSE)</f>
        <v>0</v>
      </c>
      <c r="G50" s="680"/>
      <c r="H50" s="680"/>
      <c r="I50" s="755"/>
      <c r="J50" s="682">
        <f t="shared" si="0"/>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7"/>
        <v>0</v>
      </c>
      <c r="AC50" s="692">
        <f t="shared" si="8"/>
        <v>0</v>
      </c>
      <c r="AD50" s="692">
        <f t="shared" si="9"/>
        <v>0</v>
      </c>
      <c r="AE50" s="38"/>
      <c r="AF50" s="692">
        <f t="shared" si="10"/>
        <v>0</v>
      </c>
      <c r="AG50" s="692">
        <f t="shared" si="11"/>
        <v>0</v>
      </c>
      <c r="AH50" s="692">
        <f t="shared" si="12"/>
        <v>0</v>
      </c>
      <c r="AJ50" s="38">
        <f t="shared" si="13"/>
        <v>0</v>
      </c>
    </row>
    <row r="51" spans="1:36" s="232" customFormat="1" hidden="1">
      <c r="A51" s="283"/>
      <c r="B51" s="283" t="s">
        <v>109</v>
      </c>
      <c r="C51" s="667" t="s">
        <v>533</v>
      </c>
      <c r="D51" s="123" t="s">
        <v>416</v>
      </c>
      <c r="E51" s="679"/>
      <c r="F51" s="529">
        <f>VLOOKUP(D51,'Feb 2013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c r="AJ51" s="38">
        <f t="shared" si="13"/>
        <v>0</v>
      </c>
    </row>
    <row r="52" spans="1:36" s="232" customFormat="1" hidden="1">
      <c r="A52" s="283"/>
      <c r="B52" s="283" t="s">
        <v>109</v>
      </c>
      <c r="C52" s="667" t="s">
        <v>533</v>
      </c>
      <c r="D52" s="123" t="s">
        <v>417</v>
      </c>
      <c r="E52" s="679"/>
      <c r="F52" s="529">
        <f>VLOOKUP(D52,'Feb 2013 Revenue'!D:T,17,FALSE)</f>
        <v>0</v>
      </c>
      <c r="G52" s="680"/>
      <c r="H52" s="680"/>
      <c r="I52" s="755"/>
      <c r="J52" s="682">
        <f t="shared" si="0"/>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8"/>
        <v>0</v>
      </c>
      <c r="AD52" s="692">
        <f t="shared" si="9"/>
        <v>0</v>
      </c>
      <c r="AE52" s="38"/>
      <c r="AF52" s="692">
        <f t="shared" si="10"/>
        <v>0</v>
      </c>
      <c r="AG52" s="692">
        <f t="shared" si="11"/>
        <v>0</v>
      </c>
      <c r="AH52" s="692">
        <f t="shared" si="12"/>
        <v>0</v>
      </c>
      <c r="AJ52" s="38">
        <f t="shared" si="13"/>
        <v>0</v>
      </c>
    </row>
    <row r="53" spans="1:36" s="232" customFormat="1" hidden="1">
      <c r="A53" s="283"/>
      <c r="B53" s="283" t="s">
        <v>109</v>
      </c>
      <c r="C53" s="667" t="s">
        <v>533</v>
      </c>
      <c r="D53" s="123" t="s">
        <v>418</v>
      </c>
      <c r="E53" s="679"/>
      <c r="F53" s="529">
        <f>VLOOKUP(D53,'Feb 2013 Revenue'!D:T,17,FALSE)</f>
        <v>0</v>
      </c>
      <c r="G53" s="680"/>
      <c r="H53" s="680"/>
      <c r="I53" s="755"/>
      <c r="J53" s="682">
        <f t="shared" si="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7"/>
        <v>0</v>
      </c>
      <c r="AC53" s="692">
        <f t="shared" si="8"/>
        <v>0</v>
      </c>
      <c r="AD53" s="692">
        <f t="shared" si="9"/>
        <v>0</v>
      </c>
      <c r="AE53" s="38"/>
      <c r="AF53" s="692">
        <f t="shared" si="10"/>
        <v>0</v>
      </c>
      <c r="AG53" s="692">
        <f t="shared" si="11"/>
        <v>0</v>
      </c>
      <c r="AH53" s="692">
        <f t="shared" si="12"/>
        <v>0</v>
      </c>
      <c r="AJ53" s="38">
        <f t="shared" si="13"/>
        <v>0</v>
      </c>
    </row>
    <row r="54" spans="1:36">
      <c r="A54" s="20" t="s">
        <v>211</v>
      </c>
      <c r="B54" s="20" t="s">
        <v>109</v>
      </c>
      <c r="C54" s="667" t="s">
        <v>534</v>
      </c>
      <c r="D54" s="68" t="s">
        <v>9</v>
      </c>
      <c r="E54" s="679"/>
      <c r="F54" s="529">
        <f>VLOOKUP(D54,'Feb 2013 Revenue'!D:T,17,FALSE)</f>
        <v>0</v>
      </c>
      <c r="G54" s="680"/>
      <c r="H54" s="680"/>
      <c r="I54" s="755"/>
      <c r="J54" s="682">
        <f t="shared" si="0"/>
        <v>0</v>
      </c>
      <c r="K54" s="683"/>
      <c r="L54" s="684"/>
      <c r="M54" s="753"/>
      <c r="N54" s="683">
        <v>0</v>
      </c>
      <c r="O54" s="686"/>
      <c r="P54" s="683">
        <v>0</v>
      </c>
      <c r="Q54" s="687">
        <f t="shared" si="1"/>
        <v>0</v>
      </c>
      <c r="R54" s="688">
        <v>0</v>
      </c>
      <c r="S54" s="693"/>
      <c r="T54" s="690">
        <f t="shared" si="2"/>
        <v>0</v>
      </c>
      <c r="U54" s="697"/>
      <c r="V54" s="474">
        <f t="shared" si="3"/>
        <v>0</v>
      </c>
      <c r="W54" s="474">
        <f t="shared" si="4"/>
        <v>0</v>
      </c>
      <c r="X54" s="475">
        <f t="shared" si="5"/>
        <v>0</v>
      </c>
      <c r="Y54" s="475">
        <v>0</v>
      </c>
      <c r="Z54" s="476">
        <v>0</v>
      </c>
      <c r="AA54" s="38">
        <f t="shared" si="6"/>
        <v>0</v>
      </c>
      <c r="AB54" s="692">
        <f t="shared" si="7"/>
        <v>0</v>
      </c>
      <c r="AC54" s="692">
        <f t="shared" si="8"/>
        <v>0</v>
      </c>
      <c r="AD54" s="692">
        <f t="shared" si="9"/>
        <v>0</v>
      </c>
      <c r="AE54" s="38"/>
      <c r="AF54" s="692">
        <f t="shared" si="10"/>
        <v>0</v>
      </c>
      <c r="AG54" s="692">
        <f t="shared" si="11"/>
        <v>0</v>
      </c>
      <c r="AH54" s="692">
        <f t="shared" si="12"/>
        <v>0</v>
      </c>
      <c r="AJ54" s="38">
        <f t="shared" si="13"/>
        <v>0</v>
      </c>
    </row>
    <row r="55" spans="1:36">
      <c r="A55" s="20" t="s">
        <v>211</v>
      </c>
      <c r="B55" s="20" t="s">
        <v>114</v>
      </c>
      <c r="C55" s="667"/>
      <c r="D55" s="68" t="s">
        <v>487</v>
      </c>
      <c r="E55" s="679"/>
      <c r="F55" s="529">
        <f>VLOOKUP(D55,'Feb 2013 Revenue'!D:T,17,FALSE)</f>
        <v>0</v>
      </c>
      <c r="G55" s="680"/>
      <c r="H55" s="680"/>
      <c r="I55" s="755"/>
      <c r="J55" s="682">
        <f t="shared" si="0"/>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7"/>
        <v>0</v>
      </c>
      <c r="AC55" s="692">
        <f t="shared" si="8"/>
        <v>0</v>
      </c>
      <c r="AD55" s="692">
        <f t="shared" si="9"/>
        <v>0</v>
      </c>
      <c r="AE55" s="38"/>
      <c r="AF55" s="692">
        <f t="shared" si="10"/>
        <v>0</v>
      </c>
      <c r="AG55" s="692">
        <f t="shared" si="11"/>
        <v>0</v>
      </c>
      <c r="AH55" s="692">
        <f t="shared" si="12"/>
        <v>0</v>
      </c>
      <c r="AJ55" s="38">
        <f t="shared" si="13"/>
        <v>0</v>
      </c>
    </row>
    <row r="56" spans="1:36">
      <c r="A56" s="20"/>
      <c r="B56" s="20" t="s">
        <v>109</v>
      </c>
      <c r="C56" s="676" t="s">
        <v>906</v>
      </c>
      <c r="D56" s="68" t="s">
        <v>830</v>
      </c>
      <c r="E56" s="679"/>
      <c r="F56" s="529">
        <f>VLOOKUP(D56,'Feb 2013 Revenue'!D:T,17,FALSE)</f>
        <v>0</v>
      </c>
      <c r="G56" s="680"/>
      <c r="H56" s="680"/>
      <c r="I56" s="804">
        <v>167025.41</v>
      </c>
      <c r="J56" s="682">
        <f>SUM(F56:I56)</f>
        <v>167025.41</v>
      </c>
      <c r="K56" s="683"/>
      <c r="L56" s="684"/>
      <c r="M56" s="753"/>
      <c r="N56" s="683">
        <v>0</v>
      </c>
      <c r="O56" s="686"/>
      <c r="P56" s="683">
        <v>0</v>
      </c>
      <c r="Q56" s="687">
        <f t="shared" si="1"/>
        <v>0</v>
      </c>
      <c r="R56" s="688">
        <v>0</v>
      </c>
      <c r="S56" s="693"/>
      <c r="T56" s="690">
        <f t="shared" si="2"/>
        <v>0</v>
      </c>
      <c r="U56" s="683"/>
      <c r="V56" s="474">
        <f t="shared" si="3"/>
        <v>0</v>
      </c>
      <c r="W56" s="474">
        <f t="shared" si="4"/>
        <v>0</v>
      </c>
      <c r="X56" s="475">
        <f t="shared" si="5"/>
        <v>0</v>
      </c>
      <c r="Y56" s="475">
        <v>0</v>
      </c>
      <c r="Z56" s="476">
        <v>0</v>
      </c>
      <c r="AA56" s="38">
        <f t="shared" si="6"/>
        <v>0</v>
      </c>
      <c r="AB56" s="692">
        <f t="shared" si="7"/>
        <v>0</v>
      </c>
      <c r="AC56" s="692">
        <f t="shared" si="8"/>
        <v>167025.41</v>
      </c>
      <c r="AD56" s="692">
        <f t="shared" si="9"/>
        <v>0</v>
      </c>
      <c r="AE56" s="38"/>
      <c r="AF56" s="692">
        <f t="shared" si="10"/>
        <v>0</v>
      </c>
      <c r="AG56" s="692">
        <f t="shared" si="11"/>
        <v>0</v>
      </c>
      <c r="AH56" s="692">
        <f t="shared" si="12"/>
        <v>0</v>
      </c>
      <c r="AJ56" s="38">
        <f t="shared" si="13"/>
        <v>167025.41</v>
      </c>
    </row>
    <row r="57" spans="1:36">
      <c r="A57" s="20"/>
      <c r="B57" s="20" t="s">
        <v>109</v>
      </c>
      <c r="C57" s="667"/>
      <c r="D57" s="68" t="s">
        <v>374</v>
      </c>
      <c r="E57" s="679"/>
      <c r="F57" s="529">
        <f>VLOOKUP(D57,'Feb 2013 Revenue'!D:T,17,FALSE)</f>
        <v>-15000</v>
      </c>
      <c r="G57" s="680"/>
      <c r="H57" s="680"/>
      <c r="I57" s="755"/>
      <c r="J57" s="682">
        <f t="shared" ref="J57:J120" si="15">SUM(E57:I57)</f>
        <v>-15000</v>
      </c>
      <c r="K57" s="683"/>
      <c r="L57" s="684"/>
      <c r="M57" s="753">
        <v>20000</v>
      </c>
      <c r="N57" s="683">
        <v>0</v>
      </c>
      <c r="O57" s="686"/>
      <c r="P57" s="683">
        <v>0</v>
      </c>
      <c r="Q57" s="687">
        <f t="shared" si="1"/>
        <v>20000</v>
      </c>
      <c r="R57" s="688">
        <v>21592.69</v>
      </c>
      <c r="S57" s="693"/>
      <c r="T57" s="690">
        <f t="shared" si="2"/>
        <v>1592.6899999999987</v>
      </c>
      <c r="U57" s="683"/>
      <c r="V57" s="474">
        <f t="shared" si="3"/>
        <v>0</v>
      </c>
      <c r="W57" s="474">
        <f t="shared" si="4"/>
        <v>20000</v>
      </c>
      <c r="X57" s="475">
        <f t="shared" si="5"/>
        <v>0</v>
      </c>
      <c r="Y57" s="475">
        <v>0</v>
      </c>
      <c r="Z57" s="476">
        <v>0</v>
      </c>
      <c r="AA57" s="38">
        <f t="shared" si="6"/>
        <v>0</v>
      </c>
      <c r="AB57" s="692">
        <f t="shared" si="7"/>
        <v>0</v>
      </c>
      <c r="AC57" s="692">
        <f t="shared" si="8"/>
        <v>-15000</v>
      </c>
      <c r="AD57" s="692">
        <f t="shared" si="9"/>
        <v>0</v>
      </c>
      <c r="AE57" s="38"/>
      <c r="AF57" s="692">
        <f t="shared" si="10"/>
        <v>0</v>
      </c>
      <c r="AG57" s="692">
        <f t="shared" si="11"/>
        <v>20000</v>
      </c>
      <c r="AH57" s="692">
        <f t="shared" si="12"/>
        <v>0</v>
      </c>
      <c r="AJ57" s="38">
        <f t="shared" si="13"/>
        <v>5000</v>
      </c>
    </row>
    <row r="58" spans="1:36">
      <c r="A58" s="20"/>
      <c r="B58" s="20" t="s">
        <v>114</v>
      </c>
      <c r="C58" s="667"/>
      <c r="D58" s="68" t="s">
        <v>502</v>
      </c>
      <c r="E58" s="679"/>
      <c r="F58" s="529">
        <f>VLOOKUP(D58,'Feb 2013 Revenue'!D:T,17,FALSE)</f>
        <v>0</v>
      </c>
      <c r="G58" s="680"/>
      <c r="H58" s="680"/>
      <c r="I58" s="755"/>
      <c r="J58" s="682">
        <f t="shared" si="15"/>
        <v>0</v>
      </c>
      <c r="K58" s="683"/>
      <c r="L58" s="684"/>
      <c r="M58" s="753"/>
      <c r="N58" s="683">
        <v>0</v>
      </c>
      <c r="O58" s="686"/>
      <c r="P58" s="683">
        <v>0</v>
      </c>
      <c r="Q58" s="687">
        <f t="shared" si="1"/>
        <v>0</v>
      </c>
      <c r="R58" s="688">
        <v>0</v>
      </c>
      <c r="S58" s="693"/>
      <c r="T58" s="690">
        <f t="shared" si="2"/>
        <v>0</v>
      </c>
      <c r="U58" s="683"/>
      <c r="V58" s="474">
        <f t="shared" si="3"/>
        <v>0</v>
      </c>
      <c r="W58" s="474">
        <f t="shared" si="4"/>
        <v>0</v>
      </c>
      <c r="X58" s="475">
        <f t="shared" si="5"/>
        <v>0</v>
      </c>
      <c r="Y58" s="475">
        <v>0</v>
      </c>
      <c r="Z58" s="476">
        <v>0</v>
      </c>
      <c r="AA58" s="38">
        <f t="shared" si="6"/>
        <v>0</v>
      </c>
      <c r="AB58" s="692">
        <f t="shared" si="7"/>
        <v>0</v>
      </c>
      <c r="AC58" s="692">
        <f t="shared" si="8"/>
        <v>0</v>
      </c>
      <c r="AD58" s="692">
        <f t="shared" si="9"/>
        <v>0</v>
      </c>
      <c r="AE58" s="38"/>
      <c r="AF58" s="692">
        <f t="shared" si="10"/>
        <v>0</v>
      </c>
      <c r="AG58" s="692">
        <f t="shared" si="11"/>
        <v>0</v>
      </c>
      <c r="AH58" s="692">
        <f t="shared" si="12"/>
        <v>0</v>
      </c>
      <c r="AJ58" s="38">
        <f t="shared" si="13"/>
        <v>0</v>
      </c>
    </row>
    <row r="59" spans="1:36">
      <c r="A59" s="21"/>
      <c r="B59" s="21" t="s">
        <v>110</v>
      </c>
      <c r="C59" s="666" t="s">
        <v>535</v>
      </c>
      <c r="D59" s="123" t="s">
        <v>517</v>
      </c>
      <c r="E59" s="679"/>
      <c r="F59" s="529">
        <f>VLOOKUP(D59,'Feb 2013 Revenue'!D:T,17,FALSE)</f>
        <v>-6805.859999999986</v>
      </c>
      <c r="G59" s="680"/>
      <c r="H59" s="680"/>
      <c r="I59" s="755"/>
      <c r="J59" s="682">
        <f t="shared" si="15"/>
        <v>-6805.859999999986</v>
      </c>
      <c r="K59" s="683"/>
      <c r="L59" s="684"/>
      <c r="M59" s="753">
        <v>145000</v>
      </c>
      <c r="N59" s="683">
        <v>0</v>
      </c>
      <c r="O59" s="686"/>
      <c r="P59" s="683">
        <v>0</v>
      </c>
      <c r="Q59" s="687">
        <f t="shared" si="1"/>
        <v>145000</v>
      </c>
      <c r="R59" s="688">
        <v>0</v>
      </c>
      <c r="S59" s="693"/>
      <c r="T59" s="690">
        <f t="shared" si="2"/>
        <v>-145000</v>
      </c>
      <c r="U59" s="697"/>
      <c r="V59" s="474">
        <f t="shared" si="3"/>
        <v>145000</v>
      </c>
      <c r="W59" s="474">
        <f t="shared" si="4"/>
        <v>0</v>
      </c>
      <c r="X59" s="475">
        <f t="shared" si="5"/>
        <v>0</v>
      </c>
      <c r="Y59" s="475">
        <v>0</v>
      </c>
      <c r="Z59" s="476">
        <v>0</v>
      </c>
      <c r="AA59" s="38">
        <f t="shared" si="6"/>
        <v>0</v>
      </c>
      <c r="AB59" s="692">
        <f t="shared" si="7"/>
        <v>-6805.859999999986</v>
      </c>
      <c r="AC59" s="692">
        <f t="shared" si="8"/>
        <v>0</v>
      </c>
      <c r="AD59" s="692">
        <f t="shared" si="9"/>
        <v>0</v>
      </c>
      <c r="AE59" s="38"/>
      <c r="AF59" s="692">
        <f t="shared" si="10"/>
        <v>145000</v>
      </c>
      <c r="AG59" s="692">
        <f t="shared" si="11"/>
        <v>0</v>
      </c>
      <c r="AH59" s="692">
        <f t="shared" si="12"/>
        <v>0</v>
      </c>
      <c r="AJ59" s="38">
        <f t="shared" si="13"/>
        <v>138194.14000000001</v>
      </c>
    </row>
    <row r="60" spans="1:36">
      <c r="A60" s="20"/>
      <c r="B60" s="20" t="s">
        <v>110</v>
      </c>
      <c r="C60" s="667" t="s">
        <v>536</v>
      </c>
      <c r="D60" s="68" t="s">
        <v>450</v>
      </c>
      <c r="E60" s="679"/>
      <c r="F60" s="529">
        <f>VLOOKUP(D60,'Feb 2013 Revenue'!D:T,17,FALSE)</f>
        <v>546.44000000000005</v>
      </c>
      <c r="G60" s="680"/>
      <c r="H60" s="680"/>
      <c r="I60" s="755"/>
      <c r="J60" s="682">
        <f t="shared" si="15"/>
        <v>546.44000000000005</v>
      </c>
      <c r="K60" s="683"/>
      <c r="L60" s="684"/>
      <c r="M60" s="753"/>
      <c r="N60" s="683">
        <v>0</v>
      </c>
      <c r="O60" s="686"/>
      <c r="P60" s="683">
        <v>0</v>
      </c>
      <c r="Q60" s="687">
        <f t="shared" si="1"/>
        <v>0</v>
      </c>
      <c r="R60" s="688">
        <v>0</v>
      </c>
      <c r="S60" s="693"/>
      <c r="T60" s="690">
        <f t="shared" si="2"/>
        <v>0</v>
      </c>
      <c r="U60" s="683"/>
      <c r="V60" s="474">
        <f t="shared" si="3"/>
        <v>0</v>
      </c>
      <c r="W60" s="474">
        <f t="shared" si="4"/>
        <v>0</v>
      </c>
      <c r="X60" s="475">
        <f t="shared" si="5"/>
        <v>0</v>
      </c>
      <c r="Y60" s="475">
        <v>0</v>
      </c>
      <c r="Z60" s="476">
        <v>0</v>
      </c>
      <c r="AA60" s="38">
        <f t="shared" si="6"/>
        <v>0</v>
      </c>
      <c r="AB60" s="692">
        <f t="shared" si="7"/>
        <v>546.44000000000005</v>
      </c>
      <c r="AC60" s="692">
        <f t="shared" si="8"/>
        <v>0</v>
      </c>
      <c r="AD60" s="692">
        <f t="shared" si="9"/>
        <v>0</v>
      </c>
      <c r="AE60" s="38"/>
      <c r="AF60" s="692">
        <f t="shared" si="10"/>
        <v>0</v>
      </c>
      <c r="AG60" s="692">
        <f t="shared" si="11"/>
        <v>0</v>
      </c>
      <c r="AH60" s="692">
        <f t="shared" si="12"/>
        <v>0</v>
      </c>
      <c r="AJ60" s="38">
        <f t="shared" si="13"/>
        <v>546.44000000000005</v>
      </c>
    </row>
    <row r="61" spans="1:36">
      <c r="A61" s="21" t="s">
        <v>109</v>
      </c>
      <c r="B61" s="21" t="s">
        <v>110</v>
      </c>
      <c r="C61" s="666"/>
      <c r="D61" s="68" t="s">
        <v>438</v>
      </c>
      <c r="E61" s="679"/>
      <c r="F61" s="529">
        <f>VLOOKUP(D61,'Feb 2013 Revenue'!D:T,17,FALSE)</f>
        <v>0</v>
      </c>
      <c r="G61" s="680"/>
      <c r="H61" s="680"/>
      <c r="I61" s="755"/>
      <c r="J61" s="682">
        <f t="shared" si="15"/>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7"/>
        <v>0</v>
      </c>
      <c r="AC61" s="692">
        <f t="shared" si="8"/>
        <v>0</v>
      </c>
      <c r="AD61" s="692">
        <f t="shared" si="9"/>
        <v>0</v>
      </c>
      <c r="AE61" s="38"/>
      <c r="AF61" s="692">
        <f t="shared" si="10"/>
        <v>0</v>
      </c>
      <c r="AG61" s="692">
        <f t="shared" si="11"/>
        <v>0</v>
      </c>
      <c r="AH61" s="692">
        <f t="shared" si="12"/>
        <v>0</v>
      </c>
      <c r="AJ61" s="38">
        <f t="shared" si="13"/>
        <v>0</v>
      </c>
    </row>
    <row r="62" spans="1:36">
      <c r="A62" s="21"/>
      <c r="B62" s="21" t="s">
        <v>110</v>
      </c>
      <c r="C62" s="666"/>
      <c r="D62" s="68" t="s">
        <v>628</v>
      </c>
      <c r="E62" s="679"/>
      <c r="F62" s="529">
        <f>VLOOKUP(D62,'Feb 2013 Revenue'!D:T,17,FALSE)</f>
        <v>0</v>
      </c>
      <c r="G62" s="680"/>
      <c r="H62" s="680"/>
      <c r="I62" s="755"/>
      <c r="J62" s="682">
        <f t="shared" si="15"/>
        <v>0</v>
      </c>
      <c r="K62" s="683"/>
      <c r="L62" s="684"/>
      <c r="M62" s="753"/>
      <c r="N62" s="683">
        <v>0</v>
      </c>
      <c r="O62" s="686"/>
      <c r="P62" s="683">
        <v>0</v>
      </c>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7"/>
        <v>0</v>
      </c>
      <c r="AC62" s="692">
        <f t="shared" si="8"/>
        <v>0</v>
      </c>
      <c r="AD62" s="692">
        <f t="shared" si="9"/>
        <v>0</v>
      </c>
      <c r="AE62" s="38"/>
      <c r="AF62" s="692">
        <f t="shared" si="10"/>
        <v>0</v>
      </c>
      <c r="AG62" s="692">
        <f t="shared" si="11"/>
        <v>0</v>
      </c>
      <c r="AH62" s="692">
        <f t="shared" si="12"/>
        <v>0</v>
      </c>
      <c r="AJ62" s="38">
        <f t="shared" si="13"/>
        <v>0</v>
      </c>
    </row>
    <row r="63" spans="1:36">
      <c r="A63" s="21"/>
      <c r="B63" s="21" t="s">
        <v>110</v>
      </c>
      <c r="C63" s="666" t="s">
        <v>537</v>
      </c>
      <c r="D63" s="68" t="s">
        <v>12</v>
      </c>
      <c r="E63" s="679"/>
      <c r="F63" s="529">
        <f>VLOOKUP(D63,'Feb 2013 Revenue'!D:T,17,FALSE)</f>
        <v>0</v>
      </c>
      <c r="G63" s="680"/>
      <c r="H63" s="680"/>
      <c r="I63" s="755"/>
      <c r="J63" s="682">
        <f t="shared" si="15"/>
        <v>0</v>
      </c>
      <c r="K63" s="683"/>
      <c r="L63" s="684"/>
      <c r="M63" s="753"/>
      <c r="N63" s="683">
        <v>0</v>
      </c>
      <c r="O63" s="686"/>
      <c r="P63" s="683">
        <v>0</v>
      </c>
      <c r="Q63" s="687">
        <f t="shared" si="1"/>
        <v>0</v>
      </c>
      <c r="R63" s="688">
        <v>0</v>
      </c>
      <c r="S63" s="693"/>
      <c r="T63" s="690">
        <f t="shared" si="2"/>
        <v>0</v>
      </c>
      <c r="U63" s="683"/>
      <c r="V63" s="474">
        <f t="shared" si="3"/>
        <v>0</v>
      </c>
      <c r="W63" s="474">
        <f t="shared" si="4"/>
        <v>0</v>
      </c>
      <c r="X63" s="475">
        <f t="shared" si="5"/>
        <v>0</v>
      </c>
      <c r="Y63" s="475">
        <v>0</v>
      </c>
      <c r="Z63" s="476">
        <v>0</v>
      </c>
      <c r="AA63" s="38">
        <f t="shared" si="6"/>
        <v>0</v>
      </c>
      <c r="AB63" s="692">
        <f t="shared" si="7"/>
        <v>0</v>
      </c>
      <c r="AC63" s="692">
        <f t="shared" si="8"/>
        <v>0</v>
      </c>
      <c r="AD63" s="692">
        <f t="shared" si="9"/>
        <v>0</v>
      </c>
      <c r="AE63" s="38"/>
      <c r="AF63" s="692">
        <f t="shared" si="10"/>
        <v>0</v>
      </c>
      <c r="AG63" s="692">
        <f t="shared" si="11"/>
        <v>0</v>
      </c>
      <c r="AH63" s="692">
        <f t="shared" si="12"/>
        <v>0</v>
      </c>
      <c r="AJ63" s="38">
        <f t="shared" si="13"/>
        <v>0</v>
      </c>
    </row>
    <row r="64" spans="1:36" s="232" customFormat="1">
      <c r="A64" s="283" t="s">
        <v>211</v>
      </c>
      <c r="B64" s="283" t="s">
        <v>110</v>
      </c>
      <c r="C64" s="667" t="s">
        <v>538</v>
      </c>
      <c r="D64" s="123" t="s">
        <v>170</v>
      </c>
      <c r="E64" s="679"/>
      <c r="F64" s="529">
        <f>VLOOKUP(D64,'Feb 2013 Revenue'!D:T,17,FALSE)</f>
        <v>-200000</v>
      </c>
      <c r="G64" s="680"/>
      <c r="H64" s="680"/>
      <c r="I64" s="755"/>
      <c r="J64" s="682">
        <f t="shared" si="15"/>
        <v>-200000</v>
      </c>
      <c r="K64" s="683"/>
      <c r="L64" s="684"/>
      <c r="M64" s="753">
        <v>300000</v>
      </c>
      <c r="N64" s="683">
        <v>0</v>
      </c>
      <c r="O64" s="686"/>
      <c r="P64" s="683">
        <v>0</v>
      </c>
      <c r="Q64" s="687">
        <f t="shared" si="1"/>
        <v>300000</v>
      </c>
      <c r="R64" s="688">
        <f>329286.88+765.62</f>
        <v>330052.5</v>
      </c>
      <c r="S64" s="693"/>
      <c r="T64" s="690">
        <f t="shared" si="2"/>
        <v>30052.5</v>
      </c>
      <c r="U64" s="683"/>
      <c r="V64" s="474">
        <f t="shared" si="3"/>
        <v>300000</v>
      </c>
      <c r="W64" s="474">
        <f t="shared" si="4"/>
        <v>0</v>
      </c>
      <c r="X64" s="475">
        <f t="shared" si="5"/>
        <v>0</v>
      </c>
      <c r="Y64" s="475">
        <v>0</v>
      </c>
      <c r="Z64" s="476">
        <v>0</v>
      </c>
      <c r="AA64" s="38">
        <f t="shared" si="6"/>
        <v>0</v>
      </c>
      <c r="AB64" s="692">
        <f t="shared" si="7"/>
        <v>-200000</v>
      </c>
      <c r="AC64" s="692">
        <f t="shared" si="8"/>
        <v>0</v>
      </c>
      <c r="AD64" s="692">
        <f t="shared" si="9"/>
        <v>0</v>
      </c>
      <c r="AE64" s="38"/>
      <c r="AF64" s="692">
        <f t="shared" si="10"/>
        <v>300000</v>
      </c>
      <c r="AG64" s="692">
        <f t="shared" si="11"/>
        <v>0</v>
      </c>
      <c r="AH64" s="692">
        <f t="shared" si="12"/>
        <v>0</v>
      </c>
      <c r="AJ64" s="38">
        <f t="shared" si="13"/>
        <v>100000</v>
      </c>
    </row>
    <row r="65" spans="1:36" s="232" customFormat="1">
      <c r="A65" s="283" t="s">
        <v>211</v>
      </c>
      <c r="B65" s="283" t="s">
        <v>110</v>
      </c>
      <c r="C65" s="667" t="s">
        <v>538</v>
      </c>
      <c r="D65" s="123" t="s">
        <v>171</v>
      </c>
      <c r="E65" s="679"/>
      <c r="F65" s="529">
        <f>VLOOKUP(D65,'Feb 2013 Revenue'!D:T,17,FALSE)</f>
        <v>0</v>
      </c>
      <c r="G65" s="680"/>
      <c r="H65" s="680"/>
      <c r="I65" s="755"/>
      <c r="J65" s="682">
        <f t="shared" si="15"/>
        <v>0</v>
      </c>
      <c r="K65" s="683"/>
      <c r="L65" s="684"/>
      <c r="M65" s="753"/>
      <c r="N65" s="683">
        <v>0</v>
      </c>
      <c r="O65" s="686"/>
      <c r="P65" s="683">
        <v>0</v>
      </c>
      <c r="Q65" s="687">
        <f t="shared" si="1"/>
        <v>0</v>
      </c>
      <c r="R65" s="688">
        <v>0</v>
      </c>
      <c r="S65" s="693"/>
      <c r="T65" s="690">
        <f t="shared" si="2"/>
        <v>0</v>
      </c>
      <c r="U65" s="683"/>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c r="AJ65" s="38">
        <f t="shared" si="13"/>
        <v>0</v>
      </c>
    </row>
    <row r="66" spans="1:36" s="232" customFormat="1" hidden="1">
      <c r="A66" s="283" t="s">
        <v>211</v>
      </c>
      <c r="B66" s="283" t="s">
        <v>110</v>
      </c>
      <c r="C66" s="667" t="s">
        <v>538</v>
      </c>
      <c r="D66" s="123" t="s">
        <v>13</v>
      </c>
      <c r="E66" s="679"/>
      <c r="F66" s="529">
        <f>VLOOKUP(D66,'Feb 2013 Revenue'!D:T,17,FALSE)</f>
        <v>0</v>
      </c>
      <c r="G66" s="680"/>
      <c r="H66" s="680"/>
      <c r="I66" s="755"/>
      <c r="J66" s="682">
        <f t="shared" si="15"/>
        <v>0</v>
      </c>
      <c r="K66" s="683"/>
      <c r="L66" s="684"/>
      <c r="M66" s="753"/>
      <c r="N66" s="683">
        <v>0</v>
      </c>
      <c r="O66" s="686"/>
      <c r="P66" s="683">
        <v>0</v>
      </c>
      <c r="Q66" s="687">
        <f t="shared" si="1"/>
        <v>0</v>
      </c>
      <c r="R66" s="688">
        <v>0</v>
      </c>
      <c r="S66" s="693"/>
      <c r="T66" s="690">
        <f t="shared" si="2"/>
        <v>0</v>
      </c>
      <c r="U66" s="683"/>
      <c r="V66" s="474">
        <f t="shared" si="3"/>
        <v>0</v>
      </c>
      <c r="W66" s="474">
        <f t="shared" si="4"/>
        <v>0</v>
      </c>
      <c r="X66" s="475">
        <f t="shared" si="5"/>
        <v>0</v>
      </c>
      <c r="Y66" s="475">
        <v>0</v>
      </c>
      <c r="Z66" s="476">
        <v>0</v>
      </c>
      <c r="AA66" s="38">
        <f t="shared" si="6"/>
        <v>0</v>
      </c>
      <c r="AB66" s="692">
        <f t="shared" si="7"/>
        <v>0</v>
      </c>
      <c r="AC66" s="692">
        <f t="shared" si="8"/>
        <v>0</v>
      </c>
      <c r="AD66" s="692">
        <f t="shared" si="9"/>
        <v>0</v>
      </c>
      <c r="AE66" s="38"/>
      <c r="AF66" s="692">
        <f t="shared" si="10"/>
        <v>0</v>
      </c>
      <c r="AG66" s="692">
        <f t="shared" si="11"/>
        <v>0</v>
      </c>
      <c r="AH66" s="692">
        <f t="shared" si="12"/>
        <v>0</v>
      </c>
      <c r="AJ66" s="38">
        <f t="shared" si="13"/>
        <v>0</v>
      </c>
    </row>
    <row r="67" spans="1:36" s="232" customFormat="1" hidden="1">
      <c r="A67" s="283" t="s">
        <v>211</v>
      </c>
      <c r="B67" s="283" t="s">
        <v>110</v>
      </c>
      <c r="C67" s="667" t="s">
        <v>538</v>
      </c>
      <c r="D67" s="123" t="s">
        <v>172</v>
      </c>
      <c r="E67" s="679"/>
      <c r="F67" s="529">
        <f>VLOOKUP(D67,'Feb 2013 Revenue'!D:T,17,FALSE)</f>
        <v>0</v>
      </c>
      <c r="G67" s="680"/>
      <c r="H67" s="680"/>
      <c r="I67" s="755"/>
      <c r="J67" s="682">
        <f t="shared" si="15"/>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7"/>
        <v>0</v>
      </c>
      <c r="AC67" s="692">
        <f t="shared" si="8"/>
        <v>0</v>
      </c>
      <c r="AD67" s="692">
        <f t="shared" si="9"/>
        <v>0</v>
      </c>
      <c r="AE67" s="38"/>
      <c r="AF67" s="692">
        <f t="shared" si="10"/>
        <v>0</v>
      </c>
      <c r="AG67" s="692">
        <f t="shared" si="11"/>
        <v>0</v>
      </c>
      <c r="AH67" s="692">
        <f t="shared" si="12"/>
        <v>0</v>
      </c>
      <c r="AJ67" s="38">
        <f t="shared" si="13"/>
        <v>0</v>
      </c>
    </row>
    <row r="68" spans="1:36" s="232" customFormat="1" hidden="1">
      <c r="A68" s="283" t="s">
        <v>211</v>
      </c>
      <c r="B68" s="283" t="s">
        <v>110</v>
      </c>
      <c r="C68" s="667" t="s">
        <v>538</v>
      </c>
      <c r="D68" s="123" t="s">
        <v>173</v>
      </c>
      <c r="E68" s="679"/>
      <c r="F68" s="529">
        <f>VLOOKUP(D68,'Feb 2013 Revenue'!D:T,17,FALSE)</f>
        <v>0</v>
      </c>
      <c r="G68" s="680"/>
      <c r="H68" s="680"/>
      <c r="I68" s="755"/>
      <c r="J68" s="682">
        <f t="shared" si="15"/>
        <v>0</v>
      </c>
      <c r="K68" s="683"/>
      <c r="L68" s="684"/>
      <c r="M68" s="753"/>
      <c r="N68" s="683">
        <v>0</v>
      </c>
      <c r="O68" s="686"/>
      <c r="P68" s="683">
        <v>0</v>
      </c>
      <c r="Q68" s="687">
        <f t="shared" si="1"/>
        <v>0</v>
      </c>
      <c r="R68" s="688">
        <v>0</v>
      </c>
      <c r="S68" s="693"/>
      <c r="T68" s="690">
        <f t="shared" si="2"/>
        <v>0</v>
      </c>
      <c r="U68" s="683"/>
      <c r="V68" s="474">
        <f t="shared" si="3"/>
        <v>0</v>
      </c>
      <c r="W68" s="474">
        <f t="shared" si="4"/>
        <v>0</v>
      </c>
      <c r="X68" s="475">
        <f t="shared" si="5"/>
        <v>0</v>
      </c>
      <c r="Y68" s="475">
        <v>0</v>
      </c>
      <c r="Z68" s="476">
        <v>0</v>
      </c>
      <c r="AA68" s="38">
        <f t="shared" si="6"/>
        <v>0</v>
      </c>
      <c r="AB68" s="692">
        <f t="shared" si="7"/>
        <v>0</v>
      </c>
      <c r="AC68" s="692">
        <f t="shared" si="8"/>
        <v>0</v>
      </c>
      <c r="AD68" s="692">
        <f t="shared" si="9"/>
        <v>0</v>
      </c>
      <c r="AE68" s="38"/>
      <c r="AF68" s="692">
        <f t="shared" si="10"/>
        <v>0</v>
      </c>
      <c r="AG68" s="692">
        <f t="shared" si="11"/>
        <v>0</v>
      </c>
      <c r="AH68" s="692">
        <f t="shared" si="12"/>
        <v>0</v>
      </c>
      <c r="AJ68" s="38">
        <f t="shared" si="13"/>
        <v>0</v>
      </c>
    </row>
    <row r="69" spans="1:36" s="232" customFormat="1" hidden="1">
      <c r="A69" s="283" t="s">
        <v>211</v>
      </c>
      <c r="B69" s="283" t="s">
        <v>110</v>
      </c>
      <c r="C69" s="667" t="s">
        <v>538</v>
      </c>
      <c r="D69" s="123" t="s">
        <v>174</v>
      </c>
      <c r="E69" s="679"/>
      <c r="F69" s="529">
        <f>VLOOKUP(D69,'Feb 2013 Revenue'!D:T,17,FALSE)</f>
        <v>0</v>
      </c>
      <c r="G69" s="680"/>
      <c r="H69" s="680"/>
      <c r="I69" s="755"/>
      <c r="J69" s="682">
        <f t="shared" si="15"/>
        <v>0</v>
      </c>
      <c r="K69" s="683"/>
      <c r="L69" s="684"/>
      <c r="M69" s="753"/>
      <c r="N69" s="683">
        <v>0</v>
      </c>
      <c r="O69" s="686"/>
      <c r="P69" s="683">
        <v>0</v>
      </c>
      <c r="Q69" s="687">
        <f t="shared" si="1"/>
        <v>0</v>
      </c>
      <c r="R69" s="688">
        <v>0</v>
      </c>
      <c r="S69" s="693"/>
      <c r="T69" s="690">
        <f t="shared" si="2"/>
        <v>0</v>
      </c>
      <c r="U69" s="683"/>
      <c r="V69" s="474">
        <f t="shared" si="3"/>
        <v>0</v>
      </c>
      <c r="W69" s="474">
        <f t="shared" si="4"/>
        <v>0</v>
      </c>
      <c r="X69" s="475">
        <f t="shared" si="5"/>
        <v>0</v>
      </c>
      <c r="Y69" s="475">
        <v>0</v>
      </c>
      <c r="Z69" s="476">
        <v>0</v>
      </c>
      <c r="AA69" s="38">
        <f t="shared" si="6"/>
        <v>0</v>
      </c>
      <c r="AB69" s="692">
        <f t="shared" si="7"/>
        <v>0</v>
      </c>
      <c r="AC69" s="692">
        <f t="shared" si="8"/>
        <v>0</v>
      </c>
      <c r="AD69" s="692">
        <f t="shared" si="9"/>
        <v>0</v>
      </c>
      <c r="AE69" s="38"/>
      <c r="AF69" s="692">
        <f t="shared" si="10"/>
        <v>0</v>
      </c>
      <c r="AG69" s="692">
        <f t="shared" si="11"/>
        <v>0</v>
      </c>
      <c r="AH69" s="692">
        <f t="shared" si="12"/>
        <v>0</v>
      </c>
      <c r="AJ69" s="38">
        <f t="shared" si="13"/>
        <v>0</v>
      </c>
    </row>
    <row r="70" spans="1:36" s="232" customFormat="1">
      <c r="A70" s="283"/>
      <c r="B70" s="283" t="s">
        <v>109</v>
      </c>
      <c r="C70" s="794"/>
      <c r="D70" s="351" t="s">
        <v>14</v>
      </c>
      <c r="E70" s="679"/>
      <c r="F70" s="529">
        <f>VLOOKUP(D70,'Feb 2013 Revenue'!D:T,17,FALSE)</f>
        <v>0</v>
      </c>
      <c r="G70" s="680"/>
      <c r="H70" s="680"/>
      <c r="I70" s="755"/>
      <c r="J70" s="682">
        <f t="shared" si="15"/>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c r="AJ70" s="38">
        <f t="shared" si="13"/>
        <v>0</v>
      </c>
    </row>
    <row r="71" spans="1:36">
      <c r="A71" s="20"/>
      <c r="B71" s="20" t="s">
        <v>110</v>
      </c>
      <c r="C71" s="667"/>
      <c r="D71" s="68" t="s">
        <v>15</v>
      </c>
      <c r="E71" s="679"/>
      <c r="F71" s="529">
        <f>VLOOKUP(D71,'Feb 2013 Revenue'!D:T,17,FALSE)</f>
        <v>0</v>
      </c>
      <c r="G71" s="680"/>
      <c r="H71" s="680"/>
      <c r="I71" s="755"/>
      <c r="J71" s="682">
        <f t="shared" si="15"/>
        <v>0</v>
      </c>
      <c r="K71" s="683"/>
      <c r="L71" s="684"/>
      <c r="M71" s="753"/>
      <c r="N71" s="683">
        <v>0</v>
      </c>
      <c r="O71" s="686"/>
      <c r="P71" s="683">
        <v>0</v>
      </c>
      <c r="Q71" s="687">
        <f t="shared" si="1"/>
        <v>0</v>
      </c>
      <c r="R71" s="688">
        <v>0</v>
      </c>
      <c r="S71" s="693"/>
      <c r="T71" s="690">
        <f t="shared" si="2"/>
        <v>0</v>
      </c>
      <c r="U71" s="683"/>
      <c r="V71" s="474">
        <f t="shared" si="3"/>
        <v>0</v>
      </c>
      <c r="W71" s="474">
        <f t="shared" si="4"/>
        <v>0</v>
      </c>
      <c r="X71" s="475">
        <f t="shared" si="5"/>
        <v>0</v>
      </c>
      <c r="Y71" s="475">
        <v>0</v>
      </c>
      <c r="Z71" s="476">
        <v>0</v>
      </c>
      <c r="AA71" s="38">
        <f t="shared" si="6"/>
        <v>0</v>
      </c>
      <c r="AB71" s="692">
        <f t="shared" si="7"/>
        <v>0</v>
      </c>
      <c r="AC71" s="692">
        <f t="shared" si="8"/>
        <v>0</v>
      </c>
      <c r="AD71" s="692">
        <f t="shared" si="9"/>
        <v>0</v>
      </c>
      <c r="AE71" s="38"/>
      <c r="AF71" s="692">
        <f t="shared" si="10"/>
        <v>0</v>
      </c>
      <c r="AG71" s="692">
        <f t="shared" si="11"/>
        <v>0</v>
      </c>
      <c r="AH71" s="692">
        <f t="shared" si="12"/>
        <v>0</v>
      </c>
      <c r="AJ71" s="38">
        <f t="shared" si="13"/>
        <v>0</v>
      </c>
    </row>
    <row r="72" spans="1:36">
      <c r="A72" s="20"/>
      <c r="B72" s="20" t="s">
        <v>110</v>
      </c>
      <c r="C72" s="667"/>
      <c r="D72" s="68" t="s">
        <v>646</v>
      </c>
      <c r="E72" s="679"/>
      <c r="F72" s="529">
        <f>VLOOKUP(D72,'Feb 2013 Revenue'!D:T,17,FALSE)</f>
        <v>0</v>
      </c>
      <c r="G72" s="680"/>
      <c r="H72" s="680"/>
      <c r="I72" s="804">
        <v>204.57</v>
      </c>
      <c r="J72" s="682">
        <f t="shared" si="15"/>
        <v>204.57</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7"/>
        <v>204.57</v>
      </c>
      <c r="AC72" s="692">
        <f t="shared" si="8"/>
        <v>0</v>
      </c>
      <c r="AD72" s="692">
        <f t="shared" si="9"/>
        <v>0</v>
      </c>
      <c r="AE72" s="38"/>
      <c r="AF72" s="692">
        <f t="shared" si="10"/>
        <v>0</v>
      </c>
      <c r="AG72" s="692">
        <f t="shared" si="11"/>
        <v>0</v>
      </c>
      <c r="AH72" s="692">
        <f t="shared" si="12"/>
        <v>0</v>
      </c>
      <c r="AJ72" s="38">
        <f t="shared" si="13"/>
        <v>204.57</v>
      </c>
    </row>
    <row r="73" spans="1:36">
      <c r="A73" s="20" t="s">
        <v>109</v>
      </c>
      <c r="B73" s="20" t="s">
        <v>109</v>
      </c>
      <c r="C73" s="667" t="s">
        <v>539</v>
      </c>
      <c r="D73" s="68" t="s">
        <v>510</v>
      </c>
      <c r="E73" s="679"/>
      <c r="F73" s="529">
        <f>VLOOKUP(D73,'Feb 2013 Revenue'!D:T,17,FALSE)</f>
        <v>0</v>
      </c>
      <c r="G73" s="680"/>
      <c r="H73" s="680"/>
      <c r="I73" s="755"/>
      <c r="J73" s="682">
        <f t="shared" si="15"/>
        <v>0</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8"/>
        <v>0</v>
      </c>
      <c r="AD73" s="692">
        <f t="shared" si="9"/>
        <v>0</v>
      </c>
      <c r="AE73" s="38"/>
      <c r="AF73" s="692">
        <f t="shared" si="10"/>
        <v>0</v>
      </c>
      <c r="AG73" s="692">
        <f t="shared" si="11"/>
        <v>0</v>
      </c>
      <c r="AH73" s="692">
        <f t="shared" si="12"/>
        <v>0</v>
      </c>
      <c r="AJ73" s="38">
        <f t="shared" si="13"/>
        <v>0</v>
      </c>
    </row>
    <row r="74" spans="1:36">
      <c r="A74" s="20"/>
      <c r="B74" s="20" t="s">
        <v>109</v>
      </c>
      <c r="C74" s="667"/>
      <c r="D74" s="68" t="s">
        <v>16</v>
      </c>
      <c r="E74" s="679"/>
      <c r="F74" s="529">
        <f>VLOOKUP(D74,'Feb 2013 Revenue'!D:T,17,FALSE)</f>
        <v>0</v>
      </c>
      <c r="G74" s="680"/>
      <c r="H74" s="680"/>
      <c r="I74" s="755"/>
      <c r="J74" s="682">
        <f t="shared" si="15"/>
        <v>0</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0</v>
      </c>
      <c r="AD74" s="692">
        <f t="shared" si="9"/>
        <v>0</v>
      </c>
      <c r="AE74" s="38"/>
      <c r="AF74" s="692">
        <f t="shared" si="10"/>
        <v>0</v>
      </c>
      <c r="AG74" s="692">
        <f t="shared" si="11"/>
        <v>0</v>
      </c>
      <c r="AH74" s="692">
        <f t="shared" si="12"/>
        <v>0</v>
      </c>
      <c r="AJ74" s="38">
        <f t="shared" si="13"/>
        <v>0</v>
      </c>
    </row>
    <row r="75" spans="1:36">
      <c r="A75" s="20"/>
      <c r="B75" s="20" t="s">
        <v>110</v>
      </c>
      <c r="C75" s="667"/>
      <c r="D75" s="68" t="s">
        <v>597</v>
      </c>
      <c r="E75" s="679"/>
      <c r="F75" s="529">
        <f>VLOOKUP(D75,'Feb 2013 Revenue'!D:T,17,FALSE)</f>
        <v>-5040.6900000000023</v>
      </c>
      <c r="G75" s="680"/>
      <c r="H75" s="680"/>
      <c r="I75" s="755"/>
      <c r="J75" s="682">
        <f t="shared" si="15"/>
        <v>-5040.6900000000023</v>
      </c>
      <c r="K75" s="683"/>
      <c r="L75" s="684"/>
      <c r="M75" s="753">
        <v>120000</v>
      </c>
      <c r="N75" s="683">
        <v>0</v>
      </c>
      <c r="O75" s="686"/>
      <c r="P75" s="683">
        <v>0</v>
      </c>
      <c r="Q75" s="687">
        <f t="shared" si="1"/>
        <v>120000</v>
      </c>
      <c r="R75" s="688">
        <f>107676.95+19870.8+13818.66</f>
        <v>141366.41</v>
      </c>
      <c r="S75" s="693"/>
      <c r="T75" s="690">
        <f t="shared" si="2"/>
        <v>21366.410000000003</v>
      </c>
      <c r="U75" s="683"/>
      <c r="V75" s="474">
        <f t="shared" si="3"/>
        <v>120000</v>
      </c>
      <c r="W75" s="474">
        <f t="shared" si="4"/>
        <v>0</v>
      </c>
      <c r="X75" s="475">
        <f t="shared" si="5"/>
        <v>0</v>
      </c>
      <c r="Y75" s="475">
        <v>0</v>
      </c>
      <c r="Z75" s="476">
        <v>0</v>
      </c>
      <c r="AA75" s="38">
        <f t="shared" si="6"/>
        <v>0</v>
      </c>
      <c r="AB75" s="692">
        <f t="shared" si="7"/>
        <v>-5040.6900000000023</v>
      </c>
      <c r="AC75" s="692">
        <f t="shared" si="8"/>
        <v>0</v>
      </c>
      <c r="AD75" s="692">
        <f t="shared" si="9"/>
        <v>0</v>
      </c>
      <c r="AE75" s="38"/>
      <c r="AF75" s="692">
        <f t="shared" si="10"/>
        <v>120000</v>
      </c>
      <c r="AG75" s="692">
        <f t="shared" si="11"/>
        <v>0</v>
      </c>
      <c r="AH75" s="692">
        <f t="shared" si="12"/>
        <v>0</v>
      </c>
      <c r="AJ75" s="38">
        <f t="shared" si="13"/>
        <v>114959.31</v>
      </c>
    </row>
    <row r="76" spans="1:36" s="232" customFormat="1">
      <c r="A76" s="283"/>
      <c r="B76" s="283" t="s">
        <v>109</v>
      </c>
      <c r="C76" s="667" t="s">
        <v>540</v>
      </c>
      <c r="D76" s="373" t="s">
        <v>410</v>
      </c>
      <c r="E76" s="679"/>
      <c r="F76" s="529">
        <f>VLOOKUP(D76,'Feb 2013 Revenue'!D:T,17,FALSE)</f>
        <v>-20000</v>
      </c>
      <c r="G76" s="680"/>
      <c r="H76" s="680"/>
      <c r="I76" s="755"/>
      <c r="J76" s="682">
        <f t="shared" si="15"/>
        <v>-20000</v>
      </c>
      <c r="K76" s="683"/>
      <c r="L76" s="684"/>
      <c r="M76" s="753">
        <v>40000</v>
      </c>
      <c r="N76" s="683">
        <v>0</v>
      </c>
      <c r="O76" s="686"/>
      <c r="P76" s="683">
        <v>0</v>
      </c>
      <c r="Q76" s="687">
        <f t="shared" si="1"/>
        <v>40000</v>
      </c>
      <c r="R76" s="688">
        <v>20033.400000000001</v>
      </c>
      <c r="S76" s="693"/>
      <c r="T76" s="690">
        <f t="shared" si="2"/>
        <v>-19966.599999999999</v>
      </c>
      <c r="U76" s="683"/>
      <c r="V76" s="474">
        <f t="shared" si="3"/>
        <v>0</v>
      </c>
      <c r="W76" s="474">
        <f t="shared" si="4"/>
        <v>40000</v>
      </c>
      <c r="X76" s="475">
        <f t="shared" si="5"/>
        <v>0</v>
      </c>
      <c r="Y76" s="475">
        <v>0</v>
      </c>
      <c r="Z76" s="476">
        <v>0</v>
      </c>
      <c r="AA76" s="38">
        <f t="shared" si="6"/>
        <v>0</v>
      </c>
      <c r="AB76" s="692">
        <f t="shared" si="7"/>
        <v>0</v>
      </c>
      <c r="AC76" s="692">
        <f t="shared" si="8"/>
        <v>-20000</v>
      </c>
      <c r="AD76" s="692">
        <f t="shared" si="9"/>
        <v>0</v>
      </c>
      <c r="AE76" s="38"/>
      <c r="AF76" s="692">
        <f t="shared" si="10"/>
        <v>0</v>
      </c>
      <c r="AG76" s="692">
        <f t="shared" si="11"/>
        <v>40000</v>
      </c>
      <c r="AH76" s="692">
        <f t="shared" si="12"/>
        <v>0</v>
      </c>
      <c r="AJ76" s="38">
        <f t="shared" si="13"/>
        <v>20000</v>
      </c>
    </row>
    <row r="77" spans="1:36" s="232" customFormat="1">
      <c r="A77" s="283"/>
      <c r="B77" s="283" t="s">
        <v>109</v>
      </c>
      <c r="C77" s="667" t="s">
        <v>540</v>
      </c>
      <c r="D77" s="373" t="s">
        <v>879</v>
      </c>
      <c r="E77" s="679"/>
      <c r="F77" s="529">
        <f>VLOOKUP(D77,'Feb 2013 Revenue'!D:T,17,FALSE)</f>
        <v>0</v>
      </c>
      <c r="G77" s="680"/>
      <c r="H77" s="680"/>
      <c r="I77" s="755"/>
      <c r="J77" s="682">
        <f t="shared" si="15"/>
        <v>0</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si="7"/>
        <v>0</v>
      </c>
      <c r="AC77" s="692">
        <f t="shared" si="8"/>
        <v>0</v>
      </c>
      <c r="AD77" s="692">
        <f t="shared" si="9"/>
        <v>0</v>
      </c>
      <c r="AE77" s="38"/>
      <c r="AF77" s="692">
        <f t="shared" si="10"/>
        <v>0</v>
      </c>
      <c r="AG77" s="692">
        <f t="shared" si="11"/>
        <v>0</v>
      </c>
      <c r="AH77" s="692">
        <f t="shared" si="12"/>
        <v>0</v>
      </c>
      <c r="AJ77" s="38">
        <f t="shared" si="13"/>
        <v>0</v>
      </c>
    </row>
    <row r="78" spans="1:36" s="232" customFormat="1">
      <c r="A78" s="283"/>
      <c r="B78" s="283" t="s">
        <v>109</v>
      </c>
      <c r="C78" s="667" t="s">
        <v>540</v>
      </c>
      <c r="D78" s="373" t="s">
        <v>620</v>
      </c>
      <c r="E78" s="679"/>
      <c r="F78" s="529">
        <f>VLOOKUP(D78,'Feb 2013 Revenue'!D:T,17,FALSE)</f>
        <v>0</v>
      </c>
      <c r="G78" s="680"/>
      <c r="H78" s="680"/>
      <c r="I78" s="755"/>
      <c r="J78" s="682">
        <f t="shared" si="15"/>
        <v>0</v>
      </c>
      <c r="K78" s="683"/>
      <c r="L78" s="684"/>
      <c r="M78" s="753"/>
      <c r="N78" s="683">
        <v>0</v>
      </c>
      <c r="O78" s="686"/>
      <c r="P78" s="683">
        <v>0</v>
      </c>
      <c r="Q78" s="687">
        <f t="shared" si="1"/>
        <v>0</v>
      </c>
      <c r="R78" s="688">
        <v>0</v>
      </c>
      <c r="S78" s="693"/>
      <c r="T78" s="690">
        <f t="shared" si="2"/>
        <v>0</v>
      </c>
      <c r="U78" s="683"/>
      <c r="V78" s="474">
        <f t="shared" si="3"/>
        <v>0</v>
      </c>
      <c r="W78" s="474">
        <f t="shared" si="4"/>
        <v>0</v>
      </c>
      <c r="X78" s="475">
        <f t="shared" si="5"/>
        <v>0</v>
      </c>
      <c r="Y78" s="475">
        <v>0</v>
      </c>
      <c r="Z78" s="476">
        <v>0</v>
      </c>
      <c r="AA78" s="38">
        <f t="shared" si="6"/>
        <v>0</v>
      </c>
      <c r="AB78" s="692">
        <f t="shared" si="7"/>
        <v>0</v>
      </c>
      <c r="AC78" s="692">
        <f t="shared" si="8"/>
        <v>0</v>
      </c>
      <c r="AD78" s="692">
        <f t="shared" si="9"/>
        <v>0</v>
      </c>
      <c r="AE78" s="38"/>
      <c r="AF78" s="692">
        <f t="shared" si="10"/>
        <v>0</v>
      </c>
      <c r="AG78" s="692">
        <f t="shared" si="11"/>
        <v>0</v>
      </c>
      <c r="AH78" s="692">
        <f t="shared" si="12"/>
        <v>0</v>
      </c>
      <c r="AJ78" s="38">
        <f t="shared" ref="AJ78:AJ143" si="16">SUM(AB78:AH78)</f>
        <v>0</v>
      </c>
    </row>
    <row r="79" spans="1:36">
      <c r="A79" s="20"/>
      <c r="B79" s="20" t="s">
        <v>110</v>
      </c>
      <c r="C79" s="667" t="s">
        <v>541</v>
      </c>
      <c r="D79" s="351" t="s">
        <v>507</v>
      </c>
      <c r="E79" s="679"/>
      <c r="F79" s="529">
        <f>VLOOKUP(D79,'Feb 2013 Revenue'!D:T,17,FALSE)</f>
        <v>0</v>
      </c>
      <c r="G79" s="680"/>
      <c r="H79" s="680"/>
      <c r="I79" s="755"/>
      <c r="J79" s="682">
        <f t="shared" si="15"/>
        <v>0</v>
      </c>
      <c r="K79" s="683"/>
      <c r="L79" s="684"/>
      <c r="M79" s="753"/>
      <c r="N79" s="683">
        <v>0</v>
      </c>
      <c r="O79" s="686"/>
      <c r="P79" s="683">
        <v>0</v>
      </c>
      <c r="Q79" s="687">
        <f t="shared" si="1"/>
        <v>0</v>
      </c>
      <c r="R79" s="688">
        <v>0</v>
      </c>
      <c r="S79" s="693"/>
      <c r="T79" s="690">
        <f t="shared" si="2"/>
        <v>0</v>
      </c>
      <c r="U79" s="683"/>
      <c r="V79" s="474">
        <f t="shared" si="3"/>
        <v>0</v>
      </c>
      <c r="W79" s="474">
        <f t="shared" si="4"/>
        <v>0</v>
      </c>
      <c r="X79" s="475">
        <f t="shared" si="5"/>
        <v>0</v>
      </c>
      <c r="Y79" s="475">
        <v>0</v>
      </c>
      <c r="Z79" s="476">
        <v>0</v>
      </c>
      <c r="AA79" s="38">
        <f t="shared" si="6"/>
        <v>0</v>
      </c>
      <c r="AB79" s="692">
        <f t="shared" si="7"/>
        <v>0</v>
      </c>
      <c r="AC79" s="692">
        <f t="shared" si="8"/>
        <v>0</v>
      </c>
      <c r="AD79" s="692">
        <f t="shared" si="9"/>
        <v>0</v>
      </c>
      <c r="AE79" s="38"/>
      <c r="AF79" s="692">
        <f t="shared" si="10"/>
        <v>0</v>
      </c>
      <c r="AG79" s="692">
        <f t="shared" si="11"/>
        <v>0</v>
      </c>
      <c r="AH79" s="692">
        <f t="shared" si="12"/>
        <v>0</v>
      </c>
      <c r="AJ79" s="38">
        <f t="shared" si="16"/>
        <v>0</v>
      </c>
    </row>
    <row r="80" spans="1:36">
      <c r="A80" s="20"/>
      <c r="B80" s="20" t="s">
        <v>110</v>
      </c>
      <c r="C80" s="667" t="s">
        <v>541</v>
      </c>
      <c r="D80" s="351" t="s">
        <v>506</v>
      </c>
      <c r="E80" s="679"/>
      <c r="F80" s="529">
        <f>VLOOKUP(D80,'Feb 2013 Revenue'!D:T,17,FALSE)</f>
        <v>0</v>
      </c>
      <c r="G80" s="680"/>
      <c r="H80" s="680"/>
      <c r="I80" s="755"/>
      <c r="J80" s="682">
        <f t="shared" si="15"/>
        <v>0</v>
      </c>
      <c r="K80" s="683"/>
      <c r="L80" s="684"/>
      <c r="M80" s="753"/>
      <c r="N80" s="683">
        <v>0</v>
      </c>
      <c r="O80" s="686"/>
      <c r="P80" s="683">
        <v>0</v>
      </c>
      <c r="Q80" s="687">
        <f t="shared" si="1"/>
        <v>0</v>
      </c>
      <c r="R80" s="688">
        <v>0</v>
      </c>
      <c r="S80" s="693"/>
      <c r="T80" s="690">
        <f t="shared" ref="T80:T143" si="17">IF(R80="","",R80-Q80)</f>
        <v>0</v>
      </c>
      <c r="U80" s="683"/>
      <c r="V80" s="474">
        <f t="shared" si="3"/>
        <v>0</v>
      </c>
      <c r="W80" s="474">
        <f t="shared" si="4"/>
        <v>0</v>
      </c>
      <c r="X80" s="475">
        <f t="shared" si="5"/>
        <v>0</v>
      </c>
      <c r="Y80" s="475">
        <v>0</v>
      </c>
      <c r="Z80" s="476">
        <v>0</v>
      </c>
      <c r="AA80" s="38">
        <f t="shared" si="6"/>
        <v>0</v>
      </c>
      <c r="AB80" s="692">
        <f t="shared" ref="AB80:AB143" si="18">IF(B80="D",J80,0)</f>
        <v>0</v>
      </c>
      <c r="AC80" s="692">
        <f t="shared" ref="AC80:AC143" si="19">IF(B80="M",J80,0)</f>
        <v>0</v>
      </c>
      <c r="AD80" s="692">
        <f t="shared" ref="AD80:AD143" si="20">IF(B80="V",J80,0)</f>
        <v>0</v>
      </c>
      <c r="AE80" s="38"/>
      <c r="AF80" s="692">
        <f t="shared" si="10"/>
        <v>0</v>
      </c>
      <c r="AG80" s="692">
        <f t="shared" si="11"/>
        <v>0</v>
      </c>
      <c r="AH80" s="692">
        <f t="shared" si="12"/>
        <v>0</v>
      </c>
      <c r="AJ80" s="38">
        <f t="shared" si="16"/>
        <v>0</v>
      </c>
    </row>
    <row r="81" spans="1:36">
      <c r="A81" s="20"/>
      <c r="B81" s="20" t="s">
        <v>110</v>
      </c>
      <c r="C81" s="667" t="s">
        <v>542</v>
      </c>
      <c r="D81" s="68" t="s">
        <v>305</v>
      </c>
      <c r="E81" s="679"/>
      <c r="F81" s="529">
        <f>VLOOKUP(D81,'Feb 2013 Revenue'!D:T,17,FALSE)</f>
        <v>0</v>
      </c>
      <c r="G81" s="680"/>
      <c r="H81" s="680"/>
      <c r="I81" s="755"/>
      <c r="J81" s="682">
        <f t="shared" si="15"/>
        <v>0</v>
      </c>
      <c r="K81" s="683"/>
      <c r="L81" s="684"/>
      <c r="M81" s="753"/>
      <c r="N81" s="683">
        <v>0</v>
      </c>
      <c r="O81" s="686"/>
      <c r="P81" s="683">
        <v>0</v>
      </c>
      <c r="Q81" s="687">
        <f t="shared" si="1"/>
        <v>0</v>
      </c>
      <c r="R81" s="688">
        <v>0</v>
      </c>
      <c r="S81" s="693"/>
      <c r="T81" s="690">
        <f t="shared" si="17"/>
        <v>0</v>
      </c>
      <c r="U81" s="683"/>
      <c r="V81" s="474">
        <f t="shared" ref="V81:V145" si="21">IF(B81="D",Q81,0)</f>
        <v>0</v>
      </c>
      <c r="W81" s="474">
        <f t="shared" ref="W81:W145" si="22">IF(B81="M",Q81,0)</f>
        <v>0</v>
      </c>
      <c r="X81" s="475">
        <f t="shared" ref="X81:X145" si="23">IF(B81="V",Q81,0)</f>
        <v>0</v>
      </c>
      <c r="Y81" s="475">
        <v>0</v>
      </c>
      <c r="Z81" s="476">
        <v>0</v>
      </c>
      <c r="AA81" s="38">
        <f t="shared" ref="AA81:AA145" si="24">(L81+M81)-(V81+W81+X81+Y81+Z81)</f>
        <v>0</v>
      </c>
      <c r="AB81" s="692">
        <f t="shared" si="18"/>
        <v>0</v>
      </c>
      <c r="AC81" s="692">
        <f t="shared" si="19"/>
        <v>0</v>
      </c>
      <c r="AD81" s="692">
        <f t="shared" si="20"/>
        <v>0</v>
      </c>
      <c r="AE81" s="38"/>
      <c r="AF81" s="692">
        <f t="shared" ref="AF81:AF144" si="25">IF(B81="D",Q81,0)</f>
        <v>0</v>
      </c>
      <c r="AG81" s="692">
        <f t="shared" ref="AG81:AG144" si="26">IF(B81="M",Q81,0)</f>
        <v>0</v>
      </c>
      <c r="AH81" s="692">
        <f t="shared" ref="AH81:AH144" si="27">IF(B81="V",Q81,0)</f>
        <v>0</v>
      </c>
      <c r="AJ81" s="38">
        <f t="shared" si="16"/>
        <v>0</v>
      </c>
    </row>
    <row r="82" spans="1:36">
      <c r="A82" s="20"/>
      <c r="B82" s="20" t="s">
        <v>110</v>
      </c>
      <c r="C82" s="667" t="s">
        <v>543</v>
      </c>
      <c r="D82" s="68" t="s">
        <v>199</v>
      </c>
      <c r="E82" s="679"/>
      <c r="F82" s="529">
        <f>VLOOKUP(D82,'Feb 2013 Revenue'!D:T,17,FALSE)</f>
        <v>0</v>
      </c>
      <c r="G82" s="680"/>
      <c r="H82" s="680"/>
      <c r="I82" s="755"/>
      <c r="J82" s="682">
        <f t="shared" si="15"/>
        <v>0</v>
      </c>
      <c r="K82" s="683"/>
      <c r="L82" s="684"/>
      <c r="M82" s="753"/>
      <c r="N82" s="683">
        <v>0</v>
      </c>
      <c r="O82" s="686"/>
      <c r="P82" s="683">
        <v>0</v>
      </c>
      <c r="Q82" s="687">
        <f t="shared" si="1"/>
        <v>0</v>
      </c>
      <c r="R82" s="688">
        <v>0</v>
      </c>
      <c r="S82" s="693"/>
      <c r="T82" s="690">
        <f t="shared" si="17"/>
        <v>0</v>
      </c>
      <c r="U82" s="683"/>
      <c r="V82" s="474">
        <f t="shared" si="21"/>
        <v>0</v>
      </c>
      <c r="W82" s="474">
        <f t="shared" si="22"/>
        <v>0</v>
      </c>
      <c r="X82" s="475">
        <f t="shared" si="23"/>
        <v>0</v>
      </c>
      <c r="Y82" s="475">
        <v>0</v>
      </c>
      <c r="Z82" s="476">
        <v>0</v>
      </c>
      <c r="AA82" s="38">
        <f t="shared" si="24"/>
        <v>0</v>
      </c>
      <c r="AB82" s="692">
        <f t="shared" si="18"/>
        <v>0</v>
      </c>
      <c r="AC82" s="692">
        <f t="shared" si="19"/>
        <v>0</v>
      </c>
      <c r="AD82" s="692">
        <f t="shared" si="20"/>
        <v>0</v>
      </c>
      <c r="AE82" s="38"/>
      <c r="AF82" s="692">
        <f t="shared" si="25"/>
        <v>0</v>
      </c>
      <c r="AG82" s="692">
        <f t="shared" si="26"/>
        <v>0</v>
      </c>
      <c r="AH82" s="692">
        <f t="shared" si="27"/>
        <v>0</v>
      </c>
      <c r="AJ82" s="38">
        <f t="shared" si="16"/>
        <v>0</v>
      </c>
    </row>
    <row r="83" spans="1:36">
      <c r="A83" s="20"/>
      <c r="B83" s="20" t="s">
        <v>110</v>
      </c>
      <c r="C83" s="667" t="s">
        <v>543</v>
      </c>
      <c r="D83" s="68" t="s">
        <v>200</v>
      </c>
      <c r="E83" s="679"/>
      <c r="F83" s="529">
        <f>VLOOKUP(D83,'Feb 2013 Revenue'!D:T,17,FALSE)</f>
        <v>0</v>
      </c>
      <c r="G83" s="680"/>
      <c r="H83" s="680"/>
      <c r="I83" s="755"/>
      <c r="J83" s="682">
        <f t="shared" si="15"/>
        <v>0</v>
      </c>
      <c r="K83" s="683"/>
      <c r="L83" s="684"/>
      <c r="M83" s="753"/>
      <c r="N83" s="683">
        <v>0</v>
      </c>
      <c r="O83" s="686"/>
      <c r="P83" s="683">
        <v>0</v>
      </c>
      <c r="Q83" s="687">
        <f t="shared" si="1"/>
        <v>0</v>
      </c>
      <c r="R83" s="688">
        <v>0</v>
      </c>
      <c r="S83" s="693"/>
      <c r="T83" s="690">
        <f t="shared" si="17"/>
        <v>0</v>
      </c>
      <c r="U83" s="683"/>
      <c r="V83" s="474">
        <f t="shared" si="21"/>
        <v>0</v>
      </c>
      <c r="W83" s="474">
        <f t="shared" si="22"/>
        <v>0</v>
      </c>
      <c r="X83" s="475">
        <f t="shared" si="23"/>
        <v>0</v>
      </c>
      <c r="Y83" s="475">
        <v>0</v>
      </c>
      <c r="Z83" s="476">
        <v>0</v>
      </c>
      <c r="AA83" s="38">
        <f t="shared" si="24"/>
        <v>0</v>
      </c>
      <c r="AB83" s="692">
        <f t="shared" si="18"/>
        <v>0</v>
      </c>
      <c r="AC83" s="692">
        <f t="shared" si="19"/>
        <v>0</v>
      </c>
      <c r="AD83" s="692">
        <f t="shared" si="20"/>
        <v>0</v>
      </c>
      <c r="AE83" s="38"/>
      <c r="AF83" s="692">
        <f t="shared" si="25"/>
        <v>0</v>
      </c>
      <c r="AG83" s="692">
        <f t="shared" si="26"/>
        <v>0</v>
      </c>
      <c r="AH83" s="692">
        <f t="shared" si="27"/>
        <v>0</v>
      </c>
      <c r="AJ83" s="38">
        <f t="shared" si="16"/>
        <v>0</v>
      </c>
    </row>
    <row r="84" spans="1:36">
      <c r="A84" s="20"/>
      <c r="B84" s="20" t="s">
        <v>110</v>
      </c>
      <c r="C84" s="667" t="s">
        <v>543</v>
      </c>
      <c r="D84" s="68" t="s">
        <v>201</v>
      </c>
      <c r="E84" s="679"/>
      <c r="F84" s="529">
        <f>VLOOKUP(D84,'Feb 2013 Revenue'!D:T,17,FALSE)</f>
        <v>0</v>
      </c>
      <c r="G84" s="680"/>
      <c r="H84" s="680"/>
      <c r="I84" s="755"/>
      <c r="J84" s="682">
        <f t="shared" si="15"/>
        <v>0</v>
      </c>
      <c r="K84" s="683"/>
      <c r="L84" s="684"/>
      <c r="M84" s="753"/>
      <c r="N84" s="683">
        <v>0</v>
      </c>
      <c r="O84" s="686"/>
      <c r="P84" s="683">
        <v>0</v>
      </c>
      <c r="Q84" s="687">
        <f t="shared" si="1"/>
        <v>0</v>
      </c>
      <c r="R84" s="688">
        <v>0</v>
      </c>
      <c r="S84" s="693"/>
      <c r="T84" s="690">
        <f t="shared" si="17"/>
        <v>0</v>
      </c>
      <c r="U84" s="683"/>
      <c r="V84" s="474">
        <f t="shared" si="21"/>
        <v>0</v>
      </c>
      <c r="W84" s="474">
        <f t="shared" si="22"/>
        <v>0</v>
      </c>
      <c r="X84" s="475">
        <f t="shared" si="23"/>
        <v>0</v>
      </c>
      <c r="Y84" s="475">
        <v>0</v>
      </c>
      <c r="Z84" s="476">
        <v>0</v>
      </c>
      <c r="AA84" s="38">
        <f t="shared" si="24"/>
        <v>0</v>
      </c>
      <c r="AB84" s="692">
        <f t="shared" si="18"/>
        <v>0</v>
      </c>
      <c r="AC84" s="692">
        <f t="shared" si="19"/>
        <v>0</v>
      </c>
      <c r="AD84" s="692">
        <f t="shared" si="20"/>
        <v>0</v>
      </c>
      <c r="AE84" s="38"/>
      <c r="AF84" s="692">
        <f t="shared" si="25"/>
        <v>0</v>
      </c>
      <c r="AG84" s="692">
        <f t="shared" si="26"/>
        <v>0</v>
      </c>
      <c r="AH84" s="692">
        <f t="shared" si="27"/>
        <v>0</v>
      </c>
      <c r="AJ84" s="38">
        <f t="shared" si="16"/>
        <v>0</v>
      </c>
    </row>
    <row r="85" spans="1:36">
      <c r="A85" s="20" t="s">
        <v>97</v>
      </c>
      <c r="B85" s="20" t="s">
        <v>114</v>
      </c>
      <c r="C85" s="667"/>
      <c r="D85" s="68" t="s">
        <v>387</v>
      </c>
      <c r="E85" s="679"/>
      <c r="F85" s="529">
        <f>VLOOKUP(D85,'Feb 2013 Revenue'!D:T,17,FALSE)</f>
        <v>3846.8199999999997</v>
      </c>
      <c r="G85" s="680"/>
      <c r="H85" s="680"/>
      <c r="I85" s="755"/>
      <c r="J85" s="682">
        <f t="shared" si="15"/>
        <v>3846.8199999999997</v>
      </c>
      <c r="K85" s="683"/>
      <c r="L85" s="684"/>
      <c r="M85" s="753">
        <v>18000</v>
      </c>
      <c r="N85" s="683">
        <v>0</v>
      </c>
      <c r="O85" s="686"/>
      <c r="P85" s="683">
        <v>0</v>
      </c>
      <c r="Q85" s="687">
        <f t="shared" si="1"/>
        <v>18000</v>
      </c>
      <c r="R85" s="688">
        <v>22764.22</v>
      </c>
      <c r="S85" s="693"/>
      <c r="T85" s="690">
        <f t="shared" si="17"/>
        <v>4764.2200000000012</v>
      </c>
      <c r="U85" s="683"/>
      <c r="V85" s="474">
        <f t="shared" si="21"/>
        <v>0</v>
      </c>
      <c r="W85" s="474">
        <f t="shared" si="22"/>
        <v>0</v>
      </c>
      <c r="X85" s="475">
        <f t="shared" si="23"/>
        <v>18000</v>
      </c>
      <c r="Y85" s="475">
        <v>0</v>
      </c>
      <c r="Z85" s="476">
        <v>0</v>
      </c>
      <c r="AA85" s="38">
        <f t="shared" si="24"/>
        <v>0</v>
      </c>
      <c r="AB85" s="692">
        <f t="shared" si="18"/>
        <v>0</v>
      </c>
      <c r="AC85" s="692">
        <f t="shared" si="19"/>
        <v>0</v>
      </c>
      <c r="AD85" s="692">
        <f t="shared" si="20"/>
        <v>3846.8199999999997</v>
      </c>
      <c r="AE85" s="38"/>
      <c r="AF85" s="692">
        <f t="shared" si="25"/>
        <v>0</v>
      </c>
      <c r="AG85" s="692">
        <f t="shared" si="26"/>
        <v>0</v>
      </c>
      <c r="AH85" s="692">
        <f t="shared" si="27"/>
        <v>18000</v>
      </c>
      <c r="AJ85" s="38">
        <f t="shared" si="16"/>
        <v>21846.82</v>
      </c>
    </row>
    <row r="86" spans="1:36">
      <c r="A86" s="20" t="s">
        <v>97</v>
      </c>
      <c r="B86" s="20" t="s">
        <v>114</v>
      </c>
      <c r="C86" s="667"/>
      <c r="D86" s="68" t="s">
        <v>482</v>
      </c>
      <c r="E86" s="679"/>
      <c r="F86" s="529">
        <f>VLOOKUP(D86,'Feb 2013 Revenue'!D:T,17,FALSE)</f>
        <v>0</v>
      </c>
      <c r="G86" s="680"/>
      <c r="H86" s="680"/>
      <c r="I86" s="755"/>
      <c r="J86" s="682">
        <f t="shared" si="15"/>
        <v>0</v>
      </c>
      <c r="K86" s="683"/>
      <c r="L86" s="684"/>
      <c r="M86" s="753"/>
      <c r="N86" s="683"/>
      <c r="O86" s="686"/>
      <c r="P86" s="683"/>
      <c r="Q86" s="687">
        <f t="shared" si="1"/>
        <v>0</v>
      </c>
      <c r="R86" s="688">
        <v>0</v>
      </c>
      <c r="S86" s="693"/>
      <c r="T86" s="690">
        <f t="shared" si="17"/>
        <v>0</v>
      </c>
      <c r="U86" s="683"/>
      <c r="V86" s="474">
        <f t="shared" si="21"/>
        <v>0</v>
      </c>
      <c r="W86" s="474">
        <f t="shared" si="22"/>
        <v>0</v>
      </c>
      <c r="X86" s="475">
        <f t="shared" si="23"/>
        <v>0</v>
      </c>
      <c r="Y86" s="475">
        <v>0</v>
      </c>
      <c r="Z86" s="476">
        <v>0</v>
      </c>
      <c r="AA86" s="38">
        <f t="shared" si="24"/>
        <v>0</v>
      </c>
      <c r="AB86" s="692">
        <f t="shared" si="18"/>
        <v>0</v>
      </c>
      <c r="AC86" s="692">
        <f t="shared" si="19"/>
        <v>0</v>
      </c>
      <c r="AD86" s="692">
        <f t="shared" si="20"/>
        <v>0</v>
      </c>
      <c r="AE86" s="38"/>
      <c r="AF86" s="692">
        <f t="shared" si="25"/>
        <v>0</v>
      </c>
      <c r="AG86" s="692">
        <f t="shared" si="26"/>
        <v>0</v>
      </c>
      <c r="AH86" s="692">
        <f t="shared" si="27"/>
        <v>0</v>
      </c>
      <c r="AJ86" s="38">
        <f t="shared" si="16"/>
        <v>0</v>
      </c>
    </row>
    <row r="87" spans="1:36">
      <c r="A87" s="20" t="s">
        <v>109</v>
      </c>
      <c r="B87" s="20" t="s">
        <v>109</v>
      </c>
      <c r="C87" s="667" t="s">
        <v>544</v>
      </c>
      <c r="D87" s="68" t="s">
        <v>383</v>
      </c>
      <c r="E87" s="679"/>
      <c r="F87" s="529">
        <f>VLOOKUP(D87,'Feb 2013 Revenue'!D:T,17,FALSE)</f>
        <v>0</v>
      </c>
      <c r="G87" s="680"/>
      <c r="H87" s="680"/>
      <c r="I87" s="755"/>
      <c r="J87" s="682">
        <f t="shared" si="15"/>
        <v>0</v>
      </c>
      <c r="K87" s="683"/>
      <c r="L87" s="684"/>
      <c r="M87" s="753"/>
      <c r="N87" s="683">
        <v>0</v>
      </c>
      <c r="O87" s="686"/>
      <c r="P87" s="683">
        <v>0</v>
      </c>
      <c r="Q87" s="687">
        <f t="shared" si="1"/>
        <v>0</v>
      </c>
      <c r="R87" s="688">
        <v>127.07</v>
      </c>
      <c r="S87" s="693"/>
      <c r="T87" s="690">
        <f t="shared" si="17"/>
        <v>127.07</v>
      </c>
      <c r="U87" s="683"/>
      <c r="V87" s="474">
        <f t="shared" si="21"/>
        <v>0</v>
      </c>
      <c r="W87" s="474">
        <f t="shared" si="22"/>
        <v>0</v>
      </c>
      <c r="X87" s="475">
        <f t="shared" si="23"/>
        <v>0</v>
      </c>
      <c r="Y87" s="475">
        <v>0</v>
      </c>
      <c r="Z87" s="476">
        <v>0</v>
      </c>
      <c r="AA87" s="38">
        <f t="shared" si="24"/>
        <v>0</v>
      </c>
      <c r="AB87" s="692">
        <f t="shared" si="18"/>
        <v>0</v>
      </c>
      <c r="AC87" s="692">
        <f t="shared" si="19"/>
        <v>0</v>
      </c>
      <c r="AD87" s="692">
        <f t="shared" si="20"/>
        <v>0</v>
      </c>
      <c r="AE87" s="38"/>
      <c r="AF87" s="692">
        <f t="shared" si="25"/>
        <v>0</v>
      </c>
      <c r="AG87" s="692">
        <f t="shared" si="26"/>
        <v>0</v>
      </c>
      <c r="AH87" s="692">
        <f t="shared" si="27"/>
        <v>0</v>
      </c>
      <c r="AJ87" s="38">
        <f t="shared" si="16"/>
        <v>0</v>
      </c>
    </row>
    <row r="88" spans="1:36">
      <c r="A88" s="21" t="s">
        <v>211</v>
      </c>
      <c r="B88" s="21" t="s">
        <v>109</v>
      </c>
      <c r="C88" s="666" t="s">
        <v>545</v>
      </c>
      <c r="D88" s="68" t="s">
        <v>181</v>
      </c>
      <c r="E88" s="679"/>
      <c r="F88" s="529">
        <f>VLOOKUP(D88,'Feb 2013 Revenue'!D:T,17,FALSE)</f>
        <v>-24000</v>
      </c>
      <c r="G88" s="680"/>
      <c r="H88" s="680"/>
      <c r="I88" s="755"/>
      <c r="J88" s="682">
        <f t="shared" si="15"/>
        <v>-24000</v>
      </c>
      <c r="K88" s="683"/>
      <c r="L88" s="684"/>
      <c r="M88" s="753">
        <v>25000</v>
      </c>
      <c r="N88" s="683">
        <v>0</v>
      </c>
      <c r="O88" s="686"/>
      <c r="P88" s="683">
        <v>0</v>
      </c>
      <c r="Q88" s="687">
        <f t="shared" si="1"/>
        <v>25000</v>
      </c>
      <c r="R88" s="688">
        <v>16069.52</v>
      </c>
      <c r="S88" s="693"/>
      <c r="T88" s="690">
        <f t="shared" si="17"/>
        <v>-8930.48</v>
      </c>
      <c r="U88" s="683"/>
      <c r="V88" s="474">
        <f t="shared" si="21"/>
        <v>0</v>
      </c>
      <c r="W88" s="474">
        <f t="shared" si="22"/>
        <v>25000</v>
      </c>
      <c r="X88" s="475">
        <f t="shared" si="23"/>
        <v>0</v>
      </c>
      <c r="Y88" s="475">
        <v>0</v>
      </c>
      <c r="Z88" s="476">
        <v>0</v>
      </c>
      <c r="AA88" s="38">
        <f t="shared" si="24"/>
        <v>0</v>
      </c>
      <c r="AB88" s="692">
        <f t="shared" si="18"/>
        <v>0</v>
      </c>
      <c r="AC88" s="692">
        <f t="shared" si="19"/>
        <v>-24000</v>
      </c>
      <c r="AD88" s="692">
        <f t="shared" si="20"/>
        <v>0</v>
      </c>
      <c r="AE88" s="38"/>
      <c r="AF88" s="692">
        <f t="shared" si="25"/>
        <v>0</v>
      </c>
      <c r="AG88" s="692">
        <f t="shared" si="26"/>
        <v>25000</v>
      </c>
      <c r="AH88" s="692">
        <f t="shared" si="27"/>
        <v>0</v>
      </c>
      <c r="AJ88" s="38">
        <f t="shared" si="16"/>
        <v>1000</v>
      </c>
    </row>
    <row r="89" spans="1:36">
      <c r="A89" s="21" t="s">
        <v>211</v>
      </c>
      <c r="B89" s="21" t="s">
        <v>110</v>
      </c>
      <c r="C89" s="666"/>
      <c r="D89" s="68" t="s">
        <v>504</v>
      </c>
      <c r="E89" s="679"/>
      <c r="F89" s="529">
        <f>VLOOKUP(D89,'Feb 2013 Revenue'!D:T,17,FALSE)</f>
        <v>0</v>
      </c>
      <c r="G89" s="680"/>
      <c r="H89" s="680"/>
      <c r="I89" s="755"/>
      <c r="J89" s="682">
        <f t="shared" si="15"/>
        <v>0</v>
      </c>
      <c r="K89" s="683"/>
      <c r="L89" s="684"/>
      <c r="M89" s="753"/>
      <c r="N89" s="683">
        <v>0</v>
      </c>
      <c r="O89" s="686"/>
      <c r="P89" s="683">
        <v>0</v>
      </c>
      <c r="Q89" s="687">
        <f t="shared" si="1"/>
        <v>0</v>
      </c>
      <c r="R89" s="688">
        <v>0</v>
      </c>
      <c r="S89" s="693"/>
      <c r="T89" s="690">
        <f t="shared" si="17"/>
        <v>0</v>
      </c>
      <c r="U89" s="683"/>
      <c r="V89" s="474">
        <f t="shared" si="21"/>
        <v>0</v>
      </c>
      <c r="W89" s="474">
        <f t="shared" si="22"/>
        <v>0</v>
      </c>
      <c r="X89" s="475">
        <f t="shared" si="23"/>
        <v>0</v>
      </c>
      <c r="Y89" s="475">
        <v>0</v>
      </c>
      <c r="Z89" s="476">
        <v>0</v>
      </c>
      <c r="AA89" s="38">
        <f t="shared" si="24"/>
        <v>0</v>
      </c>
      <c r="AB89" s="692">
        <f t="shared" si="18"/>
        <v>0</v>
      </c>
      <c r="AC89" s="692">
        <f t="shared" si="19"/>
        <v>0</v>
      </c>
      <c r="AD89" s="692">
        <f t="shared" si="20"/>
        <v>0</v>
      </c>
      <c r="AE89" s="38"/>
      <c r="AF89" s="692">
        <f t="shared" si="25"/>
        <v>0</v>
      </c>
      <c r="AG89" s="692">
        <f t="shared" si="26"/>
        <v>0</v>
      </c>
      <c r="AH89" s="692">
        <f t="shared" si="27"/>
        <v>0</v>
      </c>
      <c r="AJ89" s="38">
        <f t="shared" si="16"/>
        <v>0</v>
      </c>
    </row>
    <row r="90" spans="1:36">
      <c r="A90" s="20" t="s">
        <v>211</v>
      </c>
      <c r="B90" s="20" t="s">
        <v>109</v>
      </c>
      <c r="C90" s="667" t="s">
        <v>546</v>
      </c>
      <c r="D90" s="68" t="s">
        <v>142</v>
      </c>
      <c r="E90" s="679"/>
      <c r="F90" s="529">
        <f>VLOOKUP(D90,'Feb 2013 Revenue'!D:T,17,FALSE)</f>
        <v>0</v>
      </c>
      <c r="G90" s="680"/>
      <c r="H90" s="680"/>
      <c r="I90" s="755"/>
      <c r="J90" s="682">
        <f t="shared" si="15"/>
        <v>0</v>
      </c>
      <c r="K90" s="683"/>
      <c r="L90" s="684"/>
      <c r="M90" s="753"/>
      <c r="N90" s="683">
        <v>0</v>
      </c>
      <c r="O90" s="686"/>
      <c r="P90" s="683">
        <v>0</v>
      </c>
      <c r="Q90" s="687">
        <f t="shared" si="1"/>
        <v>0</v>
      </c>
      <c r="R90" s="688">
        <v>0</v>
      </c>
      <c r="S90" s="693"/>
      <c r="T90" s="690">
        <f t="shared" si="17"/>
        <v>0</v>
      </c>
      <c r="U90" s="697"/>
      <c r="V90" s="474">
        <f t="shared" si="21"/>
        <v>0</v>
      </c>
      <c r="W90" s="474">
        <f t="shared" si="22"/>
        <v>0</v>
      </c>
      <c r="X90" s="475">
        <f t="shared" si="23"/>
        <v>0</v>
      </c>
      <c r="Y90" s="475">
        <v>0</v>
      </c>
      <c r="Z90" s="476">
        <v>0</v>
      </c>
      <c r="AA90" s="38">
        <f t="shared" si="24"/>
        <v>0</v>
      </c>
      <c r="AB90" s="692">
        <f t="shared" si="18"/>
        <v>0</v>
      </c>
      <c r="AC90" s="692">
        <f t="shared" si="19"/>
        <v>0</v>
      </c>
      <c r="AD90" s="692">
        <f t="shared" si="20"/>
        <v>0</v>
      </c>
      <c r="AE90" s="38"/>
      <c r="AF90" s="692">
        <f t="shared" si="25"/>
        <v>0</v>
      </c>
      <c r="AG90" s="692">
        <f t="shared" si="26"/>
        <v>0</v>
      </c>
      <c r="AH90" s="692">
        <f t="shared" si="27"/>
        <v>0</v>
      </c>
      <c r="AJ90" s="38">
        <f t="shared" si="16"/>
        <v>0</v>
      </c>
    </row>
    <row r="91" spans="1:36">
      <c r="A91" s="20" t="s">
        <v>211</v>
      </c>
      <c r="B91" s="20" t="s">
        <v>109</v>
      </c>
      <c r="C91" s="667" t="s">
        <v>546</v>
      </c>
      <c r="D91" s="68" t="s">
        <v>143</v>
      </c>
      <c r="E91" s="679"/>
      <c r="F91" s="529">
        <f>VLOOKUP(D91,'Feb 2013 Revenue'!D:T,17,FALSE)</f>
        <v>0</v>
      </c>
      <c r="G91" s="680"/>
      <c r="H91" s="680"/>
      <c r="I91" s="755"/>
      <c r="J91" s="682">
        <f t="shared" si="15"/>
        <v>0</v>
      </c>
      <c r="K91" s="683"/>
      <c r="L91" s="684"/>
      <c r="M91" s="753"/>
      <c r="N91" s="683">
        <v>0</v>
      </c>
      <c r="O91" s="686"/>
      <c r="P91" s="683">
        <v>0</v>
      </c>
      <c r="Q91" s="687">
        <f t="shared" si="1"/>
        <v>0</v>
      </c>
      <c r="R91" s="688">
        <v>0</v>
      </c>
      <c r="S91" s="693"/>
      <c r="T91" s="690">
        <f t="shared" si="17"/>
        <v>0</v>
      </c>
      <c r="U91" s="697"/>
      <c r="V91" s="474">
        <f t="shared" si="21"/>
        <v>0</v>
      </c>
      <c r="W91" s="474">
        <f t="shared" si="22"/>
        <v>0</v>
      </c>
      <c r="X91" s="475">
        <f t="shared" si="23"/>
        <v>0</v>
      </c>
      <c r="Y91" s="475">
        <v>0</v>
      </c>
      <c r="Z91" s="476">
        <v>0</v>
      </c>
      <c r="AA91" s="38">
        <f t="shared" si="24"/>
        <v>0</v>
      </c>
      <c r="AB91" s="692">
        <f t="shared" si="18"/>
        <v>0</v>
      </c>
      <c r="AC91" s="692">
        <f t="shared" si="19"/>
        <v>0</v>
      </c>
      <c r="AD91" s="692">
        <f t="shared" si="20"/>
        <v>0</v>
      </c>
      <c r="AE91" s="38"/>
      <c r="AF91" s="692">
        <f t="shared" si="25"/>
        <v>0</v>
      </c>
      <c r="AG91" s="692">
        <f t="shared" si="26"/>
        <v>0</v>
      </c>
      <c r="AH91" s="692">
        <f t="shared" si="27"/>
        <v>0</v>
      </c>
      <c r="AJ91" s="38">
        <f t="shared" si="16"/>
        <v>0</v>
      </c>
    </row>
    <row r="92" spans="1:36">
      <c r="A92" s="20" t="s">
        <v>109</v>
      </c>
      <c r="B92" s="20" t="s">
        <v>109</v>
      </c>
      <c r="C92" s="667"/>
      <c r="D92" s="68" t="s">
        <v>498</v>
      </c>
      <c r="E92" s="679"/>
      <c r="F92" s="529">
        <f>VLOOKUP(D92,'Feb 2013 Revenue'!D:T,17,FALSE)</f>
        <v>0</v>
      </c>
      <c r="G92" s="680"/>
      <c r="H92" s="680"/>
      <c r="I92" s="755"/>
      <c r="J92" s="682">
        <f t="shared" si="15"/>
        <v>0</v>
      </c>
      <c r="K92" s="683"/>
      <c r="L92" s="684"/>
      <c r="M92" s="753"/>
      <c r="N92" s="683">
        <v>0</v>
      </c>
      <c r="O92" s="686"/>
      <c r="P92" s="683">
        <v>0</v>
      </c>
      <c r="Q92" s="687">
        <f t="shared" si="1"/>
        <v>0</v>
      </c>
      <c r="R92" s="688">
        <v>0</v>
      </c>
      <c r="S92" s="693"/>
      <c r="T92" s="690">
        <f t="shared" si="17"/>
        <v>0</v>
      </c>
      <c r="U92" s="683"/>
      <c r="V92" s="474">
        <f t="shared" si="21"/>
        <v>0</v>
      </c>
      <c r="W92" s="474">
        <f t="shared" si="22"/>
        <v>0</v>
      </c>
      <c r="X92" s="475">
        <f t="shared" si="23"/>
        <v>0</v>
      </c>
      <c r="Y92" s="475">
        <v>0</v>
      </c>
      <c r="Z92" s="476">
        <v>0</v>
      </c>
      <c r="AA92" s="38">
        <f t="shared" si="24"/>
        <v>0</v>
      </c>
      <c r="AB92" s="692">
        <f t="shared" si="18"/>
        <v>0</v>
      </c>
      <c r="AC92" s="692">
        <f t="shared" si="19"/>
        <v>0</v>
      </c>
      <c r="AD92" s="692">
        <f t="shared" si="20"/>
        <v>0</v>
      </c>
      <c r="AE92" s="38"/>
      <c r="AF92" s="692">
        <f t="shared" si="25"/>
        <v>0</v>
      </c>
      <c r="AG92" s="692">
        <f t="shared" si="26"/>
        <v>0</v>
      </c>
      <c r="AH92" s="692">
        <f t="shared" si="27"/>
        <v>0</v>
      </c>
      <c r="AJ92" s="38">
        <f t="shared" si="16"/>
        <v>0</v>
      </c>
    </row>
    <row r="93" spans="1:36">
      <c r="A93" s="21"/>
      <c r="B93" s="21" t="s">
        <v>110</v>
      </c>
      <c r="C93" s="666"/>
      <c r="D93" s="68" t="s">
        <v>20</v>
      </c>
      <c r="E93" s="679"/>
      <c r="F93" s="529">
        <f>VLOOKUP(D93,'Feb 2013 Revenue'!D:T,17,FALSE)</f>
        <v>0</v>
      </c>
      <c r="G93" s="680"/>
      <c r="H93" s="680"/>
      <c r="I93" s="755"/>
      <c r="J93" s="682">
        <f t="shared" si="15"/>
        <v>0</v>
      </c>
      <c r="K93" s="683"/>
      <c r="L93" s="684"/>
      <c r="M93" s="753"/>
      <c r="N93" s="683">
        <v>0</v>
      </c>
      <c r="O93" s="686"/>
      <c r="P93" s="683">
        <v>0</v>
      </c>
      <c r="Q93" s="687">
        <f t="shared" si="1"/>
        <v>0</v>
      </c>
      <c r="R93" s="688">
        <v>0</v>
      </c>
      <c r="S93" s="693"/>
      <c r="T93" s="690">
        <f t="shared" si="17"/>
        <v>0</v>
      </c>
      <c r="U93" s="683"/>
      <c r="V93" s="474">
        <f t="shared" si="21"/>
        <v>0</v>
      </c>
      <c r="W93" s="474">
        <f t="shared" si="22"/>
        <v>0</v>
      </c>
      <c r="X93" s="475">
        <f t="shared" si="23"/>
        <v>0</v>
      </c>
      <c r="Y93" s="475">
        <v>0</v>
      </c>
      <c r="Z93" s="476">
        <v>0</v>
      </c>
      <c r="AA93" s="38">
        <f t="shared" si="24"/>
        <v>0</v>
      </c>
      <c r="AB93" s="692">
        <f t="shared" si="18"/>
        <v>0</v>
      </c>
      <c r="AC93" s="692">
        <f t="shared" si="19"/>
        <v>0</v>
      </c>
      <c r="AD93" s="692">
        <f t="shared" si="20"/>
        <v>0</v>
      </c>
      <c r="AE93" s="38"/>
      <c r="AF93" s="692">
        <f t="shared" si="25"/>
        <v>0</v>
      </c>
      <c r="AG93" s="692">
        <f t="shared" si="26"/>
        <v>0</v>
      </c>
      <c r="AH93" s="692">
        <f t="shared" si="27"/>
        <v>0</v>
      </c>
      <c r="AJ93" s="38">
        <f t="shared" si="16"/>
        <v>0</v>
      </c>
    </row>
    <row r="94" spans="1:36">
      <c r="A94" s="21"/>
      <c r="B94" s="21" t="s">
        <v>110</v>
      </c>
      <c r="C94" s="666" t="s">
        <v>547</v>
      </c>
      <c r="D94" s="68" t="s">
        <v>203</v>
      </c>
      <c r="E94" s="679"/>
      <c r="F94" s="529">
        <f>VLOOKUP(D94,'Feb 2013 Revenue'!D:T,17,FALSE)</f>
        <v>0</v>
      </c>
      <c r="G94" s="680"/>
      <c r="H94" s="680"/>
      <c r="I94" s="755"/>
      <c r="J94" s="682">
        <f t="shared" si="15"/>
        <v>0</v>
      </c>
      <c r="K94" s="683"/>
      <c r="L94" s="684"/>
      <c r="M94" s="753"/>
      <c r="N94" s="683">
        <v>0</v>
      </c>
      <c r="O94" s="686"/>
      <c r="P94" s="683">
        <v>0</v>
      </c>
      <c r="Q94" s="687">
        <f t="shared" si="1"/>
        <v>0</v>
      </c>
      <c r="R94" s="688">
        <v>0</v>
      </c>
      <c r="S94" s="693"/>
      <c r="T94" s="690">
        <f t="shared" si="17"/>
        <v>0</v>
      </c>
      <c r="U94" s="683"/>
      <c r="V94" s="474">
        <f t="shared" si="21"/>
        <v>0</v>
      </c>
      <c r="W94" s="474">
        <f t="shared" si="22"/>
        <v>0</v>
      </c>
      <c r="X94" s="475">
        <f t="shared" si="23"/>
        <v>0</v>
      </c>
      <c r="Y94" s="475">
        <v>0</v>
      </c>
      <c r="Z94" s="476">
        <v>0</v>
      </c>
      <c r="AA94" s="38">
        <f t="shared" si="24"/>
        <v>0</v>
      </c>
      <c r="AB94" s="692">
        <f t="shared" si="18"/>
        <v>0</v>
      </c>
      <c r="AC94" s="692">
        <f t="shared" si="19"/>
        <v>0</v>
      </c>
      <c r="AD94" s="692">
        <f t="shared" si="20"/>
        <v>0</v>
      </c>
      <c r="AE94" s="38"/>
      <c r="AF94" s="692">
        <f t="shared" si="25"/>
        <v>0</v>
      </c>
      <c r="AG94" s="692">
        <f t="shared" si="26"/>
        <v>0</v>
      </c>
      <c r="AH94" s="692">
        <f t="shared" si="27"/>
        <v>0</v>
      </c>
      <c r="AJ94" s="38">
        <f t="shared" si="16"/>
        <v>0</v>
      </c>
    </row>
    <row r="95" spans="1:36">
      <c r="A95" s="21"/>
      <c r="B95" s="21" t="s">
        <v>110</v>
      </c>
      <c r="C95" s="666" t="s">
        <v>547</v>
      </c>
      <c r="D95" s="68" t="s">
        <v>202</v>
      </c>
      <c r="E95" s="679"/>
      <c r="F95" s="529">
        <f>VLOOKUP(D95,'Feb 2013 Revenue'!D:T,17,FALSE)</f>
        <v>0</v>
      </c>
      <c r="G95" s="680"/>
      <c r="H95" s="680"/>
      <c r="I95" s="755"/>
      <c r="J95" s="682">
        <f t="shared" si="15"/>
        <v>0</v>
      </c>
      <c r="K95" s="683"/>
      <c r="L95" s="684"/>
      <c r="M95" s="753"/>
      <c r="N95" s="683">
        <v>0</v>
      </c>
      <c r="O95" s="686"/>
      <c r="P95" s="683">
        <v>0</v>
      </c>
      <c r="Q95" s="687">
        <f t="shared" si="1"/>
        <v>0</v>
      </c>
      <c r="R95" s="688">
        <v>0</v>
      </c>
      <c r="S95" s="693"/>
      <c r="T95" s="690">
        <f t="shared" si="17"/>
        <v>0</v>
      </c>
      <c r="U95" s="683"/>
      <c r="V95" s="474">
        <f t="shared" si="21"/>
        <v>0</v>
      </c>
      <c r="W95" s="474">
        <f t="shared" si="22"/>
        <v>0</v>
      </c>
      <c r="X95" s="475">
        <f t="shared" si="23"/>
        <v>0</v>
      </c>
      <c r="Y95" s="475">
        <v>0</v>
      </c>
      <c r="Z95" s="476">
        <v>0</v>
      </c>
      <c r="AA95" s="38">
        <f t="shared" si="24"/>
        <v>0</v>
      </c>
      <c r="AB95" s="692">
        <f t="shared" si="18"/>
        <v>0</v>
      </c>
      <c r="AC95" s="692">
        <f t="shared" si="19"/>
        <v>0</v>
      </c>
      <c r="AD95" s="692">
        <f t="shared" si="20"/>
        <v>0</v>
      </c>
      <c r="AE95" s="38"/>
      <c r="AF95" s="692">
        <f t="shared" si="25"/>
        <v>0</v>
      </c>
      <c r="AG95" s="692">
        <f t="shared" si="26"/>
        <v>0</v>
      </c>
      <c r="AH95" s="692">
        <f t="shared" si="27"/>
        <v>0</v>
      </c>
      <c r="AJ95" s="38">
        <f t="shared" si="16"/>
        <v>0</v>
      </c>
    </row>
    <row r="96" spans="1:36">
      <c r="A96" s="20" t="s">
        <v>211</v>
      </c>
      <c r="B96" s="20" t="s">
        <v>110</v>
      </c>
      <c r="C96" s="667"/>
      <c r="D96" s="373" t="s">
        <v>466</v>
      </c>
      <c r="E96" s="679"/>
      <c r="F96" s="529">
        <f>VLOOKUP(D96,'Feb 2013 Revenue'!D:T,17,FALSE)</f>
        <v>0</v>
      </c>
      <c r="G96" s="680"/>
      <c r="H96" s="680"/>
      <c r="I96" s="770">
        <v>1008.33</v>
      </c>
      <c r="J96" s="682">
        <f t="shared" si="15"/>
        <v>1008.33</v>
      </c>
      <c r="K96" s="683"/>
      <c r="L96" s="684"/>
      <c r="M96" s="753"/>
      <c r="N96" s="683">
        <v>0</v>
      </c>
      <c r="O96" s="686"/>
      <c r="P96" s="683">
        <v>0</v>
      </c>
      <c r="Q96" s="687">
        <f t="shared" si="1"/>
        <v>0</v>
      </c>
      <c r="R96" s="688">
        <v>0</v>
      </c>
      <c r="S96" s="693"/>
      <c r="T96" s="690">
        <f t="shared" si="17"/>
        <v>0</v>
      </c>
      <c r="U96" s="683"/>
      <c r="V96" s="474">
        <f t="shared" si="21"/>
        <v>0</v>
      </c>
      <c r="W96" s="474">
        <f t="shared" si="22"/>
        <v>0</v>
      </c>
      <c r="X96" s="475">
        <f t="shared" si="23"/>
        <v>0</v>
      </c>
      <c r="Y96" s="475">
        <v>0</v>
      </c>
      <c r="Z96" s="476">
        <v>0</v>
      </c>
      <c r="AA96" s="38">
        <f t="shared" si="24"/>
        <v>0</v>
      </c>
      <c r="AB96" s="692">
        <f t="shared" si="18"/>
        <v>1008.33</v>
      </c>
      <c r="AC96" s="692">
        <f t="shared" si="19"/>
        <v>0</v>
      </c>
      <c r="AD96" s="692">
        <f t="shared" si="20"/>
        <v>0</v>
      </c>
      <c r="AE96" s="38"/>
      <c r="AF96" s="692">
        <f t="shared" si="25"/>
        <v>0</v>
      </c>
      <c r="AG96" s="692">
        <f t="shared" si="26"/>
        <v>0</v>
      </c>
      <c r="AH96" s="692">
        <f t="shared" si="27"/>
        <v>0</v>
      </c>
      <c r="AJ96" s="38">
        <f t="shared" si="16"/>
        <v>1008.33</v>
      </c>
    </row>
    <row r="97" spans="1:36">
      <c r="A97" s="20"/>
      <c r="B97" s="20" t="s">
        <v>110</v>
      </c>
      <c r="C97" s="667"/>
      <c r="D97" s="373" t="s">
        <v>627</v>
      </c>
      <c r="E97" s="679"/>
      <c r="F97" s="529">
        <f>VLOOKUP(D97,'Feb 2013 Revenue'!D:T,17,FALSE)</f>
        <v>0</v>
      </c>
      <c r="G97" s="680"/>
      <c r="H97" s="680"/>
      <c r="I97" s="755"/>
      <c r="J97" s="682">
        <f t="shared" si="15"/>
        <v>0</v>
      </c>
      <c r="K97" s="683"/>
      <c r="L97" s="684"/>
      <c r="M97" s="753"/>
      <c r="N97" s="683">
        <v>0</v>
      </c>
      <c r="O97" s="686"/>
      <c r="P97" s="683">
        <v>0</v>
      </c>
      <c r="Q97" s="687">
        <f t="shared" si="1"/>
        <v>0</v>
      </c>
      <c r="R97" s="688">
        <v>0</v>
      </c>
      <c r="S97" s="693"/>
      <c r="T97" s="690">
        <f t="shared" si="17"/>
        <v>0</v>
      </c>
      <c r="U97" s="683"/>
      <c r="V97" s="474">
        <f t="shared" si="21"/>
        <v>0</v>
      </c>
      <c r="W97" s="474">
        <f t="shared" si="22"/>
        <v>0</v>
      </c>
      <c r="X97" s="475">
        <f t="shared" si="23"/>
        <v>0</v>
      </c>
      <c r="Y97" s="475">
        <v>0</v>
      </c>
      <c r="Z97" s="476">
        <v>0</v>
      </c>
      <c r="AA97" s="38">
        <f t="shared" si="24"/>
        <v>0</v>
      </c>
      <c r="AB97" s="692">
        <f t="shared" si="18"/>
        <v>0</v>
      </c>
      <c r="AC97" s="692">
        <f t="shared" si="19"/>
        <v>0</v>
      </c>
      <c r="AD97" s="692">
        <f t="shared" si="20"/>
        <v>0</v>
      </c>
      <c r="AE97" s="38"/>
      <c r="AF97" s="692">
        <f t="shared" si="25"/>
        <v>0</v>
      </c>
      <c r="AG97" s="692">
        <f t="shared" si="26"/>
        <v>0</v>
      </c>
      <c r="AH97" s="692">
        <f t="shared" si="27"/>
        <v>0</v>
      </c>
      <c r="AJ97" s="38">
        <f t="shared" si="16"/>
        <v>0</v>
      </c>
    </row>
    <row r="98" spans="1:36" s="232" customFormat="1">
      <c r="A98" s="283"/>
      <c r="B98" s="283" t="s">
        <v>110</v>
      </c>
      <c r="C98" s="667"/>
      <c r="D98" s="123" t="s">
        <v>386</v>
      </c>
      <c r="E98" s="679"/>
      <c r="F98" s="529">
        <f>VLOOKUP(D98,'Feb 2013 Revenue'!D:T,17,FALSE)</f>
        <v>0</v>
      </c>
      <c r="G98" s="680"/>
      <c r="H98" s="680"/>
      <c r="I98" s="770">
        <v>2371221.5699999998</v>
      </c>
      <c r="J98" s="682">
        <f t="shared" si="15"/>
        <v>2371221.5699999998</v>
      </c>
      <c r="K98" s="683"/>
      <c r="L98" s="684"/>
      <c r="M98" s="753"/>
      <c r="N98" s="683">
        <v>0</v>
      </c>
      <c r="O98" s="686"/>
      <c r="P98" s="683">
        <v>0</v>
      </c>
      <c r="Q98" s="687">
        <f t="shared" si="1"/>
        <v>0</v>
      </c>
      <c r="R98" s="688">
        <v>0</v>
      </c>
      <c r="S98" s="693"/>
      <c r="T98" s="690">
        <f t="shared" si="17"/>
        <v>0</v>
      </c>
      <c r="U98" s="683"/>
      <c r="V98" s="474">
        <f t="shared" si="21"/>
        <v>0</v>
      </c>
      <c r="W98" s="474">
        <f t="shared" si="22"/>
        <v>0</v>
      </c>
      <c r="X98" s="475">
        <f t="shared" si="23"/>
        <v>0</v>
      </c>
      <c r="Y98" s="475">
        <v>0</v>
      </c>
      <c r="Z98" s="476">
        <v>0</v>
      </c>
      <c r="AA98" s="38">
        <f t="shared" si="24"/>
        <v>0</v>
      </c>
      <c r="AB98" s="692">
        <f t="shared" si="18"/>
        <v>2371221.5699999998</v>
      </c>
      <c r="AC98" s="692">
        <f t="shared" si="19"/>
        <v>0</v>
      </c>
      <c r="AD98" s="692">
        <f t="shared" si="20"/>
        <v>0</v>
      </c>
      <c r="AE98" s="38"/>
      <c r="AF98" s="692">
        <f t="shared" si="25"/>
        <v>0</v>
      </c>
      <c r="AG98" s="692">
        <f t="shared" si="26"/>
        <v>0</v>
      </c>
      <c r="AH98" s="692">
        <f t="shared" si="27"/>
        <v>0</v>
      </c>
      <c r="AJ98" s="38">
        <f t="shared" si="16"/>
        <v>2371221.5699999998</v>
      </c>
    </row>
    <row r="99" spans="1:36" s="232" customFormat="1">
      <c r="A99" s="283"/>
      <c r="B99" s="283" t="s">
        <v>110</v>
      </c>
      <c r="C99" s="667"/>
      <c r="D99" s="123" t="s">
        <v>331</v>
      </c>
      <c r="E99" s="679"/>
      <c r="F99" s="529">
        <f>VLOOKUP(D99,'Feb 2013 Revenue'!D:T,17,FALSE)</f>
        <v>0</v>
      </c>
      <c r="G99" s="680"/>
      <c r="H99" s="680"/>
      <c r="I99" s="770">
        <v>20375.400000000001</v>
      </c>
      <c r="J99" s="682">
        <f t="shared" si="15"/>
        <v>20375.400000000001</v>
      </c>
      <c r="K99" s="683"/>
      <c r="L99" s="684"/>
      <c r="M99" s="753"/>
      <c r="N99" s="683">
        <v>0</v>
      </c>
      <c r="O99" s="686"/>
      <c r="P99" s="683">
        <v>0</v>
      </c>
      <c r="Q99" s="687">
        <f t="shared" si="1"/>
        <v>0</v>
      </c>
      <c r="R99" s="688">
        <v>0</v>
      </c>
      <c r="S99" s="693"/>
      <c r="T99" s="690">
        <f t="shared" si="17"/>
        <v>0</v>
      </c>
      <c r="U99" s="683"/>
      <c r="V99" s="474">
        <f t="shared" si="21"/>
        <v>0</v>
      </c>
      <c r="W99" s="474">
        <f t="shared" si="22"/>
        <v>0</v>
      </c>
      <c r="X99" s="475">
        <f t="shared" si="23"/>
        <v>0</v>
      </c>
      <c r="Y99" s="475">
        <v>0</v>
      </c>
      <c r="Z99" s="476">
        <v>0</v>
      </c>
      <c r="AA99" s="38">
        <f t="shared" si="24"/>
        <v>0</v>
      </c>
      <c r="AB99" s="692">
        <f t="shared" si="18"/>
        <v>20375.400000000001</v>
      </c>
      <c r="AC99" s="692">
        <f t="shared" si="19"/>
        <v>0</v>
      </c>
      <c r="AD99" s="692">
        <f t="shared" si="20"/>
        <v>0</v>
      </c>
      <c r="AE99" s="38"/>
      <c r="AF99" s="692">
        <f t="shared" si="25"/>
        <v>0</v>
      </c>
      <c r="AG99" s="692">
        <f t="shared" si="26"/>
        <v>0</v>
      </c>
      <c r="AH99" s="692">
        <f t="shared" si="27"/>
        <v>0</v>
      </c>
      <c r="AJ99" s="38">
        <f t="shared" si="16"/>
        <v>20375.400000000001</v>
      </c>
    </row>
    <row r="100" spans="1:36" s="232" customFormat="1">
      <c r="A100" s="283"/>
      <c r="B100" s="283" t="s">
        <v>110</v>
      </c>
      <c r="C100" s="667"/>
      <c r="D100" s="413" t="s">
        <v>332</v>
      </c>
      <c r="E100" s="679"/>
      <c r="F100" s="529">
        <f>VLOOKUP(D100,'Feb 2013 Revenue'!D:T,17,FALSE)</f>
        <v>0</v>
      </c>
      <c r="G100" s="680"/>
      <c r="H100" s="680"/>
      <c r="I100" s="770">
        <v>1301095.28</v>
      </c>
      <c r="J100" s="682">
        <f t="shared" si="15"/>
        <v>1301095.28</v>
      </c>
      <c r="K100" s="683"/>
      <c r="L100" s="684"/>
      <c r="M100" s="753"/>
      <c r="N100" s="683">
        <v>0</v>
      </c>
      <c r="O100" s="686"/>
      <c r="P100" s="683">
        <v>0</v>
      </c>
      <c r="Q100" s="687">
        <f t="shared" si="1"/>
        <v>0</v>
      </c>
      <c r="R100" s="688">
        <v>0</v>
      </c>
      <c r="S100" s="693"/>
      <c r="T100" s="690">
        <f t="shared" si="17"/>
        <v>0</v>
      </c>
      <c r="U100" s="683"/>
      <c r="V100" s="474">
        <f t="shared" si="21"/>
        <v>0</v>
      </c>
      <c r="W100" s="474">
        <f t="shared" si="22"/>
        <v>0</v>
      </c>
      <c r="X100" s="475">
        <f t="shared" si="23"/>
        <v>0</v>
      </c>
      <c r="Y100" s="475">
        <v>0</v>
      </c>
      <c r="Z100" s="476">
        <v>0</v>
      </c>
      <c r="AA100" s="38">
        <f t="shared" si="24"/>
        <v>0</v>
      </c>
      <c r="AB100" s="692">
        <f t="shared" si="18"/>
        <v>1301095.28</v>
      </c>
      <c r="AC100" s="692">
        <f t="shared" si="19"/>
        <v>0</v>
      </c>
      <c r="AD100" s="692">
        <f t="shared" si="20"/>
        <v>0</v>
      </c>
      <c r="AE100" s="38"/>
      <c r="AF100" s="692">
        <f t="shared" si="25"/>
        <v>0</v>
      </c>
      <c r="AG100" s="692">
        <f t="shared" si="26"/>
        <v>0</v>
      </c>
      <c r="AH100" s="692">
        <f t="shared" si="27"/>
        <v>0</v>
      </c>
      <c r="AJ100" s="38">
        <f t="shared" si="16"/>
        <v>1301095.28</v>
      </c>
    </row>
    <row r="101" spans="1:36" s="232" customFormat="1">
      <c r="A101" s="283"/>
      <c r="B101" s="283" t="s">
        <v>110</v>
      </c>
      <c r="C101" s="667"/>
      <c r="D101" s="123" t="s">
        <v>333</v>
      </c>
      <c r="E101" s="679"/>
      <c r="F101" s="529">
        <f>VLOOKUP(D101,'Feb 2013 Revenue'!D:T,17,FALSE)</f>
        <v>0</v>
      </c>
      <c r="G101" s="680"/>
      <c r="H101" s="680"/>
      <c r="I101" s="770">
        <v>556.54</v>
      </c>
      <c r="J101" s="682">
        <f t="shared" si="15"/>
        <v>556.54</v>
      </c>
      <c r="K101" s="683"/>
      <c r="L101" s="684"/>
      <c r="M101" s="753"/>
      <c r="N101" s="683">
        <v>0</v>
      </c>
      <c r="O101" s="686"/>
      <c r="P101" s="683">
        <v>0</v>
      </c>
      <c r="Q101" s="687">
        <f t="shared" si="1"/>
        <v>0</v>
      </c>
      <c r="R101" s="688">
        <v>0</v>
      </c>
      <c r="S101" s="693"/>
      <c r="T101" s="690">
        <f t="shared" si="17"/>
        <v>0</v>
      </c>
      <c r="U101" s="683"/>
      <c r="V101" s="474">
        <f t="shared" si="21"/>
        <v>0</v>
      </c>
      <c r="W101" s="474">
        <f t="shared" si="22"/>
        <v>0</v>
      </c>
      <c r="X101" s="475">
        <f t="shared" si="23"/>
        <v>0</v>
      </c>
      <c r="Y101" s="475">
        <v>0</v>
      </c>
      <c r="Z101" s="476">
        <v>0</v>
      </c>
      <c r="AA101" s="38">
        <f t="shared" si="24"/>
        <v>0</v>
      </c>
      <c r="AB101" s="692">
        <f t="shared" si="18"/>
        <v>556.54</v>
      </c>
      <c r="AC101" s="692">
        <f t="shared" si="19"/>
        <v>0</v>
      </c>
      <c r="AD101" s="692">
        <f t="shared" si="20"/>
        <v>0</v>
      </c>
      <c r="AE101" s="38"/>
      <c r="AF101" s="692">
        <f t="shared" si="25"/>
        <v>0</v>
      </c>
      <c r="AG101" s="692">
        <f t="shared" si="26"/>
        <v>0</v>
      </c>
      <c r="AH101" s="692">
        <f t="shared" si="27"/>
        <v>0</v>
      </c>
      <c r="AJ101" s="38">
        <f t="shared" si="16"/>
        <v>556.54</v>
      </c>
    </row>
    <row r="102" spans="1:36" s="232" customFormat="1">
      <c r="A102" s="283"/>
      <c r="B102" s="283" t="s">
        <v>110</v>
      </c>
      <c r="C102" s="667"/>
      <c r="D102" s="123" t="s">
        <v>334</v>
      </c>
      <c r="E102" s="679"/>
      <c r="F102" s="529">
        <f>VLOOKUP(D102,'Feb 2013 Revenue'!D:T,17,FALSE)</f>
        <v>0</v>
      </c>
      <c r="G102" s="680"/>
      <c r="H102" s="680"/>
      <c r="I102" s="770">
        <v>264335.03000000003</v>
      </c>
      <c r="J102" s="682">
        <f t="shared" si="15"/>
        <v>264335.03000000003</v>
      </c>
      <c r="K102" s="683"/>
      <c r="L102" s="684"/>
      <c r="M102" s="753"/>
      <c r="N102" s="683">
        <v>0</v>
      </c>
      <c r="O102" s="686"/>
      <c r="P102" s="683">
        <v>0</v>
      </c>
      <c r="Q102" s="687">
        <f t="shared" si="1"/>
        <v>0</v>
      </c>
      <c r="R102" s="688">
        <v>0</v>
      </c>
      <c r="S102" s="693"/>
      <c r="T102" s="690">
        <f t="shared" si="17"/>
        <v>0</v>
      </c>
      <c r="U102" s="683"/>
      <c r="V102" s="474">
        <f t="shared" si="21"/>
        <v>0</v>
      </c>
      <c r="W102" s="474">
        <f t="shared" si="22"/>
        <v>0</v>
      </c>
      <c r="X102" s="475">
        <f t="shared" si="23"/>
        <v>0</v>
      </c>
      <c r="Y102" s="475">
        <v>0</v>
      </c>
      <c r="Z102" s="476">
        <v>0</v>
      </c>
      <c r="AA102" s="38">
        <f t="shared" si="24"/>
        <v>0</v>
      </c>
      <c r="AB102" s="692">
        <f t="shared" si="18"/>
        <v>264335.03000000003</v>
      </c>
      <c r="AC102" s="692">
        <f t="shared" si="19"/>
        <v>0</v>
      </c>
      <c r="AD102" s="692">
        <f t="shared" si="20"/>
        <v>0</v>
      </c>
      <c r="AE102" s="38"/>
      <c r="AF102" s="692">
        <f t="shared" si="25"/>
        <v>0</v>
      </c>
      <c r="AG102" s="692">
        <f t="shared" si="26"/>
        <v>0</v>
      </c>
      <c r="AH102" s="692">
        <f t="shared" si="27"/>
        <v>0</v>
      </c>
      <c r="AJ102" s="38">
        <f t="shared" si="16"/>
        <v>264335.03000000003</v>
      </c>
    </row>
    <row r="103" spans="1:36" s="232" customFormat="1">
      <c r="A103" s="283"/>
      <c r="B103" s="283" t="s">
        <v>110</v>
      </c>
      <c r="C103" s="667"/>
      <c r="D103" s="123" t="s">
        <v>335</v>
      </c>
      <c r="E103" s="679"/>
      <c r="F103" s="529">
        <f>VLOOKUP(D103,'Feb 2013 Revenue'!D:T,17,FALSE)</f>
        <v>0</v>
      </c>
      <c r="G103" s="680"/>
      <c r="H103" s="680"/>
      <c r="I103" s="770">
        <v>473.83</v>
      </c>
      <c r="J103" s="682">
        <f t="shared" si="15"/>
        <v>473.83</v>
      </c>
      <c r="K103" s="683"/>
      <c r="L103" s="684"/>
      <c r="M103" s="753"/>
      <c r="N103" s="683">
        <v>0</v>
      </c>
      <c r="O103" s="686"/>
      <c r="P103" s="683">
        <v>0</v>
      </c>
      <c r="Q103" s="687">
        <f t="shared" si="1"/>
        <v>0</v>
      </c>
      <c r="R103" s="688">
        <v>0</v>
      </c>
      <c r="S103" s="693"/>
      <c r="T103" s="690">
        <f t="shared" si="17"/>
        <v>0</v>
      </c>
      <c r="U103" s="683"/>
      <c r="V103" s="474">
        <f t="shared" si="21"/>
        <v>0</v>
      </c>
      <c r="W103" s="474">
        <f t="shared" si="22"/>
        <v>0</v>
      </c>
      <c r="X103" s="475">
        <f t="shared" si="23"/>
        <v>0</v>
      </c>
      <c r="Y103" s="475">
        <v>0</v>
      </c>
      <c r="Z103" s="476">
        <v>0</v>
      </c>
      <c r="AA103" s="38">
        <f t="shared" si="24"/>
        <v>0</v>
      </c>
      <c r="AB103" s="692">
        <f t="shared" si="18"/>
        <v>473.83</v>
      </c>
      <c r="AC103" s="692">
        <f t="shared" si="19"/>
        <v>0</v>
      </c>
      <c r="AD103" s="692">
        <f t="shared" si="20"/>
        <v>0</v>
      </c>
      <c r="AE103" s="38"/>
      <c r="AF103" s="692">
        <f t="shared" si="25"/>
        <v>0</v>
      </c>
      <c r="AG103" s="692">
        <f t="shared" si="26"/>
        <v>0</v>
      </c>
      <c r="AH103" s="692">
        <f t="shared" si="27"/>
        <v>0</v>
      </c>
      <c r="AJ103" s="38">
        <f t="shared" si="16"/>
        <v>473.83</v>
      </c>
    </row>
    <row r="104" spans="1:36" s="232" customFormat="1">
      <c r="A104" s="283"/>
      <c r="B104" s="283" t="s">
        <v>110</v>
      </c>
      <c r="C104" s="667"/>
      <c r="D104" s="123" t="s">
        <v>336</v>
      </c>
      <c r="E104" s="679"/>
      <c r="F104" s="529">
        <f>VLOOKUP(D104,'Feb 2013 Revenue'!D:T,17,FALSE)</f>
        <v>0</v>
      </c>
      <c r="G104" s="680"/>
      <c r="H104" s="680"/>
      <c r="I104" s="770">
        <v>289614.44</v>
      </c>
      <c r="J104" s="682">
        <f t="shared" si="15"/>
        <v>289614.44</v>
      </c>
      <c r="K104" s="683"/>
      <c r="L104" s="684"/>
      <c r="M104" s="753"/>
      <c r="N104" s="683">
        <v>0</v>
      </c>
      <c r="O104" s="686"/>
      <c r="P104" s="683">
        <v>0</v>
      </c>
      <c r="Q104" s="687">
        <f t="shared" si="1"/>
        <v>0</v>
      </c>
      <c r="R104" s="688">
        <v>0</v>
      </c>
      <c r="S104" s="693"/>
      <c r="T104" s="690">
        <f t="shared" si="17"/>
        <v>0</v>
      </c>
      <c r="U104" s="683"/>
      <c r="V104" s="474">
        <f t="shared" si="21"/>
        <v>0</v>
      </c>
      <c r="W104" s="474">
        <f t="shared" si="22"/>
        <v>0</v>
      </c>
      <c r="X104" s="475">
        <f t="shared" si="23"/>
        <v>0</v>
      </c>
      <c r="Y104" s="475">
        <v>0</v>
      </c>
      <c r="Z104" s="476">
        <v>0</v>
      </c>
      <c r="AA104" s="38">
        <f t="shared" si="24"/>
        <v>0</v>
      </c>
      <c r="AB104" s="692">
        <f t="shared" si="18"/>
        <v>289614.44</v>
      </c>
      <c r="AC104" s="692">
        <f t="shared" si="19"/>
        <v>0</v>
      </c>
      <c r="AD104" s="692">
        <f t="shared" si="20"/>
        <v>0</v>
      </c>
      <c r="AE104" s="38"/>
      <c r="AF104" s="692">
        <f t="shared" si="25"/>
        <v>0</v>
      </c>
      <c r="AG104" s="692">
        <f t="shared" si="26"/>
        <v>0</v>
      </c>
      <c r="AH104" s="692">
        <f t="shared" si="27"/>
        <v>0</v>
      </c>
      <c r="AJ104" s="38">
        <f t="shared" si="16"/>
        <v>289614.44</v>
      </c>
    </row>
    <row r="105" spans="1:36" s="232" customFormat="1">
      <c r="A105" s="283"/>
      <c r="B105" s="283" t="s">
        <v>110</v>
      </c>
      <c r="C105" s="667"/>
      <c r="D105" s="123" t="s">
        <v>337</v>
      </c>
      <c r="E105" s="679"/>
      <c r="F105" s="529">
        <f>VLOOKUP(D105,'Feb 2013 Revenue'!D:T,17,FALSE)</f>
        <v>0</v>
      </c>
      <c r="G105" s="680"/>
      <c r="H105" s="680"/>
      <c r="I105" s="770">
        <v>402.5</v>
      </c>
      <c r="J105" s="682">
        <f t="shared" si="15"/>
        <v>402.5</v>
      </c>
      <c r="K105" s="683"/>
      <c r="L105" s="684"/>
      <c r="M105" s="753"/>
      <c r="N105" s="683">
        <v>0</v>
      </c>
      <c r="O105" s="686"/>
      <c r="P105" s="683">
        <v>0</v>
      </c>
      <c r="Q105" s="687">
        <f t="shared" si="1"/>
        <v>0</v>
      </c>
      <c r="R105" s="688">
        <v>0</v>
      </c>
      <c r="S105" s="693"/>
      <c r="T105" s="690">
        <f t="shared" si="17"/>
        <v>0</v>
      </c>
      <c r="U105" s="683"/>
      <c r="V105" s="474">
        <f t="shared" si="21"/>
        <v>0</v>
      </c>
      <c r="W105" s="474">
        <f t="shared" si="22"/>
        <v>0</v>
      </c>
      <c r="X105" s="475">
        <f t="shared" si="23"/>
        <v>0</v>
      </c>
      <c r="Y105" s="475">
        <v>0</v>
      </c>
      <c r="Z105" s="476">
        <v>0</v>
      </c>
      <c r="AA105" s="38">
        <f t="shared" si="24"/>
        <v>0</v>
      </c>
      <c r="AB105" s="692">
        <f t="shared" si="18"/>
        <v>402.5</v>
      </c>
      <c r="AC105" s="692">
        <f t="shared" si="19"/>
        <v>0</v>
      </c>
      <c r="AD105" s="692">
        <f t="shared" si="20"/>
        <v>0</v>
      </c>
      <c r="AE105" s="38"/>
      <c r="AF105" s="692">
        <f t="shared" si="25"/>
        <v>0</v>
      </c>
      <c r="AG105" s="692">
        <f t="shared" si="26"/>
        <v>0</v>
      </c>
      <c r="AH105" s="692">
        <f t="shared" si="27"/>
        <v>0</v>
      </c>
      <c r="AJ105" s="38">
        <f t="shared" si="16"/>
        <v>402.5</v>
      </c>
    </row>
    <row r="106" spans="1:36" s="232" customFormat="1">
      <c r="A106" s="283"/>
      <c r="B106" s="283" t="s">
        <v>110</v>
      </c>
      <c r="C106" s="667"/>
      <c r="D106" s="123" t="s">
        <v>338</v>
      </c>
      <c r="E106" s="679"/>
      <c r="F106" s="529">
        <f>VLOOKUP(D106,'Feb 2013 Revenue'!D:T,17,FALSE)</f>
        <v>0</v>
      </c>
      <c r="G106" s="680"/>
      <c r="H106" s="680"/>
      <c r="I106" s="770">
        <v>86716</v>
      </c>
      <c r="J106" s="682">
        <f t="shared" si="15"/>
        <v>86716</v>
      </c>
      <c r="K106" s="683"/>
      <c r="L106" s="684"/>
      <c r="M106" s="753"/>
      <c r="N106" s="683">
        <v>0</v>
      </c>
      <c r="O106" s="686"/>
      <c r="P106" s="683">
        <v>0</v>
      </c>
      <c r="Q106" s="687">
        <f t="shared" si="1"/>
        <v>0</v>
      </c>
      <c r="R106" s="688">
        <v>0</v>
      </c>
      <c r="S106" s="693"/>
      <c r="T106" s="690">
        <f t="shared" si="17"/>
        <v>0</v>
      </c>
      <c r="U106" s="683"/>
      <c r="V106" s="474">
        <f t="shared" si="21"/>
        <v>0</v>
      </c>
      <c r="W106" s="474">
        <f t="shared" si="22"/>
        <v>0</v>
      </c>
      <c r="X106" s="475">
        <f t="shared" si="23"/>
        <v>0</v>
      </c>
      <c r="Y106" s="475">
        <v>0</v>
      </c>
      <c r="Z106" s="476">
        <v>0</v>
      </c>
      <c r="AA106" s="38">
        <f t="shared" si="24"/>
        <v>0</v>
      </c>
      <c r="AB106" s="692">
        <f t="shared" si="18"/>
        <v>86716</v>
      </c>
      <c r="AC106" s="692">
        <f t="shared" si="19"/>
        <v>0</v>
      </c>
      <c r="AD106" s="692">
        <f t="shared" si="20"/>
        <v>0</v>
      </c>
      <c r="AE106" s="38"/>
      <c r="AF106" s="692">
        <f t="shared" si="25"/>
        <v>0</v>
      </c>
      <c r="AG106" s="692">
        <f t="shared" si="26"/>
        <v>0</v>
      </c>
      <c r="AH106" s="692">
        <f t="shared" si="27"/>
        <v>0</v>
      </c>
      <c r="AJ106" s="38">
        <f t="shared" si="16"/>
        <v>86716</v>
      </c>
    </row>
    <row r="107" spans="1:36" s="232" customFormat="1">
      <c r="A107" s="283"/>
      <c r="B107" s="283" t="s">
        <v>110</v>
      </c>
      <c r="C107" s="667"/>
      <c r="D107" s="123" t="s">
        <v>339</v>
      </c>
      <c r="E107" s="679"/>
      <c r="F107" s="529">
        <f>VLOOKUP(D107,'Feb 2013 Revenue'!D:T,17,FALSE)</f>
        <v>0</v>
      </c>
      <c r="G107" s="680"/>
      <c r="H107" s="680"/>
      <c r="I107" s="770">
        <v>103677.15</v>
      </c>
      <c r="J107" s="682">
        <f t="shared" si="15"/>
        <v>103677.15</v>
      </c>
      <c r="K107" s="683"/>
      <c r="L107" s="684"/>
      <c r="M107" s="753"/>
      <c r="N107" s="683">
        <v>0</v>
      </c>
      <c r="O107" s="686"/>
      <c r="P107" s="683">
        <v>0</v>
      </c>
      <c r="Q107" s="687">
        <f t="shared" si="1"/>
        <v>0</v>
      </c>
      <c r="R107" s="688">
        <v>0</v>
      </c>
      <c r="S107" s="693"/>
      <c r="T107" s="690">
        <f t="shared" si="17"/>
        <v>0</v>
      </c>
      <c r="U107" s="683"/>
      <c r="V107" s="474">
        <f t="shared" si="21"/>
        <v>0</v>
      </c>
      <c r="W107" s="474">
        <f t="shared" si="22"/>
        <v>0</v>
      </c>
      <c r="X107" s="475">
        <f t="shared" si="23"/>
        <v>0</v>
      </c>
      <c r="Y107" s="475">
        <v>0</v>
      </c>
      <c r="Z107" s="476">
        <v>0</v>
      </c>
      <c r="AA107" s="38">
        <f t="shared" si="24"/>
        <v>0</v>
      </c>
      <c r="AB107" s="692">
        <f t="shared" si="18"/>
        <v>103677.15</v>
      </c>
      <c r="AC107" s="692">
        <f t="shared" si="19"/>
        <v>0</v>
      </c>
      <c r="AD107" s="692">
        <f t="shared" si="20"/>
        <v>0</v>
      </c>
      <c r="AE107" s="38"/>
      <c r="AF107" s="692">
        <f t="shared" si="25"/>
        <v>0</v>
      </c>
      <c r="AG107" s="692">
        <f t="shared" si="26"/>
        <v>0</v>
      </c>
      <c r="AH107" s="692">
        <f t="shared" si="27"/>
        <v>0</v>
      </c>
      <c r="AJ107" s="38">
        <f t="shared" si="16"/>
        <v>103677.15</v>
      </c>
    </row>
    <row r="108" spans="1:36" s="232" customFormat="1">
      <c r="A108" s="283"/>
      <c r="B108" s="283" t="s">
        <v>110</v>
      </c>
      <c r="C108" s="667"/>
      <c r="D108" s="123" t="s">
        <v>340</v>
      </c>
      <c r="E108" s="679"/>
      <c r="F108" s="529">
        <f>VLOOKUP(D108,'Feb 2013 Revenue'!D:T,17,FALSE)</f>
        <v>0</v>
      </c>
      <c r="G108" s="680"/>
      <c r="H108" s="680"/>
      <c r="I108" s="770">
        <v>63.32</v>
      </c>
      <c r="J108" s="682">
        <f t="shared" si="15"/>
        <v>63.32</v>
      </c>
      <c r="K108" s="683"/>
      <c r="L108" s="684"/>
      <c r="M108" s="753"/>
      <c r="N108" s="683">
        <v>0</v>
      </c>
      <c r="O108" s="686"/>
      <c r="P108" s="683">
        <v>0</v>
      </c>
      <c r="Q108" s="687">
        <f t="shared" si="1"/>
        <v>0</v>
      </c>
      <c r="R108" s="688">
        <v>0</v>
      </c>
      <c r="S108" s="693"/>
      <c r="T108" s="690">
        <f t="shared" si="17"/>
        <v>0</v>
      </c>
      <c r="U108" s="683"/>
      <c r="V108" s="474">
        <f t="shared" si="21"/>
        <v>0</v>
      </c>
      <c r="W108" s="474">
        <f t="shared" si="22"/>
        <v>0</v>
      </c>
      <c r="X108" s="475">
        <f t="shared" si="23"/>
        <v>0</v>
      </c>
      <c r="Y108" s="475">
        <v>0</v>
      </c>
      <c r="Z108" s="476">
        <v>0</v>
      </c>
      <c r="AA108" s="38">
        <f t="shared" si="24"/>
        <v>0</v>
      </c>
      <c r="AB108" s="692">
        <f t="shared" si="18"/>
        <v>63.32</v>
      </c>
      <c r="AC108" s="692">
        <f t="shared" si="19"/>
        <v>0</v>
      </c>
      <c r="AD108" s="692">
        <f t="shared" si="20"/>
        <v>0</v>
      </c>
      <c r="AE108" s="38"/>
      <c r="AF108" s="692">
        <f t="shared" si="25"/>
        <v>0</v>
      </c>
      <c r="AG108" s="692">
        <f t="shared" si="26"/>
        <v>0</v>
      </c>
      <c r="AH108" s="692">
        <f t="shared" si="27"/>
        <v>0</v>
      </c>
      <c r="AJ108" s="38">
        <f t="shared" si="16"/>
        <v>63.32</v>
      </c>
    </row>
    <row r="109" spans="1:36" s="232" customFormat="1">
      <c r="A109" s="283"/>
      <c r="B109" s="283" t="s">
        <v>110</v>
      </c>
      <c r="C109" s="667"/>
      <c r="D109" s="123" t="s">
        <v>439</v>
      </c>
      <c r="E109" s="679"/>
      <c r="F109" s="529">
        <f>VLOOKUP(D109,'Feb 2013 Revenue'!D:T,17,FALSE)</f>
        <v>0</v>
      </c>
      <c r="G109" s="680"/>
      <c r="H109" s="680"/>
      <c r="I109" s="770">
        <v>1476.15</v>
      </c>
      <c r="J109" s="682">
        <f t="shared" si="15"/>
        <v>1476.15</v>
      </c>
      <c r="K109" s="683"/>
      <c r="L109" s="684"/>
      <c r="M109" s="753"/>
      <c r="N109" s="683">
        <v>0</v>
      </c>
      <c r="O109" s="686"/>
      <c r="P109" s="683">
        <v>0</v>
      </c>
      <c r="Q109" s="687">
        <f t="shared" si="1"/>
        <v>0</v>
      </c>
      <c r="R109" s="688">
        <v>0</v>
      </c>
      <c r="S109" s="693"/>
      <c r="T109" s="690">
        <f t="shared" si="17"/>
        <v>0</v>
      </c>
      <c r="U109" s="683"/>
      <c r="V109" s="474">
        <f t="shared" si="21"/>
        <v>0</v>
      </c>
      <c r="W109" s="474">
        <f t="shared" si="22"/>
        <v>0</v>
      </c>
      <c r="X109" s="475">
        <f t="shared" si="23"/>
        <v>0</v>
      </c>
      <c r="Y109" s="475">
        <v>0</v>
      </c>
      <c r="Z109" s="476">
        <v>0</v>
      </c>
      <c r="AA109" s="38">
        <f t="shared" si="24"/>
        <v>0</v>
      </c>
      <c r="AB109" s="692">
        <f t="shared" si="18"/>
        <v>1476.15</v>
      </c>
      <c r="AC109" s="692">
        <f t="shared" si="19"/>
        <v>0</v>
      </c>
      <c r="AD109" s="692">
        <f t="shared" si="20"/>
        <v>0</v>
      </c>
      <c r="AE109" s="38"/>
      <c r="AF109" s="692">
        <f t="shared" si="25"/>
        <v>0</v>
      </c>
      <c r="AG109" s="692">
        <f t="shared" si="26"/>
        <v>0</v>
      </c>
      <c r="AH109" s="692">
        <f t="shared" si="27"/>
        <v>0</v>
      </c>
      <c r="AJ109" s="38">
        <f t="shared" si="16"/>
        <v>1476.15</v>
      </c>
    </row>
    <row r="110" spans="1:36" s="232" customFormat="1">
      <c r="A110" s="283"/>
      <c r="B110" s="283" t="s">
        <v>110</v>
      </c>
      <c r="C110" s="667"/>
      <c r="D110" s="123" t="s">
        <v>592</v>
      </c>
      <c r="E110" s="679"/>
      <c r="F110" s="529">
        <f>VLOOKUP(D110,'Feb 2013 Revenue'!D:T,17,FALSE)</f>
        <v>0</v>
      </c>
      <c r="G110" s="680"/>
      <c r="H110" s="680"/>
      <c r="I110" s="770">
        <v>768.54</v>
      </c>
      <c r="J110" s="682">
        <f t="shared" si="15"/>
        <v>768.54</v>
      </c>
      <c r="K110" s="683"/>
      <c r="L110" s="684"/>
      <c r="M110" s="753"/>
      <c r="N110" s="683">
        <v>0</v>
      </c>
      <c r="O110" s="686"/>
      <c r="P110" s="683">
        <v>0</v>
      </c>
      <c r="Q110" s="687">
        <f t="shared" si="1"/>
        <v>0</v>
      </c>
      <c r="R110" s="688">
        <v>0</v>
      </c>
      <c r="S110" s="693"/>
      <c r="T110" s="690">
        <f t="shared" si="17"/>
        <v>0</v>
      </c>
      <c r="U110" s="683"/>
      <c r="V110" s="474">
        <f t="shared" si="21"/>
        <v>0</v>
      </c>
      <c r="W110" s="474">
        <f t="shared" si="22"/>
        <v>0</v>
      </c>
      <c r="X110" s="475">
        <f t="shared" si="23"/>
        <v>0</v>
      </c>
      <c r="Y110" s="475">
        <v>0</v>
      </c>
      <c r="Z110" s="476">
        <v>0</v>
      </c>
      <c r="AA110" s="38">
        <f t="shared" si="24"/>
        <v>0</v>
      </c>
      <c r="AB110" s="692">
        <f t="shared" si="18"/>
        <v>768.54</v>
      </c>
      <c r="AC110" s="692">
        <f t="shared" si="19"/>
        <v>0</v>
      </c>
      <c r="AD110" s="692">
        <f t="shared" si="20"/>
        <v>0</v>
      </c>
      <c r="AE110" s="38"/>
      <c r="AF110" s="692">
        <f t="shared" si="25"/>
        <v>0</v>
      </c>
      <c r="AG110" s="692">
        <f t="shared" si="26"/>
        <v>0</v>
      </c>
      <c r="AH110" s="692">
        <f t="shared" si="27"/>
        <v>0</v>
      </c>
      <c r="AJ110" s="38">
        <f t="shared" si="16"/>
        <v>768.54</v>
      </c>
    </row>
    <row r="111" spans="1:36" s="232" customFormat="1">
      <c r="A111" s="283"/>
      <c r="B111" s="283" t="s">
        <v>110</v>
      </c>
      <c r="C111" s="667"/>
      <c r="D111" s="123" t="s">
        <v>512</v>
      </c>
      <c r="E111" s="679"/>
      <c r="F111" s="529">
        <f>VLOOKUP(D111,'Feb 2013 Revenue'!D:T,17,FALSE)</f>
        <v>0</v>
      </c>
      <c r="G111" s="680"/>
      <c r="H111" s="680"/>
      <c r="I111" s="770">
        <v>24532.06</v>
      </c>
      <c r="J111" s="682">
        <f t="shared" si="15"/>
        <v>24532.06</v>
      </c>
      <c r="K111" s="683"/>
      <c r="L111" s="684"/>
      <c r="M111" s="753"/>
      <c r="N111" s="683">
        <v>0</v>
      </c>
      <c r="O111" s="686"/>
      <c r="P111" s="683"/>
      <c r="Q111" s="687">
        <f t="shared" si="1"/>
        <v>0</v>
      </c>
      <c r="R111" s="688">
        <v>0</v>
      </c>
      <c r="S111" s="693"/>
      <c r="T111" s="690">
        <f t="shared" si="17"/>
        <v>0</v>
      </c>
      <c r="U111" s="683"/>
      <c r="V111" s="474">
        <f t="shared" si="21"/>
        <v>0</v>
      </c>
      <c r="W111" s="474">
        <f t="shared" si="22"/>
        <v>0</v>
      </c>
      <c r="X111" s="475">
        <f t="shared" si="23"/>
        <v>0</v>
      </c>
      <c r="Y111" s="475">
        <v>0</v>
      </c>
      <c r="Z111" s="476">
        <v>0</v>
      </c>
      <c r="AA111" s="38">
        <f t="shared" si="24"/>
        <v>0</v>
      </c>
      <c r="AB111" s="692">
        <f t="shared" si="18"/>
        <v>24532.06</v>
      </c>
      <c r="AC111" s="692">
        <f t="shared" si="19"/>
        <v>0</v>
      </c>
      <c r="AD111" s="692">
        <f t="shared" si="20"/>
        <v>0</v>
      </c>
      <c r="AE111" s="38"/>
      <c r="AF111" s="692">
        <f t="shared" si="25"/>
        <v>0</v>
      </c>
      <c r="AG111" s="692">
        <f t="shared" si="26"/>
        <v>0</v>
      </c>
      <c r="AH111" s="692">
        <f t="shared" si="27"/>
        <v>0</v>
      </c>
      <c r="AJ111" s="38">
        <f t="shared" si="16"/>
        <v>24532.06</v>
      </c>
    </row>
    <row r="112" spans="1:36" s="24" customFormat="1">
      <c r="A112" s="32"/>
      <c r="B112" s="32" t="s">
        <v>110</v>
      </c>
      <c r="C112" s="667"/>
      <c r="D112" s="68" t="s">
        <v>588</v>
      </c>
      <c r="E112" s="679"/>
      <c r="F112" s="529">
        <f>VLOOKUP(D112,'Feb 2013 Revenue'!D:T,17,FALSE)</f>
        <v>0</v>
      </c>
      <c r="G112" s="680"/>
      <c r="H112" s="680"/>
      <c r="I112" s="755"/>
      <c r="J112" s="682">
        <f t="shared" si="15"/>
        <v>0</v>
      </c>
      <c r="K112" s="683"/>
      <c r="L112" s="684"/>
      <c r="M112" s="753"/>
      <c r="N112" s="698"/>
      <c r="O112" s="699"/>
      <c r="P112" s="698"/>
      <c r="Q112" s="687">
        <f t="shared" si="1"/>
        <v>0</v>
      </c>
      <c r="R112" s="688">
        <v>0</v>
      </c>
      <c r="S112" s="693"/>
      <c r="T112" s="690">
        <f t="shared" si="17"/>
        <v>0</v>
      </c>
      <c r="U112" s="683"/>
      <c r="V112" s="474">
        <f t="shared" si="21"/>
        <v>0</v>
      </c>
      <c r="W112" s="474">
        <f t="shared" si="22"/>
        <v>0</v>
      </c>
      <c r="X112" s="475">
        <f t="shared" si="23"/>
        <v>0</v>
      </c>
      <c r="Y112" s="475">
        <v>0</v>
      </c>
      <c r="Z112" s="476">
        <v>0</v>
      </c>
      <c r="AA112" s="38">
        <f t="shared" si="24"/>
        <v>0</v>
      </c>
      <c r="AB112" s="692">
        <f t="shared" si="18"/>
        <v>0</v>
      </c>
      <c r="AC112" s="692">
        <f t="shared" si="19"/>
        <v>0</v>
      </c>
      <c r="AD112" s="692">
        <f t="shared" si="20"/>
        <v>0</v>
      </c>
      <c r="AE112" s="38"/>
      <c r="AF112" s="692">
        <f t="shared" si="25"/>
        <v>0</v>
      </c>
      <c r="AG112" s="692">
        <f t="shared" si="26"/>
        <v>0</v>
      </c>
      <c r="AH112" s="692">
        <f t="shared" si="27"/>
        <v>0</v>
      </c>
      <c r="AJ112" s="38">
        <f t="shared" si="16"/>
        <v>0</v>
      </c>
    </row>
    <row r="113" spans="1:36">
      <c r="A113" s="21"/>
      <c r="B113" s="21" t="s">
        <v>109</v>
      </c>
      <c r="C113" s="666" t="s">
        <v>548</v>
      </c>
      <c r="D113" s="68" t="s">
        <v>461</v>
      </c>
      <c r="E113" s="679"/>
      <c r="F113" s="529">
        <f>VLOOKUP(D113,'Feb 2013 Revenue'!D:T,17,FALSE)</f>
        <v>0</v>
      </c>
      <c r="G113" s="680"/>
      <c r="H113" s="680"/>
      <c r="I113" s="755"/>
      <c r="J113" s="682">
        <f t="shared" si="15"/>
        <v>0</v>
      </c>
      <c r="K113" s="683"/>
      <c r="L113" s="684"/>
      <c r="M113" s="753"/>
      <c r="N113" s="683">
        <v>0</v>
      </c>
      <c r="O113" s="686"/>
      <c r="P113" s="683">
        <v>0</v>
      </c>
      <c r="Q113" s="687">
        <f t="shared" si="1"/>
        <v>0</v>
      </c>
      <c r="R113" s="688">
        <v>2976.27</v>
      </c>
      <c r="S113" s="693"/>
      <c r="T113" s="690">
        <f t="shared" si="17"/>
        <v>2976.27</v>
      </c>
      <c r="U113" s="683"/>
      <c r="V113" s="474">
        <f t="shared" si="21"/>
        <v>0</v>
      </c>
      <c r="W113" s="474">
        <f t="shared" si="22"/>
        <v>0</v>
      </c>
      <c r="X113" s="475">
        <f t="shared" si="23"/>
        <v>0</v>
      </c>
      <c r="Y113" s="475">
        <v>0</v>
      </c>
      <c r="Z113" s="476">
        <v>0</v>
      </c>
      <c r="AA113" s="38">
        <f t="shared" si="24"/>
        <v>0</v>
      </c>
      <c r="AB113" s="692">
        <f t="shared" si="18"/>
        <v>0</v>
      </c>
      <c r="AC113" s="692">
        <f t="shared" si="19"/>
        <v>0</v>
      </c>
      <c r="AD113" s="692">
        <f t="shared" si="20"/>
        <v>0</v>
      </c>
      <c r="AE113" s="38"/>
      <c r="AF113" s="692">
        <f t="shared" si="25"/>
        <v>0</v>
      </c>
      <c r="AG113" s="692">
        <f t="shared" si="26"/>
        <v>0</v>
      </c>
      <c r="AH113" s="692">
        <f t="shared" si="27"/>
        <v>0</v>
      </c>
      <c r="AJ113" s="38">
        <f t="shared" si="16"/>
        <v>0</v>
      </c>
    </row>
    <row r="114" spans="1:36">
      <c r="A114" s="20"/>
      <c r="B114" s="20" t="s">
        <v>109</v>
      </c>
      <c r="C114" s="667" t="s">
        <v>549</v>
      </c>
      <c r="D114" s="68" t="s">
        <v>22</v>
      </c>
      <c r="E114" s="679"/>
      <c r="F114" s="529">
        <f>VLOOKUP(D114,'Feb 2013 Revenue'!D:T,17,FALSE)</f>
        <v>0</v>
      </c>
      <c r="G114" s="680"/>
      <c r="H114" s="680"/>
      <c r="I114" s="755"/>
      <c r="J114" s="682">
        <f t="shared" si="15"/>
        <v>0</v>
      </c>
      <c r="K114" s="683"/>
      <c r="L114" s="684"/>
      <c r="M114" s="753"/>
      <c r="N114" s="683">
        <v>0</v>
      </c>
      <c r="O114" s="686"/>
      <c r="P114" s="683">
        <v>0</v>
      </c>
      <c r="Q114" s="687">
        <f t="shared" si="1"/>
        <v>0</v>
      </c>
      <c r="R114" s="688">
        <v>0</v>
      </c>
      <c r="S114" s="693"/>
      <c r="T114" s="690">
        <f t="shared" si="17"/>
        <v>0</v>
      </c>
      <c r="U114" s="683"/>
      <c r="V114" s="474">
        <f t="shared" si="21"/>
        <v>0</v>
      </c>
      <c r="W114" s="474">
        <f t="shared" si="22"/>
        <v>0</v>
      </c>
      <c r="X114" s="475">
        <f t="shared" si="23"/>
        <v>0</v>
      </c>
      <c r="Y114" s="475">
        <v>0</v>
      </c>
      <c r="Z114" s="476">
        <v>0</v>
      </c>
      <c r="AA114" s="38">
        <f t="shared" si="24"/>
        <v>0</v>
      </c>
      <c r="AB114" s="692">
        <f t="shared" si="18"/>
        <v>0</v>
      </c>
      <c r="AC114" s="692">
        <f t="shared" si="19"/>
        <v>0</v>
      </c>
      <c r="AD114" s="692">
        <f t="shared" si="20"/>
        <v>0</v>
      </c>
      <c r="AE114" s="38"/>
      <c r="AF114" s="692">
        <f t="shared" si="25"/>
        <v>0</v>
      </c>
      <c r="AG114" s="692">
        <f t="shared" si="26"/>
        <v>0</v>
      </c>
      <c r="AH114" s="692">
        <f t="shared" si="27"/>
        <v>0</v>
      </c>
      <c r="AJ114" s="38">
        <f t="shared" si="16"/>
        <v>0</v>
      </c>
    </row>
    <row r="115" spans="1:36">
      <c r="A115" s="20"/>
      <c r="B115" s="20" t="s">
        <v>110</v>
      </c>
      <c r="C115" s="667"/>
      <c r="D115" s="68" t="s">
        <v>24</v>
      </c>
      <c r="E115" s="679"/>
      <c r="F115" s="529">
        <f>VLOOKUP(D115,'Feb 2013 Revenue'!D:T,17,FALSE)</f>
        <v>0</v>
      </c>
      <c r="G115" s="680"/>
      <c r="H115" s="680"/>
      <c r="I115" s="770">
        <v>6800.71</v>
      </c>
      <c r="J115" s="682">
        <f t="shared" si="15"/>
        <v>6800.71</v>
      </c>
      <c r="K115" s="683"/>
      <c r="L115" s="684"/>
      <c r="M115" s="753"/>
      <c r="N115" s="683">
        <v>0</v>
      </c>
      <c r="O115" s="686"/>
      <c r="P115" s="683">
        <v>0</v>
      </c>
      <c r="Q115" s="687">
        <f t="shared" si="1"/>
        <v>0</v>
      </c>
      <c r="R115" s="688">
        <v>0</v>
      </c>
      <c r="S115" s="693"/>
      <c r="T115" s="690">
        <f t="shared" si="17"/>
        <v>0</v>
      </c>
      <c r="U115" s="683"/>
      <c r="V115" s="474">
        <f t="shared" si="21"/>
        <v>0</v>
      </c>
      <c r="W115" s="474">
        <f t="shared" si="22"/>
        <v>0</v>
      </c>
      <c r="X115" s="475">
        <f t="shared" si="23"/>
        <v>0</v>
      </c>
      <c r="Y115" s="475">
        <v>0</v>
      </c>
      <c r="Z115" s="476">
        <v>0</v>
      </c>
      <c r="AA115" s="38">
        <f t="shared" si="24"/>
        <v>0</v>
      </c>
      <c r="AB115" s="692">
        <f t="shared" si="18"/>
        <v>6800.71</v>
      </c>
      <c r="AC115" s="692">
        <f t="shared" si="19"/>
        <v>0</v>
      </c>
      <c r="AD115" s="692">
        <f t="shared" si="20"/>
        <v>0</v>
      </c>
      <c r="AE115" s="38"/>
      <c r="AF115" s="692">
        <f t="shared" si="25"/>
        <v>0</v>
      </c>
      <c r="AG115" s="692">
        <f t="shared" si="26"/>
        <v>0</v>
      </c>
      <c r="AH115" s="692">
        <f t="shared" si="27"/>
        <v>0</v>
      </c>
      <c r="AJ115" s="38">
        <f t="shared" si="16"/>
        <v>6800.71</v>
      </c>
    </row>
    <row r="116" spans="1:36">
      <c r="A116" s="21"/>
      <c r="B116" s="21" t="s">
        <v>110</v>
      </c>
      <c r="C116" s="666" t="s">
        <v>550</v>
      </c>
      <c r="D116" s="68" t="s">
        <v>282</v>
      </c>
      <c r="E116" s="679"/>
      <c r="F116" s="529">
        <f>VLOOKUP(D116,'Feb 2013 Revenue'!D:T,17,FALSE)</f>
        <v>-501.79999999999927</v>
      </c>
      <c r="G116" s="680"/>
      <c r="H116" s="680"/>
      <c r="I116" s="755"/>
      <c r="J116" s="682">
        <f t="shared" si="15"/>
        <v>-501.79999999999927</v>
      </c>
      <c r="K116" s="683"/>
      <c r="L116" s="684"/>
      <c r="M116" s="753">
        <v>25000</v>
      </c>
      <c r="N116" s="683">
        <v>0</v>
      </c>
      <c r="O116" s="686"/>
      <c r="P116" s="683">
        <v>0</v>
      </c>
      <c r="Q116" s="687">
        <f t="shared" si="1"/>
        <v>25000</v>
      </c>
      <c r="R116" s="688">
        <v>41065.81</v>
      </c>
      <c r="S116" s="693"/>
      <c r="T116" s="690">
        <f t="shared" si="17"/>
        <v>16065.809999999998</v>
      </c>
      <c r="U116" s="683"/>
      <c r="V116" s="474">
        <f t="shared" si="21"/>
        <v>25000</v>
      </c>
      <c r="W116" s="474">
        <f t="shared" si="22"/>
        <v>0</v>
      </c>
      <c r="X116" s="475">
        <f t="shared" si="23"/>
        <v>0</v>
      </c>
      <c r="Y116" s="475">
        <v>0</v>
      </c>
      <c r="Z116" s="476">
        <v>0</v>
      </c>
      <c r="AA116" s="38">
        <f t="shared" si="24"/>
        <v>0</v>
      </c>
      <c r="AB116" s="692">
        <f t="shared" si="18"/>
        <v>-501.79999999999927</v>
      </c>
      <c r="AC116" s="692">
        <f t="shared" si="19"/>
        <v>0</v>
      </c>
      <c r="AD116" s="692">
        <f t="shared" si="20"/>
        <v>0</v>
      </c>
      <c r="AE116" s="38"/>
      <c r="AF116" s="692">
        <f t="shared" si="25"/>
        <v>25000</v>
      </c>
      <c r="AG116" s="692">
        <f t="shared" si="26"/>
        <v>0</v>
      </c>
      <c r="AH116" s="692">
        <f t="shared" si="27"/>
        <v>0</v>
      </c>
      <c r="AJ116" s="38">
        <f t="shared" si="16"/>
        <v>24498.2</v>
      </c>
    </row>
    <row r="117" spans="1:36">
      <c r="A117" s="21"/>
      <c r="B117" s="21" t="s">
        <v>109</v>
      </c>
      <c r="C117" s="666" t="s">
        <v>551</v>
      </c>
      <c r="D117" s="68" t="s">
        <v>499</v>
      </c>
      <c r="E117" s="679"/>
      <c r="F117" s="529">
        <f>VLOOKUP(D117,'Feb 2013 Revenue'!D:T,17,FALSE)</f>
        <v>0</v>
      </c>
      <c r="G117" s="680"/>
      <c r="H117" s="680"/>
      <c r="I117" s="755"/>
      <c r="J117" s="682">
        <f t="shared" si="15"/>
        <v>0</v>
      </c>
      <c r="K117" s="683"/>
      <c r="L117" s="684"/>
      <c r="M117" s="753"/>
      <c r="N117" s="683">
        <v>0</v>
      </c>
      <c r="O117" s="686"/>
      <c r="P117" s="683">
        <v>0</v>
      </c>
      <c r="Q117" s="687">
        <f t="shared" si="1"/>
        <v>0</v>
      </c>
      <c r="R117" s="688">
        <v>0</v>
      </c>
      <c r="S117" s="693"/>
      <c r="T117" s="690">
        <f t="shared" si="17"/>
        <v>0</v>
      </c>
      <c r="U117" s="683"/>
      <c r="V117" s="474">
        <f t="shared" si="21"/>
        <v>0</v>
      </c>
      <c r="W117" s="474">
        <f t="shared" si="22"/>
        <v>0</v>
      </c>
      <c r="X117" s="475">
        <f t="shared" si="23"/>
        <v>0</v>
      </c>
      <c r="Y117" s="475">
        <v>0</v>
      </c>
      <c r="Z117" s="476">
        <v>0</v>
      </c>
      <c r="AA117" s="38">
        <f t="shared" si="24"/>
        <v>0</v>
      </c>
      <c r="AB117" s="692">
        <f t="shared" si="18"/>
        <v>0</v>
      </c>
      <c r="AC117" s="692">
        <f t="shared" si="19"/>
        <v>0</v>
      </c>
      <c r="AD117" s="692">
        <f t="shared" si="20"/>
        <v>0</v>
      </c>
      <c r="AE117" s="38"/>
      <c r="AF117" s="692">
        <f t="shared" si="25"/>
        <v>0</v>
      </c>
      <c r="AG117" s="692">
        <f t="shared" si="26"/>
        <v>0</v>
      </c>
      <c r="AH117" s="692">
        <f t="shared" si="27"/>
        <v>0</v>
      </c>
      <c r="AJ117" s="38">
        <f t="shared" si="16"/>
        <v>0</v>
      </c>
    </row>
    <row r="118" spans="1:36">
      <c r="A118" s="21"/>
      <c r="B118" s="21" t="s">
        <v>110</v>
      </c>
      <c r="C118" s="666"/>
      <c r="D118" s="68" t="s">
        <v>28</v>
      </c>
      <c r="E118" s="679"/>
      <c r="F118" s="529">
        <f>VLOOKUP(D118,'Feb 2013 Revenue'!D:T,17,FALSE)</f>
        <v>0</v>
      </c>
      <c r="G118" s="680"/>
      <c r="H118" s="680"/>
      <c r="I118" s="770">
        <v>10055.5</v>
      </c>
      <c r="J118" s="682">
        <f t="shared" si="15"/>
        <v>10055.5</v>
      </c>
      <c r="K118" s="683"/>
      <c r="L118" s="684"/>
      <c r="M118" s="753"/>
      <c r="N118" s="683">
        <v>0</v>
      </c>
      <c r="O118" s="686"/>
      <c r="P118" s="683">
        <v>0</v>
      </c>
      <c r="Q118" s="687">
        <f t="shared" si="1"/>
        <v>0</v>
      </c>
      <c r="R118" s="688">
        <v>0</v>
      </c>
      <c r="S118" s="693"/>
      <c r="T118" s="690">
        <f t="shared" si="17"/>
        <v>0</v>
      </c>
      <c r="U118" s="683"/>
      <c r="V118" s="474">
        <f t="shared" si="21"/>
        <v>0</v>
      </c>
      <c r="W118" s="474">
        <f t="shared" si="22"/>
        <v>0</v>
      </c>
      <c r="X118" s="475">
        <f t="shared" si="23"/>
        <v>0</v>
      </c>
      <c r="Y118" s="475">
        <v>0</v>
      </c>
      <c r="Z118" s="476">
        <v>0</v>
      </c>
      <c r="AA118" s="38">
        <f t="shared" si="24"/>
        <v>0</v>
      </c>
      <c r="AB118" s="692">
        <f t="shared" si="18"/>
        <v>10055.5</v>
      </c>
      <c r="AC118" s="692">
        <f t="shared" si="19"/>
        <v>0</v>
      </c>
      <c r="AD118" s="692">
        <f t="shared" si="20"/>
        <v>0</v>
      </c>
      <c r="AE118" s="38"/>
      <c r="AF118" s="692">
        <f t="shared" si="25"/>
        <v>0</v>
      </c>
      <c r="AG118" s="692">
        <f t="shared" si="26"/>
        <v>0</v>
      </c>
      <c r="AH118" s="692">
        <f t="shared" si="27"/>
        <v>0</v>
      </c>
      <c r="AJ118" s="38">
        <f t="shared" si="16"/>
        <v>10055.5</v>
      </c>
    </row>
    <row r="119" spans="1:36">
      <c r="A119" s="21"/>
      <c r="B119" s="21" t="s">
        <v>114</v>
      </c>
      <c r="C119" s="666" t="s">
        <v>552</v>
      </c>
      <c r="D119" s="68" t="s">
        <v>513</v>
      </c>
      <c r="E119" s="679"/>
      <c r="F119" s="529">
        <f>VLOOKUP(D119,'Feb 2013 Revenue'!D:T,17,FALSE)</f>
        <v>-4000</v>
      </c>
      <c r="G119" s="680"/>
      <c r="H119" s="680"/>
      <c r="I119" s="755"/>
      <c r="J119" s="682">
        <f t="shared" si="15"/>
        <v>-4000</v>
      </c>
      <c r="K119" s="683"/>
      <c r="L119" s="684"/>
      <c r="M119" s="753">
        <v>8000</v>
      </c>
      <c r="N119" s="683">
        <v>0</v>
      </c>
      <c r="O119" s="686"/>
      <c r="P119" s="683">
        <v>0</v>
      </c>
      <c r="Q119" s="687">
        <f>L119+M119</f>
        <v>8000</v>
      </c>
      <c r="R119" s="688">
        <v>0</v>
      </c>
      <c r="S119" s="693"/>
      <c r="T119" s="690">
        <f t="shared" si="17"/>
        <v>-8000</v>
      </c>
      <c r="U119" s="683"/>
      <c r="V119" s="474">
        <f t="shared" si="21"/>
        <v>0</v>
      </c>
      <c r="W119" s="474">
        <f t="shared" si="22"/>
        <v>0</v>
      </c>
      <c r="X119" s="475">
        <f t="shared" si="23"/>
        <v>8000</v>
      </c>
      <c r="Y119" s="475">
        <v>0</v>
      </c>
      <c r="Z119" s="476">
        <v>0</v>
      </c>
      <c r="AA119" s="38">
        <f t="shared" si="24"/>
        <v>0</v>
      </c>
      <c r="AB119" s="692">
        <f t="shared" si="18"/>
        <v>0</v>
      </c>
      <c r="AC119" s="692">
        <f t="shared" si="19"/>
        <v>0</v>
      </c>
      <c r="AD119" s="692">
        <f t="shared" si="20"/>
        <v>-4000</v>
      </c>
      <c r="AE119" s="38"/>
      <c r="AF119" s="692">
        <f t="shared" si="25"/>
        <v>0</v>
      </c>
      <c r="AG119" s="692">
        <f t="shared" si="26"/>
        <v>0</v>
      </c>
      <c r="AH119" s="692">
        <f t="shared" si="27"/>
        <v>8000</v>
      </c>
      <c r="AJ119" s="38">
        <f t="shared" si="16"/>
        <v>4000</v>
      </c>
    </row>
    <row r="120" spans="1:36">
      <c r="A120" s="21"/>
      <c r="B120" s="21" t="s">
        <v>109</v>
      </c>
      <c r="C120" s="666" t="s">
        <v>553</v>
      </c>
      <c r="D120" s="68" t="s">
        <v>308</v>
      </c>
      <c r="E120" s="679"/>
      <c r="F120" s="529">
        <f>VLOOKUP(D120,'Feb 2013 Revenue'!D:T,17,FALSE)</f>
        <v>0</v>
      </c>
      <c r="G120" s="680"/>
      <c r="H120" s="680"/>
      <c r="I120" s="755"/>
      <c r="J120" s="682">
        <f t="shared" si="15"/>
        <v>0</v>
      </c>
      <c r="K120" s="683"/>
      <c r="L120" s="684"/>
      <c r="M120" s="753"/>
      <c r="N120" s="683">
        <v>0</v>
      </c>
      <c r="O120" s="686"/>
      <c r="P120" s="683">
        <v>0</v>
      </c>
      <c r="Q120" s="687">
        <f t="shared" si="1"/>
        <v>0</v>
      </c>
      <c r="R120" s="688">
        <v>0</v>
      </c>
      <c r="S120" s="693"/>
      <c r="T120" s="690">
        <f t="shared" si="17"/>
        <v>0</v>
      </c>
      <c r="U120" s="683"/>
      <c r="V120" s="474">
        <f t="shared" si="21"/>
        <v>0</v>
      </c>
      <c r="W120" s="474">
        <f t="shared" si="22"/>
        <v>0</v>
      </c>
      <c r="X120" s="475">
        <f t="shared" si="23"/>
        <v>0</v>
      </c>
      <c r="Y120" s="475">
        <v>0</v>
      </c>
      <c r="Z120" s="476">
        <v>0</v>
      </c>
      <c r="AA120" s="38">
        <f t="shared" si="24"/>
        <v>0</v>
      </c>
      <c r="AB120" s="692">
        <f t="shared" si="18"/>
        <v>0</v>
      </c>
      <c r="AC120" s="692">
        <f t="shared" si="19"/>
        <v>0</v>
      </c>
      <c r="AD120" s="692">
        <f t="shared" si="20"/>
        <v>0</v>
      </c>
      <c r="AE120" s="38"/>
      <c r="AF120" s="692">
        <f t="shared" si="25"/>
        <v>0</v>
      </c>
      <c r="AG120" s="692">
        <f t="shared" si="26"/>
        <v>0</v>
      </c>
      <c r="AH120" s="692">
        <f t="shared" si="27"/>
        <v>0</v>
      </c>
      <c r="AJ120" s="38">
        <f t="shared" si="16"/>
        <v>0</v>
      </c>
    </row>
    <row r="121" spans="1:36" s="232" customFormat="1">
      <c r="A121" s="283" t="s">
        <v>211</v>
      </c>
      <c r="B121" s="283" t="s">
        <v>109</v>
      </c>
      <c r="C121" s="667" t="s">
        <v>554</v>
      </c>
      <c r="D121" s="123" t="s">
        <v>389</v>
      </c>
      <c r="E121" s="679"/>
      <c r="F121" s="529">
        <f>VLOOKUP(D121,'Feb 2013 Revenue'!D:T,17,FALSE)</f>
        <v>0</v>
      </c>
      <c r="G121" s="680"/>
      <c r="H121" s="680"/>
      <c r="I121" s="755"/>
      <c r="J121" s="682">
        <f t="shared" ref="J121:J184" si="28">SUM(E121:I121)</f>
        <v>0</v>
      </c>
      <c r="K121" s="683"/>
      <c r="L121" s="684"/>
      <c r="M121" s="753"/>
      <c r="N121" s="683">
        <v>0</v>
      </c>
      <c r="O121" s="686"/>
      <c r="P121" s="683">
        <v>0</v>
      </c>
      <c r="Q121" s="687">
        <f t="shared" si="1"/>
        <v>0</v>
      </c>
      <c r="R121" s="688">
        <v>0</v>
      </c>
      <c r="S121" s="693"/>
      <c r="T121" s="690">
        <f t="shared" si="17"/>
        <v>0</v>
      </c>
      <c r="U121" s="683"/>
      <c r="V121" s="474">
        <f t="shared" si="21"/>
        <v>0</v>
      </c>
      <c r="W121" s="474">
        <f t="shared" si="22"/>
        <v>0</v>
      </c>
      <c r="X121" s="475">
        <f t="shared" si="23"/>
        <v>0</v>
      </c>
      <c r="Y121" s="475">
        <v>0</v>
      </c>
      <c r="Z121" s="476">
        <v>0</v>
      </c>
      <c r="AA121" s="38">
        <f t="shared" si="24"/>
        <v>0</v>
      </c>
      <c r="AB121" s="692">
        <f t="shared" si="18"/>
        <v>0</v>
      </c>
      <c r="AC121" s="692">
        <f t="shared" si="19"/>
        <v>0</v>
      </c>
      <c r="AD121" s="692">
        <f t="shared" si="20"/>
        <v>0</v>
      </c>
      <c r="AE121" s="38"/>
      <c r="AF121" s="692">
        <f t="shared" si="25"/>
        <v>0</v>
      </c>
      <c r="AG121" s="692">
        <f t="shared" si="26"/>
        <v>0</v>
      </c>
      <c r="AH121" s="692">
        <f t="shared" si="27"/>
        <v>0</v>
      </c>
      <c r="AJ121" s="38">
        <f t="shared" si="16"/>
        <v>0</v>
      </c>
    </row>
    <row r="122" spans="1:36" s="232" customFormat="1">
      <c r="A122" s="283"/>
      <c r="B122" s="283" t="s">
        <v>110</v>
      </c>
      <c r="C122" s="667"/>
      <c r="D122" s="123" t="s">
        <v>807</v>
      </c>
      <c r="E122" s="679"/>
      <c r="F122" s="529">
        <f>VLOOKUP(D122,'Feb 2013 Revenue'!D:T,17,FALSE)</f>
        <v>0</v>
      </c>
      <c r="G122" s="680"/>
      <c r="H122" s="680"/>
      <c r="I122" s="755"/>
      <c r="J122" s="682">
        <f t="shared" si="28"/>
        <v>0</v>
      </c>
      <c r="K122" s="683"/>
      <c r="L122" s="684"/>
      <c r="M122" s="753"/>
      <c r="N122" s="683">
        <v>0</v>
      </c>
      <c r="O122" s="686"/>
      <c r="P122" s="683">
        <v>0</v>
      </c>
      <c r="Q122" s="687">
        <f t="shared" si="1"/>
        <v>0</v>
      </c>
      <c r="R122" s="688">
        <v>2057.63</v>
      </c>
      <c r="S122" s="693"/>
      <c r="T122" s="690">
        <f t="shared" si="17"/>
        <v>2057.63</v>
      </c>
      <c r="U122" s="683"/>
      <c r="V122" s="474">
        <f t="shared" si="21"/>
        <v>0</v>
      </c>
      <c r="W122" s="474">
        <f t="shared" si="22"/>
        <v>0</v>
      </c>
      <c r="X122" s="475">
        <f t="shared" si="23"/>
        <v>0</v>
      </c>
      <c r="Y122" s="475">
        <v>0</v>
      </c>
      <c r="Z122" s="476">
        <v>0</v>
      </c>
      <c r="AA122" s="38">
        <f t="shared" si="24"/>
        <v>0</v>
      </c>
      <c r="AB122" s="692">
        <f t="shared" si="18"/>
        <v>0</v>
      </c>
      <c r="AC122" s="692">
        <f t="shared" si="19"/>
        <v>0</v>
      </c>
      <c r="AD122" s="692">
        <f t="shared" si="20"/>
        <v>0</v>
      </c>
      <c r="AE122" s="38"/>
      <c r="AF122" s="692">
        <f t="shared" si="25"/>
        <v>0</v>
      </c>
      <c r="AG122" s="692">
        <f t="shared" si="26"/>
        <v>0</v>
      </c>
      <c r="AH122" s="692">
        <f t="shared" si="27"/>
        <v>0</v>
      </c>
      <c r="AJ122" s="38">
        <f t="shared" si="16"/>
        <v>0</v>
      </c>
    </row>
    <row r="123" spans="1:36" s="232" customFormat="1">
      <c r="A123" s="283"/>
      <c r="B123" s="283" t="s">
        <v>109</v>
      </c>
      <c r="C123" s="667"/>
      <c r="D123" s="123" t="s">
        <v>808</v>
      </c>
      <c r="E123" s="679"/>
      <c r="F123" s="529">
        <f>VLOOKUP(D123,'Feb 2013 Revenue'!D:T,17,FALSE)</f>
        <v>0</v>
      </c>
      <c r="G123" s="680"/>
      <c r="H123" s="680"/>
      <c r="I123" s="755"/>
      <c r="J123" s="682">
        <f t="shared" si="28"/>
        <v>0</v>
      </c>
      <c r="K123" s="683"/>
      <c r="L123" s="684"/>
      <c r="M123" s="753">
        <v>18000</v>
      </c>
      <c r="N123" s="683">
        <v>0</v>
      </c>
      <c r="O123" s="686"/>
      <c r="P123" s="683">
        <v>0</v>
      </c>
      <c r="Q123" s="687">
        <f t="shared" si="1"/>
        <v>18000</v>
      </c>
      <c r="R123" s="688">
        <f>19258.44+689.31+5720.42</f>
        <v>25668.17</v>
      </c>
      <c r="S123" s="693"/>
      <c r="T123" s="690">
        <f t="shared" si="17"/>
        <v>7668.1699999999983</v>
      </c>
      <c r="U123" s="683"/>
      <c r="V123" s="474">
        <f t="shared" si="21"/>
        <v>0</v>
      </c>
      <c r="W123" s="474">
        <f t="shared" si="22"/>
        <v>18000</v>
      </c>
      <c r="X123" s="475">
        <f t="shared" si="23"/>
        <v>0</v>
      </c>
      <c r="Y123" s="475">
        <v>0</v>
      </c>
      <c r="Z123" s="476">
        <v>0</v>
      </c>
      <c r="AA123" s="38">
        <f t="shared" si="24"/>
        <v>0</v>
      </c>
      <c r="AB123" s="692">
        <f t="shared" si="18"/>
        <v>0</v>
      </c>
      <c r="AC123" s="692">
        <f t="shared" si="19"/>
        <v>0</v>
      </c>
      <c r="AD123" s="692">
        <f t="shared" si="20"/>
        <v>0</v>
      </c>
      <c r="AE123" s="38"/>
      <c r="AF123" s="692">
        <f t="shared" si="25"/>
        <v>0</v>
      </c>
      <c r="AG123" s="692">
        <f t="shared" si="26"/>
        <v>18000</v>
      </c>
      <c r="AH123" s="692">
        <f t="shared" si="27"/>
        <v>0</v>
      </c>
      <c r="AJ123" s="38">
        <f t="shared" si="16"/>
        <v>18000</v>
      </c>
    </row>
    <row r="124" spans="1:36" s="232" customFormat="1">
      <c r="A124" s="403"/>
      <c r="B124" s="403" t="s">
        <v>110</v>
      </c>
      <c r="C124" s="666" t="s">
        <v>563</v>
      </c>
      <c r="D124" s="123" t="s">
        <v>867</v>
      </c>
      <c r="E124" s="679"/>
      <c r="F124" s="529">
        <f>VLOOKUP(D124,'Feb 2013 Revenue'!D:T,17,FALSE)</f>
        <v>0</v>
      </c>
      <c r="G124" s="680"/>
      <c r="H124" s="680"/>
      <c r="I124" s="755"/>
      <c r="J124" s="682">
        <f t="shared" si="28"/>
        <v>0</v>
      </c>
      <c r="K124" s="683"/>
      <c r="L124" s="684"/>
      <c r="M124" s="753"/>
      <c r="N124" s="683">
        <v>0</v>
      </c>
      <c r="O124" s="686"/>
      <c r="P124" s="683">
        <v>0</v>
      </c>
      <c r="Q124" s="687">
        <f t="shared" si="1"/>
        <v>0</v>
      </c>
      <c r="R124" s="688">
        <v>0</v>
      </c>
      <c r="S124" s="693"/>
      <c r="T124" s="690">
        <f t="shared" si="17"/>
        <v>0</v>
      </c>
      <c r="U124" s="683"/>
      <c r="V124" s="474">
        <f t="shared" si="21"/>
        <v>0</v>
      </c>
      <c r="W124" s="474">
        <f t="shared" si="22"/>
        <v>0</v>
      </c>
      <c r="X124" s="475">
        <f t="shared" si="23"/>
        <v>0</v>
      </c>
      <c r="Y124" s="475">
        <v>0</v>
      </c>
      <c r="Z124" s="476">
        <v>0</v>
      </c>
      <c r="AA124" s="38">
        <f t="shared" si="24"/>
        <v>0</v>
      </c>
      <c r="AB124" s="692">
        <f t="shared" si="18"/>
        <v>0</v>
      </c>
      <c r="AC124" s="692">
        <f t="shared" si="19"/>
        <v>0</v>
      </c>
      <c r="AD124" s="692">
        <f t="shared" si="20"/>
        <v>0</v>
      </c>
      <c r="AE124" s="38"/>
      <c r="AF124" s="692">
        <f t="shared" si="25"/>
        <v>0</v>
      </c>
      <c r="AG124" s="692">
        <f t="shared" si="26"/>
        <v>0</v>
      </c>
      <c r="AH124" s="692">
        <f t="shared" si="27"/>
        <v>0</v>
      </c>
      <c r="AJ124" s="38">
        <f t="shared" si="16"/>
        <v>0</v>
      </c>
    </row>
    <row r="125" spans="1:36" s="232" customFormat="1">
      <c r="A125" s="283"/>
      <c r="B125" s="283" t="s">
        <v>110</v>
      </c>
      <c r="C125" s="667"/>
      <c r="D125" s="68" t="s">
        <v>488</v>
      </c>
      <c r="E125" s="679"/>
      <c r="F125" s="529">
        <f>VLOOKUP(D125,'Feb 2013 Revenue'!D:T,17,FALSE)</f>
        <v>0</v>
      </c>
      <c r="G125" s="680"/>
      <c r="H125" s="680"/>
      <c r="I125" s="755"/>
      <c r="J125" s="682">
        <f t="shared" si="28"/>
        <v>0</v>
      </c>
      <c r="K125" s="683"/>
      <c r="L125" s="684"/>
      <c r="M125" s="753"/>
      <c r="N125" s="683">
        <v>0</v>
      </c>
      <c r="O125" s="686"/>
      <c r="P125" s="683">
        <v>0</v>
      </c>
      <c r="Q125" s="687">
        <f t="shared" si="1"/>
        <v>0</v>
      </c>
      <c r="R125" s="688">
        <v>0</v>
      </c>
      <c r="S125" s="693"/>
      <c r="T125" s="690">
        <f t="shared" si="17"/>
        <v>0</v>
      </c>
      <c r="U125" s="683"/>
      <c r="V125" s="474">
        <f t="shared" si="21"/>
        <v>0</v>
      </c>
      <c r="W125" s="474">
        <f t="shared" si="22"/>
        <v>0</v>
      </c>
      <c r="X125" s="475">
        <f t="shared" si="23"/>
        <v>0</v>
      </c>
      <c r="Y125" s="475">
        <v>0</v>
      </c>
      <c r="Z125" s="476">
        <v>0</v>
      </c>
      <c r="AA125" s="38">
        <f t="shared" si="24"/>
        <v>0</v>
      </c>
      <c r="AB125" s="692">
        <f t="shared" si="18"/>
        <v>0</v>
      </c>
      <c r="AC125" s="692">
        <f t="shared" si="19"/>
        <v>0</v>
      </c>
      <c r="AD125" s="692">
        <f t="shared" si="20"/>
        <v>0</v>
      </c>
      <c r="AE125" s="38"/>
      <c r="AF125" s="692">
        <f t="shared" si="25"/>
        <v>0</v>
      </c>
      <c r="AG125" s="692">
        <f t="shared" si="26"/>
        <v>0</v>
      </c>
      <c r="AH125" s="692">
        <f t="shared" si="27"/>
        <v>0</v>
      </c>
      <c r="AJ125" s="38">
        <f t="shared" si="16"/>
        <v>0</v>
      </c>
    </row>
    <row r="126" spans="1:36" s="232" customFormat="1">
      <c r="A126" s="283"/>
      <c r="B126" s="283" t="s">
        <v>110</v>
      </c>
      <c r="C126" s="667" t="s">
        <v>555</v>
      </c>
      <c r="D126" s="123" t="s">
        <v>192</v>
      </c>
      <c r="E126" s="679"/>
      <c r="F126" s="529">
        <f>VLOOKUP(D126,'Feb 2013 Revenue'!D:T,17,FALSE)</f>
        <v>0</v>
      </c>
      <c r="G126" s="680"/>
      <c r="H126" s="680"/>
      <c r="I126" s="770">
        <v>4090.94</v>
      </c>
      <c r="J126" s="682">
        <f t="shared" si="28"/>
        <v>4090.94</v>
      </c>
      <c r="K126" s="683"/>
      <c r="L126" s="684"/>
      <c r="M126" s="753"/>
      <c r="N126" s="683">
        <v>0</v>
      </c>
      <c r="O126" s="686"/>
      <c r="P126" s="683">
        <v>0</v>
      </c>
      <c r="Q126" s="687">
        <f t="shared" si="1"/>
        <v>0</v>
      </c>
      <c r="R126" s="688">
        <v>0</v>
      </c>
      <c r="S126" s="693"/>
      <c r="T126" s="690">
        <f t="shared" si="17"/>
        <v>0</v>
      </c>
      <c r="U126" s="683"/>
      <c r="V126" s="474">
        <f t="shared" si="21"/>
        <v>0</v>
      </c>
      <c r="W126" s="474">
        <f t="shared" si="22"/>
        <v>0</v>
      </c>
      <c r="X126" s="475">
        <f t="shared" si="23"/>
        <v>0</v>
      </c>
      <c r="Y126" s="475">
        <v>0</v>
      </c>
      <c r="Z126" s="476">
        <v>0</v>
      </c>
      <c r="AA126" s="38">
        <f t="shared" si="24"/>
        <v>0</v>
      </c>
      <c r="AB126" s="692">
        <f t="shared" si="18"/>
        <v>4090.94</v>
      </c>
      <c r="AC126" s="692">
        <f t="shared" si="19"/>
        <v>0</v>
      </c>
      <c r="AD126" s="692">
        <f t="shared" si="20"/>
        <v>0</v>
      </c>
      <c r="AE126" s="38"/>
      <c r="AF126" s="692">
        <f t="shared" si="25"/>
        <v>0</v>
      </c>
      <c r="AG126" s="692">
        <f t="shared" si="26"/>
        <v>0</v>
      </c>
      <c r="AH126" s="692">
        <f t="shared" si="27"/>
        <v>0</v>
      </c>
      <c r="AJ126" s="38">
        <f t="shared" si="16"/>
        <v>4090.94</v>
      </c>
    </row>
    <row r="127" spans="1:36" s="232" customFormat="1">
      <c r="A127" s="283"/>
      <c r="B127" s="283" t="s">
        <v>110</v>
      </c>
      <c r="C127" s="667" t="s">
        <v>555</v>
      </c>
      <c r="D127" s="123" t="s">
        <v>193</v>
      </c>
      <c r="E127" s="679"/>
      <c r="F127" s="529">
        <f>VLOOKUP(D127,'Feb 2013 Revenue'!D:T,17,FALSE)</f>
        <v>0</v>
      </c>
      <c r="G127" s="680"/>
      <c r="H127" s="680"/>
      <c r="I127" s="770">
        <v>294.42</v>
      </c>
      <c r="J127" s="682">
        <f t="shared" si="28"/>
        <v>294.42</v>
      </c>
      <c r="K127" s="683"/>
      <c r="L127" s="684"/>
      <c r="M127" s="753"/>
      <c r="N127" s="683">
        <v>0</v>
      </c>
      <c r="O127" s="686"/>
      <c r="P127" s="683">
        <v>0</v>
      </c>
      <c r="Q127" s="687">
        <f t="shared" si="1"/>
        <v>0</v>
      </c>
      <c r="R127" s="688">
        <v>0</v>
      </c>
      <c r="S127" s="693"/>
      <c r="T127" s="690">
        <f t="shared" si="17"/>
        <v>0</v>
      </c>
      <c r="U127" s="683"/>
      <c r="V127" s="474">
        <f t="shared" si="21"/>
        <v>0</v>
      </c>
      <c r="W127" s="474">
        <f t="shared" si="22"/>
        <v>0</v>
      </c>
      <c r="X127" s="475">
        <f t="shared" si="23"/>
        <v>0</v>
      </c>
      <c r="Y127" s="475">
        <v>0</v>
      </c>
      <c r="Z127" s="476">
        <v>0</v>
      </c>
      <c r="AA127" s="38">
        <f t="shared" si="24"/>
        <v>0</v>
      </c>
      <c r="AB127" s="692">
        <f t="shared" si="18"/>
        <v>294.42</v>
      </c>
      <c r="AC127" s="692">
        <f t="shared" si="19"/>
        <v>0</v>
      </c>
      <c r="AD127" s="692">
        <f t="shared" si="20"/>
        <v>0</v>
      </c>
      <c r="AE127" s="38"/>
      <c r="AF127" s="692">
        <f t="shared" si="25"/>
        <v>0</v>
      </c>
      <c r="AG127" s="692">
        <f t="shared" si="26"/>
        <v>0</v>
      </c>
      <c r="AH127" s="692">
        <f t="shared" si="27"/>
        <v>0</v>
      </c>
      <c r="AJ127" s="38">
        <f t="shared" si="16"/>
        <v>294.42</v>
      </c>
    </row>
    <row r="128" spans="1:36" s="232" customFormat="1">
      <c r="A128" s="283"/>
      <c r="B128" s="283" t="s">
        <v>110</v>
      </c>
      <c r="C128" s="667" t="s">
        <v>555</v>
      </c>
      <c r="D128" s="123" t="s">
        <v>194</v>
      </c>
      <c r="E128" s="679"/>
      <c r="F128" s="529">
        <f>VLOOKUP(D128,'Feb 2013 Revenue'!D:T,17,FALSE)</f>
        <v>0</v>
      </c>
      <c r="G128" s="680"/>
      <c r="H128" s="680"/>
      <c r="I128" s="770">
        <v>101.46</v>
      </c>
      <c r="J128" s="682">
        <f t="shared" si="28"/>
        <v>101.46</v>
      </c>
      <c r="K128" s="683"/>
      <c r="L128" s="684"/>
      <c r="M128" s="753"/>
      <c r="N128" s="683">
        <v>0</v>
      </c>
      <c r="O128" s="686"/>
      <c r="P128" s="683">
        <v>0</v>
      </c>
      <c r="Q128" s="687">
        <f t="shared" si="1"/>
        <v>0</v>
      </c>
      <c r="R128" s="688">
        <v>0</v>
      </c>
      <c r="S128" s="693"/>
      <c r="T128" s="690">
        <f t="shared" si="17"/>
        <v>0</v>
      </c>
      <c r="U128" s="683"/>
      <c r="V128" s="474">
        <f t="shared" si="21"/>
        <v>0</v>
      </c>
      <c r="W128" s="474">
        <f t="shared" si="22"/>
        <v>0</v>
      </c>
      <c r="X128" s="475">
        <f t="shared" si="23"/>
        <v>0</v>
      </c>
      <c r="Y128" s="475">
        <v>0</v>
      </c>
      <c r="Z128" s="476">
        <v>0</v>
      </c>
      <c r="AA128" s="38">
        <f t="shared" si="24"/>
        <v>0</v>
      </c>
      <c r="AB128" s="692">
        <f t="shared" si="18"/>
        <v>101.46</v>
      </c>
      <c r="AC128" s="692">
        <f t="shared" si="19"/>
        <v>0</v>
      </c>
      <c r="AD128" s="692">
        <f t="shared" si="20"/>
        <v>0</v>
      </c>
      <c r="AE128" s="38"/>
      <c r="AF128" s="692">
        <f t="shared" si="25"/>
        <v>0</v>
      </c>
      <c r="AG128" s="692">
        <f t="shared" si="26"/>
        <v>0</v>
      </c>
      <c r="AH128" s="692">
        <f t="shared" si="27"/>
        <v>0</v>
      </c>
      <c r="AJ128" s="38">
        <f t="shared" si="16"/>
        <v>101.46</v>
      </c>
    </row>
    <row r="129" spans="1:36" s="232" customFormat="1">
      <c r="A129" s="283"/>
      <c r="B129" s="283" t="s">
        <v>110</v>
      </c>
      <c r="C129" s="667" t="s">
        <v>555</v>
      </c>
      <c r="D129" s="123" t="s">
        <v>195</v>
      </c>
      <c r="E129" s="679"/>
      <c r="F129" s="529">
        <f>VLOOKUP(D129,'Feb 2013 Revenue'!D:T,17,FALSE)</f>
        <v>0</v>
      </c>
      <c r="G129" s="680"/>
      <c r="H129" s="680"/>
      <c r="I129" s="770">
        <v>3.93</v>
      </c>
      <c r="J129" s="682">
        <f t="shared" si="28"/>
        <v>3.93</v>
      </c>
      <c r="K129" s="683"/>
      <c r="L129" s="684"/>
      <c r="M129" s="753"/>
      <c r="N129" s="683">
        <v>0</v>
      </c>
      <c r="O129" s="686"/>
      <c r="P129" s="683">
        <v>0</v>
      </c>
      <c r="Q129" s="687">
        <f t="shared" si="1"/>
        <v>0</v>
      </c>
      <c r="R129" s="688">
        <v>0</v>
      </c>
      <c r="S129" s="693"/>
      <c r="T129" s="690">
        <f t="shared" si="17"/>
        <v>0</v>
      </c>
      <c r="U129" s="683"/>
      <c r="V129" s="474">
        <f t="shared" si="21"/>
        <v>0</v>
      </c>
      <c r="W129" s="474">
        <f t="shared" si="22"/>
        <v>0</v>
      </c>
      <c r="X129" s="475">
        <f t="shared" si="23"/>
        <v>0</v>
      </c>
      <c r="Y129" s="475">
        <v>0</v>
      </c>
      <c r="Z129" s="476">
        <v>0</v>
      </c>
      <c r="AA129" s="38">
        <f t="shared" si="24"/>
        <v>0</v>
      </c>
      <c r="AB129" s="692">
        <f t="shared" si="18"/>
        <v>3.93</v>
      </c>
      <c r="AC129" s="692">
        <f t="shared" si="19"/>
        <v>0</v>
      </c>
      <c r="AD129" s="692">
        <f t="shared" si="20"/>
        <v>0</v>
      </c>
      <c r="AE129" s="38"/>
      <c r="AF129" s="692">
        <f t="shared" si="25"/>
        <v>0</v>
      </c>
      <c r="AG129" s="692">
        <f t="shared" si="26"/>
        <v>0</v>
      </c>
      <c r="AH129" s="692">
        <f t="shared" si="27"/>
        <v>0</v>
      </c>
      <c r="AJ129" s="38">
        <f t="shared" si="16"/>
        <v>3.93</v>
      </c>
    </row>
    <row r="130" spans="1:36" s="232" customFormat="1">
      <c r="A130" s="283"/>
      <c r="B130" s="283" t="s">
        <v>110</v>
      </c>
      <c r="C130" s="667" t="s">
        <v>555</v>
      </c>
      <c r="D130" s="123" t="s">
        <v>196</v>
      </c>
      <c r="E130" s="679"/>
      <c r="F130" s="529">
        <f>VLOOKUP(D130,'Feb 2013 Revenue'!D:T,17,FALSE)</f>
        <v>0</v>
      </c>
      <c r="G130" s="680"/>
      <c r="H130" s="680"/>
      <c r="I130" s="770">
        <v>82.86</v>
      </c>
      <c r="J130" s="682">
        <f t="shared" si="28"/>
        <v>82.86</v>
      </c>
      <c r="K130" s="683"/>
      <c r="L130" s="684"/>
      <c r="M130" s="753"/>
      <c r="N130" s="683">
        <v>0</v>
      </c>
      <c r="O130" s="686"/>
      <c r="P130" s="683">
        <v>0</v>
      </c>
      <c r="Q130" s="687">
        <f t="shared" si="1"/>
        <v>0</v>
      </c>
      <c r="R130" s="688">
        <v>0</v>
      </c>
      <c r="S130" s="693"/>
      <c r="T130" s="690">
        <f t="shared" si="17"/>
        <v>0</v>
      </c>
      <c r="U130" s="683"/>
      <c r="V130" s="474">
        <f t="shared" si="21"/>
        <v>0</v>
      </c>
      <c r="W130" s="474">
        <f t="shared" si="22"/>
        <v>0</v>
      </c>
      <c r="X130" s="475">
        <f t="shared" si="23"/>
        <v>0</v>
      </c>
      <c r="Y130" s="475">
        <v>0</v>
      </c>
      <c r="Z130" s="476">
        <v>0</v>
      </c>
      <c r="AA130" s="38">
        <f t="shared" si="24"/>
        <v>0</v>
      </c>
      <c r="AB130" s="692">
        <f t="shared" si="18"/>
        <v>82.86</v>
      </c>
      <c r="AC130" s="692">
        <f t="shared" si="19"/>
        <v>0</v>
      </c>
      <c r="AD130" s="692">
        <f t="shared" si="20"/>
        <v>0</v>
      </c>
      <c r="AE130" s="38"/>
      <c r="AF130" s="692">
        <f t="shared" si="25"/>
        <v>0</v>
      </c>
      <c r="AG130" s="692">
        <f t="shared" si="26"/>
        <v>0</v>
      </c>
      <c r="AH130" s="692">
        <f t="shared" si="27"/>
        <v>0</v>
      </c>
      <c r="AJ130" s="38">
        <f t="shared" si="16"/>
        <v>82.86</v>
      </c>
    </row>
    <row r="131" spans="1:36" s="232" customFormat="1">
      <c r="A131" s="283"/>
      <c r="B131" s="283" t="s">
        <v>110</v>
      </c>
      <c r="C131" s="667" t="s">
        <v>555</v>
      </c>
      <c r="D131" s="123" t="s">
        <v>197</v>
      </c>
      <c r="E131" s="679"/>
      <c r="F131" s="529">
        <f>VLOOKUP(D131,'Feb 2013 Revenue'!D:T,17,FALSE)</f>
        <v>0</v>
      </c>
      <c r="G131" s="680"/>
      <c r="H131" s="680"/>
      <c r="I131" s="770">
        <v>2.09</v>
      </c>
      <c r="J131" s="682">
        <f t="shared" si="28"/>
        <v>2.09</v>
      </c>
      <c r="K131" s="683"/>
      <c r="L131" s="684"/>
      <c r="M131" s="753"/>
      <c r="N131" s="683">
        <v>0</v>
      </c>
      <c r="O131" s="686"/>
      <c r="P131" s="683">
        <v>0</v>
      </c>
      <c r="Q131" s="687">
        <f t="shared" si="1"/>
        <v>0</v>
      </c>
      <c r="R131" s="688">
        <v>0</v>
      </c>
      <c r="S131" s="693"/>
      <c r="T131" s="690">
        <f t="shared" si="17"/>
        <v>0</v>
      </c>
      <c r="U131" s="683"/>
      <c r="V131" s="474">
        <f t="shared" si="21"/>
        <v>0</v>
      </c>
      <c r="W131" s="474">
        <f t="shared" si="22"/>
        <v>0</v>
      </c>
      <c r="X131" s="475">
        <f t="shared" si="23"/>
        <v>0</v>
      </c>
      <c r="Y131" s="475">
        <v>0</v>
      </c>
      <c r="Z131" s="476">
        <v>0</v>
      </c>
      <c r="AA131" s="38">
        <f t="shared" si="24"/>
        <v>0</v>
      </c>
      <c r="AB131" s="692">
        <f t="shared" si="18"/>
        <v>2.09</v>
      </c>
      <c r="AC131" s="692">
        <f t="shared" si="19"/>
        <v>0</v>
      </c>
      <c r="AD131" s="692">
        <f t="shared" si="20"/>
        <v>0</v>
      </c>
      <c r="AE131" s="38"/>
      <c r="AF131" s="692">
        <f t="shared" si="25"/>
        <v>0</v>
      </c>
      <c r="AG131" s="692">
        <f t="shared" si="26"/>
        <v>0</v>
      </c>
      <c r="AH131" s="692">
        <f t="shared" si="27"/>
        <v>0</v>
      </c>
      <c r="AJ131" s="38">
        <f t="shared" si="16"/>
        <v>2.09</v>
      </c>
    </row>
    <row r="132" spans="1:36" s="232" customFormat="1">
      <c r="A132" s="283"/>
      <c r="B132" s="283" t="s">
        <v>110</v>
      </c>
      <c r="C132" s="667" t="s">
        <v>555</v>
      </c>
      <c r="D132" s="123" t="s">
        <v>440</v>
      </c>
      <c r="E132" s="679"/>
      <c r="F132" s="529">
        <f>VLOOKUP(D132,'Feb 2013 Revenue'!D:T,17,FALSE)</f>
        <v>0</v>
      </c>
      <c r="G132" s="680"/>
      <c r="H132" s="680"/>
      <c r="I132" s="770">
        <f>1095.01+194.69+191.91</f>
        <v>1481.6100000000001</v>
      </c>
      <c r="J132" s="682">
        <f t="shared" si="28"/>
        <v>1481.6100000000001</v>
      </c>
      <c r="K132" s="683"/>
      <c r="L132" s="684"/>
      <c r="M132" s="753"/>
      <c r="N132" s="683">
        <v>0</v>
      </c>
      <c r="O132" s="686"/>
      <c r="P132" s="683">
        <v>0</v>
      </c>
      <c r="Q132" s="687">
        <f t="shared" si="1"/>
        <v>0</v>
      </c>
      <c r="R132" s="688">
        <v>0</v>
      </c>
      <c r="S132" s="693"/>
      <c r="T132" s="690">
        <f t="shared" si="17"/>
        <v>0</v>
      </c>
      <c r="U132" s="683"/>
      <c r="V132" s="474">
        <f t="shared" si="21"/>
        <v>0</v>
      </c>
      <c r="W132" s="474">
        <f t="shared" si="22"/>
        <v>0</v>
      </c>
      <c r="X132" s="475">
        <f t="shared" si="23"/>
        <v>0</v>
      </c>
      <c r="Y132" s="475">
        <v>0</v>
      </c>
      <c r="Z132" s="476">
        <v>0</v>
      </c>
      <c r="AA132" s="38">
        <f t="shared" si="24"/>
        <v>0</v>
      </c>
      <c r="AB132" s="692">
        <f t="shared" si="18"/>
        <v>1481.6100000000001</v>
      </c>
      <c r="AC132" s="692">
        <f t="shared" si="19"/>
        <v>0</v>
      </c>
      <c r="AD132" s="692">
        <f t="shared" si="20"/>
        <v>0</v>
      </c>
      <c r="AE132" s="38"/>
      <c r="AF132" s="692">
        <f t="shared" si="25"/>
        <v>0</v>
      </c>
      <c r="AG132" s="692">
        <f t="shared" si="26"/>
        <v>0</v>
      </c>
      <c r="AH132" s="692">
        <f t="shared" si="27"/>
        <v>0</v>
      </c>
      <c r="AJ132" s="38">
        <f t="shared" si="16"/>
        <v>1481.6100000000001</v>
      </c>
    </row>
    <row r="133" spans="1:36" s="232" customFormat="1">
      <c r="A133" s="283"/>
      <c r="B133" s="283" t="s">
        <v>110</v>
      </c>
      <c r="C133" s="667" t="s">
        <v>555</v>
      </c>
      <c r="D133" s="123" t="s">
        <v>481</v>
      </c>
      <c r="E133" s="679"/>
      <c r="F133" s="529">
        <f>VLOOKUP(D133,'Feb 2013 Revenue'!D:T,17,FALSE)</f>
        <v>0</v>
      </c>
      <c r="G133" s="680"/>
      <c r="H133" s="680"/>
      <c r="I133" s="770">
        <v>404.64</v>
      </c>
      <c r="J133" s="682">
        <f t="shared" si="28"/>
        <v>404.64</v>
      </c>
      <c r="K133" s="683"/>
      <c r="L133" s="684"/>
      <c r="M133" s="753"/>
      <c r="N133" s="683">
        <v>0</v>
      </c>
      <c r="O133" s="686"/>
      <c r="P133" s="683">
        <v>0</v>
      </c>
      <c r="Q133" s="687">
        <f t="shared" si="1"/>
        <v>0</v>
      </c>
      <c r="R133" s="688">
        <v>0</v>
      </c>
      <c r="S133" s="693"/>
      <c r="T133" s="690">
        <f t="shared" si="17"/>
        <v>0</v>
      </c>
      <c r="U133" s="683"/>
      <c r="V133" s="474">
        <f t="shared" si="21"/>
        <v>0</v>
      </c>
      <c r="W133" s="474">
        <f t="shared" si="22"/>
        <v>0</v>
      </c>
      <c r="X133" s="475">
        <f t="shared" si="23"/>
        <v>0</v>
      </c>
      <c r="Y133" s="475">
        <v>0</v>
      </c>
      <c r="Z133" s="476">
        <v>0</v>
      </c>
      <c r="AA133" s="38">
        <f t="shared" si="24"/>
        <v>0</v>
      </c>
      <c r="AB133" s="692">
        <f t="shared" si="18"/>
        <v>404.64</v>
      </c>
      <c r="AC133" s="692">
        <f t="shared" si="19"/>
        <v>0</v>
      </c>
      <c r="AD133" s="692">
        <f t="shared" si="20"/>
        <v>0</v>
      </c>
      <c r="AE133" s="38"/>
      <c r="AF133" s="692">
        <f t="shared" si="25"/>
        <v>0</v>
      </c>
      <c r="AG133" s="692">
        <f t="shared" si="26"/>
        <v>0</v>
      </c>
      <c r="AH133" s="692">
        <f t="shared" si="27"/>
        <v>0</v>
      </c>
      <c r="AJ133" s="38">
        <f t="shared" si="16"/>
        <v>404.64</v>
      </c>
    </row>
    <row r="134" spans="1:36" s="232" customFormat="1">
      <c r="A134" s="283"/>
      <c r="B134" s="283" t="s">
        <v>109</v>
      </c>
      <c r="C134" s="667" t="s">
        <v>555</v>
      </c>
      <c r="D134" s="123" t="s">
        <v>248</v>
      </c>
      <c r="E134" s="679"/>
      <c r="F134" s="529">
        <f>VLOOKUP(D134,'Feb 2013 Revenue'!D:T,17,FALSE)</f>
        <v>0</v>
      </c>
      <c r="G134" s="680"/>
      <c r="H134" s="680"/>
      <c r="I134" s="755"/>
      <c r="J134" s="682">
        <f t="shared" si="28"/>
        <v>0</v>
      </c>
      <c r="K134" s="683"/>
      <c r="L134" s="684"/>
      <c r="M134" s="753"/>
      <c r="N134" s="683">
        <v>0</v>
      </c>
      <c r="O134" s="686"/>
      <c r="P134" s="683">
        <v>0</v>
      </c>
      <c r="Q134" s="687">
        <f t="shared" si="1"/>
        <v>0</v>
      </c>
      <c r="R134" s="688">
        <v>0</v>
      </c>
      <c r="S134" s="693"/>
      <c r="T134" s="690">
        <f t="shared" si="17"/>
        <v>0</v>
      </c>
      <c r="U134" s="683"/>
      <c r="V134" s="474">
        <f t="shared" si="21"/>
        <v>0</v>
      </c>
      <c r="W134" s="474">
        <f t="shared" si="22"/>
        <v>0</v>
      </c>
      <c r="X134" s="475">
        <f t="shared" si="23"/>
        <v>0</v>
      </c>
      <c r="Y134" s="475">
        <v>0</v>
      </c>
      <c r="Z134" s="476">
        <v>0</v>
      </c>
      <c r="AA134" s="38">
        <f t="shared" si="24"/>
        <v>0</v>
      </c>
      <c r="AB134" s="692">
        <f t="shared" si="18"/>
        <v>0</v>
      </c>
      <c r="AC134" s="692">
        <f t="shared" si="19"/>
        <v>0</v>
      </c>
      <c r="AD134" s="692">
        <f t="shared" si="20"/>
        <v>0</v>
      </c>
      <c r="AE134" s="38"/>
      <c r="AF134" s="692">
        <f t="shared" si="25"/>
        <v>0</v>
      </c>
      <c r="AG134" s="692">
        <f t="shared" si="26"/>
        <v>0</v>
      </c>
      <c r="AH134" s="692">
        <f t="shared" si="27"/>
        <v>0</v>
      </c>
      <c r="AJ134" s="38">
        <f t="shared" si="16"/>
        <v>0</v>
      </c>
    </row>
    <row r="135" spans="1:36" s="232" customFormat="1">
      <c r="A135" s="283"/>
      <c r="B135" s="20" t="s">
        <v>109</v>
      </c>
      <c r="C135" s="667"/>
      <c r="D135" s="68" t="s">
        <v>465</v>
      </c>
      <c r="E135" s="679"/>
      <c r="F135" s="529">
        <f>VLOOKUP(D135,'Feb 2013 Revenue'!D:T,17,FALSE)</f>
        <v>-5000</v>
      </c>
      <c r="G135" s="680"/>
      <c r="H135" s="680"/>
      <c r="I135" s="755"/>
      <c r="J135" s="682">
        <f t="shared" si="28"/>
        <v>-5000</v>
      </c>
      <c r="K135" s="683"/>
      <c r="L135" s="684"/>
      <c r="M135" s="753">
        <v>7000</v>
      </c>
      <c r="N135" s="683">
        <v>0</v>
      </c>
      <c r="O135" s="686"/>
      <c r="P135" s="683">
        <v>0</v>
      </c>
      <c r="Q135" s="687">
        <f t="shared" si="1"/>
        <v>7000</v>
      </c>
      <c r="R135" s="688">
        <v>0</v>
      </c>
      <c r="S135" s="693"/>
      <c r="T135" s="690">
        <f t="shared" si="17"/>
        <v>-7000</v>
      </c>
      <c r="U135" s="683"/>
      <c r="V135" s="474">
        <f t="shared" si="21"/>
        <v>0</v>
      </c>
      <c r="W135" s="474">
        <f t="shared" si="22"/>
        <v>7000</v>
      </c>
      <c r="X135" s="475">
        <f t="shared" si="23"/>
        <v>0</v>
      </c>
      <c r="Y135" s="475">
        <v>0</v>
      </c>
      <c r="Z135" s="476">
        <v>0</v>
      </c>
      <c r="AA135" s="38">
        <f t="shared" si="24"/>
        <v>0</v>
      </c>
      <c r="AB135" s="692">
        <f t="shared" si="18"/>
        <v>0</v>
      </c>
      <c r="AC135" s="692">
        <f t="shared" si="19"/>
        <v>-5000</v>
      </c>
      <c r="AD135" s="692">
        <f t="shared" si="20"/>
        <v>0</v>
      </c>
      <c r="AE135" s="38"/>
      <c r="AF135" s="692">
        <f t="shared" si="25"/>
        <v>0</v>
      </c>
      <c r="AG135" s="692">
        <f t="shared" si="26"/>
        <v>7000</v>
      </c>
      <c r="AH135" s="692">
        <f t="shared" si="27"/>
        <v>0</v>
      </c>
      <c r="AJ135" s="38">
        <f t="shared" si="16"/>
        <v>2000</v>
      </c>
    </row>
    <row r="136" spans="1:36">
      <c r="A136" s="21"/>
      <c r="B136" s="21" t="s">
        <v>110</v>
      </c>
      <c r="C136" s="666" t="s">
        <v>556</v>
      </c>
      <c r="D136" s="68" t="s">
        <v>261</v>
      </c>
      <c r="E136" s="679"/>
      <c r="F136" s="529">
        <f>VLOOKUP(D136,'Feb 2013 Revenue'!D:T,17,FALSE)</f>
        <v>2173.7000000000116</v>
      </c>
      <c r="G136" s="680"/>
      <c r="H136" s="680"/>
      <c r="I136" s="755"/>
      <c r="J136" s="682">
        <f t="shared" si="28"/>
        <v>2173.7000000000116</v>
      </c>
      <c r="K136" s="683"/>
      <c r="L136" s="684"/>
      <c r="M136" s="753">
        <v>113000</v>
      </c>
      <c r="N136" s="683">
        <v>0</v>
      </c>
      <c r="O136" s="686"/>
      <c r="P136" s="683">
        <v>0</v>
      </c>
      <c r="Q136" s="687">
        <f t="shared" si="1"/>
        <v>113000</v>
      </c>
      <c r="R136" s="688">
        <f>SUM(326042.1-R137)</f>
        <v>304133.07999999996</v>
      </c>
      <c r="S136" s="693"/>
      <c r="T136" s="690">
        <f t="shared" si="17"/>
        <v>191133.07999999996</v>
      </c>
      <c r="U136" s="683"/>
      <c r="V136" s="474">
        <f t="shared" si="21"/>
        <v>113000</v>
      </c>
      <c r="W136" s="474">
        <f t="shared" si="22"/>
        <v>0</v>
      </c>
      <c r="X136" s="475">
        <f t="shared" si="23"/>
        <v>0</v>
      </c>
      <c r="Y136" s="475">
        <v>0</v>
      </c>
      <c r="Z136" s="476">
        <v>0</v>
      </c>
      <c r="AA136" s="38">
        <f t="shared" si="24"/>
        <v>0</v>
      </c>
      <c r="AB136" s="692">
        <f t="shared" si="18"/>
        <v>2173.7000000000116</v>
      </c>
      <c r="AC136" s="692">
        <f t="shared" si="19"/>
        <v>0</v>
      </c>
      <c r="AD136" s="692">
        <f t="shared" si="20"/>
        <v>0</v>
      </c>
      <c r="AE136" s="38"/>
      <c r="AF136" s="692">
        <f t="shared" si="25"/>
        <v>113000</v>
      </c>
      <c r="AG136" s="692">
        <f t="shared" si="26"/>
        <v>0</v>
      </c>
      <c r="AH136" s="692">
        <f t="shared" si="27"/>
        <v>0</v>
      </c>
      <c r="AJ136" s="38">
        <f t="shared" si="16"/>
        <v>115173.70000000001</v>
      </c>
    </row>
    <row r="137" spans="1:36" s="269" customFormat="1">
      <c r="A137" s="21"/>
      <c r="B137" s="21" t="s">
        <v>110</v>
      </c>
      <c r="C137" s="666" t="s">
        <v>556</v>
      </c>
      <c r="D137" s="68" t="s">
        <v>262</v>
      </c>
      <c r="E137" s="679"/>
      <c r="F137" s="529">
        <f>VLOOKUP(D137,'Feb 2013 Revenue'!D:T,17,FALSE)</f>
        <v>414.36999999999989</v>
      </c>
      <c r="G137" s="680"/>
      <c r="H137" s="680"/>
      <c r="I137" s="755"/>
      <c r="J137" s="682">
        <f t="shared" si="28"/>
        <v>414.36999999999989</v>
      </c>
      <c r="K137" s="683"/>
      <c r="L137" s="684"/>
      <c r="M137" s="753">
        <v>7000</v>
      </c>
      <c r="N137" s="683">
        <v>0</v>
      </c>
      <c r="O137" s="686"/>
      <c r="P137" s="683">
        <v>0</v>
      </c>
      <c r="Q137" s="687">
        <f t="shared" si="1"/>
        <v>7000</v>
      </c>
      <c r="R137" s="688">
        <v>21909.02</v>
      </c>
      <c r="S137" s="693"/>
      <c r="T137" s="690">
        <f t="shared" si="17"/>
        <v>14909.02</v>
      </c>
      <c r="U137" s="683"/>
      <c r="V137" s="474">
        <f t="shared" si="21"/>
        <v>7000</v>
      </c>
      <c r="W137" s="474">
        <f t="shared" si="22"/>
        <v>0</v>
      </c>
      <c r="X137" s="475">
        <f t="shared" si="23"/>
        <v>0</v>
      </c>
      <c r="Y137" s="475">
        <v>0</v>
      </c>
      <c r="Z137" s="476">
        <v>0</v>
      </c>
      <c r="AA137" s="38">
        <f t="shared" si="24"/>
        <v>0</v>
      </c>
      <c r="AB137" s="692">
        <f t="shared" si="18"/>
        <v>414.36999999999989</v>
      </c>
      <c r="AC137" s="692">
        <f t="shared" si="19"/>
        <v>0</v>
      </c>
      <c r="AD137" s="692">
        <f t="shared" si="20"/>
        <v>0</v>
      </c>
      <c r="AE137" s="38"/>
      <c r="AF137" s="692">
        <f t="shared" si="25"/>
        <v>7000</v>
      </c>
      <c r="AG137" s="692">
        <f t="shared" si="26"/>
        <v>0</v>
      </c>
      <c r="AH137" s="692">
        <f t="shared" si="27"/>
        <v>0</v>
      </c>
      <c r="AJ137" s="38">
        <f t="shared" si="16"/>
        <v>7414.37</v>
      </c>
    </row>
    <row r="138" spans="1:36" s="269" customFormat="1">
      <c r="A138" s="21"/>
      <c r="B138" s="21" t="s">
        <v>114</v>
      </c>
      <c r="C138" s="675" t="s">
        <v>619</v>
      </c>
      <c r="D138" s="68" t="s">
        <v>626</v>
      </c>
      <c r="E138" s="679"/>
      <c r="F138" s="529">
        <f>VLOOKUP(D138,'Feb 2013 Revenue'!D:T,17,FALSE)</f>
        <v>-2181.2399999999998</v>
      </c>
      <c r="G138" s="680"/>
      <c r="H138" s="680"/>
      <c r="I138" s="770">
        <v>7022.42</v>
      </c>
      <c r="J138" s="682">
        <f t="shared" si="28"/>
        <v>4841.18</v>
      </c>
      <c r="K138" s="683"/>
      <c r="L138" s="684"/>
      <c r="M138" s="753"/>
      <c r="N138" s="683">
        <v>0</v>
      </c>
      <c r="O138" s="686"/>
      <c r="P138" s="683">
        <v>0</v>
      </c>
      <c r="Q138" s="687">
        <f t="shared" ref="Q138:Q203" si="29">L138+M138</f>
        <v>0</v>
      </c>
      <c r="R138" s="688">
        <v>0</v>
      </c>
      <c r="S138" s="693"/>
      <c r="T138" s="690">
        <f t="shared" si="17"/>
        <v>0</v>
      </c>
      <c r="U138" s="683"/>
      <c r="V138" s="474">
        <f t="shared" si="21"/>
        <v>0</v>
      </c>
      <c r="W138" s="474">
        <f t="shared" si="22"/>
        <v>0</v>
      </c>
      <c r="X138" s="475">
        <f t="shared" si="23"/>
        <v>0</v>
      </c>
      <c r="Y138" s="475">
        <v>0</v>
      </c>
      <c r="Z138" s="476">
        <v>0</v>
      </c>
      <c r="AA138" s="38">
        <f t="shared" si="24"/>
        <v>0</v>
      </c>
      <c r="AB138" s="692">
        <f t="shared" si="18"/>
        <v>0</v>
      </c>
      <c r="AC138" s="692">
        <f t="shared" si="19"/>
        <v>0</v>
      </c>
      <c r="AD138" s="692">
        <f t="shared" si="20"/>
        <v>4841.18</v>
      </c>
      <c r="AE138" s="38"/>
      <c r="AF138" s="692">
        <f t="shared" si="25"/>
        <v>0</v>
      </c>
      <c r="AG138" s="692">
        <f t="shared" si="26"/>
        <v>0</v>
      </c>
      <c r="AH138" s="692">
        <f t="shared" si="27"/>
        <v>0</v>
      </c>
      <c r="AJ138" s="38">
        <f t="shared" si="16"/>
        <v>4841.18</v>
      </c>
    </row>
    <row r="139" spans="1:36">
      <c r="A139" s="21"/>
      <c r="B139" s="21" t="s">
        <v>109</v>
      </c>
      <c r="C139" s="666"/>
      <c r="D139" s="68" t="s">
        <v>396</v>
      </c>
      <c r="E139" s="679"/>
      <c r="F139" s="529">
        <f>VLOOKUP(D139,'Feb 2013 Revenue'!D:T,17,FALSE)</f>
        <v>7.22</v>
      </c>
      <c r="G139" s="680"/>
      <c r="H139" s="680"/>
      <c r="I139" s="755"/>
      <c r="J139" s="682">
        <f t="shared" si="28"/>
        <v>7.22</v>
      </c>
      <c r="K139" s="683"/>
      <c r="L139" s="684"/>
      <c r="M139" s="753"/>
      <c r="N139" s="683">
        <v>0</v>
      </c>
      <c r="O139" s="686"/>
      <c r="P139" s="683">
        <v>0</v>
      </c>
      <c r="Q139" s="687">
        <f t="shared" si="29"/>
        <v>0</v>
      </c>
      <c r="R139" s="688">
        <v>7.16</v>
      </c>
      <c r="S139" s="693"/>
      <c r="T139" s="690">
        <f t="shared" si="17"/>
        <v>7.16</v>
      </c>
      <c r="U139" s="683"/>
      <c r="V139" s="474">
        <f t="shared" si="21"/>
        <v>0</v>
      </c>
      <c r="W139" s="474">
        <f t="shared" si="22"/>
        <v>0</v>
      </c>
      <c r="X139" s="475">
        <f t="shared" si="23"/>
        <v>0</v>
      </c>
      <c r="Y139" s="475">
        <v>0</v>
      </c>
      <c r="Z139" s="476">
        <v>0</v>
      </c>
      <c r="AA139" s="38">
        <f t="shared" si="24"/>
        <v>0</v>
      </c>
      <c r="AB139" s="692">
        <f t="shared" si="18"/>
        <v>0</v>
      </c>
      <c r="AC139" s="692">
        <f t="shared" si="19"/>
        <v>7.22</v>
      </c>
      <c r="AD139" s="692">
        <f t="shared" si="20"/>
        <v>0</v>
      </c>
      <c r="AE139" s="38"/>
      <c r="AF139" s="692">
        <f t="shared" si="25"/>
        <v>0</v>
      </c>
      <c r="AG139" s="692">
        <f t="shared" si="26"/>
        <v>0</v>
      </c>
      <c r="AH139" s="692">
        <f t="shared" si="27"/>
        <v>0</v>
      </c>
      <c r="AJ139" s="38">
        <f t="shared" si="16"/>
        <v>7.22</v>
      </c>
    </row>
    <row r="140" spans="1:36">
      <c r="A140" s="20"/>
      <c r="B140" s="20" t="s">
        <v>109</v>
      </c>
      <c r="C140" s="667" t="s">
        <v>557</v>
      </c>
      <c r="D140" s="68" t="s">
        <v>32</v>
      </c>
      <c r="E140" s="679"/>
      <c r="F140" s="529">
        <f>VLOOKUP(D140,'Feb 2013 Revenue'!D:T,17,FALSE)</f>
        <v>0</v>
      </c>
      <c r="G140" s="680"/>
      <c r="H140" s="680"/>
      <c r="I140" s="755"/>
      <c r="J140" s="682">
        <f t="shared" si="28"/>
        <v>0</v>
      </c>
      <c r="K140" s="683"/>
      <c r="L140" s="684"/>
      <c r="M140" s="753"/>
      <c r="N140" s="683">
        <v>0</v>
      </c>
      <c r="O140" s="686"/>
      <c r="P140" s="683">
        <v>0</v>
      </c>
      <c r="Q140" s="687">
        <f t="shared" si="29"/>
        <v>0</v>
      </c>
      <c r="R140" s="688">
        <f>39.96+2.96</f>
        <v>42.92</v>
      </c>
      <c r="S140" s="693"/>
      <c r="T140" s="690">
        <f t="shared" si="17"/>
        <v>42.92</v>
      </c>
      <c r="U140" s="683"/>
      <c r="V140" s="474">
        <f t="shared" si="21"/>
        <v>0</v>
      </c>
      <c r="W140" s="474">
        <f t="shared" si="22"/>
        <v>0</v>
      </c>
      <c r="X140" s="475">
        <f t="shared" si="23"/>
        <v>0</v>
      </c>
      <c r="Y140" s="475">
        <v>0</v>
      </c>
      <c r="Z140" s="476">
        <v>0</v>
      </c>
      <c r="AA140" s="38">
        <f t="shared" si="24"/>
        <v>0</v>
      </c>
      <c r="AB140" s="692">
        <f t="shared" si="18"/>
        <v>0</v>
      </c>
      <c r="AC140" s="692">
        <f t="shared" si="19"/>
        <v>0</v>
      </c>
      <c r="AD140" s="692">
        <f t="shared" si="20"/>
        <v>0</v>
      </c>
      <c r="AE140" s="38"/>
      <c r="AF140" s="692">
        <f t="shared" si="25"/>
        <v>0</v>
      </c>
      <c r="AG140" s="692">
        <f t="shared" si="26"/>
        <v>0</v>
      </c>
      <c r="AH140" s="692">
        <f t="shared" si="27"/>
        <v>0</v>
      </c>
      <c r="AJ140" s="38">
        <f t="shared" si="16"/>
        <v>0</v>
      </c>
    </row>
    <row r="141" spans="1:36">
      <c r="A141" s="21"/>
      <c r="B141" s="21" t="s">
        <v>110</v>
      </c>
      <c r="C141" s="666"/>
      <c r="D141" s="68" t="s">
        <v>448</v>
      </c>
      <c r="E141" s="679"/>
      <c r="F141" s="529">
        <f>VLOOKUP(D141,'Feb 2013 Revenue'!D:T,17,FALSE)</f>
        <v>0</v>
      </c>
      <c r="G141" s="680"/>
      <c r="H141" s="680"/>
      <c r="I141" s="755"/>
      <c r="J141" s="682">
        <f t="shared" si="28"/>
        <v>0</v>
      </c>
      <c r="K141" s="683"/>
      <c r="L141" s="684"/>
      <c r="M141" s="753"/>
      <c r="N141" s="683">
        <v>0</v>
      </c>
      <c r="O141" s="686"/>
      <c r="P141" s="683">
        <v>0</v>
      </c>
      <c r="Q141" s="687">
        <f t="shared" si="29"/>
        <v>0</v>
      </c>
      <c r="R141" s="688">
        <v>0</v>
      </c>
      <c r="S141" s="693"/>
      <c r="T141" s="690">
        <f t="shared" si="17"/>
        <v>0</v>
      </c>
      <c r="U141" s="683"/>
      <c r="V141" s="474">
        <f t="shared" si="21"/>
        <v>0</v>
      </c>
      <c r="W141" s="474">
        <f t="shared" si="22"/>
        <v>0</v>
      </c>
      <c r="X141" s="475">
        <f t="shared" si="23"/>
        <v>0</v>
      </c>
      <c r="Y141" s="475">
        <v>0</v>
      </c>
      <c r="Z141" s="476">
        <v>0</v>
      </c>
      <c r="AA141" s="38">
        <f t="shared" si="24"/>
        <v>0</v>
      </c>
      <c r="AB141" s="692">
        <f t="shared" si="18"/>
        <v>0</v>
      </c>
      <c r="AC141" s="692">
        <f t="shared" si="19"/>
        <v>0</v>
      </c>
      <c r="AD141" s="692">
        <f t="shared" si="20"/>
        <v>0</v>
      </c>
      <c r="AE141" s="38"/>
      <c r="AF141" s="692">
        <f t="shared" si="25"/>
        <v>0</v>
      </c>
      <c r="AG141" s="692">
        <f t="shared" si="26"/>
        <v>0</v>
      </c>
      <c r="AH141" s="692">
        <f t="shared" si="27"/>
        <v>0</v>
      </c>
      <c r="AJ141" s="38">
        <f t="shared" si="16"/>
        <v>0</v>
      </c>
    </row>
    <row r="142" spans="1:36">
      <c r="A142" s="21"/>
      <c r="B142" s="21" t="s">
        <v>110</v>
      </c>
      <c r="C142" s="666"/>
      <c r="D142" s="68" t="s">
        <v>877</v>
      </c>
      <c r="E142" s="679"/>
      <c r="F142" s="529">
        <f>VLOOKUP(D142,'Feb 2013 Revenue'!D:T,17,FALSE)</f>
        <v>0</v>
      </c>
      <c r="G142" s="680"/>
      <c r="H142" s="680"/>
      <c r="I142" s="755"/>
      <c r="J142" s="682">
        <f t="shared" si="28"/>
        <v>0</v>
      </c>
      <c r="K142" s="683"/>
      <c r="L142" s="684"/>
      <c r="M142" s="753"/>
      <c r="N142" s="683">
        <v>0</v>
      </c>
      <c r="O142" s="686"/>
      <c r="P142" s="683">
        <v>0</v>
      </c>
      <c r="Q142" s="687">
        <f t="shared" si="29"/>
        <v>0</v>
      </c>
      <c r="R142" s="688">
        <v>0</v>
      </c>
      <c r="S142" s="693"/>
      <c r="T142" s="690">
        <f t="shared" si="17"/>
        <v>0</v>
      </c>
      <c r="U142" s="683"/>
      <c r="V142" s="474">
        <f t="shared" si="21"/>
        <v>0</v>
      </c>
      <c r="W142" s="474">
        <f t="shared" si="22"/>
        <v>0</v>
      </c>
      <c r="X142" s="475">
        <f t="shared" si="23"/>
        <v>0</v>
      </c>
      <c r="Y142" s="475">
        <v>0</v>
      </c>
      <c r="Z142" s="476">
        <v>0</v>
      </c>
      <c r="AA142" s="38">
        <f t="shared" si="24"/>
        <v>0</v>
      </c>
      <c r="AB142" s="692">
        <f t="shared" si="18"/>
        <v>0</v>
      </c>
      <c r="AC142" s="692">
        <f t="shared" si="19"/>
        <v>0</v>
      </c>
      <c r="AD142" s="692">
        <f t="shared" si="20"/>
        <v>0</v>
      </c>
      <c r="AE142" s="38"/>
      <c r="AF142" s="692">
        <f t="shared" si="25"/>
        <v>0</v>
      </c>
      <c r="AG142" s="692">
        <f t="shared" si="26"/>
        <v>0</v>
      </c>
      <c r="AH142" s="692">
        <f t="shared" si="27"/>
        <v>0</v>
      </c>
      <c r="AJ142" s="38">
        <f t="shared" si="16"/>
        <v>0</v>
      </c>
    </row>
    <row r="143" spans="1:36">
      <c r="A143" s="21"/>
      <c r="B143" s="21" t="s">
        <v>110</v>
      </c>
      <c r="C143" s="666" t="s">
        <v>558</v>
      </c>
      <c r="D143" s="68" t="s">
        <v>122</v>
      </c>
      <c r="E143" s="679"/>
      <c r="F143" s="529">
        <f>VLOOKUP(D143,'Feb 2013 Revenue'!D:T,17,FALSE)</f>
        <v>0</v>
      </c>
      <c r="G143" s="680"/>
      <c r="H143" s="680"/>
      <c r="I143" s="755"/>
      <c r="J143" s="682">
        <f t="shared" si="28"/>
        <v>0</v>
      </c>
      <c r="K143" s="683"/>
      <c r="L143" s="684"/>
      <c r="M143" s="753"/>
      <c r="N143" s="683">
        <v>0</v>
      </c>
      <c r="O143" s="686"/>
      <c r="P143" s="683">
        <v>0</v>
      </c>
      <c r="Q143" s="687">
        <f t="shared" si="29"/>
        <v>0</v>
      </c>
      <c r="R143" s="688">
        <v>0</v>
      </c>
      <c r="S143" s="693"/>
      <c r="T143" s="690">
        <f t="shared" si="17"/>
        <v>0</v>
      </c>
      <c r="U143" s="683"/>
      <c r="V143" s="474">
        <f t="shared" si="21"/>
        <v>0</v>
      </c>
      <c r="W143" s="474">
        <f t="shared" si="22"/>
        <v>0</v>
      </c>
      <c r="X143" s="475">
        <f t="shared" si="23"/>
        <v>0</v>
      </c>
      <c r="Y143" s="475">
        <v>0</v>
      </c>
      <c r="Z143" s="476">
        <v>0</v>
      </c>
      <c r="AA143" s="38">
        <f t="shared" si="24"/>
        <v>0</v>
      </c>
      <c r="AB143" s="692">
        <f t="shared" si="18"/>
        <v>0</v>
      </c>
      <c r="AC143" s="692">
        <f t="shared" si="19"/>
        <v>0</v>
      </c>
      <c r="AD143" s="692">
        <f t="shared" si="20"/>
        <v>0</v>
      </c>
      <c r="AE143" s="38"/>
      <c r="AF143" s="692">
        <f t="shared" si="25"/>
        <v>0</v>
      </c>
      <c r="AG143" s="692">
        <f t="shared" si="26"/>
        <v>0</v>
      </c>
      <c r="AH143" s="692">
        <f t="shared" si="27"/>
        <v>0</v>
      </c>
      <c r="AJ143" s="38">
        <f t="shared" si="16"/>
        <v>0</v>
      </c>
    </row>
    <row r="144" spans="1:36">
      <c r="A144" s="21"/>
      <c r="B144" s="21" t="s">
        <v>114</v>
      </c>
      <c r="C144" s="666" t="s">
        <v>558</v>
      </c>
      <c r="D144" s="68" t="s">
        <v>629</v>
      </c>
      <c r="E144" s="679"/>
      <c r="F144" s="529">
        <f>VLOOKUP(D144,'Feb 2013 Revenue'!D:T,17,FALSE)</f>
        <v>0</v>
      </c>
      <c r="G144" s="680"/>
      <c r="H144" s="680"/>
      <c r="I144" s="755"/>
      <c r="J144" s="682">
        <f t="shared" si="28"/>
        <v>0</v>
      </c>
      <c r="K144" s="683"/>
      <c r="L144" s="684"/>
      <c r="M144" s="753"/>
      <c r="N144" s="683">
        <v>0</v>
      </c>
      <c r="O144" s="686"/>
      <c r="P144" s="683">
        <v>0</v>
      </c>
      <c r="Q144" s="687">
        <f t="shared" si="29"/>
        <v>0</v>
      </c>
      <c r="R144" s="688">
        <v>0</v>
      </c>
      <c r="S144" s="693"/>
      <c r="T144" s="690">
        <f t="shared" ref="T144:T193" si="30">IF(R144="","",R144-Q144)</f>
        <v>0</v>
      </c>
      <c r="U144" s="683"/>
      <c r="V144" s="474">
        <f t="shared" si="21"/>
        <v>0</v>
      </c>
      <c r="W144" s="474">
        <f t="shared" si="22"/>
        <v>0</v>
      </c>
      <c r="X144" s="475">
        <f t="shared" si="23"/>
        <v>0</v>
      </c>
      <c r="Y144" s="475">
        <v>0</v>
      </c>
      <c r="Z144" s="476">
        <v>0</v>
      </c>
      <c r="AA144" s="38">
        <f t="shared" si="24"/>
        <v>0</v>
      </c>
      <c r="AB144" s="692">
        <f t="shared" ref="AB144:AB207" si="31">IF(B144="D",J144,0)</f>
        <v>0</v>
      </c>
      <c r="AC144" s="692">
        <f t="shared" ref="AC144:AC207" si="32">IF(B144="M",J144,0)</f>
        <v>0</v>
      </c>
      <c r="AD144" s="692">
        <f t="shared" ref="AD144:AD207" si="33">IF(B144="V",J144,0)</f>
        <v>0</v>
      </c>
      <c r="AE144" s="38"/>
      <c r="AF144" s="692">
        <f t="shared" si="25"/>
        <v>0</v>
      </c>
      <c r="AG144" s="692">
        <f t="shared" si="26"/>
        <v>0</v>
      </c>
      <c r="AH144" s="692">
        <f t="shared" si="27"/>
        <v>0</v>
      </c>
      <c r="AJ144" s="38">
        <f t="shared" ref="AJ144:AJ207" si="34">SUM(AB144:AH144)</f>
        <v>0</v>
      </c>
    </row>
    <row r="145" spans="1:36">
      <c r="A145" s="21"/>
      <c r="B145" s="21" t="s">
        <v>109</v>
      </c>
      <c r="C145" s="666" t="s">
        <v>559</v>
      </c>
      <c r="D145" s="68" t="s">
        <v>33</v>
      </c>
      <c r="E145" s="679"/>
      <c r="F145" s="529">
        <f>VLOOKUP(D145,'Feb 2013 Revenue'!D:T,17,FALSE)</f>
        <v>0</v>
      </c>
      <c r="G145" s="680"/>
      <c r="H145" s="680"/>
      <c r="I145" s="755"/>
      <c r="J145" s="682">
        <f t="shared" si="28"/>
        <v>0</v>
      </c>
      <c r="K145" s="683"/>
      <c r="L145" s="684"/>
      <c r="M145" s="753"/>
      <c r="N145" s="683">
        <v>0</v>
      </c>
      <c r="O145" s="686"/>
      <c r="P145" s="683">
        <v>0</v>
      </c>
      <c r="Q145" s="687">
        <f t="shared" si="29"/>
        <v>0</v>
      </c>
      <c r="R145" s="688">
        <v>1946.3</v>
      </c>
      <c r="S145" s="693"/>
      <c r="T145" s="690">
        <f t="shared" si="30"/>
        <v>1946.3</v>
      </c>
      <c r="U145" s="683"/>
      <c r="V145" s="474">
        <f t="shared" si="21"/>
        <v>0</v>
      </c>
      <c r="W145" s="474">
        <f t="shared" si="22"/>
        <v>0</v>
      </c>
      <c r="X145" s="475">
        <f t="shared" si="23"/>
        <v>0</v>
      </c>
      <c r="Y145" s="475">
        <v>0</v>
      </c>
      <c r="Z145" s="476">
        <v>0</v>
      </c>
      <c r="AA145" s="38">
        <f t="shared" si="24"/>
        <v>0</v>
      </c>
      <c r="AB145" s="692">
        <f t="shared" si="31"/>
        <v>0</v>
      </c>
      <c r="AC145" s="692">
        <f t="shared" si="32"/>
        <v>0</v>
      </c>
      <c r="AD145" s="692">
        <f t="shared" si="33"/>
        <v>0</v>
      </c>
      <c r="AE145" s="38"/>
      <c r="AF145" s="692">
        <f t="shared" ref="AF145:AF208" si="35">IF(B145="D",Q145,0)</f>
        <v>0</v>
      </c>
      <c r="AG145" s="692">
        <f t="shared" ref="AG145:AG208" si="36">IF(B145="M",Q145,0)</f>
        <v>0</v>
      </c>
      <c r="AH145" s="692">
        <f t="shared" ref="AH145:AH208" si="37">IF(B145="V",Q145,0)</f>
        <v>0</v>
      </c>
      <c r="AJ145" s="38">
        <f t="shared" si="34"/>
        <v>0</v>
      </c>
    </row>
    <row r="146" spans="1:36">
      <c r="A146" s="21"/>
      <c r="B146" s="21" t="s">
        <v>109</v>
      </c>
      <c r="C146" s="666" t="s">
        <v>560</v>
      </c>
      <c r="D146" s="68" t="s">
        <v>379</v>
      </c>
      <c r="E146" s="679"/>
      <c r="F146" s="529">
        <f>VLOOKUP(D146,'Feb 2013 Revenue'!D:T,17,FALSE)</f>
        <v>49.34</v>
      </c>
      <c r="G146" s="680"/>
      <c r="H146" s="680"/>
      <c r="I146" s="755"/>
      <c r="J146" s="682">
        <f t="shared" si="28"/>
        <v>49.34</v>
      </c>
      <c r="K146" s="683"/>
      <c r="L146" s="684"/>
      <c r="M146" s="753"/>
      <c r="N146" s="683">
        <v>0</v>
      </c>
      <c r="O146" s="686"/>
      <c r="P146" s="683">
        <v>0</v>
      </c>
      <c r="Q146" s="687">
        <f t="shared" si="29"/>
        <v>0</v>
      </c>
      <c r="R146" s="688">
        <v>109.69</v>
      </c>
      <c r="S146" s="693"/>
      <c r="T146" s="690">
        <f t="shared" si="30"/>
        <v>109.69</v>
      </c>
      <c r="U146" s="683"/>
      <c r="V146" s="474">
        <f t="shared" ref="V146:V209" si="38">IF(B146="D",Q146,0)</f>
        <v>0</v>
      </c>
      <c r="W146" s="474">
        <f t="shared" ref="W146:W209" si="39">IF(B146="M",Q146,0)</f>
        <v>0</v>
      </c>
      <c r="X146" s="475">
        <f t="shared" ref="X146:X209" si="40">IF(B146="V",Q146,0)</f>
        <v>0</v>
      </c>
      <c r="Y146" s="475">
        <v>0</v>
      </c>
      <c r="Z146" s="476">
        <v>0</v>
      </c>
      <c r="AA146" s="38">
        <f t="shared" ref="AA146:AA209" si="41">(L146+M146)-(V146+W146+X146+Y146+Z146)</f>
        <v>0</v>
      </c>
      <c r="AB146" s="692">
        <f t="shared" si="31"/>
        <v>0</v>
      </c>
      <c r="AC146" s="692">
        <f t="shared" si="32"/>
        <v>49.34</v>
      </c>
      <c r="AD146" s="692">
        <f t="shared" si="33"/>
        <v>0</v>
      </c>
      <c r="AE146" s="38"/>
      <c r="AF146" s="692">
        <f t="shared" si="35"/>
        <v>0</v>
      </c>
      <c r="AG146" s="692">
        <f t="shared" si="36"/>
        <v>0</v>
      </c>
      <c r="AH146" s="692">
        <f t="shared" si="37"/>
        <v>0</v>
      </c>
      <c r="AJ146" s="38">
        <f t="shared" si="34"/>
        <v>49.34</v>
      </c>
    </row>
    <row r="147" spans="1:36" s="232" customFormat="1">
      <c r="A147" s="283"/>
      <c r="B147" s="283" t="s">
        <v>114</v>
      </c>
      <c r="C147" s="667"/>
      <c r="D147" s="500" t="s">
        <v>408</v>
      </c>
      <c r="E147" s="679"/>
      <c r="F147" s="529">
        <f>VLOOKUP(D147,'Feb 2013 Revenue'!D:T,17,FALSE)</f>
        <v>0</v>
      </c>
      <c r="G147" s="680"/>
      <c r="H147" s="680"/>
      <c r="I147" s="804">
        <v>7837.5</v>
      </c>
      <c r="J147" s="682">
        <f t="shared" si="28"/>
        <v>7837.5</v>
      </c>
      <c r="K147" s="683"/>
      <c r="L147" s="684"/>
      <c r="M147" s="753"/>
      <c r="N147" s="683">
        <v>0</v>
      </c>
      <c r="O147" s="686"/>
      <c r="P147" s="683">
        <v>0</v>
      </c>
      <c r="Q147" s="687">
        <f t="shared" si="29"/>
        <v>0</v>
      </c>
      <c r="R147" s="688">
        <v>0</v>
      </c>
      <c r="S147" s="693"/>
      <c r="T147" s="690">
        <f t="shared" si="30"/>
        <v>0</v>
      </c>
      <c r="U147" s="683"/>
      <c r="V147" s="474">
        <f t="shared" si="38"/>
        <v>0</v>
      </c>
      <c r="W147" s="474">
        <f t="shared" si="39"/>
        <v>0</v>
      </c>
      <c r="X147" s="475">
        <f t="shared" si="40"/>
        <v>0</v>
      </c>
      <c r="Y147" s="475">
        <v>0</v>
      </c>
      <c r="Z147" s="476">
        <v>0</v>
      </c>
      <c r="AA147" s="38">
        <f t="shared" si="41"/>
        <v>0</v>
      </c>
      <c r="AB147" s="692">
        <f t="shared" si="31"/>
        <v>0</v>
      </c>
      <c r="AC147" s="692">
        <f t="shared" si="32"/>
        <v>0</v>
      </c>
      <c r="AD147" s="692">
        <f t="shared" si="33"/>
        <v>7837.5</v>
      </c>
      <c r="AE147" s="38"/>
      <c r="AF147" s="692">
        <f t="shared" si="35"/>
        <v>0</v>
      </c>
      <c r="AG147" s="692">
        <f t="shared" si="36"/>
        <v>0</v>
      </c>
      <c r="AH147" s="692">
        <f t="shared" si="37"/>
        <v>0</v>
      </c>
      <c r="AJ147" s="38">
        <f t="shared" si="34"/>
        <v>7837.5</v>
      </c>
    </row>
    <row r="148" spans="1:36" s="232" customFormat="1">
      <c r="A148" s="283"/>
      <c r="B148" s="283" t="s">
        <v>110</v>
      </c>
      <c r="C148" s="667"/>
      <c r="D148" s="567" t="s">
        <v>445</v>
      </c>
      <c r="E148" s="679"/>
      <c r="F148" s="529">
        <f>VLOOKUP(D148,'Feb 2013 Revenue'!D:T,17,FALSE)</f>
        <v>0</v>
      </c>
      <c r="G148" s="680"/>
      <c r="H148" s="680"/>
      <c r="I148" s="805">
        <f>7500+2537.85</f>
        <v>10037.85</v>
      </c>
      <c r="J148" s="803">
        <f t="shared" si="28"/>
        <v>10037.85</v>
      </c>
      <c r="K148" s="683"/>
      <c r="L148" s="684"/>
      <c r="M148" s="753"/>
      <c r="N148" s="683">
        <v>0</v>
      </c>
      <c r="O148" s="686"/>
      <c r="P148" s="683">
        <v>0</v>
      </c>
      <c r="Q148" s="687">
        <f t="shared" si="29"/>
        <v>0</v>
      </c>
      <c r="R148" s="688">
        <v>0</v>
      </c>
      <c r="S148" s="693"/>
      <c r="T148" s="690">
        <f t="shared" si="30"/>
        <v>0</v>
      </c>
      <c r="U148" s="683"/>
      <c r="V148" s="474">
        <f t="shared" si="38"/>
        <v>0</v>
      </c>
      <c r="W148" s="474">
        <f t="shared" si="39"/>
        <v>0</v>
      </c>
      <c r="X148" s="475">
        <f t="shared" si="40"/>
        <v>0</v>
      </c>
      <c r="Y148" s="475">
        <v>0</v>
      </c>
      <c r="Z148" s="476">
        <v>0</v>
      </c>
      <c r="AA148" s="38">
        <f t="shared" si="41"/>
        <v>0</v>
      </c>
      <c r="AB148" s="692">
        <f t="shared" si="31"/>
        <v>10037.85</v>
      </c>
      <c r="AC148" s="692">
        <f t="shared" si="32"/>
        <v>0</v>
      </c>
      <c r="AD148" s="692">
        <f t="shared" si="33"/>
        <v>0</v>
      </c>
      <c r="AE148" s="38"/>
      <c r="AF148" s="692">
        <f t="shared" si="35"/>
        <v>0</v>
      </c>
      <c r="AG148" s="692">
        <f t="shared" si="36"/>
        <v>0</v>
      </c>
      <c r="AH148" s="692">
        <f t="shared" si="37"/>
        <v>0</v>
      </c>
      <c r="AJ148" s="38">
        <f t="shared" si="34"/>
        <v>10037.85</v>
      </c>
    </row>
    <row r="149" spans="1:36" s="232" customFormat="1">
      <c r="A149" s="283"/>
      <c r="B149" s="283" t="s">
        <v>109</v>
      </c>
      <c r="C149" s="667" t="s">
        <v>562</v>
      </c>
      <c r="D149" s="567" t="s">
        <v>480</v>
      </c>
      <c r="E149" s="679"/>
      <c r="F149" s="529">
        <f>VLOOKUP(D149,'Feb 2013 Revenue'!D:T,17,FALSE)</f>
        <v>0</v>
      </c>
      <c r="G149" s="680"/>
      <c r="H149" s="680"/>
      <c r="I149" s="770">
        <v>7163.42</v>
      </c>
      <c r="J149" s="682">
        <f t="shared" si="28"/>
        <v>7163.42</v>
      </c>
      <c r="K149" s="683"/>
      <c r="L149" s="684"/>
      <c r="M149" s="753"/>
      <c r="N149" s="683">
        <v>0</v>
      </c>
      <c r="O149" s="686"/>
      <c r="P149" s="683">
        <v>0</v>
      </c>
      <c r="Q149" s="687">
        <f t="shared" si="29"/>
        <v>0</v>
      </c>
      <c r="R149" s="688">
        <v>0</v>
      </c>
      <c r="S149" s="693"/>
      <c r="T149" s="690">
        <f t="shared" si="30"/>
        <v>0</v>
      </c>
      <c r="U149" s="683"/>
      <c r="V149" s="474">
        <f t="shared" si="38"/>
        <v>0</v>
      </c>
      <c r="W149" s="474">
        <f t="shared" si="39"/>
        <v>0</v>
      </c>
      <c r="X149" s="475">
        <f t="shared" si="40"/>
        <v>0</v>
      </c>
      <c r="Y149" s="475">
        <v>0</v>
      </c>
      <c r="Z149" s="476">
        <v>0</v>
      </c>
      <c r="AA149" s="38">
        <f t="shared" si="41"/>
        <v>0</v>
      </c>
      <c r="AB149" s="692">
        <f t="shared" si="31"/>
        <v>0</v>
      </c>
      <c r="AC149" s="692">
        <f t="shared" si="32"/>
        <v>7163.42</v>
      </c>
      <c r="AD149" s="692">
        <f t="shared" si="33"/>
        <v>0</v>
      </c>
      <c r="AE149" s="38"/>
      <c r="AF149" s="692">
        <f t="shared" si="35"/>
        <v>0</v>
      </c>
      <c r="AG149" s="692">
        <f t="shared" si="36"/>
        <v>0</v>
      </c>
      <c r="AH149" s="692">
        <f t="shared" si="37"/>
        <v>0</v>
      </c>
      <c r="AJ149" s="38">
        <f t="shared" si="34"/>
        <v>7163.42</v>
      </c>
    </row>
    <row r="150" spans="1:36" s="232" customFormat="1">
      <c r="A150" s="403"/>
      <c r="B150" s="403" t="s">
        <v>109</v>
      </c>
      <c r="C150" s="666" t="s">
        <v>563</v>
      </c>
      <c r="D150" s="123" t="s">
        <v>327</v>
      </c>
      <c r="E150" s="679"/>
      <c r="F150" s="529">
        <f>VLOOKUP(D150,'Feb 2013 Revenue'!D:T,17,FALSE)</f>
        <v>-16162.339999999997</v>
      </c>
      <c r="G150" s="680"/>
      <c r="H150" s="680"/>
      <c r="I150" s="755"/>
      <c r="J150" s="682">
        <f t="shared" si="28"/>
        <v>-16162.339999999997</v>
      </c>
      <c r="K150" s="683"/>
      <c r="L150" s="684"/>
      <c r="M150" s="753">
        <v>35000</v>
      </c>
      <c r="N150" s="683">
        <v>0</v>
      </c>
      <c r="O150" s="686"/>
      <c r="P150" s="683">
        <v>0</v>
      </c>
      <c r="Q150" s="687">
        <f t="shared" si="29"/>
        <v>35000</v>
      </c>
      <c r="R150" s="688">
        <v>0</v>
      </c>
      <c r="S150" s="693"/>
      <c r="T150" s="690">
        <f t="shared" si="30"/>
        <v>-35000</v>
      </c>
      <c r="U150" s="683"/>
      <c r="V150" s="474">
        <f t="shared" si="38"/>
        <v>0</v>
      </c>
      <c r="W150" s="474">
        <f t="shared" si="39"/>
        <v>35000</v>
      </c>
      <c r="X150" s="475">
        <f t="shared" si="40"/>
        <v>0</v>
      </c>
      <c r="Y150" s="475">
        <v>0</v>
      </c>
      <c r="Z150" s="476">
        <v>0</v>
      </c>
      <c r="AA150" s="38">
        <f t="shared" si="41"/>
        <v>0</v>
      </c>
      <c r="AB150" s="692">
        <f t="shared" si="31"/>
        <v>0</v>
      </c>
      <c r="AC150" s="692">
        <f t="shared" si="32"/>
        <v>-16162.339999999997</v>
      </c>
      <c r="AD150" s="692">
        <f t="shared" si="33"/>
        <v>0</v>
      </c>
      <c r="AE150" s="38"/>
      <c r="AF150" s="692">
        <f t="shared" si="35"/>
        <v>0</v>
      </c>
      <c r="AG150" s="692">
        <f t="shared" si="36"/>
        <v>35000</v>
      </c>
      <c r="AH150" s="692">
        <f t="shared" si="37"/>
        <v>0</v>
      </c>
      <c r="AJ150" s="38">
        <f t="shared" si="34"/>
        <v>18837.660000000003</v>
      </c>
    </row>
    <row r="151" spans="1:36" s="232" customFormat="1">
      <c r="A151" s="403"/>
      <c r="B151" s="403" t="s">
        <v>110</v>
      </c>
      <c r="C151" s="666" t="s">
        <v>563</v>
      </c>
      <c r="D151" s="123" t="s">
        <v>637</v>
      </c>
      <c r="E151" s="679"/>
      <c r="F151" s="529">
        <f>VLOOKUP(D151,'Feb 2013 Revenue'!D:T,17,FALSE)</f>
        <v>0</v>
      </c>
      <c r="G151" s="680"/>
      <c r="H151" s="680"/>
      <c r="I151" s="755"/>
      <c r="J151" s="682">
        <f t="shared" si="28"/>
        <v>0</v>
      </c>
      <c r="K151" s="683"/>
      <c r="L151" s="684"/>
      <c r="M151" s="753"/>
      <c r="N151" s="683">
        <v>0</v>
      </c>
      <c r="O151" s="686"/>
      <c r="P151" s="683">
        <v>0</v>
      </c>
      <c r="Q151" s="687">
        <f t="shared" si="29"/>
        <v>0</v>
      </c>
      <c r="R151" s="688">
        <v>0</v>
      </c>
      <c r="S151" s="693"/>
      <c r="T151" s="690">
        <f t="shared" si="30"/>
        <v>0</v>
      </c>
      <c r="U151" s="683"/>
      <c r="V151" s="474">
        <f t="shared" si="38"/>
        <v>0</v>
      </c>
      <c r="W151" s="474">
        <f t="shared" si="39"/>
        <v>0</v>
      </c>
      <c r="X151" s="475">
        <f t="shared" si="40"/>
        <v>0</v>
      </c>
      <c r="Y151" s="475">
        <v>0</v>
      </c>
      <c r="Z151" s="476">
        <v>0</v>
      </c>
      <c r="AA151" s="38">
        <f t="shared" si="41"/>
        <v>0</v>
      </c>
      <c r="AB151" s="692">
        <f t="shared" si="31"/>
        <v>0</v>
      </c>
      <c r="AC151" s="692">
        <f t="shared" si="32"/>
        <v>0</v>
      </c>
      <c r="AD151" s="692">
        <f t="shared" si="33"/>
        <v>0</v>
      </c>
      <c r="AE151" s="38"/>
      <c r="AF151" s="692">
        <f t="shared" si="35"/>
        <v>0</v>
      </c>
      <c r="AG151" s="692">
        <f t="shared" si="36"/>
        <v>0</v>
      </c>
      <c r="AH151" s="692">
        <f t="shared" si="37"/>
        <v>0</v>
      </c>
      <c r="AJ151" s="38">
        <f t="shared" si="34"/>
        <v>0</v>
      </c>
    </row>
    <row r="152" spans="1:36">
      <c r="A152" s="21" t="s">
        <v>212</v>
      </c>
      <c r="B152" s="21" t="s">
        <v>110</v>
      </c>
      <c r="C152" s="666"/>
      <c r="D152" s="68" t="s">
        <v>232</v>
      </c>
      <c r="E152" s="679"/>
      <c r="F152" s="529">
        <f>VLOOKUP(D152,'Feb 2013 Revenue'!D:T,17,FALSE)</f>
        <v>0</v>
      </c>
      <c r="G152" s="680"/>
      <c r="H152" s="680"/>
      <c r="I152" s="755"/>
      <c r="J152" s="682">
        <f t="shared" si="28"/>
        <v>0</v>
      </c>
      <c r="K152" s="683"/>
      <c r="L152" s="684"/>
      <c r="M152" s="753"/>
      <c r="N152" s="683">
        <v>0</v>
      </c>
      <c r="O152" s="686"/>
      <c r="P152" s="683">
        <v>0</v>
      </c>
      <c r="Q152" s="687">
        <f t="shared" si="29"/>
        <v>0</v>
      </c>
      <c r="R152" s="688">
        <v>0</v>
      </c>
      <c r="S152" s="693"/>
      <c r="T152" s="690">
        <f t="shared" si="30"/>
        <v>0</v>
      </c>
      <c r="U152" s="683"/>
      <c r="V152" s="474">
        <f t="shared" si="38"/>
        <v>0</v>
      </c>
      <c r="W152" s="474">
        <f t="shared" si="39"/>
        <v>0</v>
      </c>
      <c r="X152" s="475">
        <f t="shared" si="40"/>
        <v>0</v>
      </c>
      <c r="Y152" s="475">
        <v>0</v>
      </c>
      <c r="Z152" s="476">
        <v>0</v>
      </c>
      <c r="AA152" s="38">
        <f t="shared" si="41"/>
        <v>0</v>
      </c>
      <c r="AB152" s="692">
        <f t="shared" si="31"/>
        <v>0</v>
      </c>
      <c r="AC152" s="692">
        <f t="shared" si="32"/>
        <v>0</v>
      </c>
      <c r="AD152" s="692">
        <f t="shared" si="33"/>
        <v>0</v>
      </c>
      <c r="AE152" s="38"/>
      <c r="AF152" s="692">
        <f t="shared" si="35"/>
        <v>0</v>
      </c>
      <c r="AG152" s="692">
        <f t="shared" si="36"/>
        <v>0</v>
      </c>
      <c r="AH152" s="692">
        <f t="shared" si="37"/>
        <v>0</v>
      </c>
      <c r="AJ152" s="38">
        <f t="shared" si="34"/>
        <v>0</v>
      </c>
    </row>
    <row r="153" spans="1:36">
      <c r="A153" s="21"/>
      <c r="B153" s="21" t="s">
        <v>109</v>
      </c>
      <c r="C153" s="666" t="s">
        <v>564</v>
      </c>
      <c r="D153" s="68" t="s">
        <v>876</v>
      </c>
      <c r="E153" s="679"/>
      <c r="F153" s="529">
        <f>VLOOKUP(D153,'Feb 2013 Revenue'!D:T,17,FALSE)</f>
        <v>0</v>
      </c>
      <c r="G153" s="680"/>
      <c r="H153" s="680"/>
      <c r="I153" s="755"/>
      <c r="J153" s="682">
        <f t="shared" si="28"/>
        <v>0</v>
      </c>
      <c r="K153" s="683"/>
      <c r="L153" s="684"/>
      <c r="M153" s="753"/>
      <c r="N153" s="683">
        <v>0</v>
      </c>
      <c r="O153" s="686"/>
      <c r="P153" s="683">
        <v>0</v>
      </c>
      <c r="Q153" s="687">
        <f t="shared" si="29"/>
        <v>0</v>
      </c>
      <c r="R153" s="688">
        <v>0</v>
      </c>
      <c r="S153" s="693"/>
      <c r="T153" s="690">
        <f t="shared" si="30"/>
        <v>0</v>
      </c>
      <c r="U153" s="683"/>
      <c r="V153" s="474">
        <f t="shared" si="38"/>
        <v>0</v>
      </c>
      <c r="W153" s="474">
        <f t="shared" si="39"/>
        <v>0</v>
      </c>
      <c r="X153" s="475">
        <f t="shared" si="40"/>
        <v>0</v>
      </c>
      <c r="Y153" s="475">
        <v>0</v>
      </c>
      <c r="Z153" s="476">
        <v>0</v>
      </c>
      <c r="AA153" s="38">
        <f t="shared" si="41"/>
        <v>0</v>
      </c>
      <c r="AB153" s="692">
        <f t="shared" si="31"/>
        <v>0</v>
      </c>
      <c r="AC153" s="692">
        <f t="shared" si="32"/>
        <v>0</v>
      </c>
      <c r="AD153" s="692">
        <f t="shared" si="33"/>
        <v>0</v>
      </c>
      <c r="AE153" s="38"/>
      <c r="AF153" s="692">
        <f t="shared" si="35"/>
        <v>0</v>
      </c>
      <c r="AG153" s="692">
        <f t="shared" si="36"/>
        <v>0</v>
      </c>
      <c r="AH153" s="692">
        <f t="shared" si="37"/>
        <v>0</v>
      </c>
      <c r="AJ153" s="38">
        <f t="shared" si="34"/>
        <v>0</v>
      </c>
    </row>
    <row r="154" spans="1:36">
      <c r="A154" s="21"/>
      <c r="B154" s="21" t="s">
        <v>109</v>
      </c>
      <c r="C154" s="666" t="s">
        <v>564</v>
      </c>
      <c r="D154" s="68" t="s">
        <v>307</v>
      </c>
      <c r="E154" s="679"/>
      <c r="F154" s="529">
        <f>VLOOKUP(D154,'Feb 2013 Revenue'!D:T,17,FALSE)</f>
        <v>0</v>
      </c>
      <c r="G154" s="680"/>
      <c r="H154" s="680"/>
      <c r="I154" s="755"/>
      <c r="J154" s="682">
        <f t="shared" si="28"/>
        <v>0</v>
      </c>
      <c r="K154" s="683"/>
      <c r="L154" s="684"/>
      <c r="M154" s="753"/>
      <c r="N154" s="683">
        <v>0</v>
      </c>
      <c r="O154" s="686"/>
      <c r="P154" s="683">
        <v>0</v>
      </c>
      <c r="Q154" s="687">
        <f t="shared" si="29"/>
        <v>0</v>
      </c>
      <c r="R154" s="688">
        <v>0</v>
      </c>
      <c r="S154" s="693"/>
      <c r="T154" s="690">
        <f t="shared" si="30"/>
        <v>0</v>
      </c>
      <c r="U154" s="683"/>
      <c r="V154" s="474">
        <f t="shared" si="38"/>
        <v>0</v>
      </c>
      <c r="W154" s="474">
        <f t="shared" si="39"/>
        <v>0</v>
      </c>
      <c r="X154" s="475">
        <f t="shared" si="40"/>
        <v>0</v>
      </c>
      <c r="Y154" s="475">
        <v>0</v>
      </c>
      <c r="Z154" s="476">
        <v>0</v>
      </c>
      <c r="AA154" s="38">
        <f t="shared" si="41"/>
        <v>0</v>
      </c>
      <c r="AB154" s="692">
        <f t="shared" si="31"/>
        <v>0</v>
      </c>
      <c r="AC154" s="692">
        <f t="shared" si="32"/>
        <v>0</v>
      </c>
      <c r="AD154" s="692">
        <f t="shared" si="33"/>
        <v>0</v>
      </c>
      <c r="AE154" s="38"/>
      <c r="AF154" s="692">
        <f t="shared" si="35"/>
        <v>0</v>
      </c>
      <c r="AG154" s="692">
        <f t="shared" si="36"/>
        <v>0</v>
      </c>
      <c r="AH154" s="692">
        <f t="shared" si="37"/>
        <v>0</v>
      </c>
      <c r="AJ154" s="38">
        <f t="shared" si="34"/>
        <v>0</v>
      </c>
    </row>
    <row r="155" spans="1:36">
      <c r="A155" s="21"/>
      <c r="B155" s="21" t="s">
        <v>109</v>
      </c>
      <c r="C155" s="666" t="s">
        <v>565</v>
      </c>
      <c r="D155" s="68" t="s">
        <v>485</v>
      </c>
      <c r="E155" s="679"/>
      <c r="F155" s="529">
        <f>VLOOKUP(D155,'Feb 2013 Revenue'!D:T,17,FALSE)</f>
        <v>0</v>
      </c>
      <c r="G155" s="680"/>
      <c r="H155" s="680"/>
      <c r="I155" s="755"/>
      <c r="J155" s="682">
        <f t="shared" si="28"/>
        <v>0</v>
      </c>
      <c r="K155" s="683"/>
      <c r="L155" s="684"/>
      <c r="M155" s="753">
        <v>35000</v>
      </c>
      <c r="N155" s="683"/>
      <c r="O155" s="686"/>
      <c r="P155" s="683"/>
      <c r="Q155" s="687">
        <f t="shared" si="29"/>
        <v>35000</v>
      </c>
      <c r="R155" s="688">
        <f>5247.13+2760.83+2354.09+1322.53+227.65+19466.01+425.15+398.66+553.15+5527.2</f>
        <v>38282.400000000001</v>
      </c>
      <c r="S155" s="693"/>
      <c r="T155" s="690">
        <f t="shared" si="30"/>
        <v>3282.4000000000015</v>
      </c>
      <c r="U155" s="683"/>
      <c r="V155" s="474">
        <f t="shared" si="38"/>
        <v>0</v>
      </c>
      <c r="W155" s="474">
        <f t="shared" si="39"/>
        <v>35000</v>
      </c>
      <c r="X155" s="475">
        <f t="shared" si="40"/>
        <v>0</v>
      </c>
      <c r="Y155" s="475">
        <v>0</v>
      </c>
      <c r="Z155" s="476">
        <v>0</v>
      </c>
      <c r="AA155" s="38">
        <f t="shared" si="41"/>
        <v>0</v>
      </c>
      <c r="AB155" s="692">
        <f t="shared" si="31"/>
        <v>0</v>
      </c>
      <c r="AC155" s="692">
        <f t="shared" si="32"/>
        <v>0</v>
      </c>
      <c r="AD155" s="692">
        <f t="shared" si="33"/>
        <v>0</v>
      </c>
      <c r="AE155" s="38"/>
      <c r="AF155" s="692">
        <f t="shared" si="35"/>
        <v>0</v>
      </c>
      <c r="AG155" s="692">
        <f t="shared" si="36"/>
        <v>35000</v>
      </c>
      <c r="AH155" s="692">
        <f t="shared" si="37"/>
        <v>0</v>
      </c>
      <c r="AJ155" s="38">
        <f t="shared" si="34"/>
        <v>35000</v>
      </c>
    </row>
    <row r="156" spans="1:36" s="232" customFormat="1">
      <c r="A156" s="403"/>
      <c r="B156" s="403" t="s">
        <v>109</v>
      </c>
      <c r="C156" s="666"/>
      <c r="D156" s="123" t="s">
        <v>220</v>
      </c>
      <c r="E156" s="679"/>
      <c r="F156" s="529">
        <f>VLOOKUP(D156,'Feb 2013 Revenue'!D:T,17,FALSE)</f>
        <v>0</v>
      </c>
      <c r="G156" s="680"/>
      <c r="H156" s="680"/>
      <c r="I156" s="755"/>
      <c r="J156" s="682">
        <f t="shared" si="28"/>
        <v>0</v>
      </c>
      <c r="K156" s="683"/>
      <c r="L156" s="684"/>
      <c r="M156" s="753"/>
      <c r="N156" s="683">
        <v>0</v>
      </c>
      <c r="O156" s="686"/>
      <c r="P156" s="683">
        <v>0</v>
      </c>
      <c r="Q156" s="687">
        <f t="shared" si="29"/>
        <v>0</v>
      </c>
      <c r="R156" s="688">
        <v>0</v>
      </c>
      <c r="S156" s="693"/>
      <c r="T156" s="690">
        <f t="shared" si="30"/>
        <v>0</v>
      </c>
      <c r="U156" s="683"/>
      <c r="V156" s="474">
        <f t="shared" si="38"/>
        <v>0</v>
      </c>
      <c r="W156" s="474">
        <f t="shared" si="39"/>
        <v>0</v>
      </c>
      <c r="X156" s="475">
        <f t="shared" si="40"/>
        <v>0</v>
      </c>
      <c r="Y156" s="475">
        <v>0</v>
      </c>
      <c r="Z156" s="476">
        <v>0</v>
      </c>
      <c r="AA156" s="38">
        <f t="shared" si="41"/>
        <v>0</v>
      </c>
      <c r="AB156" s="692">
        <f t="shared" si="31"/>
        <v>0</v>
      </c>
      <c r="AC156" s="692">
        <f t="shared" si="32"/>
        <v>0</v>
      </c>
      <c r="AD156" s="692">
        <f t="shared" si="33"/>
        <v>0</v>
      </c>
      <c r="AE156" s="38"/>
      <c r="AF156" s="692">
        <f t="shared" si="35"/>
        <v>0</v>
      </c>
      <c r="AG156" s="692">
        <f t="shared" si="36"/>
        <v>0</v>
      </c>
      <c r="AH156" s="692">
        <f t="shared" si="37"/>
        <v>0</v>
      </c>
      <c r="AJ156" s="38">
        <f t="shared" si="34"/>
        <v>0</v>
      </c>
    </row>
    <row r="157" spans="1:36" s="24" customFormat="1">
      <c r="A157" s="472"/>
      <c r="B157" s="21" t="s">
        <v>109</v>
      </c>
      <c r="C157" s="666"/>
      <c r="D157" s="68" t="s">
        <v>505</v>
      </c>
      <c r="E157" s="679"/>
      <c r="F157" s="529">
        <f>VLOOKUP(D157,'Feb 2013 Revenue'!D:T,17,FALSE)</f>
        <v>0</v>
      </c>
      <c r="G157" s="680"/>
      <c r="H157" s="680"/>
      <c r="I157" s="770">
        <v>3318</v>
      </c>
      <c r="J157" s="682">
        <f t="shared" si="28"/>
        <v>3318</v>
      </c>
      <c r="K157" s="698"/>
      <c r="L157" s="684"/>
      <c r="M157" s="753"/>
      <c r="N157" s="698">
        <v>0</v>
      </c>
      <c r="O157" s="686"/>
      <c r="P157" s="698">
        <v>0</v>
      </c>
      <c r="Q157" s="700">
        <f t="shared" si="29"/>
        <v>0</v>
      </c>
      <c r="R157" s="688">
        <v>0</v>
      </c>
      <c r="S157" s="701"/>
      <c r="T157" s="690">
        <f t="shared" si="30"/>
        <v>0</v>
      </c>
      <c r="U157" s="698"/>
      <c r="V157" s="474">
        <f t="shared" si="38"/>
        <v>0</v>
      </c>
      <c r="W157" s="474">
        <f t="shared" si="39"/>
        <v>0</v>
      </c>
      <c r="X157" s="475">
        <f t="shared" si="40"/>
        <v>0</v>
      </c>
      <c r="Y157" s="475">
        <v>0</v>
      </c>
      <c r="Z157" s="476">
        <v>0</v>
      </c>
      <c r="AA157" s="38">
        <f t="shared" si="41"/>
        <v>0</v>
      </c>
      <c r="AB157" s="692">
        <f t="shared" si="31"/>
        <v>0</v>
      </c>
      <c r="AC157" s="692">
        <f t="shared" si="32"/>
        <v>3318</v>
      </c>
      <c r="AD157" s="692">
        <f t="shared" si="33"/>
        <v>0</v>
      </c>
      <c r="AE157" s="38"/>
      <c r="AF157" s="692">
        <f t="shared" si="35"/>
        <v>0</v>
      </c>
      <c r="AG157" s="692">
        <f t="shared" si="36"/>
        <v>0</v>
      </c>
      <c r="AH157" s="692">
        <f t="shared" si="37"/>
        <v>0</v>
      </c>
      <c r="AJ157" s="38">
        <f t="shared" si="34"/>
        <v>3318</v>
      </c>
    </row>
    <row r="158" spans="1:36">
      <c r="A158" s="21"/>
      <c r="B158" s="21" t="s">
        <v>110</v>
      </c>
      <c r="C158" s="666"/>
      <c r="D158" s="68" t="s">
        <v>185</v>
      </c>
      <c r="E158" s="679"/>
      <c r="F158" s="529">
        <f>VLOOKUP(D158,'Feb 2013 Revenue'!D:T,17,FALSE)</f>
        <v>0</v>
      </c>
      <c r="G158" s="680"/>
      <c r="H158" s="680"/>
      <c r="I158" s="755"/>
      <c r="J158" s="682">
        <f t="shared" si="28"/>
        <v>0</v>
      </c>
      <c r="K158" s="683"/>
      <c r="L158" s="684"/>
      <c r="M158" s="753"/>
      <c r="N158" s="683">
        <v>0</v>
      </c>
      <c r="O158" s="686"/>
      <c r="P158" s="683">
        <v>0</v>
      </c>
      <c r="Q158" s="687">
        <f t="shared" si="29"/>
        <v>0</v>
      </c>
      <c r="R158" s="688">
        <v>0</v>
      </c>
      <c r="S158" s="693"/>
      <c r="T158" s="690">
        <f t="shared" si="30"/>
        <v>0</v>
      </c>
      <c r="U158" s="683"/>
      <c r="V158" s="474">
        <f t="shared" si="38"/>
        <v>0</v>
      </c>
      <c r="W158" s="474">
        <f t="shared" si="39"/>
        <v>0</v>
      </c>
      <c r="X158" s="475">
        <f t="shared" si="40"/>
        <v>0</v>
      </c>
      <c r="Y158" s="475">
        <v>0</v>
      </c>
      <c r="Z158" s="476">
        <v>0</v>
      </c>
      <c r="AA158" s="38">
        <f t="shared" si="41"/>
        <v>0</v>
      </c>
      <c r="AB158" s="692">
        <f t="shared" si="31"/>
        <v>0</v>
      </c>
      <c r="AC158" s="692">
        <f t="shared" si="32"/>
        <v>0</v>
      </c>
      <c r="AD158" s="692">
        <f t="shared" si="33"/>
        <v>0</v>
      </c>
      <c r="AE158" s="38"/>
      <c r="AF158" s="692">
        <f t="shared" si="35"/>
        <v>0</v>
      </c>
      <c r="AG158" s="692">
        <f t="shared" si="36"/>
        <v>0</v>
      </c>
      <c r="AH158" s="692">
        <f t="shared" si="37"/>
        <v>0</v>
      </c>
      <c r="AJ158" s="38">
        <f t="shared" si="34"/>
        <v>0</v>
      </c>
    </row>
    <row r="159" spans="1:36">
      <c r="A159" s="21"/>
      <c r="B159" s="21" t="s">
        <v>896</v>
      </c>
      <c r="C159" s="21"/>
      <c r="D159" s="68" t="s">
        <v>186</v>
      </c>
      <c r="E159" s="679"/>
      <c r="F159" s="529">
        <f>VLOOKUP(D159,'Feb 2013 Revenue'!D:T,17,FALSE)</f>
        <v>0</v>
      </c>
      <c r="G159" s="680"/>
      <c r="H159" s="680"/>
      <c r="I159" s="755"/>
      <c r="J159" s="682">
        <f t="shared" si="28"/>
        <v>0</v>
      </c>
      <c r="K159" s="683"/>
      <c r="L159" s="684"/>
      <c r="M159" s="753"/>
      <c r="N159" s="683">
        <v>0</v>
      </c>
      <c r="O159" s="686"/>
      <c r="P159" s="683">
        <v>0</v>
      </c>
      <c r="Q159" s="687">
        <f t="shared" si="29"/>
        <v>0</v>
      </c>
      <c r="R159" s="688">
        <v>0</v>
      </c>
      <c r="S159" s="693"/>
      <c r="T159" s="690">
        <f t="shared" si="30"/>
        <v>0</v>
      </c>
      <c r="U159" s="683"/>
      <c r="V159" s="474">
        <f t="shared" si="38"/>
        <v>0</v>
      </c>
      <c r="W159" s="474">
        <f t="shared" si="39"/>
        <v>0</v>
      </c>
      <c r="X159" s="475">
        <f t="shared" si="40"/>
        <v>0</v>
      </c>
      <c r="Y159" s="475">
        <v>0</v>
      </c>
      <c r="Z159" s="476">
        <v>0</v>
      </c>
      <c r="AA159" s="38">
        <f t="shared" si="41"/>
        <v>0</v>
      </c>
      <c r="AB159" s="692">
        <f t="shared" si="31"/>
        <v>0</v>
      </c>
      <c r="AC159" s="692">
        <f t="shared" si="32"/>
        <v>0</v>
      </c>
      <c r="AD159" s="692">
        <f t="shared" si="33"/>
        <v>0</v>
      </c>
      <c r="AE159" s="38"/>
      <c r="AF159" s="692">
        <f t="shared" si="35"/>
        <v>0</v>
      </c>
      <c r="AG159" s="692">
        <f t="shared" si="36"/>
        <v>0</v>
      </c>
      <c r="AH159" s="692">
        <f t="shared" si="37"/>
        <v>0</v>
      </c>
      <c r="AJ159" s="38">
        <f t="shared" si="34"/>
        <v>0</v>
      </c>
    </row>
    <row r="160" spans="1:36">
      <c r="A160" s="21"/>
      <c r="B160" s="21" t="s">
        <v>110</v>
      </c>
      <c r="C160" s="666"/>
      <c r="D160" s="68" t="s">
        <v>449</v>
      </c>
      <c r="E160" s="679"/>
      <c r="F160" s="529">
        <f>VLOOKUP(D160,'Feb 2013 Revenue'!D:T,17,FALSE)</f>
        <v>0</v>
      </c>
      <c r="G160" s="680"/>
      <c r="H160" s="680"/>
      <c r="I160" s="755"/>
      <c r="J160" s="682">
        <f t="shared" si="28"/>
        <v>0</v>
      </c>
      <c r="K160" s="683"/>
      <c r="L160" s="684"/>
      <c r="M160" s="753"/>
      <c r="N160" s="683">
        <v>0</v>
      </c>
      <c r="O160" s="686"/>
      <c r="P160" s="683">
        <v>0</v>
      </c>
      <c r="Q160" s="687">
        <f t="shared" si="29"/>
        <v>0</v>
      </c>
      <c r="R160" s="688">
        <v>0</v>
      </c>
      <c r="S160" s="693"/>
      <c r="T160" s="690">
        <f t="shared" si="30"/>
        <v>0</v>
      </c>
      <c r="U160" s="683"/>
      <c r="V160" s="474">
        <f t="shared" si="38"/>
        <v>0</v>
      </c>
      <c r="W160" s="474">
        <f t="shared" si="39"/>
        <v>0</v>
      </c>
      <c r="X160" s="475">
        <f t="shared" si="40"/>
        <v>0</v>
      </c>
      <c r="Y160" s="475">
        <v>0</v>
      </c>
      <c r="Z160" s="476">
        <v>0</v>
      </c>
      <c r="AA160" s="38">
        <f t="shared" si="41"/>
        <v>0</v>
      </c>
      <c r="AB160" s="692">
        <f t="shared" si="31"/>
        <v>0</v>
      </c>
      <c r="AC160" s="692">
        <f t="shared" si="32"/>
        <v>0</v>
      </c>
      <c r="AD160" s="692">
        <f t="shared" si="33"/>
        <v>0</v>
      </c>
      <c r="AE160" s="38"/>
      <c r="AF160" s="692">
        <f t="shared" si="35"/>
        <v>0</v>
      </c>
      <c r="AG160" s="692">
        <f t="shared" si="36"/>
        <v>0</v>
      </c>
      <c r="AH160" s="692">
        <f t="shared" si="37"/>
        <v>0</v>
      </c>
      <c r="AJ160" s="38">
        <f t="shared" si="34"/>
        <v>0</v>
      </c>
    </row>
    <row r="161" spans="1:36">
      <c r="A161" s="21"/>
      <c r="B161" s="21" t="s">
        <v>110</v>
      </c>
      <c r="C161" s="666" t="s">
        <v>566</v>
      </c>
      <c r="D161" s="68" t="s">
        <v>39</v>
      </c>
      <c r="E161" s="679"/>
      <c r="F161" s="529">
        <f>VLOOKUP(D161,'Feb 2013 Revenue'!D:T,17,FALSE)</f>
        <v>5209.3500000000004</v>
      </c>
      <c r="G161" s="680"/>
      <c r="H161" s="680"/>
      <c r="I161" s="755"/>
      <c r="J161" s="682">
        <f t="shared" si="28"/>
        <v>5209.3500000000004</v>
      </c>
      <c r="K161" s="683"/>
      <c r="L161" s="684"/>
      <c r="M161" s="753">
        <v>5000</v>
      </c>
      <c r="N161" s="683">
        <v>0</v>
      </c>
      <c r="O161" s="686"/>
      <c r="P161" s="683">
        <v>0</v>
      </c>
      <c r="Q161" s="687">
        <f t="shared" si="29"/>
        <v>5000</v>
      </c>
      <c r="R161" s="688">
        <v>7660.69</v>
      </c>
      <c r="S161" s="693"/>
      <c r="T161" s="690">
        <f t="shared" si="30"/>
        <v>2660.6899999999996</v>
      </c>
      <c r="U161" s="683"/>
      <c r="V161" s="474">
        <f t="shared" si="38"/>
        <v>5000</v>
      </c>
      <c r="W161" s="474">
        <f t="shared" si="39"/>
        <v>0</v>
      </c>
      <c r="X161" s="475">
        <f t="shared" si="40"/>
        <v>0</v>
      </c>
      <c r="Y161" s="475">
        <v>0</v>
      </c>
      <c r="Z161" s="476">
        <v>0</v>
      </c>
      <c r="AA161" s="38">
        <f t="shared" si="41"/>
        <v>0</v>
      </c>
      <c r="AB161" s="692">
        <f t="shared" si="31"/>
        <v>5209.3500000000004</v>
      </c>
      <c r="AC161" s="692">
        <f t="shared" si="32"/>
        <v>0</v>
      </c>
      <c r="AD161" s="692">
        <f t="shared" si="33"/>
        <v>0</v>
      </c>
      <c r="AE161" s="38"/>
      <c r="AF161" s="692">
        <f t="shared" si="35"/>
        <v>5000</v>
      </c>
      <c r="AG161" s="692">
        <f t="shared" si="36"/>
        <v>0</v>
      </c>
      <c r="AH161" s="692">
        <f t="shared" si="37"/>
        <v>0</v>
      </c>
      <c r="AJ161" s="38">
        <f t="shared" si="34"/>
        <v>10209.35</v>
      </c>
    </row>
    <row r="162" spans="1:36">
      <c r="A162" s="21"/>
      <c r="B162" s="21" t="s">
        <v>110</v>
      </c>
      <c r="C162" s="666" t="s">
        <v>567</v>
      </c>
      <c r="D162" s="68" t="s">
        <v>435</v>
      </c>
      <c r="E162" s="679"/>
      <c r="F162" s="529">
        <f>VLOOKUP(D162,'Feb 2013 Revenue'!D:T,17,FALSE)</f>
        <v>3992.4700000000012</v>
      </c>
      <c r="G162" s="680"/>
      <c r="H162" s="680"/>
      <c r="I162" s="755"/>
      <c r="J162" s="682">
        <f t="shared" si="28"/>
        <v>3992.4700000000012</v>
      </c>
      <c r="K162" s="683"/>
      <c r="L162" s="684"/>
      <c r="M162" s="753">
        <v>30000</v>
      </c>
      <c r="N162" s="683">
        <v>0</v>
      </c>
      <c r="O162" s="686"/>
      <c r="P162" s="683">
        <v>0</v>
      </c>
      <c r="Q162" s="687">
        <f t="shared" si="29"/>
        <v>30000</v>
      </c>
      <c r="R162" s="688">
        <v>62798.239999999998</v>
      </c>
      <c r="S162" s="693"/>
      <c r="T162" s="690">
        <f t="shared" si="30"/>
        <v>32798.239999999998</v>
      </c>
      <c r="U162" s="683"/>
      <c r="V162" s="474">
        <f t="shared" si="38"/>
        <v>30000</v>
      </c>
      <c r="W162" s="474">
        <f t="shared" si="39"/>
        <v>0</v>
      </c>
      <c r="X162" s="475">
        <f t="shared" si="40"/>
        <v>0</v>
      </c>
      <c r="Y162" s="475">
        <v>0</v>
      </c>
      <c r="Z162" s="476">
        <v>0</v>
      </c>
      <c r="AA162" s="38">
        <f t="shared" si="41"/>
        <v>0</v>
      </c>
      <c r="AB162" s="692">
        <f t="shared" si="31"/>
        <v>3992.4700000000012</v>
      </c>
      <c r="AC162" s="692">
        <f t="shared" si="32"/>
        <v>0</v>
      </c>
      <c r="AD162" s="692">
        <f t="shared" si="33"/>
        <v>0</v>
      </c>
      <c r="AE162" s="38"/>
      <c r="AF162" s="692">
        <f t="shared" si="35"/>
        <v>30000</v>
      </c>
      <c r="AG162" s="692">
        <f t="shared" si="36"/>
        <v>0</v>
      </c>
      <c r="AH162" s="692">
        <f t="shared" si="37"/>
        <v>0</v>
      </c>
      <c r="AJ162" s="38">
        <f t="shared" si="34"/>
        <v>33992.47</v>
      </c>
    </row>
    <row r="163" spans="1:36">
      <c r="A163" s="21"/>
      <c r="B163" s="21" t="s">
        <v>110</v>
      </c>
      <c r="C163" s="675" t="s">
        <v>584</v>
      </c>
      <c r="D163" s="68" t="s">
        <v>99</v>
      </c>
      <c r="E163" s="679"/>
      <c r="F163" s="529">
        <f>VLOOKUP(D163,'Feb 2013 Revenue'!D:T,17,FALSE)</f>
        <v>-4140.4799999999996</v>
      </c>
      <c r="G163" s="680"/>
      <c r="H163" s="680"/>
      <c r="I163" s="755"/>
      <c r="J163" s="682">
        <f t="shared" si="28"/>
        <v>-4140.4799999999996</v>
      </c>
      <c r="K163" s="683"/>
      <c r="L163" s="684"/>
      <c r="M163" s="753">
        <v>15000</v>
      </c>
      <c r="N163" s="683">
        <v>0</v>
      </c>
      <c r="O163" s="686"/>
      <c r="P163" s="683">
        <v>0</v>
      </c>
      <c r="Q163" s="687">
        <f t="shared" si="29"/>
        <v>15000</v>
      </c>
      <c r="R163" s="688">
        <v>0</v>
      </c>
      <c r="S163" s="693"/>
      <c r="T163" s="690">
        <f t="shared" si="30"/>
        <v>-15000</v>
      </c>
      <c r="U163" s="683"/>
      <c r="V163" s="474">
        <f t="shared" si="38"/>
        <v>15000</v>
      </c>
      <c r="W163" s="474">
        <f t="shared" si="39"/>
        <v>0</v>
      </c>
      <c r="X163" s="475">
        <f t="shared" si="40"/>
        <v>0</v>
      </c>
      <c r="Y163" s="475">
        <v>0</v>
      </c>
      <c r="Z163" s="476">
        <v>0</v>
      </c>
      <c r="AA163" s="38">
        <f t="shared" si="41"/>
        <v>0</v>
      </c>
      <c r="AB163" s="692">
        <f t="shared" si="31"/>
        <v>-4140.4799999999996</v>
      </c>
      <c r="AC163" s="692">
        <f t="shared" si="32"/>
        <v>0</v>
      </c>
      <c r="AD163" s="692">
        <f t="shared" si="33"/>
        <v>0</v>
      </c>
      <c r="AE163" s="38"/>
      <c r="AF163" s="692">
        <f t="shared" si="35"/>
        <v>15000</v>
      </c>
      <c r="AG163" s="692">
        <f t="shared" si="36"/>
        <v>0</v>
      </c>
      <c r="AH163" s="692">
        <f t="shared" si="37"/>
        <v>0</v>
      </c>
      <c r="AJ163" s="38">
        <f t="shared" si="34"/>
        <v>10859.52</v>
      </c>
    </row>
    <row r="164" spans="1:36" s="232" customFormat="1">
      <c r="A164" s="403"/>
      <c r="B164" s="403" t="s">
        <v>110</v>
      </c>
      <c r="C164" s="666"/>
      <c r="D164" s="123" t="s">
        <v>378</v>
      </c>
      <c r="E164" s="679"/>
      <c r="F164" s="529">
        <f>VLOOKUP(D164,'Feb 2013 Revenue'!D:T,17,FALSE)</f>
        <v>0</v>
      </c>
      <c r="G164" s="680"/>
      <c r="H164" s="680"/>
      <c r="I164" s="755"/>
      <c r="J164" s="682">
        <f t="shared" si="28"/>
        <v>0</v>
      </c>
      <c r="K164" s="683"/>
      <c r="L164" s="684"/>
      <c r="M164" s="753"/>
      <c r="N164" s="683">
        <v>0</v>
      </c>
      <c r="O164" s="686"/>
      <c r="P164" s="683">
        <v>0</v>
      </c>
      <c r="Q164" s="687">
        <f t="shared" si="29"/>
        <v>0</v>
      </c>
      <c r="R164" s="688">
        <v>0</v>
      </c>
      <c r="S164" s="693"/>
      <c r="T164" s="690">
        <f t="shared" si="30"/>
        <v>0</v>
      </c>
      <c r="U164" s="683"/>
      <c r="V164" s="474">
        <f t="shared" si="38"/>
        <v>0</v>
      </c>
      <c r="W164" s="474">
        <f t="shared" si="39"/>
        <v>0</v>
      </c>
      <c r="X164" s="475">
        <f t="shared" si="40"/>
        <v>0</v>
      </c>
      <c r="Y164" s="475">
        <v>0</v>
      </c>
      <c r="Z164" s="476">
        <v>0</v>
      </c>
      <c r="AA164" s="38">
        <f t="shared" si="41"/>
        <v>0</v>
      </c>
      <c r="AB164" s="692">
        <f t="shared" si="31"/>
        <v>0</v>
      </c>
      <c r="AC164" s="692">
        <f t="shared" si="32"/>
        <v>0</v>
      </c>
      <c r="AD164" s="692">
        <f t="shared" si="33"/>
        <v>0</v>
      </c>
      <c r="AE164" s="38"/>
      <c r="AF164" s="692">
        <f t="shared" si="35"/>
        <v>0</v>
      </c>
      <c r="AG164" s="692">
        <f t="shared" si="36"/>
        <v>0</v>
      </c>
      <c r="AH164" s="692">
        <f t="shared" si="37"/>
        <v>0</v>
      </c>
      <c r="AJ164" s="38">
        <f t="shared" si="34"/>
        <v>0</v>
      </c>
    </row>
    <row r="165" spans="1:36" s="232" customFormat="1">
      <c r="A165" s="403"/>
      <c r="B165" s="403" t="s">
        <v>110</v>
      </c>
      <c r="C165" s="666" t="s">
        <v>568</v>
      </c>
      <c r="D165" s="123" t="s">
        <v>303</v>
      </c>
      <c r="E165" s="679">
        <v>80681.69</v>
      </c>
      <c r="F165" s="529">
        <f>VLOOKUP(D165,'Feb 2013 Revenue'!D:T,17,FALSE)</f>
        <v>-170000</v>
      </c>
      <c r="G165" s="680"/>
      <c r="H165" s="680"/>
      <c r="I165" s="755"/>
      <c r="J165" s="682">
        <f t="shared" si="28"/>
        <v>-89318.31</v>
      </c>
      <c r="K165" s="683"/>
      <c r="L165" s="684"/>
      <c r="M165" s="753">
        <v>160000</v>
      </c>
      <c r="N165" s="683">
        <v>0</v>
      </c>
      <c r="O165" s="686"/>
      <c r="P165" s="683">
        <v>0</v>
      </c>
      <c r="Q165" s="687">
        <f t="shared" si="29"/>
        <v>160000</v>
      </c>
      <c r="R165" s="688">
        <v>0</v>
      </c>
      <c r="S165" s="693"/>
      <c r="T165" s="690">
        <f t="shared" si="30"/>
        <v>-160000</v>
      </c>
      <c r="U165" s="683"/>
      <c r="V165" s="474">
        <f t="shared" si="38"/>
        <v>160000</v>
      </c>
      <c r="W165" s="474">
        <f t="shared" si="39"/>
        <v>0</v>
      </c>
      <c r="X165" s="475">
        <f t="shared" si="40"/>
        <v>0</v>
      </c>
      <c r="Y165" s="475">
        <v>0</v>
      </c>
      <c r="Z165" s="476">
        <v>0</v>
      </c>
      <c r="AA165" s="38">
        <f t="shared" si="41"/>
        <v>0</v>
      </c>
      <c r="AB165" s="692">
        <f t="shared" si="31"/>
        <v>-89318.31</v>
      </c>
      <c r="AC165" s="692">
        <f t="shared" si="32"/>
        <v>0</v>
      </c>
      <c r="AD165" s="692">
        <f t="shared" si="33"/>
        <v>0</v>
      </c>
      <c r="AE165" s="38"/>
      <c r="AF165" s="692">
        <f t="shared" si="35"/>
        <v>160000</v>
      </c>
      <c r="AG165" s="692">
        <f t="shared" si="36"/>
        <v>0</v>
      </c>
      <c r="AH165" s="692">
        <f t="shared" si="37"/>
        <v>0</v>
      </c>
      <c r="AJ165" s="38">
        <f t="shared" si="34"/>
        <v>70681.69</v>
      </c>
    </row>
    <row r="166" spans="1:36" s="232" customFormat="1">
      <c r="A166" s="403"/>
      <c r="B166" s="403" t="s">
        <v>110</v>
      </c>
      <c r="C166" s="666"/>
      <c r="D166" s="123" t="s">
        <v>856</v>
      </c>
      <c r="E166" s="679">
        <f>5415.18+6513.88</f>
        <v>11929.060000000001</v>
      </c>
      <c r="F166" s="529">
        <f>VLOOKUP(D166,'Feb 2013 Revenue'!D:T,17,FALSE)</f>
        <v>-24000</v>
      </c>
      <c r="G166" s="680"/>
      <c r="H166" s="680"/>
      <c r="I166" s="755"/>
      <c r="J166" s="682">
        <f t="shared" si="28"/>
        <v>-12070.939999999999</v>
      </c>
      <c r="K166" s="683"/>
      <c r="L166" s="684"/>
      <c r="M166" s="753">
        <v>24000</v>
      </c>
      <c r="N166" s="683">
        <v>0</v>
      </c>
      <c r="O166" s="686"/>
      <c r="P166" s="683">
        <v>0</v>
      </c>
      <c r="Q166" s="687">
        <f t="shared" si="29"/>
        <v>24000</v>
      </c>
      <c r="R166" s="688">
        <v>0</v>
      </c>
      <c r="S166" s="693"/>
      <c r="T166" s="690">
        <f t="shared" si="30"/>
        <v>-24000</v>
      </c>
      <c r="U166" s="683"/>
      <c r="V166" s="474">
        <f t="shared" si="38"/>
        <v>24000</v>
      </c>
      <c r="W166" s="474">
        <f t="shared" si="39"/>
        <v>0</v>
      </c>
      <c r="X166" s="475">
        <f t="shared" si="40"/>
        <v>0</v>
      </c>
      <c r="Y166" s="475">
        <v>0</v>
      </c>
      <c r="Z166" s="476">
        <v>0</v>
      </c>
      <c r="AA166" s="38">
        <f t="shared" si="41"/>
        <v>0</v>
      </c>
      <c r="AB166" s="692">
        <f t="shared" si="31"/>
        <v>-12070.939999999999</v>
      </c>
      <c r="AC166" s="692">
        <f t="shared" si="32"/>
        <v>0</v>
      </c>
      <c r="AD166" s="692">
        <f t="shared" si="33"/>
        <v>0</v>
      </c>
      <c r="AE166" s="38"/>
      <c r="AF166" s="692">
        <f t="shared" si="35"/>
        <v>24000</v>
      </c>
      <c r="AG166" s="692">
        <f t="shared" si="36"/>
        <v>0</v>
      </c>
      <c r="AH166" s="692">
        <f t="shared" si="37"/>
        <v>0</v>
      </c>
      <c r="AJ166" s="38">
        <f t="shared" si="34"/>
        <v>11929.060000000001</v>
      </c>
    </row>
    <row r="167" spans="1:36" s="232" customFormat="1">
      <c r="A167" s="403"/>
      <c r="B167" s="403" t="s">
        <v>109</v>
      </c>
      <c r="C167" s="666" t="s">
        <v>569</v>
      </c>
      <c r="D167" s="123" t="s">
        <v>468</v>
      </c>
      <c r="E167" s="679"/>
      <c r="F167" s="529">
        <f>VLOOKUP(D167,'Feb 2013 Revenue'!D:T,17,FALSE)</f>
        <v>0</v>
      </c>
      <c r="G167" s="680"/>
      <c r="H167" s="680"/>
      <c r="I167" s="755"/>
      <c r="J167" s="682">
        <f t="shared" si="28"/>
        <v>0</v>
      </c>
      <c r="K167" s="683"/>
      <c r="L167" s="684"/>
      <c r="M167" s="753"/>
      <c r="N167" s="683">
        <v>0</v>
      </c>
      <c r="O167" s="686"/>
      <c r="P167" s="683">
        <v>0</v>
      </c>
      <c r="Q167" s="687">
        <f t="shared" si="29"/>
        <v>0</v>
      </c>
      <c r="R167" s="688">
        <v>0</v>
      </c>
      <c r="S167" s="693"/>
      <c r="T167" s="690">
        <f t="shared" si="30"/>
        <v>0</v>
      </c>
      <c r="U167" s="683"/>
      <c r="V167" s="474">
        <f t="shared" si="38"/>
        <v>0</v>
      </c>
      <c r="W167" s="474">
        <f t="shared" si="39"/>
        <v>0</v>
      </c>
      <c r="X167" s="475">
        <f t="shared" si="40"/>
        <v>0</v>
      </c>
      <c r="Y167" s="475">
        <v>0</v>
      </c>
      <c r="Z167" s="476">
        <v>0</v>
      </c>
      <c r="AA167" s="38">
        <f t="shared" si="41"/>
        <v>0</v>
      </c>
      <c r="AB167" s="692">
        <f t="shared" si="31"/>
        <v>0</v>
      </c>
      <c r="AC167" s="692">
        <f t="shared" si="32"/>
        <v>0</v>
      </c>
      <c r="AD167" s="692">
        <f t="shared" si="33"/>
        <v>0</v>
      </c>
      <c r="AE167" s="38"/>
      <c r="AF167" s="692">
        <f t="shared" si="35"/>
        <v>0</v>
      </c>
      <c r="AG167" s="692">
        <f t="shared" si="36"/>
        <v>0</v>
      </c>
      <c r="AH167" s="692">
        <f t="shared" si="37"/>
        <v>0</v>
      </c>
      <c r="AJ167" s="38">
        <f t="shared" si="34"/>
        <v>0</v>
      </c>
    </row>
    <row r="168" spans="1:36">
      <c r="A168" s="20"/>
      <c r="B168" s="20" t="s">
        <v>110</v>
      </c>
      <c r="C168" s="676" t="s">
        <v>844</v>
      </c>
      <c r="D168" s="68" t="s">
        <v>845</v>
      </c>
      <c r="E168" s="679"/>
      <c r="F168" s="529">
        <f>VLOOKUP(D168,'Feb 2013 Revenue'!D:T,17,FALSE)</f>
        <v>0</v>
      </c>
      <c r="G168" s="680"/>
      <c r="H168" s="680"/>
      <c r="I168" s="755"/>
      <c r="J168" s="682">
        <f t="shared" si="28"/>
        <v>0</v>
      </c>
      <c r="K168" s="683"/>
      <c r="L168" s="684"/>
      <c r="M168" s="753"/>
      <c r="N168" s="683">
        <v>0</v>
      </c>
      <c r="O168" s="686"/>
      <c r="P168" s="683">
        <v>0</v>
      </c>
      <c r="Q168" s="687">
        <f t="shared" si="29"/>
        <v>0</v>
      </c>
      <c r="R168" s="688">
        <v>0</v>
      </c>
      <c r="S168" s="693"/>
      <c r="T168" s="690">
        <f t="shared" si="30"/>
        <v>0</v>
      </c>
      <c r="U168" s="683"/>
      <c r="V168" s="474">
        <f t="shared" si="38"/>
        <v>0</v>
      </c>
      <c r="W168" s="474">
        <f t="shared" si="39"/>
        <v>0</v>
      </c>
      <c r="X168" s="475">
        <f t="shared" si="40"/>
        <v>0</v>
      </c>
      <c r="Y168" s="475">
        <v>0</v>
      </c>
      <c r="Z168" s="476">
        <v>0</v>
      </c>
      <c r="AA168" s="38">
        <f t="shared" si="41"/>
        <v>0</v>
      </c>
      <c r="AB168" s="692">
        <f t="shared" si="31"/>
        <v>0</v>
      </c>
      <c r="AC168" s="692">
        <f t="shared" si="32"/>
        <v>0</v>
      </c>
      <c r="AD168" s="692">
        <f t="shared" si="33"/>
        <v>0</v>
      </c>
      <c r="AE168" s="38"/>
      <c r="AF168" s="692">
        <f t="shared" si="35"/>
        <v>0</v>
      </c>
      <c r="AG168" s="692">
        <f t="shared" si="36"/>
        <v>0</v>
      </c>
      <c r="AH168" s="692">
        <f t="shared" si="37"/>
        <v>0</v>
      </c>
      <c r="AJ168" s="38">
        <f t="shared" si="34"/>
        <v>0</v>
      </c>
    </row>
    <row r="169" spans="1:36">
      <c r="A169" s="20"/>
      <c r="B169" s="20" t="s">
        <v>109</v>
      </c>
      <c r="C169" s="667" t="s">
        <v>570</v>
      </c>
      <c r="D169" s="68" t="s">
        <v>41</v>
      </c>
      <c r="E169" s="679"/>
      <c r="F169" s="529">
        <f>VLOOKUP(D169,'Feb 2013 Revenue'!D:T,17,FALSE)</f>
        <v>0</v>
      </c>
      <c r="G169" s="680"/>
      <c r="H169" s="680"/>
      <c r="I169" s="755"/>
      <c r="J169" s="682">
        <f t="shared" si="28"/>
        <v>0</v>
      </c>
      <c r="K169" s="683"/>
      <c r="L169" s="684"/>
      <c r="M169" s="753"/>
      <c r="N169" s="683">
        <v>0</v>
      </c>
      <c r="O169" s="686"/>
      <c r="P169" s="683">
        <v>0</v>
      </c>
      <c r="Q169" s="687">
        <f t="shared" si="29"/>
        <v>0</v>
      </c>
      <c r="R169" s="688">
        <v>0</v>
      </c>
      <c r="S169" s="693"/>
      <c r="T169" s="690">
        <f t="shared" si="30"/>
        <v>0</v>
      </c>
      <c r="U169" s="683"/>
      <c r="V169" s="474">
        <f t="shared" si="38"/>
        <v>0</v>
      </c>
      <c r="W169" s="474">
        <f t="shared" si="39"/>
        <v>0</v>
      </c>
      <c r="X169" s="475">
        <f t="shared" si="40"/>
        <v>0</v>
      </c>
      <c r="Y169" s="475">
        <v>0</v>
      </c>
      <c r="Z169" s="476">
        <v>0</v>
      </c>
      <c r="AA169" s="38">
        <f t="shared" si="41"/>
        <v>0</v>
      </c>
      <c r="AB169" s="692">
        <f t="shared" si="31"/>
        <v>0</v>
      </c>
      <c r="AC169" s="692">
        <f t="shared" si="32"/>
        <v>0</v>
      </c>
      <c r="AD169" s="692">
        <f t="shared" si="33"/>
        <v>0</v>
      </c>
      <c r="AE169" s="38"/>
      <c r="AF169" s="692">
        <f t="shared" si="35"/>
        <v>0</v>
      </c>
      <c r="AG169" s="692">
        <f t="shared" si="36"/>
        <v>0</v>
      </c>
      <c r="AH169" s="692">
        <f t="shared" si="37"/>
        <v>0</v>
      </c>
      <c r="AJ169" s="38">
        <f t="shared" si="34"/>
        <v>0</v>
      </c>
    </row>
    <row r="170" spans="1:36">
      <c r="A170" s="20"/>
      <c r="B170" s="20" t="s">
        <v>109</v>
      </c>
      <c r="C170" s="667" t="s">
        <v>570</v>
      </c>
      <c r="D170" s="68" t="s">
        <v>221</v>
      </c>
      <c r="E170" s="679"/>
      <c r="F170" s="529">
        <f>VLOOKUP(D170,'Feb 2013 Revenue'!D:T,17,FALSE)</f>
        <v>0</v>
      </c>
      <c r="G170" s="680"/>
      <c r="H170" s="680"/>
      <c r="I170" s="755"/>
      <c r="J170" s="682">
        <f t="shared" si="28"/>
        <v>0</v>
      </c>
      <c r="K170" s="683"/>
      <c r="L170" s="684"/>
      <c r="M170" s="753"/>
      <c r="N170" s="683">
        <v>0</v>
      </c>
      <c r="O170" s="686"/>
      <c r="P170" s="683">
        <v>0</v>
      </c>
      <c r="Q170" s="687">
        <f t="shared" si="29"/>
        <v>0</v>
      </c>
      <c r="R170" s="688">
        <v>0</v>
      </c>
      <c r="S170" s="693"/>
      <c r="T170" s="690">
        <f t="shared" si="30"/>
        <v>0</v>
      </c>
      <c r="U170" s="683"/>
      <c r="V170" s="474">
        <f t="shared" si="38"/>
        <v>0</v>
      </c>
      <c r="W170" s="474">
        <f t="shared" si="39"/>
        <v>0</v>
      </c>
      <c r="X170" s="475">
        <f t="shared" si="40"/>
        <v>0</v>
      </c>
      <c r="Y170" s="475">
        <v>0</v>
      </c>
      <c r="Z170" s="476">
        <v>0</v>
      </c>
      <c r="AA170" s="38">
        <f t="shared" si="41"/>
        <v>0</v>
      </c>
      <c r="AB170" s="692">
        <f t="shared" si="31"/>
        <v>0</v>
      </c>
      <c r="AC170" s="692">
        <f t="shared" si="32"/>
        <v>0</v>
      </c>
      <c r="AD170" s="692">
        <f t="shared" si="33"/>
        <v>0</v>
      </c>
      <c r="AE170" s="38"/>
      <c r="AF170" s="692">
        <f t="shared" si="35"/>
        <v>0</v>
      </c>
      <c r="AG170" s="692">
        <f t="shared" si="36"/>
        <v>0</v>
      </c>
      <c r="AH170" s="692">
        <f t="shared" si="37"/>
        <v>0</v>
      </c>
      <c r="AJ170" s="38">
        <f t="shared" si="34"/>
        <v>0</v>
      </c>
    </row>
    <row r="171" spans="1:36">
      <c r="A171" s="21"/>
      <c r="B171" s="21" t="s">
        <v>110</v>
      </c>
      <c r="C171" s="666"/>
      <c r="D171" s="68" t="s">
        <v>43</v>
      </c>
      <c r="E171" s="679"/>
      <c r="F171" s="529">
        <f>VLOOKUP(D171,'Feb 2013 Revenue'!D:T,17,FALSE)</f>
        <v>0</v>
      </c>
      <c r="G171" s="680"/>
      <c r="H171" s="680"/>
      <c r="I171" s="755"/>
      <c r="J171" s="682">
        <f t="shared" si="28"/>
        <v>0</v>
      </c>
      <c r="K171" s="683"/>
      <c r="L171" s="684"/>
      <c r="M171" s="753"/>
      <c r="N171" s="683">
        <v>0</v>
      </c>
      <c r="O171" s="686"/>
      <c r="P171" s="683">
        <v>0</v>
      </c>
      <c r="Q171" s="687">
        <f t="shared" si="29"/>
        <v>0</v>
      </c>
      <c r="R171" s="688">
        <v>0</v>
      </c>
      <c r="S171" s="693"/>
      <c r="T171" s="690">
        <f t="shared" si="30"/>
        <v>0</v>
      </c>
      <c r="U171" s="683"/>
      <c r="V171" s="474">
        <f t="shared" si="38"/>
        <v>0</v>
      </c>
      <c r="W171" s="474">
        <f t="shared" si="39"/>
        <v>0</v>
      </c>
      <c r="X171" s="475">
        <f t="shared" si="40"/>
        <v>0</v>
      </c>
      <c r="Y171" s="475">
        <v>0</v>
      </c>
      <c r="Z171" s="476">
        <v>0</v>
      </c>
      <c r="AA171" s="38">
        <f t="shared" si="41"/>
        <v>0</v>
      </c>
      <c r="AB171" s="692">
        <f t="shared" si="31"/>
        <v>0</v>
      </c>
      <c r="AC171" s="692">
        <f t="shared" si="32"/>
        <v>0</v>
      </c>
      <c r="AD171" s="692">
        <f t="shared" si="33"/>
        <v>0</v>
      </c>
      <c r="AE171" s="38"/>
      <c r="AF171" s="692">
        <f t="shared" si="35"/>
        <v>0</v>
      </c>
      <c r="AG171" s="692">
        <f t="shared" si="36"/>
        <v>0</v>
      </c>
      <c r="AH171" s="692">
        <f t="shared" si="37"/>
        <v>0</v>
      </c>
      <c r="AJ171" s="38">
        <f t="shared" si="34"/>
        <v>0</v>
      </c>
    </row>
    <row r="172" spans="1:36">
      <c r="A172" s="21"/>
      <c r="B172" s="21" t="s">
        <v>109</v>
      </c>
      <c r="C172" s="666" t="s">
        <v>571</v>
      </c>
      <c r="D172" s="68" t="s">
        <v>44</v>
      </c>
      <c r="E172" s="679"/>
      <c r="F172" s="529">
        <f>VLOOKUP(D172,'Feb 2013 Revenue'!D:T,17,FALSE)</f>
        <v>0</v>
      </c>
      <c r="G172" s="680"/>
      <c r="H172" s="680"/>
      <c r="I172" s="770">
        <v>4852.8</v>
      </c>
      <c r="J172" s="682">
        <f t="shared" si="28"/>
        <v>4852.8</v>
      </c>
      <c r="K172" s="683"/>
      <c r="L172" s="684"/>
      <c r="M172" s="753"/>
      <c r="N172" s="683">
        <v>0</v>
      </c>
      <c r="O172" s="686"/>
      <c r="P172" s="683">
        <v>0</v>
      </c>
      <c r="Q172" s="687">
        <f t="shared" si="29"/>
        <v>0</v>
      </c>
      <c r="R172" s="688">
        <v>0</v>
      </c>
      <c r="S172" s="693"/>
      <c r="T172" s="690">
        <f t="shared" si="30"/>
        <v>0</v>
      </c>
      <c r="U172" s="683"/>
      <c r="V172" s="474">
        <f t="shared" si="38"/>
        <v>0</v>
      </c>
      <c r="W172" s="474">
        <f t="shared" si="39"/>
        <v>0</v>
      </c>
      <c r="X172" s="475">
        <f t="shared" si="40"/>
        <v>0</v>
      </c>
      <c r="Y172" s="475">
        <v>0</v>
      </c>
      <c r="Z172" s="476">
        <v>0</v>
      </c>
      <c r="AA172" s="38">
        <f t="shared" si="41"/>
        <v>0</v>
      </c>
      <c r="AB172" s="692">
        <f t="shared" si="31"/>
        <v>0</v>
      </c>
      <c r="AC172" s="692">
        <f t="shared" si="32"/>
        <v>4852.8</v>
      </c>
      <c r="AD172" s="692">
        <f t="shared" si="33"/>
        <v>0</v>
      </c>
      <c r="AE172" s="38"/>
      <c r="AF172" s="692">
        <f t="shared" si="35"/>
        <v>0</v>
      </c>
      <c r="AG172" s="692">
        <f t="shared" si="36"/>
        <v>0</v>
      </c>
      <c r="AH172" s="692">
        <f t="shared" si="37"/>
        <v>0</v>
      </c>
      <c r="AJ172" s="38">
        <f t="shared" si="34"/>
        <v>4852.8</v>
      </c>
    </row>
    <row r="173" spans="1:36">
      <c r="A173" s="21"/>
      <c r="B173" s="21" t="s">
        <v>114</v>
      </c>
      <c r="C173" s="666" t="s">
        <v>571</v>
      </c>
      <c r="D173" s="68" t="s">
        <v>44</v>
      </c>
      <c r="E173" s="679"/>
      <c r="F173" s="529">
        <f>VLOOKUP(D173,'Feb 2013 Revenue'!D:T,17,FALSE)</f>
        <v>0</v>
      </c>
      <c r="G173" s="680"/>
      <c r="H173" s="680"/>
      <c r="I173" s="755"/>
      <c r="J173" s="682">
        <f t="shared" si="28"/>
        <v>0</v>
      </c>
      <c r="K173" s="683"/>
      <c r="L173" s="684"/>
      <c r="M173" s="753"/>
      <c r="N173" s="683">
        <v>0</v>
      </c>
      <c r="O173" s="686"/>
      <c r="P173" s="683">
        <v>0</v>
      </c>
      <c r="Q173" s="687">
        <f t="shared" si="29"/>
        <v>0</v>
      </c>
      <c r="R173" s="688">
        <v>0</v>
      </c>
      <c r="S173" s="693"/>
      <c r="T173" s="690">
        <f t="shared" si="30"/>
        <v>0</v>
      </c>
      <c r="U173" s="683"/>
      <c r="V173" s="474">
        <f t="shared" si="38"/>
        <v>0</v>
      </c>
      <c r="W173" s="474">
        <f t="shared" si="39"/>
        <v>0</v>
      </c>
      <c r="X173" s="475">
        <f t="shared" si="40"/>
        <v>0</v>
      </c>
      <c r="Y173" s="475">
        <v>0</v>
      </c>
      <c r="Z173" s="476">
        <v>0</v>
      </c>
      <c r="AA173" s="38">
        <f t="shared" si="41"/>
        <v>0</v>
      </c>
      <c r="AB173" s="692">
        <f t="shared" si="31"/>
        <v>0</v>
      </c>
      <c r="AC173" s="692">
        <f t="shared" si="32"/>
        <v>0</v>
      </c>
      <c r="AD173" s="692">
        <f t="shared" si="33"/>
        <v>0</v>
      </c>
      <c r="AE173" s="38"/>
      <c r="AF173" s="692">
        <f t="shared" si="35"/>
        <v>0</v>
      </c>
      <c r="AG173" s="692">
        <f t="shared" si="36"/>
        <v>0</v>
      </c>
      <c r="AH173" s="692">
        <f t="shared" si="37"/>
        <v>0</v>
      </c>
      <c r="AJ173" s="38">
        <f t="shared" si="34"/>
        <v>0</v>
      </c>
    </row>
    <row r="174" spans="1:36">
      <c r="A174" s="21"/>
      <c r="B174" s="21" t="s">
        <v>110</v>
      </c>
      <c r="C174" s="666" t="s">
        <v>572</v>
      </c>
      <c r="D174" s="68" t="s">
        <v>388</v>
      </c>
      <c r="E174" s="679"/>
      <c r="F174" s="529">
        <f>VLOOKUP(D174,'Feb 2013 Revenue'!D:T,17,FALSE)</f>
        <v>0</v>
      </c>
      <c r="G174" s="680"/>
      <c r="H174" s="680"/>
      <c r="I174" s="755"/>
      <c r="J174" s="682">
        <f t="shared" si="28"/>
        <v>0</v>
      </c>
      <c r="K174" s="683"/>
      <c r="L174" s="684"/>
      <c r="M174" s="753">
        <v>8000</v>
      </c>
      <c r="N174" s="683">
        <v>0</v>
      </c>
      <c r="O174" s="686"/>
      <c r="P174" s="683">
        <v>0</v>
      </c>
      <c r="Q174" s="687">
        <f t="shared" si="29"/>
        <v>8000</v>
      </c>
      <c r="R174" s="688">
        <v>0</v>
      </c>
      <c r="S174" s="693"/>
      <c r="T174" s="690">
        <f t="shared" si="30"/>
        <v>-8000</v>
      </c>
      <c r="U174" s="683"/>
      <c r="V174" s="474">
        <f t="shared" si="38"/>
        <v>8000</v>
      </c>
      <c r="W174" s="474">
        <f t="shared" si="39"/>
        <v>0</v>
      </c>
      <c r="X174" s="475">
        <f t="shared" si="40"/>
        <v>0</v>
      </c>
      <c r="Y174" s="475">
        <v>0</v>
      </c>
      <c r="Z174" s="476">
        <v>0</v>
      </c>
      <c r="AA174" s="38">
        <f t="shared" si="41"/>
        <v>0</v>
      </c>
      <c r="AB174" s="692">
        <f t="shared" si="31"/>
        <v>0</v>
      </c>
      <c r="AC174" s="692">
        <f t="shared" si="32"/>
        <v>0</v>
      </c>
      <c r="AD174" s="692">
        <f t="shared" si="33"/>
        <v>0</v>
      </c>
      <c r="AE174" s="38"/>
      <c r="AF174" s="692">
        <f t="shared" si="35"/>
        <v>8000</v>
      </c>
      <c r="AG174" s="692">
        <f t="shared" si="36"/>
        <v>0</v>
      </c>
      <c r="AH174" s="692">
        <f t="shared" si="37"/>
        <v>0</v>
      </c>
      <c r="AJ174" s="38">
        <f t="shared" si="34"/>
        <v>8000</v>
      </c>
    </row>
    <row r="175" spans="1:36">
      <c r="A175" s="20"/>
      <c r="B175" s="20" t="s">
        <v>109</v>
      </c>
      <c r="C175" s="667"/>
      <c r="D175" s="68" t="s">
        <v>842</v>
      </c>
      <c r="E175" s="679">
        <f>11099.18+11955.98</f>
        <v>23055.16</v>
      </c>
      <c r="F175" s="529">
        <f>VLOOKUP(D175,'Feb 2013 Revenue'!D:T,17,FALSE)</f>
        <v>-50000</v>
      </c>
      <c r="G175" s="680"/>
      <c r="H175" s="680"/>
      <c r="I175" s="755"/>
      <c r="J175" s="682">
        <f t="shared" si="28"/>
        <v>-26944.84</v>
      </c>
      <c r="K175" s="683"/>
      <c r="L175" s="684"/>
      <c r="M175" s="753">
        <v>37000</v>
      </c>
      <c r="N175" s="683">
        <v>0</v>
      </c>
      <c r="O175" s="686"/>
      <c r="P175" s="683">
        <v>0</v>
      </c>
      <c r="Q175" s="687">
        <f t="shared" si="29"/>
        <v>37000</v>
      </c>
      <c r="R175" s="688">
        <v>0</v>
      </c>
      <c r="S175" s="693"/>
      <c r="T175" s="690">
        <f t="shared" si="30"/>
        <v>-37000</v>
      </c>
      <c r="U175" s="683"/>
      <c r="V175" s="474">
        <f t="shared" si="38"/>
        <v>0</v>
      </c>
      <c r="W175" s="474">
        <f t="shared" si="39"/>
        <v>37000</v>
      </c>
      <c r="X175" s="475">
        <f t="shared" si="40"/>
        <v>0</v>
      </c>
      <c r="Y175" s="475">
        <v>0</v>
      </c>
      <c r="Z175" s="476">
        <v>0</v>
      </c>
      <c r="AA175" s="38">
        <f t="shared" si="41"/>
        <v>0</v>
      </c>
      <c r="AB175" s="692">
        <f t="shared" si="31"/>
        <v>0</v>
      </c>
      <c r="AC175" s="692">
        <f t="shared" si="32"/>
        <v>-26944.84</v>
      </c>
      <c r="AD175" s="692">
        <f t="shared" si="33"/>
        <v>0</v>
      </c>
      <c r="AE175" s="38"/>
      <c r="AF175" s="692">
        <f t="shared" si="35"/>
        <v>0</v>
      </c>
      <c r="AG175" s="692">
        <f t="shared" si="36"/>
        <v>37000</v>
      </c>
      <c r="AH175" s="692">
        <f t="shared" si="37"/>
        <v>0</v>
      </c>
      <c r="AJ175" s="38">
        <f t="shared" si="34"/>
        <v>10055.16</v>
      </c>
    </row>
    <row r="176" spans="1:36">
      <c r="A176" s="21"/>
      <c r="B176" s="21" t="s">
        <v>110</v>
      </c>
      <c r="C176" s="666"/>
      <c r="D176" s="68" t="s">
        <v>45</v>
      </c>
      <c r="E176" s="679"/>
      <c r="F176" s="529">
        <f>VLOOKUP(D176,'Feb 2013 Revenue'!D:T,17,FALSE)</f>
        <v>3794.9299999999967</v>
      </c>
      <c r="G176" s="680"/>
      <c r="H176" s="680"/>
      <c r="I176" s="755"/>
      <c r="J176" s="682">
        <f t="shared" si="28"/>
        <v>3794.9299999999967</v>
      </c>
      <c r="K176" s="683"/>
      <c r="L176" s="684"/>
      <c r="M176" s="753">
        <v>20000</v>
      </c>
      <c r="N176" s="683">
        <v>0</v>
      </c>
      <c r="O176" s="686"/>
      <c r="P176" s="683">
        <v>0</v>
      </c>
      <c r="Q176" s="687">
        <f t="shared" si="29"/>
        <v>20000</v>
      </c>
      <c r="R176" s="688">
        <f>1255.97+20492.19</f>
        <v>21748.16</v>
      </c>
      <c r="S176" s="693"/>
      <c r="T176" s="690">
        <f t="shared" si="30"/>
        <v>1748.1599999999999</v>
      </c>
      <c r="U176" s="683"/>
      <c r="V176" s="474">
        <f t="shared" si="38"/>
        <v>20000</v>
      </c>
      <c r="W176" s="474">
        <f t="shared" si="39"/>
        <v>0</v>
      </c>
      <c r="X176" s="475">
        <f t="shared" si="40"/>
        <v>0</v>
      </c>
      <c r="Y176" s="475">
        <v>0</v>
      </c>
      <c r="Z176" s="476">
        <v>0</v>
      </c>
      <c r="AA176" s="38">
        <f t="shared" si="41"/>
        <v>0</v>
      </c>
      <c r="AB176" s="692">
        <f t="shared" si="31"/>
        <v>3794.9299999999967</v>
      </c>
      <c r="AC176" s="692">
        <f t="shared" si="32"/>
        <v>0</v>
      </c>
      <c r="AD176" s="692">
        <f t="shared" si="33"/>
        <v>0</v>
      </c>
      <c r="AE176" s="38"/>
      <c r="AF176" s="692">
        <f t="shared" si="35"/>
        <v>20000</v>
      </c>
      <c r="AG176" s="692">
        <f t="shared" si="36"/>
        <v>0</v>
      </c>
      <c r="AH176" s="692">
        <f t="shared" si="37"/>
        <v>0</v>
      </c>
      <c r="AJ176" s="38">
        <f t="shared" si="34"/>
        <v>23794.929999999997</v>
      </c>
    </row>
    <row r="177" spans="1:36">
      <c r="A177" s="20" t="s">
        <v>211</v>
      </c>
      <c r="B177" s="20" t="s">
        <v>109</v>
      </c>
      <c r="C177" s="667"/>
      <c r="D177" s="68" t="s">
        <v>923</v>
      </c>
      <c r="E177" s="679"/>
      <c r="F177" s="529">
        <f>VLOOKUP(D177,'Feb 2013 Revenue'!D:T,17,FALSE)</f>
        <v>0</v>
      </c>
      <c r="G177" s="680"/>
      <c r="H177" s="680"/>
      <c r="I177" s="755"/>
      <c r="J177" s="682">
        <f t="shared" si="28"/>
        <v>0</v>
      </c>
      <c r="K177" s="683"/>
      <c r="L177" s="684"/>
      <c r="M177" s="753"/>
      <c r="N177" s="683">
        <v>0</v>
      </c>
      <c r="O177" s="686"/>
      <c r="P177" s="683">
        <v>0</v>
      </c>
      <c r="Q177" s="687">
        <f t="shared" si="29"/>
        <v>0</v>
      </c>
      <c r="R177" s="688">
        <v>0</v>
      </c>
      <c r="S177" s="693"/>
      <c r="T177" s="690">
        <f t="shared" si="30"/>
        <v>0</v>
      </c>
      <c r="U177" s="697"/>
      <c r="V177" s="474">
        <f t="shared" si="38"/>
        <v>0</v>
      </c>
      <c r="W177" s="474">
        <f t="shared" si="39"/>
        <v>0</v>
      </c>
      <c r="X177" s="475">
        <f t="shared" si="40"/>
        <v>0</v>
      </c>
      <c r="Y177" s="475">
        <v>0</v>
      </c>
      <c r="Z177" s="476">
        <v>0</v>
      </c>
      <c r="AA177" s="38">
        <f t="shared" si="41"/>
        <v>0</v>
      </c>
      <c r="AB177" s="692">
        <f t="shared" si="31"/>
        <v>0</v>
      </c>
      <c r="AC177" s="692">
        <f t="shared" si="32"/>
        <v>0</v>
      </c>
      <c r="AD177" s="692">
        <f t="shared" si="33"/>
        <v>0</v>
      </c>
      <c r="AE177" s="38"/>
      <c r="AF177" s="692">
        <f t="shared" si="35"/>
        <v>0</v>
      </c>
      <c r="AG177" s="692">
        <f t="shared" si="36"/>
        <v>0</v>
      </c>
      <c r="AH177" s="692">
        <f t="shared" si="37"/>
        <v>0</v>
      </c>
      <c r="AJ177" s="38">
        <f t="shared" si="34"/>
        <v>0</v>
      </c>
    </row>
    <row r="178" spans="1:36">
      <c r="A178" s="20"/>
      <c r="B178" s="20" t="s">
        <v>110</v>
      </c>
      <c r="C178" s="667" t="s">
        <v>573</v>
      </c>
      <c r="D178" s="68" t="s">
        <v>102</v>
      </c>
      <c r="E178" s="679"/>
      <c r="F178" s="529">
        <f>VLOOKUP(D178,'Feb 2013 Revenue'!D:T,17,FALSE)</f>
        <v>53623.270000000019</v>
      </c>
      <c r="G178" s="680"/>
      <c r="H178" s="680"/>
      <c r="I178" s="755"/>
      <c r="J178" s="682">
        <f t="shared" si="28"/>
        <v>53623.270000000019</v>
      </c>
      <c r="K178" s="683"/>
      <c r="L178" s="684"/>
      <c r="M178" s="753">
        <v>1100000</v>
      </c>
      <c r="N178" s="683">
        <v>0</v>
      </c>
      <c r="O178" s="686"/>
      <c r="P178" s="683">
        <v>0</v>
      </c>
      <c r="Q178" s="687">
        <f t="shared" si="29"/>
        <v>1100000</v>
      </c>
      <c r="R178" s="688">
        <f>1140993.15+31439.38+138.36</f>
        <v>1172570.8899999999</v>
      </c>
      <c r="S178" s="693"/>
      <c r="T178" s="690">
        <f t="shared" si="30"/>
        <v>72570.889999999898</v>
      </c>
      <c r="U178" s="697"/>
      <c r="V178" s="474">
        <f t="shared" si="38"/>
        <v>1100000</v>
      </c>
      <c r="W178" s="474">
        <f t="shared" si="39"/>
        <v>0</v>
      </c>
      <c r="X178" s="475">
        <f t="shared" si="40"/>
        <v>0</v>
      </c>
      <c r="Y178" s="475">
        <v>0</v>
      </c>
      <c r="Z178" s="476">
        <v>0</v>
      </c>
      <c r="AA178" s="38">
        <f t="shared" si="41"/>
        <v>0</v>
      </c>
      <c r="AB178" s="692">
        <f t="shared" si="31"/>
        <v>53623.270000000019</v>
      </c>
      <c r="AC178" s="692">
        <f t="shared" si="32"/>
        <v>0</v>
      </c>
      <c r="AD178" s="692">
        <f t="shared" si="33"/>
        <v>0</v>
      </c>
      <c r="AE178" s="38"/>
      <c r="AF178" s="692">
        <f t="shared" si="35"/>
        <v>1100000</v>
      </c>
      <c r="AG178" s="692">
        <f t="shared" si="36"/>
        <v>0</v>
      </c>
      <c r="AH178" s="692">
        <f t="shared" si="37"/>
        <v>0</v>
      </c>
      <c r="AJ178" s="38">
        <f t="shared" si="34"/>
        <v>1153623.27</v>
      </c>
    </row>
    <row r="179" spans="1:36">
      <c r="A179" s="20"/>
      <c r="B179" s="20" t="s">
        <v>110</v>
      </c>
      <c r="C179" s="667" t="s">
        <v>573</v>
      </c>
      <c r="D179" s="68" t="s">
        <v>511</v>
      </c>
      <c r="E179" s="679"/>
      <c r="F179" s="529">
        <f>VLOOKUP(D179,'Feb 2013 Revenue'!D:T,17,FALSE)</f>
        <v>414.14</v>
      </c>
      <c r="G179" s="680"/>
      <c r="H179" s="680"/>
      <c r="I179" s="755"/>
      <c r="J179" s="682">
        <f t="shared" si="28"/>
        <v>414.14</v>
      </c>
      <c r="K179" s="683"/>
      <c r="L179" s="684"/>
      <c r="M179" s="753"/>
      <c r="N179" s="683">
        <v>0</v>
      </c>
      <c r="O179" s="686"/>
      <c r="P179" s="683">
        <v>0</v>
      </c>
      <c r="Q179" s="687">
        <f t="shared" si="29"/>
        <v>0</v>
      </c>
      <c r="R179" s="688">
        <v>0</v>
      </c>
      <c r="S179" s="693"/>
      <c r="T179" s="690">
        <f t="shared" si="30"/>
        <v>0</v>
      </c>
      <c r="U179" s="697"/>
      <c r="V179" s="474">
        <f t="shared" si="38"/>
        <v>0</v>
      </c>
      <c r="W179" s="474">
        <f t="shared" si="39"/>
        <v>0</v>
      </c>
      <c r="X179" s="475">
        <f t="shared" si="40"/>
        <v>0</v>
      </c>
      <c r="Y179" s="475">
        <v>0</v>
      </c>
      <c r="Z179" s="476">
        <v>0</v>
      </c>
      <c r="AA179" s="38">
        <f t="shared" si="41"/>
        <v>0</v>
      </c>
      <c r="AB179" s="692">
        <f t="shared" si="31"/>
        <v>414.14</v>
      </c>
      <c r="AC179" s="692">
        <f t="shared" si="32"/>
        <v>0</v>
      </c>
      <c r="AD179" s="692">
        <f t="shared" si="33"/>
        <v>0</v>
      </c>
      <c r="AE179" s="38"/>
      <c r="AF179" s="692">
        <f t="shared" si="35"/>
        <v>0</v>
      </c>
      <c r="AG179" s="692">
        <f t="shared" si="36"/>
        <v>0</v>
      </c>
      <c r="AH179" s="692">
        <f t="shared" si="37"/>
        <v>0</v>
      </c>
      <c r="AJ179" s="38">
        <f t="shared" si="34"/>
        <v>414.14</v>
      </c>
    </row>
    <row r="180" spans="1:36">
      <c r="A180" s="21"/>
      <c r="B180" s="21" t="s">
        <v>110</v>
      </c>
      <c r="C180" s="666"/>
      <c r="D180" s="68" t="s">
        <v>50</v>
      </c>
      <c r="E180" s="679"/>
      <c r="F180" s="529">
        <f>VLOOKUP(D180,'Feb 2013 Revenue'!D:T,17,FALSE)</f>
        <v>0</v>
      </c>
      <c r="G180" s="680"/>
      <c r="H180" s="680"/>
      <c r="I180" s="770">
        <v>970.45</v>
      </c>
      <c r="J180" s="682">
        <f t="shared" si="28"/>
        <v>970.45</v>
      </c>
      <c r="K180" s="683"/>
      <c r="L180" s="684"/>
      <c r="M180" s="753"/>
      <c r="N180" s="683">
        <v>0</v>
      </c>
      <c r="O180" s="686"/>
      <c r="P180" s="683">
        <v>0</v>
      </c>
      <c r="Q180" s="687">
        <f t="shared" si="29"/>
        <v>0</v>
      </c>
      <c r="R180" s="688">
        <v>0</v>
      </c>
      <c r="S180" s="693"/>
      <c r="T180" s="690">
        <f t="shared" si="30"/>
        <v>0</v>
      </c>
      <c r="U180" s="683"/>
      <c r="V180" s="474">
        <f t="shared" si="38"/>
        <v>0</v>
      </c>
      <c r="W180" s="474">
        <f t="shared" si="39"/>
        <v>0</v>
      </c>
      <c r="X180" s="475">
        <f t="shared" si="40"/>
        <v>0</v>
      </c>
      <c r="Y180" s="475">
        <v>0</v>
      </c>
      <c r="Z180" s="476">
        <v>0</v>
      </c>
      <c r="AA180" s="38">
        <f t="shared" si="41"/>
        <v>0</v>
      </c>
      <c r="AB180" s="692">
        <f t="shared" si="31"/>
        <v>970.45</v>
      </c>
      <c r="AC180" s="692">
        <f t="shared" si="32"/>
        <v>0</v>
      </c>
      <c r="AD180" s="692">
        <f t="shared" si="33"/>
        <v>0</v>
      </c>
      <c r="AE180" s="38"/>
      <c r="AF180" s="692">
        <f t="shared" si="35"/>
        <v>0</v>
      </c>
      <c r="AG180" s="692">
        <f t="shared" si="36"/>
        <v>0</v>
      </c>
      <c r="AH180" s="692">
        <f t="shared" si="37"/>
        <v>0</v>
      </c>
      <c r="AJ180" s="38">
        <f t="shared" si="34"/>
        <v>970.45</v>
      </c>
    </row>
    <row r="181" spans="1:36">
      <c r="A181" s="21"/>
      <c r="B181" s="21" t="s">
        <v>109</v>
      </c>
      <c r="C181" s="666"/>
      <c r="D181" s="68" t="s">
        <v>51</v>
      </c>
      <c r="E181" s="679"/>
      <c r="F181" s="529">
        <f>VLOOKUP(D181,'Feb 2013 Revenue'!D:T,17,FALSE)</f>
        <v>0</v>
      </c>
      <c r="G181" s="680"/>
      <c r="H181" s="680"/>
      <c r="I181" s="755"/>
      <c r="J181" s="682">
        <f t="shared" si="28"/>
        <v>0</v>
      </c>
      <c r="K181" s="683"/>
      <c r="L181" s="684"/>
      <c r="M181" s="753"/>
      <c r="N181" s="683">
        <v>0</v>
      </c>
      <c r="O181" s="686"/>
      <c r="P181" s="683">
        <v>0</v>
      </c>
      <c r="Q181" s="687">
        <f t="shared" si="29"/>
        <v>0</v>
      </c>
      <c r="R181" s="688">
        <v>0</v>
      </c>
      <c r="S181" s="693"/>
      <c r="T181" s="690">
        <f t="shared" si="30"/>
        <v>0</v>
      </c>
      <c r="U181" s="683"/>
      <c r="V181" s="474">
        <f t="shared" si="38"/>
        <v>0</v>
      </c>
      <c r="W181" s="474">
        <f t="shared" si="39"/>
        <v>0</v>
      </c>
      <c r="X181" s="475">
        <f t="shared" si="40"/>
        <v>0</v>
      </c>
      <c r="Y181" s="475">
        <v>0</v>
      </c>
      <c r="Z181" s="476">
        <v>0</v>
      </c>
      <c r="AA181" s="38">
        <f t="shared" si="41"/>
        <v>0</v>
      </c>
      <c r="AB181" s="692">
        <f t="shared" si="31"/>
        <v>0</v>
      </c>
      <c r="AC181" s="692">
        <f t="shared" si="32"/>
        <v>0</v>
      </c>
      <c r="AD181" s="692">
        <f t="shared" si="33"/>
        <v>0</v>
      </c>
      <c r="AE181" s="38"/>
      <c r="AF181" s="692">
        <f t="shared" si="35"/>
        <v>0</v>
      </c>
      <c r="AG181" s="692">
        <f t="shared" si="36"/>
        <v>0</v>
      </c>
      <c r="AH181" s="692">
        <f t="shared" si="37"/>
        <v>0</v>
      </c>
      <c r="AJ181" s="38">
        <f t="shared" si="34"/>
        <v>0</v>
      </c>
    </row>
    <row r="182" spans="1:36">
      <c r="A182" s="21"/>
      <c r="B182" s="21" t="s">
        <v>109</v>
      </c>
      <c r="C182" s="666"/>
      <c r="D182" s="68" t="s">
        <v>107</v>
      </c>
      <c r="E182" s="679"/>
      <c r="F182" s="529">
        <f>VLOOKUP(D182,'Feb 2013 Revenue'!D:T,17,FALSE)</f>
        <v>-7000</v>
      </c>
      <c r="G182" s="680"/>
      <c r="H182" s="680"/>
      <c r="I182" s="755"/>
      <c r="J182" s="682">
        <f t="shared" si="28"/>
        <v>-7000</v>
      </c>
      <c r="K182" s="683"/>
      <c r="L182" s="684"/>
      <c r="M182" s="753">
        <v>8000</v>
      </c>
      <c r="N182" s="683">
        <v>0</v>
      </c>
      <c r="O182" s="686"/>
      <c r="P182" s="683">
        <v>0</v>
      </c>
      <c r="Q182" s="687">
        <f t="shared" si="29"/>
        <v>8000</v>
      </c>
      <c r="R182" s="688">
        <v>0</v>
      </c>
      <c r="S182" s="693"/>
      <c r="T182" s="690">
        <f t="shared" si="30"/>
        <v>-8000</v>
      </c>
      <c r="U182" s="683"/>
      <c r="V182" s="474">
        <f t="shared" si="38"/>
        <v>0</v>
      </c>
      <c r="W182" s="474">
        <f t="shared" si="39"/>
        <v>8000</v>
      </c>
      <c r="X182" s="475">
        <f t="shared" si="40"/>
        <v>0</v>
      </c>
      <c r="Y182" s="475">
        <v>0</v>
      </c>
      <c r="Z182" s="476">
        <v>0</v>
      </c>
      <c r="AA182" s="38">
        <f t="shared" si="41"/>
        <v>0</v>
      </c>
      <c r="AB182" s="692">
        <f t="shared" si="31"/>
        <v>0</v>
      </c>
      <c r="AC182" s="692">
        <f t="shared" si="32"/>
        <v>-7000</v>
      </c>
      <c r="AD182" s="692">
        <f t="shared" si="33"/>
        <v>0</v>
      </c>
      <c r="AE182" s="38"/>
      <c r="AF182" s="692">
        <f t="shared" si="35"/>
        <v>0</v>
      </c>
      <c r="AG182" s="692">
        <f t="shared" si="36"/>
        <v>8000</v>
      </c>
      <c r="AH182" s="692">
        <f t="shared" si="37"/>
        <v>0</v>
      </c>
      <c r="AJ182" s="38">
        <f t="shared" si="34"/>
        <v>1000</v>
      </c>
    </row>
    <row r="183" spans="1:36">
      <c r="A183" s="21"/>
      <c r="B183" s="21" t="s">
        <v>109</v>
      </c>
      <c r="C183" s="666"/>
      <c r="D183" s="68" t="s">
        <v>467</v>
      </c>
      <c r="E183" s="679"/>
      <c r="F183" s="529">
        <f>VLOOKUP(D183,'Feb 2013 Revenue'!D:T,17,FALSE)</f>
        <v>0</v>
      </c>
      <c r="G183" s="680"/>
      <c r="H183" s="680"/>
      <c r="I183" s="755"/>
      <c r="J183" s="682">
        <f t="shared" si="28"/>
        <v>0</v>
      </c>
      <c r="K183" s="683"/>
      <c r="L183" s="684"/>
      <c r="M183" s="753"/>
      <c r="N183" s="683">
        <v>0</v>
      </c>
      <c r="O183" s="686"/>
      <c r="P183" s="683">
        <v>0</v>
      </c>
      <c r="Q183" s="687">
        <f t="shared" si="29"/>
        <v>0</v>
      </c>
      <c r="R183" s="688">
        <v>0</v>
      </c>
      <c r="S183" s="693"/>
      <c r="T183" s="690">
        <f t="shared" si="30"/>
        <v>0</v>
      </c>
      <c r="U183" s="683"/>
      <c r="V183" s="474">
        <f t="shared" si="38"/>
        <v>0</v>
      </c>
      <c r="W183" s="474">
        <f t="shared" si="39"/>
        <v>0</v>
      </c>
      <c r="X183" s="475">
        <f t="shared" si="40"/>
        <v>0</v>
      </c>
      <c r="Y183" s="475">
        <v>0</v>
      </c>
      <c r="Z183" s="476">
        <v>0</v>
      </c>
      <c r="AA183" s="38">
        <f t="shared" si="41"/>
        <v>0</v>
      </c>
      <c r="AB183" s="692">
        <f t="shared" si="31"/>
        <v>0</v>
      </c>
      <c r="AC183" s="692">
        <f t="shared" si="32"/>
        <v>0</v>
      </c>
      <c r="AD183" s="692">
        <f t="shared" si="33"/>
        <v>0</v>
      </c>
      <c r="AE183" s="38"/>
      <c r="AF183" s="692">
        <f t="shared" si="35"/>
        <v>0</v>
      </c>
      <c r="AG183" s="692">
        <f t="shared" si="36"/>
        <v>0</v>
      </c>
      <c r="AH183" s="692">
        <f t="shared" si="37"/>
        <v>0</v>
      </c>
      <c r="AJ183" s="38">
        <f t="shared" si="34"/>
        <v>0</v>
      </c>
    </row>
    <row r="184" spans="1:36">
      <c r="A184" s="21"/>
      <c r="B184" s="21" t="s">
        <v>109</v>
      </c>
      <c r="C184" s="666" t="s">
        <v>575</v>
      </c>
      <c r="D184" s="68" t="s">
        <v>54</v>
      </c>
      <c r="E184" s="679"/>
      <c r="F184" s="529">
        <f>VLOOKUP(D184,'Feb 2013 Revenue'!D:T,17,FALSE)</f>
        <v>0</v>
      </c>
      <c r="G184" s="680"/>
      <c r="H184" s="680"/>
      <c r="I184" s="755"/>
      <c r="J184" s="682">
        <f t="shared" si="28"/>
        <v>0</v>
      </c>
      <c r="K184" s="683"/>
      <c r="L184" s="684"/>
      <c r="M184" s="753"/>
      <c r="N184" s="683">
        <v>0</v>
      </c>
      <c r="O184" s="686"/>
      <c r="P184" s="683">
        <v>0</v>
      </c>
      <c r="Q184" s="687">
        <f t="shared" si="29"/>
        <v>0</v>
      </c>
      <c r="R184" s="688">
        <v>0</v>
      </c>
      <c r="S184" s="693"/>
      <c r="T184" s="690">
        <f t="shared" si="30"/>
        <v>0</v>
      </c>
      <c r="U184" s="683"/>
      <c r="V184" s="474">
        <f t="shared" si="38"/>
        <v>0</v>
      </c>
      <c r="W184" s="474">
        <f t="shared" si="39"/>
        <v>0</v>
      </c>
      <c r="X184" s="475">
        <f t="shared" si="40"/>
        <v>0</v>
      </c>
      <c r="Y184" s="475">
        <v>0</v>
      </c>
      <c r="Z184" s="476">
        <v>0</v>
      </c>
      <c r="AA184" s="38">
        <f t="shared" si="41"/>
        <v>0</v>
      </c>
      <c r="AB184" s="692">
        <f t="shared" si="31"/>
        <v>0</v>
      </c>
      <c r="AC184" s="692">
        <f t="shared" si="32"/>
        <v>0</v>
      </c>
      <c r="AD184" s="692">
        <f t="shared" si="33"/>
        <v>0</v>
      </c>
      <c r="AE184" s="38"/>
      <c r="AF184" s="692">
        <f t="shared" si="35"/>
        <v>0</v>
      </c>
      <c r="AG184" s="692">
        <f t="shared" si="36"/>
        <v>0</v>
      </c>
      <c r="AH184" s="692">
        <f t="shared" si="37"/>
        <v>0</v>
      </c>
      <c r="AJ184" s="38">
        <f t="shared" si="34"/>
        <v>0</v>
      </c>
    </row>
    <row r="185" spans="1:36">
      <c r="A185" s="20"/>
      <c r="B185" s="20" t="s">
        <v>110</v>
      </c>
      <c r="C185" s="667" t="s">
        <v>576</v>
      </c>
      <c r="D185" s="68" t="s">
        <v>394</v>
      </c>
      <c r="E185" s="679"/>
      <c r="F185" s="529">
        <f>VLOOKUP(D185,'Feb 2013 Revenue'!D:T,17,FALSE)</f>
        <v>0</v>
      </c>
      <c r="G185" s="680"/>
      <c r="H185" s="680"/>
      <c r="I185" s="755"/>
      <c r="J185" s="682">
        <f t="shared" ref="J185:J218" si="42">SUM(E185:I185)</f>
        <v>0</v>
      </c>
      <c r="K185" s="683"/>
      <c r="L185" s="684"/>
      <c r="M185" s="753"/>
      <c r="N185" s="683">
        <v>0</v>
      </c>
      <c r="O185" s="686"/>
      <c r="P185" s="683">
        <v>0</v>
      </c>
      <c r="Q185" s="687">
        <f t="shared" si="29"/>
        <v>0</v>
      </c>
      <c r="R185" s="688">
        <v>0</v>
      </c>
      <c r="S185" s="693"/>
      <c r="T185" s="690">
        <f t="shared" si="30"/>
        <v>0</v>
      </c>
      <c r="U185" s="683"/>
      <c r="V185" s="474">
        <f t="shared" si="38"/>
        <v>0</v>
      </c>
      <c r="W185" s="474">
        <f t="shared" si="39"/>
        <v>0</v>
      </c>
      <c r="X185" s="475">
        <f t="shared" si="40"/>
        <v>0</v>
      </c>
      <c r="Y185" s="475">
        <v>0</v>
      </c>
      <c r="Z185" s="476">
        <v>0</v>
      </c>
      <c r="AA185" s="38">
        <f t="shared" si="41"/>
        <v>0</v>
      </c>
      <c r="AB185" s="692">
        <f t="shared" si="31"/>
        <v>0</v>
      </c>
      <c r="AC185" s="692">
        <f t="shared" si="32"/>
        <v>0</v>
      </c>
      <c r="AD185" s="692">
        <f t="shared" si="33"/>
        <v>0</v>
      </c>
      <c r="AE185" s="38"/>
      <c r="AF185" s="692">
        <f t="shared" si="35"/>
        <v>0</v>
      </c>
      <c r="AG185" s="692">
        <f t="shared" si="36"/>
        <v>0</v>
      </c>
      <c r="AH185" s="692">
        <f t="shared" si="37"/>
        <v>0</v>
      </c>
      <c r="AJ185" s="38">
        <f t="shared" si="34"/>
        <v>0</v>
      </c>
    </row>
    <row r="186" spans="1:36">
      <c r="A186" s="20"/>
      <c r="B186" s="20" t="s">
        <v>110</v>
      </c>
      <c r="C186" s="667"/>
      <c r="D186" s="68" t="s">
        <v>55</v>
      </c>
      <c r="E186" s="679"/>
      <c r="F186" s="529">
        <f>VLOOKUP(D186,'Feb 2013 Revenue'!D:T,17,FALSE)</f>
        <v>416.56</v>
      </c>
      <c r="G186" s="680"/>
      <c r="H186" s="680"/>
      <c r="I186" s="804">
        <v>911.84</v>
      </c>
      <c r="J186" s="682">
        <f t="shared" si="42"/>
        <v>1328.4</v>
      </c>
      <c r="K186" s="683"/>
      <c r="L186" s="684"/>
      <c r="M186" s="753"/>
      <c r="N186" s="683">
        <v>0</v>
      </c>
      <c r="O186" s="686"/>
      <c r="P186" s="683">
        <v>0</v>
      </c>
      <c r="Q186" s="687">
        <f t="shared" si="29"/>
        <v>0</v>
      </c>
      <c r="R186" s="688">
        <v>0</v>
      </c>
      <c r="S186" s="693"/>
      <c r="T186" s="690">
        <f t="shared" si="30"/>
        <v>0</v>
      </c>
      <c r="U186" s="683"/>
      <c r="V186" s="474">
        <f t="shared" si="38"/>
        <v>0</v>
      </c>
      <c r="W186" s="474">
        <f t="shared" si="39"/>
        <v>0</v>
      </c>
      <c r="X186" s="475">
        <f t="shared" si="40"/>
        <v>0</v>
      </c>
      <c r="Y186" s="475">
        <v>0</v>
      </c>
      <c r="Z186" s="476">
        <v>0</v>
      </c>
      <c r="AA186" s="38">
        <f t="shared" si="41"/>
        <v>0</v>
      </c>
      <c r="AB186" s="692">
        <f t="shared" si="31"/>
        <v>1328.4</v>
      </c>
      <c r="AC186" s="692">
        <f t="shared" si="32"/>
        <v>0</v>
      </c>
      <c r="AD186" s="692">
        <f t="shared" si="33"/>
        <v>0</v>
      </c>
      <c r="AE186" s="38"/>
      <c r="AF186" s="692">
        <f t="shared" si="35"/>
        <v>0</v>
      </c>
      <c r="AG186" s="692">
        <f t="shared" si="36"/>
        <v>0</v>
      </c>
      <c r="AH186" s="692">
        <f t="shared" si="37"/>
        <v>0</v>
      </c>
      <c r="AJ186" s="38">
        <f t="shared" si="34"/>
        <v>1328.4</v>
      </c>
    </row>
    <row r="187" spans="1:36">
      <c r="A187" s="20"/>
      <c r="B187" s="20" t="s">
        <v>110</v>
      </c>
      <c r="C187" s="676" t="s">
        <v>854</v>
      </c>
      <c r="D187" s="68" t="s">
        <v>855</v>
      </c>
      <c r="E187" s="679"/>
      <c r="F187" s="529">
        <f>VLOOKUP(D187,'Feb 2013 Revenue'!D:T,17,FALSE)</f>
        <v>626.37</v>
      </c>
      <c r="G187" s="680"/>
      <c r="H187" s="680"/>
      <c r="I187" s="755"/>
      <c r="J187" s="682">
        <f t="shared" si="42"/>
        <v>626.37</v>
      </c>
      <c r="K187" s="683"/>
      <c r="L187" s="684"/>
      <c r="M187" s="753"/>
      <c r="N187" s="683">
        <v>0</v>
      </c>
      <c r="O187" s="686"/>
      <c r="P187" s="683">
        <v>0</v>
      </c>
      <c r="Q187" s="687">
        <f t="shared" si="29"/>
        <v>0</v>
      </c>
      <c r="R187" s="688">
        <v>815.85</v>
      </c>
      <c r="S187" s="693"/>
      <c r="T187" s="690">
        <f t="shared" si="30"/>
        <v>815.85</v>
      </c>
      <c r="U187" s="683"/>
      <c r="V187" s="474">
        <f t="shared" si="38"/>
        <v>0</v>
      </c>
      <c r="W187" s="474">
        <f t="shared" si="39"/>
        <v>0</v>
      </c>
      <c r="X187" s="475">
        <f t="shared" si="40"/>
        <v>0</v>
      </c>
      <c r="Y187" s="475">
        <v>0</v>
      </c>
      <c r="Z187" s="476">
        <v>0</v>
      </c>
      <c r="AA187" s="38">
        <f t="shared" si="41"/>
        <v>0</v>
      </c>
      <c r="AB187" s="692">
        <f t="shared" si="31"/>
        <v>626.37</v>
      </c>
      <c r="AC187" s="692">
        <f t="shared" si="32"/>
        <v>0</v>
      </c>
      <c r="AD187" s="692">
        <f t="shared" si="33"/>
        <v>0</v>
      </c>
      <c r="AE187" s="38"/>
      <c r="AF187" s="692">
        <f t="shared" si="35"/>
        <v>0</v>
      </c>
      <c r="AG187" s="692">
        <f t="shared" si="36"/>
        <v>0</v>
      </c>
      <c r="AH187" s="692">
        <f t="shared" si="37"/>
        <v>0</v>
      </c>
      <c r="AJ187" s="38">
        <f t="shared" si="34"/>
        <v>626.37</v>
      </c>
    </row>
    <row r="188" spans="1:36">
      <c r="A188" s="20"/>
      <c r="B188" s="20" t="s">
        <v>109</v>
      </c>
      <c r="C188" s="667" t="s">
        <v>577</v>
      </c>
      <c r="D188" s="68" t="s">
        <v>159</v>
      </c>
      <c r="E188" s="679"/>
      <c r="F188" s="529">
        <f>VLOOKUP(D188,'Feb 2013 Revenue'!D:T,17,FALSE)</f>
        <v>0</v>
      </c>
      <c r="G188" s="680"/>
      <c r="H188" s="680"/>
      <c r="I188" s="770">
        <v>16043.77</v>
      </c>
      <c r="J188" s="682">
        <f t="shared" si="42"/>
        <v>16043.77</v>
      </c>
      <c r="K188" s="683"/>
      <c r="L188" s="684"/>
      <c r="M188" s="753"/>
      <c r="N188" s="683">
        <v>0</v>
      </c>
      <c r="O188" s="686"/>
      <c r="P188" s="683">
        <v>0</v>
      </c>
      <c r="Q188" s="687">
        <f t="shared" si="29"/>
        <v>0</v>
      </c>
      <c r="R188" s="688">
        <v>0</v>
      </c>
      <c r="S188" s="693"/>
      <c r="T188" s="690">
        <f t="shared" si="30"/>
        <v>0</v>
      </c>
      <c r="U188" s="683"/>
      <c r="V188" s="474">
        <f t="shared" si="38"/>
        <v>0</v>
      </c>
      <c r="W188" s="474">
        <f t="shared" si="39"/>
        <v>0</v>
      </c>
      <c r="X188" s="475">
        <f t="shared" si="40"/>
        <v>0</v>
      </c>
      <c r="Y188" s="475">
        <v>0</v>
      </c>
      <c r="Z188" s="476">
        <v>0</v>
      </c>
      <c r="AA188" s="38">
        <f t="shared" si="41"/>
        <v>0</v>
      </c>
      <c r="AB188" s="692">
        <f t="shared" si="31"/>
        <v>0</v>
      </c>
      <c r="AC188" s="692">
        <f t="shared" si="32"/>
        <v>16043.77</v>
      </c>
      <c r="AD188" s="692">
        <f t="shared" si="33"/>
        <v>0</v>
      </c>
      <c r="AE188" s="38"/>
      <c r="AF188" s="692">
        <f t="shared" si="35"/>
        <v>0</v>
      </c>
      <c r="AG188" s="692">
        <f t="shared" si="36"/>
        <v>0</v>
      </c>
      <c r="AH188" s="692">
        <f t="shared" si="37"/>
        <v>0</v>
      </c>
      <c r="AJ188" s="38">
        <f t="shared" si="34"/>
        <v>16043.77</v>
      </c>
    </row>
    <row r="189" spans="1:36">
      <c r="A189" s="20"/>
      <c r="B189" s="20" t="s">
        <v>109</v>
      </c>
      <c r="C189" s="667" t="s">
        <v>577</v>
      </c>
      <c r="D189" s="68" t="s">
        <v>160</v>
      </c>
      <c r="E189" s="679"/>
      <c r="F189" s="529">
        <f>VLOOKUP(D189,'Feb 2013 Revenue'!D:T,17,FALSE)</f>
        <v>0</v>
      </c>
      <c r="G189" s="680"/>
      <c r="H189" s="680"/>
      <c r="I189" s="804">
        <v>10837.1</v>
      </c>
      <c r="J189" s="682">
        <f t="shared" si="42"/>
        <v>10837.1</v>
      </c>
      <c r="K189" s="683"/>
      <c r="L189" s="684"/>
      <c r="M189" s="753"/>
      <c r="N189" s="683">
        <v>0</v>
      </c>
      <c r="O189" s="686"/>
      <c r="P189" s="683">
        <v>0</v>
      </c>
      <c r="Q189" s="687">
        <f t="shared" si="29"/>
        <v>0</v>
      </c>
      <c r="R189" s="688">
        <v>0</v>
      </c>
      <c r="S189" s="693"/>
      <c r="T189" s="690">
        <f t="shared" si="30"/>
        <v>0</v>
      </c>
      <c r="U189" s="683"/>
      <c r="V189" s="474">
        <f t="shared" si="38"/>
        <v>0</v>
      </c>
      <c r="W189" s="474">
        <f t="shared" si="39"/>
        <v>0</v>
      </c>
      <c r="X189" s="475">
        <f t="shared" si="40"/>
        <v>0</v>
      </c>
      <c r="Y189" s="475">
        <v>0</v>
      </c>
      <c r="Z189" s="476">
        <v>0</v>
      </c>
      <c r="AA189" s="38">
        <f t="shared" si="41"/>
        <v>0</v>
      </c>
      <c r="AB189" s="692">
        <f t="shared" si="31"/>
        <v>0</v>
      </c>
      <c r="AC189" s="692">
        <f t="shared" si="32"/>
        <v>10837.1</v>
      </c>
      <c r="AD189" s="692">
        <f t="shared" si="33"/>
        <v>0</v>
      </c>
      <c r="AE189" s="38"/>
      <c r="AF189" s="692">
        <f t="shared" si="35"/>
        <v>0</v>
      </c>
      <c r="AG189" s="692">
        <f t="shared" si="36"/>
        <v>0</v>
      </c>
      <c r="AH189" s="692">
        <f t="shared" si="37"/>
        <v>0</v>
      </c>
      <c r="AJ189" s="38">
        <f t="shared" si="34"/>
        <v>10837.1</v>
      </c>
    </row>
    <row r="190" spans="1:36">
      <c r="A190" s="21"/>
      <c r="B190" s="21" t="s">
        <v>109</v>
      </c>
      <c r="C190" s="667" t="s">
        <v>577</v>
      </c>
      <c r="D190" s="68" t="s">
        <v>161</v>
      </c>
      <c r="E190" s="679"/>
      <c r="F190" s="529">
        <f>VLOOKUP(D190,'Feb 2013 Revenue'!D:T,17,FALSE)</f>
        <v>0</v>
      </c>
      <c r="G190" s="680"/>
      <c r="H190" s="680"/>
      <c r="I190" s="755"/>
      <c r="J190" s="682">
        <f t="shared" si="42"/>
        <v>0</v>
      </c>
      <c r="K190" s="683"/>
      <c r="L190" s="684"/>
      <c r="M190" s="753"/>
      <c r="N190" s="683">
        <v>0</v>
      </c>
      <c r="O190" s="686"/>
      <c r="P190" s="683">
        <v>0</v>
      </c>
      <c r="Q190" s="687">
        <f t="shared" si="29"/>
        <v>0</v>
      </c>
      <c r="R190" s="688">
        <v>0</v>
      </c>
      <c r="S190" s="693"/>
      <c r="T190" s="690">
        <f t="shared" si="30"/>
        <v>0</v>
      </c>
      <c r="U190" s="683"/>
      <c r="V190" s="474">
        <f t="shared" si="38"/>
        <v>0</v>
      </c>
      <c r="W190" s="474">
        <f t="shared" si="39"/>
        <v>0</v>
      </c>
      <c r="X190" s="475">
        <f t="shared" si="40"/>
        <v>0</v>
      </c>
      <c r="Y190" s="475">
        <v>0</v>
      </c>
      <c r="Z190" s="476">
        <v>0</v>
      </c>
      <c r="AA190" s="38">
        <f t="shared" si="41"/>
        <v>0</v>
      </c>
      <c r="AB190" s="692">
        <f t="shared" si="31"/>
        <v>0</v>
      </c>
      <c r="AC190" s="692">
        <f t="shared" si="32"/>
        <v>0</v>
      </c>
      <c r="AD190" s="692">
        <f t="shared" si="33"/>
        <v>0</v>
      </c>
      <c r="AE190" s="38"/>
      <c r="AF190" s="692">
        <f t="shared" si="35"/>
        <v>0</v>
      </c>
      <c r="AG190" s="692">
        <f t="shared" si="36"/>
        <v>0</v>
      </c>
      <c r="AH190" s="692">
        <f t="shared" si="37"/>
        <v>0</v>
      </c>
      <c r="AJ190" s="38">
        <f t="shared" si="34"/>
        <v>0</v>
      </c>
    </row>
    <row r="191" spans="1:36">
      <c r="A191" s="21"/>
      <c r="B191" s="21" t="s">
        <v>109</v>
      </c>
      <c r="C191" s="667" t="s">
        <v>577</v>
      </c>
      <c r="D191" s="68" t="s">
        <v>162</v>
      </c>
      <c r="E191" s="679"/>
      <c r="F191" s="529">
        <f>VLOOKUP(D191,'Feb 2013 Revenue'!D:T,17,FALSE)</f>
        <v>0</v>
      </c>
      <c r="G191" s="680"/>
      <c r="H191" s="680"/>
      <c r="I191" s="755"/>
      <c r="J191" s="682">
        <f t="shared" si="42"/>
        <v>0</v>
      </c>
      <c r="K191" s="683"/>
      <c r="L191" s="684"/>
      <c r="M191" s="753"/>
      <c r="N191" s="683">
        <v>0</v>
      </c>
      <c r="O191" s="686"/>
      <c r="P191" s="683">
        <v>0</v>
      </c>
      <c r="Q191" s="687">
        <f t="shared" si="29"/>
        <v>0</v>
      </c>
      <c r="R191" s="688">
        <v>0</v>
      </c>
      <c r="S191" s="693"/>
      <c r="T191" s="690">
        <f t="shared" si="30"/>
        <v>0</v>
      </c>
      <c r="U191" s="683"/>
      <c r="V191" s="474">
        <f t="shared" si="38"/>
        <v>0</v>
      </c>
      <c r="W191" s="474">
        <f t="shared" si="39"/>
        <v>0</v>
      </c>
      <c r="X191" s="475">
        <f t="shared" si="40"/>
        <v>0</v>
      </c>
      <c r="Y191" s="475">
        <v>0</v>
      </c>
      <c r="Z191" s="476">
        <v>0</v>
      </c>
      <c r="AA191" s="38">
        <f t="shared" si="41"/>
        <v>0</v>
      </c>
      <c r="AB191" s="692">
        <f t="shared" si="31"/>
        <v>0</v>
      </c>
      <c r="AC191" s="692">
        <f t="shared" si="32"/>
        <v>0</v>
      </c>
      <c r="AD191" s="692">
        <f t="shared" si="33"/>
        <v>0</v>
      </c>
      <c r="AE191" s="38"/>
      <c r="AF191" s="692">
        <f t="shared" si="35"/>
        <v>0</v>
      </c>
      <c r="AG191" s="692">
        <f t="shared" si="36"/>
        <v>0</v>
      </c>
      <c r="AH191" s="692">
        <f t="shared" si="37"/>
        <v>0</v>
      </c>
      <c r="AJ191" s="38">
        <f t="shared" si="34"/>
        <v>0</v>
      </c>
    </row>
    <row r="192" spans="1:36">
      <c r="A192" s="21"/>
      <c r="B192" s="21" t="s">
        <v>109</v>
      </c>
      <c r="C192" s="666"/>
      <c r="D192" s="68" t="s">
        <v>163</v>
      </c>
      <c r="E192" s="679"/>
      <c r="F192" s="529">
        <f>VLOOKUP(D192,'Feb 2013 Revenue'!D:T,17,FALSE)</f>
        <v>0</v>
      </c>
      <c r="G192" s="680"/>
      <c r="H192" s="680"/>
      <c r="I192" s="770">
        <v>4225.49</v>
      </c>
      <c r="J192" s="682">
        <f t="shared" si="42"/>
        <v>4225.49</v>
      </c>
      <c r="K192" s="683"/>
      <c r="L192" s="684"/>
      <c r="M192" s="753"/>
      <c r="N192" s="683">
        <v>0</v>
      </c>
      <c r="O192" s="686"/>
      <c r="P192" s="683">
        <v>0</v>
      </c>
      <c r="Q192" s="687">
        <f t="shared" si="29"/>
        <v>0</v>
      </c>
      <c r="R192" s="688">
        <v>0</v>
      </c>
      <c r="S192" s="704"/>
      <c r="T192" s="690">
        <f t="shared" si="30"/>
        <v>0</v>
      </c>
      <c r="U192" s="705"/>
      <c r="V192" s="474">
        <f t="shared" si="38"/>
        <v>0</v>
      </c>
      <c r="W192" s="474">
        <f t="shared" si="39"/>
        <v>0</v>
      </c>
      <c r="X192" s="475">
        <f t="shared" si="40"/>
        <v>0</v>
      </c>
      <c r="Y192" s="475">
        <v>0</v>
      </c>
      <c r="Z192" s="476">
        <v>0</v>
      </c>
      <c r="AA192" s="38">
        <f t="shared" si="41"/>
        <v>0</v>
      </c>
      <c r="AB192" s="692">
        <f t="shared" si="31"/>
        <v>0</v>
      </c>
      <c r="AC192" s="692">
        <f t="shared" si="32"/>
        <v>4225.49</v>
      </c>
      <c r="AD192" s="692">
        <f t="shared" si="33"/>
        <v>0</v>
      </c>
      <c r="AE192" s="38"/>
      <c r="AF192" s="692">
        <f t="shared" si="35"/>
        <v>0</v>
      </c>
      <c r="AG192" s="692">
        <f t="shared" si="36"/>
        <v>0</v>
      </c>
      <c r="AH192" s="692">
        <f t="shared" si="37"/>
        <v>0</v>
      </c>
      <c r="AJ192" s="38">
        <f t="shared" si="34"/>
        <v>4225.49</v>
      </c>
    </row>
    <row r="193" spans="1:36">
      <c r="A193" s="21"/>
      <c r="B193" s="21" t="s">
        <v>109</v>
      </c>
      <c r="C193" s="666"/>
      <c r="D193" s="412" t="s">
        <v>164</v>
      </c>
      <c r="E193" s="679"/>
      <c r="F193" s="529">
        <f>VLOOKUP(D193,'Feb 2013 Revenue'!D:T,17,FALSE)</f>
        <v>0</v>
      </c>
      <c r="G193" s="680"/>
      <c r="H193" s="680"/>
      <c r="I193" s="770">
        <v>30.95</v>
      </c>
      <c r="J193" s="682">
        <f t="shared" si="42"/>
        <v>30.95</v>
      </c>
      <c r="K193" s="683"/>
      <c r="L193" s="684"/>
      <c r="M193" s="753"/>
      <c r="N193" s="683">
        <v>0</v>
      </c>
      <c r="O193" s="686"/>
      <c r="P193" s="683">
        <v>0</v>
      </c>
      <c r="Q193" s="687">
        <f t="shared" si="29"/>
        <v>0</v>
      </c>
      <c r="R193" s="688">
        <v>0</v>
      </c>
      <c r="S193" s="704"/>
      <c r="T193" s="690">
        <f t="shared" si="30"/>
        <v>0</v>
      </c>
      <c r="U193" s="705"/>
      <c r="V193" s="474">
        <f t="shared" si="38"/>
        <v>0</v>
      </c>
      <c r="W193" s="474">
        <f t="shared" si="39"/>
        <v>0</v>
      </c>
      <c r="X193" s="475">
        <f t="shared" si="40"/>
        <v>0</v>
      </c>
      <c r="Y193" s="475">
        <v>0</v>
      </c>
      <c r="Z193" s="476">
        <v>0</v>
      </c>
      <c r="AA193" s="38">
        <f t="shared" si="41"/>
        <v>0</v>
      </c>
      <c r="AB193" s="692">
        <f t="shared" si="31"/>
        <v>0</v>
      </c>
      <c r="AC193" s="692">
        <f t="shared" si="32"/>
        <v>30.95</v>
      </c>
      <c r="AD193" s="692">
        <f t="shared" si="33"/>
        <v>0</v>
      </c>
      <c r="AE193" s="38"/>
      <c r="AF193" s="692">
        <f t="shared" si="35"/>
        <v>0</v>
      </c>
      <c r="AG193" s="692">
        <f t="shared" si="36"/>
        <v>0</v>
      </c>
      <c r="AH193" s="692">
        <f t="shared" si="37"/>
        <v>0</v>
      </c>
      <c r="AJ193" s="38">
        <f t="shared" si="34"/>
        <v>30.95</v>
      </c>
    </row>
    <row r="194" spans="1:36">
      <c r="A194" s="21" t="s">
        <v>109</v>
      </c>
      <c r="B194" s="21" t="s">
        <v>114</v>
      </c>
      <c r="C194" s="666" t="s">
        <v>578</v>
      </c>
      <c r="D194" s="412" t="s">
        <v>318</v>
      </c>
      <c r="E194" s="679"/>
      <c r="F194" s="529">
        <f>VLOOKUP(D194,'Feb 2013 Revenue'!D:T,17,FALSE)</f>
        <v>-20000</v>
      </c>
      <c r="G194" s="680"/>
      <c r="H194" s="680"/>
      <c r="I194" s="755"/>
      <c r="J194" s="682">
        <f t="shared" si="42"/>
        <v>-20000</v>
      </c>
      <c r="K194" s="683"/>
      <c r="L194" s="684"/>
      <c r="M194" s="753">
        <v>40000</v>
      </c>
      <c r="N194" s="683">
        <v>0</v>
      </c>
      <c r="O194" s="686"/>
      <c r="P194" s="683">
        <v>0</v>
      </c>
      <c r="Q194" s="687">
        <f t="shared" si="29"/>
        <v>40000</v>
      </c>
      <c r="R194" s="688">
        <v>0</v>
      </c>
      <c r="S194" s="704"/>
      <c r="T194" s="690">
        <f t="shared" ref="T194:T209" si="43">IF(R194="","",R194-Q194)</f>
        <v>-40000</v>
      </c>
      <c r="U194" s="683"/>
      <c r="V194" s="474">
        <f t="shared" si="38"/>
        <v>0</v>
      </c>
      <c r="W194" s="474">
        <f t="shared" si="39"/>
        <v>0</v>
      </c>
      <c r="X194" s="475">
        <f t="shared" si="40"/>
        <v>40000</v>
      </c>
      <c r="Y194" s="475">
        <v>0</v>
      </c>
      <c r="Z194" s="476">
        <v>0</v>
      </c>
      <c r="AA194" s="38">
        <f t="shared" si="41"/>
        <v>0</v>
      </c>
      <c r="AB194" s="692">
        <f t="shared" si="31"/>
        <v>0</v>
      </c>
      <c r="AC194" s="692">
        <f t="shared" si="32"/>
        <v>0</v>
      </c>
      <c r="AD194" s="692">
        <f t="shared" si="33"/>
        <v>-20000</v>
      </c>
      <c r="AE194" s="38"/>
      <c r="AF194" s="692">
        <f t="shared" si="35"/>
        <v>0</v>
      </c>
      <c r="AG194" s="692">
        <f t="shared" si="36"/>
        <v>0</v>
      </c>
      <c r="AH194" s="692">
        <f t="shared" si="37"/>
        <v>40000</v>
      </c>
      <c r="AJ194" s="38">
        <f t="shared" si="34"/>
        <v>20000</v>
      </c>
    </row>
    <row r="195" spans="1:36">
      <c r="A195" s="20" t="s">
        <v>211</v>
      </c>
      <c r="B195" s="20" t="s">
        <v>109</v>
      </c>
      <c r="C195" s="667"/>
      <c r="D195" s="68" t="s">
        <v>57</v>
      </c>
      <c r="E195" s="679"/>
      <c r="F195" s="529">
        <f>VLOOKUP(D195,'Feb 2013 Revenue'!D:T,17,FALSE)</f>
        <v>0</v>
      </c>
      <c r="G195" s="680"/>
      <c r="H195" s="680"/>
      <c r="I195" s="755"/>
      <c r="J195" s="682">
        <f t="shared" si="42"/>
        <v>0</v>
      </c>
      <c r="K195" s="683"/>
      <c r="L195" s="684"/>
      <c r="M195" s="753"/>
      <c r="N195" s="683">
        <v>0</v>
      </c>
      <c r="O195" s="686"/>
      <c r="P195" s="683">
        <v>0</v>
      </c>
      <c r="Q195" s="687">
        <f t="shared" si="29"/>
        <v>0</v>
      </c>
      <c r="R195" s="688">
        <v>0</v>
      </c>
      <c r="S195" s="693"/>
      <c r="T195" s="690">
        <f t="shared" si="43"/>
        <v>0</v>
      </c>
      <c r="U195" s="683"/>
      <c r="V195" s="474">
        <f t="shared" si="38"/>
        <v>0</v>
      </c>
      <c r="W195" s="474">
        <f t="shared" si="39"/>
        <v>0</v>
      </c>
      <c r="X195" s="475">
        <f t="shared" si="40"/>
        <v>0</v>
      </c>
      <c r="Y195" s="475">
        <v>0</v>
      </c>
      <c r="Z195" s="476">
        <v>0</v>
      </c>
      <c r="AA195" s="38">
        <f t="shared" si="41"/>
        <v>0</v>
      </c>
      <c r="AB195" s="692">
        <f t="shared" si="31"/>
        <v>0</v>
      </c>
      <c r="AC195" s="692">
        <f t="shared" si="32"/>
        <v>0</v>
      </c>
      <c r="AD195" s="692">
        <f t="shared" si="33"/>
        <v>0</v>
      </c>
      <c r="AE195" s="38"/>
      <c r="AF195" s="692">
        <f t="shared" si="35"/>
        <v>0</v>
      </c>
      <c r="AG195" s="692">
        <f t="shared" si="36"/>
        <v>0</v>
      </c>
      <c r="AH195" s="692">
        <f t="shared" si="37"/>
        <v>0</v>
      </c>
      <c r="AJ195" s="38">
        <f t="shared" si="34"/>
        <v>0</v>
      </c>
    </row>
    <row r="196" spans="1:36">
      <c r="A196" s="20"/>
      <c r="B196" s="20" t="s">
        <v>114</v>
      </c>
      <c r="C196" s="676" t="s">
        <v>621</v>
      </c>
      <c r="D196" s="68" t="s">
        <v>622</v>
      </c>
      <c r="E196" s="679"/>
      <c r="F196" s="529">
        <f>VLOOKUP(D196,'Feb 2013 Revenue'!D:T,17,FALSE)</f>
        <v>0</v>
      </c>
      <c r="G196" s="680"/>
      <c r="H196" s="680"/>
      <c r="I196" s="755"/>
      <c r="J196" s="682">
        <f t="shared" si="42"/>
        <v>0</v>
      </c>
      <c r="K196" s="683"/>
      <c r="L196" s="684"/>
      <c r="M196" s="753"/>
      <c r="N196" s="683">
        <v>0</v>
      </c>
      <c r="O196" s="686"/>
      <c r="P196" s="683">
        <v>0</v>
      </c>
      <c r="Q196" s="687">
        <f t="shared" si="29"/>
        <v>0</v>
      </c>
      <c r="R196" s="688">
        <v>0</v>
      </c>
      <c r="S196" s="704"/>
      <c r="T196" s="690">
        <f t="shared" si="43"/>
        <v>0</v>
      </c>
      <c r="U196" s="683"/>
      <c r="V196" s="474">
        <f t="shared" si="38"/>
        <v>0</v>
      </c>
      <c r="W196" s="474">
        <f t="shared" si="39"/>
        <v>0</v>
      </c>
      <c r="X196" s="475">
        <f t="shared" si="40"/>
        <v>0</v>
      </c>
      <c r="Y196" s="475">
        <v>0</v>
      </c>
      <c r="Z196" s="476">
        <v>0</v>
      </c>
      <c r="AA196" s="38">
        <f t="shared" si="41"/>
        <v>0</v>
      </c>
      <c r="AB196" s="692">
        <f t="shared" si="31"/>
        <v>0</v>
      </c>
      <c r="AC196" s="692">
        <f t="shared" si="32"/>
        <v>0</v>
      </c>
      <c r="AD196" s="692">
        <f t="shared" si="33"/>
        <v>0</v>
      </c>
      <c r="AE196" s="38"/>
      <c r="AF196" s="692">
        <f t="shared" si="35"/>
        <v>0</v>
      </c>
      <c r="AG196" s="692">
        <f t="shared" si="36"/>
        <v>0</v>
      </c>
      <c r="AH196" s="692">
        <f t="shared" si="37"/>
        <v>0</v>
      </c>
      <c r="AJ196" s="38">
        <f t="shared" si="34"/>
        <v>0</v>
      </c>
    </row>
    <row r="197" spans="1:36">
      <c r="A197" s="20"/>
      <c r="B197" s="20" t="s">
        <v>110</v>
      </c>
      <c r="C197" s="667"/>
      <c r="D197" s="68" t="s">
        <v>497</v>
      </c>
      <c r="E197" s="679"/>
      <c r="F197" s="529">
        <f>VLOOKUP(D197,'Feb 2013 Revenue'!D:T,17,FALSE)</f>
        <v>0</v>
      </c>
      <c r="G197" s="680"/>
      <c r="H197" s="680"/>
      <c r="I197" s="755"/>
      <c r="J197" s="682">
        <f t="shared" si="42"/>
        <v>0</v>
      </c>
      <c r="K197" s="683"/>
      <c r="L197" s="684"/>
      <c r="M197" s="753"/>
      <c r="N197" s="683">
        <v>0</v>
      </c>
      <c r="O197" s="686"/>
      <c r="P197" s="683">
        <v>0</v>
      </c>
      <c r="Q197" s="687">
        <f t="shared" si="29"/>
        <v>0</v>
      </c>
      <c r="R197" s="688">
        <v>0</v>
      </c>
      <c r="S197" s="693"/>
      <c r="T197" s="690">
        <f t="shared" si="43"/>
        <v>0</v>
      </c>
      <c r="U197" s="683"/>
      <c r="V197" s="474">
        <f t="shared" si="38"/>
        <v>0</v>
      </c>
      <c r="W197" s="474">
        <f t="shared" si="39"/>
        <v>0</v>
      </c>
      <c r="X197" s="475">
        <f t="shared" si="40"/>
        <v>0</v>
      </c>
      <c r="Y197" s="475">
        <v>0</v>
      </c>
      <c r="Z197" s="476">
        <v>0</v>
      </c>
      <c r="AA197" s="38">
        <f t="shared" si="41"/>
        <v>0</v>
      </c>
      <c r="AB197" s="692">
        <f t="shared" si="31"/>
        <v>0</v>
      </c>
      <c r="AC197" s="692">
        <f t="shared" si="32"/>
        <v>0</v>
      </c>
      <c r="AD197" s="692">
        <f t="shared" si="33"/>
        <v>0</v>
      </c>
      <c r="AE197" s="38"/>
      <c r="AF197" s="692">
        <f t="shared" si="35"/>
        <v>0</v>
      </c>
      <c r="AG197" s="692">
        <f t="shared" si="36"/>
        <v>0</v>
      </c>
      <c r="AH197" s="692">
        <f t="shared" si="37"/>
        <v>0</v>
      </c>
      <c r="AJ197" s="38">
        <f t="shared" si="34"/>
        <v>0</v>
      </c>
    </row>
    <row r="198" spans="1:36">
      <c r="A198" s="20"/>
      <c r="B198" s="20" t="s">
        <v>110</v>
      </c>
      <c r="C198" s="667"/>
      <c r="D198" s="68" t="s">
        <v>509</v>
      </c>
      <c r="E198" s="679"/>
      <c r="F198" s="529">
        <f>VLOOKUP(D198,'Feb 2013 Revenue'!D:T,17,FALSE)</f>
        <v>0</v>
      </c>
      <c r="G198" s="680"/>
      <c r="H198" s="680"/>
      <c r="I198" s="755"/>
      <c r="J198" s="682">
        <f t="shared" si="42"/>
        <v>0</v>
      </c>
      <c r="K198" s="683"/>
      <c r="L198" s="684"/>
      <c r="M198" s="753">
        <v>10000</v>
      </c>
      <c r="N198" s="683"/>
      <c r="O198" s="686"/>
      <c r="P198" s="683"/>
      <c r="Q198" s="687">
        <f t="shared" si="29"/>
        <v>10000</v>
      </c>
      <c r="R198" s="688">
        <v>16929.8</v>
      </c>
      <c r="S198" s="693"/>
      <c r="T198" s="690">
        <f t="shared" si="43"/>
        <v>6929.7999999999993</v>
      </c>
      <c r="U198" s="683"/>
      <c r="V198" s="474">
        <f t="shared" si="38"/>
        <v>10000</v>
      </c>
      <c r="W198" s="474">
        <f t="shared" si="39"/>
        <v>0</v>
      </c>
      <c r="X198" s="475">
        <f t="shared" si="40"/>
        <v>0</v>
      </c>
      <c r="Y198" s="475">
        <v>0</v>
      </c>
      <c r="Z198" s="476">
        <v>0</v>
      </c>
      <c r="AA198" s="38">
        <f t="shared" si="41"/>
        <v>0</v>
      </c>
      <c r="AB198" s="692">
        <f t="shared" si="31"/>
        <v>0</v>
      </c>
      <c r="AC198" s="692">
        <f t="shared" si="32"/>
        <v>0</v>
      </c>
      <c r="AD198" s="692">
        <f t="shared" si="33"/>
        <v>0</v>
      </c>
      <c r="AE198" s="38"/>
      <c r="AF198" s="692">
        <f t="shared" si="35"/>
        <v>10000</v>
      </c>
      <c r="AG198" s="692">
        <f t="shared" si="36"/>
        <v>0</v>
      </c>
      <c r="AH198" s="692">
        <f t="shared" si="37"/>
        <v>0</v>
      </c>
      <c r="AJ198" s="38">
        <f t="shared" si="34"/>
        <v>10000</v>
      </c>
    </row>
    <row r="199" spans="1:36" s="627" customFormat="1">
      <c r="A199" s="610"/>
      <c r="B199" s="610" t="s">
        <v>110</v>
      </c>
      <c r="C199" s="667" t="s">
        <v>580</v>
      </c>
      <c r="D199" s="612" t="s">
        <v>476</v>
      </c>
      <c r="E199" s="679"/>
      <c r="F199" s="529">
        <f>VLOOKUP(D199,'Feb 2013 Revenue'!D:T,17,FALSE)</f>
        <v>0</v>
      </c>
      <c r="G199" s="680"/>
      <c r="H199" s="680"/>
      <c r="I199" s="755"/>
      <c r="J199" s="682">
        <f t="shared" si="42"/>
        <v>0</v>
      </c>
      <c r="K199" s="683"/>
      <c r="L199" s="684"/>
      <c r="M199" s="753"/>
      <c r="N199" s="683">
        <v>0</v>
      </c>
      <c r="O199" s="686"/>
      <c r="P199" s="683">
        <v>0</v>
      </c>
      <c r="Q199" s="687">
        <f t="shared" si="29"/>
        <v>0</v>
      </c>
      <c r="R199" s="688">
        <v>0</v>
      </c>
      <c r="S199" s="706"/>
      <c r="T199" s="690">
        <f t="shared" si="43"/>
        <v>0</v>
      </c>
      <c r="U199" s="707"/>
      <c r="V199" s="474">
        <f t="shared" si="38"/>
        <v>0</v>
      </c>
      <c r="W199" s="474">
        <f t="shared" si="39"/>
        <v>0</v>
      </c>
      <c r="X199" s="475">
        <f t="shared" si="40"/>
        <v>0</v>
      </c>
      <c r="Y199" s="475">
        <v>0</v>
      </c>
      <c r="Z199" s="476">
        <v>0</v>
      </c>
      <c r="AA199" s="38">
        <f t="shared" si="41"/>
        <v>0</v>
      </c>
      <c r="AB199" s="692">
        <f t="shared" si="31"/>
        <v>0</v>
      </c>
      <c r="AC199" s="692">
        <f t="shared" si="32"/>
        <v>0</v>
      </c>
      <c r="AD199" s="692">
        <f t="shared" si="33"/>
        <v>0</v>
      </c>
      <c r="AE199" s="38"/>
      <c r="AF199" s="692">
        <f t="shared" si="35"/>
        <v>0</v>
      </c>
      <c r="AG199" s="692">
        <f t="shared" si="36"/>
        <v>0</v>
      </c>
      <c r="AH199" s="692">
        <f t="shared" si="37"/>
        <v>0</v>
      </c>
      <c r="AJ199" s="38">
        <f t="shared" si="34"/>
        <v>0</v>
      </c>
    </row>
    <row r="200" spans="1:36" s="232" customFormat="1">
      <c r="A200" s="283"/>
      <c r="B200" s="283" t="s">
        <v>114</v>
      </c>
      <c r="C200" s="667" t="s">
        <v>580</v>
      </c>
      <c r="D200" s="123" t="s">
        <v>371</v>
      </c>
      <c r="E200" s="679"/>
      <c r="F200" s="529">
        <f>VLOOKUP(D200,'Feb 2013 Revenue'!D:T,17,FALSE)</f>
        <v>671.63999999999942</v>
      </c>
      <c r="G200" s="680"/>
      <c r="H200" s="680"/>
      <c r="I200" s="755"/>
      <c r="J200" s="682">
        <f t="shared" si="42"/>
        <v>671.63999999999942</v>
      </c>
      <c r="K200" s="683"/>
      <c r="L200" s="684">
        <v>9265</v>
      </c>
      <c r="M200" s="753"/>
      <c r="N200" s="683">
        <v>0</v>
      </c>
      <c r="O200" s="686"/>
      <c r="P200" s="683">
        <v>0</v>
      </c>
      <c r="Q200" s="687">
        <f t="shared" si="29"/>
        <v>9265</v>
      </c>
      <c r="R200" s="688">
        <f>627.9+9264.87</f>
        <v>9892.77</v>
      </c>
      <c r="S200" s="693"/>
      <c r="T200" s="690">
        <f t="shared" si="43"/>
        <v>627.77000000000044</v>
      </c>
      <c r="U200" s="683"/>
      <c r="V200" s="474">
        <f t="shared" si="38"/>
        <v>0</v>
      </c>
      <c r="W200" s="474">
        <f t="shared" si="39"/>
        <v>0</v>
      </c>
      <c r="X200" s="475">
        <f t="shared" si="40"/>
        <v>9265</v>
      </c>
      <c r="Y200" s="475">
        <v>0</v>
      </c>
      <c r="Z200" s="476">
        <v>0</v>
      </c>
      <c r="AA200" s="38">
        <f t="shared" si="41"/>
        <v>0</v>
      </c>
      <c r="AB200" s="692">
        <f t="shared" si="31"/>
        <v>0</v>
      </c>
      <c r="AC200" s="692">
        <f t="shared" si="32"/>
        <v>0</v>
      </c>
      <c r="AD200" s="692">
        <f t="shared" si="33"/>
        <v>671.63999999999942</v>
      </c>
      <c r="AE200" s="38"/>
      <c r="AF200" s="692">
        <f t="shared" si="35"/>
        <v>0</v>
      </c>
      <c r="AG200" s="692">
        <f t="shared" si="36"/>
        <v>0</v>
      </c>
      <c r="AH200" s="692">
        <f t="shared" si="37"/>
        <v>9265</v>
      </c>
      <c r="AJ200" s="38">
        <f t="shared" si="34"/>
        <v>9936.64</v>
      </c>
    </row>
    <row r="201" spans="1:36" s="232" customFormat="1">
      <c r="A201" s="283"/>
      <c r="B201" s="283" t="s">
        <v>110</v>
      </c>
      <c r="C201" s="667" t="s">
        <v>580</v>
      </c>
      <c r="D201" s="123" t="s">
        <v>422</v>
      </c>
      <c r="E201" s="679"/>
      <c r="F201" s="529">
        <f>VLOOKUP(D201,'Feb 2013 Revenue'!D:T,17,FALSE)</f>
        <v>0</v>
      </c>
      <c r="G201" s="680"/>
      <c r="H201" s="680"/>
      <c r="I201" s="755"/>
      <c r="J201" s="682">
        <f t="shared" si="42"/>
        <v>0</v>
      </c>
      <c r="K201" s="683"/>
      <c r="L201" s="684"/>
      <c r="M201" s="753"/>
      <c r="N201" s="683">
        <v>0</v>
      </c>
      <c r="O201" s="686"/>
      <c r="P201" s="683">
        <v>0</v>
      </c>
      <c r="Q201" s="687">
        <f t="shared" si="29"/>
        <v>0</v>
      </c>
      <c r="R201" s="688">
        <v>0</v>
      </c>
      <c r="S201" s="693"/>
      <c r="T201" s="690">
        <f t="shared" si="43"/>
        <v>0</v>
      </c>
      <c r="U201" s="683"/>
      <c r="V201" s="474">
        <f t="shared" si="38"/>
        <v>0</v>
      </c>
      <c r="W201" s="474">
        <f t="shared" si="39"/>
        <v>0</v>
      </c>
      <c r="X201" s="475">
        <f t="shared" si="40"/>
        <v>0</v>
      </c>
      <c r="Y201" s="475">
        <v>0</v>
      </c>
      <c r="Z201" s="476">
        <v>0</v>
      </c>
      <c r="AA201" s="38">
        <f t="shared" si="41"/>
        <v>0</v>
      </c>
      <c r="AB201" s="692">
        <f t="shared" si="31"/>
        <v>0</v>
      </c>
      <c r="AC201" s="692">
        <f t="shared" si="32"/>
        <v>0</v>
      </c>
      <c r="AD201" s="692">
        <f t="shared" si="33"/>
        <v>0</v>
      </c>
      <c r="AE201" s="38"/>
      <c r="AF201" s="692">
        <f t="shared" si="35"/>
        <v>0</v>
      </c>
      <c r="AG201" s="692">
        <f t="shared" si="36"/>
        <v>0</v>
      </c>
      <c r="AH201" s="692">
        <f t="shared" si="37"/>
        <v>0</v>
      </c>
      <c r="AJ201" s="38">
        <f t="shared" si="34"/>
        <v>0</v>
      </c>
    </row>
    <row r="202" spans="1:36" s="232" customFormat="1">
      <c r="A202" s="283"/>
      <c r="B202" s="283" t="s">
        <v>110</v>
      </c>
      <c r="C202" s="667" t="s">
        <v>580</v>
      </c>
      <c r="D202" s="123" t="s">
        <v>442</v>
      </c>
      <c r="E202" s="679"/>
      <c r="F202" s="529">
        <f>VLOOKUP(D202,'Feb 2013 Revenue'!D:T,17,FALSE)</f>
        <v>-0.43000000005122274</v>
      </c>
      <c r="G202" s="680"/>
      <c r="H202" s="680"/>
      <c r="I202" s="755"/>
      <c r="J202" s="682">
        <f t="shared" si="42"/>
        <v>-0.43000000005122274</v>
      </c>
      <c r="K202" s="683"/>
      <c r="L202" s="684">
        <v>386599</v>
      </c>
      <c r="M202" s="753"/>
      <c r="N202" s="683">
        <v>0</v>
      </c>
      <c r="O202" s="686"/>
      <c r="P202" s="683">
        <v>0</v>
      </c>
      <c r="Q202" s="687">
        <f t="shared" si="29"/>
        <v>386599</v>
      </c>
      <c r="R202" s="688">
        <v>386599.64</v>
      </c>
      <c r="S202" s="693"/>
      <c r="T202" s="690">
        <f t="shared" si="43"/>
        <v>0.64000000001396984</v>
      </c>
      <c r="U202" s="683"/>
      <c r="V202" s="474">
        <f t="shared" si="38"/>
        <v>386599</v>
      </c>
      <c r="W202" s="474">
        <f t="shared" si="39"/>
        <v>0</v>
      </c>
      <c r="X202" s="475">
        <f t="shared" si="40"/>
        <v>0</v>
      </c>
      <c r="Y202" s="475">
        <v>0</v>
      </c>
      <c r="Z202" s="476">
        <v>0</v>
      </c>
      <c r="AA202" s="38">
        <f t="shared" si="41"/>
        <v>0</v>
      </c>
      <c r="AB202" s="692">
        <f t="shared" si="31"/>
        <v>-0.43000000005122274</v>
      </c>
      <c r="AC202" s="692">
        <f t="shared" si="32"/>
        <v>0</v>
      </c>
      <c r="AD202" s="692">
        <f t="shared" si="33"/>
        <v>0</v>
      </c>
      <c r="AE202" s="38"/>
      <c r="AF202" s="692">
        <f t="shared" si="35"/>
        <v>386599</v>
      </c>
      <c r="AG202" s="692">
        <f t="shared" si="36"/>
        <v>0</v>
      </c>
      <c r="AH202" s="692">
        <f t="shared" si="37"/>
        <v>0</v>
      </c>
      <c r="AJ202" s="38">
        <f t="shared" si="34"/>
        <v>386598.56999999995</v>
      </c>
    </row>
    <row r="203" spans="1:36">
      <c r="A203" s="21" t="s">
        <v>97</v>
      </c>
      <c r="B203" s="21" t="s">
        <v>109</v>
      </c>
      <c r="C203" s="666"/>
      <c r="D203" s="68" t="s">
        <v>381</v>
      </c>
      <c r="E203" s="679"/>
      <c r="F203" s="529">
        <f>VLOOKUP(D203,'Feb 2013 Revenue'!D:T,17,FALSE)</f>
        <v>0</v>
      </c>
      <c r="G203" s="680"/>
      <c r="H203" s="680"/>
      <c r="I203" s="755"/>
      <c r="J203" s="682">
        <f t="shared" si="42"/>
        <v>0</v>
      </c>
      <c r="K203" s="683"/>
      <c r="L203" s="684"/>
      <c r="M203" s="753"/>
      <c r="N203" s="683">
        <v>0</v>
      </c>
      <c r="O203" s="686"/>
      <c r="P203" s="683">
        <v>0</v>
      </c>
      <c r="Q203" s="687">
        <f t="shared" si="29"/>
        <v>0</v>
      </c>
      <c r="R203" s="688">
        <v>0</v>
      </c>
      <c r="S203" s="693"/>
      <c r="T203" s="690">
        <f t="shared" si="43"/>
        <v>0</v>
      </c>
      <c r="U203" s="683"/>
      <c r="V203" s="474">
        <f t="shared" si="38"/>
        <v>0</v>
      </c>
      <c r="W203" s="474">
        <f t="shared" si="39"/>
        <v>0</v>
      </c>
      <c r="X203" s="475">
        <f t="shared" si="40"/>
        <v>0</v>
      </c>
      <c r="Y203" s="475">
        <v>0</v>
      </c>
      <c r="Z203" s="476">
        <v>0</v>
      </c>
      <c r="AA203" s="38">
        <f t="shared" si="41"/>
        <v>0</v>
      </c>
      <c r="AB203" s="692">
        <f t="shared" si="31"/>
        <v>0</v>
      </c>
      <c r="AC203" s="692">
        <f t="shared" si="32"/>
        <v>0</v>
      </c>
      <c r="AD203" s="692">
        <f t="shared" si="33"/>
        <v>0</v>
      </c>
      <c r="AE203" s="38"/>
      <c r="AF203" s="692">
        <f t="shared" si="35"/>
        <v>0</v>
      </c>
      <c r="AG203" s="692">
        <f t="shared" si="36"/>
        <v>0</v>
      </c>
      <c r="AH203" s="692">
        <f t="shared" si="37"/>
        <v>0</v>
      </c>
      <c r="AJ203" s="38">
        <f t="shared" si="34"/>
        <v>0</v>
      </c>
    </row>
    <row r="204" spans="1:36">
      <c r="A204" s="21" t="s">
        <v>97</v>
      </c>
      <c r="B204" s="21" t="s">
        <v>114</v>
      </c>
      <c r="C204" s="666"/>
      <c r="D204" s="68" t="s">
        <v>376</v>
      </c>
      <c r="E204" s="679"/>
      <c r="F204" s="529">
        <f>VLOOKUP(D204,'Feb 2013 Revenue'!D:T,17,FALSE)</f>
        <v>0</v>
      </c>
      <c r="G204" s="680"/>
      <c r="H204" s="680"/>
      <c r="I204" s="755"/>
      <c r="J204" s="682">
        <f t="shared" si="42"/>
        <v>0</v>
      </c>
      <c r="K204" s="683"/>
      <c r="L204" s="684"/>
      <c r="M204" s="753"/>
      <c r="N204" s="683">
        <v>0</v>
      </c>
      <c r="O204" s="686"/>
      <c r="P204" s="683">
        <v>0</v>
      </c>
      <c r="Q204" s="687">
        <f t="shared" ref="Q204:Q218" si="44">L204+M204</f>
        <v>0</v>
      </c>
      <c r="R204" s="688">
        <v>0</v>
      </c>
      <c r="S204" s="693"/>
      <c r="T204" s="690">
        <f t="shared" si="43"/>
        <v>0</v>
      </c>
      <c r="U204" s="683"/>
      <c r="V204" s="474">
        <f t="shared" si="38"/>
        <v>0</v>
      </c>
      <c r="W204" s="474">
        <f t="shared" si="39"/>
        <v>0</v>
      </c>
      <c r="X204" s="475">
        <f t="shared" si="40"/>
        <v>0</v>
      </c>
      <c r="Y204" s="475">
        <v>0</v>
      </c>
      <c r="Z204" s="476">
        <v>0</v>
      </c>
      <c r="AA204" s="38">
        <f t="shared" si="41"/>
        <v>0</v>
      </c>
      <c r="AB204" s="692">
        <f t="shared" si="31"/>
        <v>0</v>
      </c>
      <c r="AC204" s="692">
        <f t="shared" si="32"/>
        <v>0</v>
      </c>
      <c r="AD204" s="692">
        <f t="shared" si="33"/>
        <v>0</v>
      </c>
      <c r="AE204" s="38"/>
      <c r="AF204" s="692">
        <f t="shared" si="35"/>
        <v>0</v>
      </c>
      <c r="AG204" s="692">
        <f t="shared" si="36"/>
        <v>0</v>
      </c>
      <c r="AH204" s="692">
        <f t="shared" si="37"/>
        <v>0</v>
      </c>
      <c r="AJ204" s="38">
        <f t="shared" si="34"/>
        <v>0</v>
      </c>
    </row>
    <row r="205" spans="1:36">
      <c r="A205" s="20"/>
      <c r="B205" s="20" t="s">
        <v>110</v>
      </c>
      <c r="C205" s="667"/>
      <c r="D205" s="68" t="s">
        <v>390</v>
      </c>
      <c r="E205" s="679"/>
      <c r="F205" s="529">
        <f>VLOOKUP(D205,'Feb 2013 Revenue'!D:T,17,FALSE)</f>
        <v>0</v>
      </c>
      <c r="G205" s="680"/>
      <c r="H205" s="680"/>
      <c r="I205" s="755"/>
      <c r="J205" s="682">
        <f t="shared" si="42"/>
        <v>0</v>
      </c>
      <c r="K205" s="683"/>
      <c r="L205" s="684"/>
      <c r="M205" s="753"/>
      <c r="N205" s="683">
        <v>0</v>
      </c>
      <c r="O205" s="686"/>
      <c r="P205" s="683">
        <v>0</v>
      </c>
      <c r="Q205" s="687">
        <f t="shared" si="44"/>
        <v>0</v>
      </c>
      <c r="R205" s="688">
        <v>0</v>
      </c>
      <c r="S205" s="693"/>
      <c r="T205" s="690">
        <f t="shared" si="43"/>
        <v>0</v>
      </c>
      <c r="U205" s="683"/>
      <c r="V205" s="474">
        <f t="shared" si="38"/>
        <v>0</v>
      </c>
      <c r="W205" s="474">
        <f t="shared" si="39"/>
        <v>0</v>
      </c>
      <c r="X205" s="475">
        <f t="shared" si="40"/>
        <v>0</v>
      </c>
      <c r="Y205" s="475">
        <v>0</v>
      </c>
      <c r="Z205" s="476">
        <v>0</v>
      </c>
      <c r="AA205" s="38">
        <f t="shared" si="41"/>
        <v>0</v>
      </c>
      <c r="AB205" s="692">
        <f t="shared" si="31"/>
        <v>0</v>
      </c>
      <c r="AC205" s="692">
        <f t="shared" si="32"/>
        <v>0</v>
      </c>
      <c r="AD205" s="692">
        <f t="shared" si="33"/>
        <v>0</v>
      </c>
      <c r="AE205" s="38"/>
      <c r="AF205" s="692">
        <f t="shared" si="35"/>
        <v>0</v>
      </c>
      <c r="AG205" s="692">
        <f t="shared" si="36"/>
        <v>0</v>
      </c>
      <c r="AH205" s="692">
        <f t="shared" si="37"/>
        <v>0</v>
      </c>
      <c r="AJ205" s="38">
        <f t="shared" si="34"/>
        <v>0</v>
      </c>
    </row>
    <row r="206" spans="1:36">
      <c r="A206" s="20"/>
      <c r="B206" s="20" t="s">
        <v>110</v>
      </c>
      <c r="C206" s="667" t="s">
        <v>581</v>
      </c>
      <c r="D206" s="123" t="s">
        <v>166</v>
      </c>
      <c r="E206" s="679"/>
      <c r="F206" s="529">
        <f>VLOOKUP(D206,'Feb 2013 Revenue'!D:T,17,FALSE)</f>
        <v>0</v>
      </c>
      <c r="G206" s="680"/>
      <c r="H206" s="680"/>
      <c r="I206" s="755"/>
      <c r="J206" s="682">
        <f t="shared" si="42"/>
        <v>0</v>
      </c>
      <c r="K206" s="683"/>
      <c r="L206" s="684"/>
      <c r="M206" s="753"/>
      <c r="N206" s="683">
        <v>0</v>
      </c>
      <c r="O206" s="686"/>
      <c r="P206" s="683">
        <v>0</v>
      </c>
      <c r="Q206" s="687">
        <f t="shared" si="44"/>
        <v>0</v>
      </c>
      <c r="R206" s="688">
        <v>0</v>
      </c>
      <c r="S206" s="693"/>
      <c r="T206" s="690">
        <f t="shared" si="43"/>
        <v>0</v>
      </c>
      <c r="U206" s="683"/>
      <c r="V206" s="474">
        <f t="shared" si="38"/>
        <v>0</v>
      </c>
      <c r="W206" s="474">
        <f t="shared" si="39"/>
        <v>0</v>
      </c>
      <c r="X206" s="475">
        <f t="shared" si="40"/>
        <v>0</v>
      </c>
      <c r="Y206" s="475">
        <v>0</v>
      </c>
      <c r="Z206" s="476">
        <v>0</v>
      </c>
      <c r="AA206" s="38">
        <f t="shared" si="41"/>
        <v>0</v>
      </c>
      <c r="AB206" s="692">
        <f t="shared" si="31"/>
        <v>0</v>
      </c>
      <c r="AC206" s="692">
        <f t="shared" si="32"/>
        <v>0</v>
      </c>
      <c r="AD206" s="692">
        <f t="shared" si="33"/>
        <v>0</v>
      </c>
      <c r="AE206" s="38"/>
      <c r="AF206" s="692">
        <f t="shared" si="35"/>
        <v>0</v>
      </c>
      <c r="AG206" s="692">
        <f t="shared" si="36"/>
        <v>0</v>
      </c>
      <c r="AH206" s="692">
        <f t="shared" si="37"/>
        <v>0</v>
      </c>
      <c r="AJ206" s="38">
        <f t="shared" si="34"/>
        <v>0</v>
      </c>
    </row>
    <row r="207" spans="1:36">
      <c r="A207" s="20"/>
      <c r="B207" s="20" t="s">
        <v>109</v>
      </c>
      <c r="C207" s="667" t="s">
        <v>581</v>
      </c>
      <c r="D207" s="123" t="s">
        <v>165</v>
      </c>
      <c r="E207" s="679"/>
      <c r="F207" s="529">
        <f>VLOOKUP(D207,'Feb 2013 Revenue'!D:T,17,FALSE)</f>
        <v>0</v>
      </c>
      <c r="G207" s="680"/>
      <c r="H207" s="680"/>
      <c r="I207" s="755"/>
      <c r="J207" s="682">
        <f t="shared" si="42"/>
        <v>0</v>
      </c>
      <c r="K207" s="683"/>
      <c r="L207" s="684"/>
      <c r="M207" s="753"/>
      <c r="N207" s="683">
        <v>0</v>
      </c>
      <c r="O207" s="686"/>
      <c r="P207" s="683">
        <v>0</v>
      </c>
      <c r="Q207" s="687">
        <f t="shared" si="44"/>
        <v>0</v>
      </c>
      <c r="R207" s="688">
        <v>0</v>
      </c>
      <c r="S207" s="693"/>
      <c r="T207" s="690">
        <f t="shared" si="43"/>
        <v>0</v>
      </c>
      <c r="U207" s="683"/>
      <c r="V207" s="474">
        <f t="shared" si="38"/>
        <v>0</v>
      </c>
      <c r="W207" s="474">
        <f t="shared" si="39"/>
        <v>0</v>
      </c>
      <c r="X207" s="475">
        <f t="shared" si="40"/>
        <v>0</v>
      </c>
      <c r="Y207" s="475">
        <v>0</v>
      </c>
      <c r="Z207" s="476">
        <v>0</v>
      </c>
      <c r="AA207" s="38">
        <f t="shared" si="41"/>
        <v>0</v>
      </c>
      <c r="AB207" s="692">
        <f t="shared" si="31"/>
        <v>0</v>
      </c>
      <c r="AC207" s="692">
        <f t="shared" si="32"/>
        <v>0</v>
      </c>
      <c r="AD207" s="692">
        <f t="shared" si="33"/>
        <v>0</v>
      </c>
      <c r="AE207" s="38"/>
      <c r="AF207" s="692">
        <f t="shared" si="35"/>
        <v>0</v>
      </c>
      <c r="AG207" s="692">
        <f t="shared" si="36"/>
        <v>0</v>
      </c>
      <c r="AH207" s="692">
        <f t="shared" si="37"/>
        <v>0</v>
      </c>
      <c r="AJ207" s="38">
        <f t="shared" si="34"/>
        <v>0</v>
      </c>
    </row>
    <row r="208" spans="1:36">
      <c r="A208" s="20"/>
      <c r="B208" s="20" t="s">
        <v>109</v>
      </c>
      <c r="C208" s="667"/>
      <c r="D208" s="123" t="s">
        <v>310</v>
      </c>
      <c r="E208" s="679"/>
      <c r="F208" s="529">
        <f>VLOOKUP(D208,'Feb 2013 Revenue'!D:T,17,FALSE)</f>
        <v>0</v>
      </c>
      <c r="G208" s="680"/>
      <c r="H208" s="680"/>
      <c r="I208" s="755"/>
      <c r="J208" s="682">
        <f t="shared" si="42"/>
        <v>0</v>
      </c>
      <c r="K208" s="683"/>
      <c r="L208" s="684"/>
      <c r="M208" s="753"/>
      <c r="N208" s="683">
        <v>0</v>
      </c>
      <c r="O208" s="686"/>
      <c r="P208" s="683">
        <v>0</v>
      </c>
      <c r="Q208" s="687">
        <f t="shared" si="44"/>
        <v>0</v>
      </c>
      <c r="R208" s="688">
        <v>0</v>
      </c>
      <c r="S208" s="693"/>
      <c r="T208" s="690">
        <f t="shared" si="43"/>
        <v>0</v>
      </c>
      <c r="U208" s="683"/>
      <c r="V208" s="474">
        <f t="shared" si="38"/>
        <v>0</v>
      </c>
      <c r="W208" s="474">
        <f t="shared" si="39"/>
        <v>0</v>
      </c>
      <c r="X208" s="475">
        <f t="shared" si="40"/>
        <v>0</v>
      </c>
      <c r="Y208" s="475">
        <v>0</v>
      </c>
      <c r="Z208" s="476">
        <v>0</v>
      </c>
      <c r="AA208" s="38">
        <f t="shared" si="41"/>
        <v>0</v>
      </c>
      <c r="AB208" s="692">
        <f t="shared" ref="AB208:AB217" si="45">IF(B208="D",J208,0)</f>
        <v>0</v>
      </c>
      <c r="AC208" s="692">
        <f t="shared" ref="AC208:AC217" si="46">IF(B208="M",J208,0)</f>
        <v>0</v>
      </c>
      <c r="AD208" s="692">
        <f t="shared" ref="AD208:AD217" si="47">IF(B208="V",J208,0)</f>
        <v>0</v>
      </c>
      <c r="AE208" s="38"/>
      <c r="AF208" s="692">
        <f t="shared" si="35"/>
        <v>0</v>
      </c>
      <c r="AG208" s="692">
        <f t="shared" si="36"/>
        <v>0</v>
      </c>
      <c r="AH208" s="692">
        <f t="shared" si="37"/>
        <v>0</v>
      </c>
      <c r="AJ208" s="38">
        <f t="shared" ref="AJ208:AJ218" si="48">SUM(AB208:AH208)</f>
        <v>0</v>
      </c>
    </row>
    <row r="209" spans="1:36">
      <c r="A209" s="20"/>
      <c r="B209" s="20" t="s">
        <v>109</v>
      </c>
      <c r="C209" s="667"/>
      <c r="D209" s="123" t="s">
        <v>441</v>
      </c>
      <c r="E209" s="679"/>
      <c r="F209" s="529">
        <f>VLOOKUP(D209,'Feb 2013 Revenue'!D:T,17,FALSE)</f>
        <v>0</v>
      </c>
      <c r="G209" s="680"/>
      <c r="H209" s="680"/>
      <c r="I209" s="755"/>
      <c r="J209" s="682">
        <f t="shared" si="42"/>
        <v>0</v>
      </c>
      <c r="K209" s="683"/>
      <c r="L209" s="684"/>
      <c r="M209" s="753"/>
      <c r="N209" s="683">
        <v>0</v>
      </c>
      <c r="O209" s="686"/>
      <c r="P209" s="683">
        <v>0</v>
      </c>
      <c r="Q209" s="687">
        <f t="shared" si="44"/>
        <v>0</v>
      </c>
      <c r="R209" s="688">
        <v>0</v>
      </c>
      <c r="S209" s="693"/>
      <c r="T209" s="690">
        <f t="shared" si="43"/>
        <v>0</v>
      </c>
      <c r="U209" s="683"/>
      <c r="V209" s="474">
        <f t="shared" si="38"/>
        <v>0</v>
      </c>
      <c r="W209" s="474">
        <f t="shared" si="39"/>
        <v>0</v>
      </c>
      <c r="X209" s="475">
        <f t="shared" si="40"/>
        <v>0</v>
      </c>
      <c r="Y209" s="475">
        <v>0</v>
      </c>
      <c r="Z209" s="476">
        <v>0</v>
      </c>
      <c r="AA209" s="38">
        <f t="shared" si="41"/>
        <v>0</v>
      </c>
      <c r="AB209" s="692">
        <f t="shared" si="45"/>
        <v>0</v>
      </c>
      <c r="AC209" s="692">
        <f t="shared" si="46"/>
        <v>0</v>
      </c>
      <c r="AD209" s="692">
        <f t="shared" si="47"/>
        <v>0</v>
      </c>
      <c r="AE209" s="38"/>
      <c r="AF209" s="692">
        <f t="shared" ref="AF209:AF217" si="49">IF(B209="D",Q209,0)</f>
        <v>0</v>
      </c>
      <c r="AG209" s="692">
        <f t="shared" ref="AG209:AG217" si="50">IF(B209="M",Q209,0)</f>
        <v>0</v>
      </c>
      <c r="AH209" s="692">
        <f t="shared" ref="AH209:AH217" si="51">IF(B209="V",Q209,0)</f>
        <v>0</v>
      </c>
      <c r="AJ209" s="38">
        <f t="shared" si="48"/>
        <v>0</v>
      </c>
    </row>
    <row r="210" spans="1:36">
      <c r="A210" s="20"/>
      <c r="B210" s="20" t="s">
        <v>109</v>
      </c>
      <c r="C210" s="667"/>
      <c r="D210" s="68" t="s">
        <v>121</v>
      </c>
      <c r="E210" s="679"/>
      <c r="F210" s="529">
        <f>VLOOKUP(D210,'Feb 2013 Revenue'!D:T,17,FALSE)</f>
        <v>0</v>
      </c>
      <c r="G210" s="680"/>
      <c r="H210" s="680"/>
      <c r="I210" s="755"/>
      <c r="J210" s="682">
        <f t="shared" si="42"/>
        <v>0</v>
      </c>
      <c r="K210" s="683"/>
      <c r="L210" s="684"/>
      <c r="M210" s="753"/>
      <c r="N210" s="683">
        <v>0</v>
      </c>
      <c r="O210" s="686"/>
      <c r="P210" s="683">
        <v>0</v>
      </c>
      <c r="Q210" s="687">
        <f t="shared" si="44"/>
        <v>0</v>
      </c>
      <c r="R210" s="688">
        <v>0</v>
      </c>
      <c r="S210" s="693"/>
      <c r="T210" s="690">
        <f t="shared" ref="T210:T212" si="52">IF(R210="","",R210-Q210)</f>
        <v>0</v>
      </c>
      <c r="U210" s="683"/>
      <c r="V210" s="474">
        <f t="shared" ref="V210:V218" si="53">IF(B210="D",Q210,0)</f>
        <v>0</v>
      </c>
      <c r="W210" s="474">
        <f t="shared" ref="W210:W218" si="54">IF(B210="M",Q210,0)</f>
        <v>0</v>
      </c>
      <c r="X210" s="475">
        <f t="shared" ref="X210:X218" si="55">IF(B210="V",Q210,0)</f>
        <v>0</v>
      </c>
      <c r="Y210" s="475">
        <v>0</v>
      </c>
      <c r="Z210" s="476">
        <v>0</v>
      </c>
      <c r="AA210" s="38">
        <f t="shared" ref="AA210:AA218" si="56">(L210+M210)-(V210+W210+X210+Y210+Z210)</f>
        <v>0</v>
      </c>
      <c r="AB210" s="692">
        <f t="shared" si="45"/>
        <v>0</v>
      </c>
      <c r="AC210" s="692">
        <f t="shared" si="46"/>
        <v>0</v>
      </c>
      <c r="AD210" s="692">
        <f t="shared" si="47"/>
        <v>0</v>
      </c>
      <c r="AE210" s="38"/>
      <c r="AF210" s="692">
        <f t="shared" si="49"/>
        <v>0</v>
      </c>
      <c r="AG210" s="692">
        <f t="shared" si="50"/>
        <v>0</v>
      </c>
      <c r="AH210" s="692">
        <f t="shared" si="51"/>
        <v>0</v>
      </c>
      <c r="AJ210" s="38">
        <f t="shared" si="48"/>
        <v>0</v>
      </c>
    </row>
    <row r="211" spans="1:36">
      <c r="A211" s="20"/>
      <c r="B211" s="20" t="s">
        <v>110</v>
      </c>
      <c r="C211" s="667"/>
      <c r="D211" s="68" t="s">
        <v>168</v>
      </c>
      <c r="E211" s="679"/>
      <c r="F211" s="529">
        <f>VLOOKUP(D211,'Feb 2013 Revenue'!D:T,17,FALSE)</f>
        <v>0</v>
      </c>
      <c r="G211" s="680"/>
      <c r="H211" s="680"/>
      <c r="I211" s="755"/>
      <c r="J211" s="682">
        <f t="shared" si="42"/>
        <v>0</v>
      </c>
      <c r="K211" s="683"/>
      <c r="L211" s="684"/>
      <c r="M211" s="753"/>
      <c r="N211" s="683">
        <v>0</v>
      </c>
      <c r="O211" s="686"/>
      <c r="P211" s="683">
        <v>0</v>
      </c>
      <c r="Q211" s="687">
        <f t="shared" si="44"/>
        <v>0</v>
      </c>
      <c r="R211" s="688">
        <v>0</v>
      </c>
      <c r="S211" s="693"/>
      <c r="T211" s="690">
        <f t="shared" si="52"/>
        <v>0</v>
      </c>
      <c r="U211" s="683"/>
      <c r="V211" s="474">
        <f t="shared" si="53"/>
        <v>0</v>
      </c>
      <c r="W211" s="474">
        <f t="shared" si="54"/>
        <v>0</v>
      </c>
      <c r="X211" s="475">
        <f t="shared" si="55"/>
        <v>0</v>
      </c>
      <c r="Y211" s="475">
        <v>0</v>
      </c>
      <c r="Z211" s="476">
        <v>0</v>
      </c>
      <c r="AA211" s="38">
        <f t="shared" si="56"/>
        <v>0</v>
      </c>
      <c r="AB211" s="692">
        <f t="shared" si="45"/>
        <v>0</v>
      </c>
      <c r="AC211" s="692">
        <f t="shared" si="46"/>
        <v>0</v>
      </c>
      <c r="AD211" s="692">
        <f t="shared" si="47"/>
        <v>0</v>
      </c>
      <c r="AE211" s="38"/>
      <c r="AF211" s="692">
        <f t="shared" si="49"/>
        <v>0</v>
      </c>
      <c r="AG211" s="692">
        <f t="shared" si="50"/>
        <v>0</v>
      </c>
      <c r="AH211" s="692">
        <f t="shared" si="51"/>
        <v>0</v>
      </c>
      <c r="AJ211" s="38">
        <f t="shared" si="48"/>
        <v>0</v>
      </c>
    </row>
    <row r="212" spans="1:36">
      <c r="A212" s="20"/>
      <c r="B212" s="20" t="s">
        <v>109</v>
      </c>
      <c r="C212" s="667" t="s">
        <v>582</v>
      </c>
      <c r="D212" s="68" t="s">
        <v>167</v>
      </c>
      <c r="E212" s="679"/>
      <c r="F212" s="529">
        <f>VLOOKUP(D212,'Feb 2013 Revenue'!D:T,17,FALSE)</f>
        <v>0</v>
      </c>
      <c r="G212" s="680"/>
      <c r="H212" s="680"/>
      <c r="I212" s="755"/>
      <c r="J212" s="682">
        <f t="shared" ref="J212" si="57">SUM(E212:I212)</f>
        <v>0</v>
      </c>
      <c r="K212" s="683"/>
      <c r="L212" s="684"/>
      <c r="M212" s="753"/>
      <c r="N212" s="683">
        <v>0</v>
      </c>
      <c r="O212" s="686"/>
      <c r="P212" s="683">
        <v>0</v>
      </c>
      <c r="Q212" s="687">
        <f t="shared" si="44"/>
        <v>0</v>
      </c>
      <c r="R212" s="688">
        <v>0</v>
      </c>
      <c r="S212" s="693"/>
      <c r="T212" s="690">
        <f t="shared" si="52"/>
        <v>0</v>
      </c>
      <c r="U212" s="683"/>
      <c r="V212" s="474">
        <f t="shared" si="53"/>
        <v>0</v>
      </c>
      <c r="W212" s="474">
        <f t="shared" si="54"/>
        <v>0</v>
      </c>
      <c r="X212" s="475">
        <f t="shared" si="55"/>
        <v>0</v>
      </c>
      <c r="Y212" s="475">
        <v>0</v>
      </c>
      <c r="Z212" s="476">
        <v>0</v>
      </c>
      <c r="AA212" s="38">
        <f t="shared" si="56"/>
        <v>0</v>
      </c>
      <c r="AB212" s="692">
        <f t="shared" si="45"/>
        <v>0</v>
      </c>
      <c r="AC212" s="692">
        <f t="shared" si="46"/>
        <v>0</v>
      </c>
      <c r="AD212" s="692">
        <f t="shared" si="47"/>
        <v>0</v>
      </c>
      <c r="AE212" s="38"/>
      <c r="AF212" s="692">
        <f t="shared" si="49"/>
        <v>0</v>
      </c>
      <c r="AG212" s="692">
        <f t="shared" si="50"/>
        <v>0</v>
      </c>
      <c r="AH212" s="692">
        <f t="shared" si="51"/>
        <v>0</v>
      </c>
      <c r="AJ212" s="38">
        <f t="shared" si="48"/>
        <v>0</v>
      </c>
    </row>
    <row r="213" spans="1:36">
      <c r="A213" s="20" t="s">
        <v>218</v>
      </c>
      <c r="B213" s="20" t="s">
        <v>110</v>
      </c>
      <c r="C213" s="667"/>
      <c r="D213" s="68" t="s">
        <v>60</v>
      </c>
      <c r="E213" s="679"/>
      <c r="F213" s="529">
        <f>VLOOKUP(D213,'Feb 2013 Revenue'!D:T,17,FALSE)</f>
        <v>-8000</v>
      </c>
      <c r="G213" s="680"/>
      <c r="H213" s="680"/>
      <c r="I213" s="755"/>
      <c r="J213" s="682">
        <f t="shared" si="42"/>
        <v>-8000</v>
      </c>
      <c r="K213" s="683"/>
      <c r="L213" s="684"/>
      <c r="M213" s="753">
        <v>10000</v>
      </c>
      <c r="N213" s="683">
        <v>0</v>
      </c>
      <c r="O213" s="686"/>
      <c r="P213" s="683">
        <v>0</v>
      </c>
      <c r="Q213" s="687">
        <f t="shared" si="44"/>
        <v>10000</v>
      </c>
      <c r="R213" s="688">
        <v>0</v>
      </c>
      <c r="S213" s="693"/>
      <c r="T213" s="690">
        <f t="shared" ref="T213:T218" si="58">IF(R213="","",R213-Q213)</f>
        <v>-10000</v>
      </c>
      <c r="U213" s="697"/>
      <c r="V213" s="474">
        <f t="shared" si="53"/>
        <v>10000</v>
      </c>
      <c r="W213" s="474">
        <f t="shared" si="54"/>
        <v>0</v>
      </c>
      <c r="X213" s="475">
        <f t="shared" si="55"/>
        <v>0</v>
      </c>
      <c r="Y213" s="475">
        <v>0</v>
      </c>
      <c r="Z213" s="476">
        <v>0</v>
      </c>
      <c r="AA213" s="38">
        <f t="shared" si="56"/>
        <v>0</v>
      </c>
      <c r="AB213" s="692">
        <f t="shared" si="45"/>
        <v>-8000</v>
      </c>
      <c r="AC213" s="692">
        <f t="shared" si="46"/>
        <v>0</v>
      </c>
      <c r="AD213" s="692">
        <f t="shared" si="47"/>
        <v>0</v>
      </c>
      <c r="AE213" s="38"/>
      <c r="AF213" s="692">
        <f t="shared" si="49"/>
        <v>10000</v>
      </c>
      <c r="AG213" s="692">
        <f t="shared" si="50"/>
        <v>0</v>
      </c>
      <c r="AH213" s="692">
        <f t="shared" si="51"/>
        <v>0</v>
      </c>
      <c r="AJ213" s="38">
        <f t="shared" si="48"/>
        <v>2000</v>
      </c>
    </row>
    <row r="214" spans="1:36">
      <c r="A214" s="20"/>
      <c r="B214" s="20" t="s">
        <v>110</v>
      </c>
      <c r="C214" s="667" t="s">
        <v>583</v>
      </c>
      <c r="D214" s="68" t="s">
        <v>169</v>
      </c>
      <c r="E214" s="679"/>
      <c r="F214" s="529">
        <f>VLOOKUP(D214,'Feb 2013 Revenue'!D:T,17,FALSE)</f>
        <v>0</v>
      </c>
      <c r="G214" s="680"/>
      <c r="H214" s="680"/>
      <c r="I214" s="770">
        <v>261.85000000000002</v>
      </c>
      <c r="J214" s="682">
        <f t="shared" si="42"/>
        <v>261.85000000000002</v>
      </c>
      <c r="K214" s="683"/>
      <c r="L214" s="684"/>
      <c r="M214" s="753"/>
      <c r="N214" s="683">
        <v>0</v>
      </c>
      <c r="O214" s="686"/>
      <c r="P214" s="683">
        <v>0</v>
      </c>
      <c r="Q214" s="687">
        <f t="shared" si="44"/>
        <v>0</v>
      </c>
      <c r="R214" s="688">
        <v>0</v>
      </c>
      <c r="S214" s="693"/>
      <c r="T214" s="690">
        <f t="shared" si="58"/>
        <v>0</v>
      </c>
      <c r="U214" s="683"/>
      <c r="V214" s="474">
        <f t="shared" si="53"/>
        <v>0</v>
      </c>
      <c r="W214" s="474">
        <f t="shared" si="54"/>
        <v>0</v>
      </c>
      <c r="X214" s="475">
        <f t="shared" si="55"/>
        <v>0</v>
      </c>
      <c r="Y214" s="475">
        <v>0</v>
      </c>
      <c r="Z214" s="476">
        <v>0</v>
      </c>
      <c r="AA214" s="38">
        <f t="shared" si="56"/>
        <v>0</v>
      </c>
      <c r="AB214" s="692">
        <f t="shared" si="45"/>
        <v>261.85000000000002</v>
      </c>
      <c r="AC214" s="692">
        <f t="shared" si="46"/>
        <v>0</v>
      </c>
      <c r="AD214" s="692">
        <f t="shared" si="47"/>
        <v>0</v>
      </c>
      <c r="AE214" s="38"/>
      <c r="AF214" s="692">
        <f t="shared" si="49"/>
        <v>0</v>
      </c>
      <c r="AG214" s="692">
        <f t="shared" si="50"/>
        <v>0</v>
      </c>
      <c r="AH214" s="692">
        <f t="shared" si="51"/>
        <v>0</v>
      </c>
      <c r="AJ214" s="38">
        <f t="shared" si="48"/>
        <v>261.85000000000002</v>
      </c>
    </row>
    <row r="215" spans="1:36">
      <c r="A215" s="21"/>
      <c r="B215" s="21" t="s">
        <v>110</v>
      </c>
      <c r="C215" s="666"/>
      <c r="D215" s="68" t="s">
        <v>590</v>
      </c>
      <c r="E215" s="679"/>
      <c r="F215" s="529">
        <f>VLOOKUP(D215,'Feb 2013 Revenue'!D:T,17,FALSE)</f>
        <v>0</v>
      </c>
      <c r="G215" s="680"/>
      <c r="H215" s="680"/>
      <c r="I215" s="755"/>
      <c r="J215" s="682">
        <f t="shared" si="42"/>
        <v>0</v>
      </c>
      <c r="K215" s="683"/>
      <c r="L215" s="684"/>
      <c r="M215" s="753"/>
      <c r="N215" s="683">
        <v>0</v>
      </c>
      <c r="O215" s="686"/>
      <c r="P215" s="683">
        <v>0</v>
      </c>
      <c r="Q215" s="687">
        <f t="shared" si="44"/>
        <v>0</v>
      </c>
      <c r="R215" s="688">
        <v>0</v>
      </c>
      <c r="S215" s="693"/>
      <c r="T215" s="690">
        <f t="shared" si="58"/>
        <v>0</v>
      </c>
      <c r="U215" s="683"/>
      <c r="V215" s="474">
        <f t="shared" si="53"/>
        <v>0</v>
      </c>
      <c r="W215" s="474">
        <f t="shared" si="54"/>
        <v>0</v>
      </c>
      <c r="X215" s="475">
        <f t="shared" si="55"/>
        <v>0</v>
      </c>
      <c r="Y215" s="475">
        <v>0</v>
      </c>
      <c r="Z215" s="476">
        <v>0</v>
      </c>
      <c r="AA215" s="38">
        <f t="shared" si="56"/>
        <v>0</v>
      </c>
      <c r="AB215" s="692">
        <f t="shared" si="45"/>
        <v>0</v>
      </c>
      <c r="AC215" s="692">
        <f t="shared" si="46"/>
        <v>0</v>
      </c>
      <c r="AD215" s="692">
        <f t="shared" si="47"/>
        <v>0</v>
      </c>
      <c r="AE215" s="38"/>
      <c r="AF215" s="692">
        <f t="shared" si="49"/>
        <v>0</v>
      </c>
      <c r="AG215" s="692">
        <f t="shared" si="50"/>
        <v>0</v>
      </c>
      <c r="AH215" s="692">
        <f t="shared" si="51"/>
        <v>0</v>
      </c>
      <c r="AJ215" s="38">
        <f t="shared" si="48"/>
        <v>0</v>
      </c>
    </row>
    <row r="216" spans="1:36">
      <c r="A216" s="21"/>
      <c r="B216" s="21" t="s">
        <v>114</v>
      </c>
      <c r="C216" s="666"/>
      <c r="D216" s="68" t="s">
        <v>591</v>
      </c>
      <c r="E216" s="679"/>
      <c r="F216" s="529">
        <f>VLOOKUP(D216,'Feb 2013 Revenue'!D:T,17,FALSE)</f>
        <v>3996.66</v>
      </c>
      <c r="G216" s="680"/>
      <c r="H216" s="680"/>
      <c r="I216" s="755"/>
      <c r="J216" s="682">
        <f t="shared" si="42"/>
        <v>3996.66</v>
      </c>
      <c r="K216" s="683"/>
      <c r="L216" s="684"/>
      <c r="M216" s="753"/>
      <c r="N216" s="683">
        <v>0</v>
      </c>
      <c r="O216" s="686"/>
      <c r="P216" s="683">
        <v>0</v>
      </c>
      <c r="Q216" s="687">
        <f t="shared" si="44"/>
        <v>0</v>
      </c>
      <c r="R216" s="688">
        <f>1249.41+344.87+261.98+545.78</f>
        <v>2402.04</v>
      </c>
      <c r="S216" s="693"/>
      <c r="T216" s="690">
        <f t="shared" si="58"/>
        <v>2402.04</v>
      </c>
      <c r="U216" s="683"/>
      <c r="V216" s="474">
        <f t="shared" si="53"/>
        <v>0</v>
      </c>
      <c r="W216" s="474">
        <f t="shared" si="54"/>
        <v>0</v>
      </c>
      <c r="X216" s="475">
        <f t="shared" si="55"/>
        <v>0</v>
      </c>
      <c r="Y216" s="475">
        <v>0</v>
      </c>
      <c r="Z216" s="476">
        <v>0</v>
      </c>
      <c r="AA216" s="38">
        <f t="shared" si="56"/>
        <v>0</v>
      </c>
      <c r="AB216" s="692">
        <f t="shared" si="45"/>
        <v>0</v>
      </c>
      <c r="AC216" s="692">
        <f t="shared" si="46"/>
        <v>0</v>
      </c>
      <c r="AD216" s="692">
        <f t="shared" si="47"/>
        <v>3996.66</v>
      </c>
      <c r="AE216" s="38"/>
      <c r="AF216" s="692">
        <f t="shared" si="49"/>
        <v>0</v>
      </c>
      <c r="AG216" s="692">
        <f t="shared" si="50"/>
        <v>0</v>
      </c>
      <c r="AH216" s="692">
        <f t="shared" si="51"/>
        <v>0</v>
      </c>
      <c r="AJ216" s="38">
        <f t="shared" si="48"/>
        <v>3996.66</v>
      </c>
    </row>
    <row r="217" spans="1:36">
      <c r="A217" s="21"/>
      <c r="B217" s="21" t="s">
        <v>114</v>
      </c>
      <c r="C217" s="672"/>
      <c r="D217" s="519" t="s">
        <v>433</v>
      </c>
      <c r="E217" s="679"/>
      <c r="F217" s="529">
        <f>VLOOKUP(D217,'Feb 2013 Revenue'!D:T,17,FALSE)</f>
        <v>0</v>
      </c>
      <c r="G217" s="680"/>
      <c r="H217" s="680"/>
      <c r="I217" s="755"/>
      <c r="J217" s="682">
        <f t="shared" si="42"/>
        <v>0</v>
      </c>
      <c r="K217" s="683"/>
      <c r="L217" s="684"/>
      <c r="M217" s="753"/>
      <c r="N217" s="683">
        <v>0</v>
      </c>
      <c r="O217" s="686"/>
      <c r="P217" s="683">
        <v>0</v>
      </c>
      <c r="Q217" s="687">
        <f t="shared" si="44"/>
        <v>0</v>
      </c>
      <c r="R217" s="688">
        <v>0</v>
      </c>
      <c r="S217" s="693"/>
      <c r="T217" s="690">
        <f t="shared" si="58"/>
        <v>0</v>
      </c>
      <c r="U217" s="683"/>
      <c r="V217" s="474">
        <f t="shared" si="53"/>
        <v>0</v>
      </c>
      <c r="W217" s="474">
        <f t="shared" si="54"/>
        <v>0</v>
      </c>
      <c r="X217" s="475">
        <f t="shared" si="55"/>
        <v>0</v>
      </c>
      <c r="Y217" s="475">
        <v>0</v>
      </c>
      <c r="Z217" s="476">
        <v>0</v>
      </c>
      <c r="AA217" s="38">
        <f t="shared" si="56"/>
        <v>0</v>
      </c>
      <c r="AB217" s="692">
        <f t="shared" si="45"/>
        <v>0</v>
      </c>
      <c r="AC217" s="692">
        <f t="shared" si="46"/>
        <v>0</v>
      </c>
      <c r="AD217" s="692">
        <f t="shared" si="47"/>
        <v>0</v>
      </c>
      <c r="AE217" s="38"/>
      <c r="AF217" s="692">
        <f t="shared" si="49"/>
        <v>0</v>
      </c>
      <c r="AG217" s="692">
        <f t="shared" si="50"/>
        <v>0</v>
      </c>
      <c r="AH217" s="692">
        <f t="shared" si="51"/>
        <v>0</v>
      </c>
      <c r="AJ217" s="38">
        <f t="shared" si="48"/>
        <v>0</v>
      </c>
    </row>
    <row r="218" spans="1:36" s="146" customFormat="1" ht="13" thickBot="1">
      <c r="A218" s="21"/>
      <c r="B218" s="21" t="s">
        <v>110</v>
      </c>
      <c r="C218" s="666"/>
      <c r="D218" s="68" t="s">
        <v>593</v>
      </c>
      <c r="E218" s="679"/>
      <c r="F218" s="529">
        <f>VLOOKUP(D218,'Feb 2013 Revenue'!D:T,17,FALSE)</f>
        <v>0</v>
      </c>
      <c r="G218" s="680"/>
      <c r="H218" s="680"/>
      <c r="I218" s="755"/>
      <c r="J218" s="682">
        <f t="shared" si="42"/>
        <v>0</v>
      </c>
      <c r="K218" s="683"/>
      <c r="L218" s="684"/>
      <c r="M218" s="753"/>
      <c r="N218" s="683">
        <v>0</v>
      </c>
      <c r="O218" s="686"/>
      <c r="P218" s="683">
        <v>0</v>
      </c>
      <c r="Q218" s="687">
        <f t="shared" si="44"/>
        <v>0</v>
      </c>
      <c r="R218" s="688">
        <v>0</v>
      </c>
      <c r="S218" s="693"/>
      <c r="T218" s="690">
        <f t="shared" si="58"/>
        <v>0</v>
      </c>
      <c r="U218" s="683"/>
      <c r="V218" s="474">
        <f t="shared" si="53"/>
        <v>0</v>
      </c>
      <c r="W218" s="474">
        <f t="shared" si="54"/>
        <v>0</v>
      </c>
      <c r="X218" s="475">
        <f t="shared" si="55"/>
        <v>0</v>
      </c>
      <c r="Y218" s="475">
        <v>0</v>
      </c>
      <c r="Z218" s="476">
        <v>0</v>
      </c>
      <c r="AA218" s="38">
        <f t="shared" si="56"/>
        <v>0</v>
      </c>
      <c r="AB218" s="692">
        <f t="shared" ref="AB218" si="59">IF(B218="D",J218,0)</f>
        <v>0</v>
      </c>
      <c r="AC218" s="692">
        <f t="shared" ref="AC218" si="60">IF(B218="M",J218,0)</f>
        <v>0</v>
      </c>
      <c r="AD218" s="692">
        <f t="shared" ref="AD218" si="61">IF(B218="V",J218,0)</f>
        <v>0</v>
      </c>
      <c r="AE218" s="38"/>
      <c r="AF218" s="692">
        <f t="shared" ref="AF218" si="62">IF(B218="D",Q218,0)</f>
        <v>0</v>
      </c>
      <c r="AG218" s="692">
        <f t="shared" ref="AG218" si="63">IF(B218="M",Q218,0)</f>
        <v>0</v>
      </c>
      <c r="AH218" s="692">
        <f t="shared" ref="AH218" si="64">IF(B218="V",Q218,0)</f>
        <v>0</v>
      </c>
      <c r="AJ218" s="38">
        <f t="shared" si="48"/>
        <v>0</v>
      </c>
    </row>
    <row r="219" spans="1:36" ht="13" thickBot="1">
      <c r="A219" s="107"/>
      <c r="B219" s="108"/>
      <c r="C219" s="673"/>
      <c r="D219" s="71" t="s">
        <v>86</v>
      </c>
      <c r="E219" s="454">
        <f t="shared" ref="E219:J219" si="65">SUM(E16:E218)</f>
        <v>120299.49</v>
      </c>
      <c r="F219" s="454">
        <f t="shared" si="65"/>
        <v>-671450.98999999987</v>
      </c>
      <c r="G219" s="454">
        <f t="shared" si="65"/>
        <v>0</v>
      </c>
      <c r="H219" s="454">
        <f t="shared" si="65"/>
        <v>0</v>
      </c>
      <c r="I219" s="454">
        <f t="shared" si="65"/>
        <v>4791503.26</v>
      </c>
      <c r="J219" s="454">
        <f t="shared" si="65"/>
        <v>4240351.7599999988</v>
      </c>
      <c r="K219" s="454"/>
      <c r="L219" s="454">
        <f>SUM(L16:L218)</f>
        <v>395864</v>
      </c>
      <c r="M219" s="454">
        <f>SUM(M16:M218)</f>
        <v>3148000</v>
      </c>
      <c r="N219" s="454">
        <f>SUM(N16:N218)</f>
        <v>0</v>
      </c>
      <c r="O219" s="100">
        <f>SUM(O16:O218)</f>
        <v>0</v>
      </c>
      <c r="P219" s="157">
        <f>SUM(P17:P218)</f>
        <v>0</v>
      </c>
      <c r="Q219" s="100">
        <f>SUM(Q16:Q218)</f>
        <v>3543864</v>
      </c>
      <c r="R219" s="100">
        <f>SUM(R16:R218)</f>
        <v>3503141.1399999992</v>
      </c>
      <c r="S219" s="708"/>
      <c r="T219" s="100">
        <f>SUM(T16:T218)</f>
        <v>-40722.860000000182</v>
      </c>
      <c r="U219" s="683"/>
      <c r="V219" s="314">
        <f>SUM(V16:V218)</f>
        <v>3170599</v>
      </c>
      <c r="W219" s="314">
        <f>SUM(W16:W218)</f>
        <v>290000</v>
      </c>
      <c r="X219" s="314">
        <f>SUM(X16:X218)</f>
        <v>83265</v>
      </c>
      <c r="Y219" s="314">
        <f>SUM(Y16:Y218)</f>
        <v>0</v>
      </c>
      <c r="Z219" s="314">
        <f>SUM(Z16:Z218)</f>
        <v>0</v>
      </c>
      <c r="AA219" s="38"/>
      <c r="AB219" s="314">
        <f>SUM(AB16:AB218)</f>
        <v>4156199.5599999987</v>
      </c>
      <c r="AC219" s="314">
        <f>SUM(AC16:AC218)</f>
        <v>86779.530000000013</v>
      </c>
      <c r="AD219" s="314">
        <f>SUM(AD16:AD218)</f>
        <v>-2627.3300000000017</v>
      </c>
      <c r="AE219" s="38"/>
      <c r="AF219" s="314">
        <f>SUM(AF16:AF218)</f>
        <v>3170599</v>
      </c>
      <c r="AG219" s="314">
        <f>SUM(AG16:AG218)</f>
        <v>290000</v>
      </c>
      <c r="AH219" s="314">
        <f>SUM(AH16:AH218)</f>
        <v>83265</v>
      </c>
    </row>
    <row r="220" spans="1:36" ht="13" thickBot="1">
      <c r="A220" s="65"/>
      <c r="B220" s="65"/>
      <c r="C220" s="674"/>
      <c r="D220" s="141"/>
      <c r="E220" s="709" t="s">
        <v>293</v>
      </c>
      <c r="F220" s="160">
        <f>F219-E219</f>
        <v>-791750.47999999986</v>
      </c>
      <c r="G220" s="153"/>
      <c r="H220" s="153" t="s">
        <v>225</v>
      </c>
      <c r="I220" s="153">
        <f>I219+H219+G219</f>
        <v>4791503.26</v>
      </c>
      <c r="J220" s="323"/>
      <c r="K220" s="153"/>
      <c r="L220" s="153" t="s">
        <v>296</v>
      </c>
      <c r="M220" s="100">
        <f>M219+L219</f>
        <v>3543864</v>
      </c>
      <c r="N220" s="153"/>
      <c r="O220" s="641"/>
      <c r="P220" s="153"/>
      <c r="Q220" s="153"/>
      <c r="R220" s="153"/>
      <c r="S220" s="153"/>
      <c r="T220" s="153"/>
      <c r="U220" s="153"/>
      <c r="V220" s="139"/>
      <c r="W220" s="139"/>
      <c r="X220" s="139"/>
      <c r="Y220" s="139"/>
      <c r="Z220" s="104"/>
      <c r="AA220" s="38"/>
      <c r="AB220" s="711"/>
      <c r="AC220" s="711"/>
      <c r="AD220" s="711"/>
      <c r="AE220" s="38"/>
      <c r="AF220" s="38"/>
      <c r="AG220" s="38"/>
      <c r="AH220" s="38"/>
    </row>
    <row r="221" spans="1:36" ht="13" thickBot="1">
      <c r="A221" s="65"/>
      <c r="B221" s="65"/>
      <c r="C221" s="674"/>
      <c r="E221" s="159"/>
      <c r="F221" s="153"/>
      <c r="G221" s="153"/>
      <c r="H221" s="153"/>
      <c r="I221" s="153"/>
      <c r="J221" s="153"/>
      <c r="K221" s="153"/>
      <c r="L221" s="153"/>
      <c r="M221" s="710"/>
      <c r="N221" s="153"/>
      <c r="O221" s="153"/>
      <c r="P221" s="153"/>
      <c r="Q221" s="153"/>
      <c r="R221" s="153"/>
      <c r="S221" s="153"/>
      <c r="T221" s="153"/>
      <c r="U221" s="153"/>
      <c r="V221" s="331" t="s">
        <v>345</v>
      </c>
      <c r="W221" s="139"/>
      <c r="X221" s="139"/>
      <c r="Y221" s="139"/>
      <c r="Z221" s="104"/>
      <c r="AA221" s="164" t="s">
        <v>633</v>
      </c>
      <c r="AB221" s="798">
        <v>-36915.03</v>
      </c>
      <c r="AC221" s="798"/>
      <c r="AD221" s="798">
        <f>-SUM(AB221)</f>
        <v>36915.03</v>
      </c>
      <c r="AE221" s="38"/>
      <c r="AF221" s="711"/>
      <c r="AG221" s="711"/>
      <c r="AH221" s="711"/>
    </row>
    <row r="222" spans="1:36" ht="17" thickTop="1" thickBot="1">
      <c r="E222" s="712"/>
      <c r="F222" s="713"/>
      <c r="G222" s="714"/>
      <c r="H222" s="715"/>
      <c r="I222" s="715"/>
      <c r="J222" s="164"/>
      <c r="K222" s="169"/>
      <c r="L222" s="233"/>
      <c r="M222" s="233"/>
      <c r="N222" s="38"/>
      <c r="O222" s="642"/>
      <c r="P222" s="139"/>
      <c r="Q222" s="139"/>
      <c r="R222" s="33"/>
      <c r="S222" s="33"/>
      <c r="T222" s="33"/>
      <c r="U222" s="169"/>
      <c r="V222" s="332"/>
      <c r="W222" s="333"/>
      <c r="X222" s="491"/>
      <c r="Y222" s="491"/>
      <c r="Z222" s="334"/>
      <c r="AA222" s="164" t="s">
        <v>634</v>
      </c>
      <c r="AB222" s="798">
        <v>-108794.52</v>
      </c>
      <c r="AC222" s="798"/>
      <c r="AD222" s="802">
        <f>-SUM(AB222)</f>
        <v>108794.52</v>
      </c>
      <c r="AE222" s="38"/>
      <c r="AF222" s="38"/>
      <c r="AG222" s="38"/>
      <c r="AH222" s="38"/>
    </row>
    <row r="223" spans="1:36" ht="17" thickBot="1">
      <c r="E223" s="712"/>
      <c r="F223" s="713"/>
      <c r="G223" s="714"/>
      <c r="H223" s="715"/>
      <c r="J223" s="79">
        <f>J219</f>
        <v>4240351.7599999988</v>
      </c>
      <c r="K223" s="715" t="s">
        <v>928</v>
      </c>
      <c r="L223" s="169"/>
      <c r="M223" s="493"/>
      <c r="N223" s="38"/>
      <c r="O223" s="80"/>
      <c r="P223" s="104"/>
      <c r="Q223" s="139"/>
      <c r="R223" s="33"/>
      <c r="S223" s="33"/>
      <c r="T223" s="33"/>
      <c r="U223" s="169"/>
      <c r="V223" s="487"/>
      <c r="W223" s="488"/>
      <c r="X223" s="492" t="s">
        <v>399</v>
      </c>
      <c r="Y223" s="492" t="s">
        <v>400</v>
      </c>
      <c r="Z223" s="488"/>
      <c r="AA223" s="717" t="s">
        <v>475</v>
      </c>
      <c r="AB223" s="718">
        <f>SUM(AB219:AB222)</f>
        <v>4010490.0099999988</v>
      </c>
      <c r="AC223" s="718">
        <f>AC219</f>
        <v>86779.530000000013</v>
      </c>
      <c r="AD223" s="718">
        <f>SUM(AD219:AD222)</f>
        <v>143082.22</v>
      </c>
      <c r="AE223" s="718"/>
      <c r="AF223" s="718">
        <f>AF219</f>
        <v>3170599</v>
      </c>
      <c r="AG223" s="718">
        <f>AG219</f>
        <v>290000</v>
      </c>
      <c r="AH223" s="719">
        <f>AH219</f>
        <v>83265</v>
      </c>
      <c r="AJ223" s="38">
        <f>SUM(AJ17:AJ222)</f>
        <v>7784215.7599999988</v>
      </c>
    </row>
    <row r="224" spans="1:36" ht="15" thickBot="1">
      <c r="D224" s="143"/>
      <c r="E224" s="759"/>
      <c r="F224" s="713"/>
      <c r="G224" s="714"/>
      <c r="H224" s="720"/>
      <c r="J224" s="750">
        <f>SUM('June GL'!H2)</f>
        <v>0</v>
      </c>
      <c r="K224" s="757" t="s">
        <v>251</v>
      </c>
      <c r="L224" s="722"/>
      <c r="M224" s="642"/>
      <c r="N224" s="33"/>
      <c r="O224" s="80"/>
      <c r="P224" s="104"/>
      <c r="Q224" s="139"/>
      <c r="R224" s="33"/>
      <c r="S224" s="33"/>
      <c r="T224" s="33"/>
      <c r="U224" s="169"/>
      <c r="V224" s="158" t="s">
        <v>609</v>
      </c>
      <c r="W224" s="104" t="s">
        <v>352</v>
      </c>
      <c r="X224" s="104">
        <f>V219+W219+X219</f>
        <v>3543864</v>
      </c>
      <c r="Y224" s="104"/>
      <c r="Z224" s="136"/>
      <c r="AA224" s="723"/>
      <c r="AB224" s="38"/>
      <c r="AC224" s="38"/>
      <c r="AD224" s="38"/>
      <c r="AE224" s="38"/>
      <c r="AF224" s="38"/>
      <c r="AG224" s="38"/>
      <c r="AH224" s="38"/>
    </row>
    <row r="225" spans="4:34" ht="15" thickTop="1">
      <c r="D225" s="143"/>
      <c r="E225" s="712"/>
      <c r="F225" s="713"/>
      <c r="G225" s="714"/>
      <c r="H225" s="714" t="s">
        <v>249</v>
      </c>
      <c r="J225" s="173">
        <f>J224+J223</f>
        <v>4240351.7599999988</v>
      </c>
      <c r="K225" s="714" t="s">
        <v>454</v>
      </c>
      <c r="L225" s="722"/>
      <c r="M225" s="80"/>
      <c r="N225" s="104"/>
      <c r="O225" s="173"/>
      <c r="P225" s="104"/>
      <c r="Q225" s="139"/>
      <c r="R225" s="139"/>
      <c r="S225" s="139"/>
      <c r="T225" s="139"/>
      <c r="U225" s="169"/>
      <c r="V225" s="158"/>
      <c r="W225" s="104"/>
      <c r="X225" s="104"/>
      <c r="Y225" s="104"/>
      <c r="Z225" s="136"/>
      <c r="AA225" s="723"/>
      <c r="AB225" s="38"/>
      <c r="AC225" s="38"/>
      <c r="AD225" s="38" t="s">
        <v>86</v>
      </c>
      <c r="AE225" s="38"/>
      <c r="AF225" s="233">
        <f>SUM(AB223+AF223)</f>
        <v>7181089.0099999988</v>
      </c>
      <c r="AG225" s="233">
        <f t="shared" ref="AG225:AH225" si="66">SUM(AC223+AG223)</f>
        <v>376779.53</v>
      </c>
      <c r="AH225" s="233">
        <f t="shared" si="66"/>
        <v>226347.22</v>
      </c>
    </row>
    <row r="226" spans="4:34" ht="14">
      <c r="D226" s="143"/>
      <c r="E226" s="712"/>
      <c r="F226" s="713"/>
      <c r="G226" s="714"/>
      <c r="H226" s="714"/>
      <c r="J226" s="80"/>
      <c r="K226" s="714"/>
      <c r="L226" s="722"/>
      <c r="M226" s="104"/>
      <c r="N226" s="38"/>
      <c r="O226" s="139"/>
      <c r="P226" s="104"/>
      <c r="Q226" s="139"/>
      <c r="R226" s="139"/>
      <c r="S226" s="139"/>
      <c r="T226" s="139"/>
      <c r="U226" s="169"/>
      <c r="V226" s="158" t="s">
        <v>600</v>
      </c>
      <c r="W226" s="104" t="s">
        <v>355</v>
      </c>
      <c r="X226" s="104"/>
      <c r="Y226" s="104">
        <f>V219</f>
        <v>3170599</v>
      </c>
      <c r="Z226" s="136"/>
      <c r="AA226" s="38"/>
      <c r="AB226" s="797" t="s">
        <v>882</v>
      </c>
      <c r="AC226" s="38"/>
      <c r="AD226" s="38"/>
      <c r="AE226" s="38"/>
      <c r="AF226" s="233"/>
      <c r="AG226" s="233"/>
      <c r="AH226" s="233"/>
    </row>
    <row r="227" spans="4:34" ht="15" thickBot="1">
      <c r="D227" s="143" t="s">
        <v>823</v>
      </c>
      <c r="E227" s="712"/>
      <c r="F227" s="713"/>
      <c r="G227" s="714"/>
      <c r="H227" s="714"/>
      <c r="J227" s="661">
        <f>M220</f>
        <v>3543864</v>
      </c>
      <c r="K227" s="714" t="s">
        <v>929</v>
      </c>
      <c r="L227" s="645"/>
      <c r="M227" s="173"/>
      <c r="N227" s="38"/>
      <c r="O227" s="139"/>
      <c r="P227" s="104"/>
      <c r="Q227" s="139"/>
      <c r="R227" s="726"/>
      <c r="S227" s="139"/>
      <c r="T227" s="727"/>
      <c r="U227" s="169"/>
      <c r="V227" s="158"/>
      <c r="W227" s="104" t="s">
        <v>356</v>
      </c>
      <c r="X227" s="104"/>
      <c r="Y227" s="104">
        <f>Y219</f>
        <v>0</v>
      </c>
      <c r="Z227" s="136"/>
      <c r="AA227" s="38"/>
      <c r="AB227" s="38"/>
      <c r="AC227" s="38"/>
      <c r="AD227" s="38"/>
      <c r="AE227" s="38"/>
      <c r="AF227" s="799" t="s">
        <v>897</v>
      </c>
      <c r="AG227" s="801">
        <f>SUM(AF225:AH225)</f>
        <v>7784215.7599999988</v>
      </c>
      <c r="AH227" s="800"/>
    </row>
    <row r="228" spans="4:34" ht="16" thickTop="1" thickBot="1">
      <c r="D228" s="143"/>
      <c r="E228" s="712"/>
      <c r="F228" s="713"/>
      <c r="G228" s="714"/>
      <c r="H228" s="714"/>
      <c r="J228" s="173">
        <v>0</v>
      </c>
      <c r="K228" s="714"/>
      <c r="L228" s="722"/>
      <c r="M228" s="173"/>
      <c r="N228" s="38"/>
      <c r="O228" s="33"/>
      <c r="P228" s="38"/>
      <c r="Q228" s="139"/>
      <c r="R228" s="139"/>
      <c r="S228" s="139"/>
      <c r="T228" s="139"/>
      <c r="U228" s="169"/>
      <c r="V228" s="158"/>
      <c r="W228" s="104"/>
      <c r="X228" s="104"/>
      <c r="Y228" s="104"/>
      <c r="Z228" s="136"/>
      <c r="AA228" s="38"/>
      <c r="AB228" s="38"/>
      <c r="AC228" s="38"/>
      <c r="AD228" s="38"/>
      <c r="AE228" s="38"/>
    </row>
    <row r="229" spans="4:34" ht="15" thickBot="1">
      <c r="E229" s="712"/>
      <c r="F229" s="713"/>
      <c r="G229" s="714"/>
      <c r="H229" s="714"/>
      <c r="J229" s="754">
        <f>J223+J227</f>
        <v>7784215.7599999988</v>
      </c>
      <c r="K229" s="714" t="s">
        <v>930</v>
      </c>
      <c r="L229" s="722"/>
      <c r="M229" s="173"/>
      <c r="N229" s="38"/>
      <c r="O229" s="33"/>
      <c r="P229" s="38"/>
      <c r="Q229" s="139"/>
      <c r="R229" s="139"/>
      <c r="S229" s="139"/>
      <c r="T229" s="139"/>
      <c r="U229" s="169"/>
      <c r="V229" s="158" t="s">
        <v>601</v>
      </c>
      <c r="W229" s="104" t="s">
        <v>357</v>
      </c>
      <c r="X229" s="104"/>
      <c r="Y229" s="104">
        <f>W219</f>
        <v>290000</v>
      </c>
      <c r="Z229" s="136"/>
      <c r="AA229" s="38"/>
      <c r="AB229" s="38"/>
      <c r="AC229" s="38"/>
      <c r="AD229" s="38"/>
      <c r="AE229" s="38"/>
      <c r="AF229" s="796" t="s">
        <v>857</v>
      </c>
      <c r="AG229" s="38">
        <f>AG227-AH225</f>
        <v>7557868.5399999991</v>
      </c>
      <c r="AH229" s="38"/>
    </row>
    <row r="230" spans="4:34">
      <c r="D230" s="161"/>
      <c r="E230" s="712"/>
      <c r="F230" s="713"/>
      <c r="G230" s="714"/>
      <c r="H230" s="714"/>
      <c r="J230" s="637"/>
      <c r="K230" s="714"/>
      <c r="L230" s="173"/>
      <c r="M230" s="731"/>
      <c r="N230" s="38"/>
      <c r="O230" s="33"/>
      <c r="P230" s="38"/>
      <c r="Q230" s="139"/>
      <c r="R230" s="139"/>
      <c r="S230" s="139"/>
      <c r="T230" s="139"/>
      <c r="U230" s="169"/>
      <c r="V230" s="415"/>
      <c r="W230" s="104" t="s">
        <v>358</v>
      </c>
      <c r="X230" s="104"/>
      <c r="Y230" s="104">
        <f>Z219</f>
        <v>0</v>
      </c>
      <c r="Z230" s="136"/>
      <c r="AA230" s="38"/>
      <c r="AB230" s="38"/>
      <c r="AC230" s="38"/>
      <c r="AD230" s="38"/>
      <c r="AE230" s="38"/>
      <c r="AF230" s="38"/>
      <c r="AG230" s="38"/>
      <c r="AH230" s="38"/>
    </row>
    <row r="231" spans="4:34">
      <c r="E231" s="712"/>
      <c r="F231" s="713"/>
      <c r="G231" s="714"/>
      <c r="H231" s="714"/>
      <c r="J231" s="658">
        <f>SUM(AB223:AH223)</f>
        <v>7784215.7599999988</v>
      </c>
      <c r="K231" s="714" t="s">
        <v>518</v>
      </c>
      <c r="L231" s="732"/>
      <c r="M231" s="637"/>
      <c r="N231" s="38"/>
      <c r="O231" s="33"/>
      <c r="P231" s="38"/>
      <c r="Q231" s="139"/>
      <c r="R231" s="139"/>
      <c r="S231" s="139"/>
      <c r="T231" s="139"/>
      <c r="U231" s="169"/>
      <c r="V231" s="415"/>
      <c r="W231" s="104"/>
      <c r="X231" s="104"/>
      <c r="Y231" s="104"/>
      <c r="Z231" s="136"/>
      <c r="AA231" s="38"/>
      <c r="AB231" s="38"/>
      <c r="AC231" s="38"/>
      <c r="AD231" s="38"/>
      <c r="AE231" s="38"/>
      <c r="AF231" s="38"/>
      <c r="AG231" s="38"/>
      <c r="AH231" s="38"/>
    </row>
    <row r="232" spans="4:34" ht="13" thickBot="1">
      <c r="E232" s="712"/>
      <c r="F232" s="713"/>
      <c r="G232" s="714"/>
      <c r="H232" s="714"/>
      <c r="J232" s="169"/>
      <c r="K232" s="714" t="s">
        <v>454</v>
      </c>
      <c r="L232" s="733"/>
      <c r="M232" s="795"/>
      <c r="N232" s="38"/>
      <c r="O232" s="33"/>
      <c r="P232" s="38"/>
      <c r="Q232" s="139"/>
      <c r="R232" s="139"/>
      <c r="S232" s="139"/>
      <c r="T232" s="139"/>
      <c r="U232" s="169"/>
      <c r="V232" s="158" t="s">
        <v>602</v>
      </c>
      <c r="W232" s="488" t="s">
        <v>359</v>
      </c>
      <c r="X232" s="488"/>
      <c r="Y232" s="488">
        <f>X219</f>
        <v>83265</v>
      </c>
      <c r="Z232" s="414"/>
      <c r="AA232" s="38"/>
      <c r="AB232" s="38"/>
      <c r="AC232" s="38"/>
      <c r="AD232" s="38"/>
      <c r="AE232" s="38"/>
      <c r="AF232" s="38"/>
      <c r="AG232" s="38"/>
      <c r="AH232" s="38"/>
    </row>
    <row r="233" spans="4:34" ht="15" thickBot="1">
      <c r="E233" s="712"/>
      <c r="F233" s="713"/>
      <c r="G233" s="714"/>
      <c r="H233" s="714"/>
      <c r="J233" s="736"/>
      <c r="K233" s="714" t="s">
        <v>519</v>
      </c>
      <c r="L233" s="169"/>
      <c r="M233" s="169"/>
      <c r="N233" s="38"/>
      <c r="O233" s="33"/>
      <c r="P233" s="38"/>
      <c r="Q233" s="33"/>
      <c r="R233" s="33"/>
      <c r="S233" s="33"/>
      <c r="T233" s="33"/>
      <c r="U233" s="169"/>
      <c r="V233" s="416"/>
      <c r="W233" s="104"/>
      <c r="X233" s="80">
        <f>SUM(X224:X232)</f>
        <v>3543864</v>
      </c>
      <c r="Y233" s="80">
        <f>SUM(Y224:Y232)</f>
        <v>3543864</v>
      </c>
      <c r="Z233" s="136"/>
      <c r="AA233" s="38"/>
      <c r="AB233" s="38"/>
      <c r="AC233" s="38"/>
      <c r="AD233" s="38"/>
      <c r="AE233" s="38"/>
      <c r="AF233" s="38"/>
      <c r="AG233" s="38"/>
      <c r="AH233" s="38"/>
    </row>
    <row r="234" spans="4:34">
      <c r="E234" s="712"/>
      <c r="F234" s="713"/>
      <c r="G234" s="714"/>
      <c r="H234" s="714"/>
      <c r="I234" s="714"/>
      <c r="J234" s="169"/>
      <c r="K234" s="169"/>
      <c r="L234" s="169"/>
      <c r="M234" s="169"/>
      <c r="N234" s="38"/>
      <c r="O234" s="33"/>
      <c r="P234" s="38"/>
      <c r="Q234" s="33"/>
      <c r="R234" s="33"/>
      <c r="S234" s="33"/>
      <c r="T234" s="33"/>
      <c r="U234" s="169"/>
      <c r="V234" s="416"/>
      <c r="W234" s="104"/>
      <c r="X234" s="104"/>
      <c r="Y234" s="104"/>
      <c r="Z234" s="136"/>
      <c r="AA234" s="38"/>
      <c r="AB234" s="38"/>
      <c r="AC234" s="38"/>
      <c r="AD234" s="38"/>
      <c r="AE234" s="38"/>
      <c r="AF234" s="38"/>
      <c r="AG234" s="38"/>
      <c r="AH234" s="38"/>
    </row>
    <row r="235" spans="4:34" ht="13" thickBot="1">
      <c r="E235" s="712"/>
      <c r="F235" s="713"/>
      <c r="G235" s="714"/>
      <c r="H235" s="714"/>
      <c r="I235" s="714"/>
      <c r="J235" s="169"/>
      <c r="K235" s="169"/>
      <c r="L235" s="169"/>
      <c r="M235" s="169"/>
      <c r="N235" s="38"/>
      <c r="O235" s="33"/>
      <c r="P235" s="38"/>
      <c r="Q235" s="33"/>
      <c r="R235" s="33"/>
      <c r="S235" s="33"/>
      <c r="T235" s="33"/>
      <c r="U235" s="169"/>
      <c r="V235" s="330"/>
      <c r="W235" s="279"/>
      <c r="X235" s="279"/>
      <c r="Y235" s="279"/>
      <c r="Z235" s="280"/>
      <c r="AA235" s="38"/>
      <c r="AB235" s="38"/>
      <c r="AC235" s="38"/>
      <c r="AD235" s="38"/>
      <c r="AE235" s="38"/>
      <c r="AF235" s="38"/>
      <c r="AG235" s="38"/>
      <c r="AH235" s="38"/>
    </row>
    <row r="236" spans="4:34">
      <c r="E236" s="712"/>
      <c r="F236" s="713"/>
      <c r="G236" s="714"/>
      <c r="H236" s="714"/>
      <c r="I236" s="714"/>
      <c r="J236" s="169"/>
      <c r="K236" s="169"/>
      <c r="L236" s="169"/>
      <c r="M236" s="169"/>
      <c r="N236" s="38"/>
      <c r="O236" s="33"/>
      <c r="P236" s="38"/>
      <c r="Q236" s="33"/>
      <c r="R236" s="33"/>
      <c r="S236" s="33"/>
      <c r="T236" s="33"/>
      <c r="U236" s="169"/>
      <c r="V236" s="104"/>
      <c r="W236" s="104"/>
      <c r="X236" s="104"/>
      <c r="Y236" s="104"/>
      <c r="Z236" s="104"/>
      <c r="AA236" s="38"/>
      <c r="AB236" s="38"/>
      <c r="AC236" s="38"/>
      <c r="AD236" s="38"/>
      <c r="AE236" s="38"/>
      <c r="AF236" s="38"/>
      <c r="AG236" s="38"/>
      <c r="AH236" s="38"/>
    </row>
    <row r="237" spans="4:34">
      <c r="E237" s="712"/>
      <c r="F237" s="713"/>
      <c r="G237" s="714"/>
      <c r="H237" s="714"/>
      <c r="I237" s="714"/>
      <c r="J237" s="169"/>
      <c r="K237" s="169"/>
      <c r="L237" s="169"/>
      <c r="M237" s="169"/>
      <c r="N237" s="38"/>
      <c r="O237" s="33"/>
      <c r="P237" s="38"/>
      <c r="Q237" s="33"/>
      <c r="R237" s="33"/>
      <c r="S237" s="33"/>
      <c r="T237" s="33"/>
      <c r="U237" s="169"/>
      <c r="AA237" s="38"/>
      <c r="AB237" s="38"/>
      <c r="AC237" s="38"/>
      <c r="AD237" s="38"/>
      <c r="AE237" s="38"/>
      <c r="AF237" s="38"/>
      <c r="AG237" s="38"/>
      <c r="AH237" s="38"/>
    </row>
    <row r="238" spans="4:34">
      <c r="E238" s="712"/>
      <c r="F238" s="713"/>
      <c r="G238" s="714"/>
      <c r="H238" s="714"/>
      <c r="I238" s="714"/>
      <c r="J238" s="169"/>
      <c r="K238" s="169"/>
      <c r="L238" s="169"/>
      <c r="M238" s="169"/>
      <c r="N238" s="38"/>
      <c r="O238" s="33"/>
      <c r="P238" s="38"/>
      <c r="Q238" s="33"/>
      <c r="R238" s="33"/>
      <c r="S238" s="33"/>
      <c r="T238" s="33"/>
      <c r="U238" s="169"/>
      <c r="AA238" s="38"/>
      <c r="AB238" s="38"/>
      <c r="AC238" s="38"/>
      <c r="AD238" s="38"/>
      <c r="AE238" s="38"/>
      <c r="AF238" s="38"/>
      <c r="AG238" s="38"/>
      <c r="AH238" s="38"/>
    </row>
    <row r="239" spans="4:34">
      <c r="E239" s="712"/>
      <c r="F239" s="713"/>
      <c r="G239" s="714"/>
      <c r="H239" s="714"/>
      <c r="I239" s="714"/>
      <c r="J239" s="169"/>
      <c r="K239" s="169"/>
      <c r="L239" s="169"/>
      <c r="M239" s="169"/>
      <c r="N239" s="38"/>
      <c r="O239" s="33"/>
      <c r="P239" s="38"/>
      <c r="Q239" s="33"/>
      <c r="R239" s="33"/>
      <c r="S239" s="33"/>
      <c r="T239" s="33"/>
      <c r="U239" s="169"/>
      <c r="AA239" s="38"/>
      <c r="AB239" s="38"/>
      <c r="AC239" s="38"/>
      <c r="AD239" s="38"/>
      <c r="AE239" s="38"/>
      <c r="AF239" s="38"/>
      <c r="AG239" s="38"/>
      <c r="AH239" s="38"/>
    </row>
    <row r="240" spans="4:34">
      <c r="E240" s="712"/>
      <c r="F240" s="713"/>
      <c r="G240" s="714"/>
      <c r="H240" s="714"/>
      <c r="I240" s="714"/>
      <c r="J240" s="169"/>
      <c r="K240" s="169"/>
      <c r="L240" s="169"/>
      <c r="M240" s="169"/>
      <c r="N240" s="38"/>
      <c r="O240" s="33"/>
      <c r="P240" s="38"/>
      <c r="Q240" s="33"/>
      <c r="R240" s="33"/>
      <c r="S240" s="33"/>
      <c r="T240" s="33"/>
      <c r="U240" s="169"/>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AA241" s="38"/>
      <c r="AB241" s="38"/>
      <c r="AC241" s="38"/>
      <c r="AD241" s="38"/>
      <c r="AE241" s="38"/>
      <c r="AF241" s="38"/>
      <c r="AG241" s="38"/>
      <c r="AH241" s="38"/>
    </row>
    <row r="242" spans="5:34">
      <c r="E242" s="712"/>
      <c r="F242" s="713"/>
      <c r="G242" s="714"/>
      <c r="H242" s="714"/>
      <c r="I242" s="714"/>
      <c r="J242" s="169"/>
      <c r="K242" s="169"/>
      <c r="L242" s="169"/>
      <c r="M242" s="169"/>
      <c r="N242" s="38"/>
      <c r="O242" s="33"/>
      <c r="P242" s="38"/>
      <c r="Q242" s="33"/>
      <c r="R242" s="33"/>
      <c r="S242" s="33"/>
      <c r="T242" s="33"/>
      <c r="U242" s="169"/>
      <c r="AA242" s="38"/>
      <c r="AB242" s="38"/>
      <c r="AC242" s="38"/>
      <c r="AD242" s="38"/>
      <c r="AE242" s="38"/>
      <c r="AF242" s="38"/>
      <c r="AG242" s="38"/>
      <c r="AH242" s="38"/>
    </row>
  </sheetData>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topLeftCell="G1" workbookViewId="0">
      <selection activeCell="L35" sqref="L35"/>
    </sheetView>
  </sheetViews>
  <sheetFormatPr baseColWidth="10" defaultColWidth="10.59765625" defaultRowHeight="14" x14ac:dyDescent="0"/>
  <cols>
    <col min="1" max="1" width="21.19921875" style="861" bestFit="1" customWidth="1"/>
    <col min="2" max="17" width="15.796875" style="861" customWidth="1"/>
    <col min="18" max="18" width="14.796875" style="861" customWidth="1"/>
    <col min="19" max="19" width="13.3984375" style="861" customWidth="1"/>
    <col min="20" max="16384" width="10.59765625" style="861"/>
  </cols>
  <sheetData>
    <row r="1" spans="1:22" s="860" customFormat="1" ht="11">
      <c r="H1" s="860" t="s">
        <v>1232</v>
      </c>
      <c r="K1" s="860" t="s">
        <v>1232</v>
      </c>
      <c r="N1" s="860" t="s">
        <v>1232</v>
      </c>
      <c r="Q1" s="860" t="s">
        <v>1232</v>
      </c>
    </row>
    <row r="2" spans="1:22">
      <c r="B2" s="862">
        <v>41275</v>
      </c>
      <c r="C2" s="862">
        <v>41306</v>
      </c>
      <c r="D2" s="862">
        <v>41334</v>
      </c>
      <c r="E2" s="862">
        <v>41365</v>
      </c>
      <c r="F2" s="862">
        <v>41395</v>
      </c>
      <c r="G2" s="862">
        <v>41426</v>
      </c>
      <c r="H2" s="862">
        <v>41456</v>
      </c>
      <c r="I2" s="862">
        <v>41487</v>
      </c>
      <c r="J2" s="862">
        <v>41518</v>
      </c>
      <c r="K2" s="862">
        <v>41548</v>
      </c>
      <c r="L2" s="862">
        <v>41579</v>
      </c>
      <c r="M2" s="862">
        <v>41609</v>
      </c>
      <c r="N2" s="862">
        <v>41640</v>
      </c>
      <c r="O2" s="862">
        <v>41671</v>
      </c>
      <c r="P2" s="862">
        <v>41699</v>
      </c>
      <c r="Q2" s="862">
        <v>41730</v>
      </c>
      <c r="R2" s="862">
        <v>41760</v>
      </c>
      <c r="S2" s="862">
        <v>41791</v>
      </c>
    </row>
    <row r="4" spans="1:22">
      <c r="A4" s="861" t="s">
        <v>1222</v>
      </c>
      <c r="B4" s="863"/>
      <c r="C4" s="863"/>
      <c r="D4" s="863"/>
      <c r="E4" s="863"/>
      <c r="F4" s="863"/>
      <c r="G4" s="863">
        <v>0.182</v>
      </c>
      <c r="H4" s="863">
        <v>0.21199999999999999</v>
      </c>
      <c r="I4" s="863">
        <v>0.16300000000000001</v>
      </c>
      <c r="J4" s="863">
        <v>0.16200000000000001</v>
      </c>
      <c r="K4" s="863">
        <v>0.20899999999999999</v>
      </c>
      <c r="L4" s="863">
        <v>0.16500000000000001</v>
      </c>
      <c r="M4" s="863">
        <v>0.19600000000000001</v>
      </c>
      <c r="N4" s="863">
        <v>0.16700000000000001</v>
      </c>
      <c r="O4" s="863">
        <v>0.156</v>
      </c>
      <c r="P4" s="863">
        <v>0.14899999999999999</v>
      </c>
      <c r="Q4" s="864">
        <v>0.19400000000000001</v>
      </c>
      <c r="R4" s="864">
        <v>0.16500000000000001</v>
      </c>
      <c r="S4" s="865">
        <v>0.159</v>
      </c>
      <c r="T4" s="863"/>
      <c r="U4" s="863"/>
      <c r="V4" s="863"/>
    </row>
    <row r="5" spans="1:22">
      <c r="A5" s="861" t="s">
        <v>1233</v>
      </c>
      <c r="B5" s="863"/>
      <c r="C5" s="863"/>
      <c r="D5" s="863"/>
      <c r="E5" s="863"/>
      <c r="F5" s="863"/>
      <c r="G5" s="863">
        <v>0.04</v>
      </c>
      <c r="H5" s="863">
        <v>0.02</v>
      </c>
      <c r="I5" s="863">
        <v>0.02</v>
      </c>
      <c r="J5" s="863">
        <v>2.3E-2</v>
      </c>
      <c r="K5" s="863">
        <v>2.3E-2</v>
      </c>
      <c r="L5" s="863">
        <v>2.1000000000000001E-2</v>
      </c>
      <c r="M5" s="863">
        <v>2.4E-2</v>
      </c>
      <c r="N5" s="863">
        <v>2.7E-2</v>
      </c>
      <c r="O5" s="863">
        <v>2.5000000000000001E-2</v>
      </c>
      <c r="P5" s="863">
        <v>2.5000000000000001E-2</v>
      </c>
      <c r="Q5" s="864">
        <v>2.1999999999999999E-2</v>
      </c>
      <c r="R5" s="864">
        <v>2.4E-2</v>
      </c>
      <c r="S5" s="865">
        <v>2.7E-2</v>
      </c>
      <c r="T5" s="863"/>
      <c r="U5" s="863"/>
      <c r="V5" s="863"/>
    </row>
    <row r="6" spans="1:22">
      <c r="G6" s="866">
        <f t="shared" ref="G6:P6" si="0">SUM(G4:G5)</f>
        <v>0.222</v>
      </c>
      <c r="H6" s="866">
        <f t="shared" si="0"/>
        <v>0.23199999999999998</v>
      </c>
      <c r="I6" s="866">
        <f t="shared" si="0"/>
        <v>0.183</v>
      </c>
      <c r="J6" s="866">
        <f t="shared" si="0"/>
        <v>0.185</v>
      </c>
      <c r="K6" s="866">
        <f t="shared" si="0"/>
        <v>0.23199999999999998</v>
      </c>
      <c r="L6" s="866">
        <f t="shared" si="0"/>
        <v>0.186</v>
      </c>
      <c r="M6" s="866">
        <f t="shared" si="0"/>
        <v>0.22</v>
      </c>
      <c r="N6" s="866">
        <f t="shared" si="0"/>
        <v>0.19400000000000001</v>
      </c>
      <c r="O6" s="866">
        <f t="shared" si="0"/>
        <v>0.18099999999999999</v>
      </c>
      <c r="P6" s="866">
        <f t="shared" si="0"/>
        <v>0.17399999999999999</v>
      </c>
      <c r="Q6" s="866">
        <f>SUM(Q4:Q5)</f>
        <v>0.216</v>
      </c>
      <c r="R6" s="866">
        <f>SUM(R4:R5)</f>
        <v>0.189</v>
      </c>
      <c r="S6" s="867">
        <f>SUM(S4:S5)</f>
        <v>0.186</v>
      </c>
    </row>
    <row r="8" spans="1:22">
      <c r="A8" s="861" t="s">
        <v>1234</v>
      </c>
      <c r="B8" s="868">
        <v>32037.040000000001</v>
      </c>
      <c r="C8" s="868">
        <v>41250.379999999997</v>
      </c>
      <c r="D8" s="868">
        <v>47848.480000000003</v>
      </c>
      <c r="E8" s="868">
        <v>41727.46</v>
      </c>
      <c r="F8" s="868">
        <v>46610.01</v>
      </c>
      <c r="G8" s="868">
        <v>53678.13</v>
      </c>
      <c r="H8" s="868">
        <v>48942.79</v>
      </c>
      <c r="I8" s="868">
        <v>49643.29</v>
      </c>
      <c r="J8" s="868">
        <v>67625.070000000007</v>
      </c>
      <c r="K8" s="868">
        <v>70962.25</v>
      </c>
      <c r="L8" s="868">
        <v>82876.210000000006</v>
      </c>
      <c r="M8" s="868">
        <v>116554.93</v>
      </c>
      <c r="N8" s="868">
        <v>62464.12</v>
      </c>
      <c r="O8" s="869">
        <v>77173.022805999994</v>
      </c>
      <c r="P8" s="869">
        <v>77971.054415000006</v>
      </c>
    </row>
    <row r="9" spans="1:22" s="871" customFormat="1" ht="12">
      <c r="A9" s="870" t="s">
        <v>1235</v>
      </c>
      <c r="B9" s="868">
        <f>369800+276039.63</f>
        <v>645839.63</v>
      </c>
      <c r="C9" s="868">
        <f>419608+319390.53</f>
        <v>738998.53</v>
      </c>
      <c r="D9" s="868">
        <f>571488+396535.21</f>
        <v>968023.21</v>
      </c>
      <c r="E9" s="868">
        <f>496186+400628.41</f>
        <v>896814.40999999992</v>
      </c>
      <c r="F9" s="868">
        <f>552455+405089.96</f>
        <v>957544.95999999996</v>
      </c>
      <c r="G9" s="868">
        <v>1100728.3400000001</v>
      </c>
      <c r="H9" s="868">
        <v>898017.25</v>
      </c>
      <c r="I9" s="868">
        <v>883060.52</v>
      </c>
      <c r="J9" s="868">
        <v>1214110.1499999999</v>
      </c>
      <c r="K9" s="868">
        <v>1351443.69</v>
      </c>
      <c r="L9" s="868">
        <v>1564261.23</v>
      </c>
      <c r="M9" s="868">
        <v>2173398.2599999998</v>
      </c>
      <c r="N9" s="868">
        <v>1263592.3400000001</v>
      </c>
      <c r="O9" s="868">
        <v>1539376.2750240001</v>
      </c>
      <c r="P9" s="868">
        <v>1723259.830723</v>
      </c>
    </row>
    <row r="11" spans="1:22">
      <c r="A11" s="861" t="s">
        <v>1236</v>
      </c>
      <c r="B11" s="863">
        <f t="shared" ref="B11:F11" si="1">SUM(B8/B9)</f>
        <v>4.960525571959714E-2</v>
      </c>
      <c r="C11" s="863">
        <f t="shared" si="1"/>
        <v>5.5819299126346027E-2</v>
      </c>
      <c r="D11" s="863">
        <f t="shared" si="1"/>
        <v>4.9429062759765857E-2</v>
      </c>
      <c r="E11" s="863">
        <f t="shared" si="1"/>
        <v>4.6528534259390415E-2</v>
      </c>
      <c r="F11" s="863">
        <f t="shared" si="1"/>
        <v>4.8676575980306974E-2</v>
      </c>
      <c r="G11" s="863">
        <f>SUM(G8/G9)</f>
        <v>4.8766010694337163E-2</v>
      </c>
      <c r="H11" s="863">
        <f t="shared" ref="H11:P11" si="2">SUM(H8/H9)</f>
        <v>5.450094639050642E-2</v>
      </c>
      <c r="I11" s="863">
        <f t="shared" si="2"/>
        <v>5.6217313395462411E-2</v>
      </c>
      <c r="J11" s="863">
        <f t="shared" si="2"/>
        <v>5.5699287251655058E-2</v>
      </c>
      <c r="K11" s="863">
        <f t="shared" si="2"/>
        <v>5.2508477064257118E-2</v>
      </c>
      <c r="L11" s="863">
        <f t="shared" si="2"/>
        <v>5.2981054833149584E-2</v>
      </c>
      <c r="M11" s="863">
        <f t="shared" si="2"/>
        <v>5.3627966924018798E-2</v>
      </c>
      <c r="N11" s="863">
        <f t="shared" si="2"/>
        <v>4.9433759625355123E-2</v>
      </c>
      <c r="O11" s="863">
        <f t="shared" si="2"/>
        <v>5.0132657010578396E-2</v>
      </c>
      <c r="P11" s="863">
        <f t="shared" si="2"/>
        <v>4.5246255396254993E-2</v>
      </c>
    </row>
    <row r="13" spans="1:22">
      <c r="A13" s="861" t="s">
        <v>1237</v>
      </c>
    </row>
    <row r="14" spans="1:22">
      <c r="A14" s="861" t="s">
        <v>1238</v>
      </c>
      <c r="N14" s="869">
        <v>13883.759146</v>
      </c>
      <c r="O14" s="869">
        <v>16220.7642</v>
      </c>
      <c r="P14" s="869">
        <v>18686.24497</v>
      </c>
    </row>
    <row r="15" spans="1:22">
      <c r="A15" s="861" t="s">
        <v>1239</v>
      </c>
      <c r="N15" s="869">
        <v>46784.714827999996</v>
      </c>
      <c r="O15" s="869">
        <v>59749.92426</v>
      </c>
      <c r="P15" s="869">
        <v>72157.387014000007</v>
      </c>
    </row>
    <row r="17" spans="1:19">
      <c r="A17" s="861" t="s">
        <v>1240</v>
      </c>
      <c r="N17" s="869">
        <f>N8+N14+N15</f>
        <v>123132.593974</v>
      </c>
      <c r="O17" s="869">
        <f>O8+O14+O15</f>
        <v>153143.711266</v>
      </c>
      <c r="P17" s="869">
        <f>P8+P14+P15</f>
        <v>168814.686399</v>
      </c>
    </row>
    <row r="18" spans="1:19">
      <c r="A18" s="861" t="s">
        <v>1241</v>
      </c>
      <c r="N18" s="863">
        <f>N17/N9</f>
        <v>9.7446454901744653E-2</v>
      </c>
      <c r="O18" s="863">
        <f t="shared" ref="O18:P18" si="3">O17/O9</f>
        <v>9.9484261093742254E-2</v>
      </c>
      <c r="P18" s="863">
        <f t="shared" si="3"/>
        <v>9.7962410188702179E-2</v>
      </c>
      <c r="R18" s="865">
        <v>0.1</v>
      </c>
      <c r="S18" s="865">
        <v>0.1</v>
      </c>
    </row>
    <row r="22" spans="1:19">
      <c r="G22" s="872"/>
      <c r="H22" s="873"/>
      <c r="I22" s="873"/>
      <c r="J22" s="873"/>
      <c r="K22" s="873"/>
      <c r="L22" s="873"/>
      <c r="M22" s="873"/>
      <c r="N22" s="873"/>
      <c r="O22" s="873"/>
      <c r="P22" s="873"/>
      <c r="Q22" s="873"/>
      <c r="R22" s="873"/>
      <c r="S22" s="874"/>
    </row>
    <row r="23" spans="1:19">
      <c r="G23" s="875">
        <v>41426</v>
      </c>
      <c r="H23" s="876">
        <v>41456</v>
      </c>
      <c r="I23" s="876">
        <v>41487</v>
      </c>
      <c r="J23" s="876">
        <v>41518</v>
      </c>
      <c r="K23" s="876">
        <v>41548</v>
      </c>
      <c r="L23" s="876">
        <v>41579</v>
      </c>
      <c r="M23" s="876">
        <v>41609</v>
      </c>
      <c r="N23" s="876">
        <v>41640</v>
      </c>
      <c r="O23" s="876">
        <v>41671</v>
      </c>
      <c r="P23" s="876">
        <v>41699</v>
      </c>
      <c r="Q23" s="876">
        <v>41730</v>
      </c>
      <c r="R23" s="876">
        <v>41760</v>
      </c>
      <c r="S23" s="877">
        <v>41791</v>
      </c>
    </row>
    <row r="24" spans="1:19">
      <c r="G24" s="878"/>
      <c r="H24" s="879"/>
      <c r="I24" s="879"/>
      <c r="J24" s="879"/>
      <c r="K24" s="879"/>
      <c r="L24" s="879"/>
      <c r="M24" s="879"/>
      <c r="N24" s="879"/>
      <c r="O24" s="879"/>
      <c r="P24" s="879"/>
      <c r="Q24" s="879"/>
      <c r="R24" s="879"/>
      <c r="S24" s="880"/>
    </row>
    <row r="25" spans="1:19">
      <c r="G25" s="881">
        <v>0.182</v>
      </c>
      <c r="H25" s="882">
        <v>0.182</v>
      </c>
      <c r="I25" s="882">
        <v>0.21199999999999999</v>
      </c>
      <c r="J25" s="882">
        <v>0.16300000000000001</v>
      </c>
      <c r="K25" s="882">
        <v>0.21199999999999999</v>
      </c>
      <c r="L25" s="882">
        <v>0.16300000000000001</v>
      </c>
      <c r="M25" s="882">
        <v>0.16300000000000001</v>
      </c>
      <c r="N25" s="882">
        <v>0.16700000000000001</v>
      </c>
      <c r="O25" s="882">
        <v>0.16500000000000001</v>
      </c>
      <c r="P25" s="882">
        <v>0.19600000000000001</v>
      </c>
      <c r="Q25" s="883">
        <v>0.21</v>
      </c>
      <c r="R25" s="883">
        <v>0.16</v>
      </c>
      <c r="S25" s="884"/>
    </row>
    <row r="26" spans="1:19">
      <c r="G26" s="881">
        <v>0.04</v>
      </c>
      <c r="H26" s="882">
        <v>0.02</v>
      </c>
      <c r="I26" s="882">
        <v>0.02</v>
      </c>
      <c r="J26" s="882">
        <v>0.02</v>
      </c>
      <c r="K26" s="882">
        <v>0.02</v>
      </c>
      <c r="L26" s="882">
        <v>0.02</v>
      </c>
      <c r="M26" s="882">
        <v>0.02</v>
      </c>
      <c r="N26" s="882">
        <v>2.7E-2</v>
      </c>
      <c r="O26" s="882">
        <v>2.1000000000000001E-2</v>
      </c>
      <c r="P26" s="882">
        <v>2.4E-2</v>
      </c>
      <c r="Q26" s="883">
        <v>2.5000000000000001E-2</v>
      </c>
      <c r="R26" s="883">
        <v>2.5999999999999999E-2</v>
      </c>
      <c r="S26" s="884"/>
    </row>
    <row r="27" spans="1:19">
      <c r="G27" s="885">
        <f t="shared" ref="G27:P27" si="4">SUM(G25:G26)</f>
        <v>0.222</v>
      </c>
      <c r="H27" s="886">
        <f t="shared" si="4"/>
        <v>0.20199999999999999</v>
      </c>
      <c r="I27" s="886">
        <f t="shared" si="4"/>
        <v>0.23199999999999998</v>
      </c>
      <c r="J27" s="886">
        <f t="shared" si="4"/>
        <v>0.183</v>
      </c>
      <c r="K27" s="886">
        <f t="shared" si="4"/>
        <v>0.23199999999999998</v>
      </c>
      <c r="L27" s="886">
        <f t="shared" si="4"/>
        <v>0.183</v>
      </c>
      <c r="M27" s="886">
        <f t="shared" si="4"/>
        <v>0.183</v>
      </c>
      <c r="N27" s="886">
        <f t="shared" si="4"/>
        <v>0.19400000000000001</v>
      </c>
      <c r="O27" s="886">
        <f t="shared" si="4"/>
        <v>0.186</v>
      </c>
      <c r="P27" s="886">
        <f t="shared" si="4"/>
        <v>0.22</v>
      </c>
      <c r="Q27" s="886">
        <f>SUM(Q25:Q26)</f>
        <v>0.23499999999999999</v>
      </c>
      <c r="R27" s="886">
        <f>SUM(R25:R26)</f>
        <v>0.186</v>
      </c>
      <c r="S27" s="887">
        <f>SUM(S25:S26)</f>
        <v>0</v>
      </c>
    </row>
    <row r="28" spans="1:19">
      <c r="G28" s="888" t="s">
        <v>1242</v>
      </c>
      <c r="H28" s="879"/>
      <c r="I28" s="879"/>
      <c r="J28" s="879"/>
      <c r="K28" s="879"/>
      <c r="L28" s="879"/>
      <c r="M28" s="879"/>
      <c r="N28" s="889" t="s">
        <v>1242</v>
      </c>
      <c r="O28" s="879"/>
      <c r="P28" s="879"/>
      <c r="Q28" s="879"/>
      <c r="R28" s="879"/>
      <c r="S28" s="880"/>
    </row>
    <row r="29" spans="1:19">
      <c r="G29" s="890"/>
      <c r="H29" s="891"/>
      <c r="I29" s="891"/>
      <c r="J29" s="891"/>
      <c r="K29" s="891"/>
      <c r="L29" s="891"/>
      <c r="M29" s="891"/>
      <c r="N29" s="891"/>
      <c r="O29" s="891"/>
      <c r="P29" s="891"/>
      <c r="Q29" s="891"/>
      <c r="R29" s="891"/>
      <c r="S29" s="892"/>
    </row>
  </sheetData>
  <pageMargins left="0.7" right="0.7" top="0.75" bottom="0.75" header="0.3" footer="0.3"/>
  <pageSetup orientation="portrait"/>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42"/>
  <sheetViews>
    <sheetView topLeftCell="E1" workbookViewId="0">
      <selection activeCell="J231" sqref="J231"/>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7.3984375" style="146" customWidth="1"/>
    <col min="16" max="16" width="1.796875" style="16" customWidth="1"/>
    <col min="17" max="18" width="15.3984375" style="146" customWidth="1"/>
    <col min="19" max="19" width="1.796875" style="146" customWidth="1"/>
    <col min="20" max="20" width="15.3984375" style="146" customWidth="1"/>
    <col min="21" max="21" width="1.796875" style="24" customWidth="1"/>
    <col min="22" max="26" width="15.3984375" style="38" customWidth="1"/>
    <col min="27" max="27" width="15.3984375" style="16" customWidth="1"/>
    <col min="28" max="29" width="15.3984375" style="559" customWidth="1"/>
    <col min="30" max="30" width="15.796875" style="559" customWidth="1"/>
    <col min="31" max="31" width="2.3984375" style="559" customWidth="1"/>
    <col min="32" max="33" width="14.796875" style="559" bestFit="1" customWidth="1"/>
    <col min="34" max="34" width="14.19921875" style="559" customWidth="1"/>
    <col min="35" max="35" width="9.3984375" style="16"/>
    <col min="36" max="36" width="14.796875" style="16" bestFit="1" customWidth="1"/>
    <col min="37" max="16384" width="9.398437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910</v>
      </c>
      <c r="F3" s="29"/>
      <c r="G3" s="18"/>
      <c r="H3" s="168"/>
      <c r="I3" s="168"/>
      <c r="J3" s="169"/>
      <c r="K3" s="169"/>
      <c r="L3" s="169"/>
      <c r="M3" s="169"/>
      <c r="N3" s="169"/>
    </row>
    <row r="4" spans="1:34">
      <c r="D4" s="148"/>
      <c r="G4" s="164"/>
      <c r="H4" s="168"/>
      <c r="I4" s="168"/>
      <c r="J4" s="169"/>
      <c r="K4" s="169"/>
      <c r="L4" s="169"/>
      <c r="M4" s="169"/>
      <c r="N4" s="169"/>
    </row>
    <row r="5" spans="1:34" ht="13"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3" thickBot="1">
      <c r="B12" s="469"/>
      <c r="C12" s="670"/>
      <c r="D12" s="470" t="s">
        <v>103</v>
      </c>
      <c r="E12" s="471" t="s">
        <v>101</v>
      </c>
      <c r="F12" s="29"/>
      <c r="G12" s="166"/>
      <c r="H12" s="150"/>
      <c r="I12" s="150"/>
      <c r="J12" s="76"/>
    </row>
    <row r="13" spans="1:34" ht="13" thickBot="1">
      <c r="A13" s="152"/>
      <c r="B13" s="152"/>
      <c r="C13" s="67"/>
      <c r="D13" s="54"/>
      <c r="E13" s="34"/>
      <c r="G13" s="167"/>
      <c r="H13" s="49"/>
      <c r="I13" s="49"/>
      <c r="J13" s="50"/>
      <c r="K13" s="50"/>
      <c r="L13" s="50"/>
      <c r="M13" s="745"/>
      <c r="N13" s="146"/>
      <c r="P13" s="146"/>
      <c r="U13" s="50"/>
      <c r="V13" s="33"/>
      <c r="W13" s="33"/>
      <c r="X13" s="33"/>
      <c r="Y13" s="33"/>
    </row>
    <row r="14" spans="1:34" ht="13" thickBot="1">
      <c r="D14" s="526"/>
      <c r="E14" s="582" t="s">
        <v>907</v>
      </c>
      <c r="F14" s="583" t="s">
        <v>222</v>
      </c>
      <c r="G14" s="96"/>
      <c r="H14" s="96"/>
      <c r="I14" s="96"/>
      <c r="J14" s="96" t="s">
        <v>255</v>
      </c>
      <c r="K14" s="581"/>
      <c r="L14" s="96" t="s">
        <v>255</v>
      </c>
      <c r="M14" s="96" t="s">
        <v>255</v>
      </c>
      <c r="N14" s="93"/>
      <c r="O14" s="96"/>
      <c r="P14" s="93"/>
      <c r="Q14" s="13"/>
      <c r="R14" s="96"/>
      <c r="S14" s="101"/>
      <c r="T14" s="96"/>
      <c r="U14" s="93"/>
      <c r="V14" s="96"/>
      <c r="W14" s="96"/>
      <c r="X14" s="304"/>
      <c r="Y14" s="304"/>
      <c r="Z14" s="304"/>
      <c r="AC14" s="560" t="s">
        <v>266</v>
      </c>
      <c r="AG14" s="561" t="s">
        <v>267</v>
      </c>
    </row>
    <row r="15" spans="1:34" ht="13" thickBot="1">
      <c r="A15" s="22" t="s">
        <v>95</v>
      </c>
      <c r="B15" s="22" t="s">
        <v>100</v>
      </c>
      <c r="C15" s="36" t="s">
        <v>522</v>
      </c>
      <c r="D15" s="36" t="s">
        <v>67</v>
      </c>
      <c r="E15" s="450" t="s">
        <v>230</v>
      </c>
      <c r="F15" s="528" t="s">
        <v>229</v>
      </c>
      <c r="G15" s="176" t="s">
        <v>288</v>
      </c>
      <c r="H15" s="545" t="s">
        <v>289</v>
      </c>
      <c r="I15" s="758" t="s">
        <v>255</v>
      </c>
      <c r="J15" s="313" t="s">
        <v>105</v>
      </c>
      <c r="K15" s="93"/>
      <c r="L15" s="94" t="s">
        <v>104</v>
      </c>
      <c r="M15" s="95" t="s">
        <v>106</v>
      </c>
      <c r="N15" s="102"/>
      <c r="O15" s="427" t="s">
        <v>839</v>
      </c>
      <c r="P15" s="102"/>
      <c r="Q15" s="313" t="s">
        <v>908</v>
      </c>
      <c r="R15" s="156" t="s">
        <v>909</v>
      </c>
      <c r="S15" s="149"/>
      <c r="T15" s="327" t="s">
        <v>872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v>31.29</v>
      </c>
      <c r="F16" s="529">
        <f>VLOOKUP(D16,'Jan 2013 Revenue'!D:T,17,FALSE)</f>
        <v>0</v>
      </c>
      <c r="G16" s="680"/>
      <c r="H16" s="680"/>
      <c r="I16" s="755"/>
      <c r="J16" s="682">
        <f t="shared" ref="J16:J40" si="0">SUM(E16:I16)</f>
        <v>31.29</v>
      </c>
      <c r="K16" s="683"/>
      <c r="L16" s="684"/>
      <c r="M16" s="753"/>
      <c r="N16" s="683">
        <v>0</v>
      </c>
      <c r="O16" s="686"/>
      <c r="P16" s="683">
        <v>0</v>
      </c>
      <c r="Q16" s="687">
        <f t="shared" ref="Q16:Q137" si="1">L16+M16</f>
        <v>0</v>
      </c>
      <c r="R16" s="688">
        <v>0</v>
      </c>
      <c r="S16" s="689"/>
      <c r="T16" s="690">
        <f t="shared" ref="T16:T80" si="2">IF(R16="","",R16-Q16)</f>
        <v>0</v>
      </c>
      <c r="U16" s="691"/>
      <c r="V16" s="474">
        <f t="shared" ref="V16:V80" si="3">IF(B16="D",Q16,0)</f>
        <v>0</v>
      </c>
      <c r="W16" s="474">
        <f t="shared" ref="W16:W80" si="4">IF(B16="M",Q16,0)</f>
        <v>0</v>
      </c>
      <c r="X16" s="475">
        <f t="shared" ref="X16:X80" si="5">IF(B16="V",Q16,0)</f>
        <v>0</v>
      </c>
      <c r="Y16" s="475">
        <v>0</v>
      </c>
      <c r="Z16" s="476">
        <v>0</v>
      </c>
      <c r="AA16" s="38">
        <f t="shared" ref="AA16:AA80" si="6">(L16+M16)-(V16+W16+X16+Y16+Z16)</f>
        <v>0</v>
      </c>
      <c r="AB16" s="692">
        <f t="shared" ref="AB16:AB80" si="7">IF(B16="D",J16,0)</f>
        <v>0</v>
      </c>
      <c r="AC16" s="692">
        <f t="shared" ref="AC16:AC80" si="8">IF(B16="M",J16,0)</f>
        <v>31.29</v>
      </c>
      <c r="AD16" s="692">
        <f t="shared" ref="AD16:AD80" si="9">IF(B16="V",J16,0)</f>
        <v>0</v>
      </c>
      <c r="AE16" s="38"/>
      <c r="AF16" s="692">
        <f t="shared" ref="AF16:AF80" si="10">IF(B16="D",Q16,0)</f>
        <v>0</v>
      </c>
      <c r="AG16" s="692">
        <f t="shared" ref="AG16:AG80" si="11">IF(B16="M",Q16,0)</f>
        <v>0</v>
      </c>
      <c r="AH16" s="692">
        <f t="shared" ref="AH16:AH80" si="12">IF(B16="V",Q16,0)</f>
        <v>0</v>
      </c>
    </row>
    <row r="17" spans="1:36">
      <c r="A17" s="20" t="s">
        <v>109</v>
      </c>
      <c r="B17" s="20" t="s">
        <v>110</v>
      </c>
      <c r="C17" s="671" t="s">
        <v>523</v>
      </c>
      <c r="D17" s="123" t="s">
        <v>317</v>
      </c>
      <c r="E17" s="679"/>
      <c r="F17" s="529">
        <f>VLOOKUP(D17,'Jan 2013 Revenue'!D:T,17,FALSE)</f>
        <v>6459.0500000000029</v>
      </c>
      <c r="G17" s="680"/>
      <c r="H17" s="680"/>
      <c r="I17" s="755"/>
      <c r="J17" s="682">
        <f t="shared" si="0"/>
        <v>6459.0500000000029</v>
      </c>
      <c r="K17" s="683"/>
      <c r="L17" s="684"/>
      <c r="M17" s="753">
        <v>10000</v>
      </c>
      <c r="N17" s="683">
        <v>0</v>
      </c>
      <c r="O17" s="686"/>
      <c r="P17" s="683">
        <v>0</v>
      </c>
      <c r="Q17" s="687">
        <f t="shared" si="1"/>
        <v>10000</v>
      </c>
      <c r="R17" s="688">
        <f>6801.87+1261.88</f>
        <v>8063.75</v>
      </c>
      <c r="S17" s="693"/>
      <c r="T17" s="690">
        <f t="shared" si="2"/>
        <v>-1936.25</v>
      </c>
      <c r="U17" s="683"/>
      <c r="V17" s="474">
        <f t="shared" si="3"/>
        <v>10000</v>
      </c>
      <c r="W17" s="474">
        <f t="shared" si="4"/>
        <v>0</v>
      </c>
      <c r="X17" s="475">
        <f t="shared" si="5"/>
        <v>0</v>
      </c>
      <c r="Y17" s="475">
        <v>0</v>
      </c>
      <c r="Z17" s="476">
        <v>0</v>
      </c>
      <c r="AA17" s="38">
        <f t="shared" si="6"/>
        <v>0</v>
      </c>
      <c r="AB17" s="692">
        <f t="shared" si="7"/>
        <v>6459.0500000000029</v>
      </c>
      <c r="AC17" s="692">
        <f t="shared" si="8"/>
        <v>0</v>
      </c>
      <c r="AD17" s="692">
        <f t="shared" si="9"/>
        <v>0</v>
      </c>
      <c r="AE17" s="38"/>
      <c r="AF17" s="692">
        <f>IF(B17="D",Q17,0)+10000-581.3</f>
        <v>19418.7</v>
      </c>
      <c r="AG17" s="692">
        <f t="shared" si="11"/>
        <v>0</v>
      </c>
      <c r="AH17" s="692">
        <f t="shared" si="12"/>
        <v>0</v>
      </c>
      <c r="AJ17" s="38">
        <f>SUM(AB17:AH17)</f>
        <v>25877.750000000004</v>
      </c>
    </row>
    <row r="18" spans="1:36">
      <c r="A18" s="20" t="s">
        <v>109</v>
      </c>
      <c r="B18" s="20" t="s">
        <v>109</v>
      </c>
      <c r="C18" s="671" t="s">
        <v>523</v>
      </c>
      <c r="D18" s="68" t="s">
        <v>393</v>
      </c>
      <c r="E18" s="679"/>
      <c r="F18" s="529">
        <f>VLOOKUP(D18,'Jan 2013 Revenue'!D:T,17,FALSE)</f>
        <v>-956.31999999999971</v>
      </c>
      <c r="G18" s="680"/>
      <c r="H18" s="680"/>
      <c r="I18" s="755"/>
      <c r="J18" s="682">
        <f t="shared" si="0"/>
        <v>-956.31999999999971</v>
      </c>
      <c r="K18" s="683"/>
      <c r="L18" s="684"/>
      <c r="M18" s="753">
        <v>35000</v>
      </c>
      <c r="N18" s="683">
        <v>0</v>
      </c>
      <c r="O18" s="686"/>
      <c r="P18" s="683">
        <v>0</v>
      </c>
      <c r="Q18" s="687">
        <f t="shared" si="1"/>
        <v>35000</v>
      </c>
      <c r="R18" s="688">
        <v>36136.07</v>
      </c>
      <c r="S18" s="693"/>
      <c r="T18" s="690">
        <f t="shared" si="2"/>
        <v>1136.0699999999997</v>
      </c>
      <c r="U18" s="683"/>
      <c r="V18" s="474">
        <f t="shared" si="3"/>
        <v>0</v>
      </c>
      <c r="W18" s="474">
        <f t="shared" si="4"/>
        <v>35000</v>
      </c>
      <c r="X18" s="475">
        <f t="shared" si="5"/>
        <v>0</v>
      </c>
      <c r="Y18" s="475">
        <v>0</v>
      </c>
      <c r="Z18" s="476">
        <v>0</v>
      </c>
      <c r="AA18" s="38">
        <f t="shared" si="6"/>
        <v>0</v>
      </c>
      <c r="AB18" s="692">
        <f t="shared" si="7"/>
        <v>0</v>
      </c>
      <c r="AC18" s="692">
        <f t="shared" si="8"/>
        <v>-956.31999999999971</v>
      </c>
      <c r="AD18" s="692">
        <f t="shared" si="9"/>
        <v>0</v>
      </c>
      <c r="AE18" s="38"/>
      <c r="AF18" s="692">
        <f t="shared" si="10"/>
        <v>0</v>
      </c>
      <c r="AG18" s="692">
        <f>IF(B18="M",Q18,0)-10000+581.3</f>
        <v>25581.3</v>
      </c>
      <c r="AH18" s="692">
        <f t="shared" si="12"/>
        <v>0</v>
      </c>
      <c r="AJ18" s="38">
        <f t="shared" ref="AJ18:AJ77" si="13">SUM(AB18:AH18)</f>
        <v>24624.98</v>
      </c>
    </row>
    <row r="19" spans="1:36">
      <c r="A19" s="20" t="s">
        <v>109</v>
      </c>
      <c r="B19" s="20" t="s">
        <v>109</v>
      </c>
      <c r="C19" s="671" t="s">
        <v>523</v>
      </c>
      <c r="D19" s="68" t="s">
        <v>129</v>
      </c>
      <c r="E19" s="679"/>
      <c r="F19" s="529">
        <f>VLOOKUP(D19,'Jan 2013 Revenue'!D:T,17,FALSE)</f>
        <v>5.03</v>
      </c>
      <c r="G19" s="680"/>
      <c r="H19" s="680"/>
      <c r="I19" s="755"/>
      <c r="J19" s="682">
        <f t="shared" si="0"/>
        <v>5.03</v>
      </c>
      <c r="K19" s="683"/>
      <c r="L19" s="684"/>
      <c r="M19" s="753"/>
      <c r="N19" s="683">
        <v>0</v>
      </c>
      <c r="O19" s="686"/>
      <c r="P19" s="683">
        <v>0</v>
      </c>
      <c r="Q19" s="687">
        <f t="shared" si="1"/>
        <v>0</v>
      </c>
      <c r="R19" s="688">
        <v>5.9</v>
      </c>
      <c r="S19" s="693"/>
      <c r="T19" s="690">
        <f t="shared" si="2"/>
        <v>5.9</v>
      </c>
      <c r="U19" s="683"/>
      <c r="V19" s="474">
        <f t="shared" si="3"/>
        <v>0</v>
      </c>
      <c r="W19" s="474">
        <f t="shared" si="4"/>
        <v>0</v>
      </c>
      <c r="X19" s="475">
        <f t="shared" si="5"/>
        <v>0</v>
      </c>
      <c r="Y19" s="475">
        <v>0</v>
      </c>
      <c r="Z19" s="476">
        <v>0</v>
      </c>
      <c r="AA19" s="38">
        <f t="shared" si="6"/>
        <v>0</v>
      </c>
      <c r="AB19" s="692">
        <f t="shared" si="7"/>
        <v>0</v>
      </c>
      <c r="AC19" s="692">
        <f t="shared" si="8"/>
        <v>5.03</v>
      </c>
      <c r="AD19" s="692">
        <f t="shared" si="9"/>
        <v>0</v>
      </c>
      <c r="AE19" s="38"/>
      <c r="AF19" s="692">
        <f t="shared" si="10"/>
        <v>0</v>
      </c>
      <c r="AG19" s="692">
        <f t="shared" si="11"/>
        <v>0</v>
      </c>
      <c r="AH19" s="692">
        <f t="shared" si="12"/>
        <v>0</v>
      </c>
      <c r="AJ19" s="38">
        <f t="shared" si="13"/>
        <v>5.03</v>
      </c>
    </row>
    <row r="20" spans="1:36">
      <c r="A20" s="20" t="s">
        <v>109</v>
      </c>
      <c r="B20" s="20" t="s">
        <v>109</v>
      </c>
      <c r="C20" s="671" t="s">
        <v>523</v>
      </c>
      <c r="D20" s="351" t="s">
        <v>878</v>
      </c>
      <c r="E20" s="679">
        <f>579.78+778.15</f>
        <v>1357.9299999999998</v>
      </c>
      <c r="F20" s="529">
        <f>VLOOKUP(D20,'Jan 2013 Revenue'!D:T,17,FALSE)</f>
        <v>1119.1500000000001</v>
      </c>
      <c r="G20" s="680"/>
      <c r="H20" s="680"/>
      <c r="I20" s="755"/>
      <c r="J20" s="682">
        <f t="shared" si="0"/>
        <v>2477.08</v>
      </c>
      <c r="K20" s="683"/>
      <c r="L20" s="684"/>
      <c r="M20" s="753"/>
      <c r="N20" s="683">
        <v>0</v>
      </c>
      <c r="O20" s="686"/>
      <c r="P20" s="683">
        <v>0</v>
      </c>
      <c r="Q20" s="687">
        <f t="shared" si="1"/>
        <v>0</v>
      </c>
      <c r="R20" s="688">
        <v>0</v>
      </c>
      <c r="S20" s="693"/>
      <c r="T20" s="690">
        <f t="shared" si="2"/>
        <v>0</v>
      </c>
      <c r="U20" s="683"/>
      <c r="V20" s="474">
        <f t="shared" si="3"/>
        <v>0</v>
      </c>
      <c r="W20" s="474">
        <f t="shared" si="4"/>
        <v>0</v>
      </c>
      <c r="X20" s="475">
        <f t="shared" si="5"/>
        <v>0</v>
      </c>
      <c r="Y20" s="475">
        <v>0</v>
      </c>
      <c r="Z20" s="476">
        <v>0</v>
      </c>
      <c r="AA20" s="38">
        <f t="shared" si="6"/>
        <v>0</v>
      </c>
      <c r="AB20" s="692">
        <f t="shared" si="7"/>
        <v>0</v>
      </c>
      <c r="AC20" s="692">
        <f t="shared" si="8"/>
        <v>2477.08</v>
      </c>
      <c r="AD20" s="692">
        <f t="shared" si="9"/>
        <v>0</v>
      </c>
      <c r="AE20" s="38"/>
      <c r="AF20" s="692">
        <f t="shared" si="10"/>
        <v>0</v>
      </c>
      <c r="AG20" s="692">
        <f t="shared" si="11"/>
        <v>0</v>
      </c>
      <c r="AH20" s="692">
        <f t="shared" si="12"/>
        <v>0</v>
      </c>
      <c r="AJ20" s="38">
        <f t="shared" si="13"/>
        <v>2477.08</v>
      </c>
    </row>
    <row r="21" spans="1:36">
      <c r="A21" s="20"/>
      <c r="B21" s="20" t="s">
        <v>110</v>
      </c>
      <c r="C21" s="667" t="s">
        <v>524</v>
      </c>
      <c r="D21" s="123" t="s">
        <v>380</v>
      </c>
      <c r="E21" s="679"/>
      <c r="F21" s="529">
        <f>VLOOKUP(D21,'Jan 2013 Revenue'!D:T,17,FALSE)</f>
        <v>0</v>
      </c>
      <c r="G21" s="680"/>
      <c r="H21" s="680"/>
      <c r="I21" s="770">
        <v>3444.06</v>
      </c>
      <c r="J21" s="682">
        <f t="shared" si="0"/>
        <v>3444.06</v>
      </c>
      <c r="K21" s="683"/>
      <c r="L21" s="684"/>
      <c r="M21" s="753"/>
      <c r="N21" s="683">
        <v>0</v>
      </c>
      <c r="O21" s="686"/>
      <c r="P21" s="683">
        <v>0</v>
      </c>
      <c r="Q21" s="687">
        <f t="shared" si="1"/>
        <v>0</v>
      </c>
      <c r="R21" s="688">
        <v>0</v>
      </c>
      <c r="S21" s="693"/>
      <c r="T21" s="690">
        <f t="shared" si="2"/>
        <v>0</v>
      </c>
      <c r="U21" s="683"/>
      <c r="V21" s="474">
        <f t="shared" si="3"/>
        <v>0</v>
      </c>
      <c r="W21" s="474">
        <f t="shared" si="4"/>
        <v>0</v>
      </c>
      <c r="X21" s="475">
        <f t="shared" si="5"/>
        <v>0</v>
      </c>
      <c r="Y21" s="475">
        <v>0</v>
      </c>
      <c r="Z21" s="476">
        <v>0</v>
      </c>
      <c r="AA21" s="38">
        <f t="shared" si="6"/>
        <v>0</v>
      </c>
      <c r="AB21" s="692">
        <f t="shared" si="7"/>
        <v>3444.06</v>
      </c>
      <c r="AC21" s="692">
        <f t="shared" si="8"/>
        <v>0</v>
      </c>
      <c r="AD21" s="692">
        <f t="shared" si="9"/>
        <v>0</v>
      </c>
      <c r="AE21" s="38"/>
      <c r="AF21" s="692">
        <f t="shared" si="10"/>
        <v>0</v>
      </c>
      <c r="AG21" s="692">
        <f t="shared" si="11"/>
        <v>0</v>
      </c>
      <c r="AH21" s="692">
        <f t="shared" si="12"/>
        <v>0</v>
      </c>
      <c r="AJ21" s="38">
        <f t="shared" si="13"/>
        <v>3444.06</v>
      </c>
    </row>
    <row r="22" spans="1:36">
      <c r="A22" s="20"/>
      <c r="B22" s="20" t="s">
        <v>110</v>
      </c>
      <c r="C22" s="667" t="s">
        <v>524</v>
      </c>
      <c r="D22" s="123" t="s">
        <v>132</v>
      </c>
      <c r="E22" s="679"/>
      <c r="F22" s="529">
        <f>VLOOKUP(D22,'Jan 2013 Revenue'!D:T,17,FALSE)</f>
        <v>0</v>
      </c>
      <c r="G22" s="680"/>
      <c r="H22" s="680"/>
      <c r="I22" s="770">
        <v>4237.37</v>
      </c>
      <c r="J22" s="682">
        <f t="shared" si="0"/>
        <v>4237.37</v>
      </c>
      <c r="K22" s="683"/>
      <c r="L22" s="684"/>
      <c r="M22" s="753"/>
      <c r="N22" s="683">
        <v>0</v>
      </c>
      <c r="O22" s="686"/>
      <c r="P22" s="683">
        <v>0</v>
      </c>
      <c r="Q22" s="687">
        <f t="shared" si="1"/>
        <v>0</v>
      </c>
      <c r="R22" s="688">
        <v>0</v>
      </c>
      <c r="S22" s="693"/>
      <c r="T22" s="690">
        <f t="shared" si="2"/>
        <v>0</v>
      </c>
      <c r="U22" s="683"/>
      <c r="V22" s="474">
        <f t="shared" si="3"/>
        <v>0</v>
      </c>
      <c r="W22" s="474">
        <f t="shared" si="4"/>
        <v>0</v>
      </c>
      <c r="X22" s="475">
        <f t="shared" si="5"/>
        <v>0</v>
      </c>
      <c r="Y22" s="475">
        <v>0</v>
      </c>
      <c r="Z22" s="476">
        <v>0</v>
      </c>
      <c r="AA22" s="38">
        <f t="shared" si="6"/>
        <v>0</v>
      </c>
      <c r="AB22" s="692">
        <f t="shared" si="7"/>
        <v>4237.37</v>
      </c>
      <c r="AC22" s="692">
        <f t="shared" si="8"/>
        <v>0</v>
      </c>
      <c r="AD22" s="692">
        <f t="shared" si="9"/>
        <v>0</v>
      </c>
      <c r="AE22" s="38"/>
      <c r="AF22" s="692">
        <f t="shared" si="10"/>
        <v>0</v>
      </c>
      <c r="AG22" s="692">
        <f t="shared" si="11"/>
        <v>0</v>
      </c>
      <c r="AH22" s="692">
        <f t="shared" si="12"/>
        <v>0</v>
      </c>
      <c r="AJ22" s="38">
        <f t="shared" si="13"/>
        <v>4237.37</v>
      </c>
    </row>
    <row r="23" spans="1:36">
      <c r="A23" s="20"/>
      <c r="B23" s="20" t="s">
        <v>110</v>
      </c>
      <c r="C23" s="667" t="s">
        <v>524</v>
      </c>
      <c r="D23" s="123" t="s">
        <v>133</v>
      </c>
      <c r="E23" s="679"/>
      <c r="F23" s="529">
        <f>VLOOKUP(D23,'Jan 2013 Revenue'!D:T,17,FALSE)</f>
        <v>0</v>
      </c>
      <c r="G23" s="680"/>
      <c r="H23" s="680"/>
      <c r="I23" s="770">
        <v>5582.5</v>
      </c>
      <c r="J23" s="682">
        <f t="shared" si="0"/>
        <v>5582.5</v>
      </c>
      <c r="K23" s="683"/>
      <c r="L23" s="684"/>
      <c r="M23" s="753"/>
      <c r="N23" s="683">
        <v>0</v>
      </c>
      <c r="O23" s="686"/>
      <c r="P23" s="683">
        <v>0</v>
      </c>
      <c r="Q23" s="687">
        <f t="shared" si="1"/>
        <v>0</v>
      </c>
      <c r="R23" s="688">
        <v>0</v>
      </c>
      <c r="S23" s="693"/>
      <c r="T23" s="690">
        <f t="shared" si="2"/>
        <v>0</v>
      </c>
      <c r="U23" s="683"/>
      <c r="V23" s="474">
        <f t="shared" si="3"/>
        <v>0</v>
      </c>
      <c r="W23" s="474">
        <f t="shared" si="4"/>
        <v>0</v>
      </c>
      <c r="X23" s="475">
        <f t="shared" si="5"/>
        <v>0</v>
      </c>
      <c r="Y23" s="475">
        <v>0</v>
      </c>
      <c r="Z23" s="476">
        <v>0</v>
      </c>
      <c r="AA23" s="38">
        <f t="shared" si="6"/>
        <v>0</v>
      </c>
      <c r="AB23" s="692">
        <f t="shared" si="7"/>
        <v>5582.5</v>
      </c>
      <c r="AC23" s="692">
        <f t="shared" si="8"/>
        <v>0</v>
      </c>
      <c r="AD23" s="692">
        <f t="shared" si="9"/>
        <v>0</v>
      </c>
      <c r="AE23" s="38"/>
      <c r="AF23" s="692">
        <f t="shared" si="10"/>
        <v>0</v>
      </c>
      <c r="AG23" s="692">
        <f t="shared" si="11"/>
        <v>0</v>
      </c>
      <c r="AH23" s="692">
        <f t="shared" si="12"/>
        <v>0</v>
      </c>
      <c r="AJ23" s="38">
        <f t="shared" si="13"/>
        <v>5582.5</v>
      </c>
    </row>
    <row r="24" spans="1:36" s="232" customFormat="1">
      <c r="A24" s="283" t="s">
        <v>211</v>
      </c>
      <c r="B24" s="283" t="s">
        <v>109</v>
      </c>
      <c r="C24" s="667" t="s">
        <v>525</v>
      </c>
      <c r="D24" s="123" t="s">
        <v>419</v>
      </c>
      <c r="E24" s="679">
        <f>28869.68+229.75+91.47</f>
        <v>29190.9</v>
      </c>
      <c r="F24" s="529">
        <f>VLOOKUP(D24,'Jan 2013 Revenue'!D:T,17,FALSE)</f>
        <v>-40000</v>
      </c>
      <c r="G24" s="680"/>
      <c r="H24" s="680"/>
      <c r="I24" s="755"/>
      <c r="J24" s="682">
        <f t="shared" si="0"/>
        <v>-10809.099999999999</v>
      </c>
      <c r="K24" s="683"/>
      <c r="L24" s="684"/>
      <c r="M24" s="753">
        <v>20000</v>
      </c>
      <c r="N24" s="683">
        <v>0</v>
      </c>
      <c r="O24" s="686"/>
      <c r="P24" s="683">
        <v>0</v>
      </c>
      <c r="Q24" s="687">
        <f t="shared" si="1"/>
        <v>20000</v>
      </c>
      <c r="R24" s="688">
        <v>0</v>
      </c>
      <c r="S24" s="693"/>
      <c r="T24" s="690">
        <f t="shared" si="2"/>
        <v>-20000</v>
      </c>
      <c r="U24" s="683"/>
      <c r="V24" s="474">
        <f t="shared" si="3"/>
        <v>0</v>
      </c>
      <c r="W24" s="474">
        <f t="shared" si="4"/>
        <v>20000</v>
      </c>
      <c r="X24" s="475">
        <f t="shared" si="5"/>
        <v>0</v>
      </c>
      <c r="Y24" s="475">
        <v>0</v>
      </c>
      <c r="Z24" s="476">
        <v>0</v>
      </c>
      <c r="AA24" s="38">
        <f t="shared" si="6"/>
        <v>0</v>
      </c>
      <c r="AB24" s="692">
        <f t="shared" si="7"/>
        <v>0</v>
      </c>
      <c r="AC24" s="692">
        <f t="shared" si="8"/>
        <v>-10809.099999999999</v>
      </c>
      <c r="AD24" s="692">
        <f t="shared" si="9"/>
        <v>0</v>
      </c>
      <c r="AE24" s="38"/>
      <c r="AF24" s="692">
        <f t="shared" si="10"/>
        <v>0</v>
      </c>
      <c r="AG24" s="692">
        <f t="shared" si="11"/>
        <v>20000</v>
      </c>
      <c r="AH24" s="692">
        <f t="shared" si="12"/>
        <v>0</v>
      </c>
      <c r="AJ24" s="38">
        <f t="shared" si="13"/>
        <v>9190.9000000000015</v>
      </c>
    </row>
    <row r="25" spans="1:36">
      <c r="A25" s="20"/>
      <c r="B25" s="20" t="s">
        <v>110</v>
      </c>
      <c r="C25" s="667"/>
      <c r="D25" s="68" t="s">
        <v>922</v>
      </c>
      <c r="E25" s="679"/>
      <c r="F25" s="529">
        <v>0</v>
      </c>
      <c r="G25" s="680"/>
      <c r="H25" s="680"/>
      <c r="I25" s="770">
        <v>174.06</v>
      </c>
      <c r="J25" s="682">
        <f t="shared" si="0"/>
        <v>174.06</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174.06</v>
      </c>
      <c r="AC25" s="692">
        <f t="shared" si="8"/>
        <v>0</v>
      </c>
      <c r="AD25" s="692">
        <f t="shared" si="9"/>
        <v>0</v>
      </c>
      <c r="AE25" s="38"/>
      <c r="AF25" s="692">
        <f t="shared" si="10"/>
        <v>0</v>
      </c>
      <c r="AG25" s="692">
        <f t="shared" si="11"/>
        <v>0</v>
      </c>
      <c r="AH25" s="692">
        <f t="shared" si="12"/>
        <v>0</v>
      </c>
      <c r="AJ25" s="38">
        <f t="shared" si="13"/>
        <v>174.06</v>
      </c>
    </row>
    <row r="26" spans="1:36">
      <c r="A26" s="20"/>
      <c r="B26" s="20" t="s">
        <v>110</v>
      </c>
      <c r="C26" s="667"/>
      <c r="D26" s="68" t="s">
        <v>589</v>
      </c>
      <c r="E26" s="679"/>
      <c r="F26" s="529">
        <f>VLOOKUP(D26,'Jan 2013 Revenue'!D:T,17,FALSE)</f>
        <v>-6000</v>
      </c>
      <c r="G26" s="680"/>
      <c r="H26" s="680"/>
      <c r="I26" s="755"/>
      <c r="J26" s="682">
        <f t="shared" si="0"/>
        <v>-6000</v>
      </c>
      <c r="K26" s="683"/>
      <c r="L26" s="684"/>
      <c r="M26" s="753">
        <v>12000</v>
      </c>
      <c r="N26" s="683">
        <v>0</v>
      </c>
      <c r="O26" s="686"/>
      <c r="P26" s="683">
        <v>0</v>
      </c>
      <c r="Q26" s="687">
        <f t="shared" si="1"/>
        <v>12000</v>
      </c>
      <c r="R26" s="688">
        <v>0</v>
      </c>
      <c r="S26" s="693"/>
      <c r="T26" s="690">
        <f t="shared" si="2"/>
        <v>-12000</v>
      </c>
      <c r="U26" s="683"/>
      <c r="V26" s="474">
        <f t="shared" si="3"/>
        <v>12000</v>
      </c>
      <c r="W26" s="474">
        <f t="shared" si="4"/>
        <v>0</v>
      </c>
      <c r="X26" s="475">
        <f t="shared" si="5"/>
        <v>0</v>
      </c>
      <c r="Y26" s="475">
        <v>0</v>
      </c>
      <c r="Z26" s="476">
        <v>0</v>
      </c>
      <c r="AA26" s="38">
        <f t="shared" si="6"/>
        <v>0</v>
      </c>
      <c r="AB26" s="692">
        <f t="shared" si="7"/>
        <v>-6000</v>
      </c>
      <c r="AC26" s="692">
        <f t="shared" si="8"/>
        <v>0</v>
      </c>
      <c r="AD26" s="692">
        <f t="shared" si="9"/>
        <v>0</v>
      </c>
      <c r="AE26" s="38"/>
      <c r="AF26" s="692">
        <f t="shared" si="10"/>
        <v>12000</v>
      </c>
      <c r="AG26" s="692">
        <f t="shared" si="11"/>
        <v>0</v>
      </c>
      <c r="AH26" s="692">
        <f t="shared" si="12"/>
        <v>0</v>
      </c>
      <c r="AJ26" s="38">
        <f t="shared" si="13"/>
        <v>6000</v>
      </c>
    </row>
    <row r="27" spans="1:36">
      <c r="A27" s="20"/>
      <c r="B27" s="20" t="s">
        <v>110</v>
      </c>
      <c r="C27" s="667"/>
      <c r="D27" s="68" t="s">
        <v>829</v>
      </c>
      <c r="E27" s="679">
        <f>5815.85</f>
        <v>5815.85</v>
      </c>
      <c r="F27" s="529">
        <f>VLOOKUP(D27,'Jan 2013 Revenue'!D:T,17,FALSE)</f>
        <v>0</v>
      </c>
      <c r="G27" s="680"/>
      <c r="H27" s="680"/>
      <c r="I27" s="755"/>
      <c r="J27" s="682">
        <f t="shared" si="0"/>
        <v>5815.85</v>
      </c>
      <c r="K27" s="683"/>
      <c r="L27" s="684"/>
      <c r="M27" s="753"/>
      <c r="N27" s="683">
        <v>0</v>
      </c>
      <c r="O27" s="686"/>
      <c r="P27" s="683">
        <v>0</v>
      </c>
      <c r="Q27" s="687">
        <f t="shared" si="1"/>
        <v>0</v>
      </c>
      <c r="R27" s="688">
        <v>0</v>
      </c>
      <c r="S27" s="693"/>
      <c r="T27" s="690">
        <f t="shared" si="2"/>
        <v>0</v>
      </c>
      <c r="U27" s="683"/>
      <c r="V27" s="474">
        <f t="shared" si="3"/>
        <v>0</v>
      </c>
      <c r="W27" s="474">
        <f t="shared" si="4"/>
        <v>0</v>
      </c>
      <c r="X27" s="475">
        <f t="shared" si="5"/>
        <v>0</v>
      </c>
      <c r="Y27" s="475">
        <v>0</v>
      </c>
      <c r="Z27" s="476">
        <v>0</v>
      </c>
      <c r="AA27" s="38">
        <f t="shared" si="6"/>
        <v>0</v>
      </c>
      <c r="AB27" s="692">
        <f t="shared" si="7"/>
        <v>5815.85</v>
      </c>
      <c r="AC27" s="692">
        <f t="shared" si="8"/>
        <v>0</v>
      </c>
      <c r="AD27" s="692">
        <f t="shared" si="9"/>
        <v>0</v>
      </c>
      <c r="AE27" s="38"/>
      <c r="AF27" s="692">
        <f t="shared" si="10"/>
        <v>0</v>
      </c>
      <c r="AG27" s="692">
        <f t="shared" si="11"/>
        <v>0</v>
      </c>
      <c r="AH27" s="692">
        <f t="shared" si="12"/>
        <v>0</v>
      </c>
      <c r="AJ27" s="38">
        <f t="shared" si="13"/>
        <v>5815.85</v>
      </c>
    </row>
    <row r="28" spans="1:36">
      <c r="A28" s="20"/>
      <c r="B28" s="20" t="s">
        <v>109</v>
      </c>
      <c r="C28" s="667" t="s">
        <v>526</v>
      </c>
      <c r="D28" s="68" t="s">
        <v>385</v>
      </c>
      <c r="E28" s="679"/>
      <c r="F28" s="529">
        <f>VLOOKUP(D28,'Jan 2013 Revenue'!D:T,17,FALSE)</f>
        <v>1179.32</v>
      </c>
      <c r="G28" s="680"/>
      <c r="H28" s="680"/>
      <c r="I28" s="770">
        <v>1246.6400000000001</v>
      </c>
      <c r="J28" s="682">
        <f t="shared" si="0"/>
        <v>2425.96</v>
      </c>
      <c r="K28" s="683"/>
      <c r="L28" s="684"/>
      <c r="M28" s="753"/>
      <c r="N28" s="683">
        <v>0</v>
      </c>
      <c r="O28" s="686"/>
      <c r="P28" s="683">
        <v>0</v>
      </c>
      <c r="Q28" s="687">
        <f t="shared" si="1"/>
        <v>0</v>
      </c>
      <c r="R28" s="688">
        <v>0</v>
      </c>
      <c r="S28" s="693"/>
      <c r="T28" s="690">
        <f t="shared" si="2"/>
        <v>0</v>
      </c>
      <c r="U28" s="691"/>
      <c r="V28" s="474">
        <f t="shared" si="3"/>
        <v>0</v>
      </c>
      <c r="W28" s="474">
        <f t="shared" si="4"/>
        <v>0</v>
      </c>
      <c r="X28" s="475">
        <f t="shared" si="5"/>
        <v>0</v>
      </c>
      <c r="Y28" s="475">
        <v>0</v>
      </c>
      <c r="Z28" s="476">
        <v>0</v>
      </c>
      <c r="AA28" s="38">
        <f t="shared" si="6"/>
        <v>0</v>
      </c>
      <c r="AB28" s="692">
        <f t="shared" si="7"/>
        <v>0</v>
      </c>
      <c r="AC28" s="692">
        <f t="shared" si="8"/>
        <v>2425.96</v>
      </c>
      <c r="AD28" s="692">
        <f t="shared" si="9"/>
        <v>0</v>
      </c>
      <c r="AE28" s="38"/>
      <c r="AF28" s="692">
        <f t="shared" si="10"/>
        <v>0</v>
      </c>
      <c r="AG28" s="692">
        <f t="shared" si="11"/>
        <v>0</v>
      </c>
      <c r="AH28" s="692">
        <f t="shared" si="12"/>
        <v>0</v>
      </c>
      <c r="AJ28" s="38">
        <f t="shared" si="13"/>
        <v>2425.96</v>
      </c>
    </row>
    <row r="29" spans="1:36" s="232" customFormat="1">
      <c r="A29" s="283"/>
      <c r="B29" s="283" t="s">
        <v>110</v>
      </c>
      <c r="C29" s="667" t="s">
        <v>527</v>
      </c>
      <c r="D29" s="123" t="s">
        <v>401</v>
      </c>
      <c r="E29" s="679"/>
      <c r="F29" s="529">
        <f>VLOOKUP(D29,'Jan 2013 Revenue'!D:T,17,FALSE)</f>
        <v>76538.900000000023</v>
      </c>
      <c r="G29" s="680"/>
      <c r="H29" s="680"/>
      <c r="I29" s="755"/>
      <c r="J29" s="682">
        <f t="shared" si="0"/>
        <v>76538.900000000023</v>
      </c>
      <c r="K29" s="683"/>
      <c r="L29" s="684"/>
      <c r="M29" s="753">
        <v>425000</v>
      </c>
      <c r="N29" s="683">
        <v>0</v>
      </c>
      <c r="O29" s="686"/>
      <c r="P29" s="683">
        <v>0</v>
      </c>
      <c r="Q29" s="687">
        <f t="shared" si="1"/>
        <v>425000</v>
      </c>
      <c r="R29" s="688">
        <v>368615.3</v>
      </c>
      <c r="S29" s="693"/>
      <c r="T29" s="690">
        <f t="shared" si="2"/>
        <v>-56384.700000000012</v>
      </c>
      <c r="U29" s="683"/>
      <c r="V29" s="474">
        <f t="shared" si="3"/>
        <v>425000</v>
      </c>
      <c r="W29" s="474">
        <f t="shared" si="4"/>
        <v>0</v>
      </c>
      <c r="X29" s="475">
        <f t="shared" si="5"/>
        <v>0</v>
      </c>
      <c r="Y29" s="475">
        <v>0</v>
      </c>
      <c r="Z29" s="476">
        <v>0</v>
      </c>
      <c r="AA29" s="38">
        <f t="shared" si="6"/>
        <v>0</v>
      </c>
      <c r="AB29" s="692">
        <f t="shared" si="7"/>
        <v>76538.900000000023</v>
      </c>
      <c r="AC29" s="692">
        <f t="shared" si="8"/>
        <v>0</v>
      </c>
      <c r="AD29" s="692">
        <f t="shared" si="9"/>
        <v>0</v>
      </c>
      <c r="AE29" s="38"/>
      <c r="AF29" s="692">
        <f t="shared" si="10"/>
        <v>425000</v>
      </c>
      <c r="AG29" s="692">
        <f t="shared" si="11"/>
        <v>0</v>
      </c>
      <c r="AH29" s="692">
        <f t="shared" si="12"/>
        <v>0</v>
      </c>
      <c r="AJ29" s="38">
        <f t="shared" si="13"/>
        <v>501538.9</v>
      </c>
    </row>
    <row r="30" spans="1:36" s="232" customFormat="1">
      <c r="A30" s="283"/>
      <c r="B30" s="283" t="s">
        <v>110</v>
      </c>
      <c r="C30" s="667" t="s">
        <v>528</v>
      </c>
      <c r="D30" s="123" t="s">
        <v>403</v>
      </c>
      <c r="E30" s="679"/>
      <c r="F30" s="529">
        <f>VLOOKUP(D30,'Jan 2013 Revenue'!D:T,17,FALSE)</f>
        <v>2742.2400000000052</v>
      </c>
      <c r="G30" s="680"/>
      <c r="H30" s="680"/>
      <c r="I30" s="755"/>
      <c r="J30" s="682">
        <f t="shared" si="0"/>
        <v>2742.2400000000052</v>
      </c>
      <c r="K30" s="683"/>
      <c r="L30" s="684"/>
      <c r="M30" s="753">
        <v>75000</v>
      </c>
      <c r="N30" s="683">
        <v>0</v>
      </c>
      <c r="O30" s="686"/>
      <c r="P30" s="683">
        <v>0</v>
      </c>
      <c r="Q30" s="687">
        <f t="shared" si="1"/>
        <v>75000</v>
      </c>
      <c r="R30" s="688">
        <v>59106.28</v>
      </c>
      <c r="S30" s="693"/>
      <c r="T30" s="690">
        <f t="shared" si="2"/>
        <v>-15893.720000000001</v>
      </c>
      <c r="U30" s="683"/>
      <c r="V30" s="474">
        <f t="shared" si="3"/>
        <v>75000</v>
      </c>
      <c r="W30" s="474">
        <f t="shared" si="4"/>
        <v>0</v>
      </c>
      <c r="X30" s="475">
        <f t="shared" si="5"/>
        <v>0</v>
      </c>
      <c r="Y30" s="475">
        <v>0</v>
      </c>
      <c r="Z30" s="476">
        <v>0</v>
      </c>
      <c r="AA30" s="38">
        <f t="shared" si="6"/>
        <v>0</v>
      </c>
      <c r="AB30" s="692">
        <f t="shared" si="7"/>
        <v>2742.2400000000052</v>
      </c>
      <c r="AC30" s="692">
        <f t="shared" si="8"/>
        <v>0</v>
      </c>
      <c r="AD30" s="692">
        <f t="shared" si="9"/>
        <v>0</v>
      </c>
      <c r="AE30" s="38"/>
      <c r="AF30" s="692">
        <f t="shared" si="10"/>
        <v>75000</v>
      </c>
      <c r="AG30" s="692">
        <f t="shared" si="11"/>
        <v>0</v>
      </c>
      <c r="AH30" s="692">
        <f t="shared" si="12"/>
        <v>0</v>
      </c>
      <c r="AJ30" s="38">
        <f t="shared" si="13"/>
        <v>77742.240000000005</v>
      </c>
    </row>
    <row r="31" spans="1:36" s="232" customFormat="1">
      <c r="A31" s="283"/>
      <c r="B31" s="283" t="s">
        <v>110</v>
      </c>
      <c r="C31" s="667" t="s">
        <v>528</v>
      </c>
      <c r="D31" s="123" t="s">
        <v>404</v>
      </c>
      <c r="E31" s="679"/>
      <c r="F31" s="529">
        <f>VLOOKUP(D31,'Jan 2013 Revenue'!D:T,17,FALSE)</f>
        <v>-3716.9700000000012</v>
      </c>
      <c r="G31" s="680"/>
      <c r="H31" s="680"/>
      <c r="I31" s="755"/>
      <c r="J31" s="682">
        <f t="shared" si="0"/>
        <v>-3716.9700000000012</v>
      </c>
      <c r="K31" s="683"/>
      <c r="L31" s="684"/>
      <c r="M31" s="753">
        <v>80000</v>
      </c>
      <c r="N31" s="683">
        <v>0</v>
      </c>
      <c r="O31" s="686"/>
      <c r="P31" s="683">
        <v>0</v>
      </c>
      <c r="Q31" s="687">
        <f t="shared" si="1"/>
        <v>80000</v>
      </c>
      <c r="R31" s="688">
        <v>77431.839999999997</v>
      </c>
      <c r="S31" s="693"/>
      <c r="T31" s="690">
        <f t="shared" si="2"/>
        <v>-2568.1600000000035</v>
      </c>
      <c r="U31" s="683"/>
      <c r="V31" s="474">
        <f t="shared" si="3"/>
        <v>80000</v>
      </c>
      <c r="W31" s="474">
        <f t="shared" si="4"/>
        <v>0</v>
      </c>
      <c r="X31" s="475">
        <f t="shared" si="5"/>
        <v>0</v>
      </c>
      <c r="Y31" s="475">
        <v>0</v>
      </c>
      <c r="Z31" s="476">
        <v>0</v>
      </c>
      <c r="AA31" s="38">
        <f t="shared" si="6"/>
        <v>0</v>
      </c>
      <c r="AB31" s="692">
        <f t="shared" si="7"/>
        <v>-3716.9700000000012</v>
      </c>
      <c r="AC31" s="692">
        <f t="shared" si="8"/>
        <v>0</v>
      </c>
      <c r="AD31" s="692">
        <f t="shared" si="9"/>
        <v>0</v>
      </c>
      <c r="AE31" s="38"/>
      <c r="AF31" s="692">
        <f t="shared" si="10"/>
        <v>80000</v>
      </c>
      <c r="AG31" s="692">
        <f t="shared" si="11"/>
        <v>0</v>
      </c>
      <c r="AH31" s="692">
        <f t="shared" si="12"/>
        <v>0</v>
      </c>
      <c r="AJ31" s="38">
        <f t="shared" si="13"/>
        <v>76283.03</v>
      </c>
    </row>
    <row r="32" spans="1:36" s="232" customFormat="1">
      <c r="A32" s="283"/>
      <c r="B32" s="283" t="s">
        <v>110</v>
      </c>
      <c r="C32" s="667" t="s">
        <v>528</v>
      </c>
      <c r="D32" s="123" t="s">
        <v>405</v>
      </c>
      <c r="E32" s="679"/>
      <c r="F32" s="529">
        <f>VLOOKUP(D32,'Jan 2013 Revenue'!D:T,17,FALSE)</f>
        <v>1461.630000000001</v>
      </c>
      <c r="G32" s="680"/>
      <c r="H32" s="680"/>
      <c r="I32" s="755"/>
      <c r="J32" s="682">
        <f t="shared" si="0"/>
        <v>1461.630000000001</v>
      </c>
      <c r="K32" s="683"/>
      <c r="L32" s="684"/>
      <c r="M32" s="753">
        <v>15000</v>
      </c>
      <c r="N32" s="683">
        <v>0</v>
      </c>
      <c r="O32" s="686"/>
      <c r="P32" s="683">
        <v>0</v>
      </c>
      <c r="Q32" s="687">
        <f t="shared" si="1"/>
        <v>15000</v>
      </c>
      <c r="R32" s="688">
        <v>14524.29</v>
      </c>
      <c r="S32" s="693"/>
      <c r="T32" s="690">
        <f t="shared" si="2"/>
        <v>-475.70999999999913</v>
      </c>
      <c r="U32" s="683"/>
      <c r="V32" s="474">
        <f t="shared" si="3"/>
        <v>15000</v>
      </c>
      <c r="W32" s="474">
        <f t="shared" si="4"/>
        <v>0</v>
      </c>
      <c r="X32" s="475">
        <f t="shared" si="5"/>
        <v>0</v>
      </c>
      <c r="Y32" s="475">
        <v>0</v>
      </c>
      <c r="Z32" s="476">
        <v>0</v>
      </c>
      <c r="AA32" s="38">
        <f t="shared" si="6"/>
        <v>0</v>
      </c>
      <c r="AB32" s="692">
        <f t="shared" si="7"/>
        <v>1461.630000000001</v>
      </c>
      <c r="AC32" s="692">
        <f t="shared" si="8"/>
        <v>0</v>
      </c>
      <c r="AD32" s="692">
        <f t="shared" si="9"/>
        <v>0</v>
      </c>
      <c r="AE32" s="38"/>
      <c r="AF32" s="692">
        <f t="shared" si="10"/>
        <v>15000</v>
      </c>
      <c r="AG32" s="692">
        <f t="shared" si="11"/>
        <v>0</v>
      </c>
      <c r="AH32" s="692">
        <f t="shared" si="12"/>
        <v>0</v>
      </c>
      <c r="AJ32" s="38">
        <f t="shared" si="13"/>
        <v>16461.63</v>
      </c>
    </row>
    <row r="33" spans="1:36" s="232" customFormat="1">
      <c r="A33" s="283"/>
      <c r="B33" s="283" t="s">
        <v>110</v>
      </c>
      <c r="C33" s="667" t="s">
        <v>528</v>
      </c>
      <c r="D33" s="123" t="s">
        <v>406</v>
      </c>
      <c r="E33" s="679"/>
      <c r="F33" s="529">
        <f>VLOOKUP(D33,'Jan 2013 Revenue'!D:T,17,FALSE)</f>
        <v>-360.35000000000036</v>
      </c>
      <c r="G33" s="680"/>
      <c r="H33" s="680"/>
      <c r="I33" s="755"/>
      <c r="J33" s="682">
        <f t="shared" si="0"/>
        <v>-360.35000000000036</v>
      </c>
      <c r="K33" s="683"/>
      <c r="L33" s="684"/>
      <c r="M33" s="753">
        <v>6000</v>
      </c>
      <c r="N33" s="683">
        <v>0</v>
      </c>
      <c r="O33" s="686"/>
      <c r="P33" s="683">
        <v>0</v>
      </c>
      <c r="Q33" s="687">
        <f t="shared" si="1"/>
        <v>6000</v>
      </c>
      <c r="R33" s="688">
        <v>5539.49</v>
      </c>
      <c r="S33" s="693"/>
      <c r="T33" s="690">
        <f t="shared" si="2"/>
        <v>-460.51000000000022</v>
      </c>
      <c r="U33" s="683"/>
      <c r="V33" s="474">
        <f t="shared" si="3"/>
        <v>6000</v>
      </c>
      <c r="W33" s="474">
        <f t="shared" si="4"/>
        <v>0</v>
      </c>
      <c r="X33" s="475">
        <f t="shared" si="5"/>
        <v>0</v>
      </c>
      <c r="Y33" s="475">
        <v>0</v>
      </c>
      <c r="Z33" s="476">
        <v>0</v>
      </c>
      <c r="AA33" s="38">
        <f t="shared" si="6"/>
        <v>0</v>
      </c>
      <c r="AB33" s="692">
        <f t="shared" si="7"/>
        <v>-360.35000000000036</v>
      </c>
      <c r="AC33" s="692">
        <f t="shared" si="8"/>
        <v>0</v>
      </c>
      <c r="AD33" s="692">
        <f t="shared" si="9"/>
        <v>0</v>
      </c>
      <c r="AE33" s="38"/>
      <c r="AF33" s="692">
        <f t="shared" si="10"/>
        <v>6000</v>
      </c>
      <c r="AG33" s="692">
        <f t="shared" si="11"/>
        <v>0</v>
      </c>
      <c r="AH33" s="692">
        <f t="shared" si="12"/>
        <v>0</v>
      </c>
      <c r="AJ33" s="38">
        <f t="shared" si="13"/>
        <v>5639.65</v>
      </c>
    </row>
    <row r="34" spans="1:36" s="232" customFormat="1">
      <c r="A34" s="283"/>
      <c r="B34" s="283" t="s">
        <v>110</v>
      </c>
      <c r="C34" s="667" t="s">
        <v>528</v>
      </c>
      <c r="D34" s="123" t="s">
        <v>407</v>
      </c>
      <c r="E34" s="679"/>
      <c r="F34" s="529">
        <f>VLOOKUP(D34,'Jan 2013 Revenue'!D:T,17,FALSE)</f>
        <v>2413.37</v>
      </c>
      <c r="G34" s="680"/>
      <c r="H34" s="680"/>
      <c r="I34" s="755"/>
      <c r="J34" s="682">
        <f t="shared" si="0"/>
        <v>2413.37</v>
      </c>
      <c r="K34" s="683"/>
      <c r="L34" s="684"/>
      <c r="M34" s="753"/>
      <c r="N34" s="683">
        <v>0</v>
      </c>
      <c r="O34" s="686"/>
      <c r="P34" s="683">
        <v>0</v>
      </c>
      <c r="Q34" s="687">
        <f t="shared" si="1"/>
        <v>0</v>
      </c>
      <c r="R34" s="688">
        <v>2387.98</v>
      </c>
      <c r="S34" s="693"/>
      <c r="T34" s="690">
        <f t="shared" si="2"/>
        <v>2387.98</v>
      </c>
      <c r="U34" s="683"/>
      <c r="V34" s="474">
        <f t="shared" si="3"/>
        <v>0</v>
      </c>
      <c r="W34" s="474">
        <f t="shared" si="4"/>
        <v>0</v>
      </c>
      <c r="X34" s="475">
        <f t="shared" si="5"/>
        <v>0</v>
      </c>
      <c r="Y34" s="475">
        <v>0</v>
      </c>
      <c r="Z34" s="476">
        <v>0</v>
      </c>
      <c r="AA34" s="38">
        <f t="shared" si="6"/>
        <v>0</v>
      </c>
      <c r="AB34" s="692">
        <f t="shared" si="7"/>
        <v>2413.37</v>
      </c>
      <c r="AC34" s="692">
        <f t="shared" si="8"/>
        <v>0</v>
      </c>
      <c r="AD34" s="692">
        <f t="shared" si="9"/>
        <v>0</v>
      </c>
      <c r="AE34" s="38"/>
      <c r="AF34" s="692">
        <f t="shared" si="10"/>
        <v>0</v>
      </c>
      <c r="AG34" s="692">
        <f t="shared" si="11"/>
        <v>0</v>
      </c>
      <c r="AH34" s="692">
        <f t="shared" si="12"/>
        <v>0</v>
      </c>
      <c r="AJ34" s="38">
        <f t="shared" si="13"/>
        <v>2413.37</v>
      </c>
    </row>
    <row r="35" spans="1:36" s="232" customFormat="1">
      <c r="A35" s="283"/>
      <c r="B35" s="283" t="s">
        <v>110</v>
      </c>
      <c r="C35" s="667" t="s">
        <v>528</v>
      </c>
      <c r="D35" s="123" t="s">
        <v>880</v>
      </c>
      <c r="E35" s="679"/>
      <c r="F35" s="529">
        <f>VLOOKUP(D35,'Jan 2013 Revenue'!D:T,17,FALSE)</f>
        <v>2163.09</v>
      </c>
      <c r="G35" s="680"/>
      <c r="H35" s="680"/>
      <c r="I35" s="755"/>
      <c r="J35" s="682">
        <f t="shared" si="0"/>
        <v>2163.09</v>
      </c>
      <c r="K35" s="683"/>
      <c r="L35" s="684"/>
      <c r="M35" s="753"/>
      <c r="N35" s="683">
        <v>0</v>
      </c>
      <c r="O35" s="686"/>
      <c r="P35" s="683">
        <v>0</v>
      </c>
      <c r="Q35" s="687">
        <f t="shared" si="1"/>
        <v>0</v>
      </c>
      <c r="R35" s="688">
        <v>1893.39</v>
      </c>
      <c r="S35" s="693"/>
      <c r="T35" s="690">
        <f t="shared" si="2"/>
        <v>1893.39</v>
      </c>
      <c r="U35" s="683"/>
      <c r="V35" s="474">
        <f t="shared" si="3"/>
        <v>0</v>
      </c>
      <c r="W35" s="474">
        <f t="shared" si="4"/>
        <v>0</v>
      </c>
      <c r="X35" s="475">
        <f t="shared" si="5"/>
        <v>0</v>
      </c>
      <c r="Y35" s="475">
        <v>0</v>
      </c>
      <c r="Z35" s="476">
        <v>0</v>
      </c>
      <c r="AA35" s="38">
        <f t="shared" si="6"/>
        <v>0</v>
      </c>
      <c r="AB35" s="692">
        <f t="shared" si="7"/>
        <v>2163.09</v>
      </c>
      <c r="AC35" s="692">
        <f t="shared" si="8"/>
        <v>0</v>
      </c>
      <c r="AD35" s="692">
        <f t="shared" si="9"/>
        <v>0</v>
      </c>
      <c r="AE35" s="38"/>
      <c r="AF35" s="692">
        <f t="shared" si="10"/>
        <v>0</v>
      </c>
      <c r="AG35" s="692">
        <f t="shared" si="11"/>
        <v>0</v>
      </c>
      <c r="AH35" s="692">
        <f t="shared" si="12"/>
        <v>0</v>
      </c>
      <c r="AJ35" s="38">
        <f t="shared" si="13"/>
        <v>2163.09</v>
      </c>
    </row>
    <row r="36" spans="1:36" s="232" customFormat="1">
      <c r="A36" s="283"/>
      <c r="B36" s="283" t="s">
        <v>110</v>
      </c>
      <c r="C36" s="667" t="s">
        <v>528</v>
      </c>
      <c r="D36" s="123" t="s">
        <v>881</v>
      </c>
      <c r="E36" s="679"/>
      <c r="F36" s="529">
        <f>VLOOKUP(D36,'Jan 2013 Revenue'!D:T,17,FALSE)</f>
        <v>1668.98</v>
      </c>
      <c r="G36" s="680"/>
      <c r="H36" s="680"/>
      <c r="I36" s="755"/>
      <c r="J36" s="682">
        <f t="shared" si="0"/>
        <v>1668.98</v>
      </c>
      <c r="K36" s="683"/>
      <c r="L36" s="684"/>
      <c r="M36" s="753"/>
      <c r="N36" s="683">
        <v>0</v>
      </c>
      <c r="O36" s="686"/>
      <c r="P36" s="683">
        <v>0</v>
      </c>
      <c r="Q36" s="687">
        <f t="shared" si="1"/>
        <v>0</v>
      </c>
      <c r="R36" s="688">
        <v>1363.82</v>
      </c>
      <c r="S36" s="693"/>
      <c r="T36" s="690">
        <f t="shared" si="2"/>
        <v>1363.82</v>
      </c>
      <c r="U36" s="683"/>
      <c r="V36" s="474">
        <f t="shared" si="3"/>
        <v>0</v>
      </c>
      <c r="W36" s="474">
        <f t="shared" si="4"/>
        <v>0</v>
      </c>
      <c r="X36" s="475">
        <f t="shared" si="5"/>
        <v>0</v>
      </c>
      <c r="Y36" s="475">
        <v>0</v>
      </c>
      <c r="Z36" s="476">
        <v>0</v>
      </c>
      <c r="AA36" s="38">
        <f t="shared" si="6"/>
        <v>0</v>
      </c>
      <c r="AB36" s="692">
        <f t="shared" si="7"/>
        <v>1668.98</v>
      </c>
      <c r="AC36" s="692">
        <f t="shared" si="8"/>
        <v>0</v>
      </c>
      <c r="AD36" s="692">
        <f t="shared" si="9"/>
        <v>0</v>
      </c>
      <c r="AE36" s="38"/>
      <c r="AF36" s="692">
        <f t="shared" si="10"/>
        <v>0</v>
      </c>
      <c r="AG36" s="692">
        <f t="shared" si="11"/>
        <v>0</v>
      </c>
      <c r="AH36" s="692">
        <f t="shared" si="12"/>
        <v>0</v>
      </c>
      <c r="AJ36" s="38">
        <f t="shared" si="13"/>
        <v>1668.98</v>
      </c>
    </row>
    <row r="37" spans="1:36" s="232" customFormat="1">
      <c r="A37" s="283"/>
      <c r="B37" s="283" t="s">
        <v>110</v>
      </c>
      <c r="C37" s="667" t="s">
        <v>528</v>
      </c>
      <c r="D37" s="123" t="s">
        <v>820</v>
      </c>
      <c r="E37" s="679"/>
      <c r="F37" s="529">
        <f>VLOOKUP(D37,'Jan 2013 Revenue'!D:T,17,FALSE)</f>
        <v>3336.4399999999987</v>
      </c>
      <c r="G37" s="680"/>
      <c r="H37" s="680"/>
      <c r="I37" s="755"/>
      <c r="J37" s="682">
        <f t="shared" si="0"/>
        <v>3336.4399999999987</v>
      </c>
      <c r="K37" s="683"/>
      <c r="L37" s="684"/>
      <c r="M37" s="753">
        <v>20000</v>
      </c>
      <c r="N37" s="683">
        <v>0</v>
      </c>
      <c r="O37" s="686"/>
      <c r="P37" s="683">
        <v>0</v>
      </c>
      <c r="Q37" s="687">
        <f t="shared" si="1"/>
        <v>20000</v>
      </c>
      <c r="R37" s="688">
        <v>18900.88</v>
      </c>
      <c r="S37" s="693"/>
      <c r="T37" s="690">
        <f t="shared" si="2"/>
        <v>-1099.119999999999</v>
      </c>
      <c r="U37" s="683"/>
      <c r="V37" s="474">
        <f t="shared" si="3"/>
        <v>20000</v>
      </c>
      <c r="W37" s="474">
        <f t="shared" si="4"/>
        <v>0</v>
      </c>
      <c r="X37" s="475">
        <f t="shared" si="5"/>
        <v>0</v>
      </c>
      <c r="Y37" s="475">
        <v>0</v>
      </c>
      <c r="Z37" s="476">
        <v>0</v>
      </c>
      <c r="AA37" s="38">
        <f t="shared" si="6"/>
        <v>0</v>
      </c>
      <c r="AB37" s="692">
        <f t="shared" si="7"/>
        <v>3336.4399999999987</v>
      </c>
      <c r="AC37" s="692">
        <f t="shared" si="8"/>
        <v>0</v>
      </c>
      <c r="AD37" s="692">
        <f t="shared" si="9"/>
        <v>0</v>
      </c>
      <c r="AE37" s="38"/>
      <c r="AF37" s="692">
        <f t="shared" si="10"/>
        <v>20000</v>
      </c>
      <c r="AG37" s="692">
        <f t="shared" si="11"/>
        <v>0</v>
      </c>
      <c r="AH37" s="692">
        <f t="shared" si="12"/>
        <v>0</v>
      </c>
      <c r="AJ37" s="38">
        <f t="shared" si="13"/>
        <v>23336.44</v>
      </c>
    </row>
    <row r="38" spans="1:36" s="232" customFormat="1">
      <c r="A38" s="283"/>
      <c r="B38" s="283" t="s">
        <v>110</v>
      </c>
      <c r="C38" s="667" t="s">
        <v>527</v>
      </c>
      <c r="D38" s="123" t="s">
        <v>460</v>
      </c>
      <c r="E38" s="679"/>
      <c r="F38" s="529">
        <f>VLOOKUP(D38,'Jan 2013 Revenue'!D:T,17,FALSE)</f>
        <v>0</v>
      </c>
      <c r="G38" s="680"/>
      <c r="H38" s="680"/>
      <c r="I38" s="770">
        <v>33301.230000000003</v>
      </c>
      <c r="J38" s="682">
        <f t="shared" si="0"/>
        <v>33301.230000000003</v>
      </c>
      <c r="K38" s="683"/>
      <c r="L38" s="684"/>
      <c r="M38" s="753"/>
      <c r="N38" s="683">
        <v>0</v>
      </c>
      <c r="O38" s="686"/>
      <c r="P38" s="683">
        <v>0</v>
      </c>
      <c r="Q38" s="687">
        <f t="shared" si="1"/>
        <v>0</v>
      </c>
      <c r="R38" s="688">
        <v>0</v>
      </c>
      <c r="S38" s="693"/>
      <c r="T38" s="690">
        <f t="shared" si="2"/>
        <v>0</v>
      </c>
      <c r="U38" s="683"/>
      <c r="V38" s="474">
        <f t="shared" si="3"/>
        <v>0</v>
      </c>
      <c r="W38" s="474">
        <f t="shared" si="4"/>
        <v>0</v>
      </c>
      <c r="X38" s="475">
        <f t="shared" si="5"/>
        <v>0</v>
      </c>
      <c r="Y38" s="475">
        <v>0</v>
      </c>
      <c r="Z38" s="476">
        <v>0</v>
      </c>
      <c r="AA38" s="38">
        <f t="shared" si="6"/>
        <v>0</v>
      </c>
      <c r="AB38" s="692">
        <f t="shared" si="7"/>
        <v>33301.230000000003</v>
      </c>
      <c r="AC38" s="692">
        <f t="shared" si="8"/>
        <v>0</v>
      </c>
      <c r="AD38" s="692">
        <f t="shared" si="9"/>
        <v>0</v>
      </c>
      <c r="AE38" s="38"/>
      <c r="AF38" s="692">
        <f t="shared" si="10"/>
        <v>0</v>
      </c>
      <c r="AG38" s="692">
        <f t="shared" si="11"/>
        <v>0</v>
      </c>
      <c r="AH38" s="692">
        <f t="shared" si="12"/>
        <v>0</v>
      </c>
      <c r="AJ38" s="38">
        <f t="shared" si="13"/>
        <v>33301.230000000003</v>
      </c>
    </row>
    <row r="39" spans="1:36" s="232" customFormat="1">
      <c r="A39" s="283"/>
      <c r="B39" s="283" t="s">
        <v>110</v>
      </c>
      <c r="C39" s="676" t="s">
        <v>528</v>
      </c>
      <c r="D39" s="123" t="s">
        <v>623</v>
      </c>
      <c r="E39" s="679"/>
      <c r="F39" s="529">
        <f>VLOOKUP(D39,'Jan 2013 Revenue'!D:T,17,FALSE)</f>
        <v>0</v>
      </c>
      <c r="G39" s="680"/>
      <c r="H39" s="680"/>
      <c r="I39" s="770">
        <v>10036.209999999999</v>
      </c>
      <c r="J39" s="682">
        <f t="shared" si="0"/>
        <v>10036.209999999999</v>
      </c>
      <c r="K39" s="683"/>
      <c r="L39" s="684"/>
      <c r="M39" s="753"/>
      <c r="N39" s="683">
        <v>0</v>
      </c>
      <c r="O39" s="686"/>
      <c r="P39" s="683">
        <v>0</v>
      </c>
      <c r="Q39" s="687">
        <f t="shared" si="1"/>
        <v>0</v>
      </c>
      <c r="R39" s="688">
        <v>0</v>
      </c>
      <c r="S39" s="693"/>
      <c r="T39" s="690">
        <f t="shared" si="2"/>
        <v>0</v>
      </c>
      <c r="U39" s="683"/>
      <c r="V39" s="474">
        <f t="shared" si="3"/>
        <v>0</v>
      </c>
      <c r="W39" s="474">
        <f t="shared" si="4"/>
        <v>0</v>
      </c>
      <c r="X39" s="475">
        <f t="shared" si="5"/>
        <v>0</v>
      </c>
      <c r="Y39" s="475">
        <v>0</v>
      </c>
      <c r="Z39" s="476">
        <v>0</v>
      </c>
      <c r="AA39" s="38">
        <f t="shared" si="6"/>
        <v>0</v>
      </c>
      <c r="AB39" s="692">
        <f t="shared" si="7"/>
        <v>10036.209999999999</v>
      </c>
      <c r="AC39" s="692">
        <f t="shared" si="8"/>
        <v>0</v>
      </c>
      <c r="AD39" s="692">
        <f t="shared" si="9"/>
        <v>0</v>
      </c>
      <c r="AE39" s="38"/>
      <c r="AF39" s="692">
        <f t="shared" si="10"/>
        <v>0</v>
      </c>
      <c r="AG39" s="692">
        <f t="shared" si="11"/>
        <v>0</v>
      </c>
      <c r="AH39" s="692">
        <f t="shared" si="12"/>
        <v>0</v>
      </c>
      <c r="AJ39" s="38">
        <f t="shared" si="13"/>
        <v>10036.209999999999</v>
      </c>
    </row>
    <row r="40" spans="1:36" s="232" customFormat="1">
      <c r="A40" s="403"/>
      <c r="B40" s="403" t="s">
        <v>114</v>
      </c>
      <c r="C40" s="666" t="s">
        <v>529</v>
      </c>
      <c r="D40" s="123" t="s">
        <v>108</v>
      </c>
      <c r="E40" s="679"/>
      <c r="F40" s="529">
        <f>VLOOKUP(D40,'Jan 2013 Revenue'!D:T,17,FALSE)</f>
        <v>4270.5400000000009</v>
      </c>
      <c r="G40" s="680"/>
      <c r="H40" s="680"/>
      <c r="I40" s="755"/>
      <c r="J40" s="682">
        <f t="shared" si="0"/>
        <v>4270.5400000000009</v>
      </c>
      <c r="K40" s="683"/>
      <c r="L40" s="684"/>
      <c r="M40" s="753">
        <v>8000</v>
      </c>
      <c r="N40" s="683">
        <v>0</v>
      </c>
      <c r="O40" s="686"/>
      <c r="P40" s="683">
        <v>0</v>
      </c>
      <c r="Q40" s="687">
        <f t="shared" si="1"/>
        <v>8000</v>
      </c>
      <c r="R40" s="688">
        <v>8178.87</v>
      </c>
      <c r="S40" s="693"/>
      <c r="T40" s="690">
        <f t="shared" si="2"/>
        <v>178.86999999999989</v>
      </c>
      <c r="U40" s="683"/>
      <c r="V40" s="474">
        <f t="shared" si="3"/>
        <v>0</v>
      </c>
      <c r="W40" s="474">
        <f t="shared" si="4"/>
        <v>0</v>
      </c>
      <c r="X40" s="475">
        <f t="shared" si="5"/>
        <v>8000</v>
      </c>
      <c r="Y40" s="475">
        <v>0</v>
      </c>
      <c r="Z40" s="476">
        <v>0</v>
      </c>
      <c r="AA40" s="38">
        <f t="shared" si="6"/>
        <v>0</v>
      </c>
      <c r="AB40" s="692">
        <f t="shared" si="7"/>
        <v>0</v>
      </c>
      <c r="AC40" s="692">
        <f t="shared" si="8"/>
        <v>0</v>
      </c>
      <c r="AD40" s="692">
        <f t="shared" si="9"/>
        <v>4270.5400000000009</v>
      </c>
      <c r="AE40" s="38"/>
      <c r="AF40" s="692">
        <f t="shared" si="10"/>
        <v>0</v>
      </c>
      <c r="AG40" s="692">
        <f t="shared" si="11"/>
        <v>0</v>
      </c>
      <c r="AH40" s="692">
        <f t="shared" si="12"/>
        <v>8000</v>
      </c>
      <c r="AJ40" s="38">
        <f t="shared" si="13"/>
        <v>12270.54</v>
      </c>
    </row>
    <row r="41" spans="1:36" s="232" customFormat="1">
      <c r="A41" s="403"/>
      <c r="B41" s="403" t="s">
        <v>110</v>
      </c>
      <c r="C41" s="666"/>
      <c r="D41" s="123" t="s">
        <v>911</v>
      </c>
      <c r="E41" s="679">
        <f>61.28+12330.19+5135.62+5206.08+5091.43+5467.02</f>
        <v>33291.619999999995</v>
      </c>
      <c r="F41" s="529">
        <f>VLOOKUP(D41,'Jan 2013 Revenue'!D:T,17,FALSE)</f>
        <v>0</v>
      </c>
      <c r="G41" s="680"/>
      <c r="H41" s="680"/>
      <c r="I41" s="755"/>
      <c r="J41" s="682">
        <f t="shared" ref="J41" si="14">SUM(E41:I41)</f>
        <v>33291.619999999995</v>
      </c>
      <c r="K41" s="683"/>
      <c r="L41" s="684"/>
      <c r="M41" s="753">
        <v>10000</v>
      </c>
      <c r="N41" s="683">
        <v>0</v>
      </c>
      <c r="O41" s="686"/>
      <c r="P41" s="683">
        <v>0</v>
      </c>
      <c r="Q41" s="687">
        <f t="shared" ref="Q41" si="15">L41+M41</f>
        <v>10000</v>
      </c>
      <c r="R41" s="688">
        <v>4846.53</v>
      </c>
      <c r="S41" s="693"/>
      <c r="T41" s="690">
        <f t="shared" si="2"/>
        <v>-5153.47</v>
      </c>
      <c r="U41" s="683"/>
      <c r="V41" s="474">
        <f t="shared" ref="V41" si="16">IF(B41="D",Q41,0)</f>
        <v>10000</v>
      </c>
      <c r="W41" s="474">
        <f t="shared" ref="W41" si="17">IF(B41="M",Q41,0)</f>
        <v>0</v>
      </c>
      <c r="X41" s="475">
        <f t="shared" ref="X41" si="18">IF(B41="V",Q41,0)</f>
        <v>0</v>
      </c>
      <c r="Y41" s="475">
        <v>0</v>
      </c>
      <c r="Z41" s="476">
        <v>0</v>
      </c>
      <c r="AA41" s="38">
        <f t="shared" ref="AA41" si="19">(L41+M41)-(V41+W41+X41+Y41+Z41)</f>
        <v>0</v>
      </c>
      <c r="AB41" s="692">
        <f t="shared" ref="AB41" si="20">IF(B41="D",J41,0)</f>
        <v>33291.619999999995</v>
      </c>
      <c r="AC41" s="692">
        <f t="shared" ref="AC41" si="21">IF(B41="M",J41,0)</f>
        <v>0</v>
      </c>
      <c r="AD41" s="692">
        <f t="shared" ref="AD41" si="22">IF(B41="V",J41,0)</f>
        <v>0</v>
      </c>
      <c r="AE41" s="38"/>
      <c r="AF41" s="692">
        <f t="shared" ref="AF41" si="23">IF(B41="D",Q41,0)</f>
        <v>10000</v>
      </c>
      <c r="AG41" s="692">
        <f t="shared" ref="AG41" si="24">IF(B41="M",Q41,0)</f>
        <v>0</v>
      </c>
      <c r="AH41" s="692">
        <f t="shared" ref="AH41" si="25">IF(B41="V",Q41,0)</f>
        <v>0</v>
      </c>
      <c r="AJ41" s="38">
        <f t="shared" ref="AJ41" si="26">SUM(AB41:AH41)</f>
        <v>43291.619999999995</v>
      </c>
    </row>
    <row r="42" spans="1:36">
      <c r="A42" s="21"/>
      <c r="B42" s="21" t="s">
        <v>110</v>
      </c>
      <c r="C42" s="666"/>
      <c r="D42" s="68" t="s">
        <v>234</v>
      </c>
      <c r="E42" s="679">
        <v>6764.07</v>
      </c>
      <c r="F42" s="529">
        <f>VLOOKUP(D42,'Jan 2013 Revenue'!D:T,17,FALSE)</f>
        <v>0</v>
      </c>
      <c r="G42" s="680"/>
      <c r="H42" s="680"/>
      <c r="I42" s="755"/>
      <c r="J42" s="682">
        <f t="shared" ref="J42:J55" si="27">SUM(E42:I42)</f>
        <v>6764.07</v>
      </c>
      <c r="K42" s="683"/>
      <c r="L42" s="684"/>
      <c r="M42" s="753">
        <v>5000</v>
      </c>
      <c r="N42" s="683">
        <v>0</v>
      </c>
      <c r="O42" s="686"/>
      <c r="P42" s="683">
        <v>0</v>
      </c>
      <c r="Q42" s="687">
        <f t="shared" si="1"/>
        <v>5000</v>
      </c>
      <c r="R42" s="688">
        <v>0</v>
      </c>
      <c r="S42" s="693"/>
      <c r="T42" s="690">
        <f t="shared" si="2"/>
        <v>-5000</v>
      </c>
      <c r="U42" s="683"/>
      <c r="V42" s="474">
        <f t="shared" si="3"/>
        <v>5000</v>
      </c>
      <c r="W42" s="474">
        <f t="shared" si="4"/>
        <v>0</v>
      </c>
      <c r="X42" s="475">
        <f t="shared" si="5"/>
        <v>0</v>
      </c>
      <c r="Y42" s="475">
        <v>0</v>
      </c>
      <c r="Z42" s="476">
        <v>0</v>
      </c>
      <c r="AA42" s="38">
        <f t="shared" si="6"/>
        <v>0</v>
      </c>
      <c r="AB42" s="692">
        <f t="shared" si="7"/>
        <v>6764.07</v>
      </c>
      <c r="AC42" s="692">
        <f t="shared" si="8"/>
        <v>0</v>
      </c>
      <c r="AD42" s="692">
        <f t="shared" si="9"/>
        <v>0</v>
      </c>
      <c r="AE42" s="38"/>
      <c r="AF42" s="692">
        <f t="shared" si="10"/>
        <v>5000</v>
      </c>
      <c r="AG42" s="692">
        <f t="shared" si="11"/>
        <v>0</v>
      </c>
      <c r="AH42" s="692">
        <f t="shared" si="12"/>
        <v>0</v>
      </c>
      <c r="AJ42" s="38">
        <f t="shared" si="13"/>
        <v>11764.07</v>
      </c>
    </row>
    <row r="43" spans="1:36">
      <c r="A43" s="20"/>
      <c r="B43" s="20" t="s">
        <v>109</v>
      </c>
      <c r="C43" s="667"/>
      <c r="D43" s="68" t="s">
        <v>598</v>
      </c>
      <c r="E43" s="679"/>
      <c r="F43" s="529">
        <f>VLOOKUP(D43,'Jan 2013 Revenue'!D:T,17,FALSE)</f>
        <v>0</v>
      </c>
      <c r="G43" s="680"/>
      <c r="H43" s="680"/>
      <c r="I43" s="755"/>
      <c r="J43" s="682">
        <f t="shared" si="27"/>
        <v>0</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7"/>
        <v>0</v>
      </c>
      <c r="AC43" s="692">
        <f t="shared" si="8"/>
        <v>0</v>
      </c>
      <c r="AD43" s="692">
        <f t="shared" si="9"/>
        <v>0</v>
      </c>
      <c r="AE43" s="38"/>
      <c r="AF43" s="692">
        <f t="shared" si="10"/>
        <v>0</v>
      </c>
      <c r="AG43" s="692">
        <f t="shared" si="11"/>
        <v>0</v>
      </c>
      <c r="AH43" s="692">
        <f t="shared" si="12"/>
        <v>0</v>
      </c>
      <c r="AJ43" s="38">
        <f t="shared" si="13"/>
        <v>0</v>
      </c>
    </row>
    <row r="44" spans="1:36">
      <c r="A44" s="20"/>
      <c r="B44" s="20" t="s">
        <v>110</v>
      </c>
      <c r="C44" s="667"/>
      <c r="D44" s="68" t="s">
        <v>311</v>
      </c>
      <c r="E44" s="679"/>
      <c r="F44" s="529">
        <f>VLOOKUP(D44,'Jan 2013 Revenue'!D:T,17,FALSE)</f>
        <v>0</v>
      </c>
      <c r="G44" s="680"/>
      <c r="H44" s="680"/>
      <c r="I44" s="755"/>
      <c r="J44" s="682">
        <f t="shared" si="27"/>
        <v>0</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7"/>
        <v>0</v>
      </c>
      <c r="AC44" s="692">
        <f t="shared" si="8"/>
        <v>0</v>
      </c>
      <c r="AD44" s="692">
        <f t="shared" si="9"/>
        <v>0</v>
      </c>
      <c r="AE44" s="38"/>
      <c r="AF44" s="692">
        <f t="shared" si="10"/>
        <v>0</v>
      </c>
      <c r="AG44" s="692">
        <f t="shared" si="11"/>
        <v>0</v>
      </c>
      <c r="AH44" s="692">
        <f t="shared" si="12"/>
        <v>0</v>
      </c>
      <c r="AJ44" s="38">
        <f t="shared" si="13"/>
        <v>0</v>
      </c>
    </row>
    <row r="45" spans="1:36">
      <c r="A45" s="20"/>
      <c r="B45" s="20" t="s">
        <v>110</v>
      </c>
      <c r="C45" s="667"/>
      <c r="D45" s="68" t="s">
        <v>451</v>
      </c>
      <c r="E45" s="679">
        <v>18725.060000000001</v>
      </c>
      <c r="F45" s="529">
        <f>VLOOKUP(D45,'Jan 2013 Revenue'!D:T,17,FALSE)</f>
        <v>-30000</v>
      </c>
      <c r="G45" s="680"/>
      <c r="H45" s="680"/>
      <c r="I45" s="755"/>
      <c r="J45" s="682">
        <f t="shared" si="27"/>
        <v>-11274.939999999999</v>
      </c>
      <c r="K45" s="683"/>
      <c r="L45" s="684"/>
      <c r="M45" s="753">
        <v>35000</v>
      </c>
      <c r="N45" s="683">
        <v>0</v>
      </c>
      <c r="O45" s="686"/>
      <c r="P45" s="683">
        <v>0</v>
      </c>
      <c r="Q45" s="687">
        <f t="shared" si="1"/>
        <v>35000</v>
      </c>
      <c r="R45" s="688">
        <v>0</v>
      </c>
      <c r="S45" s="693"/>
      <c r="T45" s="690">
        <f t="shared" si="2"/>
        <v>-35000</v>
      </c>
      <c r="U45" s="683"/>
      <c r="V45" s="474">
        <f t="shared" si="3"/>
        <v>35000</v>
      </c>
      <c r="W45" s="474">
        <f t="shared" si="4"/>
        <v>0</v>
      </c>
      <c r="X45" s="475">
        <f t="shared" si="5"/>
        <v>0</v>
      </c>
      <c r="Y45" s="475">
        <v>0</v>
      </c>
      <c r="Z45" s="476">
        <v>0</v>
      </c>
      <c r="AA45" s="38">
        <f t="shared" si="6"/>
        <v>0</v>
      </c>
      <c r="AB45" s="692">
        <f t="shared" si="7"/>
        <v>-11274.939999999999</v>
      </c>
      <c r="AC45" s="692">
        <f t="shared" si="8"/>
        <v>0</v>
      </c>
      <c r="AD45" s="692">
        <f t="shared" si="9"/>
        <v>0</v>
      </c>
      <c r="AE45" s="38"/>
      <c r="AF45" s="692">
        <f t="shared" si="10"/>
        <v>35000</v>
      </c>
      <c r="AG45" s="692">
        <f t="shared" si="11"/>
        <v>0</v>
      </c>
      <c r="AH45" s="692">
        <f t="shared" si="12"/>
        <v>0</v>
      </c>
      <c r="AJ45" s="38">
        <f t="shared" si="13"/>
        <v>23725.06</v>
      </c>
    </row>
    <row r="46" spans="1:36">
      <c r="A46" s="20"/>
      <c r="B46" s="20" t="s">
        <v>109</v>
      </c>
      <c r="C46" s="667"/>
      <c r="D46" s="68" t="s">
        <v>469</v>
      </c>
      <c r="E46" s="679"/>
      <c r="F46" s="529">
        <f>VLOOKUP(D46,'Jan 2013 Revenue'!D:T,17,FALSE)</f>
        <v>5810.93</v>
      </c>
      <c r="G46" s="680"/>
      <c r="H46" s="680"/>
      <c r="I46" s="770">
        <v>5154.8100000000004</v>
      </c>
      <c r="J46" s="682">
        <f t="shared" si="27"/>
        <v>10965.740000000002</v>
      </c>
      <c r="K46" s="683"/>
      <c r="L46" s="684"/>
      <c r="M46" s="753"/>
      <c r="N46" s="683">
        <v>0</v>
      </c>
      <c r="O46" s="686"/>
      <c r="P46" s="683">
        <v>0</v>
      </c>
      <c r="Q46" s="687">
        <f t="shared" si="1"/>
        <v>0</v>
      </c>
      <c r="R46" s="688">
        <v>0</v>
      </c>
      <c r="S46" s="693"/>
      <c r="T46" s="690">
        <f t="shared" si="2"/>
        <v>0</v>
      </c>
      <c r="U46" s="683"/>
      <c r="V46" s="474">
        <f t="shared" si="3"/>
        <v>0</v>
      </c>
      <c r="W46" s="474">
        <f t="shared" si="4"/>
        <v>0</v>
      </c>
      <c r="X46" s="475">
        <f t="shared" si="5"/>
        <v>0</v>
      </c>
      <c r="Y46" s="475">
        <v>0</v>
      </c>
      <c r="Z46" s="476">
        <v>0</v>
      </c>
      <c r="AA46" s="38">
        <f t="shared" si="6"/>
        <v>0</v>
      </c>
      <c r="AB46" s="692">
        <f t="shared" si="7"/>
        <v>0</v>
      </c>
      <c r="AC46" s="692">
        <f t="shared" si="8"/>
        <v>10965.740000000002</v>
      </c>
      <c r="AD46" s="692">
        <f t="shared" si="9"/>
        <v>0</v>
      </c>
      <c r="AE46" s="38"/>
      <c r="AF46" s="692">
        <f t="shared" si="10"/>
        <v>0</v>
      </c>
      <c r="AG46" s="692">
        <f t="shared" si="11"/>
        <v>0</v>
      </c>
      <c r="AH46" s="692">
        <f t="shared" si="12"/>
        <v>0</v>
      </c>
      <c r="AJ46" s="38">
        <f t="shared" si="13"/>
        <v>10965.740000000002</v>
      </c>
    </row>
    <row r="47" spans="1:36">
      <c r="A47" s="20"/>
      <c r="B47" s="20" t="s">
        <v>110</v>
      </c>
      <c r="C47" s="667" t="s">
        <v>530</v>
      </c>
      <c r="D47" s="68" t="s">
        <v>69</v>
      </c>
      <c r="E47" s="679"/>
      <c r="F47" s="529">
        <f>VLOOKUP(D47,'Jan 2013 Revenue'!D:T,17,FALSE)</f>
        <v>2397.54</v>
      </c>
      <c r="G47" s="680"/>
      <c r="H47" s="680"/>
      <c r="I47" s="755"/>
      <c r="J47" s="682">
        <f t="shared" si="27"/>
        <v>2397.54</v>
      </c>
      <c r="K47" s="683"/>
      <c r="L47" s="684"/>
      <c r="M47" s="753"/>
      <c r="N47" s="683">
        <v>0</v>
      </c>
      <c r="O47" s="686"/>
      <c r="P47" s="683">
        <v>0</v>
      </c>
      <c r="Q47" s="687">
        <f t="shared" si="1"/>
        <v>0</v>
      </c>
      <c r="R47" s="688">
        <v>0</v>
      </c>
      <c r="S47" s="693"/>
      <c r="T47" s="690">
        <f t="shared" si="2"/>
        <v>0</v>
      </c>
      <c r="U47" s="683"/>
      <c r="V47" s="474">
        <f t="shared" si="3"/>
        <v>0</v>
      </c>
      <c r="W47" s="474">
        <f t="shared" si="4"/>
        <v>0</v>
      </c>
      <c r="X47" s="475">
        <f t="shared" si="5"/>
        <v>0</v>
      </c>
      <c r="Y47" s="475">
        <v>0</v>
      </c>
      <c r="Z47" s="476">
        <v>0</v>
      </c>
      <c r="AA47" s="38">
        <f t="shared" si="6"/>
        <v>0</v>
      </c>
      <c r="AB47" s="692">
        <f t="shared" si="7"/>
        <v>2397.54</v>
      </c>
      <c r="AC47" s="692">
        <f t="shared" si="8"/>
        <v>0</v>
      </c>
      <c r="AD47" s="692">
        <f t="shared" si="9"/>
        <v>0</v>
      </c>
      <c r="AE47" s="38"/>
      <c r="AF47" s="692">
        <f t="shared" si="10"/>
        <v>0</v>
      </c>
      <c r="AG47" s="692">
        <f t="shared" si="11"/>
        <v>0</v>
      </c>
      <c r="AH47" s="692">
        <f t="shared" si="12"/>
        <v>0</v>
      </c>
      <c r="AJ47" s="38">
        <f t="shared" si="13"/>
        <v>2397.54</v>
      </c>
    </row>
    <row r="48" spans="1:36">
      <c r="A48" s="20"/>
      <c r="B48" s="20" t="s">
        <v>110</v>
      </c>
      <c r="C48" s="667" t="s">
        <v>531</v>
      </c>
      <c r="D48" s="68" t="s">
        <v>237</v>
      </c>
      <c r="E48" s="679"/>
      <c r="F48" s="529">
        <f>VLOOKUP(D48,'Jan 2013 Revenue'!D:T,17,FALSE)</f>
        <v>12142.46</v>
      </c>
      <c r="G48" s="680"/>
      <c r="H48" s="680"/>
      <c r="I48" s="755"/>
      <c r="J48" s="682">
        <f t="shared" si="27"/>
        <v>12142.46</v>
      </c>
      <c r="K48" s="683"/>
      <c r="L48" s="684"/>
      <c r="M48" s="753">
        <v>10000</v>
      </c>
      <c r="N48" s="683">
        <v>0</v>
      </c>
      <c r="O48" s="686"/>
      <c r="P48" s="683">
        <v>0</v>
      </c>
      <c r="Q48" s="687">
        <f t="shared" si="1"/>
        <v>10000</v>
      </c>
      <c r="R48" s="688">
        <v>9604.18</v>
      </c>
      <c r="S48" s="693"/>
      <c r="T48" s="690">
        <f t="shared" si="2"/>
        <v>-395.81999999999971</v>
      </c>
      <c r="U48" s="683"/>
      <c r="V48" s="474">
        <f t="shared" si="3"/>
        <v>10000</v>
      </c>
      <c r="W48" s="474">
        <f t="shared" si="4"/>
        <v>0</v>
      </c>
      <c r="X48" s="475">
        <f t="shared" si="5"/>
        <v>0</v>
      </c>
      <c r="Y48" s="475">
        <v>0</v>
      </c>
      <c r="Z48" s="476">
        <v>0</v>
      </c>
      <c r="AA48" s="38">
        <f t="shared" si="6"/>
        <v>0</v>
      </c>
      <c r="AB48" s="692">
        <f t="shared" si="7"/>
        <v>12142.46</v>
      </c>
      <c r="AC48" s="692">
        <f t="shared" si="8"/>
        <v>0</v>
      </c>
      <c r="AD48" s="692">
        <f t="shared" si="9"/>
        <v>0</v>
      </c>
      <c r="AE48" s="38"/>
      <c r="AF48" s="692">
        <f t="shared" si="10"/>
        <v>10000</v>
      </c>
      <c r="AG48" s="692">
        <f t="shared" si="11"/>
        <v>0</v>
      </c>
      <c r="AH48" s="692">
        <f t="shared" si="12"/>
        <v>0</v>
      </c>
      <c r="AJ48" s="38">
        <f t="shared" si="13"/>
        <v>22142.46</v>
      </c>
    </row>
    <row r="49" spans="1:36">
      <c r="A49" s="20" t="s">
        <v>211</v>
      </c>
      <c r="B49" s="20" t="s">
        <v>110</v>
      </c>
      <c r="C49" s="667" t="s">
        <v>532</v>
      </c>
      <c r="D49" s="68" t="s">
        <v>7</v>
      </c>
      <c r="E49" s="679"/>
      <c r="F49" s="529">
        <f>VLOOKUP(D49,'Jan 2013 Revenue'!D:T,17,FALSE)</f>
        <v>-10000</v>
      </c>
      <c r="G49" s="680"/>
      <c r="H49" s="680"/>
      <c r="I49" s="755"/>
      <c r="J49" s="682">
        <f t="shared" si="27"/>
        <v>-10000</v>
      </c>
      <c r="K49" s="683"/>
      <c r="L49" s="684"/>
      <c r="M49" s="753">
        <v>20000</v>
      </c>
      <c r="N49" s="683">
        <v>0</v>
      </c>
      <c r="O49" s="686"/>
      <c r="P49" s="683">
        <v>0</v>
      </c>
      <c r="Q49" s="687">
        <f t="shared" si="1"/>
        <v>20000</v>
      </c>
      <c r="R49" s="688">
        <v>0</v>
      </c>
      <c r="S49" s="693"/>
      <c r="T49" s="690">
        <f t="shared" si="2"/>
        <v>-20000</v>
      </c>
      <c r="U49" s="697"/>
      <c r="V49" s="474">
        <f t="shared" si="3"/>
        <v>20000</v>
      </c>
      <c r="W49" s="474">
        <f t="shared" si="4"/>
        <v>0</v>
      </c>
      <c r="X49" s="475">
        <f t="shared" si="5"/>
        <v>0</v>
      </c>
      <c r="Y49" s="475">
        <v>0</v>
      </c>
      <c r="Z49" s="476">
        <v>0</v>
      </c>
      <c r="AA49" s="38">
        <f t="shared" si="6"/>
        <v>0</v>
      </c>
      <c r="AB49" s="692">
        <f t="shared" si="7"/>
        <v>-10000</v>
      </c>
      <c r="AC49" s="692">
        <f t="shared" si="8"/>
        <v>0</v>
      </c>
      <c r="AD49" s="692">
        <f t="shared" si="9"/>
        <v>0</v>
      </c>
      <c r="AE49" s="38"/>
      <c r="AF49" s="692">
        <f t="shared" si="10"/>
        <v>20000</v>
      </c>
      <c r="AG49" s="692">
        <f t="shared" si="11"/>
        <v>0</v>
      </c>
      <c r="AH49" s="692">
        <f t="shared" si="12"/>
        <v>0</v>
      </c>
      <c r="AJ49" s="38">
        <f t="shared" si="13"/>
        <v>10000</v>
      </c>
    </row>
    <row r="50" spans="1:36" s="232" customFormat="1" hidden="1">
      <c r="A50" s="283" t="s">
        <v>97</v>
      </c>
      <c r="B50" s="283" t="s">
        <v>109</v>
      </c>
      <c r="C50" s="667" t="s">
        <v>533</v>
      </c>
      <c r="D50" s="123" t="s">
        <v>415</v>
      </c>
      <c r="E50" s="679"/>
      <c r="F50" s="529">
        <f>VLOOKUP(D50,'Jan 2013 Revenue'!D:T,17,FALSE)</f>
        <v>0</v>
      </c>
      <c r="G50" s="680"/>
      <c r="H50" s="680"/>
      <c r="I50" s="755"/>
      <c r="J50" s="682">
        <f t="shared" si="27"/>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7"/>
        <v>0</v>
      </c>
      <c r="AC50" s="692">
        <f t="shared" si="8"/>
        <v>0</v>
      </c>
      <c r="AD50" s="692">
        <f t="shared" si="9"/>
        <v>0</v>
      </c>
      <c r="AE50" s="38"/>
      <c r="AF50" s="692">
        <f t="shared" si="10"/>
        <v>0</v>
      </c>
      <c r="AG50" s="692">
        <f t="shared" si="11"/>
        <v>0</v>
      </c>
      <c r="AH50" s="692">
        <f t="shared" si="12"/>
        <v>0</v>
      </c>
      <c r="AJ50" s="38">
        <f t="shared" si="13"/>
        <v>0</v>
      </c>
    </row>
    <row r="51" spans="1:36" s="232" customFormat="1" hidden="1">
      <c r="A51" s="283"/>
      <c r="B51" s="283" t="s">
        <v>109</v>
      </c>
      <c r="C51" s="667" t="s">
        <v>533</v>
      </c>
      <c r="D51" s="123" t="s">
        <v>416</v>
      </c>
      <c r="E51" s="679"/>
      <c r="F51" s="529">
        <f>VLOOKUP(D51,'Jan 2013 Revenue'!D:T,17,FALSE)</f>
        <v>0</v>
      </c>
      <c r="G51" s="680"/>
      <c r="H51" s="680"/>
      <c r="I51" s="755"/>
      <c r="J51" s="682">
        <f t="shared" si="27"/>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c r="AJ51" s="38">
        <f t="shared" si="13"/>
        <v>0</v>
      </c>
    </row>
    <row r="52" spans="1:36" s="232" customFormat="1" hidden="1">
      <c r="A52" s="283"/>
      <c r="B52" s="283" t="s">
        <v>109</v>
      </c>
      <c r="C52" s="667" t="s">
        <v>533</v>
      </c>
      <c r="D52" s="123" t="s">
        <v>417</v>
      </c>
      <c r="E52" s="679"/>
      <c r="F52" s="529">
        <f>VLOOKUP(D52,'Jan 2013 Revenue'!D:T,17,FALSE)</f>
        <v>0</v>
      </c>
      <c r="G52" s="680"/>
      <c r="H52" s="680"/>
      <c r="I52" s="755"/>
      <c r="J52" s="682">
        <f t="shared" si="27"/>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8"/>
        <v>0</v>
      </c>
      <c r="AD52" s="692">
        <f t="shared" si="9"/>
        <v>0</v>
      </c>
      <c r="AE52" s="38"/>
      <c r="AF52" s="692">
        <f t="shared" si="10"/>
        <v>0</v>
      </c>
      <c r="AG52" s="692">
        <f t="shared" si="11"/>
        <v>0</v>
      </c>
      <c r="AH52" s="692">
        <f t="shared" si="12"/>
        <v>0</v>
      </c>
      <c r="AJ52" s="38">
        <f t="shared" si="13"/>
        <v>0</v>
      </c>
    </row>
    <row r="53" spans="1:36" s="232" customFormat="1" hidden="1">
      <c r="A53" s="283"/>
      <c r="B53" s="283" t="s">
        <v>109</v>
      </c>
      <c r="C53" s="667" t="s">
        <v>533</v>
      </c>
      <c r="D53" s="123" t="s">
        <v>418</v>
      </c>
      <c r="E53" s="679"/>
      <c r="F53" s="529">
        <f>VLOOKUP(D53,'Jan 2013 Revenue'!D:T,17,FALSE)</f>
        <v>0</v>
      </c>
      <c r="G53" s="680"/>
      <c r="H53" s="680"/>
      <c r="I53" s="755"/>
      <c r="J53" s="682">
        <f t="shared" si="27"/>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7"/>
        <v>0</v>
      </c>
      <c r="AC53" s="692">
        <f t="shared" si="8"/>
        <v>0</v>
      </c>
      <c r="AD53" s="692">
        <f t="shared" si="9"/>
        <v>0</v>
      </c>
      <c r="AE53" s="38"/>
      <c r="AF53" s="692">
        <f t="shared" si="10"/>
        <v>0</v>
      </c>
      <c r="AG53" s="692">
        <f t="shared" si="11"/>
        <v>0</v>
      </c>
      <c r="AH53" s="692">
        <f t="shared" si="12"/>
        <v>0</v>
      </c>
      <c r="AJ53" s="38">
        <f t="shared" si="13"/>
        <v>0</v>
      </c>
    </row>
    <row r="54" spans="1:36">
      <c r="A54" s="20" t="s">
        <v>211</v>
      </c>
      <c r="B54" s="20" t="s">
        <v>109</v>
      </c>
      <c r="C54" s="667" t="s">
        <v>534</v>
      </c>
      <c r="D54" s="68" t="s">
        <v>9</v>
      </c>
      <c r="E54" s="679">
        <f>8432.86+8273.87</f>
        <v>16706.730000000003</v>
      </c>
      <c r="F54" s="529">
        <f>VLOOKUP(D54,'Jan 2013 Revenue'!D:T,17,FALSE)</f>
        <v>-16000</v>
      </c>
      <c r="G54" s="680"/>
      <c r="H54" s="680"/>
      <c r="I54" s="755"/>
      <c r="J54" s="682">
        <f t="shared" si="27"/>
        <v>706.7300000000032</v>
      </c>
      <c r="K54" s="683"/>
      <c r="L54" s="684"/>
      <c r="M54" s="753"/>
      <c r="N54" s="683">
        <v>0</v>
      </c>
      <c r="O54" s="686"/>
      <c r="P54" s="683">
        <v>0</v>
      </c>
      <c r="Q54" s="687">
        <f t="shared" si="1"/>
        <v>0</v>
      </c>
      <c r="R54" s="688">
        <v>0</v>
      </c>
      <c r="S54" s="693"/>
      <c r="T54" s="690">
        <f t="shared" si="2"/>
        <v>0</v>
      </c>
      <c r="U54" s="697"/>
      <c r="V54" s="474">
        <f t="shared" si="3"/>
        <v>0</v>
      </c>
      <c r="W54" s="474">
        <f t="shared" si="4"/>
        <v>0</v>
      </c>
      <c r="X54" s="475">
        <f t="shared" si="5"/>
        <v>0</v>
      </c>
      <c r="Y54" s="475">
        <v>0</v>
      </c>
      <c r="Z54" s="476">
        <v>0</v>
      </c>
      <c r="AA54" s="38">
        <f t="shared" si="6"/>
        <v>0</v>
      </c>
      <c r="AB54" s="692">
        <f t="shared" si="7"/>
        <v>0</v>
      </c>
      <c r="AC54" s="692">
        <f t="shared" si="8"/>
        <v>706.7300000000032</v>
      </c>
      <c r="AD54" s="692">
        <f t="shared" si="9"/>
        <v>0</v>
      </c>
      <c r="AE54" s="38"/>
      <c r="AF54" s="692">
        <f t="shared" si="10"/>
        <v>0</v>
      </c>
      <c r="AG54" s="692">
        <f t="shared" si="11"/>
        <v>0</v>
      </c>
      <c r="AH54" s="692">
        <f t="shared" si="12"/>
        <v>0</v>
      </c>
      <c r="AJ54" s="38">
        <f t="shared" si="13"/>
        <v>706.7300000000032</v>
      </c>
    </row>
    <row r="55" spans="1:36">
      <c r="A55" s="20" t="s">
        <v>211</v>
      </c>
      <c r="B55" s="20" t="s">
        <v>114</v>
      </c>
      <c r="C55" s="667"/>
      <c r="D55" s="68" t="s">
        <v>487</v>
      </c>
      <c r="E55" s="679"/>
      <c r="F55" s="529">
        <f>VLOOKUP(D55,'Jan 2013 Revenue'!D:T,17,FALSE)</f>
        <v>0</v>
      </c>
      <c r="G55" s="680"/>
      <c r="H55" s="680"/>
      <c r="I55" s="755"/>
      <c r="J55" s="682">
        <f t="shared" si="27"/>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7"/>
        <v>0</v>
      </c>
      <c r="AC55" s="692">
        <f t="shared" si="8"/>
        <v>0</v>
      </c>
      <c r="AD55" s="692">
        <f t="shared" si="9"/>
        <v>0</v>
      </c>
      <c r="AE55" s="38"/>
      <c r="AF55" s="692">
        <f t="shared" si="10"/>
        <v>0</v>
      </c>
      <c r="AG55" s="692">
        <f t="shared" si="11"/>
        <v>0</v>
      </c>
      <c r="AH55" s="692">
        <f t="shared" si="12"/>
        <v>0</v>
      </c>
      <c r="AJ55" s="38">
        <f t="shared" si="13"/>
        <v>0</v>
      </c>
    </row>
    <row r="56" spans="1:36">
      <c r="A56" s="20"/>
      <c r="B56" s="20" t="s">
        <v>109</v>
      </c>
      <c r="C56" s="676" t="s">
        <v>906</v>
      </c>
      <c r="D56" s="68" t="s">
        <v>830</v>
      </c>
      <c r="E56" s="679"/>
      <c r="F56" s="529">
        <f>VLOOKUP(D56,'Jan 2013 Revenue'!D:T,17,FALSE)</f>
        <v>5501.8699999999953</v>
      </c>
      <c r="G56" s="680"/>
      <c r="H56" s="680"/>
      <c r="I56" s="770">
        <v>148434.10999999999</v>
      </c>
      <c r="J56" s="682">
        <f>SUM(F56:I56)</f>
        <v>153935.97999999998</v>
      </c>
      <c r="K56" s="683"/>
      <c r="L56" s="684"/>
      <c r="M56" s="753"/>
      <c r="N56" s="683">
        <v>0</v>
      </c>
      <c r="O56" s="686"/>
      <c r="P56" s="683">
        <v>0</v>
      </c>
      <c r="Q56" s="687">
        <f t="shared" si="1"/>
        <v>0</v>
      </c>
      <c r="R56" s="688">
        <v>0</v>
      </c>
      <c r="S56" s="693"/>
      <c r="T56" s="690">
        <f t="shared" si="2"/>
        <v>0</v>
      </c>
      <c r="U56" s="683"/>
      <c r="V56" s="474">
        <f t="shared" si="3"/>
        <v>0</v>
      </c>
      <c r="W56" s="474">
        <f t="shared" si="4"/>
        <v>0</v>
      </c>
      <c r="X56" s="475">
        <f t="shared" si="5"/>
        <v>0</v>
      </c>
      <c r="Y56" s="475">
        <v>0</v>
      </c>
      <c r="Z56" s="476">
        <v>0</v>
      </c>
      <c r="AA56" s="38">
        <f t="shared" si="6"/>
        <v>0</v>
      </c>
      <c r="AB56" s="692">
        <f t="shared" si="7"/>
        <v>0</v>
      </c>
      <c r="AC56" s="692">
        <f t="shared" si="8"/>
        <v>153935.97999999998</v>
      </c>
      <c r="AD56" s="692">
        <f t="shared" si="9"/>
        <v>0</v>
      </c>
      <c r="AE56" s="38"/>
      <c r="AF56" s="692">
        <f t="shared" si="10"/>
        <v>0</v>
      </c>
      <c r="AG56" s="692">
        <f t="shared" si="11"/>
        <v>0</v>
      </c>
      <c r="AH56" s="692">
        <f t="shared" si="12"/>
        <v>0</v>
      </c>
      <c r="AJ56" s="38">
        <f t="shared" si="13"/>
        <v>153935.97999999998</v>
      </c>
    </row>
    <row r="57" spans="1:36">
      <c r="A57" s="20"/>
      <c r="B57" s="20" t="s">
        <v>109</v>
      </c>
      <c r="C57" s="667"/>
      <c r="D57" s="68" t="s">
        <v>374</v>
      </c>
      <c r="E57" s="679"/>
      <c r="F57" s="529">
        <f>VLOOKUP(D57,'Jan 2013 Revenue'!D:T,17,FALSE)</f>
        <v>-10000</v>
      </c>
      <c r="G57" s="680"/>
      <c r="H57" s="680"/>
      <c r="I57" s="755"/>
      <c r="J57" s="682">
        <f t="shared" ref="J57:J80" si="28">SUM(E57:I57)</f>
        <v>-10000</v>
      </c>
      <c r="K57" s="683"/>
      <c r="L57" s="684"/>
      <c r="M57" s="753">
        <v>15000</v>
      </c>
      <c r="N57" s="683">
        <v>0</v>
      </c>
      <c r="O57" s="686"/>
      <c r="P57" s="683">
        <v>0</v>
      </c>
      <c r="Q57" s="687">
        <f t="shared" si="1"/>
        <v>15000</v>
      </c>
      <c r="R57" s="688">
        <v>0</v>
      </c>
      <c r="S57" s="693"/>
      <c r="T57" s="690">
        <f t="shared" si="2"/>
        <v>-15000</v>
      </c>
      <c r="U57" s="683"/>
      <c r="V57" s="474">
        <f t="shared" si="3"/>
        <v>0</v>
      </c>
      <c r="W57" s="474">
        <f t="shared" si="4"/>
        <v>15000</v>
      </c>
      <c r="X57" s="475">
        <f t="shared" si="5"/>
        <v>0</v>
      </c>
      <c r="Y57" s="475">
        <v>0</v>
      </c>
      <c r="Z57" s="476">
        <v>0</v>
      </c>
      <c r="AA57" s="38">
        <f t="shared" si="6"/>
        <v>0</v>
      </c>
      <c r="AB57" s="692">
        <f t="shared" si="7"/>
        <v>0</v>
      </c>
      <c r="AC57" s="692">
        <f t="shared" si="8"/>
        <v>-10000</v>
      </c>
      <c r="AD57" s="692">
        <f t="shared" si="9"/>
        <v>0</v>
      </c>
      <c r="AE57" s="38"/>
      <c r="AF57" s="692">
        <f t="shared" si="10"/>
        <v>0</v>
      </c>
      <c r="AG57" s="692">
        <f t="shared" si="11"/>
        <v>15000</v>
      </c>
      <c r="AH57" s="692">
        <f t="shared" si="12"/>
        <v>0</v>
      </c>
      <c r="AJ57" s="38">
        <f t="shared" si="13"/>
        <v>5000</v>
      </c>
    </row>
    <row r="58" spans="1:36">
      <c r="A58" s="20"/>
      <c r="B58" s="20" t="s">
        <v>114</v>
      </c>
      <c r="C58" s="667"/>
      <c r="D58" s="68" t="s">
        <v>502</v>
      </c>
      <c r="E58" s="679">
        <v>276.5</v>
      </c>
      <c r="F58" s="529">
        <f>VLOOKUP(D58,'Jan 2013 Revenue'!D:T,17,FALSE)</f>
        <v>83.97</v>
      </c>
      <c r="G58" s="680"/>
      <c r="H58" s="680"/>
      <c r="I58" s="755"/>
      <c r="J58" s="682">
        <f t="shared" si="28"/>
        <v>360.47</v>
      </c>
      <c r="K58" s="683"/>
      <c r="L58" s="684"/>
      <c r="M58" s="753"/>
      <c r="N58" s="683">
        <v>0</v>
      </c>
      <c r="O58" s="686"/>
      <c r="P58" s="683">
        <v>0</v>
      </c>
      <c r="Q58" s="687">
        <f t="shared" si="1"/>
        <v>0</v>
      </c>
      <c r="R58" s="688">
        <v>0</v>
      </c>
      <c r="S58" s="693"/>
      <c r="T58" s="690">
        <f t="shared" si="2"/>
        <v>0</v>
      </c>
      <c r="U58" s="683"/>
      <c r="V58" s="474">
        <f t="shared" si="3"/>
        <v>0</v>
      </c>
      <c r="W58" s="474">
        <f t="shared" si="4"/>
        <v>0</v>
      </c>
      <c r="X58" s="475">
        <f t="shared" si="5"/>
        <v>0</v>
      </c>
      <c r="Y58" s="475">
        <v>0</v>
      </c>
      <c r="Z58" s="476">
        <v>0</v>
      </c>
      <c r="AA58" s="38">
        <f t="shared" si="6"/>
        <v>0</v>
      </c>
      <c r="AB58" s="692">
        <f t="shared" si="7"/>
        <v>0</v>
      </c>
      <c r="AC58" s="692">
        <f t="shared" si="8"/>
        <v>0</v>
      </c>
      <c r="AD58" s="692">
        <f t="shared" si="9"/>
        <v>360.47</v>
      </c>
      <c r="AE58" s="38"/>
      <c r="AF58" s="692">
        <f t="shared" si="10"/>
        <v>0</v>
      </c>
      <c r="AG58" s="692">
        <f t="shared" si="11"/>
        <v>0</v>
      </c>
      <c r="AH58" s="692">
        <f t="shared" si="12"/>
        <v>0</v>
      </c>
      <c r="AJ58" s="38">
        <f t="shared" si="13"/>
        <v>360.47</v>
      </c>
    </row>
    <row r="59" spans="1:36">
      <c r="A59" s="21"/>
      <c r="B59" s="21" t="s">
        <v>110</v>
      </c>
      <c r="C59" s="666" t="s">
        <v>535</v>
      </c>
      <c r="D59" s="123" t="s">
        <v>517</v>
      </c>
      <c r="E59" s="679"/>
      <c r="F59" s="529">
        <f>VLOOKUP(D59,'Jan 2013 Revenue'!D:T,17,FALSE)</f>
        <v>25896.959999999992</v>
      </c>
      <c r="G59" s="680"/>
      <c r="H59" s="680"/>
      <c r="I59" s="755"/>
      <c r="J59" s="682">
        <f t="shared" si="28"/>
        <v>25896.959999999992</v>
      </c>
      <c r="K59" s="683"/>
      <c r="L59" s="684"/>
      <c r="M59" s="753">
        <v>150000</v>
      </c>
      <c r="N59" s="683">
        <v>0</v>
      </c>
      <c r="O59" s="686"/>
      <c r="P59" s="683">
        <v>0</v>
      </c>
      <c r="Q59" s="687">
        <f t="shared" si="1"/>
        <v>150000</v>
      </c>
      <c r="R59" s="688">
        <v>143194.14000000001</v>
      </c>
      <c r="S59" s="693"/>
      <c r="T59" s="690">
        <f t="shared" si="2"/>
        <v>-6805.859999999986</v>
      </c>
      <c r="U59" s="697"/>
      <c r="V59" s="474">
        <f t="shared" si="3"/>
        <v>150000</v>
      </c>
      <c r="W59" s="474">
        <f t="shared" si="4"/>
        <v>0</v>
      </c>
      <c r="X59" s="475">
        <f t="shared" si="5"/>
        <v>0</v>
      </c>
      <c r="Y59" s="475">
        <v>0</v>
      </c>
      <c r="Z59" s="476">
        <v>0</v>
      </c>
      <c r="AA59" s="38">
        <f t="shared" si="6"/>
        <v>0</v>
      </c>
      <c r="AB59" s="692">
        <f t="shared" si="7"/>
        <v>25896.959999999992</v>
      </c>
      <c r="AC59" s="692">
        <f t="shared" si="8"/>
        <v>0</v>
      </c>
      <c r="AD59" s="692">
        <f t="shared" si="9"/>
        <v>0</v>
      </c>
      <c r="AE59" s="38"/>
      <c r="AF59" s="692">
        <f t="shared" si="10"/>
        <v>150000</v>
      </c>
      <c r="AG59" s="692">
        <f t="shared" si="11"/>
        <v>0</v>
      </c>
      <c r="AH59" s="692">
        <f t="shared" si="12"/>
        <v>0</v>
      </c>
      <c r="AJ59" s="38">
        <f t="shared" si="13"/>
        <v>175896.95999999999</v>
      </c>
    </row>
    <row r="60" spans="1:36">
      <c r="A60" s="20"/>
      <c r="B60" s="20" t="s">
        <v>110</v>
      </c>
      <c r="C60" s="667" t="s">
        <v>536</v>
      </c>
      <c r="D60" s="68" t="s">
        <v>450</v>
      </c>
      <c r="E60" s="679">
        <v>1436.07</v>
      </c>
      <c r="F60" s="529">
        <f>VLOOKUP(D60,'Jan 2013 Revenue'!D:T,17,FALSE)</f>
        <v>0</v>
      </c>
      <c r="G60" s="680"/>
      <c r="H60" s="680"/>
      <c r="I60" s="755"/>
      <c r="J60" s="682">
        <f t="shared" si="28"/>
        <v>1436.07</v>
      </c>
      <c r="K60" s="683"/>
      <c r="L60" s="684"/>
      <c r="M60" s="753"/>
      <c r="N60" s="683">
        <v>0</v>
      </c>
      <c r="O60" s="686"/>
      <c r="P60" s="683">
        <v>0</v>
      </c>
      <c r="Q60" s="687">
        <f t="shared" si="1"/>
        <v>0</v>
      </c>
      <c r="R60" s="688">
        <v>546.44000000000005</v>
      </c>
      <c r="S60" s="693"/>
      <c r="T60" s="690">
        <f t="shared" si="2"/>
        <v>546.44000000000005</v>
      </c>
      <c r="U60" s="683"/>
      <c r="V60" s="474">
        <f t="shared" si="3"/>
        <v>0</v>
      </c>
      <c r="W60" s="474">
        <f t="shared" si="4"/>
        <v>0</v>
      </c>
      <c r="X60" s="475">
        <f t="shared" si="5"/>
        <v>0</v>
      </c>
      <c r="Y60" s="475">
        <v>0</v>
      </c>
      <c r="Z60" s="476">
        <v>0</v>
      </c>
      <c r="AA60" s="38">
        <f t="shared" si="6"/>
        <v>0</v>
      </c>
      <c r="AB60" s="692">
        <f t="shared" si="7"/>
        <v>1436.07</v>
      </c>
      <c r="AC60" s="692">
        <f t="shared" si="8"/>
        <v>0</v>
      </c>
      <c r="AD60" s="692">
        <f t="shared" si="9"/>
        <v>0</v>
      </c>
      <c r="AE60" s="38"/>
      <c r="AF60" s="692">
        <f t="shared" si="10"/>
        <v>0</v>
      </c>
      <c r="AG60" s="692">
        <f t="shared" si="11"/>
        <v>0</v>
      </c>
      <c r="AH60" s="692">
        <f t="shared" si="12"/>
        <v>0</v>
      </c>
      <c r="AJ60" s="38">
        <f t="shared" si="13"/>
        <v>1436.07</v>
      </c>
    </row>
    <row r="61" spans="1:36">
      <c r="A61" s="21" t="s">
        <v>109</v>
      </c>
      <c r="B61" s="21" t="s">
        <v>110</v>
      </c>
      <c r="C61" s="666"/>
      <c r="D61" s="68" t="s">
        <v>438</v>
      </c>
      <c r="E61" s="679"/>
      <c r="F61" s="529">
        <f>VLOOKUP(D61,'Jan 2013 Revenue'!D:T,17,FALSE)</f>
        <v>0</v>
      </c>
      <c r="G61" s="680"/>
      <c r="H61" s="680"/>
      <c r="I61" s="755"/>
      <c r="J61" s="682">
        <f t="shared" si="28"/>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7"/>
        <v>0</v>
      </c>
      <c r="AC61" s="692">
        <f t="shared" si="8"/>
        <v>0</v>
      </c>
      <c r="AD61" s="692">
        <f t="shared" si="9"/>
        <v>0</v>
      </c>
      <c r="AE61" s="38"/>
      <c r="AF61" s="692">
        <f t="shared" si="10"/>
        <v>0</v>
      </c>
      <c r="AG61" s="692">
        <f t="shared" si="11"/>
        <v>0</v>
      </c>
      <c r="AH61" s="692">
        <f t="shared" si="12"/>
        <v>0</v>
      </c>
      <c r="AJ61" s="38">
        <f t="shared" si="13"/>
        <v>0</v>
      </c>
    </row>
    <row r="62" spans="1:36">
      <c r="A62" s="21"/>
      <c r="B62" s="21" t="s">
        <v>110</v>
      </c>
      <c r="C62" s="666"/>
      <c r="D62" s="68" t="s">
        <v>628</v>
      </c>
      <c r="E62" s="679">
        <v>404.13</v>
      </c>
      <c r="F62" s="529">
        <f>VLOOKUP(D62,'Jan 2013 Revenue'!D:T,17,FALSE)</f>
        <v>0</v>
      </c>
      <c r="G62" s="680"/>
      <c r="H62" s="680"/>
      <c r="I62" s="755"/>
      <c r="J62" s="682">
        <f t="shared" si="28"/>
        <v>404.13</v>
      </c>
      <c r="K62" s="683"/>
      <c r="L62" s="684"/>
      <c r="M62" s="753"/>
      <c r="N62" s="683">
        <v>0</v>
      </c>
      <c r="O62" s="686"/>
      <c r="P62" s="683">
        <v>0</v>
      </c>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7"/>
        <v>404.13</v>
      </c>
      <c r="AC62" s="692">
        <f t="shared" si="8"/>
        <v>0</v>
      </c>
      <c r="AD62" s="692">
        <f t="shared" si="9"/>
        <v>0</v>
      </c>
      <c r="AE62" s="38"/>
      <c r="AF62" s="692">
        <f t="shared" si="10"/>
        <v>0</v>
      </c>
      <c r="AG62" s="692">
        <f t="shared" si="11"/>
        <v>0</v>
      </c>
      <c r="AH62" s="692">
        <f t="shared" si="12"/>
        <v>0</v>
      </c>
      <c r="AJ62" s="38">
        <f t="shared" si="13"/>
        <v>404.13</v>
      </c>
    </row>
    <row r="63" spans="1:36">
      <c r="A63" s="21"/>
      <c r="B63" s="21" t="s">
        <v>110</v>
      </c>
      <c r="C63" s="666" t="s">
        <v>537</v>
      </c>
      <c r="D63" s="68" t="s">
        <v>12</v>
      </c>
      <c r="E63" s="679"/>
      <c r="F63" s="529">
        <f>VLOOKUP(D63,'Jan 2013 Revenue'!D:T,17,FALSE)</f>
        <v>0</v>
      </c>
      <c r="G63" s="680"/>
      <c r="H63" s="680"/>
      <c r="I63" s="755"/>
      <c r="J63" s="682">
        <f t="shared" si="28"/>
        <v>0</v>
      </c>
      <c r="K63" s="683"/>
      <c r="L63" s="684"/>
      <c r="M63" s="753"/>
      <c r="N63" s="683">
        <v>0</v>
      </c>
      <c r="O63" s="686"/>
      <c r="P63" s="683">
        <v>0</v>
      </c>
      <c r="Q63" s="687">
        <f t="shared" si="1"/>
        <v>0</v>
      </c>
      <c r="R63" s="688">
        <v>0</v>
      </c>
      <c r="S63" s="693"/>
      <c r="T63" s="690">
        <f t="shared" si="2"/>
        <v>0</v>
      </c>
      <c r="U63" s="683"/>
      <c r="V63" s="474">
        <f t="shared" si="3"/>
        <v>0</v>
      </c>
      <c r="W63" s="474">
        <f t="shared" si="4"/>
        <v>0</v>
      </c>
      <c r="X63" s="475">
        <f t="shared" si="5"/>
        <v>0</v>
      </c>
      <c r="Y63" s="475">
        <v>0</v>
      </c>
      <c r="Z63" s="476">
        <v>0</v>
      </c>
      <c r="AA63" s="38">
        <f t="shared" si="6"/>
        <v>0</v>
      </c>
      <c r="AB63" s="692">
        <f t="shared" si="7"/>
        <v>0</v>
      </c>
      <c r="AC63" s="692">
        <f t="shared" si="8"/>
        <v>0</v>
      </c>
      <c r="AD63" s="692">
        <f t="shared" si="9"/>
        <v>0</v>
      </c>
      <c r="AE63" s="38"/>
      <c r="AF63" s="692">
        <f t="shared" si="10"/>
        <v>0</v>
      </c>
      <c r="AG63" s="692">
        <f t="shared" si="11"/>
        <v>0</v>
      </c>
      <c r="AH63" s="692">
        <f t="shared" si="12"/>
        <v>0</v>
      </c>
      <c r="AJ63" s="38">
        <f t="shared" si="13"/>
        <v>0</v>
      </c>
    </row>
    <row r="64" spans="1:36" s="232" customFormat="1">
      <c r="A64" s="283" t="s">
        <v>211</v>
      </c>
      <c r="B64" s="283" t="s">
        <v>110</v>
      </c>
      <c r="C64" s="667" t="s">
        <v>538</v>
      </c>
      <c r="D64" s="123" t="s">
        <v>170</v>
      </c>
      <c r="E64" s="679"/>
      <c r="F64" s="529">
        <f>VLOOKUP(D64,'Jan 2013 Revenue'!D:T,17,FALSE)</f>
        <v>-100000</v>
      </c>
      <c r="G64" s="680"/>
      <c r="H64" s="680"/>
      <c r="I64" s="755"/>
      <c r="J64" s="682">
        <f t="shared" si="28"/>
        <v>-100000</v>
      </c>
      <c r="K64" s="683"/>
      <c r="L64" s="684"/>
      <c r="M64" s="753">
        <v>200000</v>
      </c>
      <c r="N64" s="683">
        <v>0</v>
      </c>
      <c r="O64" s="686"/>
      <c r="P64" s="683">
        <v>0</v>
      </c>
      <c r="Q64" s="687">
        <f t="shared" si="1"/>
        <v>200000</v>
      </c>
      <c r="R64" s="688">
        <v>0</v>
      </c>
      <c r="S64" s="693"/>
      <c r="T64" s="690">
        <f t="shared" si="2"/>
        <v>-200000</v>
      </c>
      <c r="U64" s="683"/>
      <c r="V64" s="474">
        <f t="shared" si="3"/>
        <v>200000</v>
      </c>
      <c r="W64" s="474">
        <f t="shared" si="4"/>
        <v>0</v>
      </c>
      <c r="X64" s="475">
        <f t="shared" si="5"/>
        <v>0</v>
      </c>
      <c r="Y64" s="475">
        <v>0</v>
      </c>
      <c r="Z64" s="476">
        <v>0</v>
      </c>
      <c r="AA64" s="38">
        <f t="shared" si="6"/>
        <v>0</v>
      </c>
      <c r="AB64" s="692">
        <f t="shared" si="7"/>
        <v>-100000</v>
      </c>
      <c r="AC64" s="692">
        <f t="shared" si="8"/>
        <v>0</v>
      </c>
      <c r="AD64" s="692">
        <f t="shared" si="9"/>
        <v>0</v>
      </c>
      <c r="AE64" s="38"/>
      <c r="AF64" s="692">
        <f t="shared" si="10"/>
        <v>200000</v>
      </c>
      <c r="AG64" s="692">
        <f t="shared" si="11"/>
        <v>0</v>
      </c>
      <c r="AH64" s="692">
        <f t="shared" si="12"/>
        <v>0</v>
      </c>
      <c r="AJ64" s="38">
        <f t="shared" si="13"/>
        <v>100000</v>
      </c>
    </row>
    <row r="65" spans="1:36" s="232" customFormat="1">
      <c r="A65" s="283" t="s">
        <v>211</v>
      </c>
      <c r="B65" s="283" t="s">
        <v>110</v>
      </c>
      <c r="C65" s="667" t="s">
        <v>538</v>
      </c>
      <c r="D65" s="123" t="s">
        <v>171</v>
      </c>
      <c r="E65" s="679"/>
      <c r="F65" s="529">
        <f>VLOOKUP(D65,'Jan 2013 Revenue'!D:T,17,FALSE)</f>
        <v>0</v>
      </c>
      <c r="G65" s="680"/>
      <c r="H65" s="680"/>
      <c r="I65" s="755"/>
      <c r="J65" s="682">
        <f t="shared" si="28"/>
        <v>0</v>
      </c>
      <c r="K65" s="683"/>
      <c r="L65" s="684"/>
      <c r="M65" s="753"/>
      <c r="N65" s="683">
        <v>0</v>
      </c>
      <c r="O65" s="686"/>
      <c r="P65" s="683">
        <v>0</v>
      </c>
      <c r="Q65" s="687">
        <f t="shared" si="1"/>
        <v>0</v>
      </c>
      <c r="R65" s="688">
        <v>0</v>
      </c>
      <c r="S65" s="693"/>
      <c r="T65" s="690">
        <f t="shared" si="2"/>
        <v>0</v>
      </c>
      <c r="U65" s="683"/>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c r="AJ65" s="38">
        <f t="shared" si="13"/>
        <v>0</v>
      </c>
    </row>
    <row r="66" spans="1:36" s="232" customFormat="1" hidden="1">
      <c r="A66" s="283" t="s">
        <v>211</v>
      </c>
      <c r="B66" s="283" t="s">
        <v>110</v>
      </c>
      <c r="C66" s="667" t="s">
        <v>538</v>
      </c>
      <c r="D66" s="123" t="s">
        <v>13</v>
      </c>
      <c r="E66" s="679"/>
      <c r="F66" s="529">
        <f>VLOOKUP(D66,'Jan 2013 Revenue'!D:T,17,FALSE)</f>
        <v>0</v>
      </c>
      <c r="G66" s="680"/>
      <c r="H66" s="680"/>
      <c r="I66" s="755"/>
      <c r="J66" s="682">
        <f t="shared" si="28"/>
        <v>0</v>
      </c>
      <c r="K66" s="683"/>
      <c r="L66" s="684"/>
      <c r="M66" s="753"/>
      <c r="N66" s="683">
        <v>0</v>
      </c>
      <c r="O66" s="686"/>
      <c r="P66" s="683">
        <v>0</v>
      </c>
      <c r="Q66" s="687">
        <f t="shared" si="1"/>
        <v>0</v>
      </c>
      <c r="R66" s="688">
        <v>0</v>
      </c>
      <c r="S66" s="693"/>
      <c r="T66" s="690">
        <f t="shared" si="2"/>
        <v>0</v>
      </c>
      <c r="U66" s="683"/>
      <c r="V66" s="474">
        <f t="shared" si="3"/>
        <v>0</v>
      </c>
      <c r="W66" s="474">
        <f t="shared" si="4"/>
        <v>0</v>
      </c>
      <c r="X66" s="475">
        <f t="shared" si="5"/>
        <v>0</v>
      </c>
      <c r="Y66" s="475">
        <v>0</v>
      </c>
      <c r="Z66" s="476">
        <v>0</v>
      </c>
      <c r="AA66" s="38">
        <f t="shared" si="6"/>
        <v>0</v>
      </c>
      <c r="AB66" s="692">
        <f t="shared" si="7"/>
        <v>0</v>
      </c>
      <c r="AC66" s="692">
        <f t="shared" si="8"/>
        <v>0</v>
      </c>
      <c r="AD66" s="692">
        <f t="shared" si="9"/>
        <v>0</v>
      </c>
      <c r="AE66" s="38"/>
      <c r="AF66" s="692">
        <f t="shared" si="10"/>
        <v>0</v>
      </c>
      <c r="AG66" s="692">
        <f t="shared" si="11"/>
        <v>0</v>
      </c>
      <c r="AH66" s="692">
        <f t="shared" si="12"/>
        <v>0</v>
      </c>
      <c r="AJ66" s="38">
        <f t="shared" si="13"/>
        <v>0</v>
      </c>
    </row>
    <row r="67" spans="1:36" s="232" customFormat="1" hidden="1">
      <c r="A67" s="283" t="s">
        <v>211</v>
      </c>
      <c r="B67" s="283" t="s">
        <v>110</v>
      </c>
      <c r="C67" s="667" t="s">
        <v>538</v>
      </c>
      <c r="D67" s="123" t="s">
        <v>172</v>
      </c>
      <c r="E67" s="679"/>
      <c r="F67" s="529">
        <f>VLOOKUP(D67,'Jan 2013 Revenue'!D:T,17,FALSE)</f>
        <v>0</v>
      </c>
      <c r="G67" s="680"/>
      <c r="H67" s="680"/>
      <c r="I67" s="755"/>
      <c r="J67" s="682">
        <f t="shared" si="28"/>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7"/>
        <v>0</v>
      </c>
      <c r="AC67" s="692">
        <f t="shared" si="8"/>
        <v>0</v>
      </c>
      <c r="AD67" s="692">
        <f t="shared" si="9"/>
        <v>0</v>
      </c>
      <c r="AE67" s="38"/>
      <c r="AF67" s="692">
        <f t="shared" si="10"/>
        <v>0</v>
      </c>
      <c r="AG67" s="692">
        <f t="shared" si="11"/>
        <v>0</v>
      </c>
      <c r="AH67" s="692">
        <f t="shared" si="12"/>
        <v>0</v>
      </c>
      <c r="AJ67" s="38">
        <f t="shared" si="13"/>
        <v>0</v>
      </c>
    </row>
    <row r="68" spans="1:36" s="232" customFormat="1" hidden="1">
      <c r="A68" s="283" t="s">
        <v>211</v>
      </c>
      <c r="B68" s="283" t="s">
        <v>110</v>
      </c>
      <c r="C68" s="667" t="s">
        <v>538</v>
      </c>
      <c r="D68" s="123" t="s">
        <v>173</v>
      </c>
      <c r="E68" s="679"/>
      <c r="F68" s="529">
        <f>VLOOKUP(D68,'Jan 2013 Revenue'!D:T,17,FALSE)</f>
        <v>0</v>
      </c>
      <c r="G68" s="680"/>
      <c r="H68" s="680"/>
      <c r="I68" s="755"/>
      <c r="J68" s="682">
        <f t="shared" si="28"/>
        <v>0</v>
      </c>
      <c r="K68" s="683"/>
      <c r="L68" s="684"/>
      <c r="M68" s="753"/>
      <c r="N68" s="683">
        <v>0</v>
      </c>
      <c r="O68" s="686"/>
      <c r="P68" s="683">
        <v>0</v>
      </c>
      <c r="Q68" s="687">
        <f t="shared" si="1"/>
        <v>0</v>
      </c>
      <c r="R68" s="688">
        <v>0</v>
      </c>
      <c r="S68" s="693"/>
      <c r="T68" s="690">
        <f t="shared" si="2"/>
        <v>0</v>
      </c>
      <c r="U68" s="683"/>
      <c r="V68" s="474">
        <f t="shared" si="3"/>
        <v>0</v>
      </c>
      <c r="W68" s="474">
        <f t="shared" si="4"/>
        <v>0</v>
      </c>
      <c r="X68" s="475">
        <f t="shared" si="5"/>
        <v>0</v>
      </c>
      <c r="Y68" s="475">
        <v>0</v>
      </c>
      <c r="Z68" s="476">
        <v>0</v>
      </c>
      <c r="AA68" s="38">
        <f t="shared" si="6"/>
        <v>0</v>
      </c>
      <c r="AB68" s="692">
        <f t="shared" si="7"/>
        <v>0</v>
      </c>
      <c r="AC68" s="692">
        <f t="shared" si="8"/>
        <v>0</v>
      </c>
      <c r="AD68" s="692">
        <f t="shared" si="9"/>
        <v>0</v>
      </c>
      <c r="AE68" s="38"/>
      <c r="AF68" s="692">
        <f t="shared" si="10"/>
        <v>0</v>
      </c>
      <c r="AG68" s="692">
        <f t="shared" si="11"/>
        <v>0</v>
      </c>
      <c r="AH68" s="692">
        <f t="shared" si="12"/>
        <v>0</v>
      </c>
      <c r="AJ68" s="38">
        <f t="shared" si="13"/>
        <v>0</v>
      </c>
    </row>
    <row r="69" spans="1:36" s="232" customFormat="1" hidden="1">
      <c r="A69" s="283" t="s">
        <v>211</v>
      </c>
      <c r="B69" s="283" t="s">
        <v>110</v>
      </c>
      <c r="C69" s="667" t="s">
        <v>538</v>
      </c>
      <c r="D69" s="123" t="s">
        <v>174</v>
      </c>
      <c r="E69" s="679"/>
      <c r="F69" s="529">
        <f>VLOOKUP(D69,'Jan 2013 Revenue'!D:T,17,FALSE)</f>
        <v>0</v>
      </c>
      <c r="G69" s="680"/>
      <c r="H69" s="680"/>
      <c r="I69" s="755"/>
      <c r="J69" s="682">
        <f t="shared" si="28"/>
        <v>0</v>
      </c>
      <c r="K69" s="683"/>
      <c r="L69" s="684"/>
      <c r="M69" s="753"/>
      <c r="N69" s="683">
        <v>0</v>
      </c>
      <c r="O69" s="686"/>
      <c r="P69" s="683">
        <v>0</v>
      </c>
      <c r="Q69" s="687">
        <f t="shared" si="1"/>
        <v>0</v>
      </c>
      <c r="R69" s="688">
        <v>0</v>
      </c>
      <c r="S69" s="693"/>
      <c r="T69" s="690">
        <f t="shared" si="2"/>
        <v>0</v>
      </c>
      <c r="U69" s="683"/>
      <c r="V69" s="474">
        <f t="shared" si="3"/>
        <v>0</v>
      </c>
      <c r="W69" s="474">
        <f t="shared" si="4"/>
        <v>0</v>
      </c>
      <c r="X69" s="475">
        <f t="shared" si="5"/>
        <v>0</v>
      </c>
      <c r="Y69" s="475">
        <v>0</v>
      </c>
      <c r="Z69" s="476">
        <v>0</v>
      </c>
      <c r="AA69" s="38">
        <f t="shared" si="6"/>
        <v>0</v>
      </c>
      <c r="AB69" s="692">
        <f t="shared" si="7"/>
        <v>0</v>
      </c>
      <c r="AC69" s="692">
        <f t="shared" si="8"/>
        <v>0</v>
      </c>
      <c r="AD69" s="692">
        <f t="shared" si="9"/>
        <v>0</v>
      </c>
      <c r="AE69" s="38"/>
      <c r="AF69" s="692">
        <f t="shared" si="10"/>
        <v>0</v>
      </c>
      <c r="AG69" s="692">
        <f t="shared" si="11"/>
        <v>0</v>
      </c>
      <c r="AH69" s="692">
        <f t="shared" si="12"/>
        <v>0</v>
      </c>
      <c r="AJ69" s="38">
        <f t="shared" si="13"/>
        <v>0</v>
      </c>
    </row>
    <row r="70" spans="1:36" s="232" customFormat="1">
      <c r="A70" s="283"/>
      <c r="B70" s="283" t="s">
        <v>109</v>
      </c>
      <c r="C70" s="794"/>
      <c r="D70" s="351" t="s">
        <v>14</v>
      </c>
      <c r="E70" s="679"/>
      <c r="F70" s="529">
        <f>VLOOKUP(D70,'Jan 2013 Revenue'!D:T,17,FALSE)</f>
        <v>0</v>
      </c>
      <c r="G70" s="680"/>
      <c r="H70" s="680"/>
      <c r="I70" s="755"/>
      <c r="J70" s="682">
        <f t="shared" si="28"/>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c r="AJ70" s="38">
        <f t="shared" si="13"/>
        <v>0</v>
      </c>
    </row>
    <row r="71" spans="1:36">
      <c r="A71" s="20"/>
      <c r="B71" s="20" t="s">
        <v>110</v>
      </c>
      <c r="C71" s="667"/>
      <c r="D71" s="68" t="s">
        <v>15</v>
      </c>
      <c r="E71" s="679"/>
      <c r="F71" s="529">
        <f>VLOOKUP(D71,'Jan 2013 Revenue'!D:T,17,FALSE)</f>
        <v>-8000</v>
      </c>
      <c r="G71" s="680"/>
      <c r="H71" s="680"/>
      <c r="I71" s="755"/>
      <c r="J71" s="682">
        <f t="shared" si="28"/>
        <v>-8000</v>
      </c>
      <c r="K71" s="683"/>
      <c r="L71" s="684"/>
      <c r="M71" s="753"/>
      <c r="N71" s="683">
        <v>0</v>
      </c>
      <c r="O71" s="686"/>
      <c r="P71" s="683">
        <v>0</v>
      </c>
      <c r="Q71" s="687">
        <f t="shared" si="1"/>
        <v>0</v>
      </c>
      <c r="R71" s="688">
        <v>0</v>
      </c>
      <c r="S71" s="693"/>
      <c r="T71" s="690">
        <f t="shared" si="2"/>
        <v>0</v>
      </c>
      <c r="U71" s="683"/>
      <c r="V71" s="474">
        <f t="shared" si="3"/>
        <v>0</v>
      </c>
      <c r="W71" s="474">
        <f t="shared" si="4"/>
        <v>0</v>
      </c>
      <c r="X71" s="475">
        <f t="shared" si="5"/>
        <v>0</v>
      </c>
      <c r="Y71" s="475">
        <v>0</v>
      </c>
      <c r="Z71" s="476">
        <v>0</v>
      </c>
      <c r="AA71" s="38">
        <f t="shared" si="6"/>
        <v>0</v>
      </c>
      <c r="AB71" s="692">
        <f t="shared" si="7"/>
        <v>-8000</v>
      </c>
      <c r="AC71" s="692">
        <f t="shared" si="8"/>
        <v>0</v>
      </c>
      <c r="AD71" s="692">
        <f t="shared" si="9"/>
        <v>0</v>
      </c>
      <c r="AE71" s="38"/>
      <c r="AF71" s="692">
        <f t="shared" si="10"/>
        <v>0</v>
      </c>
      <c r="AG71" s="692">
        <f t="shared" si="11"/>
        <v>0</v>
      </c>
      <c r="AH71" s="692">
        <f t="shared" si="12"/>
        <v>0</v>
      </c>
      <c r="AJ71" s="38">
        <f t="shared" si="13"/>
        <v>-8000</v>
      </c>
    </row>
    <row r="72" spans="1:36">
      <c r="A72" s="20"/>
      <c r="B72" s="20" t="s">
        <v>110</v>
      </c>
      <c r="C72" s="667"/>
      <c r="D72" s="68" t="s">
        <v>646</v>
      </c>
      <c r="E72" s="679"/>
      <c r="F72" s="529">
        <f>VLOOKUP(D72,'Jan 2013 Revenue'!D:T,17,FALSE)</f>
        <v>289.95999999999998</v>
      </c>
      <c r="G72" s="680"/>
      <c r="H72" s="680"/>
      <c r="I72" s="770">
        <v>261.83</v>
      </c>
      <c r="J72" s="682">
        <f t="shared" si="28"/>
        <v>551.79</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7"/>
        <v>551.79</v>
      </c>
      <c r="AC72" s="692">
        <f t="shared" si="8"/>
        <v>0</v>
      </c>
      <c r="AD72" s="692">
        <f t="shared" si="9"/>
        <v>0</v>
      </c>
      <c r="AE72" s="38"/>
      <c r="AF72" s="692">
        <f t="shared" si="10"/>
        <v>0</v>
      </c>
      <c r="AG72" s="692">
        <f t="shared" si="11"/>
        <v>0</v>
      </c>
      <c r="AH72" s="692">
        <f t="shared" si="12"/>
        <v>0</v>
      </c>
      <c r="AJ72" s="38">
        <f t="shared" si="13"/>
        <v>551.79</v>
      </c>
    </row>
    <row r="73" spans="1:36">
      <c r="A73" s="20" t="s">
        <v>109</v>
      </c>
      <c r="B73" s="20" t="s">
        <v>109</v>
      </c>
      <c r="C73" s="667" t="s">
        <v>539</v>
      </c>
      <c r="D73" s="68" t="s">
        <v>510</v>
      </c>
      <c r="E73" s="679"/>
      <c r="F73" s="529">
        <f>VLOOKUP(D73,'Jan 2013 Revenue'!D:T,17,FALSE)</f>
        <v>0</v>
      </c>
      <c r="G73" s="680"/>
      <c r="H73" s="680"/>
      <c r="I73" s="755"/>
      <c r="J73" s="682">
        <f t="shared" si="28"/>
        <v>0</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8"/>
        <v>0</v>
      </c>
      <c r="AD73" s="692">
        <f t="shared" si="9"/>
        <v>0</v>
      </c>
      <c r="AE73" s="38"/>
      <c r="AF73" s="692">
        <f t="shared" si="10"/>
        <v>0</v>
      </c>
      <c r="AG73" s="692">
        <f t="shared" si="11"/>
        <v>0</v>
      </c>
      <c r="AH73" s="692">
        <f t="shared" si="12"/>
        <v>0</v>
      </c>
      <c r="AJ73" s="38">
        <f t="shared" si="13"/>
        <v>0</v>
      </c>
    </row>
    <row r="74" spans="1:36">
      <c r="A74" s="20"/>
      <c r="B74" s="20" t="s">
        <v>109</v>
      </c>
      <c r="C74" s="667"/>
      <c r="D74" s="68" t="s">
        <v>16</v>
      </c>
      <c r="E74" s="679">
        <f>64.71+63.49</f>
        <v>128.19999999999999</v>
      </c>
      <c r="F74" s="529">
        <f>VLOOKUP(D74,'Jan 2013 Revenue'!D:T,17,FALSE)</f>
        <v>0</v>
      </c>
      <c r="G74" s="680"/>
      <c r="H74" s="680"/>
      <c r="I74" s="755"/>
      <c r="J74" s="682">
        <f t="shared" si="28"/>
        <v>128.19999999999999</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128.19999999999999</v>
      </c>
      <c r="AD74" s="692">
        <f t="shared" si="9"/>
        <v>0</v>
      </c>
      <c r="AE74" s="38"/>
      <c r="AF74" s="692">
        <f t="shared" si="10"/>
        <v>0</v>
      </c>
      <c r="AG74" s="692">
        <f t="shared" si="11"/>
        <v>0</v>
      </c>
      <c r="AH74" s="692">
        <f t="shared" si="12"/>
        <v>0</v>
      </c>
      <c r="AJ74" s="38">
        <f t="shared" si="13"/>
        <v>128.19999999999999</v>
      </c>
    </row>
    <row r="75" spans="1:36">
      <c r="A75" s="20"/>
      <c r="B75" s="20" t="s">
        <v>110</v>
      </c>
      <c r="C75" s="667"/>
      <c r="D75" s="68" t="s">
        <v>597</v>
      </c>
      <c r="E75" s="679"/>
      <c r="F75" s="529">
        <f>VLOOKUP(D75,'Jan 2013 Revenue'!D:T,17,FALSE)</f>
        <v>17577.229999999996</v>
      </c>
      <c r="G75" s="680"/>
      <c r="H75" s="680"/>
      <c r="I75" s="755"/>
      <c r="J75" s="682">
        <f t="shared" si="28"/>
        <v>17577.229999999996</v>
      </c>
      <c r="K75" s="683"/>
      <c r="L75" s="684"/>
      <c r="M75" s="753">
        <v>125000</v>
      </c>
      <c r="N75" s="683">
        <v>0</v>
      </c>
      <c r="O75" s="686"/>
      <c r="P75" s="683">
        <v>0</v>
      </c>
      <c r="Q75" s="687">
        <f t="shared" si="1"/>
        <v>125000</v>
      </c>
      <c r="R75" s="688">
        <v>119959.31</v>
      </c>
      <c r="S75" s="693"/>
      <c r="T75" s="690">
        <f t="shared" si="2"/>
        <v>-5040.6900000000023</v>
      </c>
      <c r="U75" s="683"/>
      <c r="V75" s="474">
        <f t="shared" si="3"/>
        <v>125000</v>
      </c>
      <c r="W75" s="474">
        <f t="shared" si="4"/>
        <v>0</v>
      </c>
      <c r="X75" s="475">
        <f t="shared" si="5"/>
        <v>0</v>
      </c>
      <c r="Y75" s="475">
        <v>0</v>
      </c>
      <c r="Z75" s="476">
        <v>0</v>
      </c>
      <c r="AA75" s="38">
        <f t="shared" si="6"/>
        <v>0</v>
      </c>
      <c r="AB75" s="692">
        <f t="shared" si="7"/>
        <v>17577.229999999996</v>
      </c>
      <c r="AC75" s="692">
        <f t="shared" si="8"/>
        <v>0</v>
      </c>
      <c r="AD75" s="692">
        <f t="shared" si="9"/>
        <v>0</v>
      </c>
      <c r="AE75" s="38"/>
      <c r="AF75" s="692">
        <f t="shared" si="10"/>
        <v>125000</v>
      </c>
      <c r="AG75" s="692">
        <f t="shared" si="11"/>
        <v>0</v>
      </c>
      <c r="AH75" s="692">
        <f t="shared" si="12"/>
        <v>0</v>
      </c>
      <c r="AJ75" s="38">
        <f t="shared" si="13"/>
        <v>142577.22999999998</v>
      </c>
    </row>
    <row r="76" spans="1:36" s="232" customFormat="1">
      <c r="A76" s="283"/>
      <c r="B76" s="283" t="s">
        <v>109</v>
      </c>
      <c r="C76" s="667" t="s">
        <v>540</v>
      </c>
      <c r="D76" s="373" t="s">
        <v>410</v>
      </c>
      <c r="E76" s="679"/>
      <c r="F76" s="529">
        <f>VLOOKUP(D76,'Jan 2013 Revenue'!D:T,17,FALSE)</f>
        <v>241.13000000000102</v>
      </c>
      <c r="G76" s="680"/>
      <c r="H76" s="680"/>
      <c r="I76" s="755"/>
      <c r="J76" s="682">
        <f t="shared" si="28"/>
        <v>241.13000000000102</v>
      </c>
      <c r="K76" s="683"/>
      <c r="L76" s="684"/>
      <c r="M76" s="753">
        <v>20000</v>
      </c>
      <c r="N76" s="683">
        <v>0</v>
      </c>
      <c r="O76" s="686"/>
      <c r="P76" s="683">
        <v>0</v>
      </c>
      <c r="Q76" s="687">
        <f t="shared" si="1"/>
        <v>20000</v>
      </c>
      <c r="R76" s="688">
        <v>0</v>
      </c>
      <c r="S76" s="693"/>
      <c r="T76" s="690">
        <f t="shared" si="2"/>
        <v>-20000</v>
      </c>
      <c r="U76" s="683"/>
      <c r="V76" s="474">
        <f t="shared" si="3"/>
        <v>0</v>
      </c>
      <c r="W76" s="474">
        <f t="shared" si="4"/>
        <v>20000</v>
      </c>
      <c r="X76" s="475">
        <f t="shared" si="5"/>
        <v>0</v>
      </c>
      <c r="Y76" s="475">
        <v>0</v>
      </c>
      <c r="Z76" s="476">
        <v>0</v>
      </c>
      <c r="AA76" s="38">
        <f t="shared" si="6"/>
        <v>0</v>
      </c>
      <c r="AB76" s="692">
        <f t="shared" si="7"/>
        <v>0</v>
      </c>
      <c r="AC76" s="692">
        <f t="shared" si="8"/>
        <v>241.13000000000102</v>
      </c>
      <c r="AD76" s="692">
        <f t="shared" si="9"/>
        <v>0</v>
      </c>
      <c r="AE76" s="38"/>
      <c r="AF76" s="692">
        <f t="shared" si="10"/>
        <v>0</v>
      </c>
      <c r="AG76" s="692">
        <f t="shared" si="11"/>
        <v>20000</v>
      </c>
      <c r="AH76" s="692">
        <f t="shared" si="12"/>
        <v>0</v>
      </c>
      <c r="AJ76" s="38">
        <f t="shared" si="13"/>
        <v>20241.13</v>
      </c>
    </row>
    <row r="77" spans="1:36" s="232" customFormat="1">
      <c r="A77" s="283"/>
      <c r="B77" s="283" t="s">
        <v>109</v>
      </c>
      <c r="C77" s="667" t="s">
        <v>540</v>
      </c>
      <c r="D77" s="373" t="s">
        <v>879</v>
      </c>
      <c r="E77" s="679"/>
      <c r="F77" s="529">
        <f>VLOOKUP(D77,'Jan 2013 Revenue'!D:T,17,FALSE)</f>
        <v>0</v>
      </c>
      <c r="G77" s="680"/>
      <c r="H77" s="680"/>
      <c r="I77" s="755"/>
      <c r="J77" s="682">
        <f t="shared" si="28"/>
        <v>0</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si="7"/>
        <v>0</v>
      </c>
      <c r="AC77" s="692">
        <f t="shared" si="8"/>
        <v>0</v>
      </c>
      <c r="AD77" s="692">
        <f t="shared" si="9"/>
        <v>0</v>
      </c>
      <c r="AE77" s="38"/>
      <c r="AF77" s="692">
        <f t="shared" si="10"/>
        <v>0</v>
      </c>
      <c r="AG77" s="692">
        <f t="shared" si="11"/>
        <v>0</v>
      </c>
      <c r="AH77" s="692">
        <f t="shared" si="12"/>
        <v>0</v>
      </c>
      <c r="AJ77" s="38">
        <f t="shared" si="13"/>
        <v>0</v>
      </c>
    </row>
    <row r="78" spans="1:36" s="232" customFormat="1">
      <c r="A78" s="283"/>
      <c r="B78" s="283" t="s">
        <v>109</v>
      </c>
      <c r="C78" s="667" t="s">
        <v>540</v>
      </c>
      <c r="D78" s="373" t="s">
        <v>620</v>
      </c>
      <c r="E78" s="679"/>
      <c r="F78" s="529">
        <f>VLOOKUP(D78,'Jan 2013 Revenue'!D:T,17,FALSE)</f>
        <v>0</v>
      </c>
      <c r="G78" s="680"/>
      <c r="H78" s="680"/>
      <c r="I78" s="755"/>
      <c r="J78" s="682">
        <f t="shared" si="28"/>
        <v>0</v>
      </c>
      <c r="K78" s="683"/>
      <c r="L78" s="684"/>
      <c r="M78" s="753"/>
      <c r="N78" s="683">
        <v>0</v>
      </c>
      <c r="O78" s="686"/>
      <c r="P78" s="683">
        <v>0</v>
      </c>
      <c r="Q78" s="687">
        <f t="shared" si="1"/>
        <v>0</v>
      </c>
      <c r="R78" s="688">
        <v>0</v>
      </c>
      <c r="S78" s="693"/>
      <c r="T78" s="690">
        <f t="shared" si="2"/>
        <v>0</v>
      </c>
      <c r="U78" s="683"/>
      <c r="V78" s="474">
        <f t="shared" si="3"/>
        <v>0</v>
      </c>
      <c r="W78" s="474">
        <f t="shared" si="4"/>
        <v>0</v>
      </c>
      <c r="X78" s="475">
        <f t="shared" si="5"/>
        <v>0</v>
      </c>
      <c r="Y78" s="475">
        <v>0</v>
      </c>
      <c r="Z78" s="476">
        <v>0</v>
      </c>
      <c r="AA78" s="38">
        <f t="shared" si="6"/>
        <v>0</v>
      </c>
      <c r="AB78" s="692">
        <f t="shared" si="7"/>
        <v>0</v>
      </c>
      <c r="AC78" s="692">
        <f t="shared" si="8"/>
        <v>0</v>
      </c>
      <c r="AD78" s="692">
        <f t="shared" si="9"/>
        <v>0</v>
      </c>
      <c r="AE78" s="38"/>
      <c r="AF78" s="692">
        <f t="shared" si="10"/>
        <v>0</v>
      </c>
      <c r="AG78" s="692">
        <f t="shared" si="11"/>
        <v>0</v>
      </c>
      <c r="AH78" s="692">
        <f t="shared" si="12"/>
        <v>0</v>
      </c>
      <c r="AJ78" s="38">
        <f t="shared" ref="AJ78:AJ143" si="29">SUM(AB78:AH78)</f>
        <v>0</v>
      </c>
    </row>
    <row r="79" spans="1:36">
      <c r="A79" s="20"/>
      <c r="B79" s="20" t="s">
        <v>110</v>
      </c>
      <c r="C79" s="667" t="s">
        <v>541</v>
      </c>
      <c r="D79" s="351" t="s">
        <v>507</v>
      </c>
      <c r="E79" s="679"/>
      <c r="F79" s="529">
        <f>VLOOKUP(D79,'Jan 2013 Revenue'!D:T,17,FALSE)</f>
        <v>0</v>
      </c>
      <c r="G79" s="680"/>
      <c r="H79" s="680"/>
      <c r="I79" s="755"/>
      <c r="J79" s="682">
        <f t="shared" si="28"/>
        <v>0</v>
      </c>
      <c r="K79" s="683"/>
      <c r="L79" s="684"/>
      <c r="M79" s="753"/>
      <c r="N79" s="683">
        <v>0</v>
      </c>
      <c r="O79" s="686"/>
      <c r="P79" s="683">
        <v>0</v>
      </c>
      <c r="Q79" s="687">
        <f t="shared" si="1"/>
        <v>0</v>
      </c>
      <c r="R79" s="688">
        <v>0</v>
      </c>
      <c r="S79" s="693"/>
      <c r="T79" s="690">
        <f t="shared" si="2"/>
        <v>0</v>
      </c>
      <c r="U79" s="683"/>
      <c r="V79" s="474">
        <f t="shared" si="3"/>
        <v>0</v>
      </c>
      <c r="W79" s="474">
        <f t="shared" si="4"/>
        <v>0</v>
      </c>
      <c r="X79" s="475">
        <f t="shared" si="5"/>
        <v>0</v>
      </c>
      <c r="Y79" s="475">
        <v>0</v>
      </c>
      <c r="Z79" s="476">
        <v>0</v>
      </c>
      <c r="AA79" s="38">
        <f t="shared" si="6"/>
        <v>0</v>
      </c>
      <c r="AB79" s="692">
        <f t="shared" si="7"/>
        <v>0</v>
      </c>
      <c r="AC79" s="692">
        <f t="shared" si="8"/>
        <v>0</v>
      </c>
      <c r="AD79" s="692">
        <f t="shared" si="9"/>
        <v>0</v>
      </c>
      <c r="AE79" s="38"/>
      <c r="AF79" s="692">
        <f t="shared" si="10"/>
        <v>0</v>
      </c>
      <c r="AG79" s="692">
        <f t="shared" si="11"/>
        <v>0</v>
      </c>
      <c r="AH79" s="692">
        <f t="shared" si="12"/>
        <v>0</v>
      </c>
      <c r="AJ79" s="38">
        <f t="shared" si="29"/>
        <v>0</v>
      </c>
    </row>
    <row r="80" spans="1:36">
      <c r="A80" s="20"/>
      <c r="B80" s="20" t="s">
        <v>110</v>
      </c>
      <c r="C80" s="667" t="s">
        <v>541</v>
      </c>
      <c r="D80" s="351" t="s">
        <v>506</v>
      </c>
      <c r="E80" s="679"/>
      <c r="F80" s="529">
        <f>VLOOKUP(D80,'Jan 2013 Revenue'!D:T,17,FALSE)</f>
        <v>0</v>
      </c>
      <c r="G80" s="680"/>
      <c r="H80" s="680"/>
      <c r="I80" s="755"/>
      <c r="J80" s="682">
        <f t="shared" si="28"/>
        <v>0</v>
      </c>
      <c r="K80" s="683"/>
      <c r="L80" s="684"/>
      <c r="M80" s="753"/>
      <c r="N80" s="683">
        <v>0</v>
      </c>
      <c r="O80" s="686"/>
      <c r="P80" s="683">
        <v>0</v>
      </c>
      <c r="Q80" s="687">
        <f t="shared" si="1"/>
        <v>0</v>
      </c>
      <c r="R80" s="688">
        <v>0</v>
      </c>
      <c r="S80" s="693"/>
      <c r="T80" s="690">
        <f t="shared" si="2"/>
        <v>0</v>
      </c>
      <c r="U80" s="683"/>
      <c r="V80" s="474">
        <f t="shared" si="3"/>
        <v>0</v>
      </c>
      <c r="W80" s="474">
        <f t="shared" si="4"/>
        <v>0</v>
      </c>
      <c r="X80" s="475">
        <f t="shared" si="5"/>
        <v>0</v>
      </c>
      <c r="Y80" s="475">
        <v>0</v>
      </c>
      <c r="Z80" s="476">
        <v>0</v>
      </c>
      <c r="AA80" s="38">
        <f t="shared" si="6"/>
        <v>0</v>
      </c>
      <c r="AB80" s="692">
        <f t="shared" si="7"/>
        <v>0</v>
      </c>
      <c r="AC80" s="692">
        <f t="shared" si="8"/>
        <v>0</v>
      </c>
      <c r="AD80" s="692">
        <f t="shared" si="9"/>
        <v>0</v>
      </c>
      <c r="AE80" s="38"/>
      <c r="AF80" s="692">
        <f t="shared" si="10"/>
        <v>0</v>
      </c>
      <c r="AG80" s="692">
        <f t="shared" si="11"/>
        <v>0</v>
      </c>
      <c r="AH80" s="692">
        <f t="shared" si="12"/>
        <v>0</v>
      </c>
      <c r="AJ80" s="38">
        <f t="shared" si="29"/>
        <v>0</v>
      </c>
    </row>
    <row r="81" spans="1:36">
      <c r="A81" s="20"/>
      <c r="B81" s="20" t="s">
        <v>110</v>
      </c>
      <c r="C81" s="667" t="s">
        <v>542</v>
      </c>
      <c r="D81" s="68" t="s">
        <v>305</v>
      </c>
      <c r="E81" s="679">
        <f>252.28+533.41</f>
        <v>785.68999999999994</v>
      </c>
      <c r="F81" s="529">
        <f>VLOOKUP(D81,'Jan 2013 Revenue'!D:T,17,FALSE)</f>
        <v>393.7</v>
      </c>
      <c r="G81" s="680"/>
      <c r="H81" s="680"/>
      <c r="I81" s="770">
        <v>248.38</v>
      </c>
      <c r="J81" s="682">
        <f t="shared" ref="J81:J144" si="30">SUM(E81:I81)</f>
        <v>1427.77</v>
      </c>
      <c r="K81" s="683"/>
      <c r="L81" s="684"/>
      <c r="M81" s="753"/>
      <c r="N81" s="683">
        <v>0</v>
      </c>
      <c r="O81" s="686"/>
      <c r="P81" s="683">
        <v>0</v>
      </c>
      <c r="Q81" s="687">
        <f t="shared" si="1"/>
        <v>0</v>
      </c>
      <c r="R81" s="688">
        <v>0</v>
      </c>
      <c r="S81" s="693"/>
      <c r="T81" s="690">
        <f t="shared" ref="T81:T144" si="31">IF(R81="","",R81-Q81)</f>
        <v>0</v>
      </c>
      <c r="U81" s="683"/>
      <c r="V81" s="474">
        <f t="shared" ref="V81:V145" si="32">IF(B81="D",Q81,0)</f>
        <v>0</v>
      </c>
      <c r="W81" s="474">
        <f t="shared" ref="W81:W145" si="33">IF(B81="M",Q81,0)</f>
        <v>0</v>
      </c>
      <c r="X81" s="475">
        <f t="shared" ref="X81:X145" si="34">IF(B81="V",Q81,0)</f>
        <v>0</v>
      </c>
      <c r="Y81" s="475">
        <v>0</v>
      </c>
      <c r="Z81" s="476">
        <v>0</v>
      </c>
      <c r="AA81" s="38">
        <f t="shared" ref="AA81:AA145" si="35">(L81+M81)-(V81+W81+X81+Y81+Z81)</f>
        <v>0</v>
      </c>
      <c r="AB81" s="692">
        <f t="shared" ref="AB81:AB144" si="36">IF(B81="D",J81,0)</f>
        <v>1427.77</v>
      </c>
      <c r="AC81" s="692">
        <f t="shared" ref="AC81:AC144" si="37">IF(B81="M",J81,0)</f>
        <v>0</v>
      </c>
      <c r="AD81" s="692">
        <f t="shared" ref="AD81:AD144" si="38">IF(B81="V",J81,0)</f>
        <v>0</v>
      </c>
      <c r="AE81" s="38"/>
      <c r="AF81" s="692">
        <f t="shared" ref="AF81:AF146" si="39">IF(B81="D",Q81,0)</f>
        <v>0</v>
      </c>
      <c r="AG81" s="692">
        <f t="shared" ref="AG81:AG146" si="40">IF(B81="M",Q81,0)</f>
        <v>0</v>
      </c>
      <c r="AH81" s="692">
        <f t="shared" ref="AH81:AH146" si="41">IF(B81="V",Q81,0)</f>
        <v>0</v>
      </c>
      <c r="AJ81" s="38">
        <f t="shared" si="29"/>
        <v>1427.77</v>
      </c>
    </row>
    <row r="82" spans="1:36">
      <c r="A82" s="20"/>
      <c r="B82" s="20" t="s">
        <v>110</v>
      </c>
      <c r="C82" s="667" t="s">
        <v>543</v>
      </c>
      <c r="D82" s="68" t="s">
        <v>199</v>
      </c>
      <c r="E82" s="679">
        <v>140.1</v>
      </c>
      <c r="F82" s="529">
        <f>VLOOKUP(D82,'Jan 2013 Revenue'!D:T,17,FALSE)</f>
        <v>0</v>
      </c>
      <c r="G82" s="680"/>
      <c r="H82" s="680"/>
      <c r="I82" s="755"/>
      <c r="J82" s="682">
        <f t="shared" si="30"/>
        <v>140.1</v>
      </c>
      <c r="K82" s="683"/>
      <c r="L82" s="684"/>
      <c r="M82" s="753"/>
      <c r="N82" s="683">
        <v>0</v>
      </c>
      <c r="O82" s="686"/>
      <c r="P82" s="683">
        <v>0</v>
      </c>
      <c r="Q82" s="687">
        <f t="shared" si="1"/>
        <v>0</v>
      </c>
      <c r="R82" s="688">
        <v>0</v>
      </c>
      <c r="S82" s="693"/>
      <c r="T82" s="690">
        <f t="shared" si="31"/>
        <v>0</v>
      </c>
      <c r="U82" s="683"/>
      <c r="V82" s="474">
        <f t="shared" si="32"/>
        <v>0</v>
      </c>
      <c r="W82" s="474">
        <f t="shared" si="33"/>
        <v>0</v>
      </c>
      <c r="X82" s="475">
        <f t="shared" si="34"/>
        <v>0</v>
      </c>
      <c r="Y82" s="475">
        <v>0</v>
      </c>
      <c r="Z82" s="476">
        <v>0</v>
      </c>
      <c r="AA82" s="38">
        <f t="shared" si="35"/>
        <v>0</v>
      </c>
      <c r="AB82" s="692">
        <f t="shared" si="36"/>
        <v>140.1</v>
      </c>
      <c r="AC82" s="692">
        <f t="shared" si="37"/>
        <v>0</v>
      </c>
      <c r="AD82" s="692">
        <f t="shared" si="38"/>
        <v>0</v>
      </c>
      <c r="AE82" s="38"/>
      <c r="AF82" s="692">
        <f t="shared" si="39"/>
        <v>0</v>
      </c>
      <c r="AG82" s="692">
        <f t="shared" si="40"/>
        <v>0</v>
      </c>
      <c r="AH82" s="692">
        <f t="shared" si="41"/>
        <v>0</v>
      </c>
      <c r="AJ82" s="38">
        <f t="shared" si="29"/>
        <v>140.1</v>
      </c>
    </row>
    <row r="83" spans="1:36">
      <c r="A83" s="20"/>
      <c r="B83" s="20" t="s">
        <v>110</v>
      </c>
      <c r="C83" s="667" t="s">
        <v>543</v>
      </c>
      <c r="D83" s="68" t="s">
        <v>200</v>
      </c>
      <c r="E83" s="679">
        <v>429.8</v>
      </c>
      <c r="F83" s="529">
        <f>VLOOKUP(D83,'Jan 2013 Revenue'!D:T,17,FALSE)</f>
        <v>0</v>
      </c>
      <c r="G83" s="680"/>
      <c r="H83" s="680"/>
      <c r="I83" s="755"/>
      <c r="J83" s="682">
        <f t="shared" si="30"/>
        <v>429.8</v>
      </c>
      <c r="K83" s="683"/>
      <c r="L83" s="684"/>
      <c r="M83" s="753"/>
      <c r="N83" s="683">
        <v>0</v>
      </c>
      <c r="O83" s="686"/>
      <c r="P83" s="683">
        <v>0</v>
      </c>
      <c r="Q83" s="687">
        <f t="shared" si="1"/>
        <v>0</v>
      </c>
      <c r="R83" s="688">
        <v>0</v>
      </c>
      <c r="S83" s="693"/>
      <c r="T83" s="690">
        <f t="shared" si="31"/>
        <v>0</v>
      </c>
      <c r="U83" s="683"/>
      <c r="V83" s="474">
        <f t="shared" si="32"/>
        <v>0</v>
      </c>
      <c r="W83" s="474">
        <f t="shared" si="33"/>
        <v>0</v>
      </c>
      <c r="X83" s="475">
        <f t="shared" si="34"/>
        <v>0</v>
      </c>
      <c r="Y83" s="475">
        <v>0</v>
      </c>
      <c r="Z83" s="476">
        <v>0</v>
      </c>
      <c r="AA83" s="38">
        <f t="shared" si="35"/>
        <v>0</v>
      </c>
      <c r="AB83" s="692">
        <f t="shared" si="36"/>
        <v>429.8</v>
      </c>
      <c r="AC83" s="692">
        <f t="shared" si="37"/>
        <v>0</v>
      </c>
      <c r="AD83" s="692">
        <f t="shared" si="38"/>
        <v>0</v>
      </c>
      <c r="AE83" s="38"/>
      <c r="AF83" s="692">
        <f t="shared" si="39"/>
        <v>0</v>
      </c>
      <c r="AG83" s="692">
        <f t="shared" si="40"/>
        <v>0</v>
      </c>
      <c r="AH83" s="692">
        <f t="shared" si="41"/>
        <v>0</v>
      </c>
      <c r="AJ83" s="38">
        <f t="shared" si="29"/>
        <v>429.8</v>
      </c>
    </row>
    <row r="84" spans="1:36">
      <c r="A84" s="20"/>
      <c r="B84" s="20" t="s">
        <v>110</v>
      </c>
      <c r="C84" s="667" t="s">
        <v>543</v>
      </c>
      <c r="D84" s="68" t="s">
        <v>201</v>
      </c>
      <c r="E84" s="679">
        <v>28.94</v>
      </c>
      <c r="F84" s="529">
        <f>VLOOKUP(D84,'Jan 2013 Revenue'!D:T,17,FALSE)</f>
        <v>0</v>
      </c>
      <c r="G84" s="680"/>
      <c r="H84" s="680"/>
      <c r="I84" s="755"/>
      <c r="J84" s="682">
        <f t="shared" si="30"/>
        <v>28.94</v>
      </c>
      <c r="K84" s="683"/>
      <c r="L84" s="684"/>
      <c r="M84" s="753"/>
      <c r="N84" s="683">
        <v>0</v>
      </c>
      <c r="O84" s="686"/>
      <c r="P84" s="683">
        <v>0</v>
      </c>
      <c r="Q84" s="687">
        <f t="shared" si="1"/>
        <v>0</v>
      </c>
      <c r="R84" s="688">
        <v>0</v>
      </c>
      <c r="S84" s="693"/>
      <c r="T84" s="690">
        <f t="shared" si="31"/>
        <v>0</v>
      </c>
      <c r="U84" s="683"/>
      <c r="V84" s="474">
        <f t="shared" si="32"/>
        <v>0</v>
      </c>
      <c r="W84" s="474">
        <f t="shared" si="33"/>
        <v>0</v>
      </c>
      <c r="X84" s="475">
        <f t="shared" si="34"/>
        <v>0</v>
      </c>
      <c r="Y84" s="475">
        <v>0</v>
      </c>
      <c r="Z84" s="476">
        <v>0</v>
      </c>
      <c r="AA84" s="38">
        <f t="shared" si="35"/>
        <v>0</v>
      </c>
      <c r="AB84" s="692">
        <f t="shared" si="36"/>
        <v>28.94</v>
      </c>
      <c r="AC84" s="692">
        <f t="shared" si="37"/>
        <v>0</v>
      </c>
      <c r="AD84" s="692">
        <f t="shared" si="38"/>
        <v>0</v>
      </c>
      <c r="AE84" s="38"/>
      <c r="AF84" s="692">
        <f t="shared" si="39"/>
        <v>0</v>
      </c>
      <c r="AG84" s="692">
        <f t="shared" si="40"/>
        <v>0</v>
      </c>
      <c r="AH84" s="692">
        <f t="shared" si="41"/>
        <v>0</v>
      </c>
      <c r="AJ84" s="38">
        <f t="shared" si="29"/>
        <v>28.94</v>
      </c>
    </row>
    <row r="85" spans="1:36">
      <c r="A85" s="20" t="s">
        <v>97</v>
      </c>
      <c r="B85" s="20" t="s">
        <v>114</v>
      </c>
      <c r="C85" s="667"/>
      <c r="D85" s="68" t="s">
        <v>387</v>
      </c>
      <c r="E85" s="679"/>
      <c r="F85" s="529">
        <f>VLOOKUP(D85,'Jan 2013 Revenue'!D:T,17,FALSE)</f>
        <v>9274.41</v>
      </c>
      <c r="G85" s="680"/>
      <c r="H85" s="680"/>
      <c r="I85" s="755"/>
      <c r="J85" s="682">
        <f t="shared" si="30"/>
        <v>9274.41</v>
      </c>
      <c r="K85" s="683"/>
      <c r="L85" s="684"/>
      <c r="M85" s="753">
        <v>15000</v>
      </c>
      <c r="N85" s="683">
        <v>0</v>
      </c>
      <c r="O85" s="686"/>
      <c r="P85" s="683">
        <v>0</v>
      </c>
      <c r="Q85" s="687">
        <f t="shared" si="1"/>
        <v>15000</v>
      </c>
      <c r="R85" s="688">
        <v>18846.82</v>
      </c>
      <c r="S85" s="693"/>
      <c r="T85" s="690">
        <f t="shared" si="31"/>
        <v>3846.8199999999997</v>
      </c>
      <c r="U85" s="683"/>
      <c r="V85" s="474">
        <f t="shared" si="32"/>
        <v>0</v>
      </c>
      <c r="W85" s="474">
        <f t="shared" si="33"/>
        <v>0</v>
      </c>
      <c r="X85" s="475">
        <f t="shared" si="34"/>
        <v>15000</v>
      </c>
      <c r="Y85" s="475">
        <v>0</v>
      </c>
      <c r="Z85" s="476">
        <v>0</v>
      </c>
      <c r="AA85" s="38">
        <f t="shared" si="35"/>
        <v>0</v>
      </c>
      <c r="AB85" s="692">
        <f t="shared" si="36"/>
        <v>0</v>
      </c>
      <c r="AC85" s="692">
        <f t="shared" si="37"/>
        <v>0</v>
      </c>
      <c r="AD85" s="692">
        <f t="shared" si="38"/>
        <v>9274.41</v>
      </c>
      <c r="AE85" s="38"/>
      <c r="AF85" s="692">
        <f t="shared" si="39"/>
        <v>0</v>
      </c>
      <c r="AG85" s="692">
        <f t="shared" si="40"/>
        <v>0</v>
      </c>
      <c r="AH85" s="692">
        <f t="shared" si="41"/>
        <v>15000</v>
      </c>
      <c r="AJ85" s="38">
        <f t="shared" si="29"/>
        <v>24274.41</v>
      </c>
    </row>
    <row r="86" spans="1:36">
      <c r="A86" s="20" t="s">
        <v>97</v>
      </c>
      <c r="B86" s="20" t="s">
        <v>114</v>
      </c>
      <c r="C86" s="667"/>
      <c r="D86" s="68" t="s">
        <v>482</v>
      </c>
      <c r="E86" s="679"/>
      <c r="F86" s="529">
        <f>VLOOKUP(D86,'Jan 2013 Revenue'!D:T,17,FALSE)</f>
        <v>0</v>
      </c>
      <c r="G86" s="680"/>
      <c r="H86" s="680"/>
      <c r="I86" s="755"/>
      <c r="J86" s="682">
        <f t="shared" si="30"/>
        <v>0</v>
      </c>
      <c r="K86" s="683"/>
      <c r="L86" s="684"/>
      <c r="M86" s="753"/>
      <c r="N86" s="683"/>
      <c r="O86" s="686"/>
      <c r="P86" s="683"/>
      <c r="Q86" s="687">
        <f t="shared" si="1"/>
        <v>0</v>
      </c>
      <c r="R86" s="688">
        <v>0</v>
      </c>
      <c r="S86" s="693"/>
      <c r="T86" s="690">
        <f t="shared" si="31"/>
        <v>0</v>
      </c>
      <c r="U86" s="683"/>
      <c r="V86" s="474">
        <f t="shared" si="32"/>
        <v>0</v>
      </c>
      <c r="W86" s="474">
        <f t="shared" si="33"/>
        <v>0</v>
      </c>
      <c r="X86" s="475">
        <f t="shared" si="34"/>
        <v>0</v>
      </c>
      <c r="Y86" s="475">
        <v>0</v>
      </c>
      <c r="Z86" s="476">
        <v>0</v>
      </c>
      <c r="AA86" s="38">
        <f t="shared" si="35"/>
        <v>0</v>
      </c>
      <c r="AB86" s="692">
        <f t="shared" si="36"/>
        <v>0</v>
      </c>
      <c r="AC86" s="692">
        <f t="shared" si="37"/>
        <v>0</v>
      </c>
      <c r="AD86" s="692">
        <f t="shared" si="38"/>
        <v>0</v>
      </c>
      <c r="AE86" s="38"/>
      <c r="AF86" s="692">
        <f t="shared" si="39"/>
        <v>0</v>
      </c>
      <c r="AG86" s="692">
        <f t="shared" si="40"/>
        <v>0</v>
      </c>
      <c r="AH86" s="692">
        <f t="shared" si="41"/>
        <v>0</v>
      </c>
      <c r="AJ86" s="38">
        <f t="shared" si="29"/>
        <v>0</v>
      </c>
    </row>
    <row r="87" spans="1:36">
      <c r="A87" s="20" t="s">
        <v>109</v>
      </c>
      <c r="B87" s="20" t="s">
        <v>109</v>
      </c>
      <c r="C87" s="667" t="s">
        <v>544</v>
      </c>
      <c r="D87" s="68" t="s">
        <v>383</v>
      </c>
      <c r="E87" s="679"/>
      <c r="F87" s="529">
        <f>VLOOKUP(D87,'Jan 2013 Revenue'!D:T,17,FALSE)</f>
        <v>0</v>
      </c>
      <c r="G87" s="680"/>
      <c r="H87" s="680"/>
      <c r="I87" s="755"/>
      <c r="J87" s="682">
        <f t="shared" si="30"/>
        <v>0</v>
      </c>
      <c r="K87" s="683"/>
      <c r="L87" s="684"/>
      <c r="M87" s="753"/>
      <c r="N87" s="683">
        <v>0</v>
      </c>
      <c r="O87" s="686"/>
      <c r="P87" s="683">
        <v>0</v>
      </c>
      <c r="Q87" s="687">
        <f t="shared" si="1"/>
        <v>0</v>
      </c>
      <c r="R87" s="688">
        <v>0</v>
      </c>
      <c r="S87" s="693"/>
      <c r="T87" s="690">
        <f t="shared" si="31"/>
        <v>0</v>
      </c>
      <c r="U87" s="683"/>
      <c r="V87" s="474">
        <f t="shared" si="32"/>
        <v>0</v>
      </c>
      <c r="W87" s="474">
        <f t="shared" si="33"/>
        <v>0</v>
      </c>
      <c r="X87" s="475">
        <f t="shared" si="34"/>
        <v>0</v>
      </c>
      <c r="Y87" s="475">
        <v>0</v>
      </c>
      <c r="Z87" s="476">
        <v>0</v>
      </c>
      <c r="AA87" s="38">
        <f t="shared" si="35"/>
        <v>0</v>
      </c>
      <c r="AB87" s="692">
        <f t="shared" si="36"/>
        <v>0</v>
      </c>
      <c r="AC87" s="692">
        <f t="shared" si="37"/>
        <v>0</v>
      </c>
      <c r="AD87" s="692">
        <f t="shared" si="38"/>
        <v>0</v>
      </c>
      <c r="AE87" s="38"/>
      <c r="AF87" s="692">
        <f t="shared" si="39"/>
        <v>0</v>
      </c>
      <c r="AG87" s="692">
        <f t="shared" si="40"/>
        <v>0</v>
      </c>
      <c r="AH87" s="692">
        <f t="shared" si="41"/>
        <v>0</v>
      </c>
      <c r="AJ87" s="38">
        <f t="shared" si="29"/>
        <v>0</v>
      </c>
    </row>
    <row r="88" spans="1:36">
      <c r="A88" s="21" t="s">
        <v>211</v>
      </c>
      <c r="B88" s="21" t="s">
        <v>109</v>
      </c>
      <c r="C88" s="666" t="s">
        <v>545</v>
      </c>
      <c r="D88" s="68" t="s">
        <v>181</v>
      </c>
      <c r="E88" s="679"/>
      <c r="F88" s="529">
        <f>VLOOKUP(D88,'Jan 2013 Revenue'!D:T,17,FALSE)</f>
        <v>-22000</v>
      </c>
      <c r="G88" s="680"/>
      <c r="H88" s="680"/>
      <c r="I88" s="755"/>
      <c r="J88" s="682">
        <f t="shared" si="30"/>
        <v>-22000</v>
      </c>
      <c r="K88" s="683"/>
      <c r="L88" s="684"/>
      <c r="M88" s="753">
        <v>24000</v>
      </c>
      <c r="N88" s="683">
        <v>0</v>
      </c>
      <c r="O88" s="686"/>
      <c r="P88" s="683">
        <v>0</v>
      </c>
      <c r="Q88" s="687">
        <f t="shared" si="1"/>
        <v>24000</v>
      </c>
      <c r="R88" s="688">
        <v>0</v>
      </c>
      <c r="S88" s="693"/>
      <c r="T88" s="690">
        <f t="shared" si="31"/>
        <v>-24000</v>
      </c>
      <c r="U88" s="683"/>
      <c r="V88" s="474">
        <f t="shared" si="32"/>
        <v>0</v>
      </c>
      <c r="W88" s="474">
        <f t="shared" si="33"/>
        <v>24000</v>
      </c>
      <c r="X88" s="475">
        <f t="shared" si="34"/>
        <v>0</v>
      </c>
      <c r="Y88" s="475">
        <v>0</v>
      </c>
      <c r="Z88" s="476">
        <v>0</v>
      </c>
      <c r="AA88" s="38">
        <f t="shared" si="35"/>
        <v>0</v>
      </c>
      <c r="AB88" s="692">
        <f t="shared" si="36"/>
        <v>0</v>
      </c>
      <c r="AC88" s="692">
        <f t="shared" si="37"/>
        <v>-22000</v>
      </c>
      <c r="AD88" s="692">
        <f t="shared" si="38"/>
        <v>0</v>
      </c>
      <c r="AE88" s="38"/>
      <c r="AF88" s="692">
        <f t="shared" si="39"/>
        <v>0</v>
      </c>
      <c r="AG88" s="692">
        <f t="shared" si="40"/>
        <v>24000</v>
      </c>
      <c r="AH88" s="692">
        <f t="shared" si="41"/>
        <v>0</v>
      </c>
      <c r="AJ88" s="38">
        <f t="shared" si="29"/>
        <v>2000</v>
      </c>
    </row>
    <row r="89" spans="1:36">
      <c r="A89" s="21" t="s">
        <v>211</v>
      </c>
      <c r="B89" s="21" t="s">
        <v>110</v>
      </c>
      <c r="C89" s="666"/>
      <c r="D89" s="68" t="s">
        <v>504</v>
      </c>
      <c r="E89" s="679"/>
      <c r="F89" s="529">
        <f>VLOOKUP(D89,'Jan 2013 Revenue'!D:T,17,FALSE)</f>
        <v>0</v>
      </c>
      <c r="G89" s="680"/>
      <c r="H89" s="680"/>
      <c r="I89" s="755"/>
      <c r="J89" s="682">
        <f t="shared" si="30"/>
        <v>0</v>
      </c>
      <c r="K89" s="683"/>
      <c r="L89" s="684"/>
      <c r="M89" s="753"/>
      <c r="N89" s="683">
        <v>0</v>
      </c>
      <c r="O89" s="686"/>
      <c r="P89" s="683">
        <v>0</v>
      </c>
      <c r="Q89" s="687">
        <f t="shared" si="1"/>
        <v>0</v>
      </c>
      <c r="R89" s="688">
        <v>0</v>
      </c>
      <c r="S89" s="693"/>
      <c r="T89" s="690">
        <f t="shared" si="31"/>
        <v>0</v>
      </c>
      <c r="U89" s="683"/>
      <c r="V89" s="474">
        <f t="shared" si="32"/>
        <v>0</v>
      </c>
      <c r="W89" s="474">
        <f t="shared" si="33"/>
        <v>0</v>
      </c>
      <c r="X89" s="475">
        <f t="shared" si="34"/>
        <v>0</v>
      </c>
      <c r="Y89" s="475">
        <v>0</v>
      </c>
      <c r="Z89" s="476">
        <v>0</v>
      </c>
      <c r="AA89" s="38">
        <f t="shared" si="35"/>
        <v>0</v>
      </c>
      <c r="AB89" s="692">
        <f t="shared" si="36"/>
        <v>0</v>
      </c>
      <c r="AC89" s="692">
        <f t="shared" si="37"/>
        <v>0</v>
      </c>
      <c r="AD89" s="692">
        <f t="shared" si="38"/>
        <v>0</v>
      </c>
      <c r="AE89" s="38"/>
      <c r="AF89" s="692">
        <f t="shared" si="39"/>
        <v>0</v>
      </c>
      <c r="AG89" s="692">
        <f t="shared" si="40"/>
        <v>0</v>
      </c>
      <c r="AH89" s="692">
        <f t="shared" si="41"/>
        <v>0</v>
      </c>
      <c r="AJ89" s="38">
        <f t="shared" si="29"/>
        <v>0</v>
      </c>
    </row>
    <row r="90" spans="1:36">
      <c r="A90" s="20" t="s">
        <v>211</v>
      </c>
      <c r="B90" s="20" t="s">
        <v>109</v>
      </c>
      <c r="C90" s="667" t="s">
        <v>546</v>
      </c>
      <c r="D90" s="68" t="s">
        <v>142</v>
      </c>
      <c r="E90" s="679"/>
      <c r="F90" s="529">
        <f>VLOOKUP(D90,'Jan 2013 Revenue'!D:T,17,FALSE)</f>
        <v>0</v>
      </c>
      <c r="G90" s="680"/>
      <c r="H90" s="680"/>
      <c r="I90" s="755"/>
      <c r="J90" s="682">
        <f t="shared" si="30"/>
        <v>0</v>
      </c>
      <c r="K90" s="683"/>
      <c r="L90" s="684"/>
      <c r="M90" s="753"/>
      <c r="N90" s="683">
        <v>0</v>
      </c>
      <c r="O90" s="686"/>
      <c r="P90" s="683">
        <v>0</v>
      </c>
      <c r="Q90" s="687">
        <f t="shared" si="1"/>
        <v>0</v>
      </c>
      <c r="R90" s="688">
        <v>0</v>
      </c>
      <c r="S90" s="693"/>
      <c r="T90" s="690">
        <f t="shared" si="31"/>
        <v>0</v>
      </c>
      <c r="U90" s="697"/>
      <c r="V90" s="474">
        <f t="shared" si="32"/>
        <v>0</v>
      </c>
      <c r="W90" s="474">
        <f t="shared" si="33"/>
        <v>0</v>
      </c>
      <c r="X90" s="475">
        <f t="shared" si="34"/>
        <v>0</v>
      </c>
      <c r="Y90" s="475">
        <v>0</v>
      </c>
      <c r="Z90" s="476">
        <v>0</v>
      </c>
      <c r="AA90" s="38">
        <f t="shared" si="35"/>
        <v>0</v>
      </c>
      <c r="AB90" s="692">
        <f t="shared" si="36"/>
        <v>0</v>
      </c>
      <c r="AC90" s="692">
        <f t="shared" si="37"/>
        <v>0</v>
      </c>
      <c r="AD90" s="692">
        <f t="shared" si="38"/>
        <v>0</v>
      </c>
      <c r="AE90" s="38"/>
      <c r="AF90" s="692">
        <f t="shared" si="39"/>
        <v>0</v>
      </c>
      <c r="AG90" s="692">
        <f t="shared" si="40"/>
        <v>0</v>
      </c>
      <c r="AH90" s="692">
        <f t="shared" si="41"/>
        <v>0</v>
      </c>
      <c r="AJ90" s="38">
        <f t="shared" si="29"/>
        <v>0</v>
      </c>
    </row>
    <row r="91" spans="1:36">
      <c r="A91" s="20" t="s">
        <v>211</v>
      </c>
      <c r="B91" s="20" t="s">
        <v>109</v>
      </c>
      <c r="C91" s="667" t="s">
        <v>546</v>
      </c>
      <c r="D91" s="68" t="s">
        <v>143</v>
      </c>
      <c r="E91" s="679"/>
      <c r="F91" s="529">
        <f>VLOOKUP(D91,'Jan 2013 Revenue'!D:T,17,FALSE)</f>
        <v>0</v>
      </c>
      <c r="G91" s="680"/>
      <c r="H91" s="680"/>
      <c r="I91" s="755"/>
      <c r="J91" s="682">
        <f t="shared" si="30"/>
        <v>0</v>
      </c>
      <c r="K91" s="683"/>
      <c r="L91" s="684"/>
      <c r="M91" s="753"/>
      <c r="N91" s="683">
        <v>0</v>
      </c>
      <c r="O91" s="686"/>
      <c r="P91" s="683">
        <v>0</v>
      </c>
      <c r="Q91" s="687">
        <f t="shared" si="1"/>
        <v>0</v>
      </c>
      <c r="R91" s="688">
        <v>0</v>
      </c>
      <c r="S91" s="693"/>
      <c r="T91" s="690">
        <f t="shared" si="31"/>
        <v>0</v>
      </c>
      <c r="U91" s="697"/>
      <c r="V91" s="474">
        <f t="shared" si="32"/>
        <v>0</v>
      </c>
      <c r="W91" s="474">
        <f t="shared" si="33"/>
        <v>0</v>
      </c>
      <c r="X91" s="475">
        <f t="shared" si="34"/>
        <v>0</v>
      </c>
      <c r="Y91" s="475">
        <v>0</v>
      </c>
      <c r="Z91" s="476">
        <v>0</v>
      </c>
      <c r="AA91" s="38">
        <f t="shared" si="35"/>
        <v>0</v>
      </c>
      <c r="AB91" s="692">
        <f t="shared" si="36"/>
        <v>0</v>
      </c>
      <c r="AC91" s="692">
        <f t="shared" si="37"/>
        <v>0</v>
      </c>
      <c r="AD91" s="692">
        <f t="shared" si="38"/>
        <v>0</v>
      </c>
      <c r="AE91" s="38"/>
      <c r="AF91" s="692">
        <f t="shared" si="39"/>
        <v>0</v>
      </c>
      <c r="AG91" s="692">
        <f t="shared" si="40"/>
        <v>0</v>
      </c>
      <c r="AH91" s="692">
        <f t="shared" si="41"/>
        <v>0</v>
      </c>
      <c r="AJ91" s="38">
        <f t="shared" si="29"/>
        <v>0</v>
      </c>
    </row>
    <row r="92" spans="1:36">
      <c r="A92" s="20" t="s">
        <v>109</v>
      </c>
      <c r="B92" s="20" t="s">
        <v>109</v>
      </c>
      <c r="C92" s="667"/>
      <c r="D92" s="68" t="s">
        <v>498</v>
      </c>
      <c r="E92" s="679"/>
      <c r="F92" s="529">
        <f>VLOOKUP(D92,'Jan 2013 Revenue'!D:T,17,FALSE)</f>
        <v>0</v>
      </c>
      <c r="G92" s="680"/>
      <c r="H92" s="680"/>
      <c r="I92" s="755"/>
      <c r="J92" s="682">
        <f t="shared" si="30"/>
        <v>0</v>
      </c>
      <c r="K92" s="683"/>
      <c r="L92" s="684"/>
      <c r="M92" s="753"/>
      <c r="N92" s="683">
        <v>0</v>
      </c>
      <c r="O92" s="686"/>
      <c r="P92" s="683">
        <v>0</v>
      </c>
      <c r="Q92" s="687">
        <f t="shared" si="1"/>
        <v>0</v>
      </c>
      <c r="R92" s="688">
        <v>0</v>
      </c>
      <c r="S92" s="693"/>
      <c r="T92" s="690">
        <f t="shared" si="31"/>
        <v>0</v>
      </c>
      <c r="U92" s="683"/>
      <c r="V92" s="474">
        <f t="shared" si="32"/>
        <v>0</v>
      </c>
      <c r="W92" s="474">
        <f t="shared" si="33"/>
        <v>0</v>
      </c>
      <c r="X92" s="475">
        <f t="shared" si="34"/>
        <v>0</v>
      </c>
      <c r="Y92" s="475">
        <v>0</v>
      </c>
      <c r="Z92" s="476">
        <v>0</v>
      </c>
      <c r="AA92" s="38">
        <f t="shared" si="35"/>
        <v>0</v>
      </c>
      <c r="AB92" s="692">
        <f t="shared" si="36"/>
        <v>0</v>
      </c>
      <c r="AC92" s="692">
        <f t="shared" si="37"/>
        <v>0</v>
      </c>
      <c r="AD92" s="692">
        <f t="shared" si="38"/>
        <v>0</v>
      </c>
      <c r="AE92" s="38"/>
      <c r="AF92" s="692">
        <f t="shared" si="39"/>
        <v>0</v>
      </c>
      <c r="AG92" s="692">
        <f t="shared" si="40"/>
        <v>0</v>
      </c>
      <c r="AH92" s="692">
        <f t="shared" si="41"/>
        <v>0</v>
      </c>
      <c r="AJ92" s="38">
        <f t="shared" si="29"/>
        <v>0</v>
      </c>
    </row>
    <row r="93" spans="1:36">
      <c r="A93" s="21"/>
      <c r="B93" s="21" t="s">
        <v>110</v>
      </c>
      <c r="C93" s="666"/>
      <c r="D93" s="68" t="s">
        <v>20</v>
      </c>
      <c r="E93" s="679">
        <v>109.88</v>
      </c>
      <c r="F93" s="529">
        <f>VLOOKUP(D93,'Jan 2013 Revenue'!D:T,17,FALSE)</f>
        <v>0</v>
      </c>
      <c r="G93" s="680"/>
      <c r="H93" s="680"/>
      <c r="I93" s="770">
        <v>112.54</v>
      </c>
      <c r="J93" s="682">
        <f t="shared" si="30"/>
        <v>222.42000000000002</v>
      </c>
      <c r="K93" s="683"/>
      <c r="L93" s="684"/>
      <c r="M93" s="753"/>
      <c r="N93" s="683">
        <v>0</v>
      </c>
      <c r="O93" s="686"/>
      <c r="P93" s="683">
        <v>0</v>
      </c>
      <c r="Q93" s="687">
        <f t="shared" si="1"/>
        <v>0</v>
      </c>
      <c r="R93" s="688">
        <v>0</v>
      </c>
      <c r="S93" s="693"/>
      <c r="T93" s="690">
        <f t="shared" si="31"/>
        <v>0</v>
      </c>
      <c r="U93" s="683"/>
      <c r="V93" s="474">
        <f t="shared" si="32"/>
        <v>0</v>
      </c>
      <c r="W93" s="474">
        <f t="shared" si="33"/>
        <v>0</v>
      </c>
      <c r="X93" s="475">
        <f t="shared" si="34"/>
        <v>0</v>
      </c>
      <c r="Y93" s="475">
        <v>0</v>
      </c>
      <c r="Z93" s="476">
        <v>0</v>
      </c>
      <c r="AA93" s="38">
        <f t="shared" si="35"/>
        <v>0</v>
      </c>
      <c r="AB93" s="692">
        <f t="shared" si="36"/>
        <v>222.42000000000002</v>
      </c>
      <c r="AC93" s="692">
        <f t="shared" si="37"/>
        <v>0</v>
      </c>
      <c r="AD93" s="692">
        <f t="shared" si="38"/>
        <v>0</v>
      </c>
      <c r="AE93" s="38"/>
      <c r="AF93" s="692">
        <f t="shared" si="39"/>
        <v>0</v>
      </c>
      <c r="AG93" s="692">
        <f t="shared" si="40"/>
        <v>0</v>
      </c>
      <c r="AH93" s="692">
        <f t="shared" si="41"/>
        <v>0</v>
      </c>
      <c r="AJ93" s="38">
        <f t="shared" si="29"/>
        <v>222.42000000000002</v>
      </c>
    </row>
    <row r="94" spans="1:36">
      <c r="A94" s="21"/>
      <c r="B94" s="21" t="s">
        <v>110</v>
      </c>
      <c r="C94" s="666" t="s">
        <v>547</v>
      </c>
      <c r="D94" s="68" t="s">
        <v>203</v>
      </c>
      <c r="E94" s="679"/>
      <c r="F94" s="529">
        <f>VLOOKUP(D94,'Jan 2013 Revenue'!D:T,17,FALSE)</f>
        <v>0</v>
      </c>
      <c r="G94" s="680"/>
      <c r="H94" s="680"/>
      <c r="I94" s="755"/>
      <c r="J94" s="682">
        <f t="shared" si="30"/>
        <v>0</v>
      </c>
      <c r="K94" s="683"/>
      <c r="L94" s="684"/>
      <c r="M94" s="753"/>
      <c r="N94" s="683">
        <v>0</v>
      </c>
      <c r="O94" s="686"/>
      <c r="P94" s="683">
        <v>0</v>
      </c>
      <c r="Q94" s="687">
        <f t="shared" si="1"/>
        <v>0</v>
      </c>
      <c r="R94" s="688">
        <v>0</v>
      </c>
      <c r="S94" s="693"/>
      <c r="T94" s="690">
        <f t="shared" si="31"/>
        <v>0</v>
      </c>
      <c r="U94" s="683"/>
      <c r="V94" s="474">
        <f t="shared" si="32"/>
        <v>0</v>
      </c>
      <c r="W94" s="474">
        <f t="shared" si="33"/>
        <v>0</v>
      </c>
      <c r="X94" s="475">
        <f t="shared" si="34"/>
        <v>0</v>
      </c>
      <c r="Y94" s="475">
        <v>0</v>
      </c>
      <c r="Z94" s="476">
        <v>0</v>
      </c>
      <c r="AA94" s="38">
        <f t="shared" si="35"/>
        <v>0</v>
      </c>
      <c r="AB94" s="692">
        <f t="shared" si="36"/>
        <v>0</v>
      </c>
      <c r="AC94" s="692">
        <f t="shared" si="37"/>
        <v>0</v>
      </c>
      <c r="AD94" s="692">
        <f t="shared" si="38"/>
        <v>0</v>
      </c>
      <c r="AE94" s="38"/>
      <c r="AF94" s="692">
        <f t="shared" si="39"/>
        <v>0</v>
      </c>
      <c r="AG94" s="692">
        <f t="shared" si="40"/>
        <v>0</v>
      </c>
      <c r="AH94" s="692">
        <f t="shared" si="41"/>
        <v>0</v>
      </c>
      <c r="AJ94" s="38">
        <f t="shared" si="29"/>
        <v>0</v>
      </c>
    </row>
    <row r="95" spans="1:36">
      <c r="A95" s="21"/>
      <c r="B95" s="21" t="s">
        <v>110</v>
      </c>
      <c r="C95" s="666" t="s">
        <v>547</v>
      </c>
      <c r="D95" s="68" t="s">
        <v>202</v>
      </c>
      <c r="E95" s="679"/>
      <c r="F95" s="529">
        <f>VLOOKUP(D95,'Jan 2013 Revenue'!D:T,17,FALSE)</f>
        <v>0</v>
      </c>
      <c r="G95" s="680"/>
      <c r="H95" s="680"/>
      <c r="I95" s="755"/>
      <c r="J95" s="682">
        <f t="shared" si="30"/>
        <v>0</v>
      </c>
      <c r="K95" s="683"/>
      <c r="L95" s="684"/>
      <c r="M95" s="753"/>
      <c r="N95" s="683">
        <v>0</v>
      </c>
      <c r="O95" s="686"/>
      <c r="P95" s="683">
        <v>0</v>
      </c>
      <c r="Q95" s="687">
        <f t="shared" si="1"/>
        <v>0</v>
      </c>
      <c r="R95" s="688">
        <v>0</v>
      </c>
      <c r="S95" s="693"/>
      <c r="T95" s="690">
        <f t="shared" si="31"/>
        <v>0</v>
      </c>
      <c r="U95" s="683"/>
      <c r="V95" s="474">
        <f t="shared" si="32"/>
        <v>0</v>
      </c>
      <c r="W95" s="474">
        <f t="shared" si="33"/>
        <v>0</v>
      </c>
      <c r="X95" s="475">
        <f t="shared" si="34"/>
        <v>0</v>
      </c>
      <c r="Y95" s="475">
        <v>0</v>
      </c>
      <c r="Z95" s="476">
        <v>0</v>
      </c>
      <c r="AA95" s="38">
        <f t="shared" si="35"/>
        <v>0</v>
      </c>
      <c r="AB95" s="692">
        <f t="shared" si="36"/>
        <v>0</v>
      </c>
      <c r="AC95" s="692">
        <f t="shared" si="37"/>
        <v>0</v>
      </c>
      <c r="AD95" s="692">
        <f t="shared" si="38"/>
        <v>0</v>
      </c>
      <c r="AE95" s="38"/>
      <c r="AF95" s="692">
        <f t="shared" si="39"/>
        <v>0</v>
      </c>
      <c r="AG95" s="692">
        <f t="shared" si="40"/>
        <v>0</v>
      </c>
      <c r="AH95" s="692">
        <f t="shared" si="41"/>
        <v>0</v>
      </c>
      <c r="AJ95" s="38">
        <f t="shared" si="29"/>
        <v>0</v>
      </c>
    </row>
    <row r="96" spans="1:36">
      <c r="A96" s="20" t="s">
        <v>211</v>
      </c>
      <c r="B96" s="20" t="s">
        <v>110</v>
      </c>
      <c r="C96" s="667"/>
      <c r="D96" s="373" t="s">
        <v>466</v>
      </c>
      <c r="E96" s="679">
        <v>1090.3900000000001</v>
      </c>
      <c r="F96" s="529">
        <f>VLOOKUP(D96,'Jan 2013 Revenue'!D:T,17,FALSE)</f>
        <v>0</v>
      </c>
      <c r="G96" s="680"/>
      <c r="H96" s="680"/>
      <c r="I96" s="770">
        <v>889.05</v>
      </c>
      <c r="J96" s="682">
        <f t="shared" si="30"/>
        <v>1979.44</v>
      </c>
      <c r="K96" s="683"/>
      <c r="L96" s="684"/>
      <c r="M96" s="753"/>
      <c r="N96" s="683">
        <v>0</v>
      </c>
      <c r="O96" s="686"/>
      <c r="P96" s="683">
        <v>0</v>
      </c>
      <c r="Q96" s="687">
        <f t="shared" si="1"/>
        <v>0</v>
      </c>
      <c r="R96" s="688">
        <v>0</v>
      </c>
      <c r="S96" s="693"/>
      <c r="T96" s="690">
        <f t="shared" si="31"/>
        <v>0</v>
      </c>
      <c r="U96" s="683"/>
      <c r="V96" s="474">
        <f t="shared" si="32"/>
        <v>0</v>
      </c>
      <c r="W96" s="474">
        <f t="shared" si="33"/>
        <v>0</v>
      </c>
      <c r="X96" s="475">
        <f t="shared" si="34"/>
        <v>0</v>
      </c>
      <c r="Y96" s="475">
        <v>0</v>
      </c>
      <c r="Z96" s="476">
        <v>0</v>
      </c>
      <c r="AA96" s="38">
        <f t="shared" si="35"/>
        <v>0</v>
      </c>
      <c r="AB96" s="692">
        <f t="shared" si="36"/>
        <v>1979.44</v>
      </c>
      <c r="AC96" s="692">
        <f t="shared" si="37"/>
        <v>0</v>
      </c>
      <c r="AD96" s="692">
        <f t="shared" si="38"/>
        <v>0</v>
      </c>
      <c r="AE96" s="38"/>
      <c r="AF96" s="692">
        <f t="shared" si="39"/>
        <v>0</v>
      </c>
      <c r="AG96" s="692">
        <f t="shared" si="40"/>
        <v>0</v>
      </c>
      <c r="AH96" s="692">
        <f t="shared" si="41"/>
        <v>0</v>
      </c>
      <c r="AJ96" s="38">
        <f t="shared" si="29"/>
        <v>1979.44</v>
      </c>
    </row>
    <row r="97" spans="1:36">
      <c r="A97" s="20"/>
      <c r="B97" s="20" t="s">
        <v>110</v>
      </c>
      <c r="C97" s="667"/>
      <c r="D97" s="373" t="s">
        <v>627</v>
      </c>
      <c r="E97" s="679"/>
      <c r="F97" s="529">
        <f>VLOOKUP(D97,'Jan 2013 Revenue'!D:T,17,FALSE)</f>
        <v>0</v>
      </c>
      <c r="G97" s="680"/>
      <c r="H97" s="680"/>
      <c r="I97" s="755"/>
      <c r="J97" s="682">
        <f t="shared" si="30"/>
        <v>0</v>
      </c>
      <c r="K97" s="683"/>
      <c r="L97" s="684"/>
      <c r="M97" s="753"/>
      <c r="N97" s="683">
        <v>0</v>
      </c>
      <c r="O97" s="686"/>
      <c r="P97" s="683">
        <v>0</v>
      </c>
      <c r="Q97" s="687">
        <f t="shared" si="1"/>
        <v>0</v>
      </c>
      <c r="R97" s="688">
        <v>0</v>
      </c>
      <c r="S97" s="693"/>
      <c r="T97" s="690">
        <f t="shared" si="31"/>
        <v>0</v>
      </c>
      <c r="U97" s="683"/>
      <c r="V97" s="474">
        <f t="shared" si="32"/>
        <v>0</v>
      </c>
      <c r="W97" s="474">
        <f t="shared" si="33"/>
        <v>0</v>
      </c>
      <c r="X97" s="475">
        <f t="shared" si="34"/>
        <v>0</v>
      </c>
      <c r="Y97" s="475">
        <v>0</v>
      </c>
      <c r="Z97" s="476">
        <v>0</v>
      </c>
      <c r="AA97" s="38">
        <f t="shared" si="35"/>
        <v>0</v>
      </c>
      <c r="AB97" s="692">
        <f t="shared" si="36"/>
        <v>0</v>
      </c>
      <c r="AC97" s="692">
        <f t="shared" si="37"/>
        <v>0</v>
      </c>
      <c r="AD97" s="692">
        <f t="shared" si="38"/>
        <v>0</v>
      </c>
      <c r="AE97" s="38"/>
      <c r="AF97" s="692">
        <f t="shared" si="39"/>
        <v>0</v>
      </c>
      <c r="AG97" s="692">
        <f t="shared" si="40"/>
        <v>0</v>
      </c>
      <c r="AH97" s="692">
        <f t="shared" si="41"/>
        <v>0</v>
      </c>
      <c r="AJ97" s="38">
        <f t="shared" si="29"/>
        <v>0</v>
      </c>
    </row>
    <row r="98" spans="1:36" s="232" customFormat="1">
      <c r="A98" s="283"/>
      <c r="B98" s="283" t="s">
        <v>110</v>
      </c>
      <c r="C98" s="667"/>
      <c r="D98" s="123" t="s">
        <v>386</v>
      </c>
      <c r="E98" s="679"/>
      <c r="F98" s="529">
        <f>VLOOKUP(D98,'Jan 2013 Revenue'!D:T,17,FALSE)</f>
        <v>0</v>
      </c>
      <c r="G98" s="680"/>
      <c r="H98" s="680"/>
      <c r="I98" s="770">
        <v>2612352.9</v>
      </c>
      <c r="J98" s="682">
        <f t="shared" si="30"/>
        <v>2612352.9</v>
      </c>
      <c r="K98" s="683"/>
      <c r="L98" s="684"/>
      <c r="M98" s="753"/>
      <c r="N98" s="683">
        <v>0</v>
      </c>
      <c r="O98" s="686"/>
      <c r="P98" s="683">
        <v>0</v>
      </c>
      <c r="Q98" s="687">
        <f t="shared" si="1"/>
        <v>0</v>
      </c>
      <c r="R98" s="688">
        <v>0</v>
      </c>
      <c r="S98" s="693"/>
      <c r="T98" s="690">
        <f t="shared" si="31"/>
        <v>0</v>
      </c>
      <c r="U98" s="683"/>
      <c r="V98" s="474">
        <f t="shared" si="32"/>
        <v>0</v>
      </c>
      <c r="W98" s="474">
        <f t="shared" si="33"/>
        <v>0</v>
      </c>
      <c r="X98" s="475">
        <f t="shared" si="34"/>
        <v>0</v>
      </c>
      <c r="Y98" s="475">
        <v>0</v>
      </c>
      <c r="Z98" s="476">
        <v>0</v>
      </c>
      <c r="AA98" s="38">
        <f t="shared" si="35"/>
        <v>0</v>
      </c>
      <c r="AB98" s="692">
        <f t="shared" si="36"/>
        <v>2612352.9</v>
      </c>
      <c r="AC98" s="692">
        <f t="shared" si="37"/>
        <v>0</v>
      </c>
      <c r="AD98" s="692">
        <f t="shared" si="38"/>
        <v>0</v>
      </c>
      <c r="AE98" s="38"/>
      <c r="AF98" s="692">
        <f t="shared" si="39"/>
        <v>0</v>
      </c>
      <c r="AG98" s="692">
        <f t="shared" si="40"/>
        <v>0</v>
      </c>
      <c r="AH98" s="692">
        <f t="shared" si="41"/>
        <v>0</v>
      </c>
      <c r="AJ98" s="38">
        <f t="shared" si="29"/>
        <v>2612352.9</v>
      </c>
    </row>
    <row r="99" spans="1:36" s="232" customFormat="1">
      <c r="A99" s="283"/>
      <c r="B99" s="283" t="s">
        <v>110</v>
      </c>
      <c r="C99" s="667"/>
      <c r="D99" s="123" t="s">
        <v>331</v>
      </c>
      <c r="E99" s="679"/>
      <c r="F99" s="529">
        <f>VLOOKUP(D99,'Jan 2013 Revenue'!D:T,17,FALSE)</f>
        <v>0</v>
      </c>
      <c r="G99" s="680"/>
      <c r="H99" s="680"/>
      <c r="I99" s="770">
        <v>21655.599999999999</v>
      </c>
      <c r="J99" s="682">
        <f t="shared" si="30"/>
        <v>21655.599999999999</v>
      </c>
      <c r="K99" s="683"/>
      <c r="L99" s="684"/>
      <c r="M99" s="753"/>
      <c r="N99" s="683">
        <v>0</v>
      </c>
      <c r="O99" s="686"/>
      <c r="P99" s="683">
        <v>0</v>
      </c>
      <c r="Q99" s="687">
        <f t="shared" si="1"/>
        <v>0</v>
      </c>
      <c r="R99" s="688">
        <v>0</v>
      </c>
      <c r="S99" s="693"/>
      <c r="T99" s="690">
        <f t="shared" si="31"/>
        <v>0</v>
      </c>
      <c r="U99" s="683"/>
      <c r="V99" s="474">
        <f t="shared" si="32"/>
        <v>0</v>
      </c>
      <c r="W99" s="474">
        <f t="shared" si="33"/>
        <v>0</v>
      </c>
      <c r="X99" s="475">
        <f t="shared" si="34"/>
        <v>0</v>
      </c>
      <c r="Y99" s="475">
        <v>0</v>
      </c>
      <c r="Z99" s="476">
        <v>0</v>
      </c>
      <c r="AA99" s="38">
        <f t="shared" si="35"/>
        <v>0</v>
      </c>
      <c r="AB99" s="692">
        <f t="shared" si="36"/>
        <v>21655.599999999999</v>
      </c>
      <c r="AC99" s="692">
        <f t="shared" si="37"/>
        <v>0</v>
      </c>
      <c r="AD99" s="692">
        <f t="shared" si="38"/>
        <v>0</v>
      </c>
      <c r="AE99" s="38"/>
      <c r="AF99" s="692">
        <f t="shared" si="39"/>
        <v>0</v>
      </c>
      <c r="AG99" s="692">
        <f t="shared" si="40"/>
        <v>0</v>
      </c>
      <c r="AH99" s="692">
        <f t="shared" si="41"/>
        <v>0</v>
      </c>
      <c r="AJ99" s="38">
        <f t="shared" si="29"/>
        <v>21655.599999999999</v>
      </c>
    </row>
    <row r="100" spans="1:36" s="232" customFormat="1">
      <c r="A100" s="283"/>
      <c r="B100" s="283" t="s">
        <v>110</v>
      </c>
      <c r="C100" s="667"/>
      <c r="D100" s="413" t="s">
        <v>332</v>
      </c>
      <c r="E100" s="679"/>
      <c r="F100" s="529">
        <f>VLOOKUP(D100,'Jan 2013 Revenue'!D:T,17,FALSE)</f>
        <v>0</v>
      </c>
      <c r="G100" s="680"/>
      <c r="H100" s="680"/>
      <c r="I100" s="770">
        <v>1392095.86</v>
      </c>
      <c r="J100" s="682">
        <f t="shared" si="30"/>
        <v>1392095.86</v>
      </c>
      <c r="K100" s="683"/>
      <c r="L100" s="684"/>
      <c r="M100" s="753"/>
      <c r="N100" s="683">
        <v>0</v>
      </c>
      <c r="O100" s="686"/>
      <c r="P100" s="683">
        <v>0</v>
      </c>
      <c r="Q100" s="687">
        <f t="shared" si="1"/>
        <v>0</v>
      </c>
      <c r="R100" s="688">
        <v>0</v>
      </c>
      <c r="S100" s="693"/>
      <c r="T100" s="690">
        <f t="shared" si="31"/>
        <v>0</v>
      </c>
      <c r="U100" s="683"/>
      <c r="V100" s="474">
        <f t="shared" si="32"/>
        <v>0</v>
      </c>
      <c r="W100" s="474">
        <f t="shared" si="33"/>
        <v>0</v>
      </c>
      <c r="X100" s="475">
        <f t="shared" si="34"/>
        <v>0</v>
      </c>
      <c r="Y100" s="475">
        <v>0</v>
      </c>
      <c r="Z100" s="476">
        <v>0</v>
      </c>
      <c r="AA100" s="38">
        <f t="shared" si="35"/>
        <v>0</v>
      </c>
      <c r="AB100" s="692">
        <f t="shared" si="36"/>
        <v>1392095.86</v>
      </c>
      <c r="AC100" s="692">
        <f t="shared" si="37"/>
        <v>0</v>
      </c>
      <c r="AD100" s="692">
        <f t="shared" si="38"/>
        <v>0</v>
      </c>
      <c r="AE100" s="38"/>
      <c r="AF100" s="692">
        <f t="shared" si="39"/>
        <v>0</v>
      </c>
      <c r="AG100" s="692">
        <f t="shared" si="40"/>
        <v>0</v>
      </c>
      <c r="AH100" s="692">
        <f t="shared" si="41"/>
        <v>0</v>
      </c>
      <c r="AJ100" s="38">
        <f t="shared" si="29"/>
        <v>1392095.86</v>
      </c>
    </row>
    <row r="101" spans="1:36" s="232" customFormat="1">
      <c r="A101" s="283"/>
      <c r="B101" s="283" t="s">
        <v>110</v>
      </c>
      <c r="C101" s="667"/>
      <c r="D101" s="123" t="s">
        <v>333</v>
      </c>
      <c r="E101" s="679"/>
      <c r="F101" s="529">
        <f>VLOOKUP(D101,'Jan 2013 Revenue'!D:T,17,FALSE)</f>
        <v>0</v>
      </c>
      <c r="G101" s="680"/>
      <c r="H101" s="680"/>
      <c r="I101" s="770">
        <v>735.26</v>
      </c>
      <c r="J101" s="682">
        <f t="shared" si="30"/>
        <v>735.26</v>
      </c>
      <c r="K101" s="683"/>
      <c r="L101" s="684"/>
      <c r="M101" s="753"/>
      <c r="N101" s="683">
        <v>0</v>
      </c>
      <c r="O101" s="686"/>
      <c r="P101" s="683">
        <v>0</v>
      </c>
      <c r="Q101" s="687">
        <f t="shared" si="1"/>
        <v>0</v>
      </c>
      <c r="R101" s="688">
        <v>0</v>
      </c>
      <c r="S101" s="693"/>
      <c r="T101" s="690">
        <f t="shared" si="31"/>
        <v>0</v>
      </c>
      <c r="U101" s="683"/>
      <c r="V101" s="474">
        <f t="shared" si="32"/>
        <v>0</v>
      </c>
      <c r="W101" s="474">
        <f t="shared" si="33"/>
        <v>0</v>
      </c>
      <c r="X101" s="475">
        <f t="shared" si="34"/>
        <v>0</v>
      </c>
      <c r="Y101" s="475">
        <v>0</v>
      </c>
      <c r="Z101" s="476">
        <v>0</v>
      </c>
      <c r="AA101" s="38">
        <f t="shared" si="35"/>
        <v>0</v>
      </c>
      <c r="AB101" s="692">
        <f t="shared" si="36"/>
        <v>735.26</v>
      </c>
      <c r="AC101" s="692">
        <f t="shared" si="37"/>
        <v>0</v>
      </c>
      <c r="AD101" s="692">
        <f t="shared" si="38"/>
        <v>0</v>
      </c>
      <c r="AE101" s="38"/>
      <c r="AF101" s="692">
        <f t="shared" si="39"/>
        <v>0</v>
      </c>
      <c r="AG101" s="692">
        <f t="shared" si="40"/>
        <v>0</v>
      </c>
      <c r="AH101" s="692">
        <f t="shared" si="41"/>
        <v>0</v>
      </c>
      <c r="AJ101" s="38">
        <f t="shared" si="29"/>
        <v>735.26</v>
      </c>
    </row>
    <row r="102" spans="1:36" s="232" customFormat="1">
      <c r="A102" s="283"/>
      <c r="B102" s="283" t="s">
        <v>110</v>
      </c>
      <c r="C102" s="667"/>
      <c r="D102" s="123" t="s">
        <v>334</v>
      </c>
      <c r="E102" s="679"/>
      <c r="F102" s="529">
        <f>VLOOKUP(D102,'Jan 2013 Revenue'!D:T,17,FALSE)</f>
        <v>0</v>
      </c>
      <c r="G102" s="680"/>
      <c r="H102" s="680"/>
      <c r="I102" s="770">
        <v>309162.08</v>
      </c>
      <c r="J102" s="682">
        <f t="shared" si="30"/>
        <v>309162.08</v>
      </c>
      <c r="K102" s="683"/>
      <c r="L102" s="684"/>
      <c r="M102" s="753"/>
      <c r="N102" s="683">
        <v>0</v>
      </c>
      <c r="O102" s="686"/>
      <c r="P102" s="683">
        <v>0</v>
      </c>
      <c r="Q102" s="687">
        <f t="shared" si="1"/>
        <v>0</v>
      </c>
      <c r="R102" s="688">
        <v>0</v>
      </c>
      <c r="S102" s="693"/>
      <c r="T102" s="690">
        <f t="shared" si="31"/>
        <v>0</v>
      </c>
      <c r="U102" s="683"/>
      <c r="V102" s="474">
        <f t="shared" si="32"/>
        <v>0</v>
      </c>
      <c r="W102" s="474">
        <f t="shared" si="33"/>
        <v>0</v>
      </c>
      <c r="X102" s="475">
        <f t="shared" si="34"/>
        <v>0</v>
      </c>
      <c r="Y102" s="475">
        <v>0</v>
      </c>
      <c r="Z102" s="476">
        <v>0</v>
      </c>
      <c r="AA102" s="38">
        <f t="shared" si="35"/>
        <v>0</v>
      </c>
      <c r="AB102" s="692">
        <f t="shared" si="36"/>
        <v>309162.08</v>
      </c>
      <c r="AC102" s="692">
        <f t="shared" si="37"/>
        <v>0</v>
      </c>
      <c r="AD102" s="692">
        <f t="shared" si="38"/>
        <v>0</v>
      </c>
      <c r="AE102" s="38"/>
      <c r="AF102" s="692">
        <f t="shared" si="39"/>
        <v>0</v>
      </c>
      <c r="AG102" s="692">
        <f t="shared" si="40"/>
        <v>0</v>
      </c>
      <c r="AH102" s="692">
        <f t="shared" si="41"/>
        <v>0</v>
      </c>
      <c r="AJ102" s="38">
        <f t="shared" si="29"/>
        <v>309162.08</v>
      </c>
    </row>
    <row r="103" spans="1:36" s="232" customFormat="1">
      <c r="A103" s="283"/>
      <c r="B103" s="283" t="s">
        <v>110</v>
      </c>
      <c r="C103" s="667"/>
      <c r="D103" s="123" t="s">
        <v>335</v>
      </c>
      <c r="E103" s="679"/>
      <c r="F103" s="529">
        <f>VLOOKUP(D103,'Jan 2013 Revenue'!D:T,17,FALSE)</f>
        <v>0</v>
      </c>
      <c r="G103" s="680"/>
      <c r="H103" s="680"/>
      <c r="I103" s="770">
        <v>629.32000000000005</v>
      </c>
      <c r="J103" s="682">
        <f t="shared" si="30"/>
        <v>629.32000000000005</v>
      </c>
      <c r="K103" s="683"/>
      <c r="L103" s="684"/>
      <c r="M103" s="753"/>
      <c r="N103" s="683">
        <v>0</v>
      </c>
      <c r="O103" s="686"/>
      <c r="P103" s="683">
        <v>0</v>
      </c>
      <c r="Q103" s="687">
        <f t="shared" si="1"/>
        <v>0</v>
      </c>
      <c r="R103" s="688">
        <v>0</v>
      </c>
      <c r="S103" s="693"/>
      <c r="T103" s="690">
        <f t="shared" si="31"/>
        <v>0</v>
      </c>
      <c r="U103" s="683"/>
      <c r="V103" s="474">
        <f t="shared" si="32"/>
        <v>0</v>
      </c>
      <c r="W103" s="474">
        <f t="shared" si="33"/>
        <v>0</v>
      </c>
      <c r="X103" s="475">
        <f t="shared" si="34"/>
        <v>0</v>
      </c>
      <c r="Y103" s="475">
        <v>0</v>
      </c>
      <c r="Z103" s="476">
        <v>0</v>
      </c>
      <c r="AA103" s="38">
        <f t="shared" si="35"/>
        <v>0</v>
      </c>
      <c r="AB103" s="692">
        <f t="shared" si="36"/>
        <v>629.32000000000005</v>
      </c>
      <c r="AC103" s="692">
        <f t="shared" si="37"/>
        <v>0</v>
      </c>
      <c r="AD103" s="692">
        <f t="shared" si="38"/>
        <v>0</v>
      </c>
      <c r="AE103" s="38"/>
      <c r="AF103" s="692">
        <f t="shared" si="39"/>
        <v>0</v>
      </c>
      <c r="AG103" s="692">
        <f t="shared" si="40"/>
        <v>0</v>
      </c>
      <c r="AH103" s="692">
        <f t="shared" si="41"/>
        <v>0</v>
      </c>
      <c r="AJ103" s="38">
        <f t="shared" si="29"/>
        <v>629.32000000000005</v>
      </c>
    </row>
    <row r="104" spans="1:36" s="232" customFormat="1">
      <c r="A104" s="283"/>
      <c r="B104" s="283" t="s">
        <v>110</v>
      </c>
      <c r="C104" s="667"/>
      <c r="D104" s="123" t="s">
        <v>336</v>
      </c>
      <c r="E104" s="679"/>
      <c r="F104" s="529">
        <f>VLOOKUP(D104,'Jan 2013 Revenue'!D:T,17,FALSE)</f>
        <v>0</v>
      </c>
      <c r="G104" s="680"/>
      <c r="H104" s="680"/>
      <c r="I104" s="770">
        <v>304082.74</v>
      </c>
      <c r="J104" s="682">
        <f t="shared" si="30"/>
        <v>304082.74</v>
      </c>
      <c r="K104" s="683"/>
      <c r="L104" s="684"/>
      <c r="M104" s="753"/>
      <c r="N104" s="683">
        <v>0</v>
      </c>
      <c r="O104" s="686"/>
      <c r="P104" s="683">
        <v>0</v>
      </c>
      <c r="Q104" s="687">
        <f t="shared" si="1"/>
        <v>0</v>
      </c>
      <c r="R104" s="688">
        <v>0</v>
      </c>
      <c r="S104" s="693"/>
      <c r="T104" s="690">
        <f t="shared" si="31"/>
        <v>0</v>
      </c>
      <c r="U104" s="683"/>
      <c r="V104" s="474">
        <f t="shared" si="32"/>
        <v>0</v>
      </c>
      <c r="W104" s="474">
        <f t="shared" si="33"/>
        <v>0</v>
      </c>
      <c r="X104" s="475">
        <f t="shared" si="34"/>
        <v>0</v>
      </c>
      <c r="Y104" s="475">
        <v>0</v>
      </c>
      <c r="Z104" s="476">
        <v>0</v>
      </c>
      <c r="AA104" s="38">
        <f t="shared" si="35"/>
        <v>0</v>
      </c>
      <c r="AB104" s="692">
        <f t="shared" si="36"/>
        <v>304082.74</v>
      </c>
      <c r="AC104" s="692">
        <f t="shared" si="37"/>
        <v>0</v>
      </c>
      <c r="AD104" s="692">
        <f t="shared" si="38"/>
        <v>0</v>
      </c>
      <c r="AE104" s="38"/>
      <c r="AF104" s="692">
        <f t="shared" si="39"/>
        <v>0</v>
      </c>
      <c r="AG104" s="692">
        <f t="shared" si="40"/>
        <v>0</v>
      </c>
      <c r="AH104" s="692">
        <f t="shared" si="41"/>
        <v>0</v>
      </c>
      <c r="AJ104" s="38">
        <f t="shared" si="29"/>
        <v>304082.74</v>
      </c>
    </row>
    <row r="105" spans="1:36" s="232" customFormat="1">
      <c r="A105" s="283"/>
      <c r="B105" s="283" t="s">
        <v>110</v>
      </c>
      <c r="C105" s="667"/>
      <c r="D105" s="123" t="s">
        <v>337</v>
      </c>
      <c r="E105" s="679"/>
      <c r="F105" s="529">
        <f>VLOOKUP(D105,'Jan 2013 Revenue'!D:T,17,FALSE)</f>
        <v>0</v>
      </c>
      <c r="G105" s="680"/>
      <c r="H105" s="680"/>
      <c r="I105" s="770">
        <v>519.04</v>
      </c>
      <c r="J105" s="682">
        <f t="shared" si="30"/>
        <v>519.04</v>
      </c>
      <c r="K105" s="683"/>
      <c r="L105" s="684"/>
      <c r="M105" s="753"/>
      <c r="N105" s="683">
        <v>0</v>
      </c>
      <c r="O105" s="686"/>
      <c r="P105" s="683">
        <v>0</v>
      </c>
      <c r="Q105" s="687">
        <f t="shared" si="1"/>
        <v>0</v>
      </c>
      <c r="R105" s="688">
        <v>0</v>
      </c>
      <c r="S105" s="693"/>
      <c r="T105" s="690">
        <f t="shared" si="31"/>
        <v>0</v>
      </c>
      <c r="U105" s="683"/>
      <c r="V105" s="474">
        <f t="shared" si="32"/>
        <v>0</v>
      </c>
      <c r="W105" s="474">
        <f t="shared" si="33"/>
        <v>0</v>
      </c>
      <c r="X105" s="475">
        <f t="shared" si="34"/>
        <v>0</v>
      </c>
      <c r="Y105" s="475">
        <v>0</v>
      </c>
      <c r="Z105" s="476">
        <v>0</v>
      </c>
      <c r="AA105" s="38">
        <f t="shared" si="35"/>
        <v>0</v>
      </c>
      <c r="AB105" s="692">
        <f t="shared" si="36"/>
        <v>519.04</v>
      </c>
      <c r="AC105" s="692">
        <f t="shared" si="37"/>
        <v>0</v>
      </c>
      <c r="AD105" s="692">
        <f t="shared" si="38"/>
        <v>0</v>
      </c>
      <c r="AE105" s="38"/>
      <c r="AF105" s="692">
        <f t="shared" si="39"/>
        <v>0</v>
      </c>
      <c r="AG105" s="692">
        <f t="shared" si="40"/>
        <v>0</v>
      </c>
      <c r="AH105" s="692">
        <f t="shared" si="41"/>
        <v>0</v>
      </c>
      <c r="AJ105" s="38">
        <f t="shared" si="29"/>
        <v>519.04</v>
      </c>
    </row>
    <row r="106" spans="1:36" s="232" customFormat="1">
      <c r="A106" s="283"/>
      <c r="B106" s="283" t="s">
        <v>110</v>
      </c>
      <c r="C106" s="667"/>
      <c r="D106" s="123" t="s">
        <v>338</v>
      </c>
      <c r="E106" s="679"/>
      <c r="F106" s="529">
        <f>VLOOKUP(D106,'Jan 2013 Revenue'!D:T,17,FALSE)</f>
        <v>0</v>
      </c>
      <c r="G106" s="680"/>
      <c r="H106" s="680"/>
      <c r="I106" s="770">
        <v>96571.77</v>
      </c>
      <c r="J106" s="682">
        <f t="shared" si="30"/>
        <v>96571.77</v>
      </c>
      <c r="K106" s="683"/>
      <c r="L106" s="684"/>
      <c r="M106" s="753"/>
      <c r="N106" s="683">
        <v>0</v>
      </c>
      <c r="O106" s="686"/>
      <c r="P106" s="683">
        <v>0</v>
      </c>
      <c r="Q106" s="687">
        <f t="shared" si="1"/>
        <v>0</v>
      </c>
      <c r="R106" s="688">
        <v>0</v>
      </c>
      <c r="S106" s="693"/>
      <c r="T106" s="690">
        <f t="shared" si="31"/>
        <v>0</v>
      </c>
      <c r="U106" s="683"/>
      <c r="V106" s="474">
        <f t="shared" si="32"/>
        <v>0</v>
      </c>
      <c r="W106" s="474">
        <f t="shared" si="33"/>
        <v>0</v>
      </c>
      <c r="X106" s="475">
        <f t="shared" si="34"/>
        <v>0</v>
      </c>
      <c r="Y106" s="475">
        <v>0</v>
      </c>
      <c r="Z106" s="476">
        <v>0</v>
      </c>
      <c r="AA106" s="38">
        <f t="shared" si="35"/>
        <v>0</v>
      </c>
      <c r="AB106" s="692">
        <f t="shared" si="36"/>
        <v>96571.77</v>
      </c>
      <c r="AC106" s="692">
        <f t="shared" si="37"/>
        <v>0</v>
      </c>
      <c r="AD106" s="692">
        <f t="shared" si="38"/>
        <v>0</v>
      </c>
      <c r="AE106" s="38"/>
      <c r="AF106" s="692">
        <f t="shared" si="39"/>
        <v>0</v>
      </c>
      <c r="AG106" s="692">
        <f t="shared" si="40"/>
        <v>0</v>
      </c>
      <c r="AH106" s="692">
        <f t="shared" si="41"/>
        <v>0</v>
      </c>
      <c r="AJ106" s="38">
        <f t="shared" si="29"/>
        <v>96571.77</v>
      </c>
    </row>
    <row r="107" spans="1:36" s="232" customFormat="1">
      <c r="A107" s="283"/>
      <c r="B107" s="283" t="s">
        <v>110</v>
      </c>
      <c r="C107" s="667"/>
      <c r="D107" s="123" t="s">
        <v>339</v>
      </c>
      <c r="E107" s="679"/>
      <c r="F107" s="529">
        <f>VLOOKUP(D107,'Jan 2013 Revenue'!D:T,17,FALSE)</f>
        <v>0</v>
      </c>
      <c r="G107" s="680"/>
      <c r="H107" s="680"/>
      <c r="I107" s="770">
        <v>103957.74</v>
      </c>
      <c r="J107" s="682">
        <f t="shared" si="30"/>
        <v>103957.74</v>
      </c>
      <c r="K107" s="683"/>
      <c r="L107" s="684"/>
      <c r="M107" s="753"/>
      <c r="N107" s="683">
        <v>0</v>
      </c>
      <c r="O107" s="686"/>
      <c r="P107" s="683">
        <v>0</v>
      </c>
      <c r="Q107" s="687">
        <f t="shared" si="1"/>
        <v>0</v>
      </c>
      <c r="R107" s="688">
        <v>0</v>
      </c>
      <c r="S107" s="693"/>
      <c r="T107" s="690">
        <f t="shared" si="31"/>
        <v>0</v>
      </c>
      <c r="U107" s="683"/>
      <c r="V107" s="474">
        <f t="shared" si="32"/>
        <v>0</v>
      </c>
      <c r="W107" s="474">
        <f t="shared" si="33"/>
        <v>0</v>
      </c>
      <c r="X107" s="475">
        <f t="shared" si="34"/>
        <v>0</v>
      </c>
      <c r="Y107" s="475">
        <v>0</v>
      </c>
      <c r="Z107" s="476">
        <v>0</v>
      </c>
      <c r="AA107" s="38">
        <f t="shared" si="35"/>
        <v>0</v>
      </c>
      <c r="AB107" s="692">
        <f t="shared" si="36"/>
        <v>103957.74</v>
      </c>
      <c r="AC107" s="692">
        <f t="shared" si="37"/>
        <v>0</v>
      </c>
      <c r="AD107" s="692">
        <f t="shared" si="38"/>
        <v>0</v>
      </c>
      <c r="AE107" s="38"/>
      <c r="AF107" s="692">
        <f t="shared" si="39"/>
        <v>0</v>
      </c>
      <c r="AG107" s="692">
        <f t="shared" si="40"/>
        <v>0</v>
      </c>
      <c r="AH107" s="692">
        <f t="shared" si="41"/>
        <v>0</v>
      </c>
      <c r="AJ107" s="38">
        <f t="shared" si="29"/>
        <v>103957.74</v>
      </c>
    </row>
    <row r="108" spans="1:36" s="232" customFormat="1">
      <c r="A108" s="283"/>
      <c r="B108" s="283" t="s">
        <v>110</v>
      </c>
      <c r="C108" s="667"/>
      <c r="D108" s="123" t="s">
        <v>340</v>
      </c>
      <c r="E108" s="679"/>
      <c r="F108" s="529">
        <f>VLOOKUP(D108,'Jan 2013 Revenue'!D:T,17,FALSE)</f>
        <v>0</v>
      </c>
      <c r="G108" s="680"/>
      <c r="H108" s="680"/>
      <c r="I108" s="770">
        <v>87.92</v>
      </c>
      <c r="J108" s="682">
        <f t="shared" si="30"/>
        <v>87.92</v>
      </c>
      <c r="K108" s="683"/>
      <c r="L108" s="684"/>
      <c r="M108" s="753"/>
      <c r="N108" s="683">
        <v>0</v>
      </c>
      <c r="O108" s="686"/>
      <c r="P108" s="683">
        <v>0</v>
      </c>
      <c r="Q108" s="687">
        <f t="shared" si="1"/>
        <v>0</v>
      </c>
      <c r="R108" s="688">
        <v>0</v>
      </c>
      <c r="S108" s="693"/>
      <c r="T108" s="690">
        <f t="shared" si="31"/>
        <v>0</v>
      </c>
      <c r="U108" s="683"/>
      <c r="V108" s="474">
        <f t="shared" si="32"/>
        <v>0</v>
      </c>
      <c r="W108" s="474">
        <f t="shared" si="33"/>
        <v>0</v>
      </c>
      <c r="X108" s="475">
        <f t="shared" si="34"/>
        <v>0</v>
      </c>
      <c r="Y108" s="475">
        <v>0</v>
      </c>
      <c r="Z108" s="476">
        <v>0</v>
      </c>
      <c r="AA108" s="38">
        <f t="shared" si="35"/>
        <v>0</v>
      </c>
      <c r="AB108" s="692">
        <f t="shared" si="36"/>
        <v>87.92</v>
      </c>
      <c r="AC108" s="692">
        <f t="shared" si="37"/>
        <v>0</v>
      </c>
      <c r="AD108" s="692">
        <f t="shared" si="38"/>
        <v>0</v>
      </c>
      <c r="AE108" s="38"/>
      <c r="AF108" s="692">
        <f t="shared" si="39"/>
        <v>0</v>
      </c>
      <c r="AG108" s="692">
        <f t="shared" si="40"/>
        <v>0</v>
      </c>
      <c r="AH108" s="692">
        <f t="shared" si="41"/>
        <v>0</v>
      </c>
      <c r="AJ108" s="38">
        <f t="shared" si="29"/>
        <v>87.92</v>
      </c>
    </row>
    <row r="109" spans="1:36" s="232" customFormat="1">
      <c r="A109" s="283"/>
      <c r="B109" s="283" t="s">
        <v>110</v>
      </c>
      <c r="C109" s="667"/>
      <c r="D109" s="123" t="s">
        <v>439</v>
      </c>
      <c r="E109" s="679"/>
      <c r="F109" s="529">
        <f>VLOOKUP(D109,'Jan 2013 Revenue'!D:T,17,FALSE)</f>
        <v>0</v>
      </c>
      <c r="G109" s="680"/>
      <c r="H109" s="680"/>
      <c r="I109" s="770">
        <v>1598.02</v>
      </c>
      <c r="J109" s="682">
        <f t="shared" si="30"/>
        <v>1598.02</v>
      </c>
      <c r="K109" s="683"/>
      <c r="L109" s="684"/>
      <c r="M109" s="753"/>
      <c r="N109" s="683">
        <v>0</v>
      </c>
      <c r="O109" s="686"/>
      <c r="P109" s="683">
        <v>0</v>
      </c>
      <c r="Q109" s="687">
        <f t="shared" si="1"/>
        <v>0</v>
      </c>
      <c r="R109" s="688">
        <v>0</v>
      </c>
      <c r="S109" s="693"/>
      <c r="T109" s="690">
        <f t="shared" si="31"/>
        <v>0</v>
      </c>
      <c r="U109" s="683"/>
      <c r="V109" s="474">
        <f t="shared" si="32"/>
        <v>0</v>
      </c>
      <c r="W109" s="474">
        <f t="shared" si="33"/>
        <v>0</v>
      </c>
      <c r="X109" s="475">
        <f t="shared" si="34"/>
        <v>0</v>
      </c>
      <c r="Y109" s="475">
        <v>0</v>
      </c>
      <c r="Z109" s="476">
        <v>0</v>
      </c>
      <c r="AA109" s="38">
        <f t="shared" si="35"/>
        <v>0</v>
      </c>
      <c r="AB109" s="692">
        <f t="shared" si="36"/>
        <v>1598.02</v>
      </c>
      <c r="AC109" s="692">
        <f t="shared" si="37"/>
        <v>0</v>
      </c>
      <c r="AD109" s="692">
        <f t="shared" si="38"/>
        <v>0</v>
      </c>
      <c r="AE109" s="38"/>
      <c r="AF109" s="692">
        <f t="shared" si="39"/>
        <v>0</v>
      </c>
      <c r="AG109" s="692">
        <f t="shared" si="40"/>
        <v>0</v>
      </c>
      <c r="AH109" s="692">
        <f t="shared" si="41"/>
        <v>0</v>
      </c>
      <c r="AJ109" s="38">
        <f t="shared" si="29"/>
        <v>1598.02</v>
      </c>
    </row>
    <row r="110" spans="1:36" s="232" customFormat="1">
      <c r="A110" s="283"/>
      <c r="B110" s="283" t="s">
        <v>110</v>
      </c>
      <c r="C110" s="667"/>
      <c r="D110" s="123" t="s">
        <v>592</v>
      </c>
      <c r="E110" s="679"/>
      <c r="F110" s="529">
        <f>VLOOKUP(D110,'Jan 2013 Revenue'!D:T,17,FALSE)</f>
        <v>0</v>
      </c>
      <c r="G110" s="680"/>
      <c r="H110" s="680"/>
      <c r="I110" s="770">
        <v>1128.05</v>
      </c>
      <c r="J110" s="682">
        <f t="shared" si="30"/>
        <v>1128.05</v>
      </c>
      <c r="K110" s="683"/>
      <c r="L110" s="684"/>
      <c r="M110" s="753"/>
      <c r="N110" s="683">
        <v>0</v>
      </c>
      <c r="O110" s="686"/>
      <c r="P110" s="683">
        <v>0</v>
      </c>
      <c r="Q110" s="687">
        <f t="shared" si="1"/>
        <v>0</v>
      </c>
      <c r="R110" s="688">
        <v>0</v>
      </c>
      <c r="S110" s="693"/>
      <c r="T110" s="690">
        <f t="shared" si="31"/>
        <v>0</v>
      </c>
      <c r="U110" s="683"/>
      <c r="V110" s="474">
        <f t="shared" si="32"/>
        <v>0</v>
      </c>
      <c r="W110" s="474">
        <f t="shared" si="33"/>
        <v>0</v>
      </c>
      <c r="X110" s="475">
        <f t="shared" si="34"/>
        <v>0</v>
      </c>
      <c r="Y110" s="475">
        <v>0</v>
      </c>
      <c r="Z110" s="476">
        <v>0</v>
      </c>
      <c r="AA110" s="38">
        <f t="shared" si="35"/>
        <v>0</v>
      </c>
      <c r="AB110" s="692">
        <f t="shared" si="36"/>
        <v>1128.05</v>
      </c>
      <c r="AC110" s="692">
        <f t="shared" si="37"/>
        <v>0</v>
      </c>
      <c r="AD110" s="692">
        <f t="shared" si="38"/>
        <v>0</v>
      </c>
      <c r="AE110" s="38"/>
      <c r="AF110" s="692">
        <f t="shared" si="39"/>
        <v>0</v>
      </c>
      <c r="AG110" s="692">
        <f t="shared" si="40"/>
        <v>0</v>
      </c>
      <c r="AH110" s="692">
        <f t="shared" si="41"/>
        <v>0</v>
      </c>
      <c r="AJ110" s="38">
        <f t="shared" si="29"/>
        <v>1128.05</v>
      </c>
    </row>
    <row r="111" spans="1:36" s="232" customFormat="1">
      <c r="A111" s="283"/>
      <c r="B111" s="283" t="s">
        <v>110</v>
      </c>
      <c r="C111" s="667"/>
      <c r="D111" s="123" t="s">
        <v>512</v>
      </c>
      <c r="E111" s="679"/>
      <c r="F111" s="529">
        <f>VLOOKUP(D111,'Jan 2013 Revenue'!D:T,17,FALSE)</f>
        <v>0</v>
      </c>
      <c r="G111" s="680"/>
      <c r="H111" s="680"/>
      <c r="I111" s="770">
        <f>19059.99+2360.44+6199.03+1150.59+290.71</f>
        <v>29060.76</v>
      </c>
      <c r="J111" s="682">
        <f t="shared" si="30"/>
        <v>29060.76</v>
      </c>
      <c r="K111" s="683"/>
      <c r="L111" s="684"/>
      <c r="M111" s="753"/>
      <c r="N111" s="683">
        <v>0</v>
      </c>
      <c r="O111" s="686"/>
      <c r="P111" s="683"/>
      <c r="Q111" s="687">
        <f t="shared" si="1"/>
        <v>0</v>
      </c>
      <c r="R111" s="688">
        <v>0</v>
      </c>
      <c r="S111" s="693"/>
      <c r="T111" s="690">
        <f t="shared" si="31"/>
        <v>0</v>
      </c>
      <c r="U111" s="683"/>
      <c r="V111" s="474">
        <f t="shared" si="32"/>
        <v>0</v>
      </c>
      <c r="W111" s="474">
        <f t="shared" si="33"/>
        <v>0</v>
      </c>
      <c r="X111" s="475">
        <f t="shared" si="34"/>
        <v>0</v>
      </c>
      <c r="Y111" s="475">
        <v>0</v>
      </c>
      <c r="Z111" s="476">
        <v>0</v>
      </c>
      <c r="AA111" s="38">
        <f t="shared" si="35"/>
        <v>0</v>
      </c>
      <c r="AB111" s="692">
        <f t="shared" si="36"/>
        <v>29060.76</v>
      </c>
      <c r="AC111" s="692">
        <f t="shared" si="37"/>
        <v>0</v>
      </c>
      <c r="AD111" s="692">
        <f t="shared" si="38"/>
        <v>0</v>
      </c>
      <c r="AE111" s="38"/>
      <c r="AF111" s="692">
        <f t="shared" si="39"/>
        <v>0</v>
      </c>
      <c r="AG111" s="692">
        <f t="shared" si="40"/>
        <v>0</v>
      </c>
      <c r="AH111" s="692">
        <f t="shared" si="41"/>
        <v>0</v>
      </c>
      <c r="AJ111" s="38">
        <f t="shared" si="29"/>
        <v>29060.76</v>
      </c>
    </row>
    <row r="112" spans="1:36" s="24" customFormat="1">
      <c r="A112" s="32"/>
      <c r="B112" s="32" t="s">
        <v>110</v>
      </c>
      <c r="C112" s="667"/>
      <c r="D112" s="68" t="s">
        <v>588</v>
      </c>
      <c r="E112" s="679">
        <v>132.05000000000001</v>
      </c>
      <c r="F112" s="529">
        <f>VLOOKUP(D112,'Jan 2013 Revenue'!D:T,17,FALSE)</f>
        <v>0</v>
      </c>
      <c r="G112" s="680"/>
      <c r="H112" s="680"/>
      <c r="I112" s="755"/>
      <c r="J112" s="682">
        <f t="shared" si="30"/>
        <v>132.05000000000001</v>
      </c>
      <c r="K112" s="683"/>
      <c r="L112" s="684"/>
      <c r="M112" s="753"/>
      <c r="N112" s="698"/>
      <c r="O112" s="699"/>
      <c r="P112" s="698"/>
      <c r="Q112" s="687">
        <f t="shared" si="1"/>
        <v>0</v>
      </c>
      <c r="R112" s="688">
        <v>0</v>
      </c>
      <c r="S112" s="693"/>
      <c r="T112" s="690">
        <f t="shared" si="31"/>
        <v>0</v>
      </c>
      <c r="U112" s="683"/>
      <c r="V112" s="474">
        <f t="shared" si="32"/>
        <v>0</v>
      </c>
      <c r="W112" s="474">
        <f t="shared" si="33"/>
        <v>0</v>
      </c>
      <c r="X112" s="475">
        <f t="shared" si="34"/>
        <v>0</v>
      </c>
      <c r="Y112" s="475">
        <v>0</v>
      </c>
      <c r="Z112" s="476">
        <v>0</v>
      </c>
      <c r="AA112" s="38">
        <f t="shared" si="35"/>
        <v>0</v>
      </c>
      <c r="AB112" s="692">
        <f t="shared" si="36"/>
        <v>132.05000000000001</v>
      </c>
      <c r="AC112" s="692">
        <f t="shared" si="37"/>
        <v>0</v>
      </c>
      <c r="AD112" s="692">
        <f t="shared" si="38"/>
        <v>0</v>
      </c>
      <c r="AE112" s="38"/>
      <c r="AF112" s="692">
        <f t="shared" si="39"/>
        <v>0</v>
      </c>
      <c r="AG112" s="692">
        <f t="shared" si="40"/>
        <v>0</v>
      </c>
      <c r="AH112" s="692">
        <f t="shared" si="41"/>
        <v>0</v>
      </c>
      <c r="AJ112" s="38">
        <f t="shared" si="29"/>
        <v>132.05000000000001</v>
      </c>
    </row>
    <row r="113" spans="1:36">
      <c r="A113" s="21"/>
      <c r="B113" s="21" t="s">
        <v>109</v>
      </c>
      <c r="C113" s="666" t="s">
        <v>548</v>
      </c>
      <c r="D113" s="68" t="s">
        <v>461</v>
      </c>
      <c r="E113" s="679"/>
      <c r="F113" s="529">
        <f>VLOOKUP(D113,'Jan 2013 Revenue'!D:T,17,FALSE)</f>
        <v>-1484.77</v>
      </c>
      <c r="G113" s="680"/>
      <c r="H113" s="680"/>
      <c r="I113" s="770">
        <v>2978.47</v>
      </c>
      <c r="J113" s="682">
        <f t="shared" si="30"/>
        <v>1493.6999999999998</v>
      </c>
      <c r="K113" s="683"/>
      <c r="L113" s="684"/>
      <c r="M113" s="753"/>
      <c r="N113" s="683">
        <v>0</v>
      </c>
      <c r="O113" s="686"/>
      <c r="P113" s="683">
        <v>0</v>
      </c>
      <c r="Q113" s="687">
        <f t="shared" si="1"/>
        <v>0</v>
      </c>
      <c r="R113" s="688">
        <v>0</v>
      </c>
      <c r="S113" s="693"/>
      <c r="T113" s="690">
        <f t="shared" si="31"/>
        <v>0</v>
      </c>
      <c r="U113" s="683"/>
      <c r="V113" s="474">
        <f t="shared" si="32"/>
        <v>0</v>
      </c>
      <c r="W113" s="474">
        <f t="shared" si="33"/>
        <v>0</v>
      </c>
      <c r="X113" s="475">
        <f t="shared" si="34"/>
        <v>0</v>
      </c>
      <c r="Y113" s="475">
        <v>0</v>
      </c>
      <c r="Z113" s="476">
        <v>0</v>
      </c>
      <c r="AA113" s="38">
        <f t="shared" si="35"/>
        <v>0</v>
      </c>
      <c r="AB113" s="692">
        <f t="shared" si="36"/>
        <v>0</v>
      </c>
      <c r="AC113" s="692">
        <f t="shared" si="37"/>
        <v>1493.6999999999998</v>
      </c>
      <c r="AD113" s="692">
        <f t="shared" si="38"/>
        <v>0</v>
      </c>
      <c r="AE113" s="38"/>
      <c r="AF113" s="692">
        <f t="shared" si="39"/>
        <v>0</v>
      </c>
      <c r="AG113" s="692">
        <f t="shared" si="40"/>
        <v>0</v>
      </c>
      <c r="AH113" s="692">
        <f t="shared" si="41"/>
        <v>0</v>
      </c>
      <c r="AJ113" s="38">
        <f t="shared" si="29"/>
        <v>1493.6999999999998</v>
      </c>
    </row>
    <row r="114" spans="1:36">
      <c r="A114" s="20"/>
      <c r="B114" s="20" t="s">
        <v>109</v>
      </c>
      <c r="C114" s="667" t="s">
        <v>549</v>
      </c>
      <c r="D114" s="68" t="s">
        <v>22</v>
      </c>
      <c r="E114" s="679"/>
      <c r="F114" s="529">
        <f>VLOOKUP(D114,'Jan 2013 Revenue'!D:T,17,FALSE)</f>
        <v>0</v>
      </c>
      <c r="G114" s="680"/>
      <c r="H114" s="680"/>
      <c r="I114" s="755"/>
      <c r="J114" s="682">
        <f t="shared" si="30"/>
        <v>0</v>
      </c>
      <c r="K114" s="683"/>
      <c r="L114" s="684"/>
      <c r="M114" s="753"/>
      <c r="N114" s="683">
        <v>0</v>
      </c>
      <c r="O114" s="686"/>
      <c r="P114" s="683">
        <v>0</v>
      </c>
      <c r="Q114" s="687">
        <f t="shared" si="1"/>
        <v>0</v>
      </c>
      <c r="R114" s="688">
        <v>0</v>
      </c>
      <c r="S114" s="693"/>
      <c r="T114" s="690">
        <f t="shared" si="31"/>
        <v>0</v>
      </c>
      <c r="U114" s="683"/>
      <c r="V114" s="474">
        <f t="shared" si="32"/>
        <v>0</v>
      </c>
      <c r="W114" s="474">
        <f t="shared" si="33"/>
        <v>0</v>
      </c>
      <c r="X114" s="475">
        <f t="shared" si="34"/>
        <v>0</v>
      </c>
      <c r="Y114" s="475">
        <v>0</v>
      </c>
      <c r="Z114" s="476">
        <v>0</v>
      </c>
      <c r="AA114" s="38">
        <f t="shared" si="35"/>
        <v>0</v>
      </c>
      <c r="AB114" s="692">
        <f t="shared" si="36"/>
        <v>0</v>
      </c>
      <c r="AC114" s="692">
        <f t="shared" si="37"/>
        <v>0</v>
      </c>
      <c r="AD114" s="692">
        <f t="shared" si="38"/>
        <v>0</v>
      </c>
      <c r="AE114" s="38"/>
      <c r="AF114" s="692">
        <f t="shared" si="39"/>
        <v>0</v>
      </c>
      <c r="AG114" s="692">
        <f t="shared" si="40"/>
        <v>0</v>
      </c>
      <c r="AH114" s="692">
        <f t="shared" si="41"/>
        <v>0</v>
      </c>
      <c r="AJ114" s="38">
        <f t="shared" si="29"/>
        <v>0</v>
      </c>
    </row>
    <row r="115" spans="1:36">
      <c r="A115" s="20"/>
      <c r="B115" s="20" t="s">
        <v>110</v>
      </c>
      <c r="C115" s="667"/>
      <c r="D115" s="68" t="s">
        <v>24</v>
      </c>
      <c r="E115" s="679"/>
      <c r="F115" s="529">
        <f>VLOOKUP(D115,'Jan 2013 Revenue'!D:T,17,FALSE)</f>
        <v>0</v>
      </c>
      <c r="G115" s="680"/>
      <c r="H115" s="680"/>
      <c r="I115" s="770">
        <v>3164.15</v>
      </c>
      <c r="J115" s="682">
        <f t="shared" si="30"/>
        <v>3164.15</v>
      </c>
      <c r="K115" s="683"/>
      <c r="L115" s="684"/>
      <c r="M115" s="753"/>
      <c r="N115" s="683">
        <v>0</v>
      </c>
      <c r="O115" s="686"/>
      <c r="P115" s="683">
        <v>0</v>
      </c>
      <c r="Q115" s="687">
        <f t="shared" si="1"/>
        <v>0</v>
      </c>
      <c r="R115" s="688">
        <v>0</v>
      </c>
      <c r="S115" s="693"/>
      <c r="T115" s="690">
        <f t="shared" si="31"/>
        <v>0</v>
      </c>
      <c r="U115" s="683"/>
      <c r="V115" s="474">
        <f t="shared" si="32"/>
        <v>0</v>
      </c>
      <c r="W115" s="474">
        <f t="shared" si="33"/>
        <v>0</v>
      </c>
      <c r="X115" s="475">
        <f t="shared" si="34"/>
        <v>0</v>
      </c>
      <c r="Y115" s="475">
        <v>0</v>
      </c>
      <c r="Z115" s="476">
        <v>0</v>
      </c>
      <c r="AA115" s="38">
        <f t="shared" si="35"/>
        <v>0</v>
      </c>
      <c r="AB115" s="692">
        <f t="shared" si="36"/>
        <v>3164.15</v>
      </c>
      <c r="AC115" s="692">
        <f t="shared" si="37"/>
        <v>0</v>
      </c>
      <c r="AD115" s="692">
        <f t="shared" si="38"/>
        <v>0</v>
      </c>
      <c r="AE115" s="38"/>
      <c r="AF115" s="692">
        <f t="shared" si="39"/>
        <v>0</v>
      </c>
      <c r="AG115" s="692">
        <f t="shared" si="40"/>
        <v>0</v>
      </c>
      <c r="AH115" s="692">
        <f t="shared" si="41"/>
        <v>0</v>
      </c>
      <c r="AJ115" s="38">
        <f t="shared" si="29"/>
        <v>3164.15</v>
      </c>
    </row>
    <row r="116" spans="1:36">
      <c r="A116" s="21"/>
      <c r="B116" s="21" t="s">
        <v>110</v>
      </c>
      <c r="C116" s="666" t="s">
        <v>550</v>
      </c>
      <c r="D116" s="68" t="s">
        <v>282</v>
      </c>
      <c r="E116" s="679"/>
      <c r="F116" s="529">
        <f>VLOOKUP(D116,'Jan 2013 Revenue'!D:T,17,FALSE)</f>
        <v>2287.380000000001</v>
      </c>
      <c r="G116" s="680"/>
      <c r="H116" s="680"/>
      <c r="I116" s="755"/>
      <c r="J116" s="682">
        <f t="shared" si="30"/>
        <v>2287.380000000001</v>
      </c>
      <c r="K116" s="683"/>
      <c r="L116" s="684"/>
      <c r="M116" s="753">
        <v>25000</v>
      </c>
      <c r="N116" s="683">
        <v>0</v>
      </c>
      <c r="O116" s="686"/>
      <c r="P116" s="683">
        <v>0</v>
      </c>
      <c r="Q116" s="687">
        <f t="shared" si="1"/>
        <v>25000</v>
      </c>
      <c r="R116" s="688">
        <v>24498.2</v>
      </c>
      <c r="S116" s="693"/>
      <c r="T116" s="690">
        <f t="shared" si="31"/>
        <v>-501.79999999999927</v>
      </c>
      <c r="U116" s="683"/>
      <c r="V116" s="474">
        <f t="shared" si="32"/>
        <v>25000</v>
      </c>
      <c r="W116" s="474">
        <f t="shared" si="33"/>
        <v>0</v>
      </c>
      <c r="X116" s="475">
        <f t="shared" si="34"/>
        <v>0</v>
      </c>
      <c r="Y116" s="475">
        <v>0</v>
      </c>
      <c r="Z116" s="476">
        <v>0</v>
      </c>
      <c r="AA116" s="38">
        <f t="shared" si="35"/>
        <v>0</v>
      </c>
      <c r="AB116" s="692">
        <f t="shared" si="36"/>
        <v>2287.380000000001</v>
      </c>
      <c r="AC116" s="692">
        <f t="shared" si="37"/>
        <v>0</v>
      </c>
      <c r="AD116" s="692">
        <f t="shared" si="38"/>
        <v>0</v>
      </c>
      <c r="AE116" s="38"/>
      <c r="AF116" s="692">
        <f t="shared" si="39"/>
        <v>25000</v>
      </c>
      <c r="AG116" s="692">
        <f t="shared" si="40"/>
        <v>0</v>
      </c>
      <c r="AH116" s="692">
        <f t="shared" si="41"/>
        <v>0</v>
      </c>
      <c r="AJ116" s="38">
        <f t="shared" si="29"/>
        <v>27287.38</v>
      </c>
    </row>
    <row r="117" spans="1:36">
      <c r="A117" s="21"/>
      <c r="B117" s="21" t="s">
        <v>109</v>
      </c>
      <c r="C117" s="666" t="s">
        <v>551</v>
      </c>
      <c r="D117" s="68" t="s">
        <v>499</v>
      </c>
      <c r="E117" s="679"/>
      <c r="F117" s="529">
        <f>VLOOKUP(D117,'Jan 2013 Revenue'!D:T,17,FALSE)</f>
        <v>0</v>
      </c>
      <c r="G117" s="680"/>
      <c r="H117" s="680"/>
      <c r="I117" s="755"/>
      <c r="J117" s="682">
        <f t="shared" si="30"/>
        <v>0</v>
      </c>
      <c r="K117" s="683"/>
      <c r="L117" s="684"/>
      <c r="M117" s="753"/>
      <c r="N117" s="683">
        <v>0</v>
      </c>
      <c r="O117" s="686"/>
      <c r="P117" s="683">
        <v>0</v>
      </c>
      <c r="Q117" s="687">
        <f t="shared" si="1"/>
        <v>0</v>
      </c>
      <c r="R117" s="688">
        <v>0</v>
      </c>
      <c r="S117" s="693"/>
      <c r="T117" s="690">
        <f t="shared" si="31"/>
        <v>0</v>
      </c>
      <c r="U117" s="683"/>
      <c r="V117" s="474">
        <f t="shared" si="32"/>
        <v>0</v>
      </c>
      <c r="W117" s="474">
        <f t="shared" si="33"/>
        <v>0</v>
      </c>
      <c r="X117" s="475">
        <f t="shared" si="34"/>
        <v>0</v>
      </c>
      <c r="Y117" s="475">
        <v>0</v>
      </c>
      <c r="Z117" s="476">
        <v>0</v>
      </c>
      <c r="AA117" s="38">
        <f t="shared" si="35"/>
        <v>0</v>
      </c>
      <c r="AB117" s="692">
        <f t="shared" si="36"/>
        <v>0</v>
      </c>
      <c r="AC117" s="692">
        <f t="shared" si="37"/>
        <v>0</v>
      </c>
      <c r="AD117" s="692">
        <f t="shared" si="38"/>
        <v>0</v>
      </c>
      <c r="AE117" s="38"/>
      <c r="AF117" s="692">
        <f t="shared" si="39"/>
        <v>0</v>
      </c>
      <c r="AG117" s="692">
        <f t="shared" si="40"/>
        <v>0</v>
      </c>
      <c r="AH117" s="692">
        <f t="shared" si="41"/>
        <v>0</v>
      </c>
      <c r="AJ117" s="38">
        <f t="shared" si="29"/>
        <v>0</v>
      </c>
    </row>
    <row r="118" spans="1:36">
      <c r="A118" s="21"/>
      <c r="B118" s="21" t="s">
        <v>110</v>
      </c>
      <c r="C118" s="666"/>
      <c r="D118" s="68" t="s">
        <v>28</v>
      </c>
      <c r="E118" s="679"/>
      <c r="F118" s="529">
        <f>VLOOKUP(D118,'Jan 2013 Revenue'!D:T,17,FALSE)</f>
        <v>0</v>
      </c>
      <c r="G118" s="680"/>
      <c r="H118" s="680"/>
      <c r="I118" s="770">
        <v>1878.8</v>
      </c>
      <c r="J118" s="682">
        <f t="shared" si="30"/>
        <v>1878.8</v>
      </c>
      <c r="K118" s="683"/>
      <c r="L118" s="684"/>
      <c r="M118" s="753"/>
      <c r="N118" s="683">
        <v>0</v>
      </c>
      <c r="O118" s="686"/>
      <c r="P118" s="683">
        <v>0</v>
      </c>
      <c r="Q118" s="687">
        <f t="shared" si="1"/>
        <v>0</v>
      </c>
      <c r="R118" s="688">
        <v>0</v>
      </c>
      <c r="S118" s="693"/>
      <c r="T118" s="690">
        <f t="shared" si="31"/>
        <v>0</v>
      </c>
      <c r="U118" s="683"/>
      <c r="V118" s="474">
        <f t="shared" si="32"/>
        <v>0</v>
      </c>
      <c r="W118" s="474">
        <f t="shared" si="33"/>
        <v>0</v>
      </c>
      <c r="X118" s="475">
        <f t="shared" si="34"/>
        <v>0</v>
      </c>
      <c r="Y118" s="475">
        <v>0</v>
      </c>
      <c r="Z118" s="476">
        <v>0</v>
      </c>
      <c r="AA118" s="38">
        <f t="shared" si="35"/>
        <v>0</v>
      </c>
      <c r="AB118" s="692">
        <f t="shared" si="36"/>
        <v>1878.8</v>
      </c>
      <c r="AC118" s="692">
        <f t="shared" si="37"/>
        <v>0</v>
      </c>
      <c r="AD118" s="692">
        <f t="shared" si="38"/>
        <v>0</v>
      </c>
      <c r="AE118" s="38"/>
      <c r="AF118" s="692">
        <f t="shared" si="39"/>
        <v>0</v>
      </c>
      <c r="AG118" s="692">
        <f t="shared" si="40"/>
        <v>0</v>
      </c>
      <c r="AH118" s="692">
        <f t="shared" si="41"/>
        <v>0</v>
      </c>
      <c r="AJ118" s="38">
        <f t="shared" si="29"/>
        <v>1878.8</v>
      </c>
    </row>
    <row r="119" spans="1:36">
      <c r="A119" s="21"/>
      <c r="B119" s="21" t="s">
        <v>114</v>
      </c>
      <c r="C119" s="666" t="s">
        <v>552</v>
      </c>
      <c r="D119" s="68" t="s">
        <v>513</v>
      </c>
      <c r="E119" s="679">
        <v>3615.8</v>
      </c>
      <c r="F119" s="529">
        <f>VLOOKUP(D119,'Jan 2013 Revenue'!D:T,17,FALSE)</f>
        <v>-6327.4</v>
      </c>
      <c r="G119" s="680"/>
      <c r="H119" s="680"/>
      <c r="I119" s="755"/>
      <c r="J119" s="682">
        <f t="shared" si="30"/>
        <v>-2711.5999999999995</v>
      </c>
      <c r="K119" s="683"/>
      <c r="L119" s="684"/>
      <c r="M119" s="753">
        <v>4000</v>
      </c>
      <c r="N119" s="683">
        <v>0</v>
      </c>
      <c r="O119" s="686"/>
      <c r="P119" s="683">
        <v>0</v>
      </c>
      <c r="Q119" s="687">
        <f>L119+M119</f>
        <v>4000</v>
      </c>
      <c r="R119" s="688">
        <v>0</v>
      </c>
      <c r="S119" s="693"/>
      <c r="T119" s="690">
        <f t="shared" si="31"/>
        <v>-4000</v>
      </c>
      <c r="U119" s="683"/>
      <c r="V119" s="474">
        <f t="shared" si="32"/>
        <v>0</v>
      </c>
      <c r="W119" s="474">
        <f t="shared" si="33"/>
        <v>0</v>
      </c>
      <c r="X119" s="475">
        <f t="shared" si="34"/>
        <v>4000</v>
      </c>
      <c r="Y119" s="475">
        <v>0</v>
      </c>
      <c r="Z119" s="476">
        <v>0</v>
      </c>
      <c r="AA119" s="38">
        <f t="shared" si="35"/>
        <v>0</v>
      </c>
      <c r="AB119" s="692">
        <f t="shared" si="36"/>
        <v>0</v>
      </c>
      <c r="AC119" s="692">
        <f t="shared" si="37"/>
        <v>0</v>
      </c>
      <c r="AD119" s="692">
        <f t="shared" si="38"/>
        <v>-2711.5999999999995</v>
      </c>
      <c r="AE119" s="38"/>
      <c r="AF119" s="692">
        <f t="shared" si="39"/>
        <v>0</v>
      </c>
      <c r="AG119" s="692">
        <f t="shared" si="40"/>
        <v>0</v>
      </c>
      <c r="AH119" s="692">
        <f t="shared" si="41"/>
        <v>4000</v>
      </c>
      <c r="AJ119" s="38">
        <f t="shared" si="29"/>
        <v>1288.4000000000005</v>
      </c>
    </row>
    <row r="120" spans="1:36">
      <c r="A120" s="21"/>
      <c r="B120" s="21" t="s">
        <v>109</v>
      </c>
      <c r="C120" s="666" t="s">
        <v>553</v>
      </c>
      <c r="D120" s="68" t="s">
        <v>308</v>
      </c>
      <c r="E120" s="679">
        <f>1709.93+1758.64+1571.25</f>
        <v>5039.82</v>
      </c>
      <c r="F120" s="529">
        <f>VLOOKUP(D120,'Jan 2013 Revenue'!D:T,17,FALSE)</f>
        <v>1547.29</v>
      </c>
      <c r="G120" s="680"/>
      <c r="H120" s="680"/>
      <c r="I120" s="755"/>
      <c r="J120" s="682">
        <f t="shared" si="30"/>
        <v>6587.11</v>
      </c>
      <c r="K120" s="683"/>
      <c r="L120" s="684"/>
      <c r="M120" s="753"/>
      <c r="N120" s="683">
        <v>0</v>
      </c>
      <c r="O120" s="686"/>
      <c r="P120" s="683">
        <v>0</v>
      </c>
      <c r="Q120" s="687">
        <f t="shared" si="1"/>
        <v>0</v>
      </c>
      <c r="R120" s="688">
        <v>0</v>
      </c>
      <c r="S120" s="693"/>
      <c r="T120" s="690">
        <f t="shared" si="31"/>
        <v>0</v>
      </c>
      <c r="U120" s="683"/>
      <c r="V120" s="474">
        <f t="shared" si="32"/>
        <v>0</v>
      </c>
      <c r="W120" s="474">
        <f t="shared" si="33"/>
        <v>0</v>
      </c>
      <c r="X120" s="475">
        <f t="shared" si="34"/>
        <v>0</v>
      </c>
      <c r="Y120" s="475">
        <v>0</v>
      </c>
      <c r="Z120" s="476">
        <v>0</v>
      </c>
      <c r="AA120" s="38">
        <f t="shared" si="35"/>
        <v>0</v>
      </c>
      <c r="AB120" s="692">
        <f t="shared" si="36"/>
        <v>0</v>
      </c>
      <c r="AC120" s="692">
        <f t="shared" si="37"/>
        <v>6587.11</v>
      </c>
      <c r="AD120" s="692">
        <f t="shared" si="38"/>
        <v>0</v>
      </c>
      <c r="AE120" s="38"/>
      <c r="AF120" s="692">
        <f t="shared" si="39"/>
        <v>0</v>
      </c>
      <c r="AG120" s="692">
        <f t="shared" si="40"/>
        <v>0</v>
      </c>
      <c r="AH120" s="692">
        <f t="shared" si="41"/>
        <v>0</v>
      </c>
      <c r="AJ120" s="38">
        <f t="shared" si="29"/>
        <v>6587.11</v>
      </c>
    </row>
    <row r="121" spans="1:36" s="232" customFormat="1">
      <c r="A121" s="283" t="s">
        <v>211</v>
      </c>
      <c r="B121" s="283" t="s">
        <v>109</v>
      </c>
      <c r="C121" s="667" t="s">
        <v>554</v>
      </c>
      <c r="D121" s="123" t="s">
        <v>389</v>
      </c>
      <c r="E121" s="679"/>
      <c r="F121" s="529">
        <f>VLOOKUP(D121,'Jan 2013 Revenue'!D:T,17,FALSE)</f>
        <v>0</v>
      </c>
      <c r="G121" s="680"/>
      <c r="H121" s="680"/>
      <c r="I121" s="755"/>
      <c r="J121" s="682">
        <f t="shared" si="30"/>
        <v>0</v>
      </c>
      <c r="K121" s="683"/>
      <c r="L121" s="684"/>
      <c r="M121" s="753"/>
      <c r="N121" s="683">
        <v>0</v>
      </c>
      <c r="O121" s="686"/>
      <c r="P121" s="683">
        <v>0</v>
      </c>
      <c r="Q121" s="687">
        <f t="shared" si="1"/>
        <v>0</v>
      </c>
      <c r="R121" s="688">
        <v>0</v>
      </c>
      <c r="S121" s="693"/>
      <c r="T121" s="690">
        <f t="shared" si="31"/>
        <v>0</v>
      </c>
      <c r="U121" s="683"/>
      <c r="V121" s="474">
        <f t="shared" si="32"/>
        <v>0</v>
      </c>
      <c r="W121" s="474">
        <f t="shared" si="33"/>
        <v>0</v>
      </c>
      <c r="X121" s="475">
        <f t="shared" si="34"/>
        <v>0</v>
      </c>
      <c r="Y121" s="475">
        <v>0</v>
      </c>
      <c r="Z121" s="476">
        <v>0</v>
      </c>
      <c r="AA121" s="38">
        <f t="shared" si="35"/>
        <v>0</v>
      </c>
      <c r="AB121" s="692">
        <f t="shared" si="36"/>
        <v>0</v>
      </c>
      <c r="AC121" s="692">
        <f t="shared" si="37"/>
        <v>0</v>
      </c>
      <c r="AD121" s="692">
        <f t="shared" si="38"/>
        <v>0</v>
      </c>
      <c r="AE121" s="38"/>
      <c r="AF121" s="692">
        <f t="shared" si="39"/>
        <v>0</v>
      </c>
      <c r="AG121" s="692">
        <f t="shared" si="40"/>
        <v>0</v>
      </c>
      <c r="AH121" s="692">
        <f t="shared" si="41"/>
        <v>0</v>
      </c>
      <c r="AJ121" s="38">
        <f t="shared" si="29"/>
        <v>0</v>
      </c>
    </row>
    <row r="122" spans="1:36" s="232" customFormat="1">
      <c r="A122" s="283"/>
      <c r="B122" s="283" t="s">
        <v>110</v>
      </c>
      <c r="C122" s="667"/>
      <c r="D122" s="123" t="s">
        <v>807</v>
      </c>
      <c r="E122" s="679"/>
      <c r="F122" s="529">
        <f>VLOOKUP(D122,'Jan 2013 Revenue'!D:T,17,FALSE)</f>
        <v>1322.02</v>
      </c>
      <c r="G122" s="680"/>
      <c r="H122" s="680"/>
      <c r="I122" s="770">
        <v>1388.33</v>
      </c>
      <c r="J122" s="682">
        <f t="shared" si="30"/>
        <v>2710.35</v>
      </c>
      <c r="K122" s="683"/>
      <c r="L122" s="684"/>
      <c r="M122" s="753"/>
      <c r="N122" s="683">
        <v>0</v>
      </c>
      <c r="O122" s="686"/>
      <c r="P122" s="683">
        <v>0</v>
      </c>
      <c r="Q122" s="687">
        <f t="shared" si="1"/>
        <v>0</v>
      </c>
      <c r="R122" s="688">
        <v>0</v>
      </c>
      <c r="S122" s="693"/>
      <c r="T122" s="690">
        <f t="shared" si="31"/>
        <v>0</v>
      </c>
      <c r="U122" s="683"/>
      <c r="V122" s="474">
        <f t="shared" si="32"/>
        <v>0</v>
      </c>
      <c r="W122" s="474">
        <f t="shared" si="33"/>
        <v>0</v>
      </c>
      <c r="X122" s="475">
        <f t="shared" si="34"/>
        <v>0</v>
      </c>
      <c r="Y122" s="475">
        <v>0</v>
      </c>
      <c r="Z122" s="476">
        <v>0</v>
      </c>
      <c r="AA122" s="38">
        <f t="shared" si="35"/>
        <v>0</v>
      </c>
      <c r="AB122" s="692">
        <f t="shared" si="36"/>
        <v>2710.35</v>
      </c>
      <c r="AC122" s="692">
        <f t="shared" si="37"/>
        <v>0</v>
      </c>
      <c r="AD122" s="692">
        <f t="shared" si="38"/>
        <v>0</v>
      </c>
      <c r="AE122" s="38"/>
      <c r="AF122" s="692">
        <f t="shared" si="39"/>
        <v>0</v>
      </c>
      <c r="AG122" s="692">
        <f t="shared" si="40"/>
        <v>0</v>
      </c>
      <c r="AH122" s="692">
        <f t="shared" si="41"/>
        <v>0</v>
      </c>
      <c r="AJ122" s="38">
        <f t="shared" si="29"/>
        <v>2710.35</v>
      </c>
    </row>
    <row r="123" spans="1:36" s="232" customFormat="1">
      <c r="A123" s="283"/>
      <c r="B123" s="283" t="s">
        <v>109</v>
      </c>
      <c r="C123" s="667"/>
      <c r="D123" s="123" t="s">
        <v>808</v>
      </c>
      <c r="E123" s="679">
        <f>17296.54+161010.83</f>
        <v>178307.37</v>
      </c>
      <c r="F123" s="529">
        <f>VLOOKUP(D123,'Jan 2013 Revenue'!D:T,17,FALSE)</f>
        <v>4557.4599999999991</v>
      </c>
      <c r="G123" s="680"/>
      <c r="H123" s="680"/>
      <c r="I123" s="770">
        <f>12841.76+532.86+4046.31</f>
        <v>17420.93</v>
      </c>
      <c r="J123" s="682">
        <f t="shared" si="30"/>
        <v>200285.75999999998</v>
      </c>
      <c r="K123" s="683"/>
      <c r="L123" s="684"/>
      <c r="M123" s="753"/>
      <c r="N123" s="683">
        <v>0</v>
      </c>
      <c r="O123" s="686"/>
      <c r="P123" s="683">
        <v>0</v>
      </c>
      <c r="Q123" s="687">
        <f t="shared" si="1"/>
        <v>0</v>
      </c>
      <c r="R123" s="688">
        <v>0</v>
      </c>
      <c r="S123" s="693"/>
      <c r="T123" s="690">
        <f t="shared" si="31"/>
        <v>0</v>
      </c>
      <c r="U123" s="683"/>
      <c r="V123" s="474">
        <f t="shared" si="32"/>
        <v>0</v>
      </c>
      <c r="W123" s="474">
        <f t="shared" si="33"/>
        <v>0</v>
      </c>
      <c r="X123" s="475">
        <f t="shared" si="34"/>
        <v>0</v>
      </c>
      <c r="Y123" s="475">
        <v>0</v>
      </c>
      <c r="Z123" s="476">
        <v>0</v>
      </c>
      <c r="AA123" s="38">
        <f t="shared" si="35"/>
        <v>0</v>
      </c>
      <c r="AB123" s="692">
        <f t="shared" si="36"/>
        <v>0</v>
      </c>
      <c r="AC123" s="692">
        <f t="shared" si="37"/>
        <v>200285.75999999998</v>
      </c>
      <c r="AD123" s="692">
        <f t="shared" si="38"/>
        <v>0</v>
      </c>
      <c r="AE123" s="38"/>
      <c r="AF123" s="692">
        <f t="shared" si="39"/>
        <v>0</v>
      </c>
      <c r="AG123" s="692">
        <f t="shared" si="40"/>
        <v>0</v>
      </c>
      <c r="AH123" s="692">
        <f t="shared" si="41"/>
        <v>0</v>
      </c>
      <c r="AJ123" s="38">
        <f t="shared" si="29"/>
        <v>200285.75999999998</v>
      </c>
    </row>
    <row r="124" spans="1:36" s="232" customFormat="1">
      <c r="A124" s="403"/>
      <c r="B124" s="403" t="s">
        <v>110</v>
      </c>
      <c r="C124" s="666" t="s">
        <v>563</v>
      </c>
      <c r="D124" s="123" t="s">
        <v>867</v>
      </c>
      <c r="E124" s="679"/>
      <c r="F124" s="529">
        <f>VLOOKUP(D124,'Jan 2013 Revenue'!D:T,17,FALSE)</f>
        <v>0</v>
      </c>
      <c r="G124" s="680"/>
      <c r="H124" s="680"/>
      <c r="I124" s="755"/>
      <c r="J124" s="682">
        <f t="shared" si="30"/>
        <v>0</v>
      </c>
      <c r="K124" s="683"/>
      <c r="L124" s="684"/>
      <c r="M124" s="753"/>
      <c r="N124" s="683">
        <v>0</v>
      </c>
      <c r="O124" s="686"/>
      <c r="P124" s="683">
        <v>0</v>
      </c>
      <c r="Q124" s="687">
        <f t="shared" si="1"/>
        <v>0</v>
      </c>
      <c r="R124" s="688">
        <v>0</v>
      </c>
      <c r="S124" s="693"/>
      <c r="T124" s="690">
        <f t="shared" si="31"/>
        <v>0</v>
      </c>
      <c r="U124" s="683"/>
      <c r="V124" s="474">
        <f t="shared" si="32"/>
        <v>0</v>
      </c>
      <c r="W124" s="474">
        <f t="shared" si="33"/>
        <v>0</v>
      </c>
      <c r="X124" s="475">
        <f t="shared" si="34"/>
        <v>0</v>
      </c>
      <c r="Y124" s="475">
        <v>0</v>
      </c>
      <c r="Z124" s="476">
        <v>0</v>
      </c>
      <c r="AA124" s="38">
        <f t="shared" si="35"/>
        <v>0</v>
      </c>
      <c r="AB124" s="692">
        <f t="shared" si="36"/>
        <v>0</v>
      </c>
      <c r="AC124" s="692">
        <f t="shared" si="37"/>
        <v>0</v>
      </c>
      <c r="AD124" s="692">
        <f t="shared" si="38"/>
        <v>0</v>
      </c>
      <c r="AE124" s="38"/>
      <c r="AF124" s="692">
        <f t="shared" si="39"/>
        <v>0</v>
      </c>
      <c r="AG124" s="692">
        <f t="shared" si="40"/>
        <v>0</v>
      </c>
      <c r="AH124" s="692">
        <f t="shared" si="41"/>
        <v>0</v>
      </c>
      <c r="AJ124" s="38">
        <f t="shared" si="29"/>
        <v>0</v>
      </c>
    </row>
    <row r="125" spans="1:36" s="232" customFormat="1">
      <c r="A125" s="283"/>
      <c r="B125" s="283" t="s">
        <v>110</v>
      </c>
      <c r="C125" s="667"/>
      <c r="D125" s="68" t="s">
        <v>488</v>
      </c>
      <c r="E125" s="679"/>
      <c r="F125" s="529">
        <f>VLOOKUP(D125,'Jan 2013 Revenue'!D:T,17,FALSE)</f>
        <v>0</v>
      </c>
      <c r="G125" s="680"/>
      <c r="H125" s="680"/>
      <c r="I125" s="755"/>
      <c r="J125" s="682">
        <f t="shared" si="30"/>
        <v>0</v>
      </c>
      <c r="K125" s="683"/>
      <c r="L125" s="684"/>
      <c r="M125" s="753"/>
      <c r="N125" s="683">
        <v>0</v>
      </c>
      <c r="O125" s="686"/>
      <c r="P125" s="683">
        <v>0</v>
      </c>
      <c r="Q125" s="687">
        <f t="shared" si="1"/>
        <v>0</v>
      </c>
      <c r="R125" s="688">
        <v>0</v>
      </c>
      <c r="S125" s="693"/>
      <c r="T125" s="690">
        <f t="shared" si="31"/>
        <v>0</v>
      </c>
      <c r="U125" s="683"/>
      <c r="V125" s="474">
        <f t="shared" si="32"/>
        <v>0</v>
      </c>
      <c r="W125" s="474">
        <f t="shared" si="33"/>
        <v>0</v>
      </c>
      <c r="X125" s="475">
        <f t="shared" si="34"/>
        <v>0</v>
      </c>
      <c r="Y125" s="475">
        <v>0</v>
      </c>
      <c r="Z125" s="476">
        <v>0</v>
      </c>
      <c r="AA125" s="38">
        <f t="shared" si="35"/>
        <v>0</v>
      </c>
      <c r="AB125" s="692">
        <f t="shared" si="36"/>
        <v>0</v>
      </c>
      <c r="AC125" s="692">
        <f t="shared" si="37"/>
        <v>0</v>
      </c>
      <c r="AD125" s="692">
        <f t="shared" si="38"/>
        <v>0</v>
      </c>
      <c r="AE125" s="38"/>
      <c r="AF125" s="692">
        <f t="shared" si="39"/>
        <v>0</v>
      </c>
      <c r="AG125" s="692">
        <f t="shared" si="40"/>
        <v>0</v>
      </c>
      <c r="AH125" s="692">
        <f t="shared" si="41"/>
        <v>0</v>
      </c>
      <c r="AJ125" s="38">
        <f t="shared" si="29"/>
        <v>0</v>
      </c>
    </row>
    <row r="126" spans="1:36" s="232" customFormat="1">
      <c r="A126" s="283"/>
      <c r="B126" s="283" t="s">
        <v>110</v>
      </c>
      <c r="C126" s="667" t="s">
        <v>555</v>
      </c>
      <c r="D126" s="123" t="s">
        <v>192</v>
      </c>
      <c r="E126" s="679"/>
      <c r="F126" s="529">
        <f>VLOOKUP(D126,'Jan 2013 Revenue'!D:T,17,FALSE)</f>
        <v>0</v>
      </c>
      <c r="G126" s="680"/>
      <c r="H126" s="680"/>
      <c r="I126" s="770">
        <v>3943.58</v>
      </c>
      <c r="J126" s="682">
        <f t="shared" si="30"/>
        <v>3943.58</v>
      </c>
      <c r="K126" s="683"/>
      <c r="L126" s="684"/>
      <c r="M126" s="753"/>
      <c r="N126" s="683">
        <v>0</v>
      </c>
      <c r="O126" s="686"/>
      <c r="P126" s="683">
        <v>0</v>
      </c>
      <c r="Q126" s="687">
        <f t="shared" si="1"/>
        <v>0</v>
      </c>
      <c r="R126" s="688">
        <v>0</v>
      </c>
      <c r="S126" s="693"/>
      <c r="T126" s="690">
        <f t="shared" si="31"/>
        <v>0</v>
      </c>
      <c r="U126" s="683"/>
      <c r="V126" s="474">
        <f t="shared" si="32"/>
        <v>0</v>
      </c>
      <c r="W126" s="474">
        <f t="shared" si="33"/>
        <v>0</v>
      </c>
      <c r="X126" s="475">
        <f t="shared" si="34"/>
        <v>0</v>
      </c>
      <c r="Y126" s="475">
        <v>0</v>
      </c>
      <c r="Z126" s="476">
        <v>0</v>
      </c>
      <c r="AA126" s="38">
        <f t="shared" si="35"/>
        <v>0</v>
      </c>
      <c r="AB126" s="692">
        <f t="shared" si="36"/>
        <v>3943.58</v>
      </c>
      <c r="AC126" s="692">
        <f t="shared" si="37"/>
        <v>0</v>
      </c>
      <c r="AD126" s="692">
        <f t="shared" si="38"/>
        <v>0</v>
      </c>
      <c r="AE126" s="38"/>
      <c r="AF126" s="692">
        <f t="shared" si="39"/>
        <v>0</v>
      </c>
      <c r="AG126" s="692">
        <f t="shared" si="40"/>
        <v>0</v>
      </c>
      <c r="AH126" s="692">
        <f t="shared" si="41"/>
        <v>0</v>
      </c>
      <c r="AJ126" s="38">
        <f t="shared" si="29"/>
        <v>3943.58</v>
      </c>
    </row>
    <row r="127" spans="1:36" s="232" customFormat="1">
      <c r="A127" s="283"/>
      <c r="B127" s="283" t="s">
        <v>110</v>
      </c>
      <c r="C127" s="667" t="s">
        <v>555</v>
      </c>
      <c r="D127" s="123" t="s">
        <v>193</v>
      </c>
      <c r="E127" s="679"/>
      <c r="F127" s="529">
        <f>VLOOKUP(D127,'Jan 2013 Revenue'!D:T,17,FALSE)</f>
        <v>0</v>
      </c>
      <c r="G127" s="680"/>
      <c r="H127" s="680"/>
      <c r="I127" s="770">
        <v>289.97000000000003</v>
      </c>
      <c r="J127" s="682">
        <f t="shared" si="30"/>
        <v>289.97000000000003</v>
      </c>
      <c r="K127" s="683"/>
      <c r="L127" s="684"/>
      <c r="M127" s="753"/>
      <c r="N127" s="683">
        <v>0</v>
      </c>
      <c r="O127" s="686"/>
      <c r="P127" s="683">
        <v>0</v>
      </c>
      <c r="Q127" s="687">
        <f t="shared" si="1"/>
        <v>0</v>
      </c>
      <c r="R127" s="688">
        <v>0</v>
      </c>
      <c r="S127" s="693"/>
      <c r="T127" s="690">
        <f t="shared" si="31"/>
        <v>0</v>
      </c>
      <c r="U127" s="683"/>
      <c r="V127" s="474">
        <f t="shared" si="32"/>
        <v>0</v>
      </c>
      <c r="W127" s="474">
        <f t="shared" si="33"/>
        <v>0</v>
      </c>
      <c r="X127" s="475">
        <f t="shared" si="34"/>
        <v>0</v>
      </c>
      <c r="Y127" s="475">
        <v>0</v>
      </c>
      <c r="Z127" s="476">
        <v>0</v>
      </c>
      <c r="AA127" s="38">
        <f t="shared" si="35"/>
        <v>0</v>
      </c>
      <c r="AB127" s="692">
        <f t="shared" si="36"/>
        <v>289.97000000000003</v>
      </c>
      <c r="AC127" s="692">
        <f t="shared" si="37"/>
        <v>0</v>
      </c>
      <c r="AD127" s="692">
        <f t="shared" si="38"/>
        <v>0</v>
      </c>
      <c r="AE127" s="38"/>
      <c r="AF127" s="692">
        <f t="shared" si="39"/>
        <v>0</v>
      </c>
      <c r="AG127" s="692">
        <f t="shared" si="40"/>
        <v>0</v>
      </c>
      <c r="AH127" s="692">
        <f t="shared" si="41"/>
        <v>0</v>
      </c>
      <c r="AJ127" s="38">
        <f t="shared" si="29"/>
        <v>289.97000000000003</v>
      </c>
    </row>
    <row r="128" spans="1:36" s="232" customFormat="1">
      <c r="A128" s="283"/>
      <c r="B128" s="283" t="s">
        <v>110</v>
      </c>
      <c r="C128" s="667" t="s">
        <v>555</v>
      </c>
      <c r="D128" s="123" t="s">
        <v>194</v>
      </c>
      <c r="E128" s="679"/>
      <c r="F128" s="529">
        <f>VLOOKUP(D128,'Jan 2013 Revenue'!D:T,17,FALSE)</f>
        <v>0</v>
      </c>
      <c r="G128" s="680"/>
      <c r="H128" s="680"/>
      <c r="I128" s="770">
        <v>58.54</v>
      </c>
      <c r="J128" s="682">
        <f t="shared" si="30"/>
        <v>58.54</v>
      </c>
      <c r="K128" s="683"/>
      <c r="L128" s="684"/>
      <c r="M128" s="753"/>
      <c r="N128" s="683">
        <v>0</v>
      </c>
      <c r="O128" s="686"/>
      <c r="P128" s="683">
        <v>0</v>
      </c>
      <c r="Q128" s="687">
        <f t="shared" si="1"/>
        <v>0</v>
      </c>
      <c r="R128" s="688">
        <v>0</v>
      </c>
      <c r="S128" s="693"/>
      <c r="T128" s="690">
        <f t="shared" si="31"/>
        <v>0</v>
      </c>
      <c r="U128" s="683"/>
      <c r="V128" s="474">
        <f t="shared" si="32"/>
        <v>0</v>
      </c>
      <c r="W128" s="474">
        <f t="shared" si="33"/>
        <v>0</v>
      </c>
      <c r="X128" s="475">
        <f t="shared" si="34"/>
        <v>0</v>
      </c>
      <c r="Y128" s="475">
        <v>0</v>
      </c>
      <c r="Z128" s="476">
        <v>0</v>
      </c>
      <c r="AA128" s="38">
        <f t="shared" si="35"/>
        <v>0</v>
      </c>
      <c r="AB128" s="692">
        <f t="shared" si="36"/>
        <v>58.54</v>
      </c>
      <c r="AC128" s="692">
        <f t="shared" si="37"/>
        <v>0</v>
      </c>
      <c r="AD128" s="692">
        <f t="shared" si="38"/>
        <v>0</v>
      </c>
      <c r="AE128" s="38"/>
      <c r="AF128" s="692">
        <f t="shared" si="39"/>
        <v>0</v>
      </c>
      <c r="AG128" s="692">
        <f t="shared" si="40"/>
        <v>0</v>
      </c>
      <c r="AH128" s="692">
        <f t="shared" si="41"/>
        <v>0</v>
      </c>
      <c r="AJ128" s="38">
        <f t="shared" si="29"/>
        <v>58.54</v>
      </c>
    </row>
    <row r="129" spans="1:36" s="232" customFormat="1">
      <c r="A129" s="283"/>
      <c r="B129" s="283" t="s">
        <v>110</v>
      </c>
      <c r="C129" s="667" t="s">
        <v>555</v>
      </c>
      <c r="D129" s="123" t="s">
        <v>195</v>
      </c>
      <c r="E129" s="679"/>
      <c r="F129" s="529">
        <f>VLOOKUP(D129,'Jan 2013 Revenue'!D:T,17,FALSE)</f>
        <v>0</v>
      </c>
      <c r="G129" s="680"/>
      <c r="H129" s="680"/>
      <c r="I129" s="770">
        <v>1.19</v>
      </c>
      <c r="J129" s="682">
        <f t="shared" si="30"/>
        <v>1.19</v>
      </c>
      <c r="K129" s="683"/>
      <c r="L129" s="684"/>
      <c r="M129" s="753"/>
      <c r="N129" s="683">
        <v>0</v>
      </c>
      <c r="O129" s="686"/>
      <c r="P129" s="683">
        <v>0</v>
      </c>
      <c r="Q129" s="687">
        <f t="shared" si="1"/>
        <v>0</v>
      </c>
      <c r="R129" s="688">
        <v>0</v>
      </c>
      <c r="S129" s="693"/>
      <c r="T129" s="690">
        <f t="shared" si="31"/>
        <v>0</v>
      </c>
      <c r="U129" s="683"/>
      <c r="V129" s="474">
        <f t="shared" si="32"/>
        <v>0</v>
      </c>
      <c r="W129" s="474">
        <f t="shared" si="33"/>
        <v>0</v>
      </c>
      <c r="X129" s="475">
        <f t="shared" si="34"/>
        <v>0</v>
      </c>
      <c r="Y129" s="475">
        <v>0</v>
      </c>
      <c r="Z129" s="476">
        <v>0</v>
      </c>
      <c r="AA129" s="38">
        <f t="shared" si="35"/>
        <v>0</v>
      </c>
      <c r="AB129" s="692">
        <f t="shared" si="36"/>
        <v>1.19</v>
      </c>
      <c r="AC129" s="692">
        <f t="shared" si="37"/>
        <v>0</v>
      </c>
      <c r="AD129" s="692">
        <f t="shared" si="38"/>
        <v>0</v>
      </c>
      <c r="AE129" s="38"/>
      <c r="AF129" s="692">
        <f t="shared" si="39"/>
        <v>0</v>
      </c>
      <c r="AG129" s="692">
        <f t="shared" si="40"/>
        <v>0</v>
      </c>
      <c r="AH129" s="692">
        <f t="shared" si="41"/>
        <v>0</v>
      </c>
      <c r="AJ129" s="38">
        <f t="shared" si="29"/>
        <v>1.19</v>
      </c>
    </row>
    <row r="130" spans="1:36" s="232" customFormat="1">
      <c r="A130" s="283"/>
      <c r="B130" s="283" t="s">
        <v>110</v>
      </c>
      <c r="C130" s="667" t="s">
        <v>555</v>
      </c>
      <c r="D130" s="123" t="s">
        <v>196</v>
      </c>
      <c r="E130" s="679"/>
      <c r="F130" s="529">
        <f>VLOOKUP(D130,'Jan 2013 Revenue'!D:T,17,FALSE)</f>
        <v>0</v>
      </c>
      <c r="G130" s="680"/>
      <c r="H130" s="680"/>
      <c r="I130" s="770">
        <v>122.53</v>
      </c>
      <c r="J130" s="682">
        <f t="shared" si="30"/>
        <v>122.53</v>
      </c>
      <c r="K130" s="683"/>
      <c r="L130" s="684"/>
      <c r="M130" s="753"/>
      <c r="N130" s="683">
        <v>0</v>
      </c>
      <c r="O130" s="686"/>
      <c r="P130" s="683">
        <v>0</v>
      </c>
      <c r="Q130" s="687">
        <f t="shared" si="1"/>
        <v>0</v>
      </c>
      <c r="R130" s="688">
        <v>0</v>
      </c>
      <c r="S130" s="693"/>
      <c r="T130" s="690">
        <f t="shared" si="31"/>
        <v>0</v>
      </c>
      <c r="U130" s="683"/>
      <c r="V130" s="474">
        <f t="shared" si="32"/>
        <v>0</v>
      </c>
      <c r="W130" s="474">
        <f t="shared" si="33"/>
        <v>0</v>
      </c>
      <c r="X130" s="475">
        <f t="shared" si="34"/>
        <v>0</v>
      </c>
      <c r="Y130" s="475">
        <v>0</v>
      </c>
      <c r="Z130" s="476">
        <v>0</v>
      </c>
      <c r="AA130" s="38">
        <f t="shared" si="35"/>
        <v>0</v>
      </c>
      <c r="AB130" s="692">
        <f t="shared" si="36"/>
        <v>122.53</v>
      </c>
      <c r="AC130" s="692">
        <f t="shared" si="37"/>
        <v>0</v>
      </c>
      <c r="AD130" s="692">
        <f t="shared" si="38"/>
        <v>0</v>
      </c>
      <c r="AE130" s="38"/>
      <c r="AF130" s="692">
        <f t="shared" si="39"/>
        <v>0</v>
      </c>
      <c r="AG130" s="692">
        <f t="shared" si="40"/>
        <v>0</v>
      </c>
      <c r="AH130" s="692">
        <f t="shared" si="41"/>
        <v>0</v>
      </c>
      <c r="AJ130" s="38">
        <f t="shared" si="29"/>
        <v>122.53</v>
      </c>
    </row>
    <row r="131" spans="1:36" s="232" customFormat="1">
      <c r="A131" s="283"/>
      <c r="B131" s="283" t="s">
        <v>110</v>
      </c>
      <c r="C131" s="667" t="s">
        <v>555</v>
      </c>
      <c r="D131" s="123" t="s">
        <v>197</v>
      </c>
      <c r="E131" s="679"/>
      <c r="F131" s="529">
        <f>VLOOKUP(D131,'Jan 2013 Revenue'!D:T,17,FALSE)</f>
        <v>0</v>
      </c>
      <c r="G131" s="680"/>
      <c r="H131" s="680"/>
      <c r="I131" s="770">
        <v>1.1200000000000001</v>
      </c>
      <c r="J131" s="682">
        <f t="shared" si="30"/>
        <v>1.1200000000000001</v>
      </c>
      <c r="K131" s="683"/>
      <c r="L131" s="684"/>
      <c r="M131" s="753"/>
      <c r="N131" s="683">
        <v>0</v>
      </c>
      <c r="O131" s="686"/>
      <c r="P131" s="683">
        <v>0</v>
      </c>
      <c r="Q131" s="687">
        <f t="shared" si="1"/>
        <v>0</v>
      </c>
      <c r="R131" s="688">
        <v>0</v>
      </c>
      <c r="S131" s="693"/>
      <c r="T131" s="690">
        <f t="shared" si="31"/>
        <v>0</v>
      </c>
      <c r="U131" s="683"/>
      <c r="V131" s="474">
        <f t="shared" si="32"/>
        <v>0</v>
      </c>
      <c r="W131" s="474">
        <f t="shared" si="33"/>
        <v>0</v>
      </c>
      <c r="X131" s="475">
        <f t="shared" si="34"/>
        <v>0</v>
      </c>
      <c r="Y131" s="475">
        <v>0</v>
      </c>
      <c r="Z131" s="476">
        <v>0</v>
      </c>
      <c r="AA131" s="38">
        <f t="shared" si="35"/>
        <v>0</v>
      </c>
      <c r="AB131" s="692">
        <f t="shared" si="36"/>
        <v>1.1200000000000001</v>
      </c>
      <c r="AC131" s="692">
        <f t="shared" si="37"/>
        <v>0</v>
      </c>
      <c r="AD131" s="692">
        <f t="shared" si="38"/>
        <v>0</v>
      </c>
      <c r="AE131" s="38"/>
      <c r="AF131" s="692">
        <f t="shared" si="39"/>
        <v>0</v>
      </c>
      <c r="AG131" s="692">
        <f t="shared" si="40"/>
        <v>0</v>
      </c>
      <c r="AH131" s="692">
        <f t="shared" si="41"/>
        <v>0</v>
      </c>
      <c r="AJ131" s="38">
        <f t="shared" si="29"/>
        <v>1.1200000000000001</v>
      </c>
    </row>
    <row r="132" spans="1:36" s="232" customFormat="1">
      <c r="A132" s="283"/>
      <c r="B132" s="283" t="s">
        <v>110</v>
      </c>
      <c r="C132" s="667" t="s">
        <v>555</v>
      </c>
      <c r="D132" s="123" t="s">
        <v>440</v>
      </c>
      <c r="E132" s="679"/>
      <c r="F132" s="529">
        <f>VLOOKUP(D132,'Jan 2013 Revenue'!D:T,17,FALSE)</f>
        <v>0</v>
      </c>
      <c r="G132" s="680"/>
      <c r="H132" s="680"/>
      <c r="I132" s="770">
        <f>1044.41+119.7+232.86</f>
        <v>1396.9700000000003</v>
      </c>
      <c r="J132" s="682">
        <f t="shared" si="30"/>
        <v>1396.9700000000003</v>
      </c>
      <c r="K132" s="683"/>
      <c r="L132" s="684"/>
      <c r="M132" s="753"/>
      <c r="N132" s="683">
        <v>0</v>
      </c>
      <c r="O132" s="686"/>
      <c r="P132" s="683">
        <v>0</v>
      </c>
      <c r="Q132" s="687">
        <f t="shared" si="1"/>
        <v>0</v>
      </c>
      <c r="R132" s="688">
        <v>0</v>
      </c>
      <c r="S132" s="693"/>
      <c r="T132" s="690">
        <f t="shared" si="31"/>
        <v>0</v>
      </c>
      <c r="U132" s="683"/>
      <c r="V132" s="474">
        <f t="shared" si="32"/>
        <v>0</v>
      </c>
      <c r="W132" s="474">
        <f t="shared" si="33"/>
        <v>0</v>
      </c>
      <c r="X132" s="475">
        <f t="shared" si="34"/>
        <v>0</v>
      </c>
      <c r="Y132" s="475">
        <v>0</v>
      </c>
      <c r="Z132" s="476">
        <v>0</v>
      </c>
      <c r="AA132" s="38">
        <f t="shared" si="35"/>
        <v>0</v>
      </c>
      <c r="AB132" s="692">
        <f t="shared" si="36"/>
        <v>1396.9700000000003</v>
      </c>
      <c r="AC132" s="692">
        <f t="shared" si="37"/>
        <v>0</v>
      </c>
      <c r="AD132" s="692">
        <f t="shared" si="38"/>
        <v>0</v>
      </c>
      <c r="AE132" s="38"/>
      <c r="AF132" s="692">
        <f t="shared" si="39"/>
        <v>0</v>
      </c>
      <c r="AG132" s="692">
        <f t="shared" si="40"/>
        <v>0</v>
      </c>
      <c r="AH132" s="692">
        <f t="shared" si="41"/>
        <v>0</v>
      </c>
      <c r="AJ132" s="38">
        <f t="shared" si="29"/>
        <v>1396.9700000000003</v>
      </c>
    </row>
    <row r="133" spans="1:36" s="232" customFormat="1">
      <c r="A133" s="283"/>
      <c r="B133" s="283" t="s">
        <v>110</v>
      </c>
      <c r="C133" s="667" t="s">
        <v>555</v>
      </c>
      <c r="D133" s="123" t="s">
        <v>481</v>
      </c>
      <c r="E133" s="679"/>
      <c r="F133" s="529">
        <f>VLOOKUP(D133,'Jan 2013 Revenue'!D:T,17,FALSE)</f>
        <v>0</v>
      </c>
      <c r="G133" s="680"/>
      <c r="H133" s="680"/>
      <c r="I133" s="770">
        <v>286.5</v>
      </c>
      <c r="J133" s="682">
        <f t="shared" si="30"/>
        <v>286.5</v>
      </c>
      <c r="K133" s="683"/>
      <c r="L133" s="684"/>
      <c r="M133" s="753"/>
      <c r="N133" s="683">
        <v>0</v>
      </c>
      <c r="O133" s="686"/>
      <c r="P133" s="683">
        <v>0</v>
      </c>
      <c r="Q133" s="687">
        <f t="shared" si="1"/>
        <v>0</v>
      </c>
      <c r="R133" s="688">
        <v>0</v>
      </c>
      <c r="S133" s="693"/>
      <c r="T133" s="690">
        <f t="shared" si="31"/>
        <v>0</v>
      </c>
      <c r="U133" s="683"/>
      <c r="V133" s="474">
        <f t="shared" si="32"/>
        <v>0</v>
      </c>
      <c r="W133" s="474">
        <f t="shared" si="33"/>
        <v>0</v>
      </c>
      <c r="X133" s="475">
        <f t="shared" si="34"/>
        <v>0</v>
      </c>
      <c r="Y133" s="475">
        <v>0</v>
      </c>
      <c r="Z133" s="476">
        <v>0</v>
      </c>
      <c r="AA133" s="38">
        <f t="shared" si="35"/>
        <v>0</v>
      </c>
      <c r="AB133" s="692">
        <f t="shared" si="36"/>
        <v>286.5</v>
      </c>
      <c r="AC133" s="692">
        <f t="shared" si="37"/>
        <v>0</v>
      </c>
      <c r="AD133" s="692">
        <f t="shared" si="38"/>
        <v>0</v>
      </c>
      <c r="AE133" s="38"/>
      <c r="AF133" s="692">
        <f t="shared" si="39"/>
        <v>0</v>
      </c>
      <c r="AG133" s="692">
        <f t="shared" si="40"/>
        <v>0</v>
      </c>
      <c r="AH133" s="692">
        <f t="shared" si="41"/>
        <v>0</v>
      </c>
      <c r="AJ133" s="38">
        <f t="shared" si="29"/>
        <v>286.5</v>
      </c>
    </row>
    <row r="134" spans="1:36" s="232" customFormat="1">
      <c r="A134" s="283"/>
      <c r="B134" s="283" t="s">
        <v>109</v>
      </c>
      <c r="C134" s="667" t="s">
        <v>555</v>
      </c>
      <c r="D134" s="123" t="s">
        <v>248</v>
      </c>
      <c r="E134" s="679"/>
      <c r="F134" s="529">
        <f>VLOOKUP(D134,'Jan 2013 Revenue'!D:T,17,FALSE)</f>
        <v>0</v>
      </c>
      <c r="G134" s="680"/>
      <c r="H134" s="680"/>
      <c r="I134" s="755"/>
      <c r="J134" s="682">
        <f t="shared" si="30"/>
        <v>0</v>
      </c>
      <c r="K134" s="683"/>
      <c r="L134" s="684"/>
      <c r="M134" s="753"/>
      <c r="N134" s="683">
        <v>0</v>
      </c>
      <c r="O134" s="686"/>
      <c r="P134" s="683">
        <v>0</v>
      </c>
      <c r="Q134" s="687">
        <f t="shared" si="1"/>
        <v>0</v>
      </c>
      <c r="R134" s="688">
        <v>0</v>
      </c>
      <c r="S134" s="693"/>
      <c r="T134" s="690">
        <f t="shared" si="31"/>
        <v>0</v>
      </c>
      <c r="U134" s="683"/>
      <c r="V134" s="474">
        <f t="shared" si="32"/>
        <v>0</v>
      </c>
      <c r="W134" s="474">
        <f t="shared" si="33"/>
        <v>0</v>
      </c>
      <c r="X134" s="475">
        <f t="shared" si="34"/>
        <v>0</v>
      </c>
      <c r="Y134" s="475">
        <v>0</v>
      </c>
      <c r="Z134" s="476">
        <v>0</v>
      </c>
      <c r="AA134" s="38">
        <f t="shared" si="35"/>
        <v>0</v>
      </c>
      <c r="AB134" s="692">
        <f t="shared" si="36"/>
        <v>0</v>
      </c>
      <c r="AC134" s="692">
        <f t="shared" si="37"/>
        <v>0</v>
      </c>
      <c r="AD134" s="692">
        <f t="shared" si="38"/>
        <v>0</v>
      </c>
      <c r="AE134" s="38"/>
      <c r="AF134" s="692">
        <f t="shared" si="39"/>
        <v>0</v>
      </c>
      <c r="AG134" s="692">
        <f t="shared" si="40"/>
        <v>0</v>
      </c>
      <c r="AH134" s="692">
        <f t="shared" si="41"/>
        <v>0</v>
      </c>
      <c r="AJ134" s="38">
        <f t="shared" si="29"/>
        <v>0</v>
      </c>
    </row>
    <row r="135" spans="1:36" s="232" customFormat="1">
      <c r="A135" s="283"/>
      <c r="B135" s="20" t="s">
        <v>109</v>
      </c>
      <c r="C135" s="667"/>
      <c r="D135" s="68" t="s">
        <v>465</v>
      </c>
      <c r="E135" s="679">
        <v>6947.98</v>
      </c>
      <c r="F135" s="529">
        <f>VLOOKUP(D135,'Jan 2013 Revenue'!D:T,17,FALSE)</f>
        <v>-17000</v>
      </c>
      <c r="G135" s="680"/>
      <c r="H135" s="680"/>
      <c r="I135" s="755"/>
      <c r="J135" s="682">
        <f t="shared" si="30"/>
        <v>-10052.02</v>
      </c>
      <c r="K135" s="683"/>
      <c r="L135" s="684"/>
      <c r="M135" s="753">
        <v>5000</v>
      </c>
      <c r="N135" s="683">
        <v>0</v>
      </c>
      <c r="O135" s="686"/>
      <c r="P135" s="683">
        <v>0</v>
      </c>
      <c r="Q135" s="687">
        <f t="shared" si="1"/>
        <v>5000</v>
      </c>
      <c r="R135" s="688">
        <v>0</v>
      </c>
      <c r="S135" s="693"/>
      <c r="T135" s="690">
        <f t="shared" si="31"/>
        <v>-5000</v>
      </c>
      <c r="U135" s="683"/>
      <c r="V135" s="474">
        <f t="shared" si="32"/>
        <v>0</v>
      </c>
      <c r="W135" s="474">
        <f t="shared" si="33"/>
        <v>5000</v>
      </c>
      <c r="X135" s="475">
        <f t="shared" si="34"/>
        <v>0</v>
      </c>
      <c r="Y135" s="475">
        <v>0</v>
      </c>
      <c r="Z135" s="476">
        <v>0</v>
      </c>
      <c r="AA135" s="38">
        <f t="shared" si="35"/>
        <v>0</v>
      </c>
      <c r="AB135" s="692">
        <f t="shared" si="36"/>
        <v>0</v>
      </c>
      <c r="AC135" s="692">
        <f t="shared" si="37"/>
        <v>-10052.02</v>
      </c>
      <c r="AD135" s="692">
        <f t="shared" si="38"/>
        <v>0</v>
      </c>
      <c r="AE135" s="38"/>
      <c r="AF135" s="692">
        <f t="shared" si="39"/>
        <v>0</v>
      </c>
      <c r="AG135" s="692">
        <f t="shared" si="40"/>
        <v>5000</v>
      </c>
      <c r="AH135" s="692">
        <f t="shared" si="41"/>
        <v>0</v>
      </c>
      <c r="AJ135" s="38">
        <f t="shared" si="29"/>
        <v>-5052.0200000000004</v>
      </c>
    </row>
    <row r="136" spans="1:36">
      <c r="A136" s="21"/>
      <c r="B136" s="21" t="s">
        <v>110</v>
      </c>
      <c r="C136" s="666" t="s">
        <v>556</v>
      </c>
      <c r="D136" s="68" t="s">
        <v>261</v>
      </c>
      <c r="E136" s="679">
        <f>117350.46-E137</f>
        <v>109973.48000000001</v>
      </c>
      <c r="F136" s="529">
        <f>VLOOKUP(D136,'Jan 2013 Revenue'!D:T,17,FALSE)</f>
        <v>-87683.409999999989</v>
      </c>
      <c r="G136" s="680"/>
      <c r="H136" s="680"/>
      <c r="I136" s="755"/>
      <c r="J136" s="682">
        <f t="shared" si="30"/>
        <v>22290.070000000022</v>
      </c>
      <c r="K136" s="683"/>
      <c r="L136" s="684"/>
      <c r="M136" s="753">
        <v>113000</v>
      </c>
      <c r="N136" s="683">
        <v>0</v>
      </c>
      <c r="O136" s="686"/>
      <c r="P136" s="683">
        <v>0</v>
      </c>
      <c r="Q136" s="687">
        <f t="shared" si="1"/>
        <v>113000</v>
      </c>
      <c r="R136" s="688">
        <f>122588.07-R137</f>
        <v>115173.70000000001</v>
      </c>
      <c r="S136" s="693"/>
      <c r="T136" s="690">
        <f t="shared" si="31"/>
        <v>2173.7000000000116</v>
      </c>
      <c r="U136" s="683"/>
      <c r="V136" s="474">
        <f t="shared" si="32"/>
        <v>113000</v>
      </c>
      <c r="W136" s="474">
        <f t="shared" si="33"/>
        <v>0</v>
      </c>
      <c r="X136" s="475">
        <f t="shared" si="34"/>
        <v>0</v>
      </c>
      <c r="Y136" s="475">
        <v>0</v>
      </c>
      <c r="Z136" s="476">
        <v>0</v>
      </c>
      <c r="AA136" s="38">
        <f t="shared" si="35"/>
        <v>0</v>
      </c>
      <c r="AB136" s="692">
        <f t="shared" si="36"/>
        <v>22290.070000000022</v>
      </c>
      <c r="AC136" s="692">
        <f t="shared" si="37"/>
        <v>0</v>
      </c>
      <c r="AD136" s="692">
        <f t="shared" si="38"/>
        <v>0</v>
      </c>
      <c r="AE136" s="38"/>
      <c r="AF136" s="692">
        <f t="shared" si="39"/>
        <v>113000</v>
      </c>
      <c r="AG136" s="692">
        <f t="shared" si="40"/>
        <v>0</v>
      </c>
      <c r="AH136" s="692">
        <f t="shared" si="41"/>
        <v>0</v>
      </c>
      <c r="AJ136" s="38">
        <f t="shared" si="29"/>
        <v>135290.07</v>
      </c>
    </row>
    <row r="137" spans="1:36" s="269" customFormat="1">
      <c r="A137" s="21"/>
      <c r="B137" s="21" t="s">
        <v>110</v>
      </c>
      <c r="C137" s="666" t="s">
        <v>556</v>
      </c>
      <c r="D137" s="68" t="s">
        <v>262</v>
      </c>
      <c r="E137" s="679">
        <v>7376.98</v>
      </c>
      <c r="F137" s="529">
        <f>VLOOKUP(D137,'Jan 2013 Revenue'!D:T,17,FALSE)</f>
        <v>-12731.1</v>
      </c>
      <c r="G137" s="680"/>
      <c r="H137" s="680"/>
      <c r="I137" s="755"/>
      <c r="J137" s="682">
        <f t="shared" si="30"/>
        <v>-5354.1200000000008</v>
      </c>
      <c r="K137" s="683"/>
      <c r="L137" s="684"/>
      <c r="M137" s="753">
        <v>7000</v>
      </c>
      <c r="N137" s="683">
        <v>0</v>
      </c>
      <c r="O137" s="686"/>
      <c r="P137" s="683">
        <v>0</v>
      </c>
      <c r="Q137" s="687">
        <f t="shared" si="1"/>
        <v>7000</v>
      </c>
      <c r="R137" s="688">
        <v>7414.37</v>
      </c>
      <c r="S137" s="693"/>
      <c r="T137" s="690">
        <f t="shared" si="31"/>
        <v>414.36999999999989</v>
      </c>
      <c r="U137" s="683"/>
      <c r="V137" s="474">
        <f t="shared" si="32"/>
        <v>7000</v>
      </c>
      <c r="W137" s="474">
        <f t="shared" si="33"/>
        <v>0</v>
      </c>
      <c r="X137" s="475">
        <f t="shared" si="34"/>
        <v>0</v>
      </c>
      <c r="Y137" s="475">
        <v>0</v>
      </c>
      <c r="Z137" s="476">
        <v>0</v>
      </c>
      <c r="AA137" s="38">
        <f t="shared" si="35"/>
        <v>0</v>
      </c>
      <c r="AB137" s="692">
        <f t="shared" si="36"/>
        <v>-5354.1200000000008</v>
      </c>
      <c r="AC137" s="692">
        <f t="shared" si="37"/>
        <v>0</v>
      </c>
      <c r="AD137" s="692">
        <f t="shared" si="38"/>
        <v>0</v>
      </c>
      <c r="AE137" s="38"/>
      <c r="AF137" s="692">
        <f t="shared" si="39"/>
        <v>7000</v>
      </c>
      <c r="AG137" s="692">
        <f t="shared" si="40"/>
        <v>0</v>
      </c>
      <c r="AH137" s="692">
        <f t="shared" si="41"/>
        <v>0</v>
      </c>
      <c r="AJ137" s="38">
        <f t="shared" si="29"/>
        <v>1645.8799999999992</v>
      </c>
    </row>
    <row r="138" spans="1:36" s="269" customFormat="1">
      <c r="A138" s="21"/>
      <c r="B138" s="21" t="s">
        <v>114</v>
      </c>
      <c r="C138" s="675" t="s">
        <v>619</v>
      </c>
      <c r="D138" s="68" t="s">
        <v>626</v>
      </c>
      <c r="E138" s="679"/>
      <c r="F138" s="529">
        <f>VLOOKUP(D138,'Jan 2013 Revenue'!D:T,17,FALSE)</f>
        <v>0</v>
      </c>
      <c r="G138" s="680"/>
      <c r="H138" s="680"/>
      <c r="I138" s="755"/>
      <c r="J138" s="682">
        <f t="shared" si="30"/>
        <v>0</v>
      </c>
      <c r="K138" s="683"/>
      <c r="L138" s="684"/>
      <c r="M138" s="753">
        <v>8000</v>
      </c>
      <c r="N138" s="683">
        <v>0</v>
      </c>
      <c r="O138" s="686"/>
      <c r="P138" s="683">
        <v>0</v>
      </c>
      <c r="Q138" s="687">
        <f t="shared" ref="Q138:Q203" si="42">L138+M138</f>
        <v>8000</v>
      </c>
      <c r="R138" s="688">
        <v>5818.76</v>
      </c>
      <c r="S138" s="693"/>
      <c r="T138" s="690">
        <f t="shared" si="31"/>
        <v>-2181.2399999999998</v>
      </c>
      <c r="U138" s="683"/>
      <c r="V138" s="474">
        <f t="shared" si="32"/>
        <v>0</v>
      </c>
      <c r="W138" s="474">
        <f t="shared" si="33"/>
        <v>0</v>
      </c>
      <c r="X138" s="475">
        <f t="shared" si="34"/>
        <v>8000</v>
      </c>
      <c r="Y138" s="475">
        <v>0</v>
      </c>
      <c r="Z138" s="476">
        <v>0</v>
      </c>
      <c r="AA138" s="38">
        <f t="shared" si="35"/>
        <v>0</v>
      </c>
      <c r="AB138" s="692">
        <f t="shared" si="36"/>
        <v>0</v>
      </c>
      <c r="AC138" s="692">
        <f t="shared" si="37"/>
        <v>0</v>
      </c>
      <c r="AD138" s="692">
        <f t="shared" si="38"/>
        <v>0</v>
      </c>
      <c r="AE138" s="38"/>
      <c r="AF138" s="692">
        <f t="shared" si="39"/>
        <v>0</v>
      </c>
      <c r="AG138" s="692">
        <f t="shared" si="40"/>
        <v>0</v>
      </c>
      <c r="AH138" s="692">
        <f t="shared" si="41"/>
        <v>8000</v>
      </c>
      <c r="AJ138" s="38">
        <f t="shared" si="29"/>
        <v>8000</v>
      </c>
    </row>
    <row r="139" spans="1:36">
      <c r="A139" s="21"/>
      <c r="B139" s="21" t="s">
        <v>109</v>
      </c>
      <c r="C139" s="666"/>
      <c r="D139" s="68" t="s">
        <v>396</v>
      </c>
      <c r="E139" s="679"/>
      <c r="F139" s="529">
        <f>VLOOKUP(D139,'Jan 2013 Revenue'!D:T,17,FALSE)</f>
        <v>0</v>
      </c>
      <c r="G139" s="680"/>
      <c r="H139" s="680"/>
      <c r="I139" s="755"/>
      <c r="J139" s="682">
        <f t="shared" si="30"/>
        <v>0</v>
      </c>
      <c r="K139" s="683"/>
      <c r="L139" s="684"/>
      <c r="M139" s="753"/>
      <c r="N139" s="683">
        <v>0</v>
      </c>
      <c r="O139" s="686"/>
      <c r="P139" s="683">
        <v>0</v>
      </c>
      <c r="Q139" s="687">
        <f t="shared" si="42"/>
        <v>0</v>
      </c>
      <c r="R139" s="688">
        <v>7.22</v>
      </c>
      <c r="S139" s="693"/>
      <c r="T139" s="690">
        <f t="shared" si="31"/>
        <v>7.22</v>
      </c>
      <c r="U139" s="683"/>
      <c r="V139" s="474">
        <f t="shared" si="32"/>
        <v>0</v>
      </c>
      <c r="W139" s="474">
        <f t="shared" si="33"/>
        <v>0</v>
      </c>
      <c r="X139" s="475">
        <f t="shared" si="34"/>
        <v>0</v>
      </c>
      <c r="Y139" s="475">
        <v>0</v>
      </c>
      <c r="Z139" s="476">
        <v>0</v>
      </c>
      <c r="AA139" s="38">
        <f t="shared" si="35"/>
        <v>0</v>
      </c>
      <c r="AB139" s="692">
        <f t="shared" si="36"/>
        <v>0</v>
      </c>
      <c r="AC139" s="692">
        <f t="shared" si="37"/>
        <v>0</v>
      </c>
      <c r="AD139" s="692">
        <f t="shared" si="38"/>
        <v>0</v>
      </c>
      <c r="AE139" s="38"/>
      <c r="AF139" s="692">
        <f t="shared" si="39"/>
        <v>0</v>
      </c>
      <c r="AG139" s="692">
        <f t="shared" si="40"/>
        <v>0</v>
      </c>
      <c r="AH139" s="692">
        <f t="shared" si="41"/>
        <v>0</v>
      </c>
      <c r="AJ139" s="38">
        <f t="shared" si="29"/>
        <v>0</v>
      </c>
    </row>
    <row r="140" spans="1:36">
      <c r="A140" s="20"/>
      <c r="B140" s="20" t="s">
        <v>109</v>
      </c>
      <c r="C140" s="667" t="s">
        <v>557</v>
      </c>
      <c r="D140" s="68" t="s">
        <v>32</v>
      </c>
      <c r="E140" s="679">
        <f>7.64+311.86</f>
        <v>319.5</v>
      </c>
      <c r="F140" s="529">
        <f>VLOOKUP(D140,'Jan 2013 Revenue'!D:T,17,FALSE)</f>
        <v>0</v>
      </c>
      <c r="G140" s="680"/>
      <c r="H140" s="680"/>
      <c r="I140" s="755"/>
      <c r="J140" s="682">
        <f t="shared" si="30"/>
        <v>319.5</v>
      </c>
      <c r="K140" s="683"/>
      <c r="L140" s="684"/>
      <c r="M140" s="753"/>
      <c r="N140" s="683">
        <v>0</v>
      </c>
      <c r="O140" s="686"/>
      <c r="P140" s="683">
        <v>0</v>
      </c>
      <c r="Q140" s="687">
        <f t="shared" si="42"/>
        <v>0</v>
      </c>
      <c r="R140" s="688">
        <v>0</v>
      </c>
      <c r="S140" s="693"/>
      <c r="T140" s="690">
        <f t="shared" si="31"/>
        <v>0</v>
      </c>
      <c r="U140" s="683"/>
      <c r="V140" s="474">
        <f t="shared" si="32"/>
        <v>0</v>
      </c>
      <c r="W140" s="474">
        <f t="shared" si="33"/>
        <v>0</v>
      </c>
      <c r="X140" s="475">
        <f t="shared" si="34"/>
        <v>0</v>
      </c>
      <c r="Y140" s="475">
        <v>0</v>
      </c>
      <c r="Z140" s="476">
        <v>0</v>
      </c>
      <c r="AA140" s="38">
        <f t="shared" si="35"/>
        <v>0</v>
      </c>
      <c r="AB140" s="692">
        <f t="shared" si="36"/>
        <v>0</v>
      </c>
      <c r="AC140" s="692">
        <f t="shared" si="37"/>
        <v>319.5</v>
      </c>
      <c r="AD140" s="692">
        <f t="shared" si="38"/>
        <v>0</v>
      </c>
      <c r="AE140" s="38"/>
      <c r="AF140" s="692">
        <f t="shared" si="39"/>
        <v>0</v>
      </c>
      <c r="AG140" s="692">
        <f t="shared" si="40"/>
        <v>0</v>
      </c>
      <c r="AH140" s="692">
        <f t="shared" si="41"/>
        <v>0</v>
      </c>
      <c r="AJ140" s="38">
        <f t="shared" si="29"/>
        <v>319.5</v>
      </c>
    </row>
    <row r="141" spans="1:36">
      <c r="A141" s="21"/>
      <c r="B141" s="21" t="s">
        <v>110</v>
      </c>
      <c r="C141" s="666"/>
      <c r="D141" s="68" t="s">
        <v>448</v>
      </c>
      <c r="E141" s="679"/>
      <c r="F141" s="529">
        <f>VLOOKUP(D141,'Jan 2013 Revenue'!D:T,17,FALSE)</f>
        <v>0</v>
      </c>
      <c r="G141" s="680"/>
      <c r="H141" s="680"/>
      <c r="I141" s="755"/>
      <c r="J141" s="682">
        <f t="shared" si="30"/>
        <v>0</v>
      </c>
      <c r="K141" s="683"/>
      <c r="L141" s="684"/>
      <c r="M141" s="753"/>
      <c r="N141" s="683">
        <v>0</v>
      </c>
      <c r="O141" s="686"/>
      <c r="P141" s="683">
        <v>0</v>
      </c>
      <c r="Q141" s="687">
        <f t="shared" si="42"/>
        <v>0</v>
      </c>
      <c r="R141" s="688">
        <v>0</v>
      </c>
      <c r="S141" s="693"/>
      <c r="T141" s="690">
        <f t="shared" si="31"/>
        <v>0</v>
      </c>
      <c r="U141" s="683"/>
      <c r="V141" s="474">
        <f t="shared" si="32"/>
        <v>0</v>
      </c>
      <c r="W141" s="474">
        <f t="shared" si="33"/>
        <v>0</v>
      </c>
      <c r="X141" s="475">
        <f t="shared" si="34"/>
        <v>0</v>
      </c>
      <c r="Y141" s="475">
        <v>0</v>
      </c>
      <c r="Z141" s="476">
        <v>0</v>
      </c>
      <c r="AA141" s="38">
        <f t="shared" si="35"/>
        <v>0</v>
      </c>
      <c r="AB141" s="692">
        <f t="shared" si="36"/>
        <v>0</v>
      </c>
      <c r="AC141" s="692">
        <f t="shared" si="37"/>
        <v>0</v>
      </c>
      <c r="AD141" s="692">
        <f t="shared" si="38"/>
        <v>0</v>
      </c>
      <c r="AE141" s="38"/>
      <c r="AF141" s="692">
        <f t="shared" si="39"/>
        <v>0</v>
      </c>
      <c r="AG141" s="692">
        <f t="shared" si="40"/>
        <v>0</v>
      </c>
      <c r="AH141" s="692">
        <f t="shared" si="41"/>
        <v>0</v>
      </c>
      <c r="AJ141" s="38">
        <f t="shared" si="29"/>
        <v>0</v>
      </c>
    </row>
    <row r="142" spans="1:36">
      <c r="A142" s="21"/>
      <c r="B142" s="21" t="s">
        <v>110</v>
      </c>
      <c r="C142" s="666"/>
      <c r="D142" s="68" t="s">
        <v>877</v>
      </c>
      <c r="E142" s="679">
        <v>44.15</v>
      </c>
      <c r="F142" s="529">
        <f>VLOOKUP(D142,'Jan 2013 Revenue'!D:T,17,FALSE)</f>
        <v>0</v>
      </c>
      <c r="G142" s="680"/>
      <c r="H142" s="680"/>
      <c r="I142" s="755"/>
      <c r="J142" s="682">
        <f t="shared" si="30"/>
        <v>44.15</v>
      </c>
      <c r="K142" s="683"/>
      <c r="L142" s="684"/>
      <c r="M142" s="753"/>
      <c r="N142" s="683">
        <v>0</v>
      </c>
      <c r="O142" s="686"/>
      <c r="P142" s="683">
        <v>0</v>
      </c>
      <c r="Q142" s="687">
        <f t="shared" si="42"/>
        <v>0</v>
      </c>
      <c r="R142" s="688">
        <v>0</v>
      </c>
      <c r="S142" s="693"/>
      <c r="T142" s="690">
        <f t="shared" si="31"/>
        <v>0</v>
      </c>
      <c r="U142" s="683"/>
      <c r="V142" s="474">
        <f t="shared" si="32"/>
        <v>0</v>
      </c>
      <c r="W142" s="474">
        <f t="shared" si="33"/>
        <v>0</v>
      </c>
      <c r="X142" s="475">
        <f t="shared" si="34"/>
        <v>0</v>
      </c>
      <c r="Y142" s="475">
        <v>0</v>
      </c>
      <c r="Z142" s="476">
        <v>0</v>
      </c>
      <c r="AA142" s="38">
        <f t="shared" si="35"/>
        <v>0</v>
      </c>
      <c r="AB142" s="692">
        <f t="shared" si="36"/>
        <v>44.15</v>
      </c>
      <c r="AC142" s="692">
        <f t="shared" si="37"/>
        <v>0</v>
      </c>
      <c r="AD142" s="692">
        <f t="shared" si="38"/>
        <v>0</v>
      </c>
      <c r="AE142" s="38"/>
      <c r="AF142" s="692">
        <f t="shared" si="39"/>
        <v>0</v>
      </c>
      <c r="AG142" s="692">
        <f t="shared" si="40"/>
        <v>0</v>
      </c>
      <c r="AH142" s="692">
        <f t="shared" si="41"/>
        <v>0</v>
      </c>
      <c r="AJ142" s="38">
        <f t="shared" ref="AJ142" si="43">SUM(AB142:AH142)</f>
        <v>44.15</v>
      </c>
    </row>
    <row r="143" spans="1:36">
      <c r="A143" s="21"/>
      <c r="B143" s="21" t="s">
        <v>110</v>
      </c>
      <c r="C143" s="666" t="s">
        <v>558</v>
      </c>
      <c r="D143" s="68" t="s">
        <v>122</v>
      </c>
      <c r="E143" s="679">
        <v>1568.58</v>
      </c>
      <c r="F143" s="529">
        <f>VLOOKUP(D143,'Jan 2013 Revenue'!D:T,17,FALSE)</f>
        <v>-4214.29</v>
      </c>
      <c r="G143" s="680"/>
      <c r="H143" s="680"/>
      <c r="I143" s="755"/>
      <c r="J143" s="682">
        <f t="shared" si="30"/>
        <v>-2645.71</v>
      </c>
      <c r="K143" s="683"/>
      <c r="L143" s="684"/>
      <c r="M143" s="753"/>
      <c r="N143" s="683">
        <v>0</v>
      </c>
      <c r="O143" s="686"/>
      <c r="P143" s="683">
        <v>0</v>
      </c>
      <c r="Q143" s="687">
        <f t="shared" si="42"/>
        <v>0</v>
      </c>
      <c r="R143" s="688">
        <v>0</v>
      </c>
      <c r="S143" s="693"/>
      <c r="T143" s="690">
        <f t="shared" si="31"/>
        <v>0</v>
      </c>
      <c r="U143" s="683"/>
      <c r="V143" s="474">
        <f t="shared" si="32"/>
        <v>0</v>
      </c>
      <c r="W143" s="474">
        <f t="shared" si="33"/>
        <v>0</v>
      </c>
      <c r="X143" s="475">
        <f t="shared" si="34"/>
        <v>0</v>
      </c>
      <c r="Y143" s="475">
        <v>0</v>
      </c>
      <c r="Z143" s="476">
        <v>0</v>
      </c>
      <c r="AA143" s="38">
        <f t="shared" si="35"/>
        <v>0</v>
      </c>
      <c r="AB143" s="692">
        <f t="shared" si="36"/>
        <v>-2645.71</v>
      </c>
      <c r="AC143" s="692">
        <f t="shared" si="37"/>
        <v>0</v>
      </c>
      <c r="AD143" s="692">
        <f t="shared" si="38"/>
        <v>0</v>
      </c>
      <c r="AE143" s="38"/>
      <c r="AF143" s="692">
        <f t="shared" si="39"/>
        <v>0</v>
      </c>
      <c r="AG143" s="692">
        <f t="shared" si="40"/>
        <v>0</v>
      </c>
      <c r="AH143" s="692">
        <f t="shared" si="41"/>
        <v>0</v>
      </c>
      <c r="AJ143" s="38">
        <f t="shared" si="29"/>
        <v>-2645.71</v>
      </c>
    </row>
    <row r="144" spans="1:36">
      <c r="A144" s="21"/>
      <c r="B144" s="21" t="s">
        <v>114</v>
      </c>
      <c r="C144" s="666" t="s">
        <v>558</v>
      </c>
      <c r="D144" s="68" t="s">
        <v>629</v>
      </c>
      <c r="E144" s="679">
        <v>85.98</v>
      </c>
      <c r="F144" s="529">
        <f>VLOOKUP(D144,'Jan 2013 Revenue'!D:T,17,FALSE)</f>
        <v>10.87</v>
      </c>
      <c r="G144" s="680"/>
      <c r="H144" s="680"/>
      <c r="I144" s="755"/>
      <c r="J144" s="682">
        <f t="shared" si="30"/>
        <v>96.850000000000009</v>
      </c>
      <c r="K144" s="683"/>
      <c r="L144" s="684"/>
      <c r="M144" s="753"/>
      <c r="N144" s="683">
        <v>0</v>
      </c>
      <c r="O144" s="686"/>
      <c r="P144" s="683">
        <v>0</v>
      </c>
      <c r="Q144" s="687">
        <f t="shared" si="42"/>
        <v>0</v>
      </c>
      <c r="R144" s="688">
        <v>0</v>
      </c>
      <c r="S144" s="693"/>
      <c r="T144" s="690">
        <f t="shared" si="31"/>
        <v>0</v>
      </c>
      <c r="U144" s="683"/>
      <c r="V144" s="474">
        <f t="shared" si="32"/>
        <v>0</v>
      </c>
      <c r="W144" s="474">
        <f t="shared" si="33"/>
        <v>0</v>
      </c>
      <c r="X144" s="475">
        <f t="shared" si="34"/>
        <v>0</v>
      </c>
      <c r="Y144" s="475">
        <v>0</v>
      </c>
      <c r="Z144" s="476">
        <v>0</v>
      </c>
      <c r="AA144" s="38">
        <f t="shared" si="35"/>
        <v>0</v>
      </c>
      <c r="AB144" s="692">
        <f t="shared" si="36"/>
        <v>0</v>
      </c>
      <c r="AC144" s="692">
        <f t="shared" si="37"/>
        <v>0</v>
      </c>
      <c r="AD144" s="692">
        <f t="shared" si="38"/>
        <v>96.850000000000009</v>
      </c>
      <c r="AE144" s="38"/>
      <c r="AF144" s="692">
        <f t="shared" si="39"/>
        <v>0</v>
      </c>
      <c r="AG144" s="692">
        <f t="shared" si="40"/>
        <v>0</v>
      </c>
      <c r="AH144" s="692">
        <f t="shared" si="41"/>
        <v>0</v>
      </c>
      <c r="AJ144" s="38">
        <f t="shared" ref="AJ144:AJ207" si="44">SUM(AB144:AH144)</f>
        <v>96.850000000000009</v>
      </c>
    </row>
    <row r="145" spans="1:36">
      <c r="A145" s="21"/>
      <c r="B145" s="21" t="s">
        <v>109</v>
      </c>
      <c r="C145" s="666" t="s">
        <v>559</v>
      </c>
      <c r="D145" s="68" t="s">
        <v>33</v>
      </c>
      <c r="E145" s="679">
        <v>2141.1</v>
      </c>
      <c r="F145" s="529">
        <f>VLOOKUP(D145,'Jan 2013 Revenue'!D:T,17,FALSE)</f>
        <v>1946.3</v>
      </c>
      <c r="G145" s="680"/>
      <c r="H145" s="680"/>
      <c r="I145" s="770">
        <v>1694.1</v>
      </c>
      <c r="J145" s="682">
        <f t="shared" ref="J145:J209" si="45">SUM(E145:I145)</f>
        <v>5781.5</v>
      </c>
      <c r="K145" s="683"/>
      <c r="L145" s="684"/>
      <c r="M145" s="753"/>
      <c r="N145" s="683">
        <v>0</v>
      </c>
      <c r="O145" s="686"/>
      <c r="P145" s="683">
        <v>0</v>
      </c>
      <c r="Q145" s="687">
        <f t="shared" si="42"/>
        <v>0</v>
      </c>
      <c r="R145" s="688">
        <v>0</v>
      </c>
      <c r="S145" s="693"/>
      <c r="T145" s="690">
        <f t="shared" ref="T145:T208" si="46">IF(R145="","",R145-Q145)</f>
        <v>0</v>
      </c>
      <c r="U145" s="683"/>
      <c r="V145" s="474">
        <f t="shared" si="32"/>
        <v>0</v>
      </c>
      <c r="W145" s="474">
        <f t="shared" si="33"/>
        <v>0</v>
      </c>
      <c r="X145" s="475">
        <f t="shared" si="34"/>
        <v>0</v>
      </c>
      <c r="Y145" s="475">
        <v>0</v>
      </c>
      <c r="Z145" s="476">
        <v>0</v>
      </c>
      <c r="AA145" s="38">
        <f t="shared" si="35"/>
        <v>0</v>
      </c>
      <c r="AB145" s="692">
        <f t="shared" ref="AB145:AB210" si="47">IF(B145="D",J145,0)</f>
        <v>0</v>
      </c>
      <c r="AC145" s="692">
        <f t="shared" ref="AC145:AC210" si="48">IF(B145="M",J145,0)</f>
        <v>5781.5</v>
      </c>
      <c r="AD145" s="692">
        <f t="shared" ref="AD145:AD210" si="49">IF(B145="V",J145,0)</f>
        <v>0</v>
      </c>
      <c r="AE145" s="38"/>
      <c r="AF145" s="692">
        <f t="shared" si="39"/>
        <v>0</v>
      </c>
      <c r="AG145" s="692">
        <f t="shared" si="40"/>
        <v>0</v>
      </c>
      <c r="AH145" s="692">
        <f t="shared" si="41"/>
        <v>0</v>
      </c>
      <c r="AJ145" s="38">
        <f t="shared" si="44"/>
        <v>5781.5</v>
      </c>
    </row>
    <row r="146" spans="1:36">
      <c r="A146" s="21"/>
      <c r="B146" s="21" t="s">
        <v>109</v>
      </c>
      <c r="C146" s="666" t="s">
        <v>560</v>
      </c>
      <c r="D146" s="68" t="s">
        <v>379</v>
      </c>
      <c r="E146" s="679"/>
      <c r="F146" s="529">
        <f>VLOOKUP(D146,'Jan 2013 Revenue'!D:T,17,FALSE)</f>
        <v>108.54</v>
      </c>
      <c r="G146" s="680"/>
      <c r="H146" s="680"/>
      <c r="I146" s="755"/>
      <c r="J146" s="682">
        <f t="shared" si="45"/>
        <v>108.54</v>
      </c>
      <c r="K146" s="683"/>
      <c r="L146" s="684"/>
      <c r="M146" s="753"/>
      <c r="N146" s="683">
        <v>0</v>
      </c>
      <c r="O146" s="686"/>
      <c r="P146" s="683">
        <v>0</v>
      </c>
      <c r="Q146" s="687">
        <f t="shared" si="42"/>
        <v>0</v>
      </c>
      <c r="R146" s="688">
        <v>49.34</v>
      </c>
      <c r="S146" s="693"/>
      <c r="T146" s="690">
        <f t="shared" si="46"/>
        <v>49.34</v>
      </c>
      <c r="U146" s="683"/>
      <c r="V146" s="474">
        <f t="shared" ref="V146:V209" si="50">IF(B146="D",Q146,0)</f>
        <v>0</v>
      </c>
      <c r="W146" s="474">
        <f t="shared" ref="W146:W209" si="51">IF(B146="M",Q146,0)</f>
        <v>0</v>
      </c>
      <c r="X146" s="475">
        <f t="shared" ref="X146:X209" si="52">IF(B146="V",Q146,0)</f>
        <v>0</v>
      </c>
      <c r="Y146" s="475">
        <v>0</v>
      </c>
      <c r="Z146" s="476">
        <v>0</v>
      </c>
      <c r="AA146" s="38">
        <f t="shared" ref="AA146:AA209" si="53">(L146+M146)-(V146+W146+X146+Y146+Z146)</f>
        <v>0</v>
      </c>
      <c r="AB146" s="692">
        <f t="shared" si="47"/>
        <v>0</v>
      </c>
      <c r="AC146" s="692">
        <f t="shared" si="48"/>
        <v>108.54</v>
      </c>
      <c r="AD146" s="692">
        <f t="shared" si="49"/>
        <v>0</v>
      </c>
      <c r="AE146" s="38"/>
      <c r="AF146" s="692">
        <f t="shared" si="39"/>
        <v>0</v>
      </c>
      <c r="AG146" s="692">
        <f t="shared" si="40"/>
        <v>0</v>
      </c>
      <c r="AH146" s="692">
        <f t="shared" si="41"/>
        <v>0</v>
      </c>
      <c r="AJ146" s="38">
        <f t="shared" si="44"/>
        <v>108.54</v>
      </c>
    </row>
    <row r="147" spans="1:36" s="232" customFormat="1">
      <c r="A147" s="283"/>
      <c r="B147" s="283" t="s">
        <v>114</v>
      </c>
      <c r="C147" s="667"/>
      <c r="D147" s="500" t="s">
        <v>408</v>
      </c>
      <c r="E147" s="679"/>
      <c r="F147" s="529">
        <f>VLOOKUP(D147,'Jan 2013 Revenue'!D:T,17,FALSE)</f>
        <v>0</v>
      </c>
      <c r="G147" s="680"/>
      <c r="H147" s="680"/>
      <c r="I147" s="770">
        <v>7837.5</v>
      </c>
      <c r="J147" s="682">
        <f t="shared" si="45"/>
        <v>7837.5</v>
      </c>
      <c r="K147" s="683"/>
      <c r="L147" s="684"/>
      <c r="M147" s="753"/>
      <c r="N147" s="683">
        <v>0</v>
      </c>
      <c r="O147" s="686"/>
      <c r="P147" s="683">
        <v>0</v>
      </c>
      <c r="Q147" s="687">
        <f t="shared" si="42"/>
        <v>0</v>
      </c>
      <c r="R147" s="688">
        <v>0</v>
      </c>
      <c r="S147" s="693"/>
      <c r="T147" s="690">
        <f t="shared" si="46"/>
        <v>0</v>
      </c>
      <c r="U147" s="683"/>
      <c r="V147" s="474">
        <f t="shared" si="50"/>
        <v>0</v>
      </c>
      <c r="W147" s="474">
        <f t="shared" si="51"/>
        <v>0</v>
      </c>
      <c r="X147" s="475">
        <f t="shared" si="52"/>
        <v>0</v>
      </c>
      <c r="Y147" s="475">
        <v>0</v>
      </c>
      <c r="Z147" s="476">
        <v>0</v>
      </c>
      <c r="AA147" s="38">
        <f t="shared" si="53"/>
        <v>0</v>
      </c>
      <c r="AB147" s="692">
        <f t="shared" si="47"/>
        <v>0</v>
      </c>
      <c r="AC147" s="692">
        <f t="shared" si="48"/>
        <v>0</v>
      </c>
      <c r="AD147" s="692">
        <f t="shared" si="49"/>
        <v>7837.5</v>
      </c>
      <c r="AE147" s="38"/>
      <c r="AF147" s="692">
        <f t="shared" ref="AF147:AF210" si="54">IF(B147="D",Q147,0)</f>
        <v>0</v>
      </c>
      <c r="AG147" s="692">
        <f t="shared" ref="AG147:AG210" si="55">IF(B147="M",Q147,0)</f>
        <v>0</v>
      </c>
      <c r="AH147" s="692">
        <f t="shared" ref="AH147:AH210" si="56">IF(B147="V",Q147,0)</f>
        <v>0</v>
      </c>
      <c r="AJ147" s="38">
        <f t="shared" si="44"/>
        <v>7837.5</v>
      </c>
    </row>
    <row r="148" spans="1:36" s="232" customFormat="1">
      <c r="A148" s="283"/>
      <c r="B148" s="283" t="s">
        <v>110</v>
      </c>
      <c r="C148" s="667"/>
      <c r="D148" s="567" t="s">
        <v>445</v>
      </c>
      <c r="E148" s="679"/>
      <c r="F148" s="529">
        <f>VLOOKUP(D148,'Jan 2013 Revenue'!D:T,17,FALSE)</f>
        <v>0</v>
      </c>
      <c r="G148" s="680"/>
      <c r="H148" s="680"/>
      <c r="I148" s="755"/>
      <c r="J148" s="682">
        <f t="shared" si="45"/>
        <v>0</v>
      </c>
      <c r="K148" s="683"/>
      <c r="L148" s="684"/>
      <c r="M148" s="753"/>
      <c r="N148" s="683">
        <v>0</v>
      </c>
      <c r="O148" s="686"/>
      <c r="P148" s="683">
        <v>0</v>
      </c>
      <c r="Q148" s="687">
        <f t="shared" si="42"/>
        <v>0</v>
      </c>
      <c r="R148" s="688">
        <v>0</v>
      </c>
      <c r="S148" s="693"/>
      <c r="T148" s="690">
        <f t="shared" si="46"/>
        <v>0</v>
      </c>
      <c r="U148" s="683"/>
      <c r="V148" s="474">
        <f t="shared" si="50"/>
        <v>0</v>
      </c>
      <c r="W148" s="474">
        <f t="shared" si="51"/>
        <v>0</v>
      </c>
      <c r="X148" s="475">
        <f t="shared" si="52"/>
        <v>0</v>
      </c>
      <c r="Y148" s="475">
        <v>0</v>
      </c>
      <c r="Z148" s="476">
        <v>0</v>
      </c>
      <c r="AA148" s="38">
        <f t="shared" si="53"/>
        <v>0</v>
      </c>
      <c r="AB148" s="692">
        <f t="shared" si="47"/>
        <v>0</v>
      </c>
      <c r="AC148" s="692">
        <f t="shared" si="48"/>
        <v>0</v>
      </c>
      <c r="AD148" s="692">
        <f t="shared" si="49"/>
        <v>0</v>
      </c>
      <c r="AE148" s="38"/>
      <c r="AF148" s="692">
        <f t="shared" si="54"/>
        <v>0</v>
      </c>
      <c r="AG148" s="692">
        <f t="shared" si="55"/>
        <v>0</v>
      </c>
      <c r="AH148" s="692">
        <f t="shared" si="56"/>
        <v>0</v>
      </c>
      <c r="AJ148" s="38">
        <f t="shared" si="44"/>
        <v>0</v>
      </c>
    </row>
    <row r="149" spans="1:36" s="232" customFormat="1">
      <c r="A149" s="283"/>
      <c r="B149" s="283" t="s">
        <v>109</v>
      </c>
      <c r="C149" s="667" t="s">
        <v>562</v>
      </c>
      <c r="D149" s="567" t="s">
        <v>480</v>
      </c>
      <c r="E149" s="679"/>
      <c r="F149" s="529">
        <f>VLOOKUP(D149,'Jan 2013 Revenue'!D:T,17,FALSE)</f>
        <v>0</v>
      </c>
      <c r="G149" s="680"/>
      <c r="H149" s="680"/>
      <c r="I149" s="770">
        <v>7696.74</v>
      </c>
      <c r="J149" s="682">
        <f t="shared" si="45"/>
        <v>7696.74</v>
      </c>
      <c r="K149" s="683"/>
      <c r="L149" s="684"/>
      <c r="M149" s="753"/>
      <c r="N149" s="683">
        <v>0</v>
      </c>
      <c r="O149" s="686"/>
      <c r="P149" s="683">
        <v>0</v>
      </c>
      <c r="Q149" s="687">
        <f t="shared" si="42"/>
        <v>0</v>
      </c>
      <c r="R149" s="688">
        <v>0</v>
      </c>
      <c r="S149" s="693"/>
      <c r="T149" s="690">
        <f t="shared" si="46"/>
        <v>0</v>
      </c>
      <c r="U149" s="683"/>
      <c r="V149" s="474">
        <f t="shared" si="50"/>
        <v>0</v>
      </c>
      <c r="W149" s="474">
        <f t="shared" si="51"/>
        <v>0</v>
      </c>
      <c r="X149" s="475">
        <f t="shared" si="52"/>
        <v>0</v>
      </c>
      <c r="Y149" s="475">
        <v>0</v>
      </c>
      <c r="Z149" s="476">
        <v>0</v>
      </c>
      <c r="AA149" s="38">
        <f t="shared" si="53"/>
        <v>0</v>
      </c>
      <c r="AB149" s="692">
        <f t="shared" si="47"/>
        <v>0</v>
      </c>
      <c r="AC149" s="692">
        <f t="shared" si="48"/>
        <v>7696.74</v>
      </c>
      <c r="AD149" s="692">
        <f t="shared" si="49"/>
        <v>0</v>
      </c>
      <c r="AE149" s="38"/>
      <c r="AF149" s="692">
        <f t="shared" si="54"/>
        <v>0</v>
      </c>
      <c r="AG149" s="692">
        <f t="shared" si="55"/>
        <v>0</v>
      </c>
      <c r="AH149" s="692">
        <f t="shared" si="56"/>
        <v>0</v>
      </c>
      <c r="AJ149" s="38">
        <f t="shared" si="44"/>
        <v>7696.74</v>
      </c>
    </row>
    <row r="150" spans="1:36" s="232" customFormat="1">
      <c r="A150" s="403"/>
      <c r="B150" s="403" t="s">
        <v>109</v>
      </c>
      <c r="C150" s="666" t="s">
        <v>563</v>
      </c>
      <c r="D150" s="123" t="s">
        <v>327</v>
      </c>
      <c r="E150" s="679"/>
      <c r="F150" s="529">
        <f>VLOOKUP(D150,'Jan 2013 Revenue'!D:T,17,FALSE)</f>
        <v>-10048.010000000002</v>
      </c>
      <c r="G150" s="680"/>
      <c r="H150" s="680"/>
      <c r="I150" s="755"/>
      <c r="J150" s="682">
        <f t="shared" si="45"/>
        <v>-10048.010000000002</v>
      </c>
      <c r="K150" s="683"/>
      <c r="L150" s="684"/>
      <c r="M150" s="753">
        <v>50000</v>
      </c>
      <c r="N150" s="683">
        <v>0</v>
      </c>
      <c r="O150" s="686"/>
      <c r="P150" s="683">
        <v>0</v>
      </c>
      <c r="Q150" s="687">
        <f t="shared" si="42"/>
        <v>50000</v>
      </c>
      <c r="R150" s="688">
        <v>33837.660000000003</v>
      </c>
      <c r="S150" s="693"/>
      <c r="T150" s="690">
        <f t="shared" si="46"/>
        <v>-16162.339999999997</v>
      </c>
      <c r="U150" s="683"/>
      <c r="V150" s="474">
        <f t="shared" si="50"/>
        <v>0</v>
      </c>
      <c r="W150" s="474">
        <f t="shared" si="51"/>
        <v>50000</v>
      </c>
      <c r="X150" s="475">
        <f t="shared" si="52"/>
        <v>0</v>
      </c>
      <c r="Y150" s="475">
        <v>0</v>
      </c>
      <c r="Z150" s="476">
        <v>0</v>
      </c>
      <c r="AA150" s="38">
        <f t="shared" si="53"/>
        <v>0</v>
      </c>
      <c r="AB150" s="692">
        <f t="shared" si="47"/>
        <v>0</v>
      </c>
      <c r="AC150" s="692">
        <f t="shared" si="48"/>
        <v>-10048.010000000002</v>
      </c>
      <c r="AD150" s="692">
        <f t="shared" si="49"/>
        <v>0</v>
      </c>
      <c r="AE150" s="38"/>
      <c r="AF150" s="692">
        <f t="shared" si="54"/>
        <v>0</v>
      </c>
      <c r="AG150" s="692">
        <f t="shared" si="55"/>
        <v>50000</v>
      </c>
      <c r="AH150" s="692">
        <f t="shared" si="56"/>
        <v>0</v>
      </c>
      <c r="AJ150" s="38">
        <f t="shared" si="44"/>
        <v>39951.99</v>
      </c>
    </row>
    <row r="151" spans="1:36" s="232" customFormat="1">
      <c r="A151" s="403"/>
      <c r="B151" s="403" t="s">
        <v>110</v>
      </c>
      <c r="C151" s="666" t="s">
        <v>563</v>
      </c>
      <c r="D151" s="123" t="s">
        <v>637</v>
      </c>
      <c r="E151" s="679">
        <v>4202.96</v>
      </c>
      <c r="F151" s="529">
        <f>VLOOKUP(D151,'Jan 2013 Revenue'!D:T,17,FALSE)</f>
        <v>-5000</v>
      </c>
      <c r="G151" s="680"/>
      <c r="H151" s="680"/>
      <c r="I151" s="755"/>
      <c r="J151" s="682">
        <f t="shared" si="45"/>
        <v>-797.04</v>
      </c>
      <c r="K151" s="683"/>
      <c r="L151" s="684"/>
      <c r="M151" s="753"/>
      <c r="N151" s="683">
        <v>0</v>
      </c>
      <c r="O151" s="686"/>
      <c r="P151" s="683">
        <v>0</v>
      </c>
      <c r="Q151" s="687">
        <f t="shared" si="42"/>
        <v>0</v>
      </c>
      <c r="R151" s="688">
        <v>0</v>
      </c>
      <c r="S151" s="693"/>
      <c r="T151" s="690">
        <f t="shared" si="46"/>
        <v>0</v>
      </c>
      <c r="U151" s="683"/>
      <c r="V151" s="474">
        <f t="shared" si="50"/>
        <v>0</v>
      </c>
      <c r="W151" s="474">
        <f t="shared" si="51"/>
        <v>0</v>
      </c>
      <c r="X151" s="475">
        <f t="shared" si="52"/>
        <v>0</v>
      </c>
      <c r="Y151" s="475">
        <v>0</v>
      </c>
      <c r="Z151" s="476">
        <v>0</v>
      </c>
      <c r="AA151" s="38">
        <f t="shared" si="53"/>
        <v>0</v>
      </c>
      <c r="AB151" s="692">
        <f t="shared" si="47"/>
        <v>-797.04</v>
      </c>
      <c r="AC151" s="692">
        <f t="shared" si="48"/>
        <v>0</v>
      </c>
      <c r="AD151" s="692">
        <f t="shared" si="49"/>
        <v>0</v>
      </c>
      <c r="AE151" s="38"/>
      <c r="AF151" s="692">
        <f t="shared" si="54"/>
        <v>0</v>
      </c>
      <c r="AG151" s="692">
        <f t="shared" si="55"/>
        <v>0</v>
      </c>
      <c r="AH151" s="692">
        <f t="shared" si="56"/>
        <v>0</v>
      </c>
      <c r="AJ151" s="38">
        <f t="shared" si="44"/>
        <v>-797.04</v>
      </c>
    </row>
    <row r="152" spans="1:36">
      <c r="A152" s="21" t="s">
        <v>212</v>
      </c>
      <c r="B152" s="21" t="s">
        <v>110</v>
      </c>
      <c r="C152" s="666"/>
      <c r="D152" s="68" t="s">
        <v>232</v>
      </c>
      <c r="E152" s="679"/>
      <c r="F152" s="529">
        <f>VLOOKUP(D152,'Jan 2013 Revenue'!D:T,17,FALSE)</f>
        <v>0</v>
      </c>
      <c r="G152" s="680"/>
      <c r="H152" s="680"/>
      <c r="I152" s="755"/>
      <c r="J152" s="682">
        <f t="shared" si="45"/>
        <v>0</v>
      </c>
      <c r="K152" s="683"/>
      <c r="L152" s="684"/>
      <c r="M152" s="753"/>
      <c r="N152" s="683">
        <v>0</v>
      </c>
      <c r="O152" s="686"/>
      <c r="P152" s="683">
        <v>0</v>
      </c>
      <c r="Q152" s="687">
        <f t="shared" si="42"/>
        <v>0</v>
      </c>
      <c r="R152" s="688">
        <v>0</v>
      </c>
      <c r="S152" s="693"/>
      <c r="T152" s="690">
        <f t="shared" si="46"/>
        <v>0</v>
      </c>
      <c r="U152" s="683"/>
      <c r="V152" s="474">
        <f t="shared" si="50"/>
        <v>0</v>
      </c>
      <c r="W152" s="474">
        <f t="shared" si="51"/>
        <v>0</v>
      </c>
      <c r="X152" s="475">
        <f t="shared" si="52"/>
        <v>0</v>
      </c>
      <c r="Y152" s="475">
        <v>0</v>
      </c>
      <c r="Z152" s="476">
        <v>0</v>
      </c>
      <c r="AA152" s="38">
        <f t="shared" si="53"/>
        <v>0</v>
      </c>
      <c r="AB152" s="692">
        <f t="shared" si="47"/>
        <v>0</v>
      </c>
      <c r="AC152" s="692">
        <f t="shared" si="48"/>
        <v>0</v>
      </c>
      <c r="AD152" s="692">
        <f t="shared" si="49"/>
        <v>0</v>
      </c>
      <c r="AE152" s="38"/>
      <c r="AF152" s="692">
        <f t="shared" si="54"/>
        <v>0</v>
      </c>
      <c r="AG152" s="692">
        <f t="shared" si="55"/>
        <v>0</v>
      </c>
      <c r="AH152" s="692">
        <f t="shared" si="56"/>
        <v>0</v>
      </c>
      <c r="AJ152" s="38">
        <f t="shared" si="44"/>
        <v>0</v>
      </c>
    </row>
    <row r="153" spans="1:36">
      <c r="A153" s="21"/>
      <c r="B153" s="21" t="s">
        <v>109</v>
      </c>
      <c r="C153" s="666" t="s">
        <v>564</v>
      </c>
      <c r="D153" s="68" t="s">
        <v>876</v>
      </c>
      <c r="E153" s="679"/>
      <c r="F153" s="529">
        <f>VLOOKUP(D153,'Jan 2013 Revenue'!D:T,17,FALSE)</f>
        <v>0</v>
      </c>
      <c r="G153" s="680"/>
      <c r="H153" s="680"/>
      <c r="I153" s="755"/>
      <c r="J153" s="682">
        <f t="shared" si="45"/>
        <v>0</v>
      </c>
      <c r="K153" s="683"/>
      <c r="L153" s="684"/>
      <c r="M153" s="753"/>
      <c r="N153" s="683">
        <v>0</v>
      </c>
      <c r="O153" s="686"/>
      <c r="P153" s="683">
        <v>0</v>
      </c>
      <c r="Q153" s="687">
        <f t="shared" si="42"/>
        <v>0</v>
      </c>
      <c r="R153" s="688">
        <v>0</v>
      </c>
      <c r="S153" s="693"/>
      <c r="T153" s="690">
        <f t="shared" si="46"/>
        <v>0</v>
      </c>
      <c r="U153" s="683"/>
      <c r="V153" s="474">
        <f t="shared" si="50"/>
        <v>0</v>
      </c>
      <c r="W153" s="474">
        <f t="shared" si="51"/>
        <v>0</v>
      </c>
      <c r="X153" s="475">
        <f t="shared" si="52"/>
        <v>0</v>
      </c>
      <c r="Y153" s="475">
        <v>0</v>
      </c>
      <c r="Z153" s="476">
        <v>0</v>
      </c>
      <c r="AA153" s="38">
        <f t="shared" si="53"/>
        <v>0</v>
      </c>
      <c r="AB153" s="692">
        <f t="shared" si="47"/>
        <v>0</v>
      </c>
      <c r="AC153" s="692">
        <f t="shared" si="48"/>
        <v>0</v>
      </c>
      <c r="AD153" s="692">
        <f t="shared" si="49"/>
        <v>0</v>
      </c>
      <c r="AE153" s="38"/>
      <c r="AF153" s="692">
        <f t="shared" si="54"/>
        <v>0</v>
      </c>
      <c r="AG153" s="692">
        <f t="shared" si="55"/>
        <v>0</v>
      </c>
      <c r="AH153" s="692">
        <f t="shared" si="56"/>
        <v>0</v>
      </c>
      <c r="AJ153" s="38">
        <f t="shared" si="44"/>
        <v>0</v>
      </c>
    </row>
    <row r="154" spans="1:36">
      <c r="A154" s="21"/>
      <c r="B154" s="21" t="s">
        <v>109</v>
      </c>
      <c r="C154" s="666" t="s">
        <v>564</v>
      </c>
      <c r="D154" s="68" t="s">
        <v>307</v>
      </c>
      <c r="E154" s="679"/>
      <c r="F154" s="529">
        <f>VLOOKUP(D154,'Jan 2013 Revenue'!D:T,17,FALSE)</f>
        <v>0</v>
      </c>
      <c r="G154" s="680"/>
      <c r="H154" s="680"/>
      <c r="I154" s="755"/>
      <c r="J154" s="682">
        <f t="shared" si="45"/>
        <v>0</v>
      </c>
      <c r="K154" s="683"/>
      <c r="L154" s="684"/>
      <c r="M154" s="753"/>
      <c r="N154" s="683">
        <v>0</v>
      </c>
      <c r="O154" s="686"/>
      <c r="P154" s="683">
        <v>0</v>
      </c>
      <c r="Q154" s="687">
        <f t="shared" si="42"/>
        <v>0</v>
      </c>
      <c r="R154" s="688">
        <v>0</v>
      </c>
      <c r="S154" s="693"/>
      <c r="T154" s="690">
        <f t="shared" si="46"/>
        <v>0</v>
      </c>
      <c r="U154" s="683"/>
      <c r="V154" s="474">
        <f t="shared" si="50"/>
        <v>0</v>
      </c>
      <c r="W154" s="474">
        <f t="shared" si="51"/>
        <v>0</v>
      </c>
      <c r="X154" s="475">
        <f t="shared" si="52"/>
        <v>0</v>
      </c>
      <c r="Y154" s="475">
        <v>0</v>
      </c>
      <c r="Z154" s="476">
        <v>0</v>
      </c>
      <c r="AA154" s="38">
        <f t="shared" si="53"/>
        <v>0</v>
      </c>
      <c r="AB154" s="692">
        <f t="shared" si="47"/>
        <v>0</v>
      </c>
      <c r="AC154" s="692">
        <f t="shared" si="48"/>
        <v>0</v>
      </c>
      <c r="AD154" s="692">
        <f t="shared" si="49"/>
        <v>0</v>
      </c>
      <c r="AE154" s="38"/>
      <c r="AF154" s="692">
        <f t="shared" si="54"/>
        <v>0</v>
      </c>
      <c r="AG154" s="692">
        <f t="shared" si="55"/>
        <v>0</v>
      </c>
      <c r="AH154" s="692">
        <f t="shared" si="56"/>
        <v>0</v>
      </c>
      <c r="AJ154" s="38">
        <f t="shared" si="44"/>
        <v>0</v>
      </c>
    </row>
    <row r="155" spans="1:36">
      <c r="A155" s="21"/>
      <c r="B155" s="21" t="s">
        <v>109</v>
      </c>
      <c r="C155" s="666" t="s">
        <v>565</v>
      </c>
      <c r="D155" s="68" t="s">
        <v>485</v>
      </c>
      <c r="E155" s="679"/>
      <c r="F155" s="529">
        <f>VLOOKUP(D155,'Jan 2013 Revenue'!D:T,17,FALSE)</f>
        <v>-52794.479999999996</v>
      </c>
      <c r="G155" s="680"/>
      <c r="H155" s="680"/>
      <c r="I155" s="770">
        <f>4906.73+2448.67+2210.74+963.63+235.7+17306.74+362.83+320.25+532.42+6398.03</f>
        <v>35685.74</v>
      </c>
      <c r="J155" s="682">
        <f t="shared" si="45"/>
        <v>-17108.739999999998</v>
      </c>
      <c r="K155" s="683"/>
      <c r="L155" s="684"/>
      <c r="M155" s="753"/>
      <c r="N155" s="683"/>
      <c r="O155" s="686"/>
      <c r="P155" s="683"/>
      <c r="Q155" s="687">
        <f t="shared" si="42"/>
        <v>0</v>
      </c>
      <c r="R155" s="688">
        <v>0</v>
      </c>
      <c r="S155" s="693"/>
      <c r="T155" s="690">
        <f t="shared" si="46"/>
        <v>0</v>
      </c>
      <c r="U155" s="683"/>
      <c r="V155" s="474">
        <f t="shared" si="50"/>
        <v>0</v>
      </c>
      <c r="W155" s="474">
        <f t="shared" si="51"/>
        <v>0</v>
      </c>
      <c r="X155" s="475">
        <f t="shared" si="52"/>
        <v>0</v>
      </c>
      <c r="Y155" s="475">
        <v>0</v>
      </c>
      <c r="Z155" s="476">
        <v>0</v>
      </c>
      <c r="AA155" s="38">
        <f t="shared" si="53"/>
        <v>0</v>
      </c>
      <c r="AB155" s="692">
        <f t="shared" si="47"/>
        <v>0</v>
      </c>
      <c r="AC155" s="692">
        <f t="shared" si="48"/>
        <v>-17108.739999999998</v>
      </c>
      <c r="AD155" s="692">
        <f t="shared" si="49"/>
        <v>0</v>
      </c>
      <c r="AE155" s="38"/>
      <c r="AF155" s="692">
        <f t="shared" si="54"/>
        <v>0</v>
      </c>
      <c r="AG155" s="692">
        <f t="shared" si="55"/>
        <v>0</v>
      </c>
      <c r="AH155" s="692">
        <f t="shared" si="56"/>
        <v>0</v>
      </c>
      <c r="AJ155" s="38">
        <f t="shared" si="44"/>
        <v>-17108.739999999998</v>
      </c>
    </row>
    <row r="156" spans="1:36" s="232" customFormat="1">
      <c r="A156" s="403"/>
      <c r="B156" s="403" t="s">
        <v>109</v>
      </c>
      <c r="C156" s="666"/>
      <c r="D156" s="123" t="s">
        <v>220</v>
      </c>
      <c r="E156" s="679"/>
      <c r="F156" s="529">
        <f>VLOOKUP(D156,'Jan 2013 Revenue'!D:T,17,FALSE)</f>
        <v>0</v>
      </c>
      <c r="G156" s="680"/>
      <c r="H156" s="680"/>
      <c r="I156" s="755"/>
      <c r="J156" s="682">
        <f t="shared" si="45"/>
        <v>0</v>
      </c>
      <c r="K156" s="683"/>
      <c r="L156" s="684"/>
      <c r="M156" s="753"/>
      <c r="N156" s="683">
        <v>0</v>
      </c>
      <c r="O156" s="686"/>
      <c r="P156" s="683">
        <v>0</v>
      </c>
      <c r="Q156" s="687">
        <f t="shared" si="42"/>
        <v>0</v>
      </c>
      <c r="R156" s="688">
        <v>0</v>
      </c>
      <c r="S156" s="693"/>
      <c r="T156" s="690">
        <f t="shared" si="46"/>
        <v>0</v>
      </c>
      <c r="U156" s="683"/>
      <c r="V156" s="474">
        <f t="shared" si="50"/>
        <v>0</v>
      </c>
      <c r="W156" s="474">
        <f t="shared" si="51"/>
        <v>0</v>
      </c>
      <c r="X156" s="475">
        <f t="shared" si="52"/>
        <v>0</v>
      </c>
      <c r="Y156" s="475">
        <v>0</v>
      </c>
      <c r="Z156" s="476">
        <v>0</v>
      </c>
      <c r="AA156" s="38">
        <f t="shared" si="53"/>
        <v>0</v>
      </c>
      <c r="AB156" s="692">
        <f t="shared" si="47"/>
        <v>0</v>
      </c>
      <c r="AC156" s="692">
        <f t="shared" si="48"/>
        <v>0</v>
      </c>
      <c r="AD156" s="692">
        <f t="shared" si="49"/>
        <v>0</v>
      </c>
      <c r="AE156" s="38"/>
      <c r="AF156" s="692">
        <f t="shared" si="54"/>
        <v>0</v>
      </c>
      <c r="AG156" s="692">
        <f t="shared" si="55"/>
        <v>0</v>
      </c>
      <c r="AH156" s="692">
        <f t="shared" si="56"/>
        <v>0</v>
      </c>
      <c r="AJ156" s="38">
        <f t="shared" si="44"/>
        <v>0</v>
      </c>
    </row>
    <row r="157" spans="1:36" s="24" customFormat="1">
      <c r="A157" s="472"/>
      <c r="B157" s="21" t="s">
        <v>109</v>
      </c>
      <c r="C157" s="666"/>
      <c r="D157" s="68" t="s">
        <v>505</v>
      </c>
      <c r="E157" s="679"/>
      <c r="F157" s="529">
        <f>VLOOKUP(D157,'Jan 2013 Revenue'!D:T,17,FALSE)</f>
        <v>3384.6</v>
      </c>
      <c r="G157" s="680"/>
      <c r="H157" s="680"/>
      <c r="I157" s="770">
        <v>3380.4</v>
      </c>
      <c r="J157" s="682">
        <f t="shared" si="45"/>
        <v>6765</v>
      </c>
      <c r="K157" s="698"/>
      <c r="L157" s="684"/>
      <c r="M157" s="753"/>
      <c r="N157" s="698">
        <v>0</v>
      </c>
      <c r="O157" s="686"/>
      <c r="P157" s="698">
        <v>0</v>
      </c>
      <c r="Q157" s="700">
        <f t="shared" si="42"/>
        <v>0</v>
      </c>
      <c r="R157" s="688">
        <v>0</v>
      </c>
      <c r="S157" s="701"/>
      <c r="T157" s="690">
        <f t="shared" si="46"/>
        <v>0</v>
      </c>
      <c r="U157" s="698"/>
      <c r="V157" s="474">
        <f t="shared" si="50"/>
        <v>0</v>
      </c>
      <c r="W157" s="474">
        <f t="shared" si="51"/>
        <v>0</v>
      </c>
      <c r="X157" s="475">
        <f t="shared" si="52"/>
        <v>0</v>
      </c>
      <c r="Y157" s="475">
        <v>0</v>
      </c>
      <c r="Z157" s="476">
        <v>0</v>
      </c>
      <c r="AA157" s="38">
        <f t="shared" si="53"/>
        <v>0</v>
      </c>
      <c r="AB157" s="692">
        <f t="shared" si="47"/>
        <v>0</v>
      </c>
      <c r="AC157" s="692">
        <f t="shared" si="48"/>
        <v>6765</v>
      </c>
      <c r="AD157" s="692">
        <f t="shared" si="49"/>
        <v>0</v>
      </c>
      <c r="AE157" s="38"/>
      <c r="AF157" s="692">
        <f t="shared" si="54"/>
        <v>0</v>
      </c>
      <c r="AG157" s="692">
        <f t="shared" si="55"/>
        <v>0</v>
      </c>
      <c r="AH157" s="692">
        <f t="shared" si="56"/>
        <v>0</v>
      </c>
      <c r="AJ157" s="38">
        <f t="shared" si="44"/>
        <v>6765</v>
      </c>
    </row>
    <row r="158" spans="1:36">
      <c r="A158" s="21"/>
      <c r="B158" s="21" t="s">
        <v>110</v>
      </c>
      <c r="C158" s="666"/>
      <c r="D158" s="68" t="s">
        <v>185</v>
      </c>
      <c r="E158" s="679">
        <f>65.71+101.89</f>
        <v>167.6</v>
      </c>
      <c r="F158" s="529">
        <f>VLOOKUP(D158,'Jan 2013 Revenue'!D:T,17,FALSE)</f>
        <v>0</v>
      </c>
      <c r="G158" s="680"/>
      <c r="H158" s="680"/>
      <c r="I158" s="755"/>
      <c r="J158" s="682">
        <f t="shared" si="45"/>
        <v>167.6</v>
      </c>
      <c r="K158" s="683"/>
      <c r="L158" s="684"/>
      <c r="M158" s="753"/>
      <c r="N158" s="683">
        <v>0</v>
      </c>
      <c r="O158" s="686"/>
      <c r="P158" s="683">
        <v>0</v>
      </c>
      <c r="Q158" s="687">
        <f t="shared" si="42"/>
        <v>0</v>
      </c>
      <c r="R158" s="688">
        <v>0</v>
      </c>
      <c r="S158" s="693"/>
      <c r="T158" s="690">
        <f t="shared" si="46"/>
        <v>0</v>
      </c>
      <c r="U158" s="683"/>
      <c r="V158" s="474">
        <f t="shared" si="50"/>
        <v>0</v>
      </c>
      <c r="W158" s="474">
        <f t="shared" si="51"/>
        <v>0</v>
      </c>
      <c r="X158" s="475">
        <f t="shared" si="52"/>
        <v>0</v>
      </c>
      <c r="Y158" s="475">
        <v>0</v>
      </c>
      <c r="Z158" s="476">
        <v>0</v>
      </c>
      <c r="AA158" s="38">
        <f t="shared" si="53"/>
        <v>0</v>
      </c>
      <c r="AB158" s="692">
        <f t="shared" si="47"/>
        <v>167.6</v>
      </c>
      <c r="AC158" s="692">
        <f t="shared" si="48"/>
        <v>0</v>
      </c>
      <c r="AD158" s="692">
        <f t="shared" si="49"/>
        <v>0</v>
      </c>
      <c r="AE158" s="38"/>
      <c r="AF158" s="692">
        <f t="shared" si="54"/>
        <v>0</v>
      </c>
      <c r="AG158" s="692">
        <f t="shared" si="55"/>
        <v>0</v>
      </c>
      <c r="AH158" s="692">
        <f t="shared" si="56"/>
        <v>0</v>
      </c>
      <c r="AJ158" s="38">
        <f t="shared" si="44"/>
        <v>167.6</v>
      </c>
    </row>
    <row r="159" spans="1:36">
      <c r="A159" s="21"/>
      <c r="B159" s="21" t="s">
        <v>896</v>
      </c>
      <c r="C159" s="21"/>
      <c r="D159" s="68" t="s">
        <v>186</v>
      </c>
      <c r="E159" s="679">
        <f>28.7+45.5</f>
        <v>74.2</v>
      </c>
      <c r="F159" s="529">
        <f>VLOOKUP(D159,'Jan 2013 Revenue'!D:T,17,FALSE)</f>
        <v>0</v>
      </c>
      <c r="G159" s="680"/>
      <c r="H159" s="680"/>
      <c r="I159" s="755"/>
      <c r="J159" s="682">
        <f t="shared" si="45"/>
        <v>74.2</v>
      </c>
      <c r="K159" s="683"/>
      <c r="L159" s="684"/>
      <c r="M159" s="753"/>
      <c r="N159" s="683">
        <v>0</v>
      </c>
      <c r="O159" s="686"/>
      <c r="P159" s="683">
        <v>0</v>
      </c>
      <c r="Q159" s="687">
        <f t="shared" si="42"/>
        <v>0</v>
      </c>
      <c r="R159" s="688">
        <v>0</v>
      </c>
      <c r="S159" s="693"/>
      <c r="T159" s="690">
        <f t="shared" si="46"/>
        <v>0</v>
      </c>
      <c r="U159" s="683"/>
      <c r="V159" s="474">
        <f t="shared" si="50"/>
        <v>0</v>
      </c>
      <c r="W159" s="474">
        <f t="shared" si="51"/>
        <v>0</v>
      </c>
      <c r="X159" s="475">
        <f t="shared" si="52"/>
        <v>0</v>
      </c>
      <c r="Y159" s="475">
        <v>0</v>
      </c>
      <c r="Z159" s="476">
        <v>0</v>
      </c>
      <c r="AA159" s="38">
        <f t="shared" si="53"/>
        <v>0</v>
      </c>
      <c r="AB159" s="692">
        <f t="shared" si="47"/>
        <v>0</v>
      </c>
      <c r="AC159" s="692">
        <f t="shared" si="48"/>
        <v>74.2</v>
      </c>
      <c r="AD159" s="692">
        <f t="shared" si="49"/>
        <v>0</v>
      </c>
      <c r="AE159" s="38"/>
      <c r="AF159" s="692">
        <f t="shared" si="54"/>
        <v>0</v>
      </c>
      <c r="AG159" s="692">
        <f t="shared" si="55"/>
        <v>0</v>
      </c>
      <c r="AH159" s="692">
        <f t="shared" si="56"/>
        <v>0</v>
      </c>
      <c r="AJ159" s="38">
        <f t="shared" si="44"/>
        <v>74.2</v>
      </c>
    </row>
    <row r="160" spans="1:36">
      <c r="A160" s="21"/>
      <c r="B160" s="21" t="s">
        <v>110</v>
      </c>
      <c r="C160" s="666"/>
      <c r="D160" s="68" t="s">
        <v>449</v>
      </c>
      <c r="E160" s="679"/>
      <c r="F160" s="529">
        <f>VLOOKUP(D160,'Jan 2013 Revenue'!D:T,17,FALSE)</f>
        <v>0</v>
      </c>
      <c r="G160" s="680"/>
      <c r="H160" s="680"/>
      <c r="I160" s="755"/>
      <c r="J160" s="682">
        <f t="shared" si="45"/>
        <v>0</v>
      </c>
      <c r="K160" s="683"/>
      <c r="L160" s="684"/>
      <c r="M160" s="753"/>
      <c r="N160" s="683">
        <v>0</v>
      </c>
      <c r="O160" s="686"/>
      <c r="P160" s="683">
        <v>0</v>
      </c>
      <c r="Q160" s="687">
        <f t="shared" si="42"/>
        <v>0</v>
      </c>
      <c r="R160" s="688">
        <v>0</v>
      </c>
      <c r="S160" s="693"/>
      <c r="T160" s="690">
        <f t="shared" si="46"/>
        <v>0</v>
      </c>
      <c r="U160" s="683"/>
      <c r="V160" s="474">
        <f t="shared" si="50"/>
        <v>0</v>
      </c>
      <c r="W160" s="474">
        <f t="shared" si="51"/>
        <v>0</v>
      </c>
      <c r="X160" s="475">
        <f t="shared" si="52"/>
        <v>0</v>
      </c>
      <c r="Y160" s="475">
        <v>0</v>
      </c>
      <c r="Z160" s="476">
        <v>0</v>
      </c>
      <c r="AA160" s="38">
        <f t="shared" si="53"/>
        <v>0</v>
      </c>
      <c r="AB160" s="692">
        <f t="shared" si="47"/>
        <v>0</v>
      </c>
      <c r="AC160" s="692">
        <f t="shared" si="48"/>
        <v>0</v>
      </c>
      <c r="AD160" s="692">
        <f t="shared" si="49"/>
        <v>0</v>
      </c>
      <c r="AE160" s="38"/>
      <c r="AF160" s="692">
        <f t="shared" si="54"/>
        <v>0</v>
      </c>
      <c r="AG160" s="692">
        <f t="shared" si="55"/>
        <v>0</v>
      </c>
      <c r="AH160" s="692">
        <f t="shared" si="56"/>
        <v>0</v>
      </c>
      <c r="AJ160" s="38">
        <f t="shared" si="44"/>
        <v>0</v>
      </c>
    </row>
    <row r="161" spans="1:36">
      <c r="A161" s="21"/>
      <c r="B161" s="21" t="s">
        <v>110</v>
      </c>
      <c r="C161" s="666" t="s">
        <v>566</v>
      </c>
      <c r="D161" s="68" t="s">
        <v>39</v>
      </c>
      <c r="E161" s="679"/>
      <c r="F161" s="529">
        <f>VLOOKUP(D161,'Jan 2013 Revenue'!D:T,17,FALSE)</f>
        <v>2888.87</v>
      </c>
      <c r="G161" s="680"/>
      <c r="H161" s="680"/>
      <c r="I161" s="755"/>
      <c r="J161" s="682">
        <f t="shared" si="45"/>
        <v>2888.87</v>
      </c>
      <c r="K161" s="683"/>
      <c r="L161" s="684"/>
      <c r="M161" s="753"/>
      <c r="N161" s="683">
        <v>0</v>
      </c>
      <c r="O161" s="686"/>
      <c r="P161" s="683">
        <v>0</v>
      </c>
      <c r="Q161" s="687">
        <f t="shared" si="42"/>
        <v>0</v>
      </c>
      <c r="R161" s="688">
        <v>5209.3500000000004</v>
      </c>
      <c r="S161" s="693"/>
      <c r="T161" s="690">
        <f t="shared" si="46"/>
        <v>5209.3500000000004</v>
      </c>
      <c r="U161" s="683"/>
      <c r="V161" s="474">
        <f t="shared" si="50"/>
        <v>0</v>
      </c>
      <c r="W161" s="474">
        <f t="shared" si="51"/>
        <v>0</v>
      </c>
      <c r="X161" s="475">
        <f t="shared" si="52"/>
        <v>0</v>
      </c>
      <c r="Y161" s="475">
        <v>0</v>
      </c>
      <c r="Z161" s="476">
        <v>0</v>
      </c>
      <c r="AA161" s="38">
        <f t="shared" si="53"/>
        <v>0</v>
      </c>
      <c r="AB161" s="692">
        <f t="shared" si="47"/>
        <v>2888.87</v>
      </c>
      <c r="AC161" s="692">
        <f t="shared" si="48"/>
        <v>0</v>
      </c>
      <c r="AD161" s="692">
        <f t="shared" si="49"/>
        <v>0</v>
      </c>
      <c r="AE161" s="38"/>
      <c r="AF161" s="692">
        <f t="shared" si="54"/>
        <v>0</v>
      </c>
      <c r="AG161" s="692">
        <f t="shared" si="55"/>
        <v>0</v>
      </c>
      <c r="AH161" s="692">
        <f t="shared" si="56"/>
        <v>0</v>
      </c>
      <c r="AJ161" s="38">
        <f t="shared" si="44"/>
        <v>2888.87</v>
      </c>
    </row>
    <row r="162" spans="1:36">
      <c r="A162" s="21"/>
      <c r="B162" s="21" t="s">
        <v>110</v>
      </c>
      <c r="C162" s="666" t="s">
        <v>567</v>
      </c>
      <c r="D162" s="68" t="s">
        <v>435</v>
      </c>
      <c r="E162" s="679">
        <v>30921.24</v>
      </c>
      <c r="F162" s="529">
        <f>VLOOKUP(D162,'Jan 2013 Revenue'!D:T,17,FALSE)</f>
        <v>-18166.830000000002</v>
      </c>
      <c r="G162" s="680"/>
      <c r="H162" s="680"/>
      <c r="I162" s="755"/>
      <c r="J162" s="682">
        <f t="shared" si="45"/>
        <v>12754.41</v>
      </c>
      <c r="K162" s="683"/>
      <c r="L162" s="684"/>
      <c r="M162" s="753">
        <v>30000</v>
      </c>
      <c r="N162" s="683">
        <v>0</v>
      </c>
      <c r="O162" s="686"/>
      <c r="P162" s="683">
        <v>0</v>
      </c>
      <c r="Q162" s="687">
        <f t="shared" si="42"/>
        <v>30000</v>
      </c>
      <c r="R162" s="688">
        <v>33992.47</v>
      </c>
      <c r="S162" s="693"/>
      <c r="T162" s="690">
        <f t="shared" si="46"/>
        <v>3992.4700000000012</v>
      </c>
      <c r="U162" s="683"/>
      <c r="V162" s="474">
        <f t="shared" si="50"/>
        <v>30000</v>
      </c>
      <c r="W162" s="474">
        <f t="shared" si="51"/>
        <v>0</v>
      </c>
      <c r="X162" s="475">
        <f t="shared" si="52"/>
        <v>0</v>
      </c>
      <c r="Y162" s="475">
        <v>0</v>
      </c>
      <c r="Z162" s="476">
        <v>0</v>
      </c>
      <c r="AA162" s="38">
        <f t="shared" si="53"/>
        <v>0</v>
      </c>
      <c r="AB162" s="692">
        <f t="shared" si="47"/>
        <v>12754.41</v>
      </c>
      <c r="AC162" s="692">
        <f t="shared" si="48"/>
        <v>0</v>
      </c>
      <c r="AD162" s="692">
        <f t="shared" si="49"/>
        <v>0</v>
      </c>
      <c r="AE162" s="38"/>
      <c r="AF162" s="692">
        <f t="shared" si="54"/>
        <v>30000</v>
      </c>
      <c r="AG162" s="692">
        <f t="shared" si="55"/>
        <v>0</v>
      </c>
      <c r="AH162" s="692">
        <f t="shared" si="56"/>
        <v>0</v>
      </c>
      <c r="AJ162" s="38">
        <f t="shared" si="44"/>
        <v>42754.41</v>
      </c>
    </row>
    <row r="163" spans="1:36">
      <c r="A163" s="21"/>
      <c r="B163" s="21" t="s">
        <v>110</v>
      </c>
      <c r="C163" s="675" t="s">
        <v>584</v>
      </c>
      <c r="D163" s="68" t="s">
        <v>99</v>
      </c>
      <c r="E163" s="679">
        <v>18976.419999999998</v>
      </c>
      <c r="F163" s="529">
        <f>VLOOKUP(D163,'Jan 2013 Revenue'!D:T,17,FALSE)</f>
        <v>-17639.95</v>
      </c>
      <c r="G163" s="680"/>
      <c r="H163" s="680"/>
      <c r="I163" s="755"/>
      <c r="J163" s="682">
        <f t="shared" si="45"/>
        <v>1336.4699999999975</v>
      </c>
      <c r="K163" s="683"/>
      <c r="L163" s="684"/>
      <c r="M163" s="753">
        <v>17000</v>
      </c>
      <c r="N163" s="683">
        <v>0</v>
      </c>
      <c r="O163" s="686"/>
      <c r="P163" s="683">
        <v>0</v>
      </c>
      <c r="Q163" s="687">
        <f t="shared" si="42"/>
        <v>17000</v>
      </c>
      <c r="R163" s="688">
        <v>12859.52</v>
      </c>
      <c r="S163" s="693"/>
      <c r="T163" s="690">
        <f t="shared" si="46"/>
        <v>-4140.4799999999996</v>
      </c>
      <c r="U163" s="683"/>
      <c r="V163" s="474">
        <f t="shared" si="50"/>
        <v>17000</v>
      </c>
      <c r="W163" s="474">
        <f t="shared" si="51"/>
        <v>0</v>
      </c>
      <c r="X163" s="475">
        <f t="shared" si="52"/>
        <v>0</v>
      </c>
      <c r="Y163" s="475">
        <v>0</v>
      </c>
      <c r="Z163" s="476">
        <v>0</v>
      </c>
      <c r="AA163" s="38">
        <f t="shared" si="53"/>
        <v>0</v>
      </c>
      <c r="AB163" s="692">
        <f t="shared" si="47"/>
        <v>1336.4699999999975</v>
      </c>
      <c r="AC163" s="692">
        <f t="shared" si="48"/>
        <v>0</v>
      </c>
      <c r="AD163" s="692">
        <f t="shared" si="49"/>
        <v>0</v>
      </c>
      <c r="AE163" s="38"/>
      <c r="AF163" s="692">
        <f t="shared" si="54"/>
        <v>17000</v>
      </c>
      <c r="AG163" s="692">
        <f t="shared" si="55"/>
        <v>0</v>
      </c>
      <c r="AH163" s="692">
        <f t="shared" si="56"/>
        <v>0</v>
      </c>
      <c r="AJ163" s="38">
        <f t="shared" si="44"/>
        <v>18336.469999999998</v>
      </c>
    </row>
    <row r="164" spans="1:36" s="232" customFormat="1">
      <c r="A164" s="403"/>
      <c r="B164" s="403" t="s">
        <v>110</v>
      </c>
      <c r="C164" s="666"/>
      <c r="D164" s="123" t="s">
        <v>378</v>
      </c>
      <c r="E164" s="679"/>
      <c r="F164" s="529">
        <f>VLOOKUP(D164,'Jan 2013 Revenue'!D:T,17,FALSE)</f>
        <v>0</v>
      </c>
      <c r="G164" s="680"/>
      <c r="H164" s="680"/>
      <c r="I164" s="755"/>
      <c r="J164" s="682">
        <f t="shared" si="45"/>
        <v>0</v>
      </c>
      <c r="K164" s="683"/>
      <c r="L164" s="684"/>
      <c r="M164" s="753"/>
      <c r="N164" s="683">
        <v>0</v>
      </c>
      <c r="O164" s="686"/>
      <c r="P164" s="683">
        <v>0</v>
      </c>
      <c r="Q164" s="687">
        <f t="shared" si="42"/>
        <v>0</v>
      </c>
      <c r="R164" s="688">
        <v>0</v>
      </c>
      <c r="S164" s="693"/>
      <c r="T164" s="690">
        <f t="shared" si="46"/>
        <v>0</v>
      </c>
      <c r="U164" s="683"/>
      <c r="V164" s="474">
        <f t="shared" si="50"/>
        <v>0</v>
      </c>
      <c r="W164" s="474">
        <f t="shared" si="51"/>
        <v>0</v>
      </c>
      <c r="X164" s="475">
        <f t="shared" si="52"/>
        <v>0</v>
      </c>
      <c r="Y164" s="475">
        <v>0</v>
      </c>
      <c r="Z164" s="476">
        <v>0</v>
      </c>
      <c r="AA164" s="38">
        <f t="shared" si="53"/>
        <v>0</v>
      </c>
      <c r="AB164" s="692">
        <f t="shared" si="47"/>
        <v>0</v>
      </c>
      <c r="AC164" s="692">
        <f t="shared" si="48"/>
        <v>0</v>
      </c>
      <c r="AD164" s="692">
        <f t="shared" si="49"/>
        <v>0</v>
      </c>
      <c r="AE164" s="38"/>
      <c r="AF164" s="692">
        <f t="shared" si="54"/>
        <v>0</v>
      </c>
      <c r="AG164" s="692">
        <f t="shared" si="55"/>
        <v>0</v>
      </c>
      <c r="AH164" s="692">
        <f t="shared" si="56"/>
        <v>0</v>
      </c>
      <c r="AJ164" s="38">
        <f t="shared" si="44"/>
        <v>0</v>
      </c>
    </row>
    <row r="165" spans="1:36" s="232" customFormat="1">
      <c r="A165" s="403"/>
      <c r="B165" s="403" t="s">
        <v>110</v>
      </c>
      <c r="C165" s="666" t="s">
        <v>568</v>
      </c>
      <c r="D165" s="123" t="s">
        <v>303</v>
      </c>
      <c r="E165" s="679">
        <v>90509.03</v>
      </c>
      <c r="F165" s="529">
        <f>VLOOKUP(D165,'Jan 2013 Revenue'!D:T,17,FALSE)</f>
        <v>-170000</v>
      </c>
      <c r="G165" s="680"/>
      <c r="H165" s="680"/>
      <c r="I165" s="755"/>
      <c r="J165" s="682">
        <f t="shared" si="45"/>
        <v>-79490.97</v>
      </c>
      <c r="K165" s="683"/>
      <c r="L165" s="684"/>
      <c r="M165" s="753">
        <v>170000</v>
      </c>
      <c r="N165" s="683">
        <v>0</v>
      </c>
      <c r="O165" s="686"/>
      <c r="P165" s="683">
        <v>0</v>
      </c>
      <c r="Q165" s="687">
        <f t="shared" si="42"/>
        <v>170000</v>
      </c>
      <c r="R165" s="688">
        <v>0</v>
      </c>
      <c r="S165" s="693"/>
      <c r="T165" s="690">
        <f t="shared" si="46"/>
        <v>-170000</v>
      </c>
      <c r="U165" s="683"/>
      <c r="V165" s="474">
        <f t="shared" si="50"/>
        <v>170000</v>
      </c>
      <c r="W165" s="474">
        <f t="shared" si="51"/>
        <v>0</v>
      </c>
      <c r="X165" s="475">
        <f t="shared" si="52"/>
        <v>0</v>
      </c>
      <c r="Y165" s="475">
        <v>0</v>
      </c>
      <c r="Z165" s="476">
        <v>0</v>
      </c>
      <c r="AA165" s="38">
        <f t="shared" si="53"/>
        <v>0</v>
      </c>
      <c r="AB165" s="692">
        <f t="shared" si="47"/>
        <v>-79490.97</v>
      </c>
      <c r="AC165" s="692">
        <f t="shared" si="48"/>
        <v>0</v>
      </c>
      <c r="AD165" s="692">
        <f t="shared" si="49"/>
        <v>0</v>
      </c>
      <c r="AE165" s="38"/>
      <c r="AF165" s="692">
        <f t="shared" si="54"/>
        <v>170000</v>
      </c>
      <c r="AG165" s="692">
        <f t="shared" si="55"/>
        <v>0</v>
      </c>
      <c r="AH165" s="692">
        <f t="shared" si="56"/>
        <v>0</v>
      </c>
      <c r="AJ165" s="38">
        <f t="shared" si="44"/>
        <v>90509.03</v>
      </c>
    </row>
    <row r="166" spans="1:36" s="232" customFormat="1">
      <c r="A166" s="403"/>
      <c r="B166" s="403" t="s">
        <v>110</v>
      </c>
      <c r="C166" s="666"/>
      <c r="D166" s="123" t="s">
        <v>856</v>
      </c>
      <c r="E166" s="679">
        <f>8718.19+6494.92</f>
        <v>15213.11</v>
      </c>
      <c r="F166" s="529">
        <f>VLOOKUP(D166,'Jan 2013 Revenue'!D:T,17,FALSE)</f>
        <v>-24000</v>
      </c>
      <c r="G166" s="680"/>
      <c r="H166" s="680"/>
      <c r="I166" s="755"/>
      <c r="J166" s="682">
        <f t="shared" si="45"/>
        <v>-8786.89</v>
      </c>
      <c r="K166" s="683"/>
      <c r="L166" s="684"/>
      <c r="M166" s="753">
        <v>24000</v>
      </c>
      <c r="N166" s="683">
        <v>0</v>
      </c>
      <c r="O166" s="686"/>
      <c r="P166" s="683">
        <v>0</v>
      </c>
      <c r="Q166" s="687">
        <f t="shared" si="42"/>
        <v>24000</v>
      </c>
      <c r="R166" s="688">
        <v>0</v>
      </c>
      <c r="S166" s="693"/>
      <c r="T166" s="690">
        <f t="shared" si="46"/>
        <v>-24000</v>
      </c>
      <c r="U166" s="683"/>
      <c r="V166" s="474">
        <f t="shared" si="50"/>
        <v>24000</v>
      </c>
      <c r="W166" s="474">
        <f t="shared" si="51"/>
        <v>0</v>
      </c>
      <c r="X166" s="475">
        <f t="shared" si="52"/>
        <v>0</v>
      </c>
      <c r="Y166" s="475">
        <v>0</v>
      </c>
      <c r="Z166" s="476">
        <v>0</v>
      </c>
      <c r="AA166" s="38">
        <f t="shared" si="53"/>
        <v>0</v>
      </c>
      <c r="AB166" s="692">
        <f t="shared" si="47"/>
        <v>-8786.89</v>
      </c>
      <c r="AC166" s="692">
        <f t="shared" si="48"/>
        <v>0</v>
      </c>
      <c r="AD166" s="692">
        <f t="shared" si="49"/>
        <v>0</v>
      </c>
      <c r="AE166" s="38"/>
      <c r="AF166" s="692">
        <f t="shared" si="54"/>
        <v>24000</v>
      </c>
      <c r="AG166" s="692">
        <f t="shared" si="55"/>
        <v>0</v>
      </c>
      <c r="AH166" s="692">
        <f t="shared" si="56"/>
        <v>0</v>
      </c>
      <c r="AJ166" s="38">
        <f t="shared" si="44"/>
        <v>15213.11</v>
      </c>
    </row>
    <row r="167" spans="1:36" s="232" customFormat="1">
      <c r="A167" s="403"/>
      <c r="B167" s="403" t="s">
        <v>109</v>
      </c>
      <c r="C167" s="666" t="s">
        <v>569</v>
      </c>
      <c r="D167" s="123" t="s">
        <v>468</v>
      </c>
      <c r="E167" s="679"/>
      <c r="F167" s="529">
        <f>VLOOKUP(D167,'Jan 2013 Revenue'!D:T,17,FALSE)</f>
        <v>0</v>
      </c>
      <c r="G167" s="680"/>
      <c r="H167" s="680"/>
      <c r="I167" s="755"/>
      <c r="J167" s="682">
        <f t="shared" si="45"/>
        <v>0</v>
      </c>
      <c r="K167" s="683"/>
      <c r="L167" s="684"/>
      <c r="M167" s="753"/>
      <c r="N167" s="683">
        <v>0</v>
      </c>
      <c r="O167" s="686"/>
      <c r="P167" s="683">
        <v>0</v>
      </c>
      <c r="Q167" s="687">
        <f t="shared" si="42"/>
        <v>0</v>
      </c>
      <c r="R167" s="688">
        <v>0</v>
      </c>
      <c r="S167" s="693"/>
      <c r="T167" s="690">
        <f t="shared" si="46"/>
        <v>0</v>
      </c>
      <c r="U167" s="683"/>
      <c r="V167" s="474">
        <f t="shared" si="50"/>
        <v>0</v>
      </c>
      <c r="W167" s="474">
        <f t="shared" si="51"/>
        <v>0</v>
      </c>
      <c r="X167" s="475">
        <f t="shared" si="52"/>
        <v>0</v>
      </c>
      <c r="Y167" s="475">
        <v>0</v>
      </c>
      <c r="Z167" s="476">
        <v>0</v>
      </c>
      <c r="AA167" s="38">
        <f t="shared" si="53"/>
        <v>0</v>
      </c>
      <c r="AB167" s="692">
        <f t="shared" si="47"/>
        <v>0</v>
      </c>
      <c r="AC167" s="692">
        <f t="shared" si="48"/>
        <v>0</v>
      </c>
      <c r="AD167" s="692">
        <f t="shared" si="49"/>
        <v>0</v>
      </c>
      <c r="AE167" s="38"/>
      <c r="AF167" s="692">
        <f t="shared" si="54"/>
        <v>0</v>
      </c>
      <c r="AG167" s="692">
        <f t="shared" si="55"/>
        <v>0</v>
      </c>
      <c r="AH167" s="692">
        <f t="shared" si="56"/>
        <v>0</v>
      </c>
      <c r="AJ167" s="38">
        <f t="shared" si="44"/>
        <v>0</v>
      </c>
    </row>
    <row r="168" spans="1:36">
      <c r="A168" s="20"/>
      <c r="B168" s="20" t="s">
        <v>110</v>
      </c>
      <c r="C168" s="676" t="s">
        <v>844</v>
      </c>
      <c r="D168" s="68" t="s">
        <v>845</v>
      </c>
      <c r="E168" s="679"/>
      <c r="F168" s="529">
        <f>VLOOKUP(D168,'Jan 2013 Revenue'!D:T,17,FALSE)</f>
        <v>0</v>
      </c>
      <c r="G168" s="680"/>
      <c r="H168" s="680"/>
      <c r="I168" s="755"/>
      <c r="J168" s="682">
        <f t="shared" si="45"/>
        <v>0</v>
      </c>
      <c r="K168" s="683"/>
      <c r="L168" s="684"/>
      <c r="M168" s="753"/>
      <c r="N168" s="683">
        <v>0</v>
      </c>
      <c r="O168" s="686"/>
      <c r="P168" s="683">
        <v>0</v>
      </c>
      <c r="Q168" s="687">
        <f t="shared" si="42"/>
        <v>0</v>
      </c>
      <c r="R168" s="688">
        <v>0</v>
      </c>
      <c r="S168" s="693"/>
      <c r="T168" s="690">
        <f t="shared" si="46"/>
        <v>0</v>
      </c>
      <c r="U168" s="683"/>
      <c r="V168" s="474">
        <f t="shared" si="50"/>
        <v>0</v>
      </c>
      <c r="W168" s="474">
        <f t="shared" si="51"/>
        <v>0</v>
      </c>
      <c r="X168" s="475">
        <f t="shared" si="52"/>
        <v>0</v>
      </c>
      <c r="Y168" s="475">
        <v>0</v>
      </c>
      <c r="Z168" s="476">
        <v>0</v>
      </c>
      <c r="AA168" s="38">
        <f t="shared" si="53"/>
        <v>0</v>
      </c>
      <c r="AB168" s="692">
        <f t="shared" si="47"/>
        <v>0</v>
      </c>
      <c r="AC168" s="692">
        <f t="shared" si="48"/>
        <v>0</v>
      </c>
      <c r="AD168" s="692">
        <f t="shared" si="49"/>
        <v>0</v>
      </c>
      <c r="AE168" s="38"/>
      <c r="AF168" s="692">
        <f t="shared" si="54"/>
        <v>0</v>
      </c>
      <c r="AG168" s="692">
        <f t="shared" si="55"/>
        <v>0</v>
      </c>
      <c r="AH168" s="692">
        <f t="shared" si="56"/>
        <v>0</v>
      </c>
      <c r="AJ168" s="38">
        <f t="shared" si="44"/>
        <v>0</v>
      </c>
    </row>
    <row r="169" spans="1:36">
      <c r="A169" s="20"/>
      <c r="B169" s="20" t="s">
        <v>109</v>
      </c>
      <c r="C169" s="667" t="s">
        <v>570</v>
      </c>
      <c r="D169" s="68" t="s">
        <v>41</v>
      </c>
      <c r="E169" s="679"/>
      <c r="F169" s="529">
        <f>VLOOKUP(D169,'Jan 2013 Revenue'!D:T,17,FALSE)</f>
        <v>0</v>
      </c>
      <c r="G169" s="680"/>
      <c r="H169" s="680"/>
      <c r="I169" s="755"/>
      <c r="J169" s="682">
        <f t="shared" si="45"/>
        <v>0</v>
      </c>
      <c r="K169" s="683"/>
      <c r="L169" s="684"/>
      <c r="M169" s="753"/>
      <c r="N169" s="683">
        <v>0</v>
      </c>
      <c r="O169" s="686"/>
      <c r="P169" s="683">
        <v>0</v>
      </c>
      <c r="Q169" s="687">
        <f t="shared" si="42"/>
        <v>0</v>
      </c>
      <c r="R169" s="688">
        <v>0</v>
      </c>
      <c r="S169" s="693"/>
      <c r="T169" s="690">
        <f t="shared" si="46"/>
        <v>0</v>
      </c>
      <c r="U169" s="683"/>
      <c r="V169" s="474">
        <f t="shared" si="50"/>
        <v>0</v>
      </c>
      <c r="W169" s="474">
        <f t="shared" si="51"/>
        <v>0</v>
      </c>
      <c r="X169" s="475">
        <f t="shared" si="52"/>
        <v>0</v>
      </c>
      <c r="Y169" s="475">
        <v>0</v>
      </c>
      <c r="Z169" s="476">
        <v>0</v>
      </c>
      <c r="AA169" s="38">
        <f t="shared" si="53"/>
        <v>0</v>
      </c>
      <c r="AB169" s="692">
        <f t="shared" si="47"/>
        <v>0</v>
      </c>
      <c r="AC169" s="692">
        <f t="shared" si="48"/>
        <v>0</v>
      </c>
      <c r="AD169" s="692">
        <f t="shared" si="49"/>
        <v>0</v>
      </c>
      <c r="AE169" s="38"/>
      <c r="AF169" s="692">
        <f t="shared" si="54"/>
        <v>0</v>
      </c>
      <c r="AG169" s="692">
        <f t="shared" si="55"/>
        <v>0</v>
      </c>
      <c r="AH169" s="692">
        <f t="shared" si="56"/>
        <v>0</v>
      </c>
      <c r="AJ169" s="38">
        <f t="shared" si="44"/>
        <v>0</v>
      </c>
    </row>
    <row r="170" spans="1:36">
      <c r="A170" s="20"/>
      <c r="B170" s="20" t="s">
        <v>109</v>
      </c>
      <c r="C170" s="667" t="s">
        <v>570</v>
      </c>
      <c r="D170" s="68" t="s">
        <v>221</v>
      </c>
      <c r="E170" s="679"/>
      <c r="F170" s="529">
        <f>VLOOKUP(D170,'Jan 2013 Revenue'!D:T,17,FALSE)</f>
        <v>0</v>
      </c>
      <c r="G170" s="680"/>
      <c r="H170" s="680"/>
      <c r="I170" s="755"/>
      <c r="J170" s="682">
        <f t="shared" si="45"/>
        <v>0</v>
      </c>
      <c r="K170" s="683"/>
      <c r="L170" s="684"/>
      <c r="M170" s="753"/>
      <c r="N170" s="683">
        <v>0</v>
      </c>
      <c r="O170" s="686"/>
      <c r="P170" s="683">
        <v>0</v>
      </c>
      <c r="Q170" s="687">
        <f t="shared" si="42"/>
        <v>0</v>
      </c>
      <c r="R170" s="688">
        <v>0</v>
      </c>
      <c r="S170" s="693"/>
      <c r="T170" s="690">
        <f t="shared" si="46"/>
        <v>0</v>
      </c>
      <c r="U170" s="683"/>
      <c r="V170" s="474">
        <f t="shared" si="50"/>
        <v>0</v>
      </c>
      <c r="W170" s="474">
        <f t="shared" si="51"/>
        <v>0</v>
      </c>
      <c r="X170" s="475">
        <f t="shared" si="52"/>
        <v>0</v>
      </c>
      <c r="Y170" s="475">
        <v>0</v>
      </c>
      <c r="Z170" s="476">
        <v>0</v>
      </c>
      <c r="AA170" s="38">
        <f t="shared" si="53"/>
        <v>0</v>
      </c>
      <c r="AB170" s="692">
        <f t="shared" si="47"/>
        <v>0</v>
      </c>
      <c r="AC170" s="692">
        <f t="shared" si="48"/>
        <v>0</v>
      </c>
      <c r="AD170" s="692">
        <f t="shared" si="49"/>
        <v>0</v>
      </c>
      <c r="AE170" s="38"/>
      <c r="AF170" s="692">
        <f t="shared" si="54"/>
        <v>0</v>
      </c>
      <c r="AG170" s="692">
        <f t="shared" si="55"/>
        <v>0</v>
      </c>
      <c r="AH170" s="692">
        <f t="shared" si="56"/>
        <v>0</v>
      </c>
      <c r="AJ170" s="38">
        <f t="shared" si="44"/>
        <v>0</v>
      </c>
    </row>
    <row r="171" spans="1:36">
      <c r="A171" s="21"/>
      <c r="B171" s="21" t="s">
        <v>110</v>
      </c>
      <c r="C171" s="666"/>
      <c r="D171" s="68" t="s">
        <v>43</v>
      </c>
      <c r="E171" s="679"/>
      <c r="F171" s="529">
        <f>VLOOKUP(D171,'Jan 2013 Revenue'!D:T,17,FALSE)</f>
        <v>261.12</v>
      </c>
      <c r="G171" s="680"/>
      <c r="H171" s="680"/>
      <c r="I171" s="755"/>
      <c r="J171" s="682">
        <f t="shared" si="45"/>
        <v>261.12</v>
      </c>
      <c r="K171" s="683"/>
      <c r="L171" s="684"/>
      <c r="M171" s="753"/>
      <c r="N171" s="683">
        <v>0</v>
      </c>
      <c r="O171" s="686"/>
      <c r="P171" s="683">
        <v>0</v>
      </c>
      <c r="Q171" s="687">
        <f t="shared" si="42"/>
        <v>0</v>
      </c>
      <c r="R171" s="688">
        <v>0</v>
      </c>
      <c r="S171" s="693"/>
      <c r="T171" s="690">
        <f t="shared" si="46"/>
        <v>0</v>
      </c>
      <c r="U171" s="683"/>
      <c r="V171" s="474">
        <f t="shared" si="50"/>
        <v>0</v>
      </c>
      <c r="W171" s="474">
        <f t="shared" si="51"/>
        <v>0</v>
      </c>
      <c r="X171" s="475">
        <f t="shared" si="52"/>
        <v>0</v>
      </c>
      <c r="Y171" s="475">
        <v>0</v>
      </c>
      <c r="Z171" s="476">
        <v>0</v>
      </c>
      <c r="AA171" s="38">
        <f t="shared" si="53"/>
        <v>0</v>
      </c>
      <c r="AB171" s="692">
        <f t="shared" si="47"/>
        <v>261.12</v>
      </c>
      <c r="AC171" s="692">
        <f t="shared" si="48"/>
        <v>0</v>
      </c>
      <c r="AD171" s="692">
        <f t="shared" si="49"/>
        <v>0</v>
      </c>
      <c r="AE171" s="38"/>
      <c r="AF171" s="692">
        <f t="shared" si="54"/>
        <v>0</v>
      </c>
      <c r="AG171" s="692">
        <f t="shared" si="55"/>
        <v>0</v>
      </c>
      <c r="AH171" s="692">
        <f t="shared" si="56"/>
        <v>0</v>
      </c>
      <c r="AJ171" s="38">
        <f t="shared" si="44"/>
        <v>261.12</v>
      </c>
    </row>
    <row r="172" spans="1:36">
      <c r="A172" s="21"/>
      <c r="B172" s="21" t="s">
        <v>109</v>
      </c>
      <c r="C172" s="666" t="s">
        <v>571</v>
      </c>
      <c r="D172" s="68" t="s">
        <v>44</v>
      </c>
      <c r="E172" s="679"/>
      <c r="F172" s="529">
        <f>VLOOKUP(D172,'Jan 2013 Revenue'!D:T,17,FALSE)</f>
        <v>0</v>
      </c>
      <c r="G172" s="680"/>
      <c r="H172" s="680"/>
      <c r="I172" s="770">
        <v>4242</v>
      </c>
      <c r="J172" s="682">
        <f t="shared" si="45"/>
        <v>4242</v>
      </c>
      <c r="K172" s="683"/>
      <c r="L172" s="684"/>
      <c r="M172" s="753"/>
      <c r="N172" s="683">
        <v>0</v>
      </c>
      <c r="O172" s="686"/>
      <c r="P172" s="683">
        <v>0</v>
      </c>
      <c r="Q172" s="687">
        <f t="shared" si="42"/>
        <v>0</v>
      </c>
      <c r="R172" s="688">
        <v>0</v>
      </c>
      <c r="S172" s="693"/>
      <c r="T172" s="690">
        <f t="shared" si="46"/>
        <v>0</v>
      </c>
      <c r="U172" s="683"/>
      <c r="V172" s="474">
        <f t="shared" si="50"/>
        <v>0</v>
      </c>
      <c r="W172" s="474">
        <f t="shared" si="51"/>
        <v>0</v>
      </c>
      <c r="X172" s="475">
        <f t="shared" si="52"/>
        <v>0</v>
      </c>
      <c r="Y172" s="475">
        <v>0</v>
      </c>
      <c r="Z172" s="476">
        <v>0</v>
      </c>
      <c r="AA172" s="38">
        <f t="shared" si="53"/>
        <v>0</v>
      </c>
      <c r="AB172" s="692">
        <f t="shared" si="47"/>
        <v>0</v>
      </c>
      <c r="AC172" s="692">
        <f t="shared" si="48"/>
        <v>4242</v>
      </c>
      <c r="AD172" s="692">
        <f t="shared" si="49"/>
        <v>0</v>
      </c>
      <c r="AE172" s="38"/>
      <c r="AF172" s="692">
        <f t="shared" si="54"/>
        <v>0</v>
      </c>
      <c r="AG172" s="692">
        <f t="shared" si="55"/>
        <v>0</v>
      </c>
      <c r="AH172" s="692">
        <f t="shared" si="56"/>
        <v>0</v>
      </c>
      <c r="AJ172" s="38">
        <f t="shared" si="44"/>
        <v>4242</v>
      </c>
    </row>
    <row r="173" spans="1:36">
      <c r="A173" s="21"/>
      <c r="B173" s="21" t="s">
        <v>114</v>
      </c>
      <c r="C173" s="666" t="s">
        <v>571</v>
      </c>
      <c r="D173" s="68" t="s">
        <v>44</v>
      </c>
      <c r="E173" s="679"/>
      <c r="F173" s="529">
        <f>VLOOKUP(D173,'Jan 2013 Revenue'!D:T,17,FALSE)</f>
        <v>0</v>
      </c>
      <c r="G173" s="680"/>
      <c r="H173" s="680"/>
      <c r="I173" s="755"/>
      <c r="J173" s="682">
        <f t="shared" si="45"/>
        <v>0</v>
      </c>
      <c r="K173" s="683"/>
      <c r="L173" s="684"/>
      <c r="M173" s="753"/>
      <c r="N173" s="683">
        <v>0</v>
      </c>
      <c r="O173" s="686"/>
      <c r="P173" s="683">
        <v>0</v>
      </c>
      <c r="Q173" s="687">
        <f t="shared" si="42"/>
        <v>0</v>
      </c>
      <c r="R173" s="688">
        <v>0</v>
      </c>
      <c r="S173" s="693"/>
      <c r="T173" s="690">
        <f t="shared" si="46"/>
        <v>0</v>
      </c>
      <c r="U173" s="683"/>
      <c r="V173" s="474">
        <f t="shared" si="50"/>
        <v>0</v>
      </c>
      <c r="W173" s="474">
        <f t="shared" si="51"/>
        <v>0</v>
      </c>
      <c r="X173" s="475">
        <f t="shared" si="52"/>
        <v>0</v>
      </c>
      <c r="Y173" s="475">
        <v>0</v>
      </c>
      <c r="Z173" s="476">
        <v>0</v>
      </c>
      <c r="AA173" s="38">
        <f t="shared" si="53"/>
        <v>0</v>
      </c>
      <c r="AB173" s="692">
        <f t="shared" si="47"/>
        <v>0</v>
      </c>
      <c r="AC173" s="692">
        <f t="shared" si="48"/>
        <v>0</v>
      </c>
      <c r="AD173" s="692">
        <f t="shared" si="49"/>
        <v>0</v>
      </c>
      <c r="AE173" s="38"/>
      <c r="AF173" s="692">
        <f t="shared" si="54"/>
        <v>0</v>
      </c>
      <c r="AG173" s="692">
        <f t="shared" si="55"/>
        <v>0</v>
      </c>
      <c r="AH173" s="692">
        <f t="shared" si="56"/>
        <v>0</v>
      </c>
      <c r="AJ173" s="38">
        <f t="shared" si="44"/>
        <v>0</v>
      </c>
    </row>
    <row r="174" spans="1:36">
      <c r="A174" s="21"/>
      <c r="B174" s="21" t="s">
        <v>110</v>
      </c>
      <c r="C174" s="666" t="s">
        <v>572</v>
      </c>
      <c r="D174" s="68" t="s">
        <v>388</v>
      </c>
      <c r="E174" s="679"/>
      <c r="F174" s="529">
        <f>VLOOKUP(D174,'Jan 2013 Revenue'!D:T,17,FALSE)</f>
        <v>9065.64</v>
      </c>
      <c r="G174" s="680"/>
      <c r="H174" s="680"/>
      <c r="I174" s="770">
        <f>8022.75+219.31</f>
        <v>8242.06</v>
      </c>
      <c r="J174" s="682">
        <f t="shared" si="45"/>
        <v>17307.699999999997</v>
      </c>
      <c r="K174" s="683"/>
      <c r="L174" s="684"/>
      <c r="M174" s="753"/>
      <c r="N174" s="683">
        <v>0</v>
      </c>
      <c r="O174" s="686"/>
      <c r="P174" s="683">
        <v>0</v>
      </c>
      <c r="Q174" s="687">
        <f t="shared" si="42"/>
        <v>0</v>
      </c>
      <c r="R174" s="688">
        <v>0</v>
      </c>
      <c r="S174" s="693"/>
      <c r="T174" s="690">
        <f t="shared" si="46"/>
        <v>0</v>
      </c>
      <c r="U174" s="683"/>
      <c r="V174" s="474">
        <f t="shared" si="50"/>
        <v>0</v>
      </c>
      <c r="W174" s="474">
        <f t="shared" si="51"/>
        <v>0</v>
      </c>
      <c r="X174" s="475">
        <f t="shared" si="52"/>
        <v>0</v>
      </c>
      <c r="Y174" s="475">
        <v>0</v>
      </c>
      <c r="Z174" s="476">
        <v>0</v>
      </c>
      <c r="AA174" s="38">
        <f t="shared" si="53"/>
        <v>0</v>
      </c>
      <c r="AB174" s="692">
        <f t="shared" si="47"/>
        <v>17307.699999999997</v>
      </c>
      <c r="AC174" s="692">
        <f t="shared" si="48"/>
        <v>0</v>
      </c>
      <c r="AD174" s="692">
        <f t="shared" si="49"/>
        <v>0</v>
      </c>
      <c r="AE174" s="38"/>
      <c r="AF174" s="692">
        <f t="shared" si="54"/>
        <v>0</v>
      </c>
      <c r="AG174" s="692">
        <f t="shared" si="55"/>
        <v>0</v>
      </c>
      <c r="AH174" s="692">
        <f t="shared" si="56"/>
        <v>0</v>
      </c>
      <c r="AJ174" s="38">
        <f t="shared" si="44"/>
        <v>17307.699999999997</v>
      </c>
    </row>
    <row r="175" spans="1:36">
      <c r="A175" s="20"/>
      <c r="B175" s="20" t="s">
        <v>109</v>
      </c>
      <c r="C175" s="667"/>
      <c r="D175" s="68" t="s">
        <v>842</v>
      </c>
      <c r="E175" s="679"/>
      <c r="F175" s="529">
        <f>VLOOKUP(D175,'Jan 2013 Revenue'!D:T,17,FALSE)</f>
        <v>-40000</v>
      </c>
      <c r="G175" s="680"/>
      <c r="H175" s="680"/>
      <c r="I175" s="755"/>
      <c r="J175" s="682">
        <f t="shared" si="45"/>
        <v>-40000</v>
      </c>
      <c r="K175" s="683"/>
      <c r="L175" s="684"/>
      <c r="M175" s="753">
        <v>50000</v>
      </c>
      <c r="N175" s="683">
        <v>0</v>
      </c>
      <c r="O175" s="686"/>
      <c r="P175" s="683">
        <v>0</v>
      </c>
      <c r="Q175" s="687">
        <f t="shared" si="42"/>
        <v>50000</v>
      </c>
      <c r="R175" s="688">
        <v>0</v>
      </c>
      <c r="S175" s="693"/>
      <c r="T175" s="690">
        <f t="shared" si="46"/>
        <v>-50000</v>
      </c>
      <c r="U175" s="683"/>
      <c r="V175" s="474">
        <f t="shared" si="50"/>
        <v>0</v>
      </c>
      <c r="W175" s="474">
        <f t="shared" si="51"/>
        <v>50000</v>
      </c>
      <c r="X175" s="475">
        <f t="shared" si="52"/>
        <v>0</v>
      </c>
      <c r="Y175" s="475">
        <v>0</v>
      </c>
      <c r="Z175" s="476">
        <v>0</v>
      </c>
      <c r="AA175" s="38">
        <f t="shared" si="53"/>
        <v>0</v>
      </c>
      <c r="AB175" s="692">
        <f t="shared" si="47"/>
        <v>0</v>
      </c>
      <c r="AC175" s="692">
        <f t="shared" si="48"/>
        <v>-40000</v>
      </c>
      <c r="AD175" s="692">
        <f t="shared" si="49"/>
        <v>0</v>
      </c>
      <c r="AE175" s="38"/>
      <c r="AF175" s="692">
        <f t="shared" si="54"/>
        <v>0</v>
      </c>
      <c r="AG175" s="692">
        <f t="shared" si="55"/>
        <v>50000</v>
      </c>
      <c r="AH175" s="692">
        <f t="shared" si="56"/>
        <v>0</v>
      </c>
      <c r="AJ175" s="38">
        <f t="shared" si="44"/>
        <v>10000</v>
      </c>
    </row>
    <row r="176" spans="1:36">
      <c r="A176" s="21"/>
      <c r="B176" s="21" t="s">
        <v>110</v>
      </c>
      <c r="C176" s="666"/>
      <c r="D176" s="68" t="s">
        <v>45</v>
      </c>
      <c r="E176" s="679"/>
      <c r="F176" s="529">
        <f>VLOOKUP(D176,'Jan 2013 Revenue'!D:T,17,FALSE)</f>
        <v>3776.6100000000006</v>
      </c>
      <c r="G176" s="680"/>
      <c r="H176" s="680"/>
      <c r="I176" s="755"/>
      <c r="J176" s="682">
        <f t="shared" si="45"/>
        <v>3776.6100000000006</v>
      </c>
      <c r="K176" s="683"/>
      <c r="L176" s="684"/>
      <c r="M176" s="753">
        <v>15000</v>
      </c>
      <c r="N176" s="683">
        <v>0</v>
      </c>
      <c r="O176" s="686"/>
      <c r="P176" s="683">
        <v>0</v>
      </c>
      <c r="Q176" s="687">
        <f t="shared" si="42"/>
        <v>15000</v>
      </c>
      <c r="R176" s="688">
        <f>1154.01+17640.92</f>
        <v>18794.929999999997</v>
      </c>
      <c r="S176" s="693"/>
      <c r="T176" s="690">
        <f t="shared" si="46"/>
        <v>3794.9299999999967</v>
      </c>
      <c r="U176" s="683"/>
      <c r="V176" s="474">
        <f t="shared" si="50"/>
        <v>15000</v>
      </c>
      <c r="W176" s="474">
        <f t="shared" si="51"/>
        <v>0</v>
      </c>
      <c r="X176" s="475">
        <f t="shared" si="52"/>
        <v>0</v>
      </c>
      <c r="Y176" s="475">
        <v>0</v>
      </c>
      <c r="Z176" s="476">
        <v>0</v>
      </c>
      <c r="AA176" s="38">
        <f t="shared" si="53"/>
        <v>0</v>
      </c>
      <c r="AB176" s="692">
        <f t="shared" si="47"/>
        <v>3776.6100000000006</v>
      </c>
      <c r="AC176" s="692">
        <f t="shared" si="48"/>
        <v>0</v>
      </c>
      <c r="AD176" s="692">
        <f t="shared" si="49"/>
        <v>0</v>
      </c>
      <c r="AE176" s="38"/>
      <c r="AF176" s="692">
        <f t="shared" si="54"/>
        <v>15000</v>
      </c>
      <c r="AG176" s="692">
        <f t="shared" si="55"/>
        <v>0</v>
      </c>
      <c r="AH176" s="692">
        <f t="shared" si="56"/>
        <v>0</v>
      </c>
      <c r="AJ176" s="38">
        <f t="shared" si="44"/>
        <v>18776.61</v>
      </c>
    </row>
    <row r="177" spans="1:36">
      <c r="A177" s="20" t="s">
        <v>211</v>
      </c>
      <c r="B177" s="20" t="s">
        <v>109</v>
      </c>
      <c r="C177" s="667"/>
      <c r="D177" s="68" t="s">
        <v>923</v>
      </c>
      <c r="E177" s="679">
        <v>346.73</v>
      </c>
      <c r="F177" s="529">
        <v>0</v>
      </c>
      <c r="G177" s="680"/>
      <c r="H177" s="680"/>
      <c r="I177" s="755"/>
      <c r="J177" s="682">
        <f t="shared" si="45"/>
        <v>346.73</v>
      </c>
      <c r="K177" s="683"/>
      <c r="L177" s="684"/>
      <c r="M177" s="753"/>
      <c r="N177" s="683">
        <v>0</v>
      </c>
      <c r="O177" s="686"/>
      <c r="P177" s="683">
        <v>0</v>
      </c>
      <c r="Q177" s="687">
        <f t="shared" si="42"/>
        <v>0</v>
      </c>
      <c r="R177" s="688">
        <v>0</v>
      </c>
      <c r="S177" s="693"/>
      <c r="T177" s="690">
        <f t="shared" si="46"/>
        <v>0</v>
      </c>
      <c r="U177" s="697"/>
      <c r="V177" s="474">
        <f t="shared" si="50"/>
        <v>0</v>
      </c>
      <c r="W177" s="474">
        <f t="shared" si="51"/>
        <v>0</v>
      </c>
      <c r="X177" s="475">
        <f t="shared" si="52"/>
        <v>0</v>
      </c>
      <c r="Y177" s="475">
        <v>0</v>
      </c>
      <c r="Z177" s="476">
        <v>0</v>
      </c>
      <c r="AA177" s="38">
        <f t="shared" si="53"/>
        <v>0</v>
      </c>
      <c r="AB177" s="692">
        <f t="shared" si="47"/>
        <v>0</v>
      </c>
      <c r="AC177" s="692">
        <f t="shared" si="48"/>
        <v>346.73</v>
      </c>
      <c r="AD177" s="692">
        <f t="shared" si="49"/>
        <v>0</v>
      </c>
      <c r="AE177" s="38"/>
      <c r="AF177" s="692">
        <f t="shared" si="54"/>
        <v>0</v>
      </c>
      <c r="AG177" s="692">
        <f t="shared" si="55"/>
        <v>0</v>
      </c>
      <c r="AH177" s="692">
        <f t="shared" si="56"/>
        <v>0</v>
      </c>
      <c r="AJ177" s="38">
        <f t="shared" si="44"/>
        <v>346.73</v>
      </c>
    </row>
    <row r="178" spans="1:36">
      <c r="A178" s="20"/>
      <c r="B178" s="20" t="s">
        <v>110</v>
      </c>
      <c r="C178" s="667" t="s">
        <v>573</v>
      </c>
      <c r="D178" s="68" t="s">
        <v>102</v>
      </c>
      <c r="E178" s="679"/>
      <c r="F178" s="529">
        <f>VLOOKUP(D178,'Jan 2013 Revenue'!D:T,17,FALSE)</f>
        <v>71521.25</v>
      </c>
      <c r="G178" s="680"/>
      <c r="H178" s="680"/>
      <c r="I178" s="755"/>
      <c r="J178" s="682">
        <f t="shared" si="45"/>
        <v>71521.25</v>
      </c>
      <c r="K178" s="683"/>
      <c r="L178" s="684"/>
      <c r="M178" s="753">
        <v>1050000</v>
      </c>
      <c r="N178" s="683">
        <v>0</v>
      </c>
      <c r="O178" s="686"/>
      <c r="P178" s="683">
        <v>0</v>
      </c>
      <c r="Q178" s="687">
        <f t="shared" si="42"/>
        <v>1050000</v>
      </c>
      <c r="R178" s="688">
        <f>1103496.12+127.15</f>
        <v>1103623.27</v>
      </c>
      <c r="S178" s="693"/>
      <c r="T178" s="690">
        <f t="shared" si="46"/>
        <v>53623.270000000019</v>
      </c>
      <c r="U178" s="697"/>
      <c r="V178" s="474">
        <f t="shared" si="50"/>
        <v>1050000</v>
      </c>
      <c r="W178" s="474">
        <f t="shared" si="51"/>
        <v>0</v>
      </c>
      <c r="X178" s="475">
        <f t="shared" si="52"/>
        <v>0</v>
      </c>
      <c r="Y178" s="475">
        <v>0</v>
      </c>
      <c r="Z178" s="476">
        <v>0</v>
      </c>
      <c r="AA178" s="38">
        <f t="shared" si="53"/>
        <v>0</v>
      </c>
      <c r="AB178" s="692">
        <f t="shared" si="47"/>
        <v>71521.25</v>
      </c>
      <c r="AC178" s="692">
        <f t="shared" si="48"/>
        <v>0</v>
      </c>
      <c r="AD178" s="692">
        <f t="shared" si="49"/>
        <v>0</v>
      </c>
      <c r="AE178" s="38"/>
      <c r="AF178" s="692">
        <f t="shared" si="54"/>
        <v>1050000</v>
      </c>
      <c r="AG178" s="692">
        <f t="shared" si="55"/>
        <v>0</v>
      </c>
      <c r="AH178" s="692">
        <f t="shared" si="56"/>
        <v>0</v>
      </c>
      <c r="AJ178" s="38">
        <f t="shared" si="44"/>
        <v>1121521.25</v>
      </c>
    </row>
    <row r="179" spans="1:36">
      <c r="A179" s="20"/>
      <c r="B179" s="20" t="s">
        <v>110</v>
      </c>
      <c r="C179" s="667" t="s">
        <v>573</v>
      </c>
      <c r="D179" s="68" t="s">
        <v>511</v>
      </c>
      <c r="E179" s="679"/>
      <c r="F179" s="529">
        <f>VLOOKUP(D179,'Jan 2013 Revenue'!D:T,17,FALSE)</f>
        <v>4869.43</v>
      </c>
      <c r="G179" s="680"/>
      <c r="H179" s="680"/>
      <c r="I179" s="755"/>
      <c r="J179" s="682">
        <f t="shared" si="45"/>
        <v>4869.43</v>
      </c>
      <c r="K179" s="683"/>
      <c r="L179" s="684"/>
      <c r="M179" s="753"/>
      <c r="N179" s="683">
        <v>0</v>
      </c>
      <c r="O179" s="686"/>
      <c r="P179" s="683">
        <v>0</v>
      </c>
      <c r="Q179" s="687">
        <f t="shared" si="42"/>
        <v>0</v>
      </c>
      <c r="R179" s="688">
        <v>414.14</v>
      </c>
      <c r="S179" s="693"/>
      <c r="T179" s="690">
        <f t="shared" si="46"/>
        <v>414.14</v>
      </c>
      <c r="U179" s="697"/>
      <c r="V179" s="474">
        <f t="shared" si="50"/>
        <v>0</v>
      </c>
      <c r="W179" s="474">
        <f t="shared" si="51"/>
        <v>0</v>
      </c>
      <c r="X179" s="475">
        <f t="shared" si="52"/>
        <v>0</v>
      </c>
      <c r="Y179" s="475">
        <v>0</v>
      </c>
      <c r="Z179" s="476">
        <v>0</v>
      </c>
      <c r="AA179" s="38">
        <f t="shared" si="53"/>
        <v>0</v>
      </c>
      <c r="AB179" s="692">
        <f t="shared" si="47"/>
        <v>4869.43</v>
      </c>
      <c r="AC179" s="692">
        <f t="shared" si="48"/>
        <v>0</v>
      </c>
      <c r="AD179" s="692">
        <f t="shared" si="49"/>
        <v>0</v>
      </c>
      <c r="AE179" s="38"/>
      <c r="AF179" s="692">
        <f t="shared" si="54"/>
        <v>0</v>
      </c>
      <c r="AG179" s="692">
        <f t="shared" si="55"/>
        <v>0</v>
      </c>
      <c r="AH179" s="692">
        <f t="shared" si="56"/>
        <v>0</v>
      </c>
      <c r="AJ179" s="38">
        <f t="shared" si="44"/>
        <v>4869.43</v>
      </c>
    </row>
    <row r="180" spans="1:36">
      <c r="A180" s="21"/>
      <c r="B180" s="21" t="s">
        <v>110</v>
      </c>
      <c r="C180" s="666"/>
      <c r="D180" s="68" t="s">
        <v>50</v>
      </c>
      <c r="E180" s="679"/>
      <c r="F180" s="529">
        <f>VLOOKUP(D180,'Jan 2013 Revenue'!D:T,17,FALSE)</f>
        <v>0</v>
      </c>
      <c r="G180" s="680"/>
      <c r="H180" s="680"/>
      <c r="I180" s="770">
        <v>564.91</v>
      </c>
      <c r="J180" s="682">
        <f t="shared" si="45"/>
        <v>564.91</v>
      </c>
      <c r="K180" s="683"/>
      <c r="L180" s="684"/>
      <c r="M180" s="753"/>
      <c r="N180" s="683">
        <v>0</v>
      </c>
      <c r="O180" s="686"/>
      <c r="P180" s="683">
        <v>0</v>
      </c>
      <c r="Q180" s="687">
        <f t="shared" si="42"/>
        <v>0</v>
      </c>
      <c r="R180" s="688">
        <v>0</v>
      </c>
      <c r="S180" s="693"/>
      <c r="T180" s="690">
        <f t="shared" si="46"/>
        <v>0</v>
      </c>
      <c r="U180" s="683"/>
      <c r="V180" s="474">
        <f t="shared" si="50"/>
        <v>0</v>
      </c>
      <c r="W180" s="474">
        <f t="shared" si="51"/>
        <v>0</v>
      </c>
      <c r="X180" s="475">
        <f t="shared" si="52"/>
        <v>0</v>
      </c>
      <c r="Y180" s="475">
        <v>0</v>
      </c>
      <c r="Z180" s="476">
        <v>0</v>
      </c>
      <c r="AA180" s="38">
        <f t="shared" si="53"/>
        <v>0</v>
      </c>
      <c r="AB180" s="692">
        <f t="shared" si="47"/>
        <v>564.91</v>
      </c>
      <c r="AC180" s="692">
        <f t="shared" si="48"/>
        <v>0</v>
      </c>
      <c r="AD180" s="692">
        <f t="shared" si="49"/>
        <v>0</v>
      </c>
      <c r="AE180" s="38"/>
      <c r="AF180" s="692">
        <f t="shared" si="54"/>
        <v>0</v>
      </c>
      <c r="AG180" s="692">
        <f t="shared" si="55"/>
        <v>0</v>
      </c>
      <c r="AH180" s="692">
        <f t="shared" si="56"/>
        <v>0</v>
      </c>
      <c r="AJ180" s="38">
        <f t="shared" si="44"/>
        <v>564.91</v>
      </c>
    </row>
    <row r="181" spans="1:36">
      <c r="A181" s="21"/>
      <c r="B181" s="21" t="s">
        <v>109</v>
      </c>
      <c r="C181" s="666"/>
      <c r="D181" s="68" t="s">
        <v>51</v>
      </c>
      <c r="E181" s="679"/>
      <c r="F181" s="529">
        <f>VLOOKUP(D181,'Jan 2013 Revenue'!D:T,17,FALSE)</f>
        <v>0</v>
      </c>
      <c r="G181" s="680"/>
      <c r="H181" s="680"/>
      <c r="I181" s="755"/>
      <c r="J181" s="682">
        <f t="shared" si="45"/>
        <v>0</v>
      </c>
      <c r="K181" s="683"/>
      <c r="L181" s="684"/>
      <c r="M181" s="753"/>
      <c r="N181" s="683">
        <v>0</v>
      </c>
      <c r="O181" s="686"/>
      <c r="P181" s="683">
        <v>0</v>
      </c>
      <c r="Q181" s="687">
        <f t="shared" si="42"/>
        <v>0</v>
      </c>
      <c r="R181" s="688">
        <v>0</v>
      </c>
      <c r="S181" s="693"/>
      <c r="T181" s="690">
        <f t="shared" si="46"/>
        <v>0</v>
      </c>
      <c r="U181" s="683"/>
      <c r="V181" s="474">
        <f t="shared" si="50"/>
        <v>0</v>
      </c>
      <c r="W181" s="474">
        <f t="shared" si="51"/>
        <v>0</v>
      </c>
      <c r="X181" s="475">
        <f t="shared" si="52"/>
        <v>0</v>
      </c>
      <c r="Y181" s="475">
        <v>0</v>
      </c>
      <c r="Z181" s="476">
        <v>0</v>
      </c>
      <c r="AA181" s="38">
        <f t="shared" si="53"/>
        <v>0</v>
      </c>
      <c r="AB181" s="692">
        <f t="shared" si="47"/>
        <v>0</v>
      </c>
      <c r="AC181" s="692">
        <f t="shared" si="48"/>
        <v>0</v>
      </c>
      <c r="AD181" s="692">
        <f t="shared" si="49"/>
        <v>0</v>
      </c>
      <c r="AE181" s="38"/>
      <c r="AF181" s="692">
        <f t="shared" si="54"/>
        <v>0</v>
      </c>
      <c r="AG181" s="692">
        <f t="shared" si="55"/>
        <v>0</v>
      </c>
      <c r="AH181" s="692">
        <f t="shared" si="56"/>
        <v>0</v>
      </c>
      <c r="AJ181" s="38">
        <f t="shared" si="44"/>
        <v>0</v>
      </c>
    </row>
    <row r="182" spans="1:36">
      <c r="A182" s="21"/>
      <c r="B182" s="21" t="s">
        <v>109</v>
      </c>
      <c r="C182" s="666"/>
      <c r="D182" s="68" t="s">
        <v>107</v>
      </c>
      <c r="E182" s="679"/>
      <c r="F182" s="529">
        <f>VLOOKUP(D182,'Jan 2013 Revenue'!D:T,17,FALSE)</f>
        <v>-6000</v>
      </c>
      <c r="G182" s="680"/>
      <c r="H182" s="680"/>
      <c r="I182" s="755"/>
      <c r="J182" s="682">
        <f t="shared" si="45"/>
        <v>-6000</v>
      </c>
      <c r="K182" s="683"/>
      <c r="L182" s="684"/>
      <c r="M182" s="753">
        <v>7000</v>
      </c>
      <c r="N182" s="683">
        <v>0</v>
      </c>
      <c r="O182" s="686"/>
      <c r="P182" s="683">
        <v>0</v>
      </c>
      <c r="Q182" s="687">
        <f t="shared" si="42"/>
        <v>7000</v>
      </c>
      <c r="R182" s="688">
        <v>0</v>
      </c>
      <c r="S182" s="693"/>
      <c r="T182" s="690">
        <f t="shared" si="46"/>
        <v>-7000</v>
      </c>
      <c r="U182" s="683"/>
      <c r="V182" s="474">
        <f t="shared" si="50"/>
        <v>0</v>
      </c>
      <c r="W182" s="474">
        <f t="shared" si="51"/>
        <v>7000</v>
      </c>
      <c r="X182" s="475">
        <f t="shared" si="52"/>
        <v>0</v>
      </c>
      <c r="Y182" s="475">
        <v>0</v>
      </c>
      <c r="Z182" s="476">
        <v>0</v>
      </c>
      <c r="AA182" s="38">
        <f t="shared" si="53"/>
        <v>0</v>
      </c>
      <c r="AB182" s="692">
        <f t="shared" si="47"/>
        <v>0</v>
      </c>
      <c r="AC182" s="692">
        <f t="shared" si="48"/>
        <v>-6000</v>
      </c>
      <c r="AD182" s="692">
        <f t="shared" si="49"/>
        <v>0</v>
      </c>
      <c r="AE182" s="38"/>
      <c r="AF182" s="692">
        <f t="shared" si="54"/>
        <v>0</v>
      </c>
      <c r="AG182" s="692">
        <f t="shared" si="55"/>
        <v>7000</v>
      </c>
      <c r="AH182" s="692">
        <f t="shared" si="56"/>
        <v>0</v>
      </c>
      <c r="AJ182" s="38">
        <f t="shared" si="44"/>
        <v>1000</v>
      </c>
    </row>
    <row r="183" spans="1:36">
      <c r="A183" s="21"/>
      <c r="B183" s="21" t="s">
        <v>109</v>
      </c>
      <c r="C183" s="666"/>
      <c r="D183" s="68" t="s">
        <v>467</v>
      </c>
      <c r="E183" s="679"/>
      <c r="F183" s="529">
        <f>VLOOKUP(D183,'Jan 2013 Revenue'!D:T,17,FALSE)</f>
        <v>0</v>
      </c>
      <c r="G183" s="680"/>
      <c r="H183" s="680"/>
      <c r="I183" s="755"/>
      <c r="J183" s="682">
        <f t="shared" si="45"/>
        <v>0</v>
      </c>
      <c r="K183" s="683"/>
      <c r="L183" s="684"/>
      <c r="M183" s="753"/>
      <c r="N183" s="683">
        <v>0</v>
      </c>
      <c r="O183" s="686"/>
      <c r="P183" s="683">
        <v>0</v>
      </c>
      <c r="Q183" s="687">
        <f t="shared" si="42"/>
        <v>0</v>
      </c>
      <c r="R183" s="688">
        <v>0</v>
      </c>
      <c r="S183" s="693"/>
      <c r="T183" s="690">
        <f t="shared" si="46"/>
        <v>0</v>
      </c>
      <c r="U183" s="683"/>
      <c r="V183" s="474">
        <f t="shared" si="50"/>
        <v>0</v>
      </c>
      <c r="W183" s="474">
        <f t="shared" si="51"/>
        <v>0</v>
      </c>
      <c r="X183" s="475">
        <f t="shared" si="52"/>
        <v>0</v>
      </c>
      <c r="Y183" s="475">
        <v>0</v>
      </c>
      <c r="Z183" s="476">
        <v>0</v>
      </c>
      <c r="AA183" s="38">
        <f t="shared" si="53"/>
        <v>0</v>
      </c>
      <c r="AB183" s="692">
        <f t="shared" si="47"/>
        <v>0</v>
      </c>
      <c r="AC183" s="692">
        <f t="shared" si="48"/>
        <v>0</v>
      </c>
      <c r="AD183" s="692">
        <f t="shared" si="49"/>
        <v>0</v>
      </c>
      <c r="AE183" s="38"/>
      <c r="AF183" s="692">
        <f t="shared" si="54"/>
        <v>0</v>
      </c>
      <c r="AG183" s="692">
        <f t="shared" si="55"/>
        <v>0</v>
      </c>
      <c r="AH183" s="692">
        <f t="shared" si="56"/>
        <v>0</v>
      </c>
      <c r="AJ183" s="38">
        <f t="shared" si="44"/>
        <v>0</v>
      </c>
    </row>
    <row r="184" spans="1:36">
      <c r="A184" s="21"/>
      <c r="B184" s="21" t="s">
        <v>109</v>
      </c>
      <c r="C184" s="666" t="s">
        <v>575</v>
      </c>
      <c r="D184" s="68" t="s">
        <v>54</v>
      </c>
      <c r="E184" s="679"/>
      <c r="F184" s="529">
        <f>VLOOKUP(D184,'Jan 2013 Revenue'!D:T,17,FALSE)</f>
        <v>128.69</v>
      </c>
      <c r="G184" s="680"/>
      <c r="H184" s="680"/>
      <c r="I184" s="755"/>
      <c r="J184" s="682">
        <f t="shared" si="45"/>
        <v>128.69</v>
      </c>
      <c r="K184" s="683"/>
      <c r="L184" s="684"/>
      <c r="M184" s="753"/>
      <c r="N184" s="683">
        <v>0</v>
      </c>
      <c r="O184" s="686"/>
      <c r="P184" s="683">
        <v>0</v>
      </c>
      <c r="Q184" s="687">
        <f t="shared" si="42"/>
        <v>0</v>
      </c>
      <c r="R184" s="688">
        <v>0</v>
      </c>
      <c r="S184" s="693"/>
      <c r="T184" s="690">
        <f t="shared" si="46"/>
        <v>0</v>
      </c>
      <c r="U184" s="683"/>
      <c r="V184" s="474">
        <f t="shared" si="50"/>
        <v>0</v>
      </c>
      <c r="W184" s="474">
        <f t="shared" si="51"/>
        <v>0</v>
      </c>
      <c r="X184" s="475">
        <f t="shared" si="52"/>
        <v>0</v>
      </c>
      <c r="Y184" s="475">
        <v>0</v>
      </c>
      <c r="Z184" s="476">
        <v>0</v>
      </c>
      <c r="AA184" s="38">
        <f t="shared" si="53"/>
        <v>0</v>
      </c>
      <c r="AB184" s="692">
        <f t="shared" si="47"/>
        <v>0</v>
      </c>
      <c r="AC184" s="692">
        <f t="shared" si="48"/>
        <v>128.69</v>
      </c>
      <c r="AD184" s="692">
        <f t="shared" si="49"/>
        <v>0</v>
      </c>
      <c r="AE184" s="38"/>
      <c r="AF184" s="692">
        <f t="shared" si="54"/>
        <v>0</v>
      </c>
      <c r="AG184" s="692">
        <f t="shared" si="55"/>
        <v>0</v>
      </c>
      <c r="AH184" s="692">
        <f t="shared" si="56"/>
        <v>0</v>
      </c>
      <c r="AJ184" s="38">
        <f t="shared" si="44"/>
        <v>128.69</v>
      </c>
    </row>
    <row r="185" spans="1:36">
      <c r="A185" s="20"/>
      <c r="B185" s="20" t="s">
        <v>110</v>
      </c>
      <c r="C185" s="667" t="s">
        <v>576</v>
      </c>
      <c r="D185" s="68" t="s">
        <v>394</v>
      </c>
      <c r="E185" s="679"/>
      <c r="F185" s="529">
        <f>VLOOKUP(D185,'Jan 2013 Revenue'!D:T,17,FALSE)</f>
        <v>0</v>
      </c>
      <c r="G185" s="680"/>
      <c r="H185" s="680"/>
      <c r="I185" s="755"/>
      <c r="J185" s="682">
        <f t="shared" si="45"/>
        <v>0</v>
      </c>
      <c r="K185" s="683"/>
      <c r="L185" s="684"/>
      <c r="M185" s="753"/>
      <c r="N185" s="683">
        <v>0</v>
      </c>
      <c r="O185" s="686"/>
      <c r="P185" s="683">
        <v>0</v>
      </c>
      <c r="Q185" s="687">
        <f t="shared" si="42"/>
        <v>0</v>
      </c>
      <c r="R185" s="688">
        <v>0</v>
      </c>
      <c r="S185" s="693"/>
      <c r="T185" s="690">
        <f t="shared" si="46"/>
        <v>0</v>
      </c>
      <c r="U185" s="683"/>
      <c r="V185" s="474">
        <f t="shared" si="50"/>
        <v>0</v>
      </c>
      <c r="W185" s="474">
        <f t="shared" si="51"/>
        <v>0</v>
      </c>
      <c r="X185" s="475">
        <f t="shared" si="52"/>
        <v>0</v>
      </c>
      <c r="Y185" s="475">
        <v>0</v>
      </c>
      <c r="Z185" s="476">
        <v>0</v>
      </c>
      <c r="AA185" s="38">
        <f t="shared" si="53"/>
        <v>0</v>
      </c>
      <c r="AB185" s="692">
        <f t="shared" si="47"/>
        <v>0</v>
      </c>
      <c r="AC185" s="692">
        <f t="shared" si="48"/>
        <v>0</v>
      </c>
      <c r="AD185" s="692">
        <f t="shared" si="49"/>
        <v>0</v>
      </c>
      <c r="AE185" s="38"/>
      <c r="AF185" s="692">
        <f t="shared" si="54"/>
        <v>0</v>
      </c>
      <c r="AG185" s="692">
        <f t="shared" si="55"/>
        <v>0</v>
      </c>
      <c r="AH185" s="692">
        <f t="shared" si="56"/>
        <v>0</v>
      </c>
      <c r="AJ185" s="38">
        <f t="shared" si="44"/>
        <v>0</v>
      </c>
    </row>
    <row r="186" spans="1:36">
      <c r="A186" s="20"/>
      <c r="B186" s="20" t="s">
        <v>110</v>
      </c>
      <c r="C186" s="667"/>
      <c r="D186" s="68" t="s">
        <v>55</v>
      </c>
      <c r="E186" s="679"/>
      <c r="F186" s="529">
        <f>VLOOKUP(D186,'Jan 2013 Revenue'!D:T,17,FALSE)</f>
        <v>375.38</v>
      </c>
      <c r="G186" s="680"/>
      <c r="H186" s="680"/>
      <c r="I186" s="755"/>
      <c r="J186" s="682">
        <f t="shared" si="45"/>
        <v>375.38</v>
      </c>
      <c r="K186" s="683"/>
      <c r="L186" s="684"/>
      <c r="M186" s="753"/>
      <c r="N186" s="683">
        <v>0</v>
      </c>
      <c r="O186" s="686"/>
      <c r="P186" s="683">
        <v>0</v>
      </c>
      <c r="Q186" s="687">
        <f t="shared" si="42"/>
        <v>0</v>
      </c>
      <c r="R186" s="688">
        <v>416.56</v>
      </c>
      <c r="S186" s="693"/>
      <c r="T186" s="690">
        <f t="shared" si="46"/>
        <v>416.56</v>
      </c>
      <c r="U186" s="683"/>
      <c r="V186" s="474">
        <f t="shared" si="50"/>
        <v>0</v>
      </c>
      <c r="W186" s="474">
        <f t="shared" si="51"/>
        <v>0</v>
      </c>
      <c r="X186" s="475">
        <f t="shared" si="52"/>
        <v>0</v>
      </c>
      <c r="Y186" s="475">
        <v>0</v>
      </c>
      <c r="Z186" s="476">
        <v>0</v>
      </c>
      <c r="AA186" s="38">
        <f t="shared" si="53"/>
        <v>0</v>
      </c>
      <c r="AB186" s="692">
        <f t="shared" si="47"/>
        <v>375.38</v>
      </c>
      <c r="AC186" s="692">
        <f t="shared" si="48"/>
        <v>0</v>
      </c>
      <c r="AD186" s="692">
        <f t="shared" si="49"/>
        <v>0</v>
      </c>
      <c r="AE186" s="38"/>
      <c r="AF186" s="692">
        <f t="shared" si="54"/>
        <v>0</v>
      </c>
      <c r="AG186" s="692">
        <f t="shared" si="55"/>
        <v>0</v>
      </c>
      <c r="AH186" s="692">
        <f t="shared" si="56"/>
        <v>0</v>
      </c>
      <c r="AJ186" s="38">
        <f t="shared" si="44"/>
        <v>375.38</v>
      </c>
    </row>
    <row r="187" spans="1:36">
      <c r="A187" s="20"/>
      <c r="B187" s="20" t="s">
        <v>110</v>
      </c>
      <c r="C187" s="676" t="s">
        <v>854</v>
      </c>
      <c r="D187" s="68" t="s">
        <v>855</v>
      </c>
      <c r="E187" s="679">
        <v>654.03</v>
      </c>
      <c r="F187" s="529">
        <f>VLOOKUP(D187,'Jan 2013 Revenue'!D:T,17,FALSE)</f>
        <v>658.37</v>
      </c>
      <c r="G187" s="680"/>
      <c r="H187" s="680"/>
      <c r="I187" s="755"/>
      <c r="J187" s="682">
        <f t="shared" si="45"/>
        <v>1312.4</v>
      </c>
      <c r="K187" s="683"/>
      <c r="L187" s="684"/>
      <c r="M187" s="753"/>
      <c r="N187" s="683">
        <v>0</v>
      </c>
      <c r="O187" s="686"/>
      <c r="P187" s="683">
        <v>0</v>
      </c>
      <c r="Q187" s="687">
        <f t="shared" si="42"/>
        <v>0</v>
      </c>
      <c r="R187" s="688">
        <v>626.37</v>
      </c>
      <c r="S187" s="693"/>
      <c r="T187" s="690">
        <f t="shared" si="46"/>
        <v>626.37</v>
      </c>
      <c r="U187" s="683"/>
      <c r="V187" s="474">
        <f t="shared" si="50"/>
        <v>0</v>
      </c>
      <c r="W187" s="474">
        <f t="shared" si="51"/>
        <v>0</v>
      </c>
      <c r="X187" s="475">
        <f t="shared" si="52"/>
        <v>0</v>
      </c>
      <c r="Y187" s="475">
        <v>0</v>
      </c>
      <c r="Z187" s="476">
        <v>0</v>
      </c>
      <c r="AA187" s="38">
        <f t="shared" si="53"/>
        <v>0</v>
      </c>
      <c r="AB187" s="692">
        <f t="shared" si="47"/>
        <v>1312.4</v>
      </c>
      <c r="AC187" s="692">
        <f t="shared" si="48"/>
        <v>0</v>
      </c>
      <c r="AD187" s="692">
        <f t="shared" si="49"/>
        <v>0</v>
      </c>
      <c r="AE187" s="38"/>
      <c r="AF187" s="692">
        <f t="shared" si="54"/>
        <v>0</v>
      </c>
      <c r="AG187" s="692">
        <f t="shared" si="55"/>
        <v>0</v>
      </c>
      <c r="AH187" s="692">
        <f t="shared" si="56"/>
        <v>0</v>
      </c>
      <c r="AJ187" s="38">
        <f t="shared" si="44"/>
        <v>1312.4</v>
      </c>
    </row>
    <row r="188" spans="1:36">
      <c r="A188" s="20"/>
      <c r="B188" s="20" t="s">
        <v>109</v>
      </c>
      <c r="C188" s="667" t="s">
        <v>577</v>
      </c>
      <c r="D188" s="68" t="s">
        <v>159</v>
      </c>
      <c r="E188" s="679"/>
      <c r="F188" s="529">
        <f>VLOOKUP(D188,'Jan 2013 Revenue'!D:T,17,FALSE)</f>
        <v>-2298.6399999999994</v>
      </c>
      <c r="G188" s="680"/>
      <c r="H188" s="680"/>
      <c r="I188" s="770">
        <v>14869.92</v>
      </c>
      <c r="J188" s="682">
        <f t="shared" si="45"/>
        <v>12571.28</v>
      </c>
      <c r="K188" s="683"/>
      <c r="L188" s="684"/>
      <c r="M188" s="753"/>
      <c r="N188" s="683">
        <v>0</v>
      </c>
      <c r="O188" s="686"/>
      <c r="P188" s="683">
        <v>0</v>
      </c>
      <c r="Q188" s="687">
        <f t="shared" si="42"/>
        <v>0</v>
      </c>
      <c r="R188" s="688">
        <v>0</v>
      </c>
      <c r="S188" s="693"/>
      <c r="T188" s="690">
        <f t="shared" si="46"/>
        <v>0</v>
      </c>
      <c r="U188" s="683"/>
      <c r="V188" s="474">
        <f t="shared" si="50"/>
        <v>0</v>
      </c>
      <c r="W188" s="474">
        <f t="shared" si="51"/>
        <v>0</v>
      </c>
      <c r="X188" s="475">
        <f t="shared" si="52"/>
        <v>0</v>
      </c>
      <c r="Y188" s="475">
        <v>0</v>
      </c>
      <c r="Z188" s="476">
        <v>0</v>
      </c>
      <c r="AA188" s="38">
        <f t="shared" si="53"/>
        <v>0</v>
      </c>
      <c r="AB188" s="692">
        <f t="shared" si="47"/>
        <v>0</v>
      </c>
      <c r="AC188" s="692">
        <f t="shared" si="48"/>
        <v>12571.28</v>
      </c>
      <c r="AD188" s="692">
        <f t="shared" si="49"/>
        <v>0</v>
      </c>
      <c r="AE188" s="38"/>
      <c r="AF188" s="692">
        <f t="shared" si="54"/>
        <v>0</v>
      </c>
      <c r="AG188" s="692">
        <f t="shared" si="55"/>
        <v>0</v>
      </c>
      <c r="AH188" s="692">
        <f t="shared" si="56"/>
        <v>0</v>
      </c>
      <c r="AJ188" s="38">
        <f t="shared" si="44"/>
        <v>12571.28</v>
      </c>
    </row>
    <row r="189" spans="1:36">
      <c r="A189" s="20"/>
      <c r="B189" s="20" t="s">
        <v>109</v>
      </c>
      <c r="C189" s="667" t="s">
        <v>577</v>
      </c>
      <c r="D189" s="68" t="s">
        <v>160</v>
      </c>
      <c r="E189" s="679"/>
      <c r="F189" s="529">
        <f>VLOOKUP(D189,'Jan 2013 Revenue'!D:T,17,FALSE)</f>
        <v>337.1200000000008</v>
      </c>
      <c r="G189" s="680"/>
      <c r="H189" s="680"/>
      <c r="I189" s="770">
        <v>10078.120000000001</v>
      </c>
      <c r="J189" s="682">
        <f t="shared" si="45"/>
        <v>10415.240000000002</v>
      </c>
      <c r="K189" s="683"/>
      <c r="L189" s="684"/>
      <c r="M189" s="753"/>
      <c r="N189" s="683">
        <v>0</v>
      </c>
      <c r="O189" s="686"/>
      <c r="P189" s="683">
        <v>0</v>
      </c>
      <c r="Q189" s="687">
        <f t="shared" si="42"/>
        <v>0</v>
      </c>
      <c r="R189" s="688">
        <v>0</v>
      </c>
      <c r="S189" s="693"/>
      <c r="T189" s="690">
        <f t="shared" si="46"/>
        <v>0</v>
      </c>
      <c r="U189" s="683"/>
      <c r="V189" s="474">
        <f t="shared" si="50"/>
        <v>0</v>
      </c>
      <c r="W189" s="474">
        <f t="shared" si="51"/>
        <v>0</v>
      </c>
      <c r="X189" s="475">
        <f t="shared" si="52"/>
        <v>0</v>
      </c>
      <c r="Y189" s="475">
        <v>0</v>
      </c>
      <c r="Z189" s="476">
        <v>0</v>
      </c>
      <c r="AA189" s="38">
        <f t="shared" si="53"/>
        <v>0</v>
      </c>
      <c r="AB189" s="692">
        <f t="shared" si="47"/>
        <v>0</v>
      </c>
      <c r="AC189" s="692">
        <f t="shared" si="48"/>
        <v>10415.240000000002</v>
      </c>
      <c r="AD189" s="692">
        <f t="shared" si="49"/>
        <v>0</v>
      </c>
      <c r="AE189" s="38"/>
      <c r="AF189" s="692">
        <f t="shared" si="54"/>
        <v>0</v>
      </c>
      <c r="AG189" s="692">
        <f t="shared" si="55"/>
        <v>0</v>
      </c>
      <c r="AH189" s="692">
        <f t="shared" si="56"/>
        <v>0</v>
      </c>
      <c r="AJ189" s="38">
        <f t="shared" si="44"/>
        <v>10415.240000000002</v>
      </c>
    </row>
    <row r="190" spans="1:36">
      <c r="A190" s="21"/>
      <c r="B190" s="21" t="s">
        <v>109</v>
      </c>
      <c r="C190" s="667" t="s">
        <v>577</v>
      </c>
      <c r="D190" s="68" t="s">
        <v>161</v>
      </c>
      <c r="E190" s="679"/>
      <c r="F190" s="529">
        <f>VLOOKUP(D190,'Jan 2013 Revenue'!D:T,17,FALSE)</f>
        <v>0</v>
      </c>
      <c r="G190" s="680"/>
      <c r="H190" s="680"/>
      <c r="I190" s="755"/>
      <c r="J190" s="682">
        <f t="shared" si="45"/>
        <v>0</v>
      </c>
      <c r="K190" s="683"/>
      <c r="L190" s="684"/>
      <c r="M190" s="753"/>
      <c r="N190" s="683">
        <v>0</v>
      </c>
      <c r="O190" s="686"/>
      <c r="P190" s="683">
        <v>0</v>
      </c>
      <c r="Q190" s="687">
        <f t="shared" si="42"/>
        <v>0</v>
      </c>
      <c r="R190" s="688">
        <v>0</v>
      </c>
      <c r="S190" s="693"/>
      <c r="T190" s="690">
        <f t="shared" si="46"/>
        <v>0</v>
      </c>
      <c r="U190" s="683"/>
      <c r="V190" s="474">
        <f t="shared" si="50"/>
        <v>0</v>
      </c>
      <c r="W190" s="474">
        <f t="shared" si="51"/>
        <v>0</v>
      </c>
      <c r="X190" s="475">
        <f t="shared" si="52"/>
        <v>0</v>
      </c>
      <c r="Y190" s="475">
        <v>0</v>
      </c>
      <c r="Z190" s="476">
        <v>0</v>
      </c>
      <c r="AA190" s="38">
        <f t="shared" si="53"/>
        <v>0</v>
      </c>
      <c r="AB190" s="692">
        <f t="shared" si="47"/>
        <v>0</v>
      </c>
      <c r="AC190" s="692">
        <f t="shared" si="48"/>
        <v>0</v>
      </c>
      <c r="AD190" s="692">
        <f t="shared" si="49"/>
        <v>0</v>
      </c>
      <c r="AE190" s="38"/>
      <c r="AF190" s="692">
        <f t="shared" si="54"/>
        <v>0</v>
      </c>
      <c r="AG190" s="692">
        <f t="shared" si="55"/>
        <v>0</v>
      </c>
      <c r="AH190" s="692">
        <f t="shared" si="56"/>
        <v>0</v>
      </c>
      <c r="AJ190" s="38">
        <f t="shared" si="44"/>
        <v>0</v>
      </c>
    </row>
    <row r="191" spans="1:36">
      <c r="A191" s="21"/>
      <c r="B191" s="21" t="s">
        <v>109</v>
      </c>
      <c r="C191" s="667" t="s">
        <v>577</v>
      </c>
      <c r="D191" s="68" t="s">
        <v>162</v>
      </c>
      <c r="E191" s="679"/>
      <c r="F191" s="529">
        <f>VLOOKUP(D191,'Jan 2013 Revenue'!D:T,17,FALSE)</f>
        <v>0</v>
      </c>
      <c r="G191" s="680"/>
      <c r="H191" s="680"/>
      <c r="I191" s="755"/>
      <c r="J191" s="682">
        <f t="shared" si="45"/>
        <v>0</v>
      </c>
      <c r="K191" s="683"/>
      <c r="L191" s="684"/>
      <c r="M191" s="753"/>
      <c r="N191" s="683">
        <v>0</v>
      </c>
      <c r="O191" s="686"/>
      <c r="P191" s="683">
        <v>0</v>
      </c>
      <c r="Q191" s="687">
        <f t="shared" si="42"/>
        <v>0</v>
      </c>
      <c r="R191" s="688">
        <v>0</v>
      </c>
      <c r="S191" s="693"/>
      <c r="T191" s="690">
        <f t="shared" si="46"/>
        <v>0</v>
      </c>
      <c r="U191" s="683"/>
      <c r="V191" s="474">
        <f t="shared" si="50"/>
        <v>0</v>
      </c>
      <c r="W191" s="474">
        <f t="shared" si="51"/>
        <v>0</v>
      </c>
      <c r="X191" s="475">
        <f t="shared" si="52"/>
        <v>0</v>
      </c>
      <c r="Y191" s="475">
        <v>0</v>
      </c>
      <c r="Z191" s="476">
        <v>0</v>
      </c>
      <c r="AA191" s="38">
        <f t="shared" si="53"/>
        <v>0</v>
      </c>
      <c r="AB191" s="692">
        <f t="shared" si="47"/>
        <v>0</v>
      </c>
      <c r="AC191" s="692">
        <f t="shared" si="48"/>
        <v>0</v>
      </c>
      <c r="AD191" s="692">
        <f t="shared" si="49"/>
        <v>0</v>
      </c>
      <c r="AE191" s="38"/>
      <c r="AF191" s="692">
        <f t="shared" si="54"/>
        <v>0</v>
      </c>
      <c r="AG191" s="692">
        <f t="shared" si="55"/>
        <v>0</v>
      </c>
      <c r="AH191" s="692">
        <f t="shared" si="56"/>
        <v>0</v>
      </c>
      <c r="AJ191" s="38">
        <f t="shared" si="44"/>
        <v>0</v>
      </c>
    </row>
    <row r="192" spans="1:36">
      <c r="A192" s="21"/>
      <c r="B192" s="21" t="s">
        <v>109</v>
      </c>
      <c r="C192" s="666"/>
      <c r="D192" s="68" t="s">
        <v>163</v>
      </c>
      <c r="E192" s="679"/>
      <c r="F192" s="529">
        <f>VLOOKUP(D192,'Jan 2013 Revenue'!D:T,17,FALSE)</f>
        <v>-803.69999999999982</v>
      </c>
      <c r="G192" s="680"/>
      <c r="H192" s="680"/>
      <c r="I192" s="770">
        <v>3747.03</v>
      </c>
      <c r="J192" s="682">
        <f t="shared" si="45"/>
        <v>2943.3300000000004</v>
      </c>
      <c r="K192" s="683"/>
      <c r="L192" s="684"/>
      <c r="M192" s="753"/>
      <c r="N192" s="683">
        <v>0</v>
      </c>
      <c r="O192" s="686"/>
      <c r="P192" s="683">
        <v>0</v>
      </c>
      <c r="Q192" s="687">
        <f t="shared" si="42"/>
        <v>0</v>
      </c>
      <c r="R192" s="688">
        <v>0</v>
      </c>
      <c r="S192" s="704"/>
      <c r="T192" s="690">
        <f t="shared" si="46"/>
        <v>0</v>
      </c>
      <c r="U192" s="705"/>
      <c r="V192" s="474">
        <f t="shared" si="50"/>
        <v>0</v>
      </c>
      <c r="W192" s="474">
        <f t="shared" si="51"/>
        <v>0</v>
      </c>
      <c r="X192" s="475">
        <f t="shared" si="52"/>
        <v>0</v>
      </c>
      <c r="Y192" s="475">
        <v>0</v>
      </c>
      <c r="Z192" s="476">
        <v>0</v>
      </c>
      <c r="AA192" s="38">
        <f t="shared" si="53"/>
        <v>0</v>
      </c>
      <c r="AB192" s="692">
        <f t="shared" si="47"/>
        <v>0</v>
      </c>
      <c r="AC192" s="692">
        <f t="shared" si="48"/>
        <v>2943.3300000000004</v>
      </c>
      <c r="AD192" s="692">
        <f t="shared" si="49"/>
        <v>0</v>
      </c>
      <c r="AE192" s="38"/>
      <c r="AF192" s="692">
        <f t="shared" si="54"/>
        <v>0</v>
      </c>
      <c r="AG192" s="692">
        <f t="shared" si="55"/>
        <v>0</v>
      </c>
      <c r="AH192" s="692">
        <f t="shared" si="56"/>
        <v>0</v>
      </c>
      <c r="AJ192" s="38">
        <f t="shared" si="44"/>
        <v>2943.3300000000004</v>
      </c>
    </row>
    <row r="193" spans="1:36">
      <c r="A193" s="21"/>
      <c r="B193" s="21" t="s">
        <v>109</v>
      </c>
      <c r="C193" s="666"/>
      <c r="D193" s="412" t="s">
        <v>164</v>
      </c>
      <c r="E193" s="679"/>
      <c r="F193" s="529">
        <f>VLOOKUP(D193,'Jan 2013 Revenue'!D:T,17,FALSE)</f>
        <v>90.78</v>
      </c>
      <c r="G193" s="680"/>
      <c r="H193" s="680"/>
      <c r="I193" s="770">
        <v>53.2</v>
      </c>
      <c r="J193" s="682">
        <f t="shared" si="45"/>
        <v>143.98000000000002</v>
      </c>
      <c r="K193" s="683"/>
      <c r="L193" s="684"/>
      <c r="M193" s="753"/>
      <c r="N193" s="683">
        <v>0</v>
      </c>
      <c r="O193" s="686"/>
      <c r="P193" s="683">
        <v>0</v>
      </c>
      <c r="Q193" s="687">
        <f t="shared" si="42"/>
        <v>0</v>
      </c>
      <c r="R193" s="688">
        <v>0</v>
      </c>
      <c r="S193" s="704"/>
      <c r="T193" s="690">
        <f t="shared" si="46"/>
        <v>0</v>
      </c>
      <c r="U193" s="705"/>
      <c r="V193" s="474">
        <f t="shared" si="50"/>
        <v>0</v>
      </c>
      <c r="W193" s="474">
        <f t="shared" si="51"/>
        <v>0</v>
      </c>
      <c r="X193" s="475">
        <f t="shared" si="52"/>
        <v>0</v>
      </c>
      <c r="Y193" s="475">
        <v>0</v>
      </c>
      <c r="Z193" s="476">
        <v>0</v>
      </c>
      <c r="AA193" s="38">
        <f t="shared" si="53"/>
        <v>0</v>
      </c>
      <c r="AB193" s="692">
        <f t="shared" si="47"/>
        <v>0</v>
      </c>
      <c r="AC193" s="692">
        <f t="shared" si="48"/>
        <v>143.98000000000002</v>
      </c>
      <c r="AD193" s="692">
        <f t="shared" si="49"/>
        <v>0</v>
      </c>
      <c r="AE193" s="38"/>
      <c r="AF193" s="692">
        <f t="shared" si="54"/>
        <v>0</v>
      </c>
      <c r="AG193" s="692">
        <f t="shared" si="55"/>
        <v>0</v>
      </c>
      <c r="AH193" s="692">
        <f t="shared" si="56"/>
        <v>0</v>
      </c>
      <c r="AJ193" s="38">
        <f t="shared" si="44"/>
        <v>143.98000000000002</v>
      </c>
    </row>
    <row r="194" spans="1:36">
      <c r="A194" s="21" t="s">
        <v>109</v>
      </c>
      <c r="B194" s="21" t="s">
        <v>114</v>
      </c>
      <c r="C194" s="666" t="s">
        <v>578</v>
      </c>
      <c r="D194" s="412" t="s">
        <v>318</v>
      </c>
      <c r="E194" s="679">
        <v>31833</v>
      </c>
      <c r="F194" s="529">
        <f>VLOOKUP(D194,'Jan 2013 Revenue'!D:T,17,FALSE)</f>
        <v>-35196</v>
      </c>
      <c r="G194" s="680"/>
      <c r="H194" s="680"/>
      <c r="I194" s="755"/>
      <c r="J194" s="682">
        <f t="shared" si="45"/>
        <v>-3363</v>
      </c>
      <c r="K194" s="683"/>
      <c r="L194" s="684"/>
      <c r="M194" s="753">
        <v>20000</v>
      </c>
      <c r="N194" s="683">
        <v>0</v>
      </c>
      <c r="O194" s="686"/>
      <c r="P194" s="683">
        <v>0</v>
      </c>
      <c r="Q194" s="687">
        <f t="shared" si="42"/>
        <v>20000</v>
      </c>
      <c r="R194" s="688">
        <v>0</v>
      </c>
      <c r="S194" s="704"/>
      <c r="T194" s="690">
        <f t="shared" si="46"/>
        <v>-20000</v>
      </c>
      <c r="U194" s="683"/>
      <c r="V194" s="474">
        <f t="shared" si="50"/>
        <v>0</v>
      </c>
      <c r="W194" s="474">
        <f t="shared" si="51"/>
        <v>0</v>
      </c>
      <c r="X194" s="475">
        <f t="shared" si="52"/>
        <v>20000</v>
      </c>
      <c r="Y194" s="475">
        <v>0</v>
      </c>
      <c r="Z194" s="476">
        <v>0</v>
      </c>
      <c r="AA194" s="38">
        <f t="shared" si="53"/>
        <v>0</v>
      </c>
      <c r="AB194" s="692">
        <f t="shared" si="47"/>
        <v>0</v>
      </c>
      <c r="AC194" s="692">
        <f t="shared" si="48"/>
        <v>0</v>
      </c>
      <c r="AD194" s="692">
        <f t="shared" si="49"/>
        <v>-3363</v>
      </c>
      <c r="AE194" s="38"/>
      <c r="AF194" s="692">
        <f t="shared" si="54"/>
        <v>0</v>
      </c>
      <c r="AG194" s="692">
        <f t="shared" si="55"/>
        <v>0</v>
      </c>
      <c r="AH194" s="692">
        <f t="shared" si="56"/>
        <v>20000</v>
      </c>
      <c r="AJ194" s="38">
        <f t="shared" si="44"/>
        <v>16637</v>
      </c>
    </row>
    <row r="195" spans="1:36">
      <c r="A195" s="20" t="s">
        <v>211</v>
      </c>
      <c r="B195" s="20" t="s">
        <v>109</v>
      </c>
      <c r="C195" s="667"/>
      <c r="D195" s="68" t="s">
        <v>57</v>
      </c>
      <c r="E195" s="679"/>
      <c r="F195" s="529">
        <f>VLOOKUP(D195,'Jan 2013 Revenue'!D:T,17,FALSE)</f>
        <v>0</v>
      </c>
      <c r="G195" s="680"/>
      <c r="H195" s="680"/>
      <c r="I195" s="755"/>
      <c r="J195" s="682">
        <f t="shared" si="45"/>
        <v>0</v>
      </c>
      <c r="K195" s="683"/>
      <c r="L195" s="684"/>
      <c r="M195" s="753"/>
      <c r="N195" s="683">
        <v>0</v>
      </c>
      <c r="O195" s="686"/>
      <c r="P195" s="683">
        <v>0</v>
      </c>
      <c r="Q195" s="687">
        <f t="shared" si="42"/>
        <v>0</v>
      </c>
      <c r="R195" s="688">
        <v>0</v>
      </c>
      <c r="S195" s="693"/>
      <c r="T195" s="690">
        <f t="shared" si="46"/>
        <v>0</v>
      </c>
      <c r="U195" s="683"/>
      <c r="V195" s="474">
        <f t="shared" si="50"/>
        <v>0</v>
      </c>
      <c r="W195" s="474">
        <f t="shared" si="51"/>
        <v>0</v>
      </c>
      <c r="X195" s="475">
        <f t="shared" si="52"/>
        <v>0</v>
      </c>
      <c r="Y195" s="475">
        <v>0</v>
      </c>
      <c r="Z195" s="476">
        <v>0</v>
      </c>
      <c r="AA195" s="38">
        <f t="shared" si="53"/>
        <v>0</v>
      </c>
      <c r="AB195" s="692">
        <f t="shared" si="47"/>
        <v>0</v>
      </c>
      <c r="AC195" s="692">
        <f t="shared" si="48"/>
        <v>0</v>
      </c>
      <c r="AD195" s="692">
        <f t="shared" si="49"/>
        <v>0</v>
      </c>
      <c r="AE195" s="38"/>
      <c r="AF195" s="692">
        <f t="shared" si="54"/>
        <v>0</v>
      </c>
      <c r="AG195" s="692">
        <f t="shared" si="55"/>
        <v>0</v>
      </c>
      <c r="AH195" s="692">
        <f t="shared" si="56"/>
        <v>0</v>
      </c>
      <c r="AJ195" s="38">
        <f t="shared" si="44"/>
        <v>0</v>
      </c>
    </row>
    <row r="196" spans="1:36">
      <c r="A196" s="20"/>
      <c r="B196" s="20" t="s">
        <v>114</v>
      </c>
      <c r="C196" s="676" t="s">
        <v>621</v>
      </c>
      <c r="D196" s="68" t="s">
        <v>622</v>
      </c>
      <c r="E196" s="679">
        <f>485.4+1520.9</f>
        <v>2006.3000000000002</v>
      </c>
      <c r="F196" s="529">
        <f>VLOOKUP(D196,'Jan 2013 Revenue'!D:T,17,FALSE)</f>
        <v>2121.1</v>
      </c>
      <c r="G196" s="680"/>
      <c r="H196" s="680"/>
      <c r="I196" s="755"/>
      <c r="J196" s="682">
        <f t="shared" si="45"/>
        <v>4127.3999999999996</v>
      </c>
      <c r="K196" s="683"/>
      <c r="L196" s="684"/>
      <c r="M196" s="753"/>
      <c r="N196" s="683">
        <v>0</v>
      </c>
      <c r="O196" s="686"/>
      <c r="P196" s="683">
        <v>0</v>
      </c>
      <c r="Q196" s="687">
        <f t="shared" si="42"/>
        <v>0</v>
      </c>
      <c r="R196" s="688">
        <v>0</v>
      </c>
      <c r="S196" s="704"/>
      <c r="T196" s="690">
        <f t="shared" si="46"/>
        <v>0</v>
      </c>
      <c r="U196" s="683"/>
      <c r="V196" s="474">
        <f t="shared" si="50"/>
        <v>0</v>
      </c>
      <c r="W196" s="474">
        <f t="shared" si="51"/>
        <v>0</v>
      </c>
      <c r="X196" s="475">
        <f t="shared" si="52"/>
        <v>0</v>
      </c>
      <c r="Y196" s="475">
        <v>0</v>
      </c>
      <c r="Z196" s="476">
        <v>0</v>
      </c>
      <c r="AA196" s="38">
        <f t="shared" si="53"/>
        <v>0</v>
      </c>
      <c r="AB196" s="692">
        <f t="shared" si="47"/>
        <v>0</v>
      </c>
      <c r="AC196" s="692">
        <f t="shared" si="48"/>
        <v>0</v>
      </c>
      <c r="AD196" s="692">
        <f t="shared" si="49"/>
        <v>4127.3999999999996</v>
      </c>
      <c r="AE196" s="38"/>
      <c r="AF196" s="692">
        <f t="shared" si="54"/>
        <v>0</v>
      </c>
      <c r="AG196" s="692">
        <f t="shared" si="55"/>
        <v>0</v>
      </c>
      <c r="AH196" s="692">
        <f t="shared" si="56"/>
        <v>0</v>
      </c>
      <c r="AJ196" s="38">
        <f t="shared" si="44"/>
        <v>4127.3999999999996</v>
      </c>
    </row>
    <row r="197" spans="1:36">
      <c r="A197" s="20"/>
      <c r="B197" s="20" t="s">
        <v>110</v>
      </c>
      <c r="C197" s="667"/>
      <c r="D197" s="68" t="s">
        <v>497</v>
      </c>
      <c r="E197" s="679"/>
      <c r="F197" s="529">
        <f>VLOOKUP(D197,'Jan 2013 Revenue'!D:T,17,FALSE)</f>
        <v>0</v>
      </c>
      <c r="G197" s="680"/>
      <c r="H197" s="680"/>
      <c r="I197" s="755"/>
      <c r="J197" s="682">
        <f t="shared" si="45"/>
        <v>0</v>
      </c>
      <c r="K197" s="683"/>
      <c r="L197" s="684"/>
      <c r="M197" s="753"/>
      <c r="N197" s="683">
        <v>0</v>
      </c>
      <c r="O197" s="686"/>
      <c r="P197" s="683">
        <v>0</v>
      </c>
      <c r="Q197" s="687">
        <f t="shared" si="42"/>
        <v>0</v>
      </c>
      <c r="R197" s="688">
        <v>0</v>
      </c>
      <c r="S197" s="693"/>
      <c r="T197" s="690">
        <f t="shared" si="46"/>
        <v>0</v>
      </c>
      <c r="U197" s="683"/>
      <c r="V197" s="474">
        <f t="shared" si="50"/>
        <v>0</v>
      </c>
      <c r="W197" s="474">
        <f t="shared" si="51"/>
        <v>0</v>
      </c>
      <c r="X197" s="475">
        <f t="shared" si="52"/>
        <v>0</v>
      </c>
      <c r="Y197" s="475">
        <v>0</v>
      </c>
      <c r="Z197" s="476">
        <v>0</v>
      </c>
      <c r="AA197" s="38">
        <f t="shared" si="53"/>
        <v>0</v>
      </c>
      <c r="AB197" s="692">
        <f t="shared" si="47"/>
        <v>0</v>
      </c>
      <c r="AC197" s="692">
        <f t="shared" si="48"/>
        <v>0</v>
      </c>
      <c r="AD197" s="692">
        <f t="shared" si="49"/>
        <v>0</v>
      </c>
      <c r="AE197" s="38"/>
      <c r="AF197" s="692">
        <f t="shared" si="54"/>
        <v>0</v>
      </c>
      <c r="AG197" s="692">
        <f t="shared" si="55"/>
        <v>0</v>
      </c>
      <c r="AH197" s="692">
        <f t="shared" si="56"/>
        <v>0</v>
      </c>
      <c r="AJ197" s="38">
        <f t="shared" si="44"/>
        <v>0</v>
      </c>
    </row>
    <row r="198" spans="1:36">
      <c r="A198" s="20"/>
      <c r="B198" s="20" t="s">
        <v>110</v>
      </c>
      <c r="C198" s="667"/>
      <c r="D198" s="68" t="s">
        <v>509</v>
      </c>
      <c r="E198" s="679"/>
      <c r="F198" s="529">
        <f>VLOOKUP(D198,'Jan 2013 Revenue'!D:T,17,FALSE)</f>
        <v>0</v>
      </c>
      <c r="G198" s="680"/>
      <c r="H198" s="680"/>
      <c r="I198" s="770">
        <v>10671.31</v>
      </c>
      <c r="J198" s="682">
        <f t="shared" si="45"/>
        <v>10671.31</v>
      </c>
      <c r="K198" s="683"/>
      <c r="L198" s="684"/>
      <c r="M198" s="753"/>
      <c r="N198" s="683"/>
      <c r="O198" s="686"/>
      <c r="P198" s="683"/>
      <c r="Q198" s="687">
        <f t="shared" si="42"/>
        <v>0</v>
      </c>
      <c r="R198" s="688">
        <v>0</v>
      </c>
      <c r="S198" s="693"/>
      <c r="T198" s="690">
        <f t="shared" si="46"/>
        <v>0</v>
      </c>
      <c r="U198" s="683"/>
      <c r="V198" s="474">
        <f t="shared" si="50"/>
        <v>0</v>
      </c>
      <c r="W198" s="474">
        <f t="shared" si="51"/>
        <v>0</v>
      </c>
      <c r="X198" s="475">
        <f t="shared" si="52"/>
        <v>0</v>
      </c>
      <c r="Y198" s="475">
        <v>0</v>
      </c>
      <c r="Z198" s="476">
        <v>0</v>
      </c>
      <c r="AA198" s="38">
        <f t="shared" si="53"/>
        <v>0</v>
      </c>
      <c r="AB198" s="692">
        <f t="shared" si="47"/>
        <v>10671.31</v>
      </c>
      <c r="AC198" s="692">
        <f t="shared" si="48"/>
        <v>0</v>
      </c>
      <c r="AD198" s="692">
        <f t="shared" si="49"/>
        <v>0</v>
      </c>
      <c r="AE198" s="38"/>
      <c r="AF198" s="692">
        <f t="shared" si="54"/>
        <v>0</v>
      </c>
      <c r="AG198" s="692">
        <f t="shared" si="55"/>
        <v>0</v>
      </c>
      <c r="AH198" s="692">
        <f t="shared" si="56"/>
        <v>0</v>
      </c>
      <c r="AJ198" s="38">
        <f t="shared" si="44"/>
        <v>10671.31</v>
      </c>
    </row>
    <row r="199" spans="1:36" s="627" customFormat="1">
      <c r="A199" s="610"/>
      <c r="B199" s="610" t="s">
        <v>110</v>
      </c>
      <c r="C199" s="667" t="s">
        <v>580</v>
      </c>
      <c r="D199" s="612" t="s">
        <v>476</v>
      </c>
      <c r="E199" s="679"/>
      <c r="F199" s="529">
        <f>VLOOKUP(D199,'Jan 2013 Revenue'!D:T,17,FALSE)</f>
        <v>0</v>
      </c>
      <c r="G199" s="680"/>
      <c r="H199" s="680"/>
      <c r="I199" s="755"/>
      <c r="J199" s="682">
        <f t="shared" si="45"/>
        <v>0</v>
      </c>
      <c r="K199" s="683"/>
      <c r="L199" s="684"/>
      <c r="M199" s="753"/>
      <c r="N199" s="683">
        <v>0</v>
      </c>
      <c r="O199" s="686"/>
      <c r="P199" s="683">
        <v>0</v>
      </c>
      <c r="Q199" s="687">
        <f t="shared" si="42"/>
        <v>0</v>
      </c>
      <c r="R199" s="688">
        <v>0</v>
      </c>
      <c r="S199" s="706"/>
      <c r="T199" s="690">
        <f t="shared" si="46"/>
        <v>0</v>
      </c>
      <c r="U199" s="707"/>
      <c r="V199" s="474">
        <f t="shared" si="50"/>
        <v>0</v>
      </c>
      <c r="W199" s="474">
        <f t="shared" si="51"/>
        <v>0</v>
      </c>
      <c r="X199" s="475">
        <f t="shared" si="52"/>
        <v>0</v>
      </c>
      <c r="Y199" s="475">
        <v>0</v>
      </c>
      <c r="Z199" s="476">
        <v>0</v>
      </c>
      <c r="AA199" s="38">
        <f t="shared" si="53"/>
        <v>0</v>
      </c>
      <c r="AB199" s="692">
        <f t="shared" si="47"/>
        <v>0</v>
      </c>
      <c r="AC199" s="692">
        <f t="shared" si="48"/>
        <v>0</v>
      </c>
      <c r="AD199" s="692">
        <f t="shared" si="49"/>
        <v>0</v>
      </c>
      <c r="AE199" s="38"/>
      <c r="AF199" s="692">
        <f t="shared" si="54"/>
        <v>0</v>
      </c>
      <c r="AG199" s="692">
        <f t="shared" si="55"/>
        <v>0</v>
      </c>
      <c r="AH199" s="692">
        <f t="shared" si="56"/>
        <v>0</v>
      </c>
      <c r="AJ199" s="38">
        <f t="shared" si="44"/>
        <v>0</v>
      </c>
    </row>
    <row r="200" spans="1:36" s="232" customFormat="1">
      <c r="A200" s="283"/>
      <c r="B200" s="283" t="s">
        <v>114</v>
      </c>
      <c r="C200" s="667" t="s">
        <v>580</v>
      </c>
      <c r="D200" s="123" t="s">
        <v>371</v>
      </c>
      <c r="E200" s="679"/>
      <c r="F200" s="529">
        <f>VLOOKUP(D200,'Jan 2013 Revenue'!D:T,17,FALSE)</f>
        <v>639.59000000000015</v>
      </c>
      <c r="G200" s="680"/>
      <c r="H200" s="680"/>
      <c r="I200" s="755"/>
      <c r="J200" s="682">
        <f t="shared" si="45"/>
        <v>639.59000000000015</v>
      </c>
      <c r="K200" s="683"/>
      <c r="L200" s="684">
        <v>9163.68</v>
      </c>
      <c r="M200" s="753"/>
      <c r="N200" s="683">
        <v>0</v>
      </c>
      <c r="O200" s="686"/>
      <c r="P200" s="683">
        <v>0</v>
      </c>
      <c r="Q200" s="687">
        <f t="shared" si="42"/>
        <v>9163.68</v>
      </c>
      <c r="R200" s="688">
        <f>670.8+9164.52</f>
        <v>9835.32</v>
      </c>
      <c r="S200" s="693"/>
      <c r="T200" s="690">
        <f t="shared" si="46"/>
        <v>671.63999999999942</v>
      </c>
      <c r="U200" s="683"/>
      <c r="V200" s="474">
        <f t="shared" si="50"/>
        <v>0</v>
      </c>
      <c r="W200" s="474">
        <f t="shared" si="51"/>
        <v>0</v>
      </c>
      <c r="X200" s="475">
        <f t="shared" si="52"/>
        <v>9163.68</v>
      </c>
      <c r="Y200" s="475">
        <v>0</v>
      </c>
      <c r="Z200" s="476">
        <v>0</v>
      </c>
      <c r="AA200" s="38">
        <f t="shared" si="53"/>
        <v>0</v>
      </c>
      <c r="AB200" s="692">
        <f t="shared" si="47"/>
        <v>0</v>
      </c>
      <c r="AC200" s="692">
        <f t="shared" si="48"/>
        <v>0</v>
      </c>
      <c r="AD200" s="692">
        <f t="shared" si="49"/>
        <v>639.59000000000015</v>
      </c>
      <c r="AE200" s="38"/>
      <c r="AF200" s="692">
        <f t="shared" si="54"/>
        <v>0</v>
      </c>
      <c r="AG200" s="692">
        <f t="shared" si="55"/>
        <v>0</v>
      </c>
      <c r="AH200" s="692">
        <f t="shared" si="56"/>
        <v>9163.68</v>
      </c>
      <c r="AJ200" s="38">
        <f t="shared" si="44"/>
        <v>9803.27</v>
      </c>
    </row>
    <row r="201" spans="1:36" s="232" customFormat="1">
      <c r="A201" s="283"/>
      <c r="B201" s="283" t="s">
        <v>110</v>
      </c>
      <c r="C201" s="667" t="s">
        <v>580</v>
      </c>
      <c r="D201" s="123" t="s">
        <v>422</v>
      </c>
      <c r="E201" s="679"/>
      <c r="F201" s="529">
        <f>VLOOKUP(D201,'Jan 2013 Revenue'!D:T,17,FALSE)</f>
        <v>0</v>
      </c>
      <c r="G201" s="680"/>
      <c r="H201" s="680"/>
      <c r="I201" s="755"/>
      <c r="J201" s="682">
        <f t="shared" si="45"/>
        <v>0</v>
      </c>
      <c r="K201" s="683"/>
      <c r="L201" s="684"/>
      <c r="M201" s="753"/>
      <c r="N201" s="683">
        <v>0</v>
      </c>
      <c r="O201" s="686"/>
      <c r="P201" s="683">
        <v>0</v>
      </c>
      <c r="Q201" s="687">
        <f t="shared" si="42"/>
        <v>0</v>
      </c>
      <c r="R201" s="688">
        <v>0</v>
      </c>
      <c r="S201" s="693"/>
      <c r="T201" s="690">
        <f t="shared" si="46"/>
        <v>0</v>
      </c>
      <c r="U201" s="683"/>
      <c r="V201" s="474">
        <f t="shared" si="50"/>
        <v>0</v>
      </c>
      <c r="W201" s="474">
        <f t="shared" si="51"/>
        <v>0</v>
      </c>
      <c r="X201" s="475">
        <f t="shared" si="52"/>
        <v>0</v>
      </c>
      <c r="Y201" s="475">
        <v>0</v>
      </c>
      <c r="Z201" s="476">
        <v>0</v>
      </c>
      <c r="AA201" s="38">
        <f t="shared" si="53"/>
        <v>0</v>
      </c>
      <c r="AB201" s="692">
        <f t="shared" si="47"/>
        <v>0</v>
      </c>
      <c r="AC201" s="692">
        <f t="shared" si="48"/>
        <v>0</v>
      </c>
      <c r="AD201" s="692">
        <f t="shared" si="49"/>
        <v>0</v>
      </c>
      <c r="AE201" s="38"/>
      <c r="AF201" s="692">
        <f t="shared" si="54"/>
        <v>0</v>
      </c>
      <c r="AG201" s="692">
        <f t="shared" si="55"/>
        <v>0</v>
      </c>
      <c r="AH201" s="692">
        <f t="shared" si="56"/>
        <v>0</v>
      </c>
      <c r="AJ201" s="38">
        <f t="shared" si="44"/>
        <v>0</v>
      </c>
    </row>
    <row r="202" spans="1:36" s="232" customFormat="1">
      <c r="A202" s="283"/>
      <c r="B202" s="283" t="s">
        <v>110</v>
      </c>
      <c r="C202" s="667" t="s">
        <v>580</v>
      </c>
      <c r="D202" s="123" t="s">
        <v>442</v>
      </c>
      <c r="E202" s="679"/>
      <c r="F202" s="529">
        <f>VLOOKUP(D202,'Jan 2013 Revenue'!D:T,17,FALSE)</f>
        <v>0.35999999998603016</v>
      </c>
      <c r="G202" s="680"/>
      <c r="H202" s="680"/>
      <c r="I202" s="755"/>
      <c r="J202" s="682">
        <f t="shared" si="45"/>
        <v>0.35999999998603016</v>
      </c>
      <c r="K202" s="683"/>
      <c r="L202" s="684">
        <v>309586.90000000002</v>
      </c>
      <c r="M202" s="753"/>
      <c r="N202" s="683">
        <v>0</v>
      </c>
      <c r="O202" s="686"/>
      <c r="P202" s="683">
        <v>0</v>
      </c>
      <c r="Q202" s="687">
        <f t="shared" si="42"/>
        <v>309586.90000000002</v>
      </c>
      <c r="R202" s="688">
        <v>309586.46999999997</v>
      </c>
      <c r="S202" s="693"/>
      <c r="T202" s="690">
        <f t="shared" si="46"/>
        <v>-0.43000000005122274</v>
      </c>
      <c r="U202" s="683"/>
      <c r="V202" s="474">
        <f t="shared" si="50"/>
        <v>309586.90000000002</v>
      </c>
      <c r="W202" s="474">
        <f t="shared" si="51"/>
        <v>0</v>
      </c>
      <c r="X202" s="475">
        <f t="shared" si="52"/>
        <v>0</v>
      </c>
      <c r="Y202" s="475">
        <v>0</v>
      </c>
      <c r="Z202" s="476">
        <v>0</v>
      </c>
      <c r="AA202" s="38">
        <f t="shared" si="53"/>
        <v>0</v>
      </c>
      <c r="AB202" s="692">
        <f t="shared" si="47"/>
        <v>0.35999999998603016</v>
      </c>
      <c r="AC202" s="692">
        <f t="shared" si="48"/>
        <v>0</v>
      </c>
      <c r="AD202" s="692">
        <f t="shared" si="49"/>
        <v>0</v>
      </c>
      <c r="AE202" s="38"/>
      <c r="AF202" s="692">
        <f t="shared" si="54"/>
        <v>309586.90000000002</v>
      </c>
      <c r="AG202" s="692">
        <f t="shared" si="55"/>
        <v>0</v>
      </c>
      <c r="AH202" s="692">
        <f t="shared" si="56"/>
        <v>0</v>
      </c>
      <c r="AJ202" s="38">
        <f t="shared" si="44"/>
        <v>309587.26</v>
      </c>
    </row>
    <row r="203" spans="1:36">
      <c r="A203" s="21" t="s">
        <v>97</v>
      </c>
      <c r="B203" s="21" t="s">
        <v>109</v>
      </c>
      <c r="C203" s="666"/>
      <c r="D203" s="68" t="s">
        <v>381</v>
      </c>
      <c r="E203" s="679"/>
      <c r="F203" s="529">
        <f>VLOOKUP(D203,'Jan 2013 Revenue'!D:T,17,FALSE)</f>
        <v>0</v>
      </c>
      <c r="G203" s="680"/>
      <c r="H203" s="680"/>
      <c r="I203" s="755"/>
      <c r="J203" s="682">
        <f t="shared" si="45"/>
        <v>0</v>
      </c>
      <c r="K203" s="683"/>
      <c r="L203" s="684"/>
      <c r="M203" s="753"/>
      <c r="N203" s="683">
        <v>0</v>
      </c>
      <c r="O203" s="686"/>
      <c r="P203" s="683">
        <v>0</v>
      </c>
      <c r="Q203" s="687">
        <f t="shared" si="42"/>
        <v>0</v>
      </c>
      <c r="R203" s="688">
        <v>0</v>
      </c>
      <c r="S203" s="693"/>
      <c r="T203" s="690">
        <f t="shared" si="46"/>
        <v>0</v>
      </c>
      <c r="U203" s="683"/>
      <c r="V203" s="474">
        <f t="shared" si="50"/>
        <v>0</v>
      </c>
      <c r="W203" s="474">
        <f t="shared" si="51"/>
        <v>0</v>
      </c>
      <c r="X203" s="475">
        <f t="shared" si="52"/>
        <v>0</v>
      </c>
      <c r="Y203" s="475">
        <v>0</v>
      </c>
      <c r="Z203" s="476">
        <v>0</v>
      </c>
      <c r="AA203" s="38">
        <f t="shared" si="53"/>
        <v>0</v>
      </c>
      <c r="AB203" s="692">
        <f t="shared" si="47"/>
        <v>0</v>
      </c>
      <c r="AC203" s="692">
        <f t="shared" si="48"/>
        <v>0</v>
      </c>
      <c r="AD203" s="692">
        <f t="shared" si="49"/>
        <v>0</v>
      </c>
      <c r="AE203" s="38"/>
      <c r="AF203" s="692">
        <f t="shared" si="54"/>
        <v>0</v>
      </c>
      <c r="AG203" s="692">
        <f t="shared" si="55"/>
        <v>0</v>
      </c>
      <c r="AH203" s="692">
        <f t="shared" si="56"/>
        <v>0</v>
      </c>
      <c r="AJ203" s="38">
        <f t="shared" si="44"/>
        <v>0</v>
      </c>
    </row>
    <row r="204" spans="1:36">
      <c r="A204" s="21" t="s">
        <v>97</v>
      </c>
      <c r="B204" s="21" t="s">
        <v>114</v>
      </c>
      <c r="C204" s="666"/>
      <c r="D204" s="68" t="s">
        <v>376</v>
      </c>
      <c r="E204" s="679"/>
      <c r="F204" s="529">
        <f>VLOOKUP(D204,'Jan 2013 Revenue'!D:T,17,FALSE)</f>
        <v>0</v>
      </c>
      <c r="G204" s="680"/>
      <c r="H204" s="680"/>
      <c r="I204" s="755"/>
      <c r="J204" s="682">
        <f t="shared" si="45"/>
        <v>0</v>
      </c>
      <c r="K204" s="683"/>
      <c r="L204" s="684"/>
      <c r="M204" s="753"/>
      <c r="N204" s="683">
        <v>0</v>
      </c>
      <c r="O204" s="686"/>
      <c r="P204" s="683">
        <v>0</v>
      </c>
      <c r="Q204" s="687">
        <f t="shared" ref="Q204:Q218" si="57">L204+M204</f>
        <v>0</v>
      </c>
      <c r="R204" s="688">
        <v>0</v>
      </c>
      <c r="S204" s="693"/>
      <c r="T204" s="690">
        <f t="shared" si="46"/>
        <v>0</v>
      </c>
      <c r="U204" s="683"/>
      <c r="V204" s="474">
        <f t="shared" si="50"/>
        <v>0</v>
      </c>
      <c r="W204" s="474">
        <f t="shared" si="51"/>
        <v>0</v>
      </c>
      <c r="X204" s="475">
        <f t="shared" si="52"/>
        <v>0</v>
      </c>
      <c r="Y204" s="475">
        <v>0</v>
      </c>
      <c r="Z204" s="476">
        <v>0</v>
      </c>
      <c r="AA204" s="38">
        <f t="shared" si="53"/>
        <v>0</v>
      </c>
      <c r="AB204" s="692">
        <f t="shared" si="47"/>
        <v>0</v>
      </c>
      <c r="AC204" s="692">
        <f t="shared" si="48"/>
        <v>0</v>
      </c>
      <c r="AD204" s="692">
        <f t="shared" si="49"/>
        <v>0</v>
      </c>
      <c r="AE204" s="38"/>
      <c r="AF204" s="692">
        <f t="shared" si="54"/>
        <v>0</v>
      </c>
      <c r="AG204" s="692">
        <f t="shared" si="55"/>
        <v>0</v>
      </c>
      <c r="AH204" s="692">
        <f t="shared" si="56"/>
        <v>0</v>
      </c>
      <c r="AJ204" s="38">
        <f t="shared" si="44"/>
        <v>0</v>
      </c>
    </row>
    <row r="205" spans="1:36">
      <c r="A205" s="20"/>
      <c r="B205" s="20" t="s">
        <v>110</v>
      </c>
      <c r="C205" s="667"/>
      <c r="D205" s="68" t="s">
        <v>390</v>
      </c>
      <c r="E205" s="679"/>
      <c r="F205" s="529">
        <f>VLOOKUP(D205,'Jan 2013 Revenue'!D:T,17,FALSE)</f>
        <v>0</v>
      </c>
      <c r="G205" s="680"/>
      <c r="H205" s="680"/>
      <c r="I205" s="755"/>
      <c r="J205" s="682">
        <f t="shared" si="45"/>
        <v>0</v>
      </c>
      <c r="K205" s="683"/>
      <c r="L205" s="684"/>
      <c r="M205" s="753"/>
      <c r="N205" s="683">
        <v>0</v>
      </c>
      <c r="O205" s="686"/>
      <c r="P205" s="683">
        <v>0</v>
      </c>
      <c r="Q205" s="687">
        <f t="shared" si="57"/>
        <v>0</v>
      </c>
      <c r="R205" s="688">
        <v>0</v>
      </c>
      <c r="S205" s="693"/>
      <c r="T205" s="690">
        <f t="shared" si="46"/>
        <v>0</v>
      </c>
      <c r="U205" s="683"/>
      <c r="V205" s="474">
        <f t="shared" si="50"/>
        <v>0</v>
      </c>
      <c r="W205" s="474">
        <f t="shared" si="51"/>
        <v>0</v>
      </c>
      <c r="X205" s="475">
        <f t="shared" si="52"/>
        <v>0</v>
      </c>
      <c r="Y205" s="475">
        <v>0</v>
      </c>
      <c r="Z205" s="476">
        <v>0</v>
      </c>
      <c r="AA205" s="38">
        <f t="shared" si="53"/>
        <v>0</v>
      </c>
      <c r="AB205" s="692">
        <f t="shared" si="47"/>
        <v>0</v>
      </c>
      <c r="AC205" s="692">
        <f t="shared" si="48"/>
        <v>0</v>
      </c>
      <c r="AD205" s="692">
        <f t="shared" si="49"/>
        <v>0</v>
      </c>
      <c r="AE205" s="38"/>
      <c r="AF205" s="692">
        <f t="shared" si="54"/>
        <v>0</v>
      </c>
      <c r="AG205" s="692">
        <f t="shared" si="55"/>
        <v>0</v>
      </c>
      <c r="AH205" s="692">
        <f t="shared" si="56"/>
        <v>0</v>
      </c>
      <c r="AJ205" s="38">
        <f t="shared" si="44"/>
        <v>0</v>
      </c>
    </row>
    <row r="206" spans="1:36">
      <c r="A206" s="20"/>
      <c r="B206" s="20" t="s">
        <v>110</v>
      </c>
      <c r="C206" s="667" t="s">
        <v>581</v>
      </c>
      <c r="D206" s="123" t="s">
        <v>166</v>
      </c>
      <c r="E206" s="679"/>
      <c r="F206" s="529">
        <f>VLOOKUP(D206,'Jan 2013 Revenue'!D:T,17,FALSE)</f>
        <v>0</v>
      </c>
      <c r="G206" s="680"/>
      <c r="H206" s="680"/>
      <c r="I206" s="755"/>
      <c r="J206" s="682">
        <f t="shared" si="45"/>
        <v>0</v>
      </c>
      <c r="K206" s="683"/>
      <c r="L206" s="684"/>
      <c r="M206" s="753"/>
      <c r="N206" s="683">
        <v>0</v>
      </c>
      <c r="O206" s="686"/>
      <c r="P206" s="683">
        <v>0</v>
      </c>
      <c r="Q206" s="687">
        <f t="shared" si="57"/>
        <v>0</v>
      </c>
      <c r="R206" s="688">
        <v>0</v>
      </c>
      <c r="S206" s="693"/>
      <c r="T206" s="690">
        <f t="shared" si="46"/>
        <v>0</v>
      </c>
      <c r="U206" s="683"/>
      <c r="V206" s="474">
        <f t="shared" si="50"/>
        <v>0</v>
      </c>
      <c r="W206" s="474">
        <f t="shared" si="51"/>
        <v>0</v>
      </c>
      <c r="X206" s="475">
        <f t="shared" si="52"/>
        <v>0</v>
      </c>
      <c r="Y206" s="475">
        <v>0</v>
      </c>
      <c r="Z206" s="476">
        <v>0</v>
      </c>
      <c r="AA206" s="38">
        <f t="shared" si="53"/>
        <v>0</v>
      </c>
      <c r="AB206" s="692">
        <f t="shared" si="47"/>
        <v>0</v>
      </c>
      <c r="AC206" s="692">
        <f t="shared" si="48"/>
        <v>0</v>
      </c>
      <c r="AD206" s="692">
        <f t="shared" si="49"/>
        <v>0</v>
      </c>
      <c r="AE206" s="38"/>
      <c r="AF206" s="692">
        <f t="shared" si="54"/>
        <v>0</v>
      </c>
      <c r="AG206" s="692">
        <f t="shared" si="55"/>
        <v>0</v>
      </c>
      <c r="AH206" s="692">
        <f t="shared" si="56"/>
        <v>0</v>
      </c>
      <c r="AJ206" s="38">
        <f t="shared" si="44"/>
        <v>0</v>
      </c>
    </row>
    <row r="207" spans="1:36">
      <c r="A207" s="20"/>
      <c r="B207" s="20" t="s">
        <v>109</v>
      </c>
      <c r="C207" s="667" t="s">
        <v>581</v>
      </c>
      <c r="D207" s="123" t="s">
        <v>165</v>
      </c>
      <c r="E207" s="679"/>
      <c r="F207" s="529">
        <f>VLOOKUP(D207,'Jan 2013 Revenue'!D:T,17,FALSE)</f>
        <v>0</v>
      </c>
      <c r="G207" s="680"/>
      <c r="H207" s="680"/>
      <c r="I207" s="755"/>
      <c r="J207" s="682">
        <f t="shared" si="45"/>
        <v>0</v>
      </c>
      <c r="K207" s="683"/>
      <c r="L207" s="684"/>
      <c r="M207" s="753"/>
      <c r="N207" s="683">
        <v>0</v>
      </c>
      <c r="O207" s="686"/>
      <c r="P207" s="683">
        <v>0</v>
      </c>
      <c r="Q207" s="687">
        <f t="shared" si="57"/>
        <v>0</v>
      </c>
      <c r="R207" s="688">
        <v>0</v>
      </c>
      <c r="S207" s="693"/>
      <c r="T207" s="690">
        <f t="shared" si="46"/>
        <v>0</v>
      </c>
      <c r="U207" s="683"/>
      <c r="V207" s="474">
        <f t="shared" si="50"/>
        <v>0</v>
      </c>
      <c r="W207" s="474">
        <f t="shared" si="51"/>
        <v>0</v>
      </c>
      <c r="X207" s="475">
        <f t="shared" si="52"/>
        <v>0</v>
      </c>
      <c r="Y207" s="475">
        <v>0</v>
      </c>
      <c r="Z207" s="476">
        <v>0</v>
      </c>
      <c r="AA207" s="38">
        <f t="shared" si="53"/>
        <v>0</v>
      </c>
      <c r="AB207" s="692">
        <f t="shared" si="47"/>
        <v>0</v>
      </c>
      <c r="AC207" s="692">
        <f t="shared" si="48"/>
        <v>0</v>
      </c>
      <c r="AD207" s="692">
        <f t="shared" si="49"/>
        <v>0</v>
      </c>
      <c r="AE207" s="38"/>
      <c r="AF207" s="692">
        <f t="shared" si="54"/>
        <v>0</v>
      </c>
      <c r="AG207" s="692">
        <f t="shared" si="55"/>
        <v>0</v>
      </c>
      <c r="AH207" s="692">
        <f t="shared" si="56"/>
        <v>0</v>
      </c>
      <c r="AJ207" s="38">
        <f t="shared" si="44"/>
        <v>0</v>
      </c>
    </row>
    <row r="208" spans="1:36">
      <c r="A208" s="20"/>
      <c r="B208" s="20" t="s">
        <v>109</v>
      </c>
      <c r="C208" s="667"/>
      <c r="D208" s="123" t="s">
        <v>310</v>
      </c>
      <c r="E208" s="679"/>
      <c r="F208" s="529">
        <f>VLOOKUP(D208,'Jan 2013 Revenue'!D:T,17,FALSE)</f>
        <v>0</v>
      </c>
      <c r="G208" s="680"/>
      <c r="H208" s="680"/>
      <c r="I208" s="755"/>
      <c r="J208" s="682">
        <f t="shared" si="45"/>
        <v>0</v>
      </c>
      <c r="K208" s="683"/>
      <c r="L208" s="684"/>
      <c r="M208" s="753"/>
      <c r="N208" s="683">
        <v>0</v>
      </c>
      <c r="O208" s="686"/>
      <c r="P208" s="683">
        <v>0</v>
      </c>
      <c r="Q208" s="687">
        <f t="shared" si="57"/>
        <v>0</v>
      </c>
      <c r="R208" s="688">
        <v>0</v>
      </c>
      <c r="S208" s="693"/>
      <c r="T208" s="690">
        <f t="shared" si="46"/>
        <v>0</v>
      </c>
      <c r="U208" s="683"/>
      <c r="V208" s="474">
        <f t="shared" si="50"/>
        <v>0</v>
      </c>
      <c r="W208" s="474">
        <f t="shared" si="51"/>
        <v>0</v>
      </c>
      <c r="X208" s="475">
        <f t="shared" si="52"/>
        <v>0</v>
      </c>
      <c r="Y208" s="475">
        <v>0</v>
      </c>
      <c r="Z208" s="476">
        <v>0</v>
      </c>
      <c r="AA208" s="38">
        <f t="shared" si="53"/>
        <v>0</v>
      </c>
      <c r="AB208" s="692">
        <f t="shared" si="47"/>
        <v>0</v>
      </c>
      <c r="AC208" s="692">
        <f t="shared" si="48"/>
        <v>0</v>
      </c>
      <c r="AD208" s="692">
        <f t="shared" si="49"/>
        <v>0</v>
      </c>
      <c r="AE208" s="38"/>
      <c r="AF208" s="692">
        <f t="shared" si="54"/>
        <v>0</v>
      </c>
      <c r="AG208" s="692">
        <f t="shared" si="55"/>
        <v>0</v>
      </c>
      <c r="AH208" s="692">
        <f t="shared" si="56"/>
        <v>0</v>
      </c>
      <c r="AJ208" s="38">
        <f t="shared" ref="AJ208:AJ218" si="58">SUM(AB208:AH208)</f>
        <v>0</v>
      </c>
    </row>
    <row r="209" spans="1:36">
      <c r="A209" s="20"/>
      <c r="B209" s="20" t="s">
        <v>109</v>
      </c>
      <c r="C209" s="667"/>
      <c r="D209" s="123" t="s">
        <v>441</v>
      </c>
      <c r="E209" s="679"/>
      <c r="F209" s="529">
        <f>VLOOKUP(D209,'Jan 2013 Revenue'!D:T,17,FALSE)</f>
        <v>0</v>
      </c>
      <c r="G209" s="680"/>
      <c r="H209" s="680"/>
      <c r="I209" s="755"/>
      <c r="J209" s="682">
        <f t="shared" si="45"/>
        <v>0</v>
      </c>
      <c r="K209" s="683"/>
      <c r="L209" s="684"/>
      <c r="M209" s="753"/>
      <c r="N209" s="683">
        <v>0</v>
      </c>
      <c r="O209" s="686"/>
      <c r="P209" s="683">
        <v>0</v>
      </c>
      <c r="Q209" s="687">
        <f t="shared" si="57"/>
        <v>0</v>
      </c>
      <c r="R209" s="688">
        <v>0</v>
      </c>
      <c r="S209" s="693"/>
      <c r="T209" s="690">
        <f t="shared" ref="T209:T210" si="59">IF(R209="","",R209-Q209)</f>
        <v>0</v>
      </c>
      <c r="U209" s="683"/>
      <c r="V209" s="474">
        <f t="shared" si="50"/>
        <v>0</v>
      </c>
      <c r="W209" s="474">
        <f t="shared" si="51"/>
        <v>0</v>
      </c>
      <c r="X209" s="475">
        <f t="shared" si="52"/>
        <v>0</v>
      </c>
      <c r="Y209" s="475">
        <v>0</v>
      </c>
      <c r="Z209" s="476">
        <v>0</v>
      </c>
      <c r="AA209" s="38">
        <f t="shared" si="53"/>
        <v>0</v>
      </c>
      <c r="AB209" s="692">
        <f t="shared" si="47"/>
        <v>0</v>
      </c>
      <c r="AC209" s="692">
        <f t="shared" si="48"/>
        <v>0</v>
      </c>
      <c r="AD209" s="692">
        <f t="shared" si="49"/>
        <v>0</v>
      </c>
      <c r="AE209" s="38"/>
      <c r="AF209" s="692">
        <f t="shared" si="54"/>
        <v>0</v>
      </c>
      <c r="AG209" s="692">
        <f t="shared" si="55"/>
        <v>0</v>
      </c>
      <c r="AH209" s="692">
        <f t="shared" si="56"/>
        <v>0</v>
      </c>
      <c r="AJ209" s="38">
        <f t="shared" si="58"/>
        <v>0</v>
      </c>
    </row>
    <row r="210" spans="1:36">
      <c r="A210" s="20"/>
      <c r="B210" s="20" t="s">
        <v>109</v>
      </c>
      <c r="C210" s="667"/>
      <c r="D210" s="68" t="s">
        <v>121</v>
      </c>
      <c r="E210" s="679"/>
      <c r="F210" s="529">
        <f>VLOOKUP(D210,'Jan 2013 Revenue'!D:T,17,FALSE)</f>
        <v>0</v>
      </c>
      <c r="G210" s="680"/>
      <c r="H210" s="680"/>
      <c r="I210" s="755"/>
      <c r="J210" s="682">
        <f t="shared" ref="J210:J218" si="60">SUM(E210:I210)</f>
        <v>0</v>
      </c>
      <c r="K210" s="683"/>
      <c r="L210" s="684"/>
      <c r="M210" s="753"/>
      <c r="N210" s="683">
        <v>0</v>
      </c>
      <c r="O210" s="686"/>
      <c r="P210" s="683">
        <v>0</v>
      </c>
      <c r="Q210" s="687">
        <f t="shared" si="57"/>
        <v>0</v>
      </c>
      <c r="R210" s="688">
        <v>0</v>
      </c>
      <c r="S210" s="693"/>
      <c r="T210" s="690">
        <f t="shared" si="59"/>
        <v>0</v>
      </c>
      <c r="U210" s="683"/>
      <c r="V210" s="474">
        <f t="shared" ref="V210:V218" si="61">IF(B210="D",Q210,0)</f>
        <v>0</v>
      </c>
      <c r="W210" s="474">
        <f t="shared" ref="W210:W218" si="62">IF(B210="M",Q210,0)</f>
        <v>0</v>
      </c>
      <c r="X210" s="475">
        <f t="shared" ref="X210:X218" si="63">IF(B210="V",Q210,0)</f>
        <v>0</v>
      </c>
      <c r="Y210" s="475">
        <v>0</v>
      </c>
      <c r="Z210" s="476">
        <v>0</v>
      </c>
      <c r="AA210" s="38">
        <f t="shared" ref="AA210:AA218" si="64">(L210+M210)-(V210+W210+X210+Y210+Z210)</f>
        <v>0</v>
      </c>
      <c r="AB210" s="692">
        <f t="shared" si="47"/>
        <v>0</v>
      </c>
      <c r="AC210" s="692">
        <f t="shared" si="48"/>
        <v>0</v>
      </c>
      <c r="AD210" s="692">
        <f t="shared" si="49"/>
        <v>0</v>
      </c>
      <c r="AE210" s="38"/>
      <c r="AF210" s="692">
        <f t="shared" si="54"/>
        <v>0</v>
      </c>
      <c r="AG210" s="692">
        <f t="shared" si="55"/>
        <v>0</v>
      </c>
      <c r="AH210" s="692">
        <f t="shared" si="56"/>
        <v>0</v>
      </c>
      <c r="AJ210" s="38">
        <f t="shared" si="58"/>
        <v>0</v>
      </c>
    </row>
    <row r="211" spans="1:36">
      <c r="A211" s="20"/>
      <c r="B211" s="20" t="s">
        <v>110</v>
      </c>
      <c r="C211" s="667"/>
      <c r="D211" s="68" t="s">
        <v>168</v>
      </c>
      <c r="E211" s="679"/>
      <c r="F211" s="529">
        <f>VLOOKUP(D211,'Jan 2013 Revenue'!D:T,17,FALSE)</f>
        <v>0</v>
      </c>
      <c r="G211" s="680"/>
      <c r="H211" s="680"/>
      <c r="I211" s="755"/>
      <c r="J211" s="682">
        <f t="shared" si="60"/>
        <v>0</v>
      </c>
      <c r="K211" s="683"/>
      <c r="L211" s="684"/>
      <c r="M211" s="753"/>
      <c r="N211" s="683">
        <v>0</v>
      </c>
      <c r="O211" s="686"/>
      <c r="P211" s="683">
        <v>0</v>
      </c>
      <c r="Q211" s="687">
        <f t="shared" si="57"/>
        <v>0</v>
      </c>
      <c r="R211" s="688">
        <v>0</v>
      </c>
      <c r="S211" s="693"/>
      <c r="T211" s="690">
        <f t="shared" ref="T211:T218" si="65">IF(R211="","",R211-Q211)</f>
        <v>0</v>
      </c>
      <c r="U211" s="683"/>
      <c r="V211" s="474">
        <f t="shared" si="61"/>
        <v>0</v>
      </c>
      <c r="W211" s="474">
        <f t="shared" si="62"/>
        <v>0</v>
      </c>
      <c r="X211" s="475">
        <f t="shared" si="63"/>
        <v>0</v>
      </c>
      <c r="Y211" s="475">
        <v>0</v>
      </c>
      <c r="Z211" s="476">
        <v>0</v>
      </c>
      <c r="AA211" s="38">
        <f t="shared" si="64"/>
        <v>0</v>
      </c>
      <c r="AB211" s="692">
        <f t="shared" ref="AB211:AB218" si="66">IF(B211="D",J211,0)</f>
        <v>0</v>
      </c>
      <c r="AC211" s="692">
        <f t="shared" ref="AC211:AC218" si="67">IF(B211="M",J211,0)</f>
        <v>0</v>
      </c>
      <c r="AD211" s="692">
        <f t="shared" ref="AD211:AD218" si="68">IF(B211="V",J211,0)</f>
        <v>0</v>
      </c>
      <c r="AE211" s="38"/>
      <c r="AF211" s="692">
        <f t="shared" ref="AF211:AF218" si="69">IF(B211="D",Q211,0)</f>
        <v>0</v>
      </c>
      <c r="AG211" s="692">
        <f t="shared" ref="AG211:AG218" si="70">IF(B211="M",Q211,0)</f>
        <v>0</v>
      </c>
      <c r="AH211" s="692">
        <f t="shared" ref="AH211:AH218" si="71">IF(B211="V",Q211,0)</f>
        <v>0</v>
      </c>
      <c r="AJ211" s="38">
        <f t="shared" si="58"/>
        <v>0</v>
      </c>
    </row>
    <row r="212" spans="1:36">
      <c r="A212" s="20"/>
      <c r="B212" s="20" t="s">
        <v>109</v>
      </c>
      <c r="C212" s="667" t="s">
        <v>582</v>
      </c>
      <c r="D212" s="68" t="s">
        <v>167</v>
      </c>
      <c r="E212" s="679"/>
      <c r="F212" s="529">
        <f>VLOOKUP(D212,'Jan 2013 Revenue'!D:T,17,FALSE)</f>
        <v>0</v>
      </c>
      <c r="G212" s="680"/>
      <c r="H212" s="680"/>
      <c r="I212" s="755"/>
      <c r="J212" s="682">
        <f t="shared" si="60"/>
        <v>0</v>
      </c>
      <c r="K212" s="683"/>
      <c r="L212" s="684"/>
      <c r="M212" s="753"/>
      <c r="N212" s="683">
        <v>0</v>
      </c>
      <c r="O212" s="686"/>
      <c r="P212" s="683">
        <v>0</v>
      </c>
      <c r="Q212" s="687">
        <f t="shared" si="57"/>
        <v>0</v>
      </c>
      <c r="R212" s="688">
        <v>0</v>
      </c>
      <c r="S212" s="693"/>
      <c r="T212" s="690">
        <f t="shared" si="65"/>
        <v>0</v>
      </c>
      <c r="U212" s="683"/>
      <c r="V212" s="474">
        <f t="shared" si="61"/>
        <v>0</v>
      </c>
      <c r="W212" s="474">
        <f t="shared" si="62"/>
        <v>0</v>
      </c>
      <c r="X212" s="475">
        <f t="shared" si="63"/>
        <v>0</v>
      </c>
      <c r="Y212" s="475">
        <v>0</v>
      </c>
      <c r="Z212" s="476">
        <v>0</v>
      </c>
      <c r="AA212" s="38">
        <f t="shared" si="64"/>
        <v>0</v>
      </c>
      <c r="AB212" s="692">
        <f t="shared" si="66"/>
        <v>0</v>
      </c>
      <c r="AC212" s="692">
        <f t="shared" si="67"/>
        <v>0</v>
      </c>
      <c r="AD212" s="692">
        <f t="shared" si="68"/>
        <v>0</v>
      </c>
      <c r="AE212" s="38"/>
      <c r="AF212" s="692">
        <f t="shared" si="69"/>
        <v>0</v>
      </c>
      <c r="AG212" s="692">
        <f t="shared" si="70"/>
        <v>0</v>
      </c>
      <c r="AH212" s="692">
        <f t="shared" si="71"/>
        <v>0</v>
      </c>
      <c r="AJ212" s="38">
        <f t="shared" si="58"/>
        <v>0</v>
      </c>
    </row>
    <row r="213" spans="1:36">
      <c r="A213" s="20" t="s">
        <v>218</v>
      </c>
      <c r="B213" s="20" t="s">
        <v>110</v>
      </c>
      <c r="C213" s="667"/>
      <c r="D213" s="68" t="s">
        <v>60</v>
      </c>
      <c r="E213" s="679">
        <f>6608.46+2294.92+2616.79</f>
        <v>11520.170000000002</v>
      </c>
      <c r="F213" s="529">
        <f>VLOOKUP(D213,'Jan 2013 Revenue'!D:T,17,FALSE)</f>
        <v>-10000</v>
      </c>
      <c r="G213" s="680"/>
      <c r="H213" s="680"/>
      <c r="I213" s="755"/>
      <c r="J213" s="682">
        <f t="shared" si="60"/>
        <v>1520.1700000000019</v>
      </c>
      <c r="K213" s="683"/>
      <c r="L213" s="684"/>
      <c r="M213" s="753">
        <v>8000</v>
      </c>
      <c r="N213" s="683">
        <v>0</v>
      </c>
      <c r="O213" s="686"/>
      <c r="P213" s="683">
        <v>0</v>
      </c>
      <c r="Q213" s="687">
        <f t="shared" si="57"/>
        <v>8000</v>
      </c>
      <c r="R213" s="688">
        <v>0</v>
      </c>
      <c r="S213" s="693"/>
      <c r="T213" s="690">
        <f t="shared" si="65"/>
        <v>-8000</v>
      </c>
      <c r="U213" s="697"/>
      <c r="V213" s="474">
        <f t="shared" si="61"/>
        <v>8000</v>
      </c>
      <c r="W213" s="474">
        <f t="shared" si="62"/>
        <v>0</v>
      </c>
      <c r="X213" s="475">
        <f t="shared" si="63"/>
        <v>0</v>
      </c>
      <c r="Y213" s="475">
        <v>0</v>
      </c>
      <c r="Z213" s="476">
        <v>0</v>
      </c>
      <c r="AA213" s="38">
        <f t="shared" si="64"/>
        <v>0</v>
      </c>
      <c r="AB213" s="692">
        <f t="shared" si="66"/>
        <v>1520.1700000000019</v>
      </c>
      <c r="AC213" s="692">
        <f t="shared" si="67"/>
        <v>0</v>
      </c>
      <c r="AD213" s="692">
        <f t="shared" si="68"/>
        <v>0</v>
      </c>
      <c r="AE213" s="38"/>
      <c r="AF213" s="692">
        <f t="shared" si="69"/>
        <v>8000</v>
      </c>
      <c r="AG213" s="692">
        <f t="shared" si="70"/>
        <v>0</v>
      </c>
      <c r="AH213" s="692">
        <f t="shared" si="71"/>
        <v>0</v>
      </c>
      <c r="AJ213" s="38">
        <f t="shared" si="58"/>
        <v>9520.1700000000019</v>
      </c>
    </row>
    <row r="214" spans="1:36">
      <c r="A214" s="20"/>
      <c r="B214" s="20" t="s">
        <v>110</v>
      </c>
      <c r="C214" s="667" t="s">
        <v>583</v>
      </c>
      <c r="D214" s="68" t="s">
        <v>169</v>
      </c>
      <c r="E214" s="679"/>
      <c r="F214" s="529">
        <f>VLOOKUP(D214,'Jan 2013 Revenue'!D:T,17,FALSE)</f>
        <v>164.67</v>
      </c>
      <c r="G214" s="680"/>
      <c r="H214" s="680"/>
      <c r="I214" s="770">
        <v>143.13</v>
      </c>
      <c r="J214" s="682">
        <f t="shared" si="60"/>
        <v>307.79999999999995</v>
      </c>
      <c r="K214" s="683"/>
      <c r="L214" s="684"/>
      <c r="M214" s="753"/>
      <c r="N214" s="683">
        <v>0</v>
      </c>
      <c r="O214" s="686"/>
      <c r="P214" s="683">
        <v>0</v>
      </c>
      <c r="Q214" s="687">
        <f t="shared" si="57"/>
        <v>0</v>
      </c>
      <c r="R214" s="688">
        <v>0</v>
      </c>
      <c r="S214" s="693"/>
      <c r="T214" s="690">
        <f t="shared" si="65"/>
        <v>0</v>
      </c>
      <c r="U214" s="683"/>
      <c r="V214" s="474">
        <f t="shared" si="61"/>
        <v>0</v>
      </c>
      <c r="W214" s="474">
        <f t="shared" si="62"/>
        <v>0</v>
      </c>
      <c r="X214" s="475">
        <f t="shared" si="63"/>
        <v>0</v>
      </c>
      <c r="Y214" s="475">
        <v>0</v>
      </c>
      <c r="Z214" s="476">
        <v>0</v>
      </c>
      <c r="AA214" s="38">
        <f t="shared" si="64"/>
        <v>0</v>
      </c>
      <c r="AB214" s="692">
        <f t="shared" si="66"/>
        <v>307.79999999999995</v>
      </c>
      <c r="AC214" s="692">
        <f t="shared" si="67"/>
        <v>0</v>
      </c>
      <c r="AD214" s="692">
        <f t="shared" si="68"/>
        <v>0</v>
      </c>
      <c r="AE214" s="38"/>
      <c r="AF214" s="692">
        <f t="shared" si="69"/>
        <v>0</v>
      </c>
      <c r="AG214" s="692">
        <f t="shared" si="70"/>
        <v>0</v>
      </c>
      <c r="AH214" s="692">
        <f t="shared" si="71"/>
        <v>0</v>
      </c>
      <c r="AJ214" s="38">
        <f t="shared" si="58"/>
        <v>307.79999999999995</v>
      </c>
    </row>
    <row r="215" spans="1:36">
      <c r="A215" s="21"/>
      <c r="B215" s="21" t="s">
        <v>110</v>
      </c>
      <c r="C215" s="666"/>
      <c r="D215" s="68" t="s">
        <v>590</v>
      </c>
      <c r="E215" s="679"/>
      <c r="F215" s="529">
        <f>VLOOKUP(D215,'Jan 2013 Revenue'!D:T,17,FALSE)</f>
        <v>1076.3900000000001</v>
      </c>
      <c r="G215" s="680"/>
      <c r="H215" s="680"/>
      <c r="I215" s="755"/>
      <c r="J215" s="682">
        <f t="shared" si="60"/>
        <v>1076.3900000000001</v>
      </c>
      <c r="K215" s="683"/>
      <c r="L215" s="684"/>
      <c r="M215" s="753"/>
      <c r="N215" s="683">
        <v>0</v>
      </c>
      <c r="O215" s="686"/>
      <c r="P215" s="683">
        <v>0</v>
      </c>
      <c r="Q215" s="687">
        <f t="shared" si="57"/>
        <v>0</v>
      </c>
      <c r="R215" s="688">
        <v>0</v>
      </c>
      <c r="S215" s="693"/>
      <c r="T215" s="690">
        <f t="shared" si="65"/>
        <v>0</v>
      </c>
      <c r="U215" s="683"/>
      <c r="V215" s="474">
        <f t="shared" si="61"/>
        <v>0</v>
      </c>
      <c r="W215" s="474">
        <f t="shared" si="62"/>
        <v>0</v>
      </c>
      <c r="X215" s="475">
        <f t="shared" si="63"/>
        <v>0</v>
      </c>
      <c r="Y215" s="475">
        <v>0</v>
      </c>
      <c r="Z215" s="476">
        <v>0</v>
      </c>
      <c r="AA215" s="38">
        <f t="shared" si="64"/>
        <v>0</v>
      </c>
      <c r="AB215" s="692">
        <f t="shared" si="66"/>
        <v>1076.3900000000001</v>
      </c>
      <c r="AC215" s="692">
        <f t="shared" si="67"/>
        <v>0</v>
      </c>
      <c r="AD215" s="692">
        <f t="shared" si="68"/>
        <v>0</v>
      </c>
      <c r="AE215" s="38"/>
      <c r="AF215" s="692">
        <f t="shared" si="69"/>
        <v>0</v>
      </c>
      <c r="AG215" s="692">
        <f t="shared" si="70"/>
        <v>0</v>
      </c>
      <c r="AH215" s="692">
        <f t="shared" si="71"/>
        <v>0</v>
      </c>
      <c r="AJ215" s="38">
        <f t="shared" si="58"/>
        <v>1076.3900000000001</v>
      </c>
    </row>
    <row r="216" spans="1:36">
      <c r="A216" s="21"/>
      <c r="B216" s="21" t="s">
        <v>114</v>
      </c>
      <c r="C216" s="666"/>
      <c r="D216" s="68" t="s">
        <v>591</v>
      </c>
      <c r="E216" s="679"/>
      <c r="F216" s="529">
        <f>VLOOKUP(D216,'Jan 2013 Revenue'!D:T,17,FALSE)</f>
        <v>2397.7200000000003</v>
      </c>
      <c r="G216" s="680"/>
      <c r="H216" s="680"/>
      <c r="I216" s="755"/>
      <c r="J216" s="682">
        <f t="shared" si="60"/>
        <v>2397.7200000000003</v>
      </c>
      <c r="K216" s="683"/>
      <c r="L216" s="684"/>
      <c r="M216" s="753"/>
      <c r="N216" s="683">
        <v>0</v>
      </c>
      <c r="O216" s="686"/>
      <c r="P216" s="683">
        <v>0</v>
      </c>
      <c r="Q216" s="687">
        <f t="shared" si="57"/>
        <v>0</v>
      </c>
      <c r="R216" s="688">
        <f>572.74+2024.26+510.92+888.74</f>
        <v>3996.66</v>
      </c>
      <c r="S216" s="693"/>
      <c r="T216" s="690">
        <f t="shared" si="65"/>
        <v>3996.66</v>
      </c>
      <c r="U216" s="683"/>
      <c r="V216" s="474">
        <f t="shared" si="61"/>
        <v>0</v>
      </c>
      <c r="W216" s="474">
        <f t="shared" si="62"/>
        <v>0</v>
      </c>
      <c r="X216" s="475">
        <f t="shared" si="63"/>
        <v>0</v>
      </c>
      <c r="Y216" s="475">
        <v>0</v>
      </c>
      <c r="Z216" s="476">
        <v>0</v>
      </c>
      <c r="AA216" s="38">
        <f t="shared" si="64"/>
        <v>0</v>
      </c>
      <c r="AB216" s="692">
        <f t="shared" si="66"/>
        <v>0</v>
      </c>
      <c r="AC216" s="692">
        <f t="shared" si="67"/>
        <v>0</v>
      </c>
      <c r="AD216" s="692">
        <f t="shared" si="68"/>
        <v>2397.7200000000003</v>
      </c>
      <c r="AE216" s="38"/>
      <c r="AF216" s="692">
        <f t="shared" si="69"/>
        <v>0</v>
      </c>
      <c r="AG216" s="692">
        <f t="shared" si="70"/>
        <v>0</v>
      </c>
      <c r="AH216" s="692">
        <f t="shared" si="71"/>
        <v>0</v>
      </c>
      <c r="AJ216" s="38">
        <f t="shared" si="58"/>
        <v>2397.7200000000003</v>
      </c>
    </row>
    <row r="217" spans="1:36">
      <c r="A217" s="21"/>
      <c r="B217" s="21" t="s">
        <v>114</v>
      </c>
      <c r="C217" s="672"/>
      <c r="D217" s="519" t="s">
        <v>433</v>
      </c>
      <c r="E217" s="679"/>
      <c r="F217" s="529">
        <f>VLOOKUP(D217,'Jan 2013 Revenue'!D:T,17,FALSE)</f>
        <v>0</v>
      </c>
      <c r="G217" s="680"/>
      <c r="H217" s="680"/>
      <c r="I217" s="755"/>
      <c r="J217" s="682">
        <f t="shared" si="60"/>
        <v>0</v>
      </c>
      <c r="K217" s="683"/>
      <c r="L217" s="684"/>
      <c r="M217" s="753"/>
      <c r="N217" s="683">
        <v>0</v>
      </c>
      <c r="O217" s="686"/>
      <c r="P217" s="683">
        <v>0</v>
      </c>
      <c r="Q217" s="687">
        <f t="shared" si="57"/>
        <v>0</v>
      </c>
      <c r="R217" s="688">
        <v>0</v>
      </c>
      <c r="S217" s="693"/>
      <c r="T217" s="690">
        <f t="shared" si="65"/>
        <v>0</v>
      </c>
      <c r="U217" s="683"/>
      <c r="V217" s="474">
        <f t="shared" si="61"/>
        <v>0</v>
      </c>
      <c r="W217" s="474">
        <f t="shared" si="62"/>
        <v>0</v>
      </c>
      <c r="X217" s="475">
        <f t="shared" si="63"/>
        <v>0</v>
      </c>
      <c r="Y217" s="475">
        <v>0</v>
      </c>
      <c r="Z217" s="476">
        <v>0</v>
      </c>
      <c r="AA217" s="38">
        <f t="shared" si="64"/>
        <v>0</v>
      </c>
      <c r="AB217" s="692">
        <v>0.16</v>
      </c>
      <c r="AC217" s="692">
        <f t="shared" si="67"/>
        <v>0</v>
      </c>
      <c r="AD217" s="692">
        <v>0.26</v>
      </c>
      <c r="AE217" s="38"/>
      <c r="AF217" s="692">
        <f t="shared" si="69"/>
        <v>0</v>
      </c>
      <c r="AG217" s="692">
        <f t="shared" si="70"/>
        <v>0</v>
      </c>
      <c r="AH217" s="692">
        <f t="shared" si="71"/>
        <v>0</v>
      </c>
      <c r="AJ217" s="38">
        <f t="shared" si="58"/>
        <v>0.42000000000000004</v>
      </c>
    </row>
    <row r="218" spans="1:36" s="146" customFormat="1" ht="13" thickBot="1">
      <c r="A218" s="21"/>
      <c r="B218" s="21" t="s">
        <v>110</v>
      </c>
      <c r="C218" s="666"/>
      <c r="D218" s="68" t="s">
        <v>593</v>
      </c>
      <c r="E218" s="679">
        <v>16.89</v>
      </c>
      <c r="F218" s="529">
        <f>VLOOKUP(D218,'Jan 2013 Revenue'!D:T,17,FALSE)</f>
        <v>0</v>
      </c>
      <c r="G218" s="680"/>
      <c r="H218" s="680"/>
      <c r="I218" s="755"/>
      <c r="J218" s="682">
        <f t="shared" si="60"/>
        <v>16.89</v>
      </c>
      <c r="K218" s="683"/>
      <c r="L218" s="684"/>
      <c r="M218" s="753"/>
      <c r="N218" s="683">
        <v>0</v>
      </c>
      <c r="O218" s="686"/>
      <c r="P218" s="683">
        <v>0</v>
      </c>
      <c r="Q218" s="687">
        <f t="shared" si="57"/>
        <v>0</v>
      </c>
      <c r="R218" s="688">
        <v>0</v>
      </c>
      <c r="S218" s="693"/>
      <c r="T218" s="690">
        <f t="shared" si="65"/>
        <v>0</v>
      </c>
      <c r="U218" s="683"/>
      <c r="V218" s="474">
        <f t="shared" si="61"/>
        <v>0</v>
      </c>
      <c r="W218" s="474">
        <f t="shared" si="62"/>
        <v>0</v>
      </c>
      <c r="X218" s="475">
        <f t="shared" si="63"/>
        <v>0</v>
      </c>
      <c r="Y218" s="475">
        <v>0</v>
      </c>
      <c r="Z218" s="476">
        <v>0</v>
      </c>
      <c r="AA218" s="38">
        <f t="shared" si="64"/>
        <v>0</v>
      </c>
      <c r="AB218" s="692">
        <f t="shared" si="66"/>
        <v>16.89</v>
      </c>
      <c r="AC218" s="692">
        <f t="shared" si="67"/>
        <v>0</v>
      </c>
      <c r="AD218" s="692">
        <f t="shared" si="68"/>
        <v>0</v>
      </c>
      <c r="AE218" s="38"/>
      <c r="AF218" s="692">
        <f t="shared" si="69"/>
        <v>0</v>
      </c>
      <c r="AG218" s="692">
        <f t="shared" si="70"/>
        <v>0</v>
      </c>
      <c r="AH218" s="692">
        <f t="shared" si="71"/>
        <v>0</v>
      </c>
      <c r="AJ218" s="38">
        <f t="shared" si="58"/>
        <v>16.89</v>
      </c>
    </row>
    <row r="219" spans="1:36" ht="13" thickBot="1">
      <c r="A219" s="107"/>
      <c r="B219" s="108"/>
      <c r="C219" s="673"/>
      <c r="D219" s="71" t="s">
        <v>86</v>
      </c>
      <c r="E219" s="454">
        <f t="shared" ref="E219:J219" si="72">SUM(E16:E218)</f>
        <v>638707.62000000011</v>
      </c>
      <c r="F219" s="454">
        <f t="shared" si="72"/>
        <v>-469916.77000000008</v>
      </c>
      <c r="G219" s="454">
        <f t="shared" si="72"/>
        <v>0</v>
      </c>
      <c r="H219" s="454">
        <f t="shared" si="72"/>
        <v>0</v>
      </c>
      <c r="I219" s="454">
        <f t="shared" si="72"/>
        <v>5228597.09</v>
      </c>
      <c r="J219" s="454">
        <f t="shared" si="72"/>
        <v>5397387.9400000023</v>
      </c>
      <c r="K219" s="454"/>
      <c r="L219" s="454">
        <f>SUM(L16:L218)</f>
        <v>318750.58</v>
      </c>
      <c r="M219" s="454">
        <f>SUM(M16:M218)</f>
        <v>2938000</v>
      </c>
      <c r="N219" s="454">
        <f>SUM(N16:N218)</f>
        <v>0</v>
      </c>
      <c r="O219" s="100">
        <f>SUM(O16:O218)</f>
        <v>0</v>
      </c>
      <c r="P219" s="157">
        <f>SUM(P17:P218)</f>
        <v>0</v>
      </c>
      <c r="Q219" s="100">
        <f>SUM(Q16:Q218)</f>
        <v>3256750.58</v>
      </c>
      <c r="R219" s="100">
        <f>SUM(R16:R218)</f>
        <v>2585299.59</v>
      </c>
      <c r="S219" s="708"/>
      <c r="T219" s="100">
        <f>SUM(T16:T218)</f>
        <v>-671450.98999999987</v>
      </c>
      <c r="U219" s="683"/>
      <c r="V219" s="314">
        <f>SUM(V16:V218)</f>
        <v>2966586.9</v>
      </c>
      <c r="W219" s="314">
        <f>SUM(W16:W218)</f>
        <v>226000</v>
      </c>
      <c r="X219" s="314">
        <f>SUM(X16:X218)</f>
        <v>64163.68</v>
      </c>
      <c r="Y219" s="314">
        <f>SUM(Y16:Y218)</f>
        <v>0</v>
      </c>
      <c r="Z219" s="314">
        <f>SUM(Z16:Z218)</f>
        <v>0</v>
      </c>
      <c r="AA219" s="38"/>
      <c r="AB219" s="314">
        <f>SUM(AB16:AB218)</f>
        <v>5070611.97</v>
      </c>
      <c r="AC219" s="314">
        <f>SUM(AC16:AC218)</f>
        <v>303846.24999999994</v>
      </c>
      <c r="AD219" s="314">
        <f>SUM(AD16:AD218)</f>
        <v>22930.140000000007</v>
      </c>
      <c r="AE219" s="38"/>
      <c r="AF219" s="314">
        <f>SUM(AF16:AF218)</f>
        <v>2976005.6</v>
      </c>
      <c r="AG219" s="314">
        <f>SUM(AG16:AG218)</f>
        <v>216581.3</v>
      </c>
      <c r="AH219" s="314">
        <f>SUM(AH16:AH218)</f>
        <v>64163.68</v>
      </c>
    </row>
    <row r="220" spans="1:36" ht="13" thickBot="1">
      <c r="A220" s="65"/>
      <c r="B220" s="65"/>
      <c r="C220" s="674"/>
      <c r="D220" s="141"/>
      <c r="E220" s="709" t="s">
        <v>293</v>
      </c>
      <c r="F220" s="160">
        <f>F219-E219</f>
        <v>-1108624.3900000001</v>
      </c>
      <c r="G220" s="153"/>
      <c r="H220" s="153" t="s">
        <v>225</v>
      </c>
      <c r="I220" s="153">
        <f>I219+H219+G219</f>
        <v>5228597.09</v>
      </c>
      <c r="J220" s="323"/>
      <c r="K220" s="153"/>
      <c r="L220" s="153" t="s">
        <v>296</v>
      </c>
      <c r="M220" s="100">
        <f>M219+L219</f>
        <v>3256750.58</v>
      </c>
      <c r="N220" s="153"/>
      <c r="O220" s="641"/>
      <c r="P220" s="153"/>
      <c r="Q220" s="153"/>
      <c r="R220" s="153"/>
      <c r="S220" s="153"/>
      <c r="T220" s="153"/>
      <c r="U220" s="153"/>
      <c r="V220" s="139"/>
      <c r="W220" s="139"/>
      <c r="X220" s="139"/>
      <c r="Y220" s="139"/>
      <c r="Z220" s="104"/>
      <c r="AA220" s="38"/>
      <c r="AB220" s="711"/>
      <c r="AC220" s="711"/>
      <c r="AD220" s="711"/>
      <c r="AE220" s="38"/>
      <c r="AF220" s="38"/>
      <c r="AG220" s="38"/>
      <c r="AH220" s="38"/>
    </row>
    <row r="221" spans="1:36" ht="13" thickBot="1">
      <c r="A221" s="65"/>
      <c r="B221" s="65"/>
      <c r="C221" s="674"/>
      <c r="E221" s="159"/>
      <c r="F221" s="153"/>
      <c r="G221" s="153"/>
      <c r="H221" s="153"/>
      <c r="I221" s="153"/>
      <c r="J221" s="153"/>
      <c r="K221" s="153"/>
      <c r="L221" s="153"/>
      <c r="M221" s="710"/>
      <c r="N221" s="153"/>
      <c r="O221" s="153"/>
      <c r="P221" s="153"/>
      <c r="Q221" s="153"/>
      <c r="R221" s="153"/>
      <c r="S221" s="153"/>
      <c r="T221" s="153"/>
      <c r="U221" s="153"/>
      <c r="V221" s="331" t="s">
        <v>345</v>
      </c>
      <c r="W221" s="139"/>
      <c r="X221" s="139"/>
      <c r="Y221" s="139"/>
      <c r="Z221" s="104"/>
      <c r="AA221" s="164" t="s">
        <v>633</v>
      </c>
      <c r="AB221" s="798">
        <v>-15987.37</v>
      </c>
      <c r="AC221" s="798"/>
      <c r="AD221" s="798">
        <f>-SUM(AB221)</f>
        <v>15987.37</v>
      </c>
      <c r="AE221" s="38"/>
      <c r="AF221" s="711"/>
      <c r="AG221" s="711"/>
      <c r="AH221" s="711"/>
    </row>
    <row r="222" spans="1:36" ht="17" thickTop="1" thickBot="1">
      <c r="E222" s="712"/>
      <c r="F222" s="713"/>
      <c r="G222" s="714"/>
      <c r="H222" s="715"/>
      <c r="I222" s="715"/>
      <c r="J222" s="164"/>
      <c r="K222" s="169"/>
      <c r="L222" s="233"/>
      <c r="M222" s="233"/>
      <c r="N222" s="38"/>
      <c r="O222" s="642"/>
      <c r="P222" s="139"/>
      <c r="Q222" s="139"/>
      <c r="R222" s="33"/>
      <c r="S222" s="33"/>
      <c r="T222" s="33"/>
      <c r="U222" s="169"/>
      <c r="V222" s="332"/>
      <c r="W222" s="333"/>
      <c r="X222" s="491"/>
      <c r="Y222" s="491"/>
      <c r="Z222" s="334"/>
      <c r="AA222" s="164" t="s">
        <v>634</v>
      </c>
      <c r="AB222" s="798">
        <f>-8741.07-125566.93</f>
        <v>-134308</v>
      </c>
      <c r="AC222" s="798"/>
      <c r="AD222" s="802">
        <f>-SUM(AB222)</f>
        <v>134308</v>
      </c>
      <c r="AE222" s="38"/>
      <c r="AF222" s="38"/>
      <c r="AG222" s="38"/>
      <c r="AH222" s="38"/>
    </row>
    <row r="223" spans="1:36" ht="17" thickBot="1">
      <c r="E223" s="712"/>
      <c r="F223" s="713"/>
      <c r="G223" s="714"/>
      <c r="H223" s="715"/>
      <c r="J223" s="79">
        <f>J219</f>
        <v>5397387.9400000023</v>
      </c>
      <c r="K223" s="715" t="s">
        <v>919</v>
      </c>
      <c r="L223" s="169"/>
      <c r="M223" s="493"/>
      <c r="N223" s="38"/>
      <c r="O223" s="80"/>
      <c r="P223" s="104"/>
      <c r="Q223" s="139"/>
      <c r="R223" s="33"/>
      <c r="S223" s="33"/>
      <c r="T223" s="33"/>
      <c r="U223" s="169"/>
      <c r="V223" s="487"/>
      <c r="W223" s="488"/>
      <c r="X223" s="492" t="s">
        <v>399</v>
      </c>
      <c r="Y223" s="492" t="s">
        <v>400</v>
      </c>
      <c r="Z223" s="488"/>
      <c r="AA223" s="717" t="s">
        <v>475</v>
      </c>
      <c r="AB223" s="718">
        <f>SUM(AB219:AB222)</f>
        <v>4920316.5999999996</v>
      </c>
      <c r="AC223" s="718">
        <f>AC219</f>
        <v>303846.24999999994</v>
      </c>
      <c r="AD223" s="718">
        <f>SUM(AD219:AD222)</f>
        <v>173225.51</v>
      </c>
      <c r="AE223" s="718"/>
      <c r="AF223" s="718">
        <f>AF219</f>
        <v>2976005.6</v>
      </c>
      <c r="AG223" s="718">
        <f>AG219</f>
        <v>216581.3</v>
      </c>
      <c r="AH223" s="719">
        <f>AH219</f>
        <v>64163.68</v>
      </c>
      <c r="AJ223" s="38">
        <f>SUM(AJ17:AJ222)</f>
        <v>8654107.650000006</v>
      </c>
    </row>
    <row r="224" spans="1:36" ht="15" thickBot="1">
      <c r="D224" s="143"/>
      <c r="E224" s="759"/>
      <c r="F224" s="713"/>
      <c r="G224" s="714"/>
      <c r="H224" s="720"/>
      <c r="J224" s="750">
        <f>SUM('June GL'!H2)</f>
        <v>0</v>
      </c>
      <c r="K224" s="757" t="s">
        <v>251</v>
      </c>
      <c r="L224" s="722"/>
      <c r="M224" s="642"/>
      <c r="N224" s="33"/>
      <c r="O224" s="80"/>
      <c r="P224" s="104"/>
      <c r="Q224" s="139"/>
      <c r="R224" s="33"/>
      <c r="S224" s="33"/>
      <c r="T224" s="33"/>
      <c r="U224" s="169"/>
      <c r="V224" s="158" t="s">
        <v>609</v>
      </c>
      <c r="W224" s="104" t="s">
        <v>352</v>
      </c>
      <c r="X224" s="104">
        <f>V219+W219+X219</f>
        <v>3256750.58</v>
      </c>
      <c r="Y224" s="104"/>
      <c r="Z224" s="136"/>
      <c r="AA224" s="723"/>
      <c r="AB224" s="38"/>
      <c r="AC224" s="38"/>
      <c r="AD224" s="38"/>
      <c r="AE224" s="38"/>
      <c r="AF224" s="38"/>
      <c r="AG224" s="38"/>
      <c r="AH224" s="38"/>
    </row>
    <row r="225" spans="4:34" ht="15" thickTop="1">
      <c r="D225" s="143"/>
      <c r="E225" s="712"/>
      <c r="F225" s="713"/>
      <c r="G225" s="714"/>
      <c r="H225" s="714" t="s">
        <v>249</v>
      </c>
      <c r="J225" s="173">
        <f>J224+J223</f>
        <v>5397387.9400000023</v>
      </c>
      <c r="K225" s="714" t="s">
        <v>454</v>
      </c>
      <c r="L225" s="722"/>
      <c r="M225" s="80"/>
      <c r="N225" s="104"/>
      <c r="O225" s="173"/>
      <c r="P225" s="104"/>
      <c r="Q225" s="139"/>
      <c r="R225" s="139"/>
      <c r="S225" s="139"/>
      <c r="T225" s="139"/>
      <c r="U225" s="169"/>
      <c r="V225" s="158"/>
      <c r="W225" s="104"/>
      <c r="X225" s="104"/>
      <c r="Y225" s="104"/>
      <c r="Z225" s="136"/>
      <c r="AA225" s="723"/>
      <c r="AB225" s="38"/>
      <c r="AC225" s="38"/>
      <c r="AD225" s="38" t="s">
        <v>86</v>
      </c>
      <c r="AE225" s="38"/>
      <c r="AF225" s="233">
        <f>SUM(AB223+AF223)</f>
        <v>7896322.1999999993</v>
      </c>
      <c r="AG225" s="233">
        <f t="shared" ref="AG225:AH225" si="73">SUM(AC223+AG223)</f>
        <v>520427.54999999993</v>
      </c>
      <c r="AH225" s="233">
        <f t="shared" si="73"/>
        <v>237389.19</v>
      </c>
    </row>
    <row r="226" spans="4:34" ht="14">
      <c r="D226" s="143"/>
      <c r="E226" s="712"/>
      <c r="F226" s="713">
        <f>'Oct 2012 Revenue'!M226+F220</f>
        <v>2087559.6099999999</v>
      </c>
      <c r="G226" s="714"/>
      <c r="H226" s="714"/>
      <c r="J226" s="80"/>
      <c r="K226" s="714"/>
      <c r="L226" s="722"/>
      <c r="M226" s="104"/>
      <c r="N226" s="38"/>
      <c r="O226" s="139"/>
      <c r="P226" s="104"/>
      <c r="Q226" s="139"/>
      <c r="R226" s="139"/>
      <c r="S226" s="139"/>
      <c r="T226" s="139"/>
      <c r="U226" s="169"/>
      <c r="V226" s="158" t="s">
        <v>600</v>
      </c>
      <c r="W226" s="104" t="s">
        <v>355</v>
      </c>
      <c r="X226" s="104"/>
      <c r="Y226" s="104">
        <f>V219</f>
        <v>2966586.9</v>
      </c>
      <c r="Z226" s="136"/>
      <c r="AA226" s="38"/>
      <c r="AB226" s="797" t="s">
        <v>882</v>
      </c>
      <c r="AC226" s="38"/>
      <c r="AD226" s="38"/>
      <c r="AE226" s="38"/>
      <c r="AF226" s="233"/>
      <c r="AG226" s="233"/>
      <c r="AH226" s="233"/>
    </row>
    <row r="227" spans="4:34" ht="15" thickBot="1">
      <c r="D227" s="143" t="s">
        <v>823</v>
      </c>
      <c r="E227" s="712"/>
      <c r="F227" s="713"/>
      <c r="G227" s="714"/>
      <c r="H227" s="714"/>
      <c r="J227" s="661">
        <f>M220</f>
        <v>3256750.58</v>
      </c>
      <c r="K227" s="714" t="s">
        <v>920</v>
      </c>
      <c r="L227" s="645"/>
      <c r="M227" s="173"/>
      <c r="N227" s="38"/>
      <c r="O227" s="139"/>
      <c r="P227" s="104"/>
      <c r="Q227" s="139"/>
      <c r="R227" s="726"/>
      <c r="S227" s="139"/>
      <c r="T227" s="727"/>
      <c r="U227" s="169"/>
      <c r="V227" s="158"/>
      <c r="W227" s="104" t="s">
        <v>356</v>
      </c>
      <c r="X227" s="104"/>
      <c r="Y227" s="104">
        <f>Y219</f>
        <v>0</v>
      </c>
      <c r="Z227" s="136"/>
      <c r="AA227" s="38"/>
      <c r="AB227" s="38"/>
      <c r="AC227" s="38"/>
      <c r="AD227" s="38"/>
      <c r="AE227" s="38"/>
      <c r="AF227" s="799" t="s">
        <v>897</v>
      </c>
      <c r="AG227" s="801">
        <f>SUM(AF225:AH225)</f>
        <v>8654138.9399999995</v>
      </c>
      <c r="AH227" s="800"/>
    </row>
    <row r="228" spans="4:34" ht="16" thickTop="1" thickBot="1">
      <c r="D228" s="143"/>
      <c r="E228" s="712"/>
      <c r="F228" s="713"/>
      <c r="G228" s="714"/>
      <c r="H228" s="714"/>
      <c r="J228" s="173">
        <v>0</v>
      </c>
      <c r="K228" s="714"/>
      <c r="L228" s="722"/>
      <c r="M228" s="173"/>
      <c r="N228" s="38"/>
      <c r="O228" s="33"/>
      <c r="P228" s="38"/>
      <c r="Q228" s="139"/>
      <c r="R228" s="139"/>
      <c r="S228" s="139"/>
      <c r="T228" s="139"/>
      <c r="U228" s="169"/>
      <c r="V228" s="158"/>
      <c r="W228" s="104"/>
      <c r="X228" s="104"/>
      <c r="Y228" s="104"/>
      <c r="Z228" s="136"/>
      <c r="AA228" s="38"/>
      <c r="AB228" s="38"/>
      <c r="AC228" s="38"/>
      <c r="AD228" s="38"/>
      <c r="AE228" s="38"/>
    </row>
    <row r="229" spans="4:34" ht="15" thickBot="1">
      <c r="E229" s="712"/>
      <c r="F229" s="713"/>
      <c r="G229" s="714"/>
      <c r="H229" s="714"/>
      <c r="J229" s="754">
        <f>J223+J227</f>
        <v>8654138.5200000033</v>
      </c>
      <c r="K229" s="714" t="s">
        <v>921</v>
      </c>
      <c r="L229" s="722"/>
      <c r="M229" s="173"/>
      <c r="N229" s="38"/>
      <c r="O229" s="33"/>
      <c r="P229" s="38"/>
      <c r="Q229" s="139"/>
      <c r="R229" s="139"/>
      <c r="S229" s="139"/>
      <c r="T229" s="139"/>
      <c r="U229" s="169"/>
      <c r="V229" s="158" t="s">
        <v>601</v>
      </c>
      <c r="W229" s="104" t="s">
        <v>357</v>
      </c>
      <c r="X229" s="104"/>
      <c r="Y229" s="104">
        <f>W219</f>
        <v>226000</v>
      </c>
      <c r="Z229" s="136"/>
      <c r="AA229" s="38"/>
      <c r="AB229" s="38"/>
      <c r="AC229" s="38"/>
      <c r="AD229" s="38"/>
      <c r="AE229" s="38"/>
      <c r="AF229" s="796" t="s">
        <v>857</v>
      </c>
      <c r="AG229" s="38">
        <f>AG227-AH225</f>
        <v>8416749.75</v>
      </c>
      <c r="AH229" s="38"/>
    </row>
    <row r="230" spans="4:34">
      <c r="D230" s="161"/>
      <c r="E230" s="712"/>
      <c r="F230" s="713"/>
      <c r="G230" s="714"/>
      <c r="H230" s="714"/>
      <c r="J230" s="637"/>
      <c r="K230" s="714"/>
      <c r="L230" s="173"/>
      <c r="M230" s="731"/>
      <c r="N230" s="38"/>
      <c r="O230" s="33"/>
      <c r="P230" s="38"/>
      <c r="Q230" s="139"/>
      <c r="R230" s="139"/>
      <c r="S230" s="139"/>
      <c r="T230" s="139"/>
      <c r="U230" s="169"/>
      <c r="V230" s="415"/>
      <c r="W230" s="104" t="s">
        <v>358</v>
      </c>
      <c r="X230" s="104"/>
      <c r="Y230" s="104">
        <f>Z219</f>
        <v>0</v>
      </c>
      <c r="Z230" s="136"/>
      <c r="AA230" s="38"/>
      <c r="AB230" s="38"/>
      <c r="AC230" s="38"/>
      <c r="AD230" s="38"/>
      <c r="AE230" s="38"/>
      <c r="AF230" s="38"/>
      <c r="AG230" s="38"/>
      <c r="AH230" s="38"/>
    </row>
    <row r="231" spans="4:34">
      <c r="E231" s="712"/>
      <c r="F231" s="713"/>
      <c r="G231" s="714"/>
      <c r="H231" s="714"/>
      <c r="J231" s="658">
        <f>SUM(AB223:AH223)</f>
        <v>8654138.9399999995</v>
      </c>
      <c r="K231" s="714" t="s">
        <v>518</v>
      </c>
      <c r="L231" s="732"/>
      <c r="M231" s="637"/>
      <c r="N231" s="38"/>
      <c r="O231" s="33"/>
      <c r="P231" s="38"/>
      <c r="Q231" s="139"/>
      <c r="R231" s="139"/>
      <c r="S231" s="139"/>
      <c r="T231" s="139"/>
      <c r="U231" s="169"/>
      <c r="V231" s="415"/>
      <c r="W231" s="104"/>
      <c r="X231" s="104"/>
      <c r="Y231" s="104"/>
      <c r="Z231" s="136"/>
      <c r="AA231" s="38"/>
      <c r="AB231" s="38"/>
      <c r="AC231" s="38"/>
      <c r="AD231" s="38"/>
      <c r="AE231" s="38"/>
      <c r="AF231" s="38"/>
      <c r="AG231" s="38"/>
      <c r="AH231" s="38"/>
    </row>
    <row r="232" spans="4:34" ht="13" thickBot="1">
      <c r="E232" s="712"/>
      <c r="F232" s="713"/>
      <c r="G232" s="714"/>
      <c r="H232" s="714"/>
      <c r="J232" s="169"/>
      <c r="K232" s="714" t="s">
        <v>454</v>
      </c>
      <c r="L232" s="733"/>
      <c r="M232" s="795"/>
      <c r="N232" s="38"/>
      <c r="O232" s="33"/>
      <c r="P232" s="38"/>
      <c r="Q232" s="139"/>
      <c r="R232" s="139"/>
      <c r="S232" s="139"/>
      <c r="T232" s="139"/>
      <c r="U232" s="169"/>
      <c r="V232" s="158" t="s">
        <v>602</v>
      </c>
      <c r="W232" s="488" t="s">
        <v>359</v>
      </c>
      <c r="X232" s="488"/>
      <c r="Y232" s="488">
        <f>X219</f>
        <v>64163.68</v>
      </c>
      <c r="Z232" s="414"/>
      <c r="AA232" s="38"/>
      <c r="AB232" s="38"/>
      <c r="AC232" s="38"/>
      <c r="AD232" s="38"/>
      <c r="AE232" s="38"/>
      <c r="AF232" s="38"/>
      <c r="AG232" s="38"/>
      <c r="AH232" s="38"/>
    </row>
    <row r="233" spans="4:34" ht="15" thickBot="1">
      <c r="E233" s="712"/>
      <c r="F233" s="713"/>
      <c r="G233" s="714"/>
      <c r="H233" s="714"/>
      <c r="J233" s="736"/>
      <c r="K233" s="714" t="s">
        <v>519</v>
      </c>
      <c r="L233" s="169"/>
      <c r="M233" s="169"/>
      <c r="N233" s="38"/>
      <c r="O233" s="33"/>
      <c r="P233" s="38"/>
      <c r="Q233" s="33"/>
      <c r="R233" s="33"/>
      <c r="S233" s="33"/>
      <c r="T233" s="33"/>
      <c r="U233" s="169"/>
      <c r="V233" s="416"/>
      <c r="W233" s="104"/>
      <c r="X233" s="80">
        <f>SUM(X224:X232)</f>
        <v>3256750.58</v>
      </c>
      <c r="Y233" s="80">
        <f>SUM(Y224:Y232)</f>
        <v>3256750.58</v>
      </c>
      <c r="Z233" s="136"/>
      <c r="AA233" s="38"/>
      <c r="AB233" s="38"/>
      <c r="AC233" s="38"/>
      <c r="AD233" s="38"/>
      <c r="AE233" s="38"/>
      <c r="AF233" s="38"/>
      <c r="AG233" s="38"/>
      <c r="AH233" s="38"/>
    </row>
    <row r="234" spans="4:34">
      <c r="E234" s="712"/>
      <c r="F234" s="713"/>
      <c r="G234" s="714"/>
      <c r="H234" s="714"/>
      <c r="I234" s="714"/>
      <c r="J234" s="169"/>
      <c r="K234" s="169"/>
      <c r="L234" s="169"/>
      <c r="M234" s="169"/>
      <c r="N234" s="38"/>
      <c r="O234" s="33"/>
      <c r="P234" s="38"/>
      <c r="Q234" s="33"/>
      <c r="R234" s="33"/>
      <c r="S234" s="33"/>
      <c r="T234" s="33"/>
      <c r="U234" s="169"/>
      <c r="V234" s="416"/>
      <c r="W234" s="104"/>
      <c r="X234" s="104"/>
      <c r="Y234" s="104"/>
      <c r="Z234" s="136"/>
      <c r="AA234" s="38"/>
      <c r="AB234" s="38"/>
      <c r="AC234" s="38"/>
      <c r="AD234" s="38"/>
      <c r="AE234" s="38"/>
      <c r="AF234" s="38"/>
      <c r="AG234" s="38"/>
      <c r="AH234" s="38"/>
    </row>
    <row r="235" spans="4:34" ht="13" thickBot="1">
      <c r="E235" s="712"/>
      <c r="F235" s="713"/>
      <c r="G235" s="714"/>
      <c r="H235" s="714"/>
      <c r="I235" s="714"/>
      <c r="J235" s="169"/>
      <c r="K235" s="169"/>
      <c r="L235" s="169"/>
      <c r="M235" s="169"/>
      <c r="N235" s="38"/>
      <c r="O235" s="33"/>
      <c r="P235" s="38"/>
      <c r="Q235" s="33"/>
      <c r="R235" s="33"/>
      <c r="S235" s="33"/>
      <c r="T235" s="33"/>
      <c r="U235" s="169"/>
      <c r="V235" s="330"/>
      <c r="W235" s="279"/>
      <c r="X235" s="279"/>
      <c r="Y235" s="279"/>
      <c r="Z235" s="280"/>
      <c r="AA235" s="38"/>
      <c r="AB235" s="38"/>
      <c r="AC235" s="38"/>
      <c r="AD235" s="38"/>
      <c r="AE235" s="38"/>
      <c r="AF235" s="38"/>
      <c r="AG235" s="38"/>
      <c r="AH235" s="38"/>
    </row>
    <row r="236" spans="4:34">
      <c r="E236" s="712"/>
      <c r="F236" s="713"/>
      <c r="G236" s="714"/>
      <c r="H236" s="714"/>
      <c r="I236" s="714"/>
      <c r="J236" s="169"/>
      <c r="K236" s="169"/>
      <c r="L236" s="169"/>
      <c r="M236" s="169"/>
      <c r="N236" s="38"/>
      <c r="O236" s="33"/>
      <c r="P236" s="38"/>
      <c r="Q236" s="33"/>
      <c r="R236" s="33"/>
      <c r="S236" s="33"/>
      <c r="T236" s="33"/>
      <c r="U236" s="169"/>
      <c r="V236" s="104"/>
      <c r="W236" s="104"/>
      <c r="X236" s="104"/>
      <c r="Y236" s="104"/>
      <c r="Z236" s="104"/>
      <c r="AA236" s="38"/>
      <c r="AB236" s="38"/>
      <c r="AC236" s="38"/>
      <c r="AD236" s="38"/>
      <c r="AE236" s="38"/>
      <c r="AF236" s="38"/>
      <c r="AG236" s="38"/>
      <c r="AH236" s="38"/>
    </row>
    <row r="237" spans="4:34">
      <c r="E237" s="712"/>
      <c r="F237" s="713"/>
      <c r="G237" s="714"/>
      <c r="H237" s="714"/>
      <c r="I237" s="714"/>
      <c r="J237" s="169"/>
      <c r="K237" s="169"/>
      <c r="L237" s="169"/>
      <c r="M237" s="169"/>
      <c r="N237" s="38"/>
      <c r="O237" s="33"/>
      <c r="P237" s="38"/>
      <c r="Q237" s="33"/>
      <c r="R237" s="33"/>
      <c r="S237" s="33"/>
      <c r="T237" s="33"/>
      <c r="U237" s="169"/>
      <c r="AA237" s="38"/>
      <c r="AB237" s="38"/>
      <c r="AC237" s="38"/>
      <c r="AD237" s="38"/>
      <c r="AE237" s="38"/>
      <c r="AF237" s="38"/>
      <c r="AG237" s="38"/>
      <c r="AH237" s="38"/>
    </row>
    <row r="238" spans="4:34">
      <c r="E238" s="712"/>
      <c r="F238" s="713"/>
      <c r="G238" s="714"/>
      <c r="H238" s="714"/>
      <c r="I238" s="714"/>
      <c r="J238" s="169"/>
      <c r="K238" s="169"/>
      <c r="L238" s="169"/>
      <c r="M238" s="169"/>
      <c r="N238" s="38"/>
      <c r="O238" s="33"/>
      <c r="P238" s="38"/>
      <c r="Q238" s="33"/>
      <c r="R238" s="33"/>
      <c r="S238" s="33"/>
      <c r="T238" s="33"/>
      <c r="U238" s="169"/>
      <c r="AA238" s="38"/>
      <c r="AB238" s="38"/>
      <c r="AC238" s="38"/>
      <c r="AD238" s="38"/>
      <c r="AE238" s="38"/>
      <c r="AF238" s="38"/>
      <c r="AG238" s="38"/>
      <c r="AH238" s="38"/>
    </row>
    <row r="239" spans="4:34">
      <c r="E239" s="712"/>
      <c r="F239" s="713"/>
      <c r="G239" s="714"/>
      <c r="H239" s="714"/>
      <c r="I239" s="714"/>
      <c r="J239" s="169"/>
      <c r="K239" s="169"/>
      <c r="L239" s="169"/>
      <c r="M239" s="169"/>
      <c r="N239" s="38"/>
      <c r="O239" s="33"/>
      <c r="P239" s="38"/>
      <c r="Q239" s="33"/>
      <c r="R239" s="33"/>
      <c r="S239" s="33"/>
      <c r="T239" s="33"/>
      <c r="U239" s="169"/>
      <c r="AA239" s="38"/>
      <c r="AB239" s="38"/>
      <c r="AC239" s="38"/>
      <c r="AD239" s="38"/>
      <c r="AE239" s="38"/>
      <c r="AF239" s="38"/>
      <c r="AG239" s="38"/>
      <c r="AH239" s="38"/>
    </row>
    <row r="240" spans="4:34">
      <c r="E240" s="712"/>
      <c r="F240" s="713"/>
      <c r="G240" s="714"/>
      <c r="H240" s="714"/>
      <c r="I240" s="714"/>
      <c r="J240" s="169"/>
      <c r="K240" s="169"/>
      <c r="L240" s="169"/>
      <c r="M240" s="169"/>
      <c r="N240" s="38"/>
      <c r="O240" s="33"/>
      <c r="P240" s="38"/>
      <c r="Q240" s="33"/>
      <c r="R240" s="33"/>
      <c r="S240" s="33"/>
      <c r="T240" s="33"/>
      <c r="U240" s="169"/>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AA241" s="38"/>
      <c r="AB241" s="38"/>
      <c r="AC241" s="38"/>
      <c r="AD241" s="38"/>
      <c r="AE241" s="38"/>
      <c r="AF241" s="38"/>
      <c r="AG241" s="38"/>
      <c r="AH241" s="38"/>
    </row>
    <row r="242" spans="5:34">
      <c r="E242" s="712"/>
      <c r="F242" s="713"/>
      <c r="G242" s="714"/>
      <c r="H242" s="714"/>
      <c r="I242" s="714"/>
      <c r="J242" s="169"/>
      <c r="K242" s="169"/>
      <c r="L242" s="169"/>
      <c r="M242" s="169"/>
      <c r="N242" s="38"/>
      <c r="O242" s="33"/>
      <c r="P242" s="38"/>
      <c r="Q242" s="33"/>
      <c r="R242" s="33"/>
      <c r="S242" s="33"/>
      <c r="T242" s="33"/>
      <c r="U242" s="169"/>
      <c r="AA242" s="38"/>
      <c r="AB242" s="38"/>
      <c r="AC242" s="38"/>
      <c r="AD242" s="38"/>
      <c r="AE242" s="38"/>
      <c r="AF242" s="38"/>
      <c r="AG242" s="38"/>
      <c r="AH242" s="38"/>
    </row>
  </sheetData>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42"/>
  <sheetViews>
    <sheetView topLeftCell="D148" workbookViewId="0">
      <selection activeCell="R178" sqref="R178:R179"/>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7.3984375" style="146" customWidth="1"/>
    <col min="16" max="16" width="1.796875" style="16" customWidth="1"/>
    <col min="17" max="18" width="15.3984375" style="146" customWidth="1"/>
    <col min="19" max="19" width="1.796875" style="146" customWidth="1"/>
    <col min="20" max="20" width="15.3984375" style="146" customWidth="1"/>
    <col min="21" max="21" width="1.796875" style="24" customWidth="1"/>
    <col min="22" max="26" width="15.3984375" style="38" customWidth="1"/>
    <col min="27" max="27" width="15.3984375" style="16" customWidth="1"/>
    <col min="28" max="29" width="15.3984375" style="559" customWidth="1"/>
    <col min="30" max="30" width="15.796875" style="559" customWidth="1"/>
    <col min="31" max="31" width="2.3984375" style="559" customWidth="1"/>
    <col min="32" max="33" width="14.796875" style="559" bestFit="1" customWidth="1"/>
    <col min="34" max="34" width="14.19921875" style="559" customWidth="1"/>
    <col min="35" max="35" width="9.3984375" style="16"/>
    <col min="36" max="36" width="14.796875" style="16" bestFit="1" customWidth="1"/>
    <col min="37" max="16384" width="9.398437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898</v>
      </c>
      <c r="F3" s="29"/>
      <c r="G3" s="18"/>
      <c r="H3" s="168"/>
      <c r="I3" s="168"/>
      <c r="J3" s="169"/>
      <c r="K3" s="169"/>
      <c r="L3" s="169"/>
      <c r="M3" s="169"/>
      <c r="N3" s="169"/>
    </row>
    <row r="4" spans="1:34">
      <c r="D4" s="148"/>
      <c r="G4" s="164"/>
      <c r="H4" s="168"/>
      <c r="I4" s="168"/>
      <c r="J4" s="169"/>
      <c r="K4" s="169"/>
      <c r="L4" s="169"/>
      <c r="M4" s="169"/>
      <c r="N4" s="169"/>
    </row>
    <row r="5" spans="1:34" ht="13"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3" thickBot="1">
      <c r="B12" s="469"/>
      <c r="C12" s="670"/>
      <c r="D12" s="470" t="s">
        <v>103</v>
      </c>
      <c r="E12" s="471" t="s">
        <v>101</v>
      </c>
      <c r="F12" s="29"/>
      <c r="G12" s="166"/>
      <c r="H12" s="150"/>
      <c r="I12" s="150"/>
      <c r="J12" s="76"/>
    </row>
    <row r="13" spans="1:34" ht="13" thickBot="1">
      <c r="A13" s="152"/>
      <c r="B13" s="152"/>
      <c r="C13" s="67"/>
      <c r="D13" s="54"/>
      <c r="E13" s="34"/>
      <c r="G13" s="167"/>
      <c r="H13" s="49"/>
      <c r="I13" s="49"/>
      <c r="J13" s="50"/>
      <c r="K13" s="50"/>
      <c r="L13" s="50"/>
      <c r="M13" s="745"/>
      <c r="N13" s="146"/>
      <c r="P13" s="146"/>
      <c r="U13" s="50"/>
      <c r="V13" s="33"/>
      <c r="W13" s="33"/>
      <c r="X13" s="33"/>
      <c r="Y13" s="33"/>
    </row>
    <row r="14" spans="1:34" ht="13" thickBot="1">
      <c r="D14" s="526"/>
      <c r="E14" s="582" t="s">
        <v>899</v>
      </c>
      <c r="F14" s="583" t="s">
        <v>429</v>
      </c>
      <c r="G14" s="96"/>
      <c r="H14" s="96"/>
      <c r="I14" s="96"/>
      <c r="J14" s="96" t="s">
        <v>222</v>
      </c>
      <c r="K14" s="581"/>
      <c r="L14" s="96" t="s">
        <v>222</v>
      </c>
      <c r="M14" s="96" t="s">
        <v>222</v>
      </c>
      <c r="N14" s="93"/>
      <c r="O14" s="96"/>
      <c r="P14" s="93"/>
      <c r="Q14" s="13"/>
      <c r="R14" s="96"/>
      <c r="S14" s="101"/>
      <c r="T14" s="96"/>
      <c r="U14" s="93"/>
      <c r="V14" s="96"/>
      <c r="W14" s="96"/>
      <c r="X14" s="304"/>
      <c r="Y14" s="304"/>
      <c r="Z14" s="304"/>
      <c r="AC14" s="560" t="s">
        <v>266</v>
      </c>
      <c r="AG14" s="561" t="s">
        <v>267</v>
      </c>
    </row>
    <row r="15" spans="1:34" ht="13" thickBot="1">
      <c r="A15" s="22" t="s">
        <v>95</v>
      </c>
      <c r="B15" s="22" t="s">
        <v>100</v>
      </c>
      <c r="C15" s="36" t="s">
        <v>522</v>
      </c>
      <c r="D15" s="36" t="s">
        <v>67</v>
      </c>
      <c r="E15" s="450" t="s">
        <v>230</v>
      </c>
      <c r="F15" s="528" t="s">
        <v>229</v>
      </c>
      <c r="G15" s="176" t="s">
        <v>288</v>
      </c>
      <c r="H15" s="545" t="s">
        <v>289</v>
      </c>
      <c r="I15" s="758" t="s">
        <v>222</v>
      </c>
      <c r="J15" s="313" t="s">
        <v>105</v>
      </c>
      <c r="K15" s="93"/>
      <c r="L15" s="94" t="s">
        <v>104</v>
      </c>
      <c r="M15" s="95" t="s">
        <v>106</v>
      </c>
      <c r="N15" s="102"/>
      <c r="O15" s="427" t="s">
        <v>839</v>
      </c>
      <c r="P15" s="102"/>
      <c r="Q15" s="313" t="s">
        <v>900</v>
      </c>
      <c r="R15" s="156" t="s">
        <v>901</v>
      </c>
      <c r="S15" s="149"/>
      <c r="T15" s="327" t="s">
        <v>872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VLOOKUP(D16,'Dec 2012 Revenue'!D:T,17,FALSE)</f>
        <v>0</v>
      </c>
      <c r="G16" s="680"/>
      <c r="H16" s="680"/>
      <c r="I16" s="755"/>
      <c r="J16" s="682">
        <f t="shared" ref="J16:J40" si="0">SUM(E16:I16)</f>
        <v>0</v>
      </c>
      <c r="K16" s="683"/>
      <c r="L16" s="684"/>
      <c r="M16" s="753"/>
      <c r="N16" s="683">
        <v>0</v>
      </c>
      <c r="O16" s="686"/>
      <c r="P16" s="683">
        <v>0</v>
      </c>
      <c r="Q16" s="687">
        <f t="shared" ref="Q16:Q137" si="1">L16+M16</f>
        <v>0</v>
      </c>
      <c r="R16" s="688">
        <v>0</v>
      </c>
      <c r="S16" s="689"/>
      <c r="T16" s="690">
        <f t="shared" ref="T16:T80" si="2">IF(R16="","",R16-Q16)</f>
        <v>0</v>
      </c>
      <c r="U16" s="691"/>
      <c r="V16" s="474">
        <f t="shared" ref="V16:V76" si="3">IF(B16="D",Q16,0)</f>
        <v>0</v>
      </c>
      <c r="W16" s="474">
        <f t="shared" ref="W16:W76" si="4">IF(B16="M",Q16,0)</f>
        <v>0</v>
      </c>
      <c r="X16" s="475">
        <f t="shared" ref="X16:X76" si="5">IF(B16="V",Q16,0)</f>
        <v>0</v>
      </c>
      <c r="Y16" s="475">
        <v>0</v>
      </c>
      <c r="Z16" s="476">
        <v>0</v>
      </c>
      <c r="AA16" s="38">
        <f t="shared" ref="AA16:AA76" si="6">(L16+M16)-(V16+W16+X16+Y16+Z16)</f>
        <v>0</v>
      </c>
      <c r="AB16" s="692">
        <f t="shared" ref="AB16:AB75" si="7">IF(B16="D",J16,0)</f>
        <v>0</v>
      </c>
      <c r="AC16" s="692">
        <f t="shared" ref="AC16:AC75" si="8">IF(B16="M",J16,0)</f>
        <v>0</v>
      </c>
      <c r="AD16" s="692">
        <f t="shared" ref="AD16:AD75" si="9">IF(B16="V",J16,0)</f>
        <v>0</v>
      </c>
      <c r="AE16" s="38"/>
      <c r="AF16" s="692">
        <f t="shared" ref="AF16:AF75" si="10">IF(B16="D",Q16,0)</f>
        <v>0</v>
      </c>
      <c r="AG16" s="692">
        <f t="shared" ref="AG16:AG75" si="11">IF(B16="M",Q16,0)</f>
        <v>0</v>
      </c>
      <c r="AH16" s="692">
        <f t="shared" ref="AH16:AH75" si="12">IF(B16="V",Q16,0)</f>
        <v>0</v>
      </c>
    </row>
    <row r="17" spans="1:36">
      <c r="A17" s="20" t="s">
        <v>109</v>
      </c>
      <c r="B17" s="20" t="s">
        <v>110</v>
      </c>
      <c r="C17" s="671" t="s">
        <v>523</v>
      </c>
      <c r="D17" s="123" t="s">
        <v>317</v>
      </c>
      <c r="E17" s="679"/>
      <c r="F17" s="529">
        <f>VLOOKUP(D17,'Dec 2012 Revenue'!D:T,17,FALSE)</f>
        <v>888.45000000000073</v>
      </c>
      <c r="G17" s="680"/>
      <c r="H17" s="680"/>
      <c r="I17" s="755"/>
      <c r="J17" s="682">
        <f t="shared" si="0"/>
        <v>888.45000000000073</v>
      </c>
      <c r="K17" s="683"/>
      <c r="L17" s="684"/>
      <c r="M17" s="753">
        <v>30000</v>
      </c>
      <c r="N17" s="683">
        <v>0</v>
      </c>
      <c r="O17" s="686"/>
      <c r="P17" s="683">
        <v>0</v>
      </c>
      <c r="Q17" s="687">
        <f t="shared" si="1"/>
        <v>30000</v>
      </c>
      <c r="R17" s="688">
        <v>36459.050000000003</v>
      </c>
      <c r="S17" s="693"/>
      <c r="T17" s="690">
        <f t="shared" si="2"/>
        <v>6459.0500000000029</v>
      </c>
      <c r="U17" s="683"/>
      <c r="V17" s="474">
        <f t="shared" si="3"/>
        <v>30000</v>
      </c>
      <c r="W17" s="474">
        <f t="shared" si="4"/>
        <v>0</v>
      </c>
      <c r="X17" s="475">
        <f t="shared" si="5"/>
        <v>0</v>
      </c>
      <c r="Y17" s="475">
        <v>0</v>
      </c>
      <c r="Z17" s="476">
        <v>0</v>
      </c>
      <c r="AA17" s="38">
        <f t="shared" si="6"/>
        <v>0</v>
      </c>
      <c r="AB17" s="692">
        <f t="shared" si="7"/>
        <v>888.45000000000073</v>
      </c>
      <c r="AC17" s="692">
        <f t="shared" si="8"/>
        <v>0</v>
      </c>
      <c r="AD17" s="692">
        <f t="shared" si="9"/>
        <v>0</v>
      </c>
      <c r="AE17" s="38"/>
      <c r="AF17" s="692">
        <f>IF(B17="D",Q17,0)+10000-581.3</f>
        <v>39418.699999999997</v>
      </c>
      <c r="AG17" s="692">
        <f t="shared" si="11"/>
        <v>0</v>
      </c>
      <c r="AH17" s="692">
        <f t="shared" si="12"/>
        <v>0</v>
      </c>
      <c r="AJ17" s="38">
        <f>SUM(AB17:AH17)</f>
        <v>40307.149999999994</v>
      </c>
    </row>
    <row r="18" spans="1:36">
      <c r="A18" s="20" t="s">
        <v>109</v>
      </c>
      <c r="B18" s="20" t="s">
        <v>109</v>
      </c>
      <c r="C18" s="671" t="s">
        <v>523</v>
      </c>
      <c r="D18" s="68" t="s">
        <v>393</v>
      </c>
      <c r="E18" s="679"/>
      <c r="F18" s="529">
        <f>VLOOKUP(D18,'Dec 2012 Revenue'!D:T,17,FALSE)</f>
        <v>-6243.4500000000007</v>
      </c>
      <c r="G18" s="680"/>
      <c r="H18" s="680"/>
      <c r="I18" s="755"/>
      <c r="J18" s="682">
        <f t="shared" si="0"/>
        <v>-6243.4500000000007</v>
      </c>
      <c r="K18" s="683"/>
      <c r="L18" s="684"/>
      <c r="M18" s="753">
        <v>10000</v>
      </c>
      <c r="N18" s="683">
        <v>0</v>
      </c>
      <c r="O18" s="686"/>
      <c r="P18" s="683">
        <v>0</v>
      </c>
      <c r="Q18" s="687">
        <f t="shared" si="1"/>
        <v>10000</v>
      </c>
      <c r="R18" s="688">
        <f>7674.12+1369.56</f>
        <v>9043.68</v>
      </c>
      <c r="S18" s="693"/>
      <c r="T18" s="690">
        <f t="shared" si="2"/>
        <v>-956.31999999999971</v>
      </c>
      <c r="U18" s="683"/>
      <c r="V18" s="474">
        <f t="shared" si="3"/>
        <v>0</v>
      </c>
      <c r="W18" s="474">
        <f t="shared" si="4"/>
        <v>10000</v>
      </c>
      <c r="X18" s="475">
        <f t="shared" si="5"/>
        <v>0</v>
      </c>
      <c r="Y18" s="475">
        <v>0</v>
      </c>
      <c r="Z18" s="476">
        <v>0</v>
      </c>
      <c r="AA18" s="38">
        <f t="shared" si="6"/>
        <v>0</v>
      </c>
      <c r="AB18" s="692">
        <f t="shared" si="7"/>
        <v>0</v>
      </c>
      <c r="AC18" s="692">
        <f t="shared" si="8"/>
        <v>-6243.4500000000007</v>
      </c>
      <c r="AD18" s="692">
        <f t="shared" si="9"/>
        <v>0</v>
      </c>
      <c r="AE18" s="38"/>
      <c r="AF18" s="692">
        <f t="shared" si="10"/>
        <v>0</v>
      </c>
      <c r="AG18" s="692">
        <f>IF(B18="M",Q18,0)-10000+581.3</f>
        <v>581.29999999999995</v>
      </c>
      <c r="AH18" s="692">
        <f t="shared" si="12"/>
        <v>0</v>
      </c>
      <c r="AJ18" s="38">
        <f t="shared" ref="AJ18:AJ77" si="13">SUM(AB18:AH18)</f>
        <v>-5662.1500000000005</v>
      </c>
    </row>
    <row r="19" spans="1:36">
      <c r="A19" s="20" t="s">
        <v>109</v>
      </c>
      <c r="B19" s="20" t="s">
        <v>109</v>
      </c>
      <c r="C19" s="671" t="s">
        <v>523</v>
      </c>
      <c r="D19" s="68" t="s">
        <v>129</v>
      </c>
      <c r="E19" s="679"/>
      <c r="F19" s="529">
        <f>VLOOKUP(D19,'Dec 2012 Revenue'!D:T,17,FALSE)</f>
        <v>25.25</v>
      </c>
      <c r="G19" s="680"/>
      <c r="H19" s="680"/>
      <c r="I19" s="755"/>
      <c r="J19" s="682">
        <f t="shared" si="0"/>
        <v>25.25</v>
      </c>
      <c r="K19" s="683"/>
      <c r="L19" s="684"/>
      <c r="M19" s="753"/>
      <c r="N19" s="683">
        <v>0</v>
      </c>
      <c r="O19" s="686"/>
      <c r="P19" s="683">
        <v>0</v>
      </c>
      <c r="Q19" s="687">
        <f t="shared" si="1"/>
        <v>0</v>
      </c>
      <c r="R19" s="688">
        <v>5.03</v>
      </c>
      <c r="S19" s="693"/>
      <c r="T19" s="690">
        <f t="shared" si="2"/>
        <v>5.03</v>
      </c>
      <c r="U19" s="683"/>
      <c r="V19" s="474">
        <f t="shared" si="3"/>
        <v>0</v>
      </c>
      <c r="W19" s="474">
        <f t="shared" si="4"/>
        <v>0</v>
      </c>
      <c r="X19" s="475">
        <f t="shared" si="5"/>
        <v>0</v>
      </c>
      <c r="Y19" s="475">
        <v>0</v>
      </c>
      <c r="Z19" s="476">
        <v>0</v>
      </c>
      <c r="AA19" s="38">
        <f t="shared" si="6"/>
        <v>0</v>
      </c>
      <c r="AB19" s="692">
        <f t="shared" si="7"/>
        <v>0</v>
      </c>
      <c r="AC19" s="692">
        <f t="shared" si="8"/>
        <v>25.25</v>
      </c>
      <c r="AD19" s="692">
        <f t="shared" si="9"/>
        <v>0</v>
      </c>
      <c r="AE19" s="38"/>
      <c r="AF19" s="692">
        <f t="shared" si="10"/>
        <v>0</v>
      </c>
      <c r="AG19" s="692">
        <f t="shared" si="11"/>
        <v>0</v>
      </c>
      <c r="AH19" s="692">
        <f t="shared" si="12"/>
        <v>0</v>
      </c>
      <c r="AJ19" s="38">
        <f t="shared" si="13"/>
        <v>25.25</v>
      </c>
    </row>
    <row r="20" spans="1:36">
      <c r="A20" s="20" t="s">
        <v>109</v>
      </c>
      <c r="B20" s="20" t="s">
        <v>109</v>
      </c>
      <c r="C20" s="671" t="s">
        <v>523</v>
      </c>
      <c r="D20" s="351" t="s">
        <v>878</v>
      </c>
      <c r="E20" s="679">
        <f>636.9</f>
        <v>636.9</v>
      </c>
      <c r="F20" s="529">
        <f>VLOOKUP(D20,'Dec 2012 Revenue'!D:T,17,FALSE)</f>
        <v>0</v>
      </c>
      <c r="G20" s="680"/>
      <c r="H20" s="680"/>
      <c r="I20" s="755"/>
      <c r="J20" s="682">
        <f t="shared" si="0"/>
        <v>636.9</v>
      </c>
      <c r="K20" s="683"/>
      <c r="L20" s="684"/>
      <c r="M20" s="753"/>
      <c r="N20" s="683">
        <v>0</v>
      </c>
      <c r="O20" s="686"/>
      <c r="P20" s="683">
        <v>0</v>
      </c>
      <c r="Q20" s="687">
        <f t="shared" si="1"/>
        <v>0</v>
      </c>
      <c r="R20" s="688">
        <v>1119.1500000000001</v>
      </c>
      <c r="S20" s="693"/>
      <c r="T20" s="690">
        <f t="shared" si="2"/>
        <v>1119.1500000000001</v>
      </c>
      <c r="U20" s="683"/>
      <c r="V20" s="474">
        <f t="shared" si="3"/>
        <v>0</v>
      </c>
      <c r="W20" s="474">
        <f t="shared" si="4"/>
        <v>0</v>
      </c>
      <c r="X20" s="475">
        <f t="shared" si="5"/>
        <v>0</v>
      </c>
      <c r="Y20" s="475">
        <v>0</v>
      </c>
      <c r="Z20" s="476">
        <v>0</v>
      </c>
      <c r="AA20" s="38">
        <f t="shared" si="6"/>
        <v>0</v>
      </c>
      <c r="AB20" s="692">
        <f t="shared" si="7"/>
        <v>0</v>
      </c>
      <c r="AC20" s="692">
        <f t="shared" si="8"/>
        <v>636.9</v>
      </c>
      <c r="AD20" s="692">
        <f t="shared" si="9"/>
        <v>0</v>
      </c>
      <c r="AE20" s="38"/>
      <c r="AF20" s="692">
        <f t="shared" si="10"/>
        <v>0</v>
      </c>
      <c r="AG20" s="692">
        <f t="shared" si="11"/>
        <v>0</v>
      </c>
      <c r="AH20" s="692">
        <f t="shared" si="12"/>
        <v>0</v>
      </c>
      <c r="AJ20" s="38">
        <f t="shared" si="13"/>
        <v>636.9</v>
      </c>
    </row>
    <row r="21" spans="1:36">
      <c r="A21" s="20"/>
      <c r="B21" s="20" t="s">
        <v>110</v>
      </c>
      <c r="C21" s="667" t="s">
        <v>524</v>
      </c>
      <c r="D21" s="123" t="s">
        <v>380</v>
      </c>
      <c r="E21" s="679"/>
      <c r="F21" s="529">
        <f>VLOOKUP(D21,'Dec 2012 Revenue'!D:T,17,FALSE)</f>
        <v>0</v>
      </c>
      <c r="G21" s="680"/>
      <c r="H21" s="680"/>
      <c r="I21" s="770">
        <v>3893.47</v>
      </c>
      <c r="J21" s="682">
        <f t="shared" si="0"/>
        <v>3893.47</v>
      </c>
      <c r="K21" s="683"/>
      <c r="L21" s="684"/>
      <c r="M21" s="753"/>
      <c r="N21" s="683">
        <v>0</v>
      </c>
      <c r="O21" s="686"/>
      <c r="P21" s="683">
        <v>0</v>
      </c>
      <c r="Q21" s="687">
        <f t="shared" si="1"/>
        <v>0</v>
      </c>
      <c r="R21" s="688">
        <v>0</v>
      </c>
      <c r="S21" s="693"/>
      <c r="T21" s="690">
        <f t="shared" si="2"/>
        <v>0</v>
      </c>
      <c r="U21" s="683"/>
      <c r="V21" s="474">
        <f t="shared" si="3"/>
        <v>0</v>
      </c>
      <c r="W21" s="474">
        <f t="shared" si="4"/>
        <v>0</v>
      </c>
      <c r="X21" s="475">
        <f t="shared" si="5"/>
        <v>0</v>
      </c>
      <c r="Y21" s="475">
        <v>0</v>
      </c>
      <c r="Z21" s="476">
        <v>0</v>
      </c>
      <c r="AA21" s="38">
        <f t="shared" si="6"/>
        <v>0</v>
      </c>
      <c r="AB21" s="692">
        <f t="shared" si="7"/>
        <v>3893.47</v>
      </c>
      <c r="AC21" s="692">
        <f t="shared" si="8"/>
        <v>0</v>
      </c>
      <c r="AD21" s="692">
        <f t="shared" si="9"/>
        <v>0</v>
      </c>
      <c r="AE21" s="38"/>
      <c r="AF21" s="692">
        <f t="shared" si="10"/>
        <v>0</v>
      </c>
      <c r="AG21" s="692">
        <f t="shared" si="11"/>
        <v>0</v>
      </c>
      <c r="AH21" s="692">
        <f t="shared" si="12"/>
        <v>0</v>
      </c>
      <c r="AJ21" s="38">
        <f t="shared" si="13"/>
        <v>3893.47</v>
      </c>
    </row>
    <row r="22" spans="1:36">
      <c r="A22" s="20"/>
      <c r="B22" s="20" t="s">
        <v>110</v>
      </c>
      <c r="C22" s="667" t="s">
        <v>524</v>
      </c>
      <c r="D22" s="123" t="s">
        <v>132</v>
      </c>
      <c r="E22" s="679"/>
      <c r="F22" s="529">
        <f>VLOOKUP(D22,'Dec 2012 Revenue'!D:T,17,FALSE)</f>
        <v>0</v>
      </c>
      <c r="G22" s="680"/>
      <c r="H22" s="680"/>
      <c r="I22" s="770">
        <v>4997.08</v>
      </c>
      <c r="J22" s="682">
        <f t="shared" si="0"/>
        <v>4997.08</v>
      </c>
      <c r="K22" s="683"/>
      <c r="L22" s="684"/>
      <c r="M22" s="753"/>
      <c r="N22" s="683">
        <v>0</v>
      </c>
      <c r="O22" s="686"/>
      <c r="P22" s="683">
        <v>0</v>
      </c>
      <c r="Q22" s="687">
        <f t="shared" si="1"/>
        <v>0</v>
      </c>
      <c r="R22" s="688">
        <v>0</v>
      </c>
      <c r="S22" s="693"/>
      <c r="T22" s="690">
        <f t="shared" si="2"/>
        <v>0</v>
      </c>
      <c r="U22" s="683"/>
      <c r="V22" s="474">
        <f t="shared" si="3"/>
        <v>0</v>
      </c>
      <c r="W22" s="474">
        <f t="shared" si="4"/>
        <v>0</v>
      </c>
      <c r="X22" s="475">
        <f t="shared" si="5"/>
        <v>0</v>
      </c>
      <c r="Y22" s="475">
        <v>0</v>
      </c>
      <c r="Z22" s="476">
        <v>0</v>
      </c>
      <c r="AA22" s="38">
        <f t="shared" si="6"/>
        <v>0</v>
      </c>
      <c r="AB22" s="692">
        <f t="shared" si="7"/>
        <v>4997.08</v>
      </c>
      <c r="AC22" s="692">
        <f t="shared" si="8"/>
        <v>0</v>
      </c>
      <c r="AD22" s="692">
        <f t="shared" si="9"/>
        <v>0</v>
      </c>
      <c r="AE22" s="38"/>
      <c r="AF22" s="692">
        <f t="shared" si="10"/>
        <v>0</v>
      </c>
      <c r="AG22" s="692">
        <f t="shared" si="11"/>
        <v>0</v>
      </c>
      <c r="AH22" s="692">
        <f t="shared" si="12"/>
        <v>0</v>
      </c>
      <c r="AJ22" s="38">
        <f t="shared" si="13"/>
        <v>4997.08</v>
      </c>
    </row>
    <row r="23" spans="1:36">
      <c r="A23" s="20"/>
      <c r="B23" s="20" t="s">
        <v>110</v>
      </c>
      <c r="C23" s="667" t="s">
        <v>524</v>
      </c>
      <c r="D23" s="123" t="s">
        <v>133</v>
      </c>
      <c r="E23" s="679"/>
      <c r="F23" s="529">
        <f>VLOOKUP(D23,'Dec 2012 Revenue'!D:T,17,FALSE)</f>
        <v>0</v>
      </c>
      <c r="G23" s="680"/>
      <c r="H23" s="680"/>
      <c r="I23" s="770">
        <v>6618.2</v>
      </c>
      <c r="J23" s="682">
        <f t="shared" si="0"/>
        <v>6618.2</v>
      </c>
      <c r="K23" s="683"/>
      <c r="L23" s="684"/>
      <c r="M23" s="753"/>
      <c r="N23" s="683">
        <v>0</v>
      </c>
      <c r="O23" s="686"/>
      <c r="P23" s="683">
        <v>0</v>
      </c>
      <c r="Q23" s="687">
        <f t="shared" si="1"/>
        <v>0</v>
      </c>
      <c r="R23" s="688">
        <v>0</v>
      </c>
      <c r="S23" s="693"/>
      <c r="T23" s="690">
        <f t="shared" si="2"/>
        <v>0</v>
      </c>
      <c r="U23" s="683"/>
      <c r="V23" s="474">
        <f t="shared" si="3"/>
        <v>0</v>
      </c>
      <c r="W23" s="474">
        <f t="shared" si="4"/>
        <v>0</v>
      </c>
      <c r="X23" s="475">
        <f t="shared" si="5"/>
        <v>0</v>
      </c>
      <c r="Y23" s="475">
        <v>0</v>
      </c>
      <c r="Z23" s="476">
        <v>0</v>
      </c>
      <c r="AA23" s="38">
        <f t="shared" si="6"/>
        <v>0</v>
      </c>
      <c r="AB23" s="692">
        <f t="shared" si="7"/>
        <v>6618.2</v>
      </c>
      <c r="AC23" s="692">
        <f t="shared" si="8"/>
        <v>0</v>
      </c>
      <c r="AD23" s="692">
        <f t="shared" si="9"/>
        <v>0</v>
      </c>
      <c r="AE23" s="38"/>
      <c r="AF23" s="692">
        <f t="shared" si="10"/>
        <v>0</v>
      </c>
      <c r="AG23" s="692">
        <f t="shared" si="11"/>
        <v>0</v>
      </c>
      <c r="AH23" s="692">
        <f t="shared" si="12"/>
        <v>0</v>
      </c>
      <c r="AJ23" s="38">
        <f t="shared" si="13"/>
        <v>6618.2</v>
      </c>
    </row>
    <row r="24" spans="1:36" s="232" customFormat="1">
      <c r="A24" s="283" t="s">
        <v>211</v>
      </c>
      <c r="B24" s="283" t="s">
        <v>109</v>
      </c>
      <c r="C24" s="667" t="s">
        <v>525</v>
      </c>
      <c r="D24" s="123" t="s">
        <v>419</v>
      </c>
      <c r="E24" s="679"/>
      <c r="F24" s="529">
        <f>VLOOKUP(D24,'Dec 2012 Revenue'!D:T,17,FALSE)</f>
        <v>-30000</v>
      </c>
      <c r="G24" s="680"/>
      <c r="H24" s="680"/>
      <c r="I24" s="755"/>
      <c r="J24" s="682">
        <f t="shared" si="0"/>
        <v>-30000</v>
      </c>
      <c r="K24" s="683"/>
      <c r="L24" s="684"/>
      <c r="M24" s="753">
        <v>40000</v>
      </c>
      <c r="N24" s="683">
        <v>0</v>
      </c>
      <c r="O24" s="686"/>
      <c r="P24" s="683">
        <v>0</v>
      </c>
      <c r="Q24" s="687">
        <f t="shared" si="1"/>
        <v>40000</v>
      </c>
      <c r="R24" s="688">
        <v>0</v>
      </c>
      <c r="S24" s="693"/>
      <c r="T24" s="690">
        <f t="shared" si="2"/>
        <v>-40000</v>
      </c>
      <c r="U24" s="683"/>
      <c r="V24" s="474">
        <f t="shared" si="3"/>
        <v>0</v>
      </c>
      <c r="W24" s="474">
        <f t="shared" si="4"/>
        <v>40000</v>
      </c>
      <c r="X24" s="475">
        <f t="shared" si="5"/>
        <v>0</v>
      </c>
      <c r="Y24" s="475">
        <v>0</v>
      </c>
      <c r="Z24" s="476">
        <v>0</v>
      </c>
      <c r="AA24" s="38">
        <f t="shared" si="6"/>
        <v>0</v>
      </c>
      <c r="AB24" s="692">
        <f t="shared" si="7"/>
        <v>0</v>
      </c>
      <c r="AC24" s="692">
        <f t="shared" si="8"/>
        <v>-30000</v>
      </c>
      <c r="AD24" s="692">
        <f t="shared" si="9"/>
        <v>0</v>
      </c>
      <c r="AE24" s="38"/>
      <c r="AF24" s="692">
        <f t="shared" si="10"/>
        <v>0</v>
      </c>
      <c r="AG24" s="692">
        <f t="shared" si="11"/>
        <v>40000</v>
      </c>
      <c r="AH24" s="692">
        <f t="shared" si="12"/>
        <v>0</v>
      </c>
      <c r="AJ24" s="38">
        <f t="shared" si="13"/>
        <v>10000</v>
      </c>
    </row>
    <row r="25" spans="1:36">
      <c r="A25" s="20"/>
      <c r="B25" s="20" t="s">
        <v>110</v>
      </c>
      <c r="C25" s="667"/>
      <c r="D25" s="68" t="s">
        <v>191</v>
      </c>
      <c r="E25" s="679"/>
      <c r="F25" s="529">
        <f>VLOOKUP(D25,'Dec 2012 Revenue'!D:T,17,FALSE)</f>
        <v>181.88</v>
      </c>
      <c r="G25" s="680"/>
      <c r="H25" s="680"/>
      <c r="I25" s="770">
        <v>206.59</v>
      </c>
      <c r="J25" s="682">
        <f t="shared" si="0"/>
        <v>388.47</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388.47</v>
      </c>
      <c r="AC25" s="692">
        <f t="shared" si="8"/>
        <v>0</v>
      </c>
      <c r="AD25" s="692">
        <f t="shared" si="9"/>
        <v>0</v>
      </c>
      <c r="AE25" s="38"/>
      <c r="AF25" s="692">
        <f t="shared" si="10"/>
        <v>0</v>
      </c>
      <c r="AG25" s="692">
        <f t="shared" si="11"/>
        <v>0</v>
      </c>
      <c r="AH25" s="692">
        <f t="shared" si="12"/>
        <v>0</v>
      </c>
      <c r="AJ25" s="38">
        <f t="shared" si="13"/>
        <v>388.47</v>
      </c>
    </row>
    <row r="26" spans="1:36">
      <c r="A26" s="20"/>
      <c r="B26" s="20" t="s">
        <v>110</v>
      </c>
      <c r="C26" s="667"/>
      <c r="D26" s="68" t="s">
        <v>589</v>
      </c>
      <c r="E26" s="679"/>
      <c r="F26" s="529">
        <f>VLOOKUP(D26,'Dec 2012 Revenue'!D:T,17,FALSE)</f>
        <v>-1867.7099999999991</v>
      </c>
      <c r="G26" s="680"/>
      <c r="H26" s="680"/>
      <c r="I26" s="755"/>
      <c r="J26" s="682">
        <f t="shared" si="0"/>
        <v>-1867.7099999999991</v>
      </c>
      <c r="K26" s="683"/>
      <c r="L26" s="684"/>
      <c r="M26" s="753">
        <v>6000</v>
      </c>
      <c r="N26" s="683">
        <v>0</v>
      </c>
      <c r="O26" s="686"/>
      <c r="P26" s="683">
        <v>0</v>
      </c>
      <c r="Q26" s="687">
        <f t="shared" si="1"/>
        <v>6000</v>
      </c>
      <c r="R26" s="688">
        <v>0</v>
      </c>
      <c r="S26" s="693"/>
      <c r="T26" s="690">
        <f t="shared" si="2"/>
        <v>-6000</v>
      </c>
      <c r="U26" s="683"/>
      <c r="V26" s="474">
        <f t="shared" si="3"/>
        <v>6000</v>
      </c>
      <c r="W26" s="474">
        <f t="shared" si="4"/>
        <v>0</v>
      </c>
      <c r="X26" s="475">
        <f t="shared" si="5"/>
        <v>0</v>
      </c>
      <c r="Y26" s="475">
        <v>0</v>
      </c>
      <c r="Z26" s="476">
        <v>0</v>
      </c>
      <c r="AA26" s="38">
        <f t="shared" si="6"/>
        <v>0</v>
      </c>
      <c r="AB26" s="692">
        <f t="shared" si="7"/>
        <v>-1867.7099999999991</v>
      </c>
      <c r="AC26" s="692">
        <f t="shared" si="8"/>
        <v>0</v>
      </c>
      <c r="AD26" s="692">
        <f t="shared" si="9"/>
        <v>0</v>
      </c>
      <c r="AE26" s="38"/>
      <c r="AF26" s="692">
        <f t="shared" si="10"/>
        <v>6000</v>
      </c>
      <c r="AG26" s="692">
        <f t="shared" si="11"/>
        <v>0</v>
      </c>
      <c r="AH26" s="692">
        <f t="shared" si="12"/>
        <v>0</v>
      </c>
      <c r="AJ26" s="38">
        <f t="shared" si="13"/>
        <v>4132.2900000000009</v>
      </c>
    </row>
    <row r="27" spans="1:36">
      <c r="A27" s="20"/>
      <c r="B27" s="20" t="s">
        <v>110</v>
      </c>
      <c r="C27" s="667"/>
      <c r="D27" s="68" t="s">
        <v>829</v>
      </c>
      <c r="E27" s="679"/>
      <c r="F27" s="529">
        <f>VLOOKUP(D27,'Dec 2012 Revenue'!D:T,17,FALSE)</f>
        <v>0</v>
      </c>
      <c r="G27" s="680"/>
      <c r="H27" s="680"/>
      <c r="I27" s="755"/>
      <c r="J27" s="682">
        <f t="shared" si="0"/>
        <v>0</v>
      </c>
      <c r="K27" s="683"/>
      <c r="L27" s="684"/>
      <c r="M27" s="753"/>
      <c r="N27" s="683">
        <v>0</v>
      </c>
      <c r="O27" s="686"/>
      <c r="P27" s="683">
        <v>0</v>
      </c>
      <c r="Q27" s="687">
        <f t="shared" si="1"/>
        <v>0</v>
      </c>
      <c r="R27" s="688">
        <v>0</v>
      </c>
      <c r="S27" s="693"/>
      <c r="T27" s="690">
        <f t="shared" si="2"/>
        <v>0</v>
      </c>
      <c r="U27" s="683"/>
      <c r="V27" s="474">
        <f t="shared" si="3"/>
        <v>0</v>
      </c>
      <c r="W27" s="474">
        <f t="shared" si="4"/>
        <v>0</v>
      </c>
      <c r="X27" s="475">
        <f t="shared" si="5"/>
        <v>0</v>
      </c>
      <c r="Y27" s="475">
        <v>0</v>
      </c>
      <c r="Z27" s="476">
        <v>0</v>
      </c>
      <c r="AA27" s="38">
        <f t="shared" si="6"/>
        <v>0</v>
      </c>
      <c r="AB27" s="692">
        <f t="shared" si="7"/>
        <v>0</v>
      </c>
      <c r="AC27" s="692">
        <f t="shared" si="8"/>
        <v>0</v>
      </c>
      <c r="AD27" s="692">
        <f t="shared" si="9"/>
        <v>0</v>
      </c>
      <c r="AE27" s="38"/>
      <c r="AF27" s="692">
        <f t="shared" si="10"/>
        <v>0</v>
      </c>
      <c r="AG27" s="692">
        <f t="shared" si="11"/>
        <v>0</v>
      </c>
      <c r="AH27" s="692">
        <f t="shared" si="12"/>
        <v>0</v>
      </c>
      <c r="AJ27" s="38">
        <f t="shared" si="13"/>
        <v>0</v>
      </c>
    </row>
    <row r="28" spans="1:36">
      <c r="A28" s="20"/>
      <c r="B28" s="20" t="s">
        <v>109</v>
      </c>
      <c r="C28" s="667" t="s">
        <v>526</v>
      </c>
      <c r="D28" s="68" t="s">
        <v>385</v>
      </c>
      <c r="E28" s="679"/>
      <c r="F28" s="529">
        <f>VLOOKUP(D28,'Dec 2012 Revenue'!D:T,17,FALSE)</f>
        <v>1699.46</v>
      </c>
      <c r="G28" s="680"/>
      <c r="H28" s="680"/>
      <c r="I28" s="755"/>
      <c r="J28" s="682">
        <f t="shared" si="0"/>
        <v>1699.46</v>
      </c>
      <c r="K28" s="683"/>
      <c r="L28" s="684"/>
      <c r="M28" s="753"/>
      <c r="N28" s="683">
        <v>0</v>
      </c>
      <c r="O28" s="686"/>
      <c r="P28" s="683">
        <v>0</v>
      </c>
      <c r="Q28" s="687">
        <f t="shared" si="1"/>
        <v>0</v>
      </c>
      <c r="R28" s="688">
        <v>1179.32</v>
      </c>
      <c r="S28" s="693"/>
      <c r="T28" s="690">
        <f t="shared" si="2"/>
        <v>1179.32</v>
      </c>
      <c r="U28" s="691"/>
      <c r="V28" s="474">
        <f t="shared" si="3"/>
        <v>0</v>
      </c>
      <c r="W28" s="474">
        <f t="shared" si="4"/>
        <v>0</v>
      </c>
      <c r="X28" s="475">
        <f t="shared" si="5"/>
        <v>0</v>
      </c>
      <c r="Y28" s="475">
        <v>0</v>
      </c>
      <c r="Z28" s="476">
        <v>0</v>
      </c>
      <c r="AA28" s="38">
        <f t="shared" si="6"/>
        <v>0</v>
      </c>
      <c r="AB28" s="692">
        <f t="shared" si="7"/>
        <v>0</v>
      </c>
      <c r="AC28" s="692">
        <f t="shared" si="8"/>
        <v>1699.46</v>
      </c>
      <c r="AD28" s="692">
        <f t="shared" si="9"/>
        <v>0</v>
      </c>
      <c r="AE28" s="38"/>
      <c r="AF28" s="692">
        <f t="shared" si="10"/>
        <v>0</v>
      </c>
      <c r="AG28" s="692">
        <f t="shared" si="11"/>
        <v>0</v>
      </c>
      <c r="AH28" s="692">
        <f t="shared" si="12"/>
        <v>0</v>
      </c>
      <c r="AJ28" s="38">
        <f t="shared" si="13"/>
        <v>1699.46</v>
      </c>
    </row>
    <row r="29" spans="1:36" s="232" customFormat="1">
      <c r="A29" s="283"/>
      <c r="B29" s="283" t="s">
        <v>110</v>
      </c>
      <c r="C29" s="667" t="s">
        <v>527</v>
      </c>
      <c r="D29" s="123" t="s">
        <v>401</v>
      </c>
      <c r="E29" s="679"/>
      <c r="F29" s="529">
        <f>VLOOKUP(D29,'Dec 2012 Revenue'!D:T,17,FALSE)</f>
        <v>-37851.700000000012</v>
      </c>
      <c r="G29" s="680"/>
      <c r="H29" s="680"/>
      <c r="I29" s="755"/>
      <c r="J29" s="682">
        <f t="shared" si="0"/>
        <v>-37851.700000000012</v>
      </c>
      <c r="K29" s="683"/>
      <c r="L29" s="684"/>
      <c r="M29" s="753">
        <v>375000</v>
      </c>
      <c r="N29" s="683">
        <v>0</v>
      </c>
      <c r="O29" s="686"/>
      <c r="P29" s="683">
        <v>0</v>
      </c>
      <c r="Q29" s="687">
        <f t="shared" si="1"/>
        <v>375000</v>
      </c>
      <c r="R29" s="688">
        <v>451538.9</v>
      </c>
      <c r="S29" s="693"/>
      <c r="T29" s="690">
        <f t="shared" si="2"/>
        <v>76538.900000000023</v>
      </c>
      <c r="U29" s="683"/>
      <c r="V29" s="474">
        <f t="shared" si="3"/>
        <v>375000</v>
      </c>
      <c r="W29" s="474">
        <f t="shared" si="4"/>
        <v>0</v>
      </c>
      <c r="X29" s="475">
        <f t="shared" si="5"/>
        <v>0</v>
      </c>
      <c r="Y29" s="475">
        <v>0</v>
      </c>
      <c r="Z29" s="476">
        <v>0</v>
      </c>
      <c r="AA29" s="38">
        <f t="shared" si="6"/>
        <v>0</v>
      </c>
      <c r="AB29" s="692">
        <f t="shared" si="7"/>
        <v>-37851.700000000012</v>
      </c>
      <c r="AC29" s="692">
        <f t="shared" si="8"/>
        <v>0</v>
      </c>
      <c r="AD29" s="692">
        <f t="shared" si="9"/>
        <v>0</v>
      </c>
      <c r="AE29" s="38"/>
      <c r="AF29" s="692">
        <f t="shared" si="10"/>
        <v>375000</v>
      </c>
      <c r="AG29" s="692">
        <f t="shared" si="11"/>
        <v>0</v>
      </c>
      <c r="AH29" s="692">
        <f t="shared" si="12"/>
        <v>0</v>
      </c>
      <c r="AJ29" s="38">
        <f t="shared" si="13"/>
        <v>337148.3</v>
      </c>
    </row>
    <row r="30" spans="1:36" s="232" customFormat="1">
      <c r="A30" s="283"/>
      <c r="B30" s="283" t="s">
        <v>110</v>
      </c>
      <c r="C30" s="667" t="s">
        <v>528</v>
      </c>
      <c r="D30" s="123" t="s">
        <v>403</v>
      </c>
      <c r="E30" s="679"/>
      <c r="F30" s="529">
        <f>VLOOKUP(D30,'Dec 2012 Revenue'!D:T,17,FALSE)</f>
        <v>1570.3399999999965</v>
      </c>
      <c r="G30" s="680"/>
      <c r="H30" s="680"/>
      <c r="I30" s="755"/>
      <c r="J30" s="682">
        <f t="shared" si="0"/>
        <v>1570.3399999999965</v>
      </c>
      <c r="K30" s="683"/>
      <c r="L30" s="684"/>
      <c r="M30" s="753">
        <v>75000</v>
      </c>
      <c r="N30" s="683">
        <v>0</v>
      </c>
      <c r="O30" s="686"/>
      <c r="P30" s="683">
        <v>0</v>
      </c>
      <c r="Q30" s="687">
        <f t="shared" si="1"/>
        <v>75000</v>
      </c>
      <c r="R30" s="688">
        <v>77742.240000000005</v>
      </c>
      <c r="S30" s="693"/>
      <c r="T30" s="690">
        <f t="shared" si="2"/>
        <v>2742.2400000000052</v>
      </c>
      <c r="U30" s="683"/>
      <c r="V30" s="474">
        <f t="shared" si="3"/>
        <v>75000</v>
      </c>
      <c r="W30" s="474">
        <f t="shared" si="4"/>
        <v>0</v>
      </c>
      <c r="X30" s="475">
        <f t="shared" si="5"/>
        <v>0</v>
      </c>
      <c r="Y30" s="475">
        <v>0</v>
      </c>
      <c r="Z30" s="476">
        <v>0</v>
      </c>
      <c r="AA30" s="38">
        <f t="shared" si="6"/>
        <v>0</v>
      </c>
      <c r="AB30" s="692">
        <f t="shared" si="7"/>
        <v>1570.3399999999965</v>
      </c>
      <c r="AC30" s="692">
        <f t="shared" si="8"/>
        <v>0</v>
      </c>
      <c r="AD30" s="692">
        <f t="shared" si="9"/>
        <v>0</v>
      </c>
      <c r="AE30" s="38"/>
      <c r="AF30" s="692">
        <f t="shared" si="10"/>
        <v>75000</v>
      </c>
      <c r="AG30" s="692">
        <f t="shared" si="11"/>
        <v>0</v>
      </c>
      <c r="AH30" s="692">
        <f t="shared" si="12"/>
        <v>0</v>
      </c>
      <c r="AJ30" s="38">
        <f t="shared" si="13"/>
        <v>76570.34</v>
      </c>
    </row>
    <row r="31" spans="1:36" s="232" customFormat="1">
      <c r="A31" s="283"/>
      <c r="B31" s="283" t="s">
        <v>110</v>
      </c>
      <c r="C31" s="667" t="s">
        <v>528</v>
      </c>
      <c r="D31" s="123" t="s">
        <v>404</v>
      </c>
      <c r="E31" s="679"/>
      <c r="F31" s="529">
        <f>VLOOKUP(D31,'Dec 2012 Revenue'!D:T,17,FALSE)</f>
        <v>4281.5500000000029</v>
      </c>
      <c r="G31" s="680"/>
      <c r="H31" s="680"/>
      <c r="I31" s="755"/>
      <c r="J31" s="682">
        <f t="shared" si="0"/>
        <v>4281.5500000000029</v>
      </c>
      <c r="K31" s="683"/>
      <c r="L31" s="684"/>
      <c r="M31" s="753">
        <v>80000</v>
      </c>
      <c r="N31" s="683">
        <v>0</v>
      </c>
      <c r="O31" s="686"/>
      <c r="P31" s="683">
        <v>0</v>
      </c>
      <c r="Q31" s="687">
        <f t="shared" si="1"/>
        <v>80000</v>
      </c>
      <c r="R31" s="688">
        <v>76283.03</v>
      </c>
      <c r="S31" s="693"/>
      <c r="T31" s="690">
        <f t="shared" si="2"/>
        <v>-3716.9700000000012</v>
      </c>
      <c r="U31" s="683"/>
      <c r="V31" s="474">
        <f t="shared" si="3"/>
        <v>80000</v>
      </c>
      <c r="W31" s="474">
        <f t="shared" si="4"/>
        <v>0</v>
      </c>
      <c r="X31" s="475">
        <f t="shared" si="5"/>
        <v>0</v>
      </c>
      <c r="Y31" s="475">
        <v>0</v>
      </c>
      <c r="Z31" s="476">
        <v>0</v>
      </c>
      <c r="AA31" s="38">
        <f t="shared" si="6"/>
        <v>0</v>
      </c>
      <c r="AB31" s="692">
        <f t="shared" si="7"/>
        <v>4281.5500000000029</v>
      </c>
      <c r="AC31" s="692">
        <f t="shared" si="8"/>
        <v>0</v>
      </c>
      <c r="AD31" s="692">
        <f t="shared" si="9"/>
        <v>0</v>
      </c>
      <c r="AE31" s="38"/>
      <c r="AF31" s="692">
        <f t="shared" si="10"/>
        <v>80000</v>
      </c>
      <c r="AG31" s="692">
        <f t="shared" si="11"/>
        <v>0</v>
      </c>
      <c r="AH31" s="692">
        <f t="shared" si="12"/>
        <v>0</v>
      </c>
      <c r="AJ31" s="38">
        <f t="shared" si="13"/>
        <v>84281.55</v>
      </c>
    </row>
    <row r="32" spans="1:36" s="232" customFormat="1">
      <c r="A32" s="283"/>
      <c r="B32" s="283" t="s">
        <v>110</v>
      </c>
      <c r="C32" s="667" t="s">
        <v>528</v>
      </c>
      <c r="D32" s="123" t="s">
        <v>405</v>
      </c>
      <c r="E32" s="679"/>
      <c r="F32" s="529">
        <f>VLOOKUP(D32,'Dec 2012 Revenue'!D:T,17,FALSE)</f>
        <v>4771.0600000000013</v>
      </c>
      <c r="G32" s="680"/>
      <c r="H32" s="680"/>
      <c r="I32" s="755"/>
      <c r="J32" s="682">
        <f t="shared" si="0"/>
        <v>4771.0600000000013</v>
      </c>
      <c r="K32" s="683"/>
      <c r="L32" s="684"/>
      <c r="M32" s="753">
        <v>15000</v>
      </c>
      <c r="N32" s="683">
        <v>0</v>
      </c>
      <c r="O32" s="686"/>
      <c r="P32" s="683">
        <v>0</v>
      </c>
      <c r="Q32" s="687">
        <f t="shared" si="1"/>
        <v>15000</v>
      </c>
      <c r="R32" s="688">
        <v>16461.63</v>
      </c>
      <c r="S32" s="693"/>
      <c r="T32" s="690">
        <f t="shared" si="2"/>
        <v>1461.630000000001</v>
      </c>
      <c r="U32" s="683"/>
      <c r="V32" s="474">
        <f t="shared" si="3"/>
        <v>15000</v>
      </c>
      <c r="W32" s="474">
        <f t="shared" si="4"/>
        <v>0</v>
      </c>
      <c r="X32" s="475">
        <f t="shared" si="5"/>
        <v>0</v>
      </c>
      <c r="Y32" s="475">
        <v>0</v>
      </c>
      <c r="Z32" s="476">
        <v>0</v>
      </c>
      <c r="AA32" s="38">
        <f t="shared" si="6"/>
        <v>0</v>
      </c>
      <c r="AB32" s="692">
        <f t="shared" si="7"/>
        <v>4771.0600000000013</v>
      </c>
      <c r="AC32" s="692">
        <f t="shared" si="8"/>
        <v>0</v>
      </c>
      <c r="AD32" s="692">
        <f t="shared" si="9"/>
        <v>0</v>
      </c>
      <c r="AE32" s="38"/>
      <c r="AF32" s="692">
        <f t="shared" si="10"/>
        <v>15000</v>
      </c>
      <c r="AG32" s="692">
        <f t="shared" si="11"/>
        <v>0</v>
      </c>
      <c r="AH32" s="692">
        <f t="shared" si="12"/>
        <v>0</v>
      </c>
      <c r="AJ32" s="38">
        <f t="shared" si="13"/>
        <v>19771.060000000001</v>
      </c>
    </row>
    <row r="33" spans="1:36" s="232" customFormat="1">
      <c r="A33" s="283"/>
      <c r="B33" s="283" t="s">
        <v>110</v>
      </c>
      <c r="C33" s="667" t="s">
        <v>528</v>
      </c>
      <c r="D33" s="123" t="s">
        <v>406</v>
      </c>
      <c r="E33" s="679"/>
      <c r="F33" s="529">
        <f>VLOOKUP(D33,'Dec 2012 Revenue'!D:T,17,FALSE)</f>
        <v>84.640000000000327</v>
      </c>
      <c r="G33" s="680"/>
      <c r="H33" s="680"/>
      <c r="I33" s="755"/>
      <c r="J33" s="682">
        <f t="shared" si="0"/>
        <v>84.640000000000327</v>
      </c>
      <c r="K33" s="683"/>
      <c r="L33" s="684"/>
      <c r="M33" s="753">
        <v>6000</v>
      </c>
      <c r="N33" s="683">
        <v>0</v>
      </c>
      <c r="O33" s="686"/>
      <c r="P33" s="683">
        <v>0</v>
      </c>
      <c r="Q33" s="687">
        <f t="shared" si="1"/>
        <v>6000</v>
      </c>
      <c r="R33" s="688">
        <v>5639.65</v>
      </c>
      <c r="S33" s="693"/>
      <c r="T33" s="690">
        <f t="shared" si="2"/>
        <v>-360.35000000000036</v>
      </c>
      <c r="U33" s="683"/>
      <c r="V33" s="474">
        <f t="shared" si="3"/>
        <v>6000</v>
      </c>
      <c r="W33" s="474">
        <f t="shared" si="4"/>
        <v>0</v>
      </c>
      <c r="X33" s="475">
        <f t="shared" si="5"/>
        <v>0</v>
      </c>
      <c r="Y33" s="475">
        <v>0</v>
      </c>
      <c r="Z33" s="476">
        <v>0</v>
      </c>
      <c r="AA33" s="38">
        <f t="shared" si="6"/>
        <v>0</v>
      </c>
      <c r="AB33" s="692">
        <f t="shared" si="7"/>
        <v>84.640000000000327</v>
      </c>
      <c r="AC33" s="692">
        <f t="shared" si="8"/>
        <v>0</v>
      </c>
      <c r="AD33" s="692">
        <f t="shared" si="9"/>
        <v>0</v>
      </c>
      <c r="AE33" s="38"/>
      <c r="AF33" s="692">
        <f t="shared" si="10"/>
        <v>6000</v>
      </c>
      <c r="AG33" s="692">
        <f t="shared" si="11"/>
        <v>0</v>
      </c>
      <c r="AH33" s="692">
        <f t="shared" si="12"/>
        <v>0</v>
      </c>
      <c r="AJ33" s="38">
        <f t="shared" si="13"/>
        <v>6084.64</v>
      </c>
    </row>
    <row r="34" spans="1:36" s="232" customFormat="1">
      <c r="A34" s="283"/>
      <c r="B34" s="283" t="s">
        <v>110</v>
      </c>
      <c r="C34" s="667" t="s">
        <v>528</v>
      </c>
      <c r="D34" s="123" t="s">
        <v>407</v>
      </c>
      <c r="E34" s="679"/>
      <c r="F34" s="529">
        <f>VLOOKUP(D34,'Dec 2012 Revenue'!D:T,17,FALSE)</f>
        <v>2859</v>
      </c>
      <c r="G34" s="680"/>
      <c r="H34" s="680"/>
      <c r="I34" s="755"/>
      <c r="J34" s="682">
        <f t="shared" si="0"/>
        <v>2859</v>
      </c>
      <c r="K34" s="683"/>
      <c r="L34" s="684"/>
      <c r="M34" s="753"/>
      <c r="N34" s="683">
        <v>0</v>
      </c>
      <c r="O34" s="686"/>
      <c r="P34" s="683">
        <v>0</v>
      </c>
      <c r="Q34" s="687">
        <f t="shared" si="1"/>
        <v>0</v>
      </c>
      <c r="R34" s="688">
        <v>2413.37</v>
      </c>
      <c r="S34" s="693"/>
      <c r="T34" s="690">
        <f t="shared" si="2"/>
        <v>2413.37</v>
      </c>
      <c r="U34" s="683"/>
      <c r="V34" s="474">
        <f t="shared" si="3"/>
        <v>0</v>
      </c>
      <c r="W34" s="474">
        <f t="shared" si="4"/>
        <v>0</v>
      </c>
      <c r="X34" s="475">
        <f t="shared" si="5"/>
        <v>0</v>
      </c>
      <c r="Y34" s="475">
        <v>0</v>
      </c>
      <c r="Z34" s="476">
        <v>0</v>
      </c>
      <c r="AA34" s="38">
        <f t="shared" si="6"/>
        <v>0</v>
      </c>
      <c r="AB34" s="692">
        <f t="shared" si="7"/>
        <v>2859</v>
      </c>
      <c r="AC34" s="692">
        <f t="shared" si="8"/>
        <v>0</v>
      </c>
      <c r="AD34" s="692">
        <f t="shared" si="9"/>
        <v>0</v>
      </c>
      <c r="AE34" s="38"/>
      <c r="AF34" s="692">
        <f t="shared" si="10"/>
        <v>0</v>
      </c>
      <c r="AG34" s="692">
        <f t="shared" si="11"/>
        <v>0</v>
      </c>
      <c r="AH34" s="692">
        <f t="shared" si="12"/>
        <v>0</v>
      </c>
      <c r="AJ34" s="38">
        <f t="shared" si="13"/>
        <v>2859</v>
      </c>
    </row>
    <row r="35" spans="1:36" s="232" customFormat="1">
      <c r="A35" s="283"/>
      <c r="B35" s="283" t="s">
        <v>110</v>
      </c>
      <c r="C35" s="667" t="s">
        <v>528</v>
      </c>
      <c r="D35" s="123" t="s">
        <v>880</v>
      </c>
      <c r="E35" s="679"/>
      <c r="F35" s="529">
        <f>VLOOKUP(D35,'Dec 2012 Revenue'!D:T,17,FALSE)</f>
        <v>2137.61</v>
      </c>
      <c r="G35" s="680"/>
      <c r="H35" s="680"/>
      <c r="I35" s="755"/>
      <c r="J35" s="682">
        <f t="shared" si="0"/>
        <v>2137.61</v>
      </c>
      <c r="K35" s="683"/>
      <c r="L35" s="684"/>
      <c r="M35" s="753"/>
      <c r="N35" s="683">
        <v>0</v>
      </c>
      <c r="O35" s="686"/>
      <c r="P35" s="683">
        <v>0</v>
      </c>
      <c r="Q35" s="687">
        <f t="shared" si="1"/>
        <v>0</v>
      </c>
      <c r="R35" s="688">
        <v>2163.09</v>
      </c>
      <c r="S35" s="693"/>
      <c r="T35" s="690">
        <f t="shared" si="2"/>
        <v>2163.09</v>
      </c>
      <c r="U35" s="683"/>
      <c r="V35" s="474">
        <f t="shared" si="3"/>
        <v>0</v>
      </c>
      <c r="W35" s="474">
        <f t="shared" si="4"/>
        <v>0</v>
      </c>
      <c r="X35" s="475">
        <f t="shared" si="5"/>
        <v>0</v>
      </c>
      <c r="Y35" s="475">
        <v>0</v>
      </c>
      <c r="Z35" s="476">
        <v>0</v>
      </c>
      <c r="AA35" s="38">
        <f t="shared" si="6"/>
        <v>0</v>
      </c>
      <c r="AB35" s="692">
        <f t="shared" si="7"/>
        <v>2137.61</v>
      </c>
      <c r="AC35" s="692">
        <f t="shared" si="8"/>
        <v>0</v>
      </c>
      <c r="AD35" s="692">
        <f t="shared" si="9"/>
        <v>0</v>
      </c>
      <c r="AE35" s="38"/>
      <c r="AF35" s="692">
        <f t="shared" si="10"/>
        <v>0</v>
      </c>
      <c r="AG35" s="692">
        <f t="shared" si="11"/>
        <v>0</v>
      </c>
      <c r="AH35" s="692">
        <f t="shared" si="12"/>
        <v>0</v>
      </c>
      <c r="AJ35" s="38">
        <f t="shared" si="13"/>
        <v>2137.61</v>
      </c>
    </row>
    <row r="36" spans="1:36" s="232" customFormat="1">
      <c r="A36" s="283"/>
      <c r="B36" s="283" t="s">
        <v>110</v>
      </c>
      <c r="C36" s="667" t="s">
        <v>528</v>
      </c>
      <c r="D36" s="123" t="s">
        <v>881</v>
      </c>
      <c r="E36" s="679"/>
      <c r="F36" s="529">
        <f>VLOOKUP(D36,'Dec 2012 Revenue'!D:T,17,FALSE)</f>
        <v>1753.51</v>
      </c>
      <c r="G36" s="680"/>
      <c r="H36" s="680"/>
      <c r="I36" s="755"/>
      <c r="J36" s="682">
        <f t="shared" si="0"/>
        <v>1753.51</v>
      </c>
      <c r="K36" s="683"/>
      <c r="L36" s="684"/>
      <c r="M36" s="753"/>
      <c r="N36" s="683">
        <v>0</v>
      </c>
      <c r="O36" s="686"/>
      <c r="P36" s="683">
        <v>0</v>
      </c>
      <c r="Q36" s="687">
        <f t="shared" si="1"/>
        <v>0</v>
      </c>
      <c r="R36" s="688">
        <v>1668.98</v>
      </c>
      <c r="S36" s="693"/>
      <c r="T36" s="690">
        <f t="shared" si="2"/>
        <v>1668.98</v>
      </c>
      <c r="U36" s="683"/>
      <c r="V36" s="474">
        <f t="shared" si="3"/>
        <v>0</v>
      </c>
      <c r="W36" s="474">
        <f t="shared" si="4"/>
        <v>0</v>
      </c>
      <c r="X36" s="475">
        <f t="shared" si="5"/>
        <v>0</v>
      </c>
      <c r="Y36" s="475">
        <v>0</v>
      </c>
      <c r="Z36" s="476">
        <v>0</v>
      </c>
      <c r="AA36" s="38">
        <f t="shared" si="6"/>
        <v>0</v>
      </c>
      <c r="AB36" s="692">
        <f t="shared" si="7"/>
        <v>1753.51</v>
      </c>
      <c r="AC36" s="692">
        <f t="shared" si="8"/>
        <v>0</v>
      </c>
      <c r="AD36" s="692">
        <f t="shared" si="9"/>
        <v>0</v>
      </c>
      <c r="AE36" s="38"/>
      <c r="AF36" s="692">
        <f t="shared" si="10"/>
        <v>0</v>
      </c>
      <c r="AG36" s="692">
        <f t="shared" si="11"/>
        <v>0</v>
      </c>
      <c r="AH36" s="692">
        <f t="shared" si="12"/>
        <v>0</v>
      </c>
      <c r="AJ36" s="38">
        <f t="shared" si="13"/>
        <v>1753.51</v>
      </c>
    </row>
    <row r="37" spans="1:36" s="232" customFormat="1">
      <c r="A37" s="283"/>
      <c r="B37" s="283" t="s">
        <v>110</v>
      </c>
      <c r="C37" s="667" t="s">
        <v>528</v>
      </c>
      <c r="D37" s="123" t="s">
        <v>820</v>
      </c>
      <c r="E37" s="679"/>
      <c r="F37" s="529">
        <f>VLOOKUP(D37,'Dec 2012 Revenue'!D:T,17,FALSE)</f>
        <v>8239.66</v>
      </c>
      <c r="G37" s="680"/>
      <c r="H37" s="680"/>
      <c r="I37" s="755"/>
      <c r="J37" s="682">
        <f t="shared" si="0"/>
        <v>8239.66</v>
      </c>
      <c r="K37" s="683"/>
      <c r="L37" s="684"/>
      <c r="M37" s="753">
        <v>20000</v>
      </c>
      <c r="N37" s="683">
        <v>0</v>
      </c>
      <c r="O37" s="686"/>
      <c r="P37" s="683">
        <v>0</v>
      </c>
      <c r="Q37" s="687">
        <f t="shared" si="1"/>
        <v>20000</v>
      </c>
      <c r="R37" s="688">
        <v>23336.44</v>
      </c>
      <c r="S37" s="693"/>
      <c r="T37" s="690">
        <f t="shared" si="2"/>
        <v>3336.4399999999987</v>
      </c>
      <c r="U37" s="683"/>
      <c r="V37" s="474">
        <f t="shared" si="3"/>
        <v>20000</v>
      </c>
      <c r="W37" s="474">
        <f t="shared" si="4"/>
        <v>0</v>
      </c>
      <c r="X37" s="475">
        <f t="shared" si="5"/>
        <v>0</v>
      </c>
      <c r="Y37" s="475">
        <v>0</v>
      </c>
      <c r="Z37" s="476">
        <v>0</v>
      </c>
      <c r="AA37" s="38">
        <f t="shared" si="6"/>
        <v>0</v>
      </c>
      <c r="AB37" s="692">
        <f t="shared" si="7"/>
        <v>8239.66</v>
      </c>
      <c r="AC37" s="692">
        <f t="shared" si="8"/>
        <v>0</v>
      </c>
      <c r="AD37" s="692">
        <f t="shared" si="9"/>
        <v>0</v>
      </c>
      <c r="AE37" s="38"/>
      <c r="AF37" s="692">
        <f t="shared" si="10"/>
        <v>20000</v>
      </c>
      <c r="AG37" s="692">
        <f t="shared" si="11"/>
        <v>0</v>
      </c>
      <c r="AH37" s="692">
        <f t="shared" si="12"/>
        <v>0</v>
      </c>
      <c r="AJ37" s="38">
        <f t="shared" si="13"/>
        <v>28239.66</v>
      </c>
    </row>
    <row r="38" spans="1:36" s="232" customFormat="1">
      <c r="A38" s="283"/>
      <c r="B38" s="283" t="s">
        <v>110</v>
      </c>
      <c r="C38" s="667" t="s">
        <v>527</v>
      </c>
      <c r="D38" s="123" t="s">
        <v>460</v>
      </c>
      <c r="E38" s="679"/>
      <c r="F38" s="529">
        <f>VLOOKUP(D38,'Dec 2012 Revenue'!D:T,17,FALSE)</f>
        <v>0</v>
      </c>
      <c r="G38" s="680"/>
      <c r="H38" s="680"/>
      <c r="I38" s="770">
        <v>35177.269999999997</v>
      </c>
      <c r="J38" s="682">
        <f t="shared" si="0"/>
        <v>35177.269999999997</v>
      </c>
      <c r="K38" s="683"/>
      <c r="L38" s="684"/>
      <c r="M38" s="753"/>
      <c r="N38" s="683">
        <v>0</v>
      </c>
      <c r="O38" s="686"/>
      <c r="P38" s="683">
        <v>0</v>
      </c>
      <c r="Q38" s="687">
        <f t="shared" si="1"/>
        <v>0</v>
      </c>
      <c r="R38" s="688">
        <v>0</v>
      </c>
      <c r="S38" s="693"/>
      <c r="T38" s="690">
        <f t="shared" si="2"/>
        <v>0</v>
      </c>
      <c r="U38" s="683"/>
      <c r="V38" s="474">
        <f t="shared" si="3"/>
        <v>0</v>
      </c>
      <c r="W38" s="474">
        <f t="shared" si="4"/>
        <v>0</v>
      </c>
      <c r="X38" s="475">
        <f t="shared" si="5"/>
        <v>0</v>
      </c>
      <c r="Y38" s="475">
        <v>0</v>
      </c>
      <c r="Z38" s="476">
        <v>0</v>
      </c>
      <c r="AA38" s="38">
        <f t="shared" si="6"/>
        <v>0</v>
      </c>
      <c r="AB38" s="692">
        <f t="shared" si="7"/>
        <v>35177.269999999997</v>
      </c>
      <c r="AC38" s="692">
        <f t="shared" si="8"/>
        <v>0</v>
      </c>
      <c r="AD38" s="692">
        <f t="shared" si="9"/>
        <v>0</v>
      </c>
      <c r="AE38" s="38"/>
      <c r="AF38" s="692">
        <f t="shared" si="10"/>
        <v>0</v>
      </c>
      <c r="AG38" s="692">
        <f t="shared" si="11"/>
        <v>0</v>
      </c>
      <c r="AH38" s="692">
        <f t="shared" si="12"/>
        <v>0</v>
      </c>
      <c r="AJ38" s="38">
        <f t="shared" si="13"/>
        <v>35177.269999999997</v>
      </c>
    </row>
    <row r="39" spans="1:36" s="232" customFormat="1">
      <c r="A39" s="283"/>
      <c r="B39" s="283" t="s">
        <v>110</v>
      </c>
      <c r="C39" s="676" t="s">
        <v>528</v>
      </c>
      <c r="D39" s="123" t="s">
        <v>623</v>
      </c>
      <c r="E39" s="679"/>
      <c r="F39" s="529">
        <f>VLOOKUP(D39,'Dec 2012 Revenue'!D:T,17,FALSE)</f>
        <v>0</v>
      </c>
      <c r="G39" s="680"/>
      <c r="H39" s="680"/>
      <c r="I39" s="770">
        <v>10783.68</v>
      </c>
      <c r="J39" s="682">
        <f t="shared" si="0"/>
        <v>10783.68</v>
      </c>
      <c r="K39" s="683"/>
      <c r="L39" s="684"/>
      <c r="M39" s="753"/>
      <c r="N39" s="683">
        <v>0</v>
      </c>
      <c r="O39" s="686"/>
      <c r="P39" s="683">
        <v>0</v>
      </c>
      <c r="Q39" s="687">
        <f t="shared" si="1"/>
        <v>0</v>
      </c>
      <c r="R39" s="688">
        <v>0</v>
      </c>
      <c r="S39" s="693"/>
      <c r="T39" s="690">
        <f t="shared" si="2"/>
        <v>0</v>
      </c>
      <c r="U39" s="683"/>
      <c r="V39" s="474">
        <f t="shared" si="3"/>
        <v>0</v>
      </c>
      <c r="W39" s="474">
        <f t="shared" si="4"/>
        <v>0</v>
      </c>
      <c r="X39" s="475">
        <f t="shared" si="5"/>
        <v>0</v>
      </c>
      <c r="Y39" s="475">
        <v>0</v>
      </c>
      <c r="Z39" s="476">
        <v>0</v>
      </c>
      <c r="AA39" s="38">
        <f t="shared" si="6"/>
        <v>0</v>
      </c>
      <c r="AB39" s="692">
        <f t="shared" si="7"/>
        <v>10783.68</v>
      </c>
      <c r="AC39" s="692">
        <f t="shared" si="8"/>
        <v>0</v>
      </c>
      <c r="AD39" s="692">
        <f t="shared" si="9"/>
        <v>0</v>
      </c>
      <c r="AE39" s="38"/>
      <c r="AF39" s="692">
        <f t="shared" si="10"/>
        <v>0</v>
      </c>
      <c r="AG39" s="692">
        <f t="shared" si="11"/>
        <v>0</v>
      </c>
      <c r="AH39" s="692">
        <f t="shared" si="12"/>
        <v>0</v>
      </c>
      <c r="AJ39" s="38">
        <f t="shared" si="13"/>
        <v>10783.68</v>
      </c>
    </row>
    <row r="40" spans="1:36" s="232" customFormat="1">
      <c r="A40" s="403"/>
      <c r="B40" s="403" t="s">
        <v>114</v>
      </c>
      <c r="C40" s="666" t="s">
        <v>529</v>
      </c>
      <c r="D40" s="123" t="s">
        <v>108</v>
      </c>
      <c r="E40" s="679"/>
      <c r="F40" s="529">
        <f>VLOOKUP(D40,'Dec 2012 Revenue'!D:T,17,FALSE)</f>
        <v>3726.4599999999991</v>
      </c>
      <c r="G40" s="680"/>
      <c r="H40" s="680"/>
      <c r="I40" s="755"/>
      <c r="J40" s="682">
        <f t="shared" si="0"/>
        <v>3726.4599999999991</v>
      </c>
      <c r="K40" s="683"/>
      <c r="L40" s="684"/>
      <c r="M40" s="753">
        <v>5000</v>
      </c>
      <c r="N40" s="683">
        <v>0</v>
      </c>
      <c r="O40" s="686"/>
      <c r="P40" s="683">
        <v>0</v>
      </c>
      <c r="Q40" s="687">
        <f t="shared" si="1"/>
        <v>5000</v>
      </c>
      <c r="R40" s="688">
        <v>9270.5400000000009</v>
      </c>
      <c r="S40" s="693"/>
      <c r="T40" s="690">
        <f t="shared" si="2"/>
        <v>4270.5400000000009</v>
      </c>
      <c r="U40" s="683"/>
      <c r="V40" s="474">
        <f t="shared" si="3"/>
        <v>0</v>
      </c>
      <c r="W40" s="474">
        <f t="shared" si="4"/>
        <v>0</v>
      </c>
      <c r="X40" s="475">
        <f t="shared" si="5"/>
        <v>5000</v>
      </c>
      <c r="Y40" s="475">
        <v>0</v>
      </c>
      <c r="Z40" s="476">
        <v>0</v>
      </c>
      <c r="AA40" s="38">
        <f t="shared" si="6"/>
        <v>0</v>
      </c>
      <c r="AB40" s="692">
        <f t="shared" si="7"/>
        <v>0</v>
      </c>
      <c r="AC40" s="692">
        <f t="shared" si="8"/>
        <v>0</v>
      </c>
      <c r="AD40" s="692">
        <f t="shared" si="9"/>
        <v>3726.4599999999991</v>
      </c>
      <c r="AE40" s="38"/>
      <c r="AF40" s="692">
        <f t="shared" si="10"/>
        <v>0</v>
      </c>
      <c r="AG40" s="692">
        <f t="shared" si="11"/>
        <v>0</v>
      </c>
      <c r="AH40" s="692">
        <f t="shared" si="12"/>
        <v>5000</v>
      </c>
      <c r="AJ40" s="38">
        <f t="shared" si="13"/>
        <v>8726.4599999999991</v>
      </c>
    </row>
    <row r="41" spans="1:36" s="232" customFormat="1">
      <c r="A41" s="403"/>
      <c r="B41" s="403"/>
      <c r="C41" s="666"/>
      <c r="D41" s="123" t="s">
        <v>911</v>
      </c>
      <c r="E41" s="679"/>
      <c r="F41" s="529"/>
      <c r="G41" s="680"/>
      <c r="H41" s="680"/>
      <c r="I41" s="755"/>
      <c r="J41" s="682"/>
      <c r="K41" s="683"/>
      <c r="L41" s="684"/>
      <c r="M41" s="753"/>
      <c r="N41" s="683"/>
      <c r="O41" s="686"/>
      <c r="P41" s="683"/>
      <c r="Q41" s="687"/>
      <c r="R41" s="688"/>
      <c r="S41" s="693"/>
      <c r="T41" s="690"/>
      <c r="U41" s="683"/>
      <c r="V41" s="474"/>
      <c r="W41" s="474"/>
      <c r="X41" s="475"/>
      <c r="Y41" s="475"/>
      <c r="Z41" s="476"/>
      <c r="AA41" s="38"/>
      <c r="AB41" s="692"/>
      <c r="AC41" s="692"/>
      <c r="AD41" s="692"/>
      <c r="AE41" s="38"/>
      <c r="AF41" s="692"/>
      <c r="AG41" s="692"/>
      <c r="AH41" s="692"/>
      <c r="AJ41" s="38"/>
    </row>
    <row r="42" spans="1:36">
      <c r="A42" s="21"/>
      <c r="B42" s="21" t="s">
        <v>110</v>
      </c>
      <c r="C42" s="666"/>
      <c r="D42" s="68" t="s">
        <v>234</v>
      </c>
      <c r="E42" s="679"/>
      <c r="F42" s="529">
        <f>VLOOKUP(D42,'Dec 2012 Revenue'!D:T,17,FALSE)</f>
        <v>0</v>
      </c>
      <c r="G42" s="680"/>
      <c r="H42" s="680"/>
      <c r="I42" s="755"/>
      <c r="J42" s="682">
        <f t="shared" ref="J42:J61" si="14">SUM(E42:I42)</f>
        <v>0</v>
      </c>
      <c r="K42" s="683"/>
      <c r="L42" s="684"/>
      <c r="M42" s="753"/>
      <c r="N42" s="683">
        <v>0</v>
      </c>
      <c r="O42" s="686"/>
      <c r="P42" s="683">
        <v>0</v>
      </c>
      <c r="Q42" s="687">
        <f t="shared" si="1"/>
        <v>0</v>
      </c>
      <c r="R42" s="688">
        <v>0</v>
      </c>
      <c r="S42" s="693"/>
      <c r="T42" s="690">
        <f t="shared" si="2"/>
        <v>0</v>
      </c>
      <c r="U42" s="683"/>
      <c r="V42" s="474">
        <f t="shared" si="3"/>
        <v>0</v>
      </c>
      <c r="W42" s="474">
        <f t="shared" si="4"/>
        <v>0</v>
      </c>
      <c r="X42" s="475">
        <f t="shared" si="5"/>
        <v>0</v>
      </c>
      <c r="Y42" s="475">
        <v>0</v>
      </c>
      <c r="Z42" s="476">
        <v>0</v>
      </c>
      <c r="AA42" s="38">
        <f t="shared" si="6"/>
        <v>0</v>
      </c>
      <c r="AB42" s="692">
        <f t="shared" si="7"/>
        <v>0</v>
      </c>
      <c r="AC42" s="692">
        <f t="shared" si="8"/>
        <v>0</v>
      </c>
      <c r="AD42" s="692">
        <f t="shared" si="9"/>
        <v>0</v>
      </c>
      <c r="AE42" s="38"/>
      <c r="AF42" s="692">
        <f t="shared" si="10"/>
        <v>0</v>
      </c>
      <c r="AG42" s="692">
        <f t="shared" si="11"/>
        <v>0</v>
      </c>
      <c r="AH42" s="692">
        <f t="shared" si="12"/>
        <v>0</v>
      </c>
      <c r="AJ42" s="38">
        <f t="shared" si="13"/>
        <v>0</v>
      </c>
    </row>
    <row r="43" spans="1:36">
      <c r="A43" s="20"/>
      <c r="B43" s="20" t="s">
        <v>109</v>
      </c>
      <c r="C43" s="667"/>
      <c r="D43" s="68" t="s">
        <v>598</v>
      </c>
      <c r="E43" s="679">
        <v>4053.31</v>
      </c>
      <c r="F43" s="529">
        <f>VLOOKUP(D43,'Dec 2012 Revenue'!D:T,17,FALSE)</f>
        <v>0</v>
      </c>
      <c r="G43" s="680"/>
      <c r="H43" s="680"/>
      <c r="I43" s="755"/>
      <c r="J43" s="682">
        <f t="shared" si="14"/>
        <v>4053.31</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7"/>
        <v>0</v>
      </c>
      <c r="AC43" s="692">
        <f t="shared" si="8"/>
        <v>4053.31</v>
      </c>
      <c r="AD43" s="692">
        <f t="shared" si="9"/>
        <v>0</v>
      </c>
      <c r="AE43" s="38"/>
      <c r="AF43" s="692">
        <f t="shared" si="10"/>
        <v>0</v>
      </c>
      <c r="AG43" s="692">
        <f t="shared" si="11"/>
        <v>0</v>
      </c>
      <c r="AH43" s="692">
        <f t="shared" si="12"/>
        <v>0</v>
      </c>
      <c r="AJ43" s="38">
        <f t="shared" si="13"/>
        <v>4053.31</v>
      </c>
    </row>
    <row r="44" spans="1:36">
      <c r="A44" s="20"/>
      <c r="B44" s="20" t="s">
        <v>110</v>
      </c>
      <c r="C44" s="667"/>
      <c r="D44" s="68" t="s">
        <v>311</v>
      </c>
      <c r="E44" s="679"/>
      <c r="F44" s="529">
        <f>VLOOKUP(D44,'Dec 2012 Revenue'!D:T,17,FALSE)</f>
        <v>0</v>
      </c>
      <c r="G44" s="680"/>
      <c r="H44" s="680"/>
      <c r="I44" s="755"/>
      <c r="J44" s="682">
        <f t="shared" si="14"/>
        <v>0</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7"/>
        <v>0</v>
      </c>
      <c r="AC44" s="692">
        <f t="shared" si="8"/>
        <v>0</v>
      </c>
      <c r="AD44" s="692">
        <f t="shared" si="9"/>
        <v>0</v>
      </c>
      <c r="AE44" s="38"/>
      <c r="AF44" s="692">
        <f t="shared" si="10"/>
        <v>0</v>
      </c>
      <c r="AG44" s="692">
        <f t="shared" si="11"/>
        <v>0</v>
      </c>
      <c r="AH44" s="692">
        <f t="shared" si="12"/>
        <v>0</v>
      </c>
      <c r="AJ44" s="38">
        <f t="shared" si="13"/>
        <v>0</v>
      </c>
    </row>
    <row r="45" spans="1:36">
      <c r="A45" s="20"/>
      <c r="B45" s="20" t="s">
        <v>110</v>
      </c>
      <c r="C45" s="667"/>
      <c r="D45" s="68" t="s">
        <v>451</v>
      </c>
      <c r="E45" s="679"/>
      <c r="F45" s="529">
        <f>VLOOKUP(D45,'Dec 2012 Revenue'!D:T,17,FALSE)</f>
        <v>-15000</v>
      </c>
      <c r="G45" s="680"/>
      <c r="H45" s="680"/>
      <c r="I45" s="755"/>
      <c r="J45" s="682">
        <f t="shared" si="14"/>
        <v>-15000</v>
      </c>
      <c r="K45" s="683"/>
      <c r="L45" s="684"/>
      <c r="M45" s="753">
        <v>30000</v>
      </c>
      <c r="N45" s="683">
        <v>0</v>
      </c>
      <c r="O45" s="686"/>
      <c r="P45" s="683">
        <v>0</v>
      </c>
      <c r="Q45" s="687">
        <f t="shared" si="1"/>
        <v>30000</v>
      </c>
      <c r="R45" s="688">
        <v>0</v>
      </c>
      <c r="S45" s="693"/>
      <c r="T45" s="690">
        <f t="shared" si="2"/>
        <v>-30000</v>
      </c>
      <c r="U45" s="683"/>
      <c r="V45" s="474">
        <f t="shared" si="3"/>
        <v>30000</v>
      </c>
      <c r="W45" s="474">
        <f t="shared" si="4"/>
        <v>0</v>
      </c>
      <c r="X45" s="475">
        <f t="shared" si="5"/>
        <v>0</v>
      </c>
      <c r="Y45" s="475">
        <v>0</v>
      </c>
      <c r="Z45" s="476">
        <v>0</v>
      </c>
      <c r="AA45" s="38">
        <f t="shared" si="6"/>
        <v>0</v>
      </c>
      <c r="AB45" s="692">
        <f t="shared" si="7"/>
        <v>-15000</v>
      </c>
      <c r="AC45" s="692">
        <f t="shared" si="8"/>
        <v>0</v>
      </c>
      <c r="AD45" s="692">
        <f t="shared" si="9"/>
        <v>0</v>
      </c>
      <c r="AE45" s="38"/>
      <c r="AF45" s="692">
        <f t="shared" si="10"/>
        <v>30000</v>
      </c>
      <c r="AG45" s="692">
        <f t="shared" si="11"/>
        <v>0</v>
      </c>
      <c r="AH45" s="692">
        <f t="shared" si="12"/>
        <v>0</v>
      </c>
      <c r="AJ45" s="38">
        <f t="shared" si="13"/>
        <v>15000</v>
      </c>
    </row>
    <row r="46" spans="1:36">
      <c r="A46" s="20"/>
      <c r="B46" s="20" t="s">
        <v>109</v>
      </c>
      <c r="C46" s="667"/>
      <c r="D46" s="68" t="s">
        <v>469</v>
      </c>
      <c r="E46" s="679"/>
      <c r="F46" s="529">
        <f>VLOOKUP(D46,'Dec 2012 Revenue'!D:T,17,FALSE)</f>
        <v>0</v>
      </c>
      <c r="G46" s="680"/>
      <c r="H46" s="680"/>
      <c r="I46" s="755"/>
      <c r="J46" s="682">
        <f t="shared" si="14"/>
        <v>0</v>
      </c>
      <c r="K46" s="683"/>
      <c r="L46" s="684"/>
      <c r="M46" s="753"/>
      <c r="N46" s="683">
        <v>0</v>
      </c>
      <c r="O46" s="686"/>
      <c r="P46" s="683">
        <v>0</v>
      </c>
      <c r="Q46" s="687">
        <f t="shared" si="1"/>
        <v>0</v>
      </c>
      <c r="R46" s="688">
        <v>5810.93</v>
      </c>
      <c r="S46" s="693"/>
      <c r="T46" s="690">
        <f t="shared" si="2"/>
        <v>5810.93</v>
      </c>
      <c r="U46" s="683"/>
      <c r="V46" s="474">
        <f t="shared" si="3"/>
        <v>0</v>
      </c>
      <c r="W46" s="474">
        <f t="shared" si="4"/>
        <v>0</v>
      </c>
      <c r="X46" s="475">
        <f t="shared" si="5"/>
        <v>0</v>
      </c>
      <c r="Y46" s="475">
        <v>0</v>
      </c>
      <c r="Z46" s="476">
        <v>0</v>
      </c>
      <c r="AA46" s="38">
        <f t="shared" si="6"/>
        <v>0</v>
      </c>
      <c r="AB46" s="692">
        <f t="shared" si="7"/>
        <v>0</v>
      </c>
      <c r="AC46" s="692">
        <f t="shared" si="8"/>
        <v>0</v>
      </c>
      <c r="AD46" s="692">
        <f t="shared" si="9"/>
        <v>0</v>
      </c>
      <c r="AE46" s="38"/>
      <c r="AF46" s="692">
        <f t="shared" si="10"/>
        <v>0</v>
      </c>
      <c r="AG46" s="692">
        <f t="shared" si="11"/>
        <v>0</v>
      </c>
      <c r="AH46" s="692">
        <f t="shared" si="12"/>
        <v>0</v>
      </c>
      <c r="AJ46" s="38">
        <f t="shared" si="13"/>
        <v>0</v>
      </c>
    </row>
    <row r="47" spans="1:36">
      <c r="A47" s="20"/>
      <c r="B47" s="20" t="s">
        <v>110</v>
      </c>
      <c r="C47" s="667" t="s">
        <v>530</v>
      </c>
      <c r="D47" s="68" t="s">
        <v>69</v>
      </c>
      <c r="E47" s="679"/>
      <c r="F47" s="529">
        <f>VLOOKUP(D47,'Dec 2012 Revenue'!D:T,17,FALSE)</f>
        <v>2690.08</v>
      </c>
      <c r="G47" s="680"/>
      <c r="H47" s="680"/>
      <c r="I47" s="755"/>
      <c r="J47" s="682">
        <f t="shared" si="14"/>
        <v>2690.08</v>
      </c>
      <c r="K47" s="683"/>
      <c r="L47" s="684"/>
      <c r="M47" s="753"/>
      <c r="N47" s="683">
        <v>0</v>
      </c>
      <c r="O47" s="686"/>
      <c r="P47" s="683">
        <v>0</v>
      </c>
      <c r="Q47" s="687">
        <f t="shared" si="1"/>
        <v>0</v>
      </c>
      <c r="R47" s="688">
        <v>2397.54</v>
      </c>
      <c r="S47" s="693"/>
      <c r="T47" s="690">
        <f t="shared" si="2"/>
        <v>2397.54</v>
      </c>
      <c r="U47" s="683"/>
      <c r="V47" s="474">
        <f t="shared" si="3"/>
        <v>0</v>
      </c>
      <c r="W47" s="474">
        <f t="shared" si="4"/>
        <v>0</v>
      </c>
      <c r="X47" s="475">
        <f t="shared" si="5"/>
        <v>0</v>
      </c>
      <c r="Y47" s="475">
        <v>0</v>
      </c>
      <c r="Z47" s="476">
        <v>0</v>
      </c>
      <c r="AA47" s="38">
        <f t="shared" si="6"/>
        <v>0</v>
      </c>
      <c r="AB47" s="692">
        <f t="shared" si="7"/>
        <v>2690.08</v>
      </c>
      <c r="AC47" s="692">
        <f t="shared" si="8"/>
        <v>0</v>
      </c>
      <c r="AD47" s="692">
        <f t="shared" si="9"/>
        <v>0</v>
      </c>
      <c r="AE47" s="38"/>
      <c r="AF47" s="692">
        <f t="shared" si="10"/>
        <v>0</v>
      </c>
      <c r="AG47" s="692">
        <f t="shared" si="11"/>
        <v>0</v>
      </c>
      <c r="AH47" s="692">
        <f t="shared" si="12"/>
        <v>0</v>
      </c>
      <c r="AJ47" s="38">
        <f t="shared" si="13"/>
        <v>2690.08</v>
      </c>
    </row>
    <row r="48" spans="1:36">
      <c r="A48" s="20"/>
      <c r="B48" s="20" t="s">
        <v>110</v>
      </c>
      <c r="C48" s="667" t="s">
        <v>531</v>
      </c>
      <c r="D48" s="68" t="s">
        <v>237</v>
      </c>
      <c r="E48" s="679"/>
      <c r="F48" s="529">
        <f>VLOOKUP(D48,'Dec 2012 Revenue'!D:T,17,FALSE)</f>
        <v>0</v>
      </c>
      <c r="G48" s="680"/>
      <c r="H48" s="680"/>
      <c r="I48" s="755"/>
      <c r="J48" s="682">
        <f t="shared" si="14"/>
        <v>0</v>
      </c>
      <c r="K48" s="683"/>
      <c r="L48" s="684"/>
      <c r="M48" s="753"/>
      <c r="N48" s="683">
        <v>0</v>
      </c>
      <c r="O48" s="686"/>
      <c r="P48" s="683">
        <v>0</v>
      </c>
      <c r="Q48" s="687">
        <f t="shared" si="1"/>
        <v>0</v>
      </c>
      <c r="R48" s="688">
        <v>12142.46</v>
      </c>
      <c r="S48" s="693"/>
      <c r="T48" s="690">
        <f t="shared" si="2"/>
        <v>12142.46</v>
      </c>
      <c r="U48" s="683"/>
      <c r="V48" s="474">
        <f t="shared" si="3"/>
        <v>0</v>
      </c>
      <c r="W48" s="474">
        <f t="shared" si="4"/>
        <v>0</v>
      </c>
      <c r="X48" s="475">
        <f t="shared" si="5"/>
        <v>0</v>
      </c>
      <c r="Y48" s="475">
        <v>0</v>
      </c>
      <c r="Z48" s="476">
        <v>0</v>
      </c>
      <c r="AA48" s="38">
        <f t="shared" si="6"/>
        <v>0</v>
      </c>
      <c r="AB48" s="692">
        <f t="shared" si="7"/>
        <v>0</v>
      </c>
      <c r="AC48" s="692">
        <f t="shared" si="8"/>
        <v>0</v>
      </c>
      <c r="AD48" s="692">
        <f t="shared" si="9"/>
        <v>0</v>
      </c>
      <c r="AE48" s="38"/>
      <c r="AF48" s="692">
        <f t="shared" si="10"/>
        <v>0</v>
      </c>
      <c r="AG48" s="692">
        <f t="shared" si="11"/>
        <v>0</v>
      </c>
      <c r="AH48" s="692">
        <f t="shared" si="12"/>
        <v>0</v>
      </c>
      <c r="AJ48" s="38">
        <f t="shared" si="13"/>
        <v>0</v>
      </c>
    </row>
    <row r="49" spans="1:36">
      <c r="A49" s="20" t="s">
        <v>211</v>
      </c>
      <c r="B49" s="20" t="s">
        <v>110</v>
      </c>
      <c r="C49" s="667" t="s">
        <v>532</v>
      </c>
      <c r="D49" s="68" t="s">
        <v>7</v>
      </c>
      <c r="E49" s="679"/>
      <c r="F49" s="529">
        <f>VLOOKUP(D49,'Dec 2012 Revenue'!D:T,17,FALSE)</f>
        <v>3718.9100000000035</v>
      </c>
      <c r="G49" s="680"/>
      <c r="H49" s="680"/>
      <c r="I49" s="755"/>
      <c r="J49" s="682">
        <f t="shared" si="14"/>
        <v>3718.9100000000035</v>
      </c>
      <c r="K49" s="683"/>
      <c r="L49" s="684"/>
      <c r="M49" s="753">
        <v>10000</v>
      </c>
      <c r="N49" s="683">
        <v>0</v>
      </c>
      <c r="O49" s="686"/>
      <c r="P49" s="683">
        <v>0</v>
      </c>
      <c r="Q49" s="687">
        <f t="shared" si="1"/>
        <v>10000</v>
      </c>
      <c r="R49" s="688">
        <v>0</v>
      </c>
      <c r="S49" s="693"/>
      <c r="T49" s="690">
        <f t="shared" si="2"/>
        <v>-10000</v>
      </c>
      <c r="U49" s="697"/>
      <c r="V49" s="474">
        <f t="shared" si="3"/>
        <v>10000</v>
      </c>
      <c r="W49" s="474">
        <f t="shared" si="4"/>
        <v>0</v>
      </c>
      <c r="X49" s="475">
        <f t="shared" si="5"/>
        <v>0</v>
      </c>
      <c r="Y49" s="475">
        <v>0</v>
      </c>
      <c r="Z49" s="476">
        <v>0</v>
      </c>
      <c r="AA49" s="38">
        <f t="shared" si="6"/>
        <v>0</v>
      </c>
      <c r="AB49" s="692">
        <f t="shared" si="7"/>
        <v>3718.9100000000035</v>
      </c>
      <c r="AC49" s="692">
        <f t="shared" si="8"/>
        <v>0</v>
      </c>
      <c r="AD49" s="692">
        <f t="shared" si="9"/>
        <v>0</v>
      </c>
      <c r="AE49" s="38"/>
      <c r="AF49" s="692">
        <f t="shared" si="10"/>
        <v>10000</v>
      </c>
      <c r="AG49" s="692">
        <f t="shared" si="11"/>
        <v>0</v>
      </c>
      <c r="AH49" s="692">
        <f t="shared" si="12"/>
        <v>0</v>
      </c>
      <c r="AJ49" s="38">
        <f t="shared" si="13"/>
        <v>13718.910000000003</v>
      </c>
    </row>
    <row r="50" spans="1:36" s="232" customFormat="1" hidden="1">
      <c r="A50" s="283" t="s">
        <v>97</v>
      </c>
      <c r="B50" s="283" t="s">
        <v>109</v>
      </c>
      <c r="C50" s="667" t="s">
        <v>533</v>
      </c>
      <c r="D50" s="123" t="s">
        <v>415</v>
      </c>
      <c r="E50" s="679"/>
      <c r="F50" s="529">
        <f>VLOOKUP(D50,'Dec 2012 Revenue'!D:T,17,FALSE)</f>
        <v>0</v>
      </c>
      <c r="G50" s="680"/>
      <c r="H50" s="680"/>
      <c r="I50" s="755"/>
      <c r="J50" s="682">
        <f t="shared" si="14"/>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7"/>
        <v>0</v>
      </c>
      <c r="AC50" s="692">
        <f t="shared" si="8"/>
        <v>0</v>
      </c>
      <c r="AD50" s="692">
        <f t="shared" si="9"/>
        <v>0</v>
      </c>
      <c r="AE50" s="38"/>
      <c r="AF50" s="692">
        <f t="shared" si="10"/>
        <v>0</v>
      </c>
      <c r="AG50" s="692">
        <f t="shared" si="11"/>
        <v>0</v>
      </c>
      <c r="AH50" s="692">
        <f t="shared" si="12"/>
        <v>0</v>
      </c>
      <c r="AJ50" s="38">
        <f t="shared" si="13"/>
        <v>0</v>
      </c>
    </row>
    <row r="51" spans="1:36" s="232" customFormat="1" hidden="1">
      <c r="A51" s="283"/>
      <c r="B51" s="283" t="s">
        <v>109</v>
      </c>
      <c r="C51" s="667" t="s">
        <v>533</v>
      </c>
      <c r="D51" s="123" t="s">
        <v>416</v>
      </c>
      <c r="E51" s="679"/>
      <c r="F51" s="529">
        <f>VLOOKUP(D51,'Dec 2012 Revenue'!D:T,17,FALSE)</f>
        <v>0</v>
      </c>
      <c r="G51" s="680"/>
      <c r="H51" s="680"/>
      <c r="I51" s="755"/>
      <c r="J51" s="682">
        <f t="shared" si="14"/>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c r="AJ51" s="38">
        <f t="shared" si="13"/>
        <v>0</v>
      </c>
    </row>
    <row r="52" spans="1:36" s="232" customFormat="1" hidden="1">
      <c r="A52" s="283"/>
      <c r="B52" s="283" t="s">
        <v>109</v>
      </c>
      <c r="C52" s="667" t="s">
        <v>533</v>
      </c>
      <c r="D52" s="123" t="s">
        <v>417</v>
      </c>
      <c r="E52" s="679"/>
      <c r="F52" s="529">
        <f>VLOOKUP(D52,'Dec 2012 Revenue'!D:T,17,FALSE)</f>
        <v>0</v>
      </c>
      <c r="G52" s="680"/>
      <c r="H52" s="680"/>
      <c r="I52" s="755"/>
      <c r="J52" s="682">
        <f t="shared" si="14"/>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8"/>
        <v>0</v>
      </c>
      <c r="AD52" s="692">
        <f t="shared" si="9"/>
        <v>0</v>
      </c>
      <c r="AE52" s="38"/>
      <c r="AF52" s="692">
        <f t="shared" si="10"/>
        <v>0</v>
      </c>
      <c r="AG52" s="692">
        <f t="shared" si="11"/>
        <v>0</v>
      </c>
      <c r="AH52" s="692">
        <f t="shared" si="12"/>
        <v>0</v>
      </c>
      <c r="AJ52" s="38">
        <f t="shared" si="13"/>
        <v>0</v>
      </c>
    </row>
    <row r="53" spans="1:36" s="232" customFormat="1" hidden="1">
      <c r="A53" s="283"/>
      <c r="B53" s="283" t="s">
        <v>109</v>
      </c>
      <c r="C53" s="667" t="s">
        <v>533</v>
      </c>
      <c r="D53" s="123" t="s">
        <v>418</v>
      </c>
      <c r="E53" s="679"/>
      <c r="F53" s="529">
        <f>VLOOKUP(D53,'Dec 2012 Revenue'!D:T,17,FALSE)</f>
        <v>0</v>
      </c>
      <c r="G53" s="680"/>
      <c r="H53" s="680"/>
      <c r="I53" s="755"/>
      <c r="J53" s="682">
        <f t="shared" si="14"/>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7"/>
        <v>0</v>
      </c>
      <c r="AC53" s="692">
        <f t="shared" si="8"/>
        <v>0</v>
      </c>
      <c r="AD53" s="692">
        <f t="shared" si="9"/>
        <v>0</v>
      </c>
      <c r="AE53" s="38"/>
      <c r="AF53" s="692">
        <f t="shared" si="10"/>
        <v>0</v>
      </c>
      <c r="AG53" s="692">
        <f t="shared" si="11"/>
        <v>0</v>
      </c>
      <c r="AH53" s="692">
        <f t="shared" si="12"/>
        <v>0</v>
      </c>
      <c r="AJ53" s="38">
        <f t="shared" si="13"/>
        <v>0</v>
      </c>
    </row>
    <row r="54" spans="1:36">
      <c r="A54" s="20" t="s">
        <v>211</v>
      </c>
      <c r="B54" s="20" t="s">
        <v>109</v>
      </c>
      <c r="C54" s="667" t="s">
        <v>534</v>
      </c>
      <c r="D54" s="68" t="s">
        <v>9</v>
      </c>
      <c r="E54" s="679"/>
      <c r="F54" s="529">
        <f>VLOOKUP(D54,'Dec 2012 Revenue'!D:T,17,FALSE)</f>
        <v>-15000</v>
      </c>
      <c r="G54" s="680"/>
      <c r="H54" s="680"/>
      <c r="I54" s="755"/>
      <c r="J54" s="682">
        <f t="shared" si="14"/>
        <v>-15000</v>
      </c>
      <c r="K54" s="683"/>
      <c r="L54" s="684"/>
      <c r="M54" s="753">
        <v>16000</v>
      </c>
      <c r="N54" s="683">
        <v>0</v>
      </c>
      <c r="O54" s="686"/>
      <c r="P54" s="683">
        <v>0</v>
      </c>
      <c r="Q54" s="687">
        <f t="shared" si="1"/>
        <v>16000</v>
      </c>
      <c r="R54" s="688">
        <v>0</v>
      </c>
      <c r="S54" s="693"/>
      <c r="T54" s="690">
        <f t="shared" si="2"/>
        <v>-16000</v>
      </c>
      <c r="U54" s="697"/>
      <c r="V54" s="474">
        <f t="shared" si="3"/>
        <v>0</v>
      </c>
      <c r="W54" s="474">
        <f t="shared" si="4"/>
        <v>16000</v>
      </c>
      <c r="X54" s="475">
        <f t="shared" si="5"/>
        <v>0</v>
      </c>
      <c r="Y54" s="475">
        <v>0</v>
      </c>
      <c r="Z54" s="476">
        <v>0</v>
      </c>
      <c r="AA54" s="38">
        <f t="shared" si="6"/>
        <v>0</v>
      </c>
      <c r="AB54" s="692">
        <f t="shared" si="7"/>
        <v>0</v>
      </c>
      <c r="AC54" s="692">
        <f t="shared" si="8"/>
        <v>-15000</v>
      </c>
      <c r="AD54" s="692">
        <f t="shared" si="9"/>
        <v>0</v>
      </c>
      <c r="AE54" s="38"/>
      <c r="AF54" s="692">
        <f t="shared" si="10"/>
        <v>0</v>
      </c>
      <c r="AG54" s="692">
        <f t="shared" si="11"/>
        <v>16000</v>
      </c>
      <c r="AH54" s="692">
        <f t="shared" si="12"/>
        <v>0</v>
      </c>
      <c r="AJ54" s="38">
        <f t="shared" si="13"/>
        <v>1000</v>
      </c>
    </row>
    <row r="55" spans="1:36">
      <c r="A55" s="20" t="s">
        <v>211</v>
      </c>
      <c r="B55" s="20" t="s">
        <v>114</v>
      </c>
      <c r="C55" s="667"/>
      <c r="D55" s="68" t="s">
        <v>487</v>
      </c>
      <c r="E55" s="679"/>
      <c r="F55" s="529">
        <f>VLOOKUP(D55,'Dec 2012 Revenue'!D:T,17,FALSE)</f>
        <v>0</v>
      </c>
      <c r="G55" s="680"/>
      <c r="H55" s="680"/>
      <c r="I55" s="755"/>
      <c r="J55" s="682">
        <f t="shared" si="14"/>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7"/>
        <v>0</v>
      </c>
      <c r="AC55" s="692">
        <f t="shared" si="8"/>
        <v>0</v>
      </c>
      <c r="AD55" s="692">
        <f t="shared" si="9"/>
        <v>0</v>
      </c>
      <c r="AE55" s="38"/>
      <c r="AF55" s="692">
        <f t="shared" si="10"/>
        <v>0</v>
      </c>
      <c r="AG55" s="692">
        <f t="shared" si="11"/>
        <v>0</v>
      </c>
      <c r="AH55" s="692">
        <f t="shared" si="12"/>
        <v>0</v>
      </c>
      <c r="AJ55" s="38">
        <f t="shared" si="13"/>
        <v>0</v>
      </c>
    </row>
    <row r="56" spans="1:36">
      <c r="A56" s="20"/>
      <c r="B56" s="20" t="s">
        <v>109</v>
      </c>
      <c r="C56" s="676" t="s">
        <v>906</v>
      </c>
      <c r="D56" s="68" t="s">
        <v>830</v>
      </c>
      <c r="E56" s="679"/>
      <c r="F56" s="529">
        <f>VLOOKUP(D56,'Dec 2012 Revenue'!D:T,17,FALSE)</f>
        <v>0</v>
      </c>
      <c r="G56" s="680"/>
      <c r="H56" s="680"/>
      <c r="I56" s="755"/>
      <c r="J56" s="682">
        <f t="shared" si="14"/>
        <v>0</v>
      </c>
      <c r="K56" s="683"/>
      <c r="L56" s="684"/>
      <c r="M56" s="753">
        <v>115000</v>
      </c>
      <c r="N56" s="683">
        <v>0</v>
      </c>
      <c r="O56" s="686"/>
      <c r="P56" s="683">
        <v>0</v>
      </c>
      <c r="Q56" s="687">
        <f t="shared" si="1"/>
        <v>115000</v>
      </c>
      <c r="R56" s="679">
        <v>120501.87</v>
      </c>
      <c r="S56" s="693"/>
      <c r="T56" s="690">
        <f t="shared" si="2"/>
        <v>5501.8699999999953</v>
      </c>
      <c r="U56" s="683"/>
      <c r="V56" s="474">
        <f t="shared" si="3"/>
        <v>0</v>
      </c>
      <c r="W56" s="474">
        <f t="shared" si="4"/>
        <v>115000</v>
      </c>
      <c r="X56" s="475">
        <f t="shared" si="5"/>
        <v>0</v>
      </c>
      <c r="Y56" s="475">
        <v>0</v>
      </c>
      <c r="Z56" s="476">
        <v>0</v>
      </c>
      <c r="AA56" s="38">
        <f t="shared" si="6"/>
        <v>0</v>
      </c>
      <c r="AB56" s="692">
        <f t="shared" si="7"/>
        <v>0</v>
      </c>
      <c r="AC56" s="692">
        <f t="shared" si="8"/>
        <v>0</v>
      </c>
      <c r="AD56" s="692">
        <f t="shared" si="9"/>
        <v>0</v>
      </c>
      <c r="AE56" s="38"/>
      <c r="AF56" s="692">
        <f t="shared" si="10"/>
        <v>0</v>
      </c>
      <c r="AG56" s="692">
        <f t="shared" si="11"/>
        <v>115000</v>
      </c>
      <c r="AH56" s="692">
        <f t="shared" si="12"/>
        <v>0</v>
      </c>
      <c r="AJ56" s="38">
        <f t="shared" si="13"/>
        <v>115000</v>
      </c>
    </row>
    <row r="57" spans="1:36">
      <c r="A57" s="20"/>
      <c r="B57" s="20" t="s">
        <v>109</v>
      </c>
      <c r="C57" s="667"/>
      <c r="D57" s="68" t="s">
        <v>374</v>
      </c>
      <c r="E57" s="679"/>
      <c r="F57" s="529">
        <f>VLOOKUP(D57,'Dec 2012 Revenue'!D:T,17,FALSE)</f>
        <v>-5000</v>
      </c>
      <c r="G57" s="680"/>
      <c r="H57" s="680"/>
      <c r="I57" s="755"/>
      <c r="J57" s="682">
        <f t="shared" si="14"/>
        <v>-5000</v>
      </c>
      <c r="K57" s="683"/>
      <c r="L57" s="684"/>
      <c r="M57" s="753">
        <v>10000</v>
      </c>
      <c r="N57" s="683">
        <v>0</v>
      </c>
      <c r="O57" s="686"/>
      <c r="P57" s="683">
        <v>0</v>
      </c>
      <c r="Q57" s="687">
        <f t="shared" si="1"/>
        <v>10000</v>
      </c>
      <c r="R57" s="688">
        <v>0</v>
      </c>
      <c r="S57" s="693"/>
      <c r="T57" s="690">
        <f t="shared" si="2"/>
        <v>-10000</v>
      </c>
      <c r="U57" s="683"/>
      <c r="V57" s="474">
        <f t="shared" si="3"/>
        <v>0</v>
      </c>
      <c r="W57" s="474">
        <f t="shared" si="4"/>
        <v>10000</v>
      </c>
      <c r="X57" s="475">
        <f t="shared" si="5"/>
        <v>0</v>
      </c>
      <c r="Y57" s="475">
        <v>0</v>
      </c>
      <c r="Z57" s="476">
        <v>0</v>
      </c>
      <c r="AA57" s="38">
        <f t="shared" si="6"/>
        <v>0</v>
      </c>
      <c r="AB57" s="692">
        <f t="shared" si="7"/>
        <v>0</v>
      </c>
      <c r="AC57" s="692">
        <f t="shared" si="8"/>
        <v>-5000</v>
      </c>
      <c r="AD57" s="692">
        <f t="shared" si="9"/>
        <v>0</v>
      </c>
      <c r="AE57" s="38"/>
      <c r="AF57" s="692">
        <f t="shared" si="10"/>
        <v>0</v>
      </c>
      <c r="AG57" s="692">
        <f t="shared" si="11"/>
        <v>10000</v>
      </c>
      <c r="AH57" s="692">
        <f t="shared" si="12"/>
        <v>0</v>
      </c>
      <c r="AJ57" s="38">
        <f t="shared" si="13"/>
        <v>5000</v>
      </c>
    </row>
    <row r="58" spans="1:36">
      <c r="A58" s="20"/>
      <c r="B58" s="20" t="s">
        <v>114</v>
      </c>
      <c r="C58" s="667"/>
      <c r="D58" s="68" t="s">
        <v>502</v>
      </c>
      <c r="E58" s="679"/>
      <c r="F58" s="529">
        <f>VLOOKUP(D58,'Dec 2012 Revenue'!D:T,17,FALSE)</f>
        <v>0</v>
      </c>
      <c r="G58" s="680"/>
      <c r="H58" s="680"/>
      <c r="I58" s="755"/>
      <c r="J58" s="682">
        <f t="shared" si="14"/>
        <v>0</v>
      </c>
      <c r="K58" s="683"/>
      <c r="L58" s="684"/>
      <c r="M58" s="753"/>
      <c r="N58" s="683">
        <v>0</v>
      </c>
      <c r="O58" s="686"/>
      <c r="P58" s="683">
        <v>0</v>
      </c>
      <c r="Q58" s="687">
        <f t="shared" si="1"/>
        <v>0</v>
      </c>
      <c r="R58" s="688">
        <v>83.97</v>
      </c>
      <c r="S58" s="693"/>
      <c r="T58" s="690">
        <f t="shared" si="2"/>
        <v>83.97</v>
      </c>
      <c r="U58" s="683"/>
      <c r="V58" s="474">
        <f t="shared" si="3"/>
        <v>0</v>
      </c>
      <c r="W58" s="474">
        <f t="shared" si="4"/>
        <v>0</v>
      </c>
      <c r="X58" s="475">
        <f t="shared" si="5"/>
        <v>0</v>
      </c>
      <c r="Y58" s="475">
        <v>0</v>
      </c>
      <c r="Z58" s="476">
        <v>0</v>
      </c>
      <c r="AA58" s="38">
        <f t="shared" si="6"/>
        <v>0</v>
      </c>
      <c r="AB58" s="692">
        <f t="shared" si="7"/>
        <v>0</v>
      </c>
      <c r="AC58" s="692">
        <f t="shared" si="8"/>
        <v>0</v>
      </c>
      <c r="AD58" s="692">
        <f t="shared" si="9"/>
        <v>0</v>
      </c>
      <c r="AE58" s="38"/>
      <c r="AF58" s="692">
        <f t="shared" si="10"/>
        <v>0</v>
      </c>
      <c r="AG58" s="692">
        <f t="shared" si="11"/>
        <v>0</v>
      </c>
      <c r="AH58" s="692">
        <f t="shared" si="12"/>
        <v>0</v>
      </c>
      <c r="AJ58" s="38">
        <f t="shared" si="13"/>
        <v>0</v>
      </c>
    </row>
    <row r="59" spans="1:36">
      <c r="A59" s="21"/>
      <c r="B59" s="21" t="s">
        <v>110</v>
      </c>
      <c r="C59" s="666" t="s">
        <v>535</v>
      </c>
      <c r="D59" s="123" t="s">
        <v>517</v>
      </c>
      <c r="E59" s="679"/>
      <c r="F59" s="529">
        <f>VLOOKUP(D59,'Dec 2012 Revenue'!D:T,17,FALSE)</f>
        <v>44838.959999999992</v>
      </c>
      <c r="G59" s="680"/>
      <c r="H59" s="680"/>
      <c r="I59" s="755"/>
      <c r="J59" s="682">
        <f t="shared" si="14"/>
        <v>44838.959999999992</v>
      </c>
      <c r="K59" s="683"/>
      <c r="L59" s="684"/>
      <c r="M59" s="753">
        <v>130000</v>
      </c>
      <c r="N59" s="683">
        <v>0</v>
      </c>
      <c r="O59" s="686"/>
      <c r="P59" s="683">
        <v>0</v>
      </c>
      <c r="Q59" s="687">
        <f t="shared" si="1"/>
        <v>130000</v>
      </c>
      <c r="R59" s="688">
        <v>155896.95999999999</v>
      </c>
      <c r="S59" s="693"/>
      <c r="T59" s="690">
        <f t="shared" si="2"/>
        <v>25896.959999999992</v>
      </c>
      <c r="U59" s="697"/>
      <c r="V59" s="474">
        <f t="shared" si="3"/>
        <v>130000</v>
      </c>
      <c r="W59" s="474">
        <f t="shared" si="4"/>
        <v>0</v>
      </c>
      <c r="X59" s="475">
        <f t="shared" si="5"/>
        <v>0</v>
      </c>
      <c r="Y59" s="475">
        <v>0</v>
      </c>
      <c r="Z59" s="476">
        <v>0</v>
      </c>
      <c r="AA59" s="38">
        <f t="shared" si="6"/>
        <v>0</v>
      </c>
      <c r="AB59" s="692">
        <f t="shared" si="7"/>
        <v>44838.959999999992</v>
      </c>
      <c r="AC59" s="692">
        <f t="shared" si="8"/>
        <v>0</v>
      </c>
      <c r="AD59" s="692">
        <f t="shared" si="9"/>
        <v>0</v>
      </c>
      <c r="AE59" s="38"/>
      <c r="AF59" s="692">
        <f t="shared" si="10"/>
        <v>130000</v>
      </c>
      <c r="AG59" s="692">
        <f t="shared" si="11"/>
        <v>0</v>
      </c>
      <c r="AH59" s="692">
        <f t="shared" si="12"/>
        <v>0</v>
      </c>
      <c r="AJ59" s="38">
        <f t="shared" si="13"/>
        <v>174838.96</v>
      </c>
    </row>
    <row r="60" spans="1:36">
      <c r="A60" s="20"/>
      <c r="B60" s="20" t="s">
        <v>110</v>
      </c>
      <c r="C60" s="667" t="s">
        <v>536</v>
      </c>
      <c r="D60" s="68" t="s">
        <v>450</v>
      </c>
      <c r="E60" s="679"/>
      <c r="F60" s="529">
        <f>VLOOKUP(D60,'Dec 2012 Revenue'!D:T,17,FALSE)</f>
        <v>0</v>
      </c>
      <c r="G60" s="680"/>
      <c r="H60" s="680"/>
      <c r="I60" s="755"/>
      <c r="J60" s="682">
        <f t="shared" si="14"/>
        <v>0</v>
      </c>
      <c r="K60" s="683"/>
      <c r="L60" s="684"/>
      <c r="M60" s="753"/>
      <c r="N60" s="683">
        <v>0</v>
      </c>
      <c r="O60" s="686"/>
      <c r="P60" s="683">
        <v>0</v>
      </c>
      <c r="Q60" s="687">
        <f t="shared" si="1"/>
        <v>0</v>
      </c>
      <c r="R60" s="688">
        <v>0</v>
      </c>
      <c r="S60" s="693"/>
      <c r="T60" s="690">
        <f t="shared" si="2"/>
        <v>0</v>
      </c>
      <c r="U60" s="683"/>
      <c r="V60" s="474">
        <f t="shared" si="3"/>
        <v>0</v>
      </c>
      <c r="W60" s="474">
        <f t="shared" si="4"/>
        <v>0</v>
      </c>
      <c r="X60" s="475">
        <f t="shared" si="5"/>
        <v>0</v>
      </c>
      <c r="Y60" s="475">
        <v>0</v>
      </c>
      <c r="Z60" s="476">
        <v>0</v>
      </c>
      <c r="AA60" s="38">
        <f t="shared" si="6"/>
        <v>0</v>
      </c>
      <c r="AB60" s="692">
        <f t="shared" si="7"/>
        <v>0</v>
      </c>
      <c r="AC60" s="692">
        <f t="shared" si="8"/>
        <v>0</v>
      </c>
      <c r="AD60" s="692">
        <f t="shared" si="9"/>
        <v>0</v>
      </c>
      <c r="AE60" s="38"/>
      <c r="AF60" s="692">
        <f t="shared" si="10"/>
        <v>0</v>
      </c>
      <c r="AG60" s="692">
        <f t="shared" si="11"/>
        <v>0</v>
      </c>
      <c r="AH60" s="692">
        <f t="shared" si="12"/>
        <v>0</v>
      </c>
      <c r="AJ60" s="38">
        <f t="shared" si="13"/>
        <v>0</v>
      </c>
    </row>
    <row r="61" spans="1:36">
      <c r="A61" s="21" t="s">
        <v>109</v>
      </c>
      <c r="B61" s="21" t="s">
        <v>110</v>
      </c>
      <c r="C61" s="666"/>
      <c r="D61" s="68" t="s">
        <v>438</v>
      </c>
      <c r="E61" s="679"/>
      <c r="F61" s="529">
        <f>VLOOKUP(D61,'Dec 2012 Revenue'!D:T,17,FALSE)</f>
        <v>0</v>
      </c>
      <c r="G61" s="680"/>
      <c r="H61" s="680"/>
      <c r="I61" s="755"/>
      <c r="J61" s="682">
        <f t="shared" si="14"/>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7"/>
        <v>0</v>
      </c>
      <c r="AC61" s="692">
        <f t="shared" si="8"/>
        <v>0</v>
      </c>
      <c r="AD61" s="692">
        <f t="shared" si="9"/>
        <v>0</v>
      </c>
      <c r="AE61" s="38"/>
      <c r="AF61" s="692">
        <f t="shared" si="10"/>
        <v>0</v>
      </c>
      <c r="AG61" s="692">
        <f t="shared" si="11"/>
        <v>0</v>
      </c>
      <c r="AH61" s="692">
        <f t="shared" si="12"/>
        <v>0</v>
      </c>
      <c r="AJ61" s="38">
        <f t="shared" si="13"/>
        <v>0</v>
      </c>
    </row>
    <row r="62" spans="1:36">
      <c r="A62" s="21"/>
      <c r="B62" s="21" t="s">
        <v>110</v>
      </c>
      <c r="C62" s="666"/>
      <c r="D62" s="68" t="s">
        <v>628</v>
      </c>
      <c r="F62" s="529">
        <f>VLOOKUP(D62,'Dec 2012 Revenue'!D:T,17,FALSE)</f>
        <v>0</v>
      </c>
      <c r="G62" s="680"/>
      <c r="H62" s="680"/>
      <c r="I62" s="755"/>
      <c r="J62" s="682">
        <f>SUM(F62:I62)</f>
        <v>0</v>
      </c>
      <c r="K62" s="683"/>
      <c r="L62" s="684"/>
      <c r="M62" s="753"/>
      <c r="N62" s="683">
        <v>0</v>
      </c>
      <c r="O62" s="686"/>
      <c r="P62" s="683">
        <v>0</v>
      </c>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7"/>
        <v>0</v>
      </c>
      <c r="AC62" s="692">
        <f t="shared" si="8"/>
        <v>0</v>
      </c>
      <c r="AD62" s="692">
        <f t="shared" si="9"/>
        <v>0</v>
      </c>
      <c r="AE62" s="38"/>
      <c r="AF62" s="692">
        <f t="shared" si="10"/>
        <v>0</v>
      </c>
      <c r="AG62" s="692">
        <f t="shared" si="11"/>
        <v>0</v>
      </c>
      <c r="AH62" s="692">
        <f t="shared" si="12"/>
        <v>0</v>
      </c>
      <c r="AJ62" s="38">
        <f t="shared" si="13"/>
        <v>0</v>
      </c>
    </row>
    <row r="63" spans="1:36">
      <c r="A63" s="21"/>
      <c r="B63" s="21" t="s">
        <v>110</v>
      </c>
      <c r="C63" s="666" t="s">
        <v>537</v>
      </c>
      <c r="D63" s="68" t="s">
        <v>12</v>
      </c>
      <c r="E63" s="679"/>
      <c r="F63" s="529">
        <f>VLOOKUP(D63,'Dec 2012 Revenue'!D:T,17,FALSE)</f>
        <v>0</v>
      </c>
      <c r="G63" s="680"/>
      <c r="H63" s="680"/>
      <c r="I63" s="755"/>
      <c r="J63" s="682">
        <f t="shared" ref="J63:J76" si="15">SUM(E63:I63)</f>
        <v>0</v>
      </c>
      <c r="K63" s="683"/>
      <c r="L63" s="684"/>
      <c r="M63" s="753"/>
      <c r="N63" s="683">
        <v>0</v>
      </c>
      <c r="O63" s="686"/>
      <c r="P63" s="683">
        <v>0</v>
      </c>
      <c r="Q63" s="687">
        <f t="shared" si="1"/>
        <v>0</v>
      </c>
      <c r="R63" s="688">
        <v>0</v>
      </c>
      <c r="S63" s="693"/>
      <c r="T63" s="690">
        <f t="shared" si="2"/>
        <v>0</v>
      </c>
      <c r="U63" s="683"/>
      <c r="V63" s="474">
        <f t="shared" si="3"/>
        <v>0</v>
      </c>
      <c r="W63" s="474">
        <f t="shared" si="4"/>
        <v>0</v>
      </c>
      <c r="X63" s="475">
        <f t="shared" si="5"/>
        <v>0</v>
      </c>
      <c r="Y63" s="475">
        <v>0</v>
      </c>
      <c r="Z63" s="476">
        <v>0</v>
      </c>
      <c r="AA63" s="38">
        <f t="shared" si="6"/>
        <v>0</v>
      </c>
      <c r="AB63" s="692">
        <f t="shared" si="7"/>
        <v>0</v>
      </c>
      <c r="AC63" s="692">
        <f t="shared" si="8"/>
        <v>0</v>
      </c>
      <c r="AD63" s="692">
        <f t="shared" si="9"/>
        <v>0</v>
      </c>
      <c r="AE63" s="38"/>
      <c r="AF63" s="692">
        <f t="shared" si="10"/>
        <v>0</v>
      </c>
      <c r="AG63" s="692">
        <f t="shared" si="11"/>
        <v>0</v>
      </c>
      <c r="AH63" s="692">
        <f t="shared" si="12"/>
        <v>0</v>
      </c>
      <c r="AJ63" s="38">
        <f t="shared" si="13"/>
        <v>0</v>
      </c>
    </row>
    <row r="64" spans="1:36" s="232" customFormat="1">
      <c r="A64" s="283" t="s">
        <v>211</v>
      </c>
      <c r="B64" s="283" t="s">
        <v>110</v>
      </c>
      <c r="C64" s="667" t="s">
        <v>538</v>
      </c>
      <c r="D64" s="123" t="s">
        <v>170</v>
      </c>
      <c r="E64" s="679"/>
      <c r="F64" s="529">
        <f>VLOOKUP(D64,'Dec 2012 Revenue'!D:T,17,FALSE)</f>
        <v>0</v>
      </c>
      <c r="G64" s="680"/>
      <c r="H64" s="680"/>
      <c r="I64" s="755"/>
      <c r="J64" s="682">
        <f t="shared" si="15"/>
        <v>0</v>
      </c>
      <c r="K64" s="683"/>
      <c r="L64" s="684"/>
      <c r="M64" s="753">
        <v>100000</v>
      </c>
      <c r="N64" s="683">
        <v>0</v>
      </c>
      <c r="O64" s="686"/>
      <c r="P64" s="683">
        <v>0</v>
      </c>
      <c r="Q64" s="687">
        <f t="shared" si="1"/>
        <v>100000</v>
      </c>
      <c r="R64" s="688">
        <v>0</v>
      </c>
      <c r="S64" s="693"/>
      <c r="T64" s="690">
        <f t="shared" si="2"/>
        <v>-100000</v>
      </c>
      <c r="U64" s="683"/>
      <c r="V64" s="474">
        <f t="shared" si="3"/>
        <v>100000</v>
      </c>
      <c r="W64" s="474">
        <f t="shared" si="4"/>
        <v>0</v>
      </c>
      <c r="X64" s="475">
        <f t="shared" si="5"/>
        <v>0</v>
      </c>
      <c r="Y64" s="475">
        <v>0</v>
      </c>
      <c r="Z64" s="476">
        <v>0</v>
      </c>
      <c r="AA64" s="38">
        <f t="shared" si="6"/>
        <v>0</v>
      </c>
      <c r="AB64" s="692">
        <f t="shared" si="7"/>
        <v>0</v>
      </c>
      <c r="AC64" s="692">
        <f t="shared" si="8"/>
        <v>0</v>
      </c>
      <c r="AD64" s="692">
        <f t="shared" si="9"/>
        <v>0</v>
      </c>
      <c r="AE64" s="38"/>
      <c r="AF64" s="692">
        <f t="shared" si="10"/>
        <v>100000</v>
      </c>
      <c r="AG64" s="692">
        <f t="shared" si="11"/>
        <v>0</v>
      </c>
      <c r="AH64" s="692">
        <f t="shared" si="12"/>
        <v>0</v>
      </c>
      <c r="AJ64" s="38">
        <f t="shared" si="13"/>
        <v>100000</v>
      </c>
    </row>
    <row r="65" spans="1:36" s="232" customFormat="1">
      <c r="A65" s="283" t="s">
        <v>211</v>
      </c>
      <c r="B65" s="283" t="s">
        <v>110</v>
      </c>
      <c r="C65" s="667" t="s">
        <v>538</v>
      </c>
      <c r="D65" s="123" t="s">
        <v>171</v>
      </c>
      <c r="E65" s="679"/>
      <c r="F65" s="529">
        <f>VLOOKUP(D65,'Dec 2012 Revenue'!D:T,17,FALSE)</f>
        <v>0</v>
      </c>
      <c r="G65" s="680"/>
      <c r="H65" s="680"/>
      <c r="I65" s="755"/>
      <c r="J65" s="682">
        <f t="shared" si="15"/>
        <v>0</v>
      </c>
      <c r="K65" s="683"/>
      <c r="L65" s="684"/>
      <c r="M65" s="753"/>
      <c r="N65" s="683">
        <v>0</v>
      </c>
      <c r="O65" s="686"/>
      <c r="P65" s="683">
        <v>0</v>
      </c>
      <c r="Q65" s="687">
        <f t="shared" si="1"/>
        <v>0</v>
      </c>
      <c r="R65" s="688">
        <v>0</v>
      </c>
      <c r="S65" s="693"/>
      <c r="T65" s="690">
        <f t="shared" si="2"/>
        <v>0</v>
      </c>
      <c r="U65" s="683"/>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c r="AJ65" s="38">
        <f t="shared" si="13"/>
        <v>0</v>
      </c>
    </row>
    <row r="66" spans="1:36" s="232" customFormat="1" hidden="1">
      <c r="A66" s="283" t="s">
        <v>211</v>
      </c>
      <c r="B66" s="283" t="s">
        <v>110</v>
      </c>
      <c r="C66" s="667" t="s">
        <v>538</v>
      </c>
      <c r="D66" s="123" t="s">
        <v>13</v>
      </c>
      <c r="E66" s="679"/>
      <c r="F66" s="529">
        <f>VLOOKUP(D66,'Dec 2012 Revenue'!D:T,17,FALSE)</f>
        <v>0</v>
      </c>
      <c r="G66" s="680"/>
      <c r="H66" s="680"/>
      <c r="I66" s="755"/>
      <c r="J66" s="682">
        <f t="shared" si="15"/>
        <v>0</v>
      </c>
      <c r="K66" s="683"/>
      <c r="L66" s="684"/>
      <c r="M66" s="753"/>
      <c r="N66" s="683">
        <v>0</v>
      </c>
      <c r="O66" s="686"/>
      <c r="P66" s="683">
        <v>0</v>
      </c>
      <c r="Q66" s="687">
        <f t="shared" si="1"/>
        <v>0</v>
      </c>
      <c r="R66" s="688">
        <v>0</v>
      </c>
      <c r="S66" s="693"/>
      <c r="T66" s="690">
        <f t="shared" si="2"/>
        <v>0</v>
      </c>
      <c r="U66" s="683"/>
      <c r="V66" s="474">
        <f t="shared" si="3"/>
        <v>0</v>
      </c>
      <c r="W66" s="474">
        <f t="shared" si="4"/>
        <v>0</v>
      </c>
      <c r="X66" s="475">
        <f t="shared" si="5"/>
        <v>0</v>
      </c>
      <c r="Y66" s="475">
        <v>0</v>
      </c>
      <c r="Z66" s="476">
        <v>0</v>
      </c>
      <c r="AA66" s="38">
        <f t="shared" si="6"/>
        <v>0</v>
      </c>
      <c r="AB66" s="692">
        <f t="shared" si="7"/>
        <v>0</v>
      </c>
      <c r="AC66" s="692">
        <f t="shared" si="8"/>
        <v>0</v>
      </c>
      <c r="AD66" s="692">
        <f t="shared" si="9"/>
        <v>0</v>
      </c>
      <c r="AE66" s="38"/>
      <c r="AF66" s="692">
        <f t="shared" si="10"/>
        <v>0</v>
      </c>
      <c r="AG66" s="692">
        <f t="shared" si="11"/>
        <v>0</v>
      </c>
      <c r="AH66" s="692">
        <f t="shared" si="12"/>
        <v>0</v>
      </c>
      <c r="AJ66" s="38">
        <f t="shared" si="13"/>
        <v>0</v>
      </c>
    </row>
    <row r="67" spans="1:36" s="232" customFormat="1" hidden="1">
      <c r="A67" s="283" t="s">
        <v>211</v>
      </c>
      <c r="B67" s="283" t="s">
        <v>110</v>
      </c>
      <c r="C67" s="667" t="s">
        <v>538</v>
      </c>
      <c r="D67" s="123" t="s">
        <v>172</v>
      </c>
      <c r="E67" s="679"/>
      <c r="F67" s="529">
        <f>VLOOKUP(D67,'Dec 2012 Revenue'!D:T,17,FALSE)</f>
        <v>0</v>
      </c>
      <c r="G67" s="680"/>
      <c r="H67" s="680"/>
      <c r="I67" s="755"/>
      <c r="J67" s="682">
        <f t="shared" si="15"/>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7"/>
        <v>0</v>
      </c>
      <c r="AC67" s="692">
        <f t="shared" si="8"/>
        <v>0</v>
      </c>
      <c r="AD67" s="692">
        <f t="shared" si="9"/>
        <v>0</v>
      </c>
      <c r="AE67" s="38"/>
      <c r="AF67" s="692">
        <f t="shared" si="10"/>
        <v>0</v>
      </c>
      <c r="AG67" s="692">
        <f t="shared" si="11"/>
        <v>0</v>
      </c>
      <c r="AH67" s="692">
        <f t="shared" si="12"/>
        <v>0</v>
      </c>
      <c r="AJ67" s="38">
        <f t="shared" si="13"/>
        <v>0</v>
      </c>
    </row>
    <row r="68" spans="1:36" s="232" customFormat="1" hidden="1">
      <c r="A68" s="283" t="s">
        <v>211</v>
      </c>
      <c r="B68" s="283" t="s">
        <v>110</v>
      </c>
      <c r="C68" s="667" t="s">
        <v>538</v>
      </c>
      <c r="D68" s="123" t="s">
        <v>173</v>
      </c>
      <c r="E68" s="679"/>
      <c r="F68" s="529">
        <f>VLOOKUP(D68,'Dec 2012 Revenue'!D:T,17,FALSE)</f>
        <v>0</v>
      </c>
      <c r="G68" s="680"/>
      <c r="H68" s="680"/>
      <c r="I68" s="755"/>
      <c r="J68" s="682">
        <f t="shared" si="15"/>
        <v>0</v>
      </c>
      <c r="K68" s="683"/>
      <c r="L68" s="684"/>
      <c r="M68" s="753"/>
      <c r="N68" s="683">
        <v>0</v>
      </c>
      <c r="O68" s="686"/>
      <c r="P68" s="683">
        <v>0</v>
      </c>
      <c r="Q68" s="687">
        <f t="shared" si="1"/>
        <v>0</v>
      </c>
      <c r="R68" s="688">
        <v>0</v>
      </c>
      <c r="S68" s="693"/>
      <c r="T68" s="690">
        <f t="shared" si="2"/>
        <v>0</v>
      </c>
      <c r="U68" s="683"/>
      <c r="V68" s="474">
        <f t="shared" si="3"/>
        <v>0</v>
      </c>
      <c r="W68" s="474">
        <f t="shared" si="4"/>
        <v>0</v>
      </c>
      <c r="X68" s="475">
        <f t="shared" si="5"/>
        <v>0</v>
      </c>
      <c r="Y68" s="475">
        <v>0</v>
      </c>
      <c r="Z68" s="476">
        <v>0</v>
      </c>
      <c r="AA68" s="38">
        <f t="shared" si="6"/>
        <v>0</v>
      </c>
      <c r="AB68" s="692">
        <f t="shared" si="7"/>
        <v>0</v>
      </c>
      <c r="AC68" s="692">
        <f t="shared" si="8"/>
        <v>0</v>
      </c>
      <c r="AD68" s="692">
        <f t="shared" si="9"/>
        <v>0</v>
      </c>
      <c r="AE68" s="38"/>
      <c r="AF68" s="692">
        <f t="shared" si="10"/>
        <v>0</v>
      </c>
      <c r="AG68" s="692">
        <f t="shared" si="11"/>
        <v>0</v>
      </c>
      <c r="AH68" s="692">
        <f t="shared" si="12"/>
        <v>0</v>
      </c>
      <c r="AJ68" s="38">
        <f t="shared" si="13"/>
        <v>0</v>
      </c>
    </row>
    <row r="69" spans="1:36" s="232" customFormat="1" hidden="1">
      <c r="A69" s="283" t="s">
        <v>211</v>
      </c>
      <c r="B69" s="283" t="s">
        <v>110</v>
      </c>
      <c r="C69" s="667" t="s">
        <v>538</v>
      </c>
      <c r="D69" s="123" t="s">
        <v>174</v>
      </c>
      <c r="E69" s="679"/>
      <c r="F69" s="529">
        <f>VLOOKUP(D69,'Dec 2012 Revenue'!D:T,17,FALSE)</f>
        <v>0</v>
      </c>
      <c r="G69" s="680"/>
      <c r="H69" s="680"/>
      <c r="I69" s="755"/>
      <c r="J69" s="682">
        <f t="shared" si="15"/>
        <v>0</v>
      </c>
      <c r="K69" s="683"/>
      <c r="L69" s="684"/>
      <c r="M69" s="753"/>
      <c r="N69" s="683">
        <v>0</v>
      </c>
      <c r="O69" s="686"/>
      <c r="P69" s="683">
        <v>0</v>
      </c>
      <c r="Q69" s="687">
        <f t="shared" si="1"/>
        <v>0</v>
      </c>
      <c r="R69" s="688">
        <v>0</v>
      </c>
      <c r="S69" s="693"/>
      <c r="T69" s="690">
        <f t="shared" si="2"/>
        <v>0</v>
      </c>
      <c r="U69" s="683"/>
      <c r="V69" s="474">
        <f t="shared" si="3"/>
        <v>0</v>
      </c>
      <c r="W69" s="474">
        <f t="shared" si="4"/>
        <v>0</v>
      </c>
      <c r="X69" s="475">
        <f t="shared" si="5"/>
        <v>0</v>
      </c>
      <c r="Y69" s="475">
        <v>0</v>
      </c>
      <c r="Z69" s="476">
        <v>0</v>
      </c>
      <c r="AA69" s="38">
        <f t="shared" si="6"/>
        <v>0</v>
      </c>
      <c r="AB69" s="692">
        <f t="shared" si="7"/>
        <v>0</v>
      </c>
      <c r="AC69" s="692">
        <f t="shared" si="8"/>
        <v>0</v>
      </c>
      <c r="AD69" s="692">
        <f t="shared" si="9"/>
        <v>0</v>
      </c>
      <c r="AE69" s="38"/>
      <c r="AF69" s="692">
        <f t="shared" si="10"/>
        <v>0</v>
      </c>
      <c r="AG69" s="692">
        <f t="shared" si="11"/>
        <v>0</v>
      </c>
      <c r="AH69" s="692">
        <f t="shared" si="12"/>
        <v>0</v>
      </c>
      <c r="AJ69" s="38">
        <f t="shared" si="13"/>
        <v>0</v>
      </c>
    </row>
    <row r="70" spans="1:36" s="232" customFormat="1">
      <c r="A70" s="283"/>
      <c r="B70" s="283" t="s">
        <v>109</v>
      </c>
      <c r="C70" s="794"/>
      <c r="D70" s="351" t="s">
        <v>14</v>
      </c>
      <c r="E70" s="679"/>
      <c r="F70" s="529">
        <f>VLOOKUP(D70,'Dec 2012 Revenue'!D:T,17,FALSE)</f>
        <v>0</v>
      </c>
      <c r="G70" s="680"/>
      <c r="H70" s="680"/>
      <c r="I70" s="755"/>
      <c r="J70" s="682">
        <f t="shared" si="15"/>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c r="AJ70" s="38">
        <f t="shared" si="13"/>
        <v>0</v>
      </c>
    </row>
    <row r="71" spans="1:36">
      <c r="A71" s="20"/>
      <c r="B71" s="20" t="s">
        <v>110</v>
      </c>
      <c r="C71" s="667"/>
      <c r="D71" s="68" t="s">
        <v>15</v>
      </c>
      <c r="E71" s="679"/>
      <c r="F71" s="529">
        <f>VLOOKUP(D71,'Dec 2012 Revenue'!D:T,17,FALSE)</f>
        <v>0</v>
      </c>
      <c r="G71" s="680"/>
      <c r="H71" s="680"/>
      <c r="I71" s="755"/>
      <c r="J71" s="682">
        <f t="shared" si="15"/>
        <v>0</v>
      </c>
      <c r="K71" s="683"/>
      <c r="L71" s="684"/>
      <c r="M71" s="753">
        <v>8000</v>
      </c>
      <c r="N71" s="683">
        <v>0</v>
      </c>
      <c r="O71" s="686"/>
      <c r="P71" s="683">
        <v>0</v>
      </c>
      <c r="Q71" s="687">
        <f t="shared" si="1"/>
        <v>8000</v>
      </c>
      <c r="R71" s="688">
        <v>0</v>
      </c>
      <c r="S71" s="693"/>
      <c r="T71" s="690">
        <f t="shared" si="2"/>
        <v>-8000</v>
      </c>
      <c r="U71" s="683"/>
      <c r="V71" s="474">
        <f t="shared" si="3"/>
        <v>8000</v>
      </c>
      <c r="W71" s="474">
        <f t="shared" si="4"/>
        <v>0</v>
      </c>
      <c r="X71" s="475">
        <f t="shared" si="5"/>
        <v>0</v>
      </c>
      <c r="Y71" s="475">
        <v>0</v>
      </c>
      <c r="Z71" s="476">
        <v>0</v>
      </c>
      <c r="AA71" s="38">
        <f t="shared" si="6"/>
        <v>0</v>
      </c>
      <c r="AB71" s="692">
        <f t="shared" si="7"/>
        <v>0</v>
      </c>
      <c r="AC71" s="692">
        <f t="shared" si="8"/>
        <v>0</v>
      </c>
      <c r="AD71" s="692">
        <f t="shared" si="9"/>
        <v>0</v>
      </c>
      <c r="AE71" s="38"/>
      <c r="AF71" s="692">
        <f t="shared" si="10"/>
        <v>8000</v>
      </c>
      <c r="AG71" s="692">
        <f t="shared" si="11"/>
        <v>0</v>
      </c>
      <c r="AH71" s="692">
        <f t="shared" si="12"/>
        <v>0</v>
      </c>
      <c r="AJ71" s="38">
        <f t="shared" si="13"/>
        <v>8000</v>
      </c>
    </row>
    <row r="72" spans="1:36">
      <c r="A72" s="20"/>
      <c r="B72" s="20" t="s">
        <v>110</v>
      </c>
      <c r="C72" s="667"/>
      <c r="D72" s="68" t="s">
        <v>646</v>
      </c>
      <c r="E72" s="679"/>
      <c r="F72" s="529">
        <f>VLOOKUP(D72,'Dec 2012 Revenue'!D:T,17,FALSE)</f>
        <v>0</v>
      </c>
      <c r="G72" s="680"/>
      <c r="H72" s="680"/>
      <c r="I72" s="755"/>
      <c r="J72" s="682">
        <f t="shared" si="15"/>
        <v>0</v>
      </c>
      <c r="K72" s="683"/>
      <c r="L72" s="684"/>
      <c r="M72" s="753"/>
      <c r="N72" s="683">
        <v>0</v>
      </c>
      <c r="O72" s="686"/>
      <c r="P72" s="683">
        <v>0</v>
      </c>
      <c r="Q72" s="687">
        <f t="shared" si="1"/>
        <v>0</v>
      </c>
      <c r="R72" s="688">
        <v>289.95999999999998</v>
      </c>
      <c r="S72" s="693"/>
      <c r="T72" s="690">
        <f t="shared" si="2"/>
        <v>289.95999999999998</v>
      </c>
      <c r="U72" s="683"/>
      <c r="V72" s="474">
        <f t="shared" si="3"/>
        <v>0</v>
      </c>
      <c r="W72" s="474">
        <f t="shared" si="4"/>
        <v>0</v>
      </c>
      <c r="X72" s="475">
        <f t="shared" si="5"/>
        <v>0</v>
      </c>
      <c r="Y72" s="475">
        <v>0</v>
      </c>
      <c r="Z72" s="476">
        <v>0</v>
      </c>
      <c r="AA72" s="38">
        <f t="shared" si="6"/>
        <v>0</v>
      </c>
      <c r="AB72" s="692">
        <f t="shared" si="7"/>
        <v>0</v>
      </c>
      <c r="AC72" s="692">
        <f t="shared" si="8"/>
        <v>0</v>
      </c>
      <c r="AD72" s="692">
        <f t="shared" si="9"/>
        <v>0</v>
      </c>
      <c r="AE72" s="38"/>
      <c r="AF72" s="692">
        <f t="shared" si="10"/>
        <v>0</v>
      </c>
      <c r="AG72" s="692">
        <f t="shared" si="11"/>
        <v>0</v>
      </c>
      <c r="AH72" s="692">
        <f t="shared" si="12"/>
        <v>0</v>
      </c>
      <c r="AJ72" s="38">
        <f t="shared" si="13"/>
        <v>0</v>
      </c>
    </row>
    <row r="73" spans="1:36">
      <c r="A73" s="20" t="s">
        <v>109</v>
      </c>
      <c r="B73" s="20" t="s">
        <v>109</v>
      </c>
      <c r="C73" s="667" t="s">
        <v>539</v>
      </c>
      <c r="D73" s="68" t="s">
        <v>510</v>
      </c>
      <c r="E73" s="679">
        <v>1913.46</v>
      </c>
      <c r="F73" s="529">
        <f>VLOOKUP(D73,'Dec 2012 Revenue'!D:T,17,FALSE)</f>
        <v>0</v>
      </c>
      <c r="G73" s="680"/>
      <c r="H73" s="680"/>
      <c r="I73" s="755"/>
      <c r="J73" s="682">
        <f t="shared" si="15"/>
        <v>1913.46</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8"/>
        <v>1913.46</v>
      </c>
      <c r="AD73" s="692">
        <f t="shared" si="9"/>
        <v>0</v>
      </c>
      <c r="AE73" s="38"/>
      <c r="AF73" s="692">
        <f t="shared" si="10"/>
        <v>0</v>
      </c>
      <c r="AG73" s="692">
        <f t="shared" si="11"/>
        <v>0</v>
      </c>
      <c r="AH73" s="692">
        <f t="shared" si="12"/>
        <v>0</v>
      </c>
      <c r="AJ73" s="38">
        <f t="shared" si="13"/>
        <v>1913.46</v>
      </c>
    </row>
    <row r="74" spans="1:36">
      <c r="A74" s="20"/>
      <c r="B74" s="20" t="s">
        <v>109</v>
      </c>
      <c r="C74" s="667"/>
      <c r="D74" s="68" t="s">
        <v>16</v>
      </c>
      <c r="E74" s="679"/>
      <c r="F74" s="529">
        <f>VLOOKUP(D74,'Dec 2012 Revenue'!D:T,17,FALSE)</f>
        <v>0</v>
      </c>
      <c r="G74" s="680"/>
      <c r="H74" s="680"/>
      <c r="I74" s="755"/>
      <c r="J74" s="682">
        <f t="shared" si="15"/>
        <v>0</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0</v>
      </c>
      <c r="AD74" s="692">
        <f t="shared" si="9"/>
        <v>0</v>
      </c>
      <c r="AE74" s="38"/>
      <c r="AF74" s="692">
        <f t="shared" si="10"/>
        <v>0</v>
      </c>
      <c r="AG74" s="692">
        <f t="shared" si="11"/>
        <v>0</v>
      </c>
      <c r="AH74" s="692">
        <f t="shared" si="12"/>
        <v>0</v>
      </c>
      <c r="AJ74" s="38">
        <f t="shared" si="13"/>
        <v>0</v>
      </c>
    </row>
    <row r="75" spans="1:36">
      <c r="A75" s="20"/>
      <c r="B75" s="20" t="s">
        <v>110</v>
      </c>
      <c r="C75" s="667"/>
      <c r="D75" s="68" t="s">
        <v>597</v>
      </c>
      <c r="E75" s="679"/>
      <c r="F75" s="529">
        <f>VLOOKUP(D75,'Dec 2012 Revenue'!D:T,17,FALSE)</f>
        <v>38643.049999999988</v>
      </c>
      <c r="G75" s="680"/>
      <c r="H75" s="680"/>
      <c r="I75" s="755"/>
      <c r="J75" s="682">
        <f t="shared" si="15"/>
        <v>38643.049999999988</v>
      </c>
      <c r="K75" s="683"/>
      <c r="L75" s="684"/>
      <c r="M75" s="753">
        <v>110000</v>
      </c>
      <c r="N75" s="683">
        <v>0</v>
      </c>
      <c r="O75" s="686"/>
      <c r="P75" s="683">
        <v>0</v>
      </c>
      <c r="Q75" s="687">
        <f t="shared" si="1"/>
        <v>110000</v>
      </c>
      <c r="R75" s="688">
        <f>93445.22+19937.4+14194.61</f>
        <v>127577.23</v>
      </c>
      <c r="S75" s="693"/>
      <c r="T75" s="690">
        <f t="shared" si="2"/>
        <v>17577.229999999996</v>
      </c>
      <c r="U75" s="683"/>
      <c r="V75" s="474">
        <f t="shared" si="3"/>
        <v>110000</v>
      </c>
      <c r="W75" s="474">
        <f t="shared" si="4"/>
        <v>0</v>
      </c>
      <c r="X75" s="475">
        <f t="shared" si="5"/>
        <v>0</v>
      </c>
      <c r="Y75" s="475">
        <v>0</v>
      </c>
      <c r="Z75" s="476">
        <v>0</v>
      </c>
      <c r="AA75" s="38">
        <f t="shared" si="6"/>
        <v>0</v>
      </c>
      <c r="AB75" s="692">
        <f t="shared" si="7"/>
        <v>38643.049999999988</v>
      </c>
      <c r="AC75" s="692">
        <f t="shared" si="8"/>
        <v>0</v>
      </c>
      <c r="AD75" s="692">
        <f t="shared" si="9"/>
        <v>0</v>
      </c>
      <c r="AE75" s="38"/>
      <c r="AF75" s="692">
        <f t="shared" si="10"/>
        <v>110000</v>
      </c>
      <c r="AG75" s="692">
        <f t="shared" si="11"/>
        <v>0</v>
      </c>
      <c r="AH75" s="692">
        <f t="shared" si="12"/>
        <v>0</v>
      </c>
      <c r="AJ75" s="38">
        <f t="shared" si="13"/>
        <v>148643.04999999999</v>
      </c>
    </row>
    <row r="76" spans="1:36" s="232" customFormat="1">
      <c r="A76" s="283"/>
      <c r="B76" s="283" t="s">
        <v>109</v>
      </c>
      <c r="C76" s="667" t="s">
        <v>540</v>
      </c>
      <c r="D76" s="373" t="s">
        <v>410</v>
      </c>
      <c r="E76" s="679">
        <v>19074.509999999998</v>
      </c>
      <c r="F76" s="529">
        <f>VLOOKUP(D76,'Dec 2012 Revenue'!D:T,17,FALSE)</f>
        <v>16913.849999999999</v>
      </c>
      <c r="G76" s="680"/>
      <c r="H76" s="680"/>
      <c r="I76" s="755"/>
      <c r="J76" s="682">
        <f t="shared" si="15"/>
        <v>35988.36</v>
      </c>
      <c r="K76" s="683"/>
      <c r="L76" s="684"/>
      <c r="M76" s="753">
        <v>20000</v>
      </c>
      <c r="N76" s="683">
        <v>0</v>
      </c>
      <c r="O76" s="686"/>
      <c r="P76" s="683">
        <v>0</v>
      </c>
      <c r="Q76" s="687">
        <f t="shared" si="1"/>
        <v>20000</v>
      </c>
      <c r="R76" s="688">
        <v>20241.13</v>
      </c>
      <c r="S76" s="693"/>
      <c r="T76" s="690">
        <f t="shared" si="2"/>
        <v>241.13000000000102</v>
      </c>
      <c r="U76" s="683"/>
      <c r="V76" s="474">
        <f t="shared" si="3"/>
        <v>0</v>
      </c>
      <c r="W76" s="474">
        <f t="shared" si="4"/>
        <v>20000</v>
      </c>
      <c r="X76" s="475">
        <f t="shared" si="5"/>
        <v>0</v>
      </c>
      <c r="Y76" s="475">
        <v>0</v>
      </c>
      <c r="Z76" s="476">
        <v>0</v>
      </c>
      <c r="AA76" s="38">
        <f t="shared" si="6"/>
        <v>0</v>
      </c>
      <c r="AB76" s="692">
        <f t="shared" ref="AB76:AB139" si="16">IF(B76="D",J76,0)</f>
        <v>0</v>
      </c>
      <c r="AC76" s="692">
        <f t="shared" ref="AC76:AC139" si="17">IF(B76="M",J76,0)</f>
        <v>35988.36</v>
      </c>
      <c r="AD76" s="692">
        <f t="shared" ref="AD76:AD139" si="18">IF(B76="V",J76,0)</f>
        <v>0</v>
      </c>
      <c r="AE76" s="38"/>
      <c r="AF76" s="692">
        <f t="shared" ref="AF76:AF141" si="19">IF(B76="D",Q76,0)</f>
        <v>0</v>
      </c>
      <c r="AG76" s="692">
        <f t="shared" ref="AG76:AG141" si="20">IF(B76="M",Q76,0)</f>
        <v>20000</v>
      </c>
      <c r="AH76" s="692">
        <f t="shared" ref="AH76:AH141" si="21">IF(B76="V",Q76,0)</f>
        <v>0</v>
      </c>
      <c r="AJ76" s="38">
        <f t="shared" si="13"/>
        <v>55988.36</v>
      </c>
    </row>
    <row r="77" spans="1:36" s="232" customFormat="1">
      <c r="A77" s="283"/>
      <c r="B77" s="283" t="s">
        <v>109</v>
      </c>
      <c r="C77" s="667" t="s">
        <v>540</v>
      </c>
      <c r="D77" s="373" t="s">
        <v>879</v>
      </c>
      <c r="E77" s="679"/>
      <c r="F77" s="529">
        <f>VLOOKUP(D77,'Dec 2012 Revenue'!D:T,17,FALSE)</f>
        <v>53.909999999999854</v>
      </c>
      <c r="G77" s="680"/>
      <c r="H77" s="680"/>
      <c r="I77" s="755"/>
      <c r="J77" s="682">
        <f t="shared" ref="J77:J140" si="22">SUM(E77:I77)</f>
        <v>53.909999999999854</v>
      </c>
      <c r="K77" s="683"/>
      <c r="L77" s="684"/>
      <c r="M77" s="753"/>
      <c r="N77" s="683">
        <v>0</v>
      </c>
      <c r="O77" s="686"/>
      <c r="P77" s="683">
        <v>0</v>
      </c>
      <c r="Q77" s="687">
        <f t="shared" si="1"/>
        <v>0</v>
      </c>
      <c r="R77" s="688">
        <v>0</v>
      </c>
      <c r="S77" s="693"/>
      <c r="T77" s="690">
        <f t="shared" si="2"/>
        <v>0</v>
      </c>
      <c r="U77" s="683"/>
      <c r="V77" s="474">
        <f t="shared" ref="V77:V141" si="23">IF(B77="D",Q77,0)</f>
        <v>0</v>
      </c>
      <c r="W77" s="474">
        <f t="shared" ref="W77:W141" si="24">IF(B77="M",Q77,0)</f>
        <v>0</v>
      </c>
      <c r="X77" s="475">
        <f t="shared" ref="X77:X141" si="25">IF(B77="V",Q77,0)</f>
        <v>0</v>
      </c>
      <c r="Y77" s="475">
        <v>0</v>
      </c>
      <c r="Z77" s="476">
        <v>0</v>
      </c>
      <c r="AA77" s="38">
        <f t="shared" ref="AA77:AA141" si="26">(L77+M77)-(V77+W77+X77+Y77+Z77)</f>
        <v>0</v>
      </c>
      <c r="AB77" s="692">
        <f t="shared" si="16"/>
        <v>0</v>
      </c>
      <c r="AC77" s="692">
        <f t="shared" si="17"/>
        <v>53.909999999999854</v>
      </c>
      <c r="AD77" s="692">
        <f t="shared" si="18"/>
        <v>0</v>
      </c>
      <c r="AE77" s="38"/>
      <c r="AF77" s="692">
        <f t="shared" si="19"/>
        <v>0</v>
      </c>
      <c r="AG77" s="692">
        <f t="shared" si="20"/>
        <v>0</v>
      </c>
      <c r="AH77" s="692">
        <f t="shared" si="21"/>
        <v>0</v>
      </c>
      <c r="AJ77" s="38">
        <f t="shared" si="13"/>
        <v>53.909999999999854</v>
      </c>
    </row>
    <row r="78" spans="1:36" s="232" customFormat="1">
      <c r="A78" s="283"/>
      <c r="B78" s="283" t="s">
        <v>109</v>
      </c>
      <c r="C78" s="667" t="s">
        <v>540</v>
      </c>
      <c r="D78" s="373" t="s">
        <v>620</v>
      </c>
      <c r="E78" s="679"/>
      <c r="F78" s="529">
        <f>VLOOKUP(D78,'Dec 2012 Revenue'!D:T,17,FALSE)</f>
        <v>0</v>
      </c>
      <c r="G78" s="680"/>
      <c r="H78" s="680"/>
      <c r="I78" s="755"/>
      <c r="J78" s="682">
        <f t="shared" si="22"/>
        <v>0</v>
      </c>
      <c r="K78" s="683"/>
      <c r="L78" s="684"/>
      <c r="M78" s="753"/>
      <c r="N78" s="683">
        <v>0</v>
      </c>
      <c r="O78" s="686"/>
      <c r="P78" s="683">
        <v>0</v>
      </c>
      <c r="Q78" s="687">
        <f t="shared" si="1"/>
        <v>0</v>
      </c>
      <c r="R78" s="688">
        <v>0</v>
      </c>
      <c r="S78" s="693"/>
      <c r="T78" s="690">
        <f t="shared" si="2"/>
        <v>0</v>
      </c>
      <c r="U78" s="683"/>
      <c r="V78" s="474">
        <f t="shared" si="23"/>
        <v>0</v>
      </c>
      <c r="W78" s="474">
        <f t="shared" si="24"/>
        <v>0</v>
      </c>
      <c r="X78" s="475">
        <f t="shared" si="25"/>
        <v>0</v>
      </c>
      <c r="Y78" s="475">
        <v>0</v>
      </c>
      <c r="Z78" s="476">
        <v>0</v>
      </c>
      <c r="AA78" s="38">
        <f t="shared" si="26"/>
        <v>0</v>
      </c>
      <c r="AB78" s="692">
        <f t="shared" si="16"/>
        <v>0</v>
      </c>
      <c r="AC78" s="692">
        <f t="shared" si="17"/>
        <v>0</v>
      </c>
      <c r="AD78" s="692">
        <f t="shared" si="18"/>
        <v>0</v>
      </c>
      <c r="AE78" s="38"/>
      <c r="AF78" s="692">
        <f t="shared" si="19"/>
        <v>0</v>
      </c>
      <c r="AG78" s="692">
        <f t="shared" si="20"/>
        <v>0</v>
      </c>
      <c r="AH78" s="692">
        <f t="shared" si="21"/>
        <v>0</v>
      </c>
      <c r="AJ78" s="38">
        <f t="shared" ref="AJ78:AJ143" si="27">SUM(AB78:AH78)</f>
        <v>0</v>
      </c>
    </row>
    <row r="79" spans="1:36">
      <c r="A79" s="20"/>
      <c r="B79" s="20" t="s">
        <v>110</v>
      </c>
      <c r="C79" s="667" t="s">
        <v>541</v>
      </c>
      <c r="D79" s="351" t="s">
        <v>507</v>
      </c>
      <c r="E79" s="679"/>
      <c r="F79" s="529">
        <f>VLOOKUP(D79,'Dec 2012 Revenue'!D:T,17,FALSE)</f>
        <v>0</v>
      </c>
      <c r="G79" s="680"/>
      <c r="H79" s="680"/>
      <c r="I79" s="755"/>
      <c r="J79" s="682">
        <f t="shared" si="22"/>
        <v>0</v>
      </c>
      <c r="K79" s="683"/>
      <c r="L79" s="684"/>
      <c r="M79" s="753"/>
      <c r="N79" s="683">
        <v>0</v>
      </c>
      <c r="O79" s="686"/>
      <c r="P79" s="683">
        <v>0</v>
      </c>
      <c r="Q79" s="687">
        <f t="shared" si="1"/>
        <v>0</v>
      </c>
      <c r="R79" s="688">
        <v>0</v>
      </c>
      <c r="S79" s="693"/>
      <c r="T79" s="690">
        <f t="shared" si="2"/>
        <v>0</v>
      </c>
      <c r="U79" s="683"/>
      <c r="V79" s="474">
        <f t="shared" si="23"/>
        <v>0</v>
      </c>
      <c r="W79" s="474">
        <f t="shared" si="24"/>
        <v>0</v>
      </c>
      <c r="X79" s="475">
        <f t="shared" si="25"/>
        <v>0</v>
      </c>
      <c r="Y79" s="475">
        <v>0</v>
      </c>
      <c r="Z79" s="476">
        <v>0</v>
      </c>
      <c r="AA79" s="38">
        <f t="shared" si="26"/>
        <v>0</v>
      </c>
      <c r="AB79" s="692">
        <f t="shared" si="16"/>
        <v>0</v>
      </c>
      <c r="AC79" s="692">
        <f t="shared" si="17"/>
        <v>0</v>
      </c>
      <c r="AD79" s="692">
        <f t="shared" si="18"/>
        <v>0</v>
      </c>
      <c r="AE79" s="38"/>
      <c r="AF79" s="692">
        <f t="shared" si="19"/>
        <v>0</v>
      </c>
      <c r="AG79" s="692">
        <f t="shared" si="20"/>
        <v>0</v>
      </c>
      <c r="AH79" s="692">
        <f t="shared" si="21"/>
        <v>0</v>
      </c>
      <c r="AJ79" s="38">
        <f t="shared" si="27"/>
        <v>0</v>
      </c>
    </row>
    <row r="80" spans="1:36">
      <c r="A80" s="20"/>
      <c r="B80" s="20" t="s">
        <v>110</v>
      </c>
      <c r="C80" s="667" t="s">
        <v>541</v>
      </c>
      <c r="D80" s="351" t="s">
        <v>506</v>
      </c>
      <c r="E80" s="679"/>
      <c r="F80" s="529">
        <f>VLOOKUP(D80,'Dec 2012 Revenue'!D:T,17,FALSE)</f>
        <v>0</v>
      </c>
      <c r="G80" s="680"/>
      <c r="H80" s="680"/>
      <c r="I80" s="755"/>
      <c r="J80" s="682">
        <f t="shared" si="22"/>
        <v>0</v>
      </c>
      <c r="K80" s="683"/>
      <c r="L80" s="684"/>
      <c r="M80" s="753"/>
      <c r="N80" s="683">
        <v>0</v>
      </c>
      <c r="O80" s="686"/>
      <c r="P80" s="683">
        <v>0</v>
      </c>
      <c r="Q80" s="687">
        <f t="shared" si="1"/>
        <v>0</v>
      </c>
      <c r="R80" s="688">
        <v>0</v>
      </c>
      <c r="S80" s="693"/>
      <c r="T80" s="690">
        <f t="shared" si="2"/>
        <v>0</v>
      </c>
      <c r="U80" s="683"/>
      <c r="V80" s="474">
        <f t="shared" si="23"/>
        <v>0</v>
      </c>
      <c r="W80" s="474">
        <f t="shared" si="24"/>
        <v>0</v>
      </c>
      <c r="X80" s="475">
        <f t="shared" si="25"/>
        <v>0</v>
      </c>
      <c r="Y80" s="475">
        <v>0</v>
      </c>
      <c r="Z80" s="476">
        <v>0</v>
      </c>
      <c r="AA80" s="38">
        <f t="shared" si="26"/>
        <v>0</v>
      </c>
      <c r="AB80" s="692">
        <f t="shared" si="16"/>
        <v>0</v>
      </c>
      <c r="AC80" s="692">
        <f t="shared" si="17"/>
        <v>0</v>
      </c>
      <c r="AD80" s="692">
        <f t="shared" si="18"/>
        <v>0</v>
      </c>
      <c r="AE80" s="38"/>
      <c r="AF80" s="692">
        <f t="shared" si="19"/>
        <v>0</v>
      </c>
      <c r="AG80" s="692">
        <f t="shared" si="20"/>
        <v>0</v>
      </c>
      <c r="AH80" s="692">
        <f t="shared" si="21"/>
        <v>0</v>
      </c>
      <c r="AJ80" s="38">
        <f t="shared" si="27"/>
        <v>0</v>
      </c>
    </row>
    <row r="81" spans="1:36">
      <c r="A81" s="20"/>
      <c r="B81" s="20" t="s">
        <v>110</v>
      </c>
      <c r="C81" s="667" t="s">
        <v>542</v>
      </c>
      <c r="D81" s="68" t="s">
        <v>305</v>
      </c>
      <c r="E81" s="679"/>
      <c r="F81" s="529">
        <f>VLOOKUP(D81,'Dec 2012 Revenue'!D:T,17,FALSE)</f>
        <v>0</v>
      </c>
      <c r="G81" s="680"/>
      <c r="H81" s="680"/>
      <c r="I81" s="755"/>
      <c r="J81" s="682">
        <f t="shared" si="22"/>
        <v>0</v>
      </c>
      <c r="K81" s="683"/>
      <c r="L81" s="684"/>
      <c r="M81" s="753"/>
      <c r="N81" s="683">
        <v>0</v>
      </c>
      <c r="O81" s="686"/>
      <c r="P81" s="683">
        <v>0</v>
      </c>
      <c r="Q81" s="687">
        <f t="shared" si="1"/>
        <v>0</v>
      </c>
      <c r="R81" s="688">
        <v>393.7</v>
      </c>
      <c r="S81" s="693"/>
      <c r="T81" s="690">
        <f t="shared" ref="T81:T144" si="28">IF(R81="","",R81-Q81)</f>
        <v>393.7</v>
      </c>
      <c r="U81" s="683"/>
      <c r="V81" s="474">
        <f t="shared" si="23"/>
        <v>0</v>
      </c>
      <c r="W81" s="474">
        <f t="shared" si="24"/>
        <v>0</v>
      </c>
      <c r="X81" s="475">
        <f t="shared" si="25"/>
        <v>0</v>
      </c>
      <c r="Y81" s="475">
        <v>0</v>
      </c>
      <c r="Z81" s="476">
        <v>0</v>
      </c>
      <c r="AA81" s="38">
        <f t="shared" si="26"/>
        <v>0</v>
      </c>
      <c r="AB81" s="692">
        <f t="shared" si="16"/>
        <v>0</v>
      </c>
      <c r="AC81" s="692">
        <f t="shared" si="17"/>
        <v>0</v>
      </c>
      <c r="AD81" s="692">
        <f t="shared" si="18"/>
        <v>0</v>
      </c>
      <c r="AE81" s="38"/>
      <c r="AF81" s="692">
        <f t="shared" si="19"/>
        <v>0</v>
      </c>
      <c r="AG81" s="692">
        <f t="shared" si="20"/>
        <v>0</v>
      </c>
      <c r="AH81" s="692">
        <f t="shared" si="21"/>
        <v>0</v>
      </c>
      <c r="AJ81" s="38">
        <f t="shared" si="27"/>
        <v>0</v>
      </c>
    </row>
    <row r="82" spans="1:36">
      <c r="A82" s="20"/>
      <c r="B82" s="20" t="s">
        <v>110</v>
      </c>
      <c r="C82" s="667" t="s">
        <v>543</v>
      </c>
      <c r="D82" s="68" t="s">
        <v>199</v>
      </c>
      <c r="E82" s="679"/>
      <c r="F82" s="529">
        <f>VLOOKUP(D82,'Dec 2012 Revenue'!D:T,17,FALSE)</f>
        <v>0</v>
      </c>
      <c r="G82" s="680"/>
      <c r="H82" s="680"/>
      <c r="I82" s="755"/>
      <c r="J82" s="682">
        <f t="shared" si="22"/>
        <v>0</v>
      </c>
      <c r="K82" s="683"/>
      <c r="L82" s="684"/>
      <c r="M82" s="753"/>
      <c r="N82" s="683">
        <v>0</v>
      </c>
      <c r="O82" s="686"/>
      <c r="P82" s="683">
        <v>0</v>
      </c>
      <c r="Q82" s="687">
        <f t="shared" si="1"/>
        <v>0</v>
      </c>
      <c r="R82" s="688">
        <v>0</v>
      </c>
      <c r="S82" s="693"/>
      <c r="T82" s="690">
        <f t="shared" si="28"/>
        <v>0</v>
      </c>
      <c r="U82" s="683"/>
      <c r="V82" s="474">
        <f t="shared" si="23"/>
        <v>0</v>
      </c>
      <c r="W82" s="474">
        <f t="shared" si="24"/>
        <v>0</v>
      </c>
      <c r="X82" s="475">
        <f t="shared" si="25"/>
        <v>0</v>
      </c>
      <c r="Y82" s="475">
        <v>0</v>
      </c>
      <c r="Z82" s="476">
        <v>0</v>
      </c>
      <c r="AA82" s="38">
        <f t="shared" si="26"/>
        <v>0</v>
      </c>
      <c r="AB82" s="692">
        <f t="shared" si="16"/>
        <v>0</v>
      </c>
      <c r="AC82" s="692">
        <f t="shared" si="17"/>
        <v>0</v>
      </c>
      <c r="AD82" s="692">
        <f t="shared" si="18"/>
        <v>0</v>
      </c>
      <c r="AE82" s="38"/>
      <c r="AF82" s="692">
        <f t="shared" si="19"/>
        <v>0</v>
      </c>
      <c r="AG82" s="692">
        <f t="shared" si="20"/>
        <v>0</v>
      </c>
      <c r="AH82" s="692">
        <f t="shared" si="21"/>
        <v>0</v>
      </c>
      <c r="AJ82" s="38">
        <f t="shared" si="27"/>
        <v>0</v>
      </c>
    </row>
    <row r="83" spans="1:36">
      <c r="A83" s="20"/>
      <c r="B83" s="20" t="s">
        <v>110</v>
      </c>
      <c r="C83" s="667" t="s">
        <v>543</v>
      </c>
      <c r="D83" s="68" t="s">
        <v>200</v>
      </c>
      <c r="E83" s="679"/>
      <c r="F83" s="529">
        <f>VLOOKUP(D83,'Dec 2012 Revenue'!D:T,17,FALSE)</f>
        <v>0</v>
      </c>
      <c r="G83" s="680"/>
      <c r="H83" s="680"/>
      <c r="I83" s="755"/>
      <c r="J83" s="682">
        <f t="shared" si="22"/>
        <v>0</v>
      </c>
      <c r="K83" s="683"/>
      <c r="L83" s="684"/>
      <c r="M83" s="753"/>
      <c r="N83" s="683">
        <v>0</v>
      </c>
      <c r="O83" s="686"/>
      <c r="P83" s="683">
        <v>0</v>
      </c>
      <c r="Q83" s="687">
        <f t="shared" si="1"/>
        <v>0</v>
      </c>
      <c r="R83" s="688">
        <v>0</v>
      </c>
      <c r="S83" s="693"/>
      <c r="T83" s="690">
        <f t="shared" si="28"/>
        <v>0</v>
      </c>
      <c r="U83" s="683"/>
      <c r="V83" s="474">
        <f t="shared" si="23"/>
        <v>0</v>
      </c>
      <c r="W83" s="474">
        <f t="shared" si="24"/>
        <v>0</v>
      </c>
      <c r="X83" s="475">
        <f t="shared" si="25"/>
        <v>0</v>
      </c>
      <c r="Y83" s="475">
        <v>0</v>
      </c>
      <c r="Z83" s="476">
        <v>0</v>
      </c>
      <c r="AA83" s="38">
        <f t="shared" si="26"/>
        <v>0</v>
      </c>
      <c r="AB83" s="692">
        <f t="shared" si="16"/>
        <v>0</v>
      </c>
      <c r="AC83" s="692">
        <f t="shared" si="17"/>
        <v>0</v>
      </c>
      <c r="AD83" s="692">
        <f t="shared" si="18"/>
        <v>0</v>
      </c>
      <c r="AE83" s="38"/>
      <c r="AF83" s="692">
        <f t="shared" si="19"/>
        <v>0</v>
      </c>
      <c r="AG83" s="692">
        <f t="shared" si="20"/>
        <v>0</v>
      </c>
      <c r="AH83" s="692">
        <f t="shared" si="21"/>
        <v>0</v>
      </c>
      <c r="AJ83" s="38">
        <f t="shared" si="27"/>
        <v>0</v>
      </c>
    </row>
    <row r="84" spans="1:36">
      <c r="A84" s="20"/>
      <c r="B84" s="20" t="s">
        <v>110</v>
      </c>
      <c r="C84" s="667" t="s">
        <v>543</v>
      </c>
      <c r="D84" s="68" t="s">
        <v>201</v>
      </c>
      <c r="E84" s="679"/>
      <c r="F84" s="529">
        <f>VLOOKUP(D84,'Dec 2012 Revenue'!D:T,17,FALSE)</f>
        <v>0</v>
      </c>
      <c r="G84" s="680"/>
      <c r="H84" s="680"/>
      <c r="I84" s="755"/>
      <c r="J84" s="682">
        <f t="shared" si="22"/>
        <v>0</v>
      </c>
      <c r="K84" s="683"/>
      <c r="L84" s="684"/>
      <c r="M84" s="753"/>
      <c r="N84" s="683">
        <v>0</v>
      </c>
      <c r="O84" s="686"/>
      <c r="P84" s="683">
        <v>0</v>
      </c>
      <c r="Q84" s="687">
        <f t="shared" si="1"/>
        <v>0</v>
      </c>
      <c r="R84" s="688">
        <v>0</v>
      </c>
      <c r="S84" s="693"/>
      <c r="T84" s="690">
        <f t="shared" si="28"/>
        <v>0</v>
      </c>
      <c r="U84" s="683"/>
      <c r="V84" s="474">
        <f t="shared" si="23"/>
        <v>0</v>
      </c>
      <c r="W84" s="474">
        <f t="shared" si="24"/>
        <v>0</v>
      </c>
      <c r="X84" s="475">
        <f t="shared" si="25"/>
        <v>0</v>
      </c>
      <c r="Y84" s="475">
        <v>0</v>
      </c>
      <c r="Z84" s="476">
        <v>0</v>
      </c>
      <c r="AA84" s="38">
        <f t="shared" si="26"/>
        <v>0</v>
      </c>
      <c r="AB84" s="692">
        <f t="shared" si="16"/>
        <v>0</v>
      </c>
      <c r="AC84" s="692">
        <f t="shared" si="17"/>
        <v>0</v>
      </c>
      <c r="AD84" s="692">
        <f t="shared" si="18"/>
        <v>0</v>
      </c>
      <c r="AE84" s="38"/>
      <c r="AF84" s="692">
        <f t="shared" si="19"/>
        <v>0</v>
      </c>
      <c r="AG84" s="692">
        <f t="shared" si="20"/>
        <v>0</v>
      </c>
      <c r="AH84" s="692">
        <f t="shared" si="21"/>
        <v>0</v>
      </c>
      <c r="AJ84" s="38">
        <f t="shared" si="27"/>
        <v>0</v>
      </c>
    </row>
    <row r="85" spans="1:36">
      <c r="A85" s="20" t="s">
        <v>97</v>
      </c>
      <c r="B85" s="20" t="s">
        <v>114</v>
      </c>
      <c r="C85" s="667"/>
      <c r="D85" s="68" t="s">
        <v>387</v>
      </c>
      <c r="E85" s="679"/>
      <c r="F85" s="529">
        <f>VLOOKUP(D85,'Dec 2012 Revenue'!D:T,17,FALSE)</f>
        <v>3956.0200000000004</v>
      </c>
      <c r="G85" s="680"/>
      <c r="H85" s="680"/>
      <c r="I85" s="755"/>
      <c r="J85" s="682">
        <f t="shared" si="22"/>
        <v>3956.0200000000004</v>
      </c>
      <c r="K85" s="683"/>
      <c r="L85" s="684"/>
      <c r="M85" s="753">
        <v>11000</v>
      </c>
      <c r="N85" s="683">
        <v>0</v>
      </c>
      <c r="O85" s="686"/>
      <c r="P85" s="683">
        <v>0</v>
      </c>
      <c r="Q85" s="687">
        <f t="shared" si="1"/>
        <v>11000</v>
      </c>
      <c r="R85" s="688">
        <v>20274.41</v>
      </c>
      <c r="S85" s="693"/>
      <c r="T85" s="690">
        <f t="shared" si="28"/>
        <v>9274.41</v>
      </c>
      <c r="U85" s="683"/>
      <c r="V85" s="474">
        <f t="shared" si="23"/>
        <v>0</v>
      </c>
      <c r="W85" s="474">
        <f t="shared" si="24"/>
        <v>0</v>
      </c>
      <c r="X85" s="475">
        <f t="shared" si="25"/>
        <v>11000</v>
      </c>
      <c r="Y85" s="475">
        <v>0</v>
      </c>
      <c r="Z85" s="476">
        <v>0</v>
      </c>
      <c r="AA85" s="38">
        <f t="shared" si="26"/>
        <v>0</v>
      </c>
      <c r="AB85" s="692">
        <f t="shared" si="16"/>
        <v>0</v>
      </c>
      <c r="AC85" s="692">
        <f t="shared" si="17"/>
        <v>0</v>
      </c>
      <c r="AD85" s="692">
        <f t="shared" si="18"/>
        <v>3956.0200000000004</v>
      </c>
      <c r="AE85" s="38"/>
      <c r="AF85" s="692">
        <f t="shared" si="19"/>
        <v>0</v>
      </c>
      <c r="AG85" s="692">
        <f t="shared" si="20"/>
        <v>0</v>
      </c>
      <c r="AH85" s="692">
        <f t="shared" si="21"/>
        <v>11000</v>
      </c>
      <c r="AJ85" s="38">
        <f t="shared" si="27"/>
        <v>14956.02</v>
      </c>
    </row>
    <row r="86" spans="1:36">
      <c r="A86" s="20" t="s">
        <v>97</v>
      </c>
      <c r="B86" s="20" t="s">
        <v>114</v>
      </c>
      <c r="C86" s="667"/>
      <c r="D86" s="68" t="s">
        <v>482</v>
      </c>
      <c r="E86" s="679"/>
      <c r="F86" s="529">
        <f>VLOOKUP(D86,'Dec 2012 Revenue'!D:T,17,FALSE)</f>
        <v>0</v>
      </c>
      <c r="G86" s="680"/>
      <c r="H86" s="680"/>
      <c r="I86" s="755"/>
      <c r="J86" s="682">
        <f t="shared" si="22"/>
        <v>0</v>
      </c>
      <c r="K86" s="683"/>
      <c r="L86" s="684"/>
      <c r="M86" s="753"/>
      <c r="N86" s="683"/>
      <c r="O86" s="686"/>
      <c r="P86" s="683"/>
      <c r="Q86" s="687">
        <f t="shared" si="1"/>
        <v>0</v>
      </c>
      <c r="R86" s="688">
        <v>0</v>
      </c>
      <c r="S86" s="693"/>
      <c r="T86" s="690">
        <f t="shared" si="28"/>
        <v>0</v>
      </c>
      <c r="U86" s="683"/>
      <c r="V86" s="474">
        <f t="shared" si="23"/>
        <v>0</v>
      </c>
      <c r="W86" s="474">
        <f t="shared" si="24"/>
        <v>0</v>
      </c>
      <c r="X86" s="475">
        <f t="shared" si="25"/>
        <v>0</v>
      </c>
      <c r="Y86" s="475">
        <v>0</v>
      </c>
      <c r="Z86" s="476">
        <v>0</v>
      </c>
      <c r="AA86" s="38">
        <f t="shared" si="26"/>
        <v>0</v>
      </c>
      <c r="AB86" s="692">
        <f t="shared" si="16"/>
        <v>0</v>
      </c>
      <c r="AC86" s="692">
        <f t="shared" si="17"/>
        <v>0</v>
      </c>
      <c r="AD86" s="692">
        <f t="shared" si="18"/>
        <v>0</v>
      </c>
      <c r="AE86" s="38"/>
      <c r="AF86" s="692">
        <f t="shared" si="19"/>
        <v>0</v>
      </c>
      <c r="AG86" s="692">
        <f t="shared" si="20"/>
        <v>0</v>
      </c>
      <c r="AH86" s="692">
        <f t="shared" si="21"/>
        <v>0</v>
      </c>
      <c r="AJ86" s="38">
        <f t="shared" si="27"/>
        <v>0</v>
      </c>
    </row>
    <row r="87" spans="1:36">
      <c r="A87" s="20" t="s">
        <v>109</v>
      </c>
      <c r="B87" s="20" t="s">
        <v>109</v>
      </c>
      <c r="C87" s="667" t="s">
        <v>544</v>
      </c>
      <c r="D87" s="68" t="s">
        <v>383</v>
      </c>
      <c r="E87" s="679"/>
      <c r="F87" s="529">
        <f>VLOOKUP(D87,'Dec 2012 Revenue'!D:T,17,FALSE)</f>
        <v>92.08</v>
      </c>
      <c r="G87" s="680"/>
      <c r="H87" s="680"/>
      <c r="I87" s="755"/>
      <c r="J87" s="682">
        <f t="shared" si="22"/>
        <v>92.08</v>
      </c>
      <c r="K87" s="683"/>
      <c r="L87" s="684"/>
      <c r="M87" s="753"/>
      <c r="N87" s="683">
        <v>0</v>
      </c>
      <c r="O87" s="686"/>
      <c r="P87" s="683">
        <v>0</v>
      </c>
      <c r="Q87" s="687">
        <f t="shared" si="1"/>
        <v>0</v>
      </c>
      <c r="R87" s="688">
        <v>0</v>
      </c>
      <c r="S87" s="693"/>
      <c r="T87" s="690">
        <f t="shared" si="28"/>
        <v>0</v>
      </c>
      <c r="U87" s="683"/>
      <c r="V87" s="474">
        <f t="shared" si="23"/>
        <v>0</v>
      </c>
      <c r="W87" s="474">
        <f t="shared" si="24"/>
        <v>0</v>
      </c>
      <c r="X87" s="475">
        <f t="shared" si="25"/>
        <v>0</v>
      </c>
      <c r="Y87" s="475">
        <v>0</v>
      </c>
      <c r="Z87" s="476">
        <v>0</v>
      </c>
      <c r="AA87" s="38">
        <f t="shared" si="26"/>
        <v>0</v>
      </c>
      <c r="AB87" s="692">
        <f t="shared" si="16"/>
        <v>0</v>
      </c>
      <c r="AC87" s="692">
        <f t="shared" si="17"/>
        <v>92.08</v>
      </c>
      <c r="AD87" s="692">
        <f t="shared" si="18"/>
        <v>0</v>
      </c>
      <c r="AE87" s="38"/>
      <c r="AF87" s="692">
        <f t="shared" si="19"/>
        <v>0</v>
      </c>
      <c r="AG87" s="692">
        <f t="shared" si="20"/>
        <v>0</v>
      </c>
      <c r="AH87" s="692">
        <f t="shared" si="21"/>
        <v>0</v>
      </c>
      <c r="AJ87" s="38">
        <f t="shared" si="27"/>
        <v>92.08</v>
      </c>
    </row>
    <row r="88" spans="1:36">
      <c r="A88" s="21" t="s">
        <v>211</v>
      </c>
      <c r="B88" s="21" t="s">
        <v>109</v>
      </c>
      <c r="C88" s="666" t="s">
        <v>545</v>
      </c>
      <c r="D88" s="68" t="s">
        <v>181</v>
      </c>
      <c r="E88" s="679"/>
      <c r="F88" s="529">
        <f>VLOOKUP(D88,'Dec 2012 Revenue'!D:T,17,FALSE)</f>
        <v>-20000</v>
      </c>
      <c r="G88" s="680"/>
      <c r="H88" s="680"/>
      <c r="I88" s="755"/>
      <c r="J88" s="682">
        <f t="shared" si="22"/>
        <v>-20000</v>
      </c>
      <c r="K88" s="683"/>
      <c r="L88" s="684"/>
      <c r="M88" s="753">
        <v>22000</v>
      </c>
      <c r="N88" s="683">
        <v>0</v>
      </c>
      <c r="O88" s="686"/>
      <c r="P88" s="683">
        <v>0</v>
      </c>
      <c r="Q88" s="687">
        <f t="shared" si="1"/>
        <v>22000</v>
      </c>
      <c r="R88" s="688">
        <v>0</v>
      </c>
      <c r="S88" s="693"/>
      <c r="T88" s="690">
        <f t="shared" si="28"/>
        <v>-22000</v>
      </c>
      <c r="U88" s="683"/>
      <c r="V88" s="474">
        <f t="shared" si="23"/>
        <v>0</v>
      </c>
      <c r="W88" s="474">
        <f t="shared" si="24"/>
        <v>22000</v>
      </c>
      <c r="X88" s="475">
        <f t="shared" si="25"/>
        <v>0</v>
      </c>
      <c r="Y88" s="475">
        <v>0</v>
      </c>
      <c r="Z88" s="476">
        <v>0</v>
      </c>
      <c r="AA88" s="38">
        <f t="shared" si="26"/>
        <v>0</v>
      </c>
      <c r="AB88" s="692">
        <f t="shared" si="16"/>
        <v>0</v>
      </c>
      <c r="AC88" s="692">
        <f t="shared" si="17"/>
        <v>-20000</v>
      </c>
      <c r="AD88" s="692">
        <f t="shared" si="18"/>
        <v>0</v>
      </c>
      <c r="AE88" s="38"/>
      <c r="AF88" s="692">
        <f t="shared" si="19"/>
        <v>0</v>
      </c>
      <c r="AG88" s="692">
        <f t="shared" si="20"/>
        <v>22000</v>
      </c>
      <c r="AH88" s="692">
        <f t="shared" si="21"/>
        <v>0</v>
      </c>
      <c r="AJ88" s="38">
        <f t="shared" si="27"/>
        <v>2000</v>
      </c>
    </row>
    <row r="89" spans="1:36">
      <c r="A89" s="21" t="s">
        <v>211</v>
      </c>
      <c r="B89" s="21" t="s">
        <v>110</v>
      </c>
      <c r="C89" s="666"/>
      <c r="D89" s="68" t="s">
        <v>504</v>
      </c>
      <c r="E89" s="679"/>
      <c r="F89" s="529">
        <f>VLOOKUP(D89,'Dec 2012 Revenue'!D:T,17,FALSE)</f>
        <v>0</v>
      </c>
      <c r="G89" s="680"/>
      <c r="H89" s="680"/>
      <c r="I89" s="755"/>
      <c r="J89" s="682">
        <f t="shared" si="22"/>
        <v>0</v>
      </c>
      <c r="K89" s="683"/>
      <c r="L89" s="684"/>
      <c r="M89" s="753"/>
      <c r="N89" s="683">
        <v>0</v>
      </c>
      <c r="O89" s="686"/>
      <c r="P89" s="683">
        <v>0</v>
      </c>
      <c r="Q89" s="687">
        <f t="shared" si="1"/>
        <v>0</v>
      </c>
      <c r="R89" s="688">
        <v>0</v>
      </c>
      <c r="S89" s="693"/>
      <c r="T89" s="690">
        <f t="shared" si="28"/>
        <v>0</v>
      </c>
      <c r="U89" s="683"/>
      <c r="V89" s="474">
        <f t="shared" si="23"/>
        <v>0</v>
      </c>
      <c r="W89" s="474">
        <f t="shared" si="24"/>
        <v>0</v>
      </c>
      <c r="X89" s="475">
        <f t="shared" si="25"/>
        <v>0</v>
      </c>
      <c r="Y89" s="475">
        <v>0</v>
      </c>
      <c r="Z89" s="476">
        <v>0</v>
      </c>
      <c r="AA89" s="38">
        <f t="shared" si="26"/>
        <v>0</v>
      </c>
      <c r="AB89" s="692">
        <f t="shared" si="16"/>
        <v>0</v>
      </c>
      <c r="AC89" s="692">
        <f t="shared" si="17"/>
        <v>0</v>
      </c>
      <c r="AD89" s="692">
        <f t="shared" si="18"/>
        <v>0</v>
      </c>
      <c r="AE89" s="38"/>
      <c r="AF89" s="692">
        <f t="shared" si="19"/>
        <v>0</v>
      </c>
      <c r="AG89" s="692">
        <f t="shared" si="20"/>
        <v>0</v>
      </c>
      <c r="AH89" s="692">
        <f t="shared" si="21"/>
        <v>0</v>
      </c>
      <c r="AJ89" s="38">
        <f t="shared" si="27"/>
        <v>0</v>
      </c>
    </row>
    <row r="90" spans="1:36">
      <c r="A90" s="20" t="s">
        <v>211</v>
      </c>
      <c r="B90" s="20" t="s">
        <v>109</v>
      </c>
      <c r="C90" s="667" t="s">
        <v>546</v>
      </c>
      <c r="D90" s="68" t="s">
        <v>142</v>
      </c>
      <c r="E90" s="679"/>
      <c r="F90" s="529">
        <f>VLOOKUP(D90,'Dec 2012 Revenue'!D:T,17,FALSE)</f>
        <v>2354.94</v>
      </c>
      <c r="G90" s="680"/>
      <c r="H90" s="680"/>
      <c r="I90" s="755"/>
      <c r="J90" s="682">
        <f t="shared" si="22"/>
        <v>2354.94</v>
      </c>
      <c r="K90" s="683"/>
      <c r="L90" s="684"/>
      <c r="M90" s="753"/>
      <c r="N90" s="683">
        <v>0</v>
      </c>
      <c r="O90" s="686"/>
      <c r="P90" s="683">
        <v>0</v>
      </c>
      <c r="Q90" s="687">
        <f t="shared" si="1"/>
        <v>0</v>
      </c>
      <c r="R90" s="688">
        <v>0</v>
      </c>
      <c r="S90" s="693"/>
      <c r="T90" s="690">
        <f t="shared" si="28"/>
        <v>0</v>
      </c>
      <c r="U90" s="697"/>
      <c r="V90" s="474">
        <f t="shared" si="23"/>
        <v>0</v>
      </c>
      <c r="W90" s="474">
        <f t="shared" si="24"/>
        <v>0</v>
      </c>
      <c r="X90" s="475">
        <f t="shared" si="25"/>
        <v>0</v>
      </c>
      <c r="Y90" s="475">
        <v>0</v>
      </c>
      <c r="Z90" s="476">
        <v>0</v>
      </c>
      <c r="AA90" s="38">
        <f t="shared" si="26"/>
        <v>0</v>
      </c>
      <c r="AB90" s="692">
        <f t="shared" si="16"/>
        <v>0</v>
      </c>
      <c r="AC90" s="692">
        <f t="shared" si="17"/>
        <v>2354.94</v>
      </c>
      <c r="AD90" s="692">
        <f t="shared" si="18"/>
        <v>0</v>
      </c>
      <c r="AE90" s="38"/>
      <c r="AF90" s="692">
        <f t="shared" si="19"/>
        <v>0</v>
      </c>
      <c r="AG90" s="692">
        <f t="shared" si="20"/>
        <v>0</v>
      </c>
      <c r="AH90" s="692">
        <f t="shared" si="21"/>
        <v>0</v>
      </c>
      <c r="AJ90" s="38">
        <f t="shared" si="27"/>
        <v>2354.94</v>
      </c>
    </row>
    <row r="91" spans="1:36">
      <c r="A91" s="20" t="s">
        <v>211</v>
      </c>
      <c r="B91" s="20" t="s">
        <v>109</v>
      </c>
      <c r="C91" s="667" t="s">
        <v>546</v>
      </c>
      <c r="D91" s="68" t="s">
        <v>143</v>
      </c>
      <c r="E91" s="679"/>
      <c r="F91" s="529">
        <f>VLOOKUP(D91,'Dec 2012 Revenue'!D:T,17,FALSE)</f>
        <v>97.56</v>
      </c>
      <c r="G91" s="680"/>
      <c r="H91" s="680"/>
      <c r="I91" s="755"/>
      <c r="J91" s="682">
        <f t="shared" si="22"/>
        <v>97.56</v>
      </c>
      <c r="K91" s="683"/>
      <c r="L91" s="684"/>
      <c r="M91" s="753"/>
      <c r="N91" s="683">
        <v>0</v>
      </c>
      <c r="O91" s="686"/>
      <c r="P91" s="683">
        <v>0</v>
      </c>
      <c r="Q91" s="687">
        <f t="shared" si="1"/>
        <v>0</v>
      </c>
      <c r="R91" s="688">
        <v>0</v>
      </c>
      <c r="S91" s="693"/>
      <c r="T91" s="690">
        <f t="shared" si="28"/>
        <v>0</v>
      </c>
      <c r="U91" s="697"/>
      <c r="V91" s="474">
        <f t="shared" si="23"/>
        <v>0</v>
      </c>
      <c r="W91" s="474">
        <f t="shared" si="24"/>
        <v>0</v>
      </c>
      <c r="X91" s="475">
        <f t="shared" si="25"/>
        <v>0</v>
      </c>
      <c r="Y91" s="475">
        <v>0</v>
      </c>
      <c r="Z91" s="476">
        <v>0</v>
      </c>
      <c r="AA91" s="38">
        <f t="shared" si="26"/>
        <v>0</v>
      </c>
      <c r="AB91" s="692">
        <f t="shared" si="16"/>
        <v>0</v>
      </c>
      <c r="AC91" s="692">
        <f t="shared" si="17"/>
        <v>97.56</v>
      </c>
      <c r="AD91" s="692">
        <f t="shared" si="18"/>
        <v>0</v>
      </c>
      <c r="AE91" s="38"/>
      <c r="AF91" s="692">
        <f t="shared" si="19"/>
        <v>0</v>
      </c>
      <c r="AG91" s="692">
        <f t="shared" si="20"/>
        <v>0</v>
      </c>
      <c r="AH91" s="692">
        <f t="shared" si="21"/>
        <v>0</v>
      </c>
      <c r="AJ91" s="38">
        <f t="shared" si="27"/>
        <v>97.56</v>
      </c>
    </row>
    <row r="92" spans="1:36">
      <c r="A92" s="20" t="s">
        <v>109</v>
      </c>
      <c r="B92" s="20" t="s">
        <v>109</v>
      </c>
      <c r="C92" s="667"/>
      <c r="D92" s="68" t="s">
        <v>498</v>
      </c>
      <c r="E92" s="679"/>
      <c r="F92" s="529">
        <f>VLOOKUP(D92,'Dec 2012 Revenue'!D:T,17,FALSE)</f>
        <v>0</v>
      </c>
      <c r="G92" s="680"/>
      <c r="H92" s="680"/>
      <c r="I92" s="755"/>
      <c r="J92" s="682">
        <f t="shared" si="22"/>
        <v>0</v>
      </c>
      <c r="K92" s="683"/>
      <c r="L92" s="684"/>
      <c r="M92" s="753"/>
      <c r="N92" s="683">
        <v>0</v>
      </c>
      <c r="O92" s="686"/>
      <c r="P92" s="683">
        <v>0</v>
      </c>
      <c r="Q92" s="687">
        <f t="shared" si="1"/>
        <v>0</v>
      </c>
      <c r="R92" s="688">
        <v>0</v>
      </c>
      <c r="S92" s="693"/>
      <c r="T92" s="690">
        <f t="shared" si="28"/>
        <v>0</v>
      </c>
      <c r="U92" s="683"/>
      <c r="V92" s="474">
        <f t="shared" si="23"/>
        <v>0</v>
      </c>
      <c r="W92" s="474">
        <f t="shared" si="24"/>
        <v>0</v>
      </c>
      <c r="X92" s="475">
        <f t="shared" si="25"/>
        <v>0</v>
      </c>
      <c r="Y92" s="475">
        <v>0</v>
      </c>
      <c r="Z92" s="476">
        <v>0</v>
      </c>
      <c r="AA92" s="38">
        <f t="shared" si="26"/>
        <v>0</v>
      </c>
      <c r="AB92" s="692">
        <f t="shared" si="16"/>
        <v>0</v>
      </c>
      <c r="AC92" s="692">
        <f t="shared" si="17"/>
        <v>0</v>
      </c>
      <c r="AD92" s="692">
        <f t="shared" si="18"/>
        <v>0</v>
      </c>
      <c r="AE92" s="38"/>
      <c r="AF92" s="692">
        <f t="shared" si="19"/>
        <v>0</v>
      </c>
      <c r="AG92" s="692">
        <f t="shared" si="20"/>
        <v>0</v>
      </c>
      <c r="AH92" s="692">
        <f t="shared" si="21"/>
        <v>0</v>
      </c>
      <c r="AJ92" s="38">
        <f t="shared" si="27"/>
        <v>0</v>
      </c>
    </row>
    <row r="93" spans="1:36">
      <c r="A93" s="21"/>
      <c r="B93" s="21" t="s">
        <v>110</v>
      </c>
      <c r="C93" s="666"/>
      <c r="D93" s="68" t="s">
        <v>20</v>
      </c>
      <c r="E93" s="679"/>
      <c r="F93" s="529">
        <f>VLOOKUP(D93,'Dec 2012 Revenue'!D:T,17,FALSE)</f>
        <v>0</v>
      </c>
      <c r="G93" s="680"/>
      <c r="H93" s="680"/>
      <c r="I93" s="755"/>
      <c r="J93" s="682">
        <f t="shared" si="22"/>
        <v>0</v>
      </c>
      <c r="K93" s="683"/>
      <c r="L93" s="684"/>
      <c r="M93" s="753"/>
      <c r="N93" s="683">
        <v>0</v>
      </c>
      <c r="O93" s="686"/>
      <c r="P93" s="683">
        <v>0</v>
      </c>
      <c r="Q93" s="687">
        <f t="shared" si="1"/>
        <v>0</v>
      </c>
      <c r="R93" s="688">
        <v>0</v>
      </c>
      <c r="S93" s="693"/>
      <c r="T93" s="690">
        <f t="shared" si="28"/>
        <v>0</v>
      </c>
      <c r="U93" s="683"/>
      <c r="V93" s="474">
        <f t="shared" si="23"/>
        <v>0</v>
      </c>
      <c r="W93" s="474">
        <f t="shared" si="24"/>
        <v>0</v>
      </c>
      <c r="X93" s="475">
        <f t="shared" si="25"/>
        <v>0</v>
      </c>
      <c r="Y93" s="475">
        <v>0</v>
      </c>
      <c r="Z93" s="476">
        <v>0</v>
      </c>
      <c r="AA93" s="38">
        <f t="shared" si="26"/>
        <v>0</v>
      </c>
      <c r="AB93" s="692">
        <f t="shared" si="16"/>
        <v>0</v>
      </c>
      <c r="AC93" s="692">
        <f t="shared" si="17"/>
        <v>0</v>
      </c>
      <c r="AD93" s="692">
        <f t="shared" si="18"/>
        <v>0</v>
      </c>
      <c r="AE93" s="38"/>
      <c r="AF93" s="692">
        <f t="shared" si="19"/>
        <v>0</v>
      </c>
      <c r="AG93" s="692">
        <f t="shared" si="20"/>
        <v>0</v>
      </c>
      <c r="AH93" s="692">
        <f t="shared" si="21"/>
        <v>0</v>
      </c>
      <c r="AJ93" s="38">
        <f t="shared" si="27"/>
        <v>0</v>
      </c>
    </row>
    <row r="94" spans="1:36">
      <c r="A94" s="21"/>
      <c r="B94" s="21" t="s">
        <v>110</v>
      </c>
      <c r="C94" s="666" t="s">
        <v>547</v>
      </c>
      <c r="D94" s="68" t="s">
        <v>203</v>
      </c>
      <c r="E94" s="679"/>
      <c r="F94" s="529">
        <f>VLOOKUP(D94,'Dec 2012 Revenue'!D:T,17,FALSE)</f>
        <v>0</v>
      </c>
      <c r="G94" s="680"/>
      <c r="H94" s="680"/>
      <c r="I94" s="755"/>
      <c r="J94" s="682">
        <f t="shared" si="22"/>
        <v>0</v>
      </c>
      <c r="K94" s="683"/>
      <c r="L94" s="684"/>
      <c r="M94" s="753"/>
      <c r="N94" s="683">
        <v>0</v>
      </c>
      <c r="O94" s="686"/>
      <c r="P94" s="683">
        <v>0</v>
      </c>
      <c r="Q94" s="687">
        <f t="shared" si="1"/>
        <v>0</v>
      </c>
      <c r="R94" s="688">
        <v>0</v>
      </c>
      <c r="S94" s="693"/>
      <c r="T94" s="690">
        <f t="shared" si="28"/>
        <v>0</v>
      </c>
      <c r="U94" s="683"/>
      <c r="V94" s="474">
        <f t="shared" si="23"/>
        <v>0</v>
      </c>
      <c r="W94" s="474">
        <f t="shared" si="24"/>
        <v>0</v>
      </c>
      <c r="X94" s="475">
        <f t="shared" si="25"/>
        <v>0</v>
      </c>
      <c r="Y94" s="475">
        <v>0</v>
      </c>
      <c r="Z94" s="476">
        <v>0</v>
      </c>
      <c r="AA94" s="38">
        <f t="shared" si="26"/>
        <v>0</v>
      </c>
      <c r="AB94" s="692">
        <f t="shared" si="16"/>
        <v>0</v>
      </c>
      <c r="AC94" s="692">
        <f t="shared" si="17"/>
        <v>0</v>
      </c>
      <c r="AD94" s="692">
        <f t="shared" si="18"/>
        <v>0</v>
      </c>
      <c r="AE94" s="38"/>
      <c r="AF94" s="692">
        <f t="shared" si="19"/>
        <v>0</v>
      </c>
      <c r="AG94" s="692">
        <f t="shared" si="20"/>
        <v>0</v>
      </c>
      <c r="AH94" s="692">
        <f t="shared" si="21"/>
        <v>0</v>
      </c>
      <c r="AJ94" s="38">
        <f t="shared" si="27"/>
        <v>0</v>
      </c>
    </row>
    <row r="95" spans="1:36">
      <c r="A95" s="21"/>
      <c r="B95" s="21" t="s">
        <v>110</v>
      </c>
      <c r="C95" s="666" t="s">
        <v>547</v>
      </c>
      <c r="D95" s="68" t="s">
        <v>202</v>
      </c>
      <c r="E95" s="679"/>
      <c r="F95" s="529">
        <f>VLOOKUP(D95,'Dec 2012 Revenue'!D:T,17,FALSE)</f>
        <v>0</v>
      </c>
      <c r="G95" s="680"/>
      <c r="H95" s="680"/>
      <c r="I95" s="755"/>
      <c r="J95" s="682">
        <f t="shared" si="22"/>
        <v>0</v>
      </c>
      <c r="K95" s="683"/>
      <c r="L95" s="684"/>
      <c r="M95" s="753"/>
      <c r="N95" s="683">
        <v>0</v>
      </c>
      <c r="O95" s="686"/>
      <c r="P95" s="683">
        <v>0</v>
      </c>
      <c r="Q95" s="687">
        <f t="shared" si="1"/>
        <v>0</v>
      </c>
      <c r="R95" s="688">
        <v>0</v>
      </c>
      <c r="S95" s="693"/>
      <c r="T95" s="690">
        <f t="shared" si="28"/>
        <v>0</v>
      </c>
      <c r="U95" s="683"/>
      <c r="V95" s="474">
        <f t="shared" si="23"/>
        <v>0</v>
      </c>
      <c r="W95" s="474">
        <f t="shared" si="24"/>
        <v>0</v>
      </c>
      <c r="X95" s="475">
        <f t="shared" si="25"/>
        <v>0</v>
      </c>
      <c r="Y95" s="475">
        <v>0</v>
      </c>
      <c r="Z95" s="476">
        <v>0</v>
      </c>
      <c r="AA95" s="38">
        <f t="shared" si="26"/>
        <v>0</v>
      </c>
      <c r="AB95" s="692">
        <f t="shared" si="16"/>
        <v>0</v>
      </c>
      <c r="AC95" s="692">
        <f t="shared" si="17"/>
        <v>0</v>
      </c>
      <c r="AD95" s="692">
        <f t="shared" si="18"/>
        <v>0</v>
      </c>
      <c r="AE95" s="38"/>
      <c r="AF95" s="692">
        <f t="shared" si="19"/>
        <v>0</v>
      </c>
      <c r="AG95" s="692">
        <f t="shared" si="20"/>
        <v>0</v>
      </c>
      <c r="AH95" s="692">
        <f t="shared" si="21"/>
        <v>0</v>
      </c>
      <c r="AJ95" s="38">
        <f t="shared" si="27"/>
        <v>0</v>
      </c>
    </row>
    <row r="96" spans="1:36">
      <c r="A96" s="20" t="s">
        <v>211</v>
      </c>
      <c r="B96" s="20" t="s">
        <v>110</v>
      </c>
      <c r="C96" s="667"/>
      <c r="D96" s="373" t="s">
        <v>466</v>
      </c>
      <c r="E96" s="679"/>
      <c r="F96" s="529">
        <f>VLOOKUP(D96,'Dec 2012 Revenue'!D:T,17,FALSE)</f>
        <v>0</v>
      </c>
      <c r="G96" s="680"/>
      <c r="H96" s="680"/>
      <c r="I96" s="770">
        <v>1149.52</v>
      </c>
      <c r="J96" s="682">
        <f t="shared" si="22"/>
        <v>1149.52</v>
      </c>
      <c r="K96" s="683"/>
      <c r="L96" s="684"/>
      <c r="M96" s="753"/>
      <c r="N96" s="683">
        <v>0</v>
      </c>
      <c r="O96" s="686"/>
      <c r="P96" s="683">
        <v>0</v>
      </c>
      <c r="Q96" s="687">
        <f t="shared" si="1"/>
        <v>0</v>
      </c>
      <c r="R96" s="688">
        <v>0</v>
      </c>
      <c r="S96" s="693"/>
      <c r="T96" s="690">
        <f t="shared" si="28"/>
        <v>0</v>
      </c>
      <c r="U96" s="683"/>
      <c r="V96" s="474">
        <f t="shared" si="23"/>
        <v>0</v>
      </c>
      <c r="W96" s="474">
        <f t="shared" si="24"/>
        <v>0</v>
      </c>
      <c r="X96" s="475">
        <f t="shared" si="25"/>
        <v>0</v>
      </c>
      <c r="Y96" s="475">
        <v>0</v>
      </c>
      <c r="Z96" s="476">
        <v>0</v>
      </c>
      <c r="AA96" s="38">
        <f t="shared" si="26"/>
        <v>0</v>
      </c>
      <c r="AB96" s="692">
        <f t="shared" si="16"/>
        <v>1149.52</v>
      </c>
      <c r="AC96" s="692">
        <f t="shared" si="17"/>
        <v>0</v>
      </c>
      <c r="AD96" s="692">
        <f t="shared" si="18"/>
        <v>0</v>
      </c>
      <c r="AE96" s="38"/>
      <c r="AF96" s="692">
        <f t="shared" si="19"/>
        <v>0</v>
      </c>
      <c r="AG96" s="692">
        <f t="shared" si="20"/>
        <v>0</v>
      </c>
      <c r="AH96" s="692">
        <f t="shared" si="21"/>
        <v>0</v>
      </c>
      <c r="AJ96" s="38">
        <f t="shared" si="27"/>
        <v>1149.52</v>
      </c>
    </row>
    <row r="97" spans="1:36">
      <c r="A97" s="20"/>
      <c r="B97" s="20" t="s">
        <v>110</v>
      </c>
      <c r="C97" s="667"/>
      <c r="D97" s="373" t="s">
        <v>627</v>
      </c>
      <c r="E97" s="679"/>
      <c r="F97" s="529">
        <f>VLOOKUP(D97,'Dec 2012 Revenue'!D:T,17,FALSE)</f>
        <v>0</v>
      </c>
      <c r="G97" s="680"/>
      <c r="H97" s="680"/>
      <c r="I97" s="755"/>
      <c r="J97" s="682">
        <f t="shared" si="22"/>
        <v>0</v>
      </c>
      <c r="K97" s="683"/>
      <c r="L97" s="684"/>
      <c r="M97" s="753"/>
      <c r="N97" s="683">
        <v>0</v>
      </c>
      <c r="O97" s="686"/>
      <c r="P97" s="683">
        <v>0</v>
      </c>
      <c r="Q97" s="687">
        <f t="shared" si="1"/>
        <v>0</v>
      </c>
      <c r="R97" s="688">
        <v>0</v>
      </c>
      <c r="S97" s="693"/>
      <c r="T97" s="690">
        <f t="shared" si="28"/>
        <v>0</v>
      </c>
      <c r="U97" s="683"/>
      <c r="V97" s="474">
        <f t="shared" si="23"/>
        <v>0</v>
      </c>
      <c r="W97" s="474">
        <f t="shared" si="24"/>
        <v>0</v>
      </c>
      <c r="X97" s="475">
        <f t="shared" si="25"/>
        <v>0</v>
      </c>
      <c r="Y97" s="475">
        <v>0</v>
      </c>
      <c r="Z97" s="476">
        <v>0</v>
      </c>
      <c r="AA97" s="38">
        <f t="shared" si="26"/>
        <v>0</v>
      </c>
      <c r="AB97" s="692">
        <f t="shared" si="16"/>
        <v>0</v>
      </c>
      <c r="AC97" s="692">
        <f t="shared" si="17"/>
        <v>0</v>
      </c>
      <c r="AD97" s="692">
        <f t="shared" si="18"/>
        <v>0</v>
      </c>
      <c r="AE97" s="38"/>
      <c r="AF97" s="692">
        <f t="shared" si="19"/>
        <v>0</v>
      </c>
      <c r="AG97" s="692">
        <f t="shared" si="20"/>
        <v>0</v>
      </c>
      <c r="AH97" s="692">
        <f t="shared" si="21"/>
        <v>0</v>
      </c>
      <c r="AJ97" s="38">
        <f t="shared" si="27"/>
        <v>0</v>
      </c>
    </row>
    <row r="98" spans="1:36" s="232" customFormat="1">
      <c r="A98" s="283"/>
      <c r="B98" s="283" t="s">
        <v>110</v>
      </c>
      <c r="C98" s="667"/>
      <c r="D98" s="123" t="s">
        <v>386</v>
      </c>
      <c r="E98" s="679"/>
      <c r="F98" s="529">
        <f>VLOOKUP(D98,'Dec 2012 Revenue'!D:T,17,FALSE)</f>
        <v>0</v>
      </c>
      <c r="G98" s="680"/>
      <c r="H98" s="680"/>
      <c r="I98" s="770">
        <v>3139521.96</v>
      </c>
      <c r="J98" s="682">
        <f t="shared" si="22"/>
        <v>3139521.96</v>
      </c>
      <c r="K98" s="683"/>
      <c r="L98" s="684"/>
      <c r="M98" s="753"/>
      <c r="N98" s="683">
        <v>0</v>
      </c>
      <c r="O98" s="686"/>
      <c r="P98" s="683">
        <v>0</v>
      </c>
      <c r="Q98" s="687">
        <f t="shared" si="1"/>
        <v>0</v>
      </c>
      <c r="R98" s="688">
        <v>0</v>
      </c>
      <c r="S98" s="693"/>
      <c r="T98" s="690">
        <f t="shared" si="28"/>
        <v>0</v>
      </c>
      <c r="U98" s="683"/>
      <c r="V98" s="474">
        <f t="shared" si="23"/>
        <v>0</v>
      </c>
      <c r="W98" s="474">
        <f t="shared" si="24"/>
        <v>0</v>
      </c>
      <c r="X98" s="475">
        <f t="shared" si="25"/>
        <v>0</v>
      </c>
      <c r="Y98" s="475">
        <v>0</v>
      </c>
      <c r="Z98" s="476">
        <v>0</v>
      </c>
      <c r="AA98" s="38">
        <f t="shared" si="26"/>
        <v>0</v>
      </c>
      <c r="AB98" s="692">
        <f t="shared" si="16"/>
        <v>3139521.96</v>
      </c>
      <c r="AC98" s="692">
        <f t="shared" si="17"/>
        <v>0</v>
      </c>
      <c r="AD98" s="692">
        <f t="shared" si="18"/>
        <v>0</v>
      </c>
      <c r="AE98" s="38"/>
      <c r="AF98" s="692">
        <f t="shared" si="19"/>
        <v>0</v>
      </c>
      <c r="AG98" s="692">
        <f t="shared" si="20"/>
        <v>0</v>
      </c>
      <c r="AH98" s="692">
        <f t="shared" si="21"/>
        <v>0</v>
      </c>
      <c r="AJ98" s="38">
        <f t="shared" si="27"/>
        <v>3139521.96</v>
      </c>
    </row>
    <row r="99" spans="1:36" s="232" customFormat="1">
      <c r="A99" s="283"/>
      <c r="B99" s="283" t="s">
        <v>110</v>
      </c>
      <c r="C99" s="667"/>
      <c r="D99" s="123" t="s">
        <v>331</v>
      </c>
      <c r="E99" s="679"/>
      <c r="F99" s="529">
        <f>VLOOKUP(D99,'Dec 2012 Revenue'!D:T,17,FALSE)</f>
        <v>0</v>
      </c>
      <c r="G99" s="680"/>
      <c r="H99" s="680"/>
      <c r="I99" s="770">
        <v>27025.88</v>
      </c>
      <c r="J99" s="682">
        <f t="shared" si="22"/>
        <v>27025.88</v>
      </c>
      <c r="K99" s="683"/>
      <c r="L99" s="684"/>
      <c r="M99" s="753"/>
      <c r="N99" s="683">
        <v>0</v>
      </c>
      <c r="O99" s="686"/>
      <c r="P99" s="683">
        <v>0</v>
      </c>
      <c r="Q99" s="687">
        <f t="shared" si="1"/>
        <v>0</v>
      </c>
      <c r="R99" s="688">
        <v>0</v>
      </c>
      <c r="S99" s="693"/>
      <c r="T99" s="690">
        <f t="shared" si="28"/>
        <v>0</v>
      </c>
      <c r="U99" s="683"/>
      <c r="V99" s="474">
        <f t="shared" si="23"/>
        <v>0</v>
      </c>
      <c r="W99" s="474">
        <f t="shared" si="24"/>
        <v>0</v>
      </c>
      <c r="X99" s="475">
        <f t="shared" si="25"/>
        <v>0</v>
      </c>
      <c r="Y99" s="475">
        <v>0</v>
      </c>
      <c r="Z99" s="476">
        <v>0</v>
      </c>
      <c r="AA99" s="38">
        <f t="shared" si="26"/>
        <v>0</v>
      </c>
      <c r="AB99" s="692">
        <f t="shared" si="16"/>
        <v>27025.88</v>
      </c>
      <c r="AC99" s="692">
        <f t="shared" si="17"/>
        <v>0</v>
      </c>
      <c r="AD99" s="692">
        <f t="shared" si="18"/>
        <v>0</v>
      </c>
      <c r="AE99" s="38"/>
      <c r="AF99" s="692">
        <f t="shared" si="19"/>
        <v>0</v>
      </c>
      <c r="AG99" s="692">
        <f t="shared" si="20"/>
        <v>0</v>
      </c>
      <c r="AH99" s="692">
        <f t="shared" si="21"/>
        <v>0</v>
      </c>
      <c r="AJ99" s="38">
        <f t="shared" si="27"/>
        <v>27025.88</v>
      </c>
    </row>
    <row r="100" spans="1:36" s="232" customFormat="1">
      <c r="A100" s="283"/>
      <c r="B100" s="283" t="s">
        <v>110</v>
      </c>
      <c r="C100" s="667"/>
      <c r="D100" s="413" t="s">
        <v>332</v>
      </c>
      <c r="E100" s="679"/>
      <c r="F100" s="529">
        <f>VLOOKUP(D100,'Dec 2012 Revenue'!D:T,17,FALSE)</f>
        <v>0</v>
      </c>
      <c r="G100" s="680"/>
      <c r="H100" s="680"/>
      <c r="I100" s="770">
        <v>1690631.37</v>
      </c>
      <c r="J100" s="682">
        <f t="shared" si="22"/>
        <v>1690631.37</v>
      </c>
      <c r="K100" s="683"/>
      <c r="L100" s="684"/>
      <c r="M100" s="753"/>
      <c r="N100" s="683">
        <v>0</v>
      </c>
      <c r="O100" s="686"/>
      <c r="P100" s="683">
        <v>0</v>
      </c>
      <c r="Q100" s="687">
        <f t="shared" si="1"/>
        <v>0</v>
      </c>
      <c r="R100" s="688">
        <v>0</v>
      </c>
      <c r="S100" s="693"/>
      <c r="T100" s="690">
        <f t="shared" si="28"/>
        <v>0</v>
      </c>
      <c r="U100" s="683"/>
      <c r="V100" s="474">
        <f t="shared" si="23"/>
        <v>0</v>
      </c>
      <c r="W100" s="474">
        <f t="shared" si="24"/>
        <v>0</v>
      </c>
      <c r="X100" s="475">
        <f t="shared" si="25"/>
        <v>0</v>
      </c>
      <c r="Y100" s="475">
        <v>0</v>
      </c>
      <c r="Z100" s="476">
        <v>0</v>
      </c>
      <c r="AA100" s="38">
        <f t="shared" si="26"/>
        <v>0</v>
      </c>
      <c r="AB100" s="692">
        <f t="shared" si="16"/>
        <v>1690631.37</v>
      </c>
      <c r="AC100" s="692">
        <f t="shared" si="17"/>
        <v>0</v>
      </c>
      <c r="AD100" s="692">
        <f t="shared" si="18"/>
        <v>0</v>
      </c>
      <c r="AE100" s="38"/>
      <c r="AF100" s="692">
        <f t="shared" si="19"/>
        <v>0</v>
      </c>
      <c r="AG100" s="692">
        <f t="shared" si="20"/>
        <v>0</v>
      </c>
      <c r="AH100" s="692">
        <f t="shared" si="21"/>
        <v>0</v>
      </c>
      <c r="AJ100" s="38">
        <f t="shared" si="27"/>
        <v>1690631.37</v>
      </c>
    </row>
    <row r="101" spans="1:36" s="232" customFormat="1">
      <c r="A101" s="283"/>
      <c r="B101" s="283" t="s">
        <v>110</v>
      </c>
      <c r="C101" s="667"/>
      <c r="D101" s="123" t="s">
        <v>333</v>
      </c>
      <c r="E101" s="679"/>
      <c r="F101" s="529">
        <f>VLOOKUP(D101,'Dec 2012 Revenue'!D:T,17,FALSE)</f>
        <v>0</v>
      </c>
      <c r="G101" s="680"/>
      <c r="H101" s="680"/>
      <c r="I101" s="770">
        <v>1085.23</v>
      </c>
      <c r="J101" s="682">
        <f t="shared" si="22"/>
        <v>1085.23</v>
      </c>
      <c r="K101" s="683"/>
      <c r="L101" s="684"/>
      <c r="M101" s="753"/>
      <c r="N101" s="683">
        <v>0</v>
      </c>
      <c r="O101" s="686"/>
      <c r="P101" s="683">
        <v>0</v>
      </c>
      <c r="Q101" s="687">
        <f t="shared" si="1"/>
        <v>0</v>
      </c>
      <c r="R101" s="688">
        <v>0</v>
      </c>
      <c r="S101" s="693"/>
      <c r="T101" s="690">
        <f t="shared" si="28"/>
        <v>0</v>
      </c>
      <c r="U101" s="683"/>
      <c r="V101" s="474">
        <f t="shared" si="23"/>
        <v>0</v>
      </c>
      <c r="W101" s="474">
        <f t="shared" si="24"/>
        <v>0</v>
      </c>
      <c r="X101" s="475">
        <f t="shared" si="25"/>
        <v>0</v>
      </c>
      <c r="Y101" s="475">
        <v>0</v>
      </c>
      <c r="Z101" s="476">
        <v>0</v>
      </c>
      <c r="AA101" s="38">
        <f t="shared" si="26"/>
        <v>0</v>
      </c>
      <c r="AB101" s="692">
        <f t="shared" si="16"/>
        <v>1085.23</v>
      </c>
      <c r="AC101" s="692">
        <f t="shared" si="17"/>
        <v>0</v>
      </c>
      <c r="AD101" s="692">
        <f t="shared" si="18"/>
        <v>0</v>
      </c>
      <c r="AE101" s="38"/>
      <c r="AF101" s="692">
        <f t="shared" si="19"/>
        <v>0</v>
      </c>
      <c r="AG101" s="692">
        <f t="shared" si="20"/>
        <v>0</v>
      </c>
      <c r="AH101" s="692">
        <f t="shared" si="21"/>
        <v>0</v>
      </c>
      <c r="AJ101" s="38">
        <f t="shared" si="27"/>
        <v>1085.23</v>
      </c>
    </row>
    <row r="102" spans="1:36" s="232" customFormat="1">
      <c r="A102" s="283"/>
      <c r="B102" s="283" t="s">
        <v>110</v>
      </c>
      <c r="C102" s="667"/>
      <c r="D102" s="123" t="s">
        <v>334</v>
      </c>
      <c r="E102" s="679"/>
      <c r="F102" s="529">
        <f>VLOOKUP(D102,'Dec 2012 Revenue'!D:T,17,FALSE)</f>
        <v>0</v>
      </c>
      <c r="G102" s="680"/>
      <c r="H102" s="680"/>
      <c r="I102" s="770">
        <v>399335.28</v>
      </c>
      <c r="J102" s="682">
        <f t="shared" si="22"/>
        <v>399335.28</v>
      </c>
      <c r="K102" s="683"/>
      <c r="L102" s="684"/>
      <c r="M102" s="753"/>
      <c r="N102" s="683">
        <v>0</v>
      </c>
      <c r="O102" s="686"/>
      <c r="P102" s="683">
        <v>0</v>
      </c>
      <c r="Q102" s="687">
        <f t="shared" si="1"/>
        <v>0</v>
      </c>
      <c r="R102" s="688">
        <v>0</v>
      </c>
      <c r="S102" s="693"/>
      <c r="T102" s="690">
        <f t="shared" si="28"/>
        <v>0</v>
      </c>
      <c r="U102" s="683"/>
      <c r="V102" s="474">
        <f t="shared" si="23"/>
        <v>0</v>
      </c>
      <c r="W102" s="474">
        <f t="shared" si="24"/>
        <v>0</v>
      </c>
      <c r="X102" s="475">
        <f t="shared" si="25"/>
        <v>0</v>
      </c>
      <c r="Y102" s="475">
        <v>0</v>
      </c>
      <c r="Z102" s="476">
        <v>0</v>
      </c>
      <c r="AA102" s="38">
        <f t="shared" si="26"/>
        <v>0</v>
      </c>
      <c r="AB102" s="692">
        <f t="shared" si="16"/>
        <v>399335.28</v>
      </c>
      <c r="AC102" s="692">
        <f t="shared" si="17"/>
        <v>0</v>
      </c>
      <c r="AD102" s="692">
        <f t="shared" si="18"/>
        <v>0</v>
      </c>
      <c r="AE102" s="38"/>
      <c r="AF102" s="692">
        <f t="shared" si="19"/>
        <v>0</v>
      </c>
      <c r="AG102" s="692">
        <f t="shared" si="20"/>
        <v>0</v>
      </c>
      <c r="AH102" s="692">
        <f t="shared" si="21"/>
        <v>0</v>
      </c>
      <c r="AJ102" s="38">
        <f t="shared" si="27"/>
        <v>399335.28</v>
      </c>
    </row>
    <row r="103" spans="1:36" s="232" customFormat="1">
      <c r="A103" s="283"/>
      <c r="B103" s="283" t="s">
        <v>110</v>
      </c>
      <c r="C103" s="667"/>
      <c r="D103" s="123" t="s">
        <v>335</v>
      </c>
      <c r="E103" s="679"/>
      <c r="F103" s="529">
        <f>VLOOKUP(D103,'Dec 2012 Revenue'!D:T,17,FALSE)</f>
        <v>0</v>
      </c>
      <c r="G103" s="680"/>
      <c r="H103" s="680"/>
      <c r="I103" s="770">
        <v>946.49</v>
      </c>
      <c r="J103" s="682">
        <f t="shared" si="22"/>
        <v>946.49</v>
      </c>
      <c r="K103" s="683"/>
      <c r="L103" s="684"/>
      <c r="M103" s="753"/>
      <c r="N103" s="683">
        <v>0</v>
      </c>
      <c r="O103" s="686"/>
      <c r="P103" s="683">
        <v>0</v>
      </c>
      <c r="Q103" s="687">
        <f t="shared" si="1"/>
        <v>0</v>
      </c>
      <c r="R103" s="688">
        <v>0</v>
      </c>
      <c r="S103" s="693"/>
      <c r="T103" s="690">
        <f t="shared" si="28"/>
        <v>0</v>
      </c>
      <c r="U103" s="683"/>
      <c r="V103" s="474">
        <f t="shared" si="23"/>
        <v>0</v>
      </c>
      <c r="W103" s="474">
        <f t="shared" si="24"/>
        <v>0</v>
      </c>
      <c r="X103" s="475">
        <f t="shared" si="25"/>
        <v>0</v>
      </c>
      <c r="Y103" s="475">
        <v>0</v>
      </c>
      <c r="Z103" s="476">
        <v>0</v>
      </c>
      <c r="AA103" s="38">
        <f t="shared" si="26"/>
        <v>0</v>
      </c>
      <c r="AB103" s="692">
        <f t="shared" si="16"/>
        <v>946.49</v>
      </c>
      <c r="AC103" s="692">
        <f t="shared" si="17"/>
        <v>0</v>
      </c>
      <c r="AD103" s="692">
        <f t="shared" si="18"/>
        <v>0</v>
      </c>
      <c r="AE103" s="38"/>
      <c r="AF103" s="692">
        <f t="shared" si="19"/>
        <v>0</v>
      </c>
      <c r="AG103" s="692">
        <f t="shared" si="20"/>
        <v>0</v>
      </c>
      <c r="AH103" s="692">
        <f t="shared" si="21"/>
        <v>0</v>
      </c>
      <c r="AJ103" s="38">
        <f t="shared" si="27"/>
        <v>946.49</v>
      </c>
    </row>
    <row r="104" spans="1:36" s="232" customFormat="1">
      <c r="A104" s="283"/>
      <c r="B104" s="283" t="s">
        <v>110</v>
      </c>
      <c r="C104" s="667"/>
      <c r="D104" s="123" t="s">
        <v>336</v>
      </c>
      <c r="E104" s="679"/>
      <c r="F104" s="529">
        <f>VLOOKUP(D104,'Dec 2012 Revenue'!D:T,17,FALSE)</f>
        <v>0</v>
      </c>
      <c r="G104" s="680"/>
      <c r="H104" s="680"/>
      <c r="I104" s="770">
        <v>404402.85</v>
      </c>
      <c r="J104" s="682">
        <f t="shared" si="22"/>
        <v>404402.85</v>
      </c>
      <c r="K104" s="683"/>
      <c r="L104" s="684"/>
      <c r="M104" s="753"/>
      <c r="N104" s="683">
        <v>0</v>
      </c>
      <c r="O104" s="686"/>
      <c r="P104" s="683">
        <v>0</v>
      </c>
      <c r="Q104" s="687">
        <f t="shared" si="1"/>
        <v>0</v>
      </c>
      <c r="R104" s="688">
        <v>0</v>
      </c>
      <c r="S104" s="693"/>
      <c r="T104" s="690">
        <f t="shared" si="28"/>
        <v>0</v>
      </c>
      <c r="U104" s="683"/>
      <c r="V104" s="474">
        <f t="shared" si="23"/>
        <v>0</v>
      </c>
      <c r="W104" s="474">
        <f t="shared" si="24"/>
        <v>0</v>
      </c>
      <c r="X104" s="475">
        <f t="shared" si="25"/>
        <v>0</v>
      </c>
      <c r="Y104" s="475">
        <v>0</v>
      </c>
      <c r="Z104" s="476">
        <v>0</v>
      </c>
      <c r="AA104" s="38">
        <f t="shared" si="26"/>
        <v>0</v>
      </c>
      <c r="AB104" s="692">
        <f t="shared" si="16"/>
        <v>404402.85</v>
      </c>
      <c r="AC104" s="692">
        <f t="shared" si="17"/>
        <v>0</v>
      </c>
      <c r="AD104" s="692">
        <f t="shared" si="18"/>
        <v>0</v>
      </c>
      <c r="AE104" s="38"/>
      <c r="AF104" s="692">
        <f t="shared" si="19"/>
        <v>0</v>
      </c>
      <c r="AG104" s="692">
        <f t="shared" si="20"/>
        <v>0</v>
      </c>
      <c r="AH104" s="692">
        <f t="shared" si="21"/>
        <v>0</v>
      </c>
      <c r="AJ104" s="38">
        <f t="shared" si="27"/>
        <v>404402.85</v>
      </c>
    </row>
    <row r="105" spans="1:36" s="232" customFormat="1">
      <c r="A105" s="283"/>
      <c r="B105" s="283" t="s">
        <v>110</v>
      </c>
      <c r="C105" s="667"/>
      <c r="D105" s="123" t="s">
        <v>337</v>
      </c>
      <c r="E105" s="679"/>
      <c r="F105" s="529">
        <f>VLOOKUP(D105,'Dec 2012 Revenue'!D:T,17,FALSE)</f>
        <v>0</v>
      </c>
      <c r="G105" s="680"/>
      <c r="H105" s="680"/>
      <c r="I105" s="770">
        <v>709.57</v>
      </c>
      <c r="J105" s="682">
        <f t="shared" si="22"/>
        <v>709.57</v>
      </c>
      <c r="K105" s="683"/>
      <c r="L105" s="684"/>
      <c r="M105" s="753"/>
      <c r="N105" s="683">
        <v>0</v>
      </c>
      <c r="O105" s="686"/>
      <c r="P105" s="683">
        <v>0</v>
      </c>
      <c r="Q105" s="687">
        <f t="shared" si="1"/>
        <v>0</v>
      </c>
      <c r="R105" s="688">
        <v>0</v>
      </c>
      <c r="S105" s="693"/>
      <c r="T105" s="690">
        <f t="shared" si="28"/>
        <v>0</v>
      </c>
      <c r="U105" s="683"/>
      <c r="V105" s="474">
        <f t="shared" si="23"/>
        <v>0</v>
      </c>
      <c r="W105" s="474">
        <f t="shared" si="24"/>
        <v>0</v>
      </c>
      <c r="X105" s="475">
        <f t="shared" si="25"/>
        <v>0</v>
      </c>
      <c r="Y105" s="475">
        <v>0</v>
      </c>
      <c r="Z105" s="476">
        <v>0</v>
      </c>
      <c r="AA105" s="38">
        <f t="shared" si="26"/>
        <v>0</v>
      </c>
      <c r="AB105" s="692">
        <f t="shared" si="16"/>
        <v>709.57</v>
      </c>
      <c r="AC105" s="692">
        <f t="shared" si="17"/>
        <v>0</v>
      </c>
      <c r="AD105" s="692">
        <f t="shared" si="18"/>
        <v>0</v>
      </c>
      <c r="AE105" s="38"/>
      <c r="AF105" s="692">
        <f t="shared" si="19"/>
        <v>0</v>
      </c>
      <c r="AG105" s="692">
        <f t="shared" si="20"/>
        <v>0</v>
      </c>
      <c r="AH105" s="692">
        <f t="shared" si="21"/>
        <v>0</v>
      </c>
      <c r="AJ105" s="38">
        <f t="shared" si="27"/>
        <v>709.57</v>
      </c>
    </row>
    <row r="106" spans="1:36" s="232" customFormat="1">
      <c r="A106" s="283"/>
      <c r="B106" s="283" t="s">
        <v>110</v>
      </c>
      <c r="C106" s="667"/>
      <c r="D106" s="123" t="s">
        <v>338</v>
      </c>
      <c r="E106" s="679"/>
      <c r="F106" s="529">
        <f>VLOOKUP(D106,'Dec 2012 Revenue'!D:T,17,FALSE)</f>
        <v>0</v>
      </c>
      <c r="G106" s="680"/>
      <c r="H106" s="680"/>
      <c r="I106" s="770">
        <v>126048.22</v>
      </c>
      <c r="J106" s="682">
        <f t="shared" si="22"/>
        <v>126048.22</v>
      </c>
      <c r="K106" s="683"/>
      <c r="L106" s="684"/>
      <c r="M106" s="753"/>
      <c r="N106" s="683">
        <v>0</v>
      </c>
      <c r="O106" s="686"/>
      <c r="P106" s="683">
        <v>0</v>
      </c>
      <c r="Q106" s="687">
        <f t="shared" si="1"/>
        <v>0</v>
      </c>
      <c r="R106" s="688">
        <v>0</v>
      </c>
      <c r="S106" s="693"/>
      <c r="T106" s="690">
        <f t="shared" si="28"/>
        <v>0</v>
      </c>
      <c r="U106" s="683"/>
      <c r="V106" s="474">
        <f t="shared" si="23"/>
        <v>0</v>
      </c>
      <c r="W106" s="474">
        <f t="shared" si="24"/>
        <v>0</v>
      </c>
      <c r="X106" s="475">
        <f t="shared" si="25"/>
        <v>0</v>
      </c>
      <c r="Y106" s="475">
        <v>0</v>
      </c>
      <c r="Z106" s="476">
        <v>0</v>
      </c>
      <c r="AA106" s="38">
        <f t="shared" si="26"/>
        <v>0</v>
      </c>
      <c r="AB106" s="692">
        <f t="shared" si="16"/>
        <v>126048.22</v>
      </c>
      <c r="AC106" s="692">
        <f t="shared" si="17"/>
        <v>0</v>
      </c>
      <c r="AD106" s="692">
        <f t="shared" si="18"/>
        <v>0</v>
      </c>
      <c r="AE106" s="38"/>
      <c r="AF106" s="692">
        <f t="shared" si="19"/>
        <v>0</v>
      </c>
      <c r="AG106" s="692">
        <f t="shared" si="20"/>
        <v>0</v>
      </c>
      <c r="AH106" s="692">
        <f t="shared" si="21"/>
        <v>0</v>
      </c>
      <c r="AJ106" s="38">
        <f t="shared" si="27"/>
        <v>126048.22</v>
      </c>
    </row>
    <row r="107" spans="1:36" s="232" customFormat="1">
      <c r="A107" s="283"/>
      <c r="B107" s="283" t="s">
        <v>110</v>
      </c>
      <c r="C107" s="667"/>
      <c r="D107" s="123" t="s">
        <v>339</v>
      </c>
      <c r="E107" s="679"/>
      <c r="F107" s="529">
        <f>VLOOKUP(D107,'Dec 2012 Revenue'!D:T,17,FALSE)</f>
        <v>0</v>
      </c>
      <c r="G107" s="680"/>
      <c r="H107" s="680"/>
      <c r="I107" s="770">
        <v>126261.14</v>
      </c>
      <c r="J107" s="682">
        <f t="shared" si="22"/>
        <v>126261.14</v>
      </c>
      <c r="K107" s="683"/>
      <c r="L107" s="684"/>
      <c r="M107" s="753"/>
      <c r="N107" s="683">
        <v>0</v>
      </c>
      <c r="O107" s="686"/>
      <c r="P107" s="683">
        <v>0</v>
      </c>
      <c r="Q107" s="687">
        <f t="shared" si="1"/>
        <v>0</v>
      </c>
      <c r="R107" s="688">
        <v>0</v>
      </c>
      <c r="S107" s="693"/>
      <c r="T107" s="690">
        <f t="shared" si="28"/>
        <v>0</v>
      </c>
      <c r="U107" s="683"/>
      <c r="V107" s="474">
        <f t="shared" si="23"/>
        <v>0</v>
      </c>
      <c r="W107" s="474">
        <f t="shared" si="24"/>
        <v>0</v>
      </c>
      <c r="X107" s="475">
        <f t="shared" si="25"/>
        <v>0</v>
      </c>
      <c r="Y107" s="475">
        <v>0</v>
      </c>
      <c r="Z107" s="476">
        <v>0</v>
      </c>
      <c r="AA107" s="38">
        <f t="shared" si="26"/>
        <v>0</v>
      </c>
      <c r="AB107" s="692">
        <f t="shared" si="16"/>
        <v>126261.14</v>
      </c>
      <c r="AC107" s="692">
        <f t="shared" si="17"/>
        <v>0</v>
      </c>
      <c r="AD107" s="692">
        <f t="shared" si="18"/>
        <v>0</v>
      </c>
      <c r="AE107" s="38"/>
      <c r="AF107" s="692">
        <f t="shared" si="19"/>
        <v>0</v>
      </c>
      <c r="AG107" s="692">
        <f t="shared" si="20"/>
        <v>0</v>
      </c>
      <c r="AH107" s="692">
        <f t="shared" si="21"/>
        <v>0</v>
      </c>
      <c r="AJ107" s="38">
        <f t="shared" si="27"/>
        <v>126261.14</v>
      </c>
    </row>
    <row r="108" spans="1:36" s="232" customFormat="1">
      <c r="A108" s="283"/>
      <c r="B108" s="283" t="s">
        <v>110</v>
      </c>
      <c r="C108" s="667"/>
      <c r="D108" s="123" t="s">
        <v>340</v>
      </c>
      <c r="E108" s="679"/>
      <c r="F108" s="529">
        <f>VLOOKUP(D108,'Dec 2012 Revenue'!D:T,17,FALSE)</f>
        <v>0</v>
      </c>
      <c r="G108" s="680"/>
      <c r="H108" s="680"/>
      <c r="I108" s="770">
        <v>153.69999999999999</v>
      </c>
      <c r="J108" s="682">
        <f t="shared" si="22"/>
        <v>153.69999999999999</v>
      </c>
      <c r="K108" s="683"/>
      <c r="L108" s="684"/>
      <c r="M108" s="753"/>
      <c r="N108" s="683">
        <v>0</v>
      </c>
      <c r="O108" s="686"/>
      <c r="P108" s="683">
        <v>0</v>
      </c>
      <c r="Q108" s="687">
        <f t="shared" si="1"/>
        <v>0</v>
      </c>
      <c r="R108" s="688">
        <v>0</v>
      </c>
      <c r="S108" s="693"/>
      <c r="T108" s="690">
        <f t="shared" si="28"/>
        <v>0</v>
      </c>
      <c r="U108" s="683"/>
      <c r="V108" s="474">
        <f t="shared" si="23"/>
        <v>0</v>
      </c>
      <c r="W108" s="474">
        <f t="shared" si="24"/>
        <v>0</v>
      </c>
      <c r="X108" s="475">
        <f t="shared" si="25"/>
        <v>0</v>
      </c>
      <c r="Y108" s="475">
        <v>0</v>
      </c>
      <c r="Z108" s="476">
        <v>0</v>
      </c>
      <c r="AA108" s="38">
        <f t="shared" si="26"/>
        <v>0</v>
      </c>
      <c r="AB108" s="692">
        <f t="shared" si="16"/>
        <v>153.69999999999999</v>
      </c>
      <c r="AC108" s="692">
        <f t="shared" si="17"/>
        <v>0</v>
      </c>
      <c r="AD108" s="692">
        <f t="shared" si="18"/>
        <v>0</v>
      </c>
      <c r="AE108" s="38"/>
      <c r="AF108" s="692">
        <f t="shared" si="19"/>
        <v>0</v>
      </c>
      <c r="AG108" s="692">
        <f t="shared" si="20"/>
        <v>0</v>
      </c>
      <c r="AH108" s="692">
        <f t="shared" si="21"/>
        <v>0</v>
      </c>
      <c r="AJ108" s="38">
        <f t="shared" si="27"/>
        <v>153.69999999999999</v>
      </c>
    </row>
    <row r="109" spans="1:36" s="232" customFormat="1">
      <c r="A109" s="283"/>
      <c r="B109" s="283" t="s">
        <v>110</v>
      </c>
      <c r="C109" s="667"/>
      <c r="D109" s="123" t="s">
        <v>439</v>
      </c>
      <c r="E109" s="679"/>
      <c r="F109" s="529">
        <f>VLOOKUP(D109,'Dec 2012 Revenue'!D:T,17,FALSE)</f>
        <v>0</v>
      </c>
      <c r="G109" s="680"/>
      <c r="H109" s="680"/>
      <c r="I109" s="770">
        <v>2968.81</v>
      </c>
      <c r="J109" s="682">
        <f t="shared" si="22"/>
        <v>2968.81</v>
      </c>
      <c r="K109" s="683"/>
      <c r="L109" s="684"/>
      <c r="M109" s="753"/>
      <c r="N109" s="683">
        <v>0</v>
      </c>
      <c r="O109" s="686"/>
      <c r="P109" s="683">
        <v>0</v>
      </c>
      <c r="Q109" s="687">
        <f t="shared" si="1"/>
        <v>0</v>
      </c>
      <c r="R109" s="688">
        <v>0</v>
      </c>
      <c r="S109" s="693"/>
      <c r="T109" s="690">
        <f t="shared" si="28"/>
        <v>0</v>
      </c>
      <c r="U109" s="683"/>
      <c r="V109" s="474">
        <f t="shared" si="23"/>
        <v>0</v>
      </c>
      <c r="W109" s="474">
        <f t="shared" si="24"/>
        <v>0</v>
      </c>
      <c r="X109" s="475">
        <f t="shared" si="25"/>
        <v>0</v>
      </c>
      <c r="Y109" s="475">
        <v>0</v>
      </c>
      <c r="Z109" s="476">
        <v>0</v>
      </c>
      <c r="AA109" s="38">
        <f t="shared" si="26"/>
        <v>0</v>
      </c>
      <c r="AB109" s="692">
        <f t="shared" si="16"/>
        <v>2968.81</v>
      </c>
      <c r="AC109" s="692">
        <f t="shared" si="17"/>
        <v>0</v>
      </c>
      <c r="AD109" s="692">
        <f t="shared" si="18"/>
        <v>0</v>
      </c>
      <c r="AE109" s="38"/>
      <c r="AF109" s="692">
        <f t="shared" si="19"/>
        <v>0</v>
      </c>
      <c r="AG109" s="692">
        <f t="shared" si="20"/>
        <v>0</v>
      </c>
      <c r="AH109" s="692">
        <f t="shared" si="21"/>
        <v>0</v>
      </c>
      <c r="AJ109" s="38">
        <f t="shared" si="27"/>
        <v>2968.81</v>
      </c>
    </row>
    <row r="110" spans="1:36" s="232" customFormat="1">
      <c r="A110" s="283"/>
      <c r="B110" s="283" t="s">
        <v>110</v>
      </c>
      <c r="C110" s="667"/>
      <c r="D110" s="123" t="s">
        <v>592</v>
      </c>
      <c r="E110" s="679"/>
      <c r="F110" s="529">
        <f>VLOOKUP(D110,'Dec 2012 Revenue'!D:T,17,FALSE)</f>
        <v>0</v>
      </c>
      <c r="G110" s="680"/>
      <c r="H110" s="680"/>
      <c r="I110" s="770">
        <v>906.37</v>
      </c>
      <c r="J110" s="682">
        <f t="shared" si="22"/>
        <v>906.37</v>
      </c>
      <c r="K110" s="683"/>
      <c r="L110" s="684"/>
      <c r="M110" s="753"/>
      <c r="N110" s="683">
        <v>0</v>
      </c>
      <c r="O110" s="686"/>
      <c r="P110" s="683">
        <v>0</v>
      </c>
      <c r="Q110" s="687">
        <f t="shared" si="1"/>
        <v>0</v>
      </c>
      <c r="R110" s="688">
        <v>0</v>
      </c>
      <c r="S110" s="693"/>
      <c r="T110" s="690">
        <f t="shared" si="28"/>
        <v>0</v>
      </c>
      <c r="U110" s="683"/>
      <c r="V110" s="474">
        <f t="shared" si="23"/>
        <v>0</v>
      </c>
      <c r="W110" s="474">
        <f t="shared" si="24"/>
        <v>0</v>
      </c>
      <c r="X110" s="475">
        <f t="shared" si="25"/>
        <v>0</v>
      </c>
      <c r="Y110" s="475">
        <v>0</v>
      </c>
      <c r="Z110" s="476">
        <v>0</v>
      </c>
      <c r="AA110" s="38">
        <f t="shared" si="26"/>
        <v>0</v>
      </c>
      <c r="AB110" s="692">
        <f t="shared" si="16"/>
        <v>906.37</v>
      </c>
      <c r="AC110" s="692">
        <f t="shared" si="17"/>
        <v>0</v>
      </c>
      <c r="AD110" s="692">
        <f t="shared" si="18"/>
        <v>0</v>
      </c>
      <c r="AE110" s="38"/>
      <c r="AF110" s="692">
        <f t="shared" si="19"/>
        <v>0</v>
      </c>
      <c r="AG110" s="692">
        <f t="shared" si="20"/>
        <v>0</v>
      </c>
      <c r="AH110" s="692">
        <f t="shared" si="21"/>
        <v>0</v>
      </c>
      <c r="AJ110" s="38">
        <f t="shared" si="27"/>
        <v>906.37</v>
      </c>
    </row>
    <row r="111" spans="1:36" s="232" customFormat="1">
      <c r="A111" s="283"/>
      <c r="B111" s="283" t="s">
        <v>110</v>
      </c>
      <c r="C111" s="667"/>
      <c r="D111" s="123" t="s">
        <v>512</v>
      </c>
      <c r="E111" s="679"/>
      <c r="F111" s="529">
        <f>VLOOKUP(D111,'Dec 2012 Revenue'!D:T,17,FALSE)</f>
        <v>0</v>
      </c>
      <c r="G111" s="680"/>
      <c r="H111" s="680"/>
      <c r="I111" s="770">
        <f>21401.79+1910.78+1456.81+6713.94+330.76</f>
        <v>31814.079999999998</v>
      </c>
      <c r="J111" s="682">
        <f t="shared" si="22"/>
        <v>31814.079999999998</v>
      </c>
      <c r="K111" s="683"/>
      <c r="L111" s="684"/>
      <c r="M111" s="753"/>
      <c r="N111" s="683">
        <v>0</v>
      </c>
      <c r="O111" s="686"/>
      <c r="P111" s="683"/>
      <c r="Q111" s="687">
        <f t="shared" si="1"/>
        <v>0</v>
      </c>
      <c r="R111" s="688">
        <v>0</v>
      </c>
      <c r="S111" s="693"/>
      <c r="T111" s="690">
        <f t="shared" si="28"/>
        <v>0</v>
      </c>
      <c r="U111" s="683"/>
      <c r="V111" s="474">
        <f t="shared" si="23"/>
        <v>0</v>
      </c>
      <c r="W111" s="474">
        <f t="shared" si="24"/>
        <v>0</v>
      </c>
      <c r="X111" s="475">
        <f t="shared" si="25"/>
        <v>0</v>
      </c>
      <c r="Y111" s="475">
        <v>0</v>
      </c>
      <c r="Z111" s="476">
        <v>0</v>
      </c>
      <c r="AA111" s="38">
        <f t="shared" si="26"/>
        <v>0</v>
      </c>
      <c r="AB111" s="692">
        <f t="shared" si="16"/>
        <v>31814.079999999998</v>
      </c>
      <c r="AC111" s="692">
        <f t="shared" si="17"/>
        <v>0</v>
      </c>
      <c r="AD111" s="692">
        <f t="shared" si="18"/>
        <v>0</v>
      </c>
      <c r="AE111" s="38"/>
      <c r="AF111" s="692">
        <f t="shared" si="19"/>
        <v>0</v>
      </c>
      <c r="AG111" s="692">
        <f t="shared" si="20"/>
        <v>0</v>
      </c>
      <c r="AH111" s="692">
        <f t="shared" si="21"/>
        <v>0</v>
      </c>
      <c r="AJ111" s="38">
        <f t="shared" si="27"/>
        <v>31814.079999999998</v>
      </c>
    </row>
    <row r="112" spans="1:36" s="24" customFormat="1">
      <c r="A112" s="32"/>
      <c r="B112" s="32" t="s">
        <v>110</v>
      </c>
      <c r="C112" s="667"/>
      <c r="D112" s="68" t="s">
        <v>588</v>
      </c>
      <c r="E112" s="679"/>
      <c r="F112" s="529">
        <f>VLOOKUP(D112,'Dec 2012 Revenue'!D:T,17,FALSE)</f>
        <v>0</v>
      </c>
      <c r="G112" s="680"/>
      <c r="H112" s="680"/>
      <c r="I112" s="755"/>
      <c r="J112" s="682">
        <f t="shared" si="22"/>
        <v>0</v>
      </c>
      <c r="K112" s="683"/>
      <c r="L112" s="684"/>
      <c r="M112" s="753"/>
      <c r="N112" s="698"/>
      <c r="O112" s="699"/>
      <c r="P112" s="698"/>
      <c r="Q112" s="687">
        <f t="shared" si="1"/>
        <v>0</v>
      </c>
      <c r="R112" s="688">
        <v>0</v>
      </c>
      <c r="S112" s="693"/>
      <c r="T112" s="690">
        <f t="shared" si="28"/>
        <v>0</v>
      </c>
      <c r="U112" s="683"/>
      <c r="V112" s="474">
        <f t="shared" si="23"/>
        <v>0</v>
      </c>
      <c r="W112" s="474">
        <f t="shared" si="24"/>
        <v>0</v>
      </c>
      <c r="X112" s="475">
        <f t="shared" si="25"/>
        <v>0</v>
      </c>
      <c r="Y112" s="475">
        <v>0</v>
      </c>
      <c r="Z112" s="476">
        <v>0</v>
      </c>
      <c r="AA112" s="38">
        <f t="shared" si="26"/>
        <v>0</v>
      </c>
      <c r="AB112" s="692">
        <f t="shared" si="16"/>
        <v>0</v>
      </c>
      <c r="AC112" s="692">
        <f t="shared" si="17"/>
        <v>0</v>
      </c>
      <c r="AD112" s="692">
        <f t="shared" si="18"/>
        <v>0</v>
      </c>
      <c r="AE112" s="38"/>
      <c r="AF112" s="692">
        <f t="shared" si="19"/>
        <v>0</v>
      </c>
      <c r="AG112" s="692">
        <f t="shared" si="20"/>
        <v>0</v>
      </c>
      <c r="AH112" s="692">
        <f t="shared" si="21"/>
        <v>0</v>
      </c>
      <c r="AJ112" s="38">
        <f t="shared" si="27"/>
        <v>0</v>
      </c>
    </row>
    <row r="113" spans="1:36">
      <c r="A113" s="21"/>
      <c r="B113" s="21" t="s">
        <v>109</v>
      </c>
      <c r="C113" s="666" t="s">
        <v>548</v>
      </c>
      <c r="D113" s="68" t="s">
        <v>461</v>
      </c>
      <c r="E113" s="679"/>
      <c r="F113" s="529">
        <f>VLOOKUP(D113,'Dec 2012 Revenue'!D:T,17,FALSE)</f>
        <v>-929.63000000000011</v>
      </c>
      <c r="G113" s="680"/>
      <c r="H113" s="680"/>
      <c r="I113" s="755"/>
      <c r="J113" s="682">
        <f t="shared" si="22"/>
        <v>-929.63000000000011</v>
      </c>
      <c r="K113" s="683"/>
      <c r="L113" s="684"/>
      <c r="M113" s="753">
        <v>5000</v>
      </c>
      <c r="N113" s="683">
        <v>0</v>
      </c>
      <c r="O113" s="686"/>
      <c r="P113" s="683">
        <v>0</v>
      </c>
      <c r="Q113" s="687">
        <f t="shared" si="1"/>
        <v>5000</v>
      </c>
      <c r="R113" s="688">
        <v>3515.23</v>
      </c>
      <c r="S113" s="693"/>
      <c r="T113" s="690">
        <f t="shared" si="28"/>
        <v>-1484.77</v>
      </c>
      <c r="U113" s="683"/>
      <c r="V113" s="474">
        <f t="shared" si="23"/>
        <v>0</v>
      </c>
      <c r="W113" s="474">
        <f t="shared" si="24"/>
        <v>5000</v>
      </c>
      <c r="X113" s="475">
        <f t="shared" si="25"/>
        <v>0</v>
      </c>
      <c r="Y113" s="475">
        <v>0</v>
      </c>
      <c r="Z113" s="476">
        <v>0</v>
      </c>
      <c r="AA113" s="38">
        <f t="shared" si="26"/>
        <v>0</v>
      </c>
      <c r="AB113" s="692">
        <f t="shared" si="16"/>
        <v>0</v>
      </c>
      <c r="AC113" s="692">
        <f t="shared" si="17"/>
        <v>-929.63000000000011</v>
      </c>
      <c r="AD113" s="692">
        <f t="shared" si="18"/>
        <v>0</v>
      </c>
      <c r="AE113" s="38"/>
      <c r="AF113" s="692">
        <f t="shared" si="19"/>
        <v>0</v>
      </c>
      <c r="AG113" s="692">
        <f t="shared" si="20"/>
        <v>5000</v>
      </c>
      <c r="AH113" s="692">
        <f t="shared" si="21"/>
        <v>0</v>
      </c>
      <c r="AJ113" s="38">
        <f t="shared" si="27"/>
        <v>4070.37</v>
      </c>
    </row>
    <row r="114" spans="1:36">
      <c r="A114" s="20"/>
      <c r="B114" s="20" t="s">
        <v>109</v>
      </c>
      <c r="C114" s="667" t="s">
        <v>549</v>
      </c>
      <c r="D114" s="68" t="s">
        <v>22</v>
      </c>
      <c r="E114" s="679"/>
      <c r="F114" s="529">
        <f>VLOOKUP(D114,'Dec 2012 Revenue'!D:T,17,FALSE)</f>
        <v>0</v>
      </c>
      <c r="G114" s="680"/>
      <c r="H114" s="680"/>
      <c r="I114" s="755"/>
      <c r="J114" s="682">
        <f t="shared" si="22"/>
        <v>0</v>
      </c>
      <c r="K114" s="683"/>
      <c r="L114" s="684"/>
      <c r="M114" s="753"/>
      <c r="N114" s="683">
        <v>0</v>
      </c>
      <c r="O114" s="686"/>
      <c r="P114" s="683">
        <v>0</v>
      </c>
      <c r="Q114" s="687">
        <f t="shared" si="1"/>
        <v>0</v>
      </c>
      <c r="R114" s="688">
        <v>0</v>
      </c>
      <c r="S114" s="693"/>
      <c r="T114" s="690">
        <f t="shared" si="28"/>
        <v>0</v>
      </c>
      <c r="U114" s="683"/>
      <c r="V114" s="474">
        <f t="shared" si="23"/>
        <v>0</v>
      </c>
      <c r="W114" s="474">
        <f t="shared" si="24"/>
        <v>0</v>
      </c>
      <c r="X114" s="475">
        <f t="shared" si="25"/>
        <v>0</v>
      </c>
      <c r="Y114" s="475">
        <v>0</v>
      </c>
      <c r="Z114" s="476">
        <v>0</v>
      </c>
      <c r="AA114" s="38">
        <f t="shared" si="26"/>
        <v>0</v>
      </c>
      <c r="AB114" s="692">
        <f t="shared" si="16"/>
        <v>0</v>
      </c>
      <c r="AC114" s="692">
        <f t="shared" si="17"/>
        <v>0</v>
      </c>
      <c r="AD114" s="692">
        <f t="shared" si="18"/>
        <v>0</v>
      </c>
      <c r="AE114" s="38"/>
      <c r="AF114" s="692">
        <f t="shared" si="19"/>
        <v>0</v>
      </c>
      <c r="AG114" s="692">
        <f t="shared" si="20"/>
        <v>0</v>
      </c>
      <c r="AH114" s="692">
        <f t="shared" si="21"/>
        <v>0</v>
      </c>
      <c r="AJ114" s="38">
        <f t="shared" si="27"/>
        <v>0</v>
      </c>
    </row>
    <row r="115" spans="1:36">
      <c r="A115" s="20"/>
      <c r="B115" s="20" t="s">
        <v>110</v>
      </c>
      <c r="C115" s="667"/>
      <c r="D115" s="68" t="s">
        <v>24</v>
      </c>
      <c r="E115" s="679"/>
      <c r="F115" s="529">
        <f>VLOOKUP(D115,'Dec 2012 Revenue'!D:T,17,FALSE)</f>
        <v>0</v>
      </c>
      <c r="G115" s="680"/>
      <c r="H115" s="680"/>
      <c r="I115" s="755"/>
      <c r="J115" s="682">
        <f t="shared" si="22"/>
        <v>0</v>
      </c>
      <c r="K115" s="683"/>
      <c r="L115" s="684"/>
      <c r="M115" s="753"/>
      <c r="N115" s="683">
        <v>0</v>
      </c>
      <c r="O115" s="686"/>
      <c r="P115" s="683">
        <v>0</v>
      </c>
      <c r="Q115" s="687">
        <f t="shared" si="1"/>
        <v>0</v>
      </c>
      <c r="R115" s="688">
        <v>0</v>
      </c>
      <c r="S115" s="693"/>
      <c r="T115" s="690">
        <f t="shared" si="28"/>
        <v>0</v>
      </c>
      <c r="U115" s="683"/>
      <c r="V115" s="474">
        <f t="shared" si="23"/>
        <v>0</v>
      </c>
      <c r="W115" s="474">
        <f t="shared" si="24"/>
        <v>0</v>
      </c>
      <c r="X115" s="475">
        <f t="shared" si="25"/>
        <v>0</v>
      </c>
      <c r="Y115" s="475">
        <v>0</v>
      </c>
      <c r="Z115" s="476">
        <v>0</v>
      </c>
      <c r="AA115" s="38">
        <f t="shared" si="26"/>
        <v>0</v>
      </c>
      <c r="AB115" s="692">
        <f t="shared" si="16"/>
        <v>0</v>
      </c>
      <c r="AC115" s="692">
        <f t="shared" si="17"/>
        <v>0</v>
      </c>
      <c r="AD115" s="692">
        <f t="shared" si="18"/>
        <v>0</v>
      </c>
      <c r="AE115" s="38"/>
      <c r="AF115" s="692">
        <f t="shared" si="19"/>
        <v>0</v>
      </c>
      <c r="AG115" s="692">
        <f t="shared" si="20"/>
        <v>0</v>
      </c>
      <c r="AH115" s="692">
        <f t="shared" si="21"/>
        <v>0</v>
      </c>
      <c r="AJ115" s="38">
        <f t="shared" si="27"/>
        <v>0</v>
      </c>
    </row>
    <row r="116" spans="1:36">
      <c r="A116" s="21"/>
      <c r="B116" s="21" t="s">
        <v>110</v>
      </c>
      <c r="C116" s="666" t="s">
        <v>550</v>
      </c>
      <c r="D116" s="68" t="s">
        <v>282</v>
      </c>
      <c r="E116" s="679"/>
      <c r="F116" s="529">
        <f>VLOOKUP(D116,'Dec 2012 Revenue'!D:T,17,FALSE)</f>
        <v>2311.4599999999991</v>
      </c>
      <c r="G116" s="680"/>
      <c r="H116" s="680"/>
      <c r="I116" s="755"/>
      <c r="J116" s="682">
        <f t="shared" si="22"/>
        <v>2311.4599999999991</v>
      </c>
      <c r="K116" s="683"/>
      <c r="L116" s="684"/>
      <c r="M116" s="753">
        <v>25000</v>
      </c>
      <c r="N116" s="683">
        <v>0</v>
      </c>
      <c r="O116" s="686"/>
      <c r="P116" s="683">
        <v>0</v>
      </c>
      <c r="Q116" s="687">
        <f t="shared" si="1"/>
        <v>25000</v>
      </c>
      <c r="R116" s="688">
        <v>27287.38</v>
      </c>
      <c r="S116" s="693"/>
      <c r="T116" s="690">
        <f t="shared" si="28"/>
        <v>2287.380000000001</v>
      </c>
      <c r="U116" s="683"/>
      <c r="V116" s="474">
        <f t="shared" si="23"/>
        <v>25000</v>
      </c>
      <c r="W116" s="474">
        <f t="shared" si="24"/>
        <v>0</v>
      </c>
      <c r="X116" s="475">
        <f t="shared" si="25"/>
        <v>0</v>
      </c>
      <c r="Y116" s="475">
        <v>0</v>
      </c>
      <c r="Z116" s="476">
        <v>0</v>
      </c>
      <c r="AA116" s="38">
        <f t="shared" si="26"/>
        <v>0</v>
      </c>
      <c r="AB116" s="692">
        <f t="shared" si="16"/>
        <v>2311.4599999999991</v>
      </c>
      <c r="AC116" s="692">
        <f t="shared" si="17"/>
        <v>0</v>
      </c>
      <c r="AD116" s="692">
        <f t="shared" si="18"/>
        <v>0</v>
      </c>
      <c r="AE116" s="38"/>
      <c r="AF116" s="692">
        <f t="shared" si="19"/>
        <v>25000</v>
      </c>
      <c r="AG116" s="692">
        <f t="shared" si="20"/>
        <v>0</v>
      </c>
      <c r="AH116" s="692">
        <f t="shared" si="21"/>
        <v>0</v>
      </c>
      <c r="AJ116" s="38">
        <f t="shared" si="27"/>
        <v>27311.46</v>
      </c>
    </row>
    <row r="117" spans="1:36">
      <c r="A117" s="21"/>
      <c r="B117" s="21" t="s">
        <v>109</v>
      </c>
      <c r="C117" s="666" t="s">
        <v>551</v>
      </c>
      <c r="D117" s="68" t="s">
        <v>499</v>
      </c>
      <c r="E117" s="679"/>
      <c r="F117" s="529">
        <f>VLOOKUP(D117,'Dec 2012 Revenue'!D:T,17,FALSE)</f>
        <v>0</v>
      </c>
      <c r="G117" s="680"/>
      <c r="H117" s="680"/>
      <c r="I117" s="755"/>
      <c r="J117" s="682">
        <f t="shared" si="22"/>
        <v>0</v>
      </c>
      <c r="K117" s="683"/>
      <c r="L117" s="684"/>
      <c r="M117" s="753"/>
      <c r="N117" s="683">
        <v>0</v>
      </c>
      <c r="O117" s="686"/>
      <c r="P117" s="683">
        <v>0</v>
      </c>
      <c r="Q117" s="687">
        <f t="shared" si="1"/>
        <v>0</v>
      </c>
      <c r="R117" s="688">
        <v>0</v>
      </c>
      <c r="S117" s="693"/>
      <c r="T117" s="690">
        <f t="shared" si="28"/>
        <v>0</v>
      </c>
      <c r="U117" s="683"/>
      <c r="V117" s="474">
        <f t="shared" si="23"/>
        <v>0</v>
      </c>
      <c r="W117" s="474">
        <f t="shared" si="24"/>
        <v>0</v>
      </c>
      <c r="X117" s="475">
        <f t="shared" si="25"/>
        <v>0</v>
      </c>
      <c r="Y117" s="475">
        <v>0</v>
      </c>
      <c r="Z117" s="476">
        <v>0</v>
      </c>
      <c r="AA117" s="38">
        <f t="shared" si="26"/>
        <v>0</v>
      </c>
      <c r="AB117" s="692">
        <f t="shared" si="16"/>
        <v>0</v>
      </c>
      <c r="AC117" s="692">
        <f t="shared" si="17"/>
        <v>0</v>
      </c>
      <c r="AD117" s="692">
        <f t="shared" si="18"/>
        <v>0</v>
      </c>
      <c r="AE117" s="38"/>
      <c r="AF117" s="692">
        <f t="shared" si="19"/>
        <v>0</v>
      </c>
      <c r="AG117" s="692">
        <f t="shared" si="20"/>
        <v>0</v>
      </c>
      <c r="AH117" s="692">
        <f t="shared" si="21"/>
        <v>0</v>
      </c>
      <c r="AJ117" s="38">
        <f t="shared" si="27"/>
        <v>0</v>
      </c>
    </row>
    <row r="118" spans="1:36">
      <c r="A118" s="21"/>
      <c r="B118" s="21" t="s">
        <v>110</v>
      </c>
      <c r="C118" s="666"/>
      <c r="D118" s="68" t="s">
        <v>28</v>
      </c>
      <c r="E118" s="679"/>
      <c r="F118" s="529">
        <f>VLOOKUP(D118,'Dec 2012 Revenue'!D:T,17,FALSE)</f>
        <v>0</v>
      </c>
      <c r="G118" s="680"/>
      <c r="H118" s="680"/>
      <c r="I118" s="770">
        <v>1570.8</v>
      </c>
      <c r="J118" s="682">
        <f t="shared" si="22"/>
        <v>1570.8</v>
      </c>
      <c r="K118" s="683"/>
      <c r="L118" s="684"/>
      <c r="M118" s="753"/>
      <c r="N118" s="683">
        <v>0</v>
      </c>
      <c r="O118" s="686"/>
      <c r="P118" s="683">
        <v>0</v>
      </c>
      <c r="Q118" s="687">
        <f t="shared" si="1"/>
        <v>0</v>
      </c>
      <c r="R118" s="688">
        <v>0</v>
      </c>
      <c r="S118" s="693"/>
      <c r="T118" s="690">
        <f t="shared" si="28"/>
        <v>0</v>
      </c>
      <c r="U118" s="683"/>
      <c r="V118" s="474">
        <f t="shared" si="23"/>
        <v>0</v>
      </c>
      <c r="W118" s="474">
        <f t="shared" si="24"/>
        <v>0</v>
      </c>
      <c r="X118" s="475">
        <f t="shared" si="25"/>
        <v>0</v>
      </c>
      <c r="Y118" s="475">
        <v>0</v>
      </c>
      <c r="Z118" s="476">
        <v>0</v>
      </c>
      <c r="AA118" s="38">
        <f t="shared" si="26"/>
        <v>0</v>
      </c>
      <c r="AB118" s="692">
        <f t="shared" si="16"/>
        <v>1570.8</v>
      </c>
      <c r="AC118" s="692">
        <f t="shared" si="17"/>
        <v>0</v>
      </c>
      <c r="AD118" s="692">
        <f t="shared" si="18"/>
        <v>0</v>
      </c>
      <c r="AE118" s="38"/>
      <c r="AF118" s="692">
        <f t="shared" si="19"/>
        <v>0</v>
      </c>
      <c r="AG118" s="692">
        <f t="shared" si="20"/>
        <v>0</v>
      </c>
      <c r="AH118" s="692">
        <f t="shared" si="21"/>
        <v>0</v>
      </c>
      <c r="AJ118" s="38">
        <f t="shared" si="27"/>
        <v>1570.8</v>
      </c>
    </row>
    <row r="119" spans="1:36">
      <c r="A119" s="21"/>
      <c r="B119" s="21" t="s">
        <v>114</v>
      </c>
      <c r="C119" s="666" t="s">
        <v>552</v>
      </c>
      <c r="D119" s="68" t="s">
        <v>513</v>
      </c>
      <c r="E119" s="679"/>
      <c r="F119" s="529">
        <f>VLOOKUP(D119,'Dec 2012 Revenue'!D:T,17,FALSE)</f>
        <v>-5000</v>
      </c>
      <c r="G119" s="680"/>
      <c r="H119" s="680"/>
      <c r="I119" s="755"/>
      <c r="J119" s="682">
        <f t="shared" si="22"/>
        <v>-5000</v>
      </c>
      <c r="K119" s="683"/>
      <c r="L119" s="684"/>
      <c r="M119" s="753">
        <v>10000</v>
      </c>
      <c r="N119" s="683">
        <v>0</v>
      </c>
      <c r="O119" s="686"/>
      <c r="P119" s="683">
        <v>0</v>
      </c>
      <c r="Q119" s="687">
        <f>L119+M119</f>
        <v>10000</v>
      </c>
      <c r="R119" s="688">
        <v>3672.6</v>
      </c>
      <c r="S119" s="693"/>
      <c r="T119" s="690">
        <f t="shared" si="28"/>
        <v>-6327.4</v>
      </c>
      <c r="U119" s="683"/>
      <c r="V119" s="474">
        <f t="shared" si="23"/>
        <v>0</v>
      </c>
      <c r="W119" s="474">
        <f t="shared" si="24"/>
        <v>0</v>
      </c>
      <c r="X119" s="475">
        <f t="shared" si="25"/>
        <v>10000</v>
      </c>
      <c r="Y119" s="475">
        <v>0</v>
      </c>
      <c r="Z119" s="476">
        <v>0</v>
      </c>
      <c r="AA119" s="38">
        <f t="shared" si="26"/>
        <v>0</v>
      </c>
      <c r="AB119" s="692">
        <f t="shared" si="16"/>
        <v>0</v>
      </c>
      <c r="AC119" s="692">
        <f t="shared" si="17"/>
        <v>0</v>
      </c>
      <c r="AD119" s="692">
        <f t="shared" si="18"/>
        <v>-5000</v>
      </c>
      <c r="AE119" s="38"/>
      <c r="AF119" s="692">
        <f t="shared" si="19"/>
        <v>0</v>
      </c>
      <c r="AG119" s="692">
        <f t="shared" si="20"/>
        <v>0</v>
      </c>
      <c r="AH119" s="692">
        <f t="shared" si="21"/>
        <v>10000</v>
      </c>
      <c r="AJ119" s="38">
        <f t="shared" si="27"/>
        <v>5000</v>
      </c>
    </row>
    <row r="120" spans="1:36">
      <c r="A120" s="21"/>
      <c r="B120" s="21" t="s">
        <v>109</v>
      </c>
      <c r="C120" s="666" t="s">
        <v>553</v>
      </c>
      <c r="D120" s="68" t="s">
        <v>308</v>
      </c>
      <c r="E120" s="679"/>
      <c r="F120" s="529">
        <f>VLOOKUP(D120,'Dec 2012 Revenue'!D:T,17,FALSE)</f>
        <v>0</v>
      </c>
      <c r="G120" s="680"/>
      <c r="H120" s="680"/>
      <c r="I120" s="755"/>
      <c r="J120" s="682">
        <f t="shared" si="22"/>
        <v>0</v>
      </c>
      <c r="K120" s="683"/>
      <c r="L120" s="684"/>
      <c r="M120" s="753"/>
      <c r="N120" s="683">
        <v>0</v>
      </c>
      <c r="O120" s="686"/>
      <c r="P120" s="683">
        <v>0</v>
      </c>
      <c r="Q120" s="687">
        <f t="shared" si="1"/>
        <v>0</v>
      </c>
      <c r="R120" s="688">
        <v>1547.29</v>
      </c>
      <c r="S120" s="693"/>
      <c r="T120" s="690">
        <f t="shared" si="28"/>
        <v>1547.29</v>
      </c>
      <c r="U120" s="683"/>
      <c r="V120" s="474">
        <f t="shared" si="23"/>
        <v>0</v>
      </c>
      <c r="W120" s="474">
        <f t="shared" si="24"/>
        <v>0</v>
      </c>
      <c r="X120" s="475">
        <f t="shared" si="25"/>
        <v>0</v>
      </c>
      <c r="Y120" s="475">
        <v>0</v>
      </c>
      <c r="Z120" s="476">
        <v>0</v>
      </c>
      <c r="AA120" s="38">
        <f t="shared" si="26"/>
        <v>0</v>
      </c>
      <c r="AB120" s="692">
        <f t="shared" si="16"/>
        <v>0</v>
      </c>
      <c r="AC120" s="692">
        <f t="shared" si="17"/>
        <v>0</v>
      </c>
      <c r="AD120" s="692">
        <f t="shared" si="18"/>
        <v>0</v>
      </c>
      <c r="AE120" s="38"/>
      <c r="AF120" s="692">
        <f t="shared" si="19"/>
        <v>0</v>
      </c>
      <c r="AG120" s="692">
        <f t="shared" si="20"/>
        <v>0</v>
      </c>
      <c r="AH120" s="692">
        <f t="shared" si="21"/>
        <v>0</v>
      </c>
      <c r="AJ120" s="38">
        <f t="shared" si="27"/>
        <v>0</v>
      </c>
    </row>
    <row r="121" spans="1:36" s="232" customFormat="1">
      <c r="A121" s="283" t="s">
        <v>211</v>
      </c>
      <c r="B121" s="283" t="s">
        <v>109</v>
      </c>
      <c r="C121" s="667" t="s">
        <v>554</v>
      </c>
      <c r="D121" s="123" t="s">
        <v>389</v>
      </c>
      <c r="E121" s="679"/>
      <c r="F121" s="529">
        <f>VLOOKUP(D121,'Dec 2012 Revenue'!D:T,17,FALSE)</f>
        <v>0</v>
      </c>
      <c r="G121" s="680"/>
      <c r="H121" s="680"/>
      <c r="I121" s="755"/>
      <c r="J121" s="682">
        <f t="shared" si="22"/>
        <v>0</v>
      </c>
      <c r="K121" s="683"/>
      <c r="L121" s="684"/>
      <c r="M121" s="753"/>
      <c r="N121" s="683">
        <v>0</v>
      </c>
      <c r="O121" s="686"/>
      <c r="P121" s="683">
        <v>0</v>
      </c>
      <c r="Q121" s="687">
        <f t="shared" si="1"/>
        <v>0</v>
      </c>
      <c r="R121" s="688">
        <v>0</v>
      </c>
      <c r="S121" s="693"/>
      <c r="T121" s="690">
        <f t="shared" si="28"/>
        <v>0</v>
      </c>
      <c r="U121" s="683"/>
      <c r="V121" s="474">
        <f t="shared" si="23"/>
        <v>0</v>
      </c>
      <c r="W121" s="474">
        <f t="shared" si="24"/>
        <v>0</v>
      </c>
      <c r="X121" s="475">
        <f t="shared" si="25"/>
        <v>0</v>
      </c>
      <c r="Y121" s="475">
        <v>0</v>
      </c>
      <c r="Z121" s="476">
        <v>0</v>
      </c>
      <c r="AA121" s="38">
        <f t="shared" si="26"/>
        <v>0</v>
      </c>
      <c r="AB121" s="692">
        <f t="shared" si="16"/>
        <v>0</v>
      </c>
      <c r="AC121" s="692">
        <f t="shared" si="17"/>
        <v>0</v>
      </c>
      <c r="AD121" s="692">
        <f t="shared" si="18"/>
        <v>0</v>
      </c>
      <c r="AE121" s="38"/>
      <c r="AF121" s="692">
        <f t="shared" si="19"/>
        <v>0</v>
      </c>
      <c r="AG121" s="692">
        <f t="shared" si="20"/>
        <v>0</v>
      </c>
      <c r="AH121" s="692">
        <f t="shared" si="21"/>
        <v>0</v>
      </c>
      <c r="AJ121" s="38">
        <f t="shared" si="27"/>
        <v>0</v>
      </c>
    </row>
    <row r="122" spans="1:36" s="232" customFormat="1">
      <c r="A122" s="283"/>
      <c r="B122" s="283" t="s">
        <v>110</v>
      </c>
      <c r="C122" s="667"/>
      <c r="D122" s="123" t="s">
        <v>807</v>
      </c>
      <c r="E122" s="679"/>
      <c r="F122" s="529">
        <f>VLOOKUP(D122,'Dec 2012 Revenue'!D:T,17,FALSE)</f>
        <v>0</v>
      </c>
      <c r="G122" s="680"/>
      <c r="H122" s="680"/>
      <c r="I122" s="755"/>
      <c r="J122" s="682">
        <f t="shared" si="22"/>
        <v>0</v>
      </c>
      <c r="K122" s="683"/>
      <c r="L122" s="684"/>
      <c r="M122" s="753"/>
      <c r="N122" s="683">
        <v>0</v>
      </c>
      <c r="O122" s="686"/>
      <c r="P122" s="683">
        <v>0</v>
      </c>
      <c r="Q122" s="687">
        <f t="shared" si="1"/>
        <v>0</v>
      </c>
      <c r="R122" s="688">
        <v>1322.02</v>
      </c>
      <c r="S122" s="693"/>
      <c r="T122" s="690">
        <f t="shared" si="28"/>
        <v>1322.02</v>
      </c>
      <c r="U122" s="683"/>
      <c r="V122" s="474">
        <f t="shared" si="23"/>
        <v>0</v>
      </c>
      <c r="W122" s="474">
        <f t="shared" si="24"/>
        <v>0</v>
      </c>
      <c r="X122" s="475">
        <f t="shared" si="25"/>
        <v>0</v>
      </c>
      <c r="Y122" s="475">
        <v>0</v>
      </c>
      <c r="Z122" s="476">
        <v>0</v>
      </c>
      <c r="AA122" s="38">
        <f t="shared" si="26"/>
        <v>0</v>
      </c>
      <c r="AB122" s="692">
        <f t="shared" si="16"/>
        <v>0</v>
      </c>
      <c r="AC122" s="692">
        <f t="shared" si="17"/>
        <v>0</v>
      </c>
      <c r="AD122" s="692">
        <f t="shared" si="18"/>
        <v>0</v>
      </c>
      <c r="AE122" s="38"/>
      <c r="AF122" s="692">
        <f t="shared" si="19"/>
        <v>0</v>
      </c>
      <c r="AG122" s="692">
        <f t="shared" si="20"/>
        <v>0</v>
      </c>
      <c r="AH122" s="692">
        <f t="shared" si="21"/>
        <v>0</v>
      </c>
      <c r="AJ122" s="38">
        <f t="shared" si="27"/>
        <v>0</v>
      </c>
    </row>
    <row r="123" spans="1:36" s="232" customFormat="1">
      <c r="A123" s="283"/>
      <c r="B123" s="283" t="s">
        <v>109</v>
      </c>
      <c r="C123" s="667"/>
      <c r="D123" s="123" t="s">
        <v>808</v>
      </c>
      <c r="E123" s="679"/>
      <c r="F123" s="529">
        <f>VLOOKUP(D123,'Dec 2012 Revenue'!D:T,17,FALSE)</f>
        <v>0</v>
      </c>
      <c r="G123" s="680"/>
      <c r="H123" s="680"/>
      <c r="I123" s="755"/>
      <c r="J123" s="682">
        <f t="shared" si="22"/>
        <v>0</v>
      </c>
      <c r="K123" s="683"/>
      <c r="L123" s="684"/>
      <c r="M123" s="753">
        <v>12000</v>
      </c>
      <c r="N123" s="683">
        <v>0</v>
      </c>
      <c r="O123" s="686"/>
      <c r="P123" s="683">
        <v>0</v>
      </c>
      <c r="Q123" s="687">
        <f t="shared" si="1"/>
        <v>12000</v>
      </c>
      <c r="R123" s="688">
        <f>12058.59+506.87+3992</f>
        <v>16557.46</v>
      </c>
      <c r="S123" s="693"/>
      <c r="T123" s="690">
        <f t="shared" si="28"/>
        <v>4557.4599999999991</v>
      </c>
      <c r="U123" s="683"/>
      <c r="V123" s="474">
        <f t="shared" si="23"/>
        <v>0</v>
      </c>
      <c r="W123" s="474">
        <f t="shared" si="24"/>
        <v>12000</v>
      </c>
      <c r="X123" s="475">
        <f t="shared" si="25"/>
        <v>0</v>
      </c>
      <c r="Y123" s="475">
        <v>0</v>
      </c>
      <c r="Z123" s="476">
        <v>0</v>
      </c>
      <c r="AA123" s="38">
        <f t="shared" si="26"/>
        <v>0</v>
      </c>
      <c r="AB123" s="692">
        <f t="shared" si="16"/>
        <v>0</v>
      </c>
      <c r="AC123" s="692">
        <f t="shared" si="17"/>
        <v>0</v>
      </c>
      <c r="AD123" s="692">
        <f t="shared" si="18"/>
        <v>0</v>
      </c>
      <c r="AE123" s="38"/>
      <c r="AF123" s="692">
        <f t="shared" si="19"/>
        <v>0</v>
      </c>
      <c r="AG123" s="692">
        <f t="shared" si="20"/>
        <v>12000</v>
      </c>
      <c r="AH123" s="692">
        <f t="shared" si="21"/>
        <v>0</v>
      </c>
      <c r="AJ123" s="38">
        <f t="shared" si="27"/>
        <v>12000</v>
      </c>
    </row>
    <row r="124" spans="1:36" s="232" customFormat="1">
      <c r="A124" s="403"/>
      <c r="B124" s="403" t="s">
        <v>110</v>
      </c>
      <c r="C124" s="666" t="s">
        <v>563</v>
      </c>
      <c r="D124" s="123" t="s">
        <v>867</v>
      </c>
      <c r="E124" s="679"/>
      <c r="F124" s="529">
        <f>VLOOKUP(D124,'Dec 2012 Revenue'!D:T,17,FALSE)</f>
        <v>0</v>
      </c>
      <c r="G124" s="680"/>
      <c r="H124" s="680"/>
      <c r="I124" s="755"/>
      <c r="J124" s="682">
        <f t="shared" si="22"/>
        <v>0</v>
      </c>
      <c r="K124" s="683"/>
      <c r="L124" s="684"/>
      <c r="M124" s="753"/>
      <c r="N124" s="683">
        <v>0</v>
      </c>
      <c r="O124" s="686"/>
      <c r="P124" s="683">
        <v>0</v>
      </c>
      <c r="Q124" s="687">
        <f t="shared" si="1"/>
        <v>0</v>
      </c>
      <c r="R124" s="688">
        <v>0</v>
      </c>
      <c r="S124" s="693"/>
      <c r="T124" s="690">
        <f t="shared" si="28"/>
        <v>0</v>
      </c>
      <c r="U124" s="683"/>
      <c r="V124" s="474">
        <f t="shared" si="23"/>
        <v>0</v>
      </c>
      <c r="W124" s="474">
        <f t="shared" si="24"/>
        <v>0</v>
      </c>
      <c r="X124" s="475">
        <f t="shared" si="25"/>
        <v>0</v>
      </c>
      <c r="Y124" s="475">
        <v>0</v>
      </c>
      <c r="Z124" s="476">
        <v>0</v>
      </c>
      <c r="AA124" s="38">
        <f t="shared" si="26"/>
        <v>0</v>
      </c>
      <c r="AB124" s="692">
        <f t="shared" si="16"/>
        <v>0</v>
      </c>
      <c r="AC124" s="692">
        <f t="shared" si="17"/>
        <v>0</v>
      </c>
      <c r="AD124" s="692">
        <f t="shared" si="18"/>
        <v>0</v>
      </c>
      <c r="AE124" s="38"/>
      <c r="AF124" s="692">
        <f t="shared" si="19"/>
        <v>0</v>
      </c>
      <c r="AG124" s="692">
        <f t="shared" si="20"/>
        <v>0</v>
      </c>
      <c r="AH124" s="692">
        <f t="shared" si="21"/>
        <v>0</v>
      </c>
      <c r="AJ124" s="38">
        <f t="shared" si="27"/>
        <v>0</v>
      </c>
    </row>
    <row r="125" spans="1:36" s="232" customFormat="1">
      <c r="A125" s="283"/>
      <c r="B125" s="283" t="s">
        <v>110</v>
      </c>
      <c r="C125" s="667"/>
      <c r="D125" s="68" t="s">
        <v>488</v>
      </c>
      <c r="E125" s="679"/>
      <c r="F125" s="529">
        <f>VLOOKUP(D125,'Dec 2012 Revenue'!D:T,17,FALSE)</f>
        <v>0</v>
      </c>
      <c r="G125" s="680"/>
      <c r="H125" s="680"/>
      <c r="I125" s="755"/>
      <c r="J125" s="682">
        <f t="shared" si="22"/>
        <v>0</v>
      </c>
      <c r="K125" s="683"/>
      <c r="L125" s="684"/>
      <c r="M125" s="753"/>
      <c r="N125" s="683">
        <v>0</v>
      </c>
      <c r="O125" s="686"/>
      <c r="P125" s="683">
        <v>0</v>
      </c>
      <c r="Q125" s="687">
        <f t="shared" si="1"/>
        <v>0</v>
      </c>
      <c r="R125" s="688">
        <v>0</v>
      </c>
      <c r="S125" s="693"/>
      <c r="T125" s="690">
        <f t="shared" si="28"/>
        <v>0</v>
      </c>
      <c r="U125" s="683"/>
      <c r="V125" s="474">
        <f t="shared" si="23"/>
        <v>0</v>
      </c>
      <c r="W125" s="474">
        <f t="shared" si="24"/>
        <v>0</v>
      </c>
      <c r="X125" s="475">
        <f t="shared" si="25"/>
        <v>0</v>
      </c>
      <c r="Y125" s="475">
        <v>0</v>
      </c>
      <c r="Z125" s="476">
        <v>0</v>
      </c>
      <c r="AA125" s="38">
        <f t="shared" si="26"/>
        <v>0</v>
      </c>
      <c r="AB125" s="692">
        <f t="shared" si="16"/>
        <v>0</v>
      </c>
      <c r="AC125" s="692">
        <f t="shared" si="17"/>
        <v>0</v>
      </c>
      <c r="AD125" s="692">
        <f t="shared" si="18"/>
        <v>0</v>
      </c>
      <c r="AE125" s="38"/>
      <c r="AF125" s="692">
        <f t="shared" si="19"/>
        <v>0</v>
      </c>
      <c r="AG125" s="692">
        <f t="shared" si="20"/>
        <v>0</v>
      </c>
      <c r="AH125" s="692">
        <f t="shared" si="21"/>
        <v>0</v>
      </c>
      <c r="AJ125" s="38">
        <f t="shared" si="27"/>
        <v>0</v>
      </c>
    </row>
    <row r="126" spans="1:36" s="232" customFormat="1">
      <c r="A126" s="283"/>
      <c r="B126" s="283" t="s">
        <v>110</v>
      </c>
      <c r="C126" s="667" t="s">
        <v>555</v>
      </c>
      <c r="D126" s="123" t="s">
        <v>192</v>
      </c>
      <c r="E126" s="679"/>
      <c r="F126" s="529">
        <f>VLOOKUP(D126,'Dec 2012 Revenue'!D:T,17,FALSE)</f>
        <v>0</v>
      </c>
      <c r="G126" s="680"/>
      <c r="H126" s="680"/>
      <c r="I126" s="770">
        <v>4055.66</v>
      </c>
      <c r="J126" s="682">
        <f t="shared" si="22"/>
        <v>4055.66</v>
      </c>
      <c r="K126" s="683"/>
      <c r="L126" s="684"/>
      <c r="M126" s="753"/>
      <c r="N126" s="683">
        <v>0</v>
      </c>
      <c r="O126" s="686"/>
      <c r="P126" s="683">
        <v>0</v>
      </c>
      <c r="Q126" s="687">
        <f t="shared" si="1"/>
        <v>0</v>
      </c>
      <c r="R126" s="688">
        <v>0</v>
      </c>
      <c r="S126" s="693"/>
      <c r="T126" s="690">
        <f t="shared" si="28"/>
        <v>0</v>
      </c>
      <c r="U126" s="683"/>
      <c r="V126" s="474">
        <f t="shared" si="23"/>
        <v>0</v>
      </c>
      <c r="W126" s="474">
        <f t="shared" si="24"/>
        <v>0</v>
      </c>
      <c r="X126" s="475">
        <f t="shared" si="25"/>
        <v>0</v>
      </c>
      <c r="Y126" s="475">
        <v>0</v>
      </c>
      <c r="Z126" s="476">
        <v>0</v>
      </c>
      <c r="AA126" s="38">
        <f t="shared" si="26"/>
        <v>0</v>
      </c>
      <c r="AB126" s="692">
        <f t="shared" si="16"/>
        <v>4055.66</v>
      </c>
      <c r="AC126" s="692">
        <f t="shared" si="17"/>
        <v>0</v>
      </c>
      <c r="AD126" s="692">
        <f t="shared" si="18"/>
        <v>0</v>
      </c>
      <c r="AE126" s="38"/>
      <c r="AF126" s="692">
        <f t="shared" si="19"/>
        <v>0</v>
      </c>
      <c r="AG126" s="692">
        <f t="shared" si="20"/>
        <v>0</v>
      </c>
      <c r="AH126" s="692">
        <f t="shared" si="21"/>
        <v>0</v>
      </c>
      <c r="AJ126" s="38">
        <f t="shared" si="27"/>
        <v>4055.66</v>
      </c>
    </row>
    <row r="127" spans="1:36" s="232" customFormat="1">
      <c r="A127" s="283"/>
      <c r="B127" s="283" t="s">
        <v>110</v>
      </c>
      <c r="C127" s="667" t="s">
        <v>555</v>
      </c>
      <c r="D127" s="123" t="s">
        <v>193</v>
      </c>
      <c r="E127" s="679"/>
      <c r="F127" s="529">
        <f>VLOOKUP(D127,'Dec 2012 Revenue'!D:T,17,FALSE)</f>
        <v>0</v>
      </c>
      <c r="G127" s="680"/>
      <c r="H127" s="680"/>
      <c r="I127" s="770">
        <v>367.14</v>
      </c>
      <c r="J127" s="682">
        <f t="shared" si="22"/>
        <v>367.14</v>
      </c>
      <c r="K127" s="683"/>
      <c r="L127" s="684"/>
      <c r="M127" s="753"/>
      <c r="N127" s="683">
        <v>0</v>
      </c>
      <c r="O127" s="686"/>
      <c r="P127" s="683">
        <v>0</v>
      </c>
      <c r="Q127" s="687">
        <f t="shared" si="1"/>
        <v>0</v>
      </c>
      <c r="R127" s="688">
        <v>0</v>
      </c>
      <c r="S127" s="693"/>
      <c r="T127" s="690">
        <f t="shared" si="28"/>
        <v>0</v>
      </c>
      <c r="U127" s="683"/>
      <c r="V127" s="474">
        <f t="shared" si="23"/>
        <v>0</v>
      </c>
      <c r="W127" s="474">
        <f t="shared" si="24"/>
        <v>0</v>
      </c>
      <c r="X127" s="475">
        <f t="shared" si="25"/>
        <v>0</v>
      </c>
      <c r="Y127" s="475">
        <v>0</v>
      </c>
      <c r="Z127" s="476">
        <v>0</v>
      </c>
      <c r="AA127" s="38">
        <f t="shared" si="26"/>
        <v>0</v>
      </c>
      <c r="AB127" s="692">
        <f t="shared" si="16"/>
        <v>367.14</v>
      </c>
      <c r="AC127" s="692">
        <f t="shared" si="17"/>
        <v>0</v>
      </c>
      <c r="AD127" s="692">
        <f t="shared" si="18"/>
        <v>0</v>
      </c>
      <c r="AE127" s="38"/>
      <c r="AF127" s="692">
        <f t="shared" si="19"/>
        <v>0</v>
      </c>
      <c r="AG127" s="692">
        <f t="shared" si="20"/>
        <v>0</v>
      </c>
      <c r="AH127" s="692">
        <f t="shared" si="21"/>
        <v>0</v>
      </c>
      <c r="AJ127" s="38">
        <f t="shared" si="27"/>
        <v>367.14</v>
      </c>
    </row>
    <row r="128" spans="1:36" s="232" customFormat="1">
      <c r="A128" s="283"/>
      <c r="B128" s="283" t="s">
        <v>110</v>
      </c>
      <c r="C128" s="667" t="s">
        <v>555</v>
      </c>
      <c r="D128" s="123" t="s">
        <v>194</v>
      </c>
      <c r="E128" s="679"/>
      <c r="F128" s="529">
        <f>VLOOKUP(D128,'Dec 2012 Revenue'!D:T,17,FALSE)</f>
        <v>0</v>
      </c>
      <c r="G128" s="680"/>
      <c r="H128" s="680"/>
      <c r="I128" s="770">
        <v>51.56</v>
      </c>
      <c r="J128" s="682">
        <f t="shared" si="22"/>
        <v>51.56</v>
      </c>
      <c r="K128" s="683"/>
      <c r="L128" s="684"/>
      <c r="M128" s="753"/>
      <c r="N128" s="683">
        <v>0</v>
      </c>
      <c r="O128" s="686"/>
      <c r="P128" s="683">
        <v>0</v>
      </c>
      <c r="Q128" s="687">
        <f t="shared" si="1"/>
        <v>0</v>
      </c>
      <c r="R128" s="688">
        <v>0</v>
      </c>
      <c r="S128" s="693"/>
      <c r="T128" s="690">
        <f t="shared" si="28"/>
        <v>0</v>
      </c>
      <c r="U128" s="683"/>
      <c r="V128" s="474">
        <f t="shared" si="23"/>
        <v>0</v>
      </c>
      <c r="W128" s="474">
        <f t="shared" si="24"/>
        <v>0</v>
      </c>
      <c r="X128" s="475">
        <f t="shared" si="25"/>
        <v>0</v>
      </c>
      <c r="Y128" s="475">
        <v>0</v>
      </c>
      <c r="Z128" s="476">
        <v>0</v>
      </c>
      <c r="AA128" s="38">
        <f t="shared" si="26"/>
        <v>0</v>
      </c>
      <c r="AB128" s="692">
        <f t="shared" si="16"/>
        <v>51.56</v>
      </c>
      <c r="AC128" s="692">
        <f t="shared" si="17"/>
        <v>0</v>
      </c>
      <c r="AD128" s="692">
        <f t="shared" si="18"/>
        <v>0</v>
      </c>
      <c r="AE128" s="38"/>
      <c r="AF128" s="692">
        <f t="shared" si="19"/>
        <v>0</v>
      </c>
      <c r="AG128" s="692">
        <f t="shared" si="20"/>
        <v>0</v>
      </c>
      <c r="AH128" s="692">
        <f t="shared" si="21"/>
        <v>0</v>
      </c>
      <c r="AJ128" s="38">
        <f t="shared" si="27"/>
        <v>51.56</v>
      </c>
    </row>
    <row r="129" spans="1:36" s="232" customFormat="1">
      <c r="A129" s="283"/>
      <c r="B129" s="283" t="s">
        <v>110</v>
      </c>
      <c r="C129" s="667" t="s">
        <v>555</v>
      </c>
      <c r="D129" s="123" t="s">
        <v>195</v>
      </c>
      <c r="E129" s="679"/>
      <c r="F129" s="529">
        <f>VLOOKUP(D129,'Dec 2012 Revenue'!D:T,17,FALSE)</f>
        <v>0</v>
      </c>
      <c r="G129" s="680"/>
      <c r="H129" s="680"/>
      <c r="I129" s="770">
        <v>15.82</v>
      </c>
      <c r="J129" s="682">
        <f t="shared" si="22"/>
        <v>15.82</v>
      </c>
      <c r="K129" s="683"/>
      <c r="L129" s="684"/>
      <c r="M129" s="753"/>
      <c r="N129" s="683">
        <v>0</v>
      </c>
      <c r="O129" s="686"/>
      <c r="P129" s="683">
        <v>0</v>
      </c>
      <c r="Q129" s="687">
        <f t="shared" si="1"/>
        <v>0</v>
      </c>
      <c r="R129" s="688">
        <v>0</v>
      </c>
      <c r="S129" s="693"/>
      <c r="T129" s="690">
        <f t="shared" si="28"/>
        <v>0</v>
      </c>
      <c r="U129" s="683"/>
      <c r="V129" s="474">
        <f t="shared" si="23"/>
        <v>0</v>
      </c>
      <c r="W129" s="474">
        <f t="shared" si="24"/>
        <v>0</v>
      </c>
      <c r="X129" s="475">
        <f t="shared" si="25"/>
        <v>0</v>
      </c>
      <c r="Y129" s="475">
        <v>0</v>
      </c>
      <c r="Z129" s="476">
        <v>0</v>
      </c>
      <c r="AA129" s="38">
        <f t="shared" si="26"/>
        <v>0</v>
      </c>
      <c r="AB129" s="692">
        <f t="shared" si="16"/>
        <v>15.82</v>
      </c>
      <c r="AC129" s="692">
        <f t="shared" si="17"/>
        <v>0</v>
      </c>
      <c r="AD129" s="692">
        <f t="shared" si="18"/>
        <v>0</v>
      </c>
      <c r="AE129" s="38"/>
      <c r="AF129" s="692">
        <f t="shared" si="19"/>
        <v>0</v>
      </c>
      <c r="AG129" s="692">
        <f t="shared" si="20"/>
        <v>0</v>
      </c>
      <c r="AH129" s="692">
        <f t="shared" si="21"/>
        <v>0</v>
      </c>
      <c r="AJ129" s="38">
        <f t="shared" si="27"/>
        <v>15.82</v>
      </c>
    </row>
    <row r="130" spans="1:36" s="232" customFormat="1">
      <c r="A130" s="283"/>
      <c r="B130" s="283" t="s">
        <v>110</v>
      </c>
      <c r="C130" s="667" t="s">
        <v>555</v>
      </c>
      <c r="D130" s="123" t="s">
        <v>196</v>
      </c>
      <c r="E130" s="679"/>
      <c r="F130" s="529">
        <f>VLOOKUP(D130,'Dec 2012 Revenue'!D:T,17,FALSE)</f>
        <v>0</v>
      </c>
      <c r="G130" s="680"/>
      <c r="H130" s="680"/>
      <c r="I130" s="770">
        <v>101.48</v>
      </c>
      <c r="J130" s="682">
        <f t="shared" si="22"/>
        <v>101.48</v>
      </c>
      <c r="K130" s="683"/>
      <c r="L130" s="684"/>
      <c r="M130" s="753"/>
      <c r="N130" s="683">
        <v>0</v>
      </c>
      <c r="O130" s="686"/>
      <c r="P130" s="683">
        <v>0</v>
      </c>
      <c r="Q130" s="687">
        <f t="shared" si="1"/>
        <v>0</v>
      </c>
      <c r="R130" s="688">
        <v>0</v>
      </c>
      <c r="S130" s="693"/>
      <c r="T130" s="690">
        <f t="shared" si="28"/>
        <v>0</v>
      </c>
      <c r="U130" s="683"/>
      <c r="V130" s="474">
        <f t="shared" si="23"/>
        <v>0</v>
      </c>
      <c r="W130" s="474">
        <f t="shared" si="24"/>
        <v>0</v>
      </c>
      <c r="X130" s="475">
        <f t="shared" si="25"/>
        <v>0</v>
      </c>
      <c r="Y130" s="475">
        <v>0</v>
      </c>
      <c r="Z130" s="476">
        <v>0</v>
      </c>
      <c r="AA130" s="38">
        <f t="shared" si="26"/>
        <v>0</v>
      </c>
      <c r="AB130" s="692">
        <f t="shared" si="16"/>
        <v>101.48</v>
      </c>
      <c r="AC130" s="692">
        <f t="shared" si="17"/>
        <v>0</v>
      </c>
      <c r="AD130" s="692">
        <f t="shared" si="18"/>
        <v>0</v>
      </c>
      <c r="AE130" s="38"/>
      <c r="AF130" s="692">
        <f t="shared" si="19"/>
        <v>0</v>
      </c>
      <c r="AG130" s="692">
        <f t="shared" si="20"/>
        <v>0</v>
      </c>
      <c r="AH130" s="692">
        <f t="shared" si="21"/>
        <v>0</v>
      </c>
      <c r="AJ130" s="38">
        <f t="shared" si="27"/>
        <v>101.48</v>
      </c>
    </row>
    <row r="131" spans="1:36" s="232" customFormat="1">
      <c r="A131" s="283"/>
      <c r="B131" s="283" t="s">
        <v>110</v>
      </c>
      <c r="C131" s="667" t="s">
        <v>555</v>
      </c>
      <c r="D131" s="123" t="s">
        <v>197</v>
      </c>
      <c r="E131" s="679"/>
      <c r="F131" s="529">
        <f>VLOOKUP(D131,'Dec 2012 Revenue'!D:T,17,FALSE)</f>
        <v>0</v>
      </c>
      <c r="G131" s="680"/>
      <c r="H131" s="680"/>
      <c r="I131" s="770">
        <v>4.87</v>
      </c>
      <c r="J131" s="682">
        <f t="shared" si="22"/>
        <v>4.87</v>
      </c>
      <c r="K131" s="683"/>
      <c r="L131" s="684"/>
      <c r="M131" s="753"/>
      <c r="N131" s="683">
        <v>0</v>
      </c>
      <c r="O131" s="686"/>
      <c r="P131" s="683">
        <v>0</v>
      </c>
      <c r="Q131" s="687">
        <f t="shared" si="1"/>
        <v>0</v>
      </c>
      <c r="R131" s="688">
        <v>0</v>
      </c>
      <c r="S131" s="693"/>
      <c r="T131" s="690">
        <f t="shared" si="28"/>
        <v>0</v>
      </c>
      <c r="U131" s="683"/>
      <c r="V131" s="474">
        <f t="shared" si="23"/>
        <v>0</v>
      </c>
      <c r="W131" s="474">
        <f t="shared" si="24"/>
        <v>0</v>
      </c>
      <c r="X131" s="475">
        <f t="shared" si="25"/>
        <v>0</v>
      </c>
      <c r="Y131" s="475">
        <v>0</v>
      </c>
      <c r="Z131" s="476">
        <v>0</v>
      </c>
      <c r="AA131" s="38">
        <f t="shared" si="26"/>
        <v>0</v>
      </c>
      <c r="AB131" s="692">
        <f t="shared" si="16"/>
        <v>4.87</v>
      </c>
      <c r="AC131" s="692">
        <f t="shared" si="17"/>
        <v>0</v>
      </c>
      <c r="AD131" s="692">
        <f t="shared" si="18"/>
        <v>0</v>
      </c>
      <c r="AE131" s="38"/>
      <c r="AF131" s="692">
        <f t="shared" si="19"/>
        <v>0</v>
      </c>
      <c r="AG131" s="692">
        <f t="shared" si="20"/>
        <v>0</v>
      </c>
      <c r="AH131" s="692">
        <f t="shared" si="21"/>
        <v>0</v>
      </c>
      <c r="AJ131" s="38">
        <f t="shared" si="27"/>
        <v>4.87</v>
      </c>
    </row>
    <row r="132" spans="1:36" s="232" customFormat="1">
      <c r="A132" s="283"/>
      <c r="B132" s="283" t="s">
        <v>110</v>
      </c>
      <c r="C132" s="667" t="s">
        <v>555</v>
      </c>
      <c r="D132" s="123" t="s">
        <v>440</v>
      </c>
      <c r="E132" s="679"/>
      <c r="F132" s="529">
        <f>VLOOKUP(D132,'Dec 2012 Revenue'!D:T,17,FALSE)</f>
        <v>0</v>
      </c>
      <c r="G132" s="680"/>
      <c r="H132" s="680"/>
      <c r="I132" s="770">
        <f>1033.08+245.2+127.37</f>
        <v>1405.65</v>
      </c>
      <c r="J132" s="682">
        <f t="shared" si="22"/>
        <v>1405.65</v>
      </c>
      <c r="K132" s="683"/>
      <c r="L132" s="684"/>
      <c r="M132" s="753"/>
      <c r="N132" s="683">
        <v>0</v>
      </c>
      <c r="O132" s="686"/>
      <c r="P132" s="683">
        <v>0</v>
      </c>
      <c r="Q132" s="687">
        <f t="shared" si="1"/>
        <v>0</v>
      </c>
      <c r="R132" s="688">
        <v>0</v>
      </c>
      <c r="S132" s="693"/>
      <c r="T132" s="690">
        <f t="shared" si="28"/>
        <v>0</v>
      </c>
      <c r="U132" s="683"/>
      <c r="V132" s="474">
        <f t="shared" si="23"/>
        <v>0</v>
      </c>
      <c r="W132" s="474">
        <f t="shared" si="24"/>
        <v>0</v>
      </c>
      <c r="X132" s="475">
        <f t="shared" si="25"/>
        <v>0</v>
      </c>
      <c r="Y132" s="475">
        <v>0</v>
      </c>
      <c r="Z132" s="476">
        <v>0</v>
      </c>
      <c r="AA132" s="38">
        <f t="shared" si="26"/>
        <v>0</v>
      </c>
      <c r="AB132" s="692">
        <f t="shared" si="16"/>
        <v>1405.65</v>
      </c>
      <c r="AC132" s="692">
        <f t="shared" si="17"/>
        <v>0</v>
      </c>
      <c r="AD132" s="692">
        <f t="shared" si="18"/>
        <v>0</v>
      </c>
      <c r="AE132" s="38"/>
      <c r="AF132" s="692">
        <f t="shared" si="19"/>
        <v>0</v>
      </c>
      <c r="AG132" s="692">
        <f t="shared" si="20"/>
        <v>0</v>
      </c>
      <c r="AH132" s="692">
        <f t="shared" si="21"/>
        <v>0</v>
      </c>
      <c r="AJ132" s="38">
        <f t="shared" si="27"/>
        <v>1405.65</v>
      </c>
    </row>
    <row r="133" spans="1:36" s="232" customFormat="1">
      <c r="A133" s="283"/>
      <c r="B133" s="283" t="s">
        <v>110</v>
      </c>
      <c r="C133" s="667" t="s">
        <v>555</v>
      </c>
      <c r="D133" s="123" t="s">
        <v>481</v>
      </c>
      <c r="E133" s="679"/>
      <c r="F133" s="529">
        <f>VLOOKUP(D133,'Dec 2012 Revenue'!D:T,17,FALSE)</f>
        <v>0</v>
      </c>
      <c r="G133" s="680"/>
      <c r="H133" s="680"/>
      <c r="I133" s="770">
        <v>387.93</v>
      </c>
      <c r="J133" s="682">
        <f t="shared" si="22"/>
        <v>387.93</v>
      </c>
      <c r="K133" s="683"/>
      <c r="L133" s="684"/>
      <c r="M133" s="753"/>
      <c r="N133" s="683">
        <v>0</v>
      </c>
      <c r="O133" s="686"/>
      <c r="P133" s="683">
        <v>0</v>
      </c>
      <c r="Q133" s="687">
        <f t="shared" si="1"/>
        <v>0</v>
      </c>
      <c r="R133" s="688">
        <v>0</v>
      </c>
      <c r="S133" s="693"/>
      <c r="T133" s="690">
        <f t="shared" si="28"/>
        <v>0</v>
      </c>
      <c r="U133" s="683"/>
      <c r="V133" s="474">
        <f t="shared" si="23"/>
        <v>0</v>
      </c>
      <c r="W133" s="474">
        <f t="shared" si="24"/>
        <v>0</v>
      </c>
      <c r="X133" s="475">
        <f t="shared" si="25"/>
        <v>0</v>
      </c>
      <c r="Y133" s="475">
        <v>0</v>
      </c>
      <c r="Z133" s="476">
        <v>0</v>
      </c>
      <c r="AA133" s="38">
        <f t="shared" si="26"/>
        <v>0</v>
      </c>
      <c r="AB133" s="692">
        <f t="shared" si="16"/>
        <v>387.93</v>
      </c>
      <c r="AC133" s="692">
        <f t="shared" si="17"/>
        <v>0</v>
      </c>
      <c r="AD133" s="692">
        <f t="shared" si="18"/>
        <v>0</v>
      </c>
      <c r="AE133" s="38"/>
      <c r="AF133" s="692">
        <f t="shared" si="19"/>
        <v>0</v>
      </c>
      <c r="AG133" s="692">
        <f t="shared" si="20"/>
        <v>0</v>
      </c>
      <c r="AH133" s="692">
        <f t="shared" si="21"/>
        <v>0</v>
      </c>
      <c r="AJ133" s="38">
        <f t="shared" si="27"/>
        <v>387.93</v>
      </c>
    </row>
    <row r="134" spans="1:36" s="232" customFormat="1">
      <c r="A134" s="283"/>
      <c r="B134" s="283" t="s">
        <v>109</v>
      </c>
      <c r="C134" s="667" t="s">
        <v>555</v>
      </c>
      <c r="D134" s="123" t="s">
        <v>248</v>
      </c>
      <c r="E134" s="679"/>
      <c r="F134" s="529">
        <f>VLOOKUP(D134,'Dec 2012 Revenue'!D:T,17,FALSE)</f>
        <v>0</v>
      </c>
      <c r="G134" s="680"/>
      <c r="H134" s="680"/>
      <c r="I134" s="755"/>
      <c r="J134" s="682">
        <f t="shared" si="22"/>
        <v>0</v>
      </c>
      <c r="K134" s="683"/>
      <c r="L134" s="684"/>
      <c r="M134" s="753"/>
      <c r="N134" s="683">
        <v>0</v>
      </c>
      <c r="O134" s="686"/>
      <c r="P134" s="683">
        <v>0</v>
      </c>
      <c r="Q134" s="687">
        <f t="shared" si="1"/>
        <v>0</v>
      </c>
      <c r="R134" s="688">
        <v>0</v>
      </c>
      <c r="S134" s="693"/>
      <c r="T134" s="690">
        <f t="shared" si="28"/>
        <v>0</v>
      </c>
      <c r="U134" s="683"/>
      <c r="V134" s="474">
        <f t="shared" si="23"/>
        <v>0</v>
      </c>
      <c r="W134" s="474">
        <f t="shared" si="24"/>
        <v>0</v>
      </c>
      <c r="X134" s="475">
        <f t="shared" si="25"/>
        <v>0</v>
      </c>
      <c r="Y134" s="475">
        <v>0</v>
      </c>
      <c r="Z134" s="476">
        <v>0</v>
      </c>
      <c r="AA134" s="38">
        <f t="shared" si="26"/>
        <v>0</v>
      </c>
      <c r="AB134" s="692">
        <f t="shared" si="16"/>
        <v>0</v>
      </c>
      <c r="AC134" s="692">
        <f t="shared" si="17"/>
        <v>0</v>
      </c>
      <c r="AD134" s="692">
        <f t="shared" si="18"/>
        <v>0</v>
      </c>
      <c r="AE134" s="38"/>
      <c r="AF134" s="692">
        <f t="shared" si="19"/>
        <v>0</v>
      </c>
      <c r="AG134" s="692">
        <f t="shared" si="20"/>
        <v>0</v>
      </c>
      <c r="AH134" s="692">
        <f t="shared" si="21"/>
        <v>0</v>
      </c>
      <c r="AJ134" s="38">
        <f t="shared" si="27"/>
        <v>0</v>
      </c>
    </row>
    <row r="135" spans="1:36" s="232" customFormat="1">
      <c r="A135" s="283"/>
      <c r="B135" s="20" t="s">
        <v>109</v>
      </c>
      <c r="C135" s="667"/>
      <c r="D135" s="68" t="s">
        <v>465</v>
      </c>
      <c r="E135" s="679">
        <v>5442.49</v>
      </c>
      <c r="F135" s="529">
        <f>VLOOKUP(D135,'Dec 2012 Revenue'!D:T,17,FALSE)</f>
        <v>-15000</v>
      </c>
      <c r="G135" s="680"/>
      <c r="H135" s="680"/>
      <c r="I135" s="755"/>
      <c r="J135" s="682">
        <f t="shared" si="22"/>
        <v>-9557.51</v>
      </c>
      <c r="K135" s="683"/>
      <c r="L135" s="684"/>
      <c r="M135" s="753">
        <v>17000</v>
      </c>
      <c r="N135" s="683">
        <v>0</v>
      </c>
      <c r="O135" s="686"/>
      <c r="P135" s="683">
        <v>0</v>
      </c>
      <c r="Q135" s="687">
        <f t="shared" si="1"/>
        <v>17000</v>
      </c>
      <c r="R135" s="688">
        <v>0</v>
      </c>
      <c r="S135" s="693"/>
      <c r="T135" s="690">
        <f t="shared" si="28"/>
        <v>-17000</v>
      </c>
      <c r="U135" s="683"/>
      <c r="V135" s="474">
        <f t="shared" si="23"/>
        <v>0</v>
      </c>
      <c r="W135" s="474">
        <f t="shared" si="24"/>
        <v>17000</v>
      </c>
      <c r="X135" s="475">
        <f t="shared" si="25"/>
        <v>0</v>
      </c>
      <c r="Y135" s="475">
        <v>0</v>
      </c>
      <c r="Z135" s="476">
        <v>0</v>
      </c>
      <c r="AA135" s="38">
        <f t="shared" si="26"/>
        <v>0</v>
      </c>
      <c r="AB135" s="692">
        <f t="shared" si="16"/>
        <v>0</v>
      </c>
      <c r="AC135" s="692">
        <f t="shared" si="17"/>
        <v>-9557.51</v>
      </c>
      <c r="AD135" s="692">
        <f t="shared" si="18"/>
        <v>0</v>
      </c>
      <c r="AE135" s="38"/>
      <c r="AF135" s="692">
        <f t="shared" si="19"/>
        <v>0</v>
      </c>
      <c r="AG135" s="692">
        <f t="shared" si="20"/>
        <v>17000</v>
      </c>
      <c r="AH135" s="692">
        <f t="shared" si="21"/>
        <v>0</v>
      </c>
      <c r="AJ135" s="38">
        <f t="shared" si="27"/>
        <v>7442.49</v>
      </c>
    </row>
    <row r="136" spans="1:36">
      <c r="A136" s="21"/>
      <c r="B136" s="21" t="s">
        <v>110</v>
      </c>
      <c r="C136" s="666" t="s">
        <v>556</v>
      </c>
      <c r="D136" s="68" t="s">
        <v>261</v>
      </c>
      <c r="E136" s="679"/>
      <c r="F136" s="529">
        <f>VLOOKUP(D136,'Dec 2012 Revenue'!D:T,17,FALSE)</f>
        <v>-100000</v>
      </c>
      <c r="G136" s="680"/>
      <c r="H136" s="680"/>
      <c r="I136" s="755"/>
      <c r="J136" s="682">
        <f t="shared" si="22"/>
        <v>-100000</v>
      </c>
      <c r="K136" s="683"/>
      <c r="L136" s="684"/>
      <c r="M136" s="753">
        <v>200000</v>
      </c>
      <c r="N136" s="683">
        <v>0</v>
      </c>
      <c r="O136" s="686"/>
      <c r="P136" s="683">
        <v>0</v>
      </c>
      <c r="Q136" s="687">
        <f t="shared" si="1"/>
        <v>200000</v>
      </c>
      <c r="R136" s="688">
        <f>119585.49-R137</f>
        <v>112316.59000000001</v>
      </c>
      <c r="S136" s="693"/>
      <c r="T136" s="690">
        <f t="shared" si="28"/>
        <v>-87683.409999999989</v>
      </c>
      <c r="U136" s="683"/>
      <c r="V136" s="474">
        <f t="shared" si="23"/>
        <v>200000</v>
      </c>
      <c r="W136" s="474">
        <f t="shared" si="24"/>
        <v>0</v>
      </c>
      <c r="X136" s="475">
        <f t="shared" si="25"/>
        <v>0</v>
      </c>
      <c r="Y136" s="475">
        <v>0</v>
      </c>
      <c r="Z136" s="476">
        <v>0</v>
      </c>
      <c r="AA136" s="38">
        <f t="shared" si="26"/>
        <v>0</v>
      </c>
      <c r="AB136" s="692">
        <f t="shared" si="16"/>
        <v>-100000</v>
      </c>
      <c r="AC136" s="692">
        <f t="shared" si="17"/>
        <v>0</v>
      </c>
      <c r="AD136" s="692">
        <f t="shared" si="18"/>
        <v>0</v>
      </c>
      <c r="AE136" s="38"/>
      <c r="AF136" s="692">
        <f t="shared" si="19"/>
        <v>200000</v>
      </c>
      <c r="AG136" s="692">
        <f t="shared" si="20"/>
        <v>0</v>
      </c>
      <c r="AH136" s="692">
        <f t="shared" si="21"/>
        <v>0</v>
      </c>
      <c r="AJ136" s="38">
        <f t="shared" si="27"/>
        <v>100000</v>
      </c>
    </row>
    <row r="137" spans="1:36" s="269" customFormat="1">
      <c r="A137" s="21"/>
      <c r="B137" s="21" t="s">
        <v>110</v>
      </c>
      <c r="C137" s="666" t="s">
        <v>556</v>
      </c>
      <c r="D137" s="68" t="s">
        <v>262</v>
      </c>
      <c r="E137" s="679"/>
      <c r="F137" s="529">
        <f>VLOOKUP(D137,'Dec 2012 Revenue'!D:T,17,FALSE)</f>
        <v>-10000</v>
      </c>
      <c r="G137" s="680"/>
      <c r="H137" s="680"/>
      <c r="I137" s="755"/>
      <c r="J137" s="682">
        <f t="shared" si="22"/>
        <v>-10000</v>
      </c>
      <c r="K137" s="683"/>
      <c r="L137" s="684"/>
      <c r="M137" s="753">
        <v>20000</v>
      </c>
      <c r="N137" s="683">
        <v>0</v>
      </c>
      <c r="O137" s="686"/>
      <c r="P137" s="683">
        <v>0</v>
      </c>
      <c r="Q137" s="687">
        <f t="shared" si="1"/>
        <v>20000</v>
      </c>
      <c r="R137" s="688">
        <v>7268.9</v>
      </c>
      <c r="S137" s="693"/>
      <c r="T137" s="690">
        <f t="shared" si="28"/>
        <v>-12731.1</v>
      </c>
      <c r="U137" s="683"/>
      <c r="V137" s="474">
        <f t="shared" si="23"/>
        <v>20000</v>
      </c>
      <c r="W137" s="474">
        <f t="shared" si="24"/>
        <v>0</v>
      </c>
      <c r="X137" s="475">
        <f t="shared" si="25"/>
        <v>0</v>
      </c>
      <c r="Y137" s="475">
        <v>0</v>
      </c>
      <c r="Z137" s="476">
        <v>0</v>
      </c>
      <c r="AA137" s="38">
        <f t="shared" si="26"/>
        <v>0</v>
      </c>
      <c r="AB137" s="692">
        <f t="shared" si="16"/>
        <v>-10000</v>
      </c>
      <c r="AC137" s="692">
        <f t="shared" si="17"/>
        <v>0</v>
      </c>
      <c r="AD137" s="692">
        <f t="shared" si="18"/>
        <v>0</v>
      </c>
      <c r="AE137" s="38"/>
      <c r="AF137" s="692">
        <f t="shared" si="19"/>
        <v>20000</v>
      </c>
      <c r="AG137" s="692">
        <f t="shared" si="20"/>
        <v>0</v>
      </c>
      <c r="AH137" s="692">
        <f t="shared" si="21"/>
        <v>0</v>
      </c>
      <c r="AJ137" s="38">
        <f t="shared" si="27"/>
        <v>10000</v>
      </c>
    </row>
    <row r="138" spans="1:36" s="269" customFormat="1">
      <c r="A138" s="21"/>
      <c r="B138" s="21" t="s">
        <v>114</v>
      </c>
      <c r="C138" s="675" t="s">
        <v>619</v>
      </c>
      <c r="D138" s="68" t="s">
        <v>626</v>
      </c>
      <c r="E138" s="679"/>
      <c r="F138" s="529">
        <f>VLOOKUP(D138,'Dec 2012 Revenue'!D:T,17,FALSE)</f>
        <v>0</v>
      </c>
      <c r="G138" s="680"/>
      <c r="H138" s="680"/>
      <c r="I138" s="770">
        <v>8601.4699999999993</v>
      </c>
      <c r="J138" s="682">
        <f t="shared" si="22"/>
        <v>8601.4699999999993</v>
      </c>
      <c r="K138" s="683"/>
      <c r="L138" s="684"/>
      <c r="M138" s="753"/>
      <c r="N138" s="683">
        <v>0</v>
      </c>
      <c r="O138" s="686"/>
      <c r="P138" s="683">
        <v>0</v>
      </c>
      <c r="Q138" s="687">
        <f t="shared" ref="Q138:Q203" si="29">L138+M138</f>
        <v>0</v>
      </c>
      <c r="R138" s="688">
        <v>0</v>
      </c>
      <c r="S138" s="693"/>
      <c r="T138" s="690">
        <f t="shared" si="28"/>
        <v>0</v>
      </c>
      <c r="U138" s="683"/>
      <c r="V138" s="474">
        <f t="shared" si="23"/>
        <v>0</v>
      </c>
      <c r="W138" s="474">
        <f t="shared" si="24"/>
        <v>0</v>
      </c>
      <c r="X138" s="475">
        <f t="shared" si="25"/>
        <v>0</v>
      </c>
      <c r="Y138" s="475">
        <v>0</v>
      </c>
      <c r="Z138" s="476">
        <v>0</v>
      </c>
      <c r="AA138" s="38">
        <f t="shared" si="26"/>
        <v>0</v>
      </c>
      <c r="AB138" s="692">
        <f t="shared" si="16"/>
        <v>0</v>
      </c>
      <c r="AC138" s="692">
        <f t="shared" si="17"/>
        <v>0</v>
      </c>
      <c r="AD138" s="692">
        <f t="shared" si="18"/>
        <v>8601.4699999999993</v>
      </c>
      <c r="AE138" s="38"/>
      <c r="AF138" s="692">
        <f t="shared" si="19"/>
        <v>0</v>
      </c>
      <c r="AG138" s="692">
        <f t="shared" si="20"/>
        <v>0</v>
      </c>
      <c r="AH138" s="692">
        <f t="shared" si="21"/>
        <v>0</v>
      </c>
      <c r="AJ138" s="38">
        <f t="shared" si="27"/>
        <v>8601.4699999999993</v>
      </c>
    </row>
    <row r="139" spans="1:36">
      <c r="A139" s="21"/>
      <c r="B139" s="21" t="s">
        <v>109</v>
      </c>
      <c r="C139" s="666"/>
      <c r="D139" s="68" t="s">
        <v>396</v>
      </c>
      <c r="E139" s="679"/>
      <c r="F139" s="529">
        <f>VLOOKUP(D139,'Dec 2012 Revenue'!D:T,17,FALSE)</f>
        <v>7.56</v>
      </c>
      <c r="G139" s="680"/>
      <c r="H139" s="680"/>
      <c r="I139" s="755"/>
      <c r="J139" s="682">
        <f t="shared" si="22"/>
        <v>7.56</v>
      </c>
      <c r="K139" s="683"/>
      <c r="L139" s="684"/>
      <c r="M139" s="753"/>
      <c r="N139" s="683">
        <v>0</v>
      </c>
      <c r="O139" s="686"/>
      <c r="P139" s="683">
        <v>0</v>
      </c>
      <c r="Q139" s="687">
        <f t="shared" si="29"/>
        <v>0</v>
      </c>
      <c r="R139" s="688">
        <v>0</v>
      </c>
      <c r="S139" s="693"/>
      <c r="T139" s="690">
        <f t="shared" si="28"/>
        <v>0</v>
      </c>
      <c r="U139" s="683"/>
      <c r="V139" s="474">
        <f t="shared" si="23"/>
        <v>0</v>
      </c>
      <c r="W139" s="474">
        <f t="shared" si="24"/>
        <v>0</v>
      </c>
      <c r="X139" s="475">
        <f t="shared" si="25"/>
        <v>0</v>
      </c>
      <c r="Y139" s="475">
        <v>0</v>
      </c>
      <c r="Z139" s="476">
        <v>0</v>
      </c>
      <c r="AA139" s="38">
        <f t="shared" si="26"/>
        <v>0</v>
      </c>
      <c r="AB139" s="692">
        <f t="shared" si="16"/>
        <v>0</v>
      </c>
      <c r="AC139" s="692">
        <f t="shared" si="17"/>
        <v>7.56</v>
      </c>
      <c r="AD139" s="692">
        <f t="shared" si="18"/>
        <v>0</v>
      </c>
      <c r="AE139" s="38"/>
      <c r="AF139" s="692">
        <f t="shared" si="19"/>
        <v>0</v>
      </c>
      <c r="AG139" s="692">
        <f t="shared" si="20"/>
        <v>0</v>
      </c>
      <c r="AH139" s="692">
        <f t="shared" si="21"/>
        <v>0</v>
      </c>
      <c r="AJ139" s="38">
        <f t="shared" si="27"/>
        <v>7.56</v>
      </c>
    </row>
    <row r="140" spans="1:36">
      <c r="A140" s="20"/>
      <c r="B140" s="20" t="s">
        <v>109</v>
      </c>
      <c r="C140" s="667" t="s">
        <v>557</v>
      </c>
      <c r="D140" s="68" t="s">
        <v>32</v>
      </c>
      <c r="E140" s="679"/>
      <c r="F140" s="529">
        <f>VLOOKUP(D140,'Dec 2012 Revenue'!D:T,17,FALSE)</f>
        <v>0</v>
      </c>
      <c r="G140" s="680"/>
      <c r="H140" s="680"/>
      <c r="I140" s="755"/>
      <c r="J140" s="682">
        <f t="shared" si="22"/>
        <v>0</v>
      </c>
      <c r="K140" s="683"/>
      <c r="L140" s="684"/>
      <c r="M140" s="753"/>
      <c r="N140" s="683">
        <v>0</v>
      </c>
      <c r="O140" s="686"/>
      <c r="P140" s="683">
        <v>0</v>
      </c>
      <c r="Q140" s="687">
        <f t="shared" si="29"/>
        <v>0</v>
      </c>
      <c r="R140" s="688">
        <v>0</v>
      </c>
      <c r="S140" s="693"/>
      <c r="T140" s="690">
        <f t="shared" si="28"/>
        <v>0</v>
      </c>
      <c r="U140" s="683"/>
      <c r="V140" s="474">
        <f t="shared" si="23"/>
        <v>0</v>
      </c>
      <c r="W140" s="474">
        <f t="shared" si="24"/>
        <v>0</v>
      </c>
      <c r="X140" s="475">
        <f t="shared" si="25"/>
        <v>0</v>
      </c>
      <c r="Y140" s="475">
        <v>0</v>
      </c>
      <c r="Z140" s="476">
        <v>0</v>
      </c>
      <c r="AA140" s="38">
        <f t="shared" si="26"/>
        <v>0</v>
      </c>
      <c r="AB140" s="692">
        <f t="shared" ref="AB140:AB205" si="30">IF(B140="D",J140,0)</f>
        <v>0</v>
      </c>
      <c r="AC140" s="692">
        <f t="shared" ref="AC140:AC205" si="31">IF(B140="M",J140,0)</f>
        <v>0</v>
      </c>
      <c r="AD140" s="692">
        <f t="shared" ref="AD140:AD205" si="32">IF(B140="V",J140,0)</f>
        <v>0</v>
      </c>
      <c r="AE140" s="38"/>
      <c r="AF140" s="692">
        <f t="shared" si="19"/>
        <v>0</v>
      </c>
      <c r="AG140" s="692">
        <f t="shared" si="20"/>
        <v>0</v>
      </c>
      <c r="AH140" s="692">
        <f t="shared" si="21"/>
        <v>0</v>
      </c>
      <c r="AJ140" s="38">
        <f t="shared" si="27"/>
        <v>0</v>
      </c>
    </row>
    <row r="141" spans="1:36">
      <c r="A141" s="21"/>
      <c r="B141" s="21" t="s">
        <v>110</v>
      </c>
      <c r="C141" s="666"/>
      <c r="D141" s="68" t="s">
        <v>448</v>
      </c>
      <c r="E141" s="679"/>
      <c r="F141" s="529">
        <f>VLOOKUP(D141,'Dec 2012 Revenue'!D:T,17,FALSE)</f>
        <v>0</v>
      </c>
      <c r="G141" s="680"/>
      <c r="H141" s="680"/>
      <c r="I141" s="755"/>
      <c r="J141" s="682">
        <f t="shared" ref="J141:J205" si="33">SUM(E141:I141)</f>
        <v>0</v>
      </c>
      <c r="K141" s="683"/>
      <c r="L141" s="684"/>
      <c r="M141" s="753"/>
      <c r="N141" s="683">
        <v>0</v>
      </c>
      <c r="O141" s="686"/>
      <c r="P141" s="683">
        <v>0</v>
      </c>
      <c r="Q141" s="687">
        <f t="shared" si="29"/>
        <v>0</v>
      </c>
      <c r="R141" s="688">
        <v>0</v>
      </c>
      <c r="S141" s="693"/>
      <c r="T141" s="690">
        <f t="shared" si="28"/>
        <v>0</v>
      </c>
      <c r="U141" s="683"/>
      <c r="V141" s="474">
        <f t="shared" si="23"/>
        <v>0</v>
      </c>
      <c r="W141" s="474">
        <f t="shared" si="24"/>
        <v>0</v>
      </c>
      <c r="X141" s="475">
        <f t="shared" si="25"/>
        <v>0</v>
      </c>
      <c r="Y141" s="475">
        <v>0</v>
      </c>
      <c r="Z141" s="476">
        <v>0</v>
      </c>
      <c r="AA141" s="38">
        <f t="shared" si="26"/>
        <v>0</v>
      </c>
      <c r="AB141" s="692">
        <f t="shared" si="30"/>
        <v>0</v>
      </c>
      <c r="AC141" s="692">
        <f t="shared" si="31"/>
        <v>0</v>
      </c>
      <c r="AD141" s="692">
        <f t="shared" si="32"/>
        <v>0</v>
      </c>
      <c r="AE141" s="38"/>
      <c r="AF141" s="692">
        <f t="shared" si="19"/>
        <v>0</v>
      </c>
      <c r="AG141" s="692">
        <f t="shared" si="20"/>
        <v>0</v>
      </c>
      <c r="AH141" s="692">
        <f t="shared" si="21"/>
        <v>0</v>
      </c>
      <c r="AJ141" s="38">
        <f t="shared" si="27"/>
        <v>0</v>
      </c>
    </row>
    <row r="142" spans="1:36">
      <c r="A142" s="21"/>
      <c r="B142" s="21" t="s">
        <v>110</v>
      </c>
      <c r="C142" s="666"/>
      <c r="D142" s="68" t="s">
        <v>877</v>
      </c>
      <c r="E142" s="679"/>
      <c r="F142" s="529">
        <f>VLOOKUP(D142,'Dec 2012 Revenue'!D:T,17,FALSE)</f>
        <v>0</v>
      </c>
      <c r="G142" s="680"/>
      <c r="H142" s="680"/>
      <c r="I142" s="755"/>
      <c r="J142" s="682">
        <f t="shared" si="33"/>
        <v>0</v>
      </c>
      <c r="K142" s="683"/>
      <c r="L142" s="684"/>
      <c r="M142" s="753"/>
      <c r="N142" s="683">
        <v>0</v>
      </c>
      <c r="O142" s="686"/>
      <c r="P142" s="683">
        <v>0</v>
      </c>
      <c r="Q142" s="687">
        <f t="shared" si="29"/>
        <v>0</v>
      </c>
      <c r="R142" s="688">
        <v>0</v>
      </c>
      <c r="S142" s="693"/>
      <c r="T142" s="690">
        <f t="shared" si="28"/>
        <v>0</v>
      </c>
      <c r="U142" s="683"/>
      <c r="V142" s="474">
        <f t="shared" ref="V142:V205" si="34">IF(B142="D",Q142,0)</f>
        <v>0</v>
      </c>
      <c r="W142" s="474">
        <f t="shared" ref="W142:W205" si="35">IF(B142="M",Q142,0)</f>
        <v>0</v>
      </c>
      <c r="X142" s="475">
        <f t="shared" ref="X142:X205" si="36">IF(B142="V",Q142,0)</f>
        <v>0</v>
      </c>
      <c r="Y142" s="475">
        <v>0</v>
      </c>
      <c r="Z142" s="476">
        <v>0</v>
      </c>
      <c r="AA142" s="38">
        <f t="shared" ref="AA142:AA205" si="37">(L142+M142)-(V142+W142+X142+Y142+Z142)</f>
        <v>0</v>
      </c>
      <c r="AB142" s="692">
        <f t="shared" si="30"/>
        <v>0</v>
      </c>
      <c r="AC142" s="692">
        <f t="shared" si="31"/>
        <v>0</v>
      </c>
      <c r="AD142" s="692">
        <f t="shared" si="32"/>
        <v>0</v>
      </c>
      <c r="AE142" s="38"/>
      <c r="AF142" s="692">
        <f t="shared" ref="AF142:AF205" si="38">IF(B142="D",Q142,0)</f>
        <v>0</v>
      </c>
      <c r="AG142" s="692">
        <f t="shared" ref="AG142:AG205" si="39">IF(B142="M",Q142,0)</f>
        <v>0</v>
      </c>
      <c r="AH142" s="692">
        <f t="shared" ref="AH142:AH205" si="40">IF(B142="V",Q142,0)</f>
        <v>0</v>
      </c>
      <c r="AJ142" s="38">
        <f t="shared" ref="AJ142" si="41">SUM(AB142:AH142)</f>
        <v>0</v>
      </c>
    </row>
    <row r="143" spans="1:36">
      <c r="A143" s="21"/>
      <c r="B143" s="21" t="s">
        <v>110</v>
      </c>
      <c r="C143" s="666" t="s">
        <v>558</v>
      </c>
      <c r="D143" s="68" t="s">
        <v>122</v>
      </c>
      <c r="E143" s="679">
        <v>1761.64</v>
      </c>
      <c r="F143" s="529">
        <f>VLOOKUP(D143,'Dec 2012 Revenue'!D:T,17,FALSE)</f>
        <v>-5000</v>
      </c>
      <c r="G143" s="680"/>
      <c r="H143" s="680"/>
      <c r="I143" s="755"/>
      <c r="J143" s="682">
        <f t="shared" si="33"/>
        <v>-3238.3599999999997</v>
      </c>
      <c r="K143" s="683"/>
      <c r="L143" s="684"/>
      <c r="M143" s="753">
        <v>5000</v>
      </c>
      <c r="N143" s="683">
        <v>0</v>
      </c>
      <c r="O143" s="686"/>
      <c r="P143" s="683">
        <v>0</v>
      </c>
      <c r="Q143" s="687">
        <f t="shared" si="29"/>
        <v>5000</v>
      </c>
      <c r="R143" s="688">
        <v>785.71</v>
      </c>
      <c r="S143" s="693"/>
      <c r="T143" s="690">
        <f t="shared" si="28"/>
        <v>-4214.29</v>
      </c>
      <c r="U143" s="683"/>
      <c r="V143" s="474">
        <f t="shared" si="34"/>
        <v>5000</v>
      </c>
      <c r="W143" s="474">
        <f t="shared" si="35"/>
        <v>0</v>
      </c>
      <c r="X143" s="475">
        <f t="shared" si="36"/>
        <v>0</v>
      </c>
      <c r="Y143" s="475">
        <v>0</v>
      </c>
      <c r="Z143" s="476">
        <v>0</v>
      </c>
      <c r="AA143" s="38">
        <f t="shared" si="37"/>
        <v>0</v>
      </c>
      <c r="AB143" s="692">
        <f t="shared" si="30"/>
        <v>-3238.3599999999997</v>
      </c>
      <c r="AC143" s="692">
        <f t="shared" si="31"/>
        <v>0</v>
      </c>
      <c r="AD143" s="692">
        <f t="shared" si="32"/>
        <v>0</v>
      </c>
      <c r="AE143" s="38"/>
      <c r="AF143" s="692">
        <f t="shared" si="38"/>
        <v>5000</v>
      </c>
      <c r="AG143" s="692">
        <f t="shared" si="39"/>
        <v>0</v>
      </c>
      <c r="AH143" s="692">
        <f t="shared" si="40"/>
        <v>0</v>
      </c>
      <c r="AJ143" s="38">
        <f t="shared" si="27"/>
        <v>1761.6400000000003</v>
      </c>
    </row>
    <row r="144" spans="1:36">
      <c r="A144" s="21"/>
      <c r="B144" s="21" t="s">
        <v>114</v>
      </c>
      <c r="C144" s="666" t="s">
        <v>558</v>
      </c>
      <c r="D144" s="68" t="s">
        <v>629</v>
      </c>
      <c r="E144" s="679">
        <v>3.23</v>
      </c>
      <c r="F144" s="529">
        <f>VLOOKUP(D144,'Dec 2012 Revenue'!D:T,17,FALSE)</f>
        <v>0</v>
      </c>
      <c r="G144" s="680"/>
      <c r="H144" s="680"/>
      <c r="I144" s="755"/>
      <c r="J144" s="682">
        <f t="shared" si="33"/>
        <v>3.23</v>
      </c>
      <c r="K144" s="683"/>
      <c r="L144" s="684"/>
      <c r="M144" s="753"/>
      <c r="N144" s="683">
        <v>0</v>
      </c>
      <c r="O144" s="686"/>
      <c r="P144" s="683">
        <v>0</v>
      </c>
      <c r="Q144" s="687">
        <f t="shared" si="29"/>
        <v>0</v>
      </c>
      <c r="R144" s="688">
        <v>10.87</v>
      </c>
      <c r="S144" s="693"/>
      <c r="T144" s="690">
        <f t="shared" si="28"/>
        <v>10.87</v>
      </c>
      <c r="U144" s="683"/>
      <c r="V144" s="474">
        <f t="shared" si="34"/>
        <v>0</v>
      </c>
      <c r="W144" s="474">
        <f t="shared" si="35"/>
        <v>0</v>
      </c>
      <c r="X144" s="475">
        <f t="shared" si="36"/>
        <v>0</v>
      </c>
      <c r="Y144" s="475">
        <v>0</v>
      </c>
      <c r="Z144" s="476">
        <v>0</v>
      </c>
      <c r="AA144" s="38">
        <f t="shared" si="37"/>
        <v>0</v>
      </c>
      <c r="AB144" s="692">
        <f t="shared" si="30"/>
        <v>0</v>
      </c>
      <c r="AC144" s="692">
        <f t="shared" si="31"/>
        <v>0</v>
      </c>
      <c r="AD144" s="692">
        <f t="shared" si="32"/>
        <v>3.23</v>
      </c>
      <c r="AE144" s="38"/>
      <c r="AF144" s="692">
        <f t="shared" si="38"/>
        <v>0</v>
      </c>
      <c r="AG144" s="692">
        <f t="shared" si="39"/>
        <v>0</v>
      </c>
      <c r="AH144" s="692">
        <f t="shared" si="40"/>
        <v>0</v>
      </c>
      <c r="AJ144" s="38">
        <f t="shared" ref="AJ144:AJ207" si="42">SUM(AB144:AH144)</f>
        <v>3.23</v>
      </c>
    </row>
    <row r="145" spans="1:36">
      <c r="A145" s="21"/>
      <c r="B145" s="21" t="s">
        <v>109</v>
      </c>
      <c r="C145" s="666" t="s">
        <v>559</v>
      </c>
      <c r="D145" s="68" t="s">
        <v>33</v>
      </c>
      <c r="E145" s="679"/>
      <c r="F145" s="529">
        <f>VLOOKUP(D145,'Dec 2012 Revenue'!D:T,17,FALSE)</f>
        <v>0</v>
      </c>
      <c r="G145" s="680"/>
      <c r="H145" s="680"/>
      <c r="I145" s="755"/>
      <c r="J145" s="682">
        <f t="shared" si="33"/>
        <v>0</v>
      </c>
      <c r="K145" s="683"/>
      <c r="L145" s="684"/>
      <c r="M145" s="753"/>
      <c r="N145" s="683">
        <v>0</v>
      </c>
      <c r="O145" s="686"/>
      <c r="P145" s="683">
        <v>0</v>
      </c>
      <c r="Q145" s="687">
        <f t="shared" si="29"/>
        <v>0</v>
      </c>
      <c r="R145" s="688">
        <v>1946.3</v>
      </c>
      <c r="S145" s="693"/>
      <c r="T145" s="690">
        <f t="shared" ref="T145:T208" si="43">IF(R145="","",R145-Q145)</f>
        <v>1946.3</v>
      </c>
      <c r="U145" s="683"/>
      <c r="V145" s="474">
        <f t="shared" si="34"/>
        <v>0</v>
      </c>
      <c r="W145" s="474">
        <f t="shared" si="35"/>
        <v>0</v>
      </c>
      <c r="X145" s="475">
        <f t="shared" si="36"/>
        <v>0</v>
      </c>
      <c r="Y145" s="475">
        <v>0</v>
      </c>
      <c r="Z145" s="476">
        <v>0</v>
      </c>
      <c r="AA145" s="38">
        <f t="shared" si="37"/>
        <v>0</v>
      </c>
      <c r="AB145" s="692">
        <f t="shared" si="30"/>
        <v>0</v>
      </c>
      <c r="AC145" s="692">
        <f t="shared" si="31"/>
        <v>0</v>
      </c>
      <c r="AD145" s="692">
        <f t="shared" si="32"/>
        <v>0</v>
      </c>
      <c r="AE145" s="38"/>
      <c r="AF145" s="692">
        <f t="shared" si="38"/>
        <v>0</v>
      </c>
      <c r="AG145" s="692">
        <f t="shared" si="39"/>
        <v>0</v>
      </c>
      <c r="AH145" s="692">
        <f t="shared" si="40"/>
        <v>0</v>
      </c>
      <c r="AJ145" s="38">
        <f t="shared" si="42"/>
        <v>0</v>
      </c>
    </row>
    <row r="146" spans="1:36">
      <c r="A146" s="21"/>
      <c r="B146" s="21" t="s">
        <v>109</v>
      </c>
      <c r="C146" s="666" t="s">
        <v>560</v>
      </c>
      <c r="D146" s="68" t="s">
        <v>379</v>
      </c>
      <c r="E146" s="679"/>
      <c r="F146" s="529">
        <f>VLOOKUP(D146,'Dec 2012 Revenue'!D:T,17,FALSE)</f>
        <v>57.19</v>
      </c>
      <c r="G146" s="680"/>
      <c r="H146" s="680"/>
      <c r="I146" s="755"/>
      <c r="J146" s="682">
        <f t="shared" si="33"/>
        <v>57.19</v>
      </c>
      <c r="K146" s="683"/>
      <c r="L146" s="684"/>
      <c r="M146" s="753"/>
      <c r="N146" s="683">
        <v>0</v>
      </c>
      <c r="O146" s="686"/>
      <c r="P146" s="683">
        <v>0</v>
      </c>
      <c r="Q146" s="687">
        <f t="shared" si="29"/>
        <v>0</v>
      </c>
      <c r="R146" s="688">
        <v>108.54</v>
      </c>
      <c r="S146" s="693"/>
      <c r="T146" s="690">
        <f t="shared" si="43"/>
        <v>108.54</v>
      </c>
      <c r="U146" s="683"/>
      <c r="V146" s="474">
        <f t="shared" si="34"/>
        <v>0</v>
      </c>
      <c r="W146" s="474">
        <f t="shared" si="35"/>
        <v>0</v>
      </c>
      <c r="X146" s="475">
        <f t="shared" si="36"/>
        <v>0</v>
      </c>
      <c r="Y146" s="475">
        <v>0</v>
      </c>
      <c r="Z146" s="476">
        <v>0</v>
      </c>
      <c r="AA146" s="38">
        <f t="shared" si="37"/>
        <v>0</v>
      </c>
      <c r="AB146" s="692">
        <f t="shared" si="30"/>
        <v>0</v>
      </c>
      <c r="AC146" s="692">
        <f t="shared" si="31"/>
        <v>57.19</v>
      </c>
      <c r="AD146" s="692">
        <f t="shared" si="32"/>
        <v>0</v>
      </c>
      <c r="AE146" s="38"/>
      <c r="AF146" s="692">
        <f t="shared" si="38"/>
        <v>0</v>
      </c>
      <c r="AG146" s="692">
        <f t="shared" si="39"/>
        <v>0</v>
      </c>
      <c r="AH146" s="692">
        <f t="shared" si="40"/>
        <v>0</v>
      </c>
      <c r="AJ146" s="38">
        <f t="shared" si="42"/>
        <v>57.19</v>
      </c>
    </row>
    <row r="147" spans="1:36" s="232" customFormat="1">
      <c r="A147" s="283"/>
      <c r="B147" s="283" t="s">
        <v>114</v>
      </c>
      <c r="C147" s="667"/>
      <c r="D147" s="500" t="s">
        <v>408</v>
      </c>
      <c r="E147" s="679"/>
      <c r="F147" s="529">
        <f>VLOOKUP(D147,'Dec 2012 Revenue'!D:T,17,FALSE)</f>
        <v>0</v>
      </c>
      <c r="G147" s="680"/>
      <c r="H147" s="680"/>
      <c r="I147" s="770">
        <v>7837.5</v>
      </c>
      <c r="J147" s="682">
        <f t="shared" si="33"/>
        <v>7837.5</v>
      </c>
      <c r="K147" s="683"/>
      <c r="L147" s="684"/>
      <c r="M147" s="753"/>
      <c r="N147" s="683">
        <v>0</v>
      </c>
      <c r="O147" s="686"/>
      <c r="P147" s="683">
        <v>0</v>
      </c>
      <c r="Q147" s="687">
        <f t="shared" si="29"/>
        <v>0</v>
      </c>
      <c r="R147" s="688">
        <v>0</v>
      </c>
      <c r="S147" s="693"/>
      <c r="T147" s="690">
        <f t="shared" si="43"/>
        <v>0</v>
      </c>
      <c r="U147" s="683"/>
      <c r="V147" s="474">
        <f t="shared" si="34"/>
        <v>0</v>
      </c>
      <c r="W147" s="474">
        <f t="shared" si="35"/>
        <v>0</v>
      </c>
      <c r="X147" s="475">
        <f t="shared" si="36"/>
        <v>0</v>
      </c>
      <c r="Y147" s="475">
        <v>0</v>
      </c>
      <c r="Z147" s="476">
        <v>0</v>
      </c>
      <c r="AA147" s="38">
        <f t="shared" si="37"/>
        <v>0</v>
      </c>
      <c r="AB147" s="692">
        <f t="shared" si="30"/>
        <v>0</v>
      </c>
      <c r="AC147" s="692">
        <f t="shared" si="31"/>
        <v>0</v>
      </c>
      <c r="AD147" s="692">
        <f t="shared" si="32"/>
        <v>7837.5</v>
      </c>
      <c r="AE147" s="38"/>
      <c r="AF147" s="692">
        <f t="shared" si="38"/>
        <v>0</v>
      </c>
      <c r="AG147" s="692">
        <f t="shared" si="39"/>
        <v>0</v>
      </c>
      <c r="AH147" s="692">
        <f t="shared" si="40"/>
        <v>0</v>
      </c>
      <c r="AJ147" s="38">
        <f t="shared" si="42"/>
        <v>7837.5</v>
      </c>
    </row>
    <row r="148" spans="1:36" s="232" customFormat="1">
      <c r="A148" s="283"/>
      <c r="B148" s="283" t="s">
        <v>110</v>
      </c>
      <c r="C148" s="667"/>
      <c r="D148" s="567" t="s">
        <v>445</v>
      </c>
      <c r="E148" s="679"/>
      <c r="F148" s="529">
        <f>VLOOKUP(D148,'Dec 2012 Revenue'!D:T,17,FALSE)</f>
        <v>0</v>
      </c>
      <c r="G148" s="680"/>
      <c r="H148" s="680"/>
      <c r="I148" s="755"/>
      <c r="J148" s="682">
        <f t="shared" si="33"/>
        <v>0</v>
      </c>
      <c r="K148" s="683"/>
      <c r="L148" s="684"/>
      <c r="M148" s="753"/>
      <c r="N148" s="683">
        <v>0</v>
      </c>
      <c r="O148" s="686"/>
      <c r="P148" s="683">
        <v>0</v>
      </c>
      <c r="Q148" s="687">
        <f t="shared" si="29"/>
        <v>0</v>
      </c>
      <c r="R148" s="688">
        <v>0</v>
      </c>
      <c r="S148" s="693"/>
      <c r="T148" s="690">
        <f t="shared" si="43"/>
        <v>0</v>
      </c>
      <c r="U148" s="683"/>
      <c r="V148" s="474">
        <f t="shared" si="34"/>
        <v>0</v>
      </c>
      <c r="W148" s="474">
        <f t="shared" si="35"/>
        <v>0</v>
      </c>
      <c r="X148" s="475">
        <f t="shared" si="36"/>
        <v>0</v>
      </c>
      <c r="Y148" s="475">
        <v>0</v>
      </c>
      <c r="Z148" s="476">
        <v>0</v>
      </c>
      <c r="AA148" s="38">
        <f t="shared" si="37"/>
        <v>0</v>
      </c>
      <c r="AB148" s="692">
        <f t="shared" si="30"/>
        <v>0</v>
      </c>
      <c r="AC148" s="692">
        <f t="shared" si="31"/>
        <v>0</v>
      </c>
      <c r="AD148" s="692">
        <f t="shared" si="32"/>
        <v>0</v>
      </c>
      <c r="AE148" s="38"/>
      <c r="AF148" s="692">
        <f t="shared" si="38"/>
        <v>0</v>
      </c>
      <c r="AG148" s="692">
        <f t="shared" si="39"/>
        <v>0</v>
      </c>
      <c r="AH148" s="692">
        <f t="shared" si="40"/>
        <v>0</v>
      </c>
      <c r="AJ148" s="38">
        <f t="shared" si="42"/>
        <v>0</v>
      </c>
    </row>
    <row r="149" spans="1:36" s="232" customFormat="1">
      <c r="A149" s="283"/>
      <c r="B149" s="283" t="s">
        <v>109</v>
      </c>
      <c r="C149" s="667" t="s">
        <v>562</v>
      </c>
      <c r="D149" s="567" t="s">
        <v>480</v>
      </c>
      <c r="E149" s="679"/>
      <c r="F149" s="529">
        <f>VLOOKUP(D149,'Dec 2012 Revenue'!D:T,17,FALSE)</f>
        <v>0</v>
      </c>
      <c r="G149" s="680"/>
      <c r="H149" s="680"/>
      <c r="I149" s="770">
        <v>7675.26</v>
      </c>
      <c r="J149" s="682">
        <f t="shared" si="33"/>
        <v>7675.26</v>
      </c>
      <c r="K149" s="683"/>
      <c r="L149" s="684"/>
      <c r="M149" s="753"/>
      <c r="N149" s="683">
        <v>0</v>
      </c>
      <c r="O149" s="686"/>
      <c r="P149" s="683">
        <v>0</v>
      </c>
      <c r="Q149" s="687">
        <f t="shared" si="29"/>
        <v>0</v>
      </c>
      <c r="R149" s="688">
        <v>0</v>
      </c>
      <c r="S149" s="693"/>
      <c r="T149" s="690">
        <f t="shared" si="43"/>
        <v>0</v>
      </c>
      <c r="U149" s="683"/>
      <c r="V149" s="474">
        <f t="shared" si="34"/>
        <v>0</v>
      </c>
      <c r="W149" s="474">
        <f t="shared" si="35"/>
        <v>0</v>
      </c>
      <c r="X149" s="475">
        <f t="shared" si="36"/>
        <v>0</v>
      </c>
      <c r="Y149" s="475">
        <v>0</v>
      </c>
      <c r="Z149" s="476">
        <v>0</v>
      </c>
      <c r="AA149" s="38">
        <f t="shared" si="37"/>
        <v>0</v>
      </c>
      <c r="AB149" s="692">
        <f t="shared" si="30"/>
        <v>0</v>
      </c>
      <c r="AC149" s="692">
        <f t="shared" si="31"/>
        <v>7675.26</v>
      </c>
      <c r="AD149" s="692">
        <f t="shared" si="32"/>
        <v>0</v>
      </c>
      <c r="AE149" s="38"/>
      <c r="AF149" s="692">
        <f t="shared" si="38"/>
        <v>0</v>
      </c>
      <c r="AG149" s="692">
        <f t="shared" si="39"/>
        <v>0</v>
      </c>
      <c r="AH149" s="692">
        <f t="shared" si="40"/>
        <v>0</v>
      </c>
      <c r="AJ149" s="38">
        <f t="shared" si="42"/>
        <v>7675.26</v>
      </c>
    </row>
    <row r="150" spans="1:36" s="232" customFormat="1">
      <c r="A150" s="403"/>
      <c r="B150" s="403" t="s">
        <v>109</v>
      </c>
      <c r="C150" s="666" t="s">
        <v>563</v>
      </c>
      <c r="D150" s="123" t="s">
        <v>327</v>
      </c>
      <c r="E150" s="679"/>
      <c r="F150" s="529">
        <f>VLOOKUP(D150,'Dec 2012 Revenue'!D:T,17,FALSE)</f>
        <v>-23137.309999999998</v>
      </c>
      <c r="G150" s="680"/>
      <c r="H150" s="680"/>
      <c r="I150" s="755"/>
      <c r="J150" s="682">
        <f t="shared" si="33"/>
        <v>-23137.309999999998</v>
      </c>
      <c r="K150" s="683"/>
      <c r="L150" s="684"/>
      <c r="M150" s="753">
        <v>60000</v>
      </c>
      <c r="N150" s="683">
        <v>0</v>
      </c>
      <c r="O150" s="686"/>
      <c r="P150" s="683">
        <v>0</v>
      </c>
      <c r="Q150" s="687">
        <f t="shared" si="29"/>
        <v>60000</v>
      </c>
      <c r="R150" s="688">
        <v>49951.99</v>
      </c>
      <c r="S150" s="693"/>
      <c r="T150" s="690">
        <f t="shared" si="43"/>
        <v>-10048.010000000002</v>
      </c>
      <c r="U150" s="683"/>
      <c r="V150" s="474">
        <f t="shared" si="34"/>
        <v>0</v>
      </c>
      <c r="W150" s="474">
        <f t="shared" si="35"/>
        <v>60000</v>
      </c>
      <c r="X150" s="475">
        <f t="shared" si="36"/>
        <v>0</v>
      </c>
      <c r="Y150" s="475">
        <v>0</v>
      </c>
      <c r="Z150" s="476">
        <v>0</v>
      </c>
      <c r="AA150" s="38">
        <f t="shared" si="37"/>
        <v>0</v>
      </c>
      <c r="AB150" s="692">
        <f t="shared" si="30"/>
        <v>0</v>
      </c>
      <c r="AC150" s="692">
        <f t="shared" si="31"/>
        <v>-23137.309999999998</v>
      </c>
      <c r="AD150" s="692">
        <f t="shared" si="32"/>
        <v>0</v>
      </c>
      <c r="AE150" s="38"/>
      <c r="AF150" s="692">
        <f t="shared" si="38"/>
        <v>0</v>
      </c>
      <c r="AG150" s="692">
        <f t="shared" si="39"/>
        <v>60000</v>
      </c>
      <c r="AH150" s="692">
        <f t="shared" si="40"/>
        <v>0</v>
      </c>
      <c r="AJ150" s="38">
        <f t="shared" si="42"/>
        <v>36862.69</v>
      </c>
    </row>
    <row r="151" spans="1:36" s="232" customFormat="1">
      <c r="A151" s="403"/>
      <c r="B151" s="403" t="s">
        <v>110</v>
      </c>
      <c r="C151" s="666" t="s">
        <v>563</v>
      </c>
      <c r="D151" s="123" t="s">
        <v>637</v>
      </c>
      <c r="E151" s="679"/>
      <c r="F151" s="529">
        <f>VLOOKUP(D151,'Dec 2012 Revenue'!D:T,17,FALSE)</f>
        <v>-5000</v>
      </c>
      <c r="G151" s="680"/>
      <c r="H151" s="680"/>
      <c r="I151" s="755"/>
      <c r="J151" s="682">
        <f t="shared" si="33"/>
        <v>-5000</v>
      </c>
      <c r="K151" s="683"/>
      <c r="L151" s="684"/>
      <c r="M151" s="753">
        <v>5000</v>
      </c>
      <c r="N151" s="683">
        <v>0</v>
      </c>
      <c r="O151" s="686"/>
      <c r="P151" s="683">
        <v>0</v>
      </c>
      <c r="Q151" s="687">
        <f t="shared" si="29"/>
        <v>5000</v>
      </c>
      <c r="R151" s="688">
        <v>0</v>
      </c>
      <c r="S151" s="693"/>
      <c r="T151" s="690">
        <f t="shared" si="43"/>
        <v>-5000</v>
      </c>
      <c r="U151" s="683"/>
      <c r="V151" s="474">
        <f t="shared" si="34"/>
        <v>5000</v>
      </c>
      <c r="W151" s="474">
        <f t="shared" si="35"/>
        <v>0</v>
      </c>
      <c r="X151" s="475">
        <f t="shared" si="36"/>
        <v>0</v>
      </c>
      <c r="Y151" s="475">
        <v>0</v>
      </c>
      <c r="Z151" s="476">
        <v>0</v>
      </c>
      <c r="AA151" s="38">
        <f t="shared" si="37"/>
        <v>0</v>
      </c>
      <c r="AB151" s="692">
        <f t="shared" si="30"/>
        <v>-5000</v>
      </c>
      <c r="AC151" s="692">
        <f t="shared" si="31"/>
        <v>0</v>
      </c>
      <c r="AD151" s="692">
        <f t="shared" si="32"/>
        <v>0</v>
      </c>
      <c r="AE151" s="38"/>
      <c r="AF151" s="692">
        <f t="shared" si="38"/>
        <v>5000</v>
      </c>
      <c r="AG151" s="692">
        <f t="shared" si="39"/>
        <v>0</v>
      </c>
      <c r="AH151" s="692">
        <f t="shared" si="40"/>
        <v>0</v>
      </c>
      <c r="AJ151" s="38">
        <f t="shared" si="42"/>
        <v>0</v>
      </c>
    </row>
    <row r="152" spans="1:36">
      <c r="A152" s="21" t="s">
        <v>212</v>
      </c>
      <c r="B152" s="21" t="s">
        <v>110</v>
      </c>
      <c r="C152" s="666"/>
      <c r="D152" s="68" t="s">
        <v>232</v>
      </c>
      <c r="E152" s="679"/>
      <c r="F152" s="529">
        <f>VLOOKUP(D152,'Dec 2012 Revenue'!D:T,17,FALSE)</f>
        <v>0</v>
      </c>
      <c r="G152" s="680"/>
      <c r="H152" s="680"/>
      <c r="I152" s="755"/>
      <c r="J152" s="682">
        <f t="shared" si="33"/>
        <v>0</v>
      </c>
      <c r="K152" s="683"/>
      <c r="L152" s="684"/>
      <c r="M152" s="753"/>
      <c r="N152" s="683">
        <v>0</v>
      </c>
      <c r="O152" s="686"/>
      <c r="P152" s="683">
        <v>0</v>
      </c>
      <c r="Q152" s="687">
        <f t="shared" si="29"/>
        <v>0</v>
      </c>
      <c r="R152" s="688">
        <v>0</v>
      </c>
      <c r="S152" s="693"/>
      <c r="T152" s="690">
        <f t="shared" si="43"/>
        <v>0</v>
      </c>
      <c r="U152" s="683"/>
      <c r="V152" s="474">
        <f t="shared" si="34"/>
        <v>0</v>
      </c>
      <c r="W152" s="474">
        <f t="shared" si="35"/>
        <v>0</v>
      </c>
      <c r="X152" s="475">
        <f t="shared" si="36"/>
        <v>0</v>
      </c>
      <c r="Y152" s="475">
        <v>0</v>
      </c>
      <c r="Z152" s="476">
        <v>0</v>
      </c>
      <c r="AA152" s="38">
        <f t="shared" si="37"/>
        <v>0</v>
      </c>
      <c r="AB152" s="692">
        <f t="shared" si="30"/>
        <v>0</v>
      </c>
      <c r="AC152" s="692">
        <f t="shared" si="31"/>
        <v>0</v>
      </c>
      <c r="AD152" s="692">
        <f t="shared" si="32"/>
        <v>0</v>
      </c>
      <c r="AE152" s="38"/>
      <c r="AF152" s="692">
        <f t="shared" si="38"/>
        <v>0</v>
      </c>
      <c r="AG152" s="692">
        <f t="shared" si="39"/>
        <v>0</v>
      </c>
      <c r="AH152" s="692">
        <f t="shared" si="40"/>
        <v>0</v>
      </c>
      <c r="AJ152" s="38">
        <f t="shared" si="42"/>
        <v>0</v>
      </c>
    </row>
    <row r="153" spans="1:36">
      <c r="A153" s="21"/>
      <c r="B153" s="21" t="s">
        <v>109</v>
      </c>
      <c r="C153" s="666" t="s">
        <v>564</v>
      </c>
      <c r="D153" s="68" t="s">
        <v>876</v>
      </c>
      <c r="E153" s="679"/>
      <c r="F153" s="529">
        <f>VLOOKUP(D153,'Dec 2012 Revenue'!D:T,17,FALSE)</f>
        <v>0</v>
      </c>
      <c r="G153" s="680"/>
      <c r="H153" s="680"/>
      <c r="I153" s="755"/>
      <c r="J153" s="682">
        <f t="shared" si="33"/>
        <v>0</v>
      </c>
      <c r="K153" s="683"/>
      <c r="L153" s="684"/>
      <c r="M153" s="753"/>
      <c r="N153" s="683">
        <v>0</v>
      </c>
      <c r="O153" s="686"/>
      <c r="P153" s="683">
        <v>0</v>
      </c>
      <c r="Q153" s="687">
        <f t="shared" si="29"/>
        <v>0</v>
      </c>
      <c r="R153" s="688">
        <v>0</v>
      </c>
      <c r="S153" s="693"/>
      <c r="T153" s="690">
        <f t="shared" si="43"/>
        <v>0</v>
      </c>
      <c r="U153" s="683"/>
      <c r="V153" s="474">
        <f t="shared" si="34"/>
        <v>0</v>
      </c>
      <c r="W153" s="474">
        <f t="shared" si="35"/>
        <v>0</v>
      </c>
      <c r="X153" s="475">
        <f t="shared" si="36"/>
        <v>0</v>
      </c>
      <c r="Y153" s="475">
        <v>0</v>
      </c>
      <c r="Z153" s="476">
        <v>0</v>
      </c>
      <c r="AA153" s="38">
        <f t="shared" si="37"/>
        <v>0</v>
      </c>
      <c r="AB153" s="692">
        <f t="shared" si="30"/>
        <v>0</v>
      </c>
      <c r="AC153" s="692">
        <f t="shared" si="31"/>
        <v>0</v>
      </c>
      <c r="AD153" s="692">
        <f t="shared" si="32"/>
        <v>0</v>
      </c>
      <c r="AE153" s="38"/>
      <c r="AF153" s="692">
        <f t="shared" si="38"/>
        <v>0</v>
      </c>
      <c r="AG153" s="692">
        <f t="shared" si="39"/>
        <v>0</v>
      </c>
      <c r="AH153" s="692">
        <f t="shared" si="40"/>
        <v>0</v>
      </c>
      <c r="AJ153" s="38">
        <f t="shared" si="42"/>
        <v>0</v>
      </c>
    </row>
    <row r="154" spans="1:36">
      <c r="A154" s="21"/>
      <c r="B154" s="21" t="s">
        <v>109</v>
      </c>
      <c r="C154" s="666" t="s">
        <v>564</v>
      </c>
      <c r="D154" s="68" t="s">
        <v>307</v>
      </c>
      <c r="E154" s="679"/>
      <c r="F154" s="529">
        <f>VLOOKUP(D154,'Dec 2012 Revenue'!D:T,17,FALSE)</f>
        <v>0</v>
      </c>
      <c r="G154" s="680"/>
      <c r="H154" s="680"/>
      <c r="I154" s="755"/>
      <c r="J154" s="682">
        <f t="shared" si="33"/>
        <v>0</v>
      </c>
      <c r="K154" s="683"/>
      <c r="L154" s="684"/>
      <c r="M154" s="753"/>
      <c r="N154" s="683">
        <v>0</v>
      </c>
      <c r="O154" s="686"/>
      <c r="P154" s="683">
        <v>0</v>
      </c>
      <c r="Q154" s="687">
        <f t="shared" si="29"/>
        <v>0</v>
      </c>
      <c r="R154" s="688">
        <v>0</v>
      </c>
      <c r="S154" s="693"/>
      <c r="T154" s="690">
        <f t="shared" si="43"/>
        <v>0</v>
      </c>
      <c r="U154" s="683"/>
      <c r="V154" s="474">
        <f t="shared" si="34"/>
        <v>0</v>
      </c>
      <c r="W154" s="474">
        <f t="shared" si="35"/>
        <v>0</v>
      </c>
      <c r="X154" s="475">
        <f t="shared" si="36"/>
        <v>0</v>
      </c>
      <c r="Y154" s="475">
        <v>0</v>
      </c>
      <c r="Z154" s="476">
        <v>0</v>
      </c>
      <c r="AA154" s="38">
        <f t="shared" si="37"/>
        <v>0</v>
      </c>
      <c r="AB154" s="692">
        <f t="shared" si="30"/>
        <v>0</v>
      </c>
      <c r="AC154" s="692">
        <f t="shared" si="31"/>
        <v>0</v>
      </c>
      <c r="AD154" s="692">
        <f t="shared" si="32"/>
        <v>0</v>
      </c>
      <c r="AE154" s="38"/>
      <c r="AF154" s="692">
        <f t="shared" si="38"/>
        <v>0</v>
      </c>
      <c r="AG154" s="692">
        <f t="shared" si="39"/>
        <v>0</v>
      </c>
      <c r="AH154" s="692">
        <f t="shared" si="40"/>
        <v>0</v>
      </c>
      <c r="AJ154" s="38">
        <f t="shared" si="42"/>
        <v>0</v>
      </c>
    </row>
    <row r="155" spans="1:36">
      <c r="A155" s="21"/>
      <c r="B155" s="21" t="s">
        <v>109</v>
      </c>
      <c r="C155" s="666" t="s">
        <v>565</v>
      </c>
      <c r="D155" s="68" t="s">
        <v>485</v>
      </c>
      <c r="E155" s="679"/>
      <c r="F155" s="529">
        <f>VLOOKUP(D155,'Dec 2012 Revenue'!D:T,17,FALSE)</f>
        <v>0</v>
      </c>
      <c r="G155" s="680"/>
      <c r="H155" s="680"/>
      <c r="I155" s="755"/>
      <c r="J155" s="682">
        <f t="shared" si="33"/>
        <v>0</v>
      </c>
      <c r="K155" s="683"/>
      <c r="L155" s="684"/>
      <c r="M155" s="753">
        <v>90000</v>
      </c>
      <c r="N155" s="683"/>
      <c r="O155" s="686"/>
      <c r="P155" s="683"/>
      <c r="Q155" s="687">
        <f t="shared" si="29"/>
        <v>90000</v>
      </c>
      <c r="R155" s="688">
        <f>5551.96+2540.45+2408+1081.93+175.04+17095.11+426.09+366.54+473.72+7086.68</f>
        <v>37205.520000000004</v>
      </c>
      <c r="S155" s="693"/>
      <c r="T155" s="690">
        <f t="shared" si="43"/>
        <v>-52794.479999999996</v>
      </c>
      <c r="U155" s="683"/>
      <c r="V155" s="474">
        <f t="shared" si="34"/>
        <v>0</v>
      </c>
      <c r="W155" s="474">
        <f t="shared" si="35"/>
        <v>90000</v>
      </c>
      <c r="X155" s="475">
        <f t="shared" si="36"/>
        <v>0</v>
      </c>
      <c r="Y155" s="475">
        <v>0</v>
      </c>
      <c r="Z155" s="476">
        <v>0</v>
      </c>
      <c r="AA155" s="38">
        <f t="shared" si="37"/>
        <v>0</v>
      </c>
      <c r="AB155" s="692">
        <f t="shared" si="30"/>
        <v>0</v>
      </c>
      <c r="AC155" s="692">
        <f t="shared" si="31"/>
        <v>0</v>
      </c>
      <c r="AD155" s="692">
        <f t="shared" si="32"/>
        <v>0</v>
      </c>
      <c r="AE155" s="38"/>
      <c r="AF155" s="692">
        <f t="shared" si="38"/>
        <v>0</v>
      </c>
      <c r="AG155" s="692">
        <f t="shared" si="39"/>
        <v>90000</v>
      </c>
      <c r="AH155" s="692">
        <f t="shared" si="40"/>
        <v>0</v>
      </c>
      <c r="AJ155" s="38">
        <f t="shared" si="42"/>
        <v>90000</v>
      </c>
    </row>
    <row r="156" spans="1:36" s="232" customFormat="1">
      <c r="A156" s="403"/>
      <c r="B156" s="403" t="s">
        <v>109</v>
      </c>
      <c r="C156" s="666"/>
      <c r="D156" s="123" t="s">
        <v>220</v>
      </c>
      <c r="E156" s="679"/>
      <c r="F156" s="529">
        <f>VLOOKUP(D156,'Dec 2012 Revenue'!D:T,17,FALSE)</f>
        <v>0</v>
      </c>
      <c r="G156" s="680"/>
      <c r="H156" s="680"/>
      <c r="I156" s="755"/>
      <c r="J156" s="682">
        <f t="shared" si="33"/>
        <v>0</v>
      </c>
      <c r="K156" s="683"/>
      <c r="L156" s="684"/>
      <c r="M156" s="753"/>
      <c r="N156" s="683">
        <v>0</v>
      </c>
      <c r="O156" s="686"/>
      <c r="P156" s="683">
        <v>0</v>
      </c>
      <c r="Q156" s="687">
        <f t="shared" si="29"/>
        <v>0</v>
      </c>
      <c r="R156" s="688">
        <v>0</v>
      </c>
      <c r="S156" s="693"/>
      <c r="T156" s="690">
        <f t="shared" si="43"/>
        <v>0</v>
      </c>
      <c r="U156" s="683"/>
      <c r="V156" s="474">
        <f t="shared" si="34"/>
        <v>0</v>
      </c>
      <c r="W156" s="474">
        <f t="shared" si="35"/>
        <v>0</v>
      </c>
      <c r="X156" s="475">
        <f t="shared" si="36"/>
        <v>0</v>
      </c>
      <c r="Y156" s="475">
        <v>0</v>
      </c>
      <c r="Z156" s="476">
        <v>0</v>
      </c>
      <c r="AA156" s="38">
        <f t="shared" si="37"/>
        <v>0</v>
      </c>
      <c r="AB156" s="692">
        <f t="shared" si="30"/>
        <v>0</v>
      </c>
      <c r="AC156" s="692">
        <f t="shared" si="31"/>
        <v>0</v>
      </c>
      <c r="AD156" s="692">
        <f t="shared" si="32"/>
        <v>0</v>
      </c>
      <c r="AE156" s="38"/>
      <c r="AF156" s="692">
        <f t="shared" si="38"/>
        <v>0</v>
      </c>
      <c r="AG156" s="692">
        <f t="shared" si="39"/>
        <v>0</v>
      </c>
      <c r="AH156" s="692">
        <f t="shared" si="40"/>
        <v>0</v>
      </c>
      <c r="AJ156" s="38">
        <f t="shared" si="42"/>
        <v>0</v>
      </c>
    </row>
    <row r="157" spans="1:36" s="24" customFormat="1">
      <c r="A157" s="472"/>
      <c r="B157" s="21" t="s">
        <v>109</v>
      </c>
      <c r="C157" s="666"/>
      <c r="D157" s="68" t="s">
        <v>505</v>
      </c>
      <c r="E157" s="679"/>
      <c r="F157" s="529">
        <f>VLOOKUP(D157,'Dec 2012 Revenue'!D:T,17,FALSE)</f>
        <v>0</v>
      </c>
      <c r="G157" s="680"/>
      <c r="H157" s="680"/>
      <c r="I157" s="755"/>
      <c r="J157" s="682">
        <f t="shared" si="33"/>
        <v>0</v>
      </c>
      <c r="K157" s="698"/>
      <c r="L157" s="684"/>
      <c r="M157" s="753"/>
      <c r="N157" s="698">
        <v>0</v>
      </c>
      <c r="O157" s="686"/>
      <c r="P157" s="698">
        <v>0</v>
      </c>
      <c r="Q157" s="700">
        <f t="shared" si="29"/>
        <v>0</v>
      </c>
      <c r="R157" s="688">
        <v>3384.6</v>
      </c>
      <c r="S157" s="701"/>
      <c r="T157" s="690">
        <f t="shared" si="43"/>
        <v>3384.6</v>
      </c>
      <c r="U157" s="698"/>
      <c r="V157" s="474">
        <f t="shared" si="34"/>
        <v>0</v>
      </c>
      <c r="W157" s="474">
        <f t="shared" si="35"/>
        <v>0</v>
      </c>
      <c r="X157" s="475">
        <f t="shared" si="36"/>
        <v>0</v>
      </c>
      <c r="Y157" s="475">
        <v>0</v>
      </c>
      <c r="Z157" s="476">
        <v>0</v>
      </c>
      <c r="AA157" s="38">
        <f t="shared" si="37"/>
        <v>0</v>
      </c>
      <c r="AB157" s="692">
        <f t="shared" si="30"/>
        <v>0</v>
      </c>
      <c r="AC157" s="692">
        <f t="shared" si="31"/>
        <v>0</v>
      </c>
      <c r="AD157" s="692">
        <f t="shared" si="32"/>
        <v>0</v>
      </c>
      <c r="AE157" s="38"/>
      <c r="AF157" s="692">
        <f t="shared" si="38"/>
        <v>0</v>
      </c>
      <c r="AG157" s="692">
        <f t="shared" si="39"/>
        <v>0</v>
      </c>
      <c r="AH157" s="692">
        <f t="shared" si="40"/>
        <v>0</v>
      </c>
      <c r="AJ157" s="38">
        <f t="shared" si="42"/>
        <v>0</v>
      </c>
    </row>
    <row r="158" spans="1:36">
      <c r="A158" s="21"/>
      <c r="B158" s="21" t="s">
        <v>110</v>
      </c>
      <c r="C158" s="666"/>
      <c r="D158" s="68" t="s">
        <v>185</v>
      </c>
      <c r="E158" s="679"/>
      <c r="F158" s="529">
        <f>VLOOKUP(D158,'Dec 2012 Revenue'!D:T,17,FALSE)</f>
        <v>0</v>
      </c>
      <c r="G158" s="680"/>
      <c r="H158" s="680"/>
      <c r="I158" s="755"/>
      <c r="J158" s="682">
        <f t="shared" si="33"/>
        <v>0</v>
      </c>
      <c r="K158" s="683"/>
      <c r="L158" s="684"/>
      <c r="M158" s="753"/>
      <c r="N158" s="683">
        <v>0</v>
      </c>
      <c r="O158" s="686"/>
      <c r="P158" s="683">
        <v>0</v>
      </c>
      <c r="Q158" s="687">
        <f t="shared" si="29"/>
        <v>0</v>
      </c>
      <c r="R158" s="688">
        <v>0</v>
      </c>
      <c r="S158" s="693"/>
      <c r="T158" s="690">
        <f t="shared" si="43"/>
        <v>0</v>
      </c>
      <c r="U158" s="683"/>
      <c r="V158" s="474">
        <f t="shared" si="34"/>
        <v>0</v>
      </c>
      <c r="W158" s="474">
        <f t="shared" si="35"/>
        <v>0</v>
      </c>
      <c r="X158" s="475">
        <f t="shared" si="36"/>
        <v>0</v>
      </c>
      <c r="Y158" s="475">
        <v>0</v>
      </c>
      <c r="Z158" s="476">
        <v>0</v>
      </c>
      <c r="AA158" s="38">
        <f t="shared" si="37"/>
        <v>0</v>
      </c>
      <c r="AB158" s="692">
        <f t="shared" si="30"/>
        <v>0</v>
      </c>
      <c r="AC158" s="692">
        <f t="shared" si="31"/>
        <v>0</v>
      </c>
      <c r="AD158" s="692">
        <f t="shared" si="32"/>
        <v>0</v>
      </c>
      <c r="AE158" s="38"/>
      <c r="AF158" s="692">
        <f t="shared" si="38"/>
        <v>0</v>
      </c>
      <c r="AG158" s="692">
        <f t="shared" si="39"/>
        <v>0</v>
      </c>
      <c r="AH158" s="692">
        <f t="shared" si="40"/>
        <v>0</v>
      </c>
      <c r="AJ158" s="38">
        <f t="shared" si="42"/>
        <v>0</v>
      </c>
    </row>
    <row r="159" spans="1:36">
      <c r="A159" s="21"/>
      <c r="B159" s="21" t="s">
        <v>896</v>
      </c>
      <c r="C159" s="21"/>
      <c r="D159" s="68" t="s">
        <v>186</v>
      </c>
      <c r="E159" s="679"/>
      <c r="F159" s="529">
        <f>VLOOKUP(D159,'Dec 2012 Revenue'!D:T,17,FALSE)</f>
        <v>0</v>
      </c>
      <c r="G159" s="680"/>
      <c r="H159" s="680"/>
      <c r="I159" s="755"/>
      <c r="J159" s="682">
        <f t="shared" si="33"/>
        <v>0</v>
      </c>
      <c r="K159" s="683"/>
      <c r="L159" s="684"/>
      <c r="M159" s="753"/>
      <c r="N159" s="683">
        <v>0</v>
      </c>
      <c r="O159" s="686"/>
      <c r="P159" s="683">
        <v>0</v>
      </c>
      <c r="Q159" s="687">
        <f t="shared" si="29"/>
        <v>0</v>
      </c>
      <c r="R159" s="688">
        <v>0</v>
      </c>
      <c r="S159" s="693"/>
      <c r="T159" s="690">
        <f t="shared" si="43"/>
        <v>0</v>
      </c>
      <c r="U159" s="683"/>
      <c r="V159" s="474">
        <f t="shared" si="34"/>
        <v>0</v>
      </c>
      <c r="W159" s="474">
        <f t="shared" si="35"/>
        <v>0</v>
      </c>
      <c r="X159" s="475">
        <f t="shared" si="36"/>
        <v>0</v>
      </c>
      <c r="Y159" s="475">
        <v>0</v>
      </c>
      <c r="Z159" s="476">
        <v>0</v>
      </c>
      <c r="AA159" s="38">
        <f t="shared" si="37"/>
        <v>0</v>
      </c>
      <c r="AB159" s="692">
        <f t="shared" si="30"/>
        <v>0</v>
      </c>
      <c r="AC159" s="692">
        <f t="shared" si="31"/>
        <v>0</v>
      </c>
      <c r="AD159" s="692">
        <f t="shared" si="32"/>
        <v>0</v>
      </c>
      <c r="AE159" s="38"/>
      <c r="AF159" s="692">
        <f t="shared" si="38"/>
        <v>0</v>
      </c>
      <c r="AG159" s="692">
        <f t="shared" si="39"/>
        <v>0</v>
      </c>
      <c r="AH159" s="692">
        <f t="shared" si="40"/>
        <v>0</v>
      </c>
      <c r="AJ159" s="38">
        <f t="shared" si="42"/>
        <v>0</v>
      </c>
    </row>
    <row r="160" spans="1:36">
      <c r="A160" s="21"/>
      <c r="B160" s="21" t="s">
        <v>110</v>
      </c>
      <c r="C160" s="666"/>
      <c r="D160" s="68" t="s">
        <v>449</v>
      </c>
      <c r="E160" s="679"/>
      <c r="F160" s="529">
        <f>VLOOKUP(D160,'Dec 2012 Revenue'!D:T,17,FALSE)</f>
        <v>0</v>
      </c>
      <c r="G160" s="680"/>
      <c r="H160" s="680"/>
      <c r="I160" s="755"/>
      <c r="J160" s="682">
        <f t="shared" si="33"/>
        <v>0</v>
      </c>
      <c r="K160" s="683"/>
      <c r="L160" s="684"/>
      <c r="M160" s="753"/>
      <c r="N160" s="683">
        <v>0</v>
      </c>
      <c r="O160" s="686"/>
      <c r="P160" s="683">
        <v>0</v>
      </c>
      <c r="Q160" s="687">
        <f t="shared" si="29"/>
        <v>0</v>
      </c>
      <c r="R160" s="688">
        <v>0</v>
      </c>
      <c r="S160" s="693"/>
      <c r="T160" s="690">
        <f t="shared" si="43"/>
        <v>0</v>
      </c>
      <c r="U160" s="683"/>
      <c r="V160" s="474">
        <f t="shared" si="34"/>
        <v>0</v>
      </c>
      <c r="W160" s="474">
        <f t="shared" si="35"/>
        <v>0</v>
      </c>
      <c r="X160" s="475">
        <f t="shared" si="36"/>
        <v>0</v>
      </c>
      <c r="Y160" s="475">
        <v>0</v>
      </c>
      <c r="Z160" s="476">
        <v>0</v>
      </c>
      <c r="AA160" s="38">
        <f t="shared" si="37"/>
        <v>0</v>
      </c>
      <c r="AB160" s="692">
        <f t="shared" si="30"/>
        <v>0</v>
      </c>
      <c r="AC160" s="692">
        <f t="shared" si="31"/>
        <v>0</v>
      </c>
      <c r="AD160" s="692">
        <f t="shared" si="32"/>
        <v>0</v>
      </c>
      <c r="AE160" s="38"/>
      <c r="AF160" s="692">
        <f t="shared" si="38"/>
        <v>0</v>
      </c>
      <c r="AG160" s="692">
        <f t="shared" si="39"/>
        <v>0</v>
      </c>
      <c r="AH160" s="692">
        <f t="shared" si="40"/>
        <v>0</v>
      </c>
      <c r="AJ160" s="38">
        <f t="shared" si="42"/>
        <v>0</v>
      </c>
    </row>
    <row r="161" spans="1:36">
      <c r="A161" s="21"/>
      <c r="B161" s="21" t="s">
        <v>110</v>
      </c>
      <c r="C161" s="666" t="s">
        <v>566</v>
      </c>
      <c r="D161" s="68" t="s">
        <v>39</v>
      </c>
      <c r="E161" s="679"/>
      <c r="F161" s="529">
        <f>VLOOKUP(D161,'Dec 2012 Revenue'!D:T,17,FALSE)</f>
        <v>0</v>
      </c>
      <c r="G161" s="680"/>
      <c r="H161" s="680"/>
      <c r="I161" s="755"/>
      <c r="J161" s="682">
        <f t="shared" si="33"/>
        <v>0</v>
      </c>
      <c r="K161" s="683"/>
      <c r="L161" s="684"/>
      <c r="M161" s="753"/>
      <c r="N161" s="683">
        <v>0</v>
      </c>
      <c r="O161" s="686"/>
      <c r="P161" s="683">
        <v>0</v>
      </c>
      <c r="Q161" s="687">
        <f t="shared" si="29"/>
        <v>0</v>
      </c>
      <c r="R161" s="688">
        <v>2888.87</v>
      </c>
      <c r="S161" s="693"/>
      <c r="T161" s="690">
        <f t="shared" si="43"/>
        <v>2888.87</v>
      </c>
      <c r="U161" s="683"/>
      <c r="V161" s="474">
        <f t="shared" si="34"/>
        <v>0</v>
      </c>
      <c r="W161" s="474">
        <f t="shared" si="35"/>
        <v>0</v>
      </c>
      <c r="X161" s="475">
        <f t="shared" si="36"/>
        <v>0</v>
      </c>
      <c r="Y161" s="475">
        <v>0</v>
      </c>
      <c r="Z161" s="476">
        <v>0</v>
      </c>
      <c r="AA161" s="38">
        <f t="shared" si="37"/>
        <v>0</v>
      </c>
      <c r="AB161" s="692">
        <f t="shared" si="30"/>
        <v>0</v>
      </c>
      <c r="AC161" s="692">
        <f t="shared" si="31"/>
        <v>0</v>
      </c>
      <c r="AD161" s="692">
        <f t="shared" si="32"/>
        <v>0</v>
      </c>
      <c r="AE161" s="38"/>
      <c r="AF161" s="692">
        <f t="shared" si="38"/>
        <v>0</v>
      </c>
      <c r="AG161" s="692">
        <f t="shared" si="39"/>
        <v>0</v>
      </c>
      <c r="AH161" s="692">
        <f t="shared" si="40"/>
        <v>0</v>
      </c>
      <c r="AJ161" s="38">
        <f t="shared" si="42"/>
        <v>0</v>
      </c>
    </row>
    <row r="162" spans="1:36">
      <c r="A162" s="21"/>
      <c r="B162" s="21" t="s">
        <v>110</v>
      </c>
      <c r="C162" s="666" t="s">
        <v>567</v>
      </c>
      <c r="D162" s="68" t="s">
        <v>435</v>
      </c>
      <c r="E162" s="679"/>
      <c r="F162" s="529">
        <f>VLOOKUP(D162,'Dec 2012 Revenue'!D:T,17,FALSE)</f>
        <v>-25000</v>
      </c>
      <c r="G162" s="680"/>
      <c r="H162" s="680"/>
      <c r="I162" s="755"/>
      <c r="J162" s="682">
        <f t="shared" si="33"/>
        <v>-25000</v>
      </c>
      <c r="K162" s="683"/>
      <c r="L162" s="684"/>
      <c r="M162" s="753">
        <v>50000</v>
      </c>
      <c r="N162" s="683">
        <v>0</v>
      </c>
      <c r="O162" s="686"/>
      <c r="P162" s="683">
        <v>0</v>
      </c>
      <c r="Q162" s="687">
        <f t="shared" si="29"/>
        <v>50000</v>
      </c>
      <c r="R162" s="688">
        <v>31833.17</v>
      </c>
      <c r="S162" s="693"/>
      <c r="T162" s="690">
        <f t="shared" si="43"/>
        <v>-18166.830000000002</v>
      </c>
      <c r="U162" s="683"/>
      <c r="V162" s="474">
        <f t="shared" si="34"/>
        <v>50000</v>
      </c>
      <c r="W162" s="474">
        <f t="shared" si="35"/>
        <v>0</v>
      </c>
      <c r="X162" s="475">
        <f t="shared" si="36"/>
        <v>0</v>
      </c>
      <c r="Y162" s="475">
        <v>0</v>
      </c>
      <c r="Z162" s="476">
        <v>0</v>
      </c>
      <c r="AA162" s="38">
        <f t="shared" si="37"/>
        <v>0</v>
      </c>
      <c r="AB162" s="692">
        <f t="shared" si="30"/>
        <v>-25000</v>
      </c>
      <c r="AC162" s="692">
        <f t="shared" si="31"/>
        <v>0</v>
      </c>
      <c r="AD162" s="692">
        <f t="shared" si="32"/>
        <v>0</v>
      </c>
      <c r="AE162" s="38"/>
      <c r="AF162" s="692">
        <f t="shared" si="38"/>
        <v>50000</v>
      </c>
      <c r="AG162" s="692">
        <f t="shared" si="39"/>
        <v>0</v>
      </c>
      <c r="AH162" s="692">
        <f t="shared" si="40"/>
        <v>0</v>
      </c>
      <c r="AJ162" s="38">
        <f t="shared" si="42"/>
        <v>25000</v>
      </c>
    </row>
    <row r="163" spans="1:36">
      <c r="A163" s="21"/>
      <c r="B163" s="21" t="s">
        <v>110</v>
      </c>
      <c r="C163" s="675" t="s">
        <v>584</v>
      </c>
      <c r="D163" s="68" t="s">
        <v>99</v>
      </c>
      <c r="E163" s="679"/>
      <c r="F163" s="529">
        <f>VLOOKUP(D163,'Dec 2012 Revenue'!D:T,17,FALSE)</f>
        <v>-17000</v>
      </c>
      <c r="G163" s="680"/>
      <c r="H163" s="680"/>
      <c r="I163" s="755"/>
      <c r="J163" s="682">
        <f t="shared" si="33"/>
        <v>-17000</v>
      </c>
      <c r="K163" s="683"/>
      <c r="L163" s="684"/>
      <c r="M163" s="753">
        <v>34000</v>
      </c>
      <c r="N163" s="683">
        <v>0</v>
      </c>
      <c r="O163" s="686"/>
      <c r="P163" s="683">
        <v>0</v>
      </c>
      <c r="Q163" s="687">
        <f t="shared" si="29"/>
        <v>34000</v>
      </c>
      <c r="R163" s="688">
        <v>16360.05</v>
      </c>
      <c r="S163" s="693"/>
      <c r="T163" s="690">
        <f t="shared" si="43"/>
        <v>-17639.95</v>
      </c>
      <c r="U163" s="683"/>
      <c r="V163" s="474">
        <f t="shared" si="34"/>
        <v>34000</v>
      </c>
      <c r="W163" s="474">
        <f t="shared" si="35"/>
        <v>0</v>
      </c>
      <c r="X163" s="475">
        <f t="shared" si="36"/>
        <v>0</v>
      </c>
      <c r="Y163" s="475">
        <v>0</v>
      </c>
      <c r="Z163" s="476">
        <v>0</v>
      </c>
      <c r="AA163" s="38">
        <f t="shared" si="37"/>
        <v>0</v>
      </c>
      <c r="AB163" s="692">
        <f t="shared" si="30"/>
        <v>-17000</v>
      </c>
      <c r="AC163" s="692">
        <f t="shared" si="31"/>
        <v>0</v>
      </c>
      <c r="AD163" s="692">
        <f t="shared" si="32"/>
        <v>0</v>
      </c>
      <c r="AE163" s="38"/>
      <c r="AF163" s="692">
        <f t="shared" si="38"/>
        <v>34000</v>
      </c>
      <c r="AG163" s="692">
        <f t="shared" si="39"/>
        <v>0</v>
      </c>
      <c r="AH163" s="692">
        <f t="shared" si="40"/>
        <v>0</v>
      </c>
      <c r="AJ163" s="38">
        <f t="shared" si="42"/>
        <v>17000</v>
      </c>
    </row>
    <row r="164" spans="1:36" s="232" customFormat="1">
      <c r="A164" s="403"/>
      <c r="B164" s="403" t="s">
        <v>110</v>
      </c>
      <c r="C164" s="666"/>
      <c r="D164" s="123" t="s">
        <v>378</v>
      </c>
      <c r="E164" s="679"/>
      <c r="F164" s="529">
        <f>VLOOKUP(D164,'Dec 2012 Revenue'!D:T,17,FALSE)</f>
        <v>0</v>
      </c>
      <c r="G164" s="680"/>
      <c r="H164" s="680"/>
      <c r="I164" s="755"/>
      <c r="J164" s="682">
        <f t="shared" si="33"/>
        <v>0</v>
      </c>
      <c r="K164" s="683"/>
      <c r="L164" s="684"/>
      <c r="M164" s="753"/>
      <c r="N164" s="683">
        <v>0</v>
      </c>
      <c r="O164" s="686"/>
      <c r="P164" s="683">
        <v>0</v>
      </c>
      <c r="Q164" s="687">
        <f t="shared" si="29"/>
        <v>0</v>
      </c>
      <c r="R164" s="688">
        <v>0</v>
      </c>
      <c r="S164" s="693"/>
      <c r="T164" s="690">
        <f t="shared" si="43"/>
        <v>0</v>
      </c>
      <c r="U164" s="683"/>
      <c r="V164" s="474">
        <f t="shared" si="34"/>
        <v>0</v>
      </c>
      <c r="W164" s="474">
        <f t="shared" si="35"/>
        <v>0</v>
      </c>
      <c r="X164" s="475">
        <f t="shared" si="36"/>
        <v>0</v>
      </c>
      <c r="Y164" s="475">
        <v>0</v>
      </c>
      <c r="Z164" s="476">
        <v>0</v>
      </c>
      <c r="AA164" s="38">
        <f t="shared" si="37"/>
        <v>0</v>
      </c>
      <c r="AB164" s="692">
        <f t="shared" si="30"/>
        <v>0</v>
      </c>
      <c r="AC164" s="692">
        <f t="shared" si="31"/>
        <v>0</v>
      </c>
      <c r="AD164" s="692">
        <f t="shared" si="32"/>
        <v>0</v>
      </c>
      <c r="AE164" s="38"/>
      <c r="AF164" s="692">
        <f t="shared" si="38"/>
        <v>0</v>
      </c>
      <c r="AG164" s="692">
        <f t="shared" si="39"/>
        <v>0</v>
      </c>
      <c r="AH164" s="692">
        <f t="shared" si="40"/>
        <v>0</v>
      </c>
      <c r="AJ164" s="38">
        <f t="shared" si="42"/>
        <v>0</v>
      </c>
    </row>
    <row r="165" spans="1:36" s="232" customFormat="1">
      <c r="A165" s="403"/>
      <c r="B165" s="403" t="s">
        <v>110</v>
      </c>
      <c r="C165" s="666" t="s">
        <v>568</v>
      </c>
      <c r="D165" s="123" t="s">
        <v>303</v>
      </c>
      <c r="E165" s="679"/>
      <c r="F165" s="529">
        <f>VLOOKUP(D165,'Dec 2012 Revenue'!D:T,17,FALSE)</f>
        <v>-85000</v>
      </c>
      <c r="G165" s="680"/>
      <c r="H165" s="680"/>
      <c r="I165" s="755"/>
      <c r="J165" s="682">
        <f t="shared" si="33"/>
        <v>-85000</v>
      </c>
      <c r="K165" s="683"/>
      <c r="L165" s="684"/>
      <c r="M165" s="753">
        <v>170000</v>
      </c>
      <c r="N165" s="683">
        <v>0</v>
      </c>
      <c r="O165" s="686"/>
      <c r="P165" s="683">
        <v>0</v>
      </c>
      <c r="Q165" s="687">
        <f t="shared" si="29"/>
        <v>170000</v>
      </c>
      <c r="R165" s="688">
        <v>0</v>
      </c>
      <c r="S165" s="693"/>
      <c r="T165" s="690">
        <f t="shared" si="43"/>
        <v>-170000</v>
      </c>
      <c r="U165" s="683"/>
      <c r="V165" s="474">
        <f t="shared" si="34"/>
        <v>170000</v>
      </c>
      <c r="W165" s="474">
        <f t="shared" si="35"/>
        <v>0</v>
      </c>
      <c r="X165" s="475">
        <f t="shared" si="36"/>
        <v>0</v>
      </c>
      <c r="Y165" s="475">
        <v>0</v>
      </c>
      <c r="Z165" s="476">
        <v>0</v>
      </c>
      <c r="AA165" s="38">
        <f t="shared" si="37"/>
        <v>0</v>
      </c>
      <c r="AB165" s="692">
        <f t="shared" si="30"/>
        <v>-85000</v>
      </c>
      <c r="AC165" s="692">
        <f t="shared" si="31"/>
        <v>0</v>
      </c>
      <c r="AD165" s="692">
        <f t="shared" si="32"/>
        <v>0</v>
      </c>
      <c r="AE165" s="38"/>
      <c r="AF165" s="692">
        <f t="shared" si="38"/>
        <v>170000</v>
      </c>
      <c r="AG165" s="692">
        <f t="shared" si="39"/>
        <v>0</v>
      </c>
      <c r="AH165" s="692">
        <f t="shared" si="40"/>
        <v>0</v>
      </c>
      <c r="AJ165" s="38">
        <f t="shared" si="42"/>
        <v>85000</v>
      </c>
    </row>
    <row r="166" spans="1:36" s="232" customFormat="1">
      <c r="A166" s="403"/>
      <c r="B166" s="403" t="s">
        <v>110</v>
      </c>
      <c r="C166" s="666"/>
      <c r="D166" s="123" t="s">
        <v>856</v>
      </c>
      <c r="E166" s="679"/>
      <c r="F166" s="529">
        <f>VLOOKUP(D166,'Dec 2012 Revenue'!D:T,17,FALSE)</f>
        <v>-12000</v>
      </c>
      <c r="G166" s="680"/>
      <c r="H166" s="680"/>
      <c r="I166" s="755"/>
      <c r="J166" s="682">
        <f t="shared" si="33"/>
        <v>-12000</v>
      </c>
      <c r="K166" s="683"/>
      <c r="L166" s="684"/>
      <c r="M166" s="753">
        <v>24000</v>
      </c>
      <c r="N166" s="683">
        <v>0</v>
      </c>
      <c r="O166" s="686"/>
      <c r="P166" s="683">
        <v>0</v>
      </c>
      <c r="Q166" s="687">
        <f t="shared" si="29"/>
        <v>24000</v>
      </c>
      <c r="R166" s="688">
        <v>0</v>
      </c>
      <c r="S166" s="693"/>
      <c r="T166" s="690">
        <f t="shared" si="43"/>
        <v>-24000</v>
      </c>
      <c r="U166" s="683"/>
      <c r="V166" s="474">
        <f t="shared" si="34"/>
        <v>24000</v>
      </c>
      <c r="W166" s="474">
        <f t="shared" si="35"/>
        <v>0</v>
      </c>
      <c r="X166" s="475">
        <f t="shared" si="36"/>
        <v>0</v>
      </c>
      <c r="Y166" s="475">
        <v>0</v>
      </c>
      <c r="Z166" s="476">
        <v>0</v>
      </c>
      <c r="AA166" s="38">
        <f t="shared" si="37"/>
        <v>0</v>
      </c>
      <c r="AB166" s="692">
        <f t="shared" si="30"/>
        <v>-12000</v>
      </c>
      <c r="AC166" s="692">
        <f t="shared" si="31"/>
        <v>0</v>
      </c>
      <c r="AD166" s="692">
        <f t="shared" si="32"/>
        <v>0</v>
      </c>
      <c r="AE166" s="38"/>
      <c r="AF166" s="692">
        <f t="shared" si="38"/>
        <v>24000</v>
      </c>
      <c r="AG166" s="692">
        <f t="shared" si="39"/>
        <v>0</v>
      </c>
      <c r="AH166" s="692">
        <f t="shared" si="40"/>
        <v>0</v>
      </c>
      <c r="AJ166" s="38">
        <f t="shared" si="42"/>
        <v>12000</v>
      </c>
    </row>
    <row r="167" spans="1:36" s="232" customFormat="1">
      <c r="A167" s="403"/>
      <c r="B167" s="403" t="s">
        <v>109</v>
      </c>
      <c r="C167" s="666" t="s">
        <v>569</v>
      </c>
      <c r="D167" s="123" t="s">
        <v>468</v>
      </c>
      <c r="E167" s="679"/>
      <c r="F167" s="529">
        <f>VLOOKUP(D167,'Dec 2012 Revenue'!D:T,17,FALSE)</f>
        <v>0</v>
      </c>
      <c r="G167" s="680"/>
      <c r="H167" s="680"/>
      <c r="I167" s="755"/>
      <c r="J167" s="682">
        <f t="shared" si="33"/>
        <v>0</v>
      </c>
      <c r="K167" s="683"/>
      <c r="L167" s="684"/>
      <c r="M167" s="753"/>
      <c r="N167" s="683">
        <v>0</v>
      </c>
      <c r="O167" s="686"/>
      <c r="P167" s="683">
        <v>0</v>
      </c>
      <c r="Q167" s="687">
        <f t="shared" si="29"/>
        <v>0</v>
      </c>
      <c r="R167" s="688">
        <v>0</v>
      </c>
      <c r="S167" s="693"/>
      <c r="T167" s="690">
        <f t="shared" si="43"/>
        <v>0</v>
      </c>
      <c r="U167" s="683"/>
      <c r="V167" s="474">
        <f t="shared" si="34"/>
        <v>0</v>
      </c>
      <c r="W167" s="474">
        <f t="shared" si="35"/>
        <v>0</v>
      </c>
      <c r="X167" s="475">
        <f t="shared" si="36"/>
        <v>0</v>
      </c>
      <c r="Y167" s="475">
        <v>0</v>
      </c>
      <c r="Z167" s="476">
        <v>0</v>
      </c>
      <c r="AA167" s="38">
        <f t="shared" si="37"/>
        <v>0</v>
      </c>
      <c r="AB167" s="692">
        <f t="shared" si="30"/>
        <v>0</v>
      </c>
      <c r="AC167" s="692">
        <f t="shared" si="31"/>
        <v>0</v>
      </c>
      <c r="AD167" s="692">
        <f t="shared" si="32"/>
        <v>0</v>
      </c>
      <c r="AE167" s="38"/>
      <c r="AF167" s="692">
        <f t="shared" si="38"/>
        <v>0</v>
      </c>
      <c r="AG167" s="692">
        <f t="shared" si="39"/>
        <v>0</v>
      </c>
      <c r="AH167" s="692">
        <f t="shared" si="40"/>
        <v>0</v>
      </c>
      <c r="AJ167" s="38">
        <f t="shared" si="42"/>
        <v>0</v>
      </c>
    </row>
    <row r="168" spans="1:36">
      <c r="A168" s="20"/>
      <c r="B168" s="20" t="s">
        <v>110</v>
      </c>
      <c r="C168" s="676" t="s">
        <v>844</v>
      </c>
      <c r="D168" s="68" t="s">
        <v>845</v>
      </c>
      <c r="E168" s="679"/>
      <c r="F168" s="529">
        <f>VLOOKUP(D168,'Dec 2012 Revenue'!D:T,17,FALSE)</f>
        <v>0</v>
      </c>
      <c r="G168" s="680"/>
      <c r="H168" s="680"/>
      <c r="I168" s="755"/>
      <c r="J168" s="682">
        <f t="shared" si="33"/>
        <v>0</v>
      </c>
      <c r="K168" s="683"/>
      <c r="L168" s="684"/>
      <c r="M168" s="753"/>
      <c r="N168" s="683">
        <v>0</v>
      </c>
      <c r="O168" s="686"/>
      <c r="P168" s="683">
        <v>0</v>
      </c>
      <c r="Q168" s="687">
        <f t="shared" si="29"/>
        <v>0</v>
      </c>
      <c r="R168" s="688">
        <v>0</v>
      </c>
      <c r="S168" s="693"/>
      <c r="T168" s="690">
        <f t="shared" si="43"/>
        <v>0</v>
      </c>
      <c r="U168" s="683"/>
      <c r="V168" s="474">
        <f t="shared" si="34"/>
        <v>0</v>
      </c>
      <c r="W168" s="474">
        <f t="shared" si="35"/>
        <v>0</v>
      </c>
      <c r="X168" s="475">
        <f t="shared" si="36"/>
        <v>0</v>
      </c>
      <c r="Y168" s="475">
        <v>0</v>
      </c>
      <c r="Z168" s="476">
        <v>0</v>
      </c>
      <c r="AA168" s="38">
        <f t="shared" si="37"/>
        <v>0</v>
      </c>
      <c r="AB168" s="692">
        <f t="shared" si="30"/>
        <v>0</v>
      </c>
      <c r="AC168" s="692">
        <f t="shared" si="31"/>
        <v>0</v>
      </c>
      <c r="AD168" s="692">
        <f t="shared" si="32"/>
        <v>0</v>
      </c>
      <c r="AE168" s="38"/>
      <c r="AF168" s="692">
        <f t="shared" si="38"/>
        <v>0</v>
      </c>
      <c r="AG168" s="692">
        <f t="shared" si="39"/>
        <v>0</v>
      </c>
      <c r="AH168" s="692">
        <f t="shared" si="40"/>
        <v>0</v>
      </c>
      <c r="AJ168" s="38">
        <f t="shared" si="42"/>
        <v>0</v>
      </c>
    </row>
    <row r="169" spans="1:36">
      <c r="A169" s="20"/>
      <c r="B169" s="20" t="s">
        <v>109</v>
      </c>
      <c r="C169" s="667" t="s">
        <v>570</v>
      </c>
      <c r="D169" s="68" t="s">
        <v>41</v>
      </c>
      <c r="E169" s="679"/>
      <c r="F169" s="529">
        <f>VLOOKUP(D169,'Dec 2012 Revenue'!D:T,17,FALSE)</f>
        <v>0</v>
      </c>
      <c r="G169" s="680"/>
      <c r="H169" s="680"/>
      <c r="I169" s="755"/>
      <c r="J169" s="682">
        <f t="shared" si="33"/>
        <v>0</v>
      </c>
      <c r="K169" s="683"/>
      <c r="L169" s="684"/>
      <c r="M169" s="753"/>
      <c r="N169" s="683">
        <v>0</v>
      </c>
      <c r="O169" s="686"/>
      <c r="P169" s="683">
        <v>0</v>
      </c>
      <c r="Q169" s="687">
        <f t="shared" si="29"/>
        <v>0</v>
      </c>
      <c r="R169" s="688">
        <v>0</v>
      </c>
      <c r="S169" s="693"/>
      <c r="T169" s="690">
        <f t="shared" si="43"/>
        <v>0</v>
      </c>
      <c r="U169" s="683"/>
      <c r="V169" s="474">
        <f t="shared" si="34"/>
        <v>0</v>
      </c>
      <c r="W169" s="474">
        <f t="shared" si="35"/>
        <v>0</v>
      </c>
      <c r="X169" s="475">
        <f t="shared" si="36"/>
        <v>0</v>
      </c>
      <c r="Y169" s="475">
        <v>0</v>
      </c>
      <c r="Z169" s="476">
        <v>0</v>
      </c>
      <c r="AA169" s="38">
        <f t="shared" si="37"/>
        <v>0</v>
      </c>
      <c r="AB169" s="692">
        <f t="shared" si="30"/>
        <v>0</v>
      </c>
      <c r="AC169" s="692">
        <f t="shared" si="31"/>
        <v>0</v>
      </c>
      <c r="AD169" s="692">
        <f t="shared" si="32"/>
        <v>0</v>
      </c>
      <c r="AE169" s="38"/>
      <c r="AF169" s="692">
        <f t="shared" si="38"/>
        <v>0</v>
      </c>
      <c r="AG169" s="692">
        <f t="shared" si="39"/>
        <v>0</v>
      </c>
      <c r="AH169" s="692">
        <f t="shared" si="40"/>
        <v>0</v>
      </c>
      <c r="AJ169" s="38">
        <f t="shared" si="42"/>
        <v>0</v>
      </c>
    </row>
    <row r="170" spans="1:36">
      <c r="A170" s="20"/>
      <c r="B170" s="20" t="s">
        <v>109</v>
      </c>
      <c r="C170" s="667" t="s">
        <v>570</v>
      </c>
      <c r="D170" s="68" t="s">
        <v>221</v>
      </c>
      <c r="E170" s="679"/>
      <c r="F170" s="529">
        <f>VLOOKUP(D170,'Dec 2012 Revenue'!D:T,17,FALSE)</f>
        <v>0</v>
      </c>
      <c r="G170" s="680"/>
      <c r="H170" s="680"/>
      <c r="I170" s="755"/>
      <c r="J170" s="682">
        <f t="shared" si="33"/>
        <v>0</v>
      </c>
      <c r="K170" s="683"/>
      <c r="L170" s="684"/>
      <c r="M170" s="753"/>
      <c r="N170" s="683">
        <v>0</v>
      </c>
      <c r="O170" s="686"/>
      <c r="P170" s="683">
        <v>0</v>
      </c>
      <c r="Q170" s="687">
        <f t="shared" si="29"/>
        <v>0</v>
      </c>
      <c r="R170" s="688">
        <v>0</v>
      </c>
      <c r="S170" s="693"/>
      <c r="T170" s="690">
        <f t="shared" si="43"/>
        <v>0</v>
      </c>
      <c r="U170" s="683"/>
      <c r="V170" s="474">
        <f t="shared" si="34"/>
        <v>0</v>
      </c>
      <c r="W170" s="474">
        <f t="shared" si="35"/>
        <v>0</v>
      </c>
      <c r="X170" s="475">
        <f t="shared" si="36"/>
        <v>0</v>
      </c>
      <c r="Y170" s="475">
        <v>0</v>
      </c>
      <c r="Z170" s="476">
        <v>0</v>
      </c>
      <c r="AA170" s="38">
        <f t="shared" si="37"/>
        <v>0</v>
      </c>
      <c r="AB170" s="692">
        <f t="shared" si="30"/>
        <v>0</v>
      </c>
      <c r="AC170" s="692">
        <f t="shared" si="31"/>
        <v>0</v>
      </c>
      <c r="AD170" s="692">
        <f t="shared" si="32"/>
        <v>0</v>
      </c>
      <c r="AE170" s="38"/>
      <c r="AF170" s="692">
        <f t="shared" si="38"/>
        <v>0</v>
      </c>
      <c r="AG170" s="692">
        <f t="shared" si="39"/>
        <v>0</v>
      </c>
      <c r="AH170" s="692">
        <f t="shared" si="40"/>
        <v>0</v>
      </c>
      <c r="AJ170" s="38">
        <f t="shared" si="42"/>
        <v>0</v>
      </c>
    </row>
    <row r="171" spans="1:36">
      <c r="A171" s="21"/>
      <c r="B171" s="21" t="s">
        <v>110</v>
      </c>
      <c r="C171" s="666"/>
      <c r="D171" s="68" t="s">
        <v>43</v>
      </c>
      <c r="E171" s="679"/>
      <c r="F171" s="529">
        <f>VLOOKUP(D171,'Dec 2012 Revenue'!D:T,17,FALSE)</f>
        <v>0</v>
      </c>
      <c r="G171" s="680"/>
      <c r="H171" s="680"/>
      <c r="I171" s="755"/>
      <c r="J171" s="682">
        <f t="shared" si="33"/>
        <v>0</v>
      </c>
      <c r="K171" s="683"/>
      <c r="L171" s="684"/>
      <c r="M171" s="753"/>
      <c r="N171" s="683">
        <v>0</v>
      </c>
      <c r="O171" s="686"/>
      <c r="P171" s="683">
        <v>0</v>
      </c>
      <c r="Q171" s="687">
        <f t="shared" si="29"/>
        <v>0</v>
      </c>
      <c r="R171" s="688">
        <v>261.12</v>
      </c>
      <c r="S171" s="693"/>
      <c r="T171" s="690">
        <f t="shared" si="43"/>
        <v>261.12</v>
      </c>
      <c r="U171" s="683"/>
      <c r="V171" s="474">
        <f t="shared" si="34"/>
        <v>0</v>
      </c>
      <c r="W171" s="474">
        <f t="shared" si="35"/>
        <v>0</v>
      </c>
      <c r="X171" s="475">
        <f t="shared" si="36"/>
        <v>0</v>
      </c>
      <c r="Y171" s="475">
        <v>0</v>
      </c>
      <c r="Z171" s="476">
        <v>0</v>
      </c>
      <c r="AA171" s="38">
        <f t="shared" si="37"/>
        <v>0</v>
      </c>
      <c r="AB171" s="692">
        <f t="shared" si="30"/>
        <v>0</v>
      </c>
      <c r="AC171" s="692">
        <f t="shared" si="31"/>
        <v>0</v>
      </c>
      <c r="AD171" s="692">
        <f t="shared" si="32"/>
        <v>0</v>
      </c>
      <c r="AE171" s="38"/>
      <c r="AF171" s="692">
        <f t="shared" si="38"/>
        <v>0</v>
      </c>
      <c r="AG171" s="692">
        <f t="shared" si="39"/>
        <v>0</v>
      </c>
      <c r="AH171" s="692">
        <f t="shared" si="40"/>
        <v>0</v>
      </c>
      <c r="AJ171" s="38">
        <f t="shared" si="42"/>
        <v>0</v>
      </c>
    </row>
    <row r="172" spans="1:36">
      <c r="A172" s="21"/>
      <c r="B172" s="21" t="s">
        <v>109</v>
      </c>
      <c r="C172" s="666" t="s">
        <v>571</v>
      </c>
      <c r="D172" s="68" t="s">
        <v>44</v>
      </c>
      <c r="E172" s="679"/>
      <c r="F172" s="529">
        <f>VLOOKUP(D172,'Dec 2012 Revenue'!D:T,17,FALSE)</f>
        <v>0</v>
      </c>
      <c r="G172" s="680"/>
      <c r="H172" s="680"/>
      <c r="I172" s="770">
        <v>4014</v>
      </c>
      <c r="J172" s="682">
        <f t="shared" si="33"/>
        <v>4014</v>
      </c>
      <c r="K172" s="683"/>
      <c r="L172" s="684"/>
      <c r="M172" s="753"/>
      <c r="N172" s="683">
        <v>0</v>
      </c>
      <c r="O172" s="686"/>
      <c r="P172" s="683">
        <v>0</v>
      </c>
      <c r="Q172" s="687">
        <f t="shared" si="29"/>
        <v>0</v>
      </c>
      <c r="R172" s="688">
        <v>0</v>
      </c>
      <c r="S172" s="693"/>
      <c r="T172" s="690">
        <f t="shared" si="43"/>
        <v>0</v>
      </c>
      <c r="U172" s="683"/>
      <c r="V172" s="474">
        <f t="shared" si="34"/>
        <v>0</v>
      </c>
      <c r="W172" s="474">
        <f t="shared" si="35"/>
        <v>0</v>
      </c>
      <c r="X172" s="475">
        <f t="shared" si="36"/>
        <v>0</v>
      </c>
      <c r="Y172" s="475">
        <v>0</v>
      </c>
      <c r="Z172" s="476">
        <v>0</v>
      </c>
      <c r="AA172" s="38">
        <f t="shared" si="37"/>
        <v>0</v>
      </c>
      <c r="AB172" s="692">
        <f t="shared" si="30"/>
        <v>0</v>
      </c>
      <c r="AC172" s="692">
        <f t="shared" si="31"/>
        <v>4014</v>
      </c>
      <c r="AD172" s="692">
        <f t="shared" si="32"/>
        <v>0</v>
      </c>
      <c r="AE172" s="38"/>
      <c r="AF172" s="692">
        <f t="shared" si="38"/>
        <v>0</v>
      </c>
      <c r="AG172" s="692">
        <f t="shared" si="39"/>
        <v>0</v>
      </c>
      <c r="AH172" s="692">
        <f t="shared" si="40"/>
        <v>0</v>
      </c>
      <c r="AJ172" s="38">
        <f t="shared" si="42"/>
        <v>4014</v>
      </c>
    </row>
    <row r="173" spans="1:36">
      <c r="A173" s="21"/>
      <c r="B173" s="21" t="s">
        <v>114</v>
      </c>
      <c r="C173" s="666" t="s">
        <v>571</v>
      </c>
      <c r="D173" s="68" t="s">
        <v>44</v>
      </c>
      <c r="E173" s="679"/>
      <c r="F173" s="529">
        <f>VLOOKUP(D173,'Dec 2012 Revenue'!D:T,17,FALSE)</f>
        <v>0</v>
      </c>
      <c r="G173" s="680"/>
      <c r="H173" s="680"/>
      <c r="I173" s="755"/>
      <c r="J173" s="682">
        <f t="shared" si="33"/>
        <v>0</v>
      </c>
      <c r="K173" s="683"/>
      <c r="L173" s="684"/>
      <c r="M173" s="753"/>
      <c r="N173" s="683">
        <v>0</v>
      </c>
      <c r="O173" s="686"/>
      <c r="P173" s="683">
        <v>0</v>
      </c>
      <c r="Q173" s="687">
        <f t="shared" si="29"/>
        <v>0</v>
      </c>
      <c r="R173" s="688">
        <v>0</v>
      </c>
      <c r="S173" s="693"/>
      <c r="T173" s="690">
        <f t="shared" si="43"/>
        <v>0</v>
      </c>
      <c r="U173" s="683"/>
      <c r="V173" s="474">
        <f t="shared" si="34"/>
        <v>0</v>
      </c>
      <c r="W173" s="474">
        <f t="shared" si="35"/>
        <v>0</v>
      </c>
      <c r="X173" s="475">
        <f t="shared" si="36"/>
        <v>0</v>
      </c>
      <c r="Y173" s="475">
        <v>0</v>
      </c>
      <c r="Z173" s="476">
        <v>0</v>
      </c>
      <c r="AA173" s="38">
        <f t="shared" si="37"/>
        <v>0</v>
      </c>
      <c r="AB173" s="692">
        <f t="shared" si="30"/>
        <v>0</v>
      </c>
      <c r="AC173" s="692">
        <f t="shared" si="31"/>
        <v>0</v>
      </c>
      <c r="AD173" s="692">
        <f t="shared" si="32"/>
        <v>0</v>
      </c>
      <c r="AE173" s="38"/>
      <c r="AF173" s="692">
        <f t="shared" si="38"/>
        <v>0</v>
      </c>
      <c r="AG173" s="692">
        <f t="shared" si="39"/>
        <v>0</v>
      </c>
      <c r="AH173" s="692">
        <f t="shared" si="40"/>
        <v>0</v>
      </c>
      <c r="AJ173" s="38">
        <f t="shared" si="42"/>
        <v>0</v>
      </c>
    </row>
    <row r="174" spans="1:36">
      <c r="A174" s="21"/>
      <c r="B174" s="21" t="s">
        <v>110</v>
      </c>
      <c r="C174" s="666" t="s">
        <v>572</v>
      </c>
      <c r="D174" s="68" t="s">
        <v>388</v>
      </c>
      <c r="E174" s="679"/>
      <c r="F174" s="529">
        <f>VLOOKUP(D174,'Dec 2012 Revenue'!D:T,17,FALSE)</f>
        <v>0</v>
      </c>
      <c r="G174" s="680"/>
      <c r="H174" s="680"/>
      <c r="I174" s="755"/>
      <c r="J174" s="682">
        <f t="shared" si="33"/>
        <v>0</v>
      </c>
      <c r="K174" s="683"/>
      <c r="L174" s="684"/>
      <c r="M174" s="753"/>
      <c r="N174" s="683">
        <v>0</v>
      </c>
      <c r="O174" s="686"/>
      <c r="P174" s="683">
        <v>0</v>
      </c>
      <c r="Q174" s="687">
        <f t="shared" si="29"/>
        <v>0</v>
      </c>
      <c r="R174" s="688">
        <f>8821.73+243.91</f>
        <v>9065.64</v>
      </c>
      <c r="S174" s="693"/>
      <c r="T174" s="690">
        <f t="shared" si="43"/>
        <v>9065.64</v>
      </c>
      <c r="U174" s="683"/>
      <c r="V174" s="474">
        <f t="shared" si="34"/>
        <v>0</v>
      </c>
      <c r="W174" s="474">
        <f t="shared" si="35"/>
        <v>0</v>
      </c>
      <c r="X174" s="475">
        <f t="shared" si="36"/>
        <v>0</v>
      </c>
      <c r="Y174" s="475">
        <v>0</v>
      </c>
      <c r="Z174" s="476">
        <v>0</v>
      </c>
      <c r="AA174" s="38">
        <f t="shared" si="37"/>
        <v>0</v>
      </c>
      <c r="AB174" s="692">
        <f t="shared" si="30"/>
        <v>0</v>
      </c>
      <c r="AC174" s="692">
        <f t="shared" si="31"/>
        <v>0</v>
      </c>
      <c r="AD174" s="692">
        <f t="shared" si="32"/>
        <v>0</v>
      </c>
      <c r="AE174" s="38"/>
      <c r="AF174" s="692">
        <f t="shared" si="38"/>
        <v>0</v>
      </c>
      <c r="AG174" s="692">
        <f t="shared" si="39"/>
        <v>0</v>
      </c>
      <c r="AH174" s="692">
        <f t="shared" si="40"/>
        <v>0</v>
      </c>
      <c r="AJ174" s="38">
        <f t="shared" si="42"/>
        <v>0</v>
      </c>
    </row>
    <row r="175" spans="1:36">
      <c r="A175" s="20"/>
      <c r="B175" s="20" t="s">
        <v>109</v>
      </c>
      <c r="C175" s="667"/>
      <c r="D175" s="68" t="s">
        <v>842</v>
      </c>
      <c r="E175" s="679">
        <v>10372.15</v>
      </c>
      <c r="F175" s="529">
        <f>VLOOKUP(D175,'Dec 2012 Revenue'!D:T,17,FALSE)</f>
        <v>-30000</v>
      </c>
      <c r="G175" s="680"/>
      <c r="H175" s="680"/>
      <c r="I175" s="755"/>
      <c r="J175" s="682">
        <f t="shared" si="33"/>
        <v>-19627.849999999999</v>
      </c>
      <c r="K175" s="683"/>
      <c r="L175" s="684"/>
      <c r="M175" s="753">
        <v>40000</v>
      </c>
      <c r="N175" s="683">
        <v>0</v>
      </c>
      <c r="O175" s="686"/>
      <c r="P175" s="683">
        <v>0</v>
      </c>
      <c r="Q175" s="687">
        <f t="shared" si="29"/>
        <v>40000</v>
      </c>
      <c r="R175" s="688">
        <v>0</v>
      </c>
      <c r="S175" s="693"/>
      <c r="T175" s="690">
        <f t="shared" si="43"/>
        <v>-40000</v>
      </c>
      <c r="U175" s="683"/>
      <c r="V175" s="474">
        <f t="shared" si="34"/>
        <v>0</v>
      </c>
      <c r="W175" s="474">
        <f t="shared" si="35"/>
        <v>40000</v>
      </c>
      <c r="X175" s="475">
        <f t="shared" si="36"/>
        <v>0</v>
      </c>
      <c r="Y175" s="475">
        <v>0</v>
      </c>
      <c r="Z175" s="476">
        <v>0</v>
      </c>
      <c r="AA175" s="38">
        <f t="shared" si="37"/>
        <v>0</v>
      </c>
      <c r="AB175" s="692">
        <f t="shared" si="30"/>
        <v>0</v>
      </c>
      <c r="AC175" s="692">
        <f t="shared" si="31"/>
        <v>-19627.849999999999</v>
      </c>
      <c r="AD175" s="692">
        <f t="shared" si="32"/>
        <v>0</v>
      </c>
      <c r="AE175" s="38"/>
      <c r="AF175" s="692">
        <f t="shared" si="38"/>
        <v>0</v>
      </c>
      <c r="AG175" s="692">
        <f t="shared" si="39"/>
        <v>40000</v>
      </c>
      <c r="AH175" s="692">
        <f t="shared" si="40"/>
        <v>0</v>
      </c>
      <c r="AJ175" s="38">
        <f t="shared" si="42"/>
        <v>20372.150000000001</v>
      </c>
    </row>
    <row r="176" spans="1:36">
      <c r="A176" s="21"/>
      <c r="B176" s="21" t="s">
        <v>110</v>
      </c>
      <c r="C176" s="666"/>
      <c r="D176" s="68" t="s">
        <v>45</v>
      </c>
      <c r="E176" s="679"/>
      <c r="F176" s="529">
        <f>VLOOKUP(D176,'Dec 2012 Revenue'!D:T,17,FALSE)</f>
        <v>4650.5</v>
      </c>
      <c r="G176" s="680"/>
      <c r="H176" s="680"/>
      <c r="I176" s="755"/>
      <c r="J176" s="682">
        <f t="shared" si="33"/>
        <v>4650.5</v>
      </c>
      <c r="K176" s="683"/>
      <c r="L176" s="684"/>
      <c r="M176" s="753">
        <v>15000</v>
      </c>
      <c r="N176" s="683">
        <v>0</v>
      </c>
      <c r="O176" s="686"/>
      <c r="P176" s="683">
        <v>0</v>
      </c>
      <c r="Q176" s="687">
        <f t="shared" si="29"/>
        <v>15000</v>
      </c>
      <c r="R176" s="688">
        <f>17655.78+1120.83</f>
        <v>18776.61</v>
      </c>
      <c r="S176" s="693"/>
      <c r="T176" s="690">
        <f t="shared" si="43"/>
        <v>3776.6100000000006</v>
      </c>
      <c r="U176" s="683"/>
      <c r="V176" s="474">
        <f t="shared" si="34"/>
        <v>15000</v>
      </c>
      <c r="W176" s="474">
        <f t="shared" si="35"/>
        <v>0</v>
      </c>
      <c r="X176" s="475">
        <f t="shared" si="36"/>
        <v>0</v>
      </c>
      <c r="Y176" s="475">
        <v>0</v>
      </c>
      <c r="Z176" s="476">
        <v>0</v>
      </c>
      <c r="AA176" s="38">
        <f t="shared" si="37"/>
        <v>0</v>
      </c>
      <c r="AB176" s="692">
        <f t="shared" si="30"/>
        <v>4650.5</v>
      </c>
      <c r="AC176" s="692">
        <f t="shared" si="31"/>
        <v>0</v>
      </c>
      <c r="AD176" s="692">
        <f t="shared" si="32"/>
        <v>0</v>
      </c>
      <c r="AE176" s="38"/>
      <c r="AF176" s="692">
        <f t="shared" si="38"/>
        <v>15000</v>
      </c>
      <c r="AG176" s="692">
        <f t="shared" si="39"/>
        <v>0</v>
      </c>
      <c r="AH176" s="692">
        <f t="shared" si="40"/>
        <v>0</v>
      </c>
      <c r="AJ176" s="38">
        <f t="shared" si="42"/>
        <v>19650.5</v>
      </c>
    </row>
    <row r="177" spans="1:36">
      <c r="A177" s="20" t="s">
        <v>211</v>
      </c>
      <c r="B177" s="20" t="s">
        <v>110</v>
      </c>
      <c r="C177" s="667"/>
      <c r="D177" s="68" t="s">
        <v>503</v>
      </c>
      <c r="E177" s="679"/>
      <c r="F177" s="529">
        <f>VLOOKUP(D177,'Dec 2012 Revenue'!D:T,17,FALSE)</f>
        <v>0</v>
      </c>
      <c r="G177" s="680"/>
      <c r="H177" s="680"/>
      <c r="I177" s="755"/>
      <c r="J177" s="682">
        <f t="shared" si="33"/>
        <v>0</v>
      </c>
      <c r="K177" s="683"/>
      <c r="L177" s="684"/>
      <c r="M177" s="753"/>
      <c r="N177" s="683">
        <v>0</v>
      </c>
      <c r="O177" s="686"/>
      <c r="P177" s="683">
        <v>0</v>
      </c>
      <c r="Q177" s="687">
        <f t="shared" si="29"/>
        <v>0</v>
      </c>
      <c r="R177" s="688">
        <v>0</v>
      </c>
      <c r="S177" s="693"/>
      <c r="T177" s="690">
        <f t="shared" si="43"/>
        <v>0</v>
      </c>
      <c r="U177" s="697"/>
      <c r="V177" s="474">
        <f t="shared" si="34"/>
        <v>0</v>
      </c>
      <c r="W177" s="474">
        <f t="shared" si="35"/>
        <v>0</v>
      </c>
      <c r="X177" s="475">
        <f t="shared" si="36"/>
        <v>0</v>
      </c>
      <c r="Y177" s="475">
        <v>0</v>
      </c>
      <c r="Z177" s="476">
        <v>0</v>
      </c>
      <c r="AA177" s="38">
        <f t="shared" si="37"/>
        <v>0</v>
      </c>
      <c r="AB177" s="692">
        <f t="shared" si="30"/>
        <v>0</v>
      </c>
      <c r="AC177" s="692">
        <f t="shared" si="31"/>
        <v>0</v>
      </c>
      <c r="AD177" s="692">
        <f t="shared" si="32"/>
        <v>0</v>
      </c>
      <c r="AE177" s="38"/>
      <c r="AF177" s="692">
        <f t="shared" si="38"/>
        <v>0</v>
      </c>
      <c r="AG177" s="692">
        <f t="shared" si="39"/>
        <v>0</v>
      </c>
      <c r="AH177" s="692">
        <f t="shared" si="40"/>
        <v>0</v>
      </c>
      <c r="AJ177" s="38">
        <f t="shared" si="42"/>
        <v>0</v>
      </c>
    </row>
    <row r="178" spans="1:36">
      <c r="A178" s="20"/>
      <c r="B178" s="20" t="s">
        <v>110</v>
      </c>
      <c r="C178" s="667" t="s">
        <v>573</v>
      </c>
      <c r="D178" s="68" t="s">
        <v>102</v>
      </c>
      <c r="E178" s="679"/>
      <c r="F178" s="529">
        <f>VLOOKUP(D178,'Dec 2012 Revenue'!D:T,17,FALSE)</f>
        <v>112037.91999999993</v>
      </c>
      <c r="G178" s="680"/>
      <c r="H178" s="680"/>
      <c r="I178" s="755"/>
      <c r="J178" s="682">
        <f t="shared" si="33"/>
        <v>112037.91999999993</v>
      </c>
      <c r="K178" s="683"/>
      <c r="L178" s="684"/>
      <c r="M178" s="753">
        <v>1000000</v>
      </c>
      <c r="N178" s="683">
        <v>0</v>
      </c>
      <c r="O178" s="686"/>
      <c r="P178" s="683">
        <v>0</v>
      </c>
      <c r="Q178" s="687">
        <f t="shared" si="29"/>
        <v>1000000</v>
      </c>
      <c r="R178" s="688">
        <f>1071402.6+118.65</f>
        <v>1071521.25</v>
      </c>
      <c r="S178" s="693"/>
      <c r="T178" s="690">
        <f t="shared" si="43"/>
        <v>71521.25</v>
      </c>
      <c r="U178" s="697"/>
      <c r="V178" s="474">
        <f t="shared" si="34"/>
        <v>1000000</v>
      </c>
      <c r="W178" s="474">
        <f t="shared" si="35"/>
        <v>0</v>
      </c>
      <c r="X178" s="475">
        <f t="shared" si="36"/>
        <v>0</v>
      </c>
      <c r="Y178" s="475">
        <v>0</v>
      </c>
      <c r="Z178" s="476">
        <v>0</v>
      </c>
      <c r="AA178" s="38">
        <f t="shared" si="37"/>
        <v>0</v>
      </c>
      <c r="AB178" s="692">
        <f t="shared" si="30"/>
        <v>112037.91999999993</v>
      </c>
      <c r="AC178" s="692">
        <f t="shared" si="31"/>
        <v>0</v>
      </c>
      <c r="AD178" s="692">
        <f t="shared" si="32"/>
        <v>0</v>
      </c>
      <c r="AE178" s="38"/>
      <c r="AF178" s="692">
        <f t="shared" si="38"/>
        <v>1000000</v>
      </c>
      <c r="AG178" s="692">
        <f t="shared" si="39"/>
        <v>0</v>
      </c>
      <c r="AH178" s="692">
        <f t="shared" si="40"/>
        <v>0</v>
      </c>
      <c r="AJ178" s="38">
        <f t="shared" si="42"/>
        <v>1112037.92</v>
      </c>
    </row>
    <row r="179" spans="1:36">
      <c r="A179" s="20"/>
      <c r="B179" s="20" t="s">
        <v>110</v>
      </c>
      <c r="C179" s="667" t="s">
        <v>573</v>
      </c>
      <c r="D179" s="68" t="s">
        <v>511</v>
      </c>
      <c r="E179" s="679"/>
      <c r="F179" s="529">
        <f>VLOOKUP(D179,'Dec 2012 Revenue'!D:T,17,FALSE)</f>
        <v>-6202.8600000000006</v>
      </c>
      <c r="G179" s="680"/>
      <c r="H179" s="680"/>
      <c r="I179" s="755"/>
      <c r="J179" s="682">
        <f t="shared" si="33"/>
        <v>-6202.8600000000006</v>
      </c>
      <c r="K179" s="683"/>
      <c r="L179" s="684"/>
      <c r="M179" s="753"/>
      <c r="N179" s="683">
        <v>0</v>
      </c>
      <c r="O179" s="686"/>
      <c r="P179" s="683">
        <v>0</v>
      </c>
      <c r="Q179" s="687">
        <f t="shared" si="29"/>
        <v>0</v>
      </c>
      <c r="R179" s="688">
        <v>4869.43</v>
      </c>
      <c r="S179" s="693"/>
      <c r="T179" s="690">
        <f t="shared" si="43"/>
        <v>4869.43</v>
      </c>
      <c r="U179" s="697"/>
      <c r="V179" s="474">
        <f t="shared" si="34"/>
        <v>0</v>
      </c>
      <c r="W179" s="474">
        <f t="shared" si="35"/>
        <v>0</v>
      </c>
      <c r="X179" s="475">
        <f t="shared" si="36"/>
        <v>0</v>
      </c>
      <c r="Y179" s="475">
        <v>0</v>
      </c>
      <c r="Z179" s="476">
        <v>0</v>
      </c>
      <c r="AA179" s="38">
        <f t="shared" si="37"/>
        <v>0</v>
      </c>
      <c r="AB179" s="692">
        <f t="shared" si="30"/>
        <v>-6202.8600000000006</v>
      </c>
      <c r="AC179" s="692">
        <f t="shared" si="31"/>
        <v>0</v>
      </c>
      <c r="AD179" s="692">
        <f t="shared" si="32"/>
        <v>0</v>
      </c>
      <c r="AE179" s="38"/>
      <c r="AF179" s="692">
        <f t="shared" si="38"/>
        <v>0</v>
      </c>
      <c r="AG179" s="692">
        <f t="shared" si="39"/>
        <v>0</v>
      </c>
      <c r="AH179" s="692">
        <f t="shared" si="40"/>
        <v>0</v>
      </c>
      <c r="AJ179" s="38">
        <f t="shared" si="42"/>
        <v>-6202.8600000000006</v>
      </c>
    </row>
    <row r="180" spans="1:36">
      <c r="A180" s="21"/>
      <c r="B180" s="21" t="s">
        <v>110</v>
      </c>
      <c r="C180" s="666"/>
      <c r="D180" s="68" t="s">
        <v>50</v>
      </c>
      <c r="E180" s="679"/>
      <c r="F180" s="529">
        <f>VLOOKUP(D180,'Dec 2012 Revenue'!D:T,17,FALSE)</f>
        <v>0</v>
      </c>
      <c r="G180" s="680"/>
      <c r="H180" s="680"/>
      <c r="I180" s="755"/>
      <c r="J180" s="682">
        <f t="shared" si="33"/>
        <v>0</v>
      </c>
      <c r="K180" s="683"/>
      <c r="L180" s="684"/>
      <c r="M180" s="753"/>
      <c r="N180" s="683">
        <v>0</v>
      </c>
      <c r="O180" s="686"/>
      <c r="P180" s="683">
        <v>0</v>
      </c>
      <c r="Q180" s="687">
        <f t="shared" si="29"/>
        <v>0</v>
      </c>
      <c r="R180" s="688">
        <v>0</v>
      </c>
      <c r="S180" s="693"/>
      <c r="T180" s="690">
        <f t="shared" si="43"/>
        <v>0</v>
      </c>
      <c r="U180" s="683"/>
      <c r="V180" s="474">
        <f t="shared" si="34"/>
        <v>0</v>
      </c>
      <c r="W180" s="474">
        <f t="shared" si="35"/>
        <v>0</v>
      </c>
      <c r="X180" s="475">
        <f t="shared" si="36"/>
        <v>0</v>
      </c>
      <c r="Y180" s="475">
        <v>0</v>
      </c>
      <c r="Z180" s="476">
        <v>0</v>
      </c>
      <c r="AA180" s="38">
        <f t="shared" si="37"/>
        <v>0</v>
      </c>
      <c r="AB180" s="692">
        <f t="shared" si="30"/>
        <v>0</v>
      </c>
      <c r="AC180" s="692">
        <f t="shared" si="31"/>
        <v>0</v>
      </c>
      <c r="AD180" s="692">
        <f t="shared" si="32"/>
        <v>0</v>
      </c>
      <c r="AE180" s="38"/>
      <c r="AF180" s="692">
        <f t="shared" si="38"/>
        <v>0</v>
      </c>
      <c r="AG180" s="692">
        <f t="shared" si="39"/>
        <v>0</v>
      </c>
      <c r="AH180" s="692">
        <f t="shared" si="40"/>
        <v>0</v>
      </c>
      <c r="AJ180" s="38">
        <f t="shared" si="42"/>
        <v>0</v>
      </c>
    </row>
    <row r="181" spans="1:36">
      <c r="A181" s="21"/>
      <c r="B181" s="21" t="s">
        <v>109</v>
      </c>
      <c r="C181" s="666"/>
      <c r="D181" s="68" t="s">
        <v>51</v>
      </c>
      <c r="E181" s="679"/>
      <c r="F181" s="529">
        <f>VLOOKUP(D181,'Dec 2012 Revenue'!D:T,17,FALSE)</f>
        <v>0</v>
      </c>
      <c r="G181" s="680"/>
      <c r="H181" s="680"/>
      <c r="I181" s="755"/>
      <c r="J181" s="682">
        <f t="shared" si="33"/>
        <v>0</v>
      </c>
      <c r="K181" s="683"/>
      <c r="L181" s="684"/>
      <c r="M181" s="753"/>
      <c r="N181" s="683">
        <v>0</v>
      </c>
      <c r="O181" s="686"/>
      <c r="P181" s="683">
        <v>0</v>
      </c>
      <c r="Q181" s="687">
        <f t="shared" si="29"/>
        <v>0</v>
      </c>
      <c r="R181" s="688">
        <v>0</v>
      </c>
      <c r="S181" s="693"/>
      <c r="T181" s="690">
        <f t="shared" si="43"/>
        <v>0</v>
      </c>
      <c r="U181" s="683"/>
      <c r="V181" s="474">
        <f t="shared" si="34"/>
        <v>0</v>
      </c>
      <c r="W181" s="474">
        <f t="shared" si="35"/>
        <v>0</v>
      </c>
      <c r="X181" s="475">
        <f t="shared" si="36"/>
        <v>0</v>
      </c>
      <c r="Y181" s="475">
        <v>0</v>
      </c>
      <c r="Z181" s="476">
        <v>0</v>
      </c>
      <c r="AA181" s="38">
        <f t="shared" si="37"/>
        <v>0</v>
      </c>
      <c r="AB181" s="692">
        <f t="shared" si="30"/>
        <v>0</v>
      </c>
      <c r="AC181" s="692">
        <f t="shared" si="31"/>
        <v>0</v>
      </c>
      <c r="AD181" s="692">
        <f t="shared" si="32"/>
        <v>0</v>
      </c>
      <c r="AE181" s="38"/>
      <c r="AF181" s="692">
        <f t="shared" si="38"/>
        <v>0</v>
      </c>
      <c r="AG181" s="692">
        <f t="shared" si="39"/>
        <v>0</v>
      </c>
      <c r="AH181" s="692">
        <f t="shared" si="40"/>
        <v>0</v>
      </c>
      <c r="AJ181" s="38">
        <f t="shared" si="42"/>
        <v>0</v>
      </c>
    </row>
    <row r="182" spans="1:36">
      <c r="A182" s="21"/>
      <c r="B182" s="21" t="s">
        <v>109</v>
      </c>
      <c r="C182" s="666"/>
      <c r="D182" s="68" t="s">
        <v>107</v>
      </c>
      <c r="E182" s="679"/>
      <c r="F182" s="529">
        <f>VLOOKUP(D182,'Dec 2012 Revenue'!D:T,17,FALSE)</f>
        <v>-5000</v>
      </c>
      <c r="G182" s="680"/>
      <c r="H182" s="680"/>
      <c r="I182" s="755"/>
      <c r="J182" s="682">
        <f t="shared" si="33"/>
        <v>-5000</v>
      </c>
      <c r="K182" s="683"/>
      <c r="L182" s="684"/>
      <c r="M182" s="753">
        <v>6000</v>
      </c>
      <c r="N182" s="683">
        <v>0</v>
      </c>
      <c r="O182" s="686"/>
      <c r="P182" s="683">
        <v>0</v>
      </c>
      <c r="Q182" s="687">
        <f t="shared" si="29"/>
        <v>6000</v>
      </c>
      <c r="R182" s="688">
        <v>0</v>
      </c>
      <c r="S182" s="693"/>
      <c r="T182" s="690">
        <f t="shared" si="43"/>
        <v>-6000</v>
      </c>
      <c r="U182" s="683"/>
      <c r="V182" s="474">
        <f t="shared" si="34"/>
        <v>0</v>
      </c>
      <c r="W182" s="474">
        <f t="shared" si="35"/>
        <v>6000</v>
      </c>
      <c r="X182" s="475">
        <f t="shared" si="36"/>
        <v>0</v>
      </c>
      <c r="Y182" s="475">
        <v>0</v>
      </c>
      <c r="Z182" s="476">
        <v>0</v>
      </c>
      <c r="AA182" s="38">
        <f t="shared" si="37"/>
        <v>0</v>
      </c>
      <c r="AB182" s="692">
        <f t="shared" si="30"/>
        <v>0</v>
      </c>
      <c r="AC182" s="692">
        <f t="shared" si="31"/>
        <v>-5000</v>
      </c>
      <c r="AD182" s="692">
        <f t="shared" si="32"/>
        <v>0</v>
      </c>
      <c r="AE182" s="38"/>
      <c r="AF182" s="692">
        <f t="shared" si="38"/>
        <v>0</v>
      </c>
      <c r="AG182" s="692">
        <f t="shared" si="39"/>
        <v>6000</v>
      </c>
      <c r="AH182" s="692">
        <f t="shared" si="40"/>
        <v>0</v>
      </c>
      <c r="AJ182" s="38">
        <f t="shared" si="42"/>
        <v>1000</v>
      </c>
    </row>
    <row r="183" spans="1:36">
      <c r="A183" s="21"/>
      <c r="B183" s="21" t="s">
        <v>109</v>
      </c>
      <c r="C183" s="666"/>
      <c r="D183" s="68" t="s">
        <v>467</v>
      </c>
      <c r="E183" s="679"/>
      <c r="F183" s="529">
        <f>VLOOKUP(D183,'Dec 2012 Revenue'!D:T,17,FALSE)</f>
        <v>0</v>
      </c>
      <c r="G183" s="680"/>
      <c r="H183" s="680"/>
      <c r="I183" s="755"/>
      <c r="J183" s="682">
        <f t="shared" si="33"/>
        <v>0</v>
      </c>
      <c r="K183" s="683"/>
      <c r="L183" s="684"/>
      <c r="M183" s="753"/>
      <c r="N183" s="683">
        <v>0</v>
      </c>
      <c r="O183" s="686"/>
      <c r="P183" s="683">
        <v>0</v>
      </c>
      <c r="Q183" s="687">
        <f t="shared" si="29"/>
        <v>0</v>
      </c>
      <c r="R183" s="688">
        <v>0</v>
      </c>
      <c r="S183" s="693"/>
      <c r="T183" s="690">
        <f t="shared" si="43"/>
        <v>0</v>
      </c>
      <c r="U183" s="683"/>
      <c r="V183" s="474">
        <f t="shared" si="34"/>
        <v>0</v>
      </c>
      <c r="W183" s="474">
        <f t="shared" si="35"/>
        <v>0</v>
      </c>
      <c r="X183" s="475">
        <f t="shared" si="36"/>
        <v>0</v>
      </c>
      <c r="Y183" s="475">
        <v>0</v>
      </c>
      <c r="Z183" s="476">
        <v>0</v>
      </c>
      <c r="AA183" s="38">
        <f t="shared" si="37"/>
        <v>0</v>
      </c>
      <c r="AB183" s="692">
        <f t="shared" si="30"/>
        <v>0</v>
      </c>
      <c r="AC183" s="692">
        <f t="shared" si="31"/>
        <v>0</v>
      </c>
      <c r="AD183" s="692">
        <f t="shared" si="32"/>
        <v>0</v>
      </c>
      <c r="AE183" s="38"/>
      <c r="AF183" s="692">
        <f t="shared" si="38"/>
        <v>0</v>
      </c>
      <c r="AG183" s="692">
        <f t="shared" si="39"/>
        <v>0</v>
      </c>
      <c r="AH183" s="692">
        <f t="shared" si="40"/>
        <v>0</v>
      </c>
      <c r="AJ183" s="38">
        <f t="shared" si="42"/>
        <v>0</v>
      </c>
    </row>
    <row r="184" spans="1:36">
      <c r="A184" s="21"/>
      <c r="B184" s="21" t="s">
        <v>109</v>
      </c>
      <c r="C184" s="666" t="s">
        <v>575</v>
      </c>
      <c r="D184" s="68" t="s">
        <v>54</v>
      </c>
      <c r="E184" s="679"/>
      <c r="F184" s="529">
        <f>VLOOKUP(D184,'Dec 2012 Revenue'!D:T,17,FALSE)</f>
        <v>0</v>
      </c>
      <c r="G184" s="680"/>
      <c r="H184" s="680"/>
      <c r="I184" s="755"/>
      <c r="J184" s="682">
        <f t="shared" si="33"/>
        <v>0</v>
      </c>
      <c r="K184" s="683"/>
      <c r="L184" s="684"/>
      <c r="M184" s="753"/>
      <c r="N184" s="683">
        <v>0</v>
      </c>
      <c r="O184" s="686"/>
      <c r="P184" s="683">
        <v>0</v>
      </c>
      <c r="Q184" s="687">
        <f t="shared" si="29"/>
        <v>0</v>
      </c>
      <c r="R184" s="688">
        <v>128.69</v>
      </c>
      <c r="S184" s="693"/>
      <c r="T184" s="690">
        <f t="shared" si="43"/>
        <v>128.69</v>
      </c>
      <c r="U184" s="683"/>
      <c r="V184" s="474">
        <f t="shared" si="34"/>
        <v>0</v>
      </c>
      <c r="W184" s="474">
        <f t="shared" si="35"/>
        <v>0</v>
      </c>
      <c r="X184" s="475">
        <f t="shared" si="36"/>
        <v>0</v>
      </c>
      <c r="Y184" s="475">
        <v>0</v>
      </c>
      <c r="Z184" s="476">
        <v>0</v>
      </c>
      <c r="AA184" s="38">
        <f t="shared" si="37"/>
        <v>0</v>
      </c>
      <c r="AB184" s="692">
        <f t="shared" si="30"/>
        <v>0</v>
      </c>
      <c r="AC184" s="692">
        <f t="shared" si="31"/>
        <v>0</v>
      </c>
      <c r="AD184" s="692">
        <f t="shared" si="32"/>
        <v>0</v>
      </c>
      <c r="AE184" s="38"/>
      <c r="AF184" s="692">
        <f t="shared" si="38"/>
        <v>0</v>
      </c>
      <c r="AG184" s="692">
        <f t="shared" si="39"/>
        <v>0</v>
      </c>
      <c r="AH184" s="692">
        <f t="shared" si="40"/>
        <v>0</v>
      </c>
      <c r="AJ184" s="38">
        <f t="shared" si="42"/>
        <v>0</v>
      </c>
    </row>
    <row r="185" spans="1:36">
      <c r="A185" s="20"/>
      <c r="B185" s="20" t="s">
        <v>110</v>
      </c>
      <c r="C185" s="667" t="s">
        <v>576</v>
      </c>
      <c r="D185" s="68" t="s">
        <v>394</v>
      </c>
      <c r="E185" s="679"/>
      <c r="F185" s="529">
        <f>VLOOKUP(D185,'Dec 2012 Revenue'!D:T,17,FALSE)</f>
        <v>0</v>
      </c>
      <c r="G185" s="680"/>
      <c r="H185" s="680"/>
      <c r="I185" s="755"/>
      <c r="J185" s="682">
        <f t="shared" si="33"/>
        <v>0</v>
      </c>
      <c r="K185" s="683"/>
      <c r="L185" s="684"/>
      <c r="M185" s="753"/>
      <c r="N185" s="683">
        <v>0</v>
      </c>
      <c r="O185" s="686"/>
      <c r="P185" s="683">
        <v>0</v>
      </c>
      <c r="Q185" s="687">
        <f t="shared" si="29"/>
        <v>0</v>
      </c>
      <c r="R185" s="688">
        <v>0</v>
      </c>
      <c r="S185" s="693"/>
      <c r="T185" s="690">
        <f t="shared" si="43"/>
        <v>0</v>
      </c>
      <c r="U185" s="683"/>
      <c r="V185" s="474">
        <f t="shared" si="34"/>
        <v>0</v>
      </c>
      <c r="W185" s="474">
        <f t="shared" si="35"/>
        <v>0</v>
      </c>
      <c r="X185" s="475">
        <f t="shared" si="36"/>
        <v>0</v>
      </c>
      <c r="Y185" s="475">
        <v>0</v>
      </c>
      <c r="Z185" s="476">
        <v>0</v>
      </c>
      <c r="AA185" s="38">
        <f t="shared" si="37"/>
        <v>0</v>
      </c>
      <c r="AB185" s="692">
        <f t="shared" si="30"/>
        <v>0</v>
      </c>
      <c r="AC185" s="692">
        <f t="shared" si="31"/>
        <v>0</v>
      </c>
      <c r="AD185" s="692">
        <f t="shared" si="32"/>
        <v>0</v>
      </c>
      <c r="AE185" s="38"/>
      <c r="AF185" s="692">
        <f t="shared" si="38"/>
        <v>0</v>
      </c>
      <c r="AG185" s="692">
        <f t="shared" si="39"/>
        <v>0</v>
      </c>
      <c r="AH185" s="692">
        <f t="shared" si="40"/>
        <v>0</v>
      </c>
      <c r="AJ185" s="38">
        <f t="shared" si="42"/>
        <v>0</v>
      </c>
    </row>
    <row r="186" spans="1:36">
      <c r="A186" s="20"/>
      <c r="B186" s="20" t="s">
        <v>110</v>
      </c>
      <c r="C186" s="667"/>
      <c r="D186" s="68" t="s">
        <v>55</v>
      </c>
      <c r="E186" s="679"/>
      <c r="F186" s="529">
        <f>VLOOKUP(D186,'Dec 2012 Revenue'!D:T,17,FALSE)</f>
        <v>0</v>
      </c>
      <c r="G186" s="680"/>
      <c r="H186" s="680"/>
      <c r="I186" s="755"/>
      <c r="J186" s="682">
        <f t="shared" si="33"/>
        <v>0</v>
      </c>
      <c r="K186" s="683"/>
      <c r="L186" s="684"/>
      <c r="M186" s="753"/>
      <c r="N186" s="683">
        <v>0</v>
      </c>
      <c r="O186" s="686"/>
      <c r="P186" s="683">
        <v>0</v>
      </c>
      <c r="Q186" s="687">
        <f t="shared" si="29"/>
        <v>0</v>
      </c>
      <c r="R186" s="688">
        <v>375.38</v>
      </c>
      <c r="S186" s="693"/>
      <c r="T186" s="690">
        <f t="shared" si="43"/>
        <v>375.38</v>
      </c>
      <c r="U186" s="683"/>
      <c r="V186" s="474">
        <f t="shared" si="34"/>
        <v>0</v>
      </c>
      <c r="W186" s="474">
        <f t="shared" si="35"/>
        <v>0</v>
      </c>
      <c r="X186" s="475">
        <f t="shared" si="36"/>
        <v>0</v>
      </c>
      <c r="Y186" s="475">
        <v>0</v>
      </c>
      <c r="Z186" s="476">
        <v>0</v>
      </c>
      <c r="AA186" s="38">
        <f t="shared" si="37"/>
        <v>0</v>
      </c>
      <c r="AB186" s="692">
        <f t="shared" si="30"/>
        <v>0</v>
      </c>
      <c r="AC186" s="692">
        <f t="shared" si="31"/>
        <v>0</v>
      </c>
      <c r="AD186" s="692">
        <f t="shared" si="32"/>
        <v>0</v>
      </c>
      <c r="AE186" s="38"/>
      <c r="AF186" s="692">
        <f t="shared" si="38"/>
        <v>0</v>
      </c>
      <c r="AG186" s="692">
        <f t="shared" si="39"/>
        <v>0</v>
      </c>
      <c r="AH186" s="692">
        <f t="shared" si="40"/>
        <v>0</v>
      </c>
      <c r="AJ186" s="38">
        <f t="shared" si="42"/>
        <v>0</v>
      </c>
    </row>
    <row r="187" spans="1:36">
      <c r="A187" s="20"/>
      <c r="B187" s="20" t="s">
        <v>110</v>
      </c>
      <c r="C187" s="676" t="s">
        <v>854</v>
      </c>
      <c r="D187" s="68" t="s">
        <v>855</v>
      </c>
      <c r="E187" s="679"/>
      <c r="F187" s="529">
        <f>VLOOKUP(D187,'Dec 2012 Revenue'!D:T,17,FALSE)</f>
        <v>580.98</v>
      </c>
      <c r="G187" s="680"/>
      <c r="H187" s="680"/>
      <c r="I187" s="755"/>
      <c r="J187" s="682">
        <f t="shared" si="33"/>
        <v>580.98</v>
      </c>
      <c r="K187" s="683"/>
      <c r="L187" s="684"/>
      <c r="M187" s="753"/>
      <c r="N187" s="683">
        <v>0</v>
      </c>
      <c r="O187" s="686"/>
      <c r="P187" s="683">
        <v>0</v>
      </c>
      <c r="Q187" s="687">
        <f t="shared" si="29"/>
        <v>0</v>
      </c>
      <c r="R187" s="688">
        <v>658.37</v>
      </c>
      <c r="S187" s="693"/>
      <c r="T187" s="690">
        <f t="shared" si="43"/>
        <v>658.37</v>
      </c>
      <c r="U187" s="683"/>
      <c r="V187" s="474">
        <f t="shared" si="34"/>
        <v>0</v>
      </c>
      <c r="W187" s="474">
        <f t="shared" si="35"/>
        <v>0</v>
      </c>
      <c r="X187" s="475">
        <f t="shared" si="36"/>
        <v>0</v>
      </c>
      <c r="Y187" s="475">
        <v>0</v>
      </c>
      <c r="Z187" s="476">
        <v>0</v>
      </c>
      <c r="AA187" s="38">
        <f t="shared" si="37"/>
        <v>0</v>
      </c>
      <c r="AB187" s="692">
        <f t="shared" si="30"/>
        <v>580.98</v>
      </c>
      <c r="AC187" s="692">
        <f t="shared" si="31"/>
        <v>0</v>
      </c>
      <c r="AD187" s="692">
        <f t="shared" si="32"/>
        <v>0</v>
      </c>
      <c r="AE187" s="38"/>
      <c r="AF187" s="692">
        <f t="shared" si="38"/>
        <v>0</v>
      </c>
      <c r="AG187" s="692">
        <f t="shared" si="39"/>
        <v>0</v>
      </c>
      <c r="AH187" s="692">
        <f t="shared" si="40"/>
        <v>0</v>
      </c>
      <c r="AJ187" s="38">
        <f t="shared" si="42"/>
        <v>580.98</v>
      </c>
    </row>
    <row r="188" spans="1:36">
      <c r="A188" s="20"/>
      <c r="B188" s="20" t="s">
        <v>109</v>
      </c>
      <c r="C188" s="667" t="s">
        <v>577</v>
      </c>
      <c r="D188" s="68" t="s">
        <v>159</v>
      </c>
      <c r="E188" s="679"/>
      <c r="F188" s="529">
        <f>VLOOKUP(D188,'Dec 2012 Revenue'!D:T,17,FALSE)</f>
        <v>0</v>
      </c>
      <c r="G188" s="680"/>
      <c r="H188" s="680"/>
      <c r="I188" s="755"/>
      <c r="J188" s="682">
        <f t="shared" si="33"/>
        <v>0</v>
      </c>
      <c r="K188" s="683"/>
      <c r="L188" s="684"/>
      <c r="M188" s="753">
        <v>19000</v>
      </c>
      <c r="N188" s="683">
        <v>0</v>
      </c>
      <c r="O188" s="686"/>
      <c r="P188" s="683">
        <v>0</v>
      </c>
      <c r="Q188" s="687">
        <f t="shared" si="29"/>
        <v>19000</v>
      </c>
      <c r="R188" s="688">
        <v>16701.36</v>
      </c>
      <c r="S188" s="693"/>
      <c r="T188" s="690">
        <f t="shared" si="43"/>
        <v>-2298.6399999999994</v>
      </c>
      <c r="U188" s="683"/>
      <c r="V188" s="474">
        <f t="shared" si="34"/>
        <v>0</v>
      </c>
      <c r="W188" s="474">
        <f t="shared" si="35"/>
        <v>19000</v>
      </c>
      <c r="X188" s="475">
        <f t="shared" si="36"/>
        <v>0</v>
      </c>
      <c r="Y188" s="475">
        <v>0</v>
      </c>
      <c r="Z188" s="476">
        <v>0</v>
      </c>
      <c r="AA188" s="38">
        <f t="shared" si="37"/>
        <v>0</v>
      </c>
      <c r="AB188" s="692">
        <f t="shared" si="30"/>
        <v>0</v>
      </c>
      <c r="AC188" s="692">
        <f t="shared" si="31"/>
        <v>0</v>
      </c>
      <c r="AD188" s="692">
        <f t="shared" si="32"/>
        <v>0</v>
      </c>
      <c r="AE188" s="38"/>
      <c r="AF188" s="692">
        <f t="shared" si="38"/>
        <v>0</v>
      </c>
      <c r="AG188" s="692">
        <f t="shared" si="39"/>
        <v>19000</v>
      </c>
      <c r="AH188" s="692">
        <f t="shared" si="40"/>
        <v>0</v>
      </c>
      <c r="AJ188" s="38">
        <f t="shared" si="42"/>
        <v>19000</v>
      </c>
    </row>
    <row r="189" spans="1:36">
      <c r="A189" s="20"/>
      <c r="B189" s="20" t="s">
        <v>109</v>
      </c>
      <c r="C189" s="667" t="s">
        <v>577</v>
      </c>
      <c r="D189" s="68" t="s">
        <v>160</v>
      </c>
      <c r="E189" s="679"/>
      <c r="F189" s="529">
        <f>VLOOKUP(D189,'Dec 2012 Revenue'!D:T,17,FALSE)</f>
        <v>0</v>
      </c>
      <c r="G189" s="680"/>
      <c r="H189" s="680"/>
      <c r="I189" s="755"/>
      <c r="J189" s="682">
        <f t="shared" si="33"/>
        <v>0</v>
      </c>
      <c r="K189" s="683"/>
      <c r="L189" s="684"/>
      <c r="M189" s="753">
        <v>12000</v>
      </c>
      <c r="N189" s="683">
        <v>0</v>
      </c>
      <c r="O189" s="686"/>
      <c r="P189" s="683">
        <v>0</v>
      </c>
      <c r="Q189" s="687">
        <f t="shared" si="29"/>
        <v>12000</v>
      </c>
      <c r="R189" s="688">
        <v>12337.12</v>
      </c>
      <c r="S189" s="693"/>
      <c r="T189" s="690">
        <f t="shared" si="43"/>
        <v>337.1200000000008</v>
      </c>
      <c r="U189" s="683"/>
      <c r="V189" s="474">
        <f t="shared" si="34"/>
        <v>0</v>
      </c>
      <c r="W189" s="474">
        <f t="shared" si="35"/>
        <v>12000</v>
      </c>
      <c r="X189" s="475">
        <f t="shared" si="36"/>
        <v>0</v>
      </c>
      <c r="Y189" s="475">
        <v>0</v>
      </c>
      <c r="Z189" s="476">
        <v>0</v>
      </c>
      <c r="AA189" s="38">
        <f t="shared" si="37"/>
        <v>0</v>
      </c>
      <c r="AB189" s="692">
        <f t="shared" si="30"/>
        <v>0</v>
      </c>
      <c r="AC189" s="692">
        <f t="shared" si="31"/>
        <v>0</v>
      </c>
      <c r="AD189" s="692">
        <f t="shared" si="32"/>
        <v>0</v>
      </c>
      <c r="AE189" s="38"/>
      <c r="AF189" s="692">
        <f t="shared" si="38"/>
        <v>0</v>
      </c>
      <c r="AG189" s="692">
        <f t="shared" si="39"/>
        <v>12000</v>
      </c>
      <c r="AH189" s="692">
        <f t="shared" si="40"/>
        <v>0</v>
      </c>
      <c r="AJ189" s="38">
        <f t="shared" si="42"/>
        <v>12000</v>
      </c>
    </row>
    <row r="190" spans="1:36">
      <c r="A190" s="21"/>
      <c r="B190" s="21" t="s">
        <v>109</v>
      </c>
      <c r="C190" s="667" t="s">
        <v>577</v>
      </c>
      <c r="D190" s="68" t="s">
        <v>161</v>
      </c>
      <c r="E190" s="679"/>
      <c r="F190" s="529">
        <f>VLOOKUP(D190,'Dec 2012 Revenue'!D:T,17,FALSE)</f>
        <v>0</v>
      </c>
      <c r="G190" s="680"/>
      <c r="H190" s="680"/>
      <c r="I190" s="755"/>
      <c r="J190" s="682">
        <f t="shared" si="33"/>
        <v>0</v>
      </c>
      <c r="K190" s="683"/>
      <c r="L190" s="684"/>
      <c r="M190" s="753"/>
      <c r="N190" s="683">
        <v>0</v>
      </c>
      <c r="O190" s="686"/>
      <c r="P190" s="683">
        <v>0</v>
      </c>
      <c r="Q190" s="687">
        <f t="shared" si="29"/>
        <v>0</v>
      </c>
      <c r="R190" s="688">
        <v>0</v>
      </c>
      <c r="S190" s="693"/>
      <c r="T190" s="690">
        <f t="shared" si="43"/>
        <v>0</v>
      </c>
      <c r="U190" s="683"/>
      <c r="V190" s="474">
        <f t="shared" si="34"/>
        <v>0</v>
      </c>
      <c r="W190" s="474">
        <f t="shared" si="35"/>
        <v>0</v>
      </c>
      <c r="X190" s="475">
        <f t="shared" si="36"/>
        <v>0</v>
      </c>
      <c r="Y190" s="475">
        <v>0</v>
      </c>
      <c r="Z190" s="476">
        <v>0</v>
      </c>
      <c r="AA190" s="38">
        <f t="shared" si="37"/>
        <v>0</v>
      </c>
      <c r="AB190" s="692">
        <f t="shared" si="30"/>
        <v>0</v>
      </c>
      <c r="AC190" s="692">
        <f t="shared" si="31"/>
        <v>0</v>
      </c>
      <c r="AD190" s="692">
        <f t="shared" si="32"/>
        <v>0</v>
      </c>
      <c r="AE190" s="38"/>
      <c r="AF190" s="692">
        <f t="shared" si="38"/>
        <v>0</v>
      </c>
      <c r="AG190" s="692">
        <f t="shared" si="39"/>
        <v>0</v>
      </c>
      <c r="AH190" s="692">
        <f t="shared" si="40"/>
        <v>0</v>
      </c>
      <c r="AJ190" s="38">
        <f t="shared" si="42"/>
        <v>0</v>
      </c>
    </row>
    <row r="191" spans="1:36">
      <c r="A191" s="21"/>
      <c r="B191" s="21" t="s">
        <v>109</v>
      </c>
      <c r="C191" s="667" t="s">
        <v>577</v>
      </c>
      <c r="D191" s="68" t="s">
        <v>162</v>
      </c>
      <c r="E191" s="679"/>
      <c r="F191" s="529">
        <f>VLOOKUP(D191,'Dec 2012 Revenue'!D:T,17,FALSE)</f>
        <v>0</v>
      </c>
      <c r="G191" s="680"/>
      <c r="H191" s="680"/>
      <c r="I191" s="755"/>
      <c r="J191" s="682">
        <f t="shared" si="33"/>
        <v>0</v>
      </c>
      <c r="K191" s="683"/>
      <c r="L191" s="684"/>
      <c r="M191" s="753"/>
      <c r="N191" s="683">
        <v>0</v>
      </c>
      <c r="O191" s="686"/>
      <c r="P191" s="683">
        <v>0</v>
      </c>
      <c r="Q191" s="687">
        <f t="shared" si="29"/>
        <v>0</v>
      </c>
      <c r="R191" s="688">
        <v>0</v>
      </c>
      <c r="S191" s="693"/>
      <c r="T191" s="690">
        <f t="shared" si="43"/>
        <v>0</v>
      </c>
      <c r="U191" s="683"/>
      <c r="V191" s="474">
        <f t="shared" si="34"/>
        <v>0</v>
      </c>
      <c r="W191" s="474">
        <f t="shared" si="35"/>
        <v>0</v>
      </c>
      <c r="X191" s="475">
        <f t="shared" si="36"/>
        <v>0</v>
      </c>
      <c r="Y191" s="475">
        <v>0</v>
      </c>
      <c r="Z191" s="476">
        <v>0</v>
      </c>
      <c r="AA191" s="38">
        <f t="shared" si="37"/>
        <v>0</v>
      </c>
      <c r="AB191" s="692">
        <f t="shared" si="30"/>
        <v>0</v>
      </c>
      <c r="AC191" s="692">
        <f t="shared" si="31"/>
        <v>0</v>
      </c>
      <c r="AD191" s="692">
        <f t="shared" si="32"/>
        <v>0</v>
      </c>
      <c r="AE191" s="38"/>
      <c r="AF191" s="692">
        <f t="shared" si="38"/>
        <v>0</v>
      </c>
      <c r="AG191" s="692">
        <f t="shared" si="39"/>
        <v>0</v>
      </c>
      <c r="AH191" s="692">
        <f t="shared" si="40"/>
        <v>0</v>
      </c>
      <c r="AJ191" s="38">
        <f t="shared" si="42"/>
        <v>0</v>
      </c>
    </row>
    <row r="192" spans="1:36">
      <c r="A192" s="21"/>
      <c r="B192" s="21" t="s">
        <v>109</v>
      </c>
      <c r="C192" s="666"/>
      <c r="D192" s="68" t="s">
        <v>163</v>
      </c>
      <c r="E192" s="679"/>
      <c r="F192" s="529">
        <f>VLOOKUP(D192,'Dec 2012 Revenue'!D:T,17,FALSE)</f>
        <v>0</v>
      </c>
      <c r="G192" s="680"/>
      <c r="H192" s="680"/>
      <c r="I192" s="755"/>
      <c r="J192" s="682">
        <f t="shared" si="33"/>
        <v>0</v>
      </c>
      <c r="K192" s="683"/>
      <c r="L192" s="684"/>
      <c r="M192" s="753">
        <v>5000</v>
      </c>
      <c r="N192" s="683">
        <v>0</v>
      </c>
      <c r="O192" s="686"/>
      <c r="P192" s="683">
        <v>0</v>
      </c>
      <c r="Q192" s="687">
        <f t="shared" si="29"/>
        <v>5000</v>
      </c>
      <c r="R192" s="688">
        <v>4196.3</v>
      </c>
      <c r="S192" s="704"/>
      <c r="T192" s="690">
        <f t="shared" si="43"/>
        <v>-803.69999999999982</v>
      </c>
      <c r="U192" s="705"/>
      <c r="V192" s="474">
        <f t="shared" si="34"/>
        <v>0</v>
      </c>
      <c r="W192" s="474">
        <f t="shared" si="35"/>
        <v>5000</v>
      </c>
      <c r="X192" s="475">
        <f t="shared" si="36"/>
        <v>0</v>
      </c>
      <c r="Y192" s="475">
        <v>0</v>
      </c>
      <c r="Z192" s="476">
        <v>0</v>
      </c>
      <c r="AA192" s="38">
        <f t="shared" si="37"/>
        <v>0</v>
      </c>
      <c r="AB192" s="692">
        <f t="shared" si="30"/>
        <v>0</v>
      </c>
      <c r="AC192" s="692">
        <f t="shared" si="31"/>
        <v>0</v>
      </c>
      <c r="AD192" s="692">
        <f t="shared" si="32"/>
        <v>0</v>
      </c>
      <c r="AE192" s="38"/>
      <c r="AF192" s="692">
        <f t="shared" si="38"/>
        <v>0</v>
      </c>
      <c r="AG192" s="692">
        <f t="shared" si="39"/>
        <v>5000</v>
      </c>
      <c r="AH192" s="692">
        <f t="shared" si="40"/>
        <v>0</v>
      </c>
      <c r="AJ192" s="38">
        <f t="shared" si="42"/>
        <v>5000</v>
      </c>
    </row>
    <row r="193" spans="1:36">
      <c r="A193" s="21"/>
      <c r="B193" s="21" t="s">
        <v>109</v>
      </c>
      <c r="C193" s="666"/>
      <c r="D193" s="412" t="s">
        <v>164</v>
      </c>
      <c r="E193" s="679"/>
      <c r="F193" s="529">
        <f>VLOOKUP(D193,'Dec 2012 Revenue'!D:T,17,FALSE)</f>
        <v>0</v>
      </c>
      <c r="G193" s="680"/>
      <c r="H193" s="680"/>
      <c r="I193" s="755"/>
      <c r="J193" s="682">
        <f t="shared" si="33"/>
        <v>0</v>
      </c>
      <c r="K193" s="683"/>
      <c r="L193" s="684"/>
      <c r="M193" s="753"/>
      <c r="N193" s="683">
        <v>0</v>
      </c>
      <c r="O193" s="686"/>
      <c r="P193" s="683">
        <v>0</v>
      </c>
      <c r="Q193" s="687">
        <f t="shared" si="29"/>
        <v>0</v>
      </c>
      <c r="R193" s="688">
        <v>90.78</v>
      </c>
      <c r="S193" s="704"/>
      <c r="T193" s="690">
        <f t="shared" si="43"/>
        <v>90.78</v>
      </c>
      <c r="U193" s="705"/>
      <c r="V193" s="474">
        <f t="shared" si="34"/>
        <v>0</v>
      </c>
      <c r="W193" s="474">
        <f t="shared" si="35"/>
        <v>0</v>
      </c>
      <c r="X193" s="475">
        <f t="shared" si="36"/>
        <v>0</v>
      </c>
      <c r="Y193" s="475">
        <v>0</v>
      </c>
      <c r="Z193" s="476">
        <v>0</v>
      </c>
      <c r="AA193" s="38">
        <f t="shared" si="37"/>
        <v>0</v>
      </c>
      <c r="AB193" s="692">
        <f t="shared" si="30"/>
        <v>0</v>
      </c>
      <c r="AC193" s="692">
        <f t="shared" si="31"/>
        <v>0</v>
      </c>
      <c r="AD193" s="692">
        <f t="shared" si="32"/>
        <v>0</v>
      </c>
      <c r="AE193" s="38"/>
      <c r="AF193" s="692">
        <f t="shared" si="38"/>
        <v>0</v>
      </c>
      <c r="AG193" s="692">
        <f t="shared" si="39"/>
        <v>0</v>
      </c>
      <c r="AH193" s="692">
        <f t="shared" si="40"/>
        <v>0</v>
      </c>
      <c r="AJ193" s="38">
        <f t="shared" si="42"/>
        <v>0</v>
      </c>
    </row>
    <row r="194" spans="1:36">
      <c r="A194" s="21" t="s">
        <v>109</v>
      </c>
      <c r="B194" s="21" t="s">
        <v>114</v>
      </c>
      <c r="C194" s="666" t="s">
        <v>578</v>
      </c>
      <c r="D194" s="412" t="s">
        <v>318</v>
      </c>
      <c r="E194" s="679"/>
      <c r="F194" s="529">
        <f>VLOOKUP(D194,'Dec 2012 Revenue'!D:T,17,FALSE)</f>
        <v>-28000</v>
      </c>
      <c r="G194" s="680"/>
      <c r="H194" s="680"/>
      <c r="I194" s="755"/>
      <c r="J194" s="682">
        <f t="shared" si="33"/>
        <v>-28000</v>
      </c>
      <c r="K194" s="683"/>
      <c r="L194" s="684"/>
      <c r="M194" s="753">
        <v>55000</v>
      </c>
      <c r="N194" s="683">
        <v>0</v>
      </c>
      <c r="O194" s="686"/>
      <c r="P194" s="683">
        <v>0</v>
      </c>
      <c r="Q194" s="687">
        <f t="shared" si="29"/>
        <v>55000</v>
      </c>
      <c r="R194" s="688">
        <v>19804</v>
      </c>
      <c r="S194" s="704"/>
      <c r="T194" s="690">
        <f t="shared" si="43"/>
        <v>-35196</v>
      </c>
      <c r="U194" s="683"/>
      <c r="V194" s="474">
        <f t="shared" si="34"/>
        <v>0</v>
      </c>
      <c r="W194" s="474">
        <f t="shared" si="35"/>
        <v>0</v>
      </c>
      <c r="X194" s="475">
        <f t="shared" si="36"/>
        <v>55000</v>
      </c>
      <c r="Y194" s="475">
        <v>0</v>
      </c>
      <c r="Z194" s="476">
        <v>0</v>
      </c>
      <c r="AA194" s="38">
        <f t="shared" si="37"/>
        <v>0</v>
      </c>
      <c r="AB194" s="692">
        <f t="shared" si="30"/>
        <v>0</v>
      </c>
      <c r="AC194" s="692">
        <f t="shared" si="31"/>
        <v>0</v>
      </c>
      <c r="AD194" s="692">
        <f t="shared" si="32"/>
        <v>-28000</v>
      </c>
      <c r="AE194" s="38"/>
      <c r="AF194" s="692">
        <f t="shared" si="38"/>
        <v>0</v>
      </c>
      <c r="AG194" s="692">
        <f t="shared" si="39"/>
        <v>0</v>
      </c>
      <c r="AH194" s="692">
        <f t="shared" si="40"/>
        <v>55000</v>
      </c>
      <c r="AJ194" s="38">
        <f t="shared" si="42"/>
        <v>27000</v>
      </c>
    </row>
    <row r="195" spans="1:36">
      <c r="A195" s="20" t="s">
        <v>211</v>
      </c>
      <c r="B195" s="20" t="s">
        <v>109</v>
      </c>
      <c r="C195" s="667"/>
      <c r="D195" s="68" t="s">
        <v>57</v>
      </c>
      <c r="E195" s="679"/>
      <c r="F195" s="529">
        <f>VLOOKUP(D195,'Dec 2012 Revenue'!D:T,17,FALSE)</f>
        <v>0</v>
      </c>
      <c r="G195" s="680"/>
      <c r="H195" s="680"/>
      <c r="I195" s="755"/>
      <c r="J195" s="682">
        <f t="shared" si="33"/>
        <v>0</v>
      </c>
      <c r="K195" s="683"/>
      <c r="L195" s="684"/>
      <c r="M195" s="753"/>
      <c r="N195" s="683">
        <v>0</v>
      </c>
      <c r="O195" s="686"/>
      <c r="P195" s="683">
        <v>0</v>
      </c>
      <c r="Q195" s="687">
        <f t="shared" si="29"/>
        <v>0</v>
      </c>
      <c r="R195" s="688">
        <v>0</v>
      </c>
      <c r="S195" s="693"/>
      <c r="T195" s="690">
        <f t="shared" si="43"/>
        <v>0</v>
      </c>
      <c r="U195" s="683"/>
      <c r="V195" s="474">
        <f t="shared" si="34"/>
        <v>0</v>
      </c>
      <c r="W195" s="474">
        <f t="shared" si="35"/>
        <v>0</v>
      </c>
      <c r="X195" s="475">
        <f t="shared" si="36"/>
        <v>0</v>
      </c>
      <c r="Y195" s="475">
        <v>0</v>
      </c>
      <c r="Z195" s="476">
        <v>0</v>
      </c>
      <c r="AA195" s="38">
        <f t="shared" si="37"/>
        <v>0</v>
      </c>
      <c r="AB195" s="692">
        <f t="shared" si="30"/>
        <v>0</v>
      </c>
      <c r="AC195" s="692">
        <f t="shared" si="31"/>
        <v>0</v>
      </c>
      <c r="AD195" s="692">
        <f t="shared" si="32"/>
        <v>0</v>
      </c>
      <c r="AE195" s="38"/>
      <c r="AF195" s="692">
        <f t="shared" si="38"/>
        <v>0</v>
      </c>
      <c r="AG195" s="692">
        <f t="shared" si="39"/>
        <v>0</v>
      </c>
      <c r="AH195" s="692">
        <f t="shared" si="40"/>
        <v>0</v>
      </c>
      <c r="AJ195" s="38">
        <f t="shared" si="42"/>
        <v>0</v>
      </c>
    </row>
    <row r="196" spans="1:36">
      <c r="A196" s="20"/>
      <c r="B196" s="20" t="s">
        <v>114</v>
      </c>
      <c r="C196" s="676" t="s">
        <v>621</v>
      </c>
      <c r="D196" s="68" t="s">
        <v>622</v>
      </c>
      <c r="E196" s="679"/>
      <c r="F196" s="529">
        <f>VLOOKUP(D196,'Dec 2012 Revenue'!D:T,17,FALSE)</f>
        <v>0</v>
      </c>
      <c r="G196" s="680"/>
      <c r="H196" s="680"/>
      <c r="I196" s="755"/>
      <c r="J196" s="682">
        <f t="shared" si="33"/>
        <v>0</v>
      </c>
      <c r="K196" s="683"/>
      <c r="L196" s="684"/>
      <c r="M196" s="753"/>
      <c r="N196" s="683">
        <v>0</v>
      </c>
      <c r="O196" s="686"/>
      <c r="P196" s="683">
        <v>0</v>
      </c>
      <c r="Q196" s="687">
        <f t="shared" si="29"/>
        <v>0</v>
      </c>
      <c r="R196" s="688">
        <v>2121.1</v>
      </c>
      <c r="S196" s="704"/>
      <c r="T196" s="690">
        <f t="shared" si="43"/>
        <v>2121.1</v>
      </c>
      <c r="U196" s="683"/>
      <c r="V196" s="474">
        <f t="shared" si="34"/>
        <v>0</v>
      </c>
      <c r="W196" s="474">
        <f t="shared" si="35"/>
        <v>0</v>
      </c>
      <c r="X196" s="475">
        <f t="shared" si="36"/>
        <v>0</v>
      </c>
      <c r="Y196" s="475">
        <v>0</v>
      </c>
      <c r="Z196" s="476">
        <v>0</v>
      </c>
      <c r="AA196" s="38">
        <f t="shared" si="37"/>
        <v>0</v>
      </c>
      <c r="AB196" s="692">
        <f t="shared" si="30"/>
        <v>0</v>
      </c>
      <c r="AC196" s="692">
        <f t="shared" si="31"/>
        <v>0</v>
      </c>
      <c r="AD196" s="692">
        <f t="shared" si="32"/>
        <v>0</v>
      </c>
      <c r="AE196" s="38"/>
      <c r="AF196" s="692">
        <f t="shared" si="38"/>
        <v>0</v>
      </c>
      <c r="AG196" s="692">
        <f t="shared" si="39"/>
        <v>0</v>
      </c>
      <c r="AH196" s="692">
        <f t="shared" si="40"/>
        <v>0</v>
      </c>
      <c r="AJ196" s="38">
        <f t="shared" si="42"/>
        <v>0</v>
      </c>
    </row>
    <row r="197" spans="1:36">
      <c r="A197" s="20"/>
      <c r="B197" s="20" t="s">
        <v>110</v>
      </c>
      <c r="C197" s="667"/>
      <c r="D197" s="68" t="s">
        <v>497</v>
      </c>
      <c r="E197" s="679"/>
      <c r="F197" s="529">
        <f>VLOOKUP(D197,'Dec 2012 Revenue'!D:T,17,FALSE)</f>
        <v>0</v>
      </c>
      <c r="G197" s="680"/>
      <c r="H197" s="680"/>
      <c r="I197" s="755"/>
      <c r="J197" s="682">
        <f t="shared" si="33"/>
        <v>0</v>
      </c>
      <c r="K197" s="683"/>
      <c r="L197" s="684"/>
      <c r="M197" s="753"/>
      <c r="N197" s="683">
        <v>0</v>
      </c>
      <c r="O197" s="686"/>
      <c r="P197" s="683">
        <v>0</v>
      </c>
      <c r="Q197" s="687">
        <f t="shared" si="29"/>
        <v>0</v>
      </c>
      <c r="R197" s="688">
        <v>0</v>
      </c>
      <c r="S197" s="693"/>
      <c r="T197" s="690">
        <f t="shared" si="43"/>
        <v>0</v>
      </c>
      <c r="U197" s="683"/>
      <c r="V197" s="474">
        <f t="shared" si="34"/>
        <v>0</v>
      </c>
      <c r="W197" s="474">
        <f t="shared" si="35"/>
        <v>0</v>
      </c>
      <c r="X197" s="475">
        <f t="shared" si="36"/>
        <v>0</v>
      </c>
      <c r="Y197" s="475">
        <v>0</v>
      </c>
      <c r="Z197" s="476">
        <v>0</v>
      </c>
      <c r="AA197" s="38">
        <f t="shared" si="37"/>
        <v>0</v>
      </c>
      <c r="AB197" s="692">
        <f t="shared" si="30"/>
        <v>0</v>
      </c>
      <c r="AC197" s="692">
        <f t="shared" si="31"/>
        <v>0</v>
      </c>
      <c r="AD197" s="692">
        <f t="shared" si="32"/>
        <v>0</v>
      </c>
      <c r="AE197" s="38"/>
      <c r="AF197" s="692">
        <f t="shared" si="38"/>
        <v>0</v>
      </c>
      <c r="AG197" s="692">
        <f t="shared" si="39"/>
        <v>0</v>
      </c>
      <c r="AH197" s="692">
        <f t="shared" si="40"/>
        <v>0</v>
      </c>
      <c r="AJ197" s="38">
        <f t="shared" si="42"/>
        <v>0</v>
      </c>
    </row>
    <row r="198" spans="1:36">
      <c r="A198" s="20"/>
      <c r="B198" s="20" t="s">
        <v>110</v>
      </c>
      <c r="C198" s="667"/>
      <c r="D198" s="68" t="s">
        <v>509</v>
      </c>
      <c r="E198" s="679"/>
      <c r="F198" s="529">
        <f>VLOOKUP(D198,'Dec 2012 Revenue'!D:T,17,FALSE)</f>
        <v>1350.33</v>
      </c>
      <c r="G198" s="680"/>
      <c r="H198" s="680"/>
      <c r="I198" s="770">
        <v>10671.32</v>
      </c>
      <c r="J198" s="682">
        <f t="shared" si="33"/>
        <v>12021.65</v>
      </c>
      <c r="K198" s="683"/>
      <c r="L198" s="684"/>
      <c r="M198" s="753"/>
      <c r="N198" s="683"/>
      <c r="O198" s="686"/>
      <c r="P198" s="683"/>
      <c r="Q198" s="687">
        <f t="shared" si="29"/>
        <v>0</v>
      </c>
      <c r="R198" s="688">
        <v>0</v>
      </c>
      <c r="S198" s="693"/>
      <c r="T198" s="690">
        <f t="shared" si="43"/>
        <v>0</v>
      </c>
      <c r="U198" s="683"/>
      <c r="V198" s="474">
        <f t="shared" si="34"/>
        <v>0</v>
      </c>
      <c r="W198" s="474">
        <f t="shared" si="35"/>
        <v>0</v>
      </c>
      <c r="X198" s="475">
        <f t="shared" si="36"/>
        <v>0</v>
      </c>
      <c r="Y198" s="475">
        <v>0</v>
      </c>
      <c r="Z198" s="476">
        <v>0</v>
      </c>
      <c r="AA198" s="38">
        <f t="shared" si="37"/>
        <v>0</v>
      </c>
      <c r="AB198" s="692">
        <f t="shared" si="30"/>
        <v>12021.65</v>
      </c>
      <c r="AC198" s="692">
        <f t="shared" si="31"/>
        <v>0</v>
      </c>
      <c r="AD198" s="692">
        <f t="shared" si="32"/>
        <v>0</v>
      </c>
      <c r="AE198" s="38"/>
      <c r="AF198" s="692">
        <f t="shared" si="38"/>
        <v>0</v>
      </c>
      <c r="AG198" s="692">
        <f t="shared" si="39"/>
        <v>0</v>
      </c>
      <c r="AH198" s="692">
        <f t="shared" si="40"/>
        <v>0</v>
      </c>
      <c r="AJ198" s="38">
        <f t="shared" si="42"/>
        <v>12021.65</v>
      </c>
    </row>
    <row r="199" spans="1:36" s="627" customFormat="1">
      <c r="A199" s="610"/>
      <c r="B199" s="610" t="s">
        <v>110</v>
      </c>
      <c r="C199" s="667" t="s">
        <v>580</v>
      </c>
      <c r="D199" s="612" t="s">
        <v>476</v>
      </c>
      <c r="E199" s="679"/>
      <c r="F199" s="529">
        <f>VLOOKUP(D199,'Dec 2012 Revenue'!D:T,17,FALSE)</f>
        <v>0</v>
      </c>
      <c r="G199" s="680"/>
      <c r="H199" s="680"/>
      <c r="I199" s="755"/>
      <c r="J199" s="682">
        <f t="shared" si="33"/>
        <v>0</v>
      </c>
      <c r="K199" s="683"/>
      <c r="L199" s="684"/>
      <c r="M199" s="753"/>
      <c r="N199" s="683">
        <v>0</v>
      </c>
      <c r="O199" s="686"/>
      <c r="P199" s="683">
        <v>0</v>
      </c>
      <c r="Q199" s="687">
        <f t="shared" si="29"/>
        <v>0</v>
      </c>
      <c r="R199" s="688">
        <v>0</v>
      </c>
      <c r="S199" s="706"/>
      <c r="T199" s="690">
        <f t="shared" si="43"/>
        <v>0</v>
      </c>
      <c r="U199" s="707"/>
      <c r="V199" s="474">
        <f t="shared" si="34"/>
        <v>0</v>
      </c>
      <c r="W199" s="474">
        <f t="shared" si="35"/>
        <v>0</v>
      </c>
      <c r="X199" s="475">
        <f t="shared" si="36"/>
        <v>0</v>
      </c>
      <c r="Y199" s="475">
        <v>0</v>
      </c>
      <c r="Z199" s="476">
        <v>0</v>
      </c>
      <c r="AA199" s="38">
        <f t="shared" si="37"/>
        <v>0</v>
      </c>
      <c r="AB199" s="692">
        <f t="shared" si="30"/>
        <v>0</v>
      </c>
      <c r="AC199" s="692">
        <f t="shared" si="31"/>
        <v>0</v>
      </c>
      <c r="AD199" s="692">
        <f t="shared" si="32"/>
        <v>0</v>
      </c>
      <c r="AE199" s="38"/>
      <c r="AF199" s="692">
        <f t="shared" si="38"/>
        <v>0</v>
      </c>
      <c r="AG199" s="692">
        <f t="shared" si="39"/>
        <v>0</v>
      </c>
      <c r="AH199" s="692">
        <f t="shared" si="40"/>
        <v>0</v>
      </c>
      <c r="AJ199" s="38">
        <f t="shared" si="42"/>
        <v>0</v>
      </c>
    </row>
    <row r="200" spans="1:36" s="232" customFormat="1">
      <c r="A200" s="283"/>
      <c r="B200" s="283" t="s">
        <v>114</v>
      </c>
      <c r="C200" s="667" t="s">
        <v>580</v>
      </c>
      <c r="D200" s="123" t="s">
        <v>371</v>
      </c>
      <c r="E200" s="679"/>
      <c r="F200" s="529">
        <f>VLOOKUP(D200,'Dec 2012 Revenue'!D:T,17,FALSE)</f>
        <v>634.67999999999938</v>
      </c>
      <c r="G200" s="680"/>
      <c r="H200" s="680"/>
      <c r="I200" s="755"/>
      <c r="J200" s="682">
        <f t="shared" si="33"/>
        <v>634.67999999999938</v>
      </c>
      <c r="K200" s="683"/>
      <c r="L200" s="684">
        <v>4935</v>
      </c>
      <c r="M200" s="753"/>
      <c r="N200" s="683">
        <v>0</v>
      </c>
      <c r="O200" s="686"/>
      <c r="P200" s="683">
        <v>0</v>
      </c>
      <c r="Q200" s="687">
        <f t="shared" si="29"/>
        <v>4935</v>
      </c>
      <c r="R200" s="688">
        <f>640.25+4934.34</f>
        <v>5574.59</v>
      </c>
      <c r="S200" s="693"/>
      <c r="T200" s="690">
        <f t="shared" si="43"/>
        <v>639.59000000000015</v>
      </c>
      <c r="U200" s="683"/>
      <c r="V200" s="474">
        <f t="shared" si="34"/>
        <v>0</v>
      </c>
      <c r="W200" s="474">
        <f t="shared" si="35"/>
        <v>0</v>
      </c>
      <c r="X200" s="475">
        <f t="shared" si="36"/>
        <v>4935</v>
      </c>
      <c r="Y200" s="475">
        <v>0</v>
      </c>
      <c r="Z200" s="476">
        <v>0</v>
      </c>
      <c r="AA200" s="38">
        <f t="shared" si="37"/>
        <v>0</v>
      </c>
      <c r="AB200" s="692">
        <f t="shared" si="30"/>
        <v>0</v>
      </c>
      <c r="AC200" s="692">
        <f t="shared" si="31"/>
        <v>0</v>
      </c>
      <c r="AD200" s="692">
        <f t="shared" si="32"/>
        <v>634.67999999999938</v>
      </c>
      <c r="AE200" s="38"/>
      <c r="AF200" s="692">
        <f t="shared" si="38"/>
        <v>0</v>
      </c>
      <c r="AG200" s="692">
        <f t="shared" si="39"/>
        <v>0</v>
      </c>
      <c r="AH200" s="692">
        <f t="shared" si="40"/>
        <v>4935</v>
      </c>
      <c r="AJ200" s="38">
        <f t="shared" si="42"/>
        <v>5569.6799999999994</v>
      </c>
    </row>
    <row r="201" spans="1:36" s="232" customFormat="1">
      <c r="A201" s="283"/>
      <c r="B201" s="283" t="s">
        <v>110</v>
      </c>
      <c r="C201" s="667" t="s">
        <v>580</v>
      </c>
      <c r="D201" s="123" t="s">
        <v>422</v>
      </c>
      <c r="E201" s="679"/>
      <c r="F201" s="529">
        <f>VLOOKUP(D201,'Dec 2012 Revenue'!D:T,17,FALSE)</f>
        <v>0.95000000001164153</v>
      </c>
      <c r="G201" s="680"/>
      <c r="H201" s="680"/>
      <c r="I201" s="755"/>
      <c r="J201" s="682">
        <f t="shared" si="33"/>
        <v>0.95000000001164153</v>
      </c>
      <c r="K201" s="683"/>
      <c r="L201" s="684"/>
      <c r="M201" s="753"/>
      <c r="N201" s="683">
        <v>0</v>
      </c>
      <c r="O201" s="686"/>
      <c r="P201" s="683">
        <v>0</v>
      </c>
      <c r="Q201" s="687">
        <f t="shared" si="29"/>
        <v>0</v>
      </c>
      <c r="R201" s="688">
        <v>0</v>
      </c>
      <c r="S201" s="693"/>
      <c r="T201" s="690">
        <f t="shared" si="43"/>
        <v>0</v>
      </c>
      <c r="U201" s="683"/>
      <c r="V201" s="474">
        <f t="shared" si="34"/>
        <v>0</v>
      </c>
      <c r="W201" s="474">
        <f t="shared" si="35"/>
        <v>0</v>
      </c>
      <c r="X201" s="475">
        <f t="shared" si="36"/>
        <v>0</v>
      </c>
      <c r="Y201" s="475">
        <v>0</v>
      </c>
      <c r="Z201" s="476">
        <v>0</v>
      </c>
      <c r="AA201" s="38">
        <f t="shared" si="37"/>
        <v>0</v>
      </c>
      <c r="AB201" s="692">
        <f t="shared" si="30"/>
        <v>0.95000000001164153</v>
      </c>
      <c r="AC201" s="692">
        <f t="shared" si="31"/>
        <v>0</v>
      </c>
      <c r="AD201" s="692">
        <f t="shared" si="32"/>
        <v>0</v>
      </c>
      <c r="AE201" s="38"/>
      <c r="AF201" s="692">
        <f t="shared" si="38"/>
        <v>0</v>
      </c>
      <c r="AG201" s="692">
        <f t="shared" si="39"/>
        <v>0</v>
      </c>
      <c r="AH201" s="692">
        <f t="shared" si="40"/>
        <v>0</v>
      </c>
      <c r="AJ201" s="38">
        <f t="shared" si="42"/>
        <v>0.95000000001164153</v>
      </c>
    </row>
    <row r="202" spans="1:36" s="232" customFormat="1">
      <c r="A202" s="283"/>
      <c r="B202" s="283" t="s">
        <v>110</v>
      </c>
      <c r="C202" s="667" t="s">
        <v>580</v>
      </c>
      <c r="D202" s="123" t="s">
        <v>442</v>
      </c>
      <c r="E202" s="679"/>
      <c r="F202" s="529">
        <f>VLOOKUP(D202,'Dec 2012 Revenue'!D:T,17,FALSE)</f>
        <v>0</v>
      </c>
      <c r="G202" s="680"/>
      <c r="H202" s="680"/>
      <c r="I202" s="755"/>
      <c r="J202" s="682">
        <f t="shared" si="33"/>
        <v>0</v>
      </c>
      <c r="K202" s="683"/>
      <c r="L202" s="684">
        <v>270469</v>
      </c>
      <c r="M202" s="753"/>
      <c r="N202" s="683">
        <v>0</v>
      </c>
      <c r="O202" s="686"/>
      <c r="P202" s="683">
        <v>0</v>
      </c>
      <c r="Q202" s="687">
        <f t="shared" si="29"/>
        <v>270469</v>
      </c>
      <c r="R202" s="688">
        <v>270469.36</v>
      </c>
      <c r="S202" s="693"/>
      <c r="T202" s="690">
        <f t="shared" si="43"/>
        <v>0.35999999998603016</v>
      </c>
      <c r="U202" s="683"/>
      <c r="V202" s="474">
        <f t="shared" si="34"/>
        <v>270469</v>
      </c>
      <c r="W202" s="474">
        <f t="shared" si="35"/>
        <v>0</v>
      </c>
      <c r="X202" s="475">
        <f t="shared" si="36"/>
        <v>0</v>
      </c>
      <c r="Y202" s="475">
        <v>0</v>
      </c>
      <c r="Z202" s="476">
        <v>0</v>
      </c>
      <c r="AA202" s="38">
        <f t="shared" si="37"/>
        <v>0</v>
      </c>
      <c r="AB202" s="692">
        <f t="shared" si="30"/>
        <v>0</v>
      </c>
      <c r="AC202" s="692">
        <f t="shared" si="31"/>
        <v>0</v>
      </c>
      <c r="AD202" s="692">
        <f t="shared" si="32"/>
        <v>0</v>
      </c>
      <c r="AE202" s="38"/>
      <c r="AF202" s="692">
        <f t="shared" si="38"/>
        <v>270469</v>
      </c>
      <c r="AG202" s="692">
        <f t="shared" si="39"/>
        <v>0</v>
      </c>
      <c r="AH202" s="692">
        <f t="shared" si="40"/>
        <v>0</v>
      </c>
      <c r="AJ202" s="38">
        <f t="shared" si="42"/>
        <v>270469</v>
      </c>
    </row>
    <row r="203" spans="1:36">
      <c r="A203" s="21" t="s">
        <v>97</v>
      </c>
      <c r="B203" s="21" t="s">
        <v>109</v>
      </c>
      <c r="C203" s="666"/>
      <c r="D203" s="68" t="s">
        <v>381</v>
      </c>
      <c r="E203" s="679"/>
      <c r="F203" s="529">
        <f>VLOOKUP(D203,'Dec 2012 Revenue'!D:T,17,FALSE)</f>
        <v>0</v>
      </c>
      <c r="G203" s="680"/>
      <c r="H203" s="680"/>
      <c r="I203" s="755"/>
      <c r="J203" s="682">
        <f t="shared" si="33"/>
        <v>0</v>
      </c>
      <c r="K203" s="683"/>
      <c r="L203" s="684"/>
      <c r="M203" s="753"/>
      <c r="N203" s="683">
        <v>0</v>
      </c>
      <c r="O203" s="686"/>
      <c r="P203" s="683">
        <v>0</v>
      </c>
      <c r="Q203" s="687">
        <f t="shared" si="29"/>
        <v>0</v>
      </c>
      <c r="R203" s="688">
        <v>0</v>
      </c>
      <c r="S203" s="693"/>
      <c r="T203" s="690">
        <f t="shared" si="43"/>
        <v>0</v>
      </c>
      <c r="U203" s="683"/>
      <c r="V203" s="474">
        <f t="shared" si="34"/>
        <v>0</v>
      </c>
      <c r="W203" s="474">
        <f t="shared" si="35"/>
        <v>0</v>
      </c>
      <c r="X203" s="475">
        <f t="shared" si="36"/>
        <v>0</v>
      </c>
      <c r="Y203" s="475">
        <v>0</v>
      </c>
      <c r="Z203" s="476">
        <v>0</v>
      </c>
      <c r="AA203" s="38">
        <f t="shared" si="37"/>
        <v>0</v>
      </c>
      <c r="AB203" s="692">
        <f t="shared" si="30"/>
        <v>0</v>
      </c>
      <c r="AC203" s="692">
        <f t="shared" si="31"/>
        <v>0</v>
      </c>
      <c r="AD203" s="692">
        <f t="shared" si="32"/>
        <v>0</v>
      </c>
      <c r="AE203" s="38"/>
      <c r="AF203" s="692">
        <f t="shared" si="38"/>
        <v>0</v>
      </c>
      <c r="AG203" s="692">
        <f t="shared" si="39"/>
        <v>0</v>
      </c>
      <c r="AH203" s="692">
        <f t="shared" si="40"/>
        <v>0</v>
      </c>
      <c r="AJ203" s="38">
        <f t="shared" si="42"/>
        <v>0</v>
      </c>
    </row>
    <row r="204" spans="1:36">
      <c r="A204" s="21" t="s">
        <v>97</v>
      </c>
      <c r="B204" s="21" t="s">
        <v>114</v>
      </c>
      <c r="C204" s="666"/>
      <c r="D204" s="68" t="s">
        <v>376</v>
      </c>
      <c r="E204" s="679"/>
      <c r="F204" s="529">
        <f>VLOOKUP(D204,'Dec 2012 Revenue'!D:T,17,FALSE)</f>
        <v>0</v>
      </c>
      <c r="G204" s="680"/>
      <c r="H204" s="680"/>
      <c r="I204" s="755"/>
      <c r="J204" s="682">
        <f t="shared" si="33"/>
        <v>0</v>
      </c>
      <c r="K204" s="683"/>
      <c r="L204" s="684"/>
      <c r="M204" s="753"/>
      <c r="N204" s="683">
        <v>0</v>
      </c>
      <c r="O204" s="686"/>
      <c r="P204" s="683">
        <v>0</v>
      </c>
      <c r="Q204" s="687">
        <f t="shared" ref="Q204:Q218" si="44">L204+M204</f>
        <v>0</v>
      </c>
      <c r="R204" s="688">
        <v>0</v>
      </c>
      <c r="S204" s="693"/>
      <c r="T204" s="690">
        <f t="shared" si="43"/>
        <v>0</v>
      </c>
      <c r="U204" s="683"/>
      <c r="V204" s="474">
        <f t="shared" si="34"/>
        <v>0</v>
      </c>
      <c r="W204" s="474">
        <f t="shared" si="35"/>
        <v>0</v>
      </c>
      <c r="X204" s="475">
        <f t="shared" si="36"/>
        <v>0</v>
      </c>
      <c r="Y204" s="475">
        <v>0</v>
      </c>
      <c r="Z204" s="476">
        <v>0</v>
      </c>
      <c r="AA204" s="38">
        <f t="shared" si="37"/>
        <v>0</v>
      </c>
      <c r="AB204" s="692">
        <f t="shared" si="30"/>
        <v>0</v>
      </c>
      <c r="AC204" s="692">
        <f t="shared" si="31"/>
        <v>0</v>
      </c>
      <c r="AD204" s="692">
        <f t="shared" si="32"/>
        <v>0</v>
      </c>
      <c r="AE204" s="38"/>
      <c r="AF204" s="692">
        <f t="shared" si="38"/>
        <v>0</v>
      </c>
      <c r="AG204" s="692">
        <f t="shared" si="39"/>
        <v>0</v>
      </c>
      <c r="AH204" s="692">
        <f t="shared" si="40"/>
        <v>0</v>
      </c>
      <c r="AJ204" s="38">
        <f t="shared" si="42"/>
        <v>0</v>
      </c>
    </row>
    <row r="205" spans="1:36">
      <c r="A205" s="20"/>
      <c r="B205" s="20" t="s">
        <v>110</v>
      </c>
      <c r="C205" s="667"/>
      <c r="D205" s="68" t="s">
        <v>390</v>
      </c>
      <c r="E205" s="679"/>
      <c r="F205" s="529">
        <f>VLOOKUP(D205,'Dec 2012 Revenue'!D:T,17,FALSE)</f>
        <v>0</v>
      </c>
      <c r="G205" s="680"/>
      <c r="H205" s="680"/>
      <c r="I205" s="755"/>
      <c r="J205" s="682">
        <f t="shared" si="33"/>
        <v>0</v>
      </c>
      <c r="K205" s="683"/>
      <c r="L205" s="684"/>
      <c r="M205" s="753"/>
      <c r="N205" s="683">
        <v>0</v>
      </c>
      <c r="O205" s="686"/>
      <c r="P205" s="683">
        <v>0</v>
      </c>
      <c r="Q205" s="687">
        <f t="shared" si="44"/>
        <v>0</v>
      </c>
      <c r="R205" s="688">
        <v>0</v>
      </c>
      <c r="S205" s="693"/>
      <c r="T205" s="690">
        <f t="shared" si="43"/>
        <v>0</v>
      </c>
      <c r="U205" s="683"/>
      <c r="V205" s="474">
        <f t="shared" si="34"/>
        <v>0</v>
      </c>
      <c r="W205" s="474">
        <f t="shared" si="35"/>
        <v>0</v>
      </c>
      <c r="X205" s="475">
        <f t="shared" si="36"/>
        <v>0</v>
      </c>
      <c r="Y205" s="475">
        <v>0</v>
      </c>
      <c r="Z205" s="476">
        <v>0</v>
      </c>
      <c r="AA205" s="38">
        <f t="shared" si="37"/>
        <v>0</v>
      </c>
      <c r="AB205" s="692">
        <f t="shared" si="30"/>
        <v>0</v>
      </c>
      <c r="AC205" s="692">
        <f t="shared" si="31"/>
        <v>0</v>
      </c>
      <c r="AD205" s="692">
        <f t="shared" si="32"/>
        <v>0</v>
      </c>
      <c r="AE205" s="38"/>
      <c r="AF205" s="692">
        <f t="shared" si="38"/>
        <v>0</v>
      </c>
      <c r="AG205" s="692">
        <f t="shared" si="39"/>
        <v>0</v>
      </c>
      <c r="AH205" s="692">
        <f t="shared" si="40"/>
        <v>0</v>
      </c>
      <c r="AJ205" s="38">
        <f t="shared" si="42"/>
        <v>0</v>
      </c>
    </row>
    <row r="206" spans="1:36">
      <c r="A206" s="20"/>
      <c r="B206" s="20" t="s">
        <v>110</v>
      </c>
      <c r="C206" s="667" t="s">
        <v>581</v>
      </c>
      <c r="D206" s="123" t="s">
        <v>166</v>
      </c>
      <c r="E206" s="679"/>
      <c r="F206" s="529">
        <f>VLOOKUP(D206,'Dec 2012 Revenue'!D:T,17,FALSE)</f>
        <v>0</v>
      </c>
      <c r="G206" s="680"/>
      <c r="H206" s="680"/>
      <c r="I206" s="755"/>
      <c r="J206" s="682">
        <f t="shared" ref="J206:J218" si="45">SUM(E206:I206)</f>
        <v>0</v>
      </c>
      <c r="K206" s="683"/>
      <c r="L206" s="684"/>
      <c r="M206" s="753"/>
      <c r="N206" s="683">
        <v>0</v>
      </c>
      <c r="O206" s="686"/>
      <c r="P206" s="683">
        <v>0</v>
      </c>
      <c r="Q206" s="687">
        <f t="shared" si="44"/>
        <v>0</v>
      </c>
      <c r="R206" s="688">
        <v>0</v>
      </c>
      <c r="S206" s="693"/>
      <c r="T206" s="690">
        <f t="shared" si="43"/>
        <v>0</v>
      </c>
      <c r="U206" s="683"/>
      <c r="V206" s="474">
        <f t="shared" ref="V206:V218" si="46">IF(B206="D",Q206,0)</f>
        <v>0</v>
      </c>
      <c r="W206" s="474">
        <f t="shared" ref="W206:W218" si="47">IF(B206="M",Q206,0)</f>
        <v>0</v>
      </c>
      <c r="X206" s="475">
        <f t="shared" ref="X206:X218" si="48">IF(B206="V",Q206,0)</f>
        <v>0</v>
      </c>
      <c r="Y206" s="475">
        <v>0</v>
      </c>
      <c r="Z206" s="476">
        <v>0</v>
      </c>
      <c r="AA206" s="38">
        <f t="shared" ref="AA206:AA218" si="49">(L206+M206)-(V206+W206+X206+Y206+Z206)</f>
        <v>0</v>
      </c>
      <c r="AB206" s="692">
        <f t="shared" ref="AB206:AB218" si="50">IF(B206="D",J206,0)</f>
        <v>0</v>
      </c>
      <c r="AC206" s="692">
        <f t="shared" ref="AC206:AC218" si="51">IF(B206="M",J206,0)</f>
        <v>0</v>
      </c>
      <c r="AD206" s="692">
        <f t="shared" ref="AD206:AD218" si="52">IF(B206="V",J206,0)</f>
        <v>0</v>
      </c>
      <c r="AE206" s="38"/>
      <c r="AF206" s="692">
        <f t="shared" ref="AF206:AF218" si="53">IF(B206="D",Q206,0)</f>
        <v>0</v>
      </c>
      <c r="AG206" s="692">
        <f t="shared" ref="AG206:AG218" si="54">IF(B206="M",Q206,0)</f>
        <v>0</v>
      </c>
      <c r="AH206" s="692">
        <f t="shared" ref="AH206:AH218" si="55">IF(B206="V",Q206,0)</f>
        <v>0</v>
      </c>
      <c r="AJ206" s="38">
        <f t="shared" si="42"/>
        <v>0</v>
      </c>
    </row>
    <row r="207" spans="1:36">
      <c r="A207" s="20"/>
      <c r="B207" s="20" t="s">
        <v>109</v>
      </c>
      <c r="C207" s="667" t="s">
        <v>581</v>
      </c>
      <c r="D207" s="123" t="s">
        <v>165</v>
      </c>
      <c r="E207" s="679"/>
      <c r="F207" s="529">
        <f>VLOOKUP(D207,'Dec 2012 Revenue'!D:T,17,FALSE)</f>
        <v>0</v>
      </c>
      <c r="G207" s="680"/>
      <c r="H207" s="680"/>
      <c r="I207" s="755"/>
      <c r="J207" s="682">
        <f t="shared" si="45"/>
        <v>0</v>
      </c>
      <c r="K207" s="683"/>
      <c r="L207" s="684"/>
      <c r="M207" s="753"/>
      <c r="N207" s="683">
        <v>0</v>
      </c>
      <c r="O207" s="686"/>
      <c r="P207" s="683">
        <v>0</v>
      </c>
      <c r="Q207" s="687">
        <f t="shared" si="44"/>
        <v>0</v>
      </c>
      <c r="R207" s="688">
        <v>0</v>
      </c>
      <c r="S207" s="693"/>
      <c r="T207" s="690">
        <f t="shared" si="43"/>
        <v>0</v>
      </c>
      <c r="U207" s="683"/>
      <c r="V207" s="474">
        <f t="shared" si="46"/>
        <v>0</v>
      </c>
      <c r="W207" s="474">
        <f t="shared" si="47"/>
        <v>0</v>
      </c>
      <c r="X207" s="475">
        <f t="shared" si="48"/>
        <v>0</v>
      </c>
      <c r="Y207" s="475">
        <v>0</v>
      </c>
      <c r="Z207" s="476">
        <v>0</v>
      </c>
      <c r="AA207" s="38">
        <f t="shared" si="49"/>
        <v>0</v>
      </c>
      <c r="AB207" s="692">
        <f t="shared" si="50"/>
        <v>0</v>
      </c>
      <c r="AC207" s="692">
        <f t="shared" si="51"/>
        <v>0</v>
      </c>
      <c r="AD207" s="692">
        <f t="shared" si="52"/>
        <v>0</v>
      </c>
      <c r="AE207" s="38"/>
      <c r="AF207" s="692">
        <f t="shared" si="53"/>
        <v>0</v>
      </c>
      <c r="AG207" s="692">
        <f t="shared" si="54"/>
        <v>0</v>
      </c>
      <c r="AH207" s="692">
        <f t="shared" si="55"/>
        <v>0</v>
      </c>
      <c r="AJ207" s="38">
        <f t="shared" si="42"/>
        <v>0</v>
      </c>
    </row>
    <row r="208" spans="1:36">
      <c r="A208" s="20"/>
      <c r="B208" s="20" t="s">
        <v>109</v>
      </c>
      <c r="C208" s="667"/>
      <c r="D208" s="123" t="s">
        <v>310</v>
      </c>
      <c r="E208" s="679"/>
      <c r="F208" s="529">
        <f>VLOOKUP(D208,'Dec 2012 Revenue'!D:T,17,FALSE)</f>
        <v>0</v>
      </c>
      <c r="G208" s="680"/>
      <c r="H208" s="680"/>
      <c r="I208" s="755"/>
      <c r="J208" s="682">
        <f t="shared" si="45"/>
        <v>0</v>
      </c>
      <c r="K208" s="683"/>
      <c r="L208" s="684"/>
      <c r="M208" s="753"/>
      <c r="N208" s="683">
        <v>0</v>
      </c>
      <c r="O208" s="686"/>
      <c r="P208" s="683">
        <v>0</v>
      </c>
      <c r="Q208" s="687">
        <f t="shared" si="44"/>
        <v>0</v>
      </c>
      <c r="R208" s="688">
        <v>0</v>
      </c>
      <c r="S208" s="693"/>
      <c r="T208" s="690">
        <f t="shared" si="43"/>
        <v>0</v>
      </c>
      <c r="U208" s="683"/>
      <c r="V208" s="474">
        <f t="shared" si="46"/>
        <v>0</v>
      </c>
      <c r="W208" s="474">
        <f t="shared" si="47"/>
        <v>0</v>
      </c>
      <c r="X208" s="475">
        <f t="shared" si="48"/>
        <v>0</v>
      </c>
      <c r="Y208" s="475">
        <v>0</v>
      </c>
      <c r="Z208" s="476">
        <v>0</v>
      </c>
      <c r="AA208" s="38">
        <f t="shared" si="49"/>
        <v>0</v>
      </c>
      <c r="AB208" s="692">
        <f t="shared" si="50"/>
        <v>0</v>
      </c>
      <c r="AC208" s="692">
        <f t="shared" si="51"/>
        <v>0</v>
      </c>
      <c r="AD208" s="692">
        <f t="shared" si="52"/>
        <v>0</v>
      </c>
      <c r="AE208" s="38"/>
      <c r="AF208" s="692">
        <f t="shared" si="53"/>
        <v>0</v>
      </c>
      <c r="AG208" s="692">
        <f t="shared" si="54"/>
        <v>0</v>
      </c>
      <c r="AH208" s="692">
        <f t="shared" si="55"/>
        <v>0</v>
      </c>
      <c r="AJ208" s="38">
        <f t="shared" ref="AJ208:AJ218" si="56">SUM(AB208:AH208)</f>
        <v>0</v>
      </c>
    </row>
    <row r="209" spans="1:36">
      <c r="A209" s="20"/>
      <c r="B209" s="20" t="s">
        <v>109</v>
      </c>
      <c r="C209" s="667"/>
      <c r="D209" s="123" t="s">
        <v>441</v>
      </c>
      <c r="E209" s="679"/>
      <c r="F209" s="529">
        <f>VLOOKUP(D209,'Dec 2012 Revenue'!D:T,17,FALSE)</f>
        <v>0</v>
      </c>
      <c r="G209" s="680"/>
      <c r="H209" s="680"/>
      <c r="I209" s="755"/>
      <c r="J209" s="682">
        <f t="shared" si="45"/>
        <v>0</v>
      </c>
      <c r="K209" s="683"/>
      <c r="L209" s="684"/>
      <c r="M209" s="753"/>
      <c r="N209" s="683">
        <v>0</v>
      </c>
      <c r="O209" s="686"/>
      <c r="P209" s="683">
        <v>0</v>
      </c>
      <c r="Q209" s="687">
        <f t="shared" si="44"/>
        <v>0</v>
      </c>
      <c r="R209" s="688">
        <v>0</v>
      </c>
      <c r="S209" s="693"/>
      <c r="T209" s="690">
        <f t="shared" ref="T209:T216" si="57">IF(R209="","",R209-Q209)</f>
        <v>0</v>
      </c>
      <c r="U209" s="683"/>
      <c r="V209" s="474">
        <f t="shared" si="46"/>
        <v>0</v>
      </c>
      <c r="W209" s="474">
        <f t="shared" si="47"/>
        <v>0</v>
      </c>
      <c r="X209" s="475">
        <f t="shared" si="48"/>
        <v>0</v>
      </c>
      <c r="Y209" s="475">
        <v>0</v>
      </c>
      <c r="Z209" s="476">
        <v>0</v>
      </c>
      <c r="AA209" s="38">
        <f t="shared" si="49"/>
        <v>0</v>
      </c>
      <c r="AB209" s="692">
        <f t="shared" si="50"/>
        <v>0</v>
      </c>
      <c r="AC209" s="692">
        <f t="shared" si="51"/>
        <v>0</v>
      </c>
      <c r="AD209" s="692">
        <f t="shared" si="52"/>
        <v>0</v>
      </c>
      <c r="AE209" s="38"/>
      <c r="AF209" s="692">
        <f t="shared" si="53"/>
        <v>0</v>
      </c>
      <c r="AG209" s="692">
        <f t="shared" si="54"/>
        <v>0</v>
      </c>
      <c r="AH209" s="692">
        <f t="shared" si="55"/>
        <v>0</v>
      </c>
      <c r="AJ209" s="38">
        <f t="shared" si="56"/>
        <v>0</v>
      </c>
    </row>
    <row r="210" spans="1:36">
      <c r="A210" s="20"/>
      <c r="B210" s="20" t="s">
        <v>109</v>
      </c>
      <c r="C210" s="667"/>
      <c r="D210" s="68" t="s">
        <v>121</v>
      </c>
      <c r="E210" s="679"/>
      <c r="F210" s="529">
        <f>VLOOKUP(D210,'Dec 2012 Revenue'!D:T,17,FALSE)</f>
        <v>0</v>
      </c>
      <c r="G210" s="680"/>
      <c r="H210" s="680"/>
      <c r="I210" s="755"/>
      <c r="J210" s="682">
        <f t="shared" si="45"/>
        <v>0</v>
      </c>
      <c r="K210" s="683"/>
      <c r="L210" s="684"/>
      <c r="M210" s="753"/>
      <c r="N210" s="683">
        <v>0</v>
      </c>
      <c r="O210" s="686"/>
      <c r="P210" s="683">
        <v>0</v>
      </c>
      <c r="Q210" s="687">
        <f t="shared" si="44"/>
        <v>0</v>
      </c>
      <c r="R210" s="688">
        <v>0</v>
      </c>
      <c r="S210" s="693"/>
      <c r="T210" s="690">
        <f t="shared" si="57"/>
        <v>0</v>
      </c>
      <c r="U210" s="683"/>
      <c r="V210" s="474">
        <f t="shared" si="46"/>
        <v>0</v>
      </c>
      <c r="W210" s="474">
        <f t="shared" si="47"/>
        <v>0</v>
      </c>
      <c r="X210" s="475">
        <f t="shared" si="48"/>
        <v>0</v>
      </c>
      <c r="Y210" s="475">
        <v>0</v>
      </c>
      <c r="Z210" s="476">
        <v>0</v>
      </c>
      <c r="AA210" s="38">
        <f t="shared" si="49"/>
        <v>0</v>
      </c>
      <c r="AB210" s="692">
        <f t="shared" si="50"/>
        <v>0</v>
      </c>
      <c r="AC210" s="692">
        <f t="shared" si="51"/>
        <v>0</v>
      </c>
      <c r="AD210" s="692">
        <f t="shared" si="52"/>
        <v>0</v>
      </c>
      <c r="AE210" s="38"/>
      <c r="AF210" s="692">
        <f t="shared" si="53"/>
        <v>0</v>
      </c>
      <c r="AG210" s="692">
        <f t="shared" si="54"/>
        <v>0</v>
      </c>
      <c r="AH210" s="692">
        <f t="shared" si="55"/>
        <v>0</v>
      </c>
      <c r="AJ210" s="38">
        <f t="shared" si="56"/>
        <v>0</v>
      </c>
    </row>
    <row r="211" spans="1:36">
      <c r="A211" s="20"/>
      <c r="B211" s="20" t="s">
        <v>110</v>
      </c>
      <c r="C211" s="667"/>
      <c r="D211" s="68" t="s">
        <v>168</v>
      </c>
      <c r="E211" s="679"/>
      <c r="F211" s="529">
        <f>VLOOKUP(D211,'Dec 2012 Revenue'!D:T,17,FALSE)</f>
        <v>0</v>
      </c>
      <c r="G211" s="680"/>
      <c r="H211" s="680"/>
      <c r="I211" s="755"/>
      <c r="J211" s="682">
        <f t="shared" si="45"/>
        <v>0</v>
      </c>
      <c r="K211" s="683"/>
      <c r="L211" s="684"/>
      <c r="M211" s="753"/>
      <c r="N211" s="683">
        <v>0</v>
      </c>
      <c r="O211" s="686"/>
      <c r="P211" s="683">
        <v>0</v>
      </c>
      <c r="Q211" s="687">
        <f t="shared" si="44"/>
        <v>0</v>
      </c>
      <c r="R211" s="688">
        <v>0</v>
      </c>
      <c r="S211" s="693"/>
      <c r="T211" s="690">
        <f t="shared" si="57"/>
        <v>0</v>
      </c>
      <c r="U211" s="683"/>
      <c r="V211" s="474">
        <f t="shared" si="46"/>
        <v>0</v>
      </c>
      <c r="W211" s="474">
        <f t="shared" si="47"/>
        <v>0</v>
      </c>
      <c r="X211" s="475">
        <f t="shared" si="48"/>
        <v>0</v>
      </c>
      <c r="Y211" s="475">
        <v>0</v>
      </c>
      <c r="Z211" s="476">
        <v>0</v>
      </c>
      <c r="AA211" s="38">
        <f t="shared" si="49"/>
        <v>0</v>
      </c>
      <c r="AB211" s="692">
        <f t="shared" si="50"/>
        <v>0</v>
      </c>
      <c r="AC211" s="692">
        <f t="shared" si="51"/>
        <v>0</v>
      </c>
      <c r="AD211" s="692">
        <f t="shared" si="52"/>
        <v>0</v>
      </c>
      <c r="AE211" s="38"/>
      <c r="AF211" s="692">
        <f t="shared" si="53"/>
        <v>0</v>
      </c>
      <c r="AG211" s="692">
        <f t="shared" si="54"/>
        <v>0</v>
      </c>
      <c r="AH211" s="692">
        <f t="shared" si="55"/>
        <v>0</v>
      </c>
      <c r="AJ211" s="38">
        <f t="shared" si="56"/>
        <v>0</v>
      </c>
    </row>
    <row r="212" spans="1:36">
      <c r="A212" s="20"/>
      <c r="B212" s="20" t="s">
        <v>109</v>
      </c>
      <c r="C212" s="667" t="s">
        <v>582</v>
      </c>
      <c r="D212" s="68" t="s">
        <v>167</v>
      </c>
      <c r="E212" s="679"/>
      <c r="F212" s="529">
        <f>VLOOKUP(D212,'Dec 2012 Revenue'!D:T,17,FALSE)</f>
        <v>0</v>
      </c>
      <c r="G212" s="680"/>
      <c r="H212" s="680"/>
      <c r="I212" s="755"/>
      <c r="J212" s="682">
        <f t="shared" si="45"/>
        <v>0</v>
      </c>
      <c r="K212" s="683"/>
      <c r="L212" s="684"/>
      <c r="M212" s="753"/>
      <c r="N212" s="683">
        <v>0</v>
      </c>
      <c r="O212" s="686"/>
      <c r="P212" s="683">
        <v>0</v>
      </c>
      <c r="Q212" s="687">
        <f t="shared" si="44"/>
        <v>0</v>
      </c>
      <c r="R212" s="688">
        <v>0</v>
      </c>
      <c r="S212" s="693"/>
      <c r="T212" s="690">
        <f t="shared" si="57"/>
        <v>0</v>
      </c>
      <c r="U212" s="683"/>
      <c r="V212" s="474">
        <f t="shared" si="46"/>
        <v>0</v>
      </c>
      <c r="W212" s="474">
        <f t="shared" si="47"/>
        <v>0</v>
      </c>
      <c r="X212" s="475">
        <f t="shared" si="48"/>
        <v>0</v>
      </c>
      <c r="Y212" s="475">
        <v>0</v>
      </c>
      <c r="Z212" s="476">
        <v>0</v>
      </c>
      <c r="AA212" s="38">
        <f t="shared" si="49"/>
        <v>0</v>
      </c>
      <c r="AB212" s="692">
        <f t="shared" si="50"/>
        <v>0</v>
      </c>
      <c r="AC212" s="692">
        <f t="shared" si="51"/>
        <v>0</v>
      </c>
      <c r="AD212" s="692">
        <f t="shared" si="52"/>
        <v>0</v>
      </c>
      <c r="AE212" s="38"/>
      <c r="AF212" s="692">
        <f t="shared" si="53"/>
        <v>0</v>
      </c>
      <c r="AG212" s="692">
        <f t="shared" si="54"/>
        <v>0</v>
      </c>
      <c r="AH212" s="692">
        <f t="shared" si="55"/>
        <v>0</v>
      </c>
      <c r="AJ212" s="38">
        <f t="shared" si="56"/>
        <v>0</v>
      </c>
    </row>
    <row r="213" spans="1:36">
      <c r="A213" s="20" t="s">
        <v>218</v>
      </c>
      <c r="B213" s="20" t="s">
        <v>110</v>
      </c>
      <c r="C213" s="667"/>
      <c r="D213" s="68" t="s">
        <v>60</v>
      </c>
      <c r="E213" s="679"/>
      <c r="F213" s="529">
        <f>VLOOKUP(D213,'Dec 2012 Revenue'!D:T,17,FALSE)</f>
        <v>-8000</v>
      </c>
      <c r="G213" s="680"/>
      <c r="H213" s="680"/>
      <c r="I213" s="755"/>
      <c r="J213" s="682">
        <f t="shared" si="45"/>
        <v>-8000</v>
      </c>
      <c r="K213" s="683"/>
      <c r="L213" s="684"/>
      <c r="M213" s="753">
        <v>10000</v>
      </c>
      <c r="N213" s="683">
        <v>0</v>
      </c>
      <c r="O213" s="686"/>
      <c r="P213" s="683">
        <v>0</v>
      </c>
      <c r="Q213" s="687">
        <f t="shared" si="44"/>
        <v>10000</v>
      </c>
      <c r="R213" s="688">
        <v>0</v>
      </c>
      <c r="S213" s="693"/>
      <c r="T213" s="690">
        <f t="shared" si="57"/>
        <v>-10000</v>
      </c>
      <c r="U213" s="697"/>
      <c r="V213" s="474">
        <f t="shared" si="46"/>
        <v>10000</v>
      </c>
      <c r="W213" s="474">
        <f t="shared" si="47"/>
        <v>0</v>
      </c>
      <c r="X213" s="475">
        <f t="shared" si="48"/>
        <v>0</v>
      </c>
      <c r="Y213" s="475">
        <v>0</v>
      </c>
      <c r="Z213" s="476">
        <v>0</v>
      </c>
      <c r="AA213" s="38">
        <f t="shared" si="49"/>
        <v>0</v>
      </c>
      <c r="AB213" s="692">
        <f t="shared" si="50"/>
        <v>-8000</v>
      </c>
      <c r="AC213" s="692">
        <f t="shared" si="51"/>
        <v>0</v>
      </c>
      <c r="AD213" s="692">
        <f t="shared" si="52"/>
        <v>0</v>
      </c>
      <c r="AE213" s="38"/>
      <c r="AF213" s="692">
        <f t="shared" si="53"/>
        <v>10000</v>
      </c>
      <c r="AG213" s="692">
        <f t="shared" si="54"/>
        <v>0</v>
      </c>
      <c r="AH213" s="692">
        <f t="shared" si="55"/>
        <v>0</v>
      </c>
      <c r="AJ213" s="38">
        <f t="shared" si="56"/>
        <v>2000</v>
      </c>
    </row>
    <row r="214" spans="1:36">
      <c r="A214" s="20"/>
      <c r="B214" s="20" t="s">
        <v>110</v>
      </c>
      <c r="C214" s="667" t="s">
        <v>583</v>
      </c>
      <c r="D214" s="68" t="s">
        <v>169</v>
      </c>
      <c r="E214" s="679"/>
      <c r="F214" s="529">
        <f>VLOOKUP(D214,'Dec 2012 Revenue'!D:T,17,FALSE)</f>
        <v>0</v>
      </c>
      <c r="G214" s="680"/>
      <c r="H214" s="680"/>
      <c r="I214" s="755"/>
      <c r="J214" s="682">
        <f t="shared" si="45"/>
        <v>0</v>
      </c>
      <c r="K214" s="683"/>
      <c r="L214" s="684"/>
      <c r="M214" s="753"/>
      <c r="N214" s="683">
        <v>0</v>
      </c>
      <c r="O214" s="686"/>
      <c r="P214" s="683">
        <v>0</v>
      </c>
      <c r="Q214" s="687">
        <f t="shared" si="44"/>
        <v>0</v>
      </c>
      <c r="R214" s="688">
        <v>164.67</v>
      </c>
      <c r="S214" s="693"/>
      <c r="T214" s="690">
        <f t="shared" si="57"/>
        <v>164.67</v>
      </c>
      <c r="U214" s="683"/>
      <c r="V214" s="474">
        <f t="shared" si="46"/>
        <v>0</v>
      </c>
      <c r="W214" s="474">
        <f t="shared" si="47"/>
        <v>0</v>
      </c>
      <c r="X214" s="475">
        <f t="shared" si="48"/>
        <v>0</v>
      </c>
      <c r="Y214" s="475">
        <v>0</v>
      </c>
      <c r="Z214" s="476">
        <v>0</v>
      </c>
      <c r="AA214" s="38">
        <f t="shared" si="49"/>
        <v>0</v>
      </c>
      <c r="AB214" s="692">
        <f t="shared" si="50"/>
        <v>0</v>
      </c>
      <c r="AC214" s="692">
        <f t="shared" si="51"/>
        <v>0</v>
      </c>
      <c r="AD214" s="692">
        <f t="shared" si="52"/>
        <v>0</v>
      </c>
      <c r="AE214" s="38"/>
      <c r="AF214" s="692">
        <f t="shared" si="53"/>
        <v>0</v>
      </c>
      <c r="AG214" s="692">
        <f t="shared" si="54"/>
        <v>0</v>
      </c>
      <c r="AH214" s="692">
        <f t="shared" si="55"/>
        <v>0</v>
      </c>
      <c r="AJ214" s="38">
        <f t="shared" si="56"/>
        <v>0</v>
      </c>
    </row>
    <row r="215" spans="1:36">
      <c r="A215" s="21"/>
      <c r="B215" s="21" t="s">
        <v>110</v>
      </c>
      <c r="C215" s="666"/>
      <c r="D215" s="68" t="s">
        <v>590</v>
      </c>
      <c r="E215" s="679"/>
      <c r="F215" s="529">
        <f>VLOOKUP(D215,'Dec 2012 Revenue'!D:T,17,FALSE)</f>
        <v>0</v>
      </c>
      <c r="G215" s="680"/>
      <c r="H215" s="680"/>
      <c r="I215" s="755"/>
      <c r="J215" s="682">
        <f t="shared" si="45"/>
        <v>0</v>
      </c>
      <c r="K215" s="683"/>
      <c r="L215" s="684"/>
      <c r="M215" s="753"/>
      <c r="N215" s="683">
        <v>0</v>
      </c>
      <c r="O215" s="686"/>
      <c r="P215" s="683">
        <v>0</v>
      </c>
      <c r="Q215" s="687">
        <f t="shared" si="44"/>
        <v>0</v>
      </c>
      <c r="R215" s="688">
        <v>1076.3900000000001</v>
      </c>
      <c r="S215" s="693"/>
      <c r="T215" s="690">
        <f t="shared" si="57"/>
        <v>1076.3900000000001</v>
      </c>
      <c r="U215" s="683"/>
      <c r="V215" s="474">
        <f t="shared" si="46"/>
        <v>0</v>
      </c>
      <c r="W215" s="474">
        <f t="shared" si="47"/>
        <v>0</v>
      </c>
      <c r="X215" s="475">
        <f t="shared" si="48"/>
        <v>0</v>
      </c>
      <c r="Y215" s="475">
        <v>0</v>
      </c>
      <c r="Z215" s="476">
        <v>0</v>
      </c>
      <c r="AA215" s="38">
        <f t="shared" si="49"/>
        <v>0</v>
      </c>
      <c r="AB215" s="692">
        <f t="shared" si="50"/>
        <v>0</v>
      </c>
      <c r="AC215" s="692">
        <f t="shared" si="51"/>
        <v>0</v>
      </c>
      <c r="AD215" s="692">
        <f t="shared" si="52"/>
        <v>0</v>
      </c>
      <c r="AE215" s="38"/>
      <c r="AF215" s="692">
        <f t="shared" si="53"/>
        <v>0</v>
      </c>
      <c r="AG215" s="692">
        <f t="shared" si="54"/>
        <v>0</v>
      </c>
      <c r="AH215" s="692">
        <f t="shared" si="55"/>
        <v>0</v>
      </c>
      <c r="AJ215" s="38">
        <f t="shared" si="56"/>
        <v>0</v>
      </c>
    </row>
    <row r="216" spans="1:36">
      <c r="A216" s="21"/>
      <c r="B216" s="21" t="s">
        <v>114</v>
      </c>
      <c r="C216" s="666"/>
      <c r="D216" s="68" t="s">
        <v>591</v>
      </c>
      <c r="E216" s="679"/>
      <c r="F216" s="529">
        <f>VLOOKUP(D216,'Dec 2012 Revenue'!D:T,17,FALSE)</f>
        <v>2819</v>
      </c>
      <c r="G216" s="680"/>
      <c r="H216" s="680"/>
      <c r="I216" s="755"/>
      <c r="J216" s="682">
        <f t="shared" si="45"/>
        <v>2819</v>
      </c>
      <c r="K216" s="683"/>
      <c r="L216" s="684"/>
      <c r="M216" s="753"/>
      <c r="N216" s="683">
        <v>0</v>
      </c>
      <c r="O216" s="686"/>
      <c r="P216" s="683">
        <v>0</v>
      </c>
      <c r="Q216" s="687">
        <f t="shared" si="44"/>
        <v>0</v>
      </c>
      <c r="R216" s="688">
        <f>601.45+474.94+1760.49+637.23-R215</f>
        <v>2397.7200000000003</v>
      </c>
      <c r="S216" s="693"/>
      <c r="T216" s="690">
        <f t="shared" si="57"/>
        <v>2397.7200000000003</v>
      </c>
      <c r="U216" s="683"/>
      <c r="V216" s="474">
        <f t="shared" si="46"/>
        <v>0</v>
      </c>
      <c r="W216" s="474">
        <f t="shared" si="47"/>
        <v>0</v>
      </c>
      <c r="X216" s="475">
        <f t="shared" si="48"/>
        <v>0</v>
      </c>
      <c r="Y216" s="475">
        <v>0</v>
      </c>
      <c r="Z216" s="476">
        <v>0</v>
      </c>
      <c r="AA216" s="38">
        <f t="shared" si="49"/>
        <v>0</v>
      </c>
      <c r="AB216" s="692">
        <f t="shared" si="50"/>
        <v>0</v>
      </c>
      <c r="AC216" s="692">
        <f t="shared" si="51"/>
        <v>0</v>
      </c>
      <c r="AD216" s="692">
        <f t="shared" si="52"/>
        <v>2819</v>
      </c>
      <c r="AE216" s="38"/>
      <c r="AF216" s="692">
        <f t="shared" si="53"/>
        <v>0</v>
      </c>
      <c r="AG216" s="692">
        <f t="shared" si="54"/>
        <v>0</v>
      </c>
      <c r="AH216" s="692">
        <f t="shared" si="55"/>
        <v>0</v>
      </c>
      <c r="AJ216" s="38">
        <f t="shared" si="56"/>
        <v>2819</v>
      </c>
    </row>
    <row r="217" spans="1:36">
      <c r="A217" s="21"/>
      <c r="B217" s="21" t="s">
        <v>114</v>
      </c>
      <c r="C217" s="672"/>
      <c r="D217" s="519" t="s">
        <v>433</v>
      </c>
      <c r="E217" s="679"/>
      <c r="F217" s="529">
        <f>VLOOKUP(D217,'Dec 2012 Revenue'!D:T,17,FALSE)</f>
        <v>0</v>
      </c>
      <c r="G217" s="680"/>
      <c r="H217" s="680"/>
      <c r="I217" s="755"/>
      <c r="J217" s="682">
        <f t="shared" si="45"/>
        <v>0</v>
      </c>
      <c r="K217" s="683"/>
      <c r="L217" s="684"/>
      <c r="M217" s="753"/>
      <c r="N217" s="683">
        <v>0</v>
      </c>
      <c r="O217" s="686"/>
      <c r="P217" s="683">
        <v>0</v>
      </c>
      <c r="Q217" s="687">
        <f t="shared" si="44"/>
        <v>0</v>
      </c>
      <c r="R217" s="688">
        <v>0</v>
      </c>
      <c r="S217" s="693"/>
      <c r="T217" s="690">
        <f t="shared" ref="T217:T218" si="58">IF(R217="","",R217-Q217)</f>
        <v>0</v>
      </c>
      <c r="U217" s="683"/>
      <c r="V217" s="474">
        <f t="shared" si="46"/>
        <v>0</v>
      </c>
      <c r="W217" s="474">
        <f t="shared" si="47"/>
        <v>0</v>
      </c>
      <c r="X217" s="475">
        <f t="shared" si="48"/>
        <v>0</v>
      </c>
      <c r="Y217" s="475">
        <v>0</v>
      </c>
      <c r="Z217" s="476">
        <v>0</v>
      </c>
      <c r="AA217" s="38">
        <f t="shared" si="49"/>
        <v>0</v>
      </c>
      <c r="AB217" s="692">
        <f t="shared" si="50"/>
        <v>0</v>
      </c>
      <c r="AC217" s="692">
        <f t="shared" si="51"/>
        <v>0</v>
      </c>
      <c r="AD217" s="692">
        <f t="shared" si="52"/>
        <v>0</v>
      </c>
      <c r="AE217" s="38"/>
      <c r="AF217" s="692">
        <f t="shared" si="53"/>
        <v>0</v>
      </c>
      <c r="AG217" s="692">
        <f t="shared" si="54"/>
        <v>0</v>
      </c>
      <c r="AH217" s="692">
        <f t="shared" si="55"/>
        <v>0</v>
      </c>
      <c r="AJ217" s="38">
        <f t="shared" si="56"/>
        <v>0</v>
      </c>
    </row>
    <row r="218" spans="1:36" s="146" customFormat="1" ht="13" thickBot="1">
      <c r="A218" s="21"/>
      <c r="B218" s="21" t="s">
        <v>110</v>
      </c>
      <c r="C218" s="666"/>
      <c r="D218" s="68" t="s">
        <v>593</v>
      </c>
      <c r="E218" s="679"/>
      <c r="F218" s="529">
        <f>VLOOKUP(D218,'Dec 2012 Revenue'!D:T,17,FALSE)</f>
        <v>0</v>
      </c>
      <c r="G218" s="680"/>
      <c r="H218" s="680"/>
      <c r="I218" s="755"/>
      <c r="J218" s="682">
        <f t="shared" si="45"/>
        <v>0</v>
      </c>
      <c r="K218" s="683"/>
      <c r="L218" s="684"/>
      <c r="M218" s="753"/>
      <c r="N218" s="683">
        <v>0</v>
      </c>
      <c r="O218" s="686"/>
      <c r="P218" s="683">
        <v>0</v>
      </c>
      <c r="Q218" s="687">
        <f t="shared" si="44"/>
        <v>0</v>
      </c>
      <c r="R218" s="688">
        <v>0</v>
      </c>
      <c r="S218" s="693"/>
      <c r="T218" s="690">
        <f t="shared" si="58"/>
        <v>0</v>
      </c>
      <c r="U218" s="683"/>
      <c r="V218" s="474">
        <f t="shared" si="46"/>
        <v>0</v>
      </c>
      <c r="W218" s="474">
        <f t="shared" si="47"/>
        <v>0</v>
      </c>
      <c r="X218" s="475">
        <f t="shared" si="48"/>
        <v>0</v>
      </c>
      <c r="Y218" s="475">
        <v>0</v>
      </c>
      <c r="Z218" s="476">
        <v>0</v>
      </c>
      <c r="AA218" s="38">
        <f t="shared" si="49"/>
        <v>0</v>
      </c>
      <c r="AB218" s="692">
        <f t="shared" si="50"/>
        <v>0</v>
      </c>
      <c r="AC218" s="692">
        <f t="shared" si="51"/>
        <v>0</v>
      </c>
      <c r="AD218" s="692">
        <f t="shared" si="52"/>
        <v>0</v>
      </c>
      <c r="AE218" s="38"/>
      <c r="AF218" s="692">
        <f t="shared" si="53"/>
        <v>0</v>
      </c>
      <c r="AG218" s="692">
        <f t="shared" si="54"/>
        <v>0</v>
      </c>
      <c r="AH218" s="692">
        <f t="shared" si="55"/>
        <v>0</v>
      </c>
      <c r="AJ218" s="38">
        <f t="shared" si="56"/>
        <v>0</v>
      </c>
    </row>
    <row r="219" spans="1:36" ht="13" thickBot="1">
      <c r="A219" s="107"/>
      <c r="B219" s="108"/>
      <c r="C219" s="673"/>
      <c r="D219" s="71" t="s">
        <v>86</v>
      </c>
      <c r="E219" s="454">
        <f t="shared" ref="E219:J219" si="59">SUM(E16:E218)</f>
        <v>43257.69</v>
      </c>
      <c r="F219" s="454">
        <f t="shared" si="59"/>
        <v>-241203.86000000004</v>
      </c>
      <c r="G219" s="454">
        <f t="shared" si="59"/>
        <v>0</v>
      </c>
      <c r="H219" s="454">
        <f t="shared" si="59"/>
        <v>0</v>
      </c>
      <c r="I219" s="454">
        <f t="shared" si="59"/>
        <v>6061397.2199999997</v>
      </c>
      <c r="J219" s="454">
        <f t="shared" si="59"/>
        <v>5863451.0500000017</v>
      </c>
      <c r="K219" s="454"/>
      <c r="L219" s="454">
        <f>SUM(L16:L218)</f>
        <v>275404</v>
      </c>
      <c r="M219" s="454">
        <f>SUM(M16:M218)</f>
        <v>3133000</v>
      </c>
      <c r="N219" s="454">
        <f>SUM(N16:N218)</f>
        <v>0</v>
      </c>
      <c r="O219" s="100">
        <f>SUM(O16:O218)</f>
        <v>0</v>
      </c>
      <c r="P219" s="157">
        <f>SUM(P17:P218)</f>
        <v>0</v>
      </c>
      <c r="Q219" s="100">
        <f>SUM(Q16:Q218)</f>
        <v>3408404</v>
      </c>
      <c r="R219" s="100">
        <f>SUM(R16:R218)</f>
        <v>2938487.23</v>
      </c>
      <c r="S219" s="708"/>
      <c r="T219" s="100">
        <f>SUM(T16:T218)</f>
        <v>-469916.77000000008</v>
      </c>
      <c r="U219" s="683"/>
      <c r="V219" s="314">
        <f>SUM(V16:V218)</f>
        <v>2823469</v>
      </c>
      <c r="W219" s="314">
        <f>SUM(W16:W218)</f>
        <v>499000</v>
      </c>
      <c r="X219" s="314">
        <f>SUM(X16:X218)</f>
        <v>85935</v>
      </c>
      <c r="Y219" s="314">
        <f>SUM(Y16:Y218)</f>
        <v>0</v>
      </c>
      <c r="Z219" s="314">
        <f>SUM(Z16:Z218)</f>
        <v>0</v>
      </c>
      <c r="AA219" s="38"/>
      <c r="AB219" s="314">
        <f>SUM(AB16:AB218)</f>
        <v>5944699.2000000011</v>
      </c>
      <c r="AC219" s="314">
        <f>SUM(AC16:AC218)</f>
        <v>-75826.509999999995</v>
      </c>
      <c r="AD219" s="314">
        <f>SUM(AD16:AD218)</f>
        <v>-5421.6399999999994</v>
      </c>
      <c r="AE219" s="38"/>
      <c r="AF219" s="314">
        <f>SUM(AF16:AF218)</f>
        <v>2832887.7</v>
      </c>
      <c r="AG219" s="314">
        <f>SUM(AG16:AG218)</f>
        <v>489581.3</v>
      </c>
      <c r="AH219" s="314">
        <f>SUM(AH16:AH218)</f>
        <v>85935</v>
      </c>
    </row>
    <row r="220" spans="1:36" ht="13" thickBot="1">
      <c r="A220" s="65"/>
      <c r="B220" s="65"/>
      <c r="C220" s="674"/>
      <c r="D220" s="141"/>
      <c r="E220" s="709" t="s">
        <v>293</v>
      </c>
      <c r="F220" s="160">
        <f>F219-E219</f>
        <v>-284461.55000000005</v>
      </c>
      <c r="G220" s="153"/>
      <c r="H220" s="153" t="s">
        <v>225</v>
      </c>
      <c r="I220" s="153">
        <f>I219+H219+G219</f>
        <v>6061397.2199999997</v>
      </c>
      <c r="J220" s="323"/>
      <c r="K220" s="153"/>
      <c r="L220" s="153" t="s">
        <v>296</v>
      </c>
      <c r="M220" s="100">
        <f>M219+L219</f>
        <v>3408404</v>
      </c>
      <c r="N220" s="153"/>
      <c r="O220" s="641"/>
      <c r="P220" s="153"/>
      <c r="Q220" s="153"/>
      <c r="R220" s="153"/>
      <c r="S220" s="153"/>
      <c r="T220" s="153"/>
      <c r="U220" s="153"/>
      <c r="V220" s="139"/>
      <c r="W220" s="139"/>
      <c r="X220" s="139"/>
      <c r="Y220" s="139"/>
      <c r="Z220" s="104"/>
      <c r="AA220" s="38"/>
      <c r="AB220" s="711"/>
      <c r="AC220" s="711"/>
      <c r="AD220" s="711"/>
      <c r="AE220" s="38"/>
      <c r="AF220" s="38"/>
      <c r="AG220" s="38"/>
      <c r="AH220" s="38"/>
    </row>
    <row r="221" spans="1:36" ht="13" thickBot="1">
      <c r="A221" s="65"/>
      <c r="B221" s="65"/>
      <c r="C221" s="674"/>
      <c r="E221" s="159"/>
      <c r="F221" s="153"/>
      <c r="G221" s="153"/>
      <c r="H221" s="153"/>
      <c r="I221" s="153"/>
      <c r="J221" s="153"/>
      <c r="K221" s="153"/>
      <c r="L221" s="153"/>
      <c r="M221" s="710"/>
      <c r="N221" s="153"/>
      <c r="O221" s="153"/>
      <c r="P221" s="153"/>
      <c r="Q221" s="153"/>
      <c r="R221" s="153"/>
      <c r="S221" s="153"/>
      <c r="T221" s="153"/>
      <c r="U221" s="153"/>
      <c r="V221" s="331" t="s">
        <v>345</v>
      </c>
      <c r="W221" s="139"/>
      <c r="X221" s="139"/>
      <c r="Y221" s="139"/>
      <c r="Z221" s="104"/>
      <c r="AA221" s="164" t="s">
        <v>633</v>
      </c>
      <c r="AB221" s="798">
        <v>-56529.04</v>
      </c>
      <c r="AC221" s="798"/>
      <c r="AD221" s="798">
        <f>-SUM(AB221)</f>
        <v>56529.04</v>
      </c>
      <c r="AE221" s="38"/>
      <c r="AF221" s="711"/>
      <c r="AG221" s="711"/>
      <c r="AH221" s="711"/>
    </row>
    <row r="222" spans="1:36" ht="17" thickTop="1" thickBot="1">
      <c r="E222" s="712"/>
      <c r="F222" s="713"/>
      <c r="G222" s="714"/>
      <c r="H222" s="715"/>
      <c r="I222" s="715"/>
      <c r="J222" s="164"/>
      <c r="K222" s="169"/>
      <c r="L222" s="233"/>
      <c r="M222" s="233"/>
      <c r="N222" s="38"/>
      <c r="O222" s="642"/>
      <c r="P222" s="139"/>
      <c r="Q222" s="139"/>
      <c r="R222" s="33"/>
      <c r="S222" s="33"/>
      <c r="T222" s="33"/>
      <c r="U222" s="169"/>
      <c r="V222" s="332"/>
      <c r="W222" s="333"/>
      <c r="X222" s="491"/>
      <c r="Y222" s="491"/>
      <c r="Z222" s="334"/>
      <c r="AA222" s="164" t="s">
        <v>634</v>
      </c>
      <c r="AB222" s="802">
        <v>-191247.63020000001</v>
      </c>
      <c r="AC222" s="798"/>
      <c r="AD222" s="802">
        <f>-SUM(AB222)</f>
        <v>191247.63020000001</v>
      </c>
      <c r="AE222" s="38"/>
      <c r="AF222" s="38"/>
      <c r="AG222" s="38"/>
      <c r="AH222" s="38"/>
    </row>
    <row r="223" spans="1:36" ht="17" thickBot="1">
      <c r="E223" s="712"/>
      <c r="F223" s="713"/>
      <c r="G223" s="714"/>
      <c r="H223" s="715"/>
      <c r="J223" s="79">
        <f>J219</f>
        <v>5863451.0500000017</v>
      </c>
      <c r="K223" s="715" t="s">
        <v>902</v>
      </c>
      <c r="L223" s="169"/>
      <c r="M223" s="493"/>
      <c r="N223" s="38"/>
      <c r="O223" s="80"/>
      <c r="P223" s="104"/>
      <c r="Q223" s="139"/>
      <c r="R223" s="33"/>
      <c r="S223" s="33"/>
      <c r="T223" s="33"/>
      <c r="U223" s="169"/>
      <c r="V223" s="487"/>
      <c r="W223" s="488"/>
      <c r="X223" s="492" t="s">
        <v>399</v>
      </c>
      <c r="Y223" s="492" t="s">
        <v>400</v>
      </c>
      <c r="Z223" s="488"/>
      <c r="AA223" s="717" t="s">
        <v>475</v>
      </c>
      <c r="AB223" s="718">
        <f>SUM(AB219:AB222)</f>
        <v>5696922.5298000015</v>
      </c>
      <c r="AC223" s="718">
        <f>AC219</f>
        <v>-75826.509999999995</v>
      </c>
      <c r="AD223" s="718">
        <f>SUM(AD219:AD222)</f>
        <v>242355.03020000001</v>
      </c>
      <c r="AE223" s="718"/>
      <c r="AF223" s="718">
        <f>AF219</f>
        <v>2832887.7</v>
      </c>
      <c r="AG223" s="718">
        <f>AG219</f>
        <v>489581.3</v>
      </c>
      <c r="AH223" s="719">
        <f>AH219</f>
        <v>85935</v>
      </c>
      <c r="AJ223" s="38">
        <f>SUM(AJ17:AJ222)</f>
        <v>9271855.0500000026</v>
      </c>
    </row>
    <row r="224" spans="1:36" ht="15" thickBot="1">
      <c r="D224" s="143"/>
      <c r="E224" s="759"/>
      <c r="F224" s="713"/>
      <c r="G224" s="714"/>
      <c r="H224" s="720"/>
      <c r="J224" s="750">
        <f>SUM('June GL'!H2)</f>
        <v>0</v>
      </c>
      <c r="K224" s="757" t="s">
        <v>251</v>
      </c>
      <c r="L224" s="722"/>
      <c r="M224" s="642"/>
      <c r="N224" s="33"/>
      <c r="O224" s="80"/>
      <c r="P224" s="104"/>
      <c r="Q224" s="139"/>
      <c r="R224" s="33"/>
      <c r="S224" s="33"/>
      <c r="T224" s="33"/>
      <c r="U224" s="169"/>
      <c r="V224" s="158" t="s">
        <v>609</v>
      </c>
      <c r="W224" s="104" t="s">
        <v>352</v>
      </c>
      <c r="X224" s="104">
        <f>V219+W219+X219</f>
        <v>3408404</v>
      </c>
      <c r="Y224" s="104"/>
      <c r="Z224" s="136"/>
      <c r="AA224" s="723"/>
      <c r="AB224" s="38"/>
      <c r="AC224" s="38"/>
      <c r="AD224" s="38"/>
      <c r="AE224" s="38"/>
      <c r="AF224" s="38"/>
      <c r="AG224" s="38"/>
      <c r="AH224" s="38"/>
    </row>
    <row r="225" spans="4:34" ht="15" thickTop="1">
      <c r="D225" s="143"/>
      <c r="E225" s="712"/>
      <c r="F225" s="713"/>
      <c r="G225" s="714"/>
      <c r="H225" s="714" t="s">
        <v>249</v>
      </c>
      <c r="J225" s="173">
        <f>J224+J223</f>
        <v>5863451.0500000017</v>
      </c>
      <c r="K225" s="714" t="s">
        <v>454</v>
      </c>
      <c r="L225" s="722"/>
      <c r="M225" s="80"/>
      <c r="N225" s="104"/>
      <c r="O225" s="173"/>
      <c r="P225" s="104"/>
      <c r="Q225" s="139"/>
      <c r="R225" s="139"/>
      <c r="S225" s="139"/>
      <c r="T225" s="139"/>
      <c r="U225" s="169"/>
      <c r="V225" s="158"/>
      <c r="W225" s="104"/>
      <c r="X225" s="104"/>
      <c r="Y225" s="104"/>
      <c r="Z225" s="136"/>
      <c r="AA225" s="723"/>
      <c r="AB225" s="38"/>
      <c r="AC225" s="38"/>
      <c r="AD225" s="38" t="s">
        <v>86</v>
      </c>
      <c r="AE225" s="38"/>
      <c r="AF225" s="233">
        <f>SUM(AB223+AF223)</f>
        <v>8529810.2298000008</v>
      </c>
      <c r="AG225" s="233">
        <f t="shared" ref="AG225:AH225" si="60">SUM(AC223+AG223)</f>
        <v>413754.79</v>
      </c>
      <c r="AH225" s="233">
        <f t="shared" si="60"/>
        <v>328290.03020000004</v>
      </c>
    </row>
    <row r="226" spans="4:34" ht="14">
      <c r="D226" s="143"/>
      <c r="E226" s="712"/>
      <c r="F226" s="713">
        <f>'Oct 2012 Revenue'!M226+F220</f>
        <v>2911722.45</v>
      </c>
      <c r="G226" s="714"/>
      <c r="H226" s="714"/>
      <c r="J226" s="80"/>
      <c r="K226" s="714"/>
      <c r="L226" s="722"/>
      <c r="M226" s="104"/>
      <c r="N226" s="38"/>
      <c r="O226" s="139"/>
      <c r="P226" s="104"/>
      <c r="Q226" s="139"/>
      <c r="R226" s="139"/>
      <c r="S226" s="139"/>
      <c r="T226" s="139"/>
      <c r="U226" s="169"/>
      <c r="V226" s="158" t="s">
        <v>600</v>
      </c>
      <c r="W226" s="104" t="s">
        <v>355</v>
      </c>
      <c r="X226" s="104"/>
      <c r="Y226" s="104">
        <f>V219</f>
        <v>2823469</v>
      </c>
      <c r="Z226" s="136"/>
      <c r="AA226" s="38"/>
      <c r="AB226" s="797" t="s">
        <v>882</v>
      </c>
      <c r="AC226" s="38"/>
      <c r="AD226" s="38"/>
      <c r="AE226" s="38"/>
      <c r="AF226" s="233"/>
      <c r="AG226" s="233"/>
      <c r="AH226" s="233"/>
    </row>
    <row r="227" spans="4:34" ht="15" thickBot="1">
      <c r="D227" s="143" t="s">
        <v>823</v>
      </c>
      <c r="E227" s="712"/>
      <c r="F227" s="713"/>
      <c r="G227" s="714"/>
      <c r="H227" s="714"/>
      <c r="J227" s="661">
        <f>M220</f>
        <v>3408404</v>
      </c>
      <c r="K227" s="714" t="s">
        <v>903</v>
      </c>
      <c r="L227" s="645"/>
      <c r="M227" s="173"/>
      <c r="N227" s="38"/>
      <c r="O227" s="139"/>
      <c r="P227" s="104"/>
      <c r="Q227" s="139"/>
      <c r="R227" s="726"/>
      <c r="S227" s="139"/>
      <c r="T227" s="727"/>
      <c r="U227" s="169"/>
      <c r="V227" s="158"/>
      <c r="W227" s="104" t="s">
        <v>356</v>
      </c>
      <c r="X227" s="104"/>
      <c r="Y227" s="104">
        <f>Y219</f>
        <v>0</v>
      </c>
      <c r="Z227" s="136"/>
      <c r="AA227" s="38"/>
      <c r="AB227" s="38"/>
      <c r="AC227" s="38"/>
      <c r="AD227" s="38"/>
      <c r="AE227" s="38"/>
      <c r="AF227" s="799" t="s">
        <v>897</v>
      </c>
      <c r="AG227" s="801">
        <f>SUM(AF225:AH225)</f>
        <v>9271855.0500000007</v>
      </c>
      <c r="AH227" s="800"/>
    </row>
    <row r="228" spans="4:34" ht="16" thickTop="1" thickBot="1">
      <c r="D228" s="143"/>
      <c r="E228" s="712"/>
      <c r="F228" s="713"/>
      <c r="G228" s="714"/>
      <c r="H228" s="714"/>
      <c r="J228" s="173">
        <v>0</v>
      </c>
      <c r="K228" s="714"/>
      <c r="L228" s="722"/>
      <c r="M228" s="173"/>
      <c r="N228" s="38"/>
      <c r="O228" s="33"/>
      <c r="P228" s="38"/>
      <c r="Q228" s="139"/>
      <c r="R228" s="139"/>
      <c r="S228" s="139"/>
      <c r="T228" s="139"/>
      <c r="U228" s="169"/>
      <c r="V228" s="158"/>
      <c r="W228" s="104"/>
      <c r="X228" s="104"/>
      <c r="Y228" s="104"/>
      <c r="Z228" s="136"/>
      <c r="AA228" s="38"/>
      <c r="AB228" s="38"/>
      <c r="AC228" s="38"/>
      <c r="AD228" s="38"/>
      <c r="AE228" s="38"/>
    </row>
    <row r="229" spans="4:34" ht="15" thickBot="1">
      <c r="E229" s="712"/>
      <c r="F229" s="713"/>
      <c r="G229" s="714"/>
      <c r="H229" s="714"/>
      <c r="J229" s="754">
        <f>J223+J227</f>
        <v>9271855.0500000007</v>
      </c>
      <c r="K229" s="714" t="s">
        <v>904</v>
      </c>
      <c r="L229" s="722"/>
      <c r="M229" s="173"/>
      <c r="N229" s="38"/>
      <c r="O229" s="33"/>
      <c r="P229" s="38"/>
      <c r="Q229" s="139"/>
      <c r="R229" s="139"/>
      <c r="S229" s="139"/>
      <c r="T229" s="139"/>
      <c r="U229" s="169"/>
      <c r="V229" s="158" t="s">
        <v>601</v>
      </c>
      <c r="W229" s="104" t="s">
        <v>357</v>
      </c>
      <c r="X229" s="104"/>
      <c r="Y229" s="104">
        <f>W219</f>
        <v>499000</v>
      </c>
      <c r="Z229" s="136"/>
      <c r="AA229" s="38"/>
      <c r="AB229" s="38"/>
      <c r="AC229" s="38"/>
      <c r="AD229" s="38"/>
      <c r="AE229" s="38"/>
      <c r="AF229" s="796" t="s">
        <v>857</v>
      </c>
      <c r="AG229" s="38">
        <f>AG227-AH225</f>
        <v>8943565.0197999999</v>
      </c>
      <c r="AH229" s="38"/>
    </row>
    <row r="230" spans="4:34">
      <c r="E230" s="712"/>
      <c r="F230" s="713"/>
      <c r="G230" s="714"/>
      <c r="H230" s="714"/>
      <c r="J230" s="637"/>
      <c r="K230" s="714"/>
      <c r="L230" s="173"/>
      <c r="M230" s="731"/>
      <c r="N230" s="38"/>
      <c r="O230" s="33"/>
      <c r="P230" s="38"/>
      <c r="Q230" s="139"/>
      <c r="R230" s="139"/>
      <c r="S230" s="139"/>
      <c r="T230" s="139"/>
      <c r="U230" s="169"/>
      <c r="V230" s="415"/>
      <c r="W230" s="104" t="s">
        <v>358</v>
      </c>
      <c r="X230" s="104"/>
      <c r="Y230" s="104">
        <f>Z219</f>
        <v>0</v>
      </c>
      <c r="Z230" s="136"/>
      <c r="AA230" s="38"/>
      <c r="AB230" s="38"/>
      <c r="AC230" s="38"/>
      <c r="AD230" s="38"/>
      <c r="AE230" s="38"/>
      <c r="AF230" s="38"/>
      <c r="AG230" s="38"/>
      <c r="AH230" s="38"/>
    </row>
    <row r="231" spans="4:34">
      <c r="E231" s="712"/>
      <c r="F231" s="713"/>
      <c r="G231" s="714"/>
      <c r="H231" s="714"/>
      <c r="J231" s="658">
        <f>SUM(AB223:AH223)</f>
        <v>9271855.0500000026</v>
      </c>
      <c r="K231" s="714" t="s">
        <v>518</v>
      </c>
      <c r="L231" s="732"/>
      <c r="M231" s="637"/>
      <c r="N231" s="38"/>
      <c r="O231" s="33"/>
      <c r="P231" s="38"/>
      <c r="Q231" s="139"/>
      <c r="R231" s="139"/>
      <c r="S231" s="139"/>
      <c r="T231" s="139"/>
      <c r="U231" s="169"/>
      <c r="V231" s="415"/>
      <c r="W231" s="104"/>
      <c r="X231" s="104"/>
      <c r="Y231" s="104"/>
      <c r="Z231" s="136"/>
      <c r="AA231" s="38"/>
      <c r="AB231" s="38"/>
      <c r="AC231" s="38"/>
      <c r="AD231" s="38"/>
      <c r="AE231" s="38"/>
      <c r="AF231" s="38"/>
      <c r="AG231" s="38"/>
      <c r="AH231" s="38"/>
    </row>
    <row r="232" spans="4:34" ht="13" thickBot="1">
      <c r="E232" s="712"/>
      <c r="F232" s="713"/>
      <c r="G232" s="714"/>
      <c r="H232" s="714"/>
      <c r="J232" s="169"/>
      <c r="K232" s="714" t="s">
        <v>454</v>
      </c>
      <c r="L232" s="733"/>
      <c r="M232" s="795"/>
      <c r="N232" s="38"/>
      <c r="O232" s="33"/>
      <c r="P232" s="38"/>
      <c r="Q232" s="139"/>
      <c r="R232" s="139"/>
      <c r="S232" s="139"/>
      <c r="T232" s="139"/>
      <c r="U232" s="169"/>
      <c r="V232" s="158" t="s">
        <v>602</v>
      </c>
      <c r="W232" s="488" t="s">
        <v>359</v>
      </c>
      <c r="X232" s="488"/>
      <c r="Y232" s="488">
        <f>X219</f>
        <v>85935</v>
      </c>
      <c r="Z232" s="414"/>
      <c r="AA232" s="38"/>
      <c r="AB232" s="38"/>
      <c r="AC232" s="38"/>
      <c r="AD232" s="38"/>
      <c r="AE232" s="38"/>
      <c r="AF232" s="38"/>
      <c r="AG232" s="38"/>
      <c r="AH232" s="38"/>
    </row>
    <row r="233" spans="4:34" ht="15" thickBot="1">
      <c r="E233" s="712"/>
      <c r="F233" s="713"/>
      <c r="G233" s="714"/>
      <c r="H233" s="714"/>
      <c r="J233" s="736"/>
      <c r="K233" s="714" t="s">
        <v>519</v>
      </c>
      <c r="L233" s="169"/>
      <c r="M233" s="169"/>
      <c r="N233" s="38"/>
      <c r="O233" s="33"/>
      <c r="P233" s="38"/>
      <c r="Q233" s="33"/>
      <c r="R233" s="33"/>
      <c r="S233" s="33"/>
      <c r="T233" s="33"/>
      <c r="U233" s="169"/>
      <c r="V233" s="416"/>
      <c r="W233" s="104"/>
      <c r="X233" s="80">
        <f>SUM(X224:X232)</f>
        <v>3408404</v>
      </c>
      <c r="Y233" s="80">
        <f>SUM(Y224:Y232)</f>
        <v>3408404</v>
      </c>
      <c r="Z233" s="136"/>
      <c r="AA233" s="38"/>
      <c r="AB233" s="38"/>
      <c r="AC233" s="38"/>
      <c r="AD233" s="38"/>
      <c r="AE233" s="38"/>
      <c r="AF233" s="38"/>
      <c r="AG233" s="38"/>
      <c r="AH233" s="38"/>
    </row>
    <row r="234" spans="4:34">
      <c r="E234" s="712"/>
      <c r="F234" s="713"/>
      <c r="G234" s="714"/>
      <c r="H234" s="714"/>
      <c r="I234" s="714"/>
      <c r="J234" s="169"/>
      <c r="K234" s="169"/>
      <c r="L234" s="169"/>
      <c r="M234" s="169"/>
      <c r="N234" s="38"/>
      <c r="O234" s="33"/>
      <c r="P234" s="38"/>
      <c r="Q234" s="33"/>
      <c r="R234" s="33"/>
      <c r="S234" s="33"/>
      <c r="T234" s="33"/>
      <c r="U234" s="169"/>
      <c r="V234" s="416"/>
      <c r="W234" s="104"/>
      <c r="X234" s="104"/>
      <c r="Y234" s="104"/>
      <c r="Z234" s="136"/>
      <c r="AA234" s="38"/>
      <c r="AB234" s="38"/>
      <c r="AC234" s="38"/>
      <c r="AD234" s="38"/>
      <c r="AE234" s="38"/>
      <c r="AF234" s="38"/>
      <c r="AG234" s="38"/>
      <c r="AH234" s="38"/>
    </row>
    <row r="235" spans="4:34" ht="13" thickBot="1">
      <c r="E235" s="712"/>
      <c r="F235" s="713"/>
      <c r="G235" s="714"/>
      <c r="H235" s="714"/>
      <c r="I235" s="714"/>
      <c r="J235" s="169"/>
      <c r="K235" s="169"/>
      <c r="L235" s="169"/>
      <c r="M235" s="169"/>
      <c r="N235" s="38"/>
      <c r="O235" s="33"/>
      <c r="P235" s="38"/>
      <c r="Q235" s="33"/>
      <c r="R235" s="33"/>
      <c r="S235" s="33"/>
      <c r="T235" s="33"/>
      <c r="U235" s="169"/>
      <c r="V235" s="330"/>
      <c r="W235" s="279"/>
      <c r="X235" s="279"/>
      <c r="Y235" s="279"/>
      <c r="Z235" s="280"/>
      <c r="AA235" s="38"/>
      <c r="AB235" s="38"/>
      <c r="AC235" s="38"/>
      <c r="AD235" s="38"/>
      <c r="AE235" s="38"/>
      <c r="AF235" s="38"/>
      <c r="AG235" s="38"/>
      <c r="AH235" s="38"/>
    </row>
    <row r="236" spans="4:34">
      <c r="E236" s="712"/>
      <c r="F236" s="713"/>
      <c r="G236" s="714"/>
      <c r="H236" s="714"/>
      <c r="I236" s="714"/>
      <c r="J236" s="169"/>
      <c r="K236" s="169"/>
      <c r="L236" s="169"/>
      <c r="M236" s="169"/>
      <c r="N236" s="38"/>
      <c r="O236" s="33"/>
      <c r="P236" s="38"/>
      <c r="Q236" s="33"/>
      <c r="R236" s="33"/>
      <c r="S236" s="33"/>
      <c r="T236" s="33"/>
      <c r="U236" s="169"/>
      <c r="V236" s="104"/>
      <c r="W236" s="104"/>
      <c r="X236" s="104"/>
      <c r="Y236" s="104"/>
      <c r="Z236" s="104"/>
      <c r="AA236" s="38"/>
      <c r="AB236" s="38"/>
      <c r="AC236" s="38"/>
      <c r="AD236" s="38"/>
      <c r="AE236" s="38"/>
      <c r="AF236" s="38"/>
      <c r="AG236" s="38"/>
      <c r="AH236" s="38"/>
    </row>
    <row r="237" spans="4:34">
      <c r="E237" s="712"/>
      <c r="F237" s="713"/>
      <c r="G237" s="714"/>
      <c r="H237" s="714"/>
      <c r="I237" s="714"/>
      <c r="J237" s="169"/>
      <c r="K237" s="169"/>
      <c r="L237" s="169"/>
      <c r="M237" s="169"/>
      <c r="N237" s="38"/>
      <c r="O237" s="33"/>
      <c r="P237" s="38"/>
      <c r="Q237" s="33"/>
      <c r="R237" s="33"/>
      <c r="S237" s="33"/>
      <c r="T237" s="33"/>
      <c r="U237" s="169"/>
      <c r="AA237" s="38"/>
      <c r="AB237" s="38"/>
      <c r="AC237" s="38"/>
      <c r="AD237" s="38"/>
      <c r="AE237" s="38"/>
      <c r="AF237" s="38"/>
      <c r="AG237" s="38"/>
      <c r="AH237" s="38"/>
    </row>
    <row r="238" spans="4:34">
      <c r="E238" s="712"/>
      <c r="F238" s="713"/>
      <c r="G238" s="714"/>
      <c r="H238" s="714"/>
      <c r="I238" s="714"/>
      <c r="J238" s="169"/>
      <c r="K238" s="169"/>
      <c r="L238" s="169"/>
      <c r="M238" s="169"/>
      <c r="N238" s="38"/>
      <c r="O238" s="33"/>
      <c r="P238" s="38"/>
      <c r="Q238" s="33"/>
      <c r="R238" s="33"/>
      <c r="S238" s="33"/>
      <c r="T238" s="33"/>
      <c r="U238" s="169"/>
      <c r="AA238" s="38"/>
      <c r="AB238" s="38"/>
      <c r="AC238" s="38"/>
      <c r="AD238" s="38"/>
      <c r="AE238" s="38"/>
      <c r="AF238" s="38"/>
      <c r="AG238" s="38"/>
      <c r="AH238" s="38"/>
    </row>
    <row r="239" spans="4:34">
      <c r="E239" s="712"/>
      <c r="F239" s="713"/>
      <c r="G239" s="714"/>
      <c r="H239" s="714"/>
      <c r="I239" s="714"/>
      <c r="J239" s="169"/>
      <c r="K239" s="169"/>
      <c r="L239" s="169"/>
      <c r="M239" s="169"/>
      <c r="N239" s="38"/>
      <c r="O239" s="33"/>
      <c r="P239" s="38"/>
      <c r="Q239" s="33"/>
      <c r="R239" s="33"/>
      <c r="S239" s="33"/>
      <c r="T239" s="33"/>
      <c r="U239" s="169"/>
      <c r="AA239" s="38"/>
      <c r="AB239" s="38"/>
      <c r="AC239" s="38"/>
      <c r="AD239" s="38"/>
      <c r="AE239" s="38"/>
      <c r="AF239" s="38"/>
      <c r="AG239" s="38"/>
      <c r="AH239" s="38"/>
    </row>
    <row r="240" spans="4:34">
      <c r="E240" s="712"/>
      <c r="F240" s="713"/>
      <c r="G240" s="714"/>
      <c r="H240" s="714"/>
      <c r="I240" s="714"/>
      <c r="J240" s="169"/>
      <c r="K240" s="169"/>
      <c r="L240" s="169"/>
      <c r="M240" s="169"/>
      <c r="N240" s="38"/>
      <c r="O240" s="33"/>
      <c r="P240" s="38"/>
      <c r="Q240" s="33"/>
      <c r="R240" s="33"/>
      <c r="S240" s="33"/>
      <c r="T240" s="33"/>
      <c r="U240" s="169"/>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AA241" s="38"/>
      <c r="AB241" s="38"/>
      <c r="AC241" s="38"/>
      <c r="AD241" s="38"/>
      <c r="AE241" s="38"/>
      <c r="AF241" s="38"/>
      <c r="AG241" s="38"/>
      <c r="AH241" s="38"/>
    </row>
    <row r="242" spans="5:34">
      <c r="E242" s="712"/>
      <c r="F242" s="713"/>
      <c r="G242" s="714"/>
      <c r="H242" s="714"/>
      <c r="I242" s="714"/>
      <c r="J242" s="169"/>
      <c r="K242" s="169"/>
      <c r="L242" s="169"/>
      <c r="M242" s="169"/>
      <c r="N242" s="38"/>
      <c r="O242" s="33"/>
      <c r="P242" s="38"/>
      <c r="Q242" s="33"/>
      <c r="R242" s="33"/>
      <c r="S242" s="33"/>
      <c r="T242" s="33"/>
      <c r="U242" s="169"/>
      <c r="AA242" s="38"/>
      <c r="AB242" s="38"/>
      <c r="AC242" s="38"/>
      <c r="AD242" s="38"/>
      <c r="AE242" s="38"/>
      <c r="AF242" s="38"/>
      <c r="AG242" s="38"/>
      <c r="AH242"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49"/>
  <sheetViews>
    <sheetView topLeftCell="C163" workbookViewId="0">
      <selection activeCell="R185" sqref="R185:R186"/>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7.3984375" style="146" customWidth="1"/>
    <col min="16" max="16" width="1.796875" style="16" customWidth="1"/>
    <col min="17" max="18" width="15.3984375" style="146" customWidth="1"/>
    <col min="19" max="19" width="1.796875" style="146" customWidth="1"/>
    <col min="20" max="20" width="15.3984375" style="146" customWidth="1"/>
    <col min="21" max="21" width="1.796875" style="24" customWidth="1"/>
    <col min="22" max="26" width="15.3984375" style="38" customWidth="1"/>
    <col min="27" max="27" width="15.3984375" style="16" customWidth="1"/>
    <col min="28" max="29" width="15.3984375" style="559" customWidth="1"/>
    <col min="30" max="30" width="15.796875" style="559" customWidth="1"/>
    <col min="31" max="31" width="2.3984375" style="559" customWidth="1"/>
    <col min="32" max="33" width="14.796875" style="559" bestFit="1" customWidth="1"/>
    <col min="34" max="34" width="14.19921875" style="559" customWidth="1"/>
    <col min="35" max="35" width="9.3984375" style="16"/>
    <col min="36" max="36" width="14.796875" style="16" bestFit="1" customWidth="1"/>
    <col min="37" max="16384" width="9.398437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883</v>
      </c>
      <c r="F3" s="29"/>
      <c r="G3" s="18"/>
      <c r="H3" s="168"/>
      <c r="I3" s="168"/>
      <c r="J3" s="169"/>
      <c r="K3" s="169"/>
      <c r="L3" s="169"/>
      <c r="M3" s="169"/>
      <c r="N3" s="169"/>
    </row>
    <row r="4" spans="1:34">
      <c r="D4" s="148"/>
      <c r="G4" s="164"/>
      <c r="H4" s="168"/>
      <c r="I4" s="168"/>
      <c r="J4" s="169"/>
      <c r="K4" s="169"/>
      <c r="L4" s="169"/>
      <c r="M4" s="169"/>
      <c r="N4" s="169"/>
    </row>
    <row r="5" spans="1:34" ht="13"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3" thickBot="1">
      <c r="B12" s="469"/>
      <c r="C12" s="670"/>
      <c r="D12" s="470" t="s">
        <v>103</v>
      </c>
      <c r="E12" s="471" t="s">
        <v>101</v>
      </c>
      <c r="F12" s="29"/>
      <c r="G12" s="166"/>
      <c r="H12" s="150"/>
      <c r="I12" s="150"/>
      <c r="J12" s="76"/>
    </row>
    <row r="13" spans="1:34" ht="13" thickBot="1">
      <c r="A13" s="152"/>
      <c r="B13" s="152"/>
      <c r="C13" s="67"/>
      <c r="D13" s="54"/>
      <c r="E13" s="34"/>
      <c r="G13" s="167"/>
      <c r="H13" s="49"/>
      <c r="I13" s="49"/>
      <c r="J13" s="50"/>
      <c r="K13" s="50"/>
      <c r="L13" s="50"/>
      <c r="M13" s="745"/>
      <c r="N13" s="146"/>
      <c r="P13" s="146"/>
      <c r="U13" s="50"/>
      <c r="V13" s="33"/>
      <c r="W13" s="33"/>
      <c r="X13" s="33"/>
      <c r="Y13" s="33"/>
    </row>
    <row r="14" spans="1:34" ht="13" thickBot="1">
      <c r="D14" s="526"/>
      <c r="E14" s="582" t="s">
        <v>884</v>
      </c>
      <c r="F14" s="583" t="s">
        <v>428</v>
      </c>
      <c r="G14" s="96"/>
      <c r="H14" s="96"/>
      <c r="I14" s="96"/>
      <c r="J14" s="96" t="s">
        <v>429</v>
      </c>
      <c r="K14" s="581"/>
      <c r="L14" s="96" t="s">
        <v>429</v>
      </c>
      <c r="M14" s="96" t="s">
        <v>429</v>
      </c>
      <c r="N14" s="93"/>
      <c r="O14" s="96"/>
      <c r="P14" s="93"/>
      <c r="Q14" s="13"/>
      <c r="R14" s="96"/>
      <c r="S14" s="101"/>
      <c r="T14" s="96"/>
      <c r="U14" s="93"/>
      <c r="V14" s="96"/>
      <c r="W14" s="96"/>
      <c r="X14" s="304"/>
      <c r="Y14" s="304"/>
      <c r="Z14" s="304"/>
      <c r="AC14" s="560" t="s">
        <v>266</v>
      </c>
      <c r="AG14" s="561" t="s">
        <v>267</v>
      </c>
    </row>
    <row r="15" spans="1:34" ht="13" thickBot="1">
      <c r="A15" s="22" t="s">
        <v>95</v>
      </c>
      <c r="B15" s="22" t="s">
        <v>100</v>
      </c>
      <c r="C15" s="36" t="s">
        <v>522</v>
      </c>
      <c r="D15" s="36" t="s">
        <v>67</v>
      </c>
      <c r="E15" s="450" t="s">
        <v>230</v>
      </c>
      <c r="F15" s="528" t="s">
        <v>229</v>
      </c>
      <c r="G15" s="176" t="s">
        <v>288</v>
      </c>
      <c r="H15" s="545" t="s">
        <v>289</v>
      </c>
      <c r="I15" s="758" t="s">
        <v>429</v>
      </c>
      <c r="J15" s="313" t="s">
        <v>105</v>
      </c>
      <c r="K15" s="93"/>
      <c r="L15" s="94" t="s">
        <v>104</v>
      </c>
      <c r="M15" s="95" t="s">
        <v>106</v>
      </c>
      <c r="N15" s="102"/>
      <c r="O15" s="427" t="s">
        <v>839</v>
      </c>
      <c r="P15" s="102"/>
      <c r="Q15" s="313" t="s">
        <v>885</v>
      </c>
      <c r="R15" s="156" t="s">
        <v>886</v>
      </c>
      <c r="S15" s="149"/>
      <c r="T15" s="327" t="s">
        <v>872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f>3444.59</f>
        <v>3444.59</v>
      </c>
      <c r="F16" s="529">
        <f>VLOOKUP(D16,'Nov 2012 Revenue'!D:T,17,FALSE)</f>
        <v>0</v>
      </c>
      <c r="G16" s="680"/>
      <c r="H16" s="680"/>
      <c r="I16" s="755"/>
      <c r="J16" s="682">
        <f t="shared" ref="J16:J83" si="0">SUM(E16:I16)</f>
        <v>3444.59</v>
      </c>
      <c r="K16" s="683"/>
      <c r="L16" s="684"/>
      <c r="M16" s="753"/>
      <c r="N16" s="683">
        <v>0</v>
      </c>
      <c r="O16" s="686"/>
      <c r="P16" s="683">
        <v>0</v>
      </c>
      <c r="Q16" s="687">
        <f t="shared" ref="Q16:Q144" si="1">L16+M16</f>
        <v>0</v>
      </c>
      <c r="R16" s="688">
        <v>0</v>
      </c>
      <c r="S16" s="689"/>
      <c r="T16" s="690">
        <f t="shared" ref="T16:T83" si="2">IF(R16="","",R16-Q16)</f>
        <v>0</v>
      </c>
      <c r="U16" s="691"/>
      <c r="V16" s="474">
        <f t="shared" ref="V16:V83" si="3">IF(B16="D",Q16,0)</f>
        <v>0</v>
      </c>
      <c r="W16" s="474">
        <f t="shared" ref="W16:W83" si="4">IF(B16="M",Q16,0)</f>
        <v>0</v>
      </c>
      <c r="X16" s="475">
        <f t="shared" ref="X16:X83" si="5">IF(B16="V",Q16,0)</f>
        <v>0</v>
      </c>
      <c r="Y16" s="475">
        <v>0</v>
      </c>
      <c r="Z16" s="476">
        <v>0</v>
      </c>
      <c r="AA16" s="38">
        <f t="shared" ref="AA16:AA83" si="6">(L16+M16)-(V16+W16+X16+Y16+Z16)</f>
        <v>0</v>
      </c>
      <c r="AB16" s="692">
        <f t="shared" ref="AB16:AB82" si="7">IF(B16="D",J16,0)</f>
        <v>0</v>
      </c>
      <c r="AC16" s="692">
        <f t="shared" ref="AC16:AC82" si="8">IF(B16="M",J16,0)</f>
        <v>3444.59</v>
      </c>
      <c r="AD16" s="692">
        <f t="shared" ref="AD16:AD82" si="9">IF(B16="V",J16,0)</f>
        <v>0</v>
      </c>
      <c r="AE16" s="38"/>
      <c r="AF16" s="692">
        <f t="shared" ref="AF16:AF82" si="10">IF(B16="D",Q16,0)</f>
        <v>0</v>
      </c>
      <c r="AG16" s="692">
        <f t="shared" ref="AG16:AG82" si="11">IF(B16="M",Q16,0)</f>
        <v>0</v>
      </c>
      <c r="AH16" s="692">
        <f t="shared" ref="AH16:AH82" si="12">IF(B16="V",Q16,0)</f>
        <v>0</v>
      </c>
    </row>
    <row r="17" spans="1:36">
      <c r="A17" s="20" t="s">
        <v>109</v>
      </c>
      <c r="B17" s="20" t="s">
        <v>110</v>
      </c>
      <c r="C17" s="671" t="s">
        <v>523</v>
      </c>
      <c r="D17" s="123" t="s">
        <v>317</v>
      </c>
      <c r="E17" s="679"/>
      <c r="F17" s="529">
        <f>VLOOKUP(D17,'Nov 2012 Revenue'!D:T,17,FALSE)</f>
        <v>-718.36000000000058</v>
      </c>
      <c r="G17" s="680"/>
      <c r="H17" s="680"/>
      <c r="I17" s="755"/>
      <c r="J17" s="682">
        <f t="shared" si="0"/>
        <v>-718.36000000000058</v>
      </c>
      <c r="K17" s="683"/>
      <c r="L17" s="684"/>
      <c r="M17" s="753">
        <v>10000</v>
      </c>
      <c r="N17" s="683">
        <v>0</v>
      </c>
      <c r="O17" s="686"/>
      <c r="P17" s="683">
        <v>0</v>
      </c>
      <c r="Q17" s="687">
        <f t="shared" si="1"/>
        <v>10000</v>
      </c>
      <c r="R17" s="688">
        <f>8798.76+2089.69</f>
        <v>10888.45</v>
      </c>
      <c r="S17" s="693"/>
      <c r="T17" s="690">
        <f t="shared" si="2"/>
        <v>888.45000000000073</v>
      </c>
      <c r="U17" s="683"/>
      <c r="V17" s="474">
        <f t="shared" si="3"/>
        <v>10000</v>
      </c>
      <c r="W17" s="474">
        <f t="shared" si="4"/>
        <v>0</v>
      </c>
      <c r="X17" s="475">
        <f t="shared" si="5"/>
        <v>0</v>
      </c>
      <c r="Y17" s="475">
        <v>0</v>
      </c>
      <c r="Z17" s="476">
        <v>0</v>
      </c>
      <c r="AA17" s="38">
        <f t="shared" si="6"/>
        <v>0</v>
      </c>
      <c r="AB17" s="692">
        <f t="shared" si="7"/>
        <v>-718.36000000000058</v>
      </c>
      <c r="AC17" s="692">
        <f t="shared" si="8"/>
        <v>0</v>
      </c>
      <c r="AD17" s="692">
        <f t="shared" si="9"/>
        <v>0</v>
      </c>
      <c r="AE17" s="38"/>
      <c r="AF17" s="692">
        <f t="shared" si="10"/>
        <v>10000</v>
      </c>
      <c r="AG17" s="692">
        <f t="shared" si="11"/>
        <v>0</v>
      </c>
      <c r="AH17" s="692">
        <f t="shared" si="12"/>
        <v>0</v>
      </c>
      <c r="AJ17" s="38">
        <f>SUM(AB17:AH17)</f>
        <v>9281.64</v>
      </c>
    </row>
    <row r="18" spans="1:36">
      <c r="A18" s="20" t="s">
        <v>109</v>
      </c>
      <c r="B18" s="20" t="s">
        <v>109</v>
      </c>
      <c r="C18" s="671" t="s">
        <v>523</v>
      </c>
      <c r="D18" s="68" t="s">
        <v>393</v>
      </c>
      <c r="E18" s="679"/>
      <c r="F18" s="529">
        <f>VLOOKUP(D18,'Nov 2012 Revenue'!D:T,17,FALSE)</f>
        <v>-7028.1100000000006</v>
      </c>
      <c r="G18" s="680"/>
      <c r="H18" s="680"/>
      <c r="I18" s="755"/>
      <c r="J18" s="682">
        <f t="shared" si="0"/>
        <v>-7028.1100000000006</v>
      </c>
      <c r="K18" s="683"/>
      <c r="L18" s="684"/>
      <c r="M18" s="753">
        <v>35000</v>
      </c>
      <c r="N18" s="683">
        <v>0</v>
      </c>
      <c r="O18" s="686"/>
      <c r="P18" s="683">
        <v>0</v>
      </c>
      <c r="Q18" s="687">
        <f t="shared" si="1"/>
        <v>35000</v>
      </c>
      <c r="R18" s="688">
        <v>28756.55</v>
      </c>
      <c r="S18" s="693"/>
      <c r="T18" s="690">
        <f t="shared" si="2"/>
        <v>-6243.4500000000007</v>
      </c>
      <c r="U18" s="683"/>
      <c r="V18" s="474">
        <f t="shared" si="3"/>
        <v>0</v>
      </c>
      <c r="W18" s="474">
        <f t="shared" si="4"/>
        <v>35000</v>
      </c>
      <c r="X18" s="475">
        <f t="shared" si="5"/>
        <v>0</v>
      </c>
      <c r="Y18" s="475">
        <v>0</v>
      </c>
      <c r="Z18" s="476">
        <v>0</v>
      </c>
      <c r="AA18" s="38">
        <f t="shared" si="6"/>
        <v>0</v>
      </c>
      <c r="AB18" s="692">
        <f t="shared" si="7"/>
        <v>0</v>
      </c>
      <c r="AC18" s="692">
        <f t="shared" si="8"/>
        <v>-7028.1100000000006</v>
      </c>
      <c r="AD18" s="692">
        <f t="shared" si="9"/>
        <v>0</v>
      </c>
      <c r="AE18" s="38"/>
      <c r="AF18" s="692">
        <f t="shared" si="10"/>
        <v>0</v>
      </c>
      <c r="AG18" s="692">
        <f t="shared" si="11"/>
        <v>35000</v>
      </c>
      <c r="AH18" s="692">
        <f t="shared" si="12"/>
        <v>0</v>
      </c>
      <c r="AJ18" s="38">
        <f t="shared" ref="AJ18:AJ84" si="13">SUM(AB18:AH18)</f>
        <v>27971.89</v>
      </c>
    </row>
    <row r="19" spans="1:36">
      <c r="A19" s="20" t="s">
        <v>109</v>
      </c>
      <c r="B19" s="20" t="s">
        <v>109</v>
      </c>
      <c r="C19" s="671" t="s">
        <v>523</v>
      </c>
      <c r="D19" s="68" t="s">
        <v>129</v>
      </c>
      <c r="E19" s="679"/>
      <c r="F19" s="529">
        <f>VLOOKUP(D19,'Nov 2012 Revenue'!D:T,17,FALSE)</f>
        <v>31.15</v>
      </c>
      <c r="G19" s="680"/>
      <c r="H19" s="680"/>
      <c r="I19" s="755"/>
      <c r="J19" s="682">
        <f t="shared" si="0"/>
        <v>31.15</v>
      </c>
      <c r="K19" s="683"/>
      <c r="L19" s="684"/>
      <c r="M19" s="753"/>
      <c r="N19" s="683">
        <v>0</v>
      </c>
      <c r="O19" s="686"/>
      <c r="P19" s="683">
        <v>0</v>
      </c>
      <c r="Q19" s="687">
        <f t="shared" si="1"/>
        <v>0</v>
      </c>
      <c r="R19" s="688">
        <v>25.25</v>
      </c>
      <c r="S19" s="693"/>
      <c r="T19" s="690">
        <f t="shared" si="2"/>
        <v>25.25</v>
      </c>
      <c r="U19" s="683"/>
      <c r="V19" s="474">
        <f t="shared" si="3"/>
        <v>0</v>
      </c>
      <c r="W19" s="474">
        <f t="shared" si="4"/>
        <v>0</v>
      </c>
      <c r="X19" s="475">
        <f t="shared" si="5"/>
        <v>0</v>
      </c>
      <c r="Y19" s="475">
        <v>0</v>
      </c>
      <c r="Z19" s="476">
        <v>0</v>
      </c>
      <c r="AA19" s="38">
        <f t="shared" si="6"/>
        <v>0</v>
      </c>
      <c r="AB19" s="692">
        <f t="shared" si="7"/>
        <v>0</v>
      </c>
      <c r="AC19" s="692">
        <f t="shared" si="8"/>
        <v>31.15</v>
      </c>
      <c r="AD19" s="692">
        <f t="shared" si="9"/>
        <v>0</v>
      </c>
      <c r="AE19" s="38"/>
      <c r="AF19" s="692">
        <f t="shared" si="10"/>
        <v>0</v>
      </c>
      <c r="AG19" s="692">
        <f t="shared" si="11"/>
        <v>0</v>
      </c>
      <c r="AH19" s="692">
        <f t="shared" si="12"/>
        <v>0</v>
      </c>
      <c r="AJ19" s="38">
        <f t="shared" si="13"/>
        <v>31.15</v>
      </c>
    </row>
    <row r="20" spans="1:36">
      <c r="A20" s="20" t="s">
        <v>109</v>
      </c>
      <c r="B20" s="20" t="s">
        <v>109</v>
      </c>
      <c r="C20" s="671" t="s">
        <v>523</v>
      </c>
      <c r="D20" s="351" t="s">
        <v>878</v>
      </c>
      <c r="E20" s="679"/>
      <c r="F20" s="529">
        <f>VLOOKUP(D20,'Nov 2012 Revenue'!D:T,17,FALSE)</f>
        <v>0</v>
      </c>
      <c r="G20" s="680"/>
      <c r="H20" s="680"/>
      <c r="I20" s="755"/>
      <c r="J20" s="682">
        <f t="shared" si="0"/>
        <v>0</v>
      </c>
      <c r="K20" s="683"/>
      <c r="L20" s="684"/>
      <c r="M20" s="753"/>
      <c r="N20" s="683">
        <v>0</v>
      </c>
      <c r="O20" s="686"/>
      <c r="P20" s="683">
        <v>0</v>
      </c>
      <c r="Q20" s="687">
        <f t="shared" si="1"/>
        <v>0</v>
      </c>
      <c r="R20" s="688">
        <v>0</v>
      </c>
      <c r="S20" s="693"/>
      <c r="T20" s="690">
        <f t="shared" si="2"/>
        <v>0</v>
      </c>
      <c r="U20" s="683"/>
      <c r="V20" s="474">
        <f t="shared" si="3"/>
        <v>0</v>
      </c>
      <c r="W20" s="474">
        <f t="shared" si="4"/>
        <v>0</v>
      </c>
      <c r="X20" s="475">
        <f t="shared" si="5"/>
        <v>0</v>
      </c>
      <c r="Y20" s="475">
        <v>0</v>
      </c>
      <c r="Z20" s="476">
        <v>0</v>
      </c>
      <c r="AA20" s="38">
        <f t="shared" si="6"/>
        <v>0</v>
      </c>
      <c r="AB20" s="692">
        <f t="shared" si="7"/>
        <v>0</v>
      </c>
      <c r="AC20" s="692">
        <f t="shared" si="8"/>
        <v>0</v>
      </c>
      <c r="AD20" s="692">
        <f t="shared" si="9"/>
        <v>0</v>
      </c>
      <c r="AE20" s="38"/>
      <c r="AF20" s="692">
        <f t="shared" si="10"/>
        <v>0</v>
      </c>
      <c r="AG20" s="692">
        <f t="shared" si="11"/>
        <v>0</v>
      </c>
      <c r="AH20" s="692">
        <f t="shared" si="12"/>
        <v>0</v>
      </c>
      <c r="AJ20" s="38">
        <f t="shared" ref="AJ20" si="14">SUM(AB20:AH20)</f>
        <v>0</v>
      </c>
    </row>
    <row r="21" spans="1:36">
      <c r="A21" s="20"/>
      <c r="B21" s="20" t="s">
        <v>110</v>
      </c>
      <c r="C21" s="667" t="s">
        <v>524</v>
      </c>
      <c r="D21" s="123" t="s">
        <v>380</v>
      </c>
      <c r="E21" s="679"/>
      <c r="F21" s="529">
        <f>VLOOKUP(D21,'Nov 2012 Revenue'!D:T,17,FALSE)</f>
        <v>334.23999999999978</v>
      </c>
      <c r="G21" s="680"/>
      <c r="H21" s="680"/>
      <c r="I21" s="770">
        <v>5080.24</v>
      </c>
      <c r="J21" s="682">
        <f t="shared" si="0"/>
        <v>5414.48</v>
      </c>
      <c r="K21" s="683"/>
      <c r="L21" s="684"/>
      <c r="M21" s="753"/>
      <c r="N21" s="683">
        <v>0</v>
      </c>
      <c r="O21" s="686"/>
      <c r="P21" s="683">
        <v>0</v>
      </c>
      <c r="Q21" s="687">
        <f t="shared" si="1"/>
        <v>0</v>
      </c>
      <c r="R21" s="688">
        <v>0</v>
      </c>
      <c r="S21" s="693"/>
      <c r="T21" s="690">
        <f t="shared" si="2"/>
        <v>0</v>
      </c>
      <c r="U21" s="683"/>
      <c r="V21" s="474">
        <f t="shared" si="3"/>
        <v>0</v>
      </c>
      <c r="W21" s="474">
        <f t="shared" si="4"/>
        <v>0</v>
      </c>
      <c r="X21" s="475">
        <f t="shared" si="5"/>
        <v>0</v>
      </c>
      <c r="Y21" s="475">
        <v>0</v>
      </c>
      <c r="Z21" s="476">
        <v>0</v>
      </c>
      <c r="AA21" s="38">
        <f t="shared" si="6"/>
        <v>0</v>
      </c>
      <c r="AB21" s="692">
        <f t="shared" si="7"/>
        <v>5414.48</v>
      </c>
      <c r="AC21" s="692">
        <f t="shared" si="8"/>
        <v>0</v>
      </c>
      <c r="AD21" s="692">
        <f t="shared" si="9"/>
        <v>0</v>
      </c>
      <c r="AE21" s="38"/>
      <c r="AF21" s="692">
        <f t="shared" si="10"/>
        <v>0</v>
      </c>
      <c r="AG21" s="692">
        <f t="shared" si="11"/>
        <v>0</v>
      </c>
      <c r="AH21" s="692">
        <f t="shared" si="12"/>
        <v>0</v>
      </c>
      <c r="AJ21" s="38">
        <f t="shared" si="13"/>
        <v>5414.48</v>
      </c>
    </row>
    <row r="22" spans="1:36">
      <c r="A22" s="20"/>
      <c r="B22" s="20" t="s">
        <v>110</v>
      </c>
      <c r="C22" s="667" t="s">
        <v>524</v>
      </c>
      <c r="D22" s="123" t="s">
        <v>132</v>
      </c>
      <c r="E22" s="679"/>
      <c r="F22" s="529">
        <f>VLOOKUP(D22,'Nov 2012 Revenue'!D:T,17,FALSE)</f>
        <v>100.11999999999989</v>
      </c>
      <c r="G22" s="680"/>
      <c r="H22" s="680"/>
      <c r="I22" s="770">
        <v>6515.27</v>
      </c>
      <c r="J22" s="682">
        <f t="shared" si="0"/>
        <v>6615.39</v>
      </c>
      <c r="K22" s="683"/>
      <c r="L22" s="684"/>
      <c r="M22" s="753"/>
      <c r="N22" s="683">
        <v>0</v>
      </c>
      <c r="O22" s="686"/>
      <c r="P22" s="683">
        <v>0</v>
      </c>
      <c r="Q22" s="687">
        <f t="shared" si="1"/>
        <v>0</v>
      </c>
      <c r="R22" s="688">
        <v>0</v>
      </c>
      <c r="S22" s="693"/>
      <c r="T22" s="690">
        <f t="shared" si="2"/>
        <v>0</v>
      </c>
      <c r="U22" s="683"/>
      <c r="V22" s="474">
        <f t="shared" si="3"/>
        <v>0</v>
      </c>
      <c r="W22" s="474">
        <f t="shared" si="4"/>
        <v>0</v>
      </c>
      <c r="X22" s="475">
        <f t="shared" si="5"/>
        <v>0</v>
      </c>
      <c r="Y22" s="475">
        <v>0</v>
      </c>
      <c r="Z22" s="476">
        <v>0</v>
      </c>
      <c r="AA22" s="38">
        <f t="shared" si="6"/>
        <v>0</v>
      </c>
      <c r="AB22" s="692">
        <f t="shared" si="7"/>
        <v>6615.39</v>
      </c>
      <c r="AC22" s="692">
        <f t="shared" si="8"/>
        <v>0</v>
      </c>
      <c r="AD22" s="692">
        <f t="shared" si="9"/>
        <v>0</v>
      </c>
      <c r="AE22" s="38"/>
      <c r="AF22" s="692">
        <f t="shared" si="10"/>
        <v>0</v>
      </c>
      <c r="AG22" s="692">
        <f t="shared" si="11"/>
        <v>0</v>
      </c>
      <c r="AH22" s="692">
        <f t="shared" si="12"/>
        <v>0</v>
      </c>
      <c r="AJ22" s="38">
        <f t="shared" si="13"/>
        <v>6615.39</v>
      </c>
    </row>
    <row r="23" spans="1:36">
      <c r="A23" s="20"/>
      <c r="B23" s="20" t="s">
        <v>110</v>
      </c>
      <c r="C23" s="667" t="s">
        <v>524</v>
      </c>
      <c r="D23" s="123" t="s">
        <v>133</v>
      </c>
      <c r="E23" s="679"/>
      <c r="F23" s="529">
        <f>VLOOKUP(D23,'Nov 2012 Revenue'!D:T,17,FALSE)</f>
        <v>-662.30000000000018</v>
      </c>
      <c r="G23" s="680"/>
      <c r="H23" s="680"/>
      <c r="I23" s="770">
        <v>6865.9</v>
      </c>
      <c r="J23" s="682">
        <f t="shared" si="0"/>
        <v>6203.5999999999995</v>
      </c>
      <c r="K23" s="683"/>
      <c r="L23" s="684"/>
      <c r="M23" s="753"/>
      <c r="N23" s="683">
        <v>0</v>
      </c>
      <c r="O23" s="686"/>
      <c r="P23" s="683">
        <v>0</v>
      </c>
      <c r="Q23" s="687">
        <f t="shared" si="1"/>
        <v>0</v>
      </c>
      <c r="R23" s="688">
        <v>0</v>
      </c>
      <c r="S23" s="693"/>
      <c r="T23" s="690">
        <f t="shared" si="2"/>
        <v>0</v>
      </c>
      <c r="U23" s="683"/>
      <c r="V23" s="474">
        <f t="shared" si="3"/>
        <v>0</v>
      </c>
      <c r="W23" s="474">
        <f t="shared" si="4"/>
        <v>0</v>
      </c>
      <c r="X23" s="475">
        <f t="shared" si="5"/>
        <v>0</v>
      </c>
      <c r="Y23" s="475">
        <v>0</v>
      </c>
      <c r="Z23" s="476">
        <v>0</v>
      </c>
      <c r="AA23" s="38">
        <f t="shared" si="6"/>
        <v>0</v>
      </c>
      <c r="AB23" s="692">
        <f t="shared" si="7"/>
        <v>6203.5999999999995</v>
      </c>
      <c r="AC23" s="692">
        <f t="shared" si="8"/>
        <v>0</v>
      </c>
      <c r="AD23" s="692">
        <f t="shared" si="9"/>
        <v>0</v>
      </c>
      <c r="AE23" s="38"/>
      <c r="AF23" s="692">
        <f t="shared" si="10"/>
        <v>0</v>
      </c>
      <c r="AG23" s="692">
        <f t="shared" si="11"/>
        <v>0</v>
      </c>
      <c r="AH23" s="692">
        <f t="shared" si="12"/>
        <v>0</v>
      </c>
      <c r="AJ23" s="38">
        <f t="shared" si="13"/>
        <v>6203.5999999999995</v>
      </c>
    </row>
    <row r="24" spans="1:36" s="232" customFormat="1">
      <c r="A24" s="283" t="s">
        <v>211</v>
      </c>
      <c r="B24" s="283" t="s">
        <v>109</v>
      </c>
      <c r="C24" s="667" t="s">
        <v>525</v>
      </c>
      <c r="D24" s="123" t="s">
        <v>419</v>
      </c>
      <c r="E24" s="679">
        <v>30902.52</v>
      </c>
      <c r="F24" s="529">
        <f>VLOOKUP(D24,'Nov 2012 Revenue'!D:T,17,FALSE)</f>
        <v>-55000</v>
      </c>
      <c r="G24" s="680"/>
      <c r="H24" s="680"/>
      <c r="I24" s="755"/>
      <c r="J24" s="682">
        <f t="shared" si="0"/>
        <v>-24097.48</v>
      </c>
      <c r="K24" s="683"/>
      <c r="L24" s="684"/>
      <c r="M24" s="753">
        <v>30000</v>
      </c>
      <c r="N24" s="683">
        <v>0</v>
      </c>
      <c r="O24" s="686"/>
      <c r="P24" s="683">
        <v>0</v>
      </c>
      <c r="Q24" s="687">
        <f t="shared" si="1"/>
        <v>30000</v>
      </c>
      <c r="R24" s="688">
        <v>0</v>
      </c>
      <c r="S24" s="693"/>
      <c r="T24" s="690">
        <f t="shared" si="2"/>
        <v>-30000</v>
      </c>
      <c r="U24" s="683"/>
      <c r="V24" s="474">
        <f t="shared" si="3"/>
        <v>0</v>
      </c>
      <c r="W24" s="474">
        <f t="shared" si="4"/>
        <v>30000</v>
      </c>
      <c r="X24" s="475">
        <f t="shared" si="5"/>
        <v>0</v>
      </c>
      <c r="Y24" s="475">
        <v>0</v>
      </c>
      <c r="Z24" s="476">
        <v>0</v>
      </c>
      <c r="AA24" s="38">
        <f t="shared" si="6"/>
        <v>0</v>
      </c>
      <c r="AB24" s="692">
        <f t="shared" si="7"/>
        <v>0</v>
      </c>
      <c r="AC24" s="692">
        <f t="shared" si="8"/>
        <v>-24097.48</v>
      </c>
      <c r="AD24" s="692">
        <f t="shared" si="9"/>
        <v>0</v>
      </c>
      <c r="AE24" s="38"/>
      <c r="AF24" s="692">
        <f t="shared" si="10"/>
        <v>0</v>
      </c>
      <c r="AG24" s="692">
        <f t="shared" si="11"/>
        <v>30000</v>
      </c>
      <c r="AH24" s="692">
        <f t="shared" si="12"/>
        <v>0</v>
      </c>
      <c r="AJ24" s="38">
        <f t="shared" si="13"/>
        <v>5902.52</v>
      </c>
    </row>
    <row r="25" spans="1:36" s="232" customFormat="1">
      <c r="A25" s="283"/>
      <c r="B25" s="283" t="s">
        <v>109</v>
      </c>
      <c r="C25" s="667" t="s">
        <v>525</v>
      </c>
      <c r="D25" s="413" t="s">
        <v>420</v>
      </c>
      <c r="E25" s="679"/>
      <c r="F25" s="529">
        <f>VLOOKUP(D25,'Nov 2012 Revenue'!D:T,17,FALSE)</f>
        <v>0</v>
      </c>
      <c r="G25" s="680"/>
      <c r="H25" s="680"/>
      <c r="I25" s="755"/>
      <c r="J25" s="682">
        <f t="shared" si="0"/>
        <v>0</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0</v>
      </c>
      <c r="AC25" s="692">
        <f t="shared" si="8"/>
        <v>0</v>
      </c>
      <c r="AD25" s="692">
        <f t="shared" si="9"/>
        <v>0</v>
      </c>
      <c r="AE25" s="38"/>
      <c r="AF25" s="692">
        <f t="shared" si="10"/>
        <v>0</v>
      </c>
      <c r="AG25" s="692">
        <f t="shared" si="11"/>
        <v>0</v>
      </c>
      <c r="AH25" s="692">
        <f t="shared" si="12"/>
        <v>0</v>
      </c>
      <c r="AJ25" s="38">
        <f t="shared" si="13"/>
        <v>0</v>
      </c>
    </row>
    <row r="26" spans="1:36" s="232" customFormat="1">
      <c r="A26" s="283"/>
      <c r="B26" s="283" t="s">
        <v>109</v>
      </c>
      <c r="C26" s="667" t="s">
        <v>525</v>
      </c>
      <c r="D26" s="413" t="s">
        <v>421</v>
      </c>
      <c r="E26" s="679"/>
      <c r="F26" s="529">
        <f>VLOOKUP(D26,'Nov 2012 Revenue'!D:T,17,FALSE)</f>
        <v>0</v>
      </c>
      <c r="G26" s="680"/>
      <c r="H26" s="680"/>
      <c r="I26" s="755"/>
      <c r="J26" s="682">
        <f t="shared" si="0"/>
        <v>0</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7"/>
        <v>0</v>
      </c>
      <c r="AC26" s="692">
        <f t="shared" si="8"/>
        <v>0</v>
      </c>
      <c r="AD26" s="692">
        <f t="shared" si="9"/>
        <v>0</v>
      </c>
      <c r="AE26" s="38"/>
      <c r="AF26" s="692">
        <f t="shared" si="10"/>
        <v>0</v>
      </c>
      <c r="AG26" s="692">
        <f t="shared" si="11"/>
        <v>0</v>
      </c>
      <c r="AH26" s="692">
        <f t="shared" si="12"/>
        <v>0</v>
      </c>
      <c r="AJ26" s="38">
        <f t="shared" si="13"/>
        <v>0</v>
      </c>
    </row>
    <row r="27" spans="1:36">
      <c r="A27" s="20"/>
      <c r="B27" s="20" t="s">
        <v>110</v>
      </c>
      <c r="C27" s="667"/>
      <c r="D27" s="68" t="s">
        <v>191</v>
      </c>
      <c r="E27" s="679"/>
      <c r="F27" s="529">
        <f>VLOOKUP(D27,'Nov 2012 Revenue'!D:T,17,FALSE)</f>
        <v>144.76</v>
      </c>
      <c r="G27" s="680"/>
      <c r="H27" s="680"/>
      <c r="I27" s="755"/>
      <c r="J27" s="682">
        <f t="shared" si="0"/>
        <v>144.76</v>
      </c>
      <c r="K27" s="683"/>
      <c r="L27" s="684"/>
      <c r="M27" s="753"/>
      <c r="N27" s="683">
        <v>0</v>
      </c>
      <c r="O27" s="686"/>
      <c r="P27" s="683">
        <v>0</v>
      </c>
      <c r="Q27" s="687">
        <f t="shared" si="1"/>
        <v>0</v>
      </c>
      <c r="R27" s="688">
        <v>181.88</v>
      </c>
      <c r="S27" s="693"/>
      <c r="T27" s="690">
        <f t="shared" si="2"/>
        <v>181.88</v>
      </c>
      <c r="U27" s="683"/>
      <c r="V27" s="474">
        <f t="shared" si="3"/>
        <v>0</v>
      </c>
      <c r="W27" s="474">
        <f t="shared" si="4"/>
        <v>0</v>
      </c>
      <c r="X27" s="475">
        <f t="shared" si="5"/>
        <v>0</v>
      </c>
      <c r="Y27" s="475">
        <v>0</v>
      </c>
      <c r="Z27" s="476">
        <v>0</v>
      </c>
      <c r="AA27" s="38">
        <f t="shared" si="6"/>
        <v>0</v>
      </c>
      <c r="AB27" s="692">
        <f t="shared" si="7"/>
        <v>144.76</v>
      </c>
      <c r="AC27" s="692">
        <f t="shared" si="8"/>
        <v>0</v>
      </c>
      <c r="AD27" s="692">
        <f t="shared" si="9"/>
        <v>0</v>
      </c>
      <c r="AE27" s="38"/>
      <c r="AF27" s="692">
        <f t="shared" si="10"/>
        <v>0</v>
      </c>
      <c r="AG27" s="692">
        <f t="shared" si="11"/>
        <v>0</v>
      </c>
      <c r="AH27" s="692">
        <f t="shared" si="12"/>
        <v>0</v>
      </c>
      <c r="AJ27" s="38">
        <f t="shared" si="13"/>
        <v>144.76</v>
      </c>
    </row>
    <row r="28" spans="1:36">
      <c r="A28" s="20"/>
      <c r="B28" s="20" t="s">
        <v>110</v>
      </c>
      <c r="C28" s="667"/>
      <c r="D28" s="68" t="s">
        <v>589</v>
      </c>
      <c r="E28" s="679"/>
      <c r="F28" s="529">
        <f>VLOOKUP(D28,'Nov 2012 Revenue'!D:T,17,FALSE)</f>
        <v>-13000</v>
      </c>
      <c r="G28" s="680"/>
      <c r="H28" s="680"/>
      <c r="I28" s="755"/>
      <c r="J28" s="682">
        <f t="shared" si="0"/>
        <v>-13000</v>
      </c>
      <c r="K28" s="683"/>
      <c r="L28" s="684"/>
      <c r="M28" s="753">
        <v>20000</v>
      </c>
      <c r="N28" s="683">
        <v>0</v>
      </c>
      <c r="O28" s="686"/>
      <c r="P28" s="683">
        <v>0</v>
      </c>
      <c r="Q28" s="687">
        <f t="shared" si="1"/>
        <v>20000</v>
      </c>
      <c r="R28" s="688">
        <v>18132.29</v>
      </c>
      <c r="S28" s="693"/>
      <c r="T28" s="690">
        <f t="shared" si="2"/>
        <v>-1867.7099999999991</v>
      </c>
      <c r="U28" s="683"/>
      <c r="V28" s="474">
        <f t="shared" si="3"/>
        <v>20000</v>
      </c>
      <c r="W28" s="474">
        <f t="shared" si="4"/>
        <v>0</v>
      </c>
      <c r="X28" s="475">
        <f t="shared" si="5"/>
        <v>0</v>
      </c>
      <c r="Y28" s="475">
        <v>0</v>
      </c>
      <c r="Z28" s="476">
        <v>0</v>
      </c>
      <c r="AA28" s="38">
        <f t="shared" si="6"/>
        <v>0</v>
      </c>
      <c r="AB28" s="692">
        <f t="shared" si="7"/>
        <v>-13000</v>
      </c>
      <c r="AC28" s="692">
        <f t="shared" si="8"/>
        <v>0</v>
      </c>
      <c r="AD28" s="692">
        <f t="shared" si="9"/>
        <v>0</v>
      </c>
      <c r="AE28" s="38"/>
      <c r="AF28" s="692">
        <f t="shared" si="10"/>
        <v>20000</v>
      </c>
      <c r="AG28" s="692">
        <f t="shared" si="11"/>
        <v>0</v>
      </c>
      <c r="AH28" s="692">
        <f t="shared" si="12"/>
        <v>0</v>
      </c>
      <c r="AJ28" s="38">
        <f t="shared" si="13"/>
        <v>7000</v>
      </c>
    </row>
    <row r="29" spans="1:36">
      <c r="A29" s="20"/>
      <c r="B29" s="20" t="s">
        <v>110</v>
      </c>
      <c r="C29" s="667"/>
      <c r="D29" s="68" t="s">
        <v>829</v>
      </c>
      <c r="E29" s="679"/>
      <c r="F29" s="529">
        <f>VLOOKUP(D29,'Nov 2012 Revenue'!D:T,17,FALSE)</f>
        <v>0</v>
      </c>
      <c r="G29" s="680"/>
      <c r="H29" s="680"/>
      <c r="I29" s="755"/>
      <c r="J29" s="682">
        <f t="shared" si="0"/>
        <v>0</v>
      </c>
      <c r="K29" s="683"/>
      <c r="L29" s="684"/>
      <c r="M29" s="753"/>
      <c r="N29" s="683">
        <v>0</v>
      </c>
      <c r="O29" s="686"/>
      <c r="P29" s="683">
        <v>0</v>
      </c>
      <c r="Q29" s="687">
        <f t="shared" si="1"/>
        <v>0</v>
      </c>
      <c r="R29" s="688">
        <v>0</v>
      </c>
      <c r="S29" s="693"/>
      <c r="T29" s="690">
        <f t="shared" si="2"/>
        <v>0</v>
      </c>
      <c r="U29" s="683"/>
      <c r="V29" s="474">
        <f t="shared" si="3"/>
        <v>0</v>
      </c>
      <c r="W29" s="474">
        <f t="shared" si="4"/>
        <v>0</v>
      </c>
      <c r="X29" s="475">
        <f t="shared" si="5"/>
        <v>0</v>
      </c>
      <c r="Y29" s="475">
        <v>0</v>
      </c>
      <c r="Z29" s="476">
        <v>0</v>
      </c>
      <c r="AA29" s="38">
        <f t="shared" si="6"/>
        <v>0</v>
      </c>
      <c r="AB29" s="692">
        <f t="shared" si="7"/>
        <v>0</v>
      </c>
      <c r="AC29" s="692">
        <f t="shared" si="8"/>
        <v>0</v>
      </c>
      <c r="AD29" s="692">
        <f t="shared" si="9"/>
        <v>0</v>
      </c>
      <c r="AE29" s="38"/>
      <c r="AF29" s="692">
        <f t="shared" si="10"/>
        <v>0</v>
      </c>
      <c r="AG29" s="692">
        <f t="shared" si="11"/>
        <v>0</v>
      </c>
      <c r="AH29" s="692">
        <f t="shared" si="12"/>
        <v>0</v>
      </c>
      <c r="AJ29" s="38">
        <f t="shared" si="13"/>
        <v>0</v>
      </c>
    </row>
    <row r="30" spans="1:36">
      <c r="A30" s="20"/>
      <c r="B30" s="20" t="s">
        <v>109</v>
      </c>
      <c r="C30" s="667" t="s">
        <v>526</v>
      </c>
      <c r="D30" s="68" t="s">
        <v>385</v>
      </c>
      <c r="E30" s="679"/>
      <c r="F30" s="529">
        <f>VLOOKUP(D30,'Nov 2012 Revenue'!D:T,17,FALSE)</f>
        <v>1534.92</v>
      </c>
      <c r="G30" s="680"/>
      <c r="H30" s="680"/>
      <c r="I30" s="755"/>
      <c r="J30" s="682">
        <f t="shared" si="0"/>
        <v>1534.92</v>
      </c>
      <c r="K30" s="683"/>
      <c r="L30" s="684"/>
      <c r="M30" s="753"/>
      <c r="N30" s="683">
        <v>0</v>
      </c>
      <c r="O30" s="686"/>
      <c r="P30" s="683">
        <v>0</v>
      </c>
      <c r="Q30" s="687">
        <f t="shared" si="1"/>
        <v>0</v>
      </c>
      <c r="R30" s="688">
        <v>1699.46</v>
      </c>
      <c r="S30" s="693"/>
      <c r="T30" s="690">
        <f t="shared" si="2"/>
        <v>1699.46</v>
      </c>
      <c r="U30" s="691"/>
      <c r="V30" s="474">
        <f t="shared" si="3"/>
        <v>0</v>
      </c>
      <c r="W30" s="474">
        <f t="shared" si="4"/>
        <v>0</v>
      </c>
      <c r="X30" s="475">
        <f t="shared" si="5"/>
        <v>0</v>
      </c>
      <c r="Y30" s="475">
        <v>0</v>
      </c>
      <c r="Z30" s="476">
        <v>0</v>
      </c>
      <c r="AA30" s="38">
        <f t="shared" si="6"/>
        <v>0</v>
      </c>
      <c r="AB30" s="692">
        <f t="shared" si="7"/>
        <v>0</v>
      </c>
      <c r="AC30" s="692">
        <f t="shared" si="8"/>
        <v>1534.92</v>
      </c>
      <c r="AD30" s="692">
        <f t="shared" si="9"/>
        <v>0</v>
      </c>
      <c r="AE30" s="38"/>
      <c r="AF30" s="692">
        <f t="shared" si="10"/>
        <v>0</v>
      </c>
      <c r="AG30" s="692">
        <f t="shared" si="11"/>
        <v>0</v>
      </c>
      <c r="AH30" s="692">
        <f t="shared" si="12"/>
        <v>0</v>
      </c>
      <c r="AJ30" s="38">
        <f t="shared" si="13"/>
        <v>1534.92</v>
      </c>
    </row>
    <row r="31" spans="1:36" s="232" customFormat="1">
      <c r="A31" s="283"/>
      <c r="B31" s="283" t="s">
        <v>110</v>
      </c>
      <c r="C31" s="667" t="s">
        <v>527</v>
      </c>
      <c r="D31" s="123" t="s">
        <v>401</v>
      </c>
      <c r="E31" s="679"/>
      <c r="F31" s="529">
        <f>VLOOKUP(D31,'Nov 2012 Revenue'!D:T,17,FALSE)</f>
        <v>-27777.539999999979</v>
      </c>
      <c r="G31" s="680"/>
      <c r="H31" s="680"/>
      <c r="I31" s="755"/>
      <c r="J31" s="682">
        <f t="shared" si="0"/>
        <v>-27777.539999999979</v>
      </c>
      <c r="K31" s="683"/>
      <c r="L31" s="684"/>
      <c r="M31" s="753">
        <v>460000</v>
      </c>
      <c r="N31" s="683">
        <v>0</v>
      </c>
      <c r="O31" s="686"/>
      <c r="P31" s="683">
        <v>0</v>
      </c>
      <c r="Q31" s="687">
        <f t="shared" si="1"/>
        <v>460000</v>
      </c>
      <c r="R31" s="688">
        <v>422148.3</v>
      </c>
      <c r="S31" s="693"/>
      <c r="T31" s="690">
        <f t="shared" si="2"/>
        <v>-37851.700000000012</v>
      </c>
      <c r="U31" s="683"/>
      <c r="V31" s="474">
        <f t="shared" si="3"/>
        <v>460000</v>
      </c>
      <c r="W31" s="474">
        <f t="shared" si="4"/>
        <v>0</v>
      </c>
      <c r="X31" s="475">
        <f t="shared" si="5"/>
        <v>0</v>
      </c>
      <c r="Y31" s="475">
        <v>0</v>
      </c>
      <c r="Z31" s="476">
        <v>0</v>
      </c>
      <c r="AA31" s="38">
        <f t="shared" si="6"/>
        <v>0</v>
      </c>
      <c r="AB31" s="692">
        <f t="shared" si="7"/>
        <v>-27777.539999999979</v>
      </c>
      <c r="AC31" s="692">
        <f t="shared" si="8"/>
        <v>0</v>
      </c>
      <c r="AD31" s="692">
        <f t="shared" si="9"/>
        <v>0</v>
      </c>
      <c r="AE31" s="38"/>
      <c r="AF31" s="692">
        <f t="shared" si="10"/>
        <v>460000</v>
      </c>
      <c r="AG31" s="692">
        <f t="shared" si="11"/>
        <v>0</v>
      </c>
      <c r="AH31" s="692">
        <f t="shared" si="12"/>
        <v>0</v>
      </c>
      <c r="AJ31" s="38">
        <f t="shared" si="13"/>
        <v>432222.46</v>
      </c>
    </row>
    <row r="32" spans="1:36" s="232" customFormat="1">
      <c r="A32" s="283"/>
      <c r="B32" s="283" t="s">
        <v>110</v>
      </c>
      <c r="C32" s="667" t="s">
        <v>528</v>
      </c>
      <c r="D32" s="123" t="s">
        <v>403</v>
      </c>
      <c r="E32" s="679"/>
      <c r="F32" s="529">
        <f>VLOOKUP(D32,'Nov 2012 Revenue'!D:T,17,FALSE)</f>
        <v>7355.9199999999983</v>
      </c>
      <c r="G32" s="680"/>
      <c r="H32" s="680"/>
      <c r="I32" s="755"/>
      <c r="J32" s="682">
        <f t="shared" si="0"/>
        <v>7355.9199999999983</v>
      </c>
      <c r="K32" s="683"/>
      <c r="L32" s="684"/>
      <c r="M32" s="753">
        <v>75000</v>
      </c>
      <c r="N32" s="683">
        <v>0</v>
      </c>
      <c r="O32" s="686"/>
      <c r="P32" s="683">
        <v>0</v>
      </c>
      <c r="Q32" s="687">
        <f t="shared" si="1"/>
        <v>75000</v>
      </c>
      <c r="R32" s="688">
        <v>76570.34</v>
      </c>
      <c r="S32" s="693"/>
      <c r="T32" s="690">
        <f t="shared" si="2"/>
        <v>1570.3399999999965</v>
      </c>
      <c r="U32" s="683"/>
      <c r="V32" s="474">
        <f t="shared" si="3"/>
        <v>75000</v>
      </c>
      <c r="W32" s="474">
        <f t="shared" si="4"/>
        <v>0</v>
      </c>
      <c r="X32" s="475">
        <f t="shared" si="5"/>
        <v>0</v>
      </c>
      <c r="Y32" s="475">
        <v>0</v>
      </c>
      <c r="Z32" s="476">
        <v>0</v>
      </c>
      <c r="AA32" s="38">
        <f t="shared" si="6"/>
        <v>0</v>
      </c>
      <c r="AB32" s="692">
        <f t="shared" si="7"/>
        <v>7355.9199999999983</v>
      </c>
      <c r="AC32" s="692">
        <f t="shared" si="8"/>
        <v>0</v>
      </c>
      <c r="AD32" s="692">
        <f t="shared" si="9"/>
        <v>0</v>
      </c>
      <c r="AE32" s="38"/>
      <c r="AF32" s="692">
        <f t="shared" si="10"/>
        <v>75000</v>
      </c>
      <c r="AG32" s="692">
        <f t="shared" si="11"/>
        <v>0</v>
      </c>
      <c r="AH32" s="692">
        <f t="shared" si="12"/>
        <v>0</v>
      </c>
      <c r="AJ32" s="38">
        <f t="shared" si="13"/>
        <v>82355.92</v>
      </c>
    </row>
    <row r="33" spans="1:36" s="232" customFormat="1">
      <c r="A33" s="283"/>
      <c r="B33" s="283" t="s">
        <v>110</v>
      </c>
      <c r="C33" s="667" t="s">
        <v>528</v>
      </c>
      <c r="D33" s="123" t="s">
        <v>404</v>
      </c>
      <c r="E33" s="679"/>
      <c r="F33" s="529">
        <f>VLOOKUP(D33,'Nov 2012 Revenue'!D:T,17,FALSE)</f>
        <v>1562.3000000000029</v>
      </c>
      <c r="G33" s="680"/>
      <c r="H33" s="680"/>
      <c r="I33" s="755"/>
      <c r="J33" s="682">
        <f t="shared" si="0"/>
        <v>1562.3000000000029</v>
      </c>
      <c r="K33" s="683"/>
      <c r="L33" s="684"/>
      <c r="M33" s="753">
        <v>80000</v>
      </c>
      <c r="N33" s="683">
        <v>0</v>
      </c>
      <c r="O33" s="686"/>
      <c r="P33" s="683">
        <v>0</v>
      </c>
      <c r="Q33" s="687">
        <f t="shared" si="1"/>
        <v>80000</v>
      </c>
      <c r="R33" s="688">
        <v>84281.55</v>
      </c>
      <c r="S33" s="693"/>
      <c r="T33" s="690">
        <f t="shared" si="2"/>
        <v>4281.5500000000029</v>
      </c>
      <c r="U33" s="683"/>
      <c r="V33" s="474">
        <f t="shared" si="3"/>
        <v>80000</v>
      </c>
      <c r="W33" s="474">
        <f t="shared" si="4"/>
        <v>0</v>
      </c>
      <c r="X33" s="475">
        <f t="shared" si="5"/>
        <v>0</v>
      </c>
      <c r="Y33" s="475">
        <v>0</v>
      </c>
      <c r="Z33" s="476">
        <v>0</v>
      </c>
      <c r="AA33" s="38">
        <f t="shared" si="6"/>
        <v>0</v>
      </c>
      <c r="AB33" s="692">
        <f t="shared" si="7"/>
        <v>1562.3000000000029</v>
      </c>
      <c r="AC33" s="692">
        <f t="shared" si="8"/>
        <v>0</v>
      </c>
      <c r="AD33" s="692">
        <f t="shared" si="9"/>
        <v>0</v>
      </c>
      <c r="AE33" s="38"/>
      <c r="AF33" s="692">
        <f t="shared" si="10"/>
        <v>80000</v>
      </c>
      <c r="AG33" s="692">
        <f t="shared" si="11"/>
        <v>0</v>
      </c>
      <c r="AH33" s="692">
        <f t="shared" si="12"/>
        <v>0</v>
      </c>
      <c r="AJ33" s="38">
        <f t="shared" si="13"/>
        <v>81562.3</v>
      </c>
    </row>
    <row r="34" spans="1:36" s="232" customFormat="1">
      <c r="A34" s="283"/>
      <c r="B34" s="283" t="s">
        <v>110</v>
      </c>
      <c r="C34" s="667" t="s">
        <v>528</v>
      </c>
      <c r="D34" s="123" t="s">
        <v>405</v>
      </c>
      <c r="E34" s="679"/>
      <c r="F34" s="529">
        <f>VLOOKUP(D34,'Nov 2012 Revenue'!D:T,17,FALSE)</f>
        <v>1083.4599999999991</v>
      </c>
      <c r="G34" s="680"/>
      <c r="H34" s="680"/>
      <c r="I34" s="755"/>
      <c r="J34" s="682">
        <f t="shared" si="0"/>
        <v>1083.4599999999991</v>
      </c>
      <c r="K34" s="683"/>
      <c r="L34" s="684"/>
      <c r="M34" s="753">
        <v>15000</v>
      </c>
      <c r="N34" s="683">
        <v>0</v>
      </c>
      <c r="O34" s="686"/>
      <c r="P34" s="683">
        <v>0</v>
      </c>
      <c r="Q34" s="687">
        <f t="shared" si="1"/>
        <v>15000</v>
      </c>
      <c r="R34" s="688">
        <v>19771.060000000001</v>
      </c>
      <c r="S34" s="693"/>
      <c r="T34" s="690">
        <f t="shared" si="2"/>
        <v>4771.0600000000013</v>
      </c>
      <c r="U34" s="683"/>
      <c r="V34" s="474">
        <f t="shared" si="3"/>
        <v>15000</v>
      </c>
      <c r="W34" s="474">
        <f t="shared" si="4"/>
        <v>0</v>
      </c>
      <c r="X34" s="475">
        <f t="shared" si="5"/>
        <v>0</v>
      </c>
      <c r="Y34" s="475">
        <v>0</v>
      </c>
      <c r="Z34" s="476">
        <v>0</v>
      </c>
      <c r="AA34" s="38">
        <f t="shared" si="6"/>
        <v>0</v>
      </c>
      <c r="AB34" s="692">
        <f t="shared" si="7"/>
        <v>1083.4599999999991</v>
      </c>
      <c r="AC34" s="692">
        <f t="shared" si="8"/>
        <v>0</v>
      </c>
      <c r="AD34" s="692">
        <f t="shared" si="9"/>
        <v>0</v>
      </c>
      <c r="AE34" s="38"/>
      <c r="AF34" s="692">
        <f t="shared" si="10"/>
        <v>15000</v>
      </c>
      <c r="AG34" s="692">
        <f t="shared" si="11"/>
        <v>0</v>
      </c>
      <c r="AH34" s="692">
        <f t="shared" si="12"/>
        <v>0</v>
      </c>
      <c r="AJ34" s="38">
        <f t="shared" si="13"/>
        <v>16083.46</v>
      </c>
    </row>
    <row r="35" spans="1:36" s="232" customFormat="1">
      <c r="A35" s="283"/>
      <c r="B35" s="283" t="s">
        <v>110</v>
      </c>
      <c r="C35" s="667" t="s">
        <v>528</v>
      </c>
      <c r="D35" s="123" t="s">
        <v>406</v>
      </c>
      <c r="E35" s="679"/>
      <c r="F35" s="529">
        <f>VLOOKUP(D35,'Nov 2012 Revenue'!D:T,17,FALSE)</f>
        <v>-104.28999999999996</v>
      </c>
      <c r="G35" s="680"/>
      <c r="H35" s="680"/>
      <c r="I35" s="755"/>
      <c r="J35" s="682">
        <f t="shared" si="0"/>
        <v>-104.28999999999996</v>
      </c>
      <c r="K35" s="683"/>
      <c r="L35" s="684"/>
      <c r="M35" s="753">
        <v>6000</v>
      </c>
      <c r="N35" s="683">
        <v>0</v>
      </c>
      <c r="O35" s="686"/>
      <c r="P35" s="683">
        <v>0</v>
      </c>
      <c r="Q35" s="687">
        <f t="shared" si="1"/>
        <v>6000</v>
      </c>
      <c r="R35" s="688">
        <v>6084.64</v>
      </c>
      <c r="S35" s="693"/>
      <c r="T35" s="690">
        <f t="shared" si="2"/>
        <v>84.640000000000327</v>
      </c>
      <c r="U35" s="683"/>
      <c r="V35" s="474">
        <f t="shared" si="3"/>
        <v>6000</v>
      </c>
      <c r="W35" s="474">
        <f t="shared" si="4"/>
        <v>0</v>
      </c>
      <c r="X35" s="475">
        <f t="shared" si="5"/>
        <v>0</v>
      </c>
      <c r="Y35" s="475">
        <v>0</v>
      </c>
      <c r="Z35" s="476">
        <v>0</v>
      </c>
      <c r="AA35" s="38">
        <f t="shared" si="6"/>
        <v>0</v>
      </c>
      <c r="AB35" s="692">
        <f t="shared" si="7"/>
        <v>-104.28999999999996</v>
      </c>
      <c r="AC35" s="692">
        <f t="shared" si="8"/>
        <v>0</v>
      </c>
      <c r="AD35" s="692">
        <f t="shared" si="9"/>
        <v>0</v>
      </c>
      <c r="AE35" s="38"/>
      <c r="AF35" s="692">
        <f t="shared" si="10"/>
        <v>6000</v>
      </c>
      <c r="AG35" s="692">
        <f t="shared" si="11"/>
        <v>0</v>
      </c>
      <c r="AH35" s="692">
        <f t="shared" si="12"/>
        <v>0</v>
      </c>
      <c r="AJ35" s="38">
        <f t="shared" si="13"/>
        <v>5895.71</v>
      </c>
    </row>
    <row r="36" spans="1:36" s="232" customFormat="1">
      <c r="A36" s="283"/>
      <c r="B36" s="283" t="s">
        <v>110</v>
      </c>
      <c r="C36" s="667" t="s">
        <v>528</v>
      </c>
      <c r="D36" s="123" t="s">
        <v>407</v>
      </c>
      <c r="E36" s="679"/>
      <c r="F36" s="529">
        <f>VLOOKUP(D36,'Nov 2012 Revenue'!D:T,17,FALSE)</f>
        <v>502.69999999999982</v>
      </c>
      <c r="G36" s="680"/>
      <c r="H36" s="680"/>
      <c r="I36" s="755"/>
      <c r="J36" s="682">
        <f t="shared" si="0"/>
        <v>502.69999999999982</v>
      </c>
      <c r="K36" s="683"/>
      <c r="L36" s="684"/>
      <c r="M36" s="753"/>
      <c r="N36" s="683">
        <v>0</v>
      </c>
      <c r="O36" s="686"/>
      <c r="P36" s="683">
        <v>0</v>
      </c>
      <c r="Q36" s="687">
        <f t="shared" si="1"/>
        <v>0</v>
      </c>
      <c r="R36" s="688">
        <v>2859</v>
      </c>
      <c r="S36" s="693"/>
      <c r="T36" s="690">
        <f t="shared" si="2"/>
        <v>2859</v>
      </c>
      <c r="U36" s="683"/>
      <c r="V36" s="474">
        <f t="shared" si="3"/>
        <v>0</v>
      </c>
      <c r="W36" s="474">
        <f t="shared" si="4"/>
        <v>0</v>
      </c>
      <c r="X36" s="475">
        <f t="shared" si="5"/>
        <v>0</v>
      </c>
      <c r="Y36" s="475">
        <v>0</v>
      </c>
      <c r="Z36" s="476">
        <v>0</v>
      </c>
      <c r="AA36" s="38">
        <f t="shared" si="6"/>
        <v>0</v>
      </c>
      <c r="AB36" s="692">
        <f t="shared" si="7"/>
        <v>502.69999999999982</v>
      </c>
      <c r="AC36" s="692">
        <f t="shared" si="8"/>
        <v>0</v>
      </c>
      <c r="AD36" s="692">
        <f t="shared" si="9"/>
        <v>0</v>
      </c>
      <c r="AE36" s="38"/>
      <c r="AF36" s="692">
        <f t="shared" si="10"/>
        <v>0</v>
      </c>
      <c r="AG36" s="692">
        <f t="shared" si="11"/>
        <v>0</v>
      </c>
      <c r="AH36" s="692">
        <f t="shared" si="12"/>
        <v>0</v>
      </c>
      <c r="AJ36" s="38">
        <f t="shared" si="13"/>
        <v>502.69999999999982</v>
      </c>
    </row>
    <row r="37" spans="1:36" s="232" customFormat="1">
      <c r="A37" s="283"/>
      <c r="B37" s="283" t="s">
        <v>110</v>
      </c>
      <c r="C37" s="667" t="s">
        <v>528</v>
      </c>
      <c r="D37" s="123" t="s">
        <v>880</v>
      </c>
      <c r="E37" s="679"/>
      <c r="F37" s="529">
        <f>VLOOKUP(D37,'Nov 2012 Revenue'!D:T,17,FALSE)</f>
        <v>1419.97</v>
      </c>
      <c r="G37" s="680"/>
      <c r="H37" s="680"/>
      <c r="I37" s="755"/>
      <c r="J37" s="682">
        <f t="shared" si="0"/>
        <v>1419.97</v>
      </c>
      <c r="K37" s="683"/>
      <c r="L37" s="684"/>
      <c r="M37" s="753"/>
      <c r="N37" s="683">
        <v>0</v>
      </c>
      <c r="O37" s="686"/>
      <c r="P37" s="683">
        <v>0</v>
      </c>
      <c r="Q37" s="687">
        <f t="shared" si="1"/>
        <v>0</v>
      </c>
      <c r="R37" s="688">
        <v>2137.61</v>
      </c>
      <c r="S37" s="693"/>
      <c r="T37" s="690">
        <f t="shared" si="2"/>
        <v>2137.61</v>
      </c>
      <c r="U37" s="683"/>
      <c r="V37" s="474">
        <f t="shared" si="3"/>
        <v>0</v>
      </c>
      <c r="W37" s="474">
        <f t="shared" si="4"/>
        <v>0</v>
      </c>
      <c r="X37" s="475">
        <f t="shared" si="5"/>
        <v>0</v>
      </c>
      <c r="Y37" s="475">
        <v>0</v>
      </c>
      <c r="Z37" s="476">
        <v>0</v>
      </c>
      <c r="AA37" s="38">
        <f t="shared" si="6"/>
        <v>0</v>
      </c>
      <c r="AB37" s="692">
        <f t="shared" si="7"/>
        <v>1419.97</v>
      </c>
      <c r="AC37" s="692">
        <f t="shared" si="8"/>
        <v>0</v>
      </c>
      <c r="AD37" s="692">
        <f t="shared" si="9"/>
        <v>0</v>
      </c>
      <c r="AE37" s="38"/>
      <c r="AF37" s="692">
        <f t="shared" si="10"/>
        <v>0</v>
      </c>
      <c r="AG37" s="692">
        <f t="shared" si="11"/>
        <v>0</v>
      </c>
      <c r="AH37" s="692">
        <f t="shared" si="12"/>
        <v>0</v>
      </c>
      <c r="AJ37" s="38">
        <f t="shared" ref="AJ37:AJ38" si="15">SUM(AB37:AH37)</f>
        <v>1419.97</v>
      </c>
    </row>
    <row r="38" spans="1:36" s="232" customFormat="1">
      <c r="A38" s="283"/>
      <c r="B38" s="283" t="s">
        <v>110</v>
      </c>
      <c r="C38" s="667" t="s">
        <v>528</v>
      </c>
      <c r="D38" s="123" t="s">
        <v>881</v>
      </c>
      <c r="E38" s="679"/>
      <c r="F38" s="529">
        <f>VLOOKUP(D38,'Nov 2012 Revenue'!D:T,17,FALSE)</f>
        <v>1399.29</v>
      </c>
      <c r="G38" s="680"/>
      <c r="H38" s="680"/>
      <c r="I38" s="755"/>
      <c r="J38" s="682">
        <f t="shared" si="0"/>
        <v>1399.29</v>
      </c>
      <c r="K38" s="683"/>
      <c r="L38" s="684"/>
      <c r="M38" s="753"/>
      <c r="N38" s="683">
        <v>0</v>
      </c>
      <c r="O38" s="686"/>
      <c r="P38" s="683">
        <v>0</v>
      </c>
      <c r="Q38" s="687">
        <f t="shared" si="1"/>
        <v>0</v>
      </c>
      <c r="R38" s="688">
        <v>1753.51</v>
      </c>
      <c r="S38" s="693"/>
      <c r="T38" s="690">
        <f t="shared" si="2"/>
        <v>1753.51</v>
      </c>
      <c r="U38" s="683"/>
      <c r="V38" s="474">
        <f t="shared" si="3"/>
        <v>0</v>
      </c>
      <c r="W38" s="474">
        <f t="shared" si="4"/>
        <v>0</v>
      </c>
      <c r="X38" s="475">
        <f t="shared" si="5"/>
        <v>0</v>
      </c>
      <c r="Y38" s="475">
        <v>0</v>
      </c>
      <c r="Z38" s="476">
        <v>0</v>
      </c>
      <c r="AA38" s="38">
        <f t="shared" si="6"/>
        <v>0</v>
      </c>
      <c r="AB38" s="692">
        <f t="shared" si="7"/>
        <v>1399.29</v>
      </c>
      <c r="AC38" s="692">
        <f t="shared" si="8"/>
        <v>0</v>
      </c>
      <c r="AD38" s="692">
        <f t="shared" si="9"/>
        <v>0</v>
      </c>
      <c r="AE38" s="38"/>
      <c r="AF38" s="692">
        <f t="shared" si="10"/>
        <v>0</v>
      </c>
      <c r="AG38" s="692">
        <f t="shared" si="11"/>
        <v>0</v>
      </c>
      <c r="AH38" s="692">
        <f t="shared" si="12"/>
        <v>0</v>
      </c>
      <c r="AJ38" s="38">
        <f t="shared" si="15"/>
        <v>1399.29</v>
      </c>
    </row>
    <row r="39" spans="1:36" s="232" customFormat="1">
      <c r="A39" s="283"/>
      <c r="B39" s="283" t="s">
        <v>110</v>
      </c>
      <c r="C39" s="667" t="s">
        <v>528</v>
      </c>
      <c r="D39" s="123" t="s">
        <v>820</v>
      </c>
      <c r="E39" s="679"/>
      <c r="F39" s="529">
        <f>VLOOKUP(D39,'Nov 2012 Revenue'!D:T,17,FALSE)</f>
        <v>6986.75</v>
      </c>
      <c r="G39" s="680"/>
      <c r="H39" s="680"/>
      <c r="I39" s="755"/>
      <c r="J39" s="682">
        <f t="shared" si="0"/>
        <v>6986.75</v>
      </c>
      <c r="K39" s="683"/>
      <c r="L39" s="684"/>
      <c r="M39" s="753">
        <v>14000</v>
      </c>
      <c r="N39" s="683">
        <v>0</v>
      </c>
      <c r="O39" s="686"/>
      <c r="P39" s="683">
        <v>0</v>
      </c>
      <c r="Q39" s="687">
        <f t="shared" si="1"/>
        <v>14000</v>
      </c>
      <c r="R39" s="688">
        <v>22239.66</v>
      </c>
      <c r="S39" s="693"/>
      <c r="T39" s="690">
        <f t="shared" si="2"/>
        <v>8239.66</v>
      </c>
      <c r="U39" s="683"/>
      <c r="V39" s="474">
        <f t="shared" si="3"/>
        <v>14000</v>
      </c>
      <c r="W39" s="474">
        <f t="shared" si="4"/>
        <v>0</v>
      </c>
      <c r="X39" s="475">
        <f t="shared" si="5"/>
        <v>0</v>
      </c>
      <c r="Y39" s="475">
        <v>0</v>
      </c>
      <c r="Z39" s="476">
        <v>0</v>
      </c>
      <c r="AA39" s="38">
        <f t="shared" si="6"/>
        <v>0</v>
      </c>
      <c r="AB39" s="692">
        <f t="shared" si="7"/>
        <v>6986.75</v>
      </c>
      <c r="AC39" s="692">
        <f t="shared" si="8"/>
        <v>0</v>
      </c>
      <c r="AD39" s="692">
        <f t="shared" si="9"/>
        <v>0</v>
      </c>
      <c r="AE39" s="38"/>
      <c r="AF39" s="692">
        <f t="shared" si="10"/>
        <v>14000</v>
      </c>
      <c r="AG39" s="692">
        <f t="shared" si="11"/>
        <v>0</v>
      </c>
      <c r="AH39" s="692">
        <f t="shared" si="12"/>
        <v>0</v>
      </c>
      <c r="AJ39" s="38">
        <f t="shared" si="13"/>
        <v>20986.75</v>
      </c>
    </row>
    <row r="40" spans="1:36" s="232" customFormat="1">
      <c r="A40" s="283"/>
      <c r="B40" s="283" t="s">
        <v>110</v>
      </c>
      <c r="C40" s="667" t="s">
        <v>527</v>
      </c>
      <c r="D40" s="123" t="s">
        <v>460</v>
      </c>
      <c r="E40" s="679"/>
      <c r="F40" s="529">
        <f>VLOOKUP(D40,'Nov 2012 Revenue'!D:T,17,FALSE)</f>
        <v>0</v>
      </c>
      <c r="G40" s="680"/>
      <c r="H40" s="680"/>
      <c r="I40" s="770">
        <v>69914.05</v>
      </c>
      <c r="J40" s="682">
        <f t="shared" si="0"/>
        <v>69914.05</v>
      </c>
      <c r="K40" s="683"/>
      <c r="L40" s="684"/>
      <c r="M40" s="753"/>
      <c r="N40" s="683">
        <v>0</v>
      </c>
      <c r="O40" s="686"/>
      <c r="P40" s="683">
        <v>0</v>
      </c>
      <c r="Q40" s="687">
        <f t="shared" si="1"/>
        <v>0</v>
      </c>
      <c r="R40" s="688">
        <v>0</v>
      </c>
      <c r="S40" s="693"/>
      <c r="T40" s="690">
        <f t="shared" si="2"/>
        <v>0</v>
      </c>
      <c r="U40" s="683"/>
      <c r="V40" s="474">
        <f t="shared" si="3"/>
        <v>0</v>
      </c>
      <c r="W40" s="474">
        <f t="shared" si="4"/>
        <v>0</v>
      </c>
      <c r="X40" s="475">
        <f t="shared" si="5"/>
        <v>0</v>
      </c>
      <c r="Y40" s="475">
        <v>0</v>
      </c>
      <c r="Z40" s="476">
        <v>0</v>
      </c>
      <c r="AA40" s="38">
        <f t="shared" si="6"/>
        <v>0</v>
      </c>
      <c r="AB40" s="692">
        <f t="shared" si="7"/>
        <v>69914.05</v>
      </c>
      <c r="AC40" s="692">
        <f t="shared" si="8"/>
        <v>0</v>
      </c>
      <c r="AD40" s="692">
        <f t="shared" si="9"/>
        <v>0</v>
      </c>
      <c r="AE40" s="38"/>
      <c r="AF40" s="692">
        <f t="shared" si="10"/>
        <v>0</v>
      </c>
      <c r="AG40" s="692">
        <f t="shared" si="11"/>
        <v>0</v>
      </c>
      <c r="AH40" s="692">
        <f t="shared" si="12"/>
        <v>0</v>
      </c>
      <c r="AJ40" s="38">
        <f t="shared" si="13"/>
        <v>69914.05</v>
      </c>
    </row>
    <row r="41" spans="1:36" s="232" customFormat="1">
      <c r="A41" s="283"/>
      <c r="B41" s="283" t="s">
        <v>110</v>
      </c>
      <c r="C41" s="676" t="s">
        <v>528</v>
      </c>
      <c r="D41" s="123" t="s">
        <v>623</v>
      </c>
      <c r="E41" s="679"/>
      <c r="F41" s="529">
        <f>VLOOKUP(D41,'Nov 2012 Revenue'!D:T,17,FALSE)</f>
        <v>0</v>
      </c>
      <c r="G41" s="680"/>
      <c r="H41" s="680"/>
      <c r="I41" s="770">
        <v>17917.849999999999</v>
      </c>
      <c r="J41" s="682">
        <f t="shared" si="0"/>
        <v>17917.849999999999</v>
      </c>
      <c r="K41" s="683"/>
      <c r="L41" s="684"/>
      <c r="M41" s="753"/>
      <c r="N41" s="683">
        <v>0</v>
      </c>
      <c r="O41" s="686"/>
      <c r="P41" s="683">
        <v>0</v>
      </c>
      <c r="Q41" s="687">
        <f t="shared" si="1"/>
        <v>0</v>
      </c>
      <c r="R41" s="688">
        <v>0</v>
      </c>
      <c r="S41" s="693"/>
      <c r="T41" s="690">
        <f t="shared" si="2"/>
        <v>0</v>
      </c>
      <c r="U41" s="683"/>
      <c r="V41" s="474">
        <f t="shared" si="3"/>
        <v>0</v>
      </c>
      <c r="W41" s="474">
        <f t="shared" si="4"/>
        <v>0</v>
      </c>
      <c r="X41" s="475">
        <f t="shared" si="5"/>
        <v>0</v>
      </c>
      <c r="Y41" s="475">
        <v>0</v>
      </c>
      <c r="Z41" s="476">
        <v>0</v>
      </c>
      <c r="AA41" s="38">
        <f t="shared" si="6"/>
        <v>0</v>
      </c>
      <c r="AB41" s="692">
        <f t="shared" si="7"/>
        <v>17917.849999999999</v>
      </c>
      <c r="AC41" s="692">
        <f t="shared" si="8"/>
        <v>0</v>
      </c>
      <c r="AD41" s="692">
        <f t="shared" si="9"/>
        <v>0</v>
      </c>
      <c r="AE41" s="38"/>
      <c r="AF41" s="692">
        <f t="shared" si="10"/>
        <v>0</v>
      </c>
      <c r="AG41" s="692">
        <f t="shared" si="11"/>
        <v>0</v>
      </c>
      <c r="AH41" s="692">
        <f t="shared" si="12"/>
        <v>0</v>
      </c>
      <c r="AJ41" s="38">
        <f t="shared" si="13"/>
        <v>17917.849999999999</v>
      </c>
    </row>
    <row r="42" spans="1:36" s="232" customFormat="1">
      <c r="A42" s="403"/>
      <c r="B42" s="403" t="s">
        <v>114</v>
      </c>
      <c r="C42" s="666" t="s">
        <v>529</v>
      </c>
      <c r="D42" s="123" t="s">
        <v>108</v>
      </c>
      <c r="E42" s="679"/>
      <c r="F42" s="529">
        <f>VLOOKUP(D42,'Nov 2012 Revenue'!D:T,17,FALSE)</f>
        <v>91.390000000000327</v>
      </c>
      <c r="G42" s="680"/>
      <c r="H42" s="680"/>
      <c r="I42" s="755"/>
      <c r="J42" s="682">
        <f t="shared" si="0"/>
        <v>91.390000000000327</v>
      </c>
      <c r="K42" s="683"/>
      <c r="L42" s="684"/>
      <c r="M42" s="753">
        <v>5000</v>
      </c>
      <c r="N42" s="683">
        <v>0</v>
      </c>
      <c r="O42" s="686"/>
      <c r="P42" s="683">
        <v>0</v>
      </c>
      <c r="Q42" s="687">
        <f t="shared" si="1"/>
        <v>5000</v>
      </c>
      <c r="R42" s="688">
        <v>8726.4599999999991</v>
      </c>
      <c r="S42" s="693"/>
      <c r="T42" s="690">
        <f t="shared" si="2"/>
        <v>3726.4599999999991</v>
      </c>
      <c r="U42" s="683"/>
      <c r="V42" s="474">
        <f t="shared" si="3"/>
        <v>0</v>
      </c>
      <c r="W42" s="474">
        <f t="shared" si="4"/>
        <v>0</v>
      </c>
      <c r="X42" s="475">
        <f t="shared" si="5"/>
        <v>5000</v>
      </c>
      <c r="Y42" s="475">
        <v>0</v>
      </c>
      <c r="Z42" s="476">
        <v>0</v>
      </c>
      <c r="AA42" s="38">
        <f t="shared" si="6"/>
        <v>0</v>
      </c>
      <c r="AB42" s="692">
        <f t="shared" si="7"/>
        <v>0</v>
      </c>
      <c r="AC42" s="692">
        <f t="shared" si="8"/>
        <v>0</v>
      </c>
      <c r="AD42" s="692">
        <f t="shared" si="9"/>
        <v>91.390000000000327</v>
      </c>
      <c r="AE42" s="38"/>
      <c r="AF42" s="692">
        <f t="shared" si="10"/>
        <v>0</v>
      </c>
      <c r="AG42" s="692">
        <f t="shared" si="11"/>
        <v>0</v>
      </c>
      <c r="AH42" s="692">
        <f t="shared" si="12"/>
        <v>5000</v>
      </c>
      <c r="AJ42" s="38">
        <f t="shared" si="13"/>
        <v>5091.3900000000003</v>
      </c>
    </row>
    <row r="43" spans="1:36">
      <c r="A43" s="21"/>
      <c r="B43" s="21" t="s">
        <v>110</v>
      </c>
      <c r="C43" s="666"/>
      <c r="D43" s="68" t="s">
        <v>234</v>
      </c>
      <c r="E43" s="679"/>
      <c r="F43" s="529">
        <f>VLOOKUP(D43,'Nov 2012 Revenue'!D:T,17,FALSE)</f>
        <v>0</v>
      </c>
      <c r="G43" s="680"/>
      <c r="H43" s="680"/>
      <c r="I43" s="755"/>
      <c r="J43" s="682">
        <f t="shared" si="0"/>
        <v>0</v>
      </c>
      <c r="K43" s="683"/>
      <c r="L43" s="684"/>
      <c r="M43" s="753"/>
      <c r="N43" s="683">
        <v>0</v>
      </c>
      <c r="O43" s="686"/>
      <c r="P43" s="683">
        <v>0</v>
      </c>
      <c r="Q43" s="687">
        <f t="shared" si="1"/>
        <v>0</v>
      </c>
      <c r="R43" s="688">
        <v>0</v>
      </c>
      <c r="S43" s="693"/>
      <c r="T43" s="690"/>
      <c r="U43" s="683"/>
      <c r="V43" s="474">
        <f t="shared" si="3"/>
        <v>0</v>
      </c>
      <c r="W43" s="474">
        <f t="shared" si="4"/>
        <v>0</v>
      </c>
      <c r="X43" s="475">
        <f t="shared" si="5"/>
        <v>0</v>
      </c>
      <c r="Y43" s="475">
        <v>0</v>
      </c>
      <c r="Z43" s="476">
        <v>0</v>
      </c>
      <c r="AA43" s="38">
        <f t="shared" si="6"/>
        <v>0</v>
      </c>
      <c r="AB43" s="692">
        <f t="shared" si="7"/>
        <v>0</v>
      </c>
      <c r="AC43" s="692">
        <f t="shared" si="8"/>
        <v>0</v>
      </c>
      <c r="AD43" s="692">
        <f t="shared" si="9"/>
        <v>0</v>
      </c>
      <c r="AE43" s="38"/>
      <c r="AF43" s="692">
        <f t="shared" si="10"/>
        <v>0</v>
      </c>
      <c r="AG43" s="692">
        <f t="shared" si="11"/>
        <v>0</v>
      </c>
      <c r="AH43" s="692">
        <f t="shared" si="12"/>
        <v>0</v>
      </c>
      <c r="AJ43" s="38">
        <f t="shared" si="13"/>
        <v>0</v>
      </c>
    </row>
    <row r="44" spans="1:36">
      <c r="A44" s="20"/>
      <c r="B44" s="20" t="s">
        <v>109</v>
      </c>
      <c r="C44" s="667"/>
      <c r="D44" s="68" t="s">
        <v>598</v>
      </c>
      <c r="E44" s="679"/>
      <c r="F44" s="529">
        <f>VLOOKUP(D44,'Nov 2012 Revenue'!D:T,17,FALSE)</f>
        <v>0</v>
      </c>
      <c r="G44" s="680"/>
      <c r="H44" s="680"/>
      <c r="I44" s="755"/>
      <c r="J44" s="682">
        <f t="shared" si="0"/>
        <v>0</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7"/>
        <v>0</v>
      </c>
      <c r="AC44" s="692">
        <f t="shared" si="8"/>
        <v>0</v>
      </c>
      <c r="AD44" s="692">
        <f t="shared" si="9"/>
        <v>0</v>
      </c>
      <c r="AE44" s="38"/>
      <c r="AF44" s="692">
        <f t="shared" si="10"/>
        <v>0</v>
      </c>
      <c r="AG44" s="692">
        <f t="shared" si="11"/>
        <v>0</v>
      </c>
      <c r="AH44" s="692">
        <f t="shared" si="12"/>
        <v>0</v>
      </c>
      <c r="AJ44" s="38">
        <f t="shared" si="13"/>
        <v>0</v>
      </c>
    </row>
    <row r="45" spans="1:36">
      <c r="A45" s="20"/>
      <c r="B45" s="20" t="s">
        <v>110</v>
      </c>
      <c r="C45" s="667"/>
      <c r="D45" s="68" t="s">
        <v>311</v>
      </c>
      <c r="E45" s="679"/>
      <c r="F45" s="529">
        <f>VLOOKUP(D45,'Nov 2012 Revenue'!D:T,17,FALSE)</f>
        <v>0</v>
      </c>
      <c r="G45" s="680"/>
      <c r="H45" s="680"/>
      <c r="I45" s="755"/>
      <c r="J45" s="682">
        <f t="shared" si="0"/>
        <v>0</v>
      </c>
      <c r="K45" s="683"/>
      <c r="L45" s="684"/>
      <c r="M45" s="753"/>
      <c r="N45" s="683">
        <v>0</v>
      </c>
      <c r="O45" s="686"/>
      <c r="P45" s="683">
        <v>0</v>
      </c>
      <c r="Q45" s="687">
        <f t="shared" si="1"/>
        <v>0</v>
      </c>
      <c r="R45" s="688">
        <v>0</v>
      </c>
      <c r="S45" s="693"/>
      <c r="T45" s="690">
        <f t="shared" si="2"/>
        <v>0</v>
      </c>
      <c r="U45" s="683"/>
      <c r="V45" s="474">
        <f t="shared" si="3"/>
        <v>0</v>
      </c>
      <c r="W45" s="474">
        <f t="shared" si="4"/>
        <v>0</v>
      </c>
      <c r="X45" s="475">
        <f t="shared" si="5"/>
        <v>0</v>
      </c>
      <c r="Y45" s="475">
        <v>0</v>
      </c>
      <c r="Z45" s="476">
        <v>0</v>
      </c>
      <c r="AA45" s="38">
        <f t="shared" si="6"/>
        <v>0</v>
      </c>
      <c r="AB45" s="692">
        <f t="shared" si="7"/>
        <v>0</v>
      </c>
      <c r="AC45" s="692">
        <f t="shared" si="8"/>
        <v>0</v>
      </c>
      <c r="AD45" s="692">
        <f t="shared" si="9"/>
        <v>0</v>
      </c>
      <c r="AE45" s="38"/>
      <c r="AF45" s="692">
        <f t="shared" si="10"/>
        <v>0</v>
      </c>
      <c r="AG45" s="692">
        <f t="shared" si="11"/>
        <v>0</v>
      </c>
      <c r="AH45" s="692">
        <f t="shared" si="12"/>
        <v>0</v>
      </c>
      <c r="AJ45" s="38">
        <f t="shared" si="13"/>
        <v>0</v>
      </c>
    </row>
    <row r="46" spans="1:36">
      <c r="A46" s="20"/>
      <c r="B46" s="20" t="s">
        <v>110</v>
      </c>
      <c r="C46" s="667"/>
      <c r="D46" s="68" t="s">
        <v>451</v>
      </c>
      <c r="E46" s="679">
        <f>160308.35-F46</f>
        <v>140014.22</v>
      </c>
      <c r="F46" s="529">
        <f>VLOOKUP(D46,'Nov 2012 Revenue'!D:T,17,FALSE)</f>
        <v>20294.13</v>
      </c>
      <c r="G46" s="680"/>
      <c r="H46" s="680"/>
      <c r="I46" s="755"/>
      <c r="J46" s="682">
        <f t="shared" si="0"/>
        <v>160308.35</v>
      </c>
      <c r="K46" s="683"/>
      <c r="L46" s="684"/>
      <c r="M46" s="753">
        <v>15000</v>
      </c>
      <c r="N46" s="683">
        <v>0</v>
      </c>
      <c r="O46" s="686"/>
      <c r="P46" s="683">
        <v>0</v>
      </c>
      <c r="Q46" s="687">
        <f t="shared" si="1"/>
        <v>15000</v>
      </c>
      <c r="R46" s="688">
        <v>0</v>
      </c>
      <c r="S46" s="693"/>
      <c r="T46" s="690">
        <f t="shared" si="2"/>
        <v>-15000</v>
      </c>
      <c r="U46" s="683"/>
      <c r="V46" s="474">
        <f t="shared" si="3"/>
        <v>15000</v>
      </c>
      <c r="W46" s="474">
        <f t="shared" si="4"/>
        <v>0</v>
      </c>
      <c r="X46" s="475">
        <f t="shared" si="5"/>
        <v>0</v>
      </c>
      <c r="Y46" s="475">
        <v>0</v>
      </c>
      <c r="Z46" s="476">
        <v>0</v>
      </c>
      <c r="AA46" s="38">
        <f t="shared" si="6"/>
        <v>0</v>
      </c>
      <c r="AB46" s="692">
        <f t="shared" si="7"/>
        <v>160308.35</v>
      </c>
      <c r="AC46" s="692">
        <f t="shared" si="8"/>
        <v>0</v>
      </c>
      <c r="AD46" s="692">
        <f t="shared" si="9"/>
        <v>0</v>
      </c>
      <c r="AE46" s="38"/>
      <c r="AF46" s="692">
        <f t="shared" si="10"/>
        <v>15000</v>
      </c>
      <c r="AG46" s="692">
        <f t="shared" si="11"/>
        <v>0</v>
      </c>
      <c r="AH46" s="692">
        <f t="shared" si="12"/>
        <v>0</v>
      </c>
      <c r="AJ46" s="38">
        <f t="shared" si="13"/>
        <v>175308.35</v>
      </c>
    </row>
    <row r="47" spans="1:36">
      <c r="A47" s="20"/>
      <c r="B47" s="20" t="s">
        <v>109</v>
      </c>
      <c r="C47" s="667"/>
      <c r="D47" s="68" t="s">
        <v>469</v>
      </c>
      <c r="E47" s="679">
        <v>5441.02</v>
      </c>
      <c r="F47" s="529">
        <f>VLOOKUP(D47,'Nov 2012 Revenue'!D:T,17,FALSE)</f>
        <v>7910.7</v>
      </c>
      <c r="G47" s="680"/>
      <c r="H47" s="680"/>
      <c r="I47" s="770">
        <v>6757.98</v>
      </c>
      <c r="J47" s="682">
        <f t="shared" si="0"/>
        <v>20109.7</v>
      </c>
      <c r="K47" s="683"/>
      <c r="L47" s="684"/>
      <c r="M47" s="753"/>
      <c r="N47" s="683">
        <v>0</v>
      </c>
      <c r="O47" s="686"/>
      <c r="P47" s="683">
        <v>0</v>
      </c>
      <c r="Q47" s="687">
        <f t="shared" si="1"/>
        <v>0</v>
      </c>
      <c r="R47" s="688">
        <v>0</v>
      </c>
      <c r="S47" s="693"/>
      <c r="T47" s="690">
        <f t="shared" si="2"/>
        <v>0</v>
      </c>
      <c r="U47" s="683"/>
      <c r="V47" s="474">
        <f t="shared" si="3"/>
        <v>0</v>
      </c>
      <c r="W47" s="474">
        <f t="shared" si="4"/>
        <v>0</v>
      </c>
      <c r="X47" s="475">
        <f t="shared" si="5"/>
        <v>0</v>
      </c>
      <c r="Y47" s="475">
        <v>0</v>
      </c>
      <c r="Z47" s="476">
        <v>0</v>
      </c>
      <c r="AA47" s="38">
        <f t="shared" si="6"/>
        <v>0</v>
      </c>
      <c r="AB47" s="692">
        <f t="shared" si="7"/>
        <v>0</v>
      </c>
      <c r="AC47" s="692">
        <f t="shared" si="8"/>
        <v>20109.7</v>
      </c>
      <c r="AD47" s="692">
        <f t="shared" si="9"/>
        <v>0</v>
      </c>
      <c r="AE47" s="38"/>
      <c r="AF47" s="692">
        <f t="shared" si="10"/>
        <v>0</v>
      </c>
      <c r="AG47" s="692">
        <f t="shared" si="11"/>
        <v>0</v>
      </c>
      <c r="AH47" s="692">
        <f t="shared" si="12"/>
        <v>0</v>
      </c>
      <c r="AJ47" s="38">
        <f t="shared" si="13"/>
        <v>20109.7</v>
      </c>
    </row>
    <row r="48" spans="1:36">
      <c r="A48" s="20"/>
      <c r="B48" s="20" t="s">
        <v>110</v>
      </c>
      <c r="C48" s="667" t="s">
        <v>530</v>
      </c>
      <c r="D48" s="68" t="s">
        <v>69</v>
      </c>
      <c r="E48" s="679"/>
      <c r="F48" s="529">
        <f>VLOOKUP(D48,'Nov 2012 Revenue'!D:T,17,FALSE)</f>
        <v>2587.64</v>
      </c>
      <c r="G48" s="680"/>
      <c r="H48" s="680"/>
      <c r="I48" s="755"/>
      <c r="J48" s="682">
        <f t="shared" si="0"/>
        <v>2587.64</v>
      </c>
      <c r="K48" s="683"/>
      <c r="L48" s="684"/>
      <c r="M48" s="753"/>
      <c r="N48" s="683">
        <v>0</v>
      </c>
      <c r="O48" s="686"/>
      <c r="P48" s="683">
        <v>0</v>
      </c>
      <c r="Q48" s="687">
        <f t="shared" si="1"/>
        <v>0</v>
      </c>
      <c r="R48" s="688">
        <v>2690.08</v>
      </c>
      <c r="S48" s="693"/>
      <c r="T48" s="690">
        <f t="shared" si="2"/>
        <v>2690.08</v>
      </c>
      <c r="U48" s="683"/>
      <c r="V48" s="474">
        <f t="shared" si="3"/>
        <v>0</v>
      </c>
      <c r="W48" s="474">
        <f t="shared" si="4"/>
        <v>0</v>
      </c>
      <c r="X48" s="475">
        <f t="shared" si="5"/>
        <v>0</v>
      </c>
      <c r="Y48" s="475">
        <v>0</v>
      </c>
      <c r="Z48" s="476">
        <v>0</v>
      </c>
      <c r="AA48" s="38">
        <f t="shared" si="6"/>
        <v>0</v>
      </c>
      <c r="AB48" s="692">
        <f t="shared" si="7"/>
        <v>2587.64</v>
      </c>
      <c r="AC48" s="692">
        <f t="shared" si="8"/>
        <v>0</v>
      </c>
      <c r="AD48" s="692">
        <f t="shared" si="9"/>
        <v>0</v>
      </c>
      <c r="AE48" s="38"/>
      <c r="AF48" s="692">
        <f t="shared" si="10"/>
        <v>0</v>
      </c>
      <c r="AG48" s="692">
        <f t="shared" si="11"/>
        <v>0</v>
      </c>
      <c r="AH48" s="692">
        <f t="shared" si="12"/>
        <v>0</v>
      </c>
      <c r="AJ48" s="38">
        <f t="shared" si="13"/>
        <v>2587.64</v>
      </c>
    </row>
    <row r="49" spans="1:36">
      <c r="A49" s="20"/>
      <c r="B49" s="20" t="s">
        <v>110</v>
      </c>
      <c r="C49" s="667" t="s">
        <v>531</v>
      </c>
      <c r="D49" s="68" t="s">
        <v>237</v>
      </c>
      <c r="E49" s="679"/>
      <c r="F49" s="529">
        <f>VLOOKUP(D49,'Nov 2012 Revenue'!D:T,17,FALSE)</f>
        <v>-1035.6200000000008</v>
      </c>
      <c r="G49" s="680"/>
      <c r="H49" s="680"/>
      <c r="I49" s="770">
        <v>12846.77</v>
      </c>
      <c r="J49" s="682">
        <f t="shared" si="0"/>
        <v>11811.15</v>
      </c>
      <c r="K49" s="683"/>
      <c r="L49" s="684"/>
      <c r="M49" s="753"/>
      <c r="N49" s="683">
        <v>0</v>
      </c>
      <c r="O49" s="686"/>
      <c r="P49" s="683">
        <v>0</v>
      </c>
      <c r="Q49" s="687">
        <f t="shared" si="1"/>
        <v>0</v>
      </c>
      <c r="R49" s="688">
        <v>0</v>
      </c>
      <c r="S49" s="693"/>
      <c r="T49" s="690">
        <f t="shared" si="2"/>
        <v>0</v>
      </c>
      <c r="U49" s="683"/>
      <c r="V49" s="474">
        <f t="shared" si="3"/>
        <v>0</v>
      </c>
      <c r="W49" s="474">
        <f t="shared" si="4"/>
        <v>0</v>
      </c>
      <c r="X49" s="475">
        <f t="shared" si="5"/>
        <v>0</v>
      </c>
      <c r="Y49" s="475">
        <v>0</v>
      </c>
      <c r="Z49" s="476">
        <v>0</v>
      </c>
      <c r="AA49" s="38">
        <f t="shared" si="6"/>
        <v>0</v>
      </c>
      <c r="AB49" s="692">
        <f t="shared" si="7"/>
        <v>11811.15</v>
      </c>
      <c r="AC49" s="692">
        <f t="shared" si="8"/>
        <v>0</v>
      </c>
      <c r="AD49" s="692">
        <f t="shared" si="9"/>
        <v>0</v>
      </c>
      <c r="AE49" s="38"/>
      <c r="AF49" s="692">
        <f t="shared" si="10"/>
        <v>0</v>
      </c>
      <c r="AG49" s="692">
        <f t="shared" si="11"/>
        <v>0</v>
      </c>
      <c r="AH49" s="692">
        <f t="shared" si="12"/>
        <v>0</v>
      </c>
      <c r="AJ49" s="38">
        <f t="shared" si="13"/>
        <v>11811.15</v>
      </c>
    </row>
    <row r="50" spans="1:36">
      <c r="A50" s="20" t="s">
        <v>211</v>
      </c>
      <c r="B50" s="20" t="s">
        <v>110</v>
      </c>
      <c r="C50" s="667" t="s">
        <v>532</v>
      </c>
      <c r="D50" s="68" t="s">
        <v>7</v>
      </c>
      <c r="E50" s="679"/>
      <c r="F50" s="529">
        <f>VLOOKUP(D50,'Nov 2012 Revenue'!D:T,17,FALSE)</f>
        <v>-20000</v>
      </c>
      <c r="G50" s="680"/>
      <c r="H50" s="680"/>
      <c r="I50" s="755"/>
      <c r="J50" s="682">
        <f t="shared" si="0"/>
        <v>-20000</v>
      </c>
      <c r="K50" s="683"/>
      <c r="L50" s="684"/>
      <c r="M50" s="753">
        <v>30000</v>
      </c>
      <c r="N50" s="683">
        <v>0</v>
      </c>
      <c r="O50" s="686"/>
      <c r="P50" s="683">
        <v>0</v>
      </c>
      <c r="Q50" s="687">
        <f t="shared" si="1"/>
        <v>30000</v>
      </c>
      <c r="R50" s="688">
        <v>33718.910000000003</v>
      </c>
      <c r="S50" s="693"/>
      <c r="T50" s="690">
        <f t="shared" si="2"/>
        <v>3718.9100000000035</v>
      </c>
      <c r="U50" s="697"/>
      <c r="V50" s="474">
        <f t="shared" si="3"/>
        <v>30000</v>
      </c>
      <c r="W50" s="474">
        <f t="shared" si="4"/>
        <v>0</v>
      </c>
      <c r="X50" s="475">
        <f t="shared" si="5"/>
        <v>0</v>
      </c>
      <c r="Y50" s="475">
        <v>0</v>
      </c>
      <c r="Z50" s="476">
        <v>0</v>
      </c>
      <c r="AA50" s="38">
        <f t="shared" si="6"/>
        <v>0</v>
      </c>
      <c r="AB50" s="692">
        <f t="shared" si="7"/>
        <v>-20000</v>
      </c>
      <c r="AC50" s="692">
        <f t="shared" si="8"/>
        <v>0</v>
      </c>
      <c r="AD50" s="692">
        <f t="shared" si="9"/>
        <v>0</v>
      </c>
      <c r="AE50" s="38"/>
      <c r="AF50" s="692">
        <f t="shared" si="10"/>
        <v>30000</v>
      </c>
      <c r="AG50" s="692">
        <f t="shared" si="11"/>
        <v>0</v>
      </c>
      <c r="AH50" s="692">
        <f t="shared" si="12"/>
        <v>0</v>
      </c>
      <c r="AJ50" s="38">
        <f t="shared" si="13"/>
        <v>10000</v>
      </c>
    </row>
    <row r="51" spans="1:36" s="232" customFormat="1" hidden="1">
      <c r="A51" s="283" t="s">
        <v>97</v>
      </c>
      <c r="B51" s="283" t="s">
        <v>109</v>
      </c>
      <c r="C51" s="667" t="s">
        <v>533</v>
      </c>
      <c r="D51" s="123" t="s">
        <v>415</v>
      </c>
      <c r="E51" s="679"/>
      <c r="F51" s="529">
        <f>VLOOKUP(D51,'Nov 2012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c r="AJ51" s="38">
        <f t="shared" si="13"/>
        <v>0</v>
      </c>
    </row>
    <row r="52" spans="1:36" s="232" customFormat="1" hidden="1">
      <c r="A52" s="283"/>
      <c r="B52" s="283" t="s">
        <v>109</v>
      </c>
      <c r="C52" s="667" t="s">
        <v>533</v>
      </c>
      <c r="D52" s="123" t="s">
        <v>416</v>
      </c>
      <c r="E52" s="679"/>
      <c r="F52" s="529">
        <f>VLOOKUP(D52,'Nov 2012 Revenue'!D:T,17,FALSE)</f>
        <v>0</v>
      </c>
      <c r="G52" s="680"/>
      <c r="H52" s="680"/>
      <c r="I52" s="755"/>
      <c r="J52" s="682">
        <f t="shared" si="0"/>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8"/>
        <v>0</v>
      </c>
      <c r="AD52" s="692">
        <f t="shared" si="9"/>
        <v>0</v>
      </c>
      <c r="AE52" s="38"/>
      <c r="AF52" s="692">
        <f t="shared" si="10"/>
        <v>0</v>
      </c>
      <c r="AG52" s="692">
        <f t="shared" si="11"/>
        <v>0</v>
      </c>
      <c r="AH52" s="692">
        <f t="shared" si="12"/>
        <v>0</v>
      </c>
      <c r="AJ52" s="38">
        <f t="shared" si="13"/>
        <v>0</v>
      </c>
    </row>
    <row r="53" spans="1:36" s="232" customFormat="1" hidden="1">
      <c r="A53" s="283"/>
      <c r="B53" s="283" t="s">
        <v>109</v>
      </c>
      <c r="C53" s="667" t="s">
        <v>533</v>
      </c>
      <c r="D53" s="123" t="s">
        <v>417</v>
      </c>
      <c r="E53" s="679"/>
      <c r="F53" s="529">
        <f>VLOOKUP(D53,'Nov 2012 Revenue'!D:T,17,FALSE)</f>
        <v>0</v>
      </c>
      <c r="G53" s="680"/>
      <c r="H53" s="680"/>
      <c r="I53" s="755"/>
      <c r="J53" s="682">
        <f t="shared" si="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7"/>
        <v>0</v>
      </c>
      <c r="AC53" s="692">
        <f t="shared" si="8"/>
        <v>0</v>
      </c>
      <c r="AD53" s="692">
        <f t="shared" si="9"/>
        <v>0</v>
      </c>
      <c r="AE53" s="38"/>
      <c r="AF53" s="692">
        <f t="shared" si="10"/>
        <v>0</v>
      </c>
      <c r="AG53" s="692">
        <f t="shared" si="11"/>
        <v>0</v>
      </c>
      <c r="AH53" s="692">
        <f t="shared" si="12"/>
        <v>0</v>
      </c>
      <c r="AJ53" s="38">
        <f t="shared" si="13"/>
        <v>0</v>
      </c>
    </row>
    <row r="54" spans="1:36" s="232" customFormat="1" hidden="1">
      <c r="A54" s="283"/>
      <c r="B54" s="283" t="s">
        <v>109</v>
      </c>
      <c r="C54" s="667" t="s">
        <v>533</v>
      </c>
      <c r="D54" s="123" t="s">
        <v>418</v>
      </c>
      <c r="E54" s="679"/>
      <c r="F54" s="529">
        <f>VLOOKUP(D54,'Nov 2012 Revenue'!D:T,17,FALSE)</f>
        <v>0</v>
      </c>
      <c r="G54" s="680"/>
      <c r="H54" s="680"/>
      <c r="I54" s="755"/>
      <c r="J54" s="682">
        <f t="shared" si="0"/>
        <v>0</v>
      </c>
      <c r="K54" s="683"/>
      <c r="L54" s="684"/>
      <c r="M54" s="753"/>
      <c r="N54" s="683">
        <v>0</v>
      </c>
      <c r="O54" s="686"/>
      <c r="P54" s="683">
        <v>0</v>
      </c>
      <c r="Q54" s="687">
        <f t="shared" si="1"/>
        <v>0</v>
      </c>
      <c r="R54" s="688">
        <v>0</v>
      </c>
      <c r="S54" s="693"/>
      <c r="T54" s="690">
        <f t="shared" si="2"/>
        <v>0</v>
      </c>
      <c r="U54" s="683"/>
      <c r="V54" s="474">
        <f t="shared" si="3"/>
        <v>0</v>
      </c>
      <c r="W54" s="474">
        <f t="shared" si="4"/>
        <v>0</v>
      </c>
      <c r="X54" s="475">
        <f t="shared" si="5"/>
        <v>0</v>
      </c>
      <c r="Y54" s="475">
        <v>0</v>
      </c>
      <c r="Z54" s="476">
        <v>0</v>
      </c>
      <c r="AA54" s="38">
        <f t="shared" si="6"/>
        <v>0</v>
      </c>
      <c r="AB54" s="692">
        <f t="shared" si="7"/>
        <v>0</v>
      </c>
      <c r="AC54" s="692">
        <f t="shared" si="8"/>
        <v>0</v>
      </c>
      <c r="AD54" s="692">
        <f t="shared" si="9"/>
        <v>0</v>
      </c>
      <c r="AE54" s="38"/>
      <c r="AF54" s="692">
        <f t="shared" si="10"/>
        <v>0</v>
      </c>
      <c r="AG54" s="692">
        <f t="shared" si="11"/>
        <v>0</v>
      </c>
      <c r="AH54" s="692">
        <f t="shared" si="12"/>
        <v>0</v>
      </c>
      <c r="AJ54" s="38">
        <f t="shared" si="13"/>
        <v>0</v>
      </c>
    </row>
    <row r="55" spans="1:36">
      <c r="A55" s="20" t="s">
        <v>211</v>
      </c>
      <c r="B55" s="20" t="s">
        <v>109</v>
      </c>
      <c r="C55" s="667" t="s">
        <v>534</v>
      </c>
      <c r="D55" s="68" t="s">
        <v>9</v>
      </c>
      <c r="E55" s="679"/>
      <c r="F55" s="529">
        <f>VLOOKUP(D55,'Nov 2012 Revenue'!D:T,17,FALSE)</f>
        <v>-12000</v>
      </c>
      <c r="G55" s="680"/>
      <c r="H55" s="680"/>
      <c r="I55" s="755"/>
      <c r="J55" s="682">
        <f t="shared" si="0"/>
        <v>-12000</v>
      </c>
      <c r="K55" s="683"/>
      <c r="L55" s="684"/>
      <c r="M55" s="753">
        <v>15000</v>
      </c>
      <c r="N55" s="683">
        <v>0</v>
      </c>
      <c r="O55" s="686"/>
      <c r="P55" s="683">
        <v>0</v>
      </c>
      <c r="Q55" s="687">
        <f t="shared" si="1"/>
        <v>15000</v>
      </c>
      <c r="R55" s="688">
        <v>0</v>
      </c>
      <c r="S55" s="693"/>
      <c r="T55" s="690">
        <f t="shared" si="2"/>
        <v>-15000</v>
      </c>
      <c r="U55" s="697"/>
      <c r="V55" s="474">
        <f t="shared" si="3"/>
        <v>0</v>
      </c>
      <c r="W55" s="474">
        <f t="shared" si="4"/>
        <v>15000</v>
      </c>
      <c r="X55" s="475">
        <f t="shared" si="5"/>
        <v>0</v>
      </c>
      <c r="Y55" s="475">
        <v>0</v>
      </c>
      <c r="Z55" s="476">
        <v>0</v>
      </c>
      <c r="AA55" s="38">
        <f t="shared" si="6"/>
        <v>0</v>
      </c>
      <c r="AB55" s="692">
        <f t="shared" si="7"/>
        <v>0</v>
      </c>
      <c r="AC55" s="692">
        <f t="shared" si="8"/>
        <v>-12000</v>
      </c>
      <c r="AD55" s="692">
        <f t="shared" si="9"/>
        <v>0</v>
      </c>
      <c r="AE55" s="38"/>
      <c r="AF55" s="692">
        <f t="shared" si="10"/>
        <v>0</v>
      </c>
      <c r="AG55" s="692">
        <f t="shared" si="11"/>
        <v>15000</v>
      </c>
      <c r="AH55" s="692">
        <f t="shared" si="12"/>
        <v>0</v>
      </c>
      <c r="AJ55" s="38">
        <f t="shared" si="13"/>
        <v>3000</v>
      </c>
    </row>
    <row r="56" spans="1:36">
      <c r="A56" s="20" t="s">
        <v>211</v>
      </c>
      <c r="B56" s="20" t="s">
        <v>114</v>
      </c>
      <c r="C56" s="667"/>
      <c r="D56" s="68" t="s">
        <v>487</v>
      </c>
      <c r="E56" s="679"/>
      <c r="F56" s="529">
        <f>VLOOKUP(D56,'Nov 2012 Revenue'!D:T,17,FALSE)</f>
        <v>0</v>
      </c>
      <c r="G56" s="680"/>
      <c r="H56" s="680"/>
      <c r="I56" s="755"/>
      <c r="J56" s="682">
        <f t="shared" si="0"/>
        <v>0</v>
      </c>
      <c r="K56" s="683"/>
      <c r="L56" s="684"/>
      <c r="M56" s="753"/>
      <c r="N56" s="683">
        <v>0</v>
      </c>
      <c r="O56" s="686"/>
      <c r="P56" s="683">
        <v>0</v>
      </c>
      <c r="Q56" s="687">
        <f t="shared" si="1"/>
        <v>0</v>
      </c>
      <c r="R56" s="688">
        <v>0</v>
      </c>
      <c r="S56" s="693"/>
      <c r="T56" s="690">
        <f t="shared" si="2"/>
        <v>0</v>
      </c>
      <c r="U56" s="683"/>
      <c r="V56" s="474">
        <f t="shared" si="3"/>
        <v>0</v>
      </c>
      <c r="W56" s="474">
        <f t="shared" si="4"/>
        <v>0</v>
      </c>
      <c r="X56" s="475">
        <f t="shared" si="5"/>
        <v>0</v>
      </c>
      <c r="Y56" s="475">
        <v>0</v>
      </c>
      <c r="Z56" s="476">
        <v>0</v>
      </c>
      <c r="AA56" s="38">
        <f t="shared" si="6"/>
        <v>0</v>
      </c>
      <c r="AB56" s="692">
        <f t="shared" si="7"/>
        <v>0</v>
      </c>
      <c r="AC56" s="692">
        <f t="shared" si="8"/>
        <v>0</v>
      </c>
      <c r="AD56" s="692">
        <f t="shared" si="9"/>
        <v>0</v>
      </c>
      <c r="AE56" s="38"/>
      <c r="AF56" s="692">
        <f t="shared" si="10"/>
        <v>0</v>
      </c>
      <c r="AG56" s="692">
        <f t="shared" si="11"/>
        <v>0</v>
      </c>
      <c r="AH56" s="692">
        <f t="shared" si="12"/>
        <v>0</v>
      </c>
      <c r="AJ56" s="38">
        <f t="shared" si="13"/>
        <v>0</v>
      </c>
    </row>
    <row r="57" spans="1:36">
      <c r="A57" s="20"/>
      <c r="B57" s="20" t="s">
        <v>109</v>
      </c>
      <c r="C57" s="667"/>
      <c r="D57" s="68" t="s">
        <v>830</v>
      </c>
      <c r="E57" s="679"/>
      <c r="F57" s="529">
        <f>VLOOKUP(D57,'Nov 2012 Revenue'!D:T,17,FALSE)</f>
        <v>13456.990000000005</v>
      </c>
      <c r="G57" s="680"/>
      <c r="H57" s="680"/>
      <c r="I57" s="770">
        <v>108057.18</v>
      </c>
      <c r="J57" s="682">
        <f t="shared" si="0"/>
        <v>121514.17</v>
      </c>
      <c r="K57" s="683"/>
      <c r="L57" s="684"/>
      <c r="M57" s="753"/>
      <c r="N57" s="683">
        <v>0</v>
      </c>
      <c r="O57" s="686"/>
      <c r="P57" s="683">
        <v>0</v>
      </c>
      <c r="Q57" s="687">
        <f t="shared" si="1"/>
        <v>0</v>
      </c>
      <c r="R57" s="688">
        <v>0</v>
      </c>
      <c r="S57" s="693"/>
      <c r="T57" s="690">
        <f t="shared" si="2"/>
        <v>0</v>
      </c>
      <c r="U57" s="683"/>
      <c r="V57" s="474">
        <f t="shared" si="3"/>
        <v>0</v>
      </c>
      <c r="W57" s="474">
        <f t="shared" si="4"/>
        <v>0</v>
      </c>
      <c r="X57" s="475">
        <f t="shared" si="5"/>
        <v>0</v>
      </c>
      <c r="Y57" s="475">
        <v>0</v>
      </c>
      <c r="Z57" s="476">
        <v>0</v>
      </c>
      <c r="AA57" s="38">
        <f t="shared" si="6"/>
        <v>0</v>
      </c>
      <c r="AB57" s="692">
        <f t="shared" si="7"/>
        <v>0</v>
      </c>
      <c r="AC57" s="692">
        <f t="shared" si="8"/>
        <v>121514.17</v>
      </c>
      <c r="AD57" s="692">
        <f t="shared" si="9"/>
        <v>0</v>
      </c>
      <c r="AE57" s="38"/>
      <c r="AF57" s="692">
        <f t="shared" si="10"/>
        <v>0</v>
      </c>
      <c r="AG57" s="692">
        <f t="shared" si="11"/>
        <v>0</v>
      </c>
      <c r="AH57" s="692">
        <f t="shared" si="12"/>
        <v>0</v>
      </c>
      <c r="AJ57" s="38">
        <f t="shared" si="13"/>
        <v>121514.17</v>
      </c>
    </row>
    <row r="58" spans="1:36">
      <c r="A58" s="20"/>
      <c r="B58" s="20" t="s">
        <v>109</v>
      </c>
      <c r="C58" s="667"/>
      <c r="D58" s="68" t="s">
        <v>374</v>
      </c>
      <c r="E58" s="679">
        <f>4041.37+4850.26</f>
        <v>8891.630000000001</v>
      </c>
      <c r="F58" s="529">
        <f>VLOOKUP(D58,'Nov 2012 Revenue'!D:T,17,FALSE)</f>
        <v>-10453.33</v>
      </c>
      <c r="G58" s="680"/>
      <c r="H58" s="680"/>
      <c r="I58" s="755"/>
      <c r="J58" s="682">
        <f t="shared" si="0"/>
        <v>-1561.6999999999989</v>
      </c>
      <c r="K58" s="683"/>
      <c r="L58" s="684"/>
      <c r="M58" s="753">
        <v>5000</v>
      </c>
      <c r="N58" s="683">
        <v>0</v>
      </c>
      <c r="O58" s="686"/>
      <c r="P58" s="683">
        <v>0</v>
      </c>
      <c r="Q58" s="687">
        <f t="shared" si="1"/>
        <v>5000</v>
      </c>
      <c r="R58" s="688">
        <v>0</v>
      </c>
      <c r="S58" s="693"/>
      <c r="T58" s="690">
        <f t="shared" si="2"/>
        <v>-5000</v>
      </c>
      <c r="U58" s="683"/>
      <c r="V58" s="474">
        <f t="shared" si="3"/>
        <v>0</v>
      </c>
      <c r="W58" s="474">
        <f t="shared" si="4"/>
        <v>5000</v>
      </c>
      <c r="X58" s="475">
        <f t="shared" si="5"/>
        <v>0</v>
      </c>
      <c r="Y58" s="475">
        <v>0</v>
      </c>
      <c r="Z58" s="476">
        <v>0</v>
      </c>
      <c r="AA58" s="38">
        <f t="shared" si="6"/>
        <v>0</v>
      </c>
      <c r="AB58" s="692">
        <f t="shared" si="7"/>
        <v>0</v>
      </c>
      <c r="AC58" s="692">
        <f t="shared" si="8"/>
        <v>-1561.6999999999989</v>
      </c>
      <c r="AD58" s="692">
        <f t="shared" si="9"/>
        <v>0</v>
      </c>
      <c r="AE58" s="38"/>
      <c r="AF58" s="692">
        <f t="shared" si="10"/>
        <v>0</v>
      </c>
      <c r="AG58" s="692">
        <f t="shared" si="11"/>
        <v>5000</v>
      </c>
      <c r="AH58" s="692">
        <f t="shared" si="12"/>
        <v>0</v>
      </c>
      <c r="AJ58" s="38">
        <f t="shared" si="13"/>
        <v>3438.3000000000011</v>
      </c>
    </row>
    <row r="59" spans="1:36">
      <c r="A59" s="20"/>
      <c r="B59" s="20" t="s">
        <v>114</v>
      </c>
      <c r="C59" s="667"/>
      <c r="D59" s="68" t="s">
        <v>502</v>
      </c>
      <c r="E59" s="679">
        <f>96.19+63.76</f>
        <v>159.94999999999999</v>
      </c>
      <c r="F59" s="529">
        <f>VLOOKUP(D59,'Nov 2012 Revenue'!D:T,17,FALSE)</f>
        <v>0</v>
      </c>
      <c r="G59" s="680"/>
      <c r="H59" s="680"/>
      <c r="I59" s="755"/>
      <c r="J59" s="682">
        <f t="shared" si="0"/>
        <v>159.94999999999999</v>
      </c>
      <c r="K59" s="683"/>
      <c r="L59" s="684"/>
      <c r="M59" s="753"/>
      <c r="N59" s="683">
        <v>0</v>
      </c>
      <c r="O59" s="686"/>
      <c r="P59" s="683">
        <v>0</v>
      </c>
      <c r="Q59" s="687">
        <f t="shared" si="1"/>
        <v>0</v>
      </c>
      <c r="R59" s="688">
        <v>0</v>
      </c>
      <c r="S59" s="693"/>
      <c r="T59" s="690">
        <f t="shared" si="2"/>
        <v>0</v>
      </c>
      <c r="U59" s="683"/>
      <c r="V59" s="474">
        <f t="shared" si="3"/>
        <v>0</v>
      </c>
      <c r="W59" s="474">
        <f t="shared" si="4"/>
        <v>0</v>
      </c>
      <c r="X59" s="475">
        <f t="shared" si="5"/>
        <v>0</v>
      </c>
      <c r="Y59" s="475">
        <v>0</v>
      </c>
      <c r="Z59" s="476">
        <v>0</v>
      </c>
      <c r="AA59" s="38">
        <f t="shared" si="6"/>
        <v>0</v>
      </c>
      <c r="AB59" s="692">
        <f t="shared" si="7"/>
        <v>0</v>
      </c>
      <c r="AC59" s="692">
        <f t="shared" si="8"/>
        <v>0</v>
      </c>
      <c r="AD59" s="692">
        <f t="shared" si="9"/>
        <v>159.94999999999999</v>
      </c>
      <c r="AE59" s="38"/>
      <c r="AF59" s="692">
        <f t="shared" si="10"/>
        <v>0</v>
      </c>
      <c r="AG59" s="692">
        <f t="shared" si="11"/>
        <v>0</v>
      </c>
      <c r="AH59" s="692">
        <f t="shared" si="12"/>
        <v>0</v>
      </c>
      <c r="AJ59" s="38">
        <f t="shared" si="13"/>
        <v>159.94999999999999</v>
      </c>
    </row>
    <row r="60" spans="1:36">
      <c r="A60" s="21"/>
      <c r="B60" s="21" t="s">
        <v>110</v>
      </c>
      <c r="C60" s="666" t="s">
        <v>535</v>
      </c>
      <c r="D60" s="123" t="s">
        <v>517</v>
      </c>
      <c r="E60" s="679"/>
      <c r="F60" s="529">
        <f>VLOOKUP(D60,'Nov 2012 Revenue'!D:T,17,FALSE)</f>
        <v>1838.4799999999959</v>
      </c>
      <c r="G60" s="680"/>
      <c r="H60" s="680"/>
      <c r="I60" s="755"/>
      <c r="J60" s="682">
        <f t="shared" si="0"/>
        <v>1838.4799999999959</v>
      </c>
      <c r="K60" s="683"/>
      <c r="L60" s="684"/>
      <c r="M60" s="753">
        <v>120000</v>
      </c>
      <c r="N60" s="683">
        <v>0</v>
      </c>
      <c r="O60" s="686"/>
      <c r="P60" s="683">
        <v>0</v>
      </c>
      <c r="Q60" s="687">
        <f t="shared" si="1"/>
        <v>120000</v>
      </c>
      <c r="R60" s="688">
        <v>164838.96</v>
      </c>
      <c r="S60" s="693"/>
      <c r="T60" s="690">
        <f t="shared" si="2"/>
        <v>44838.959999999992</v>
      </c>
      <c r="U60" s="697"/>
      <c r="V60" s="474">
        <f t="shared" si="3"/>
        <v>120000</v>
      </c>
      <c r="W60" s="474">
        <f t="shared" si="4"/>
        <v>0</v>
      </c>
      <c r="X60" s="475">
        <f t="shared" si="5"/>
        <v>0</v>
      </c>
      <c r="Y60" s="475">
        <v>0</v>
      </c>
      <c r="Z60" s="476">
        <v>0</v>
      </c>
      <c r="AA60" s="38">
        <f t="shared" si="6"/>
        <v>0</v>
      </c>
      <c r="AB60" s="692">
        <f t="shared" si="7"/>
        <v>1838.4799999999959</v>
      </c>
      <c r="AC60" s="692">
        <f t="shared" si="8"/>
        <v>0</v>
      </c>
      <c r="AD60" s="692">
        <f t="shared" si="9"/>
        <v>0</v>
      </c>
      <c r="AE60" s="38"/>
      <c r="AF60" s="692">
        <f t="shared" si="10"/>
        <v>120000</v>
      </c>
      <c r="AG60" s="692">
        <f t="shared" si="11"/>
        <v>0</v>
      </c>
      <c r="AH60" s="692">
        <f t="shared" si="12"/>
        <v>0</v>
      </c>
      <c r="AJ60" s="38">
        <f t="shared" si="13"/>
        <v>121838.48</v>
      </c>
    </row>
    <row r="61" spans="1:36">
      <c r="A61" s="21"/>
      <c r="B61" s="21" t="s">
        <v>110</v>
      </c>
      <c r="C61" s="666" t="s">
        <v>535</v>
      </c>
      <c r="D61" s="123" t="s">
        <v>437</v>
      </c>
      <c r="E61" s="679"/>
      <c r="F61" s="529">
        <f>VLOOKUP(D61,'Nov 2012 Revenue'!D:T,17,FALSE)</f>
        <v>0</v>
      </c>
      <c r="G61" s="680"/>
      <c r="H61" s="680"/>
      <c r="I61" s="755"/>
      <c r="J61" s="682">
        <f t="shared" si="0"/>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7"/>
        <v>0</v>
      </c>
      <c r="AC61" s="692">
        <f t="shared" si="8"/>
        <v>0</v>
      </c>
      <c r="AD61" s="692">
        <f t="shared" si="9"/>
        <v>0</v>
      </c>
      <c r="AE61" s="38"/>
      <c r="AF61" s="692">
        <f t="shared" si="10"/>
        <v>0</v>
      </c>
      <c r="AG61" s="692">
        <f t="shared" si="11"/>
        <v>0</v>
      </c>
      <c r="AH61" s="692">
        <f t="shared" si="12"/>
        <v>0</v>
      </c>
      <c r="AJ61" s="38">
        <f t="shared" si="13"/>
        <v>0</v>
      </c>
    </row>
    <row r="62" spans="1:36">
      <c r="A62" s="21"/>
      <c r="B62" s="21" t="s">
        <v>110</v>
      </c>
      <c r="C62" s="666" t="s">
        <v>535</v>
      </c>
      <c r="D62" s="123" t="s">
        <v>436</v>
      </c>
      <c r="E62" s="679"/>
      <c r="F62" s="529">
        <f>VLOOKUP(D62,'Nov 2012 Revenue'!D:T,17,FALSE)</f>
        <v>0</v>
      </c>
      <c r="G62" s="680"/>
      <c r="H62" s="680"/>
      <c r="I62" s="755"/>
      <c r="J62" s="682">
        <f t="shared" si="0"/>
        <v>0</v>
      </c>
      <c r="K62" s="683"/>
      <c r="L62" s="684"/>
      <c r="M62" s="753"/>
      <c r="N62" s="683">
        <v>0</v>
      </c>
      <c r="O62" s="686"/>
      <c r="P62" s="683">
        <v>0</v>
      </c>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7"/>
        <v>0</v>
      </c>
      <c r="AC62" s="692">
        <f t="shared" si="8"/>
        <v>0</v>
      </c>
      <c r="AD62" s="692">
        <f t="shared" si="9"/>
        <v>0</v>
      </c>
      <c r="AE62" s="38"/>
      <c r="AF62" s="692">
        <f t="shared" si="10"/>
        <v>0</v>
      </c>
      <c r="AG62" s="692">
        <f t="shared" si="11"/>
        <v>0</v>
      </c>
      <c r="AH62" s="692">
        <f t="shared" si="12"/>
        <v>0</v>
      </c>
      <c r="AJ62" s="38">
        <f t="shared" si="13"/>
        <v>0</v>
      </c>
    </row>
    <row r="63" spans="1:36">
      <c r="A63" s="21"/>
      <c r="B63" s="21" t="s">
        <v>110</v>
      </c>
      <c r="C63" s="666" t="s">
        <v>535</v>
      </c>
      <c r="D63" s="123" t="s">
        <v>391</v>
      </c>
      <c r="E63" s="679"/>
      <c r="F63" s="529">
        <f>VLOOKUP(D63,'Nov 2012 Revenue'!D:T,17,FALSE)</f>
        <v>0</v>
      </c>
      <c r="G63" s="680"/>
      <c r="H63" s="680"/>
      <c r="I63" s="755"/>
      <c r="J63" s="682">
        <f t="shared" si="0"/>
        <v>0</v>
      </c>
      <c r="K63" s="683"/>
      <c r="L63" s="684"/>
      <c r="M63" s="753"/>
      <c r="N63" s="683">
        <v>0</v>
      </c>
      <c r="O63" s="686"/>
      <c r="P63" s="683">
        <v>0</v>
      </c>
      <c r="Q63" s="687">
        <f t="shared" si="1"/>
        <v>0</v>
      </c>
      <c r="R63" s="688">
        <v>0</v>
      </c>
      <c r="S63" s="693"/>
      <c r="T63" s="690">
        <f t="shared" si="2"/>
        <v>0</v>
      </c>
      <c r="U63" s="697"/>
      <c r="V63" s="474">
        <f t="shared" si="3"/>
        <v>0</v>
      </c>
      <c r="W63" s="474">
        <f t="shared" si="4"/>
        <v>0</v>
      </c>
      <c r="X63" s="475">
        <f t="shared" si="5"/>
        <v>0</v>
      </c>
      <c r="Y63" s="475">
        <v>0</v>
      </c>
      <c r="Z63" s="476">
        <v>0</v>
      </c>
      <c r="AA63" s="38">
        <f t="shared" si="6"/>
        <v>0</v>
      </c>
      <c r="AB63" s="692">
        <f t="shared" si="7"/>
        <v>0</v>
      </c>
      <c r="AC63" s="692">
        <f t="shared" si="8"/>
        <v>0</v>
      </c>
      <c r="AD63" s="692">
        <f t="shared" si="9"/>
        <v>0</v>
      </c>
      <c r="AE63" s="38"/>
      <c r="AF63" s="692">
        <f t="shared" si="10"/>
        <v>0</v>
      </c>
      <c r="AG63" s="692">
        <f t="shared" si="11"/>
        <v>0</v>
      </c>
      <c r="AH63" s="692">
        <f t="shared" si="12"/>
        <v>0</v>
      </c>
      <c r="AJ63" s="38">
        <f t="shared" si="13"/>
        <v>0</v>
      </c>
    </row>
    <row r="64" spans="1:36">
      <c r="A64" s="21"/>
      <c r="B64" s="21" t="s">
        <v>110</v>
      </c>
      <c r="C64" s="666" t="s">
        <v>535</v>
      </c>
      <c r="D64" s="123" t="s">
        <v>392</v>
      </c>
      <c r="E64" s="679"/>
      <c r="F64" s="529">
        <f>VLOOKUP(D64,'Nov 2012 Revenue'!D:T,17,FALSE)</f>
        <v>0</v>
      </c>
      <c r="G64" s="680"/>
      <c r="H64" s="680"/>
      <c r="I64" s="755"/>
      <c r="J64" s="682">
        <f t="shared" si="0"/>
        <v>0</v>
      </c>
      <c r="K64" s="683"/>
      <c r="L64" s="684"/>
      <c r="M64" s="753"/>
      <c r="N64" s="683">
        <v>0</v>
      </c>
      <c r="O64" s="686"/>
      <c r="P64" s="683">
        <v>0</v>
      </c>
      <c r="Q64" s="687">
        <f t="shared" si="1"/>
        <v>0</v>
      </c>
      <c r="R64" s="688">
        <v>0</v>
      </c>
      <c r="S64" s="693"/>
      <c r="T64" s="690">
        <f t="shared" si="2"/>
        <v>0</v>
      </c>
      <c r="U64" s="697"/>
      <c r="V64" s="474">
        <f t="shared" si="3"/>
        <v>0</v>
      </c>
      <c r="W64" s="474">
        <f t="shared" si="4"/>
        <v>0</v>
      </c>
      <c r="X64" s="475">
        <f t="shared" si="5"/>
        <v>0</v>
      </c>
      <c r="Y64" s="475">
        <v>0</v>
      </c>
      <c r="Z64" s="476">
        <v>0</v>
      </c>
      <c r="AA64" s="38">
        <f t="shared" si="6"/>
        <v>0</v>
      </c>
      <c r="AB64" s="692">
        <f t="shared" si="7"/>
        <v>0</v>
      </c>
      <c r="AC64" s="692">
        <f t="shared" si="8"/>
        <v>0</v>
      </c>
      <c r="AD64" s="692">
        <f t="shared" si="9"/>
        <v>0</v>
      </c>
      <c r="AE64" s="38"/>
      <c r="AF64" s="692">
        <f t="shared" si="10"/>
        <v>0</v>
      </c>
      <c r="AG64" s="692">
        <f t="shared" si="11"/>
        <v>0</v>
      </c>
      <c r="AH64" s="692">
        <f t="shared" si="12"/>
        <v>0</v>
      </c>
      <c r="AJ64" s="38">
        <f t="shared" si="13"/>
        <v>0</v>
      </c>
    </row>
    <row r="65" spans="1:36">
      <c r="A65" s="21"/>
      <c r="B65" s="21" t="s">
        <v>110</v>
      </c>
      <c r="C65" s="666" t="s">
        <v>535</v>
      </c>
      <c r="D65" s="123" t="s">
        <v>483</v>
      </c>
      <c r="E65" s="679"/>
      <c r="F65" s="529">
        <f>VLOOKUP(D65,'Nov 2012 Revenue'!D:T,17,FALSE)</f>
        <v>0</v>
      </c>
      <c r="G65" s="680"/>
      <c r="H65" s="680"/>
      <c r="I65" s="755"/>
      <c r="J65" s="682">
        <f t="shared" si="0"/>
        <v>0</v>
      </c>
      <c r="K65" s="683"/>
      <c r="L65" s="684"/>
      <c r="M65" s="753"/>
      <c r="N65" s="683"/>
      <c r="O65" s="686"/>
      <c r="P65" s="683"/>
      <c r="Q65" s="687">
        <f t="shared" si="1"/>
        <v>0</v>
      </c>
      <c r="R65" s="688">
        <v>0</v>
      </c>
      <c r="S65" s="693"/>
      <c r="T65" s="690">
        <f t="shared" si="2"/>
        <v>0</v>
      </c>
      <c r="U65" s="697"/>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c r="AJ65" s="38">
        <f t="shared" si="13"/>
        <v>0</v>
      </c>
    </row>
    <row r="66" spans="1:36">
      <c r="A66" s="21"/>
      <c r="B66" s="21" t="s">
        <v>110</v>
      </c>
      <c r="C66" s="666"/>
      <c r="D66" s="373" t="s">
        <v>587</v>
      </c>
      <c r="E66" s="679"/>
      <c r="F66" s="529">
        <f>VLOOKUP(D66,'Nov 2012 Revenue'!D:T,17,FALSE)</f>
        <v>0</v>
      </c>
      <c r="G66" s="680"/>
      <c r="H66" s="680"/>
      <c r="I66" s="755"/>
      <c r="J66" s="682">
        <f t="shared" si="0"/>
        <v>0</v>
      </c>
      <c r="K66" s="683"/>
      <c r="L66" s="684"/>
      <c r="M66" s="753"/>
      <c r="N66" s="683"/>
      <c r="O66" s="686"/>
      <c r="P66" s="683"/>
      <c r="Q66" s="687">
        <f t="shared" si="1"/>
        <v>0</v>
      </c>
      <c r="R66" s="688">
        <v>0</v>
      </c>
      <c r="S66" s="693"/>
      <c r="T66" s="690"/>
      <c r="U66" s="697"/>
      <c r="V66" s="474">
        <f t="shared" si="3"/>
        <v>0</v>
      </c>
      <c r="W66" s="474">
        <f t="shared" si="4"/>
        <v>0</v>
      </c>
      <c r="X66" s="475">
        <f t="shared" si="5"/>
        <v>0</v>
      </c>
      <c r="Y66" s="475">
        <v>0</v>
      </c>
      <c r="Z66" s="476">
        <v>0</v>
      </c>
      <c r="AA66" s="38">
        <f t="shared" si="6"/>
        <v>0</v>
      </c>
      <c r="AB66" s="692">
        <f t="shared" si="7"/>
        <v>0</v>
      </c>
      <c r="AC66" s="692">
        <f t="shared" si="8"/>
        <v>0</v>
      </c>
      <c r="AD66" s="692">
        <f t="shared" si="9"/>
        <v>0</v>
      </c>
      <c r="AE66" s="38"/>
      <c r="AF66" s="692">
        <f t="shared" si="10"/>
        <v>0</v>
      </c>
      <c r="AG66" s="692">
        <f t="shared" si="11"/>
        <v>0</v>
      </c>
      <c r="AH66" s="692">
        <f t="shared" si="12"/>
        <v>0</v>
      </c>
      <c r="AJ66" s="38">
        <f t="shared" si="13"/>
        <v>0</v>
      </c>
    </row>
    <row r="67" spans="1:36">
      <c r="A67" s="20"/>
      <c r="B67" s="20" t="s">
        <v>110</v>
      </c>
      <c r="C67" s="667" t="s">
        <v>536</v>
      </c>
      <c r="D67" s="68" t="s">
        <v>450</v>
      </c>
      <c r="E67" s="679">
        <v>930.16</v>
      </c>
      <c r="F67" s="529">
        <f>VLOOKUP(D67,'Nov 2012 Revenue'!D:T,17,FALSE)</f>
        <v>0</v>
      </c>
      <c r="G67" s="680"/>
      <c r="H67" s="680"/>
      <c r="I67" s="755"/>
      <c r="J67" s="682">
        <f t="shared" si="0"/>
        <v>930.16</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7"/>
        <v>930.16</v>
      </c>
      <c r="AC67" s="692">
        <f t="shared" si="8"/>
        <v>0</v>
      </c>
      <c r="AD67" s="692">
        <f t="shared" si="9"/>
        <v>0</v>
      </c>
      <c r="AE67" s="38"/>
      <c r="AF67" s="692">
        <f t="shared" si="10"/>
        <v>0</v>
      </c>
      <c r="AG67" s="692">
        <f t="shared" si="11"/>
        <v>0</v>
      </c>
      <c r="AH67" s="692">
        <f t="shared" si="12"/>
        <v>0</v>
      </c>
      <c r="AJ67" s="38">
        <f t="shared" si="13"/>
        <v>930.16</v>
      </c>
    </row>
    <row r="68" spans="1:36">
      <c r="A68" s="21" t="s">
        <v>109</v>
      </c>
      <c r="B68" s="21" t="s">
        <v>110</v>
      </c>
      <c r="C68" s="666"/>
      <c r="D68" s="68" t="s">
        <v>438</v>
      </c>
      <c r="E68" s="679"/>
      <c r="F68" s="529">
        <f>VLOOKUP(D68,'Nov 2012 Revenue'!D:T,17,FALSE)</f>
        <v>0</v>
      </c>
      <c r="G68" s="680"/>
      <c r="H68" s="680"/>
      <c r="I68" s="755"/>
      <c r="J68" s="682">
        <f t="shared" si="0"/>
        <v>0</v>
      </c>
      <c r="K68" s="683"/>
      <c r="L68" s="684"/>
      <c r="M68" s="753"/>
      <c r="N68" s="683">
        <v>0</v>
      </c>
      <c r="O68" s="686"/>
      <c r="P68" s="683">
        <v>0</v>
      </c>
      <c r="Q68" s="687">
        <f t="shared" si="1"/>
        <v>0</v>
      </c>
      <c r="R68" s="688">
        <v>0</v>
      </c>
      <c r="S68" s="693"/>
      <c r="T68" s="690">
        <f t="shared" si="2"/>
        <v>0</v>
      </c>
      <c r="U68" s="697"/>
      <c r="V68" s="474">
        <f t="shared" si="3"/>
        <v>0</v>
      </c>
      <c r="W68" s="474">
        <f t="shared" si="4"/>
        <v>0</v>
      </c>
      <c r="X68" s="475">
        <f t="shared" si="5"/>
        <v>0</v>
      </c>
      <c r="Y68" s="475">
        <v>0</v>
      </c>
      <c r="Z68" s="476">
        <v>0</v>
      </c>
      <c r="AA68" s="38">
        <f t="shared" si="6"/>
        <v>0</v>
      </c>
      <c r="AB68" s="692">
        <f t="shared" si="7"/>
        <v>0</v>
      </c>
      <c r="AC68" s="692">
        <f t="shared" si="8"/>
        <v>0</v>
      </c>
      <c r="AD68" s="692">
        <f t="shared" si="9"/>
        <v>0</v>
      </c>
      <c r="AE68" s="38"/>
      <c r="AF68" s="692">
        <f t="shared" si="10"/>
        <v>0</v>
      </c>
      <c r="AG68" s="692">
        <f t="shared" si="11"/>
        <v>0</v>
      </c>
      <c r="AH68" s="692">
        <f t="shared" si="12"/>
        <v>0</v>
      </c>
      <c r="AJ68" s="38">
        <f t="shared" si="13"/>
        <v>0</v>
      </c>
    </row>
    <row r="69" spans="1:36">
      <c r="A69" s="21"/>
      <c r="B69" s="21" t="s">
        <v>110</v>
      </c>
      <c r="C69" s="666"/>
      <c r="D69" s="68" t="s">
        <v>628</v>
      </c>
      <c r="E69" s="679"/>
      <c r="F69" s="529">
        <f>VLOOKUP(D69,'Nov 2012 Revenue'!D:T,17,FALSE)</f>
        <v>0</v>
      </c>
      <c r="G69" s="680"/>
      <c r="H69" s="680"/>
      <c r="I69" s="755"/>
      <c r="J69" s="682">
        <f t="shared" si="0"/>
        <v>0</v>
      </c>
      <c r="K69" s="683"/>
      <c r="L69" s="684"/>
      <c r="M69" s="753"/>
      <c r="N69" s="683">
        <v>0</v>
      </c>
      <c r="O69" s="686"/>
      <c r="P69" s="683">
        <v>0</v>
      </c>
      <c r="Q69" s="687">
        <f t="shared" si="1"/>
        <v>0</v>
      </c>
      <c r="R69" s="688">
        <v>0</v>
      </c>
      <c r="S69" s="693"/>
      <c r="T69" s="690">
        <f t="shared" si="2"/>
        <v>0</v>
      </c>
      <c r="U69" s="697"/>
      <c r="V69" s="474">
        <f t="shared" si="3"/>
        <v>0</v>
      </c>
      <c r="W69" s="474">
        <f t="shared" si="4"/>
        <v>0</v>
      </c>
      <c r="X69" s="475">
        <f t="shared" si="5"/>
        <v>0</v>
      </c>
      <c r="Y69" s="475">
        <v>0</v>
      </c>
      <c r="Z69" s="476">
        <v>0</v>
      </c>
      <c r="AA69" s="38">
        <f t="shared" si="6"/>
        <v>0</v>
      </c>
      <c r="AB69" s="692">
        <f t="shared" si="7"/>
        <v>0</v>
      </c>
      <c r="AC69" s="692">
        <f t="shared" si="8"/>
        <v>0</v>
      </c>
      <c r="AD69" s="692">
        <f t="shared" si="9"/>
        <v>0</v>
      </c>
      <c r="AE69" s="38"/>
      <c r="AF69" s="692">
        <f t="shared" si="10"/>
        <v>0</v>
      </c>
      <c r="AG69" s="692">
        <f t="shared" si="11"/>
        <v>0</v>
      </c>
      <c r="AH69" s="692">
        <f t="shared" si="12"/>
        <v>0</v>
      </c>
      <c r="AJ69" s="38">
        <f t="shared" si="13"/>
        <v>0</v>
      </c>
    </row>
    <row r="70" spans="1:36">
      <c r="A70" s="21"/>
      <c r="B70" s="21" t="s">
        <v>110</v>
      </c>
      <c r="C70" s="666" t="s">
        <v>537</v>
      </c>
      <c r="D70" s="68" t="s">
        <v>12</v>
      </c>
      <c r="E70" s="679"/>
      <c r="F70" s="529">
        <f>VLOOKUP(D70,'Nov 2012 Revenue'!D:T,17,FALSE)</f>
        <v>0</v>
      </c>
      <c r="G70" s="680"/>
      <c r="H70" s="680"/>
      <c r="I70" s="755"/>
      <c r="J70" s="682">
        <f t="shared" si="0"/>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c r="AJ70" s="38">
        <f t="shared" si="13"/>
        <v>0</v>
      </c>
    </row>
    <row r="71" spans="1:36" s="232" customFormat="1">
      <c r="A71" s="283" t="s">
        <v>211</v>
      </c>
      <c r="B71" s="283" t="s">
        <v>110</v>
      </c>
      <c r="C71" s="667" t="s">
        <v>538</v>
      </c>
      <c r="D71" s="123" t="s">
        <v>170</v>
      </c>
      <c r="E71" s="679"/>
      <c r="F71" s="529">
        <f>VLOOKUP(D71,'Nov 2012 Revenue'!D:T,17,FALSE)</f>
        <v>-200000</v>
      </c>
      <c r="G71" s="680"/>
      <c r="H71" s="680"/>
      <c r="I71" s="770">
        <v>296216.71999999997</v>
      </c>
      <c r="J71" s="682">
        <f t="shared" si="0"/>
        <v>96216.719999999972</v>
      </c>
      <c r="K71" s="683"/>
      <c r="L71" s="684"/>
      <c r="M71" s="753"/>
      <c r="N71" s="683">
        <v>0</v>
      </c>
      <c r="O71" s="686"/>
      <c r="P71" s="683">
        <v>0</v>
      </c>
      <c r="Q71" s="687">
        <f t="shared" si="1"/>
        <v>0</v>
      </c>
      <c r="R71" s="688">
        <v>0</v>
      </c>
      <c r="S71" s="693"/>
      <c r="T71" s="690">
        <f t="shared" si="2"/>
        <v>0</v>
      </c>
      <c r="U71" s="683"/>
      <c r="V71" s="474">
        <f t="shared" si="3"/>
        <v>0</v>
      </c>
      <c r="W71" s="474">
        <f t="shared" si="4"/>
        <v>0</v>
      </c>
      <c r="X71" s="475">
        <f t="shared" si="5"/>
        <v>0</v>
      </c>
      <c r="Y71" s="475">
        <v>0</v>
      </c>
      <c r="Z71" s="476">
        <v>0</v>
      </c>
      <c r="AA71" s="38">
        <f t="shared" si="6"/>
        <v>0</v>
      </c>
      <c r="AB71" s="692">
        <f t="shared" si="7"/>
        <v>96216.719999999972</v>
      </c>
      <c r="AC71" s="692">
        <f t="shared" si="8"/>
        <v>0</v>
      </c>
      <c r="AD71" s="692">
        <f t="shared" si="9"/>
        <v>0</v>
      </c>
      <c r="AE71" s="38"/>
      <c r="AF71" s="692">
        <f t="shared" si="10"/>
        <v>0</v>
      </c>
      <c r="AG71" s="692">
        <f t="shared" si="11"/>
        <v>0</v>
      </c>
      <c r="AH71" s="692">
        <f t="shared" si="12"/>
        <v>0</v>
      </c>
      <c r="AJ71" s="38">
        <f t="shared" si="13"/>
        <v>96216.719999999972</v>
      </c>
    </row>
    <row r="72" spans="1:36" s="232" customFormat="1">
      <c r="A72" s="283" t="s">
        <v>211</v>
      </c>
      <c r="B72" s="283" t="s">
        <v>110</v>
      </c>
      <c r="C72" s="667" t="s">
        <v>538</v>
      </c>
      <c r="D72" s="123" t="s">
        <v>171</v>
      </c>
      <c r="E72" s="679"/>
      <c r="F72" s="529">
        <f>VLOOKUP(D72,'Nov 2012 Revenue'!D:T,17,FALSE)</f>
        <v>0</v>
      </c>
      <c r="G72" s="680"/>
      <c r="H72" s="680"/>
      <c r="I72" s="770">
        <v>625.89</v>
      </c>
      <c r="J72" s="682">
        <f t="shared" si="0"/>
        <v>625.89</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7"/>
        <v>625.89</v>
      </c>
      <c r="AC72" s="692">
        <f t="shared" si="8"/>
        <v>0</v>
      </c>
      <c r="AD72" s="692">
        <f t="shared" si="9"/>
        <v>0</v>
      </c>
      <c r="AE72" s="38"/>
      <c r="AF72" s="692">
        <f t="shared" si="10"/>
        <v>0</v>
      </c>
      <c r="AG72" s="692">
        <f t="shared" si="11"/>
        <v>0</v>
      </c>
      <c r="AH72" s="692">
        <f t="shared" si="12"/>
        <v>0</v>
      </c>
      <c r="AJ72" s="38">
        <f t="shared" si="13"/>
        <v>625.89</v>
      </c>
    </row>
    <row r="73" spans="1:36" s="232" customFormat="1" hidden="1">
      <c r="A73" s="283" t="s">
        <v>211</v>
      </c>
      <c r="B73" s="283" t="s">
        <v>110</v>
      </c>
      <c r="C73" s="667" t="s">
        <v>538</v>
      </c>
      <c r="D73" s="123" t="s">
        <v>13</v>
      </c>
      <c r="E73" s="679"/>
      <c r="F73" s="529">
        <f>VLOOKUP(D73,'Nov 2012 Revenue'!D:T,17,FALSE)</f>
        <v>0</v>
      </c>
      <c r="G73" s="680"/>
      <c r="H73" s="680"/>
      <c r="I73" s="755"/>
      <c r="J73" s="682">
        <f t="shared" si="0"/>
        <v>0</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8"/>
        <v>0</v>
      </c>
      <c r="AD73" s="692">
        <f t="shared" si="9"/>
        <v>0</v>
      </c>
      <c r="AE73" s="38"/>
      <c r="AF73" s="692">
        <f t="shared" si="10"/>
        <v>0</v>
      </c>
      <c r="AG73" s="692">
        <f t="shared" si="11"/>
        <v>0</v>
      </c>
      <c r="AH73" s="692">
        <f t="shared" si="12"/>
        <v>0</v>
      </c>
      <c r="AJ73" s="38">
        <f t="shared" si="13"/>
        <v>0</v>
      </c>
    </row>
    <row r="74" spans="1:36" s="232" customFormat="1" hidden="1">
      <c r="A74" s="283" t="s">
        <v>211</v>
      </c>
      <c r="B74" s="283" t="s">
        <v>110</v>
      </c>
      <c r="C74" s="667" t="s">
        <v>538</v>
      </c>
      <c r="D74" s="123" t="s">
        <v>172</v>
      </c>
      <c r="E74" s="679"/>
      <c r="F74" s="529">
        <f>VLOOKUP(D74,'Nov 2012 Revenue'!D:T,17,FALSE)</f>
        <v>0</v>
      </c>
      <c r="G74" s="680"/>
      <c r="H74" s="680"/>
      <c r="I74" s="755"/>
      <c r="J74" s="682">
        <f t="shared" si="0"/>
        <v>0</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0</v>
      </c>
      <c r="AD74" s="692">
        <f t="shared" si="9"/>
        <v>0</v>
      </c>
      <c r="AE74" s="38"/>
      <c r="AF74" s="692">
        <f t="shared" si="10"/>
        <v>0</v>
      </c>
      <c r="AG74" s="692">
        <f t="shared" si="11"/>
        <v>0</v>
      </c>
      <c r="AH74" s="692">
        <f t="shared" si="12"/>
        <v>0</v>
      </c>
      <c r="AJ74" s="38">
        <f t="shared" si="13"/>
        <v>0</v>
      </c>
    </row>
    <row r="75" spans="1:36" s="232" customFormat="1" hidden="1">
      <c r="A75" s="283" t="s">
        <v>211</v>
      </c>
      <c r="B75" s="283" t="s">
        <v>110</v>
      </c>
      <c r="C75" s="667" t="s">
        <v>538</v>
      </c>
      <c r="D75" s="123" t="s">
        <v>173</v>
      </c>
      <c r="E75" s="679"/>
      <c r="F75" s="529">
        <f>VLOOKUP(D75,'Nov 2012 Revenue'!D:T,17,FALSE)</f>
        <v>0</v>
      </c>
      <c r="G75" s="680"/>
      <c r="H75" s="680"/>
      <c r="I75" s="755"/>
      <c r="J75" s="682">
        <f t="shared" si="0"/>
        <v>0</v>
      </c>
      <c r="K75" s="683"/>
      <c r="L75" s="684"/>
      <c r="M75" s="753"/>
      <c r="N75" s="683">
        <v>0</v>
      </c>
      <c r="O75" s="686"/>
      <c r="P75" s="683">
        <v>0</v>
      </c>
      <c r="Q75" s="687">
        <f t="shared" si="1"/>
        <v>0</v>
      </c>
      <c r="R75" s="688">
        <v>0</v>
      </c>
      <c r="S75" s="693"/>
      <c r="T75" s="690">
        <f t="shared" si="2"/>
        <v>0</v>
      </c>
      <c r="U75" s="683"/>
      <c r="V75" s="474">
        <f t="shared" si="3"/>
        <v>0</v>
      </c>
      <c r="W75" s="474">
        <f t="shared" si="4"/>
        <v>0</v>
      </c>
      <c r="X75" s="475">
        <f t="shared" si="5"/>
        <v>0</v>
      </c>
      <c r="Y75" s="475">
        <v>0</v>
      </c>
      <c r="Z75" s="476">
        <v>0</v>
      </c>
      <c r="AA75" s="38">
        <f t="shared" si="6"/>
        <v>0</v>
      </c>
      <c r="AB75" s="692">
        <f t="shared" si="7"/>
        <v>0</v>
      </c>
      <c r="AC75" s="692">
        <f t="shared" si="8"/>
        <v>0</v>
      </c>
      <c r="AD75" s="692">
        <f t="shared" si="9"/>
        <v>0</v>
      </c>
      <c r="AE75" s="38"/>
      <c r="AF75" s="692">
        <f t="shared" si="10"/>
        <v>0</v>
      </c>
      <c r="AG75" s="692">
        <f t="shared" si="11"/>
        <v>0</v>
      </c>
      <c r="AH75" s="692">
        <f t="shared" si="12"/>
        <v>0</v>
      </c>
      <c r="AJ75" s="38">
        <f t="shared" si="13"/>
        <v>0</v>
      </c>
    </row>
    <row r="76" spans="1:36" s="232" customFormat="1" hidden="1">
      <c r="A76" s="283" t="s">
        <v>211</v>
      </c>
      <c r="B76" s="283" t="s">
        <v>110</v>
      </c>
      <c r="C76" s="667" t="s">
        <v>538</v>
      </c>
      <c r="D76" s="123" t="s">
        <v>174</v>
      </c>
      <c r="E76" s="679"/>
      <c r="F76" s="529">
        <f>VLOOKUP(D76,'Nov 2012 Revenue'!D:T,17,FALSE)</f>
        <v>0</v>
      </c>
      <c r="G76" s="680"/>
      <c r="H76" s="680"/>
      <c r="I76" s="755"/>
      <c r="J76" s="682">
        <f t="shared" si="0"/>
        <v>0</v>
      </c>
      <c r="K76" s="683"/>
      <c r="L76" s="684"/>
      <c r="M76" s="753"/>
      <c r="N76" s="683">
        <v>0</v>
      </c>
      <c r="O76" s="686"/>
      <c r="P76" s="683">
        <v>0</v>
      </c>
      <c r="Q76" s="687">
        <f t="shared" si="1"/>
        <v>0</v>
      </c>
      <c r="R76" s="688">
        <v>0</v>
      </c>
      <c r="S76" s="693"/>
      <c r="T76" s="690">
        <f t="shared" si="2"/>
        <v>0</v>
      </c>
      <c r="U76" s="683"/>
      <c r="V76" s="474">
        <f t="shared" si="3"/>
        <v>0</v>
      </c>
      <c r="W76" s="474">
        <f t="shared" si="4"/>
        <v>0</v>
      </c>
      <c r="X76" s="475">
        <f t="shared" si="5"/>
        <v>0</v>
      </c>
      <c r="Y76" s="475">
        <v>0</v>
      </c>
      <c r="Z76" s="476">
        <v>0</v>
      </c>
      <c r="AA76" s="38">
        <f t="shared" si="6"/>
        <v>0</v>
      </c>
      <c r="AB76" s="692">
        <f t="shared" si="7"/>
        <v>0</v>
      </c>
      <c r="AC76" s="692">
        <f t="shared" si="8"/>
        <v>0</v>
      </c>
      <c r="AD76" s="692">
        <f t="shared" si="9"/>
        <v>0</v>
      </c>
      <c r="AE76" s="38"/>
      <c r="AF76" s="692">
        <f t="shared" si="10"/>
        <v>0</v>
      </c>
      <c r="AG76" s="692">
        <f t="shared" si="11"/>
        <v>0</v>
      </c>
      <c r="AH76" s="692">
        <f t="shared" si="12"/>
        <v>0</v>
      </c>
      <c r="AJ76" s="38">
        <f t="shared" si="13"/>
        <v>0</v>
      </c>
    </row>
    <row r="77" spans="1:36" s="232" customFormat="1">
      <c r="A77" s="283"/>
      <c r="B77" s="283" t="s">
        <v>109</v>
      </c>
      <c r="C77" s="794"/>
      <c r="D77" s="351" t="s">
        <v>14</v>
      </c>
      <c r="E77" s="679"/>
      <c r="F77" s="529">
        <f>VLOOKUP(D77,'Nov 2012 Revenue'!D:T,17,FALSE)</f>
        <v>0</v>
      </c>
      <c r="G77" s="680"/>
      <c r="H77" s="680"/>
      <c r="I77" s="755"/>
      <c r="J77" s="682">
        <f t="shared" si="0"/>
        <v>0</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si="7"/>
        <v>0</v>
      </c>
      <c r="AC77" s="692">
        <f t="shared" si="8"/>
        <v>0</v>
      </c>
      <c r="AD77" s="692">
        <f t="shared" si="9"/>
        <v>0</v>
      </c>
      <c r="AE77" s="38"/>
      <c r="AF77" s="692">
        <f t="shared" si="10"/>
        <v>0</v>
      </c>
      <c r="AG77" s="692">
        <f t="shared" si="11"/>
        <v>0</v>
      </c>
      <c r="AH77" s="692">
        <f t="shared" si="12"/>
        <v>0</v>
      </c>
      <c r="AJ77" s="38">
        <f t="shared" si="13"/>
        <v>0</v>
      </c>
    </row>
    <row r="78" spans="1:36">
      <c r="A78" s="20"/>
      <c r="B78" s="20" t="s">
        <v>110</v>
      </c>
      <c r="C78" s="667"/>
      <c r="D78" s="68" t="s">
        <v>15</v>
      </c>
      <c r="E78" s="679"/>
      <c r="F78" s="529">
        <f>VLOOKUP(D78,'Nov 2012 Revenue'!D:T,17,FALSE)</f>
        <v>175.51000000000022</v>
      </c>
      <c r="G78" s="680"/>
      <c r="H78" s="680"/>
      <c r="I78" s="770">
        <v>8502.92</v>
      </c>
      <c r="J78" s="682">
        <f t="shared" si="0"/>
        <v>8678.43</v>
      </c>
      <c r="K78" s="683"/>
      <c r="L78" s="684"/>
      <c r="M78" s="753"/>
      <c r="N78" s="683">
        <v>0</v>
      </c>
      <c r="O78" s="686"/>
      <c r="P78" s="683">
        <v>0</v>
      </c>
      <c r="Q78" s="687">
        <f t="shared" si="1"/>
        <v>0</v>
      </c>
      <c r="R78" s="688">
        <v>0</v>
      </c>
      <c r="S78" s="693"/>
      <c r="T78" s="690">
        <f t="shared" si="2"/>
        <v>0</v>
      </c>
      <c r="U78" s="683"/>
      <c r="V78" s="474">
        <f t="shared" si="3"/>
        <v>0</v>
      </c>
      <c r="W78" s="474">
        <f t="shared" si="4"/>
        <v>0</v>
      </c>
      <c r="X78" s="475">
        <f t="shared" si="5"/>
        <v>0</v>
      </c>
      <c r="Y78" s="475">
        <v>0</v>
      </c>
      <c r="Z78" s="476">
        <v>0</v>
      </c>
      <c r="AA78" s="38">
        <f t="shared" si="6"/>
        <v>0</v>
      </c>
      <c r="AB78" s="692">
        <f t="shared" si="7"/>
        <v>8678.43</v>
      </c>
      <c r="AC78" s="692">
        <f t="shared" si="8"/>
        <v>0</v>
      </c>
      <c r="AD78" s="692">
        <f t="shared" si="9"/>
        <v>0</v>
      </c>
      <c r="AE78" s="38"/>
      <c r="AF78" s="692">
        <f t="shared" si="10"/>
        <v>0</v>
      </c>
      <c r="AG78" s="692">
        <f t="shared" si="11"/>
        <v>0</v>
      </c>
      <c r="AH78" s="692">
        <f t="shared" si="12"/>
        <v>0</v>
      </c>
      <c r="AJ78" s="38">
        <f t="shared" si="13"/>
        <v>8678.43</v>
      </c>
    </row>
    <row r="79" spans="1:36">
      <c r="A79" s="20"/>
      <c r="B79" s="20" t="s">
        <v>110</v>
      </c>
      <c r="C79" s="667"/>
      <c r="D79" s="68" t="s">
        <v>646</v>
      </c>
      <c r="E79" s="679"/>
      <c r="F79" s="529">
        <f>VLOOKUP(D79,'Nov 2012 Revenue'!D:T,17,FALSE)</f>
        <v>246.92</v>
      </c>
      <c r="G79" s="680"/>
      <c r="H79" s="680"/>
      <c r="I79" s="770">
        <v>1712.58</v>
      </c>
      <c r="J79" s="682">
        <f t="shared" si="0"/>
        <v>1959.5</v>
      </c>
      <c r="K79" s="683"/>
      <c r="L79" s="684"/>
      <c r="M79" s="753"/>
      <c r="N79" s="683">
        <v>0</v>
      </c>
      <c r="O79" s="686"/>
      <c r="P79" s="683">
        <v>0</v>
      </c>
      <c r="Q79" s="687">
        <f t="shared" si="1"/>
        <v>0</v>
      </c>
      <c r="R79" s="688">
        <v>0</v>
      </c>
      <c r="S79" s="693"/>
      <c r="T79" s="690">
        <f t="shared" si="2"/>
        <v>0</v>
      </c>
      <c r="U79" s="683"/>
      <c r="V79" s="474">
        <f t="shared" si="3"/>
        <v>0</v>
      </c>
      <c r="W79" s="474">
        <f t="shared" si="4"/>
        <v>0</v>
      </c>
      <c r="X79" s="475">
        <f t="shared" si="5"/>
        <v>0</v>
      </c>
      <c r="Y79" s="475">
        <v>0</v>
      </c>
      <c r="Z79" s="476">
        <v>0</v>
      </c>
      <c r="AA79" s="38">
        <f t="shared" si="6"/>
        <v>0</v>
      </c>
      <c r="AB79" s="692">
        <f t="shared" si="7"/>
        <v>1959.5</v>
      </c>
      <c r="AC79" s="692">
        <f t="shared" si="8"/>
        <v>0</v>
      </c>
      <c r="AD79" s="692">
        <f t="shared" si="9"/>
        <v>0</v>
      </c>
      <c r="AE79" s="38"/>
      <c r="AF79" s="692">
        <f t="shared" si="10"/>
        <v>0</v>
      </c>
      <c r="AG79" s="692">
        <f t="shared" si="11"/>
        <v>0</v>
      </c>
      <c r="AH79" s="692">
        <f t="shared" si="12"/>
        <v>0</v>
      </c>
      <c r="AJ79" s="38">
        <f t="shared" si="13"/>
        <v>1959.5</v>
      </c>
    </row>
    <row r="80" spans="1:36">
      <c r="A80" s="20" t="s">
        <v>109</v>
      </c>
      <c r="B80" s="20" t="s">
        <v>109</v>
      </c>
      <c r="C80" s="667" t="s">
        <v>539</v>
      </c>
      <c r="D80" s="68" t="s">
        <v>510</v>
      </c>
      <c r="E80" s="679"/>
      <c r="F80" s="529">
        <f>VLOOKUP(D80,'Nov 2012 Revenue'!D:T,17,FALSE)</f>
        <v>0</v>
      </c>
      <c r="G80" s="680"/>
      <c r="H80" s="680"/>
      <c r="I80" s="755"/>
      <c r="J80" s="682">
        <f t="shared" si="0"/>
        <v>0</v>
      </c>
      <c r="K80" s="683"/>
      <c r="L80" s="684"/>
      <c r="M80" s="753"/>
      <c r="N80" s="683">
        <v>0</v>
      </c>
      <c r="O80" s="686"/>
      <c r="P80" s="683">
        <v>0</v>
      </c>
      <c r="Q80" s="687">
        <f t="shared" si="1"/>
        <v>0</v>
      </c>
      <c r="R80" s="688">
        <v>0</v>
      </c>
      <c r="S80" s="693"/>
      <c r="T80" s="690">
        <f t="shared" si="2"/>
        <v>0</v>
      </c>
      <c r="U80" s="683"/>
      <c r="V80" s="474">
        <f t="shared" si="3"/>
        <v>0</v>
      </c>
      <c r="W80" s="474">
        <f t="shared" si="4"/>
        <v>0</v>
      </c>
      <c r="X80" s="475">
        <f t="shared" si="5"/>
        <v>0</v>
      </c>
      <c r="Y80" s="475">
        <v>0</v>
      </c>
      <c r="Z80" s="476">
        <v>0</v>
      </c>
      <c r="AA80" s="38">
        <f t="shared" si="6"/>
        <v>0</v>
      </c>
      <c r="AB80" s="692">
        <f t="shared" si="7"/>
        <v>0</v>
      </c>
      <c r="AC80" s="692">
        <f t="shared" si="8"/>
        <v>0</v>
      </c>
      <c r="AD80" s="692">
        <f t="shared" si="9"/>
        <v>0</v>
      </c>
      <c r="AE80" s="38"/>
      <c r="AF80" s="692">
        <f t="shared" si="10"/>
        <v>0</v>
      </c>
      <c r="AG80" s="692">
        <f t="shared" si="11"/>
        <v>0</v>
      </c>
      <c r="AH80" s="692">
        <f t="shared" si="12"/>
        <v>0</v>
      </c>
      <c r="AJ80" s="38">
        <f t="shared" si="13"/>
        <v>0</v>
      </c>
    </row>
    <row r="81" spans="1:36">
      <c r="A81" s="20"/>
      <c r="B81" s="20" t="s">
        <v>109</v>
      </c>
      <c r="C81" s="667"/>
      <c r="D81" s="68" t="s">
        <v>16</v>
      </c>
      <c r="E81" s="679"/>
      <c r="F81" s="529">
        <f>VLOOKUP(D81,'Nov 2012 Revenue'!D:T,17,FALSE)</f>
        <v>0</v>
      </c>
      <c r="G81" s="680"/>
      <c r="H81" s="680"/>
      <c r="I81" s="755"/>
      <c r="J81" s="682">
        <f t="shared" si="0"/>
        <v>0</v>
      </c>
      <c r="K81" s="683"/>
      <c r="L81" s="684"/>
      <c r="M81" s="753"/>
      <c r="N81" s="683">
        <v>0</v>
      </c>
      <c r="O81" s="686"/>
      <c r="P81" s="683">
        <v>0</v>
      </c>
      <c r="Q81" s="687">
        <f t="shared" si="1"/>
        <v>0</v>
      </c>
      <c r="R81" s="688">
        <v>0</v>
      </c>
      <c r="S81" s="693"/>
      <c r="T81" s="690">
        <f t="shared" si="2"/>
        <v>0</v>
      </c>
      <c r="U81" s="683"/>
      <c r="V81" s="474">
        <f t="shared" si="3"/>
        <v>0</v>
      </c>
      <c r="W81" s="474">
        <f t="shared" si="4"/>
        <v>0</v>
      </c>
      <c r="X81" s="475">
        <f t="shared" si="5"/>
        <v>0</v>
      </c>
      <c r="Y81" s="475">
        <v>0</v>
      </c>
      <c r="Z81" s="476">
        <v>0</v>
      </c>
      <c r="AA81" s="38">
        <f t="shared" si="6"/>
        <v>0</v>
      </c>
      <c r="AB81" s="692">
        <f t="shared" si="7"/>
        <v>0</v>
      </c>
      <c r="AC81" s="692">
        <f t="shared" si="8"/>
        <v>0</v>
      </c>
      <c r="AD81" s="692">
        <f t="shared" si="9"/>
        <v>0</v>
      </c>
      <c r="AE81" s="38"/>
      <c r="AF81" s="692">
        <f t="shared" si="10"/>
        <v>0</v>
      </c>
      <c r="AG81" s="692">
        <f t="shared" si="11"/>
        <v>0</v>
      </c>
      <c r="AH81" s="692">
        <f t="shared" si="12"/>
        <v>0</v>
      </c>
      <c r="AJ81" s="38">
        <f t="shared" si="13"/>
        <v>0</v>
      </c>
    </row>
    <row r="82" spans="1:36">
      <c r="A82" s="20"/>
      <c r="B82" s="20" t="s">
        <v>110</v>
      </c>
      <c r="C82" s="667"/>
      <c r="D82" s="68" t="s">
        <v>597</v>
      </c>
      <c r="E82" s="679"/>
      <c r="F82" s="529">
        <f>VLOOKUP(D82,'Nov 2012 Revenue'!D:T,17,FALSE)</f>
        <v>15785.999999999985</v>
      </c>
      <c r="G82" s="680"/>
      <c r="H82" s="680"/>
      <c r="I82" s="755"/>
      <c r="J82" s="682">
        <f t="shared" si="0"/>
        <v>15785.999999999985</v>
      </c>
      <c r="K82" s="683"/>
      <c r="L82" s="684"/>
      <c r="M82" s="753">
        <v>100000</v>
      </c>
      <c r="N82" s="683">
        <v>0</v>
      </c>
      <c r="O82" s="686"/>
      <c r="P82" s="683">
        <v>0</v>
      </c>
      <c r="Q82" s="687">
        <f t="shared" si="1"/>
        <v>100000</v>
      </c>
      <c r="R82" s="688">
        <f>100416.75+23695.3+14531</f>
        <v>138643.04999999999</v>
      </c>
      <c r="S82" s="693"/>
      <c r="T82" s="690">
        <f t="shared" si="2"/>
        <v>38643.049999999988</v>
      </c>
      <c r="U82" s="683"/>
      <c r="V82" s="474">
        <f t="shared" si="3"/>
        <v>100000</v>
      </c>
      <c r="W82" s="474">
        <f t="shared" si="4"/>
        <v>0</v>
      </c>
      <c r="X82" s="475">
        <f t="shared" si="5"/>
        <v>0</v>
      </c>
      <c r="Y82" s="475">
        <v>0</v>
      </c>
      <c r="Z82" s="476">
        <v>0</v>
      </c>
      <c r="AA82" s="38">
        <f t="shared" si="6"/>
        <v>0</v>
      </c>
      <c r="AB82" s="692">
        <f t="shared" si="7"/>
        <v>15785.999999999985</v>
      </c>
      <c r="AC82" s="692">
        <f t="shared" si="8"/>
        <v>0</v>
      </c>
      <c r="AD82" s="692">
        <f t="shared" si="9"/>
        <v>0</v>
      </c>
      <c r="AE82" s="38"/>
      <c r="AF82" s="692">
        <f t="shared" si="10"/>
        <v>100000</v>
      </c>
      <c r="AG82" s="692">
        <f t="shared" si="11"/>
        <v>0</v>
      </c>
      <c r="AH82" s="692">
        <f t="shared" si="12"/>
        <v>0</v>
      </c>
      <c r="AJ82" s="38">
        <f t="shared" si="13"/>
        <v>115785.99999999999</v>
      </c>
    </row>
    <row r="83" spans="1:36" s="232" customFormat="1">
      <c r="A83" s="283"/>
      <c r="B83" s="283" t="s">
        <v>109</v>
      </c>
      <c r="C83" s="667" t="s">
        <v>540</v>
      </c>
      <c r="D83" s="373" t="s">
        <v>410</v>
      </c>
      <c r="E83" s="679"/>
      <c r="F83" s="529">
        <f>VLOOKUP(D83,'Nov 2012 Revenue'!D:T,17,FALSE)</f>
        <v>-5000</v>
      </c>
      <c r="G83" s="680"/>
      <c r="H83" s="680"/>
      <c r="I83" s="755"/>
      <c r="J83" s="682">
        <f t="shared" si="0"/>
        <v>-5000</v>
      </c>
      <c r="K83" s="683"/>
      <c r="L83" s="684"/>
      <c r="M83" s="753"/>
      <c r="N83" s="683">
        <v>0</v>
      </c>
      <c r="O83" s="686"/>
      <c r="P83" s="683">
        <v>0</v>
      </c>
      <c r="Q83" s="687">
        <f t="shared" si="1"/>
        <v>0</v>
      </c>
      <c r="R83" s="688">
        <v>16913.849999999999</v>
      </c>
      <c r="S83" s="693"/>
      <c r="T83" s="690">
        <f t="shared" si="2"/>
        <v>16913.849999999999</v>
      </c>
      <c r="U83" s="683"/>
      <c r="V83" s="474">
        <f t="shared" si="3"/>
        <v>0</v>
      </c>
      <c r="W83" s="474">
        <f t="shared" si="4"/>
        <v>0</v>
      </c>
      <c r="X83" s="475">
        <f t="shared" si="5"/>
        <v>0</v>
      </c>
      <c r="Y83" s="475">
        <v>0</v>
      </c>
      <c r="Z83" s="476">
        <v>0</v>
      </c>
      <c r="AA83" s="38">
        <f t="shared" si="6"/>
        <v>0</v>
      </c>
      <c r="AB83" s="692">
        <f t="shared" ref="AB83:AB146" si="16">IF(B83="D",J83,0)</f>
        <v>0</v>
      </c>
      <c r="AC83" s="692">
        <f t="shared" ref="AC83:AC146" si="17">IF(B83="M",J83,0)</f>
        <v>-5000</v>
      </c>
      <c r="AD83" s="692">
        <f t="shared" ref="AD83:AD146" si="18">IF(B83="V",J83,0)</f>
        <v>0</v>
      </c>
      <c r="AE83" s="38"/>
      <c r="AF83" s="692">
        <f t="shared" ref="AF83:AF148" si="19">IF(B83="D",Q83,0)</f>
        <v>0</v>
      </c>
      <c r="AG83" s="692">
        <f t="shared" ref="AG83:AG148" si="20">IF(B83="M",Q83,0)</f>
        <v>0</v>
      </c>
      <c r="AH83" s="692">
        <f t="shared" ref="AH83:AH148" si="21">IF(B83="V",Q83,0)</f>
        <v>0</v>
      </c>
      <c r="AJ83" s="38">
        <f t="shared" si="13"/>
        <v>-5000</v>
      </c>
    </row>
    <row r="84" spans="1:36" s="232" customFormat="1">
      <c r="A84" s="283"/>
      <c r="B84" s="283" t="s">
        <v>109</v>
      </c>
      <c r="C84" s="667" t="s">
        <v>540</v>
      </c>
      <c r="D84" s="373" t="s">
        <v>879</v>
      </c>
      <c r="E84" s="679"/>
      <c r="F84" s="529">
        <f>VLOOKUP(D84,'Nov 2012 Revenue'!D:T,17,FALSE)</f>
        <v>-15519.08</v>
      </c>
      <c r="G84" s="680"/>
      <c r="H84" s="680"/>
      <c r="I84" s="755"/>
      <c r="J84" s="682">
        <f t="shared" ref="J84:J147" si="22">SUM(E84:I84)</f>
        <v>-15519.08</v>
      </c>
      <c r="K84" s="683"/>
      <c r="L84" s="684"/>
      <c r="M84" s="753">
        <v>5000</v>
      </c>
      <c r="N84" s="683">
        <v>0</v>
      </c>
      <c r="O84" s="686"/>
      <c r="P84" s="683">
        <v>0</v>
      </c>
      <c r="Q84" s="687">
        <f t="shared" si="1"/>
        <v>5000</v>
      </c>
      <c r="R84" s="688">
        <v>5053.91</v>
      </c>
      <c r="S84" s="693"/>
      <c r="T84" s="690">
        <f t="shared" ref="T84:T148" si="23">IF(R84="","",R84-Q84)</f>
        <v>53.909999999999854</v>
      </c>
      <c r="U84" s="683"/>
      <c r="V84" s="474">
        <f t="shared" ref="V84:V148" si="24">IF(B84="D",Q84,0)</f>
        <v>0</v>
      </c>
      <c r="W84" s="474">
        <f t="shared" ref="W84:W148" si="25">IF(B84="M",Q84,0)</f>
        <v>5000</v>
      </c>
      <c r="X84" s="475">
        <f t="shared" ref="X84:X148" si="26">IF(B84="V",Q84,0)</f>
        <v>0</v>
      </c>
      <c r="Y84" s="475">
        <v>0</v>
      </c>
      <c r="Z84" s="476">
        <v>0</v>
      </c>
      <c r="AA84" s="38">
        <f t="shared" ref="AA84:AA148" si="27">(L84+M84)-(V84+W84+X84+Y84+Z84)</f>
        <v>0</v>
      </c>
      <c r="AB84" s="692">
        <f t="shared" si="16"/>
        <v>0</v>
      </c>
      <c r="AC84" s="692">
        <f t="shared" si="17"/>
        <v>-15519.08</v>
      </c>
      <c r="AD84" s="692">
        <f t="shared" si="18"/>
        <v>0</v>
      </c>
      <c r="AE84" s="38"/>
      <c r="AF84" s="692">
        <f t="shared" si="19"/>
        <v>0</v>
      </c>
      <c r="AG84" s="692">
        <f t="shared" si="20"/>
        <v>5000</v>
      </c>
      <c r="AH84" s="692">
        <f t="shared" si="21"/>
        <v>0</v>
      </c>
      <c r="AJ84" s="38">
        <f t="shared" si="13"/>
        <v>-10519.08</v>
      </c>
    </row>
    <row r="85" spans="1:36" s="232" customFormat="1">
      <c r="A85" s="283"/>
      <c r="B85" s="283" t="s">
        <v>109</v>
      </c>
      <c r="C85" s="667" t="s">
        <v>540</v>
      </c>
      <c r="D85" s="373" t="s">
        <v>620</v>
      </c>
      <c r="E85" s="679"/>
      <c r="F85" s="529">
        <f>VLOOKUP(D85,'Nov 2012 Revenue'!D:T,17,FALSE)</f>
        <v>0</v>
      </c>
      <c r="G85" s="680"/>
      <c r="H85" s="680"/>
      <c r="I85" s="755"/>
      <c r="J85" s="682">
        <f t="shared" si="22"/>
        <v>0</v>
      </c>
      <c r="K85" s="683"/>
      <c r="L85" s="684"/>
      <c r="M85" s="753"/>
      <c r="N85" s="683">
        <v>0</v>
      </c>
      <c r="O85" s="686"/>
      <c r="P85" s="683">
        <v>0</v>
      </c>
      <c r="Q85" s="687">
        <f t="shared" si="1"/>
        <v>0</v>
      </c>
      <c r="R85" s="688">
        <v>0</v>
      </c>
      <c r="S85" s="693"/>
      <c r="T85" s="690">
        <f t="shared" si="23"/>
        <v>0</v>
      </c>
      <c r="U85" s="683"/>
      <c r="V85" s="474">
        <f t="shared" si="24"/>
        <v>0</v>
      </c>
      <c r="W85" s="474">
        <f t="shared" si="25"/>
        <v>0</v>
      </c>
      <c r="X85" s="475">
        <f t="shared" si="26"/>
        <v>0</v>
      </c>
      <c r="Y85" s="475">
        <v>0</v>
      </c>
      <c r="Z85" s="476">
        <v>0</v>
      </c>
      <c r="AA85" s="38">
        <f t="shared" si="27"/>
        <v>0</v>
      </c>
      <c r="AB85" s="692">
        <f t="shared" si="16"/>
        <v>0</v>
      </c>
      <c r="AC85" s="692">
        <f t="shared" si="17"/>
        <v>0</v>
      </c>
      <c r="AD85" s="692">
        <f t="shared" si="18"/>
        <v>0</v>
      </c>
      <c r="AE85" s="38"/>
      <c r="AF85" s="692">
        <f t="shared" si="19"/>
        <v>0</v>
      </c>
      <c r="AG85" s="692">
        <f t="shared" si="20"/>
        <v>0</v>
      </c>
      <c r="AH85" s="692">
        <f t="shared" si="21"/>
        <v>0</v>
      </c>
      <c r="AJ85" s="38">
        <f t="shared" ref="AJ85:AJ150" si="28">SUM(AB85:AH85)</f>
        <v>0</v>
      </c>
    </row>
    <row r="86" spans="1:36">
      <c r="A86" s="20"/>
      <c r="B86" s="20" t="s">
        <v>110</v>
      </c>
      <c r="C86" s="667" t="s">
        <v>541</v>
      </c>
      <c r="D86" s="351" t="s">
        <v>507</v>
      </c>
      <c r="E86" s="679"/>
      <c r="F86" s="529">
        <f>VLOOKUP(D86,'Nov 2012 Revenue'!D:T,17,FALSE)</f>
        <v>0</v>
      </c>
      <c r="G86" s="680"/>
      <c r="H86" s="680"/>
      <c r="I86" s="755"/>
      <c r="J86" s="682">
        <f t="shared" si="22"/>
        <v>0</v>
      </c>
      <c r="K86" s="683"/>
      <c r="L86" s="684"/>
      <c r="M86" s="753"/>
      <c r="N86" s="683">
        <v>0</v>
      </c>
      <c r="O86" s="686"/>
      <c r="P86" s="683">
        <v>0</v>
      </c>
      <c r="Q86" s="687">
        <f t="shared" si="1"/>
        <v>0</v>
      </c>
      <c r="R86" s="688">
        <v>0</v>
      </c>
      <c r="S86" s="693"/>
      <c r="T86" s="690">
        <f t="shared" si="23"/>
        <v>0</v>
      </c>
      <c r="U86" s="683"/>
      <c r="V86" s="474">
        <f t="shared" si="24"/>
        <v>0</v>
      </c>
      <c r="W86" s="474">
        <f t="shared" si="25"/>
        <v>0</v>
      </c>
      <c r="X86" s="475">
        <f t="shared" si="26"/>
        <v>0</v>
      </c>
      <c r="Y86" s="475">
        <v>0</v>
      </c>
      <c r="Z86" s="476">
        <v>0</v>
      </c>
      <c r="AA86" s="38">
        <f t="shared" si="27"/>
        <v>0</v>
      </c>
      <c r="AB86" s="692">
        <f t="shared" si="16"/>
        <v>0</v>
      </c>
      <c r="AC86" s="692">
        <f t="shared" si="17"/>
        <v>0</v>
      </c>
      <c r="AD86" s="692">
        <f t="shared" si="18"/>
        <v>0</v>
      </c>
      <c r="AE86" s="38"/>
      <c r="AF86" s="692">
        <f t="shared" si="19"/>
        <v>0</v>
      </c>
      <c r="AG86" s="692">
        <f t="shared" si="20"/>
        <v>0</v>
      </c>
      <c r="AH86" s="692">
        <f t="shared" si="21"/>
        <v>0</v>
      </c>
      <c r="AJ86" s="38">
        <f t="shared" si="28"/>
        <v>0</v>
      </c>
    </row>
    <row r="87" spans="1:36">
      <c r="A87" s="20"/>
      <c r="B87" s="20" t="s">
        <v>110</v>
      </c>
      <c r="C87" s="667" t="s">
        <v>541</v>
      </c>
      <c r="D87" s="351" t="s">
        <v>506</v>
      </c>
      <c r="E87" s="679"/>
      <c r="F87" s="529">
        <f>VLOOKUP(D87,'Nov 2012 Revenue'!D:T,17,FALSE)</f>
        <v>0</v>
      </c>
      <c r="G87" s="680"/>
      <c r="H87" s="680"/>
      <c r="I87" s="755"/>
      <c r="J87" s="682">
        <f t="shared" si="22"/>
        <v>0</v>
      </c>
      <c r="K87" s="683"/>
      <c r="L87" s="684"/>
      <c r="M87" s="753"/>
      <c r="N87" s="683">
        <v>0</v>
      </c>
      <c r="O87" s="686"/>
      <c r="P87" s="683">
        <v>0</v>
      </c>
      <c r="Q87" s="687">
        <f t="shared" si="1"/>
        <v>0</v>
      </c>
      <c r="R87" s="688">
        <v>0</v>
      </c>
      <c r="S87" s="693"/>
      <c r="T87" s="690">
        <f t="shared" si="23"/>
        <v>0</v>
      </c>
      <c r="U87" s="683"/>
      <c r="V87" s="474">
        <f t="shared" si="24"/>
        <v>0</v>
      </c>
      <c r="W87" s="474">
        <f t="shared" si="25"/>
        <v>0</v>
      </c>
      <c r="X87" s="475">
        <f t="shared" si="26"/>
        <v>0</v>
      </c>
      <c r="Y87" s="475">
        <v>0</v>
      </c>
      <c r="Z87" s="476">
        <v>0</v>
      </c>
      <c r="AA87" s="38">
        <f t="shared" si="27"/>
        <v>0</v>
      </c>
      <c r="AB87" s="692">
        <f t="shared" si="16"/>
        <v>0</v>
      </c>
      <c r="AC87" s="692">
        <f t="shared" si="17"/>
        <v>0</v>
      </c>
      <c r="AD87" s="692">
        <f t="shared" si="18"/>
        <v>0</v>
      </c>
      <c r="AE87" s="38"/>
      <c r="AF87" s="692">
        <f t="shared" si="19"/>
        <v>0</v>
      </c>
      <c r="AG87" s="692">
        <f t="shared" si="20"/>
        <v>0</v>
      </c>
      <c r="AH87" s="692">
        <f t="shared" si="21"/>
        <v>0</v>
      </c>
      <c r="AJ87" s="38">
        <f t="shared" si="28"/>
        <v>0</v>
      </c>
    </row>
    <row r="88" spans="1:36">
      <c r="A88" s="20"/>
      <c r="B88" s="20" t="s">
        <v>110</v>
      </c>
      <c r="C88" s="667" t="s">
        <v>542</v>
      </c>
      <c r="D88" s="68" t="s">
        <v>305</v>
      </c>
      <c r="E88" s="679"/>
      <c r="F88" s="529">
        <f>VLOOKUP(D88,'Nov 2012 Revenue'!D:T,17,FALSE)</f>
        <v>0</v>
      </c>
      <c r="G88" s="680"/>
      <c r="H88" s="680"/>
      <c r="I88" s="755"/>
      <c r="J88" s="682">
        <f t="shared" si="22"/>
        <v>0</v>
      </c>
      <c r="K88" s="683"/>
      <c r="L88" s="684"/>
      <c r="M88" s="753"/>
      <c r="N88" s="683">
        <v>0</v>
      </c>
      <c r="O88" s="686"/>
      <c r="P88" s="683">
        <v>0</v>
      </c>
      <c r="Q88" s="687">
        <f t="shared" si="1"/>
        <v>0</v>
      </c>
      <c r="R88" s="688">
        <v>0</v>
      </c>
      <c r="S88" s="693"/>
      <c r="T88" s="690">
        <f t="shared" si="23"/>
        <v>0</v>
      </c>
      <c r="U88" s="683"/>
      <c r="V88" s="474">
        <f t="shared" si="24"/>
        <v>0</v>
      </c>
      <c r="W88" s="474">
        <f t="shared" si="25"/>
        <v>0</v>
      </c>
      <c r="X88" s="475">
        <f t="shared" si="26"/>
        <v>0</v>
      </c>
      <c r="Y88" s="475">
        <v>0</v>
      </c>
      <c r="Z88" s="476">
        <v>0</v>
      </c>
      <c r="AA88" s="38">
        <f t="shared" si="27"/>
        <v>0</v>
      </c>
      <c r="AB88" s="692">
        <f t="shared" si="16"/>
        <v>0</v>
      </c>
      <c r="AC88" s="692">
        <f t="shared" si="17"/>
        <v>0</v>
      </c>
      <c r="AD88" s="692">
        <f t="shared" si="18"/>
        <v>0</v>
      </c>
      <c r="AE88" s="38"/>
      <c r="AF88" s="692">
        <f t="shared" si="19"/>
        <v>0</v>
      </c>
      <c r="AG88" s="692">
        <f t="shared" si="20"/>
        <v>0</v>
      </c>
      <c r="AH88" s="692">
        <f t="shared" si="21"/>
        <v>0</v>
      </c>
      <c r="AJ88" s="38">
        <f t="shared" si="28"/>
        <v>0</v>
      </c>
    </row>
    <row r="89" spans="1:36">
      <c r="A89" s="20"/>
      <c r="B89" s="20" t="s">
        <v>110</v>
      </c>
      <c r="C89" s="667" t="s">
        <v>543</v>
      </c>
      <c r="D89" s="68" t="s">
        <v>199</v>
      </c>
      <c r="E89" s="679"/>
      <c r="F89" s="529">
        <f>VLOOKUP(D89,'Nov 2012 Revenue'!D:T,17,FALSE)</f>
        <v>0</v>
      </c>
      <c r="G89" s="680"/>
      <c r="H89" s="680"/>
      <c r="I89" s="755"/>
      <c r="J89" s="682">
        <f t="shared" si="22"/>
        <v>0</v>
      </c>
      <c r="K89" s="683"/>
      <c r="L89" s="684"/>
      <c r="M89" s="753"/>
      <c r="N89" s="683">
        <v>0</v>
      </c>
      <c r="O89" s="686"/>
      <c r="P89" s="683">
        <v>0</v>
      </c>
      <c r="Q89" s="687">
        <f t="shared" si="1"/>
        <v>0</v>
      </c>
      <c r="R89" s="688">
        <v>0</v>
      </c>
      <c r="S89" s="693"/>
      <c r="T89" s="690">
        <f t="shared" si="23"/>
        <v>0</v>
      </c>
      <c r="U89" s="683"/>
      <c r="V89" s="474">
        <f t="shared" si="24"/>
        <v>0</v>
      </c>
      <c r="W89" s="474">
        <f t="shared" si="25"/>
        <v>0</v>
      </c>
      <c r="X89" s="475">
        <f t="shared" si="26"/>
        <v>0</v>
      </c>
      <c r="Y89" s="475">
        <v>0</v>
      </c>
      <c r="Z89" s="476">
        <v>0</v>
      </c>
      <c r="AA89" s="38">
        <f t="shared" si="27"/>
        <v>0</v>
      </c>
      <c r="AB89" s="692">
        <f t="shared" si="16"/>
        <v>0</v>
      </c>
      <c r="AC89" s="692">
        <f t="shared" si="17"/>
        <v>0</v>
      </c>
      <c r="AD89" s="692">
        <f t="shared" si="18"/>
        <v>0</v>
      </c>
      <c r="AE89" s="38"/>
      <c r="AF89" s="692">
        <f t="shared" si="19"/>
        <v>0</v>
      </c>
      <c r="AG89" s="692">
        <f t="shared" si="20"/>
        <v>0</v>
      </c>
      <c r="AH89" s="692">
        <f t="shared" si="21"/>
        <v>0</v>
      </c>
      <c r="AJ89" s="38">
        <f t="shared" si="28"/>
        <v>0</v>
      </c>
    </row>
    <row r="90" spans="1:36">
      <c r="A90" s="20"/>
      <c r="B90" s="20" t="s">
        <v>110</v>
      </c>
      <c r="C90" s="667" t="s">
        <v>543</v>
      </c>
      <c r="D90" s="68" t="s">
        <v>200</v>
      </c>
      <c r="E90" s="679"/>
      <c r="F90" s="529">
        <f>VLOOKUP(D90,'Nov 2012 Revenue'!D:T,17,FALSE)</f>
        <v>0</v>
      </c>
      <c r="G90" s="680"/>
      <c r="H90" s="680"/>
      <c r="I90" s="755"/>
      <c r="J90" s="682">
        <f t="shared" si="22"/>
        <v>0</v>
      </c>
      <c r="K90" s="683"/>
      <c r="L90" s="684"/>
      <c r="M90" s="753"/>
      <c r="N90" s="683">
        <v>0</v>
      </c>
      <c r="O90" s="686"/>
      <c r="P90" s="683">
        <v>0</v>
      </c>
      <c r="Q90" s="687">
        <f t="shared" si="1"/>
        <v>0</v>
      </c>
      <c r="R90" s="688">
        <v>0</v>
      </c>
      <c r="S90" s="693"/>
      <c r="T90" s="690">
        <f t="shared" si="23"/>
        <v>0</v>
      </c>
      <c r="U90" s="683"/>
      <c r="V90" s="474">
        <f t="shared" si="24"/>
        <v>0</v>
      </c>
      <c r="W90" s="474">
        <f t="shared" si="25"/>
        <v>0</v>
      </c>
      <c r="X90" s="475">
        <f t="shared" si="26"/>
        <v>0</v>
      </c>
      <c r="Y90" s="475">
        <v>0</v>
      </c>
      <c r="Z90" s="476">
        <v>0</v>
      </c>
      <c r="AA90" s="38">
        <f t="shared" si="27"/>
        <v>0</v>
      </c>
      <c r="AB90" s="692">
        <f t="shared" si="16"/>
        <v>0</v>
      </c>
      <c r="AC90" s="692">
        <f t="shared" si="17"/>
        <v>0</v>
      </c>
      <c r="AD90" s="692">
        <f t="shared" si="18"/>
        <v>0</v>
      </c>
      <c r="AE90" s="38"/>
      <c r="AF90" s="692">
        <f t="shared" si="19"/>
        <v>0</v>
      </c>
      <c r="AG90" s="692">
        <f t="shared" si="20"/>
        <v>0</v>
      </c>
      <c r="AH90" s="692">
        <f t="shared" si="21"/>
        <v>0</v>
      </c>
      <c r="AJ90" s="38">
        <f t="shared" si="28"/>
        <v>0</v>
      </c>
    </row>
    <row r="91" spans="1:36">
      <c r="A91" s="20"/>
      <c r="B91" s="20" t="s">
        <v>110</v>
      </c>
      <c r="C91" s="667" t="s">
        <v>543</v>
      </c>
      <c r="D91" s="68" t="s">
        <v>201</v>
      </c>
      <c r="E91" s="679"/>
      <c r="F91" s="529">
        <f>VLOOKUP(D91,'Nov 2012 Revenue'!D:T,17,FALSE)</f>
        <v>0</v>
      </c>
      <c r="G91" s="680"/>
      <c r="H91" s="680"/>
      <c r="I91" s="755"/>
      <c r="J91" s="682">
        <f t="shared" si="22"/>
        <v>0</v>
      </c>
      <c r="K91" s="683"/>
      <c r="L91" s="684"/>
      <c r="M91" s="753"/>
      <c r="N91" s="683">
        <v>0</v>
      </c>
      <c r="O91" s="686"/>
      <c r="P91" s="683">
        <v>0</v>
      </c>
      <c r="Q91" s="687">
        <f t="shared" si="1"/>
        <v>0</v>
      </c>
      <c r="R91" s="688">
        <v>0</v>
      </c>
      <c r="S91" s="693"/>
      <c r="T91" s="690">
        <f t="shared" si="23"/>
        <v>0</v>
      </c>
      <c r="U91" s="683"/>
      <c r="V91" s="474">
        <f t="shared" si="24"/>
        <v>0</v>
      </c>
      <c r="W91" s="474">
        <f t="shared" si="25"/>
        <v>0</v>
      </c>
      <c r="X91" s="475">
        <f t="shared" si="26"/>
        <v>0</v>
      </c>
      <c r="Y91" s="475">
        <v>0</v>
      </c>
      <c r="Z91" s="476">
        <v>0</v>
      </c>
      <c r="AA91" s="38">
        <f t="shared" si="27"/>
        <v>0</v>
      </c>
      <c r="AB91" s="692">
        <f t="shared" si="16"/>
        <v>0</v>
      </c>
      <c r="AC91" s="692">
        <f t="shared" si="17"/>
        <v>0</v>
      </c>
      <c r="AD91" s="692">
        <f t="shared" si="18"/>
        <v>0</v>
      </c>
      <c r="AE91" s="38"/>
      <c r="AF91" s="692">
        <f t="shared" si="19"/>
        <v>0</v>
      </c>
      <c r="AG91" s="692">
        <f t="shared" si="20"/>
        <v>0</v>
      </c>
      <c r="AH91" s="692">
        <f t="shared" si="21"/>
        <v>0</v>
      </c>
      <c r="AJ91" s="38">
        <f t="shared" si="28"/>
        <v>0</v>
      </c>
    </row>
    <row r="92" spans="1:36">
      <c r="A92" s="20" t="s">
        <v>97</v>
      </c>
      <c r="B92" s="20" t="s">
        <v>114</v>
      </c>
      <c r="C92" s="667"/>
      <c r="D92" s="68" t="s">
        <v>387</v>
      </c>
      <c r="E92" s="679"/>
      <c r="F92" s="529">
        <f>VLOOKUP(D92,'Nov 2012 Revenue'!D:T,17,FALSE)</f>
        <v>-288.34000000000015</v>
      </c>
      <c r="G92" s="680"/>
      <c r="H92" s="680"/>
      <c r="I92" s="755"/>
      <c r="J92" s="682">
        <f t="shared" si="22"/>
        <v>-288.34000000000015</v>
      </c>
      <c r="K92" s="683"/>
      <c r="L92" s="684"/>
      <c r="M92" s="753">
        <v>10000</v>
      </c>
      <c r="N92" s="683">
        <v>0</v>
      </c>
      <c r="O92" s="686"/>
      <c r="P92" s="683">
        <v>0</v>
      </c>
      <c r="Q92" s="687">
        <f t="shared" si="1"/>
        <v>10000</v>
      </c>
      <c r="R92" s="688">
        <v>13956.02</v>
      </c>
      <c r="S92" s="693"/>
      <c r="T92" s="690">
        <f t="shared" si="23"/>
        <v>3956.0200000000004</v>
      </c>
      <c r="U92" s="683"/>
      <c r="V92" s="474">
        <f t="shared" si="24"/>
        <v>0</v>
      </c>
      <c r="W92" s="474">
        <f t="shared" si="25"/>
        <v>0</v>
      </c>
      <c r="X92" s="475">
        <f t="shared" si="26"/>
        <v>10000</v>
      </c>
      <c r="Y92" s="475">
        <v>0</v>
      </c>
      <c r="Z92" s="476">
        <v>0</v>
      </c>
      <c r="AA92" s="38">
        <f t="shared" si="27"/>
        <v>0</v>
      </c>
      <c r="AB92" s="692">
        <f t="shared" si="16"/>
        <v>0</v>
      </c>
      <c r="AC92" s="692">
        <f t="shared" si="17"/>
        <v>0</v>
      </c>
      <c r="AD92" s="692">
        <f t="shared" si="18"/>
        <v>-288.34000000000015</v>
      </c>
      <c r="AE92" s="38"/>
      <c r="AF92" s="692">
        <f t="shared" si="19"/>
        <v>0</v>
      </c>
      <c r="AG92" s="692">
        <f t="shared" si="20"/>
        <v>0</v>
      </c>
      <c r="AH92" s="692">
        <f t="shared" si="21"/>
        <v>10000</v>
      </c>
      <c r="AJ92" s="38">
        <f t="shared" si="28"/>
        <v>9711.66</v>
      </c>
    </row>
    <row r="93" spans="1:36">
      <c r="A93" s="20" t="s">
        <v>97</v>
      </c>
      <c r="B93" s="20" t="s">
        <v>114</v>
      </c>
      <c r="C93" s="667"/>
      <c r="D93" s="68" t="s">
        <v>482</v>
      </c>
      <c r="E93" s="679"/>
      <c r="F93" s="529">
        <f>VLOOKUP(D93,'Nov 2012 Revenue'!D:T,17,FALSE)</f>
        <v>0</v>
      </c>
      <c r="G93" s="680"/>
      <c r="H93" s="680"/>
      <c r="I93" s="755"/>
      <c r="J93" s="682">
        <f t="shared" si="22"/>
        <v>0</v>
      </c>
      <c r="K93" s="683"/>
      <c r="L93" s="684"/>
      <c r="M93" s="753"/>
      <c r="N93" s="683"/>
      <c r="O93" s="686"/>
      <c r="P93" s="683"/>
      <c r="Q93" s="687">
        <f t="shared" si="1"/>
        <v>0</v>
      </c>
      <c r="R93" s="688">
        <v>0</v>
      </c>
      <c r="S93" s="693"/>
      <c r="T93" s="690">
        <f t="shared" si="23"/>
        <v>0</v>
      </c>
      <c r="U93" s="683"/>
      <c r="V93" s="474">
        <f t="shared" si="24"/>
        <v>0</v>
      </c>
      <c r="W93" s="474">
        <f t="shared" si="25"/>
        <v>0</v>
      </c>
      <c r="X93" s="475">
        <f t="shared" si="26"/>
        <v>0</v>
      </c>
      <c r="Y93" s="475">
        <v>0</v>
      </c>
      <c r="Z93" s="476">
        <v>0</v>
      </c>
      <c r="AA93" s="38">
        <f t="shared" si="27"/>
        <v>0</v>
      </c>
      <c r="AB93" s="692">
        <f t="shared" si="16"/>
        <v>0</v>
      </c>
      <c r="AC93" s="692">
        <f t="shared" si="17"/>
        <v>0</v>
      </c>
      <c r="AD93" s="692">
        <f t="shared" si="18"/>
        <v>0</v>
      </c>
      <c r="AE93" s="38"/>
      <c r="AF93" s="692">
        <f t="shared" si="19"/>
        <v>0</v>
      </c>
      <c r="AG93" s="692">
        <f t="shared" si="20"/>
        <v>0</v>
      </c>
      <c r="AH93" s="692">
        <f t="shared" si="21"/>
        <v>0</v>
      </c>
      <c r="AJ93" s="38">
        <f t="shared" si="28"/>
        <v>0</v>
      </c>
    </row>
    <row r="94" spans="1:36">
      <c r="A94" s="20" t="s">
        <v>109</v>
      </c>
      <c r="B94" s="20" t="s">
        <v>109</v>
      </c>
      <c r="C94" s="667" t="s">
        <v>544</v>
      </c>
      <c r="D94" s="68" t="s">
        <v>383</v>
      </c>
      <c r="E94" s="679"/>
      <c r="F94" s="529">
        <f>VLOOKUP(D94,'Nov 2012 Revenue'!D:T,17,FALSE)</f>
        <v>204.98</v>
      </c>
      <c r="G94" s="680"/>
      <c r="H94" s="680"/>
      <c r="I94" s="755"/>
      <c r="J94" s="682">
        <f t="shared" si="22"/>
        <v>204.98</v>
      </c>
      <c r="K94" s="683"/>
      <c r="L94" s="684"/>
      <c r="M94" s="753"/>
      <c r="N94" s="683">
        <v>0</v>
      </c>
      <c r="O94" s="686"/>
      <c r="P94" s="683">
        <v>0</v>
      </c>
      <c r="Q94" s="687">
        <f t="shared" si="1"/>
        <v>0</v>
      </c>
      <c r="R94" s="688">
        <v>92.08</v>
      </c>
      <c r="S94" s="693"/>
      <c r="T94" s="690">
        <f t="shared" si="23"/>
        <v>92.08</v>
      </c>
      <c r="U94" s="683"/>
      <c r="V94" s="474">
        <f t="shared" si="24"/>
        <v>0</v>
      </c>
      <c r="W94" s="474">
        <f t="shared" si="25"/>
        <v>0</v>
      </c>
      <c r="X94" s="475">
        <f t="shared" si="26"/>
        <v>0</v>
      </c>
      <c r="Y94" s="475">
        <v>0</v>
      </c>
      <c r="Z94" s="476">
        <v>0</v>
      </c>
      <c r="AA94" s="38">
        <f t="shared" si="27"/>
        <v>0</v>
      </c>
      <c r="AB94" s="692">
        <f t="shared" si="16"/>
        <v>0</v>
      </c>
      <c r="AC94" s="692">
        <f t="shared" si="17"/>
        <v>204.98</v>
      </c>
      <c r="AD94" s="692">
        <f t="shared" si="18"/>
        <v>0</v>
      </c>
      <c r="AE94" s="38"/>
      <c r="AF94" s="692">
        <f t="shared" si="19"/>
        <v>0</v>
      </c>
      <c r="AG94" s="692">
        <f t="shared" si="20"/>
        <v>0</v>
      </c>
      <c r="AH94" s="692">
        <f t="shared" si="21"/>
        <v>0</v>
      </c>
      <c r="AJ94" s="38">
        <f t="shared" si="28"/>
        <v>204.98</v>
      </c>
    </row>
    <row r="95" spans="1:36">
      <c r="A95" s="21" t="s">
        <v>211</v>
      </c>
      <c r="B95" s="21" t="s">
        <v>109</v>
      </c>
      <c r="C95" s="666" t="s">
        <v>545</v>
      </c>
      <c r="D95" s="68" t="s">
        <v>181</v>
      </c>
      <c r="E95" s="679"/>
      <c r="F95" s="529">
        <f>VLOOKUP(D95,'Nov 2012 Revenue'!D:T,17,FALSE)</f>
        <v>-17000</v>
      </c>
      <c r="G95" s="680"/>
      <c r="H95" s="680"/>
      <c r="I95" s="755"/>
      <c r="J95" s="682">
        <f t="shared" si="22"/>
        <v>-17000</v>
      </c>
      <c r="K95" s="683"/>
      <c r="L95" s="684"/>
      <c r="M95" s="753">
        <v>20000</v>
      </c>
      <c r="N95" s="683">
        <v>0</v>
      </c>
      <c r="O95" s="686"/>
      <c r="P95" s="683">
        <v>0</v>
      </c>
      <c r="Q95" s="687">
        <f t="shared" si="1"/>
        <v>20000</v>
      </c>
      <c r="R95" s="688">
        <v>0</v>
      </c>
      <c r="S95" s="693"/>
      <c r="T95" s="690">
        <f t="shared" si="23"/>
        <v>-20000</v>
      </c>
      <c r="U95" s="683"/>
      <c r="V95" s="474">
        <f t="shared" si="24"/>
        <v>0</v>
      </c>
      <c r="W95" s="474">
        <f t="shared" si="25"/>
        <v>20000</v>
      </c>
      <c r="X95" s="475">
        <f t="shared" si="26"/>
        <v>0</v>
      </c>
      <c r="Y95" s="475">
        <v>0</v>
      </c>
      <c r="Z95" s="476">
        <v>0</v>
      </c>
      <c r="AA95" s="38">
        <f t="shared" si="27"/>
        <v>0</v>
      </c>
      <c r="AB95" s="692">
        <f t="shared" si="16"/>
        <v>0</v>
      </c>
      <c r="AC95" s="692">
        <f t="shared" si="17"/>
        <v>-17000</v>
      </c>
      <c r="AD95" s="692">
        <f t="shared" si="18"/>
        <v>0</v>
      </c>
      <c r="AE95" s="38"/>
      <c r="AF95" s="692">
        <f t="shared" si="19"/>
        <v>0</v>
      </c>
      <c r="AG95" s="692">
        <f t="shared" si="20"/>
        <v>20000</v>
      </c>
      <c r="AH95" s="692">
        <f t="shared" si="21"/>
        <v>0</v>
      </c>
      <c r="AJ95" s="38">
        <f t="shared" si="28"/>
        <v>3000</v>
      </c>
    </row>
    <row r="96" spans="1:36">
      <c r="A96" s="21" t="s">
        <v>211</v>
      </c>
      <c r="B96" s="21" t="s">
        <v>110</v>
      </c>
      <c r="C96" s="666"/>
      <c r="D96" s="68" t="s">
        <v>504</v>
      </c>
      <c r="E96" s="679"/>
      <c r="F96" s="529">
        <f>VLOOKUP(D96,'Nov 2012 Revenue'!D:T,17,FALSE)</f>
        <v>0</v>
      </c>
      <c r="G96" s="680"/>
      <c r="H96" s="680"/>
      <c r="I96" s="755"/>
      <c r="J96" s="682">
        <f t="shared" si="22"/>
        <v>0</v>
      </c>
      <c r="K96" s="683"/>
      <c r="L96" s="684"/>
      <c r="M96" s="753"/>
      <c r="N96" s="683">
        <v>0</v>
      </c>
      <c r="O96" s="686"/>
      <c r="P96" s="683">
        <v>0</v>
      </c>
      <c r="Q96" s="687">
        <f t="shared" si="1"/>
        <v>0</v>
      </c>
      <c r="R96" s="688">
        <v>0</v>
      </c>
      <c r="S96" s="693"/>
      <c r="T96" s="690">
        <f t="shared" si="23"/>
        <v>0</v>
      </c>
      <c r="U96" s="683"/>
      <c r="V96" s="474">
        <f t="shared" si="24"/>
        <v>0</v>
      </c>
      <c r="W96" s="474">
        <f t="shared" si="25"/>
        <v>0</v>
      </c>
      <c r="X96" s="475">
        <f t="shared" si="26"/>
        <v>0</v>
      </c>
      <c r="Y96" s="475">
        <v>0</v>
      </c>
      <c r="Z96" s="476">
        <v>0</v>
      </c>
      <c r="AA96" s="38">
        <f t="shared" si="27"/>
        <v>0</v>
      </c>
      <c r="AB96" s="692">
        <f t="shared" si="16"/>
        <v>0</v>
      </c>
      <c r="AC96" s="692">
        <f t="shared" si="17"/>
        <v>0</v>
      </c>
      <c r="AD96" s="692">
        <f t="shared" si="18"/>
        <v>0</v>
      </c>
      <c r="AE96" s="38"/>
      <c r="AF96" s="692">
        <f t="shared" si="19"/>
        <v>0</v>
      </c>
      <c r="AG96" s="692">
        <f t="shared" si="20"/>
        <v>0</v>
      </c>
      <c r="AH96" s="692">
        <f t="shared" si="21"/>
        <v>0</v>
      </c>
      <c r="AJ96" s="38">
        <f t="shared" si="28"/>
        <v>0</v>
      </c>
    </row>
    <row r="97" spans="1:36">
      <c r="A97" s="20" t="s">
        <v>211</v>
      </c>
      <c r="B97" s="20" t="s">
        <v>109</v>
      </c>
      <c r="C97" s="667" t="s">
        <v>546</v>
      </c>
      <c r="D97" s="68" t="s">
        <v>142</v>
      </c>
      <c r="E97" s="679"/>
      <c r="F97" s="529">
        <f>VLOOKUP(D97,'Nov 2012 Revenue'!D:T,17,FALSE)</f>
        <v>0</v>
      </c>
      <c r="G97" s="680"/>
      <c r="H97" s="680"/>
      <c r="I97" s="755"/>
      <c r="J97" s="682">
        <f t="shared" si="22"/>
        <v>0</v>
      </c>
      <c r="K97" s="683"/>
      <c r="L97" s="684"/>
      <c r="M97" s="753"/>
      <c r="N97" s="683">
        <v>0</v>
      </c>
      <c r="O97" s="686"/>
      <c r="P97" s="683">
        <v>0</v>
      </c>
      <c r="Q97" s="687">
        <f t="shared" si="1"/>
        <v>0</v>
      </c>
      <c r="R97" s="688">
        <v>2354.94</v>
      </c>
      <c r="S97" s="693"/>
      <c r="T97" s="690">
        <f t="shared" si="23"/>
        <v>2354.94</v>
      </c>
      <c r="U97" s="697"/>
      <c r="V97" s="474">
        <f t="shared" si="24"/>
        <v>0</v>
      </c>
      <c r="W97" s="474">
        <f t="shared" si="25"/>
        <v>0</v>
      </c>
      <c r="X97" s="475">
        <f t="shared" si="26"/>
        <v>0</v>
      </c>
      <c r="Y97" s="475">
        <v>0</v>
      </c>
      <c r="Z97" s="476">
        <v>0</v>
      </c>
      <c r="AA97" s="38">
        <f t="shared" si="27"/>
        <v>0</v>
      </c>
      <c r="AB97" s="692">
        <f t="shared" si="16"/>
        <v>0</v>
      </c>
      <c r="AC97" s="692">
        <f t="shared" si="17"/>
        <v>0</v>
      </c>
      <c r="AD97" s="692">
        <f t="shared" si="18"/>
        <v>0</v>
      </c>
      <c r="AE97" s="38"/>
      <c r="AF97" s="692">
        <f t="shared" si="19"/>
        <v>0</v>
      </c>
      <c r="AG97" s="692">
        <f t="shared" si="20"/>
        <v>0</v>
      </c>
      <c r="AH97" s="692">
        <f t="shared" si="21"/>
        <v>0</v>
      </c>
      <c r="AJ97" s="38">
        <f t="shared" si="28"/>
        <v>0</v>
      </c>
    </row>
    <row r="98" spans="1:36">
      <c r="A98" s="20" t="s">
        <v>211</v>
      </c>
      <c r="B98" s="20" t="s">
        <v>109</v>
      </c>
      <c r="C98" s="667" t="s">
        <v>546</v>
      </c>
      <c r="D98" s="68" t="s">
        <v>143</v>
      </c>
      <c r="E98" s="679"/>
      <c r="F98" s="529">
        <f>VLOOKUP(D98,'Nov 2012 Revenue'!D:T,17,FALSE)</f>
        <v>0</v>
      </c>
      <c r="G98" s="680"/>
      <c r="H98" s="680"/>
      <c r="I98" s="755"/>
      <c r="J98" s="682">
        <f t="shared" si="22"/>
        <v>0</v>
      </c>
      <c r="K98" s="683"/>
      <c r="L98" s="684"/>
      <c r="M98" s="753"/>
      <c r="N98" s="683">
        <v>0</v>
      </c>
      <c r="O98" s="686"/>
      <c r="P98" s="683">
        <v>0</v>
      </c>
      <c r="Q98" s="687">
        <f t="shared" si="1"/>
        <v>0</v>
      </c>
      <c r="R98" s="688">
        <v>97.56</v>
      </c>
      <c r="S98" s="693"/>
      <c r="T98" s="690">
        <f t="shared" si="23"/>
        <v>97.56</v>
      </c>
      <c r="U98" s="697"/>
      <c r="V98" s="474">
        <f t="shared" si="24"/>
        <v>0</v>
      </c>
      <c r="W98" s="474">
        <f t="shared" si="25"/>
        <v>0</v>
      </c>
      <c r="X98" s="475">
        <f t="shared" si="26"/>
        <v>0</v>
      </c>
      <c r="Y98" s="475">
        <v>0</v>
      </c>
      <c r="Z98" s="476">
        <v>0</v>
      </c>
      <c r="AA98" s="38">
        <f t="shared" si="27"/>
        <v>0</v>
      </c>
      <c r="AB98" s="692">
        <f t="shared" si="16"/>
        <v>0</v>
      </c>
      <c r="AC98" s="692">
        <f t="shared" si="17"/>
        <v>0</v>
      </c>
      <c r="AD98" s="692">
        <f t="shared" si="18"/>
        <v>0</v>
      </c>
      <c r="AE98" s="38"/>
      <c r="AF98" s="692">
        <f t="shared" si="19"/>
        <v>0</v>
      </c>
      <c r="AG98" s="692">
        <f t="shared" si="20"/>
        <v>0</v>
      </c>
      <c r="AH98" s="692">
        <f t="shared" si="21"/>
        <v>0</v>
      </c>
      <c r="AJ98" s="38">
        <f t="shared" si="28"/>
        <v>0</v>
      </c>
    </row>
    <row r="99" spans="1:36">
      <c r="A99" s="20" t="s">
        <v>109</v>
      </c>
      <c r="B99" s="20" t="s">
        <v>109</v>
      </c>
      <c r="C99" s="667"/>
      <c r="D99" s="68" t="s">
        <v>498</v>
      </c>
      <c r="E99" s="679"/>
      <c r="F99" s="529">
        <f>VLOOKUP(D99,'Nov 2012 Revenue'!D:T,17,FALSE)</f>
        <v>0</v>
      </c>
      <c r="G99" s="680"/>
      <c r="H99" s="680"/>
      <c r="I99" s="755"/>
      <c r="J99" s="682">
        <f t="shared" si="22"/>
        <v>0</v>
      </c>
      <c r="K99" s="683"/>
      <c r="L99" s="684"/>
      <c r="M99" s="753"/>
      <c r="N99" s="683">
        <v>0</v>
      </c>
      <c r="O99" s="686"/>
      <c r="P99" s="683">
        <v>0</v>
      </c>
      <c r="Q99" s="687">
        <f t="shared" si="1"/>
        <v>0</v>
      </c>
      <c r="R99" s="688">
        <v>0</v>
      </c>
      <c r="S99" s="693"/>
      <c r="T99" s="690">
        <f t="shared" si="23"/>
        <v>0</v>
      </c>
      <c r="U99" s="683"/>
      <c r="V99" s="474">
        <f t="shared" si="24"/>
        <v>0</v>
      </c>
      <c r="W99" s="474">
        <f t="shared" si="25"/>
        <v>0</v>
      </c>
      <c r="X99" s="475">
        <f t="shared" si="26"/>
        <v>0</v>
      </c>
      <c r="Y99" s="475">
        <v>0</v>
      </c>
      <c r="Z99" s="476">
        <v>0</v>
      </c>
      <c r="AA99" s="38">
        <f t="shared" si="27"/>
        <v>0</v>
      </c>
      <c r="AB99" s="692">
        <f t="shared" si="16"/>
        <v>0</v>
      </c>
      <c r="AC99" s="692">
        <f t="shared" si="17"/>
        <v>0</v>
      </c>
      <c r="AD99" s="692">
        <f t="shared" si="18"/>
        <v>0</v>
      </c>
      <c r="AE99" s="38"/>
      <c r="AF99" s="692">
        <f t="shared" si="19"/>
        <v>0</v>
      </c>
      <c r="AG99" s="692">
        <f t="shared" si="20"/>
        <v>0</v>
      </c>
      <c r="AH99" s="692">
        <f t="shared" si="21"/>
        <v>0</v>
      </c>
      <c r="AJ99" s="38">
        <f t="shared" si="28"/>
        <v>0</v>
      </c>
    </row>
    <row r="100" spans="1:36">
      <c r="A100" s="21"/>
      <c r="B100" s="21" t="s">
        <v>110</v>
      </c>
      <c r="C100" s="666"/>
      <c r="D100" s="68" t="s">
        <v>20</v>
      </c>
      <c r="E100" s="679"/>
      <c r="F100" s="529">
        <f>VLOOKUP(D100,'Nov 2012 Revenue'!D:T,17,FALSE)</f>
        <v>0</v>
      </c>
      <c r="G100" s="680"/>
      <c r="H100" s="680"/>
      <c r="I100" s="755"/>
      <c r="J100" s="682">
        <f t="shared" si="22"/>
        <v>0</v>
      </c>
      <c r="K100" s="683"/>
      <c r="L100" s="684"/>
      <c r="M100" s="753"/>
      <c r="N100" s="683">
        <v>0</v>
      </c>
      <c r="O100" s="686"/>
      <c r="P100" s="683">
        <v>0</v>
      </c>
      <c r="Q100" s="687">
        <f t="shared" si="1"/>
        <v>0</v>
      </c>
      <c r="R100" s="688">
        <v>0</v>
      </c>
      <c r="S100" s="693"/>
      <c r="T100" s="690">
        <f t="shared" si="23"/>
        <v>0</v>
      </c>
      <c r="U100" s="683"/>
      <c r="V100" s="474">
        <f t="shared" si="24"/>
        <v>0</v>
      </c>
      <c r="W100" s="474">
        <f t="shared" si="25"/>
        <v>0</v>
      </c>
      <c r="X100" s="475">
        <f t="shared" si="26"/>
        <v>0</v>
      </c>
      <c r="Y100" s="475">
        <v>0</v>
      </c>
      <c r="Z100" s="476">
        <v>0</v>
      </c>
      <c r="AA100" s="38">
        <f t="shared" si="27"/>
        <v>0</v>
      </c>
      <c r="AB100" s="692">
        <f t="shared" si="16"/>
        <v>0</v>
      </c>
      <c r="AC100" s="692">
        <f t="shared" si="17"/>
        <v>0</v>
      </c>
      <c r="AD100" s="692">
        <f t="shared" si="18"/>
        <v>0</v>
      </c>
      <c r="AE100" s="38"/>
      <c r="AF100" s="692">
        <f t="shared" si="19"/>
        <v>0</v>
      </c>
      <c r="AG100" s="692">
        <f t="shared" si="20"/>
        <v>0</v>
      </c>
      <c r="AH100" s="692">
        <f t="shared" si="21"/>
        <v>0</v>
      </c>
      <c r="AJ100" s="38">
        <f t="shared" si="28"/>
        <v>0</v>
      </c>
    </row>
    <row r="101" spans="1:36">
      <c r="A101" s="21"/>
      <c r="B101" s="21" t="s">
        <v>110</v>
      </c>
      <c r="C101" s="666" t="s">
        <v>547</v>
      </c>
      <c r="D101" s="68" t="s">
        <v>203</v>
      </c>
      <c r="E101" s="679"/>
      <c r="F101" s="529">
        <f>VLOOKUP(D101,'Nov 2012 Revenue'!D:T,17,FALSE)</f>
        <v>0</v>
      </c>
      <c r="G101" s="680"/>
      <c r="H101" s="680"/>
      <c r="I101" s="755"/>
      <c r="J101" s="682">
        <f t="shared" si="22"/>
        <v>0</v>
      </c>
      <c r="K101" s="683"/>
      <c r="L101" s="684"/>
      <c r="M101" s="753"/>
      <c r="N101" s="683">
        <v>0</v>
      </c>
      <c r="O101" s="686"/>
      <c r="P101" s="683">
        <v>0</v>
      </c>
      <c r="Q101" s="687">
        <f t="shared" si="1"/>
        <v>0</v>
      </c>
      <c r="R101" s="688">
        <v>0</v>
      </c>
      <c r="S101" s="693"/>
      <c r="T101" s="690">
        <f t="shared" si="23"/>
        <v>0</v>
      </c>
      <c r="U101" s="683"/>
      <c r="V101" s="474">
        <f t="shared" si="24"/>
        <v>0</v>
      </c>
      <c r="W101" s="474">
        <f t="shared" si="25"/>
        <v>0</v>
      </c>
      <c r="X101" s="475">
        <f t="shared" si="26"/>
        <v>0</v>
      </c>
      <c r="Y101" s="475">
        <v>0</v>
      </c>
      <c r="Z101" s="476">
        <v>0</v>
      </c>
      <c r="AA101" s="38">
        <f t="shared" si="27"/>
        <v>0</v>
      </c>
      <c r="AB101" s="692">
        <f t="shared" si="16"/>
        <v>0</v>
      </c>
      <c r="AC101" s="692">
        <f t="shared" si="17"/>
        <v>0</v>
      </c>
      <c r="AD101" s="692">
        <f t="shared" si="18"/>
        <v>0</v>
      </c>
      <c r="AE101" s="38"/>
      <c r="AF101" s="692">
        <f t="shared" si="19"/>
        <v>0</v>
      </c>
      <c r="AG101" s="692">
        <f t="shared" si="20"/>
        <v>0</v>
      </c>
      <c r="AH101" s="692">
        <f t="shared" si="21"/>
        <v>0</v>
      </c>
      <c r="AJ101" s="38">
        <f t="shared" si="28"/>
        <v>0</v>
      </c>
    </row>
    <row r="102" spans="1:36">
      <c r="A102" s="21"/>
      <c r="B102" s="21" t="s">
        <v>110</v>
      </c>
      <c r="C102" s="666" t="s">
        <v>547</v>
      </c>
      <c r="D102" s="68" t="s">
        <v>202</v>
      </c>
      <c r="E102" s="679"/>
      <c r="F102" s="529">
        <f>VLOOKUP(D102,'Nov 2012 Revenue'!D:T,17,FALSE)</f>
        <v>0</v>
      </c>
      <c r="G102" s="680"/>
      <c r="H102" s="680"/>
      <c r="I102" s="755"/>
      <c r="J102" s="682">
        <f t="shared" si="22"/>
        <v>0</v>
      </c>
      <c r="K102" s="683"/>
      <c r="L102" s="684"/>
      <c r="M102" s="753"/>
      <c r="N102" s="683">
        <v>0</v>
      </c>
      <c r="O102" s="686"/>
      <c r="P102" s="683">
        <v>0</v>
      </c>
      <c r="Q102" s="687">
        <f t="shared" si="1"/>
        <v>0</v>
      </c>
      <c r="R102" s="688">
        <v>0</v>
      </c>
      <c r="S102" s="693"/>
      <c r="T102" s="690">
        <f t="shared" si="23"/>
        <v>0</v>
      </c>
      <c r="U102" s="683"/>
      <c r="V102" s="474">
        <f t="shared" si="24"/>
        <v>0</v>
      </c>
      <c r="W102" s="474">
        <f t="shared" si="25"/>
        <v>0</v>
      </c>
      <c r="X102" s="475">
        <f t="shared" si="26"/>
        <v>0</v>
      </c>
      <c r="Y102" s="475">
        <v>0</v>
      </c>
      <c r="Z102" s="476">
        <v>0</v>
      </c>
      <c r="AA102" s="38">
        <f t="shared" si="27"/>
        <v>0</v>
      </c>
      <c r="AB102" s="692">
        <f t="shared" si="16"/>
        <v>0</v>
      </c>
      <c r="AC102" s="692">
        <f t="shared" si="17"/>
        <v>0</v>
      </c>
      <c r="AD102" s="692">
        <f t="shared" si="18"/>
        <v>0</v>
      </c>
      <c r="AE102" s="38"/>
      <c r="AF102" s="692">
        <f t="shared" si="19"/>
        <v>0</v>
      </c>
      <c r="AG102" s="692">
        <f t="shared" si="20"/>
        <v>0</v>
      </c>
      <c r="AH102" s="692">
        <f t="shared" si="21"/>
        <v>0</v>
      </c>
      <c r="AJ102" s="38">
        <f t="shared" si="28"/>
        <v>0</v>
      </c>
    </row>
    <row r="103" spans="1:36">
      <c r="A103" s="20" t="s">
        <v>211</v>
      </c>
      <c r="B103" s="20" t="s">
        <v>110</v>
      </c>
      <c r="C103" s="667"/>
      <c r="D103" s="373" t="s">
        <v>466</v>
      </c>
      <c r="E103" s="679"/>
      <c r="F103" s="529">
        <f>VLOOKUP(D103,'Nov 2012 Revenue'!D:T,17,FALSE)</f>
        <v>0</v>
      </c>
      <c r="G103" s="680"/>
      <c r="H103" s="680"/>
      <c r="I103" s="770">
        <v>1238.92</v>
      </c>
      <c r="J103" s="682">
        <f t="shared" si="22"/>
        <v>1238.92</v>
      </c>
      <c r="K103" s="683"/>
      <c r="L103" s="684"/>
      <c r="M103" s="753"/>
      <c r="N103" s="683">
        <v>0</v>
      </c>
      <c r="O103" s="686"/>
      <c r="P103" s="683">
        <v>0</v>
      </c>
      <c r="Q103" s="687">
        <f t="shared" si="1"/>
        <v>0</v>
      </c>
      <c r="R103" s="688">
        <v>0</v>
      </c>
      <c r="S103" s="693"/>
      <c r="T103" s="690">
        <f t="shared" si="23"/>
        <v>0</v>
      </c>
      <c r="U103" s="683"/>
      <c r="V103" s="474">
        <f t="shared" si="24"/>
        <v>0</v>
      </c>
      <c r="W103" s="474">
        <f t="shared" si="25"/>
        <v>0</v>
      </c>
      <c r="X103" s="475">
        <f t="shared" si="26"/>
        <v>0</v>
      </c>
      <c r="Y103" s="475">
        <v>0</v>
      </c>
      <c r="Z103" s="476">
        <v>0</v>
      </c>
      <c r="AA103" s="38">
        <f t="shared" si="27"/>
        <v>0</v>
      </c>
      <c r="AB103" s="692">
        <f t="shared" si="16"/>
        <v>1238.92</v>
      </c>
      <c r="AC103" s="692">
        <f t="shared" si="17"/>
        <v>0</v>
      </c>
      <c r="AD103" s="692">
        <f t="shared" si="18"/>
        <v>0</v>
      </c>
      <c r="AE103" s="38"/>
      <c r="AF103" s="692">
        <f t="shared" si="19"/>
        <v>0</v>
      </c>
      <c r="AG103" s="692">
        <f t="shared" si="20"/>
        <v>0</v>
      </c>
      <c r="AH103" s="692">
        <f t="shared" si="21"/>
        <v>0</v>
      </c>
      <c r="AJ103" s="38">
        <f t="shared" si="28"/>
        <v>1238.92</v>
      </c>
    </row>
    <row r="104" spans="1:36">
      <c r="A104" s="20"/>
      <c r="B104" s="20" t="s">
        <v>110</v>
      </c>
      <c r="C104" s="667"/>
      <c r="D104" s="373" t="s">
        <v>627</v>
      </c>
      <c r="E104" s="679"/>
      <c r="F104" s="529">
        <f>VLOOKUP(D104,'Nov 2012 Revenue'!D:T,17,FALSE)</f>
        <v>0</v>
      </c>
      <c r="G104" s="680"/>
      <c r="H104" s="680"/>
      <c r="I104" s="755"/>
      <c r="J104" s="682">
        <f t="shared" si="22"/>
        <v>0</v>
      </c>
      <c r="K104" s="683"/>
      <c r="L104" s="684"/>
      <c r="M104" s="753"/>
      <c r="N104" s="683">
        <v>0</v>
      </c>
      <c r="O104" s="686"/>
      <c r="P104" s="683">
        <v>0</v>
      </c>
      <c r="Q104" s="687">
        <f t="shared" si="1"/>
        <v>0</v>
      </c>
      <c r="R104" s="688">
        <v>0</v>
      </c>
      <c r="S104" s="693"/>
      <c r="T104" s="690">
        <f t="shared" si="23"/>
        <v>0</v>
      </c>
      <c r="U104" s="683"/>
      <c r="V104" s="474">
        <f t="shared" si="24"/>
        <v>0</v>
      </c>
      <c r="W104" s="474">
        <f t="shared" si="25"/>
        <v>0</v>
      </c>
      <c r="X104" s="475">
        <f t="shared" si="26"/>
        <v>0</v>
      </c>
      <c r="Y104" s="475">
        <v>0</v>
      </c>
      <c r="Z104" s="476">
        <v>0</v>
      </c>
      <c r="AA104" s="38">
        <f t="shared" si="27"/>
        <v>0</v>
      </c>
      <c r="AB104" s="692">
        <f t="shared" si="16"/>
        <v>0</v>
      </c>
      <c r="AC104" s="692">
        <f t="shared" si="17"/>
        <v>0</v>
      </c>
      <c r="AD104" s="692">
        <f t="shared" si="18"/>
        <v>0</v>
      </c>
      <c r="AE104" s="38"/>
      <c r="AF104" s="692">
        <f t="shared" si="19"/>
        <v>0</v>
      </c>
      <c r="AG104" s="692">
        <f t="shared" si="20"/>
        <v>0</v>
      </c>
      <c r="AH104" s="692">
        <f t="shared" si="21"/>
        <v>0</v>
      </c>
      <c r="AJ104" s="38">
        <f t="shared" si="28"/>
        <v>0</v>
      </c>
    </row>
    <row r="105" spans="1:36" s="232" customFormat="1">
      <c r="A105" s="283"/>
      <c r="B105" s="283" t="s">
        <v>110</v>
      </c>
      <c r="C105" s="667"/>
      <c r="D105" s="123" t="s">
        <v>386</v>
      </c>
      <c r="E105" s="679"/>
      <c r="F105" s="529">
        <f>VLOOKUP(D105,'Nov 2012 Revenue'!D:T,17,FALSE)</f>
        <v>0</v>
      </c>
      <c r="G105" s="680"/>
      <c r="H105" s="680"/>
      <c r="I105" s="770">
        <v>2724939.41</v>
      </c>
      <c r="J105" s="682">
        <f t="shared" si="22"/>
        <v>2724939.41</v>
      </c>
      <c r="K105" s="683"/>
      <c r="L105" s="684"/>
      <c r="M105" s="753"/>
      <c r="N105" s="683">
        <v>0</v>
      </c>
      <c r="O105" s="686"/>
      <c r="P105" s="683">
        <v>0</v>
      </c>
      <c r="Q105" s="687">
        <f t="shared" si="1"/>
        <v>0</v>
      </c>
      <c r="R105" s="688">
        <v>0</v>
      </c>
      <c r="S105" s="693"/>
      <c r="T105" s="690">
        <f t="shared" si="23"/>
        <v>0</v>
      </c>
      <c r="U105" s="683"/>
      <c r="V105" s="474">
        <f t="shared" si="24"/>
        <v>0</v>
      </c>
      <c r="W105" s="474">
        <f t="shared" si="25"/>
        <v>0</v>
      </c>
      <c r="X105" s="475">
        <f t="shared" si="26"/>
        <v>0</v>
      </c>
      <c r="Y105" s="475">
        <v>0</v>
      </c>
      <c r="Z105" s="476">
        <v>0</v>
      </c>
      <c r="AA105" s="38">
        <f t="shared" si="27"/>
        <v>0</v>
      </c>
      <c r="AB105" s="692">
        <f t="shared" si="16"/>
        <v>2724939.41</v>
      </c>
      <c r="AC105" s="692">
        <f t="shared" si="17"/>
        <v>0</v>
      </c>
      <c r="AD105" s="692">
        <f t="shared" si="18"/>
        <v>0</v>
      </c>
      <c r="AE105" s="38"/>
      <c r="AF105" s="692">
        <f t="shared" si="19"/>
        <v>0</v>
      </c>
      <c r="AG105" s="692">
        <f t="shared" si="20"/>
        <v>0</v>
      </c>
      <c r="AH105" s="692">
        <f t="shared" si="21"/>
        <v>0</v>
      </c>
      <c r="AJ105" s="38">
        <f t="shared" si="28"/>
        <v>2724939.41</v>
      </c>
    </row>
    <row r="106" spans="1:36" s="232" customFormat="1">
      <c r="A106" s="283"/>
      <c r="B106" s="283" t="s">
        <v>110</v>
      </c>
      <c r="C106" s="667"/>
      <c r="D106" s="123" t="s">
        <v>331</v>
      </c>
      <c r="E106" s="679"/>
      <c r="F106" s="529">
        <f>VLOOKUP(D106,'Nov 2012 Revenue'!D:T,17,FALSE)</f>
        <v>0</v>
      </c>
      <c r="G106" s="680"/>
      <c r="H106" s="680"/>
      <c r="I106" s="770">
        <v>20566.86</v>
      </c>
      <c r="J106" s="682">
        <f t="shared" si="22"/>
        <v>20566.86</v>
      </c>
      <c r="K106" s="683"/>
      <c r="L106" s="684"/>
      <c r="M106" s="753"/>
      <c r="N106" s="683">
        <v>0</v>
      </c>
      <c r="O106" s="686"/>
      <c r="P106" s="683">
        <v>0</v>
      </c>
      <c r="Q106" s="687">
        <f t="shared" si="1"/>
        <v>0</v>
      </c>
      <c r="R106" s="688">
        <v>0</v>
      </c>
      <c r="S106" s="693"/>
      <c r="T106" s="690">
        <f t="shared" si="23"/>
        <v>0</v>
      </c>
      <c r="U106" s="683"/>
      <c r="V106" s="474">
        <f t="shared" si="24"/>
        <v>0</v>
      </c>
      <c r="W106" s="474">
        <f t="shared" si="25"/>
        <v>0</v>
      </c>
      <c r="X106" s="475">
        <f t="shared" si="26"/>
        <v>0</v>
      </c>
      <c r="Y106" s="475">
        <v>0</v>
      </c>
      <c r="Z106" s="476">
        <v>0</v>
      </c>
      <c r="AA106" s="38">
        <f t="shared" si="27"/>
        <v>0</v>
      </c>
      <c r="AB106" s="692">
        <f t="shared" si="16"/>
        <v>20566.86</v>
      </c>
      <c r="AC106" s="692">
        <f t="shared" si="17"/>
        <v>0</v>
      </c>
      <c r="AD106" s="692">
        <f t="shared" si="18"/>
        <v>0</v>
      </c>
      <c r="AE106" s="38"/>
      <c r="AF106" s="692">
        <f t="shared" si="19"/>
        <v>0</v>
      </c>
      <c r="AG106" s="692">
        <f t="shared" si="20"/>
        <v>0</v>
      </c>
      <c r="AH106" s="692">
        <f t="shared" si="21"/>
        <v>0</v>
      </c>
      <c r="AJ106" s="38">
        <f t="shared" si="28"/>
        <v>20566.86</v>
      </c>
    </row>
    <row r="107" spans="1:36" s="232" customFormat="1">
      <c r="A107" s="283"/>
      <c r="B107" s="283" t="s">
        <v>110</v>
      </c>
      <c r="C107" s="667"/>
      <c r="D107" s="413" t="s">
        <v>332</v>
      </c>
      <c r="E107" s="679"/>
      <c r="F107" s="529">
        <f>VLOOKUP(D107,'Nov 2012 Revenue'!D:T,17,FALSE)</f>
        <v>0</v>
      </c>
      <c r="G107" s="680"/>
      <c r="H107" s="680"/>
      <c r="I107" s="770">
        <f>1582617.63+20198.8</f>
        <v>1602816.43</v>
      </c>
      <c r="J107" s="682">
        <f t="shared" si="22"/>
        <v>1602816.43</v>
      </c>
      <c r="K107" s="683"/>
      <c r="L107" s="684"/>
      <c r="M107" s="753"/>
      <c r="N107" s="683">
        <v>0</v>
      </c>
      <c r="O107" s="686"/>
      <c r="P107" s="683">
        <v>0</v>
      </c>
      <c r="Q107" s="687">
        <f t="shared" si="1"/>
        <v>0</v>
      </c>
      <c r="R107" s="688">
        <v>0</v>
      </c>
      <c r="S107" s="693"/>
      <c r="T107" s="690">
        <f t="shared" si="23"/>
        <v>0</v>
      </c>
      <c r="U107" s="683"/>
      <c r="V107" s="474">
        <f t="shared" si="24"/>
        <v>0</v>
      </c>
      <c r="W107" s="474">
        <f t="shared" si="25"/>
        <v>0</v>
      </c>
      <c r="X107" s="475">
        <f t="shared" si="26"/>
        <v>0</v>
      </c>
      <c r="Y107" s="475">
        <v>0</v>
      </c>
      <c r="Z107" s="476">
        <v>0</v>
      </c>
      <c r="AA107" s="38">
        <f t="shared" si="27"/>
        <v>0</v>
      </c>
      <c r="AB107" s="692">
        <f t="shared" si="16"/>
        <v>1602816.43</v>
      </c>
      <c r="AC107" s="692">
        <f t="shared" si="17"/>
        <v>0</v>
      </c>
      <c r="AD107" s="692">
        <f t="shared" si="18"/>
        <v>0</v>
      </c>
      <c r="AE107" s="38"/>
      <c r="AF107" s="692">
        <f t="shared" si="19"/>
        <v>0</v>
      </c>
      <c r="AG107" s="692">
        <f t="shared" si="20"/>
        <v>0</v>
      </c>
      <c r="AH107" s="692">
        <f t="shared" si="21"/>
        <v>0</v>
      </c>
      <c r="AJ107" s="38">
        <f t="shared" si="28"/>
        <v>1602816.43</v>
      </c>
    </row>
    <row r="108" spans="1:36" s="232" customFormat="1">
      <c r="A108" s="283"/>
      <c r="B108" s="283" t="s">
        <v>110</v>
      </c>
      <c r="C108" s="667"/>
      <c r="D108" s="123" t="s">
        <v>333</v>
      </c>
      <c r="E108" s="679"/>
      <c r="F108" s="529">
        <f>VLOOKUP(D108,'Nov 2012 Revenue'!D:T,17,FALSE)</f>
        <v>0</v>
      </c>
      <c r="G108" s="680"/>
      <c r="H108" s="680"/>
      <c r="I108" s="770">
        <v>818.71</v>
      </c>
      <c r="J108" s="682">
        <f t="shared" si="22"/>
        <v>818.71</v>
      </c>
      <c r="K108" s="683"/>
      <c r="L108" s="684"/>
      <c r="M108" s="753"/>
      <c r="N108" s="683">
        <v>0</v>
      </c>
      <c r="O108" s="686"/>
      <c r="P108" s="683">
        <v>0</v>
      </c>
      <c r="Q108" s="687">
        <f t="shared" si="1"/>
        <v>0</v>
      </c>
      <c r="R108" s="688">
        <v>0</v>
      </c>
      <c r="S108" s="693"/>
      <c r="T108" s="690">
        <f t="shared" si="23"/>
        <v>0</v>
      </c>
      <c r="U108" s="683"/>
      <c r="V108" s="474">
        <f t="shared" si="24"/>
        <v>0</v>
      </c>
      <c r="W108" s="474">
        <f t="shared" si="25"/>
        <v>0</v>
      </c>
      <c r="X108" s="475">
        <f t="shared" si="26"/>
        <v>0</v>
      </c>
      <c r="Y108" s="475">
        <v>0</v>
      </c>
      <c r="Z108" s="476">
        <v>0</v>
      </c>
      <c r="AA108" s="38">
        <f t="shared" si="27"/>
        <v>0</v>
      </c>
      <c r="AB108" s="692">
        <f t="shared" si="16"/>
        <v>818.71</v>
      </c>
      <c r="AC108" s="692">
        <f t="shared" si="17"/>
        <v>0</v>
      </c>
      <c r="AD108" s="692">
        <f t="shared" si="18"/>
        <v>0</v>
      </c>
      <c r="AE108" s="38"/>
      <c r="AF108" s="692">
        <f t="shared" si="19"/>
        <v>0</v>
      </c>
      <c r="AG108" s="692">
        <f t="shared" si="20"/>
        <v>0</v>
      </c>
      <c r="AH108" s="692">
        <f t="shared" si="21"/>
        <v>0</v>
      </c>
      <c r="AJ108" s="38">
        <f t="shared" si="28"/>
        <v>818.71</v>
      </c>
    </row>
    <row r="109" spans="1:36" s="232" customFormat="1">
      <c r="A109" s="283"/>
      <c r="B109" s="283" t="s">
        <v>110</v>
      </c>
      <c r="C109" s="667"/>
      <c r="D109" s="123" t="s">
        <v>334</v>
      </c>
      <c r="E109" s="679"/>
      <c r="F109" s="529">
        <f>VLOOKUP(D109,'Nov 2012 Revenue'!D:T,17,FALSE)</f>
        <v>0</v>
      </c>
      <c r="G109" s="680"/>
      <c r="H109" s="680"/>
      <c r="I109" s="770">
        <v>388752.79</v>
      </c>
      <c r="J109" s="682">
        <f t="shared" si="22"/>
        <v>388752.79</v>
      </c>
      <c r="K109" s="683"/>
      <c r="L109" s="684"/>
      <c r="M109" s="753"/>
      <c r="N109" s="683">
        <v>0</v>
      </c>
      <c r="O109" s="686"/>
      <c r="P109" s="683">
        <v>0</v>
      </c>
      <c r="Q109" s="687">
        <f t="shared" si="1"/>
        <v>0</v>
      </c>
      <c r="R109" s="688">
        <v>0</v>
      </c>
      <c r="S109" s="693"/>
      <c r="T109" s="690">
        <f t="shared" si="23"/>
        <v>0</v>
      </c>
      <c r="U109" s="683"/>
      <c r="V109" s="474">
        <f t="shared" si="24"/>
        <v>0</v>
      </c>
      <c r="W109" s="474">
        <f t="shared" si="25"/>
        <v>0</v>
      </c>
      <c r="X109" s="475">
        <f t="shared" si="26"/>
        <v>0</v>
      </c>
      <c r="Y109" s="475">
        <v>0</v>
      </c>
      <c r="Z109" s="476">
        <v>0</v>
      </c>
      <c r="AA109" s="38">
        <f t="shared" si="27"/>
        <v>0</v>
      </c>
      <c r="AB109" s="692">
        <f t="shared" si="16"/>
        <v>388752.79</v>
      </c>
      <c r="AC109" s="692">
        <f t="shared" si="17"/>
        <v>0</v>
      </c>
      <c r="AD109" s="692">
        <f t="shared" si="18"/>
        <v>0</v>
      </c>
      <c r="AE109" s="38"/>
      <c r="AF109" s="692">
        <f t="shared" si="19"/>
        <v>0</v>
      </c>
      <c r="AG109" s="692">
        <f t="shared" si="20"/>
        <v>0</v>
      </c>
      <c r="AH109" s="692">
        <f t="shared" si="21"/>
        <v>0</v>
      </c>
      <c r="AJ109" s="38">
        <f t="shared" si="28"/>
        <v>388752.79</v>
      </c>
    </row>
    <row r="110" spans="1:36" s="232" customFormat="1">
      <c r="A110" s="283"/>
      <c r="B110" s="283" t="s">
        <v>110</v>
      </c>
      <c r="C110" s="667"/>
      <c r="D110" s="123" t="s">
        <v>335</v>
      </c>
      <c r="E110" s="679"/>
      <c r="F110" s="529">
        <f>VLOOKUP(D110,'Nov 2012 Revenue'!D:T,17,FALSE)</f>
        <v>0</v>
      </c>
      <c r="G110" s="680"/>
      <c r="H110" s="680"/>
      <c r="I110" s="770">
        <v>702.67</v>
      </c>
      <c r="J110" s="682">
        <f t="shared" si="22"/>
        <v>702.67</v>
      </c>
      <c r="K110" s="683"/>
      <c r="L110" s="684"/>
      <c r="M110" s="753"/>
      <c r="N110" s="683">
        <v>0</v>
      </c>
      <c r="O110" s="686"/>
      <c r="P110" s="683">
        <v>0</v>
      </c>
      <c r="Q110" s="687">
        <f t="shared" si="1"/>
        <v>0</v>
      </c>
      <c r="R110" s="688">
        <v>0</v>
      </c>
      <c r="S110" s="693"/>
      <c r="T110" s="690">
        <f t="shared" si="23"/>
        <v>0</v>
      </c>
      <c r="U110" s="683"/>
      <c r="V110" s="474">
        <f t="shared" si="24"/>
        <v>0</v>
      </c>
      <c r="W110" s="474">
        <f t="shared" si="25"/>
        <v>0</v>
      </c>
      <c r="X110" s="475">
        <f t="shared" si="26"/>
        <v>0</v>
      </c>
      <c r="Y110" s="475">
        <v>0</v>
      </c>
      <c r="Z110" s="476">
        <v>0</v>
      </c>
      <c r="AA110" s="38">
        <f t="shared" si="27"/>
        <v>0</v>
      </c>
      <c r="AB110" s="692">
        <f t="shared" si="16"/>
        <v>702.67</v>
      </c>
      <c r="AC110" s="692">
        <f t="shared" si="17"/>
        <v>0</v>
      </c>
      <c r="AD110" s="692">
        <f t="shared" si="18"/>
        <v>0</v>
      </c>
      <c r="AE110" s="38"/>
      <c r="AF110" s="692">
        <f t="shared" si="19"/>
        <v>0</v>
      </c>
      <c r="AG110" s="692">
        <f t="shared" si="20"/>
        <v>0</v>
      </c>
      <c r="AH110" s="692">
        <f t="shared" si="21"/>
        <v>0</v>
      </c>
      <c r="AJ110" s="38">
        <f t="shared" si="28"/>
        <v>702.67</v>
      </c>
    </row>
    <row r="111" spans="1:36" s="232" customFormat="1">
      <c r="A111" s="283"/>
      <c r="B111" s="283" t="s">
        <v>110</v>
      </c>
      <c r="C111" s="667"/>
      <c r="D111" s="123" t="s">
        <v>336</v>
      </c>
      <c r="E111" s="679"/>
      <c r="F111" s="529">
        <f>VLOOKUP(D111,'Nov 2012 Revenue'!D:T,17,FALSE)</f>
        <v>0</v>
      </c>
      <c r="G111" s="680"/>
      <c r="H111" s="680"/>
      <c r="I111" s="770">
        <v>432960.45</v>
      </c>
      <c r="J111" s="682">
        <f t="shared" si="22"/>
        <v>432960.45</v>
      </c>
      <c r="K111" s="683"/>
      <c r="L111" s="684"/>
      <c r="M111" s="753"/>
      <c r="N111" s="683">
        <v>0</v>
      </c>
      <c r="O111" s="686"/>
      <c r="P111" s="683">
        <v>0</v>
      </c>
      <c r="Q111" s="687">
        <f t="shared" si="1"/>
        <v>0</v>
      </c>
      <c r="R111" s="688">
        <v>0</v>
      </c>
      <c r="S111" s="693"/>
      <c r="T111" s="690">
        <f t="shared" si="23"/>
        <v>0</v>
      </c>
      <c r="U111" s="683"/>
      <c r="V111" s="474">
        <f t="shared" si="24"/>
        <v>0</v>
      </c>
      <c r="W111" s="474">
        <f t="shared" si="25"/>
        <v>0</v>
      </c>
      <c r="X111" s="475">
        <f t="shared" si="26"/>
        <v>0</v>
      </c>
      <c r="Y111" s="475">
        <v>0</v>
      </c>
      <c r="Z111" s="476">
        <v>0</v>
      </c>
      <c r="AA111" s="38">
        <f t="shared" si="27"/>
        <v>0</v>
      </c>
      <c r="AB111" s="692">
        <f t="shared" si="16"/>
        <v>432960.45</v>
      </c>
      <c r="AC111" s="692">
        <f t="shared" si="17"/>
        <v>0</v>
      </c>
      <c r="AD111" s="692">
        <f t="shared" si="18"/>
        <v>0</v>
      </c>
      <c r="AE111" s="38"/>
      <c r="AF111" s="692">
        <f t="shared" si="19"/>
        <v>0</v>
      </c>
      <c r="AG111" s="692">
        <f t="shared" si="20"/>
        <v>0</v>
      </c>
      <c r="AH111" s="692">
        <f t="shared" si="21"/>
        <v>0</v>
      </c>
      <c r="AJ111" s="38">
        <f t="shared" si="28"/>
        <v>432960.45</v>
      </c>
    </row>
    <row r="112" spans="1:36" s="232" customFormat="1">
      <c r="A112" s="283"/>
      <c r="B112" s="283" t="s">
        <v>110</v>
      </c>
      <c r="C112" s="667"/>
      <c r="D112" s="123" t="s">
        <v>337</v>
      </c>
      <c r="E112" s="679"/>
      <c r="F112" s="529">
        <f>VLOOKUP(D112,'Nov 2012 Revenue'!D:T,17,FALSE)</f>
        <v>0</v>
      </c>
      <c r="G112" s="680"/>
      <c r="H112" s="680"/>
      <c r="I112" s="770">
        <v>543.53</v>
      </c>
      <c r="J112" s="682">
        <f t="shared" si="22"/>
        <v>543.53</v>
      </c>
      <c r="K112" s="683"/>
      <c r="L112" s="684"/>
      <c r="M112" s="753"/>
      <c r="N112" s="683">
        <v>0</v>
      </c>
      <c r="O112" s="686"/>
      <c r="P112" s="683">
        <v>0</v>
      </c>
      <c r="Q112" s="687">
        <f t="shared" si="1"/>
        <v>0</v>
      </c>
      <c r="R112" s="688">
        <v>0</v>
      </c>
      <c r="S112" s="693"/>
      <c r="T112" s="690">
        <f t="shared" si="23"/>
        <v>0</v>
      </c>
      <c r="U112" s="683"/>
      <c r="V112" s="474">
        <f t="shared" si="24"/>
        <v>0</v>
      </c>
      <c r="W112" s="474">
        <f t="shared" si="25"/>
        <v>0</v>
      </c>
      <c r="X112" s="475">
        <f t="shared" si="26"/>
        <v>0</v>
      </c>
      <c r="Y112" s="475">
        <v>0</v>
      </c>
      <c r="Z112" s="476">
        <v>0</v>
      </c>
      <c r="AA112" s="38">
        <f t="shared" si="27"/>
        <v>0</v>
      </c>
      <c r="AB112" s="692">
        <f t="shared" si="16"/>
        <v>543.53</v>
      </c>
      <c r="AC112" s="692">
        <f t="shared" si="17"/>
        <v>0</v>
      </c>
      <c r="AD112" s="692">
        <f t="shared" si="18"/>
        <v>0</v>
      </c>
      <c r="AE112" s="38"/>
      <c r="AF112" s="692">
        <f t="shared" si="19"/>
        <v>0</v>
      </c>
      <c r="AG112" s="692">
        <f t="shared" si="20"/>
        <v>0</v>
      </c>
      <c r="AH112" s="692">
        <f t="shared" si="21"/>
        <v>0</v>
      </c>
      <c r="AJ112" s="38">
        <f t="shared" si="28"/>
        <v>543.53</v>
      </c>
    </row>
    <row r="113" spans="1:36" s="232" customFormat="1">
      <c r="A113" s="283"/>
      <c r="B113" s="283" t="s">
        <v>110</v>
      </c>
      <c r="C113" s="667"/>
      <c r="D113" s="123" t="s">
        <v>338</v>
      </c>
      <c r="E113" s="679"/>
      <c r="F113" s="529">
        <f>VLOOKUP(D113,'Nov 2012 Revenue'!D:T,17,FALSE)</f>
        <v>0</v>
      </c>
      <c r="G113" s="680"/>
      <c r="H113" s="680"/>
      <c r="I113" s="770">
        <v>108248.66</v>
      </c>
      <c r="J113" s="682">
        <f t="shared" si="22"/>
        <v>108248.66</v>
      </c>
      <c r="K113" s="683"/>
      <c r="L113" s="684"/>
      <c r="M113" s="753"/>
      <c r="N113" s="683">
        <v>0</v>
      </c>
      <c r="O113" s="686"/>
      <c r="P113" s="683">
        <v>0</v>
      </c>
      <c r="Q113" s="687">
        <f t="shared" si="1"/>
        <v>0</v>
      </c>
      <c r="R113" s="688">
        <v>0</v>
      </c>
      <c r="S113" s="693"/>
      <c r="T113" s="690">
        <f t="shared" si="23"/>
        <v>0</v>
      </c>
      <c r="U113" s="683"/>
      <c r="V113" s="474">
        <f t="shared" si="24"/>
        <v>0</v>
      </c>
      <c r="W113" s="474">
        <f t="shared" si="25"/>
        <v>0</v>
      </c>
      <c r="X113" s="475">
        <f t="shared" si="26"/>
        <v>0</v>
      </c>
      <c r="Y113" s="475">
        <v>0</v>
      </c>
      <c r="Z113" s="476">
        <v>0</v>
      </c>
      <c r="AA113" s="38">
        <f t="shared" si="27"/>
        <v>0</v>
      </c>
      <c r="AB113" s="692">
        <f t="shared" si="16"/>
        <v>108248.66</v>
      </c>
      <c r="AC113" s="692">
        <f t="shared" si="17"/>
        <v>0</v>
      </c>
      <c r="AD113" s="692">
        <f t="shared" si="18"/>
        <v>0</v>
      </c>
      <c r="AE113" s="38"/>
      <c r="AF113" s="692">
        <f t="shared" si="19"/>
        <v>0</v>
      </c>
      <c r="AG113" s="692">
        <f t="shared" si="20"/>
        <v>0</v>
      </c>
      <c r="AH113" s="692">
        <f t="shared" si="21"/>
        <v>0</v>
      </c>
      <c r="AJ113" s="38">
        <f t="shared" si="28"/>
        <v>108248.66</v>
      </c>
    </row>
    <row r="114" spans="1:36" s="232" customFormat="1">
      <c r="A114" s="283"/>
      <c r="B114" s="283" t="s">
        <v>110</v>
      </c>
      <c r="C114" s="667"/>
      <c r="D114" s="123" t="s">
        <v>339</v>
      </c>
      <c r="E114" s="679"/>
      <c r="F114" s="529">
        <f>VLOOKUP(D114,'Nov 2012 Revenue'!D:T,17,FALSE)</f>
        <v>0</v>
      </c>
      <c r="G114" s="680"/>
      <c r="H114" s="680"/>
      <c r="I114" s="770">
        <v>114468.69</v>
      </c>
      <c r="J114" s="682">
        <f t="shared" si="22"/>
        <v>114468.69</v>
      </c>
      <c r="K114" s="683"/>
      <c r="L114" s="684"/>
      <c r="M114" s="753"/>
      <c r="N114" s="683">
        <v>0</v>
      </c>
      <c r="O114" s="686"/>
      <c r="P114" s="683">
        <v>0</v>
      </c>
      <c r="Q114" s="687">
        <f t="shared" si="1"/>
        <v>0</v>
      </c>
      <c r="R114" s="688">
        <v>0</v>
      </c>
      <c r="S114" s="693"/>
      <c r="T114" s="690">
        <f t="shared" si="23"/>
        <v>0</v>
      </c>
      <c r="U114" s="683"/>
      <c r="V114" s="474">
        <f t="shared" si="24"/>
        <v>0</v>
      </c>
      <c r="W114" s="474">
        <f t="shared" si="25"/>
        <v>0</v>
      </c>
      <c r="X114" s="475">
        <f t="shared" si="26"/>
        <v>0</v>
      </c>
      <c r="Y114" s="475">
        <v>0</v>
      </c>
      <c r="Z114" s="476">
        <v>0</v>
      </c>
      <c r="AA114" s="38">
        <f t="shared" si="27"/>
        <v>0</v>
      </c>
      <c r="AB114" s="692">
        <f t="shared" si="16"/>
        <v>114468.69</v>
      </c>
      <c r="AC114" s="692">
        <f t="shared" si="17"/>
        <v>0</v>
      </c>
      <c r="AD114" s="692">
        <f t="shared" si="18"/>
        <v>0</v>
      </c>
      <c r="AE114" s="38"/>
      <c r="AF114" s="692">
        <f t="shared" si="19"/>
        <v>0</v>
      </c>
      <c r="AG114" s="692">
        <f t="shared" si="20"/>
        <v>0</v>
      </c>
      <c r="AH114" s="692">
        <f t="shared" si="21"/>
        <v>0</v>
      </c>
      <c r="AJ114" s="38">
        <f t="shared" si="28"/>
        <v>114468.69</v>
      </c>
    </row>
    <row r="115" spans="1:36" s="232" customFormat="1">
      <c r="A115" s="283"/>
      <c r="B115" s="283" t="s">
        <v>110</v>
      </c>
      <c r="C115" s="667"/>
      <c r="D115" s="123" t="s">
        <v>340</v>
      </c>
      <c r="E115" s="679"/>
      <c r="F115" s="529">
        <f>VLOOKUP(D115,'Nov 2012 Revenue'!D:T,17,FALSE)</f>
        <v>0</v>
      </c>
      <c r="G115" s="680"/>
      <c r="H115" s="680"/>
      <c r="I115" s="770">
        <v>120.35</v>
      </c>
      <c r="J115" s="682">
        <f t="shared" si="22"/>
        <v>120.35</v>
      </c>
      <c r="K115" s="683"/>
      <c r="L115" s="684"/>
      <c r="M115" s="753"/>
      <c r="N115" s="683">
        <v>0</v>
      </c>
      <c r="O115" s="686"/>
      <c r="P115" s="683">
        <v>0</v>
      </c>
      <c r="Q115" s="687">
        <f t="shared" si="1"/>
        <v>0</v>
      </c>
      <c r="R115" s="688">
        <v>0</v>
      </c>
      <c r="S115" s="693"/>
      <c r="T115" s="690">
        <f t="shared" si="23"/>
        <v>0</v>
      </c>
      <c r="U115" s="683"/>
      <c r="V115" s="474">
        <f t="shared" si="24"/>
        <v>0</v>
      </c>
      <c r="W115" s="474">
        <f t="shared" si="25"/>
        <v>0</v>
      </c>
      <c r="X115" s="475">
        <f t="shared" si="26"/>
        <v>0</v>
      </c>
      <c r="Y115" s="475">
        <v>0</v>
      </c>
      <c r="Z115" s="476">
        <v>0</v>
      </c>
      <c r="AA115" s="38">
        <f t="shared" si="27"/>
        <v>0</v>
      </c>
      <c r="AB115" s="692">
        <f t="shared" si="16"/>
        <v>120.35</v>
      </c>
      <c r="AC115" s="692">
        <f t="shared" si="17"/>
        <v>0</v>
      </c>
      <c r="AD115" s="692">
        <f t="shared" si="18"/>
        <v>0</v>
      </c>
      <c r="AE115" s="38"/>
      <c r="AF115" s="692">
        <f t="shared" si="19"/>
        <v>0</v>
      </c>
      <c r="AG115" s="692">
        <f t="shared" si="20"/>
        <v>0</v>
      </c>
      <c r="AH115" s="692">
        <f t="shared" si="21"/>
        <v>0</v>
      </c>
      <c r="AJ115" s="38">
        <f t="shared" si="28"/>
        <v>120.35</v>
      </c>
    </row>
    <row r="116" spans="1:36" s="232" customFormat="1">
      <c r="A116" s="283"/>
      <c r="B116" s="283" t="s">
        <v>110</v>
      </c>
      <c r="C116" s="667"/>
      <c r="D116" s="123" t="s">
        <v>439</v>
      </c>
      <c r="E116" s="679"/>
      <c r="F116" s="529">
        <f>VLOOKUP(D116,'Nov 2012 Revenue'!D:T,17,FALSE)</f>
        <v>0</v>
      </c>
      <c r="G116" s="680"/>
      <c r="H116" s="680"/>
      <c r="I116" s="770">
        <v>2627.94</v>
      </c>
      <c r="J116" s="682">
        <f t="shared" si="22"/>
        <v>2627.94</v>
      </c>
      <c r="K116" s="683"/>
      <c r="L116" s="684"/>
      <c r="M116" s="753"/>
      <c r="N116" s="683">
        <v>0</v>
      </c>
      <c r="O116" s="686"/>
      <c r="P116" s="683">
        <v>0</v>
      </c>
      <c r="Q116" s="687">
        <f t="shared" si="1"/>
        <v>0</v>
      </c>
      <c r="R116" s="688">
        <v>0</v>
      </c>
      <c r="S116" s="693"/>
      <c r="T116" s="690">
        <f t="shared" si="23"/>
        <v>0</v>
      </c>
      <c r="U116" s="683"/>
      <c r="V116" s="474">
        <f t="shared" si="24"/>
        <v>0</v>
      </c>
      <c r="W116" s="474">
        <f t="shared" si="25"/>
        <v>0</v>
      </c>
      <c r="X116" s="475">
        <f t="shared" si="26"/>
        <v>0</v>
      </c>
      <c r="Y116" s="475">
        <v>0</v>
      </c>
      <c r="Z116" s="476">
        <v>0</v>
      </c>
      <c r="AA116" s="38">
        <f t="shared" si="27"/>
        <v>0</v>
      </c>
      <c r="AB116" s="692">
        <f t="shared" si="16"/>
        <v>2627.94</v>
      </c>
      <c r="AC116" s="692">
        <f t="shared" si="17"/>
        <v>0</v>
      </c>
      <c r="AD116" s="692">
        <f t="shared" si="18"/>
        <v>0</v>
      </c>
      <c r="AE116" s="38"/>
      <c r="AF116" s="692">
        <f t="shared" si="19"/>
        <v>0</v>
      </c>
      <c r="AG116" s="692">
        <f t="shared" si="20"/>
        <v>0</v>
      </c>
      <c r="AH116" s="692">
        <f t="shared" si="21"/>
        <v>0</v>
      </c>
      <c r="AJ116" s="38">
        <f t="shared" si="28"/>
        <v>2627.94</v>
      </c>
    </row>
    <row r="117" spans="1:36" s="232" customFormat="1">
      <c r="A117" s="283"/>
      <c r="B117" s="283" t="s">
        <v>110</v>
      </c>
      <c r="C117" s="667"/>
      <c r="D117" s="123" t="s">
        <v>592</v>
      </c>
      <c r="E117" s="679"/>
      <c r="F117" s="529">
        <f>VLOOKUP(D117,'Nov 2012 Revenue'!D:T,17,FALSE)</f>
        <v>0</v>
      </c>
      <c r="G117" s="680"/>
      <c r="H117" s="680"/>
      <c r="I117" s="770">
        <v>918.92</v>
      </c>
      <c r="J117" s="682">
        <f t="shared" si="22"/>
        <v>918.92</v>
      </c>
      <c r="K117" s="683"/>
      <c r="L117" s="684"/>
      <c r="M117" s="753"/>
      <c r="N117" s="683">
        <v>0</v>
      </c>
      <c r="O117" s="686"/>
      <c r="P117" s="683">
        <v>0</v>
      </c>
      <c r="Q117" s="687">
        <f t="shared" si="1"/>
        <v>0</v>
      </c>
      <c r="R117" s="688">
        <v>0</v>
      </c>
      <c r="S117" s="693"/>
      <c r="T117" s="690">
        <f t="shared" si="23"/>
        <v>0</v>
      </c>
      <c r="U117" s="683"/>
      <c r="V117" s="474">
        <f t="shared" si="24"/>
        <v>0</v>
      </c>
      <c r="W117" s="474">
        <f t="shared" si="25"/>
        <v>0</v>
      </c>
      <c r="X117" s="475">
        <f t="shared" si="26"/>
        <v>0</v>
      </c>
      <c r="Y117" s="475">
        <v>0</v>
      </c>
      <c r="Z117" s="476">
        <v>0</v>
      </c>
      <c r="AA117" s="38">
        <f t="shared" si="27"/>
        <v>0</v>
      </c>
      <c r="AB117" s="692">
        <f t="shared" si="16"/>
        <v>918.92</v>
      </c>
      <c r="AC117" s="692">
        <f t="shared" si="17"/>
        <v>0</v>
      </c>
      <c r="AD117" s="692">
        <f t="shared" si="18"/>
        <v>0</v>
      </c>
      <c r="AE117" s="38"/>
      <c r="AF117" s="692">
        <f t="shared" si="19"/>
        <v>0</v>
      </c>
      <c r="AG117" s="692">
        <f t="shared" si="20"/>
        <v>0</v>
      </c>
      <c r="AH117" s="692">
        <f t="shared" si="21"/>
        <v>0</v>
      </c>
      <c r="AJ117" s="38">
        <f t="shared" si="28"/>
        <v>918.92</v>
      </c>
    </row>
    <row r="118" spans="1:36" s="232" customFormat="1">
      <c r="A118" s="283"/>
      <c r="B118" s="283" t="s">
        <v>110</v>
      </c>
      <c r="C118" s="667"/>
      <c r="D118" s="123" t="s">
        <v>512</v>
      </c>
      <c r="E118" s="679"/>
      <c r="F118" s="529">
        <f>VLOOKUP(D118,'Nov 2012 Revenue'!D:T,17,FALSE)</f>
        <v>0</v>
      </c>
      <c r="G118" s="680"/>
      <c r="H118" s="680"/>
      <c r="I118" s="770">
        <f>24176.42+2060.42+1632.75+6227.68+0.68+438.97</f>
        <v>34536.92</v>
      </c>
      <c r="J118" s="682">
        <f t="shared" si="22"/>
        <v>34536.92</v>
      </c>
      <c r="K118" s="683"/>
      <c r="L118" s="684"/>
      <c r="M118" s="753"/>
      <c r="N118" s="683">
        <v>0</v>
      </c>
      <c r="O118" s="686"/>
      <c r="P118" s="683"/>
      <c r="Q118" s="687">
        <f t="shared" si="1"/>
        <v>0</v>
      </c>
      <c r="R118" s="688">
        <v>0</v>
      </c>
      <c r="S118" s="693"/>
      <c r="T118" s="690">
        <f t="shared" si="23"/>
        <v>0</v>
      </c>
      <c r="U118" s="683"/>
      <c r="V118" s="474">
        <f t="shared" si="24"/>
        <v>0</v>
      </c>
      <c r="W118" s="474">
        <f t="shared" si="25"/>
        <v>0</v>
      </c>
      <c r="X118" s="475">
        <f t="shared" si="26"/>
        <v>0</v>
      </c>
      <c r="Y118" s="475">
        <v>0</v>
      </c>
      <c r="Z118" s="476">
        <v>0</v>
      </c>
      <c r="AA118" s="38">
        <f t="shared" si="27"/>
        <v>0</v>
      </c>
      <c r="AB118" s="692">
        <f t="shared" si="16"/>
        <v>34536.92</v>
      </c>
      <c r="AC118" s="692">
        <f t="shared" si="17"/>
        <v>0</v>
      </c>
      <c r="AD118" s="692">
        <f t="shared" si="18"/>
        <v>0</v>
      </c>
      <c r="AE118" s="38"/>
      <c r="AF118" s="692">
        <f t="shared" si="19"/>
        <v>0</v>
      </c>
      <c r="AG118" s="692">
        <f t="shared" si="20"/>
        <v>0</v>
      </c>
      <c r="AH118" s="692">
        <f t="shared" si="21"/>
        <v>0</v>
      </c>
      <c r="AJ118" s="38">
        <f t="shared" si="28"/>
        <v>34536.92</v>
      </c>
    </row>
    <row r="119" spans="1:36" s="24" customFormat="1">
      <c r="A119" s="32"/>
      <c r="B119" s="32" t="s">
        <v>110</v>
      </c>
      <c r="C119" s="667"/>
      <c r="D119" s="68" t="s">
        <v>588</v>
      </c>
      <c r="E119" s="679"/>
      <c r="F119" s="529">
        <f>VLOOKUP(D119,'Nov 2012 Revenue'!D:T,17,FALSE)</f>
        <v>0</v>
      </c>
      <c r="G119" s="680"/>
      <c r="H119" s="680"/>
      <c r="I119" s="755"/>
      <c r="J119" s="682">
        <f t="shared" si="22"/>
        <v>0</v>
      </c>
      <c r="K119" s="683"/>
      <c r="L119" s="684"/>
      <c r="M119" s="753"/>
      <c r="N119" s="698"/>
      <c r="O119" s="699"/>
      <c r="P119" s="698"/>
      <c r="Q119" s="687">
        <f t="shared" si="1"/>
        <v>0</v>
      </c>
      <c r="R119" s="688">
        <v>0</v>
      </c>
      <c r="S119" s="693"/>
      <c r="T119" s="690">
        <f t="shared" si="23"/>
        <v>0</v>
      </c>
      <c r="U119" s="683"/>
      <c r="V119" s="474">
        <f t="shared" si="24"/>
        <v>0</v>
      </c>
      <c r="W119" s="474">
        <f t="shared" si="25"/>
        <v>0</v>
      </c>
      <c r="X119" s="475">
        <f t="shared" si="26"/>
        <v>0</v>
      </c>
      <c r="Y119" s="475">
        <v>0</v>
      </c>
      <c r="Z119" s="476">
        <v>0</v>
      </c>
      <c r="AA119" s="38">
        <f t="shared" si="27"/>
        <v>0</v>
      </c>
      <c r="AB119" s="692">
        <f t="shared" si="16"/>
        <v>0</v>
      </c>
      <c r="AC119" s="692">
        <f t="shared" si="17"/>
        <v>0</v>
      </c>
      <c r="AD119" s="692">
        <f t="shared" si="18"/>
        <v>0</v>
      </c>
      <c r="AE119" s="38"/>
      <c r="AF119" s="692">
        <f t="shared" si="19"/>
        <v>0</v>
      </c>
      <c r="AG119" s="692">
        <f t="shared" si="20"/>
        <v>0</v>
      </c>
      <c r="AH119" s="692">
        <f t="shared" si="21"/>
        <v>0</v>
      </c>
      <c r="AJ119" s="38">
        <f t="shared" si="28"/>
        <v>0</v>
      </c>
    </row>
    <row r="120" spans="1:36">
      <c r="A120" s="21"/>
      <c r="B120" s="21" t="s">
        <v>109</v>
      </c>
      <c r="C120" s="666" t="s">
        <v>548</v>
      </c>
      <c r="D120" s="68" t="s">
        <v>461</v>
      </c>
      <c r="E120" s="679"/>
      <c r="F120" s="529">
        <f>VLOOKUP(D120,'Nov 2012 Revenue'!D:T,17,FALSE)</f>
        <v>3563.44</v>
      </c>
      <c r="G120" s="680"/>
      <c r="H120" s="680"/>
      <c r="I120" s="770">
        <v>4017.04</v>
      </c>
      <c r="J120" s="682">
        <f t="shared" si="22"/>
        <v>7580.48</v>
      </c>
      <c r="K120" s="683"/>
      <c r="L120" s="684"/>
      <c r="M120" s="753">
        <v>5000</v>
      </c>
      <c r="N120" s="683">
        <v>0</v>
      </c>
      <c r="O120" s="686"/>
      <c r="P120" s="683">
        <v>0</v>
      </c>
      <c r="Q120" s="687">
        <f t="shared" si="1"/>
        <v>5000</v>
      </c>
      <c r="R120" s="688">
        <v>4070.37</v>
      </c>
      <c r="S120" s="693"/>
      <c r="T120" s="690">
        <f t="shared" si="23"/>
        <v>-929.63000000000011</v>
      </c>
      <c r="U120" s="683"/>
      <c r="V120" s="474">
        <f t="shared" si="24"/>
        <v>0</v>
      </c>
      <c r="W120" s="474">
        <f t="shared" si="25"/>
        <v>5000</v>
      </c>
      <c r="X120" s="475">
        <f t="shared" si="26"/>
        <v>0</v>
      </c>
      <c r="Y120" s="475">
        <v>0</v>
      </c>
      <c r="Z120" s="476">
        <v>0</v>
      </c>
      <c r="AA120" s="38">
        <f t="shared" si="27"/>
        <v>0</v>
      </c>
      <c r="AB120" s="692">
        <f t="shared" si="16"/>
        <v>0</v>
      </c>
      <c r="AC120" s="692">
        <f t="shared" si="17"/>
        <v>7580.48</v>
      </c>
      <c r="AD120" s="692">
        <f t="shared" si="18"/>
        <v>0</v>
      </c>
      <c r="AE120" s="38"/>
      <c r="AF120" s="692">
        <f t="shared" si="19"/>
        <v>0</v>
      </c>
      <c r="AG120" s="692">
        <f t="shared" si="20"/>
        <v>5000</v>
      </c>
      <c r="AH120" s="692">
        <f t="shared" si="21"/>
        <v>0</v>
      </c>
      <c r="AJ120" s="38">
        <f t="shared" si="28"/>
        <v>12580.48</v>
      </c>
    </row>
    <row r="121" spans="1:36">
      <c r="A121" s="20"/>
      <c r="B121" s="20" t="s">
        <v>109</v>
      </c>
      <c r="C121" s="667" t="s">
        <v>549</v>
      </c>
      <c r="D121" s="68" t="s">
        <v>22</v>
      </c>
      <c r="E121" s="679">
        <v>12.83</v>
      </c>
      <c r="F121" s="529">
        <f>VLOOKUP(D121,'Nov 2012 Revenue'!D:T,17,FALSE)</f>
        <v>0</v>
      </c>
      <c r="G121" s="680"/>
      <c r="H121" s="680"/>
      <c r="I121" s="755"/>
      <c r="J121" s="682">
        <f t="shared" si="22"/>
        <v>12.83</v>
      </c>
      <c r="K121" s="683"/>
      <c r="L121" s="684"/>
      <c r="M121" s="753"/>
      <c r="N121" s="683">
        <v>0</v>
      </c>
      <c r="O121" s="686"/>
      <c r="P121" s="683">
        <v>0</v>
      </c>
      <c r="Q121" s="687">
        <f t="shared" si="1"/>
        <v>0</v>
      </c>
      <c r="R121" s="688">
        <v>0</v>
      </c>
      <c r="S121" s="693"/>
      <c r="T121" s="690">
        <f t="shared" si="23"/>
        <v>0</v>
      </c>
      <c r="U121" s="683"/>
      <c r="V121" s="474">
        <f t="shared" si="24"/>
        <v>0</v>
      </c>
      <c r="W121" s="474">
        <f t="shared" si="25"/>
        <v>0</v>
      </c>
      <c r="X121" s="475">
        <f t="shared" si="26"/>
        <v>0</v>
      </c>
      <c r="Y121" s="475">
        <v>0</v>
      </c>
      <c r="Z121" s="476">
        <v>0</v>
      </c>
      <c r="AA121" s="38">
        <f t="shared" si="27"/>
        <v>0</v>
      </c>
      <c r="AB121" s="692">
        <f t="shared" si="16"/>
        <v>0</v>
      </c>
      <c r="AC121" s="692">
        <f t="shared" si="17"/>
        <v>12.83</v>
      </c>
      <c r="AD121" s="692">
        <f t="shared" si="18"/>
        <v>0</v>
      </c>
      <c r="AE121" s="38"/>
      <c r="AF121" s="692">
        <f t="shared" si="19"/>
        <v>0</v>
      </c>
      <c r="AG121" s="692">
        <f t="shared" si="20"/>
        <v>0</v>
      </c>
      <c r="AH121" s="692">
        <f t="shared" si="21"/>
        <v>0</v>
      </c>
      <c r="AJ121" s="38">
        <f t="shared" si="28"/>
        <v>12.83</v>
      </c>
    </row>
    <row r="122" spans="1:36">
      <c r="A122" s="20"/>
      <c r="B122" s="20" t="s">
        <v>110</v>
      </c>
      <c r="C122" s="667"/>
      <c r="D122" s="68" t="s">
        <v>24</v>
      </c>
      <c r="E122" s="679"/>
      <c r="F122" s="529">
        <f>VLOOKUP(D122,'Nov 2012 Revenue'!D:T,17,FALSE)</f>
        <v>0</v>
      </c>
      <c r="G122" s="680"/>
      <c r="H122" s="680"/>
      <c r="I122" s="770">
        <v>3278.04</v>
      </c>
      <c r="J122" s="682">
        <f t="shared" si="22"/>
        <v>3278.04</v>
      </c>
      <c r="K122" s="683"/>
      <c r="L122" s="684"/>
      <c r="M122" s="753"/>
      <c r="N122" s="683">
        <v>0</v>
      </c>
      <c r="O122" s="686"/>
      <c r="P122" s="683">
        <v>0</v>
      </c>
      <c r="Q122" s="687">
        <f t="shared" si="1"/>
        <v>0</v>
      </c>
      <c r="R122" s="688">
        <v>0</v>
      </c>
      <c r="S122" s="693"/>
      <c r="T122" s="690">
        <f t="shared" si="23"/>
        <v>0</v>
      </c>
      <c r="U122" s="683"/>
      <c r="V122" s="474">
        <f t="shared" si="24"/>
        <v>0</v>
      </c>
      <c r="W122" s="474">
        <f t="shared" si="25"/>
        <v>0</v>
      </c>
      <c r="X122" s="475">
        <f t="shared" si="26"/>
        <v>0</v>
      </c>
      <c r="Y122" s="475">
        <v>0</v>
      </c>
      <c r="Z122" s="476">
        <v>0</v>
      </c>
      <c r="AA122" s="38">
        <f t="shared" si="27"/>
        <v>0</v>
      </c>
      <c r="AB122" s="692">
        <f t="shared" si="16"/>
        <v>3278.04</v>
      </c>
      <c r="AC122" s="692">
        <f t="shared" si="17"/>
        <v>0</v>
      </c>
      <c r="AD122" s="692">
        <f t="shared" si="18"/>
        <v>0</v>
      </c>
      <c r="AE122" s="38"/>
      <c r="AF122" s="692">
        <f t="shared" si="19"/>
        <v>0</v>
      </c>
      <c r="AG122" s="692">
        <f t="shared" si="20"/>
        <v>0</v>
      </c>
      <c r="AH122" s="692">
        <f t="shared" si="21"/>
        <v>0</v>
      </c>
      <c r="AJ122" s="38">
        <f t="shared" si="28"/>
        <v>3278.04</v>
      </c>
    </row>
    <row r="123" spans="1:36">
      <c r="A123" s="21"/>
      <c r="B123" s="21" t="s">
        <v>110</v>
      </c>
      <c r="C123" s="666" t="s">
        <v>550</v>
      </c>
      <c r="D123" s="68" t="s">
        <v>282</v>
      </c>
      <c r="E123" s="679"/>
      <c r="F123" s="529">
        <f>VLOOKUP(D123,'Nov 2012 Revenue'!D:T,17,FALSE)</f>
        <v>240.06000000000131</v>
      </c>
      <c r="G123" s="680"/>
      <c r="H123" s="680"/>
      <c r="I123" s="755"/>
      <c r="J123" s="682">
        <f t="shared" si="22"/>
        <v>240.06000000000131</v>
      </c>
      <c r="K123" s="683"/>
      <c r="L123" s="684"/>
      <c r="M123" s="753">
        <v>25000</v>
      </c>
      <c r="N123" s="683">
        <v>0</v>
      </c>
      <c r="O123" s="686"/>
      <c r="P123" s="683">
        <v>0</v>
      </c>
      <c r="Q123" s="687">
        <f t="shared" si="1"/>
        <v>25000</v>
      </c>
      <c r="R123" s="688">
        <v>27311.46</v>
      </c>
      <c r="S123" s="693"/>
      <c r="T123" s="690">
        <f t="shared" si="23"/>
        <v>2311.4599999999991</v>
      </c>
      <c r="U123" s="683"/>
      <c r="V123" s="474">
        <f t="shared" si="24"/>
        <v>25000</v>
      </c>
      <c r="W123" s="474">
        <f t="shared" si="25"/>
        <v>0</v>
      </c>
      <c r="X123" s="475">
        <f t="shared" si="26"/>
        <v>0</v>
      </c>
      <c r="Y123" s="475">
        <v>0</v>
      </c>
      <c r="Z123" s="476">
        <v>0</v>
      </c>
      <c r="AA123" s="38">
        <f t="shared" si="27"/>
        <v>0</v>
      </c>
      <c r="AB123" s="692">
        <f t="shared" si="16"/>
        <v>240.06000000000131</v>
      </c>
      <c r="AC123" s="692">
        <f t="shared" si="17"/>
        <v>0</v>
      </c>
      <c r="AD123" s="692">
        <f t="shared" si="18"/>
        <v>0</v>
      </c>
      <c r="AE123" s="38"/>
      <c r="AF123" s="692">
        <f t="shared" si="19"/>
        <v>25000</v>
      </c>
      <c r="AG123" s="692">
        <f t="shared" si="20"/>
        <v>0</v>
      </c>
      <c r="AH123" s="692">
        <f t="shared" si="21"/>
        <v>0</v>
      </c>
      <c r="AJ123" s="38">
        <f t="shared" si="28"/>
        <v>25240.06</v>
      </c>
    </row>
    <row r="124" spans="1:36">
      <c r="A124" s="21"/>
      <c r="B124" s="21" t="s">
        <v>109</v>
      </c>
      <c r="C124" s="666" t="s">
        <v>551</v>
      </c>
      <c r="D124" s="68" t="s">
        <v>499</v>
      </c>
      <c r="E124" s="679"/>
      <c r="F124" s="529">
        <f>VLOOKUP(D124,'Nov 2012 Revenue'!D:T,17,FALSE)</f>
        <v>0</v>
      </c>
      <c r="G124" s="680"/>
      <c r="H124" s="680"/>
      <c r="I124" s="755"/>
      <c r="J124" s="682">
        <f t="shared" si="22"/>
        <v>0</v>
      </c>
      <c r="K124" s="683"/>
      <c r="L124" s="684"/>
      <c r="M124" s="753"/>
      <c r="N124" s="683">
        <v>0</v>
      </c>
      <c r="O124" s="686"/>
      <c r="P124" s="683">
        <v>0</v>
      </c>
      <c r="Q124" s="687">
        <f t="shared" si="1"/>
        <v>0</v>
      </c>
      <c r="R124" s="688">
        <v>0</v>
      </c>
      <c r="S124" s="693"/>
      <c r="T124" s="690">
        <f t="shared" si="23"/>
        <v>0</v>
      </c>
      <c r="U124" s="683"/>
      <c r="V124" s="474">
        <f t="shared" si="24"/>
        <v>0</v>
      </c>
      <c r="W124" s="474">
        <f t="shared" si="25"/>
        <v>0</v>
      </c>
      <c r="X124" s="475">
        <f t="shared" si="26"/>
        <v>0</v>
      </c>
      <c r="Y124" s="475">
        <v>0</v>
      </c>
      <c r="Z124" s="476">
        <v>0</v>
      </c>
      <c r="AA124" s="38">
        <f t="shared" si="27"/>
        <v>0</v>
      </c>
      <c r="AB124" s="692">
        <f t="shared" si="16"/>
        <v>0</v>
      </c>
      <c r="AC124" s="692">
        <f t="shared" si="17"/>
        <v>0</v>
      </c>
      <c r="AD124" s="692">
        <f t="shared" si="18"/>
        <v>0</v>
      </c>
      <c r="AE124" s="38"/>
      <c r="AF124" s="692">
        <f t="shared" si="19"/>
        <v>0</v>
      </c>
      <c r="AG124" s="692">
        <f t="shared" si="20"/>
        <v>0</v>
      </c>
      <c r="AH124" s="692">
        <f t="shared" si="21"/>
        <v>0</v>
      </c>
      <c r="AJ124" s="38">
        <f t="shared" si="28"/>
        <v>0</v>
      </c>
    </row>
    <row r="125" spans="1:36">
      <c r="A125" s="21"/>
      <c r="B125" s="21" t="s">
        <v>110</v>
      </c>
      <c r="C125" s="666"/>
      <c r="D125" s="68" t="s">
        <v>28</v>
      </c>
      <c r="E125" s="679"/>
      <c r="F125" s="529">
        <f>VLOOKUP(D125,'Nov 2012 Revenue'!D:T,17,FALSE)</f>
        <v>0</v>
      </c>
      <c r="G125" s="680"/>
      <c r="H125" s="680"/>
      <c r="I125" s="770">
        <v>1932.7</v>
      </c>
      <c r="J125" s="682">
        <f t="shared" si="22"/>
        <v>1932.7</v>
      </c>
      <c r="K125" s="683"/>
      <c r="L125" s="684"/>
      <c r="M125" s="753"/>
      <c r="N125" s="683">
        <v>0</v>
      </c>
      <c r="O125" s="686"/>
      <c r="P125" s="683">
        <v>0</v>
      </c>
      <c r="Q125" s="687">
        <f t="shared" si="1"/>
        <v>0</v>
      </c>
      <c r="R125" s="688">
        <v>0</v>
      </c>
      <c r="S125" s="693"/>
      <c r="T125" s="690">
        <f t="shared" si="23"/>
        <v>0</v>
      </c>
      <c r="U125" s="683"/>
      <c r="V125" s="474">
        <f t="shared" si="24"/>
        <v>0</v>
      </c>
      <c r="W125" s="474">
        <f t="shared" si="25"/>
        <v>0</v>
      </c>
      <c r="X125" s="475">
        <f t="shared" si="26"/>
        <v>0</v>
      </c>
      <c r="Y125" s="475">
        <v>0</v>
      </c>
      <c r="Z125" s="476">
        <v>0</v>
      </c>
      <c r="AA125" s="38">
        <f t="shared" si="27"/>
        <v>0</v>
      </c>
      <c r="AB125" s="692">
        <f t="shared" si="16"/>
        <v>1932.7</v>
      </c>
      <c r="AC125" s="692">
        <f t="shared" si="17"/>
        <v>0</v>
      </c>
      <c r="AD125" s="692">
        <f t="shared" si="18"/>
        <v>0</v>
      </c>
      <c r="AE125" s="38"/>
      <c r="AF125" s="692">
        <f t="shared" si="19"/>
        <v>0</v>
      </c>
      <c r="AG125" s="692">
        <f t="shared" si="20"/>
        <v>0</v>
      </c>
      <c r="AH125" s="692">
        <f t="shared" si="21"/>
        <v>0</v>
      </c>
      <c r="AJ125" s="38">
        <f t="shared" si="28"/>
        <v>1932.7</v>
      </c>
    </row>
    <row r="126" spans="1:36">
      <c r="A126" s="21"/>
      <c r="B126" s="21" t="s">
        <v>114</v>
      </c>
      <c r="C126" s="666" t="s">
        <v>552</v>
      </c>
      <c r="D126" s="68" t="s">
        <v>513</v>
      </c>
      <c r="E126" s="679">
        <f>3337.4+1099.1</f>
        <v>4436.5</v>
      </c>
      <c r="F126" s="529">
        <f>VLOOKUP(D126,'Nov 2012 Revenue'!D:T,17,FALSE)</f>
        <v>2416.8000000000002</v>
      </c>
      <c r="G126" s="680"/>
      <c r="H126" s="680"/>
      <c r="I126" s="755"/>
      <c r="J126" s="682">
        <f t="shared" si="22"/>
        <v>6853.3</v>
      </c>
      <c r="K126" s="683"/>
      <c r="L126" s="684"/>
      <c r="M126" s="753">
        <v>5000</v>
      </c>
      <c r="N126" s="683">
        <v>0</v>
      </c>
      <c r="O126" s="686"/>
      <c r="P126" s="683">
        <v>0</v>
      </c>
      <c r="Q126" s="687">
        <f>L126+M126</f>
        <v>5000</v>
      </c>
      <c r="R126" s="688">
        <v>0</v>
      </c>
      <c r="S126" s="693"/>
      <c r="T126" s="690">
        <f t="shared" si="23"/>
        <v>-5000</v>
      </c>
      <c r="U126" s="683"/>
      <c r="V126" s="474">
        <f t="shared" si="24"/>
        <v>0</v>
      </c>
      <c r="W126" s="474">
        <f t="shared" si="25"/>
        <v>0</v>
      </c>
      <c r="X126" s="475">
        <f t="shared" si="26"/>
        <v>5000</v>
      </c>
      <c r="Y126" s="475">
        <v>0</v>
      </c>
      <c r="Z126" s="476">
        <v>0</v>
      </c>
      <c r="AA126" s="38">
        <f t="shared" si="27"/>
        <v>0</v>
      </c>
      <c r="AB126" s="692">
        <f t="shared" si="16"/>
        <v>0</v>
      </c>
      <c r="AC126" s="692">
        <f t="shared" si="17"/>
        <v>0</v>
      </c>
      <c r="AD126" s="692">
        <f t="shared" si="18"/>
        <v>6853.3</v>
      </c>
      <c r="AE126" s="38"/>
      <c r="AF126" s="692">
        <f t="shared" si="19"/>
        <v>0</v>
      </c>
      <c r="AG126" s="692">
        <f t="shared" si="20"/>
        <v>0</v>
      </c>
      <c r="AH126" s="692">
        <f t="shared" si="21"/>
        <v>5000</v>
      </c>
      <c r="AJ126" s="38">
        <f t="shared" si="28"/>
        <v>11853.3</v>
      </c>
    </row>
    <row r="127" spans="1:36">
      <c r="A127" s="21"/>
      <c r="B127" s="21" t="s">
        <v>109</v>
      </c>
      <c r="C127" s="666" t="s">
        <v>553</v>
      </c>
      <c r="D127" s="68" t="s">
        <v>308</v>
      </c>
      <c r="E127" s="679">
        <v>1492.48</v>
      </c>
      <c r="F127" s="529">
        <f>VLOOKUP(D127,'Nov 2012 Revenue'!D:T,17,FALSE)</f>
        <v>0</v>
      </c>
      <c r="G127" s="680"/>
      <c r="H127" s="680"/>
      <c r="I127" s="755"/>
      <c r="J127" s="682">
        <f t="shared" si="22"/>
        <v>1492.48</v>
      </c>
      <c r="K127" s="683"/>
      <c r="L127" s="684"/>
      <c r="M127" s="753"/>
      <c r="N127" s="683">
        <v>0</v>
      </c>
      <c r="O127" s="686"/>
      <c r="P127" s="683">
        <v>0</v>
      </c>
      <c r="Q127" s="687">
        <f t="shared" si="1"/>
        <v>0</v>
      </c>
      <c r="R127" s="688">
        <v>0</v>
      </c>
      <c r="S127" s="693"/>
      <c r="T127" s="690">
        <f t="shared" si="23"/>
        <v>0</v>
      </c>
      <c r="U127" s="683"/>
      <c r="V127" s="474">
        <f t="shared" si="24"/>
        <v>0</v>
      </c>
      <c r="W127" s="474">
        <f t="shared" si="25"/>
        <v>0</v>
      </c>
      <c r="X127" s="475">
        <f t="shared" si="26"/>
        <v>0</v>
      </c>
      <c r="Y127" s="475">
        <v>0</v>
      </c>
      <c r="Z127" s="476">
        <v>0</v>
      </c>
      <c r="AA127" s="38">
        <f t="shared" si="27"/>
        <v>0</v>
      </c>
      <c r="AB127" s="692">
        <f t="shared" si="16"/>
        <v>0</v>
      </c>
      <c r="AC127" s="692">
        <f t="shared" si="17"/>
        <v>1492.48</v>
      </c>
      <c r="AD127" s="692">
        <f t="shared" si="18"/>
        <v>0</v>
      </c>
      <c r="AE127" s="38"/>
      <c r="AF127" s="692">
        <f t="shared" si="19"/>
        <v>0</v>
      </c>
      <c r="AG127" s="692">
        <f t="shared" si="20"/>
        <v>0</v>
      </c>
      <c r="AH127" s="692">
        <f t="shared" si="21"/>
        <v>0</v>
      </c>
      <c r="AJ127" s="38">
        <f t="shared" si="28"/>
        <v>1492.48</v>
      </c>
    </row>
    <row r="128" spans="1:36" s="232" customFormat="1">
      <c r="A128" s="283" t="s">
        <v>211</v>
      </c>
      <c r="B128" s="283" t="s">
        <v>109</v>
      </c>
      <c r="C128" s="667" t="s">
        <v>554</v>
      </c>
      <c r="D128" s="123" t="s">
        <v>389</v>
      </c>
      <c r="E128" s="679"/>
      <c r="F128" s="529">
        <f>VLOOKUP(D128,'Nov 2012 Revenue'!D:T,17,FALSE)</f>
        <v>0</v>
      </c>
      <c r="G128" s="680"/>
      <c r="H128" s="680"/>
      <c r="I128" s="755"/>
      <c r="J128" s="682">
        <f t="shared" si="22"/>
        <v>0</v>
      </c>
      <c r="K128" s="683"/>
      <c r="L128" s="684"/>
      <c r="M128" s="753"/>
      <c r="N128" s="683">
        <v>0</v>
      </c>
      <c r="O128" s="686"/>
      <c r="P128" s="683">
        <v>0</v>
      </c>
      <c r="Q128" s="687">
        <f t="shared" si="1"/>
        <v>0</v>
      </c>
      <c r="R128" s="688">
        <v>0</v>
      </c>
      <c r="S128" s="693"/>
      <c r="T128" s="690">
        <f t="shared" si="23"/>
        <v>0</v>
      </c>
      <c r="U128" s="683"/>
      <c r="V128" s="474">
        <f t="shared" si="24"/>
        <v>0</v>
      </c>
      <c r="W128" s="474">
        <f t="shared" si="25"/>
        <v>0</v>
      </c>
      <c r="X128" s="475">
        <f t="shared" si="26"/>
        <v>0</v>
      </c>
      <c r="Y128" s="475">
        <v>0</v>
      </c>
      <c r="Z128" s="476">
        <v>0</v>
      </c>
      <c r="AA128" s="38">
        <f t="shared" si="27"/>
        <v>0</v>
      </c>
      <c r="AB128" s="692">
        <f t="shared" si="16"/>
        <v>0</v>
      </c>
      <c r="AC128" s="692">
        <f t="shared" si="17"/>
        <v>0</v>
      </c>
      <c r="AD128" s="692">
        <f t="shared" si="18"/>
        <v>0</v>
      </c>
      <c r="AE128" s="38"/>
      <c r="AF128" s="692">
        <f t="shared" si="19"/>
        <v>0</v>
      </c>
      <c r="AG128" s="692">
        <f t="shared" si="20"/>
        <v>0</v>
      </c>
      <c r="AH128" s="692">
        <f t="shared" si="21"/>
        <v>0</v>
      </c>
      <c r="AJ128" s="38">
        <f t="shared" si="28"/>
        <v>0</v>
      </c>
    </row>
    <row r="129" spans="1:36" s="232" customFormat="1">
      <c r="A129" s="283"/>
      <c r="B129" s="283" t="s">
        <v>109</v>
      </c>
      <c r="C129" s="667"/>
      <c r="D129" s="123" t="s">
        <v>807</v>
      </c>
      <c r="E129" s="679"/>
      <c r="F129" s="529">
        <f>VLOOKUP(D129,'Nov 2012 Revenue'!D:T,17,FALSE)</f>
        <v>1517.3600000000006</v>
      </c>
      <c r="G129" s="680"/>
      <c r="H129" s="680"/>
      <c r="I129" s="770">
        <f>14194.08+742.64</f>
        <v>14936.72</v>
      </c>
      <c r="J129" s="682">
        <f t="shared" si="22"/>
        <v>16454.080000000002</v>
      </c>
      <c r="K129" s="683"/>
      <c r="L129" s="684"/>
      <c r="M129" s="753"/>
      <c r="N129" s="683">
        <v>0</v>
      </c>
      <c r="O129" s="686"/>
      <c r="P129" s="683">
        <v>0</v>
      </c>
      <c r="Q129" s="687">
        <f t="shared" si="1"/>
        <v>0</v>
      </c>
      <c r="R129" s="688">
        <v>0</v>
      </c>
      <c r="S129" s="693"/>
      <c r="T129" s="690">
        <f t="shared" si="23"/>
        <v>0</v>
      </c>
      <c r="U129" s="683"/>
      <c r="V129" s="474">
        <f t="shared" si="24"/>
        <v>0</v>
      </c>
      <c r="W129" s="474">
        <f t="shared" si="25"/>
        <v>0</v>
      </c>
      <c r="X129" s="475">
        <f t="shared" si="26"/>
        <v>0</v>
      </c>
      <c r="Y129" s="475">
        <v>0</v>
      </c>
      <c r="Z129" s="476">
        <v>0</v>
      </c>
      <c r="AA129" s="38">
        <f t="shared" si="27"/>
        <v>0</v>
      </c>
      <c r="AB129" s="692">
        <f t="shared" si="16"/>
        <v>0</v>
      </c>
      <c r="AC129" s="692">
        <f t="shared" si="17"/>
        <v>16454.080000000002</v>
      </c>
      <c r="AD129" s="692">
        <f t="shared" si="18"/>
        <v>0</v>
      </c>
      <c r="AE129" s="38"/>
      <c r="AF129" s="692">
        <f t="shared" si="19"/>
        <v>0</v>
      </c>
      <c r="AG129" s="692">
        <f t="shared" si="20"/>
        <v>0</v>
      </c>
      <c r="AH129" s="692">
        <f t="shared" si="21"/>
        <v>0</v>
      </c>
      <c r="AJ129" s="38">
        <f t="shared" si="28"/>
        <v>16454.080000000002</v>
      </c>
    </row>
    <row r="130" spans="1:36" s="232" customFormat="1">
      <c r="A130" s="283"/>
      <c r="B130" s="283" t="s">
        <v>110</v>
      </c>
      <c r="C130" s="667"/>
      <c r="D130" s="123" t="s">
        <v>808</v>
      </c>
      <c r="E130" s="679"/>
      <c r="F130" s="529">
        <f>VLOOKUP(D130,'Nov 2012 Revenue'!D:T,17,FALSE)</f>
        <v>1609.26</v>
      </c>
      <c r="G130" s="680"/>
      <c r="H130" s="680"/>
      <c r="I130" s="770">
        <v>1495.47</v>
      </c>
      <c r="J130" s="682">
        <f t="shared" si="22"/>
        <v>3104.73</v>
      </c>
      <c r="K130" s="683"/>
      <c r="L130" s="684"/>
      <c r="M130" s="753"/>
      <c r="N130" s="683">
        <v>0</v>
      </c>
      <c r="O130" s="686"/>
      <c r="P130" s="683">
        <v>0</v>
      </c>
      <c r="Q130" s="687">
        <f t="shared" si="1"/>
        <v>0</v>
      </c>
      <c r="R130" s="688">
        <v>0</v>
      </c>
      <c r="S130" s="693"/>
      <c r="T130" s="690">
        <f t="shared" si="23"/>
        <v>0</v>
      </c>
      <c r="U130" s="683"/>
      <c r="V130" s="474">
        <f t="shared" si="24"/>
        <v>0</v>
      </c>
      <c r="W130" s="474">
        <f t="shared" si="25"/>
        <v>0</v>
      </c>
      <c r="X130" s="475">
        <f t="shared" si="26"/>
        <v>0</v>
      </c>
      <c r="Y130" s="475">
        <v>0</v>
      </c>
      <c r="Z130" s="476">
        <v>0</v>
      </c>
      <c r="AA130" s="38">
        <f t="shared" si="27"/>
        <v>0</v>
      </c>
      <c r="AB130" s="692">
        <f t="shared" si="16"/>
        <v>3104.73</v>
      </c>
      <c r="AC130" s="692">
        <f t="shared" si="17"/>
        <v>0</v>
      </c>
      <c r="AD130" s="692">
        <f t="shared" si="18"/>
        <v>0</v>
      </c>
      <c r="AE130" s="38"/>
      <c r="AF130" s="692">
        <f t="shared" si="19"/>
        <v>0</v>
      </c>
      <c r="AG130" s="692">
        <f t="shared" si="20"/>
        <v>0</v>
      </c>
      <c r="AH130" s="692">
        <f t="shared" si="21"/>
        <v>0</v>
      </c>
      <c r="AJ130" s="38">
        <f t="shared" si="28"/>
        <v>3104.73</v>
      </c>
    </row>
    <row r="131" spans="1:36" s="232" customFormat="1">
      <c r="A131" s="403"/>
      <c r="B131" s="403" t="s">
        <v>110</v>
      </c>
      <c r="C131" s="666" t="s">
        <v>563</v>
      </c>
      <c r="D131" s="123" t="s">
        <v>867</v>
      </c>
      <c r="E131" s="679"/>
      <c r="F131" s="529">
        <f>VLOOKUP(D131,'Nov 2012 Revenue'!D:T,17,FALSE)</f>
        <v>0</v>
      </c>
      <c r="G131" s="680"/>
      <c r="H131" s="680"/>
      <c r="I131" s="755"/>
      <c r="J131" s="682">
        <f t="shared" si="22"/>
        <v>0</v>
      </c>
      <c r="K131" s="683"/>
      <c r="L131" s="684"/>
      <c r="M131" s="753"/>
      <c r="N131" s="683">
        <v>0</v>
      </c>
      <c r="O131" s="686"/>
      <c r="P131" s="683">
        <v>0</v>
      </c>
      <c r="Q131" s="687">
        <f t="shared" si="1"/>
        <v>0</v>
      </c>
      <c r="R131" s="688">
        <v>0</v>
      </c>
      <c r="S131" s="693"/>
      <c r="T131" s="690">
        <f t="shared" si="23"/>
        <v>0</v>
      </c>
      <c r="U131" s="683"/>
      <c r="V131" s="474">
        <f t="shared" si="24"/>
        <v>0</v>
      </c>
      <c r="W131" s="474">
        <f t="shared" si="25"/>
        <v>0</v>
      </c>
      <c r="X131" s="475">
        <f t="shared" si="26"/>
        <v>0</v>
      </c>
      <c r="Y131" s="475">
        <v>0</v>
      </c>
      <c r="Z131" s="476">
        <v>0</v>
      </c>
      <c r="AA131" s="38">
        <f t="shared" si="27"/>
        <v>0</v>
      </c>
      <c r="AB131" s="692">
        <f t="shared" si="16"/>
        <v>0</v>
      </c>
      <c r="AC131" s="692">
        <f t="shared" si="17"/>
        <v>0</v>
      </c>
      <c r="AD131" s="692">
        <f t="shared" si="18"/>
        <v>0</v>
      </c>
      <c r="AE131" s="38"/>
      <c r="AF131" s="692">
        <f t="shared" si="19"/>
        <v>0</v>
      </c>
      <c r="AG131" s="692">
        <f t="shared" si="20"/>
        <v>0</v>
      </c>
      <c r="AH131" s="692">
        <f t="shared" si="21"/>
        <v>0</v>
      </c>
      <c r="AJ131" s="38">
        <f t="shared" si="28"/>
        <v>0</v>
      </c>
    </row>
    <row r="132" spans="1:36" s="232" customFormat="1">
      <c r="A132" s="283"/>
      <c r="B132" s="283" t="s">
        <v>110</v>
      </c>
      <c r="C132" s="667"/>
      <c r="D132" s="68" t="s">
        <v>488</v>
      </c>
      <c r="E132" s="679"/>
      <c r="F132" s="529">
        <f>VLOOKUP(D132,'Nov 2012 Revenue'!D:T,17,FALSE)</f>
        <v>0</v>
      </c>
      <c r="G132" s="680"/>
      <c r="H132" s="680"/>
      <c r="I132" s="755"/>
      <c r="J132" s="682">
        <f t="shared" si="22"/>
        <v>0</v>
      </c>
      <c r="K132" s="683"/>
      <c r="L132" s="684"/>
      <c r="M132" s="753"/>
      <c r="N132" s="683">
        <v>0</v>
      </c>
      <c r="O132" s="686"/>
      <c r="P132" s="683">
        <v>0</v>
      </c>
      <c r="Q132" s="687">
        <f t="shared" si="1"/>
        <v>0</v>
      </c>
      <c r="R132" s="688">
        <v>0</v>
      </c>
      <c r="S132" s="693"/>
      <c r="T132" s="690">
        <f t="shared" si="23"/>
        <v>0</v>
      </c>
      <c r="U132" s="683"/>
      <c r="V132" s="474">
        <f t="shared" si="24"/>
        <v>0</v>
      </c>
      <c r="W132" s="474">
        <f t="shared" si="25"/>
        <v>0</v>
      </c>
      <c r="X132" s="475">
        <f t="shared" si="26"/>
        <v>0</v>
      </c>
      <c r="Y132" s="475">
        <v>0</v>
      </c>
      <c r="Z132" s="476">
        <v>0</v>
      </c>
      <c r="AA132" s="38">
        <f t="shared" si="27"/>
        <v>0</v>
      </c>
      <c r="AB132" s="692">
        <f t="shared" si="16"/>
        <v>0</v>
      </c>
      <c r="AC132" s="692">
        <f t="shared" si="17"/>
        <v>0</v>
      </c>
      <c r="AD132" s="692">
        <f t="shared" si="18"/>
        <v>0</v>
      </c>
      <c r="AE132" s="38"/>
      <c r="AF132" s="692">
        <f t="shared" si="19"/>
        <v>0</v>
      </c>
      <c r="AG132" s="692">
        <f t="shared" si="20"/>
        <v>0</v>
      </c>
      <c r="AH132" s="692">
        <f t="shared" si="21"/>
        <v>0</v>
      </c>
      <c r="AJ132" s="38">
        <f t="shared" si="28"/>
        <v>0</v>
      </c>
    </row>
    <row r="133" spans="1:36" s="232" customFormat="1">
      <c r="A133" s="283"/>
      <c r="B133" s="283" t="s">
        <v>110</v>
      </c>
      <c r="C133" s="667" t="s">
        <v>555</v>
      </c>
      <c r="D133" s="123" t="s">
        <v>192</v>
      </c>
      <c r="E133" s="679"/>
      <c r="F133" s="529">
        <f>VLOOKUP(D133,'Nov 2012 Revenue'!D:T,17,FALSE)</f>
        <v>0</v>
      </c>
      <c r="G133" s="680"/>
      <c r="H133" s="680"/>
      <c r="I133" s="770">
        <v>4839.03</v>
      </c>
      <c r="J133" s="682">
        <f t="shared" si="22"/>
        <v>4839.03</v>
      </c>
      <c r="K133" s="683"/>
      <c r="L133" s="684"/>
      <c r="M133" s="753"/>
      <c r="N133" s="683">
        <v>0</v>
      </c>
      <c r="O133" s="686"/>
      <c r="P133" s="683">
        <v>0</v>
      </c>
      <c r="Q133" s="687">
        <f t="shared" si="1"/>
        <v>0</v>
      </c>
      <c r="R133" s="688">
        <v>0</v>
      </c>
      <c r="S133" s="693"/>
      <c r="T133" s="690">
        <f t="shared" si="23"/>
        <v>0</v>
      </c>
      <c r="U133" s="683"/>
      <c r="V133" s="474">
        <f t="shared" si="24"/>
        <v>0</v>
      </c>
      <c r="W133" s="474">
        <f t="shared" si="25"/>
        <v>0</v>
      </c>
      <c r="X133" s="475">
        <f t="shared" si="26"/>
        <v>0</v>
      </c>
      <c r="Y133" s="475">
        <v>0</v>
      </c>
      <c r="Z133" s="476">
        <v>0</v>
      </c>
      <c r="AA133" s="38">
        <f t="shared" si="27"/>
        <v>0</v>
      </c>
      <c r="AB133" s="692">
        <f t="shared" si="16"/>
        <v>4839.03</v>
      </c>
      <c r="AC133" s="692">
        <f t="shared" si="17"/>
        <v>0</v>
      </c>
      <c r="AD133" s="692">
        <f t="shared" si="18"/>
        <v>0</v>
      </c>
      <c r="AE133" s="38"/>
      <c r="AF133" s="692">
        <f t="shared" si="19"/>
        <v>0</v>
      </c>
      <c r="AG133" s="692">
        <f t="shared" si="20"/>
        <v>0</v>
      </c>
      <c r="AH133" s="692">
        <f t="shared" si="21"/>
        <v>0</v>
      </c>
      <c r="AJ133" s="38">
        <f t="shared" si="28"/>
        <v>4839.03</v>
      </c>
    </row>
    <row r="134" spans="1:36" s="232" customFormat="1">
      <c r="A134" s="283"/>
      <c r="B134" s="283" t="s">
        <v>110</v>
      </c>
      <c r="C134" s="667" t="s">
        <v>555</v>
      </c>
      <c r="D134" s="123" t="s">
        <v>193</v>
      </c>
      <c r="E134" s="679"/>
      <c r="F134" s="529">
        <f>VLOOKUP(D134,'Nov 2012 Revenue'!D:T,17,FALSE)</f>
        <v>0</v>
      </c>
      <c r="G134" s="680"/>
      <c r="H134" s="680"/>
      <c r="I134" s="770">
        <v>323.33</v>
      </c>
      <c r="J134" s="682">
        <f t="shared" si="22"/>
        <v>323.33</v>
      </c>
      <c r="K134" s="683"/>
      <c r="L134" s="684"/>
      <c r="M134" s="753"/>
      <c r="N134" s="683">
        <v>0</v>
      </c>
      <c r="O134" s="686"/>
      <c r="P134" s="683">
        <v>0</v>
      </c>
      <c r="Q134" s="687">
        <f t="shared" si="1"/>
        <v>0</v>
      </c>
      <c r="R134" s="688">
        <v>0</v>
      </c>
      <c r="S134" s="693"/>
      <c r="T134" s="690">
        <f t="shared" si="23"/>
        <v>0</v>
      </c>
      <c r="U134" s="683"/>
      <c r="V134" s="474">
        <f t="shared" si="24"/>
        <v>0</v>
      </c>
      <c r="W134" s="474">
        <f t="shared" si="25"/>
        <v>0</v>
      </c>
      <c r="X134" s="475">
        <f t="shared" si="26"/>
        <v>0</v>
      </c>
      <c r="Y134" s="475">
        <v>0</v>
      </c>
      <c r="Z134" s="476">
        <v>0</v>
      </c>
      <c r="AA134" s="38">
        <f t="shared" si="27"/>
        <v>0</v>
      </c>
      <c r="AB134" s="692">
        <f t="shared" si="16"/>
        <v>323.33</v>
      </c>
      <c r="AC134" s="692">
        <f t="shared" si="17"/>
        <v>0</v>
      </c>
      <c r="AD134" s="692">
        <f t="shared" si="18"/>
        <v>0</v>
      </c>
      <c r="AE134" s="38"/>
      <c r="AF134" s="692">
        <f t="shared" si="19"/>
        <v>0</v>
      </c>
      <c r="AG134" s="692">
        <f t="shared" si="20"/>
        <v>0</v>
      </c>
      <c r="AH134" s="692">
        <f t="shared" si="21"/>
        <v>0</v>
      </c>
      <c r="AJ134" s="38">
        <f t="shared" si="28"/>
        <v>323.33</v>
      </c>
    </row>
    <row r="135" spans="1:36" s="232" customFormat="1">
      <c r="A135" s="283"/>
      <c r="B135" s="283" t="s">
        <v>110</v>
      </c>
      <c r="C135" s="667" t="s">
        <v>555</v>
      </c>
      <c r="D135" s="123" t="s">
        <v>194</v>
      </c>
      <c r="E135" s="679"/>
      <c r="F135" s="529">
        <f>VLOOKUP(D135,'Nov 2012 Revenue'!D:T,17,FALSE)</f>
        <v>0</v>
      </c>
      <c r="G135" s="680"/>
      <c r="H135" s="680"/>
      <c r="I135" s="770">
        <v>91.79</v>
      </c>
      <c r="J135" s="682">
        <f t="shared" si="22"/>
        <v>91.79</v>
      </c>
      <c r="K135" s="683"/>
      <c r="L135" s="684"/>
      <c r="M135" s="753"/>
      <c r="N135" s="683">
        <v>0</v>
      </c>
      <c r="O135" s="686"/>
      <c r="P135" s="683">
        <v>0</v>
      </c>
      <c r="Q135" s="687">
        <f t="shared" si="1"/>
        <v>0</v>
      </c>
      <c r="R135" s="688">
        <v>0</v>
      </c>
      <c r="S135" s="693"/>
      <c r="T135" s="690">
        <f t="shared" si="23"/>
        <v>0</v>
      </c>
      <c r="U135" s="683"/>
      <c r="V135" s="474">
        <f t="shared" si="24"/>
        <v>0</v>
      </c>
      <c r="W135" s="474">
        <f t="shared" si="25"/>
        <v>0</v>
      </c>
      <c r="X135" s="475">
        <f t="shared" si="26"/>
        <v>0</v>
      </c>
      <c r="Y135" s="475">
        <v>0</v>
      </c>
      <c r="Z135" s="476">
        <v>0</v>
      </c>
      <c r="AA135" s="38">
        <f t="shared" si="27"/>
        <v>0</v>
      </c>
      <c r="AB135" s="692">
        <f t="shared" si="16"/>
        <v>91.79</v>
      </c>
      <c r="AC135" s="692">
        <f t="shared" si="17"/>
        <v>0</v>
      </c>
      <c r="AD135" s="692">
        <f t="shared" si="18"/>
        <v>0</v>
      </c>
      <c r="AE135" s="38"/>
      <c r="AF135" s="692">
        <f t="shared" si="19"/>
        <v>0</v>
      </c>
      <c r="AG135" s="692">
        <f t="shared" si="20"/>
        <v>0</v>
      </c>
      <c r="AH135" s="692">
        <f t="shared" si="21"/>
        <v>0</v>
      </c>
      <c r="AJ135" s="38">
        <f t="shared" si="28"/>
        <v>91.79</v>
      </c>
    </row>
    <row r="136" spans="1:36" s="232" customFormat="1">
      <c r="A136" s="283"/>
      <c r="B136" s="283" t="s">
        <v>110</v>
      </c>
      <c r="C136" s="667" t="s">
        <v>555</v>
      </c>
      <c r="D136" s="123" t="s">
        <v>195</v>
      </c>
      <c r="E136" s="679"/>
      <c r="F136" s="529">
        <f>VLOOKUP(D136,'Nov 2012 Revenue'!D:T,17,FALSE)</f>
        <v>0</v>
      </c>
      <c r="G136" s="680"/>
      <c r="H136" s="680"/>
      <c r="I136" s="770">
        <v>5.26</v>
      </c>
      <c r="J136" s="682">
        <f t="shared" si="22"/>
        <v>5.26</v>
      </c>
      <c r="K136" s="683"/>
      <c r="L136" s="684"/>
      <c r="M136" s="753"/>
      <c r="N136" s="683">
        <v>0</v>
      </c>
      <c r="O136" s="686"/>
      <c r="P136" s="683">
        <v>0</v>
      </c>
      <c r="Q136" s="687">
        <f t="shared" si="1"/>
        <v>0</v>
      </c>
      <c r="R136" s="688">
        <v>0</v>
      </c>
      <c r="S136" s="693"/>
      <c r="T136" s="690">
        <f t="shared" si="23"/>
        <v>0</v>
      </c>
      <c r="U136" s="683"/>
      <c r="V136" s="474">
        <f t="shared" si="24"/>
        <v>0</v>
      </c>
      <c r="W136" s="474">
        <f t="shared" si="25"/>
        <v>0</v>
      </c>
      <c r="X136" s="475">
        <f t="shared" si="26"/>
        <v>0</v>
      </c>
      <c r="Y136" s="475">
        <v>0</v>
      </c>
      <c r="Z136" s="476">
        <v>0</v>
      </c>
      <c r="AA136" s="38">
        <f t="shared" si="27"/>
        <v>0</v>
      </c>
      <c r="AB136" s="692">
        <f t="shared" si="16"/>
        <v>5.26</v>
      </c>
      <c r="AC136" s="692">
        <f t="shared" si="17"/>
        <v>0</v>
      </c>
      <c r="AD136" s="692">
        <f t="shared" si="18"/>
        <v>0</v>
      </c>
      <c r="AE136" s="38"/>
      <c r="AF136" s="692">
        <f t="shared" si="19"/>
        <v>0</v>
      </c>
      <c r="AG136" s="692">
        <f t="shared" si="20"/>
        <v>0</v>
      </c>
      <c r="AH136" s="692">
        <f t="shared" si="21"/>
        <v>0</v>
      </c>
      <c r="AJ136" s="38">
        <f t="shared" si="28"/>
        <v>5.26</v>
      </c>
    </row>
    <row r="137" spans="1:36" s="232" customFormat="1">
      <c r="A137" s="283"/>
      <c r="B137" s="283" t="s">
        <v>110</v>
      </c>
      <c r="C137" s="667" t="s">
        <v>555</v>
      </c>
      <c r="D137" s="123" t="s">
        <v>196</v>
      </c>
      <c r="E137" s="679"/>
      <c r="F137" s="529">
        <f>VLOOKUP(D137,'Nov 2012 Revenue'!D:T,17,FALSE)</f>
        <v>0</v>
      </c>
      <c r="G137" s="680"/>
      <c r="H137" s="680"/>
      <c r="I137" s="770">
        <v>105.95</v>
      </c>
      <c r="J137" s="682">
        <f t="shared" si="22"/>
        <v>105.95</v>
      </c>
      <c r="K137" s="683"/>
      <c r="L137" s="684"/>
      <c r="M137" s="753"/>
      <c r="N137" s="683">
        <v>0</v>
      </c>
      <c r="O137" s="686"/>
      <c r="P137" s="683">
        <v>0</v>
      </c>
      <c r="Q137" s="687">
        <f t="shared" si="1"/>
        <v>0</v>
      </c>
      <c r="R137" s="688">
        <v>0</v>
      </c>
      <c r="S137" s="693"/>
      <c r="T137" s="690">
        <f t="shared" si="23"/>
        <v>0</v>
      </c>
      <c r="U137" s="683"/>
      <c r="V137" s="474">
        <f t="shared" si="24"/>
        <v>0</v>
      </c>
      <c r="W137" s="474">
        <f t="shared" si="25"/>
        <v>0</v>
      </c>
      <c r="X137" s="475">
        <f t="shared" si="26"/>
        <v>0</v>
      </c>
      <c r="Y137" s="475">
        <v>0</v>
      </c>
      <c r="Z137" s="476">
        <v>0</v>
      </c>
      <c r="AA137" s="38">
        <f t="shared" si="27"/>
        <v>0</v>
      </c>
      <c r="AB137" s="692">
        <f t="shared" si="16"/>
        <v>105.95</v>
      </c>
      <c r="AC137" s="692">
        <f t="shared" si="17"/>
        <v>0</v>
      </c>
      <c r="AD137" s="692">
        <f t="shared" si="18"/>
        <v>0</v>
      </c>
      <c r="AE137" s="38"/>
      <c r="AF137" s="692">
        <f t="shared" si="19"/>
        <v>0</v>
      </c>
      <c r="AG137" s="692">
        <f t="shared" si="20"/>
        <v>0</v>
      </c>
      <c r="AH137" s="692">
        <f t="shared" si="21"/>
        <v>0</v>
      </c>
      <c r="AJ137" s="38">
        <f t="shared" si="28"/>
        <v>105.95</v>
      </c>
    </row>
    <row r="138" spans="1:36" s="232" customFormat="1">
      <c r="A138" s="283"/>
      <c r="B138" s="283" t="s">
        <v>110</v>
      </c>
      <c r="C138" s="667" t="s">
        <v>555</v>
      </c>
      <c r="D138" s="123" t="s">
        <v>197</v>
      </c>
      <c r="E138" s="679"/>
      <c r="F138" s="529">
        <f>VLOOKUP(D138,'Nov 2012 Revenue'!D:T,17,FALSE)</f>
        <v>0</v>
      </c>
      <c r="G138" s="680"/>
      <c r="H138" s="680"/>
      <c r="I138" s="770">
        <v>2.91</v>
      </c>
      <c r="J138" s="682">
        <f t="shared" si="22"/>
        <v>2.91</v>
      </c>
      <c r="K138" s="683"/>
      <c r="L138" s="684"/>
      <c r="M138" s="753"/>
      <c r="N138" s="683">
        <v>0</v>
      </c>
      <c r="O138" s="686"/>
      <c r="P138" s="683">
        <v>0</v>
      </c>
      <c r="Q138" s="687">
        <f t="shared" si="1"/>
        <v>0</v>
      </c>
      <c r="R138" s="688">
        <v>0</v>
      </c>
      <c r="S138" s="693"/>
      <c r="T138" s="690">
        <f t="shared" si="23"/>
        <v>0</v>
      </c>
      <c r="U138" s="683"/>
      <c r="V138" s="474">
        <f t="shared" si="24"/>
        <v>0</v>
      </c>
      <c r="W138" s="474">
        <f t="shared" si="25"/>
        <v>0</v>
      </c>
      <c r="X138" s="475">
        <f t="shared" si="26"/>
        <v>0</v>
      </c>
      <c r="Y138" s="475">
        <v>0</v>
      </c>
      <c r="Z138" s="476">
        <v>0</v>
      </c>
      <c r="AA138" s="38">
        <f t="shared" si="27"/>
        <v>0</v>
      </c>
      <c r="AB138" s="692">
        <f t="shared" si="16"/>
        <v>2.91</v>
      </c>
      <c r="AC138" s="692">
        <f t="shared" si="17"/>
        <v>0</v>
      </c>
      <c r="AD138" s="692">
        <f t="shared" si="18"/>
        <v>0</v>
      </c>
      <c r="AE138" s="38"/>
      <c r="AF138" s="692">
        <f t="shared" si="19"/>
        <v>0</v>
      </c>
      <c r="AG138" s="692">
        <f t="shared" si="20"/>
        <v>0</v>
      </c>
      <c r="AH138" s="692">
        <f t="shared" si="21"/>
        <v>0</v>
      </c>
      <c r="AJ138" s="38">
        <f t="shared" si="28"/>
        <v>2.91</v>
      </c>
    </row>
    <row r="139" spans="1:36" s="232" customFormat="1">
      <c r="A139" s="283"/>
      <c r="B139" s="283" t="s">
        <v>110</v>
      </c>
      <c r="C139" s="667" t="s">
        <v>555</v>
      </c>
      <c r="D139" s="123" t="s">
        <v>440</v>
      </c>
      <c r="E139" s="679"/>
      <c r="F139" s="529">
        <f>VLOOKUP(D139,'Nov 2012 Revenue'!D:T,17,FALSE)</f>
        <v>0</v>
      </c>
      <c r="G139" s="680"/>
      <c r="H139" s="680"/>
      <c r="I139" s="770">
        <f>1047.97+249.02+214.69</f>
        <v>1511.68</v>
      </c>
      <c r="J139" s="682">
        <f t="shared" si="22"/>
        <v>1511.68</v>
      </c>
      <c r="K139" s="683"/>
      <c r="L139" s="684"/>
      <c r="M139" s="753"/>
      <c r="N139" s="683">
        <v>0</v>
      </c>
      <c r="O139" s="686"/>
      <c r="P139" s="683">
        <v>0</v>
      </c>
      <c r="Q139" s="687">
        <f t="shared" si="1"/>
        <v>0</v>
      </c>
      <c r="R139" s="688">
        <v>0</v>
      </c>
      <c r="S139" s="693"/>
      <c r="T139" s="690">
        <f t="shared" si="23"/>
        <v>0</v>
      </c>
      <c r="U139" s="683"/>
      <c r="V139" s="474">
        <f t="shared" si="24"/>
        <v>0</v>
      </c>
      <c r="W139" s="474">
        <f t="shared" si="25"/>
        <v>0</v>
      </c>
      <c r="X139" s="475">
        <f t="shared" si="26"/>
        <v>0</v>
      </c>
      <c r="Y139" s="475">
        <v>0</v>
      </c>
      <c r="Z139" s="476">
        <v>0</v>
      </c>
      <c r="AA139" s="38">
        <f t="shared" si="27"/>
        <v>0</v>
      </c>
      <c r="AB139" s="692">
        <f t="shared" si="16"/>
        <v>1511.68</v>
      </c>
      <c r="AC139" s="692">
        <f t="shared" si="17"/>
        <v>0</v>
      </c>
      <c r="AD139" s="692">
        <f t="shared" si="18"/>
        <v>0</v>
      </c>
      <c r="AE139" s="38"/>
      <c r="AF139" s="692">
        <f t="shared" si="19"/>
        <v>0</v>
      </c>
      <c r="AG139" s="692">
        <f t="shared" si="20"/>
        <v>0</v>
      </c>
      <c r="AH139" s="692">
        <f t="shared" si="21"/>
        <v>0</v>
      </c>
      <c r="AJ139" s="38">
        <f t="shared" si="28"/>
        <v>1511.68</v>
      </c>
    </row>
    <row r="140" spans="1:36" s="232" customFormat="1">
      <c r="A140" s="283"/>
      <c r="B140" s="283" t="s">
        <v>110</v>
      </c>
      <c r="C140" s="667" t="s">
        <v>555</v>
      </c>
      <c r="D140" s="123" t="s">
        <v>481</v>
      </c>
      <c r="E140" s="679"/>
      <c r="F140" s="529">
        <f>VLOOKUP(D140,'Nov 2012 Revenue'!D:T,17,FALSE)</f>
        <v>0</v>
      </c>
      <c r="G140" s="680"/>
      <c r="H140" s="680"/>
      <c r="I140" s="770">
        <v>385.21</v>
      </c>
      <c r="J140" s="682">
        <f t="shared" si="22"/>
        <v>385.21</v>
      </c>
      <c r="K140" s="683"/>
      <c r="L140" s="684"/>
      <c r="M140" s="753"/>
      <c r="N140" s="683">
        <v>0</v>
      </c>
      <c r="O140" s="686"/>
      <c r="P140" s="683">
        <v>0</v>
      </c>
      <c r="Q140" s="687">
        <f t="shared" si="1"/>
        <v>0</v>
      </c>
      <c r="R140" s="688">
        <v>0</v>
      </c>
      <c r="S140" s="693"/>
      <c r="T140" s="690">
        <f t="shared" si="23"/>
        <v>0</v>
      </c>
      <c r="U140" s="683"/>
      <c r="V140" s="474">
        <f t="shared" si="24"/>
        <v>0</v>
      </c>
      <c r="W140" s="474">
        <f t="shared" si="25"/>
        <v>0</v>
      </c>
      <c r="X140" s="475">
        <f t="shared" si="26"/>
        <v>0</v>
      </c>
      <c r="Y140" s="475">
        <v>0</v>
      </c>
      <c r="Z140" s="476">
        <v>0</v>
      </c>
      <c r="AA140" s="38">
        <f t="shared" si="27"/>
        <v>0</v>
      </c>
      <c r="AB140" s="692">
        <f t="shared" si="16"/>
        <v>385.21</v>
      </c>
      <c r="AC140" s="692">
        <f t="shared" si="17"/>
        <v>0</v>
      </c>
      <c r="AD140" s="692">
        <f t="shared" si="18"/>
        <v>0</v>
      </c>
      <c r="AE140" s="38"/>
      <c r="AF140" s="692">
        <f t="shared" si="19"/>
        <v>0</v>
      </c>
      <c r="AG140" s="692">
        <f t="shared" si="20"/>
        <v>0</v>
      </c>
      <c r="AH140" s="692">
        <f t="shared" si="21"/>
        <v>0</v>
      </c>
      <c r="AJ140" s="38">
        <f t="shared" si="28"/>
        <v>385.21</v>
      </c>
    </row>
    <row r="141" spans="1:36" s="232" customFormat="1">
      <c r="A141" s="283"/>
      <c r="B141" s="283" t="s">
        <v>109</v>
      </c>
      <c r="C141" s="667" t="s">
        <v>555</v>
      </c>
      <c r="D141" s="123" t="s">
        <v>248</v>
      </c>
      <c r="E141" s="679"/>
      <c r="F141" s="529">
        <f>VLOOKUP(D141,'Nov 2012 Revenue'!D:T,17,FALSE)</f>
        <v>0</v>
      </c>
      <c r="G141" s="680"/>
      <c r="H141" s="680"/>
      <c r="I141" s="755"/>
      <c r="J141" s="682">
        <f t="shared" si="22"/>
        <v>0</v>
      </c>
      <c r="K141" s="683"/>
      <c r="L141" s="684"/>
      <c r="M141" s="753"/>
      <c r="N141" s="683">
        <v>0</v>
      </c>
      <c r="O141" s="686"/>
      <c r="P141" s="683">
        <v>0</v>
      </c>
      <c r="Q141" s="687">
        <f t="shared" si="1"/>
        <v>0</v>
      </c>
      <c r="R141" s="688">
        <v>0</v>
      </c>
      <c r="S141" s="693"/>
      <c r="T141" s="690">
        <f t="shared" si="23"/>
        <v>0</v>
      </c>
      <c r="U141" s="683"/>
      <c r="V141" s="474">
        <f t="shared" si="24"/>
        <v>0</v>
      </c>
      <c r="W141" s="474">
        <f t="shared" si="25"/>
        <v>0</v>
      </c>
      <c r="X141" s="475">
        <f t="shared" si="26"/>
        <v>0</v>
      </c>
      <c r="Y141" s="475">
        <v>0</v>
      </c>
      <c r="Z141" s="476">
        <v>0</v>
      </c>
      <c r="AA141" s="38">
        <f t="shared" si="27"/>
        <v>0</v>
      </c>
      <c r="AB141" s="692">
        <f t="shared" si="16"/>
        <v>0</v>
      </c>
      <c r="AC141" s="692">
        <f t="shared" si="17"/>
        <v>0</v>
      </c>
      <c r="AD141" s="692">
        <f t="shared" si="18"/>
        <v>0</v>
      </c>
      <c r="AE141" s="38"/>
      <c r="AF141" s="692">
        <f t="shared" si="19"/>
        <v>0</v>
      </c>
      <c r="AG141" s="692">
        <f t="shared" si="20"/>
        <v>0</v>
      </c>
      <c r="AH141" s="692">
        <f t="shared" si="21"/>
        <v>0</v>
      </c>
      <c r="AJ141" s="38">
        <f t="shared" si="28"/>
        <v>0</v>
      </c>
    </row>
    <row r="142" spans="1:36" s="232" customFormat="1">
      <c r="A142" s="283"/>
      <c r="B142" s="20" t="s">
        <v>109</v>
      </c>
      <c r="C142" s="667"/>
      <c r="D142" s="68" t="s">
        <v>465</v>
      </c>
      <c r="E142" s="679"/>
      <c r="F142" s="529">
        <f>VLOOKUP(D142,'Nov 2012 Revenue'!D:T,17,FALSE)</f>
        <v>-7500</v>
      </c>
      <c r="G142" s="680"/>
      <c r="H142" s="680"/>
      <c r="I142" s="755"/>
      <c r="J142" s="682">
        <f t="shared" si="22"/>
        <v>-7500</v>
      </c>
      <c r="K142" s="683"/>
      <c r="L142" s="684"/>
      <c r="M142" s="753">
        <v>15000</v>
      </c>
      <c r="N142" s="683">
        <v>0</v>
      </c>
      <c r="O142" s="686"/>
      <c r="P142" s="683">
        <v>0</v>
      </c>
      <c r="Q142" s="687">
        <f t="shared" si="1"/>
        <v>15000</v>
      </c>
      <c r="R142" s="688">
        <v>0</v>
      </c>
      <c r="S142" s="693"/>
      <c r="T142" s="690">
        <f t="shared" si="23"/>
        <v>-15000</v>
      </c>
      <c r="U142" s="683"/>
      <c r="V142" s="474">
        <f t="shared" si="24"/>
        <v>0</v>
      </c>
      <c r="W142" s="474">
        <f t="shared" si="25"/>
        <v>15000</v>
      </c>
      <c r="X142" s="475">
        <f t="shared" si="26"/>
        <v>0</v>
      </c>
      <c r="Y142" s="475">
        <v>0</v>
      </c>
      <c r="Z142" s="476">
        <v>0</v>
      </c>
      <c r="AA142" s="38">
        <f t="shared" si="27"/>
        <v>0</v>
      </c>
      <c r="AB142" s="692">
        <f t="shared" si="16"/>
        <v>0</v>
      </c>
      <c r="AC142" s="692">
        <f t="shared" si="17"/>
        <v>-7500</v>
      </c>
      <c r="AD142" s="692">
        <f t="shared" si="18"/>
        <v>0</v>
      </c>
      <c r="AE142" s="38"/>
      <c r="AF142" s="692">
        <f t="shared" si="19"/>
        <v>0</v>
      </c>
      <c r="AG142" s="692">
        <f t="shared" si="20"/>
        <v>15000</v>
      </c>
      <c r="AH142" s="692">
        <f t="shared" si="21"/>
        <v>0</v>
      </c>
      <c r="AJ142" s="38">
        <f t="shared" si="28"/>
        <v>7500</v>
      </c>
    </row>
    <row r="143" spans="1:36">
      <c r="A143" s="21"/>
      <c r="B143" s="21" t="s">
        <v>110</v>
      </c>
      <c r="C143" s="666" t="s">
        <v>556</v>
      </c>
      <c r="D143" s="68" t="s">
        <v>261</v>
      </c>
      <c r="E143" s="679"/>
      <c r="F143" s="529">
        <f>VLOOKUP(D143,'Nov 2012 Revenue'!D:T,17,FALSE)</f>
        <v>27219.08</v>
      </c>
      <c r="G143" s="680"/>
      <c r="H143" s="680"/>
      <c r="I143" s="755"/>
      <c r="J143" s="682">
        <f t="shared" si="22"/>
        <v>27219.08</v>
      </c>
      <c r="K143" s="683"/>
      <c r="L143" s="684"/>
      <c r="M143" s="753">
        <v>100000</v>
      </c>
      <c r="N143" s="683">
        <v>0</v>
      </c>
      <c r="O143" s="686"/>
      <c r="P143" s="683">
        <v>0</v>
      </c>
      <c r="Q143" s="687">
        <f t="shared" si="1"/>
        <v>100000</v>
      </c>
      <c r="R143" s="688">
        <v>0</v>
      </c>
      <c r="S143" s="693"/>
      <c r="T143" s="690">
        <f t="shared" si="23"/>
        <v>-100000</v>
      </c>
      <c r="U143" s="683"/>
      <c r="V143" s="474">
        <f t="shared" si="24"/>
        <v>100000</v>
      </c>
      <c r="W143" s="474">
        <f t="shared" si="25"/>
        <v>0</v>
      </c>
      <c r="X143" s="475">
        <f t="shared" si="26"/>
        <v>0</v>
      </c>
      <c r="Y143" s="475">
        <v>0</v>
      </c>
      <c r="Z143" s="476">
        <v>0</v>
      </c>
      <c r="AA143" s="38">
        <f t="shared" si="27"/>
        <v>0</v>
      </c>
      <c r="AB143" s="692">
        <f t="shared" si="16"/>
        <v>27219.08</v>
      </c>
      <c r="AC143" s="692">
        <f t="shared" si="17"/>
        <v>0</v>
      </c>
      <c r="AD143" s="692">
        <f t="shared" si="18"/>
        <v>0</v>
      </c>
      <c r="AE143" s="38"/>
      <c r="AF143" s="692">
        <f t="shared" si="19"/>
        <v>100000</v>
      </c>
      <c r="AG143" s="692">
        <f t="shared" si="20"/>
        <v>0</v>
      </c>
      <c r="AH143" s="692">
        <f t="shared" si="21"/>
        <v>0</v>
      </c>
      <c r="AJ143" s="38">
        <f t="shared" si="28"/>
        <v>127219.08</v>
      </c>
    </row>
    <row r="144" spans="1:36" s="269" customFormat="1">
      <c r="A144" s="21"/>
      <c r="B144" s="21" t="s">
        <v>110</v>
      </c>
      <c r="C144" s="666" t="s">
        <v>556</v>
      </c>
      <c r="D144" s="68" t="s">
        <v>262</v>
      </c>
      <c r="E144" s="679"/>
      <c r="F144" s="529">
        <f>VLOOKUP(D144,'Nov 2012 Revenue'!D:T,17,FALSE)</f>
        <v>-2385.58</v>
      </c>
      <c r="G144" s="680"/>
      <c r="H144" s="680"/>
      <c r="I144" s="755"/>
      <c r="J144" s="682">
        <f t="shared" si="22"/>
        <v>-2385.58</v>
      </c>
      <c r="K144" s="683"/>
      <c r="L144" s="684"/>
      <c r="M144" s="753">
        <v>10000</v>
      </c>
      <c r="N144" s="683">
        <v>0</v>
      </c>
      <c r="O144" s="686"/>
      <c r="P144" s="683">
        <v>0</v>
      </c>
      <c r="Q144" s="687">
        <f t="shared" si="1"/>
        <v>10000</v>
      </c>
      <c r="R144" s="688">
        <v>0</v>
      </c>
      <c r="S144" s="693"/>
      <c r="T144" s="690">
        <f t="shared" si="23"/>
        <v>-10000</v>
      </c>
      <c r="U144" s="683"/>
      <c r="V144" s="474">
        <f t="shared" si="24"/>
        <v>10000</v>
      </c>
      <c r="W144" s="474">
        <f t="shared" si="25"/>
        <v>0</v>
      </c>
      <c r="X144" s="475">
        <f t="shared" si="26"/>
        <v>0</v>
      </c>
      <c r="Y144" s="475">
        <v>0</v>
      </c>
      <c r="Z144" s="476">
        <v>0</v>
      </c>
      <c r="AA144" s="38">
        <f t="shared" si="27"/>
        <v>0</v>
      </c>
      <c r="AB144" s="692">
        <f t="shared" si="16"/>
        <v>-2385.58</v>
      </c>
      <c r="AC144" s="692">
        <f t="shared" si="17"/>
        <v>0</v>
      </c>
      <c r="AD144" s="692">
        <f t="shared" si="18"/>
        <v>0</v>
      </c>
      <c r="AE144" s="38"/>
      <c r="AF144" s="692">
        <f t="shared" si="19"/>
        <v>10000</v>
      </c>
      <c r="AG144" s="692">
        <f t="shared" si="20"/>
        <v>0</v>
      </c>
      <c r="AH144" s="692">
        <f t="shared" si="21"/>
        <v>0</v>
      </c>
      <c r="AJ144" s="38">
        <f t="shared" si="28"/>
        <v>7614.42</v>
      </c>
    </row>
    <row r="145" spans="1:36" s="269" customFormat="1">
      <c r="A145" s="21"/>
      <c r="B145" s="21" t="s">
        <v>114</v>
      </c>
      <c r="C145" s="675" t="s">
        <v>619</v>
      </c>
      <c r="D145" s="68" t="s">
        <v>626</v>
      </c>
      <c r="E145" s="679"/>
      <c r="F145" s="529">
        <f>VLOOKUP(D145,'Nov 2012 Revenue'!D:T,17,FALSE)</f>
        <v>0</v>
      </c>
      <c r="G145" s="680"/>
      <c r="H145" s="680"/>
      <c r="I145" s="770">
        <v>8725.65</v>
      </c>
      <c r="J145" s="682">
        <f t="shared" si="22"/>
        <v>8725.65</v>
      </c>
      <c r="K145" s="683"/>
      <c r="L145" s="684"/>
      <c r="M145" s="753"/>
      <c r="N145" s="683">
        <v>0</v>
      </c>
      <c r="O145" s="686"/>
      <c r="P145" s="683">
        <v>0</v>
      </c>
      <c r="Q145" s="687">
        <f t="shared" ref="Q145:Q210" si="29">L145+M145</f>
        <v>0</v>
      </c>
      <c r="R145" s="688">
        <v>0</v>
      </c>
      <c r="S145" s="693"/>
      <c r="T145" s="690">
        <f t="shared" si="23"/>
        <v>0</v>
      </c>
      <c r="U145" s="683"/>
      <c r="V145" s="474">
        <f t="shared" si="24"/>
        <v>0</v>
      </c>
      <c r="W145" s="474">
        <f t="shared" si="25"/>
        <v>0</v>
      </c>
      <c r="X145" s="475">
        <f t="shared" si="26"/>
        <v>0</v>
      </c>
      <c r="Y145" s="475">
        <v>0</v>
      </c>
      <c r="Z145" s="476">
        <v>0</v>
      </c>
      <c r="AA145" s="38">
        <f t="shared" si="27"/>
        <v>0</v>
      </c>
      <c r="AB145" s="692">
        <f t="shared" si="16"/>
        <v>0</v>
      </c>
      <c r="AC145" s="692">
        <f t="shared" si="17"/>
        <v>0</v>
      </c>
      <c r="AD145" s="692">
        <f t="shared" si="18"/>
        <v>8725.65</v>
      </c>
      <c r="AE145" s="38"/>
      <c r="AF145" s="692">
        <f t="shared" si="19"/>
        <v>0</v>
      </c>
      <c r="AG145" s="692">
        <f t="shared" si="20"/>
        <v>0</v>
      </c>
      <c r="AH145" s="692">
        <f t="shared" si="21"/>
        <v>0</v>
      </c>
      <c r="AJ145" s="38">
        <f t="shared" si="28"/>
        <v>8725.65</v>
      </c>
    </row>
    <row r="146" spans="1:36">
      <c r="A146" s="21"/>
      <c r="B146" s="21" t="s">
        <v>109</v>
      </c>
      <c r="C146" s="666"/>
      <c r="D146" s="68" t="s">
        <v>396</v>
      </c>
      <c r="E146" s="679"/>
      <c r="F146" s="529">
        <f>VLOOKUP(D146,'Nov 2012 Revenue'!D:T,17,FALSE)</f>
        <v>5.14</v>
      </c>
      <c r="G146" s="680"/>
      <c r="H146" s="680"/>
      <c r="I146" s="755"/>
      <c r="J146" s="682">
        <f t="shared" si="22"/>
        <v>5.14</v>
      </c>
      <c r="K146" s="683"/>
      <c r="L146" s="684"/>
      <c r="M146" s="753"/>
      <c r="N146" s="683">
        <v>0</v>
      </c>
      <c r="O146" s="686"/>
      <c r="P146" s="683">
        <v>0</v>
      </c>
      <c r="Q146" s="687">
        <f t="shared" si="29"/>
        <v>0</v>
      </c>
      <c r="R146" s="688">
        <v>7.56</v>
      </c>
      <c r="S146" s="693"/>
      <c r="T146" s="690">
        <f t="shared" si="23"/>
        <v>7.56</v>
      </c>
      <c r="U146" s="683"/>
      <c r="V146" s="474">
        <f t="shared" si="24"/>
        <v>0</v>
      </c>
      <c r="W146" s="474">
        <f t="shared" si="25"/>
        <v>0</v>
      </c>
      <c r="X146" s="475">
        <f t="shared" si="26"/>
        <v>0</v>
      </c>
      <c r="Y146" s="475">
        <v>0</v>
      </c>
      <c r="Z146" s="476">
        <v>0</v>
      </c>
      <c r="AA146" s="38">
        <f t="shared" si="27"/>
        <v>0</v>
      </c>
      <c r="AB146" s="692">
        <f t="shared" si="16"/>
        <v>0</v>
      </c>
      <c r="AC146" s="692">
        <f t="shared" si="17"/>
        <v>5.14</v>
      </c>
      <c r="AD146" s="692">
        <f t="shared" si="18"/>
        <v>0</v>
      </c>
      <c r="AE146" s="38"/>
      <c r="AF146" s="692">
        <f t="shared" si="19"/>
        <v>0</v>
      </c>
      <c r="AG146" s="692">
        <f t="shared" si="20"/>
        <v>0</v>
      </c>
      <c r="AH146" s="692">
        <f t="shared" si="21"/>
        <v>0</v>
      </c>
      <c r="AJ146" s="38">
        <f t="shared" si="28"/>
        <v>5.14</v>
      </c>
    </row>
    <row r="147" spans="1:36">
      <c r="A147" s="20"/>
      <c r="B147" s="20" t="s">
        <v>109</v>
      </c>
      <c r="C147" s="667" t="s">
        <v>557</v>
      </c>
      <c r="D147" s="68" t="s">
        <v>32</v>
      </c>
      <c r="E147" s="679"/>
      <c r="F147" s="529">
        <f>VLOOKUP(D147,'Nov 2012 Revenue'!D:T,17,FALSE)</f>
        <v>0</v>
      </c>
      <c r="G147" s="680"/>
      <c r="H147" s="680"/>
      <c r="I147" s="755"/>
      <c r="J147" s="682">
        <f t="shared" si="22"/>
        <v>0</v>
      </c>
      <c r="K147" s="683"/>
      <c r="L147" s="684"/>
      <c r="M147" s="753"/>
      <c r="N147" s="683">
        <v>0</v>
      </c>
      <c r="O147" s="686"/>
      <c r="P147" s="683">
        <v>0</v>
      </c>
      <c r="Q147" s="687">
        <f t="shared" si="29"/>
        <v>0</v>
      </c>
      <c r="R147" s="688">
        <v>0</v>
      </c>
      <c r="S147" s="693"/>
      <c r="T147" s="690">
        <f t="shared" si="23"/>
        <v>0</v>
      </c>
      <c r="U147" s="683"/>
      <c r="V147" s="474">
        <f t="shared" si="24"/>
        <v>0</v>
      </c>
      <c r="W147" s="474">
        <f t="shared" si="25"/>
        <v>0</v>
      </c>
      <c r="X147" s="475">
        <f t="shared" si="26"/>
        <v>0</v>
      </c>
      <c r="Y147" s="475">
        <v>0</v>
      </c>
      <c r="Z147" s="476">
        <v>0</v>
      </c>
      <c r="AA147" s="38">
        <f t="shared" si="27"/>
        <v>0</v>
      </c>
      <c r="AB147" s="692">
        <f t="shared" ref="AB147:AB212" si="30">IF(B147="D",J147,0)</f>
        <v>0</v>
      </c>
      <c r="AC147" s="692">
        <f t="shared" ref="AC147:AC212" si="31">IF(B147="M",J147,0)</f>
        <v>0</v>
      </c>
      <c r="AD147" s="692">
        <f t="shared" ref="AD147:AD212" si="32">IF(B147="V",J147,0)</f>
        <v>0</v>
      </c>
      <c r="AE147" s="38"/>
      <c r="AF147" s="692">
        <f t="shared" si="19"/>
        <v>0</v>
      </c>
      <c r="AG147" s="692">
        <f t="shared" si="20"/>
        <v>0</v>
      </c>
      <c r="AH147" s="692">
        <f t="shared" si="21"/>
        <v>0</v>
      </c>
      <c r="AJ147" s="38">
        <f t="shared" si="28"/>
        <v>0</v>
      </c>
    </row>
    <row r="148" spans="1:36">
      <c r="A148" s="21"/>
      <c r="B148" s="21" t="s">
        <v>110</v>
      </c>
      <c r="C148" s="666"/>
      <c r="D148" s="68" t="s">
        <v>448</v>
      </c>
      <c r="E148" s="679"/>
      <c r="F148" s="529">
        <f>VLOOKUP(D148,'Nov 2012 Revenue'!D:T,17,FALSE)</f>
        <v>0</v>
      </c>
      <c r="G148" s="680"/>
      <c r="H148" s="680"/>
      <c r="I148" s="770">
        <v>3240.54</v>
      </c>
      <c r="J148" s="682">
        <f t="shared" ref="J148:J212" si="33">SUM(E148:I148)</f>
        <v>3240.54</v>
      </c>
      <c r="K148" s="683"/>
      <c r="L148" s="684"/>
      <c r="M148" s="753"/>
      <c r="N148" s="683">
        <v>0</v>
      </c>
      <c r="O148" s="686"/>
      <c r="P148" s="683">
        <v>0</v>
      </c>
      <c r="Q148" s="687">
        <f t="shared" si="29"/>
        <v>0</v>
      </c>
      <c r="R148" s="688">
        <v>0</v>
      </c>
      <c r="S148" s="693"/>
      <c r="T148" s="690">
        <f t="shared" si="23"/>
        <v>0</v>
      </c>
      <c r="U148" s="683"/>
      <c r="V148" s="474">
        <f t="shared" si="24"/>
        <v>0</v>
      </c>
      <c r="W148" s="474">
        <f t="shared" si="25"/>
        <v>0</v>
      </c>
      <c r="X148" s="475">
        <f t="shared" si="26"/>
        <v>0</v>
      </c>
      <c r="Y148" s="475">
        <v>0</v>
      </c>
      <c r="Z148" s="476">
        <v>0</v>
      </c>
      <c r="AA148" s="38">
        <f t="shared" si="27"/>
        <v>0</v>
      </c>
      <c r="AB148" s="692">
        <f t="shared" si="30"/>
        <v>3240.54</v>
      </c>
      <c r="AC148" s="692">
        <f t="shared" si="31"/>
        <v>0</v>
      </c>
      <c r="AD148" s="692">
        <f t="shared" si="32"/>
        <v>0</v>
      </c>
      <c r="AE148" s="38"/>
      <c r="AF148" s="692">
        <f t="shared" si="19"/>
        <v>0</v>
      </c>
      <c r="AG148" s="692">
        <f t="shared" si="20"/>
        <v>0</v>
      </c>
      <c r="AH148" s="692">
        <f t="shared" si="21"/>
        <v>0</v>
      </c>
      <c r="AJ148" s="38">
        <f t="shared" si="28"/>
        <v>3240.54</v>
      </c>
    </row>
    <row r="149" spans="1:36">
      <c r="A149" s="21"/>
      <c r="B149" s="21" t="s">
        <v>110</v>
      </c>
      <c r="C149" s="666"/>
      <c r="D149" s="68" t="s">
        <v>877</v>
      </c>
      <c r="E149" s="679"/>
      <c r="F149" s="529">
        <f>VLOOKUP(D149,'Nov 2012 Revenue'!D:T,17,FALSE)</f>
        <v>0</v>
      </c>
      <c r="G149" s="680"/>
      <c r="H149" s="680"/>
      <c r="I149" s="755"/>
      <c r="J149" s="682">
        <f t="shared" si="33"/>
        <v>0</v>
      </c>
      <c r="K149" s="683"/>
      <c r="L149" s="684"/>
      <c r="M149" s="753"/>
      <c r="N149" s="683">
        <v>0</v>
      </c>
      <c r="O149" s="686"/>
      <c r="P149" s="683">
        <v>0</v>
      </c>
      <c r="Q149" s="687">
        <f t="shared" si="29"/>
        <v>0</v>
      </c>
      <c r="R149" s="688">
        <v>0</v>
      </c>
      <c r="S149" s="693"/>
      <c r="T149" s="690">
        <f t="shared" ref="T149:T212" si="34">IF(R149="","",R149-Q149)</f>
        <v>0</v>
      </c>
      <c r="U149" s="683"/>
      <c r="V149" s="474">
        <f t="shared" ref="V149:V212" si="35">IF(B149="D",Q149,0)</f>
        <v>0</v>
      </c>
      <c r="W149" s="474">
        <f t="shared" ref="W149:W212" si="36">IF(B149="M",Q149,0)</f>
        <v>0</v>
      </c>
      <c r="X149" s="475">
        <f t="shared" ref="X149:X212" si="37">IF(B149="V",Q149,0)</f>
        <v>0</v>
      </c>
      <c r="Y149" s="475">
        <v>0</v>
      </c>
      <c r="Z149" s="476">
        <v>0</v>
      </c>
      <c r="AA149" s="38">
        <f t="shared" ref="AA149:AA212" si="38">(L149+M149)-(V149+W149+X149+Y149+Z149)</f>
        <v>0</v>
      </c>
      <c r="AB149" s="692">
        <f t="shared" si="30"/>
        <v>0</v>
      </c>
      <c r="AC149" s="692">
        <f t="shared" si="31"/>
        <v>0</v>
      </c>
      <c r="AD149" s="692">
        <f t="shared" si="32"/>
        <v>0</v>
      </c>
      <c r="AE149" s="38"/>
      <c r="AF149" s="692">
        <f t="shared" ref="AF149:AF212" si="39">IF(B149="D",Q149,0)</f>
        <v>0</v>
      </c>
      <c r="AG149" s="692">
        <f t="shared" ref="AG149:AG212" si="40">IF(B149="M",Q149,0)</f>
        <v>0</v>
      </c>
      <c r="AH149" s="692">
        <f t="shared" ref="AH149:AH212" si="41">IF(B149="V",Q149,0)</f>
        <v>0</v>
      </c>
      <c r="AJ149" s="38">
        <f t="shared" ref="AJ149" si="42">SUM(AB149:AH149)</f>
        <v>0</v>
      </c>
    </row>
    <row r="150" spans="1:36">
      <c r="A150" s="21"/>
      <c r="B150" s="21" t="s">
        <v>110</v>
      </c>
      <c r="C150" s="666" t="s">
        <v>558</v>
      </c>
      <c r="D150" s="68" t="s">
        <v>122</v>
      </c>
      <c r="E150" s="679">
        <v>2525.38</v>
      </c>
      <c r="F150" s="529">
        <f>VLOOKUP(D150,'Nov 2012 Revenue'!D:T,17,FALSE)</f>
        <v>-5000</v>
      </c>
      <c r="G150" s="680"/>
      <c r="H150" s="680"/>
      <c r="I150" s="755"/>
      <c r="J150" s="682">
        <f t="shared" si="33"/>
        <v>-2474.62</v>
      </c>
      <c r="K150" s="683"/>
      <c r="L150" s="684"/>
      <c r="M150" s="753">
        <v>5000</v>
      </c>
      <c r="N150" s="683">
        <v>0</v>
      </c>
      <c r="O150" s="686"/>
      <c r="P150" s="683">
        <v>0</v>
      </c>
      <c r="Q150" s="687">
        <f t="shared" si="29"/>
        <v>5000</v>
      </c>
      <c r="R150" s="688">
        <v>0</v>
      </c>
      <c r="S150" s="693"/>
      <c r="T150" s="690">
        <f t="shared" si="34"/>
        <v>-5000</v>
      </c>
      <c r="U150" s="683"/>
      <c r="V150" s="474">
        <f t="shared" si="35"/>
        <v>5000</v>
      </c>
      <c r="W150" s="474">
        <f t="shared" si="36"/>
        <v>0</v>
      </c>
      <c r="X150" s="475">
        <f t="shared" si="37"/>
        <v>0</v>
      </c>
      <c r="Y150" s="475">
        <v>0</v>
      </c>
      <c r="Z150" s="476">
        <v>0</v>
      </c>
      <c r="AA150" s="38">
        <f t="shared" si="38"/>
        <v>0</v>
      </c>
      <c r="AB150" s="692">
        <f t="shared" si="30"/>
        <v>-2474.62</v>
      </c>
      <c r="AC150" s="692">
        <f t="shared" si="31"/>
        <v>0</v>
      </c>
      <c r="AD150" s="692">
        <f t="shared" si="32"/>
        <v>0</v>
      </c>
      <c r="AE150" s="38"/>
      <c r="AF150" s="692">
        <f t="shared" si="39"/>
        <v>5000</v>
      </c>
      <c r="AG150" s="692">
        <f t="shared" si="40"/>
        <v>0</v>
      </c>
      <c r="AH150" s="692">
        <f t="shared" si="41"/>
        <v>0</v>
      </c>
      <c r="AJ150" s="38">
        <f t="shared" si="28"/>
        <v>2525.38</v>
      </c>
    </row>
    <row r="151" spans="1:36">
      <c r="A151" s="21"/>
      <c r="B151" s="21" t="s">
        <v>114</v>
      </c>
      <c r="C151" s="666" t="s">
        <v>558</v>
      </c>
      <c r="D151" s="68" t="s">
        <v>629</v>
      </c>
      <c r="E151" s="679">
        <v>2.92</v>
      </c>
      <c r="F151" s="529">
        <f>VLOOKUP(D151,'Nov 2012 Revenue'!D:T,17,FALSE)</f>
        <v>0</v>
      </c>
      <c r="G151" s="680"/>
      <c r="H151" s="680"/>
      <c r="I151" s="755"/>
      <c r="J151" s="682">
        <f t="shared" si="33"/>
        <v>2.92</v>
      </c>
      <c r="K151" s="683"/>
      <c r="L151" s="684"/>
      <c r="M151" s="753"/>
      <c r="N151" s="683">
        <v>0</v>
      </c>
      <c r="O151" s="686"/>
      <c r="P151" s="683">
        <v>0</v>
      </c>
      <c r="Q151" s="687">
        <f t="shared" si="29"/>
        <v>0</v>
      </c>
      <c r="R151" s="688">
        <v>0</v>
      </c>
      <c r="S151" s="693"/>
      <c r="T151" s="690">
        <f t="shared" si="34"/>
        <v>0</v>
      </c>
      <c r="U151" s="683"/>
      <c r="V151" s="474">
        <f t="shared" si="35"/>
        <v>0</v>
      </c>
      <c r="W151" s="474">
        <f t="shared" si="36"/>
        <v>0</v>
      </c>
      <c r="X151" s="475">
        <f t="shared" si="37"/>
        <v>0</v>
      </c>
      <c r="Y151" s="475">
        <v>0</v>
      </c>
      <c r="Z151" s="476">
        <v>0</v>
      </c>
      <c r="AA151" s="38">
        <f t="shared" si="38"/>
        <v>0</v>
      </c>
      <c r="AB151" s="692">
        <f t="shared" si="30"/>
        <v>0</v>
      </c>
      <c r="AC151" s="692">
        <f t="shared" si="31"/>
        <v>0</v>
      </c>
      <c r="AD151" s="692">
        <f t="shared" si="32"/>
        <v>2.92</v>
      </c>
      <c r="AE151" s="38"/>
      <c r="AF151" s="692">
        <f t="shared" si="39"/>
        <v>0</v>
      </c>
      <c r="AG151" s="692">
        <f t="shared" si="40"/>
        <v>0</v>
      </c>
      <c r="AH151" s="692">
        <f t="shared" si="41"/>
        <v>0</v>
      </c>
      <c r="AJ151" s="38">
        <f t="shared" ref="AJ151:AJ214" si="43">SUM(AB151:AH151)</f>
        <v>2.92</v>
      </c>
    </row>
    <row r="152" spans="1:36">
      <c r="A152" s="21"/>
      <c r="B152" s="21" t="s">
        <v>109</v>
      </c>
      <c r="C152" s="666" t="s">
        <v>559</v>
      </c>
      <c r="D152" s="68" t="s">
        <v>33</v>
      </c>
      <c r="E152" s="679">
        <v>2769.9</v>
      </c>
      <c r="F152" s="529">
        <f>VLOOKUP(D152,'Nov 2012 Revenue'!D:T,17,FALSE)</f>
        <v>2229.1999999999998</v>
      </c>
      <c r="G152" s="680"/>
      <c r="H152" s="680"/>
      <c r="I152" s="755"/>
      <c r="J152" s="682">
        <f t="shared" si="33"/>
        <v>4999.1000000000004</v>
      </c>
      <c r="K152" s="683"/>
      <c r="L152" s="684"/>
      <c r="M152" s="753"/>
      <c r="N152" s="683">
        <v>0</v>
      </c>
      <c r="O152" s="686"/>
      <c r="P152" s="683">
        <v>0</v>
      </c>
      <c r="Q152" s="687">
        <f t="shared" si="29"/>
        <v>0</v>
      </c>
      <c r="R152" s="688">
        <v>0</v>
      </c>
      <c r="S152" s="693"/>
      <c r="T152" s="690">
        <f t="shared" si="34"/>
        <v>0</v>
      </c>
      <c r="U152" s="683"/>
      <c r="V152" s="474">
        <f t="shared" si="35"/>
        <v>0</v>
      </c>
      <c r="W152" s="474">
        <f t="shared" si="36"/>
        <v>0</v>
      </c>
      <c r="X152" s="475">
        <f t="shared" si="37"/>
        <v>0</v>
      </c>
      <c r="Y152" s="475">
        <v>0</v>
      </c>
      <c r="Z152" s="476">
        <v>0</v>
      </c>
      <c r="AA152" s="38">
        <f t="shared" si="38"/>
        <v>0</v>
      </c>
      <c r="AB152" s="692">
        <f t="shared" si="30"/>
        <v>0</v>
      </c>
      <c r="AC152" s="692">
        <f t="shared" si="31"/>
        <v>4999.1000000000004</v>
      </c>
      <c r="AD152" s="692">
        <f t="shared" si="32"/>
        <v>0</v>
      </c>
      <c r="AE152" s="38"/>
      <c r="AF152" s="692">
        <f t="shared" si="39"/>
        <v>0</v>
      </c>
      <c r="AG152" s="692">
        <f t="shared" si="40"/>
        <v>0</v>
      </c>
      <c r="AH152" s="692">
        <f t="shared" si="41"/>
        <v>0</v>
      </c>
      <c r="AJ152" s="38">
        <f t="shared" si="43"/>
        <v>4999.1000000000004</v>
      </c>
    </row>
    <row r="153" spans="1:36">
      <c r="A153" s="21"/>
      <c r="B153" s="21" t="s">
        <v>109</v>
      </c>
      <c r="C153" s="666" t="s">
        <v>560</v>
      </c>
      <c r="D153" s="68" t="s">
        <v>379</v>
      </c>
      <c r="E153" s="679"/>
      <c r="F153" s="529">
        <f>VLOOKUP(D153,'Nov 2012 Revenue'!D:T,17,FALSE)</f>
        <v>163.32</v>
      </c>
      <c r="G153" s="680"/>
      <c r="H153" s="680"/>
      <c r="I153" s="755"/>
      <c r="J153" s="682">
        <f t="shared" si="33"/>
        <v>163.32</v>
      </c>
      <c r="K153" s="683"/>
      <c r="L153" s="684"/>
      <c r="M153" s="753"/>
      <c r="N153" s="683">
        <v>0</v>
      </c>
      <c r="O153" s="686"/>
      <c r="P153" s="683">
        <v>0</v>
      </c>
      <c r="Q153" s="687">
        <f t="shared" si="29"/>
        <v>0</v>
      </c>
      <c r="R153" s="688">
        <v>57.19</v>
      </c>
      <c r="S153" s="693"/>
      <c r="T153" s="690">
        <f t="shared" si="34"/>
        <v>57.19</v>
      </c>
      <c r="U153" s="683"/>
      <c r="V153" s="474">
        <f t="shared" si="35"/>
        <v>0</v>
      </c>
      <c r="W153" s="474">
        <f t="shared" si="36"/>
        <v>0</v>
      </c>
      <c r="X153" s="475">
        <f t="shared" si="37"/>
        <v>0</v>
      </c>
      <c r="Y153" s="475">
        <v>0</v>
      </c>
      <c r="Z153" s="476">
        <v>0</v>
      </c>
      <c r="AA153" s="38">
        <f t="shared" si="38"/>
        <v>0</v>
      </c>
      <c r="AB153" s="692">
        <f t="shared" si="30"/>
        <v>0</v>
      </c>
      <c r="AC153" s="692">
        <f t="shared" si="31"/>
        <v>163.32</v>
      </c>
      <c r="AD153" s="692">
        <f t="shared" si="32"/>
        <v>0</v>
      </c>
      <c r="AE153" s="38"/>
      <c r="AF153" s="692">
        <f t="shared" si="39"/>
        <v>0</v>
      </c>
      <c r="AG153" s="692">
        <f t="shared" si="40"/>
        <v>0</v>
      </c>
      <c r="AH153" s="692">
        <f t="shared" si="41"/>
        <v>0</v>
      </c>
      <c r="AJ153" s="38">
        <f t="shared" si="43"/>
        <v>163.32</v>
      </c>
    </row>
    <row r="154" spans="1:36" s="232" customFormat="1">
      <c r="A154" s="283"/>
      <c r="B154" s="283" t="s">
        <v>114</v>
      </c>
      <c r="C154" s="667"/>
      <c r="D154" s="500" t="s">
        <v>408</v>
      </c>
      <c r="E154" s="679"/>
      <c r="F154" s="529">
        <f>VLOOKUP(D154,'Nov 2012 Revenue'!D:T,17,FALSE)</f>
        <v>0</v>
      </c>
      <c r="G154" s="680"/>
      <c r="H154" s="680"/>
      <c r="I154" s="770">
        <v>7837.5</v>
      </c>
      <c r="J154" s="682">
        <f t="shared" si="33"/>
        <v>7837.5</v>
      </c>
      <c r="K154" s="683"/>
      <c r="L154" s="684"/>
      <c r="M154" s="753"/>
      <c r="N154" s="683">
        <v>0</v>
      </c>
      <c r="O154" s="686"/>
      <c r="P154" s="683">
        <v>0</v>
      </c>
      <c r="Q154" s="687">
        <f t="shared" si="29"/>
        <v>0</v>
      </c>
      <c r="R154" s="688">
        <v>0</v>
      </c>
      <c r="S154" s="693"/>
      <c r="T154" s="690">
        <f t="shared" si="34"/>
        <v>0</v>
      </c>
      <c r="U154" s="683"/>
      <c r="V154" s="474">
        <f t="shared" si="35"/>
        <v>0</v>
      </c>
      <c r="W154" s="474">
        <f t="shared" si="36"/>
        <v>0</v>
      </c>
      <c r="X154" s="475">
        <f t="shared" si="37"/>
        <v>0</v>
      </c>
      <c r="Y154" s="475">
        <v>0</v>
      </c>
      <c r="Z154" s="476">
        <v>0</v>
      </c>
      <c r="AA154" s="38">
        <f t="shared" si="38"/>
        <v>0</v>
      </c>
      <c r="AB154" s="692">
        <f t="shared" si="30"/>
        <v>0</v>
      </c>
      <c r="AC154" s="692">
        <f t="shared" si="31"/>
        <v>0</v>
      </c>
      <c r="AD154" s="692">
        <f t="shared" si="32"/>
        <v>7837.5</v>
      </c>
      <c r="AE154" s="38"/>
      <c r="AF154" s="692">
        <f t="shared" si="39"/>
        <v>0</v>
      </c>
      <c r="AG154" s="692">
        <f t="shared" si="40"/>
        <v>0</v>
      </c>
      <c r="AH154" s="692">
        <f t="shared" si="41"/>
        <v>0</v>
      </c>
      <c r="AJ154" s="38">
        <f t="shared" si="43"/>
        <v>7837.5</v>
      </c>
    </row>
    <row r="155" spans="1:36" s="232" customFormat="1">
      <c r="A155" s="283"/>
      <c r="B155" s="283" t="s">
        <v>110</v>
      </c>
      <c r="C155" s="667"/>
      <c r="D155" s="567" t="s">
        <v>445</v>
      </c>
      <c r="E155" s="679"/>
      <c r="F155" s="529">
        <f>VLOOKUP(D155,'Nov 2012 Revenue'!D:T,17,FALSE)</f>
        <v>0</v>
      </c>
      <c r="G155" s="680"/>
      <c r="H155" s="680"/>
      <c r="I155" s="755"/>
      <c r="J155" s="682">
        <f t="shared" si="33"/>
        <v>0</v>
      </c>
      <c r="K155" s="683"/>
      <c r="L155" s="684"/>
      <c r="M155" s="753"/>
      <c r="N155" s="683">
        <v>0</v>
      </c>
      <c r="O155" s="686"/>
      <c r="P155" s="683">
        <v>0</v>
      </c>
      <c r="Q155" s="687">
        <f t="shared" si="29"/>
        <v>0</v>
      </c>
      <c r="R155" s="688">
        <v>0</v>
      </c>
      <c r="S155" s="693"/>
      <c r="T155" s="690">
        <f t="shared" si="34"/>
        <v>0</v>
      </c>
      <c r="U155" s="683"/>
      <c r="V155" s="474">
        <f t="shared" si="35"/>
        <v>0</v>
      </c>
      <c r="W155" s="474">
        <f t="shared" si="36"/>
        <v>0</v>
      </c>
      <c r="X155" s="475">
        <f t="shared" si="37"/>
        <v>0</v>
      </c>
      <c r="Y155" s="475">
        <v>0</v>
      </c>
      <c r="Z155" s="476">
        <v>0</v>
      </c>
      <c r="AA155" s="38">
        <f t="shared" si="38"/>
        <v>0</v>
      </c>
      <c r="AB155" s="692">
        <f t="shared" si="30"/>
        <v>0</v>
      </c>
      <c r="AC155" s="692">
        <f t="shared" si="31"/>
        <v>0</v>
      </c>
      <c r="AD155" s="692">
        <f t="shared" si="32"/>
        <v>0</v>
      </c>
      <c r="AE155" s="38"/>
      <c r="AF155" s="692">
        <f t="shared" si="39"/>
        <v>0</v>
      </c>
      <c r="AG155" s="692">
        <f t="shared" si="40"/>
        <v>0</v>
      </c>
      <c r="AH155" s="692">
        <f t="shared" si="41"/>
        <v>0</v>
      </c>
      <c r="AJ155" s="38">
        <f t="shared" si="43"/>
        <v>0</v>
      </c>
    </row>
    <row r="156" spans="1:36" s="232" customFormat="1">
      <c r="A156" s="283"/>
      <c r="B156" s="283" t="s">
        <v>109</v>
      </c>
      <c r="C156" s="667" t="s">
        <v>562</v>
      </c>
      <c r="D156" s="567" t="s">
        <v>480</v>
      </c>
      <c r="E156" s="679"/>
      <c r="F156" s="529">
        <f>VLOOKUP(D156,'Nov 2012 Revenue'!D:T,17,FALSE)</f>
        <v>0</v>
      </c>
      <c r="G156" s="680"/>
      <c r="H156" s="680"/>
      <c r="I156" s="770">
        <v>8671.58</v>
      </c>
      <c r="J156" s="682">
        <f t="shared" si="33"/>
        <v>8671.58</v>
      </c>
      <c r="K156" s="683"/>
      <c r="L156" s="684"/>
      <c r="M156" s="753"/>
      <c r="N156" s="683">
        <v>0</v>
      </c>
      <c r="O156" s="686"/>
      <c r="P156" s="683">
        <v>0</v>
      </c>
      <c r="Q156" s="687">
        <f t="shared" si="29"/>
        <v>0</v>
      </c>
      <c r="R156" s="688">
        <v>0</v>
      </c>
      <c r="S156" s="693"/>
      <c r="T156" s="690">
        <f t="shared" si="34"/>
        <v>0</v>
      </c>
      <c r="U156" s="683"/>
      <c r="V156" s="474">
        <f t="shared" si="35"/>
        <v>0</v>
      </c>
      <c r="W156" s="474">
        <f t="shared" si="36"/>
        <v>0</v>
      </c>
      <c r="X156" s="475">
        <f t="shared" si="37"/>
        <v>0</v>
      </c>
      <c r="Y156" s="475">
        <v>0</v>
      </c>
      <c r="Z156" s="476">
        <v>0</v>
      </c>
      <c r="AA156" s="38">
        <f t="shared" si="38"/>
        <v>0</v>
      </c>
      <c r="AB156" s="692">
        <f t="shared" si="30"/>
        <v>0</v>
      </c>
      <c r="AC156" s="692">
        <f t="shared" si="31"/>
        <v>8671.58</v>
      </c>
      <c r="AD156" s="692">
        <f t="shared" si="32"/>
        <v>0</v>
      </c>
      <c r="AE156" s="38"/>
      <c r="AF156" s="692">
        <f t="shared" si="39"/>
        <v>0</v>
      </c>
      <c r="AG156" s="692">
        <f t="shared" si="40"/>
        <v>0</v>
      </c>
      <c r="AH156" s="692">
        <f t="shared" si="41"/>
        <v>0</v>
      </c>
      <c r="AJ156" s="38">
        <f t="shared" si="43"/>
        <v>8671.58</v>
      </c>
    </row>
    <row r="157" spans="1:36" s="232" customFormat="1">
      <c r="A157" s="403"/>
      <c r="B157" s="403" t="s">
        <v>109</v>
      </c>
      <c r="C157" s="666" t="s">
        <v>563</v>
      </c>
      <c r="D157" s="123" t="s">
        <v>327</v>
      </c>
      <c r="E157" s="679"/>
      <c r="F157" s="529">
        <f>VLOOKUP(D157,'Nov 2012 Revenue'!D:T,17,FALSE)</f>
        <v>-27212.850000000006</v>
      </c>
      <c r="G157" s="680"/>
      <c r="H157" s="680"/>
      <c r="I157" s="755"/>
      <c r="J157" s="682">
        <f t="shared" si="33"/>
        <v>-27212.850000000006</v>
      </c>
      <c r="K157" s="683"/>
      <c r="L157" s="684"/>
      <c r="M157" s="753">
        <v>80000</v>
      </c>
      <c r="N157" s="683">
        <v>0</v>
      </c>
      <c r="O157" s="686"/>
      <c r="P157" s="683">
        <v>0</v>
      </c>
      <c r="Q157" s="687">
        <f t="shared" si="29"/>
        <v>80000</v>
      </c>
      <c r="R157" s="688">
        <v>56862.69</v>
      </c>
      <c r="S157" s="693"/>
      <c r="T157" s="690">
        <f t="shared" si="34"/>
        <v>-23137.309999999998</v>
      </c>
      <c r="U157" s="683"/>
      <c r="V157" s="474">
        <f t="shared" si="35"/>
        <v>0</v>
      </c>
      <c r="W157" s="474">
        <f t="shared" si="36"/>
        <v>80000</v>
      </c>
      <c r="X157" s="475">
        <f t="shared" si="37"/>
        <v>0</v>
      </c>
      <c r="Y157" s="475">
        <v>0</v>
      </c>
      <c r="Z157" s="476">
        <v>0</v>
      </c>
      <c r="AA157" s="38">
        <f t="shared" si="38"/>
        <v>0</v>
      </c>
      <c r="AB157" s="692">
        <f t="shared" si="30"/>
        <v>0</v>
      </c>
      <c r="AC157" s="692">
        <f t="shared" si="31"/>
        <v>-27212.850000000006</v>
      </c>
      <c r="AD157" s="692">
        <f t="shared" si="32"/>
        <v>0</v>
      </c>
      <c r="AE157" s="38"/>
      <c r="AF157" s="692">
        <f t="shared" si="39"/>
        <v>0</v>
      </c>
      <c r="AG157" s="692">
        <f t="shared" si="40"/>
        <v>80000</v>
      </c>
      <c r="AH157" s="692">
        <f t="shared" si="41"/>
        <v>0</v>
      </c>
      <c r="AJ157" s="38">
        <f t="shared" si="43"/>
        <v>52787.149999999994</v>
      </c>
    </row>
    <row r="158" spans="1:36" s="232" customFormat="1">
      <c r="A158" s="403"/>
      <c r="B158" s="403" t="s">
        <v>110</v>
      </c>
      <c r="C158" s="666" t="s">
        <v>563</v>
      </c>
      <c r="D158" s="123" t="s">
        <v>637</v>
      </c>
      <c r="E158" s="679"/>
      <c r="F158" s="529">
        <f>VLOOKUP(D158,'Nov 2012 Revenue'!D:T,17,FALSE)</f>
        <v>0</v>
      </c>
      <c r="G158" s="680"/>
      <c r="H158" s="680"/>
      <c r="I158" s="755"/>
      <c r="J158" s="682">
        <f t="shared" si="33"/>
        <v>0</v>
      </c>
      <c r="K158" s="683"/>
      <c r="L158" s="684"/>
      <c r="M158" s="753">
        <v>5000</v>
      </c>
      <c r="N158" s="683">
        <v>0</v>
      </c>
      <c r="O158" s="686"/>
      <c r="P158" s="683">
        <v>0</v>
      </c>
      <c r="Q158" s="687">
        <f t="shared" si="29"/>
        <v>5000</v>
      </c>
      <c r="R158" s="688">
        <v>0</v>
      </c>
      <c r="S158" s="693"/>
      <c r="T158" s="690">
        <f t="shared" si="34"/>
        <v>-5000</v>
      </c>
      <c r="U158" s="683"/>
      <c r="V158" s="474">
        <f t="shared" si="35"/>
        <v>5000</v>
      </c>
      <c r="W158" s="474">
        <f t="shared" si="36"/>
        <v>0</v>
      </c>
      <c r="X158" s="475">
        <f t="shared" si="37"/>
        <v>0</v>
      </c>
      <c r="Y158" s="475">
        <v>0</v>
      </c>
      <c r="Z158" s="476">
        <v>0</v>
      </c>
      <c r="AA158" s="38">
        <f t="shared" si="38"/>
        <v>0</v>
      </c>
      <c r="AB158" s="692">
        <f t="shared" si="30"/>
        <v>0</v>
      </c>
      <c r="AC158" s="692">
        <f t="shared" si="31"/>
        <v>0</v>
      </c>
      <c r="AD158" s="692">
        <f t="shared" si="32"/>
        <v>0</v>
      </c>
      <c r="AE158" s="38"/>
      <c r="AF158" s="692">
        <f t="shared" si="39"/>
        <v>5000</v>
      </c>
      <c r="AG158" s="692">
        <f t="shared" si="40"/>
        <v>0</v>
      </c>
      <c r="AH158" s="692">
        <f t="shared" si="41"/>
        <v>0</v>
      </c>
      <c r="AJ158" s="38">
        <f t="shared" si="43"/>
        <v>5000</v>
      </c>
    </row>
    <row r="159" spans="1:36">
      <c r="A159" s="21" t="s">
        <v>212</v>
      </c>
      <c r="B159" s="21" t="s">
        <v>110</v>
      </c>
      <c r="C159" s="666"/>
      <c r="D159" s="68" t="s">
        <v>232</v>
      </c>
      <c r="E159" s="679"/>
      <c r="F159" s="529">
        <f>VLOOKUP(D159,'Nov 2012 Revenue'!D:T,17,FALSE)</f>
        <v>0</v>
      </c>
      <c r="G159" s="680"/>
      <c r="H159" s="680"/>
      <c r="I159" s="755"/>
      <c r="J159" s="682">
        <f t="shared" si="33"/>
        <v>0</v>
      </c>
      <c r="K159" s="683"/>
      <c r="L159" s="684"/>
      <c r="M159" s="753"/>
      <c r="N159" s="683">
        <v>0</v>
      </c>
      <c r="O159" s="686"/>
      <c r="P159" s="683">
        <v>0</v>
      </c>
      <c r="Q159" s="687">
        <f t="shared" si="29"/>
        <v>0</v>
      </c>
      <c r="R159" s="688">
        <v>0</v>
      </c>
      <c r="S159" s="693"/>
      <c r="T159" s="690">
        <f t="shared" si="34"/>
        <v>0</v>
      </c>
      <c r="U159" s="683"/>
      <c r="V159" s="474">
        <f t="shared" si="35"/>
        <v>0</v>
      </c>
      <c r="W159" s="474">
        <f t="shared" si="36"/>
        <v>0</v>
      </c>
      <c r="X159" s="475">
        <f t="shared" si="37"/>
        <v>0</v>
      </c>
      <c r="Y159" s="475">
        <v>0</v>
      </c>
      <c r="Z159" s="476">
        <v>0</v>
      </c>
      <c r="AA159" s="38">
        <f t="shared" si="38"/>
        <v>0</v>
      </c>
      <c r="AB159" s="692">
        <f t="shared" si="30"/>
        <v>0</v>
      </c>
      <c r="AC159" s="692">
        <f t="shared" si="31"/>
        <v>0</v>
      </c>
      <c r="AD159" s="692">
        <f t="shared" si="32"/>
        <v>0</v>
      </c>
      <c r="AE159" s="38"/>
      <c r="AF159" s="692">
        <f t="shared" si="39"/>
        <v>0</v>
      </c>
      <c r="AG159" s="692">
        <f t="shared" si="40"/>
        <v>0</v>
      </c>
      <c r="AH159" s="692">
        <f t="shared" si="41"/>
        <v>0</v>
      </c>
      <c r="AJ159" s="38">
        <f t="shared" si="43"/>
        <v>0</v>
      </c>
    </row>
    <row r="160" spans="1:36">
      <c r="A160" s="21"/>
      <c r="B160" s="21" t="s">
        <v>109</v>
      </c>
      <c r="C160" s="666" t="s">
        <v>564</v>
      </c>
      <c r="D160" s="68" t="s">
        <v>876</v>
      </c>
      <c r="E160" s="679"/>
      <c r="F160" s="529">
        <f>VLOOKUP(D160,'Nov 2012 Revenue'!D:T,17,FALSE)</f>
        <v>0</v>
      </c>
      <c r="G160" s="680"/>
      <c r="H160" s="680"/>
      <c r="I160" s="755"/>
      <c r="J160" s="682">
        <f t="shared" si="33"/>
        <v>0</v>
      </c>
      <c r="K160" s="683"/>
      <c r="L160" s="684"/>
      <c r="M160" s="753"/>
      <c r="N160" s="683">
        <v>0</v>
      </c>
      <c r="O160" s="686"/>
      <c r="P160" s="683">
        <v>0</v>
      </c>
      <c r="Q160" s="687">
        <f t="shared" si="29"/>
        <v>0</v>
      </c>
      <c r="R160" s="688">
        <v>0</v>
      </c>
      <c r="S160" s="693"/>
      <c r="T160" s="690">
        <f t="shared" si="34"/>
        <v>0</v>
      </c>
      <c r="U160" s="683"/>
      <c r="V160" s="474">
        <f t="shared" si="35"/>
        <v>0</v>
      </c>
      <c r="W160" s="474">
        <f t="shared" si="36"/>
        <v>0</v>
      </c>
      <c r="X160" s="475">
        <f t="shared" si="37"/>
        <v>0</v>
      </c>
      <c r="Y160" s="475">
        <v>0</v>
      </c>
      <c r="Z160" s="476">
        <v>0</v>
      </c>
      <c r="AA160" s="38">
        <f t="shared" si="38"/>
        <v>0</v>
      </c>
      <c r="AB160" s="692">
        <f t="shared" si="30"/>
        <v>0</v>
      </c>
      <c r="AC160" s="692">
        <f t="shared" si="31"/>
        <v>0</v>
      </c>
      <c r="AD160" s="692">
        <f t="shared" si="32"/>
        <v>0</v>
      </c>
      <c r="AE160" s="38"/>
      <c r="AF160" s="692">
        <f t="shared" si="39"/>
        <v>0</v>
      </c>
      <c r="AG160" s="692">
        <f t="shared" si="40"/>
        <v>0</v>
      </c>
      <c r="AH160" s="692">
        <f t="shared" si="41"/>
        <v>0</v>
      </c>
      <c r="AJ160" s="38">
        <f t="shared" si="43"/>
        <v>0</v>
      </c>
    </row>
    <row r="161" spans="1:36">
      <c r="A161" s="21"/>
      <c r="B161" s="21" t="s">
        <v>109</v>
      </c>
      <c r="C161" s="666" t="s">
        <v>564</v>
      </c>
      <c r="D161" s="68" t="s">
        <v>307</v>
      </c>
      <c r="E161" s="679"/>
      <c r="F161" s="529">
        <f>VLOOKUP(D161,'Nov 2012 Revenue'!D:T,17,FALSE)</f>
        <v>0</v>
      </c>
      <c r="G161" s="680"/>
      <c r="H161" s="680"/>
      <c r="I161" s="755"/>
      <c r="J161" s="682">
        <f t="shared" si="33"/>
        <v>0</v>
      </c>
      <c r="K161" s="683"/>
      <c r="L161" s="684"/>
      <c r="M161" s="753"/>
      <c r="N161" s="683">
        <v>0</v>
      </c>
      <c r="O161" s="686"/>
      <c r="P161" s="683">
        <v>0</v>
      </c>
      <c r="Q161" s="687">
        <f t="shared" si="29"/>
        <v>0</v>
      </c>
      <c r="R161" s="688">
        <v>0</v>
      </c>
      <c r="S161" s="693"/>
      <c r="T161" s="690">
        <f t="shared" si="34"/>
        <v>0</v>
      </c>
      <c r="U161" s="683"/>
      <c r="V161" s="474">
        <f t="shared" si="35"/>
        <v>0</v>
      </c>
      <c r="W161" s="474">
        <f t="shared" si="36"/>
        <v>0</v>
      </c>
      <c r="X161" s="475">
        <f t="shared" si="37"/>
        <v>0</v>
      </c>
      <c r="Y161" s="475">
        <v>0</v>
      </c>
      <c r="Z161" s="476">
        <v>0</v>
      </c>
      <c r="AA161" s="38">
        <f t="shared" si="38"/>
        <v>0</v>
      </c>
      <c r="AB161" s="692">
        <f t="shared" si="30"/>
        <v>0</v>
      </c>
      <c r="AC161" s="692">
        <f t="shared" si="31"/>
        <v>0</v>
      </c>
      <c r="AD161" s="692">
        <f t="shared" si="32"/>
        <v>0</v>
      </c>
      <c r="AE161" s="38"/>
      <c r="AF161" s="692">
        <f t="shared" si="39"/>
        <v>0</v>
      </c>
      <c r="AG161" s="692">
        <f t="shared" si="40"/>
        <v>0</v>
      </c>
      <c r="AH161" s="692">
        <f t="shared" si="41"/>
        <v>0</v>
      </c>
      <c r="AJ161" s="38">
        <f t="shared" si="43"/>
        <v>0</v>
      </c>
    </row>
    <row r="162" spans="1:36">
      <c r="A162" s="21"/>
      <c r="B162" s="21" t="s">
        <v>109</v>
      </c>
      <c r="C162" s="666" t="s">
        <v>565</v>
      </c>
      <c r="D162" s="68" t="s">
        <v>485</v>
      </c>
      <c r="E162" s="679">
        <v>37161.160000000003</v>
      </c>
      <c r="F162" s="529">
        <f>VLOOKUP(D162,'Nov 2012 Revenue'!D:T,17,FALSE)</f>
        <v>40985.300000000003</v>
      </c>
      <c r="G162" s="680"/>
      <c r="H162" s="680"/>
      <c r="I162" s="770">
        <v>115618.74</v>
      </c>
      <c r="J162" s="682">
        <f t="shared" si="33"/>
        <v>193765.2</v>
      </c>
      <c r="K162" s="683"/>
      <c r="L162" s="684"/>
      <c r="M162" s="753"/>
      <c r="N162" s="683"/>
      <c r="O162" s="686"/>
      <c r="P162" s="683"/>
      <c r="Q162" s="687">
        <f t="shared" si="29"/>
        <v>0</v>
      </c>
      <c r="R162" s="688">
        <v>0</v>
      </c>
      <c r="S162" s="693"/>
      <c r="T162" s="690">
        <f t="shared" si="34"/>
        <v>0</v>
      </c>
      <c r="U162" s="683"/>
      <c r="V162" s="474">
        <f t="shared" si="35"/>
        <v>0</v>
      </c>
      <c r="W162" s="474">
        <f t="shared" si="36"/>
        <v>0</v>
      </c>
      <c r="X162" s="475">
        <f t="shared" si="37"/>
        <v>0</v>
      </c>
      <c r="Y162" s="475">
        <v>0</v>
      </c>
      <c r="Z162" s="476">
        <v>0</v>
      </c>
      <c r="AA162" s="38">
        <f t="shared" si="38"/>
        <v>0</v>
      </c>
      <c r="AB162" s="692">
        <f t="shared" si="30"/>
        <v>0</v>
      </c>
      <c r="AC162" s="692">
        <f t="shared" si="31"/>
        <v>193765.2</v>
      </c>
      <c r="AD162" s="692">
        <f t="shared" si="32"/>
        <v>0</v>
      </c>
      <c r="AE162" s="38"/>
      <c r="AF162" s="692">
        <f t="shared" si="39"/>
        <v>0</v>
      </c>
      <c r="AG162" s="692">
        <f t="shared" si="40"/>
        <v>0</v>
      </c>
      <c r="AH162" s="692">
        <f t="shared" si="41"/>
        <v>0</v>
      </c>
      <c r="AJ162" s="38">
        <f t="shared" si="43"/>
        <v>193765.2</v>
      </c>
    </row>
    <row r="163" spans="1:36" s="232" customFormat="1">
      <c r="A163" s="403"/>
      <c r="B163" s="403" t="s">
        <v>109</v>
      </c>
      <c r="C163" s="666"/>
      <c r="D163" s="123" t="s">
        <v>220</v>
      </c>
      <c r="E163" s="679"/>
      <c r="F163" s="529">
        <f>VLOOKUP(D163,'Nov 2012 Revenue'!D:T,17,FALSE)</f>
        <v>0</v>
      </c>
      <c r="G163" s="680"/>
      <c r="H163" s="680"/>
      <c r="I163" s="755"/>
      <c r="J163" s="682">
        <f t="shared" si="33"/>
        <v>0</v>
      </c>
      <c r="K163" s="683"/>
      <c r="L163" s="684"/>
      <c r="M163" s="753"/>
      <c r="N163" s="683">
        <v>0</v>
      </c>
      <c r="O163" s="686"/>
      <c r="P163" s="683">
        <v>0</v>
      </c>
      <c r="Q163" s="687">
        <f t="shared" si="29"/>
        <v>0</v>
      </c>
      <c r="R163" s="688">
        <v>0</v>
      </c>
      <c r="S163" s="693"/>
      <c r="T163" s="690">
        <f t="shared" si="34"/>
        <v>0</v>
      </c>
      <c r="U163" s="683"/>
      <c r="V163" s="474">
        <f t="shared" si="35"/>
        <v>0</v>
      </c>
      <c r="W163" s="474">
        <f t="shared" si="36"/>
        <v>0</v>
      </c>
      <c r="X163" s="475">
        <f t="shared" si="37"/>
        <v>0</v>
      </c>
      <c r="Y163" s="475">
        <v>0</v>
      </c>
      <c r="Z163" s="476">
        <v>0</v>
      </c>
      <c r="AA163" s="38">
        <f t="shared" si="38"/>
        <v>0</v>
      </c>
      <c r="AB163" s="692">
        <f t="shared" si="30"/>
        <v>0</v>
      </c>
      <c r="AC163" s="692">
        <f t="shared" si="31"/>
        <v>0</v>
      </c>
      <c r="AD163" s="692">
        <f t="shared" si="32"/>
        <v>0</v>
      </c>
      <c r="AE163" s="38"/>
      <c r="AF163" s="692">
        <f t="shared" si="39"/>
        <v>0</v>
      </c>
      <c r="AG163" s="692">
        <f t="shared" si="40"/>
        <v>0</v>
      </c>
      <c r="AH163" s="692">
        <f t="shared" si="41"/>
        <v>0</v>
      </c>
      <c r="AJ163" s="38">
        <f t="shared" si="43"/>
        <v>0</v>
      </c>
    </row>
    <row r="164" spans="1:36" s="24" customFormat="1">
      <c r="A164" s="472"/>
      <c r="B164" s="21" t="s">
        <v>109</v>
      </c>
      <c r="C164" s="666"/>
      <c r="D164" s="68" t="s">
        <v>505</v>
      </c>
      <c r="E164" s="679"/>
      <c r="F164" s="529">
        <f>VLOOKUP(D164,'Nov 2012 Revenue'!D:T,17,FALSE)</f>
        <v>0</v>
      </c>
      <c r="G164" s="680"/>
      <c r="H164" s="680"/>
      <c r="I164" s="770">
        <v>6709.2</v>
      </c>
      <c r="J164" s="682">
        <f t="shared" si="33"/>
        <v>6709.2</v>
      </c>
      <c r="K164" s="698"/>
      <c r="L164" s="684"/>
      <c r="M164" s="753"/>
      <c r="N164" s="698">
        <v>0</v>
      </c>
      <c r="O164" s="686"/>
      <c r="P164" s="698">
        <v>0</v>
      </c>
      <c r="Q164" s="700">
        <f t="shared" si="29"/>
        <v>0</v>
      </c>
      <c r="R164" s="688">
        <v>0</v>
      </c>
      <c r="S164" s="701"/>
      <c r="T164" s="702">
        <f t="shared" si="34"/>
        <v>0</v>
      </c>
      <c r="U164" s="698"/>
      <c r="V164" s="474">
        <f t="shared" si="35"/>
        <v>0</v>
      </c>
      <c r="W164" s="474">
        <f t="shared" si="36"/>
        <v>0</v>
      </c>
      <c r="X164" s="475">
        <f t="shared" si="37"/>
        <v>0</v>
      </c>
      <c r="Y164" s="475">
        <v>0</v>
      </c>
      <c r="Z164" s="476">
        <v>0</v>
      </c>
      <c r="AA164" s="38">
        <f t="shared" si="38"/>
        <v>0</v>
      </c>
      <c r="AB164" s="692">
        <f t="shared" si="30"/>
        <v>0</v>
      </c>
      <c r="AC164" s="692">
        <f t="shared" si="31"/>
        <v>6709.2</v>
      </c>
      <c r="AD164" s="692">
        <f t="shared" si="32"/>
        <v>0</v>
      </c>
      <c r="AE164" s="38"/>
      <c r="AF164" s="692">
        <f t="shared" si="39"/>
        <v>0</v>
      </c>
      <c r="AG164" s="692">
        <f t="shared" si="40"/>
        <v>0</v>
      </c>
      <c r="AH164" s="692">
        <f t="shared" si="41"/>
        <v>0</v>
      </c>
      <c r="AJ164" s="38">
        <f t="shared" si="43"/>
        <v>6709.2</v>
      </c>
    </row>
    <row r="165" spans="1:36">
      <c r="A165" s="21"/>
      <c r="B165" s="21" t="s">
        <v>110</v>
      </c>
      <c r="C165" s="666"/>
      <c r="D165" s="68" t="s">
        <v>185</v>
      </c>
      <c r="E165" s="679">
        <v>14</v>
      </c>
      <c r="F165" s="529">
        <f>VLOOKUP(D165,'Nov 2012 Revenue'!D:T,17,FALSE)</f>
        <v>0</v>
      </c>
      <c r="G165" s="680"/>
      <c r="H165" s="680"/>
      <c r="I165" s="755"/>
      <c r="J165" s="682">
        <f t="shared" si="33"/>
        <v>14</v>
      </c>
      <c r="K165" s="683"/>
      <c r="L165" s="684"/>
      <c r="M165" s="753"/>
      <c r="N165" s="683">
        <v>0</v>
      </c>
      <c r="O165" s="686"/>
      <c r="P165" s="683">
        <v>0</v>
      </c>
      <c r="Q165" s="687">
        <f t="shared" si="29"/>
        <v>0</v>
      </c>
      <c r="R165" s="688">
        <v>0</v>
      </c>
      <c r="S165" s="693"/>
      <c r="T165" s="690">
        <f t="shared" si="34"/>
        <v>0</v>
      </c>
      <c r="U165" s="683"/>
      <c r="V165" s="474">
        <f t="shared" si="35"/>
        <v>0</v>
      </c>
      <c r="W165" s="474">
        <f t="shared" si="36"/>
        <v>0</v>
      </c>
      <c r="X165" s="475">
        <f t="shared" si="37"/>
        <v>0</v>
      </c>
      <c r="Y165" s="475">
        <v>0</v>
      </c>
      <c r="Z165" s="476">
        <v>0</v>
      </c>
      <c r="AA165" s="38">
        <f t="shared" si="38"/>
        <v>0</v>
      </c>
      <c r="AB165" s="692">
        <f t="shared" si="30"/>
        <v>14</v>
      </c>
      <c r="AC165" s="692">
        <f t="shared" si="31"/>
        <v>0</v>
      </c>
      <c r="AD165" s="692">
        <f t="shared" si="32"/>
        <v>0</v>
      </c>
      <c r="AE165" s="38"/>
      <c r="AF165" s="692">
        <f t="shared" si="39"/>
        <v>0</v>
      </c>
      <c r="AG165" s="692">
        <f t="shared" si="40"/>
        <v>0</v>
      </c>
      <c r="AH165" s="692">
        <f t="shared" si="41"/>
        <v>0</v>
      </c>
      <c r="AJ165" s="38">
        <f t="shared" si="43"/>
        <v>14</v>
      </c>
    </row>
    <row r="166" spans="1:36">
      <c r="A166" s="21"/>
      <c r="B166" s="21" t="s">
        <v>896</v>
      </c>
      <c r="C166" s="21"/>
      <c r="D166" s="68" t="s">
        <v>186</v>
      </c>
      <c r="E166" s="679">
        <v>43.61</v>
      </c>
      <c r="F166" s="529">
        <f>VLOOKUP(D166,'Nov 2012 Revenue'!D:T,17,FALSE)</f>
        <v>0</v>
      </c>
      <c r="G166" s="680"/>
      <c r="H166" s="680"/>
      <c r="I166" s="755"/>
      <c r="J166" s="682">
        <f t="shared" si="33"/>
        <v>43.61</v>
      </c>
      <c r="K166" s="683"/>
      <c r="L166" s="684"/>
      <c r="M166" s="753"/>
      <c r="N166" s="683">
        <v>0</v>
      </c>
      <c r="O166" s="686"/>
      <c r="P166" s="683">
        <v>0</v>
      </c>
      <c r="Q166" s="687">
        <f t="shared" si="29"/>
        <v>0</v>
      </c>
      <c r="R166" s="688">
        <v>0</v>
      </c>
      <c r="S166" s="693"/>
      <c r="T166" s="690">
        <f t="shared" si="34"/>
        <v>0</v>
      </c>
      <c r="U166" s="683"/>
      <c r="V166" s="474">
        <f t="shared" si="35"/>
        <v>0</v>
      </c>
      <c r="W166" s="474">
        <f t="shared" si="36"/>
        <v>0</v>
      </c>
      <c r="X166" s="475">
        <f t="shared" si="37"/>
        <v>0</v>
      </c>
      <c r="Y166" s="475">
        <v>0</v>
      </c>
      <c r="Z166" s="476">
        <v>0</v>
      </c>
      <c r="AA166" s="38">
        <f t="shared" si="38"/>
        <v>0</v>
      </c>
      <c r="AB166" s="692">
        <f t="shared" si="30"/>
        <v>0</v>
      </c>
      <c r="AC166" s="692">
        <f t="shared" si="31"/>
        <v>43.61</v>
      </c>
      <c r="AD166" s="692">
        <f t="shared" si="32"/>
        <v>0</v>
      </c>
      <c r="AE166" s="38"/>
      <c r="AF166" s="692">
        <f t="shared" si="39"/>
        <v>0</v>
      </c>
      <c r="AG166" s="692">
        <f t="shared" si="40"/>
        <v>0</v>
      </c>
      <c r="AH166" s="692">
        <f t="shared" si="41"/>
        <v>0</v>
      </c>
      <c r="AJ166" s="38">
        <f t="shared" si="43"/>
        <v>43.61</v>
      </c>
    </row>
    <row r="167" spans="1:36">
      <c r="A167" s="21"/>
      <c r="B167" s="21" t="s">
        <v>110</v>
      </c>
      <c r="C167" s="666"/>
      <c r="D167" s="68" t="s">
        <v>449</v>
      </c>
      <c r="E167" s="679"/>
      <c r="F167" s="529">
        <f>VLOOKUP(D167,'Nov 2012 Revenue'!D:T,17,FALSE)</f>
        <v>0</v>
      </c>
      <c r="G167" s="680"/>
      <c r="H167" s="680"/>
      <c r="I167" s="755"/>
      <c r="J167" s="682">
        <f t="shared" si="33"/>
        <v>0</v>
      </c>
      <c r="K167" s="683"/>
      <c r="L167" s="684"/>
      <c r="M167" s="753"/>
      <c r="N167" s="683">
        <v>0</v>
      </c>
      <c r="O167" s="686"/>
      <c r="P167" s="683">
        <v>0</v>
      </c>
      <c r="Q167" s="687">
        <f t="shared" si="29"/>
        <v>0</v>
      </c>
      <c r="R167" s="688">
        <v>0</v>
      </c>
      <c r="S167" s="693"/>
      <c r="T167" s="690">
        <f t="shared" si="34"/>
        <v>0</v>
      </c>
      <c r="U167" s="683"/>
      <c r="V167" s="474">
        <f t="shared" si="35"/>
        <v>0</v>
      </c>
      <c r="W167" s="474">
        <f t="shared" si="36"/>
        <v>0</v>
      </c>
      <c r="X167" s="475">
        <f t="shared" si="37"/>
        <v>0</v>
      </c>
      <c r="Y167" s="475">
        <v>0</v>
      </c>
      <c r="Z167" s="476">
        <v>0</v>
      </c>
      <c r="AA167" s="38">
        <f t="shared" si="38"/>
        <v>0</v>
      </c>
      <c r="AB167" s="692">
        <f t="shared" si="30"/>
        <v>0</v>
      </c>
      <c r="AC167" s="692">
        <f t="shared" si="31"/>
        <v>0</v>
      </c>
      <c r="AD167" s="692">
        <f t="shared" si="32"/>
        <v>0</v>
      </c>
      <c r="AE167" s="38"/>
      <c r="AF167" s="692">
        <f t="shared" si="39"/>
        <v>0</v>
      </c>
      <c r="AG167" s="692">
        <f t="shared" si="40"/>
        <v>0</v>
      </c>
      <c r="AH167" s="692">
        <f t="shared" si="41"/>
        <v>0</v>
      </c>
      <c r="AJ167" s="38">
        <f t="shared" si="43"/>
        <v>0</v>
      </c>
    </row>
    <row r="168" spans="1:36">
      <c r="A168" s="21"/>
      <c r="B168" s="21" t="s">
        <v>110</v>
      </c>
      <c r="C168" s="666" t="s">
        <v>566</v>
      </c>
      <c r="D168" s="68" t="s">
        <v>39</v>
      </c>
      <c r="E168" s="679"/>
      <c r="F168" s="529">
        <f>VLOOKUP(D168,'Nov 2012 Revenue'!D:T,17,FALSE)</f>
        <v>3196.49</v>
      </c>
      <c r="G168" s="680"/>
      <c r="H168" s="680"/>
      <c r="I168" s="770">
        <v>8155.98</v>
      </c>
      <c r="J168" s="682">
        <f t="shared" si="33"/>
        <v>11352.47</v>
      </c>
      <c r="K168" s="683"/>
      <c r="L168" s="684"/>
      <c r="M168" s="753"/>
      <c r="N168" s="683">
        <v>0</v>
      </c>
      <c r="O168" s="686"/>
      <c r="P168" s="683">
        <v>0</v>
      </c>
      <c r="Q168" s="687">
        <f t="shared" si="29"/>
        <v>0</v>
      </c>
      <c r="R168" s="688">
        <v>0</v>
      </c>
      <c r="S168" s="693"/>
      <c r="T168" s="690">
        <f t="shared" si="34"/>
        <v>0</v>
      </c>
      <c r="U168" s="683"/>
      <c r="V168" s="474">
        <f t="shared" si="35"/>
        <v>0</v>
      </c>
      <c r="W168" s="474">
        <f t="shared" si="36"/>
        <v>0</v>
      </c>
      <c r="X168" s="475">
        <f t="shared" si="37"/>
        <v>0</v>
      </c>
      <c r="Y168" s="475">
        <v>0</v>
      </c>
      <c r="Z168" s="476">
        <v>0</v>
      </c>
      <c r="AA168" s="38">
        <f t="shared" si="38"/>
        <v>0</v>
      </c>
      <c r="AB168" s="692">
        <f t="shared" si="30"/>
        <v>11352.47</v>
      </c>
      <c r="AC168" s="692">
        <f t="shared" si="31"/>
        <v>0</v>
      </c>
      <c r="AD168" s="692">
        <f t="shared" si="32"/>
        <v>0</v>
      </c>
      <c r="AE168" s="38"/>
      <c r="AF168" s="692">
        <f t="shared" si="39"/>
        <v>0</v>
      </c>
      <c r="AG168" s="692">
        <f t="shared" si="40"/>
        <v>0</v>
      </c>
      <c r="AH168" s="692">
        <f t="shared" si="41"/>
        <v>0</v>
      </c>
      <c r="AJ168" s="38">
        <f t="shared" si="43"/>
        <v>11352.47</v>
      </c>
    </row>
    <row r="169" spans="1:36">
      <c r="A169" s="21"/>
      <c r="B169" s="21" t="s">
        <v>110</v>
      </c>
      <c r="C169" s="666" t="s">
        <v>567</v>
      </c>
      <c r="D169" s="68" t="s">
        <v>435</v>
      </c>
      <c r="E169" s="679"/>
      <c r="F169" s="529">
        <f>VLOOKUP(D169,'Nov 2012 Revenue'!D:T,17,FALSE)</f>
        <v>1658.2000000000007</v>
      </c>
      <c r="G169" s="680"/>
      <c r="H169" s="680"/>
      <c r="I169" s="755"/>
      <c r="J169" s="682">
        <f t="shared" si="33"/>
        <v>1658.2000000000007</v>
      </c>
      <c r="K169" s="683"/>
      <c r="L169" s="684"/>
      <c r="M169" s="753">
        <v>25000</v>
      </c>
      <c r="N169" s="683">
        <v>0</v>
      </c>
      <c r="O169" s="686"/>
      <c r="P169" s="683">
        <v>0</v>
      </c>
      <c r="Q169" s="687">
        <f t="shared" si="29"/>
        <v>25000</v>
      </c>
      <c r="R169" s="688">
        <v>0</v>
      </c>
      <c r="S169" s="693"/>
      <c r="T169" s="690">
        <f t="shared" si="34"/>
        <v>-25000</v>
      </c>
      <c r="U169" s="683"/>
      <c r="V169" s="474">
        <f t="shared" si="35"/>
        <v>25000</v>
      </c>
      <c r="W169" s="474">
        <f t="shared" si="36"/>
        <v>0</v>
      </c>
      <c r="X169" s="475">
        <f t="shared" si="37"/>
        <v>0</v>
      </c>
      <c r="Y169" s="475">
        <v>0</v>
      </c>
      <c r="Z169" s="476">
        <v>0</v>
      </c>
      <c r="AA169" s="38">
        <f t="shared" si="38"/>
        <v>0</v>
      </c>
      <c r="AB169" s="692">
        <f t="shared" si="30"/>
        <v>1658.2000000000007</v>
      </c>
      <c r="AC169" s="692">
        <f t="shared" si="31"/>
        <v>0</v>
      </c>
      <c r="AD169" s="692">
        <f t="shared" si="32"/>
        <v>0</v>
      </c>
      <c r="AE169" s="38"/>
      <c r="AF169" s="692">
        <f t="shared" si="39"/>
        <v>25000</v>
      </c>
      <c r="AG169" s="692">
        <f t="shared" si="40"/>
        <v>0</v>
      </c>
      <c r="AH169" s="692">
        <f t="shared" si="41"/>
        <v>0</v>
      </c>
      <c r="AJ169" s="38">
        <f t="shared" si="43"/>
        <v>26658.2</v>
      </c>
    </row>
    <row r="170" spans="1:36">
      <c r="A170" s="21"/>
      <c r="B170" s="21" t="s">
        <v>110</v>
      </c>
      <c r="C170" s="675" t="s">
        <v>584</v>
      </c>
      <c r="D170" s="68" t="s">
        <v>99</v>
      </c>
      <c r="E170" s="679">
        <f>17314.98+16345.87</f>
        <v>33660.85</v>
      </c>
      <c r="F170" s="529">
        <f>VLOOKUP(D170,'Nov 2012 Revenue'!D:T,17,FALSE)</f>
        <v>-41623.78</v>
      </c>
      <c r="G170" s="680"/>
      <c r="H170" s="680"/>
      <c r="I170" s="755"/>
      <c r="J170" s="682">
        <f t="shared" si="33"/>
        <v>-7962.93</v>
      </c>
      <c r="K170" s="683"/>
      <c r="L170" s="684"/>
      <c r="M170" s="753">
        <v>17000</v>
      </c>
      <c r="N170" s="683">
        <v>0</v>
      </c>
      <c r="O170" s="686"/>
      <c r="P170" s="683">
        <v>0</v>
      </c>
      <c r="Q170" s="687">
        <f t="shared" si="29"/>
        <v>17000</v>
      </c>
      <c r="R170" s="688">
        <v>0</v>
      </c>
      <c r="S170" s="693"/>
      <c r="T170" s="690">
        <f t="shared" si="34"/>
        <v>-17000</v>
      </c>
      <c r="U170" s="683"/>
      <c r="V170" s="474">
        <f t="shared" si="35"/>
        <v>17000</v>
      </c>
      <c r="W170" s="474">
        <f t="shared" si="36"/>
        <v>0</v>
      </c>
      <c r="X170" s="475">
        <f t="shared" si="37"/>
        <v>0</v>
      </c>
      <c r="Y170" s="475">
        <v>0</v>
      </c>
      <c r="Z170" s="476">
        <v>0</v>
      </c>
      <c r="AA170" s="38">
        <f t="shared" si="38"/>
        <v>0</v>
      </c>
      <c r="AB170" s="692">
        <f t="shared" si="30"/>
        <v>-7962.93</v>
      </c>
      <c r="AC170" s="692">
        <f t="shared" si="31"/>
        <v>0</v>
      </c>
      <c r="AD170" s="692">
        <f t="shared" si="32"/>
        <v>0</v>
      </c>
      <c r="AE170" s="38"/>
      <c r="AF170" s="692">
        <f t="shared" si="39"/>
        <v>17000</v>
      </c>
      <c r="AG170" s="692">
        <f t="shared" si="40"/>
        <v>0</v>
      </c>
      <c r="AH170" s="692">
        <f t="shared" si="41"/>
        <v>0</v>
      </c>
      <c r="AJ170" s="38">
        <f t="shared" si="43"/>
        <v>9037.07</v>
      </c>
    </row>
    <row r="171" spans="1:36" s="232" customFormat="1">
      <c r="A171" s="403"/>
      <c r="B171" s="403" t="s">
        <v>110</v>
      </c>
      <c r="C171" s="666"/>
      <c r="D171" s="123" t="s">
        <v>378</v>
      </c>
      <c r="E171" s="679"/>
      <c r="F171" s="529">
        <f>VLOOKUP(D171,'Nov 2012 Revenue'!D:T,17,FALSE)</f>
        <v>0</v>
      </c>
      <c r="G171" s="680"/>
      <c r="H171" s="680"/>
      <c r="I171" s="755"/>
      <c r="J171" s="682">
        <f t="shared" si="33"/>
        <v>0</v>
      </c>
      <c r="K171" s="683"/>
      <c r="L171" s="684"/>
      <c r="M171" s="753"/>
      <c r="N171" s="683">
        <v>0</v>
      </c>
      <c r="O171" s="686"/>
      <c r="P171" s="683">
        <v>0</v>
      </c>
      <c r="Q171" s="687">
        <f t="shared" si="29"/>
        <v>0</v>
      </c>
      <c r="R171" s="688">
        <v>0</v>
      </c>
      <c r="S171" s="693"/>
      <c r="T171" s="690">
        <f t="shared" si="34"/>
        <v>0</v>
      </c>
      <c r="U171" s="683"/>
      <c r="V171" s="474">
        <f t="shared" si="35"/>
        <v>0</v>
      </c>
      <c r="W171" s="474">
        <f t="shared" si="36"/>
        <v>0</v>
      </c>
      <c r="X171" s="475">
        <f t="shared" si="37"/>
        <v>0</v>
      </c>
      <c r="Y171" s="475">
        <v>0</v>
      </c>
      <c r="Z171" s="476">
        <v>0</v>
      </c>
      <c r="AA171" s="38">
        <f t="shared" si="38"/>
        <v>0</v>
      </c>
      <c r="AB171" s="692">
        <f t="shared" si="30"/>
        <v>0</v>
      </c>
      <c r="AC171" s="692">
        <f t="shared" si="31"/>
        <v>0</v>
      </c>
      <c r="AD171" s="692">
        <f t="shared" si="32"/>
        <v>0</v>
      </c>
      <c r="AE171" s="38"/>
      <c r="AF171" s="692">
        <f t="shared" si="39"/>
        <v>0</v>
      </c>
      <c r="AG171" s="692">
        <f t="shared" si="40"/>
        <v>0</v>
      </c>
      <c r="AH171" s="692">
        <f t="shared" si="41"/>
        <v>0</v>
      </c>
      <c r="AJ171" s="38">
        <f t="shared" si="43"/>
        <v>0</v>
      </c>
    </row>
    <row r="172" spans="1:36" s="232" customFormat="1">
      <c r="A172" s="403"/>
      <c r="B172" s="403" t="s">
        <v>110</v>
      </c>
      <c r="C172" s="666" t="s">
        <v>568</v>
      </c>
      <c r="D172" s="123" t="s">
        <v>303</v>
      </c>
      <c r="E172" s="679">
        <v>87653.48</v>
      </c>
      <c r="F172" s="529">
        <f>VLOOKUP(D172,'Nov 2012 Revenue'!D:T,17,FALSE)</f>
        <v>-1530.8600000000006</v>
      </c>
      <c r="G172" s="680"/>
      <c r="H172" s="680"/>
      <c r="I172" s="755"/>
      <c r="J172" s="682">
        <f t="shared" si="33"/>
        <v>86122.62</v>
      </c>
      <c r="K172" s="683"/>
      <c r="L172" s="684"/>
      <c r="M172" s="753">
        <v>85000</v>
      </c>
      <c r="N172" s="683">
        <v>0</v>
      </c>
      <c r="O172" s="686"/>
      <c r="P172" s="683">
        <v>0</v>
      </c>
      <c r="Q172" s="687">
        <f t="shared" si="29"/>
        <v>85000</v>
      </c>
      <c r="R172" s="688">
        <v>0</v>
      </c>
      <c r="S172" s="693"/>
      <c r="T172" s="690">
        <f t="shared" si="34"/>
        <v>-85000</v>
      </c>
      <c r="U172" s="683"/>
      <c r="V172" s="474">
        <f t="shared" si="35"/>
        <v>85000</v>
      </c>
      <c r="W172" s="474">
        <f t="shared" si="36"/>
        <v>0</v>
      </c>
      <c r="X172" s="475">
        <f t="shared" si="37"/>
        <v>0</v>
      </c>
      <c r="Y172" s="475">
        <v>0</v>
      </c>
      <c r="Z172" s="476">
        <v>0</v>
      </c>
      <c r="AA172" s="38">
        <f t="shared" si="38"/>
        <v>0</v>
      </c>
      <c r="AB172" s="692">
        <f t="shared" si="30"/>
        <v>86122.62</v>
      </c>
      <c r="AC172" s="692">
        <f t="shared" si="31"/>
        <v>0</v>
      </c>
      <c r="AD172" s="692">
        <f t="shared" si="32"/>
        <v>0</v>
      </c>
      <c r="AE172" s="38"/>
      <c r="AF172" s="692">
        <f t="shared" si="39"/>
        <v>85000</v>
      </c>
      <c r="AG172" s="692">
        <f t="shared" si="40"/>
        <v>0</v>
      </c>
      <c r="AH172" s="692">
        <f t="shared" si="41"/>
        <v>0</v>
      </c>
      <c r="AJ172" s="38">
        <f t="shared" si="43"/>
        <v>171122.62</v>
      </c>
    </row>
    <row r="173" spans="1:36" s="232" customFormat="1">
      <c r="A173" s="403"/>
      <c r="B173" s="403" t="s">
        <v>110</v>
      </c>
      <c r="C173" s="666"/>
      <c r="D173" s="123" t="s">
        <v>856</v>
      </c>
      <c r="E173" s="679">
        <f>6163.45+5436.89</f>
        <v>11600.34</v>
      </c>
      <c r="F173" s="529">
        <f>VLOOKUP(D173,'Nov 2012 Revenue'!D:T,17,FALSE)</f>
        <v>424.43000000000029</v>
      </c>
      <c r="G173" s="680"/>
      <c r="H173" s="680"/>
      <c r="I173" s="755"/>
      <c r="J173" s="682">
        <f t="shared" si="33"/>
        <v>12024.77</v>
      </c>
      <c r="K173" s="683"/>
      <c r="L173" s="684"/>
      <c r="M173" s="753">
        <v>12000</v>
      </c>
      <c r="N173" s="683">
        <v>0</v>
      </c>
      <c r="O173" s="686"/>
      <c r="P173" s="683">
        <v>0</v>
      </c>
      <c r="Q173" s="687">
        <f t="shared" si="29"/>
        <v>12000</v>
      </c>
      <c r="R173" s="688">
        <v>0</v>
      </c>
      <c r="S173" s="693"/>
      <c r="T173" s="690">
        <f t="shared" si="34"/>
        <v>-12000</v>
      </c>
      <c r="U173" s="683"/>
      <c r="V173" s="474">
        <f t="shared" si="35"/>
        <v>12000</v>
      </c>
      <c r="W173" s="474">
        <f t="shared" si="36"/>
        <v>0</v>
      </c>
      <c r="X173" s="475">
        <f t="shared" si="37"/>
        <v>0</v>
      </c>
      <c r="Y173" s="475">
        <v>0</v>
      </c>
      <c r="Z173" s="476">
        <v>0</v>
      </c>
      <c r="AA173" s="38">
        <f t="shared" si="38"/>
        <v>0</v>
      </c>
      <c r="AB173" s="692">
        <f t="shared" si="30"/>
        <v>12024.77</v>
      </c>
      <c r="AC173" s="692">
        <f t="shared" si="31"/>
        <v>0</v>
      </c>
      <c r="AD173" s="692">
        <f t="shared" si="32"/>
        <v>0</v>
      </c>
      <c r="AE173" s="38"/>
      <c r="AF173" s="692">
        <f t="shared" si="39"/>
        <v>12000</v>
      </c>
      <c r="AG173" s="692">
        <f t="shared" si="40"/>
        <v>0</v>
      </c>
      <c r="AH173" s="692">
        <f t="shared" si="41"/>
        <v>0</v>
      </c>
      <c r="AJ173" s="38">
        <f t="shared" si="43"/>
        <v>24024.77</v>
      </c>
    </row>
    <row r="174" spans="1:36" s="232" customFormat="1">
      <c r="A174" s="403"/>
      <c r="B174" s="403" t="s">
        <v>109</v>
      </c>
      <c r="C174" s="666" t="s">
        <v>569</v>
      </c>
      <c r="D174" s="123" t="s">
        <v>468</v>
      </c>
      <c r="E174" s="679"/>
      <c r="F174" s="529">
        <f>VLOOKUP(D174,'Nov 2012 Revenue'!D:T,17,FALSE)</f>
        <v>0</v>
      </c>
      <c r="G174" s="680"/>
      <c r="H174" s="680"/>
      <c r="I174" s="755"/>
      <c r="J174" s="682">
        <f t="shared" si="33"/>
        <v>0</v>
      </c>
      <c r="K174" s="683"/>
      <c r="L174" s="684"/>
      <c r="M174" s="753"/>
      <c r="N174" s="683">
        <v>0</v>
      </c>
      <c r="O174" s="686"/>
      <c r="P174" s="683">
        <v>0</v>
      </c>
      <c r="Q174" s="687">
        <f t="shared" si="29"/>
        <v>0</v>
      </c>
      <c r="R174" s="688">
        <v>0</v>
      </c>
      <c r="S174" s="693"/>
      <c r="T174" s="690">
        <f t="shared" si="34"/>
        <v>0</v>
      </c>
      <c r="U174" s="683"/>
      <c r="V174" s="474">
        <f t="shared" si="35"/>
        <v>0</v>
      </c>
      <c r="W174" s="474">
        <f t="shared" si="36"/>
        <v>0</v>
      </c>
      <c r="X174" s="475">
        <f t="shared" si="37"/>
        <v>0</v>
      </c>
      <c r="Y174" s="475">
        <v>0</v>
      </c>
      <c r="Z174" s="476">
        <v>0</v>
      </c>
      <c r="AA174" s="38">
        <f t="shared" si="38"/>
        <v>0</v>
      </c>
      <c r="AB174" s="692">
        <f t="shared" si="30"/>
        <v>0</v>
      </c>
      <c r="AC174" s="692">
        <f t="shared" si="31"/>
        <v>0</v>
      </c>
      <c r="AD174" s="692">
        <f t="shared" si="32"/>
        <v>0</v>
      </c>
      <c r="AE174" s="38"/>
      <c r="AF174" s="692">
        <f t="shared" si="39"/>
        <v>0</v>
      </c>
      <c r="AG174" s="692">
        <f t="shared" si="40"/>
        <v>0</v>
      </c>
      <c r="AH174" s="692">
        <f t="shared" si="41"/>
        <v>0</v>
      </c>
      <c r="AJ174" s="38">
        <f t="shared" si="43"/>
        <v>0</v>
      </c>
    </row>
    <row r="175" spans="1:36">
      <c r="A175" s="20"/>
      <c r="B175" s="20" t="s">
        <v>110</v>
      </c>
      <c r="C175" s="676" t="s">
        <v>844</v>
      </c>
      <c r="D175" s="68" t="s">
        <v>845</v>
      </c>
      <c r="E175" s="679"/>
      <c r="F175" s="529">
        <f>VLOOKUP(D175,'Nov 2012 Revenue'!D:T,17,FALSE)</f>
        <v>0</v>
      </c>
      <c r="G175" s="680"/>
      <c r="H175" s="680"/>
      <c r="I175" s="755"/>
      <c r="J175" s="682">
        <f t="shared" si="33"/>
        <v>0</v>
      </c>
      <c r="K175" s="683"/>
      <c r="L175" s="684"/>
      <c r="M175" s="753"/>
      <c r="N175" s="683">
        <v>0</v>
      </c>
      <c r="O175" s="686"/>
      <c r="P175" s="683">
        <v>0</v>
      </c>
      <c r="Q175" s="687">
        <f t="shared" si="29"/>
        <v>0</v>
      </c>
      <c r="R175" s="688">
        <v>0</v>
      </c>
      <c r="S175" s="693"/>
      <c r="T175" s="690">
        <f t="shared" si="34"/>
        <v>0</v>
      </c>
      <c r="U175" s="683"/>
      <c r="V175" s="474">
        <f t="shared" si="35"/>
        <v>0</v>
      </c>
      <c r="W175" s="474">
        <f t="shared" si="36"/>
        <v>0</v>
      </c>
      <c r="X175" s="475">
        <f t="shared" si="37"/>
        <v>0</v>
      </c>
      <c r="Y175" s="475">
        <v>0</v>
      </c>
      <c r="Z175" s="476">
        <v>0</v>
      </c>
      <c r="AA175" s="38">
        <f t="shared" si="38"/>
        <v>0</v>
      </c>
      <c r="AB175" s="692">
        <f t="shared" si="30"/>
        <v>0</v>
      </c>
      <c r="AC175" s="692">
        <f t="shared" si="31"/>
        <v>0</v>
      </c>
      <c r="AD175" s="692">
        <f t="shared" si="32"/>
        <v>0</v>
      </c>
      <c r="AE175" s="38"/>
      <c r="AF175" s="692">
        <f t="shared" si="39"/>
        <v>0</v>
      </c>
      <c r="AG175" s="692">
        <f t="shared" si="40"/>
        <v>0</v>
      </c>
      <c r="AH175" s="692">
        <f t="shared" si="41"/>
        <v>0</v>
      </c>
      <c r="AJ175" s="38">
        <f t="shared" si="43"/>
        <v>0</v>
      </c>
    </row>
    <row r="176" spans="1:36">
      <c r="A176" s="20"/>
      <c r="B176" s="20" t="s">
        <v>109</v>
      </c>
      <c r="C176" s="667" t="s">
        <v>570</v>
      </c>
      <c r="D176" s="68" t="s">
        <v>41</v>
      </c>
      <c r="E176" s="679"/>
      <c r="F176" s="529">
        <f>VLOOKUP(D176,'Nov 2012 Revenue'!D:T,17,FALSE)</f>
        <v>0</v>
      </c>
      <c r="G176" s="680"/>
      <c r="H176" s="680"/>
      <c r="I176" s="755"/>
      <c r="J176" s="682">
        <f t="shared" si="33"/>
        <v>0</v>
      </c>
      <c r="K176" s="683"/>
      <c r="L176" s="684"/>
      <c r="M176" s="753"/>
      <c r="N176" s="683">
        <v>0</v>
      </c>
      <c r="O176" s="686"/>
      <c r="P176" s="683">
        <v>0</v>
      </c>
      <c r="Q176" s="687">
        <f t="shared" si="29"/>
        <v>0</v>
      </c>
      <c r="R176" s="688">
        <v>0</v>
      </c>
      <c r="S176" s="693"/>
      <c r="T176" s="690">
        <f t="shared" si="34"/>
        <v>0</v>
      </c>
      <c r="U176" s="683"/>
      <c r="V176" s="474">
        <f t="shared" si="35"/>
        <v>0</v>
      </c>
      <c r="W176" s="474">
        <f t="shared" si="36"/>
        <v>0</v>
      </c>
      <c r="X176" s="475">
        <f t="shared" si="37"/>
        <v>0</v>
      </c>
      <c r="Y176" s="475">
        <v>0</v>
      </c>
      <c r="Z176" s="476">
        <v>0</v>
      </c>
      <c r="AA176" s="38">
        <f t="shared" si="38"/>
        <v>0</v>
      </c>
      <c r="AB176" s="692">
        <f t="shared" si="30"/>
        <v>0</v>
      </c>
      <c r="AC176" s="692">
        <f t="shared" si="31"/>
        <v>0</v>
      </c>
      <c r="AD176" s="692">
        <f t="shared" si="32"/>
        <v>0</v>
      </c>
      <c r="AE176" s="38"/>
      <c r="AF176" s="692">
        <f t="shared" si="39"/>
        <v>0</v>
      </c>
      <c r="AG176" s="692">
        <f t="shared" si="40"/>
        <v>0</v>
      </c>
      <c r="AH176" s="692">
        <f t="shared" si="41"/>
        <v>0</v>
      </c>
      <c r="AJ176" s="38">
        <f t="shared" si="43"/>
        <v>0</v>
      </c>
    </row>
    <row r="177" spans="1:36">
      <c r="A177" s="20"/>
      <c r="B177" s="20" t="s">
        <v>109</v>
      </c>
      <c r="C177" s="667" t="s">
        <v>570</v>
      </c>
      <c r="D177" s="68" t="s">
        <v>221</v>
      </c>
      <c r="E177" s="679"/>
      <c r="F177" s="529">
        <f>VLOOKUP(D177,'Nov 2012 Revenue'!D:T,17,FALSE)</f>
        <v>0</v>
      </c>
      <c r="G177" s="680"/>
      <c r="H177" s="680"/>
      <c r="I177" s="755"/>
      <c r="J177" s="682">
        <f t="shared" si="33"/>
        <v>0</v>
      </c>
      <c r="K177" s="683"/>
      <c r="L177" s="684"/>
      <c r="M177" s="753"/>
      <c r="N177" s="683">
        <v>0</v>
      </c>
      <c r="O177" s="686"/>
      <c r="P177" s="683">
        <v>0</v>
      </c>
      <c r="Q177" s="687">
        <f t="shared" si="29"/>
        <v>0</v>
      </c>
      <c r="R177" s="688">
        <v>0</v>
      </c>
      <c r="S177" s="693"/>
      <c r="T177" s="690">
        <f t="shared" si="34"/>
        <v>0</v>
      </c>
      <c r="U177" s="683"/>
      <c r="V177" s="474">
        <f t="shared" si="35"/>
        <v>0</v>
      </c>
      <c r="W177" s="474">
        <f t="shared" si="36"/>
        <v>0</v>
      </c>
      <c r="X177" s="475">
        <f t="shared" si="37"/>
        <v>0</v>
      </c>
      <c r="Y177" s="475">
        <v>0</v>
      </c>
      <c r="Z177" s="476">
        <v>0</v>
      </c>
      <c r="AA177" s="38">
        <f t="shared" si="38"/>
        <v>0</v>
      </c>
      <c r="AB177" s="692">
        <f t="shared" si="30"/>
        <v>0</v>
      </c>
      <c r="AC177" s="692">
        <f t="shared" si="31"/>
        <v>0</v>
      </c>
      <c r="AD177" s="692">
        <f t="shared" si="32"/>
        <v>0</v>
      </c>
      <c r="AE177" s="38"/>
      <c r="AF177" s="692">
        <f t="shared" si="39"/>
        <v>0</v>
      </c>
      <c r="AG177" s="692">
        <f t="shared" si="40"/>
        <v>0</v>
      </c>
      <c r="AH177" s="692">
        <f t="shared" si="41"/>
        <v>0</v>
      </c>
      <c r="AJ177" s="38">
        <f t="shared" si="43"/>
        <v>0</v>
      </c>
    </row>
    <row r="178" spans="1:36">
      <c r="A178" s="21"/>
      <c r="B178" s="21" t="s">
        <v>110</v>
      </c>
      <c r="C178" s="666"/>
      <c r="D178" s="68" t="s">
        <v>43</v>
      </c>
      <c r="E178" s="679"/>
      <c r="F178" s="529">
        <f>VLOOKUP(D178,'Nov 2012 Revenue'!D:T,17,FALSE)</f>
        <v>312.29000000000002</v>
      </c>
      <c r="G178" s="680"/>
      <c r="H178" s="680"/>
      <c r="I178" s="770">
        <v>360.34</v>
      </c>
      <c r="J178" s="682">
        <f t="shared" si="33"/>
        <v>672.63</v>
      </c>
      <c r="K178" s="683"/>
      <c r="L178" s="684"/>
      <c r="M178" s="753"/>
      <c r="N178" s="683">
        <v>0</v>
      </c>
      <c r="O178" s="686"/>
      <c r="P178" s="683">
        <v>0</v>
      </c>
      <c r="Q178" s="687">
        <f t="shared" si="29"/>
        <v>0</v>
      </c>
      <c r="R178" s="688">
        <v>0</v>
      </c>
      <c r="S178" s="693"/>
      <c r="T178" s="690">
        <f t="shared" si="34"/>
        <v>0</v>
      </c>
      <c r="U178" s="683"/>
      <c r="V178" s="474">
        <f t="shared" si="35"/>
        <v>0</v>
      </c>
      <c r="W178" s="474">
        <f t="shared" si="36"/>
        <v>0</v>
      </c>
      <c r="X178" s="475">
        <f t="shared" si="37"/>
        <v>0</v>
      </c>
      <c r="Y178" s="475">
        <v>0</v>
      </c>
      <c r="Z178" s="476">
        <v>0</v>
      </c>
      <c r="AA178" s="38">
        <f t="shared" si="38"/>
        <v>0</v>
      </c>
      <c r="AB178" s="692">
        <f t="shared" si="30"/>
        <v>672.63</v>
      </c>
      <c r="AC178" s="692">
        <f t="shared" si="31"/>
        <v>0</v>
      </c>
      <c r="AD178" s="692">
        <f t="shared" si="32"/>
        <v>0</v>
      </c>
      <c r="AE178" s="38"/>
      <c r="AF178" s="692">
        <f t="shared" si="39"/>
        <v>0</v>
      </c>
      <c r="AG178" s="692">
        <f t="shared" si="40"/>
        <v>0</v>
      </c>
      <c r="AH178" s="692">
        <f t="shared" si="41"/>
        <v>0</v>
      </c>
      <c r="AJ178" s="38">
        <f t="shared" si="43"/>
        <v>672.63</v>
      </c>
    </row>
    <row r="179" spans="1:36">
      <c r="A179" s="21"/>
      <c r="B179" s="21" t="s">
        <v>109</v>
      </c>
      <c r="C179" s="666" t="s">
        <v>571</v>
      </c>
      <c r="D179" s="68" t="s">
        <v>44</v>
      </c>
      <c r="E179" s="679"/>
      <c r="F179" s="529">
        <f>VLOOKUP(D179,'Nov 2012 Revenue'!D:T,17,FALSE)</f>
        <v>0</v>
      </c>
      <c r="G179" s="680"/>
      <c r="H179" s="680"/>
      <c r="I179" s="770">
        <v>5352</v>
      </c>
      <c r="J179" s="682">
        <f t="shared" si="33"/>
        <v>5352</v>
      </c>
      <c r="K179" s="683"/>
      <c r="L179" s="684"/>
      <c r="M179" s="753"/>
      <c r="N179" s="683">
        <v>0</v>
      </c>
      <c r="O179" s="686"/>
      <c r="P179" s="683">
        <v>0</v>
      </c>
      <c r="Q179" s="687">
        <f t="shared" si="29"/>
        <v>0</v>
      </c>
      <c r="R179" s="688">
        <v>0</v>
      </c>
      <c r="S179" s="693"/>
      <c r="T179" s="690">
        <f t="shared" si="34"/>
        <v>0</v>
      </c>
      <c r="U179" s="683"/>
      <c r="V179" s="474">
        <f t="shared" si="35"/>
        <v>0</v>
      </c>
      <c r="W179" s="474">
        <f t="shared" si="36"/>
        <v>0</v>
      </c>
      <c r="X179" s="475">
        <f t="shared" si="37"/>
        <v>0</v>
      </c>
      <c r="Y179" s="475">
        <v>0</v>
      </c>
      <c r="Z179" s="476">
        <v>0</v>
      </c>
      <c r="AA179" s="38">
        <f t="shared" si="38"/>
        <v>0</v>
      </c>
      <c r="AB179" s="692">
        <f t="shared" si="30"/>
        <v>0</v>
      </c>
      <c r="AC179" s="692">
        <f t="shared" si="31"/>
        <v>5352</v>
      </c>
      <c r="AD179" s="692">
        <f t="shared" si="32"/>
        <v>0</v>
      </c>
      <c r="AE179" s="38"/>
      <c r="AF179" s="692">
        <f t="shared" si="39"/>
        <v>0</v>
      </c>
      <c r="AG179" s="692">
        <f t="shared" si="40"/>
        <v>0</v>
      </c>
      <c r="AH179" s="692">
        <f t="shared" si="41"/>
        <v>0</v>
      </c>
      <c r="AJ179" s="38">
        <f t="shared" si="43"/>
        <v>5352</v>
      </c>
    </row>
    <row r="180" spans="1:36">
      <c r="A180" s="21"/>
      <c r="B180" s="21" t="s">
        <v>114</v>
      </c>
      <c r="C180" s="666" t="s">
        <v>571</v>
      </c>
      <c r="D180" s="68" t="s">
        <v>44</v>
      </c>
      <c r="E180" s="679"/>
      <c r="F180" s="529">
        <f>VLOOKUP(D180,'Nov 2012 Revenue'!D:T,17,FALSE)</f>
        <v>0</v>
      </c>
      <c r="G180" s="680"/>
      <c r="H180" s="680"/>
      <c r="I180" s="755"/>
      <c r="J180" s="682">
        <f t="shared" si="33"/>
        <v>0</v>
      </c>
      <c r="K180" s="683"/>
      <c r="L180" s="684"/>
      <c r="M180" s="753"/>
      <c r="N180" s="683">
        <v>0</v>
      </c>
      <c r="O180" s="686"/>
      <c r="P180" s="683">
        <v>0</v>
      </c>
      <c r="Q180" s="687">
        <f t="shared" si="29"/>
        <v>0</v>
      </c>
      <c r="R180" s="688">
        <v>0</v>
      </c>
      <c r="S180" s="693"/>
      <c r="T180" s="690">
        <f t="shared" si="34"/>
        <v>0</v>
      </c>
      <c r="U180" s="683"/>
      <c r="V180" s="474">
        <f t="shared" si="35"/>
        <v>0</v>
      </c>
      <c r="W180" s="474">
        <f t="shared" si="36"/>
        <v>0</v>
      </c>
      <c r="X180" s="475">
        <f t="shared" si="37"/>
        <v>0</v>
      </c>
      <c r="Y180" s="475">
        <v>0</v>
      </c>
      <c r="Z180" s="476">
        <v>0</v>
      </c>
      <c r="AA180" s="38">
        <f t="shared" si="38"/>
        <v>0</v>
      </c>
      <c r="AB180" s="692">
        <f t="shared" si="30"/>
        <v>0</v>
      </c>
      <c r="AC180" s="692">
        <f t="shared" si="31"/>
        <v>0</v>
      </c>
      <c r="AD180" s="692">
        <f t="shared" si="32"/>
        <v>0</v>
      </c>
      <c r="AE180" s="38"/>
      <c r="AF180" s="692">
        <f t="shared" si="39"/>
        <v>0</v>
      </c>
      <c r="AG180" s="692">
        <f t="shared" si="40"/>
        <v>0</v>
      </c>
      <c r="AH180" s="692">
        <f t="shared" si="41"/>
        <v>0</v>
      </c>
      <c r="AJ180" s="38">
        <f t="shared" si="43"/>
        <v>0</v>
      </c>
    </row>
    <row r="181" spans="1:36">
      <c r="A181" s="21"/>
      <c r="B181" s="21" t="s">
        <v>110</v>
      </c>
      <c r="C181" s="666" t="s">
        <v>572</v>
      </c>
      <c r="D181" s="68" t="s">
        <v>388</v>
      </c>
      <c r="E181" s="679">
        <f>11164.71+10269.39</f>
        <v>21434.1</v>
      </c>
      <c r="F181" s="529">
        <f>VLOOKUP(D181,'Nov 2012 Revenue'!D:T,17,FALSE)</f>
        <v>-35495.129999999997</v>
      </c>
      <c r="G181" s="680"/>
      <c r="H181" s="680"/>
      <c r="I181" s="770">
        <v>7966.53</v>
      </c>
      <c r="J181" s="682">
        <f t="shared" si="33"/>
        <v>-6094.4999999999991</v>
      </c>
      <c r="K181" s="683"/>
      <c r="L181" s="684"/>
      <c r="M181" s="753"/>
      <c r="N181" s="683">
        <v>0</v>
      </c>
      <c r="O181" s="686"/>
      <c r="P181" s="683">
        <v>0</v>
      </c>
      <c r="Q181" s="687">
        <f t="shared" si="29"/>
        <v>0</v>
      </c>
      <c r="R181" s="688">
        <v>0</v>
      </c>
      <c r="S181" s="693"/>
      <c r="T181" s="690">
        <f t="shared" si="34"/>
        <v>0</v>
      </c>
      <c r="U181" s="683"/>
      <c r="V181" s="474">
        <f t="shared" si="35"/>
        <v>0</v>
      </c>
      <c r="W181" s="474">
        <f t="shared" si="36"/>
        <v>0</v>
      </c>
      <c r="X181" s="475">
        <f t="shared" si="37"/>
        <v>0</v>
      </c>
      <c r="Y181" s="475">
        <v>0</v>
      </c>
      <c r="Z181" s="476">
        <v>0</v>
      </c>
      <c r="AA181" s="38">
        <f t="shared" si="38"/>
        <v>0</v>
      </c>
      <c r="AB181" s="692">
        <f t="shared" si="30"/>
        <v>-6094.4999999999991</v>
      </c>
      <c r="AC181" s="692">
        <f t="shared" si="31"/>
        <v>0</v>
      </c>
      <c r="AD181" s="692">
        <f t="shared" si="32"/>
        <v>0</v>
      </c>
      <c r="AE181" s="38"/>
      <c r="AF181" s="692">
        <f t="shared" si="39"/>
        <v>0</v>
      </c>
      <c r="AG181" s="692">
        <f t="shared" si="40"/>
        <v>0</v>
      </c>
      <c r="AH181" s="692">
        <f t="shared" si="41"/>
        <v>0</v>
      </c>
      <c r="AJ181" s="38">
        <f t="shared" si="43"/>
        <v>-6094.4999999999991</v>
      </c>
    </row>
    <row r="182" spans="1:36">
      <c r="A182" s="20"/>
      <c r="B182" s="20" t="s">
        <v>109</v>
      </c>
      <c r="C182" s="667"/>
      <c r="D182" s="68" t="s">
        <v>842</v>
      </c>
      <c r="E182" s="679"/>
      <c r="F182" s="529">
        <f>VLOOKUP(D182,'Nov 2012 Revenue'!D:T,17,FALSE)</f>
        <v>-20000</v>
      </c>
      <c r="G182" s="680"/>
      <c r="H182" s="680"/>
      <c r="I182" s="755"/>
      <c r="J182" s="682">
        <f t="shared" si="33"/>
        <v>-20000</v>
      </c>
      <c r="K182" s="683"/>
      <c r="L182" s="684"/>
      <c r="M182" s="753">
        <v>30000</v>
      </c>
      <c r="N182" s="683">
        <v>0</v>
      </c>
      <c r="O182" s="686"/>
      <c r="P182" s="683">
        <v>0</v>
      </c>
      <c r="Q182" s="687">
        <f t="shared" si="29"/>
        <v>30000</v>
      </c>
      <c r="R182" s="688">
        <v>0</v>
      </c>
      <c r="S182" s="693"/>
      <c r="T182" s="690">
        <f t="shared" si="34"/>
        <v>-30000</v>
      </c>
      <c r="U182" s="683"/>
      <c r="V182" s="474">
        <f t="shared" si="35"/>
        <v>0</v>
      </c>
      <c r="W182" s="474">
        <f t="shared" si="36"/>
        <v>30000</v>
      </c>
      <c r="X182" s="475">
        <f t="shared" si="37"/>
        <v>0</v>
      </c>
      <c r="Y182" s="475">
        <v>0</v>
      </c>
      <c r="Z182" s="476">
        <v>0</v>
      </c>
      <c r="AA182" s="38">
        <f t="shared" si="38"/>
        <v>0</v>
      </c>
      <c r="AB182" s="692">
        <f t="shared" si="30"/>
        <v>0</v>
      </c>
      <c r="AC182" s="692">
        <f t="shared" si="31"/>
        <v>-20000</v>
      </c>
      <c r="AD182" s="692">
        <f t="shared" si="32"/>
        <v>0</v>
      </c>
      <c r="AE182" s="38"/>
      <c r="AF182" s="692">
        <f t="shared" si="39"/>
        <v>0</v>
      </c>
      <c r="AG182" s="692">
        <f t="shared" si="40"/>
        <v>30000</v>
      </c>
      <c r="AH182" s="692">
        <f t="shared" si="41"/>
        <v>0</v>
      </c>
      <c r="AJ182" s="38">
        <f t="shared" si="43"/>
        <v>10000</v>
      </c>
    </row>
    <row r="183" spans="1:36">
      <c r="A183" s="21"/>
      <c r="B183" s="21" t="s">
        <v>110</v>
      </c>
      <c r="C183" s="666"/>
      <c r="D183" s="68" t="s">
        <v>45</v>
      </c>
      <c r="E183" s="679"/>
      <c r="F183" s="529">
        <f>VLOOKUP(D183,'Nov 2012 Revenue'!D:T,17,FALSE)</f>
        <v>3179.6000000000022</v>
      </c>
      <c r="G183" s="680"/>
      <c r="H183" s="680"/>
      <c r="I183" s="755"/>
      <c r="J183" s="682">
        <f t="shared" si="33"/>
        <v>3179.6000000000022</v>
      </c>
      <c r="K183" s="683"/>
      <c r="L183" s="684"/>
      <c r="M183" s="753">
        <v>15000</v>
      </c>
      <c r="N183" s="683">
        <v>0</v>
      </c>
      <c r="O183" s="686"/>
      <c r="P183" s="683">
        <v>0</v>
      </c>
      <c r="Q183" s="687">
        <f t="shared" si="29"/>
        <v>15000</v>
      </c>
      <c r="R183" s="688">
        <f>1091.37+18559.13</f>
        <v>19650.5</v>
      </c>
      <c r="S183" s="693"/>
      <c r="T183" s="690">
        <f t="shared" si="34"/>
        <v>4650.5</v>
      </c>
      <c r="U183" s="683"/>
      <c r="V183" s="474">
        <f t="shared" si="35"/>
        <v>15000</v>
      </c>
      <c r="W183" s="474">
        <f t="shared" si="36"/>
        <v>0</v>
      </c>
      <c r="X183" s="475">
        <f t="shared" si="37"/>
        <v>0</v>
      </c>
      <c r="Y183" s="475">
        <v>0</v>
      </c>
      <c r="Z183" s="476">
        <v>0</v>
      </c>
      <c r="AA183" s="38">
        <f t="shared" si="38"/>
        <v>0</v>
      </c>
      <c r="AB183" s="692">
        <f t="shared" si="30"/>
        <v>3179.6000000000022</v>
      </c>
      <c r="AC183" s="692">
        <f t="shared" si="31"/>
        <v>0</v>
      </c>
      <c r="AD183" s="692">
        <f t="shared" si="32"/>
        <v>0</v>
      </c>
      <c r="AE183" s="38"/>
      <c r="AF183" s="692">
        <f t="shared" si="39"/>
        <v>15000</v>
      </c>
      <c r="AG183" s="692">
        <f t="shared" si="40"/>
        <v>0</v>
      </c>
      <c r="AH183" s="692">
        <f t="shared" si="41"/>
        <v>0</v>
      </c>
      <c r="AJ183" s="38">
        <f t="shared" si="43"/>
        <v>18179.600000000002</v>
      </c>
    </row>
    <row r="184" spans="1:36">
      <c r="A184" s="20" t="s">
        <v>211</v>
      </c>
      <c r="B184" s="20" t="s">
        <v>110</v>
      </c>
      <c r="C184" s="667"/>
      <c r="D184" s="68" t="s">
        <v>503</v>
      </c>
      <c r="E184" s="679"/>
      <c r="F184" s="529">
        <f>VLOOKUP(D184,'Nov 2012 Revenue'!D:T,17,FALSE)</f>
        <v>0</v>
      </c>
      <c r="G184" s="680"/>
      <c r="H184" s="680"/>
      <c r="I184" s="755"/>
      <c r="J184" s="682">
        <f t="shared" si="33"/>
        <v>0</v>
      </c>
      <c r="K184" s="683"/>
      <c r="L184" s="684"/>
      <c r="M184" s="753"/>
      <c r="N184" s="683">
        <v>0</v>
      </c>
      <c r="O184" s="686"/>
      <c r="P184" s="683">
        <v>0</v>
      </c>
      <c r="Q184" s="687">
        <f t="shared" si="29"/>
        <v>0</v>
      </c>
      <c r="R184" s="688">
        <v>0</v>
      </c>
      <c r="S184" s="693"/>
      <c r="T184" s="690">
        <f t="shared" si="34"/>
        <v>0</v>
      </c>
      <c r="U184" s="697"/>
      <c r="V184" s="474">
        <f t="shared" si="35"/>
        <v>0</v>
      </c>
      <c r="W184" s="474">
        <f t="shared" si="36"/>
        <v>0</v>
      </c>
      <c r="X184" s="475">
        <f t="shared" si="37"/>
        <v>0</v>
      </c>
      <c r="Y184" s="475">
        <v>0</v>
      </c>
      <c r="Z184" s="476">
        <v>0</v>
      </c>
      <c r="AA184" s="38">
        <f t="shared" si="38"/>
        <v>0</v>
      </c>
      <c r="AB184" s="692">
        <f t="shared" si="30"/>
        <v>0</v>
      </c>
      <c r="AC184" s="692">
        <f t="shared" si="31"/>
        <v>0</v>
      </c>
      <c r="AD184" s="692">
        <f t="shared" si="32"/>
        <v>0</v>
      </c>
      <c r="AE184" s="38"/>
      <c r="AF184" s="692">
        <f t="shared" si="39"/>
        <v>0</v>
      </c>
      <c r="AG184" s="692">
        <f t="shared" si="40"/>
        <v>0</v>
      </c>
      <c r="AH184" s="692">
        <f t="shared" si="41"/>
        <v>0</v>
      </c>
      <c r="AJ184" s="38">
        <f t="shared" si="43"/>
        <v>0</v>
      </c>
    </row>
    <row r="185" spans="1:36">
      <c r="A185" s="20"/>
      <c r="B185" s="20" t="s">
        <v>110</v>
      </c>
      <c r="C185" s="667" t="s">
        <v>573</v>
      </c>
      <c r="D185" s="68" t="s">
        <v>102</v>
      </c>
      <c r="E185" s="679"/>
      <c r="F185" s="529">
        <f>VLOOKUP(D185,'Nov 2012 Revenue'!D:T,17,FALSE)</f>
        <v>36858.719999999972</v>
      </c>
      <c r="G185" s="680"/>
      <c r="H185" s="680"/>
      <c r="I185" s="755"/>
      <c r="J185" s="682">
        <f t="shared" si="33"/>
        <v>36858.719999999972</v>
      </c>
      <c r="K185" s="683"/>
      <c r="L185" s="684"/>
      <c r="M185" s="753">
        <v>965000</v>
      </c>
      <c r="N185" s="683">
        <v>0</v>
      </c>
      <c r="O185" s="686"/>
      <c r="P185" s="683">
        <v>0</v>
      </c>
      <c r="Q185" s="687">
        <f t="shared" si="29"/>
        <v>965000</v>
      </c>
      <c r="R185" s="688">
        <v>1077037.92</v>
      </c>
      <c r="S185" s="693"/>
      <c r="T185" s="690">
        <f t="shared" si="34"/>
        <v>112037.91999999993</v>
      </c>
      <c r="U185" s="697"/>
      <c r="V185" s="474">
        <f t="shared" si="35"/>
        <v>965000</v>
      </c>
      <c r="W185" s="474">
        <f t="shared" si="36"/>
        <v>0</v>
      </c>
      <c r="X185" s="475">
        <f t="shared" si="37"/>
        <v>0</v>
      </c>
      <c r="Y185" s="475">
        <v>0</v>
      </c>
      <c r="Z185" s="476">
        <v>0</v>
      </c>
      <c r="AA185" s="38">
        <f t="shared" si="38"/>
        <v>0</v>
      </c>
      <c r="AB185" s="692">
        <f t="shared" si="30"/>
        <v>36858.719999999972</v>
      </c>
      <c r="AC185" s="692">
        <f t="shared" si="31"/>
        <v>0</v>
      </c>
      <c r="AD185" s="692">
        <f t="shared" si="32"/>
        <v>0</v>
      </c>
      <c r="AE185" s="38"/>
      <c r="AF185" s="692">
        <f t="shared" si="39"/>
        <v>965000</v>
      </c>
      <c r="AG185" s="692">
        <f t="shared" si="40"/>
        <v>0</v>
      </c>
      <c r="AH185" s="692">
        <f t="shared" si="41"/>
        <v>0</v>
      </c>
      <c r="AJ185" s="38">
        <f t="shared" si="43"/>
        <v>1001858.72</v>
      </c>
    </row>
    <row r="186" spans="1:36">
      <c r="A186" s="20"/>
      <c r="B186" s="20" t="s">
        <v>110</v>
      </c>
      <c r="C186" s="667" t="s">
        <v>573</v>
      </c>
      <c r="D186" s="68" t="s">
        <v>511</v>
      </c>
      <c r="E186" s="679"/>
      <c r="F186" s="529">
        <f>VLOOKUP(D186,'Nov 2012 Revenue'!D:T,17,FALSE)</f>
        <v>2709.1100000000006</v>
      </c>
      <c r="G186" s="680"/>
      <c r="H186" s="680"/>
      <c r="I186" s="755"/>
      <c r="J186" s="682">
        <f t="shared" si="33"/>
        <v>2709.1100000000006</v>
      </c>
      <c r="K186" s="683"/>
      <c r="L186" s="684"/>
      <c r="M186" s="753">
        <v>25000</v>
      </c>
      <c r="N186" s="683">
        <v>0</v>
      </c>
      <c r="O186" s="686"/>
      <c r="P186" s="683">
        <v>0</v>
      </c>
      <c r="Q186" s="687">
        <f t="shared" si="29"/>
        <v>25000</v>
      </c>
      <c r="R186" s="688">
        <v>18797.14</v>
      </c>
      <c r="S186" s="693"/>
      <c r="T186" s="690">
        <f t="shared" si="34"/>
        <v>-6202.8600000000006</v>
      </c>
      <c r="U186" s="697"/>
      <c r="V186" s="474">
        <f t="shared" si="35"/>
        <v>25000</v>
      </c>
      <c r="W186" s="474">
        <f t="shared" si="36"/>
        <v>0</v>
      </c>
      <c r="X186" s="475">
        <f t="shared" si="37"/>
        <v>0</v>
      </c>
      <c r="Y186" s="475">
        <v>0</v>
      </c>
      <c r="Z186" s="476">
        <v>0</v>
      </c>
      <c r="AA186" s="38">
        <f t="shared" si="38"/>
        <v>0</v>
      </c>
      <c r="AB186" s="692">
        <f t="shared" si="30"/>
        <v>2709.1100000000006</v>
      </c>
      <c r="AC186" s="692">
        <f t="shared" si="31"/>
        <v>0</v>
      </c>
      <c r="AD186" s="692">
        <f t="shared" si="32"/>
        <v>0</v>
      </c>
      <c r="AE186" s="38"/>
      <c r="AF186" s="692">
        <f t="shared" si="39"/>
        <v>25000</v>
      </c>
      <c r="AG186" s="692">
        <f t="shared" si="40"/>
        <v>0</v>
      </c>
      <c r="AH186" s="692">
        <f t="shared" si="41"/>
        <v>0</v>
      </c>
      <c r="AJ186" s="38">
        <f t="shared" si="43"/>
        <v>27709.11</v>
      </c>
    </row>
    <row r="187" spans="1:36">
      <c r="A187" s="21"/>
      <c r="B187" s="21" t="s">
        <v>110</v>
      </c>
      <c r="C187" s="666"/>
      <c r="D187" s="68" t="s">
        <v>50</v>
      </c>
      <c r="E187" s="679"/>
      <c r="F187" s="529">
        <f>VLOOKUP(D187,'Nov 2012 Revenue'!D:T,17,FALSE)</f>
        <v>0</v>
      </c>
      <c r="G187" s="680"/>
      <c r="H187" s="680"/>
      <c r="I187" s="770">
        <v>801.97</v>
      </c>
      <c r="J187" s="682">
        <f t="shared" si="33"/>
        <v>801.97</v>
      </c>
      <c r="K187" s="683"/>
      <c r="L187" s="684"/>
      <c r="M187" s="753"/>
      <c r="N187" s="683">
        <v>0</v>
      </c>
      <c r="O187" s="686"/>
      <c r="P187" s="683">
        <v>0</v>
      </c>
      <c r="Q187" s="687">
        <f t="shared" si="29"/>
        <v>0</v>
      </c>
      <c r="R187" s="688">
        <v>0</v>
      </c>
      <c r="S187" s="693"/>
      <c r="T187" s="690">
        <f t="shared" si="34"/>
        <v>0</v>
      </c>
      <c r="U187" s="683"/>
      <c r="V187" s="474">
        <f t="shared" si="35"/>
        <v>0</v>
      </c>
      <c r="W187" s="474">
        <f t="shared" si="36"/>
        <v>0</v>
      </c>
      <c r="X187" s="475">
        <f t="shared" si="37"/>
        <v>0</v>
      </c>
      <c r="Y187" s="475">
        <v>0</v>
      </c>
      <c r="Z187" s="476">
        <v>0</v>
      </c>
      <c r="AA187" s="38">
        <f t="shared" si="38"/>
        <v>0</v>
      </c>
      <c r="AB187" s="692">
        <f t="shared" si="30"/>
        <v>801.97</v>
      </c>
      <c r="AC187" s="692">
        <f t="shared" si="31"/>
        <v>0</v>
      </c>
      <c r="AD187" s="692">
        <f t="shared" si="32"/>
        <v>0</v>
      </c>
      <c r="AE187" s="38"/>
      <c r="AF187" s="692">
        <f t="shared" si="39"/>
        <v>0</v>
      </c>
      <c r="AG187" s="692">
        <f t="shared" si="40"/>
        <v>0</v>
      </c>
      <c r="AH187" s="692">
        <f t="shared" si="41"/>
        <v>0</v>
      </c>
      <c r="AJ187" s="38">
        <f t="shared" si="43"/>
        <v>801.97</v>
      </c>
    </row>
    <row r="188" spans="1:36">
      <c r="A188" s="21"/>
      <c r="B188" s="21" t="s">
        <v>109</v>
      </c>
      <c r="C188" s="666"/>
      <c r="D188" s="68" t="s">
        <v>51</v>
      </c>
      <c r="E188" s="679"/>
      <c r="F188" s="529">
        <f>VLOOKUP(D188,'Nov 2012 Revenue'!D:T,17,FALSE)</f>
        <v>0</v>
      </c>
      <c r="G188" s="680"/>
      <c r="H188" s="680"/>
      <c r="I188" s="755"/>
      <c r="J188" s="682">
        <f t="shared" si="33"/>
        <v>0</v>
      </c>
      <c r="K188" s="683"/>
      <c r="L188" s="684"/>
      <c r="M188" s="753"/>
      <c r="N188" s="683">
        <v>0</v>
      </c>
      <c r="O188" s="686"/>
      <c r="P188" s="683">
        <v>0</v>
      </c>
      <c r="Q188" s="687">
        <f t="shared" si="29"/>
        <v>0</v>
      </c>
      <c r="R188" s="688">
        <v>0</v>
      </c>
      <c r="S188" s="693"/>
      <c r="T188" s="690">
        <f t="shared" si="34"/>
        <v>0</v>
      </c>
      <c r="U188" s="683"/>
      <c r="V188" s="474">
        <f t="shared" si="35"/>
        <v>0</v>
      </c>
      <c r="W188" s="474">
        <f t="shared" si="36"/>
        <v>0</v>
      </c>
      <c r="X188" s="475">
        <f t="shared" si="37"/>
        <v>0</v>
      </c>
      <c r="Y188" s="475">
        <v>0</v>
      </c>
      <c r="Z188" s="476">
        <v>0</v>
      </c>
      <c r="AA188" s="38">
        <f t="shared" si="38"/>
        <v>0</v>
      </c>
      <c r="AB188" s="692">
        <f t="shared" si="30"/>
        <v>0</v>
      </c>
      <c r="AC188" s="692">
        <f t="shared" si="31"/>
        <v>0</v>
      </c>
      <c r="AD188" s="692">
        <f t="shared" si="32"/>
        <v>0</v>
      </c>
      <c r="AE188" s="38"/>
      <c r="AF188" s="692">
        <f t="shared" si="39"/>
        <v>0</v>
      </c>
      <c r="AG188" s="692">
        <f t="shared" si="40"/>
        <v>0</v>
      </c>
      <c r="AH188" s="692">
        <f t="shared" si="41"/>
        <v>0</v>
      </c>
      <c r="AJ188" s="38">
        <f t="shared" si="43"/>
        <v>0</v>
      </c>
    </row>
    <row r="189" spans="1:36">
      <c r="A189" s="21"/>
      <c r="B189" s="21" t="s">
        <v>109</v>
      </c>
      <c r="C189" s="666"/>
      <c r="D189" s="68" t="s">
        <v>107</v>
      </c>
      <c r="E189" s="679">
        <f>958.84+6123.07</f>
        <v>7081.91</v>
      </c>
      <c r="F189" s="529">
        <f>VLOOKUP(D189,'Nov 2012 Revenue'!D:T,17,FALSE)</f>
        <v>0</v>
      </c>
      <c r="G189" s="680"/>
      <c r="H189" s="680"/>
      <c r="I189" s="755"/>
      <c r="J189" s="682">
        <f t="shared" si="33"/>
        <v>7081.91</v>
      </c>
      <c r="K189" s="683"/>
      <c r="L189" s="684"/>
      <c r="M189" s="753">
        <v>5000</v>
      </c>
      <c r="N189" s="683">
        <v>0</v>
      </c>
      <c r="O189" s="686"/>
      <c r="P189" s="683">
        <v>0</v>
      </c>
      <c r="Q189" s="687">
        <f t="shared" si="29"/>
        <v>5000</v>
      </c>
      <c r="R189" s="688">
        <v>0</v>
      </c>
      <c r="S189" s="693"/>
      <c r="T189" s="690">
        <f t="shared" si="34"/>
        <v>-5000</v>
      </c>
      <c r="U189" s="683"/>
      <c r="V189" s="474">
        <f t="shared" si="35"/>
        <v>0</v>
      </c>
      <c r="W189" s="474">
        <f t="shared" si="36"/>
        <v>5000</v>
      </c>
      <c r="X189" s="475">
        <f t="shared" si="37"/>
        <v>0</v>
      </c>
      <c r="Y189" s="475">
        <v>0</v>
      </c>
      <c r="Z189" s="476">
        <v>0</v>
      </c>
      <c r="AA189" s="38">
        <f t="shared" si="38"/>
        <v>0</v>
      </c>
      <c r="AB189" s="692">
        <f t="shared" si="30"/>
        <v>0</v>
      </c>
      <c r="AC189" s="692">
        <f t="shared" si="31"/>
        <v>7081.91</v>
      </c>
      <c r="AD189" s="692">
        <f t="shared" si="32"/>
        <v>0</v>
      </c>
      <c r="AE189" s="38"/>
      <c r="AF189" s="692">
        <f t="shared" si="39"/>
        <v>0</v>
      </c>
      <c r="AG189" s="692">
        <f t="shared" si="40"/>
        <v>5000</v>
      </c>
      <c r="AH189" s="692">
        <f t="shared" si="41"/>
        <v>0</v>
      </c>
      <c r="AJ189" s="38">
        <f t="shared" si="43"/>
        <v>12081.91</v>
      </c>
    </row>
    <row r="190" spans="1:36">
      <c r="A190" s="21"/>
      <c r="B190" s="21" t="s">
        <v>109</v>
      </c>
      <c r="C190" s="666"/>
      <c r="D190" s="68" t="s">
        <v>467</v>
      </c>
      <c r="E190" s="679"/>
      <c r="F190" s="529">
        <f>VLOOKUP(D190,'Nov 2012 Revenue'!D:T,17,FALSE)</f>
        <v>0</v>
      </c>
      <c r="G190" s="680"/>
      <c r="H190" s="680"/>
      <c r="I190" s="755"/>
      <c r="J190" s="682">
        <f t="shared" si="33"/>
        <v>0</v>
      </c>
      <c r="K190" s="683"/>
      <c r="L190" s="684"/>
      <c r="M190" s="753"/>
      <c r="N190" s="683">
        <v>0</v>
      </c>
      <c r="O190" s="686"/>
      <c r="P190" s="683">
        <v>0</v>
      </c>
      <c r="Q190" s="687">
        <f t="shared" si="29"/>
        <v>0</v>
      </c>
      <c r="R190" s="688">
        <v>0</v>
      </c>
      <c r="S190" s="693"/>
      <c r="T190" s="690">
        <f t="shared" si="34"/>
        <v>0</v>
      </c>
      <c r="U190" s="683"/>
      <c r="V190" s="474">
        <f t="shared" si="35"/>
        <v>0</v>
      </c>
      <c r="W190" s="474">
        <f t="shared" si="36"/>
        <v>0</v>
      </c>
      <c r="X190" s="475">
        <f t="shared" si="37"/>
        <v>0</v>
      </c>
      <c r="Y190" s="475">
        <v>0</v>
      </c>
      <c r="Z190" s="476">
        <v>0</v>
      </c>
      <c r="AA190" s="38">
        <f t="shared" si="38"/>
        <v>0</v>
      </c>
      <c r="AB190" s="692">
        <f t="shared" si="30"/>
        <v>0</v>
      </c>
      <c r="AC190" s="692">
        <f t="shared" si="31"/>
        <v>0</v>
      </c>
      <c r="AD190" s="692">
        <f t="shared" si="32"/>
        <v>0</v>
      </c>
      <c r="AE190" s="38"/>
      <c r="AF190" s="692">
        <f t="shared" si="39"/>
        <v>0</v>
      </c>
      <c r="AG190" s="692">
        <f t="shared" si="40"/>
        <v>0</v>
      </c>
      <c r="AH190" s="692">
        <f t="shared" si="41"/>
        <v>0</v>
      </c>
      <c r="AJ190" s="38">
        <f t="shared" si="43"/>
        <v>0</v>
      </c>
    </row>
    <row r="191" spans="1:36">
      <c r="A191" s="21"/>
      <c r="B191" s="21" t="s">
        <v>109</v>
      </c>
      <c r="C191" s="666" t="s">
        <v>575</v>
      </c>
      <c r="D191" s="68" t="s">
        <v>54</v>
      </c>
      <c r="E191" s="679">
        <v>146.77000000000001</v>
      </c>
      <c r="F191" s="529">
        <f>VLOOKUP(D191,'Nov 2012 Revenue'!D:T,17,FALSE)</f>
        <v>0</v>
      </c>
      <c r="G191" s="680"/>
      <c r="H191" s="680"/>
      <c r="I191" s="755"/>
      <c r="J191" s="682">
        <f t="shared" si="33"/>
        <v>146.77000000000001</v>
      </c>
      <c r="K191" s="683"/>
      <c r="L191" s="684"/>
      <c r="M191" s="753"/>
      <c r="N191" s="683">
        <v>0</v>
      </c>
      <c r="O191" s="686"/>
      <c r="P191" s="683">
        <v>0</v>
      </c>
      <c r="Q191" s="687">
        <f t="shared" si="29"/>
        <v>0</v>
      </c>
      <c r="R191" s="688">
        <v>0</v>
      </c>
      <c r="S191" s="693"/>
      <c r="T191" s="690">
        <f t="shared" si="34"/>
        <v>0</v>
      </c>
      <c r="U191" s="683"/>
      <c r="V191" s="474">
        <f t="shared" si="35"/>
        <v>0</v>
      </c>
      <c r="W191" s="474">
        <f t="shared" si="36"/>
        <v>0</v>
      </c>
      <c r="X191" s="475">
        <f t="shared" si="37"/>
        <v>0</v>
      </c>
      <c r="Y191" s="475">
        <v>0</v>
      </c>
      <c r="Z191" s="476">
        <v>0</v>
      </c>
      <c r="AA191" s="38">
        <f t="shared" si="38"/>
        <v>0</v>
      </c>
      <c r="AB191" s="692">
        <f t="shared" si="30"/>
        <v>0</v>
      </c>
      <c r="AC191" s="692">
        <f t="shared" si="31"/>
        <v>146.77000000000001</v>
      </c>
      <c r="AD191" s="692">
        <f t="shared" si="32"/>
        <v>0</v>
      </c>
      <c r="AE191" s="38"/>
      <c r="AF191" s="692">
        <f t="shared" si="39"/>
        <v>0</v>
      </c>
      <c r="AG191" s="692">
        <f t="shared" si="40"/>
        <v>0</v>
      </c>
      <c r="AH191" s="692">
        <f t="shared" si="41"/>
        <v>0</v>
      </c>
      <c r="AJ191" s="38">
        <f t="shared" si="43"/>
        <v>146.77000000000001</v>
      </c>
    </row>
    <row r="192" spans="1:36">
      <c r="A192" s="20"/>
      <c r="B192" s="20" t="s">
        <v>110</v>
      </c>
      <c r="C192" s="667" t="s">
        <v>576</v>
      </c>
      <c r="D192" s="68" t="s">
        <v>394</v>
      </c>
      <c r="E192" s="679"/>
      <c r="F192" s="529">
        <f>VLOOKUP(D192,'Nov 2012 Revenue'!D:T,17,FALSE)</f>
        <v>0</v>
      </c>
      <c r="G192" s="680"/>
      <c r="H192" s="680"/>
      <c r="I192" s="755"/>
      <c r="J192" s="682">
        <f t="shared" si="33"/>
        <v>0</v>
      </c>
      <c r="K192" s="683"/>
      <c r="L192" s="684"/>
      <c r="M192" s="753"/>
      <c r="N192" s="683">
        <v>0</v>
      </c>
      <c r="O192" s="686"/>
      <c r="P192" s="683">
        <v>0</v>
      </c>
      <c r="Q192" s="687">
        <f t="shared" si="29"/>
        <v>0</v>
      </c>
      <c r="R192" s="688">
        <v>0</v>
      </c>
      <c r="S192" s="693"/>
      <c r="T192" s="690">
        <f t="shared" si="34"/>
        <v>0</v>
      </c>
      <c r="U192" s="683"/>
      <c r="V192" s="474">
        <f t="shared" si="35"/>
        <v>0</v>
      </c>
      <c r="W192" s="474">
        <f t="shared" si="36"/>
        <v>0</v>
      </c>
      <c r="X192" s="475">
        <f t="shared" si="37"/>
        <v>0</v>
      </c>
      <c r="Y192" s="475">
        <v>0</v>
      </c>
      <c r="Z192" s="476">
        <v>0</v>
      </c>
      <c r="AA192" s="38">
        <f t="shared" si="38"/>
        <v>0</v>
      </c>
      <c r="AB192" s="692">
        <f t="shared" si="30"/>
        <v>0</v>
      </c>
      <c r="AC192" s="692">
        <f t="shared" si="31"/>
        <v>0</v>
      </c>
      <c r="AD192" s="692">
        <f t="shared" si="32"/>
        <v>0</v>
      </c>
      <c r="AE192" s="38"/>
      <c r="AF192" s="692">
        <f t="shared" si="39"/>
        <v>0</v>
      </c>
      <c r="AG192" s="692">
        <f t="shared" si="40"/>
        <v>0</v>
      </c>
      <c r="AH192" s="692">
        <f t="shared" si="41"/>
        <v>0</v>
      </c>
      <c r="AJ192" s="38">
        <f t="shared" si="43"/>
        <v>0</v>
      </c>
    </row>
    <row r="193" spans="1:36">
      <c r="A193" s="20"/>
      <c r="B193" s="20" t="s">
        <v>110</v>
      </c>
      <c r="C193" s="667"/>
      <c r="D193" s="68" t="s">
        <v>55</v>
      </c>
      <c r="E193" s="679"/>
      <c r="F193" s="529">
        <f>VLOOKUP(D193,'Nov 2012 Revenue'!D:T,17,FALSE)</f>
        <v>483.82</v>
      </c>
      <c r="G193" s="680"/>
      <c r="H193" s="680"/>
      <c r="I193" s="770">
        <v>496.09</v>
      </c>
      <c r="J193" s="682">
        <f t="shared" si="33"/>
        <v>979.91</v>
      </c>
      <c r="K193" s="683"/>
      <c r="L193" s="684"/>
      <c r="M193" s="753"/>
      <c r="N193" s="683">
        <v>0</v>
      </c>
      <c r="O193" s="686"/>
      <c r="P193" s="683">
        <v>0</v>
      </c>
      <c r="Q193" s="687">
        <f t="shared" si="29"/>
        <v>0</v>
      </c>
      <c r="R193" s="688">
        <v>0</v>
      </c>
      <c r="S193" s="693"/>
      <c r="T193" s="690">
        <f t="shared" si="34"/>
        <v>0</v>
      </c>
      <c r="U193" s="683"/>
      <c r="V193" s="474">
        <f t="shared" si="35"/>
        <v>0</v>
      </c>
      <c r="W193" s="474">
        <f t="shared" si="36"/>
        <v>0</v>
      </c>
      <c r="X193" s="475">
        <f t="shared" si="37"/>
        <v>0</v>
      </c>
      <c r="Y193" s="475">
        <v>0</v>
      </c>
      <c r="Z193" s="476">
        <v>0</v>
      </c>
      <c r="AA193" s="38">
        <f t="shared" si="38"/>
        <v>0</v>
      </c>
      <c r="AB193" s="692">
        <f t="shared" si="30"/>
        <v>979.91</v>
      </c>
      <c r="AC193" s="692">
        <f t="shared" si="31"/>
        <v>0</v>
      </c>
      <c r="AD193" s="692">
        <f t="shared" si="32"/>
        <v>0</v>
      </c>
      <c r="AE193" s="38"/>
      <c r="AF193" s="692">
        <f t="shared" si="39"/>
        <v>0</v>
      </c>
      <c r="AG193" s="692">
        <f t="shared" si="40"/>
        <v>0</v>
      </c>
      <c r="AH193" s="692">
        <f t="shared" si="41"/>
        <v>0</v>
      </c>
      <c r="AJ193" s="38">
        <f t="shared" si="43"/>
        <v>979.91</v>
      </c>
    </row>
    <row r="194" spans="1:36">
      <c r="A194" s="20"/>
      <c r="B194" s="20" t="s">
        <v>110</v>
      </c>
      <c r="C194" s="676" t="s">
        <v>854</v>
      </c>
      <c r="D194" s="68" t="s">
        <v>855</v>
      </c>
      <c r="E194" s="679"/>
      <c r="F194" s="529">
        <f>VLOOKUP(D194,'Nov 2012 Revenue'!D:T,17,FALSE)</f>
        <v>548.89</v>
      </c>
      <c r="G194" s="680"/>
      <c r="H194" s="680"/>
      <c r="I194" s="755"/>
      <c r="J194" s="682">
        <f t="shared" si="33"/>
        <v>548.89</v>
      </c>
      <c r="K194" s="683"/>
      <c r="L194" s="684"/>
      <c r="M194" s="753"/>
      <c r="N194" s="683">
        <v>0</v>
      </c>
      <c r="O194" s="686"/>
      <c r="P194" s="683">
        <v>0</v>
      </c>
      <c r="Q194" s="687">
        <f t="shared" si="29"/>
        <v>0</v>
      </c>
      <c r="R194" s="688">
        <v>580.98</v>
      </c>
      <c r="S194" s="693"/>
      <c r="T194" s="690">
        <f t="shared" si="34"/>
        <v>580.98</v>
      </c>
      <c r="U194" s="683"/>
      <c r="V194" s="474">
        <f t="shared" si="35"/>
        <v>0</v>
      </c>
      <c r="W194" s="474">
        <f t="shared" si="36"/>
        <v>0</v>
      </c>
      <c r="X194" s="475">
        <f t="shared" si="37"/>
        <v>0</v>
      </c>
      <c r="Y194" s="475">
        <v>0</v>
      </c>
      <c r="Z194" s="476">
        <v>0</v>
      </c>
      <c r="AA194" s="38">
        <f t="shared" si="38"/>
        <v>0</v>
      </c>
      <c r="AB194" s="692">
        <f t="shared" si="30"/>
        <v>548.89</v>
      </c>
      <c r="AC194" s="692">
        <f t="shared" si="31"/>
        <v>0</v>
      </c>
      <c r="AD194" s="692">
        <f t="shared" si="32"/>
        <v>0</v>
      </c>
      <c r="AE194" s="38"/>
      <c r="AF194" s="692">
        <f t="shared" si="39"/>
        <v>0</v>
      </c>
      <c r="AG194" s="692">
        <f t="shared" si="40"/>
        <v>0</v>
      </c>
      <c r="AH194" s="692">
        <f t="shared" si="41"/>
        <v>0</v>
      </c>
      <c r="AJ194" s="38">
        <f t="shared" si="43"/>
        <v>548.89</v>
      </c>
    </row>
    <row r="195" spans="1:36">
      <c r="A195" s="20"/>
      <c r="B195" s="20" t="s">
        <v>109</v>
      </c>
      <c r="C195" s="667" t="s">
        <v>577</v>
      </c>
      <c r="D195" s="68" t="s">
        <v>159</v>
      </c>
      <c r="E195" s="679"/>
      <c r="F195" s="529">
        <f>VLOOKUP(D195,'Nov 2012 Revenue'!D:T,17,FALSE)</f>
        <v>-7488.93</v>
      </c>
      <c r="G195" s="680"/>
      <c r="H195" s="680"/>
      <c r="I195" s="770">
        <v>19149.72</v>
      </c>
      <c r="J195" s="682">
        <f t="shared" si="33"/>
        <v>11660.79</v>
      </c>
      <c r="K195" s="683"/>
      <c r="L195" s="684"/>
      <c r="M195" s="753"/>
      <c r="N195" s="683">
        <v>0</v>
      </c>
      <c r="O195" s="686"/>
      <c r="P195" s="683">
        <v>0</v>
      </c>
      <c r="Q195" s="687">
        <f t="shared" si="29"/>
        <v>0</v>
      </c>
      <c r="R195" s="688">
        <v>0</v>
      </c>
      <c r="S195" s="693"/>
      <c r="T195" s="690">
        <f t="shared" si="34"/>
        <v>0</v>
      </c>
      <c r="U195" s="683"/>
      <c r="V195" s="474">
        <f t="shared" si="35"/>
        <v>0</v>
      </c>
      <c r="W195" s="474">
        <f t="shared" si="36"/>
        <v>0</v>
      </c>
      <c r="X195" s="475">
        <f t="shared" si="37"/>
        <v>0</v>
      </c>
      <c r="Y195" s="475">
        <v>0</v>
      </c>
      <c r="Z195" s="476">
        <v>0</v>
      </c>
      <c r="AA195" s="38">
        <f t="shared" si="38"/>
        <v>0</v>
      </c>
      <c r="AB195" s="692">
        <f t="shared" si="30"/>
        <v>0</v>
      </c>
      <c r="AC195" s="692">
        <f t="shared" si="31"/>
        <v>11660.79</v>
      </c>
      <c r="AD195" s="692">
        <f t="shared" si="32"/>
        <v>0</v>
      </c>
      <c r="AE195" s="38"/>
      <c r="AF195" s="692">
        <f t="shared" si="39"/>
        <v>0</v>
      </c>
      <c r="AG195" s="692">
        <f t="shared" si="40"/>
        <v>0</v>
      </c>
      <c r="AH195" s="692">
        <f t="shared" si="41"/>
        <v>0</v>
      </c>
      <c r="AJ195" s="38">
        <f t="shared" si="43"/>
        <v>11660.79</v>
      </c>
    </row>
    <row r="196" spans="1:36">
      <c r="A196" s="20"/>
      <c r="B196" s="20" t="s">
        <v>109</v>
      </c>
      <c r="C196" s="667" t="s">
        <v>577</v>
      </c>
      <c r="D196" s="68" t="s">
        <v>160</v>
      </c>
      <c r="E196" s="679"/>
      <c r="F196" s="529">
        <f>VLOOKUP(D196,'Nov 2012 Revenue'!D:T,17,FALSE)</f>
        <v>6132.02</v>
      </c>
      <c r="G196" s="680"/>
      <c r="H196" s="680"/>
      <c r="I196" s="770">
        <v>12327.62</v>
      </c>
      <c r="J196" s="682">
        <f t="shared" si="33"/>
        <v>18459.64</v>
      </c>
      <c r="K196" s="683"/>
      <c r="L196" s="684"/>
      <c r="M196" s="753"/>
      <c r="N196" s="683">
        <v>0</v>
      </c>
      <c r="O196" s="686"/>
      <c r="P196" s="683">
        <v>0</v>
      </c>
      <c r="Q196" s="687">
        <f t="shared" si="29"/>
        <v>0</v>
      </c>
      <c r="R196" s="688">
        <v>0</v>
      </c>
      <c r="S196" s="693"/>
      <c r="T196" s="690">
        <f t="shared" si="34"/>
        <v>0</v>
      </c>
      <c r="U196" s="683"/>
      <c r="V196" s="474">
        <f t="shared" si="35"/>
        <v>0</v>
      </c>
      <c r="W196" s="474">
        <f t="shared" si="36"/>
        <v>0</v>
      </c>
      <c r="X196" s="475">
        <f t="shared" si="37"/>
        <v>0</v>
      </c>
      <c r="Y196" s="475">
        <v>0</v>
      </c>
      <c r="Z196" s="476">
        <v>0</v>
      </c>
      <c r="AA196" s="38">
        <f t="shared" si="38"/>
        <v>0</v>
      </c>
      <c r="AB196" s="692">
        <f t="shared" si="30"/>
        <v>0</v>
      </c>
      <c r="AC196" s="692">
        <f t="shared" si="31"/>
        <v>18459.64</v>
      </c>
      <c r="AD196" s="692">
        <f t="shared" si="32"/>
        <v>0</v>
      </c>
      <c r="AE196" s="38"/>
      <c r="AF196" s="692">
        <f t="shared" si="39"/>
        <v>0</v>
      </c>
      <c r="AG196" s="692">
        <f t="shared" si="40"/>
        <v>0</v>
      </c>
      <c r="AH196" s="692">
        <f t="shared" si="41"/>
        <v>0</v>
      </c>
      <c r="AJ196" s="38">
        <f t="shared" si="43"/>
        <v>18459.64</v>
      </c>
    </row>
    <row r="197" spans="1:36">
      <c r="A197" s="21"/>
      <c r="B197" s="21" t="s">
        <v>109</v>
      </c>
      <c r="C197" s="667" t="s">
        <v>577</v>
      </c>
      <c r="D197" s="68" t="s">
        <v>161</v>
      </c>
      <c r="E197" s="679"/>
      <c r="F197" s="529">
        <f>VLOOKUP(D197,'Nov 2012 Revenue'!D:T,17,FALSE)</f>
        <v>0</v>
      </c>
      <c r="G197" s="680"/>
      <c r="H197" s="680"/>
      <c r="I197" s="755"/>
      <c r="J197" s="682">
        <f t="shared" si="33"/>
        <v>0</v>
      </c>
      <c r="K197" s="683"/>
      <c r="L197" s="684"/>
      <c r="M197" s="753"/>
      <c r="N197" s="683">
        <v>0</v>
      </c>
      <c r="O197" s="686"/>
      <c r="P197" s="683">
        <v>0</v>
      </c>
      <c r="Q197" s="687">
        <f t="shared" si="29"/>
        <v>0</v>
      </c>
      <c r="R197" s="688">
        <v>0</v>
      </c>
      <c r="S197" s="693"/>
      <c r="T197" s="690">
        <f t="shared" si="34"/>
        <v>0</v>
      </c>
      <c r="U197" s="683"/>
      <c r="V197" s="474">
        <f t="shared" si="35"/>
        <v>0</v>
      </c>
      <c r="W197" s="474">
        <f t="shared" si="36"/>
        <v>0</v>
      </c>
      <c r="X197" s="475">
        <f t="shared" si="37"/>
        <v>0</v>
      </c>
      <c r="Y197" s="475">
        <v>0</v>
      </c>
      <c r="Z197" s="476">
        <v>0</v>
      </c>
      <c r="AA197" s="38">
        <f t="shared" si="38"/>
        <v>0</v>
      </c>
      <c r="AB197" s="692">
        <f t="shared" si="30"/>
        <v>0</v>
      </c>
      <c r="AC197" s="692">
        <f t="shared" si="31"/>
        <v>0</v>
      </c>
      <c r="AD197" s="692">
        <f t="shared" si="32"/>
        <v>0</v>
      </c>
      <c r="AE197" s="38"/>
      <c r="AF197" s="692">
        <f t="shared" si="39"/>
        <v>0</v>
      </c>
      <c r="AG197" s="692">
        <f t="shared" si="40"/>
        <v>0</v>
      </c>
      <c r="AH197" s="692">
        <f t="shared" si="41"/>
        <v>0</v>
      </c>
      <c r="AJ197" s="38">
        <f t="shared" si="43"/>
        <v>0</v>
      </c>
    </row>
    <row r="198" spans="1:36">
      <c r="A198" s="21"/>
      <c r="B198" s="21" t="s">
        <v>109</v>
      </c>
      <c r="C198" s="667" t="s">
        <v>577</v>
      </c>
      <c r="D198" s="68" t="s">
        <v>162</v>
      </c>
      <c r="E198" s="679"/>
      <c r="F198" s="529">
        <f>VLOOKUP(D198,'Nov 2012 Revenue'!D:T,17,FALSE)</f>
        <v>0</v>
      </c>
      <c r="G198" s="680"/>
      <c r="H198" s="680"/>
      <c r="I198" s="755"/>
      <c r="J198" s="682">
        <f t="shared" si="33"/>
        <v>0</v>
      </c>
      <c r="K198" s="683"/>
      <c r="L198" s="684"/>
      <c r="M198" s="753"/>
      <c r="N198" s="683">
        <v>0</v>
      </c>
      <c r="O198" s="686"/>
      <c r="P198" s="683">
        <v>0</v>
      </c>
      <c r="Q198" s="687">
        <f t="shared" si="29"/>
        <v>0</v>
      </c>
      <c r="R198" s="688">
        <v>0</v>
      </c>
      <c r="S198" s="693"/>
      <c r="T198" s="690">
        <f t="shared" si="34"/>
        <v>0</v>
      </c>
      <c r="U198" s="683"/>
      <c r="V198" s="474">
        <f t="shared" si="35"/>
        <v>0</v>
      </c>
      <c r="W198" s="474">
        <f t="shared" si="36"/>
        <v>0</v>
      </c>
      <c r="X198" s="475">
        <f t="shared" si="37"/>
        <v>0</v>
      </c>
      <c r="Y198" s="475">
        <v>0</v>
      </c>
      <c r="Z198" s="476">
        <v>0</v>
      </c>
      <c r="AA198" s="38">
        <f t="shared" si="38"/>
        <v>0</v>
      </c>
      <c r="AB198" s="692">
        <f t="shared" si="30"/>
        <v>0</v>
      </c>
      <c r="AC198" s="692">
        <f t="shared" si="31"/>
        <v>0</v>
      </c>
      <c r="AD198" s="692">
        <f t="shared" si="32"/>
        <v>0</v>
      </c>
      <c r="AE198" s="38"/>
      <c r="AF198" s="692">
        <f t="shared" si="39"/>
        <v>0</v>
      </c>
      <c r="AG198" s="692">
        <f t="shared" si="40"/>
        <v>0</v>
      </c>
      <c r="AH198" s="692">
        <f t="shared" si="41"/>
        <v>0</v>
      </c>
      <c r="AJ198" s="38">
        <f t="shared" si="43"/>
        <v>0</v>
      </c>
    </row>
    <row r="199" spans="1:36">
      <c r="A199" s="21"/>
      <c r="B199" s="21" t="s">
        <v>109</v>
      </c>
      <c r="C199" s="666"/>
      <c r="D199" s="68" t="s">
        <v>163</v>
      </c>
      <c r="E199" s="679"/>
      <c r="F199" s="529">
        <f>VLOOKUP(D199,'Nov 2012 Revenue'!D:T,17,FALSE)</f>
        <v>0</v>
      </c>
      <c r="G199" s="680"/>
      <c r="H199" s="680"/>
      <c r="I199" s="770">
        <v>5709.21</v>
      </c>
      <c r="J199" s="682">
        <f t="shared" si="33"/>
        <v>5709.21</v>
      </c>
      <c r="K199" s="683"/>
      <c r="L199" s="684"/>
      <c r="M199" s="753"/>
      <c r="N199" s="683">
        <v>0</v>
      </c>
      <c r="O199" s="686"/>
      <c r="P199" s="683">
        <v>0</v>
      </c>
      <c r="Q199" s="687">
        <f t="shared" si="29"/>
        <v>0</v>
      </c>
      <c r="R199" s="688">
        <v>0</v>
      </c>
      <c r="S199" s="704"/>
      <c r="T199" s="690">
        <f t="shared" si="34"/>
        <v>0</v>
      </c>
      <c r="U199" s="705"/>
      <c r="V199" s="474">
        <f t="shared" si="35"/>
        <v>0</v>
      </c>
      <c r="W199" s="474">
        <f t="shared" si="36"/>
        <v>0</v>
      </c>
      <c r="X199" s="475">
        <f t="shared" si="37"/>
        <v>0</v>
      </c>
      <c r="Y199" s="475">
        <v>0</v>
      </c>
      <c r="Z199" s="476">
        <v>0</v>
      </c>
      <c r="AA199" s="38">
        <f t="shared" si="38"/>
        <v>0</v>
      </c>
      <c r="AB199" s="692">
        <f t="shared" si="30"/>
        <v>0</v>
      </c>
      <c r="AC199" s="692">
        <f t="shared" si="31"/>
        <v>5709.21</v>
      </c>
      <c r="AD199" s="692">
        <f t="shared" si="32"/>
        <v>0</v>
      </c>
      <c r="AE199" s="38"/>
      <c r="AF199" s="692">
        <f t="shared" si="39"/>
        <v>0</v>
      </c>
      <c r="AG199" s="692">
        <f t="shared" si="40"/>
        <v>0</v>
      </c>
      <c r="AH199" s="692">
        <f t="shared" si="41"/>
        <v>0</v>
      </c>
      <c r="AJ199" s="38">
        <f t="shared" si="43"/>
        <v>5709.21</v>
      </c>
    </row>
    <row r="200" spans="1:36">
      <c r="A200" s="21"/>
      <c r="B200" s="21" t="s">
        <v>109</v>
      </c>
      <c r="C200" s="666"/>
      <c r="D200" s="412" t="s">
        <v>164</v>
      </c>
      <c r="E200" s="679"/>
      <c r="F200" s="529">
        <f>VLOOKUP(D200,'Nov 2012 Revenue'!D:T,17,FALSE)</f>
        <v>0</v>
      </c>
      <c r="G200" s="680"/>
      <c r="H200" s="680"/>
      <c r="I200" s="770">
        <v>85.97</v>
      </c>
      <c r="J200" s="682">
        <f t="shared" si="33"/>
        <v>85.97</v>
      </c>
      <c r="K200" s="683"/>
      <c r="L200" s="684"/>
      <c r="M200" s="753"/>
      <c r="N200" s="683">
        <v>0</v>
      </c>
      <c r="O200" s="686"/>
      <c r="P200" s="683">
        <v>0</v>
      </c>
      <c r="Q200" s="687">
        <f t="shared" si="29"/>
        <v>0</v>
      </c>
      <c r="R200" s="688">
        <v>0</v>
      </c>
      <c r="S200" s="704"/>
      <c r="T200" s="690">
        <f t="shared" si="34"/>
        <v>0</v>
      </c>
      <c r="U200" s="705"/>
      <c r="V200" s="474">
        <f t="shared" si="35"/>
        <v>0</v>
      </c>
      <c r="W200" s="474">
        <f t="shared" si="36"/>
        <v>0</v>
      </c>
      <c r="X200" s="475">
        <f t="shared" si="37"/>
        <v>0</v>
      </c>
      <c r="Y200" s="475">
        <v>0</v>
      </c>
      <c r="Z200" s="476">
        <v>0</v>
      </c>
      <c r="AA200" s="38">
        <f t="shared" si="38"/>
        <v>0</v>
      </c>
      <c r="AB200" s="692">
        <f t="shared" si="30"/>
        <v>0</v>
      </c>
      <c r="AC200" s="692">
        <f t="shared" si="31"/>
        <v>85.97</v>
      </c>
      <c r="AD200" s="692">
        <f t="shared" si="32"/>
        <v>0</v>
      </c>
      <c r="AE200" s="38"/>
      <c r="AF200" s="692">
        <f t="shared" si="39"/>
        <v>0</v>
      </c>
      <c r="AG200" s="692">
        <f t="shared" si="40"/>
        <v>0</v>
      </c>
      <c r="AH200" s="692">
        <f t="shared" si="41"/>
        <v>0</v>
      </c>
      <c r="AJ200" s="38">
        <f t="shared" si="43"/>
        <v>85.97</v>
      </c>
    </row>
    <row r="201" spans="1:36">
      <c r="A201" s="21" t="s">
        <v>109</v>
      </c>
      <c r="B201" s="21" t="s">
        <v>114</v>
      </c>
      <c r="C201" s="666" t="s">
        <v>578</v>
      </c>
      <c r="D201" s="412" t="s">
        <v>318</v>
      </c>
      <c r="E201" s="679">
        <v>28565</v>
      </c>
      <c r="F201" s="529">
        <f>VLOOKUP(D201,'Nov 2012 Revenue'!D:T,17,FALSE)</f>
        <v>-31287</v>
      </c>
      <c r="G201" s="680"/>
      <c r="H201" s="680"/>
      <c r="I201" s="755"/>
      <c r="J201" s="682">
        <f t="shared" si="33"/>
        <v>-2722</v>
      </c>
      <c r="K201" s="683"/>
      <c r="L201" s="684"/>
      <c r="M201" s="753">
        <v>28000</v>
      </c>
      <c r="N201" s="683">
        <v>0</v>
      </c>
      <c r="O201" s="686"/>
      <c r="P201" s="683">
        <v>0</v>
      </c>
      <c r="Q201" s="687">
        <f t="shared" si="29"/>
        <v>28000</v>
      </c>
      <c r="R201" s="688">
        <v>0</v>
      </c>
      <c r="S201" s="704"/>
      <c r="T201" s="690">
        <f t="shared" si="34"/>
        <v>-28000</v>
      </c>
      <c r="U201" s="683"/>
      <c r="V201" s="474">
        <f t="shared" si="35"/>
        <v>0</v>
      </c>
      <c r="W201" s="474">
        <f t="shared" si="36"/>
        <v>0</v>
      </c>
      <c r="X201" s="475">
        <f t="shared" si="37"/>
        <v>28000</v>
      </c>
      <c r="Y201" s="475">
        <v>0</v>
      </c>
      <c r="Z201" s="476">
        <v>0</v>
      </c>
      <c r="AA201" s="38">
        <f t="shared" si="38"/>
        <v>0</v>
      </c>
      <c r="AB201" s="692">
        <f t="shared" si="30"/>
        <v>0</v>
      </c>
      <c r="AC201" s="692">
        <f t="shared" si="31"/>
        <v>0</v>
      </c>
      <c r="AD201" s="692">
        <f t="shared" si="32"/>
        <v>-2722</v>
      </c>
      <c r="AE201" s="38"/>
      <c r="AF201" s="692">
        <f t="shared" si="39"/>
        <v>0</v>
      </c>
      <c r="AG201" s="692">
        <f t="shared" si="40"/>
        <v>0</v>
      </c>
      <c r="AH201" s="692">
        <f t="shared" si="41"/>
        <v>28000</v>
      </c>
      <c r="AJ201" s="38">
        <f t="shared" si="43"/>
        <v>25278</v>
      </c>
    </row>
    <row r="202" spans="1:36">
      <c r="A202" s="20" t="s">
        <v>211</v>
      </c>
      <c r="B202" s="20" t="s">
        <v>109</v>
      </c>
      <c r="C202" s="667"/>
      <c r="D202" s="68" t="s">
        <v>57</v>
      </c>
      <c r="E202" s="679"/>
      <c r="F202" s="529">
        <f>VLOOKUP(D202,'Nov 2012 Revenue'!D:T,17,FALSE)</f>
        <v>0</v>
      </c>
      <c r="G202" s="680"/>
      <c r="H202" s="680"/>
      <c r="I202" s="755"/>
      <c r="J202" s="682">
        <f t="shared" si="33"/>
        <v>0</v>
      </c>
      <c r="K202" s="683"/>
      <c r="L202" s="684"/>
      <c r="M202" s="753"/>
      <c r="N202" s="683">
        <v>0</v>
      </c>
      <c r="O202" s="686"/>
      <c r="P202" s="683">
        <v>0</v>
      </c>
      <c r="Q202" s="687">
        <f t="shared" si="29"/>
        <v>0</v>
      </c>
      <c r="R202" s="688">
        <v>0</v>
      </c>
      <c r="S202" s="693"/>
      <c r="T202" s="690">
        <f t="shared" si="34"/>
        <v>0</v>
      </c>
      <c r="U202" s="683"/>
      <c r="V202" s="474">
        <f t="shared" si="35"/>
        <v>0</v>
      </c>
      <c r="W202" s="474">
        <f t="shared" si="36"/>
        <v>0</v>
      </c>
      <c r="X202" s="475">
        <f t="shared" si="37"/>
        <v>0</v>
      </c>
      <c r="Y202" s="475">
        <v>0</v>
      </c>
      <c r="Z202" s="476">
        <v>0</v>
      </c>
      <c r="AA202" s="38">
        <f t="shared" si="38"/>
        <v>0</v>
      </c>
      <c r="AB202" s="692">
        <f t="shared" si="30"/>
        <v>0</v>
      </c>
      <c r="AC202" s="692">
        <f t="shared" si="31"/>
        <v>0</v>
      </c>
      <c r="AD202" s="692">
        <f t="shared" si="32"/>
        <v>0</v>
      </c>
      <c r="AE202" s="38"/>
      <c r="AF202" s="692">
        <f t="shared" si="39"/>
        <v>0</v>
      </c>
      <c r="AG202" s="692">
        <f t="shared" si="40"/>
        <v>0</v>
      </c>
      <c r="AH202" s="692">
        <f t="shared" si="41"/>
        <v>0</v>
      </c>
      <c r="AJ202" s="38">
        <f t="shared" si="43"/>
        <v>0</v>
      </c>
    </row>
    <row r="203" spans="1:36">
      <c r="A203" s="20"/>
      <c r="B203" s="20" t="s">
        <v>114</v>
      </c>
      <c r="C203" s="676" t="s">
        <v>621</v>
      </c>
      <c r="D203" s="68" t="s">
        <v>622</v>
      </c>
      <c r="E203" s="679">
        <f>605.45+646.5</f>
        <v>1251.95</v>
      </c>
      <c r="F203" s="529">
        <f>VLOOKUP(D203,'Nov 2012 Revenue'!D:T,17,FALSE)</f>
        <v>0</v>
      </c>
      <c r="G203" s="680"/>
      <c r="H203" s="680"/>
      <c r="I203" s="755"/>
      <c r="J203" s="682">
        <f t="shared" si="33"/>
        <v>1251.95</v>
      </c>
      <c r="K203" s="683"/>
      <c r="L203" s="684"/>
      <c r="M203" s="753"/>
      <c r="N203" s="683">
        <v>0</v>
      </c>
      <c r="O203" s="686"/>
      <c r="P203" s="683">
        <v>0</v>
      </c>
      <c r="Q203" s="687">
        <f t="shared" si="29"/>
        <v>0</v>
      </c>
      <c r="R203" s="688">
        <v>0</v>
      </c>
      <c r="S203" s="704"/>
      <c r="T203" s="690">
        <f t="shared" si="34"/>
        <v>0</v>
      </c>
      <c r="U203" s="683"/>
      <c r="V203" s="474">
        <f t="shared" si="35"/>
        <v>0</v>
      </c>
      <c r="W203" s="474">
        <f t="shared" si="36"/>
        <v>0</v>
      </c>
      <c r="X203" s="475">
        <f t="shared" si="37"/>
        <v>0</v>
      </c>
      <c r="Y203" s="475">
        <v>0</v>
      </c>
      <c r="Z203" s="476">
        <v>0</v>
      </c>
      <c r="AA203" s="38">
        <f t="shared" si="38"/>
        <v>0</v>
      </c>
      <c r="AB203" s="692">
        <f t="shared" si="30"/>
        <v>0</v>
      </c>
      <c r="AC203" s="692">
        <f t="shared" si="31"/>
        <v>0</v>
      </c>
      <c r="AD203" s="692">
        <f t="shared" si="32"/>
        <v>1251.95</v>
      </c>
      <c r="AE203" s="38"/>
      <c r="AF203" s="692">
        <f t="shared" si="39"/>
        <v>0</v>
      </c>
      <c r="AG203" s="692">
        <f t="shared" si="40"/>
        <v>0</v>
      </c>
      <c r="AH203" s="692">
        <f t="shared" si="41"/>
        <v>0</v>
      </c>
      <c r="AJ203" s="38">
        <f t="shared" si="43"/>
        <v>1251.95</v>
      </c>
    </row>
    <row r="204" spans="1:36">
      <c r="A204" s="20"/>
      <c r="B204" s="20" t="s">
        <v>110</v>
      </c>
      <c r="C204" s="667"/>
      <c r="D204" s="68" t="s">
        <v>497</v>
      </c>
      <c r="E204" s="679"/>
      <c r="F204" s="529">
        <f>VLOOKUP(D204,'Nov 2012 Revenue'!D:T,17,FALSE)</f>
        <v>0</v>
      </c>
      <c r="G204" s="680"/>
      <c r="H204" s="680"/>
      <c r="I204" s="755"/>
      <c r="J204" s="682">
        <f t="shared" si="33"/>
        <v>0</v>
      </c>
      <c r="K204" s="683"/>
      <c r="L204" s="684"/>
      <c r="M204" s="753"/>
      <c r="N204" s="683">
        <v>0</v>
      </c>
      <c r="O204" s="686"/>
      <c r="P204" s="683">
        <v>0</v>
      </c>
      <c r="Q204" s="687">
        <f t="shared" si="29"/>
        <v>0</v>
      </c>
      <c r="R204" s="688">
        <v>0</v>
      </c>
      <c r="S204" s="693"/>
      <c r="T204" s="690">
        <f t="shared" si="34"/>
        <v>0</v>
      </c>
      <c r="U204" s="683"/>
      <c r="V204" s="474">
        <f t="shared" si="35"/>
        <v>0</v>
      </c>
      <c r="W204" s="474">
        <f t="shared" si="36"/>
        <v>0</v>
      </c>
      <c r="X204" s="475">
        <f t="shared" si="37"/>
        <v>0</v>
      </c>
      <c r="Y204" s="475">
        <v>0</v>
      </c>
      <c r="Z204" s="476">
        <v>0</v>
      </c>
      <c r="AA204" s="38">
        <f t="shared" si="38"/>
        <v>0</v>
      </c>
      <c r="AB204" s="692">
        <f t="shared" si="30"/>
        <v>0</v>
      </c>
      <c r="AC204" s="692">
        <f t="shared" si="31"/>
        <v>0</v>
      </c>
      <c r="AD204" s="692">
        <f t="shared" si="32"/>
        <v>0</v>
      </c>
      <c r="AE204" s="38"/>
      <c r="AF204" s="692">
        <f t="shared" si="39"/>
        <v>0</v>
      </c>
      <c r="AG204" s="692">
        <f t="shared" si="40"/>
        <v>0</v>
      </c>
      <c r="AH204" s="692">
        <f t="shared" si="41"/>
        <v>0</v>
      </c>
      <c r="AJ204" s="38">
        <f t="shared" si="43"/>
        <v>0</v>
      </c>
    </row>
    <row r="205" spans="1:36">
      <c r="A205" s="20"/>
      <c r="B205" s="20" t="s">
        <v>110</v>
      </c>
      <c r="C205" s="667"/>
      <c r="D205" s="68" t="s">
        <v>509</v>
      </c>
      <c r="E205" s="679"/>
      <c r="F205" s="529">
        <f>VLOOKUP(D205,'Nov 2012 Revenue'!D:T,17,FALSE)</f>
        <v>1915.6599999999999</v>
      </c>
      <c r="G205" s="680"/>
      <c r="H205" s="680"/>
      <c r="I205" s="755"/>
      <c r="J205" s="682">
        <f t="shared" si="33"/>
        <v>1915.6599999999999</v>
      </c>
      <c r="K205" s="683"/>
      <c r="L205" s="684"/>
      <c r="M205" s="753">
        <v>12000</v>
      </c>
      <c r="N205" s="683"/>
      <c r="O205" s="686"/>
      <c r="P205" s="683"/>
      <c r="Q205" s="687">
        <f t="shared" si="29"/>
        <v>12000</v>
      </c>
      <c r="R205" s="688">
        <v>13350.33</v>
      </c>
      <c r="S205" s="693"/>
      <c r="T205" s="690">
        <f t="shared" si="34"/>
        <v>1350.33</v>
      </c>
      <c r="U205" s="683"/>
      <c r="V205" s="474">
        <f t="shared" si="35"/>
        <v>12000</v>
      </c>
      <c r="W205" s="474">
        <f t="shared" si="36"/>
        <v>0</v>
      </c>
      <c r="X205" s="475">
        <f t="shared" si="37"/>
        <v>0</v>
      </c>
      <c r="Y205" s="475">
        <v>0</v>
      </c>
      <c r="Z205" s="476">
        <v>0</v>
      </c>
      <c r="AA205" s="38">
        <f t="shared" si="38"/>
        <v>0</v>
      </c>
      <c r="AB205" s="692">
        <f t="shared" si="30"/>
        <v>1915.6599999999999</v>
      </c>
      <c r="AC205" s="692">
        <f t="shared" si="31"/>
        <v>0</v>
      </c>
      <c r="AD205" s="692">
        <f t="shared" si="32"/>
        <v>0</v>
      </c>
      <c r="AE205" s="38"/>
      <c r="AF205" s="692">
        <f t="shared" si="39"/>
        <v>12000</v>
      </c>
      <c r="AG205" s="692">
        <f t="shared" si="40"/>
        <v>0</v>
      </c>
      <c r="AH205" s="692">
        <f t="shared" si="41"/>
        <v>0</v>
      </c>
      <c r="AJ205" s="38">
        <f t="shared" si="43"/>
        <v>13915.66</v>
      </c>
    </row>
    <row r="206" spans="1:36" s="627" customFormat="1">
      <c r="A206" s="610"/>
      <c r="B206" s="610" t="s">
        <v>110</v>
      </c>
      <c r="C206" s="667" t="s">
        <v>580</v>
      </c>
      <c r="D206" s="612" t="s">
        <v>476</v>
      </c>
      <c r="E206" s="679"/>
      <c r="F206" s="529">
        <f>VLOOKUP(D206,'Nov 2012 Revenue'!D:T,17,FALSE)</f>
        <v>0</v>
      </c>
      <c r="G206" s="680"/>
      <c r="H206" s="680"/>
      <c r="I206" s="755"/>
      <c r="J206" s="682">
        <f t="shared" si="33"/>
        <v>0</v>
      </c>
      <c r="K206" s="683"/>
      <c r="L206" s="684"/>
      <c r="M206" s="753"/>
      <c r="N206" s="683">
        <v>0</v>
      </c>
      <c r="O206" s="686"/>
      <c r="P206" s="683">
        <v>0</v>
      </c>
      <c r="Q206" s="687">
        <f t="shared" si="29"/>
        <v>0</v>
      </c>
      <c r="R206" s="688">
        <v>0</v>
      </c>
      <c r="S206" s="706"/>
      <c r="T206" s="690">
        <f t="shared" si="34"/>
        <v>0</v>
      </c>
      <c r="U206" s="707"/>
      <c r="V206" s="474">
        <f t="shared" si="35"/>
        <v>0</v>
      </c>
      <c r="W206" s="474">
        <f t="shared" si="36"/>
        <v>0</v>
      </c>
      <c r="X206" s="475">
        <f t="shared" si="37"/>
        <v>0</v>
      </c>
      <c r="Y206" s="475">
        <v>0</v>
      </c>
      <c r="Z206" s="476">
        <v>0</v>
      </c>
      <c r="AA206" s="38">
        <f t="shared" si="38"/>
        <v>0</v>
      </c>
      <c r="AB206" s="692">
        <f t="shared" si="30"/>
        <v>0</v>
      </c>
      <c r="AC206" s="692">
        <f t="shared" si="31"/>
        <v>0</v>
      </c>
      <c r="AD206" s="692">
        <f t="shared" si="32"/>
        <v>0</v>
      </c>
      <c r="AE206" s="38"/>
      <c r="AF206" s="692">
        <f t="shared" si="39"/>
        <v>0</v>
      </c>
      <c r="AG206" s="692">
        <f t="shared" si="40"/>
        <v>0</v>
      </c>
      <c r="AH206" s="692">
        <f t="shared" si="41"/>
        <v>0</v>
      </c>
      <c r="AJ206" s="38">
        <f t="shared" si="43"/>
        <v>0</v>
      </c>
    </row>
    <row r="207" spans="1:36" s="232" customFormat="1">
      <c r="A207" s="283"/>
      <c r="B207" s="283" t="s">
        <v>114</v>
      </c>
      <c r="C207" s="667" t="s">
        <v>580</v>
      </c>
      <c r="D207" s="123" t="s">
        <v>371</v>
      </c>
      <c r="E207" s="679"/>
      <c r="F207" s="529">
        <f>VLOOKUP(D207,'Nov 2012 Revenue'!D:T,17,FALSE)</f>
        <v>4118.41</v>
      </c>
      <c r="G207" s="680"/>
      <c r="H207" s="680"/>
      <c r="I207" s="755"/>
      <c r="J207" s="682">
        <f t="shared" si="33"/>
        <v>4118.41</v>
      </c>
      <c r="K207" s="683"/>
      <c r="L207" s="684">
        <v>4760</v>
      </c>
      <c r="M207" s="753"/>
      <c r="N207" s="683">
        <v>0</v>
      </c>
      <c r="O207" s="686"/>
      <c r="P207" s="683">
        <v>0</v>
      </c>
      <c r="Q207" s="687">
        <f t="shared" si="29"/>
        <v>4760</v>
      </c>
      <c r="R207" s="688">
        <f>632.45+4762.23</f>
        <v>5394.6799999999994</v>
      </c>
      <c r="S207" s="693"/>
      <c r="T207" s="690">
        <f t="shared" si="34"/>
        <v>634.67999999999938</v>
      </c>
      <c r="U207" s="683"/>
      <c r="V207" s="474">
        <f t="shared" si="35"/>
        <v>0</v>
      </c>
      <c r="W207" s="474">
        <f t="shared" si="36"/>
        <v>0</v>
      </c>
      <c r="X207" s="475">
        <f t="shared" si="37"/>
        <v>4760</v>
      </c>
      <c r="Y207" s="475">
        <v>0</v>
      </c>
      <c r="Z207" s="476">
        <v>0</v>
      </c>
      <c r="AA207" s="38">
        <f t="shared" si="38"/>
        <v>0</v>
      </c>
      <c r="AB207" s="692">
        <f t="shared" si="30"/>
        <v>0</v>
      </c>
      <c r="AC207" s="692">
        <f t="shared" si="31"/>
        <v>0</v>
      </c>
      <c r="AD207" s="692">
        <f t="shared" si="32"/>
        <v>4118.41</v>
      </c>
      <c r="AE207" s="38"/>
      <c r="AF207" s="692">
        <f t="shared" si="39"/>
        <v>0</v>
      </c>
      <c r="AG207" s="692">
        <f t="shared" si="40"/>
        <v>0</v>
      </c>
      <c r="AH207" s="692">
        <f t="shared" si="41"/>
        <v>4760</v>
      </c>
      <c r="AJ207" s="38">
        <f t="shared" si="43"/>
        <v>8878.41</v>
      </c>
    </row>
    <row r="208" spans="1:36" s="232" customFormat="1">
      <c r="A208" s="283"/>
      <c r="B208" s="283" t="s">
        <v>110</v>
      </c>
      <c r="C208" s="667" t="s">
        <v>580</v>
      </c>
      <c r="D208" s="123" t="s">
        <v>422</v>
      </c>
      <c r="E208" s="679"/>
      <c r="F208" s="529">
        <f>VLOOKUP(D208,'Nov 2012 Revenue'!D:T,17,FALSE)</f>
        <v>-2972.1599999999744</v>
      </c>
      <c r="G208" s="680"/>
      <c r="H208" s="680"/>
      <c r="I208" s="755"/>
      <c r="J208" s="682">
        <f t="shared" si="33"/>
        <v>-2972.1599999999744</v>
      </c>
      <c r="K208" s="683"/>
      <c r="L208" s="684">
        <v>444075</v>
      </c>
      <c r="M208" s="753"/>
      <c r="N208" s="683">
        <v>0</v>
      </c>
      <c r="O208" s="686"/>
      <c r="P208" s="683">
        <v>0</v>
      </c>
      <c r="Q208" s="687">
        <f t="shared" si="29"/>
        <v>444075</v>
      </c>
      <c r="R208" s="688">
        <v>444075.95</v>
      </c>
      <c r="S208" s="693"/>
      <c r="T208" s="690">
        <f t="shared" si="34"/>
        <v>0.95000000001164153</v>
      </c>
      <c r="U208" s="683"/>
      <c r="V208" s="474">
        <f t="shared" si="35"/>
        <v>444075</v>
      </c>
      <c r="W208" s="474">
        <f t="shared" si="36"/>
        <v>0</v>
      </c>
      <c r="X208" s="475">
        <f t="shared" si="37"/>
        <v>0</v>
      </c>
      <c r="Y208" s="475">
        <v>0</v>
      </c>
      <c r="Z208" s="476">
        <v>0</v>
      </c>
      <c r="AA208" s="38">
        <f t="shared" si="38"/>
        <v>0</v>
      </c>
      <c r="AB208" s="692">
        <f t="shared" si="30"/>
        <v>-2972.1599999999744</v>
      </c>
      <c r="AC208" s="692">
        <f t="shared" si="31"/>
        <v>0</v>
      </c>
      <c r="AD208" s="692">
        <f t="shared" si="32"/>
        <v>0</v>
      </c>
      <c r="AE208" s="38"/>
      <c r="AF208" s="692">
        <f t="shared" si="39"/>
        <v>444075</v>
      </c>
      <c r="AG208" s="692">
        <f t="shared" si="40"/>
        <v>0</v>
      </c>
      <c r="AH208" s="692">
        <f t="shared" si="41"/>
        <v>0</v>
      </c>
      <c r="AJ208" s="38">
        <f t="shared" si="43"/>
        <v>441102.84</v>
      </c>
    </row>
    <row r="209" spans="1:36" s="232" customFormat="1">
      <c r="A209" s="283"/>
      <c r="B209" s="283" t="s">
        <v>114</v>
      </c>
      <c r="C209" s="667" t="s">
        <v>580</v>
      </c>
      <c r="D209" s="123" t="s">
        <v>442</v>
      </c>
      <c r="E209" s="679"/>
      <c r="F209" s="529">
        <f>VLOOKUP(D209,'Nov 2012 Revenue'!D:T,17,FALSE)</f>
        <v>0</v>
      </c>
      <c r="G209" s="680"/>
      <c r="H209" s="680"/>
      <c r="I209" s="755"/>
      <c r="J209" s="682">
        <f t="shared" si="33"/>
        <v>0</v>
      </c>
      <c r="K209" s="683"/>
      <c r="L209" s="684"/>
      <c r="M209" s="753"/>
      <c r="N209" s="683">
        <v>0</v>
      </c>
      <c r="O209" s="686"/>
      <c r="P209" s="683">
        <v>0</v>
      </c>
      <c r="Q209" s="687">
        <f t="shared" si="29"/>
        <v>0</v>
      </c>
      <c r="R209" s="688">
        <v>0</v>
      </c>
      <c r="S209" s="693"/>
      <c r="T209" s="690">
        <f t="shared" si="34"/>
        <v>0</v>
      </c>
      <c r="U209" s="683"/>
      <c r="V209" s="474">
        <f t="shared" si="35"/>
        <v>0</v>
      </c>
      <c r="W209" s="474">
        <f t="shared" si="36"/>
        <v>0</v>
      </c>
      <c r="X209" s="475">
        <f t="shared" si="37"/>
        <v>0</v>
      </c>
      <c r="Y209" s="475">
        <v>0</v>
      </c>
      <c r="Z209" s="476">
        <v>0</v>
      </c>
      <c r="AA209" s="38">
        <f t="shared" si="38"/>
        <v>0</v>
      </c>
      <c r="AB209" s="692">
        <f t="shared" si="30"/>
        <v>0</v>
      </c>
      <c r="AC209" s="692">
        <f t="shared" si="31"/>
        <v>0</v>
      </c>
      <c r="AD209" s="692">
        <f t="shared" si="32"/>
        <v>0</v>
      </c>
      <c r="AE209" s="38"/>
      <c r="AF209" s="692">
        <f t="shared" si="39"/>
        <v>0</v>
      </c>
      <c r="AG209" s="692">
        <f t="shared" si="40"/>
        <v>0</v>
      </c>
      <c r="AH209" s="692">
        <f t="shared" si="41"/>
        <v>0</v>
      </c>
      <c r="AJ209" s="38">
        <f t="shared" si="43"/>
        <v>0</v>
      </c>
    </row>
    <row r="210" spans="1:36">
      <c r="A210" s="21" t="s">
        <v>97</v>
      </c>
      <c r="B210" s="21" t="s">
        <v>109</v>
      </c>
      <c r="C210" s="666"/>
      <c r="D210" s="68" t="s">
        <v>381</v>
      </c>
      <c r="E210" s="679"/>
      <c r="F210" s="529">
        <f>VLOOKUP(D210,'Nov 2012 Revenue'!D:T,17,FALSE)</f>
        <v>0</v>
      </c>
      <c r="G210" s="680"/>
      <c r="H210" s="680"/>
      <c r="I210" s="755"/>
      <c r="J210" s="682">
        <f t="shared" si="33"/>
        <v>0</v>
      </c>
      <c r="K210" s="683"/>
      <c r="L210" s="684"/>
      <c r="M210" s="753"/>
      <c r="N210" s="683">
        <v>0</v>
      </c>
      <c r="O210" s="686"/>
      <c r="P210" s="683">
        <v>0</v>
      </c>
      <c r="Q210" s="687">
        <f t="shared" si="29"/>
        <v>0</v>
      </c>
      <c r="R210" s="688">
        <v>0</v>
      </c>
      <c r="S210" s="693"/>
      <c r="T210" s="690">
        <f t="shared" si="34"/>
        <v>0</v>
      </c>
      <c r="U210" s="683"/>
      <c r="V210" s="474">
        <f t="shared" si="35"/>
        <v>0</v>
      </c>
      <c r="W210" s="474">
        <f t="shared" si="36"/>
        <v>0</v>
      </c>
      <c r="X210" s="475">
        <f t="shared" si="37"/>
        <v>0</v>
      </c>
      <c r="Y210" s="475">
        <v>0</v>
      </c>
      <c r="Z210" s="476">
        <v>0</v>
      </c>
      <c r="AA210" s="38">
        <f t="shared" si="38"/>
        <v>0</v>
      </c>
      <c r="AB210" s="692">
        <f t="shared" si="30"/>
        <v>0</v>
      </c>
      <c r="AC210" s="692">
        <f t="shared" si="31"/>
        <v>0</v>
      </c>
      <c r="AD210" s="692">
        <f t="shared" si="32"/>
        <v>0</v>
      </c>
      <c r="AE210" s="38"/>
      <c r="AF210" s="692">
        <f t="shared" si="39"/>
        <v>0</v>
      </c>
      <c r="AG210" s="692">
        <f t="shared" si="40"/>
        <v>0</v>
      </c>
      <c r="AH210" s="692">
        <f t="shared" si="41"/>
        <v>0</v>
      </c>
      <c r="AJ210" s="38">
        <f t="shared" si="43"/>
        <v>0</v>
      </c>
    </row>
    <row r="211" spans="1:36">
      <c r="A211" s="21" t="s">
        <v>97</v>
      </c>
      <c r="B211" s="21" t="s">
        <v>114</v>
      </c>
      <c r="C211" s="666"/>
      <c r="D211" s="68" t="s">
        <v>376</v>
      </c>
      <c r="E211" s="679"/>
      <c r="F211" s="529">
        <f>VLOOKUP(D211,'Nov 2012 Revenue'!D:T,17,FALSE)</f>
        <v>0</v>
      </c>
      <c r="G211" s="680"/>
      <c r="H211" s="680"/>
      <c r="I211" s="755"/>
      <c r="J211" s="682">
        <f t="shared" si="33"/>
        <v>0</v>
      </c>
      <c r="K211" s="683"/>
      <c r="L211" s="684"/>
      <c r="M211" s="753"/>
      <c r="N211" s="683">
        <v>0</v>
      </c>
      <c r="O211" s="686"/>
      <c r="P211" s="683">
        <v>0</v>
      </c>
      <c r="Q211" s="687">
        <f t="shared" ref="Q211:Q225" si="44">L211+M211</f>
        <v>0</v>
      </c>
      <c r="R211" s="688">
        <v>0</v>
      </c>
      <c r="S211" s="693"/>
      <c r="T211" s="690">
        <f t="shared" si="34"/>
        <v>0</v>
      </c>
      <c r="U211" s="683"/>
      <c r="V211" s="474">
        <f t="shared" si="35"/>
        <v>0</v>
      </c>
      <c r="W211" s="474">
        <f t="shared" si="36"/>
        <v>0</v>
      </c>
      <c r="X211" s="475">
        <f t="shared" si="37"/>
        <v>0</v>
      </c>
      <c r="Y211" s="475">
        <v>0</v>
      </c>
      <c r="Z211" s="476">
        <v>0</v>
      </c>
      <c r="AA211" s="38">
        <f t="shared" si="38"/>
        <v>0</v>
      </c>
      <c r="AB211" s="692">
        <f t="shared" si="30"/>
        <v>0</v>
      </c>
      <c r="AC211" s="692">
        <f t="shared" si="31"/>
        <v>0</v>
      </c>
      <c r="AD211" s="692">
        <f t="shared" si="32"/>
        <v>0</v>
      </c>
      <c r="AE211" s="38"/>
      <c r="AF211" s="692">
        <f t="shared" si="39"/>
        <v>0</v>
      </c>
      <c r="AG211" s="692">
        <f t="shared" si="40"/>
        <v>0</v>
      </c>
      <c r="AH211" s="692">
        <f t="shared" si="41"/>
        <v>0</v>
      </c>
      <c r="AJ211" s="38">
        <f t="shared" si="43"/>
        <v>0</v>
      </c>
    </row>
    <row r="212" spans="1:36">
      <c r="A212" s="20"/>
      <c r="B212" s="20" t="s">
        <v>110</v>
      </c>
      <c r="C212" s="667"/>
      <c r="D212" s="68" t="s">
        <v>390</v>
      </c>
      <c r="E212" s="679"/>
      <c r="F212" s="529">
        <f>VLOOKUP(D212,'Nov 2012 Revenue'!D:T,17,FALSE)</f>
        <v>0</v>
      </c>
      <c r="G212" s="680"/>
      <c r="H212" s="680"/>
      <c r="I212" s="755"/>
      <c r="J212" s="682">
        <f t="shared" si="33"/>
        <v>0</v>
      </c>
      <c r="K212" s="683"/>
      <c r="L212" s="684"/>
      <c r="M212" s="753"/>
      <c r="N212" s="683">
        <v>0</v>
      </c>
      <c r="O212" s="686"/>
      <c r="P212" s="683">
        <v>0</v>
      </c>
      <c r="Q212" s="687">
        <f t="shared" si="44"/>
        <v>0</v>
      </c>
      <c r="R212" s="688">
        <v>0</v>
      </c>
      <c r="S212" s="693"/>
      <c r="T212" s="690">
        <f t="shared" si="34"/>
        <v>0</v>
      </c>
      <c r="U212" s="683"/>
      <c r="V212" s="474">
        <f t="shared" si="35"/>
        <v>0</v>
      </c>
      <c r="W212" s="474">
        <f t="shared" si="36"/>
        <v>0</v>
      </c>
      <c r="X212" s="475">
        <f t="shared" si="37"/>
        <v>0</v>
      </c>
      <c r="Y212" s="475">
        <v>0</v>
      </c>
      <c r="Z212" s="476">
        <v>0</v>
      </c>
      <c r="AA212" s="38">
        <f t="shared" si="38"/>
        <v>0</v>
      </c>
      <c r="AB212" s="692">
        <f t="shared" si="30"/>
        <v>0</v>
      </c>
      <c r="AC212" s="692">
        <f t="shared" si="31"/>
        <v>0</v>
      </c>
      <c r="AD212" s="692">
        <f t="shared" si="32"/>
        <v>0</v>
      </c>
      <c r="AE212" s="38"/>
      <c r="AF212" s="692">
        <f t="shared" si="39"/>
        <v>0</v>
      </c>
      <c r="AG212" s="692">
        <f t="shared" si="40"/>
        <v>0</v>
      </c>
      <c r="AH212" s="692">
        <f t="shared" si="41"/>
        <v>0</v>
      </c>
      <c r="AJ212" s="38">
        <f t="shared" si="43"/>
        <v>0</v>
      </c>
    </row>
    <row r="213" spans="1:36">
      <c r="A213" s="20"/>
      <c r="B213" s="20" t="s">
        <v>110</v>
      </c>
      <c r="C213" s="667" t="s">
        <v>581</v>
      </c>
      <c r="D213" s="123" t="s">
        <v>166</v>
      </c>
      <c r="E213" s="679"/>
      <c r="F213" s="529">
        <f>VLOOKUP(D213,'Nov 2012 Revenue'!D:T,17,FALSE)</f>
        <v>0</v>
      </c>
      <c r="G213" s="680"/>
      <c r="H213" s="680"/>
      <c r="I213" s="755"/>
      <c r="J213" s="682">
        <f t="shared" ref="J213:J225" si="45">SUM(E213:I213)</f>
        <v>0</v>
      </c>
      <c r="K213" s="683"/>
      <c r="L213" s="684"/>
      <c r="M213" s="753"/>
      <c r="N213" s="683">
        <v>0</v>
      </c>
      <c r="O213" s="686"/>
      <c r="P213" s="683">
        <v>0</v>
      </c>
      <c r="Q213" s="687">
        <f t="shared" si="44"/>
        <v>0</v>
      </c>
      <c r="R213" s="688">
        <v>0</v>
      </c>
      <c r="S213" s="693"/>
      <c r="T213" s="690">
        <f t="shared" ref="T213:T225" si="46">IF(R213="","",R213-Q213)</f>
        <v>0</v>
      </c>
      <c r="U213" s="683"/>
      <c r="V213" s="474">
        <f t="shared" ref="V213:V225" si="47">IF(B213="D",Q213,0)</f>
        <v>0</v>
      </c>
      <c r="W213" s="474">
        <f t="shared" ref="W213:W225" si="48">IF(B213="M",Q213,0)</f>
        <v>0</v>
      </c>
      <c r="X213" s="475">
        <f t="shared" ref="X213:X225" si="49">IF(B213="V",Q213,0)</f>
        <v>0</v>
      </c>
      <c r="Y213" s="475">
        <v>0</v>
      </c>
      <c r="Z213" s="476">
        <v>0</v>
      </c>
      <c r="AA213" s="38">
        <f t="shared" ref="AA213:AA225" si="50">(L213+M213)-(V213+W213+X213+Y213+Z213)</f>
        <v>0</v>
      </c>
      <c r="AB213" s="692">
        <f t="shared" ref="AB213:AB225" si="51">IF(B213="D",J213,0)</f>
        <v>0</v>
      </c>
      <c r="AC213" s="692">
        <f t="shared" ref="AC213:AC225" si="52">IF(B213="M",J213,0)</f>
        <v>0</v>
      </c>
      <c r="AD213" s="692">
        <f t="shared" ref="AD213:AD225" si="53">IF(B213="V",J213,0)</f>
        <v>0</v>
      </c>
      <c r="AE213" s="38"/>
      <c r="AF213" s="692">
        <f t="shared" ref="AF213:AF225" si="54">IF(B213="D",Q213,0)</f>
        <v>0</v>
      </c>
      <c r="AG213" s="692">
        <f t="shared" ref="AG213:AG225" si="55">IF(B213="M",Q213,0)</f>
        <v>0</v>
      </c>
      <c r="AH213" s="692">
        <f t="shared" ref="AH213:AH225" si="56">IF(B213="V",Q213,0)</f>
        <v>0</v>
      </c>
      <c r="AJ213" s="38">
        <f t="shared" si="43"/>
        <v>0</v>
      </c>
    </row>
    <row r="214" spans="1:36">
      <c r="A214" s="20"/>
      <c r="B214" s="20" t="s">
        <v>109</v>
      </c>
      <c r="C214" s="667" t="s">
        <v>581</v>
      </c>
      <c r="D214" s="123" t="s">
        <v>165</v>
      </c>
      <c r="E214" s="679"/>
      <c r="F214" s="529">
        <f>VLOOKUP(D214,'Nov 2012 Revenue'!D:T,17,FALSE)</f>
        <v>0</v>
      </c>
      <c r="G214" s="680"/>
      <c r="H214" s="680"/>
      <c r="I214" s="755"/>
      <c r="J214" s="682">
        <f t="shared" si="45"/>
        <v>0</v>
      </c>
      <c r="K214" s="683"/>
      <c r="L214" s="684"/>
      <c r="M214" s="753"/>
      <c r="N214" s="683">
        <v>0</v>
      </c>
      <c r="O214" s="686"/>
      <c r="P214" s="683">
        <v>0</v>
      </c>
      <c r="Q214" s="687">
        <f t="shared" si="44"/>
        <v>0</v>
      </c>
      <c r="R214" s="688">
        <v>0</v>
      </c>
      <c r="S214" s="693"/>
      <c r="T214" s="690">
        <f t="shared" si="46"/>
        <v>0</v>
      </c>
      <c r="U214" s="683"/>
      <c r="V214" s="474">
        <f t="shared" si="47"/>
        <v>0</v>
      </c>
      <c r="W214" s="474">
        <f t="shared" si="48"/>
        <v>0</v>
      </c>
      <c r="X214" s="475">
        <f t="shared" si="49"/>
        <v>0</v>
      </c>
      <c r="Y214" s="475">
        <v>0</v>
      </c>
      <c r="Z214" s="476">
        <v>0</v>
      </c>
      <c r="AA214" s="38">
        <f t="shared" si="50"/>
        <v>0</v>
      </c>
      <c r="AB214" s="692">
        <f t="shared" si="51"/>
        <v>0</v>
      </c>
      <c r="AC214" s="692">
        <f t="shared" si="52"/>
        <v>0</v>
      </c>
      <c r="AD214" s="692">
        <f t="shared" si="53"/>
        <v>0</v>
      </c>
      <c r="AE214" s="38"/>
      <c r="AF214" s="692">
        <f t="shared" si="54"/>
        <v>0</v>
      </c>
      <c r="AG214" s="692">
        <f t="shared" si="55"/>
        <v>0</v>
      </c>
      <c r="AH214" s="692">
        <f t="shared" si="56"/>
        <v>0</v>
      </c>
      <c r="AJ214" s="38">
        <f t="shared" si="43"/>
        <v>0</v>
      </c>
    </row>
    <row r="215" spans="1:36">
      <c r="A215" s="20"/>
      <c r="B215" s="20" t="s">
        <v>109</v>
      </c>
      <c r="C215" s="667"/>
      <c r="D215" s="123" t="s">
        <v>310</v>
      </c>
      <c r="E215" s="679"/>
      <c r="F215" s="529">
        <f>VLOOKUP(D215,'Nov 2012 Revenue'!D:T,17,FALSE)</f>
        <v>0</v>
      </c>
      <c r="G215" s="680"/>
      <c r="H215" s="680"/>
      <c r="I215" s="755"/>
      <c r="J215" s="682">
        <f t="shared" si="45"/>
        <v>0</v>
      </c>
      <c r="K215" s="683"/>
      <c r="L215" s="684"/>
      <c r="M215" s="753"/>
      <c r="N215" s="683">
        <v>0</v>
      </c>
      <c r="O215" s="686"/>
      <c r="P215" s="683">
        <v>0</v>
      </c>
      <c r="Q215" s="687">
        <f t="shared" si="44"/>
        <v>0</v>
      </c>
      <c r="R215" s="688">
        <v>0</v>
      </c>
      <c r="S215" s="693"/>
      <c r="T215" s="690">
        <f t="shared" si="46"/>
        <v>0</v>
      </c>
      <c r="U215" s="683"/>
      <c r="V215" s="474">
        <f t="shared" si="47"/>
        <v>0</v>
      </c>
      <c r="W215" s="474">
        <f t="shared" si="48"/>
        <v>0</v>
      </c>
      <c r="X215" s="475">
        <f t="shared" si="49"/>
        <v>0</v>
      </c>
      <c r="Y215" s="475">
        <v>0</v>
      </c>
      <c r="Z215" s="476">
        <v>0</v>
      </c>
      <c r="AA215" s="38">
        <f t="shared" si="50"/>
        <v>0</v>
      </c>
      <c r="AB215" s="692">
        <f t="shared" si="51"/>
        <v>0</v>
      </c>
      <c r="AC215" s="692">
        <f t="shared" si="52"/>
        <v>0</v>
      </c>
      <c r="AD215" s="692">
        <f t="shared" si="53"/>
        <v>0</v>
      </c>
      <c r="AE215" s="38"/>
      <c r="AF215" s="692">
        <f t="shared" si="54"/>
        <v>0</v>
      </c>
      <c r="AG215" s="692">
        <f t="shared" si="55"/>
        <v>0</v>
      </c>
      <c r="AH215" s="692">
        <f t="shared" si="56"/>
        <v>0</v>
      </c>
      <c r="AJ215" s="38">
        <f t="shared" ref="AJ215:AJ225" si="57">SUM(AB215:AH215)</f>
        <v>0</v>
      </c>
    </row>
    <row r="216" spans="1:36">
      <c r="A216" s="20"/>
      <c r="B216" s="20" t="s">
        <v>109</v>
      </c>
      <c r="C216" s="667"/>
      <c r="D216" s="123" t="s">
        <v>441</v>
      </c>
      <c r="E216" s="679"/>
      <c r="F216" s="529">
        <f>VLOOKUP(D216,'Nov 2012 Revenue'!D:T,17,FALSE)</f>
        <v>0</v>
      </c>
      <c r="G216" s="680"/>
      <c r="H216" s="680"/>
      <c r="I216" s="755"/>
      <c r="J216" s="682">
        <f t="shared" si="45"/>
        <v>0</v>
      </c>
      <c r="K216" s="683"/>
      <c r="L216" s="684"/>
      <c r="M216" s="753"/>
      <c r="N216" s="683">
        <v>0</v>
      </c>
      <c r="O216" s="686"/>
      <c r="P216" s="683">
        <v>0</v>
      </c>
      <c r="Q216" s="687">
        <f t="shared" si="44"/>
        <v>0</v>
      </c>
      <c r="R216" s="688">
        <v>0</v>
      </c>
      <c r="S216" s="693"/>
      <c r="T216" s="690">
        <f t="shared" si="46"/>
        <v>0</v>
      </c>
      <c r="U216" s="683"/>
      <c r="V216" s="474">
        <f t="shared" si="47"/>
        <v>0</v>
      </c>
      <c r="W216" s="474">
        <f t="shared" si="48"/>
        <v>0</v>
      </c>
      <c r="X216" s="475">
        <f t="shared" si="49"/>
        <v>0</v>
      </c>
      <c r="Y216" s="475">
        <v>0</v>
      </c>
      <c r="Z216" s="476">
        <v>0</v>
      </c>
      <c r="AA216" s="38">
        <f t="shared" si="50"/>
        <v>0</v>
      </c>
      <c r="AB216" s="692">
        <f t="shared" si="51"/>
        <v>0</v>
      </c>
      <c r="AC216" s="692">
        <f t="shared" si="52"/>
        <v>0</v>
      </c>
      <c r="AD216" s="692">
        <f t="shared" si="53"/>
        <v>0</v>
      </c>
      <c r="AE216" s="38"/>
      <c r="AF216" s="692">
        <f t="shared" si="54"/>
        <v>0</v>
      </c>
      <c r="AG216" s="692">
        <f t="shared" si="55"/>
        <v>0</v>
      </c>
      <c r="AH216" s="692">
        <f t="shared" si="56"/>
        <v>0</v>
      </c>
      <c r="AJ216" s="38">
        <f t="shared" si="57"/>
        <v>0</v>
      </c>
    </row>
    <row r="217" spans="1:36">
      <c r="A217" s="20"/>
      <c r="B217" s="20" t="s">
        <v>109</v>
      </c>
      <c r="C217" s="667"/>
      <c r="D217" s="68" t="s">
        <v>121</v>
      </c>
      <c r="E217" s="679"/>
      <c r="F217" s="529">
        <f>VLOOKUP(D217,'Nov 2012 Revenue'!D:T,17,FALSE)</f>
        <v>0</v>
      </c>
      <c r="G217" s="680"/>
      <c r="H217" s="680"/>
      <c r="I217" s="755"/>
      <c r="J217" s="682">
        <f t="shared" si="45"/>
        <v>0</v>
      </c>
      <c r="K217" s="683"/>
      <c r="L217" s="684"/>
      <c r="M217" s="753"/>
      <c r="N217" s="683">
        <v>0</v>
      </c>
      <c r="O217" s="686"/>
      <c r="P217" s="683">
        <v>0</v>
      </c>
      <c r="Q217" s="687">
        <f t="shared" si="44"/>
        <v>0</v>
      </c>
      <c r="R217" s="688">
        <v>0</v>
      </c>
      <c r="S217" s="693"/>
      <c r="T217" s="690">
        <f t="shared" si="46"/>
        <v>0</v>
      </c>
      <c r="U217" s="683"/>
      <c r="V217" s="474">
        <f t="shared" si="47"/>
        <v>0</v>
      </c>
      <c r="W217" s="474">
        <f t="shared" si="48"/>
        <v>0</v>
      </c>
      <c r="X217" s="475">
        <f t="shared" si="49"/>
        <v>0</v>
      </c>
      <c r="Y217" s="475">
        <v>0</v>
      </c>
      <c r="Z217" s="476">
        <v>0</v>
      </c>
      <c r="AA217" s="38">
        <f t="shared" si="50"/>
        <v>0</v>
      </c>
      <c r="AB217" s="692">
        <f t="shared" si="51"/>
        <v>0</v>
      </c>
      <c r="AC217" s="692">
        <f t="shared" si="52"/>
        <v>0</v>
      </c>
      <c r="AD217" s="692">
        <f t="shared" si="53"/>
        <v>0</v>
      </c>
      <c r="AE217" s="38"/>
      <c r="AF217" s="692">
        <f t="shared" si="54"/>
        <v>0</v>
      </c>
      <c r="AG217" s="692">
        <f t="shared" si="55"/>
        <v>0</v>
      </c>
      <c r="AH217" s="692">
        <f t="shared" si="56"/>
        <v>0</v>
      </c>
      <c r="AJ217" s="38">
        <f t="shared" si="57"/>
        <v>0</v>
      </c>
    </row>
    <row r="218" spans="1:36">
      <c r="A218" s="20"/>
      <c r="B218" s="20" t="s">
        <v>110</v>
      </c>
      <c r="C218" s="667"/>
      <c r="D218" s="68" t="s">
        <v>168</v>
      </c>
      <c r="E218" s="679"/>
      <c r="F218" s="529">
        <f>VLOOKUP(D218,'Nov 2012 Revenue'!D:T,17,FALSE)</f>
        <v>0</v>
      </c>
      <c r="G218" s="680"/>
      <c r="H218" s="680"/>
      <c r="I218" s="755"/>
      <c r="J218" s="682">
        <f t="shared" si="45"/>
        <v>0</v>
      </c>
      <c r="K218" s="683"/>
      <c r="L218" s="684"/>
      <c r="M218" s="753"/>
      <c r="N218" s="683">
        <v>0</v>
      </c>
      <c r="O218" s="686"/>
      <c r="P218" s="683">
        <v>0</v>
      </c>
      <c r="Q218" s="687">
        <f t="shared" si="44"/>
        <v>0</v>
      </c>
      <c r="R218" s="688">
        <v>0</v>
      </c>
      <c r="S218" s="693"/>
      <c r="T218" s="690">
        <f t="shared" si="46"/>
        <v>0</v>
      </c>
      <c r="U218" s="683"/>
      <c r="V218" s="474">
        <f t="shared" si="47"/>
        <v>0</v>
      </c>
      <c r="W218" s="474">
        <f t="shared" si="48"/>
        <v>0</v>
      </c>
      <c r="X218" s="475">
        <f t="shared" si="49"/>
        <v>0</v>
      </c>
      <c r="Y218" s="475">
        <v>0</v>
      </c>
      <c r="Z218" s="476">
        <v>0</v>
      </c>
      <c r="AA218" s="38">
        <f t="shared" si="50"/>
        <v>0</v>
      </c>
      <c r="AB218" s="692">
        <f t="shared" si="51"/>
        <v>0</v>
      </c>
      <c r="AC218" s="692">
        <f t="shared" si="52"/>
        <v>0</v>
      </c>
      <c r="AD218" s="692">
        <f t="shared" si="53"/>
        <v>0</v>
      </c>
      <c r="AE218" s="38"/>
      <c r="AF218" s="692">
        <f t="shared" si="54"/>
        <v>0</v>
      </c>
      <c r="AG218" s="692">
        <f t="shared" si="55"/>
        <v>0</v>
      </c>
      <c r="AH218" s="692">
        <f t="shared" si="56"/>
        <v>0</v>
      </c>
      <c r="AJ218" s="38">
        <f t="shared" si="57"/>
        <v>0</v>
      </c>
    </row>
    <row r="219" spans="1:36">
      <c r="A219" s="20"/>
      <c r="B219" s="20" t="s">
        <v>109</v>
      </c>
      <c r="C219" s="667" t="s">
        <v>582</v>
      </c>
      <c r="D219" s="68" t="s">
        <v>167</v>
      </c>
      <c r="E219" s="679"/>
      <c r="F219" s="529">
        <f>VLOOKUP(D219,'Nov 2012 Revenue'!D:T,17,FALSE)</f>
        <v>0</v>
      </c>
      <c r="G219" s="680"/>
      <c r="H219" s="680"/>
      <c r="I219" s="755"/>
      <c r="J219" s="682">
        <f t="shared" si="45"/>
        <v>0</v>
      </c>
      <c r="K219" s="683"/>
      <c r="L219" s="684"/>
      <c r="M219" s="753"/>
      <c r="N219" s="683">
        <v>0</v>
      </c>
      <c r="O219" s="686"/>
      <c r="P219" s="683">
        <v>0</v>
      </c>
      <c r="Q219" s="687">
        <f t="shared" si="44"/>
        <v>0</v>
      </c>
      <c r="R219" s="688">
        <v>0</v>
      </c>
      <c r="S219" s="693"/>
      <c r="T219" s="690">
        <f t="shared" si="46"/>
        <v>0</v>
      </c>
      <c r="U219" s="683"/>
      <c r="V219" s="474">
        <f t="shared" si="47"/>
        <v>0</v>
      </c>
      <c r="W219" s="474">
        <f t="shared" si="48"/>
        <v>0</v>
      </c>
      <c r="X219" s="475">
        <f t="shared" si="49"/>
        <v>0</v>
      </c>
      <c r="Y219" s="475">
        <v>0</v>
      </c>
      <c r="Z219" s="476">
        <v>0</v>
      </c>
      <c r="AA219" s="38">
        <f t="shared" si="50"/>
        <v>0</v>
      </c>
      <c r="AB219" s="692">
        <f t="shared" si="51"/>
        <v>0</v>
      </c>
      <c r="AC219" s="692">
        <f t="shared" si="52"/>
        <v>0</v>
      </c>
      <c r="AD219" s="692">
        <f t="shared" si="53"/>
        <v>0</v>
      </c>
      <c r="AE219" s="38"/>
      <c r="AF219" s="692">
        <f t="shared" si="54"/>
        <v>0</v>
      </c>
      <c r="AG219" s="692">
        <f t="shared" si="55"/>
        <v>0</v>
      </c>
      <c r="AH219" s="692">
        <f t="shared" si="56"/>
        <v>0</v>
      </c>
      <c r="AJ219" s="38">
        <f t="shared" si="57"/>
        <v>0</v>
      </c>
    </row>
    <row r="220" spans="1:36">
      <c r="A220" s="20" t="s">
        <v>218</v>
      </c>
      <c r="B220" s="20" t="s">
        <v>110</v>
      </c>
      <c r="C220" s="667"/>
      <c r="D220" s="68" t="s">
        <v>60</v>
      </c>
      <c r="E220" s="679"/>
      <c r="F220" s="529">
        <f>VLOOKUP(D220,'Nov 2012 Revenue'!D:T,17,FALSE)</f>
        <v>-5000</v>
      </c>
      <c r="G220" s="680"/>
      <c r="H220" s="680"/>
      <c r="I220" s="755"/>
      <c r="J220" s="682">
        <f t="shared" si="45"/>
        <v>-5000</v>
      </c>
      <c r="K220" s="683"/>
      <c r="L220" s="684"/>
      <c r="M220" s="753">
        <v>8000</v>
      </c>
      <c r="N220" s="683">
        <v>0</v>
      </c>
      <c r="O220" s="686"/>
      <c r="P220" s="683">
        <v>0</v>
      </c>
      <c r="Q220" s="687">
        <f t="shared" si="44"/>
        <v>8000</v>
      </c>
      <c r="R220" s="688">
        <v>0</v>
      </c>
      <c r="S220" s="693"/>
      <c r="T220" s="690">
        <f t="shared" si="46"/>
        <v>-8000</v>
      </c>
      <c r="U220" s="697"/>
      <c r="V220" s="474">
        <f t="shared" si="47"/>
        <v>8000</v>
      </c>
      <c r="W220" s="474">
        <f t="shared" si="48"/>
        <v>0</v>
      </c>
      <c r="X220" s="475">
        <f t="shared" si="49"/>
        <v>0</v>
      </c>
      <c r="Y220" s="475">
        <v>0</v>
      </c>
      <c r="Z220" s="476">
        <v>0</v>
      </c>
      <c r="AA220" s="38">
        <f t="shared" si="50"/>
        <v>0</v>
      </c>
      <c r="AB220" s="692">
        <f t="shared" si="51"/>
        <v>-5000</v>
      </c>
      <c r="AC220" s="692">
        <f t="shared" si="52"/>
        <v>0</v>
      </c>
      <c r="AD220" s="692">
        <f t="shared" si="53"/>
        <v>0</v>
      </c>
      <c r="AE220" s="38"/>
      <c r="AF220" s="692">
        <f t="shared" si="54"/>
        <v>8000</v>
      </c>
      <c r="AG220" s="692">
        <f t="shared" si="55"/>
        <v>0</v>
      </c>
      <c r="AH220" s="692">
        <f t="shared" si="56"/>
        <v>0</v>
      </c>
      <c r="AJ220" s="38">
        <f t="shared" si="57"/>
        <v>3000</v>
      </c>
    </row>
    <row r="221" spans="1:36">
      <c r="A221" s="20"/>
      <c r="B221" s="20" t="s">
        <v>110</v>
      </c>
      <c r="C221" s="667" t="s">
        <v>583</v>
      </c>
      <c r="D221" s="68" t="s">
        <v>169</v>
      </c>
      <c r="E221" s="679"/>
      <c r="F221" s="529">
        <f>VLOOKUP(D221,'Nov 2012 Revenue'!D:T,17,FALSE)</f>
        <v>0</v>
      </c>
      <c r="G221" s="680"/>
      <c r="H221" s="680"/>
      <c r="I221" s="770">
        <v>216.4</v>
      </c>
      <c r="J221" s="682">
        <f t="shared" si="45"/>
        <v>216.4</v>
      </c>
      <c r="K221" s="683"/>
      <c r="L221" s="684"/>
      <c r="M221" s="753"/>
      <c r="N221" s="683">
        <v>0</v>
      </c>
      <c r="O221" s="686"/>
      <c r="P221" s="683">
        <v>0</v>
      </c>
      <c r="Q221" s="687">
        <f t="shared" si="44"/>
        <v>0</v>
      </c>
      <c r="R221" s="688">
        <v>0</v>
      </c>
      <c r="S221" s="693"/>
      <c r="T221" s="690">
        <f t="shared" si="46"/>
        <v>0</v>
      </c>
      <c r="U221" s="683"/>
      <c r="V221" s="474">
        <f t="shared" si="47"/>
        <v>0</v>
      </c>
      <c r="W221" s="474">
        <f t="shared" si="48"/>
        <v>0</v>
      </c>
      <c r="X221" s="475">
        <f t="shared" si="49"/>
        <v>0</v>
      </c>
      <c r="Y221" s="475">
        <v>0</v>
      </c>
      <c r="Z221" s="476">
        <v>0</v>
      </c>
      <c r="AA221" s="38">
        <f t="shared" si="50"/>
        <v>0</v>
      </c>
      <c r="AB221" s="692">
        <f t="shared" si="51"/>
        <v>216.4</v>
      </c>
      <c r="AC221" s="692">
        <f t="shared" si="52"/>
        <v>0</v>
      </c>
      <c r="AD221" s="692">
        <f t="shared" si="53"/>
        <v>0</v>
      </c>
      <c r="AE221" s="38"/>
      <c r="AF221" s="692">
        <f t="shared" si="54"/>
        <v>0</v>
      </c>
      <c r="AG221" s="692">
        <f t="shared" si="55"/>
        <v>0</v>
      </c>
      <c r="AH221" s="692">
        <f t="shared" si="56"/>
        <v>0</v>
      </c>
      <c r="AJ221" s="38">
        <f t="shared" si="57"/>
        <v>216.4</v>
      </c>
    </row>
    <row r="222" spans="1:36">
      <c r="A222" s="21"/>
      <c r="B222" s="21" t="s">
        <v>110</v>
      </c>
      <c r="C222" s="666"/>
      <c r="D222" s="68" t="s">
        <v>590</v>
      </c>
      <c r="E222" s="679"/>
      <c r="F222" s="529">
        <f>VLOOKUP(D222,'Nov 2012 Revenue'!D:T,17,FALSE)</f>
        <v>0</v>
      </c>
      <c r="G222" s="680"/>
      <c r="H222" s="680"/>
      <c r="I222" s="755"/>
      <c r="J222" s="682">
        <f t="shared" si="45"/>
        <v>0</v>
      </c>
      <c r="K222" s="683"/>
      <c r="L222" s="684"/>
      <c r="M222" s="753"/>
      <c r="N222" s="683">
        <v>0</v>
      </c>
      <c r="O222" s="686"/>
      <c r="P222" s="683">
        <v>0</v>
      </c>
      <c r="Q222" s="687">
        <f t="shared" si="44"/>
        <v>0</v>
      </c>
      <c r="R222" s="688">
        <v>0</v>
      </c>
      <c r="S222" s="693"/>
      <c r="T222" s="690">
        <f t="shared" si="46"/>
        <v>0</v>
      </c>
      <c r="U222" s="683"/>
      <c r="V222" s="474">
        <f t="shared" si="47"/>
        <v>0</v>
      </c>
      <c r="W222" s="474">
        <f t="shared" si="48"/>
        <v>0</v>
      </c>
      <c r="X222" s="475">
        <f t="shared" si="49"/>
        <v>0</v>
      </c>
      <c r="Y222" s="475">
        <v>0</v>
      </c>
      <c r="Z222" s="476">
        <v>0</v>
      </c>
      <c r="AA222" s="38">
        <f t="shared" si="50"/>
        <v>0</v>
      </c>
      <c r="AB222" s="692">
        <f t="shared" si="51"/>
        <v>0</v>
      </c>
      <c r="AC222" s="692">
        <f t="shared" ref="AC222" si="58">IF(B222="M",J222,0)</f>
        <v>0</v>
      </c>
      <c r="AD222" s="692">
        <f t="shared" ref="AD222" si="59">IF(B222="V",J222,0)</f>
        <v>0</v>
      </c>
      <c r="AE222" s="38"/>
      <c r="AF222" s="692">
        <f t="shared" si="54"/>
        <v>0</v>
      </c>
      <c r="AG222" s="692">
        <f t="shared" si="55"/>
        <v>0</v>
      </c>
      <c r="AH222" s="692">
        <f t="shared" si="56"/>
        <v>0</v>
      </c>
      <c r="AJ222" s="38">
        <f t="shared" si="57"/>
        <v>0</v>
      </c>
    </row>
    <row r="223" spans="1:36">
      <c r="A223" s="21"/>
      <c r="B223" s="21" t="s">
        <v>114</v>
      </c>
      <c r="C223" s="666"/>
      <c r="D223" s="68" t="s">
        <v>591</v>
      </c>
      <c r="E223" s="679">
        <v>562.66</v>
      </c>
      <c r="F223" s="529">
        <f>VLOOKUP(D223,'Nov 2012 Revenue'!D:T,17,FALSE)</f>
        <v>2285.54</v>
      </c>
      <c r="G223" s="680"/>
      <c r="H223" s="680"/>
      <c r="I223" s="755"/>
      <c r="J223" s="682">
        <f t="shared" si="45"/>
        <v>2848.2</v>
      </c>
      <c r="K223" s="683"/>
      <c r="L223" s="684"/>
      <c r="M223" s="753"/>
      <c r="N223" s="683">
        <v>0</v>
      </c>
      <c r="O223" s="686"/>
      <c r="P223" s="683">
        <v>0</v>
      </c>
      <c r="Q223" s="687">
        <f t="shared" si="44"/>
        <v>0</v>
      </c>
      <c r="R223" s="688">
        <f>1475.63+463.34+548.5+331.53</f>
        <v>2819</v>
      </c>
      <c r="S223" s="693"/>
      <c r="T223" s="690">
        <f t="shared" si="46"/>
        <v>2819</v>
      </c>
      <c r="U223" s="683"/>
      <c r="V223" s="474">
        <f t="shared" si="47"/>
        <v>0</v>
      </c>
      <c r="W223" s="474">
        <f t="shared" si="48"/>
        <v>0</v>
      </c>
      <c r="X223" s="475">
        <f t="shared" si="49"/>
        <v>0</v>
      </c>
      <c r="Y223" s="475">
        <v>0</v>
      </c>
      <c r="Z223" s="476">
        <v>0</v>
      </c>
      <c r="AA223" s="38">
        <f t="shared" si="50"/>
        <v>0</v>
      </c>
      <c r="AB223" s="692">
        <f t="shared" si="51"/>
        <v>0</v>
      </c>
      <c r="AC223" s="692">
        <f t="shared" si="52"/>
        <v>0</v>
      </c>
      <c r="AD223" s="692">
        <f t="shared" si="53"/>
        <v>2848.2</v>
      </c>
      <c r="AE223" s="38"/>
      <c r="AF223" s="692">
        <f t="shared" si="54"/>
        <v>0</v>
      </c>
      <c r="AG223" s="692">
        <f t="shared" si="55"/>
        <v>0</v>
      </c>
      <c r="AH223" s="692">
        <f t="shared" si="56"/>
        <v>0</v>
      </c>
      <c r="AJ223" s="38">
        <f t="shared" si="57"/>
        <v>2848.2</v>
      </c>
    </row>
    <row r="224" spans="1:36">
      <c r="A224" s="21"/>
      <c r="B224" s="21" t="s">
        <v>114</v>
      </c>
      <c r="C224" s="672"/>
      <c r="D224" s="519" t="s">
        <v>433</v>
      </c>
      <c r="E224" s="679"/>
      <c r="F224" s="529">
        <f>VLOOKUP(D224,'Nov 2012 Revenue'!D:T,17,FALSE)</f>
        <v>0</v>
      </c>
      <c r="G224" s="680"/>
      <c r="H224" s="680"/>
      <c r="I224" s="755"/>
      <c r="J224" s="682">
        <f t="shared" si="45"/>
        <v>0</v>
      </c>
      <c r="K224" s="683"/>
      <c r="L224" s="684"/>
      <c r="M224" s="753"/>
      <c r="N224" s="683">
        <v>0</v>
      </c>
      <c r="O224" s="686"/>
      <c r="P224" s="683">
        <v>0</v>
      </c>
      <c r="Q224" s="687">
        <f t="shared" si="44"/>
        <v>0</v>
      </c>
      <c r="R224" s="688">
        <v>0</v>
      </c>
      <c r="S224" s="693"/>
      <c r="T224" s="690">
        <f t="shared" si="46"/>
        <v>0</v>
      </c>
      <c r="U224" s="683"/>
      <c r="V224" s="474">
        <f t="shared" si="47"/>
        <v>0</v>
      </c>
      <c r="W224" s="474">
        <f t="shared" si="48"/>
        <v>0</v>
      </c>
      <c r="X224" s="475">
        <f t="shared" si="49"/>
        <v>0</v>
      </c>
      <c r="Y224" s="475">
        <v>0</v>
      </c>
      <c r="Z224" s="476">
        <v>0</v>
      </c>
      <c r="AA224" s="38">
        <f t="shared" si="50"/>
        <v>0</v>
      </c>
      <c r="AB224" s="692">
        <f t="shared" si="51"/>
        <v>0</v>
      </c>
      <c r="AC224" s="692">
        <f t="shared" si="52"/>
        <v>0</v>
      </c>
      <c r="AD224" s="692">
        <f t="shared" si="53"/>
        <v>0</v>
      </c>
      <c r="AE224" s="38"/>
      <c r="AF224" s="692">
        <f t="shared" si="54"/>
        <v>0</v>
      </c>
      <c r="AG224" s="692">
        <f t="shared" si="55"/>
        <v>0</v>
      </c>
      <c r="AH224" s="692">
        <f t="shared" si="56"/>
        <v>0</v>
      </c>
      <c r="AJ224" s="38">
        <f t="shared" si="57"/>
        <v>0</v>
      </c>
    </row>
    <row r="225" spans="1:36" s="146" customFormat="1" ht="13" thickBot="1">
      <c r="A225" s="21"/>
      <c r="B225" s="21" t="s">
        <v>110</v>
      </c>
      <c r="C225" s="666"/>
      <c r="D225" s="68" t="s">
        <v>593</v>
      </c>
      <c r="E225" s="679"/>
      <c r="F225" s="529">
        <f>VLOOKUP(D225,'Nov 2012 Revenue'!D:T,17,FALSE)</f>
        <v>0</v>
      </c>
      <c r="G225" s="680"/>
      <c r="H225" s="680"/>
      <c r="I225" s="755"/>
      <c r="J225" s="682">
        <f t="shared" si="45"/>
        <v>0</v>
      </c>
      <c r="K225" s="683"/>
      <c r="L225" s="684"/>
      <c r="M225" s="753"/>
      <c r="N225" s="683">
        <v>0</v>
      </c>
      <c r="O225" s="686"/>
      <c r="P225" s="683">
        <v>0</v>
      </c>
      <c r="Q225" s="687">
        <f t="shared" si="44"/>
        <v>0</v>
      </c>
      <c r="R225" s="688">
        <v>0</v>
      </c>
      <c r="S225" s="693"/>
      <c r="T225" s="690">
        <f t="shared" si="46"/>
        <v>0</v>
      </c>
      <c r="U225" s="683"/>
      <c r="V225" s="474">
        <f t="shared" si="47"/>
        <v>0</v>
      </c>
      <c r="W225" s="474">
        <f t="shared" si="48"/>
        <v>0</v>
      </c>
      <c r="X225" s="475">
        <f t="shared" si="49"/>
        <v>0</v>
      </c>
      <c r="Y225" s="475">
        <v>0</v>
      </c>
      <c r="Z225" s="476">
        <v>0</v>
      </c>
      <c r="AA225" s="38">
        <f t="shared" si="50"/>
        <v>0</v>
      </c>
      <c r="AB225" s="692">
        <f t="shared" si="51"/>
        <v>0</v>
      </c>
      <c r="AC225" s="692">
        <f t="shared" si="52"/>
        <v>0</v>
      </c>
      <c r="AD225" s="692">
        <f t="shared" si="53"/>
        <v>0</v>
      </c>
      <c r="AE225" s="38"/>
      <c r="AF225" s="692">
        <f t="shared" si="54"/>
        <v>0</v>
      </c>
      <c r="AG225" s="692">
        <f t="shared" si="55"/>
        <v>0</v>
      </c>
      <c r="AH225" s="692">
        <f t="shared" si="56"/>
        <v>0</v>
      </c>
      <c r="AJ225" s="38">
        <f t="shared" si="57"/>
        <v>0</v>
      </c>
    </row>
    <row r="226" spans="1:36" ht="13" thickBot="1">
      <c r="A226" s="107"/>
      <c r="B226" s="108"/>
      <c r="C226" s="673"/>
      <c r="D226" s="71" t="s">
        <v>86</v>
      </c>
      <c r="E226" s="454">
        <f t="shared" ref="E226:J226" si="60">SUM(E16:E225)</f>
        <v>430199.93</v>
      </c>
      <c r="F226" s="454">
        <f t="shared" si="60"/>
        <v>-344262.80000000016</v>
      </c>
      <c r="G226" s="454">
        <f t="shared" si="60"/>
        <v>0</v>
      </c>
      <c r="H226" s="454">
        <f t="shared" si="60"/>
        <v>0</v>
      </c>
      <c r="I226" s="454">
        <f t="shared" si="60"/>
        <v>6219624.7700000014</v>
      </c>
      <c r="J226" s="454">
        <f t="shared" si="60"/>
        <v>6305561.9000000022</v>
      </c>
      <c r="K226" s="454"/>
      <c r="L226" s="454">
        <f>SUM(L16:L225)</f>
        <v>448835</v>
      </c>
      <c r="M226" s="454">
        <f>SUM(M16:M225)</f>
        <v>2547000</v>
      </c>
      <c r="N226" s="454">
        <f>SUM(N16:N225)</f>
        <v>0</v>
      </c>
      <c r="O226" s="100">
        <f>SUM(O16:O225)</f>
        <v>0</v>
      </c>
      <c r="P226" s="157">
        <f>SUM(P17:P225)</f>
        <v>0</v>
      </c>
      <c r="Q226" s="100">
        <f>SUM(Q16:Q225)</f>
        <v>2995835</v>
      </c>
      <c r="R226" s="100">
        <f>SUM(R16:R225)</f>
        <v>2754631.1400000006</v>
      </c>
      <c r="S226" s="708"/>
      <c r="T226" s="100">
        <f>SUM(T16:T225)</f>
        <v>-241203.86000000004</v>
      </c>
      <c r="U226" s="683"/>
      <c r="V226" s="314">
        <f>SUM(V16:V225)</f>
        <v>2698075</v>
      </c>
      <c r="W226" s="314">
        <f>SUM(W16:W225)</f>
        <v>245000</v>
      </c>
      <c r="X226" s="314">
        <f>SUM(X16:X225)</f>
        <v>52760</v>
      </c>
      <c r="Y226" s="314">
        <f>SUM(Y16:Y225)</f>
        <v>0</v>
      </c>
      <c r="Z226" s="314">
        <f>SUM(Z16:Z225)</f>
        <v>0</v>
      </c>
      <c r="AA226" s="38"/>
      <c r="AB226" s="314">
        <f>SUM(AB16:AB225)</f>
        <v>5978369.3700000001</v>
      </c>
      <c r="AC226" s="314">
        <f>SUM(AC16:AC225)</f>
        <v>298313.59999999998</v>
      </c>
      <c r="AD226" s="314">
        <f>SUM(AD16:AD225)</f>
        <v>28878.930000000004</v>
      </c>
      <c r="AE226" s="38"/>
      <c r="AF226" s="314">
        <f>SUM(AF16:AF225)</f>
        <v>2698075</v>
      </c>
      <c r="AG226" s="314">
        <f>SUM(AG16:AG225)</f>
        <v>245000</v>
      </c>
      <c r="AH226" s="314">
        <f>SUM(AH16:AH225)</f>
        <v>52760</v>
      </c>
    </row>
    <row r="227" spans="1:36" ht="13" thickBot="1">
      <c r="A227" s="65"/>
      <c r="B227" s="65"/>
      <c r="C227" s="674"/>
      <c r="D227" s="141"/>
      <c r="E227" s="709" t="s">
        <v>293</v>
      </c>
      <c r="F227" s="160">
        <f>F226-E226</f>
        <v>-774462.73000000021</v>
      </c>
      <c r="G227" s="153"/>
      <c r="H227" s="153" t="s">
        <v>225</v>
      </c>
      <c r="I227" s="153">
        <f>I226+H226+G226</f>
        <v>6219624.7700000014</v>
      </c>
      <c r="J227" s="323"/>
      <c r="K227" s="153"/>
      <c r="L227" s="153" t="s">
        <v>296</v>
      </c>
      <c r="M227" s="100">
        <f>M226+L226</f>
        <v>2995835</v>
      </c>
      <c r="N227" s="153"/>
      <c r="O227" s="641"/>
      <c r="P227" s="153"/>
      <c r="Q227" s="153"/>
      <c r="R227" s="153"/>
      <c r="S227" s="153"/>
      <c r="T227" s="153"/>
      <c r="U227" s="153"/>
      <c r="V227" s="139"/>
      <c r="W227" s="139"/>
      <c r="X227" s="139"/>
      <c r="Y227" s="139"/>
      <c r="Z227" s="104"/>
      <c r="AA227" s="38"/>
      <c r="AB227" s="711"/>
      <c r="AC227" s="711"/>
      <c r="AD227" s="711"/>
      <c r="AE227" s="38"/>
      <c r="AF227" s="38"/>
      <c r="AG227" s="38"/>
      <c r="AH227" s="38"/>
    </row>
    <row r="228" spans="1:36" ht="13" thickBot="1">
      <c r="A228" s="65"/>
      <c r="B228" s="65"/>
      <c r="C228" s="674"/>
      <c r="E228" s="159"/>
      <c r="F228" s="153"/>
      <c r="G228" s="153"/>
      <c r="H228" s="153"/>
      <c r="I228" s="153"/>
      <c r="J228" s="153"/>
      <c r="K228" s="153"/>
      <c r="L228" s="153"/>
      <c r="M228" s="710"/>
      <c r="N228" s="153"/>
      <c r="O228" s="153"/>
      <c r="P228" s="153"/>
      <c r="Q228" s="153"/>
      <c r="R228" s="153"/>
      <c r="S228" s="153"/>
      <c r="T228" s="153"/>
      <c r="U228" s="153"/>
      <c r="V228" s="331" t="s">
        <v>345</v>
      </c>
      <c r="W228" s="139"/>
      <c r="X228" s="139"/>
      <c r="Y228" s="139"/>
      <c r="Z228" s="104"/>
      <c r="AA228" s="164" t="s">
        <v>633</v>
      </c>
      <c r="AB228" s="798">
        <v>-37028.89</v>
      </c>
      <c r="AC228" s="798"/>
      <c r="AD228" s="798">
        <f>-SUM(AB228)</f>
        <v>37028.89</v>
      </c>
      <c r="AE228" s="38"/>
      <c r="AF228" s="711"/>
      <c r="AG228" s="711"/>
      <c r="AH228" s="711"/>
    </row>
    <row r="229" spans="1:36" ht="17" thickTop="1" thickBot="1">
      <c r="E229" s="712"/>
      <c r="F229" s="713"/>
      <c r="G229" s="714"/>
      <c r="H229" s="715"/>
      <c r="I229" s="715"/>
      <c r="J229" s="164"/>
      <c r="K229" s="169"/>
      <c r="L229" s="233"/>
      <c r="M229" s="233"/>
      <c r="N229" s="38"/>
      <c r="O229" s="642"/>
      <c r="P229" s="139"/>
      <c r="Q229" s="139"/>
      <c r="R229" s="33"/>
      <c r="S229" s="33"/>
      <c r="T229" s="33"/>
      <c r="U229" s="169"/>
      <c r="V229" s="332"/>
      <c r="W229" s="333"/>
      <c r="X229" s="491"/>
      <c r="Y229" s="491"/>
      <c r="Z229" s="334"/>
      <c r="AA229" s="164" t="s">
        <v>634</v>
      </c>
      <c r="AB229" s="798">
        <v>-182506.558769464</v>
      </c>
      <c r="AC229" s="798"/>
      <c r="AD229" s="798">
        <f>-SUM(AB229)</f>
        <v>182506.558769464</v>
      </c>
      <c r="AE229" s="38"/>
      <c r="AF229" s="38"/>
      <c r="AG229" s="38"/>
      <c r="AH229" s="38"/>
    </row>
    <row r="230" spans="1:36" ht="17" thickBot="1">
      <c r="E230" s="712"/>
      <c r="F230" s="713"/>
      <c r="G230" s="714"/>
      <c r="H230" s="715"/>
      <c r="J230" s="79">
        <f>J226</f>
        <v>6305561.9000000022</v>
      </c>
      <c r="K230" s="715" t="s">
        <v>887</v>
      </c>
      <c r="L230" s="169"/>
      <c r="M230" s="493"/>
      <c r="N230" s="38"/>
      <c r="O230" s="80"/>
      <c r="P230" s="104"/>
      <c r="Q230" s="139"/>
      <c r="R230" s="33"/>
      <c r="S230" s="33"/>
      <c r="T230" s="33"/>
      <c r="U230" s="169"/>
      <c r="V230" s="487"/>
      <c r="W230" s="488"/>
      <c r="X230" s="492" t="s">
        <v>399</v>
      </c>
      <c r="Y230" s="492" t="s">
        <v>400</v>
      </c>
      <c r="Z230" s="488"/>
      <c r="AA230" s="717" t="s">
        <v>475</v>
      </c>
      <c r="AB230" s="718">
        <f>SUM(AB226:AB229)</f>
        <v>5758833.9212305369</v>
      </c>
      <c r="AC230" s="718">
        <f>AC226</f>
        <v>298313.59999999998</v>
      </c>
      <c r="AD230" s="718">
        <f>SUM(AD226:AD229)</f>
        <v>248414.37876946401</v>
      </c>
      <c r="AE230" s="718"/>
      <c r="AF230" s="718">
        <f>AF226</f>
        <v>2698075</v>
      </c>
      <c r="AG230" s="718">
        <f>AG226</f>
        <v>245000</v>
      </c>
      <c r="AH230" s="719">
        <f>AH226</f>
        <v>52760</v>
      </c>
      <c r="AJ230" s="38">
        <f>SUM(AJ17:AJ229)</f>
        <v>9297952.3100000024</v>
      </c>
    </row>
    <row r="231" spans="1:36" ht="15" thickBot="1">
      <c r="D231" s="143"/>
      <c r="E231" s="759"/>
      <c r="F231" s="713"/>
      <c r="G231" s="714"/>
      <c r="H231" s="720"/>
      <c r="J231" s="750">
        <f>SUM('June GL'!H2)</f>
        <v>0</v>
      </c>
      <c r="K231" s="757" t="s">
        <v>251</v>
      </c>
      <c r="L231" s="722"/>
      <c r="M231" s="642"/>
      <c r="N231" s="33"/>
      <c r="O231" s="80"/>
      <c r="P231" s="104"/>
      <c r="Q231" s="139"/>
      <c r="R231" s="33"/>
      <c r="S231" s="33"/>
      <c r="T231" s="33"/>
      <c r="U231" s="169"/>
      <c r="V231" s="158" t="s">
        <v>609</v>
      </c>
      <c r="W231" s="104" t="s">
        <v>352</v>
      </c>
      <c r="X231" s="104">
        <f>V226+W226+X226</f>
        <v>2995835</v>
      </c>
      <c r="Y231" s="104"/>
      <c r="Z231" s="136"/>
      <c r="AA231" s="723"/>
      <c r="AB231" s="38"/>
      <c r="AC231" s="38"/>
      <c r="AD231" s="38"/>
      <c r="AE231" s="38"/>
      <c r="AF231" s="38"/>
      <c r="AG231" s="38"/>
      <c r="AH231" s="38"/>
    </row>
    <row r="232" spans="1:36" ht="15" thickTop="1">
      <c r="D232" s="143"/>
      <c r="E232" s="712"/>
      <c r="F232" s="713"/>
      <c r="G232" s="714"/>
      <c r="H232" s="714" t="s">
        <v>249</v>
      </c>
      <c r="J232" s="173">
        <f>J231+J230</f>
        <v>6305561.9000000022</v>
      </c>
      <c r="K232" s="714" t="s">
        <v>454</v>
      </c>
      <c r="L232" s="722"/>
      <c r="M232" s="80"/>
      <c r="N232" s="104"/>
      <c r="O232" s="173"/>
      <c r="P232" s="104"/>
      <c r="Q232" s="139"/>
      <c r="R232" s="139"/>
      <c r="S232" s="139"/>
      <c r="T232" s="139"/>
      <c r="U232" s="169"/>
      <c r="V232" s="158"/>
      <c r="W232" s="104"/>
      <c r="X232" s="104"/>
      <c r="Y232" s="104"/>
      <c r="Z232" s="136"/>
      <c r="AA232" s="723"/>
      <c r="AB232" s="38"/>
      <c r="AC232" s="38"/>
      <c r="AD232" s="38" t="s">
        <v>86</v>
      </c>
      <c r="AE232" s="38"/>
      <c r="AF232" s="233">
        <f>SUM(AB230+AF230)</f>
        <v>8456908.921230536</v>
      </c>
      <c r="AG232" s="233">
        <f t="shared" ref="AG232:AH232" si="61">SUM(AC230+AG230)</f>
        <v>543313.6</v>
      </c>
      <c r="AH232" s="233">
        <f t="shared" si="61"/>
        <v>301174.37876946398</v>
      </c>
    </row>
    <row r="233" spans="1:36" ht="14">
      <c r="D233" s="143"/>
      <c r="E233" s="712"/>
      <c r="F233" s="713">
        <f>'Oct 2012 Revenue'!M226+F227</f>
        <v>2421721.2699999996</v>
      </c>
      <c r="G233" s="714"/>
      <c r="H233" s="714"/>
      <c r="J233" s="80"/>
      <c r="K233" s="714"/>
      <c r="L233" s="722"/>
      <c r="M233" s="104"/>
      <c r="N233" s="38"/>
      <c r="O233" s="139"/>
      <c r="P233" s="104"/>
      <c r="Q233" s="139"/>
      <c r="R233" s="139"/>
      <c r="S233" s="139"/>
      <c r="T233" s="139"/>
      <c r="U233" s="169"/>
      <c r="V233" s="158" t="s">
        <v>600</v>
      </c>
      <c r="W233" s="104" t="s">
        <v>355</v>
      </c>
      <c r="X233" s="104"/>
      <c r="Y233" s="104">
        <f>V226</f>
        <v>2698075</v>
      </c>
      <c r="Z233" s="136"/>
      <c r="AA233" s="38"/>
      <c r="AB233" s="797" t="s">
        <v>882</v>
      </c>
      <c r="AC233" s="38"/>
      <c r="AD233" s="38"/>
      <c r="AE233" s="38"/>
      <c r="AF233" s="233"/>
      <c r="AG233" s="233"/>
      <c r="AH233" s="233"/>
    </row>
    <row r="234" spans="1:36" ht="15" thickBot="1">
      <c r="D234" s="143" t="s">
        <v>823</v>
      </c>
      <c r="E234" s="712"/>
      <c r="F234" s="713"/>
      <c r="G234" s="714"/>
      <c r="H234" s="714"/>
      <c r="J234" s="661">
        <f>M227</f>
        <v>2995835</v>
      </c>
      <c r="K234" s="714" t="s">
        <v>888</v>
      </c>
      <c r="L234" s="645"/>
      <c r="M234" s="173"/>
      <c r="N234" s="38"/>
      <c r="O234" s="139"/>
      <c r="P234" s="104"/>
      <c r="Q234" s="139"/>
      <c r="R234" s="726"/>
      <c r="S234" s="139"/>
      <c r="T234" s="727"/>
      <c r="U234" s="169"/>
      <c r="V234" s="158"/>
      <c r="W234" s="104" t="s">
        <v>356</v>
      </c>
      <c r="X234" s="104"/>
      <c r="Y234" s="104">
        <f>Y226</f>
        <v>0</v>
      </c>
      <c r="Z234" s="136"/>
      <c r="AA234" s="38"/>
      <c r="AB234" s="38"/>
      <c r="AC234" s="38"/>
      <c r="AD234" s="38"/>
      <c r="AE234" s="38"/>
      <c r="AF234" s="799" t="s">
        <v>897</v>
      </c>
      <c r="AG234" s="801">
        <f>SUM(AF232:AH232)</f>
        <v>9301396.9000000004</v>
      </c>
      <c r="AH234" s="800"/>
    </row>
    <row r="235" spans="1:36" ht="16" thickTop="1" thickBot="1">
      <c r="D235" s="143"/>
      <c r="E235" s="712"/>
      <c r="F235" s="713"/>
      <c r="G235" s="714"/>
      <c r="H235" s="714"/>
      <c r="J235" s="173">
        <v>0</v>
      </c>
      <c r="K235" s="714"/>
      <c r="L235" s="722"/>
      <c r="M235" s="173"/>
      <c r="N235" s="38"/>
      <c r="O235" s="33"/>
      <c r="P235" s="38"/>
      <c r="Q235" s="139"/>
      <c r="R235" s="139"/>
      <c r="S235" s="139"/>
      <c r="T235" s="139"/>
      <c r="U235" s="169"/>
      <c r="V235" s="158"/>
      <c r="W235" s="104"/>
      <c r="X235" s="104"/>
      <c r="Y235" s="104"/>
      <c r="Z235" s="136"/>
      <c r="AA235" s="38"/>
      <c r="AB235" s="38"/>
      <c r="AC235" s="38"/>
      <c r="AD235" s="38"/>
      <c r="AE235" s="38"/>
    </row>
    <row r="236" spans="1:36" ht="15" thickBot="1">
      <c r="E236" s="712"/>
      <c r="F236" s="713"/>
      <c r="G236" s="714"/>
      <c r="H236" s="714"/>
      <c r="J236" s="754">
        <f>J230+J234</f>
        <v>9301396.9000000022</v>
      </c>
      <c r="K236" s="714" t="s">
        <v>889</v>
      </c>
      <c r="L236" s="722"/>
      <c r="M236" s="173"/>
      <c r="N236" s="38"/>
      <c r="O236" s="33"/>
      <c r="P236" s="38"/>
      <c r="Q236" s="139"/>
      <c r="R236" s="139"/>
      <c r="S236" s="139"/>
      <c r="T236" s="139"/>
      <c r="U236" s="169"/>
      <c r="V236" s="158" t="s">
        <v>601</v>
      </c>
      <c r="W236" s="104" t="s">
        <v>357</v>
      </c>
      <c r="X236" s="104"/>
      <c r="Y236" s="104">
        <f>W226</f>
        <v>245000</v>
      </c>
      <c r="Z236" s="136"/>
      <c r="AA236" s="38"/>
      <c r="AB236" s="38"/>
      <c r="AC236" s="38"/>
      <c r="AD236" s="38"/>
      <c r="AE236" s="38"/>
      <c r="AF236" s="796" t="s">
        <v>857</v>
      </c>
      <c r="AG236" s="38">
        <f>AG234-AH232</f>
        <v>9000222.5212305356</v>
      </c>
      <c r="AH236" s="38"/>
    </row>
    <row r="237" spans="1:36">
      <c r="E237" s="712"/>
      <c r="F237" s="713"/>
      <c r="G237" s="714"/>
      <c r="H237" s="714"/>
      <c r="J237" s="637"/>
      <c r="K237" s="714"/>
      <c r="L237" s="173"/>
      <c r="M237" s="731"/>
      <c r="N237" s="38"/>
      <c r="O237" s="33"/>
      <c r="P237" s="38"/>
      <c r="Q237" s="139"/>
      <c r="R237" s="139"/>
      <c r="S237" s="139"/>
      <c r="T237" s="139"/>
      <c r="U237" s="169"/>
      <c r="V237" s="415"/>
      <c r="W237" s="104" t="s">
        <v>358</v>
      </c>
      <c r="X237" s="104"/>
      <c r="Y237" s="104">
        <f>Z226</f>
        <v>0</v>
      </c>
      <c r="Z237" s="136"/>
      <c r="AA237" s="38"/>
      <c r="AB237" s="38"/>
      <c r="AC237" s="38"/>
      <c r="AD237" s="38"/>
      <c r="AE237" s="38"/>
      <c r="AF237" s="38"/>
      <c r="AG237" s="38"/>
      <c r="AH237" s="38"/>
    </row>
    <row r="238" spans="1:36">
      <c r="E238" s="712"/>
      <c r="F238" s="713"/>
      <c r="G238" s="714"/>
      <c r="H238" s="714"/>
      <c r="J238" s="658">
        <f>SUM(AB230:AH230)</f>
        <v>9301396.9000000004</v>
      </c>
      <c r="K238" s="714" t="s">
        <v>518</v>
      </c>
      <c r="L238" s="732"/>
      <c r="M238" s="637"/>
      <c r="N238" s="38"/>
      <c r="O238" s="33"/>
      <c r="P238" s="38"/>
      <c r="Q238" s="139"/>
      <c r="R238" s="139"/>
      <c r="S238" s="139"/>
      <c r="T238" s="139"/>
      <c r="U238" s="169"/>
      <c r="V238" s="415"/>
      <c r="W238" s="104"/>
      <c r="X238" s="104"/>
      <c r="Y238" s="104"/>
      <c r="Z238" s="136"/>
      <c r="AA238" s="38"/>
      <c r="AB238" s="38"/>
      <c r="AC238" s="38"/>
      <c r="AD238" s="38"/>
      <c r="AE238" s="38"/>
      <c r="AF238" s="38"/>
      <c r="AG238" s="38"/>
      <c r="AH238" s="38"/>
    </row>
    <row r="239" spans="1:36" ht="13" thickBot="1">
      <c r="E239" s="712"/>
      <c r="F239" s="713"/>
      <c r="G239" s="714"/>
      <c r="H239" s="714"/>
      <c r="J239" s="169"/>
      <c r="K239" s="714" t="s">
        <v>454</v>
      </c>
      <c r="L239" s="733"/>
      <c r="M239" s="795"/>
      <c r="N239" s="38"/>
      <c r="O239" s="33"/>
      <c r="P239" s="38"/>
      <c r="Q239" s="139"/>
      <c r="R239" s="139"/>
      <c r="S239" s="139"/>
      <c r="T239" s="139"/>
      <c r="U239" s="169"/>
      <c r="V239" s="158" t="s">
        <v>602</v>
      </c>
      <c r="W239" s="488" t="s">
        <v>359</v>
      </c>
      <c r="X239" s="488"/>
      <c r="Y239" s="488">
        <f>X226</f>
        <v>52760</v>
      </c>
      <c r="Z239" s="414"/>
      <c r="AA239" s="38"/>
      <c r="AB239" s="38"/>
      <c r="AC239" s="38"/>
      <c r="AD239" s="38"/>
      <c r="AE239" s="38"/>
      <c r="AF239" s="38"/>
      <c r="AG239" s="38"/>
      <c r="AH239" s="38"/>
    </row>
    <row r="240" spans="1:36" ht="15" thickBot="1">
      <c r="E240" s="712"/>
      <c r="F240" s="713"/>
      <c r="G240" s="714"/>
      <c r="H240" s="714"/>
      <c r="J240" s="736"/>
      <c r="K240" s="714" t="s">
        <v>519</v>
      </c>
      <c r="L240" s="169"/>
      <c r="M240" s="169"/>
      <c r="N240" s="38"/>
      <c r="O240" s="33"/>
      <c r="P240" s="38"/>
      <c r="Q240" s="33"/>
      <c r="R240" s="33"/>
      <c r="S240" s="33"/>
      <c r="T240" s="33"/>
      <c r="U240" s="169"/>
      <c r="V240" s="416"/>
      <c r="W240" s="104"/>
      <c r="X240" s="80">
        <f>SUM(X231:X239)</f>
        <v>2995835</v>
      </c>
      <c r="Y240" s="80">
        <f>SUM(Y231:Y239)</f>
        <v>2995835</v>
      </c>
      <c r="Z240" s="136"/>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V241" s="416"/>
      <c r="W241" s="104"/>
      <c r="X241" s="104"/>
      <c r="Y241" s="104"/>
      <c r="Z241" s="136"/>
      <c r="AA241" s="38"/>
      <c r="AB241" s="38"/>
      <c r="AC241" s="38"/>
      <c r="AD241" s="38"/>
      <c r="AE241" s="38"/>
      <c r="AF241" s="38"/>
      <c r="AG241" s="38"/>
      <c r="AH241" s="38"/>
    </row>
    <row r="242" spans="5:34" ht="13" thickBot="1">
      <c r="E242" s="712"/>
      <c r="F242" s="713"/>
      <c r="G242" s="714"/>
      <c r="H242" s="714"/>
      <c r="I242" s="714"/>
      <c r="J242" s="169"/>
      <c r="K242" s="169"/>
      <c r="L242" s="169"/>
      <c r="M242" s="169"/>
      <c r="N242" s="38"/>
      <c r="O242" s="33"/>
      <c r="P242" s="38"/>
      <c r="Q242" s="33"/>
      <c r="R242" s="33"/>
      <c r="S242" s="33"/>
      <c r="T242" s="33"/>
      <c r="U242" s="169"/>
      <c r="V242" s="330"/>
      <c r="W242" s="279"/>
      <c r="X242" s="279"/>
      <c r="Y242" s="279"/>
      <c r="Z242" s="280"/>
      <c r="AA242" s="38"/>
      <c r="AB242" s="38"/>
      <c r="AC242" s="38"/>
      <c r="AD242" s="38"/>
      <c r="AE242" s="38"/>
      <c r="AF242" s="38"/>
      <c r="AG242" s="38"/>
      <c r="AH242" s="38"/>
    </row>
    <row r="243" spans="5:34">
      <c r="E243" s="712"/>
      <c r="F243" s="713"/>
      <c r="G243" s="714"/>
      <c r="H243" s="714"/>
      <c r="I243" s="714"/>
      <c r="J243" s="169"/>
      <c r="K243" s="169"/>
      <c r="L243" s="169"/>
      <c r="M243" s="169"/>
      <c r="N243" s="38"/>
      <c r="O243" s="33"/>
      <c r="P243" s="38"/>
      <c r="Q243" s="33"/>
      <c r="R243" s="33"/>
      <c r="S243" s="33"/>
      <c r="T243" s="33"/>
      <c r="U243" s="169"/>
      <c r="V243" s="104"/>
      <c r="W243" s="104"/>
      <c r="X243" s="104"/>
      <c r="Y243" s="104"/>
      <c r="Z243" s="104"/>
      <c r="AA243" s="38"/>
      <c r="AB243" s="38"/>
      <c r="AC243" s="38"/>
      <c r="AD243" s="38"/>
      <c r="AE243" s="38"/>
      <c r="AF243" s="38"/>
      <c r="AG243" s="38"/>
      <c r="AH243" s="38"/>
    </row>
    <row r="244" spans="5:34">
      <c r="E244" s="712"/>
      <c r="F244" s="713"/>
      <c r="G244" s="714"/>
      <c r="H244" s="714"/>
      <c r="I244" s="714"/>
      <c r="J244" s="169"/>
      <c r="K244" s="169"/>
      <c r="L244" s="169"/>
      <c r="M244" s="169"/>
      <c r="N244" s="38"/>
      <c r="O244" s="33"/>
      <c r="P244" s="38"/>
      <c r="Q244" s="33"/>
      <c r="R244" s="33"/>
      <c r="S244" s="33"/>
      <c r="T244" s="33"/>
      <c r="U244" s="169"/>
      <c r="AA244" s="38"/>
      <c r="AB244" s="38"/>
      <c r="AC244" s="38"/>
      <c r="AD244" s="38"/>
      <c r="AE244" s="38"/>
      <c r="AF244" s="38"/>
      <c r="AG244" s="38"/>
      <c r="AH244" s="38"/>
    </row>
    <row r="245" spans="5:34">
      <c r="E245" s="712"/>
      <c r="F245" s="713"/>
      <c r="G245" s="714"/>
      <c r="H245" s="714"/>
      <c r="I245" s="714"/>
      <c r="J245" s="169"/>
      <c r="K245" s="169"/>
      <c r="L245" s="169"/>
      <c r="M245" s="169"/>
      <c r="N245" s="38"/>
      <c r="O245" s="33"/>
      <c r="P245" s="38"/>
      <c r="Q245" s="33"/>
      <c r="R245" s="33"/>
      <c r="S245" s="33"/>
      <c r="T245" s="33"/>
      <c r="U245" s="169"/>
      <c r="AA245" s="38"/>
      <c r="AB245" s="38"/>
      <c r="AC245" s="38"/>
      <c r="AD245" s="38"/>
      <c r="AE245" s="38"/>
      <c r="AF245" s="38"/>
      <c r="AG245" s="38"/>
      <c r="AH245" s="38"/>
    </row>
    <row r="246" spans="5:34">
      <c r="E246" s="712"/>
      <c r="F246" s="713"/>
      <c r="G246" s="714"/>
      <c r="H246" s="714"/>
      <c r="I246" s="714"/>
      <c r="J246" s="169"/>
      <c r="K246" s="169"/>
      <c r="L246" s="169"/>
      <c r="M246" s="169"/>
      <c r="N246" s="38"/>
      <c r="O246" s="33"/>
      <c r="P246" s="38"/>
      <c r="Q246" s="33"/>
      <c r="R246" s="33"/>
      <c r="S246" s="33"/>
      <c r="T246" s="33"/>
      <c r="U246" s="169"/>
      <c r="AA246" s="38"/>
      <c r="AB246" s="38"/>
      <c r="AC246" s="38"/>
      <c r="AD246" s="38"/>
      <c r="AE246" s="38"/>
      <c r="AF246" s="38"/>
      <c r="AG246" s="38"/>
      <c r="AH246" s="38"/>
    </row>
    <row r="247" spans="5:34">
      <c r="E247" s="712"/>
      <c r="F247" s="713"/>
      <c r="G247" s="714"/>
      <c r="H247" s="714"/>
      <c r="I247" s="714"/>
      <c r="J247" s="169"/>
      <c r="K247" s="169"/>
      <c r="L247" s="169"/>
      <c r="M247" s="169"/>
      <c r="N247" s="38"/>
      <c r="O247" s="33"/>
      <c r="P247" s="38"/>
      <c r="Q247" s="33"/>
      <c r="R247" s="33"/>
      <c r="S247" s="33"/>
      <c r="T247" s="33"/>
      <c r="U247" s="169"/>
      <c r="AA247" s="38"/>
      <c r="AB247" s="38"/>
      <c r="AC247" s="38"/>
      <c r="AD247" s="38"/>
      <c r="AE247" s="38"/>
      <c r="AF247" s="38"/>
      <c r="AG247" s="38"/>
      <c r="AH247" s="38"/>
    </row>
    <row r="248" spans="5:34">
      <c r="E248" s="712"/>
      <c r="F248" s="713"/>
      <c r="G248" s="714"/>
      <c r="H248" s="714"/>
      <c r="I248" s="714"/>
      <c r="J248" s="169"/>
      <c r="K248" s="169"/>
      <c r="L248" s="169"/>
      <c r="M248" s="169"/>
      <c r="N248" s="38"/>
      <c r="O248" s="33"/>
      <c r="P248" s="38"/>
      <c r="Q248" s="33"/>
      <c r="R248" s="33"/>
      <c r="S248" s="33"/>
      <c r="T248" s="33"/>
      <c r="U248" s="169"/>
      <c r="AA248" s="38"/>
      <c r="AB248" s="38"/>
      <c r="AC248" s="38"/>
      <c r="AD248" s="38"/>
      <c r="AE248" s="38"/>
      <c r="AF248" s="38"/>
      <c r="AG248" s="38"/>
      <c r="AH248" s="38"/>
    </row>
    <row r="249" spans="5:34">
      <c r="E249" s="712"/>
      <c r="F249" s="713"/>
      <c r="G249" s="714"/>
      <c r="H249" s="714"/>
      <c r="I249" s="714"/>
      <c r="J249" s="169"/>
      <c r="K249" s="169"/>
      <c r="L249" s="169"/>
      <c r="M249" s="169"/>
      <c r="N249" s="38"/>
      <c r="O249" s="33"/>
      <c r="P249" s="38"/>
      <c r="Q249" s="33"/>
      <c r="R249" s="33"/>
      <c r="S249" s="33"/>
      <c r="T249" s="33"/>
      <c r="U249" s="169"/>
      <c r="AA249" s="38"/>
      <c r="AB249" s="38"/>
      <c r="AC249" s="38"/>
      <c r="AD249" s="38"/>
      <c r="AE249" s="38"/>
      <c r="AF249" s="38"/>
      <c r="AG249" s="38"/>
      <c r="AH249" s="38"/>
    </row>
  </sheetData>
  <customSheetViews>
    <customSheetView guid="{86CCC894-C193-4761-8385-3C374FD67B70}" hiddenRows="1" hiddenColumns="1" topLeftCell="W212">
      <selection activeCell="AE240" sqref="AE240"/>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49"/>
  <sheetViews>
    <sheetView topLeftCell="C169" workbookViewId="0">
      <selection activeCell="R185" sqref="R185:R186"/>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7.3984375" style="146" customWidth="1"/>
    <col min="16" max="16" width="1.796875" style="16" customWidth="1"/>
    <col min="17" max="18" width="15.3984375" style="146" customWidth="1"/>
    <col min="19" max="19" width="1.796875" style="146" customWidth="1"/>
    <col min="20" max="20" width="15.3984375" style="146" customWidth="1"/>
    <col min="21" max="21" width="1.796875" style="24" customWidth="1"/>
    <col min="22" max="26" width="15.3984375" style="38" customWidth="1"/>
    <col min="27" max="27" width="15.3984375" style="16" customWidth="1"/>
    <col min="28" max="29" width="15.3984375" style="559" customWidth="1"/>
    <col min="30" max="30" width="15.796875" style="559" customWidth="1"/>
    <col min="31" max="31" width="2.3984375" style="559" customWidth="1"/>
    <col min="32" max="33" width="14.796875" style="559" bestFit="1" customWidth="1"/>
    <col min="34" max="34" width="14.19921875" style="559" customWidth="1"/>
    <col min="35" max="35" width="9.3984375" style="16"/>
    <col min="36" max="36" width="14.796875" style="16" bestFit="1" customWidth="1"/>
    <col min="37" max="16384" width="9.398437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868</v>
      </c>
      <c r="F3" s="29"/>
      <c r="G3" s="18"/>
      <c r="H3" s="168"/>
      <c r="I3" s="168"/>
      <c r="J3" s="169"/>
      <c r="K3" s="169"/>
      <c r="L3" s="169"/>
      <c r="M3" s="169"/>
      <c r="N3" s="169"/>
    </row>
    <row r="4" spans="1:34">
      <c r="D4" s="148"/>
      <c r="G4" s="164"/>
      <c r="H4" s="168"/>
      <c r="I4" s="168"/>
      <c r="J4" s="169"/>
      <c r="K4" s="169"/>
      <c r="L4" s="169"/>
      <c r="M4" s="169"/>
      <c r="N4" s="169"/>
    </row>
    <row r="5" spans="1:34" ht="13"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3" thickBot="1">
      <c r="B12" s="469"/>
      <c r="C12" s="670"/>
      <c r="D12" s="470" t="s">
        <v>103</v>
      </c>
      <c r="E12" s="471" t="s">
        <v>101</v>
      </c>
      <c r="F12" s="29"/>
      <c r="G12" s="166"/>
      <c r="H12" s="150"/>
      <c r="I12" s="150"/>
      <c r="J12" s="76"/>
    </row>
    <row r="13" spans="1:34" ht="13" thickBot="1">
      <c r="A13" s="152"/>
      <c r="B13" s="152"/>
      <c r="C13" s="67"/>
      <c r="D13" s="54"/>
      <c r="E13" s="34"/>
      <c r="G13" s="167"/>
      <c r="H13" s="49"/>
      <c r="I13" s="49"/>
      <c r="J13" s="50"/>
      <c r="K13" s="50"/>
      <c r="L13" s="50"/>
      <c r="M13" s="745"/>
      <c r="N13" s="146"/>
      <c r="P13" s="146"/>
      <c r="U13" s="50"/>
      <c r="V13" s="33"/>
      <c r="W13" s="33"/>
      <c r="X13" s="33"/>
      <c r="Y13" s="33"/>
    </row>
    <row r="14" spans="1:34" ht="13" thickBot="1">
      <c r="D14" s="526"/>
      <c r="E14" s="582" t="s">
        <v>869</v>
      </c>
      <c r="F14" s="583" t="s">
        <v>427</v>
      </c>
      <c r="G14" s="96"/>
      <c r="H14" s="96"/>
      <c r="I14" s="96"/>
      <c r="J14" s="96" t="s">
        <v>428</v>
      </c>
      <c r="K14" s="581"/>
      <c r="L14" s="96" t="s">
        <v>428</v>
      </c>
      <c r="M14" s="96" t="s">
        <v>428</v>
      </c>
      <c r="N14" s="93"/>
      <c r="O14" s="96"/>
      <c r="P14" s="93"/>
      <c r="Q14" s="13"/>
      <c r="R14" s="96"/>
      <c r="S14" s="101"/>
      <c r="T14" s="96"/>
      <c r="U14" s="93"/>
      <c r="V14" s="96"/>
      <c r="W14" s="96"/>
      <c r="X14" s="304"/>
      <c r="Y14" s="304"/>
      <c r="Z14" s="304"/>
      <c r="AC14" s="560" t="s">
        <v>266</v>
      </c>
      <c r="AG14" s="561" t="s">
        <v>267</v>
      </c>
    </row>
    <row r="15" spans="1:34" ht="13" thickBot="1">
      <c r="A15" s="22" t="s">
        <v>95</v>
      </c>
      <c r="B15" s="22" t="s">
        <v>100</v>
      </c>
      <c r="C15" s="36" t="s">
        <v>522</v>
      </c>
      <c r="D15" s="36" t="s">
        <v>67</v>
      </c>
      <c r="E15" s="450" t="s">
        <v>230</v>
      </c>
      <c r="F15" s="528" t="s">
        <v>229</v>
      </c>
      <c r="G15" s="176" t="s">
        <v>288</v>
      </c>
      <c r="H15" s="545" t="s">
        <v>289</v>
      </c>
      <c r="I15" s="758" t="s">
        <v>428</v>
      </c>
      <c r="J15" s="313" t="s">
        <v>105</v>
      </c>
      <c r="K15" s="93"/>
      <c r="L15" s="94" t="s">
        <v>104</v>
      </c>
      <c r="M15" s="95" t="s">
        <v>106</v>
      </c>
      <c r="N15" s="102"/>
      <c r="O15" s="427" t="s">
        <v>839</v>
      </c>
      <c r="P15" s="102"/>
      <c r="Q15" s="313" t="s">
        <v>870</v>
      </c>
      <c r="R15" s="156" t="s">
        <v>871</v>
      </c>
      <c r="S15" s="149"/>
      <c r="T15" s="327" t="s">
        <v>872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VLOOKUP(D16,'Oct 2012 Revenue'!D:T,17,FALSE)</f>
        <v>0</v>
      </c>
      <c r="G16" s="680"/>
      <c r="H16" s="680"/>
      <c r="I16" s="755"/>
      <c r="J16" s="682">
        <f t="shared" ref="J16:J83" si="0">SUM(E16:I16)</f>
        <v>0</v>
      </c>
      <c r="K16" s="683"/>
      <c r="L16" s="684"/>
      <c r="M16" s="753"/>
      <c r="N16" s="683">
        <v>0</v>
      </c>
      <c r="O16" s="686"/>
      <c r="P16" s="683">
        <v>0</v>
      </c>
      <c r="Q16" s="687">
        <f t="shared" ref="Q16:Q144" si="1">L16+M16</f>
        <v>0</v>
      </c>
      <c r="R16" s="688">
        <v>0</v>
      </c>
      <c r="S16" s="689"/>
      <c r="T16" s="690">
        <f t="shared" ref="T16:T79" si="2">IF(R16="","",R16-Q16)</f>
        <v>0</v>
      </c>
      <c r="U16" s="691"/>
      <c r="V16" s="474">
        <f t="shared" ref="V16:V83" si="3">IF(B16="D",Q16,0)</f>
        <v>0</v>
      </c>
      <c r="W16" s="474">
        <f t="shared" ref="W16:W83" si="4">IF(B16="M",Q16,0)</f>
        <v>0</v>
      </c>
      <c r="X16" s="475">
        <f t="shared" ref="X16:X83" si="5">IF(B16="V",Q16,0)</f>
        <v>0</v>
      </c>
      <c r="Y16" s="475">
        <v>0</v>
      </c>
      <c r="Z16" s="476">
        <v>0</v>
      </c>
      <c r="AA16" s="38">
        <f t="shared" ref="AA16:AA83" si="6">(L16+M16)-(V16+W16+X16+Y16+Z16)</f>
        <v>0</v>
      </c>
      <c r="AB16" s="692">
        <f t="shared" ref="AB16:AB82" si="7">IF(B16="D",J16,0)</f>
        <v>0</v>
      </c>
      <c r="AC16" s="692">
        <f t="shared" ref="AC16:AC82" si="8">IF(B16="M",J16,0)</f>
        <v>0</v>
      </c>
      <c r="AD16" s="692">
        <f t="shared" ref="AD16:AD82" si="9">IF(B16="V",J16,0)</f>
        <v>0</v>
      </c>
      <c r="AE16" s="38"/>
      <c r="AF16" s="692">
        <f t="shared" ref="AF16:AF82" si="10">IF(B16="D",Q16,0)</f>
        <v>0</v>
      </c>
      <c r="AG16" s="692">
        <f t="shared" ref="AG16:AG82" si="11">IF(B16="M",Q16,0)</f>
        <v>0</v>
      </c>
      <c r="AH16" s="692">
        <f t="shared" ref="AH16:AH82" si="12">IF(B16="V",Q16,0)</f>
        <v>0</v>
      </c>
    </row>
    <row r="17" spans="1:36">
      <c r="A17" s="20" t="s">
        <v>109</v>
      </c>
      <c r="B17" s="20" t="s">
        <v>110</v>
      </c>
      <c r="C17" s="671" t="s">
        <v>523</v>
      </c>
      <c r="D17" s="123" t="s">
        <v>317</v>
      </c>
      <c r="E17" s="679"/>
      <c r="F17" s="529">
        <f>VLOOKUP(D17,'Oct 2012 Revenue'!D:T,17,FALSE)</f>
        <v>995.76999999999862</v>
      </c>
      <c r="G17" s="680"/>
      <c r="H17" s="680"/>
      <c r="I17" s="755"/>
      <c r="J17" s="682">
        <f t="shared" si="0"/>
        <v>995.76999999999862</v>
      </c>
      <c r="K17" s="683"/>
      <c r="L17" s="684"/>
      <c r="M17" s="753">
        <v>10000</v>
      </c>
      <c r="N17" s="683">
        <v>0</v>
      </c>
      <c r="O17" s="686"/>
      <c r="P17" s="683">
        <v>0</v>
      </c>
      <c r="Q17" s="687">
        <f t="shared" si="1"/>
        <v>10000</v>
      </c>
      <c r="R17" s="688">
        <f>7171.86+2109.78</f>
        <v>9281.64</v>
      </c>
      <c r="S17" s="693"/>
      <c r="T17" s="690">
        <f t="shared" si="2"/>
        <v>-718.36000000000058</v>
      </c>
      <c r="U17" s="683"/>
      <c r="V17" s="474">
        <f t="shared" si="3"/>
        <v>10000</v>
      </c>
      <c r="W17" s="474">
        <f t="shared" si="4"/>
        <v>0</v>
      </c>
      <c r="X17" s="475">
        <f t="shared" si="5"/>
        <v>0</v>
      </c>
      <c r="Y17" s="475">
        <v>0</v>
      </c>
      <c r="Z17" s="476">
        <v>0</v>
      </c>
      <c r="AA17" s="38">
        <f t="shared" si="6"/>
        <v>0</v>
      </c>
      <c r="AB17" s="692">
        <f t="shared" si="7"/>
        <v>995.76999999999862</v>
      </c>
      <c r="AC17" s="692">
        <f t="shared" si="8"/>
        <v>0</v>
      </c>
      <c r="AD17" s="692">
        <f t="shared" si="9"/>
        <v>0</v>
      </c>
      <c r="AE17" s="38"/>
      <c r="AF17" s="692">
        <f t="shared" si="10"/>
        <v>10000</v>
      </c>
      <c r="AG17" s="692">
        <f t="shared" si="11"/>
        <v>0</v>
      </c>
      <c r="AH17" s="692">
        <f t="shared" si="12"/>
        <v>0</v>
      </c>
      <c r="AJ17" s="38">
        <f>SUM(AB17:AH17)</f>
        <v>10995.769999999999</v>
      </c>
    </row>
    <row r="18" spans="1:36">
      <c r="A18" s="20" t="s">
        <v>109</v>
      </c>
      <c r="B18" s="20" t="s">
        <v>109</v>
      </c>
      <c r="C18" s="671" t="s">
        <v>523</v>
      </c>
      <c r="D18" s="68" t="s">
        <v>393</v>
      </c>
      <c r="E18" s="679"/>
      <c r="F18" s="529">
        <f>VLOOKUP(D18,'Oct 2012 Revenue'!D:T,17,FALSE)</f>
        <v>2624.8000000000029</v>
      </c>
      <c r="G18" s="680"/>
      <c r="H18" s="680"/>
      <c r="I18" s="755"/>
      <c r="J18" s="682">
        <f t="shared" si="0"/>
        <v>2624.8000000000029</v>
      </c>
      <c r="K18" s="683"/>
      <c r="L18" s="684"/>
      <c r="M18" s="753">
        <v>40000</v>
      </c>
      <c r="N18" s="683">
        <v>0</v>
      </c>
      <c r="O18" s="686"/>
      <c r="P18" s="683">
        <v>0</v>
      </c>
      <c r="Q18" s="687">
        <f t="shared" si="1"/>
        <v>40000</v>
      </c>
      <c r="R18" s="688">
        <v>32971.89</v>
      </c>
      <c r="S18" s="693"/>
      <c r="T18" s="690">
        <f t="shared" si="2"/>
        <v>-7028.1100000000006</v>
      </c>
      <c r="U18" s="683"/>
      <c r="V18" s="474">
        <f t="shared" si="3"/>
        <v>0</v>
      </c>
      <c r="W18" s="474">
        <f t="shared" si="4"/>
        <v>40000</v>
      </c>
      <c r="X18" s="475">
        <f t="shared" si="5"/>
        <v>0</v>
      </c>
      <c r="Y18" s="475">
        <v>0</v>
      </c>
      <c r="Z18" s="476">
        <v>0</v>
      </c>
      <c r="AA18" s="38">
        <f t="shared" si="6"/>
        <v>0</v>
      </c>
      <c r="AB18" s="692">
        <f t="shared" si="7"/>
        <v>0</v>
      </c>
      <c r="AC18" s="692">
        <f t="shared" si="8"/>
        <v>2624.8000000000029</v>
      </c>
      <c r="AD18" s="692">
        <f t="shared" si="9"/>
        <v>0</v>
      </c>
      <c r="AE18" s="38"/>
      <c r="AF18" s="692">
        <f t="shared" si="10"/>
        <v>0</v>
      </c>
      <c r="AG18" s="692">
        <f t="shared" si="11"/>
        <v>40000</v>
      </c>
      <c r="AH18" s="692">
        <f t="shared" si="12"/>
        <v>0</v>
      </c>
      <c r="AJ18" s="38">
        <f t="shared" ref="AJ18:AJ84" si="13">SUM(AB18:AH18)</f>
        <v>42624.800000000003</v>
      </c>
    </row>
    <row r="19" spans="1:36">
      <c r="A19" s="20" t="s">
        <v>109</v>
      </c>
      <c r="B19" s="20" t="s">
        <v>109</v>
      </c>
      <c r="C19" s="671" t="s">
        <v>523</v>
      </c>
      <c r="D19" s="68" t="s">
        <v>129</v>
      </c>
      <c r="E19" s="679"/>
      <c r="F19" s="529">
        <f>VLOOKUP(D19,'Oct 2012 Revenue'!D:T,17,FALSE)</f>
        <v>14.8</v>
      </c>
      <c r="G19" s="680"/>
      <c r="H19" s="680"/>
      <c r="I19" s="755"/>
      <c r="J19" s="682">
        <f t="shared" si="0"/>
        <v>14.8</v>
      </c>
      <c r="K19" s="683"/>
      <c r="L19" s="684"/>
      <c r="M19" s="753"/>
      <c r="N19" s="683">
        <v>0</v>
      </c>
      <c r="O19" s="686"/>
      <c r="P19" s="683">
        <v>0</v>
      </c>
      <c r="Q19" s="687">
        <f t="shared" si="1"/>
        <v>0</v>
      </c>
      <c r="R19" s="688">
        <v>31.15</v>
      </c>
      <c r="S19" s="693"/>
      <c r="T19" s="690">
        <f t="shared" si="2"/>
        <v>31.15</v>
      </c>
      <c r="U19" s="683"/>
      <c r="V19" s="474">
        <f t="shared" si="3"/>
        <v>0</v>
      </c>
      <c r="W19" s="474">
        <f t="shared" si="4"/>
        <v>0</v>
      </c>
      <c r="X19" s="475">
        <f t="shared" si="5"/>
        <v>0</v>
      </c>
      <c r="Y19" s="475">
        <v>0</v>
      </c>
      <c r="Z19" s="476">
        <v>0</v>
      </c>
      <c r="AA19" s="38">
        <f t="shared" si="6"/>
        <v>0</v>
      </c>
      <c r="AB19" s="692">
        <f t="shared" si="7"/>
        <v>0</v>
      </c>
      <c r="AC19" s="692">
        <f t="shared" si="8"/>
        <v>14.8</v>
      </c>
      <c r="AD19" s="692">
        <f t="shared" si="9"/>
        <v>0</v>
      </c>
      <c r="AE19" s="38"/>
      <c r="AF19" s="692">
        <f t="shared" si="10"/>
        <v>0</v>
      </c>
      <c r="AG19" s="692">
        <f t="shared" si="11"/>
        <v>0</v>
      </c>
      <c r="AH19" s="692">
        <f t="shared" si="12"/>
        <v>0</v>
      </c>
      <c r="AJ19" s="38">
        <f t="shared" si="13"/>
        <v>14.8</v>
      </c>
    </row>
    <row r="20" spans="1:36">
      <c r="A20" s="20" t="s">
        <v>109</v>
      </c>
      <c r="B20" s="20" t="s">
        <v>109</v>
      </c>
      <c r="C20" s="671" t="s">
        <v>523</v>
      </c>
      <c r="D20" s="351" t="s">
        <v>878</v>
      </c>
      <c r="E20" s="679">
        <v>8594.26</v>
      </c>
      <c r="F20" s="529">
        <v>0</v>
      </c>
      <c r="G20" s="680"/>
      <c r="H20" s="680"/>
      <c r="I20" s="755"/>
      <c r="J20" s="682">
        <f t="shared" ref="J20" si="14">SUM(E20:I20)</f>
        <v>8594.26</v>
      </c>
      <c r="K20" s="683"/>
      <c r="L20" s="684"/>
      <c r="M20" s="753"/>
      <c r="N20" s="683">
        <v>0</v>
      </c>
      <c r="O20" s="686"/>
      <c r="P20" s="683">
        <v>0</v>
      </c>
      <c r="Q20" s="687">
        <f t="shared" ref="Q20" si="15">L20+M20</f>
        <v>0</v>
      </c>
      <c r="R20" s="688">
        <v>0</v>
      </c>
      <c r="S20" s="693"/>
      <c r="T20" s="690">
        <f t="shared" si="2"/>
        <v>0</v>
      </c>
      <c r="U20" s="683"/>
      <c r="V20" s="474">
        <f t="shared" ref="V20" si="16">IF(B20="D",Q20,0)</f>
        <v>0</v>
      </c>
      <c r="W20" s="474">
        <f t="shared" ref="W20" si="17">IF(B20="M",Q20,0)</f>
        <v>0</v>
      </c>
      <c r="X20" s="475">
        <f t="shared" ref="X20" si="18">IF(B20="V",Q20,0)</f>
        <v>0</v>
      </c>
      <c r="Y20" s="475">
        <v>0</v>
      </c>
      <c r="Z20" s="476">
        <v>0</v>
      </c>
      <c r="AA20" s="38">
        <f t="shared" ref="AA20" si="19">(L20+M20)-(V20+W20+X20+Y20+Z20)</f>
        <v>0</v>
      </c>
      <c r="AB20" s="692">
        <f t="shared" ref="AB20" si="20">IF(B20="D",J20,0)</f>
        <v>0</v>
      </c>
      <c r="AC20" s="692">
        <f t="shared" ref="AC20" si="21">IF(B20="M",J20,0)</f>
        <v>8594.26</v>
      </c>
      <c r="AD20" s="692">
        <f t="shared" ref="AD20" si="22">IF(B20="V",J20,0)</f>
        <v>0</v>
      </c>
      <c r="AE20" s="38"/>
      <c r="AF20" s="692">
        <f t="shared" ref="AF20" si="23">IF(B20="D",Q20,0)</f>
        <v>0</v>
      </c>
      <c r="AG20" s="692">
        <f t="shared" ref="AG20" si="24">IF(B20="M",Q20,0)</f>
        <v>0</v>
      </c>
      <c r="AH20" s="692">
        <f t="shared" ref="AH20" si="25">IF(B20="V",Q20,0)</f>
        <v>0</v>
      </c>
      <c r="AJ20" s="38">
        <f t="shared" ref="AJ20" si="26">SUM(AB20:AH20)</f>
        <v>8594.26</v>
      </c>
    </row>
    <row r="21" spans="1:36">
      <c r="A21" s="20"/>
      <c r="B21" s="20" t="s">
        <v>110</v>
      </c>
      <c r="C21" s="667" t="s">
        <v>524</v>
      </c>
      <c r="D21" s="123" t="s">
        <v>380</v>
      </c>
      <c r="E21" s="679"/>
      <c r="F21" s="529">
        <f>VLOOKUP(D21,'Oct 2012 Revenue'!D:T,17,FALSE)</f>
        <v>0</v>
      </c>
      <c r="G21" s="680"/>
      <c r="H21" s="680"/>
      <c r="I21" s="755"/>
      <c r="J21" s="682">
        <f t="shared" si="0"/>
        <v>0</v>
      </c>
      <c r="K21" s="683"/>
      <c r="L21" s="684"/>
      <c r="M21" s="753">
        <v>4000</v>
      </c>
      <c r="N21" s="683">
        <v>0</v>
      </c>
      <c r="O21" s="686"/>
      <c r="P21" s="683">
        <v>0</v>
      </c>
      <c r="Q21" s="687">
        <f t="shared" si="1"/>
        <v>4000</v>
      </c>
      <c r="R21" s="688">
        <v>4334.24</v>
      </c>
      <c r="S21" s="693"/>
      <c r="T21" s="690">
        <f t="shared" si="2"/>
        <v>334.23999999999978</v>
      </c>
      <c r="U21" s="683"/>
      <c r="V21" s="474">
        <f t="shared" si="3"/>
        <v>4000</v>
      </c>
      <c r="W21" s="474">
        <f t="shared" si="4"/>
        <v>0</v>
      </c>
      <c r="X21" s="475">
        <f t="shared" si="5"/>
        <v>0</v>
      </c>
      <c r="Y21" s="475">
        <v>0</v>
      </c>
      <c r="Z21" s="476">
        <v>0</v>
      </c>
      <c r="AA21" s="38">
        <f t="shared" si="6"/>
        <v>0</v>
      </c>
      <c r="AB21" s="692">
        <f t="shared" si="7"/>
        <v>0</v>
      </c>
      <c r="AC21" s="692">
        <f t="shared" si="8"/>
        <v>0</v>
      </c>
      <c r="AD21" s="692">
        <f t="shared" si="9"/>
        <v>0</v>
      </c>
      <c r="AE21" s="38"/>
      <c r="AF21" s="692">
        <f t="shared" si="10"/>
        <v>4000</v>
      </c>
      <c r="AG21" s="692">
        <f t="shared" si="11"/>
        <v>0</v>
      </c>
      <c r="AH21" s="692">
        <f t="shared" si="12"/>
        <v>0</v>
      </c>
      <c r="AJ21" s="38">
        <f t="shared" si="13"/>
        <v>4000</v>
      </c>
    </row>
    <row r="22" spans="1:36">
      <c r="A22" s="20"/>
      <c r="B22" s="20" t="s">
        <v>110</v>
      </c>
      <c r="C22" s="667" t="s">
        <v>524</v>
      </c>
      <c r="D22" s="123" t="s">
        <v>132</v>
      </c>
      <c r="E22" s="679"/>
      <c r="F22" s="529">
        <f>VLOOKUP(D22,'Oct 2012 Revenue'!D:T,17,FALSE)</f>
        <v>0</v>
      </c>
      <c r="G22" s="680"/>
      <c r="H22" s="680"/>
      <c r="I22" s="755"/>
      <c r="J22" s="682">
        <f t="shared" si="0"/>
        <v>0</v>
      </c>
      <c r="K22" s="683"/>
      <c r="L22" s="684"/>
      <c r="M22" s="753">
        <v>6000</v>
      </c>
      <c r="N22" s="683">
        <v>0</v>
      </c>
      <c r="O22" s="686"/>
      <c r="P22" s="683">
        <v>0</v>
      </c>
      <c r="Q22" s="687">
        <f t="shared" si="1"/>
        <v>6000</v>
      </c>
      <c r="R22" s="688">
        <v>6100.12</v>
      </c>
      <c r="S22" s="693"/>
      <c r="T22" s="690">
        <f t="shared" si="2"/>
        <v>100.11999999999989</v>
      </c>
      <c r="U22" s="683"/>
      <c r="V22" s="474">
        <f t="shared" si="3"/>
        <v>6000</v>
      </c>
      <c r="W22" s="474">
        <f t="shared" si="4"/>
        <v>0</v>
      </c>
      <c r="X22" s="475">
        <f t="shared" si="5"/>
        <v>0</v>
      </c>
      <c r="Y22" s="475">
        <v>0</v>
      </c>
      <c r="Z22" s="476">
        <v>0</v>
      </c>
      <c r="AA22" s="38">
        <f t="shared" si="6"/>
        <v>0</v>
      </c>
      <c r="AB22" s="692">
        <f t="shared" si="7"/>
        <v>0</v>
      </c>
      <c r="AC22" s="692">
        <f t="shared" si="8"/>
        <v>0</v>
      </c>
      <c r="AD22" s="692">
        <f t="shared" si="9"/>
        <v>0</v>
      </c>
      <c r="AE22" s="38"/>
      <c r="AF22" s="692">
        <f t="shared" si="10"/>
        <v>6000</v>
      </c>
      <c r="AG22" s="692">
        <f t="shared" si="11"/>
        <v>0</v>
      </c>
      <c r="AH22" s="692">
        <f t="shared" si="12"/>
        <v>0</v>
      </c>
      <c r="AJ22" s="38">
        <f t="shared" si="13"/>
        <v>6000</v>
      </c>
    </row>
    <row r="23" spans="1:36">
      <c r="A23" s="20"/>
      <c r="B23" s="20" t="s">
        <v>110</v>
      </c>
      <c r="C23" s="667" t="s">
        <v>524</v>
      </c>
      <c r="D23" s="123" t="s">
        <v>133</v>
      </c>
      <c r="E23" s="679"/>
      <c r="F23" s="529">
        <f>VLOOKUP(D23,'Oct 2012 Revenue'!D:T,17,FALSE)</f>
        <v>0</v>
      </c>
      <c r="G23" s="680"/>
      <c r="H23" s="680"/>
      <c r="I23" s="755"/>
      <c r="J23" s="682">
        <f t="shared" si="0"/>
        <v>0</v>
      </c>
      <c r="K23" s="683"/>
      <c r="L23" s="684"/>
      <c r="M23" s="753">
        <v>7000</v>
      </c>
      <c r="N23" s="683">
        <v>0</v>
      </c>
      <c r="O23" s="686"/>
      <c r="P23" s="683">
        <v>0</v>
      </c>
      <c r="Q23" s="687">
        <f t="shared" si="1"/>
        <v>7000</v>
      </c>
      <c r="R23" s="688">
        <v>6337.7</v>
      </c>
      <c r="S23" s="693"/>
      <c r="T23" s="690">
        <f t="shared" si="2"/>
        <v>-662.30000000000018</v>
      </c>
      <c r="U23" s="683"/>
      <c r="V23" s="474">
        <f t="shared" si="3"/>
        <v>7000</v>
      </c>
      <c r="W23" s="474">
        <f t="shared" si="4"/>
        <v>0</v>
      </c>
      <c r="X23" s="475">
        <f t="shared" si="5"/>
        <v>0</v>
      </c>
      <c r="Y23" s="475">
        <v>0</v>
      </c>
      <c r="Z23" s="476">
        <v>0</v>
      </c>
      <c r="AA23" s="38">
        <f t="shared" si="6"/>
        <v>0</v>
      </c>
      <c r="AB23" s="692">
        <f t="shared" si="7"/>
        <v>0</v>
      </c>
      <c r="AC23" s="692">
        <f t="shared" si="8"/>
        <v>0</v>
      </c>
      <c r="AD23" s="692">
        <f t="shared" si="9"/>
        <v>0</v>
      </c>
      <c r="AE23" s="38"/>
      <c r="AF23" s="692">
        <f t="shared" si="10"/>
        <v>7000</v>
      </c>
      <c r="AG23" s="692">
        <f t="shared" si="11"/>
        <v>0</v>
      </c>
      <c r="AH23" s="692">
        <f t="shared" si="12"/>
        <v>0</v>
      </c>
      <c r="AJ23" s="38">
        <f t="shared" si="13"/>
        <v>7000</v>
      </c>
    </row>
    <row r="24" spans="1:36" s="232" customFormat="1">
      <c r="A24" s="283" t="s">
        <v>211</v>
      </c>
      <c r="B24" s="283" t="s">
        <v>109</v>
      </c>
      <c r="C24" s="667" t="s">
        <v>525</v>
      </c>
      <c r="D24" s="123" t="s">
        <v>419</v>
      </c>
      <c r="E24" s="679"/>
      <c r="F24" s="529">
        <f>VLOOKUP(D24,'Oct 2012 Revenue'!D:T,17,FALSE)</f>
        <v>-44000</v>
      </c>
      <c r="G24" s="680"/>
      <c r="H24" s="680"/>
      <c r="I24" s="755"/>
      <c r="J24" s="682">
        <f t="shared" si="0"/>
        <v>-44000</v>
      </c>
      <c r="K24" s="683"/>
      <c r="L24" s="684"/>
      <c r="M24" s="753">
        <v>55000</v>
      </c>
      <c r="N24" s="683">
        <v>0</v>
      </c>
      <c r="O24" s="686"/>
      <c r="P24" s="683">
        <v>0</v>
      </c>
      <c r="Q24" s="687">
        <f t="shared" si="1"/>
        <v>55000</v>
      </c>
      <c r="R24" s="688">
        <v>0</v>
      </c>
      <c r="S24" s="693"/>
      <c r="T24" s="690">
        <f t="shared" si="2"/>
        <v>-55000</v>
      </c>
      <c r="U24" s="683"/>
      <c r="V24" s="474">
        <f t="shared" si="3"/>
        <v>0</v>
      </c>
      <c r="W24" s="474">
        <f t="shared" si="4"/>
        <v>55000</v>
      </c>
      <c r="X24" s="475">
        <f t="shared" si="5"/>
        <v>0</v>
      </c>
      <c r="Y24" s="475">
        <v>0</v>
      </c>
      <c r="Z24" s="476">
        <v>0</v>
      </c>
      <c r="AA24" s="38">
        <f t="shared" si="6"/>
        <v>0</v>
      </c>
      <c r="AB24" s="692">
        <f t="shared" si="7"/>
        <v>0</v>
      </c>
      <c r="AC24" s="692">
        <f t="shared" si="8"/>
        <v>-44000</v>
      </c>
      <c r="AD24" s="692">
        <f t="shared" si="9"/>
        <v>0</v>
      </c>
      <c r="AE24" s="38"/>
      <c r="AF24" s="692">
        <f t="shared" si="10"/>
        <v>0</v>
      </c>
      <c r="AG24" s="692">
        <f t="shared" si="11"/>
        <v>55000</v>
      </c>
      <c r="AH24" s="692">
        <f t="shared" si="12"/>
        <v>0</v>
      </c>
      <c r="AJ24" s="38">
        <f t="shared" si="13"/>
        <v>11000</v>
      </c>
    </row>
    <row r="25" spans="1:36" s="232" customFormat="1">
      <c r="A25" s="283"/>
      <c r="B25" s="283" t="s">
        <v>109</v>
      </c>
      <c r="C25" s="667" t="s">
        <v>525</v>
      </c>
      <c r="D25" s="413" t="s">
        <v>420</v>
      </c>
      <c r="E25" s="679"/>
      <c r="F25" s="529">
        <f>VLOOKUP(D25,'Oct 2012 Revenue'!D:T,17,FALSE)</f>
        <v>0</v>
      </c>
      <c r="G25" s="680"/>
      <c r="H25" s="680"/>
      <c r="I25" s="755"/>
      <c r="J25" s="682">
        <f t="shared" si="0"/>
        <v>0</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0</v>
      </c>
      <c r="AC25" s="692">
        <f t="shared" si="8"/>
        <v>0</v>
      </c>
      <c r="AD25" s="692">
        <f t="shared" si="9"/>
        <v>0</v>
      </c>
      <c r="AE25" s="38"/>
      <c r="AF25" s="692">
        <f t="shared" si="10"/>
        <v>0</v>
      </c>
      <c r="AG25" s="692">
        <f t="shared" si="11"/>
        <v>0</v>
      </c>
      <c r="AH25" s="692">
        <f t="shared" si="12"/>
        <v>0</v>
      </c>
      <c r="AJ25" s="38">
        <f t="shared" si="13"/>
        <v>0</v>
      </c>
    </row>
    <row r="26" spans="1:36" s="232" customFormat="1">
      <c r="A26" s="283"/>
      <c r="B26" s="283" t="s">
        <v>109</v>
      </c>
      <c r="C26" s="667" t="s">
        <v>525</v>
      </c>
      <c r="D26" s="413" t="s">
        <v>421</v>
      </c>
      <c r="E26" s="679"/>
      <c r="F26" s="529">
        <f>VLOOKUP(D26,'Oct 2012 Revenue'!D:T,17,FALSE)</f>
        <v>0</v>
      </c>
      <c r="G26" s="680"/>
      <c r="H26" s="680"/>
      <c r="I26" s="755"/>
      <c r="J26" s="682">
        <f t="shared" si="0"/>
        <v>0</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7"/>
        <v>0</v>
      </c>
      <c r="AC26" s="692">
        <f t="shared" si="8"/>
        <v>0</v>
      </c>
      <c r="AD26" s="692">
        <f t="shared" si="9"/>
        <v>0</v>
      </c>
      <c r="AE26" s="38"/>
      <c r="AF26" s="692">
        <f t="shared" si="10"/>
        <v>0</v>
      </c>
      <c r="AG26" s="692">
        <f t="shared" si="11"/>
        <v>0</v>
      </c>
      <c r="AH26" s="692">
        <f t="shared" si="12"/>
        <v>0</v>
      </c>
      <c r="AJ26" s="38">
        <f t="shared" si="13"/>
        <v>0</v>
      </c>
    </row>
    <row r="27" spans="1:36">
      <c r="A27" s="20"/>
      <c r="B27" s="20" t="s">
        <v>110</v>
      </c>
      <c r="C27" s="667"/>
      <c r="D27" s="68" t="s">
        <v>191</v>
      </c>
      <c r="E27" s="679"/>
      <c r="F27" s="529">
        <f>VLOOKUP(D27,'Oct 2012 Revenue'!D:T,17,FALSE)</f>
        <v>0</v>
      </c>
      <c r="G27" s="680"/>
      <c r="H27" s="680"/>
      <c r="I27" s="755"/>
      <c r="J27" s="682">
        <f t="shared" si="0"/>
        <v>0</v>
      </c>
      <c r="K27" s="683"/>
      <c r="L27" s="684"/>
      <c r="M27" s="753"/>
      <c r="N27" s="683">
        <v>0</v>
      </c>
      <c r="O27" s="686"/>
      <c r="P27" s="683">
        <v>0</v>
      </c>
      <c r="Q27" s="687">
        <f t="shared" si="1"/>
        <v>0</v>
      </c>
      <c r="R27" s="688">
        <v>144.76</v>
      </c>
      <c r="S27" s="693"/>
      <c r="T27" s="690">
        <f t="shared" si="2"/>
        <v>144.76</v>
      </c>
      <c r="U27" s="683"/>
      <c r="V27" s="474">
        <f t="shared" si="3"/>
        <v>0</v>
      </c>
      <c r="W27" s="474">
        <f t="shared" si="4"/>
        <v>0</v>
      </c>
      <c r="X27" s="475">
        <f t="shared" si="5"/>
        <v>0</v>
      </c>
      <c r="Y27" s="475">
        <v>0</v>
      </c>
      <c r="Z27" s="476">
        <v>0</v>
      </c>
      <c r="AA27" s="38">
        <f t="shared" si="6"/>
        <v>0</v>
      </c>
      <c r="AB27" s="692">
        <f t="shared" si="7"/>
        <v>0</v>
      </c>
      <c r="AC27" s="692">
        <f t="shared" si="8"/>
        <v>0</v>
      </c>
      <c r="AD27" s="692">
        <f t="shared" si="9"/>
        <v>0</v>
      </c>
      <c r="AE27" s="38"/>
      <c r="AF27" s="692">
        <f t="shared" si="10"/>
        <v>0</v>
      </c>
      <c r="AG27" s="692">
        <f t="shared" si="11"/>
        <v>0</v>
      </c>
      <c r="AH27" s="692">
        <f t="shared" si="12"/>
        <v>0</v>
      </c>
      <c r="AJ27" s="38">
        <f t="shared" si="13"/>
        <v>0</v>
      </c>
    </row>
    <row r="28" spans="1:36">
      <c r="A28" s="20"/>
      <c r="B28" s="20" t="s">
        <v>110</v>
      </c>
      <c r="C28" s="667"/>
      <c r="D28" s="68" t="s">
        <v>589</v>
      </c>
      <c r="E28" s="679"/>
      <c r="F28" s="529">
        <f>VLOOKUP(D28,'Oct 2012 Revenue'!D:T,17,FALSE)</f>
        <v>-7000</v>
      </c>
      <c r="G28" s="680"/>
      <c r="H28" s="680"/>
      <c r="I28" s="755"/>
      <c r="J28" s="682">
        <f t="shared" si="0"/>
        <v>-7000</v>
      </c>
      <c r="K28" s="683"/>
      <c r="L28" s="684"/>
      <c r="M28" s="753">
        <v>13000</v>
      </c>
      <c r="N28" s="683">
        <v>0</v>
      </c>
      <c r="O28" s="686"/>
      <c r="P28" s="683">
        <v>0</v>
      </c>
      <c r="Q28" s="687">
        <f t="shared" si="1"/>
        <v>13000</v>
      </c>
      <c r="R28" s="688">
        <v>0</v>
      </c>
      <c r="S28" s="693"/>
      <c r="T28" s="690">
        <f t="shared" si="2"/>
        <v>-13000</v>
      </c>
      <c r="U28" s="683"/>
      <c r="V28" s="474">
        <f t="shared" si="3"/>
        <v>13000</v>
      </c>
      <c r="W28" s="474">
        <f t="shared" si="4"/>
        <v>0</v>
      </c>
      <c r="X28" s="475">
        <f t="shared" si="5"/>
        <v>0</v>
      </c>
      <c r="Y28" s="475">
        <v>0</v>
      </c>
      <c r="Z28" s="476">
        <v>0</v>
      </c>
      <c r="AA28" s="38">
        <f t="shared" si="6"/>
        <v>0</v>
      </c>
      <c r="AB28" s="692">
        <f t="shared" si="7"/>
        <v>-7000</v>
      </c>
      <c r="AC28" s="692">
        <f t="shared" si="8"/>
        <v>0</v>
      </c>
      <c r="AD28" s="692">
        <f t="shared" si="9"/>
        <v>0</v>
      </c>
      <c r="AE28" s="38"/>
      <c r="AF28" s="692">
        <f t="shared" si="10"/>
        <v>13000</v>
      </c>
      <c r="AG28" s="692">
        <f t="shared" si="11"/>
        <v>0</v>
      </c>
      <c r="AH28" s="692">
        <f t="shared" si="12"/>
        <v>0</v>
      </c>
      <c r="AJ28" s="38">
        <f t="shared" si="13"/>
        <v>6000</v>
      </c>
    </row>
    <row r="29" spans="1:36">
      <c r="A29" s="20"/>
      <c r="B29" s="20" t="s">
        <v>110</v>
      </c>
      <c r="C29" s="667"/>
      <c r="D29" s="68" t="s">
        <v>829</v>
      </c>
      <c r="E29" s="679"/>
      <c r="F29" s="529">
        <f>VLOOKUP(D29,'Oct 2012 Revenue'!D:T,17,FALSE)</f>
        <v>0</v>
      </c>
      <c r="G29" s="680"/>
      <c r="H29" s="680"/>
      <c r="I29" s="755"/>
      <c r="J29" s="682">
        <f t="shared" si="0"/>
        <v>0</v>
      </c>
      <c r="K29" s="683"/>
      <c r="L29" s="684"/>
      <c r="M29" s="753"/>
      <c r="N29" s="683">
        <v>0</v>
      </c>
      <c r="O29" s="686"/>
      <c r="P29" s="683">
        <v>0</v>
      </c>
      <c r="Q29" s="687">
        <f t="shared" si="1"/>
        <v>0</v>
      </c>
      <c r="R29" s="688">
        <v>0</v>
      </c>
      <c r="S29" s="693"/>
      <c r="T29" s="690">
        <f t="shared" si="2"/>
        <v>0</v>
      </c>
      <c r="U29" s="683"/>
      <c r="V29" s="474">
        <f t="shared" si="3"/>
        <v>0</v>
      </c>
      <c r="W29" s="474">
        <f t="shared" si="4"/>
        <v>0</v>
      </c>
      <c r="X29" s="475">
        <f t="shared" si="5"/>
        <v>0</v>
      </c>
      <c r="Y29" s="475">
        <v>0</v>
      </c>
      <c r="Z29" s="476">
        <v>0</v>
      </c>
      <c r="AA29" s="38">
        <f t="shared" si="6"/>
        <v>0</v>
      </c>
      <c r="AB29" s="692">
        <f t="shared" si="7"/>
        <v>0</v>
      </c>
      <c r="AC29" s="692">
        <f t="shared" si="8"/>
        <v>0</v>
      </c>
      <c r="AD29" s="692">
        <f t="shared" si="9"/>
        <v>0</v>
      </c>
      <c r="AE29" s="38"/>
      <c r="AF29" s="692">
        <f t="shared" si="10"/>
        <v>0</v>
      </c>
      <c r="AG29" s="692">
        <f t="shared" si="11"/>
        <v>0</v>
      </c>
      <c r="AH29" s="692">
        <f t="shared" si="12"/>
        <v>0</v>
      </c>
      <c r="AJ29" s="38">
        <f t="shared" si="13"/>
        <v>0</v>
      </c>
    </row>
    <row r="30" spans="1:36">
      <c r="A30" s="20"/>
      <c r="B30" s="20" t="s">
        <v>109</v>
      </c>
      <c r="C30" s="667" t="s">
        <v>526</v>
      </c>
      <c r="D30" s="68" t="s">
        <v>385</v>
      </c>
      <c r="E30" s="679"/>
      <c r="F30" s="529">
        <f>VLOOKUP(D30,'Oct 2012 Revenue'!D:T,17,FALSE)</f>
        <v>1569.65</v>
      </c>
      <c r="G30" s="680"/>
      <c r="H30" s="680"/>
      <c r="I30" s="755"/>
      <c r="J30" s="682">
        <f t="shared" si="0"/>
        <v>1569.65</v>
      </c>
      <c r="K30" s="683"/>
      <c r="L30" s="684"/>
      <c r="M30" s="753"/>
      <c r="N30" s="683">
        <v>0</v>
      </c>
      <c r="O30" s="686"/>
      <c r="P30" s="683">
        <v>0</v>
      </c>
      <c r="Q30" s="687">
        <f t="shared" si="1"/>
        <v>0</v>
      </c>
      <c r="R30" s="688">
        <v>1534.92</v>
      </c>
      <c r="S30" s="693"/>
      <c r="T30" s="690">
        <f t="shared" si="2"/>
        <v>1534.92</v>
      </c>
      <c r="U30" s="691"/>
      <c r="V30" s="474">
        <f t="shared" si="3"/>
        <v>0</v>
      </c>
      <c r="W30" s="474">
        <f t="shared" si="4"/>
        <v>0</v>
      </c>
      <c r="X30" s="475">
        <f t="shared" si="5"/>
        <v>0</v>
      </c>
      <c r="Y30" s="475">
        <v>0</v>
      </c>
      <c r="Z30" s="476">
        <v>0</v>
      </c>
      <c r="AA30" s="38">
        <f t="shared" si="6"/>
        <v>0</v>
      </c>
      <c r="AB30" s="692">
        <f t="shared" si="7"/>
        <v>0</v>
      </c>
      <c r="AC30" s="692">
        <f t="shared" si="8"/>
        <v>1569.65</v>
      </c>
      <c r="AD30" s="692">
        <f t="shared" si="9"/>
        <v>0</v>
      </c>
      <c r="AE30" s="38"/>
      <c r="AF30" s="692">
        <f t="shared" si="10"/>
        <v>0</v>
      </c>
      <c r="AG30" s="692">
        <f t="shared" si="11"/>
        <v>0</v>
      </c>
      <c r="AH30" s="692">
        <f t="shared" si="12"/>
        <v>0</v>
      </c>
      <c r="AJ30" s="38">
        <f t="shared" si="13"/>
        <v>1569.65</v>
      </c>
    </row>
    <row r="31" spans="1:36" s="232" customFormat="1">
      <c r="A31" s="283"/>
      <c r="B31" s="283" t="s">
        <v>110</v>
      </c>
      <c r="C31" s="667" t="s">
        <v>527</v>
      </c>
      <c r="D31" s="123" t="s">
        <v>401</v>
      </c>
      <c r="E31" s="679"/>
      <c r="F31" s="529">
        <f>VLOOKUP(D31,'Oct 2012 Revenue'!D:T,17,FALSE)</f>
        <v>39500.099999999977</v>
      </c>
      <c r="G31" s="680"/>
      <c r="H31" s="680"/>
      <c r="I31" s="755"/>
      <c r="J31" s="682">
        <f t="shared" si="0"/>
        <v>39500.099999999977</v>
      </c>
      <c r="K31" s="683"/>
      <c r="L31" s="684"/>
      <c r="M31" s="753">
        <v>370000</v>
      </c>
      <c r="N31" s="683">
        <v>0</v>
      </c>
      <c r="O31" s="686"/>
      <c r="P31" s="683">
        <v>0</v>
      </c>
      <c r="Q31" s="687">
        <f t="shared" si="1"/>
        <v>370000</v>
      </c>
      <c r="R31" s="688">
        <v>342222.46</v>
      </c>
      <c r="S31" s="693"/>
      <c r="T31" s="690">
        <f t="shared" si="2"/>
        <v>-27777.539999999979</v>
      </c>
      <c r="U31" s="683"/>
      <c r="V31" s="474">
        <f t="shared" si="3"/>
        <v>370000</v>
      </c>
      <c r="W31" s="474">
        <f t="shared" si="4"/>
        <v>0</v>
      </c>
      <c r="X31" s="475">
        <f t="shared" si="5"/>
        <v>0</v>
      </c>
      <c r="Y31" s="475">
        <v>0</v>
      </c>
      <c r="Z31" s="476">
        <v>0</v>
      </c>
      <c r="AA31" s="38">
        <f t="shared" si="6"/>
        <v>0</v>
      </c>
      <c r="AB31" s="692">
        <f t="shared" si="7"/>
        <v>39500.099999999977</v>
      </c>
      <c r="AC31" s="692">
        <f t="shared" si="8"/>
        <v>0</v>
      </c>
      <c r="AD31" s="692">
        <f t="shared" si="9"/>
        <v>0</v>
      </c>
      <c r="AE31" s="38"/>
      <c r="AF31" s="692">
        <f t="shared" si="10"/>
        <v>370000</v>
      </c>
      <c r="AG31" s="692">
        <f t="shared" si="11"/>
        <v>0</v>
      </c>
      <c r="AH31" s="692">
        <f t="shared" si="12"/>
        <v>0</v>
      </c>
      <c r="AJ31" s="38">
        <f t="shared" si="13"/>
        <v>409500.1</v>
      </c>
    </row>
    <row r="32" spans="1:36" s="232" customFormat="1">
      <c r="A32" s="283"/>
      <c r="B32" s="283" t="s">
        <v>110</v>
      </c>
      <c r="C32" s="667" t="s">
        <v>528</v>
      </c>
      <c r="D32" s="123" t="s">
        <v>403</v>
      </c>
      <c r="E32" s="679"/>
      <c r="F32" s="529">
        <f>VLOOKUP(D32,'Oct 2012 Revenue'!D:T,17,FALSE)</f>
        <v>2773.1999999999971</v>
      </c>
      <c r="G32" s="680"/>
      <c r="H32" s="680"/>
      <c r="I32" s="755"/>
      <c r="J32" s="682">
        <f t="shared" si="0"/>
        <v>2773.1999999999971</v>
      </c>
      <c r="K32" s="683"/>
      <c r="L32" s="684"/>
      <c r="M32" s="753">
        <v>50000</v>
      </c>
      <c r="N32" s="683">
        <v>0</v>
      </c>
      <c r="O32" s="686"/>
      <c r="P32" s="683">
        <v>0</v>
      </c>
      <c r="Q32" s="687">
        <f t="shared" si="1"/>
        <v>50000</v>
      </c>
      <c r="R32" s="688">
        <v>57355.92</v>
      </c>
      <c r="S32" s="693"/>
      <c r="T32" s="690">
        <f t="shared" si="2"/>
        <v>7355.9199999999983</v>
      </c>
      <c r="U32" s="683"/>
      <c r="V32" s="474">
        <f t="shared" si="3"/>
        <v>50000</v>
      </c>
      <c r="W32" s="474">
        <f t="shared" si="4"/>
        <v>0</v>
      </c>
      <c r="X32" s="475">
        <f t="shared" si="5"/>
        <v>0</v>
      </c>
      <c r="Y32" s="475">
        <v>0</v>
      </c>
      <c r="Z32" s="476">
        <v>0</v>
      </c>
      <c r="AA32" s="38">
        <f t="shared" si="6"/>
        <v>0</v>
      </c>
      <c r="AB32" s="692">
        <f t="shared" si="7"/>
        <v>2773.1999999999971</v>
      </c>
      <c r="AC32" s="692">
        <f t="shared" si="8"/>
        <v>0</v>
      </c>
      <c r="AD32" s="692">
        <f t="shared" si="9"/>
        <v>0</v>
      </c>
      <c r="AE32" s="38"/>
      <c r="AF32" s="692">
        <f t="shared" si="10"/>
        <v>50000</v>
      </c>
      <c r="AG32" s="692">
        <f t="shared" si="11"/>
        <v>0</v>
      </c>
      <c r="AH32" s="692">
        <f t="shared" si="12"/>
        <v>0</v>
      </c>
      <c r="AJ32" s="38">
        <f t="shared" si="13"/>
        <v>52773.2</v>
      </c>
    </row>
    <row r="33" spans="1:36" s="232" customFormat="1">
      <c r="A33" s="283"/>
      <c r="B33" s="283" t="s">
        <v>110</v>
      </c>
      <c r="C33" s="667" t="s">
        <v>528</v>
      </c>
      <c r="D33" s="123" t="s">
        <v>404</v>
      </c>
      <c r="E33" s="679"/>
      <c r="F33" s="529">
        <f>VLOOKUP(D33,'Oct 2012 Revenue'!D:T,17,FALSE)</f>
        <v>-2009.3099999999977</v>
      </c>
      <c r="G33" s="680"/>
      <c r="H33" s="680"/>
      <c r="I33" s="755"/>
      <c r="J33" s="682">
        <f t="shared" si="0"/>
        <v>-2009.3099999999977</v>
      </c>
      <c r="K33" s="683"/>
      <c r="L33" s="684"/>
      <c r="M33" s="753">
        <v>65000</v>
      </c>
      <c r="N33" s="683">
        <v>0</v>
      </c>
      <c r="O33" s="686"/>
      <c r="P33" s="683">
        <v>0</v>
      </c>
      <c r="Q33" s="687">
        <f t="shared" si="1"/>
        <v>65000</v>
      </c>
      <c r="R33" s="688">
        <v>66562.3</v>
      </c>
      <c r="S33" s="693"/>
      <c r="T33" s="690">
        <f t="shared" si="2"/>
        <v>1562.3000000000029</v>
      </c>
      <c r="U33" s="683"/>
      <c r="V33" s="474">
        <f t="shared" si="3"/>
        <v>65000</v>
      </c>
      <c r="W33" s="474">
        <f t="shared" si="4"/>
        <v>0</v>
      </c>
      <c r="X33" s="475">
        <f t="shared" si="5"/>
        <v>0</v>
      </c>
      <c r="Y33" s="475">
        <v>0</v>
      </c>
      <c r="Z33" s="476">
        <v>0</v>
      </c>
      <c r="AA33" s="38">
        <f t="shared" si="6"/>
        <v>0</v>
      </c>
      <c r="AB33" s="692">
        <f t="shared" si="7"/>
        <v>-2009.3099999999977</v>
      </c>
      <c r="AC33" s="692">
        <f t="shared" si="8"/>
        <v>0</v>
      </c>
      <c r="AD33" s="692">
        <f t="shared" si="9"/>
        <v>0</v>
      </c>
      <c r="AE33" s="38"/>
      <c r="AF33" s="692">
        <f t="shared" si="10"/>
        <v>65000</v>
      </c>
      <c r="AG33" s="692">
        <f t="shared" si="11"/>
        <v>0</v>
      </c>
      <c r="AH33" s="692">
        <f t="shared" si="12"/>
        <v>0</v>
      </c>
      <c r="AJ33" s="38">
        <f t="shared" si="13"/>
        <v>62990.69</v>
      </c>
    </row>
    <row r="34" spans="1:36" s="232" customFormat="1">
      <c r="A34" s="283"/>
      <c r="B34" s="283" t="s">
        <v>110</v>
      </c>
      <c r="C34" s="667" t="s">
        <v>528</v>
      </c>
      <c r="D34" s="123" t="s">
        <v>405</v>
      </c>
      <c r="E34" s="679"/>
      <c r="F34" s="529">
        <f>VLOOKUP(D34,'Oct 2012 Revenue'!D:T,17,FALSE)</f>
        <v>206.85000000000036</v>
      </c>
      <c r="G34" s="680"/>
      <c r="H34" s="680"/>
      <c r="I34" s="755"/>
      <c r="J34" s="682">
        <f t="shared" si="0"/>
        <v>206.85000000000036</v>
      </c>
      <c r="K34" s="683"/>
      <c r="L34" s="684"/>
      <c r="M34" s="753">
        <v>12000</v>
      </c>
      <c r="N34" s="683">
        <v>0</v>
      </c>
      <c r="O34" s="686"/>
      <c r="P34" s="683">
        <v>0</v>
      </c>
      <c r="Q34" s="687">
        <f t="shared" si="1"/>
        <v>12000</v>
      </c>
      <c r="R34" s="688">
        <v>13083.46</v>
      </c>
      <c r="S34" s="693"/>
      <c r="T34" s="690">
        <f t="shared" si="2"/>
        <v>1083.4599999999991</v>
      </c>
      <c r="U34" s="683"/>
      <c r="V34" s="474">
        <f t="shared" si="3"/>
        <v>12000</v>
      </c>
      <c r="W34" s="474">
        <f t="shared" si="4"/>
        <v>0</v>
      </c>
      <c r="X34" s="475">
        <f t="shared" si="5"/>
        <v>0</v>
      </c>
      <c r="Y34" s="475">
        <v>0</v>
      </c>
      <c r="Z34" s="476">
        <v>0</v>
      </c>
      <c r="AA34" s="38">
        <f t="shared" si="6"/>
        <v>0</v>
      </c>
      <c r="AB34" s="692">
        <f t="shared" si="7"/>
        <v>206.85000000000036</v>
      </c>
      <c r="AC34" s="692">
        <f t="shared" si="8"/>
        <v>0</v>
      </c>
      <c r="AD34" s="692">
        <f t="shared" si="9"/>
        <v>0</v>
      </c>
      <c r="AE34" s="38"/>
      <c r="AF34" s="692">
        <f t="shared" si="10"/>
        <v>12000</v>
      </c>
      <c r="AG34" s="692">
        <f t="shared" si="11"/>
        <v>0</v>
      </c>
      <c r="AH34" s="692">
        <f t="shared" si="12"/>
        <v>0</v>
      </c>
      <c r="AJ34" s="38">
        <f t="shared" si="13"/>
        <v>12206.85</v>
      </c>
    </row>
    <row r="35" spans="1:36" s="232" customFormat="1">
      <c r="A35" s="283"/>
      <c r="B35" s="283" t="s">
        <v>110</v>
      </c>
      <c r="C35" s="667" t="s">
        <v>528</v>
      </c>
      <c r="D35" s="123" t="s">
        <v>406</v>
      </c>
      <c r="E35" s="679"/>
      <c r="F35" s="529">
        <f>VLOOKUP(D35,'Oct 2012 Revenue'!D:T,17,FALSE)</f>
        <v>-385.98999999999978</v>
      </c>
      <c r="G35" s="680"/>
      <c r="H35" s="680"/>
      <c r="I35" s="755"/>
      <c r="J35" s="682">
        <f t="shared" si="0"/>
        <v>-385.98999999999978</v>
      </c>
      <c r="K35" s="683"/>
      <c r="L35" s="684"/>
      <c r="M35" s="753">
        <v>5000</v>
      </c>
      <c r="N35" s="683">
        <v>0</v>
      </c>
      <c r="O35" s="686"/>
      <c r="P35" s="683">
        <v>0</v>
      </c>
      <c r="Q35" s="687">
        <f t="shared" si="1"/>
        <v>5000</v>
      </c>
      <c r="R35" s="688">
        <v>4895.71</v>
      </c>
      <c r="S35" s="693"/>
      <c r="T35" s="690">
        <f t="shared" si="2"/>
        <v>-104.28999999999996</v>
      </c>
      <c r="U35" s="683"/>
      <c r="V35" s="474">
        <f t="shared" si="3"/>
        <v>5000</v>
      </c>
      <c r="W35" s="474">
        <f t="shared" si="4"/>
        <v>0</v>
      </c>
      <c r="X35" s="475">
        <f t="shared" si="5"/>
        <v>0</v>
      </c>
      <c r="Y35" s="475">
        <v>0</v>
      </c>
      <c r="Z35" s="476">
        <v>0</v>
      </c>
      <c r="AA35" s="38">
        <f t="shared" si="6"/>
        <v>0</v>
      </c>
      <c r="AB35" s="692">
        <f t="shared" si="7"/>
        <v>-385.98999999999978</v>
      </c>
      <c r="AC35" s="692">
        <f t="shared" si="8"/>
        <v>0</v>
      </c>
      <c r="AD35" s="692">
        <f t="shared" si="9"/>
        <v>0</v>
      </c>
      <c r="AE35" s="38"/>
      <c r="AF35" s="692">
        <f t="shared" si="10"/>
        <v>5000</v>
      </c>
      <c r="AG35" s="692">
        <f t="shared" si="11"/>
        <v>0</v>
      </c>
      <c r="AH35" s="692">
        <f t="shared" si="12"/>
        <v>0</v>
      </c>
      <c r="AJ35" s="38">
        <f t="shared" si="13"/>
        <v>4614.01</v>
      </c>
    </row>
    <row r="36" spans="1:36" s="232" customFormat="1">
      <c r="A36" s="283"/>
      <c r="B36" s="283" t="s">
        <v>110</v>
      </c>
      <c r="C36" s="667" t="s">
        <v>528</v>
      </c>
      <c r="D36" s="123" t="s">
        <v>407</v>
      </c>
      <c r="E36" s="679"/>
      <c r="F36" s="529">
        <f>VLOOKUP(D36,'Oct 2012 Revenue'!D:T,17,FALSE)</f>
        <v>178.01000000000022</v>
      </c>
      <c r="G36" s="680"/>
      <c r="H36" s="680"/>
      <c r="I36" s="755"/>
      <c r="J36" s="682">
        <f t="shared" si="0"/>
        <v>178.01000000000022</v>
      </c>
      <c r="K36" s="683"/>
      <c r="L36" s="684"/>
      <c r="M36" s="753">
        <v>2000</v>
      </c>
      <c r="N36" s="683">
        <v>0</v>
      </c>
      <c r="O36" s="686"/>
      <c r="P36" s="683">
        <v>0</v>
      </c>
      <c r="Q36" s="687">
        <f t="shared" si="1"/>
        <v>2000</v>
      </c>
      <c r="R36" s="688">
        <v>2502.6999999999998</v>
      </c>
      <c r="S36" s="693"/>
      <c r="T36" s="690">
        <f t="shared" si="2"/>
        <v>502.69999999999982</v>
      </c>
      <c r="U36" s="683"/>
      <c r="V36" s="474">
        <f t="shared" si="3"/>
        <v>2000</v>
      </c>
      <c r="W36" s="474">
        <f t="shared" si="4"/>
        <v>0</v>
      </c>
      <c r="X36" s="475">
        <f t="shared" si="5"/>
        <v>0</v>
      </c>
      <c r="Y36" s="475">
        <v>0</v>
      </c>
      <c r="Z36" s="476">
        <v>0</v>
      </c>
      <c r="AA36" s="38">
        <f t="shared" si="6"/>
        <v>0</v>
      </c>
      <c r="AB36" s="692">
        <f t="shared" si="7"/>
        <v>178.01000000000022</v>
      </c>
      <c r="AC36" s="692">
        <f t="shared" si="8"/>
        <v>0</v>
      </c>
      <c r="AD36" s="692">
        <f t="shared" si="9"/>
        <v>0</v>
      </c>
      <c r="AE36" s="38"/>
      <c r="AF36" s="692">
        <f t="shared" si="10"/>
        <v>2000</v>
      </c>
      <c r="AG36" s="692">
        <f t="shared" si="11"/>
        <v>0</v>
      </c>
      <c r="AH36" s="692">
        <f t="shared" si="12"/>
        <v>0</v>
      </c>
      <c r="AJ36" s="38">
        <f t="shared" si="13"/>
        <v>2178.0100000000002</v>
      </c>
    </row>
    <row r="37" spans="1:36" s="232" customFormat="1">
      <c r="A37" s="283"/>
      <c r="B37" s="283" t="s">
        <v>110</v>
      </c>
      <c r="C37" s="667" t="s">
        <v>528</v>
      </c>
      <c r="D37" s="123" t="s">
        <v>880</v>
      </c>
      <c r="E37" s="679"/>
      <c r="F37" s="529">
        <f>VLOOKUP(D37,'Oct 2012 Revenue'!D:T,17,FALSE)</f>
        <v>1367.06</v>
      </c>
      <c r="G37" s="680"/>
      <c r="H37" s="680"/>
      <c r="I37" s="755"/>
      <c r="J37" s="682">
        <f t="shared" ref="J37:J38" si="27">SUM(E37:I37)</f>
        <v>1367.06</v>
      </c>
      <c r="K37" s="683"/>
      <c r="L37" s="684"/>
      <c r="M37" s="753"/>
      <c r="N37" s="683">
        <v>0</v>
      </c>
      <c r="O37" s="686"/>
      <c r="P37" s="683">
        <v>0</v>
      </c>
      <c r="Q37" s="687">
        <f t="shared" ref="Q37:Q38" si="28">L37+M37</f>
        <v>0</v>
      </c>
      <c r="R37" s="688">
        <v>1419.97</v>
      </c>
      <c r="S37" s="693"/>
      <c r="T37" s="690">
        <f t="shared" si="2"/>
        <v>1419.97</v>
      </c>
      <c r="U37" s="683"/>
      <c r="V37" s="474">
        <f t="shared" ref="V37:V38" si="29">IF(B37="D",Q37,0)</f>
        <v>0</v>
      </c>
      <c r="W37" s="474">
        <f t="shared" ref="W37:W38" si="30">IF(B37="M",Q37,0)</f>
        <v>0</v>
      </c>
      <c r="X37" s="475">
        <f t="shared" ref="X37:X38" si="31">IF(B37="V",Q37,0)</f>
        <v>0</v>
      </c>
      <c r="Y37" s="475">
        <v>0</v>
      </c>
      <c r="Z37" s="476">
        <v>0</v>
      </c>
      <c r="AA37" s="38">
        <f t="shared" ref="AA37:AA38" si="32">(L37+M37)-(V37+W37+X37+Y37+Z37)</f>
        <v>0</v>
      </c>
      <c r="AB37" s="692">
        <f t="shared" ref="AB37:AB38" si="33">IF(B37="D",J37,0)</f>
        <v>1367.06</v>
      </c>
      <c r="AC37" s="692">
        <f t="shared" ref="AC37:AC38" si="34">IF(B37="M",J37,0)</f>
        <v>0</v>
      </c>
      <c r="AD37" s="692">
        <f t="shared" ref="AD37:AD38" si="35">IF(B37="V",J37,0)</f>
        <v>0</v>
      </c>
      <c r="AE37" s="38"/>
      <c r="AF37" s="692">
        <f t="shared" ref="AF37:AF38" si="36">IF(B37="D",Q37,0)</f>
        <v>0</v>
      </c>
      <c r="AG37" s="692">
        <f t="shared" ref="AG37:AG38" si="37">IF(B37="M",Q37,0)</f>
        <v>0</v>
      </c>
      <c r="AH37" s="692">
        <f t="shared" ref="AH37:AH38" si="38">IF(B37="V",Q37,0)</f>
        <v>0</v>
      </c>
      <c r="AJ37" s="38">
        <f t="shared" ref="AJ37:AJ38" si="39">SUM(AB37:AH37)</f>
        <v>1367.06</v>
      </c>
    </row>
    <row r="38" spans="1:36" s="232" customFormat="1">
      <c r="A38" s="283"/>
      <c r="B38" s="283" t="s">
        <v>110</v>
      </c>
      <c r="C38" s="667" t="s">
        <v>528</v>
      </c>
      <c r="D38" s="123" t="s">
        <v>881</v>
      </c>
      <c r="E38" s="679"/>
      <c r="F38" s="529">
        <f>VLOOKUP(D38,'Oct 2012 Revenue'!D:T,17,FALSE)</f>
        <v>1041.1400000000001</v>
      </c>
      <c r="G38" s="680"/>
      <c r="H38" s="680"/>
      <c r="I38" s="755"/>
      <c r="J38" s="682">
        <f t="shared" si="27"/>
        <v>1041.1400000000001</v>
      </c>
      <c r="K38" s="683"/>
      <c r="L38" s="684"/>
      <c r="M38" s="753"/>
      <c r="N38" s="683">
        <v>0</v>
      </c>
      <c r="O38" s="686"/>
      <c r="P38" s="683">
        <v>0</v>
      </c>
      <c r="Q38" s="687">
        <f t="shared" si="28"/>
        <v>0</v>
      </c>
      <c r="R38" s="688">
        <v>1399.29</v>
      </c>
      <c r="S38" s="693"/>
      <c r="T38" s="690">
        <f t="shared" si="2"/>
        <v>1399.29</v>
      </c>
      <c r="U38" s="683"/>
      <c r="V38" s="474">
        <f t="shared" si="29"/>
        <v>0</v>
      </c>
      <c r="W38" s="474">
        <f t="shared" si="30"/>
        <v>0</v>
      </c>
      <c r="X38" s="475">
        <f t="shared" si="31"/>
        <v>0</v>
      </c>
      <c r="Y38" s="475">
        <v>0</v>
      </c>
      <c r="Z38" s="476">
        <v>0</v>
      </c>
      <c r="AA38" s="38">
        <f t="shared" si="32"/>
        <v>0</v>
      </c>
      <c r="AB38" s="692">
        <f t="shared" si="33"/>
        <v>1041.1400000000001</v>
      </c>
      <c r="AC38" s="692">
        <f t="shared" si="34"/>
        <v>0</v>
      </c>
      <c r="AD38" s="692">
        <f t="shared" si="35"/>
        <v>0</v>
      </c>
      <c r="AE38" s="38"/>
      <c r="AF38" s="692">
        <f t="shared" si="36"/>
        <v>0</v>
      </c>
      <c r="AG38" s="692">
        <f t="shared" si="37"/>
        <v>0</v>
      </c>
      <c r="AH38" s="692">
        <f t="shared" si="38"/>
        <v>0</v>
      </c>
      <c r="AJ38" s="38">
        <f t="shared" si="39"/>
        <v>1041.1400000000001</v>
      </c>
    </row>
    <row r="39" spans="1:36" s="232" customFormat="1">
      <c r="A39" s="283"/>
      <c r="B39" s="283" t="s">
        <v>110</v>
      </c>
      <c r="C39" s="667" t="s">
        <v>528</v>
      </c>
      <c r="D39" s="123" t="s">
        <v>820</v>
      </c>
      <c r="E39" s="679">
        <v>10249.049999999999</v>
      </c>
      <c r="F39" s="529">
        <f>VLOOKUP(D39,'Oct 2012 Revenue'!D:T,17,FALSE)</f>
        <v>-8210.35</v>
      </c>
      <c r="G39" s="680"/>
      <c r="H39" s="680"/>
      <c r="I39" s="755"/>
      <c r="J39" s="682">
        <f t="shared" si="0"/>
        <v>2038.6999999999989</v>
      </c>
      <c r="K39" s="683"/>
      <c r="L39" s="684"/>
      <c r="M39" s="753">
        <v>11000</v>
      </c>
      <c r="N39" s="683">
        <v>0</v>
      </c>
      <c r="O39" s="686"/>
      <c r="P39" s="683">
        <v>0</v>
      </c>
      <c r="Q39" s="687">
        <f t="shared" si="1"/>
        <v>11000</v>
      </c>
      <c r="R39" s="688">
        <v>17986.75</v>
      </c>
      <c r="S39" s="693"/>
      <c r="T39" s="690">
        <f t="shared" si="2"/>
        <v>6986.75</v>
      </c>
      <c r="U39" s="683"/>
      <c r="V39" s="474">
        <f t="shared" si="3"/>
        <v>11000</v>
      </c>
      <c r="W39" s="474">
        <f t="shared" si="4"/>
        <v>0</v>
      </c>
      <c r="X39" s="475">
        <f t="shared" si="5"/>
        <v>0</v>
      </c>
      <c r="Y39" s="475">
        <v>0</v>
      </c>
      <c r="Z39" s="476">
        <v>0</v>
      </c>
      <c r="AA39" s="38">
        <f t="shared" si="6"/>
        <v>0</v>
      </c>
      <c r="AB39" s="692">
        <f t="shared" si="7"/>
        <v>2038.6999999999989</v>
      </c>
      <c r="AC39" s="692">
        <f t="shared" si="8"/>
        <v>0</v>
      </c>
      <c r="AD39" s="692">
        <f t="shared" si="9"/>
        <v>0</v>
      </c>
      <c r="AE39" s="38"/>
      <c r="AF39" s="692">
        <f t="shared" si="10"/>
        <v>11000</v>
      </c>
      <c r="AG39" s="692">
        <f t="shared" si="11"/>
        <v>0</v>
      </c>
      <c r="AH39" s="692">
        <f t="shared" si="12"/>
        <v>0</v>
      </c>
      <c r="AJ39" s="38">
        <f t="shared" si="13"/>
        <v>13038.699999999999</v>
      </c>
    </row>
    <row r="40" spans="1:36" s="232" customFormat="1">
      <c r="A40" s="283"/>
      <c r="B40" s="283" t="s">
        <v>110</v>
      </c>
      <c r="C40" s="667" t="s">
        <v>527</v>
      </c>
      <c r="D40" s="123" t="s">
        <v>460</v>
      </c>
      <c r="E40" s="679"/>
      <c r="F40" s="529">
        <f>VLOOKUP(D40,'Oct 2012 Revenue'!D:T,17,FALSE)</f>
        <v>0</v>
      </c>
      <c r="G40" s="680"/>
      <c r="H40" s="680"/>
      <c r="I40" s="770">
        <v>45191.19</v>
      </c>
      <c r="J40" s="682">
        <f t="shared" si="0"/>
        <v>45191.19</v>
      </c>
      <c r="K40" s="683"/>
      <c r="L40" s="684"/>
      <c r="M40" s="753"/>
      <c r="N40" s="683">
        <v>0</v>
      </c>
      <c r="O40" s="686"/>
      <c r="P40" s="683">
        <v>0</v>
      </c>
      <c r="Q40" s="687">
        <f t="shared" si="1"/>
        <v>0</v>
      </c>
      <c r="R40" s="688">
        <v>0</v>
      </c>
      <c r="S40" s="693"/>
      <c r="T40" s="690">
        <f t="shared" si="2"/>
        <v>0</v>
      </c>
      <c r="U40" s="683"/>
      <c r="V40" s="474">
        <f t="shared" si="3"/>
        <v>0</v>
      </c>
      <c r="W40" s="474">
        <f t="shared" si="4"/>
        <v>0</v>
      </c>
      <c r="X40" s="475">
        <f t="shared" si="5"/>
        <v>0</v>
      </c>
      <c r="Y40" s="475">
        <v>0</v>
      </c>
      <c r="Z40" s="476">
        <v>0</v>
      </c>
      <c r="AA40" s="38">
        <f t="shared" si="6"/>
        <v>0</v>
      </c>
      <c r="AB40" s="692">
        <f t="shared" si="7"/>
        <v>45191.19</v>
      </c>
      <c r="AC40" s="692">
        <f t="shared" si="8"/>
        <v>0</v>
      </c>
      <c r="AD40" s="692">
        <f t="shared" si="9"/>
        <v>0</v>
      </c>
      <c r="AE40" s="38"/>
      <c r="AF40" s="692">
        <f t="shared" si="10"/>
        <v>0</v>
      </c>
      <c r="AG40" s="692">
        <f t="shared" si="11"/>
        <v>0</v>
      </c>
      <c r="AH40" s="692">
        <f t="shared" si="12"/>
        <v>0</v>
      </c>
      <c r="AJ40" s="38">
        <f t="shared" si="13"/>
        <v>45191.19</v>
      </c>
    </row>
    <row r="41" spans="1:36" s="232" customFormat="1">
      <c r="A41" s="283"/>
      <c r="B41" s="283" t="s">
        <v>110</v>
      </c>
      <c r="C41" s="676" t="s">
        <v>528</v>
      </c>
      <c r="D41" s="123" t="s">
        <v>623</v>
      </c>
      <c r="E41" s="679"/>
      <c r="F41" s="529">
        <f>VLOOKUP(D41,'Oct 2012 Revenue'!D:T,17,FALSE)</f>
        <v>0</v>
      </c>
      <c r="G41" s="680"/>
      <c r="H41" s="680"/>
      <c r="I41" s="770">
        <v>11638.1</v>
      </c>
      <c r="J41" s="682">
        <f t="shared" si="0"/>
        <v>11638.1</v>
      </c>
      <c r="K41" s="683"/>
      <c r="L41" s="684"/>
      <c r="M41" s="753"/>
      <c r="N41" s="683">
        <v>0</v>
      </c>
      <c r="O41" s="686"/>
      <c r="P41" s="683">
        <v>0</v>
      </c>
      <c r="Q41" s="687">
        <f t="shared" si="1"/>
        <v>0</v>
      </c>
      <c r="R41" s="688">
        <v>0</v>
      </c>
      <c r="S41" s="693"/>
      <c r="T41" s="690">
        <f t="shared" si="2"/>
        <v>0</v>
      </c>
      <c r="U41" s="683"/>
      <c r="V41" s="474">
        <f t="shared" si="3"/>
        <v>0</v>
      </c>
      <c r="W41" s="474">
        <f t="shared" si="4"/>
        <v>0</v>
      </c>
      <c r="X41" s="475">
        <f t="shared" si="5"/>
        <v>0</v>
      </c>
      <c r="Y41" s="475">
        <v>0</v>
      </c>
      <c r="Z41" s="476">
        <v>0</v>
      </c>
      <c r="AA41" s="38">
        <f t="shared" si="6"/>
        <v>0</v>
      </c>
      <c r="AB41" s="692">
        <f t="shared" si="7"/>
        <v>11638.1</v>
      </c>
      <c r="AC41" s="692">
        <f t="shared" si="8"/>
        <v>0</v>
      </c>
      <c r="AD41" s="692">
        <f t="shared" si="9"/>
        <v>0</v>
      </c>
      <c r="AE41" s="38"/>
      <c r="AF41" s="692">
        <f t="shared" si="10"/>
        <v>0</v>
      </c>
      <c r="AG41" s="692">
        <f t="shared" si="11"/>
        <v>0</v>
      </c>
      <c r="AH41" s="692">
        <f t="shared" si="12"/>
        <v>0</v>
      </c>
      <c r="AJ41" s="38">
        <f t="shared" si="13"/>
        <v>11638.1</v>
      </c>
    </row>
    <row r="42" spans="1:36" s="232" customFormat="1">
      <c r="A42" s="403"/>
      <c r="B42" s="403" t="s">
        <v>114</v>
      </c>
      <c r="C42" s="666" t="s">
        <v>529</v>
      </c>
      <c r="D42" s="123" t="s">
        <v>108</v>
      </c>
      <c r="E42" s="679"/>
      <c r="F42" s="529">
        <f>VLOOKUP(D42,'Oct 2012 Revenue'!D:T,17,FALSE)</f>
        <v>-361.14000000000033</v>
      </c>
      <c r="G42" s="680"/>
      <c r="H42" s="680"/>
      <c r="I42" s="755"/>
      <c r="J42" s="682">
        <f t="shared" si="0"/>
        <v>-361.14000000000033</v>
      </c>
      <c r="K42" s="683"/>
      <c r="L42" s="684"/>
      <c r="M42" s="753">
        <v>5000</v>
      </c>
      <c r="N42" s="683">
        <v>0</v>
      </c>
      <c r="O42" s="686"/>
      <c r="P42" s="683">
        <v>0</v>
      </c>
      <c r="Q42" s="687">
        <f t="shared" si="1"/>
        <v>5000</v>
      </c>
      <c r="R42" s="688">
        <v>5091.3900000000003</v>
      </c>
      <c r="S42" s="693"/>
      <c r="T42" s="690">
        <f t="shared" si="2"/>
        <v>91.390000000000327</v>
      </c>
      <c r="U42" s="683"/>
      <c r="V42" s="474">
        <f t="shared" si="3"/>
        <v>0</v>
      </c>
      <c r="W42" s="474">
        <f t="shared" si="4"/>
        <v>0</v>
      </c>
      <c r="X42" s="475">
        <f t="shared" si="5"/>
        <v>5000</v>
      </c>
      <c r="Y42" s="475">
        <v>0</v>
      </c>
      <c r="Z42" s="476">
        <v>0</v>
      </c>
      <c r="AA42" s="38">
        <f t="shared" si="6"/>
        <v>0</v>
      </c>
      <c r="AB42" s="692">
        <f t="shared" si="7"/>
        <v>0</v>
      </c>
      <c r="AC42" s="692">
        <f t="shared" si="8"/>
        <v>0</v>
      </c>
      <c r="AD42" s="692">
        <f t="shared" si="9"/>
        <v>-361.14000000000033</v>
      </c>
      <c r="AE42" s="38"/>
      <c r="AF42" s="692">
        <f t="shared" si="10"/>
        <v>0</v>
      </c>
      <c r="AG42" s="692">
        <f t="shared" si="11"/>
        <v>0</v>
      </c>
      <c r="AH42" s="692">
        <f t="shared" si="12"/>
        <v>5000</v>
      </c>
      <c r="AJ42" s="38">
        <f t="shared" si="13"/>
        <v>4638.8599999999997</v>
      </c>
    </row>
    <row r="43" spans="1:36">
      <c r="A43" s="21"/>
      <c r="B43" s="21" t="s">
        <v>110</v>
      </c>
      <c r="C43" s="666"/>
      <c r="D43" s="68" t="s">
        <v>234</v>
      </c>
      <c r="E43" s="679"/>
      <c r="F43" s="529">
        <f>VLOOKUP(D43,'Oct 2012 Revenue'!D:T,17,FALSE)</f>
        <v>-366.10000000000036</v>
      </c>
      <c r="G43" s="680"/>
      <c r="H43" s="680"/>
      <c r="I43" s="755"/>
      <c r="J43" s="682">
        <f t="shared" si="0"/>
        <v>-366.10000000000036</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7"/>
        <v>-366.10000000000036</v>
      </c>
      <c r="AC43" s="692">
        <f t="shared" si="8"/>
        <v>0</v>
      </c>
      <c r="AD43" s="692">
        <f t="shared" si="9"/>
        <v>0</v>
      </c>
      <c r="AE43" s="38"/>
      <c r="AF43" s="692">
        <f t="shared" si="10"/>
        <v>0</v>
      </c>
      <c r="AG43" s="692">
        <f t="shared" si="11"/>
        <v>0</v>
      </c>
      <c r="AH43" s="692">
        <f t="shared" si="12"/>
        <v>0</v>
      </c>
      <c r="AJ43" s="38">
        <f t="shared" si="13"/>
        <v>-366.10000000000036</v>
      </c>
    </row>
    <row r="44" spans="1:36">
      <c r="A44" s="20"/>
      <c r="B44" s="20" t="s">
        <v>109</v>
      </c>
      <c r="C44" s="667"/>
      <c r="D44" s="68" t="s">
        <v>598</v>
      </c>
      <c r="E44" s="679">
        <v>1916.54</v>
      </c>
      <c r="F44" s="529">
        <f>VLOOKUP(D44,'Oct 2012 Revenue'!D:T,17,FALSE)</f>
        <v>0</v>
      </c>
      <c r="G44" s="680"/>
      <c r="H44" s="680"/>
      <c r="I44" s="755"/>
      <c r="J44" s="682">
        <f t="shared" si="0"/>
        <v>1916.54</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7"/>
        <v>0</v>
      </c>
      <c r="AC44" s="692">
        <f t="shared" si="8"/>
        <v>1916.54</v>
      </c>
      <c r="AD44" s="692">
        <f t="shared" si="9"/>
        <v>0</v>
      </c>
      <c r="AE44" s="38"/>
      <c r="AF44" s="692">
        <f t="shared" si="10"/>
        <v>0</v>
      </c>
      <c r="AG44" s="692">
        <f t="shared" si="11"/>
        <v>0</v>
      </c>
      <c r="AH44" s="692">
        <f t="shared" si="12"/>
        <v>0</v>
      </c>
      <c r="AJ44" s="38">
        <f t="shared" si="13"/>
        <v>1916.54</v>
      </c>
    </row>
    <row r="45" spans="1:36">
      <c r="A45" s="20"/>
      <c r="B45" s="20" t="s">
        <v>110</v>
      </c>
      <c r="C45" s="667"/>
      <c r="D45" s="68" t="s">
        <v>311</v>
      </c>
      <c r="E45" s="679"/>
      <c r="F45" s="529">
        <f>VLOOKUP(D45,'Oct 2012 Revenue'!D:T,17,FALSE)</f>
        <v>0</v>
      </c>
      <c r="G45" s="680"/>
      <c r="H45" s="680"/>
      <c r="I45" s="755"/>
      <c r="J45" s="682">
        <f t="shared" si="0"/>
        <v>0</v>
      </c>
      <c r="K45" s="683"/>
      <c r="L45" s="684"/>
      <c r="M45" s="753"/>
      <c r="N45" s="683">
        <v>0</v>
      </c>
      <c r="O45" s="686"/>
      <c r="P45" s="683">
        <v>0</v>
      </c>
      <c r="Q45" s="687">
        <f t="shared" si="1"/>
        <v>0</v>
      </c>
      <c r="R45" s="688">
        <v>0</v>
      </c>
      <c r="S45" s="693"/>
      <c r="T45" s="690">
        <f t="shared" si="2"/>
        <v>0</v>
      </c>
      <c r="U45" s="683"/>
      <c r="V45" s="474">
        <f t="shared" si="3"/>
        <v>0</v>
      </c>
      <c r="W45" s="474">
        <f t="shared" si="4"/>
        <v>0</v>
      </c>
      <c r="X45" s="475">
        <f t="shared" si="5"/>
        <v>0</v>
      </c>
      <c r="Y45" s="475">
        <v>0</v>
      </c>
      <c r="Z45" s="476">
        <v>0</v>
      </c>
      <c r="AA45" s="38">
        <f t="shared" si="6"/>
        <v>0</v>
      </c>
      <c r="AB45" s="692">
        <f t="shared" si="7"/>
        <v>0</v>
      </c>
      <c r="AC45" s="692">
        <f t="shared" si="8"/>
        <v>0</v>
      </c>
      <c r="AD45" s="692">
        <f t="shared" si="9"/>
        <v>0</v>
      </c>
      <c r="AE45" s="38"/>
      <c r="AF45" s="692">
        <f t="shared" si="10"/>
        <v>0</v>
      </c>
      <c r="AG45" s="692">
        <f t="shared" si="11"/>
        <v>0</v>
      </c>
      <c r="AH45" s="692">
        <f t="shared" si="12"/>
        <v>0</v>
      </c>
      <c r="AJ45" s="38">
        <f t="shared" si="13"/>
        <v>0</v>
      </c>
    </row>
    <row r="46" spans="1:36">
      <c r="A46" s="20"/>
      <c r="B46" s="20" t="s">
        <v>110</v>
      </c>
      <c r="C46" s="667"/>
      <c r="D46" s="68" t="s">
        <v>451</v>
      </c>
      <c r="E46" s="679"/>
      <c r="F46" s="529">
        <f>VLOOKUP(D46,'Oct 2012 Revenue'!D:T,17,FALSE)</f>
        <v>0</v>
      </c>
      <c r="G46" s="680"/>
      <c r="H46" s="680"/>
      <c r="I46" s="755"/>
      <c r="J46" s="682">
        <f t="shared" si="0"/>
        <v>0</v>
      </c>
      <c r="K46" s="683"/>
      <c r="L46" s="684"/>
      <c r="M46" s="753"/>
      <c r="N46" s="683">
        <v>0</v>
      </c>
      <c r="O46" s="686"/>
      <c r="P46" s="683">
        <v>0</v>
      </c>
      <c r="Q46" s="687">
        <f t="shared" si="1"/>
        <v>0</v>
      </c>
      <c r="R46" s="688">
        <v>20294.13</v>
      </c>
      <c r="S46" s="693"/>
      <c r="T46" s="690">
        <f t="shared" si="2"/>
        <v>20294.13</v>
      </c>
      <c r="U46" s="683"/>
      <c r="V46" s="474">
        <f t="shared" si="3"/>
        <v>0</v>
      </c>
      <c r="W46" s="474">
        <f t="shared" si="4"/>
        <v>0</v>
      </c>
      <c r="X46" s="475">
        <f t="shared" si="5"/>
        <v>0</v>
      </c>
      <c r="Y46" s="475">
        <v>0</v>
      </c>
      <c r="Z46" s="476">
        <v>0</v>
      </c>
      <c r="AA46" s="38">
        <f t="shared" si="6"/>
        <v>0</v>
      </c>
      <c r="AB46" s="692">
        <f t="shared" si="7"/>
        <v>0</v>
      </c>
      <c r="AC46" s="692">
        <f t="shared" si="8"/>
        <v>0</v>
      </c>
      <c r="AD46" s="692">
        <f t="shared" si="9"/>
        <v>0</v>
      </c>
      <c r="AE46" s="38"/>
      <c r="AF46" s="692">
        <f t="shared" si="10"/>
        <v>0</v>
      </c>
      <c r="AG46" s="692">
        <f t="shared" si="11"/>
        <v>0</v>
      </c>
      <c r="AH46" s="692">
        <f t="shared" si="12"/>
        <v>0</v>
      </c>
      <c r="AJ46" s="38">
        <f t="shared" si="13"/>
        <v>0</v>
      </c>
    </row>
    <row r="47" spans="1:36">
      <c r="A47" s="20"/>
      <c r="B47" s="20" t="s">
        <v>109</v>
      </c>
      <c r="C47" s="667"/>
      <c r="D47" s="68" t="s">
        <v>469</v>
      </c>
      <c r="E47" s="679"/>
      <c r="F47" s="529">
        <f>VLOOKUP(D47,'Oct 2012 Revenue'!D:T,17,FALSE)</f>
        <v>0</v>
      </c>
      <c r="G47" s="680"/>
      <c r="H47" s="680"/>
      <c r="I47" s="755"/>
      <c r="J47" s="682">
        <f t="shared" si="0"/>
        <v>0</v>
      </c>
      <c r="K47" s="683"/>
      <c r="L47" s="684"/>
      <c r="M47" s="753"/>
      <c r="N47" s="683">
        <v>0</v>
      </c>
      <c r="O47" s="686"/>
      <c r="P47" s="683">
        <v>0</v>
      </c>
      <c r="Q47" s="687">
        <f t="shared" si="1"/>
        <v>0</v>
      </c>
      <c r="R47" s="688">
        <v>7910.7</v>
      </c>
      <c r="S47" s="693"/>
      <c r="T47" s="690">
        <f t="shared" si="2"/>
        <v>7910.7</v>
      </c>
      <c r="U47" s="683"/>
      <c r="V47" s="474">
        <f t="shared" si="3"/>
        <v>0</v>
      </c>
      <c r="W47" s="474">
        <f t="shared" si="4"/>
        <v>0</v>
      </c>
      <c r="X47" s="475">
        <f t="shared" si="5"/>
        <v>0</v>
      </c>
      <c r="Y47" s="475">
        <v>0</v>
      </c>
      <c r="Z47" s="476">
        <v>0</v>
      </c>
      <c r="AA47" s="38">
        <f t="shared" si="6"/>
        <v>0</v>
      </c>
      <c r="AB47" s="692">
        <f t="shared" si="7"/>
        <v>0</v>
      </c>
      <c r="AC47" s="692">
        <f t="shared" si="8"/>
        <v>0</v>
      </c>
      <c r="AD47" s="692">
        <f t="shared" si="9"/>
        <v>0</v>
      </c>
      <c r="AE47" s="38"/>
      <c r="AF47" s="692">
        <f t="shared" si="10"/>
        <v>0</v>
      </c>
      <c r="AG47" s="692">
        <f t="shared" si="11"/>
        <v>0</v>
      </c>
      <c r="AH47" s="692">
        <f t="shared" si="12"/>
        <v>0</v>
      </c>
      <c r="AJ47" s="38">
        <f t="shared" si="13"/>
        <v>0</v>
      </c>
    </row>
    <row r="48" spans="1:36">
      <c r="A48" s="20"/>
      <c r="B48" s="20" t="s">
        <v>110</v>
      </c>
      <c r="C48" s="667" t="s">
        <v>530</v>
      </c>
      <c r="D48" s="68" t="s">
        <v>69</v>
      </c>
      <c r="E48" s="679"/>
      <c r="F48" s="529">
        <f>VLOOKUP(D48,'Oct 2012 Revenue'!D:T,17,FALSE)</f>
        <v>2651.11</v>
      </c>
      <c r="G48" s="680"/>
      <c r="H48" s="680"/>
      <c r="I48" s="755"/>
      <c r="J48" s="682">
        <f t="shared" si="0"/>
        <v>2651.11</v>
      </c>
      <c r="K48" s="683"/>
      <c r="L48" s="684"/>
      <c r="M48" s="753"/>
      <c r="N48" s="683">
        <v>0</v>
      </c>
      <c r="O48" s="686"/>
      <c r="P48" s="683">
        <v>0</v>
      </c>
      <c r="Q48" s="687">
        <f t="shared" si="1"/>
        <v>0</v>
      </c>
      <c r="R48" s="688">
        <v>2587.64</v>
      </c>
      <c r="S48" s="693"/>
      <c r="T48" s="690">
        <f t="shared" si="2"/>
        <v>2587.64</v>
      </c>
      <c r="U48" s="683"/>
      <c r="V48" s="474">
        <f t="shared" si="3"/>
        <v>0</v>
      </c>
      <c r="W48" s="474">
        <f t="shared" si="4"/>
        <v>0</v>
      </c>
      <c r="X48" s="475">
        <f t="shared" si="5"/>
        <v>0</v>
      </c>
      <c r="Y48" s="475">
        <v>0</v>
      </c>
      <c r="Z48" s="476">
        <v>0</v>
      </c>
      <c r="AA48" s="38">
        <f t="shared" si="6"/>
        <v>0</v>
      </c>
      <c r="AB48" s="692">
        <f t="shared" si="7"/>
        <v>2651.11</v>
      </c>
      <c r="AC48" s="692">
        <f t="shared" si="8"/>
        <v>0</v>
      </c>
      <c r="AD48" s="692">
        <f t="shared" si="9"/>
        <v>0</v>
      </c>
      <c r="AE48" s="38"/>
      <c r="AF48" s="692">
        <f t="shared" si="10"/>
        <v>0</v>
      </c>
      <c r="AG48" s="692">
        <f t="shared" si="11"/>
        <v>0</v>
      </c>
      <c r="AH48" s="692">
        <f t="shared" si="12"/>
        <v>0</v>
      </c>
      <c r="AJ48" s="38">
        <f t="shared" si="13"/>
        <v>2651.11</v>
      </c>
    </row>
    <row r="49" spans="1:36">
      <c r="A49" s="20"/>
      <c r="B49" s="20" t="s">
        <v>110</v>
      </c>
      <c r="C49" s="667" t="s">
        <v>531</v>
      </c>
      <c r="D49" s="68" t="s">
        <v>237</v>
      </c>
      <c r="E49" s="679"/>
      <c r="F49" s="529">
        <f>VLOOKUP(D49,'Oct 2012 Revenue'!D:T,17,FALSE)</f>
        <v>-1524.5900000000001</v>
      </c>
      <c r="G49" s="680"/>
      <c r="H49" s="680"/>
      <c r="I49" s="755"/>
      <c r="J49" s="682">
        <f t="shared" si="0"/>
        <v>-1524.5900000000001</v>
      </c>
      <c r="K49" s="683"/>
      <c r="L49" s="684"/>
      <c r="M49" s="753">
        <v>13000</v>
      </c>
      <c r="N49" s="683">
        <v>0</v>
      </c>
      <c r="O49" s="686"/>
      <c r="P49" s="683">
        <v>0</v>
      </c>
      <c r="Q49" s="687">
        <f t="shared" si="1"/>
        <v>13000</v>
      </c>
      <c r="R49" s="688">
        <v>11964.38</v>
      </c>
      <c r="S49" s="693"/>
      <c r="T49" s="690">
        <f t="shared" si="2"/>
        <v>-1035.6200000000008</v>
      </c>
      <c r="U49" s="683"/>
      <c r="V49" s="474">
        <f t="shared" si="3"/>
        <v>13000</v>
      </c>
      <c r="W49" s="474">
        <f t="shared" si="4"/>
        <v>0</v>
      </c>
      <c r="X49" s="475">
        <f t="shared" si="5"/>
        <v>0</v>
      </c>
      <c r="Y49" s="475">
        <v>0</v>
      </c>
      <c r="Z49" s="476">
        <v>0</v>
      </c>
      <c r="AA49" s="38">
        <f t="shared" si="6"/>
        <v>0</v>
      </c>
      <c r="AB49" s="692">
        <f t="shared" si="7"/>
        <v>-1524.5900000000001</v>
      </c>
      <c r="AC49" s="692">
        <f t="shared" si="8"/>
        <v>0</v>
      </c>
      <c r="AD49" s="692">
        <f t="shared" si="9"/>
        <v>0</v>
      </c>
      <c r="AE49" s="38"/>
      <c r="AF49" s="692">
        <f t="shared" si="10"/>
        <v>13000</v>
      </c>
      <c r="AG49" s="692">
        <f t="shared" si="11"/>
        <v>0</v>
      </c>
      <c r="AH49" s="692">
        <f t="shared" si="12"/>
        <v>0</v>
      </c>
      <c r="AJ49" s="38">
        <f t="shared" si="13"/>
        <v>11475.41</v>
      </c>
    </row>
    <row r="50" spans="1:36">
      <c r="A50" s="20" t="s">
        <v>211</v>
      </c>
      <c r="B50" s="20" t="s">
        <v>110</v>
      </c>
      <c r="C50" s="667" t="s">
        <v>532</v>
      </c>
      <c r="D50" s="68" t="s">
        <v>7</v>
      </c>
      <c r="E50" s="679"/>
      <c r="F50" s="529">
        <f>VLOOKUP(D50,'Oct 2012 Revenue'!D:T,17,FALSE)</f>
        <v>-10000</v>
      </c>
      <c r="G50" s="680"/>
      <c r="H50" s="680"/>
      <c r="I50" s="755"/>
      <c r="J50" s="682">
        <f t="shared" si="0"/>
        <v>-10000</v>
      </c>
      <c r="K50" s="683"/>
      <c r="L50" s="684"/>
      <c r="M50" s="753">
        <v>20000</v>
      </c>
      <c r="N50" s="683">
        <v>0</v>
      </c>
      <c r="O50" s="686"/>
      <c r="P50" s="683">
        <v>0</v>
      </c>
      <c r="Q50" s="687">
        <f t="shared" si="1"/>
        <v>20000</v>
      </c>
      <c r="R50" s="688">
        <v>0</v>
      </c>
      <c r="S50" s="693"/>
      <c r="T50" s="690">
        <f t="shared" si="2"/>
        <v>-20000</v>
      </c>
      <c r="U50" s="697"/>
      <c r="V50" s="474">
        <f t="shared" si="3"/>
        <v>20000</v>
      </c>
      <c r="W50" s="474">
        <f t="shared" si="4"/>
        <v>0</v>
      </c>
      <c r="X50" s="475">
        <f t="shared" si="5"/>
        <v>0</v>
      </c>
      <c r="Y50" s="475">
        <v>0</v>
      </c>
      <c r="Z50" s="476">
        <v>0</v>
      </c>
      <c r="AA50" s="38">
        <f t="shared" si="6"/>
        <v>0</v>
      </c>
      <c r="AB50" s="692">
        <f t="shared" si="7"/>
        <v>-10000</v>
      </c>
      <c r="AC50" s="692">
        <f t="shared" si="8"/>
        <v>0</v>
      </c>
      <c r="AD50" s="692">
        <f t="shared" si="9"/>
        <v>0</v>
      </c>
      <c r="AE50" s="38"/>
      <c r="AF50" s="692">
        <f t="shared" si="10"/>
        <v>20000</v>
      </c>
      <c r="AG50" s="692">
        <f t="shared" si="11"/>
        <v>0</v>
      </c>
      <c r="AH50" s="692">
        <f t="shared" si="12"/>
        <v>0</v>
      </c>
      <c r="AJ50" s="38">
        <f t="shared" si="13"/>
        <v>10000</v>
      </c>
    </row>
    <row r="51" spans="1:36" s="232" customFormat="1">
      <c r="A51" s="283" t="s">
        <v>97</v>
      </c>
      <c r="B51" s="283" t="s">
        <v>109</v>
      </c>
      <c r="C51" s="667" t="s">
        <v>533</v>
      </c>
      <c r="D51" s="123" t="s">
        <v>415</v>
      </c>
      <c r="E51" s="679"/>
      <c r="F51" s="529">
        <f>VLOOKUP(D51,'Oct 2012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c r="AJ51" s="38">
        <f t="shared" si="13"/>
        <v>0</v>
      </c>
    </row>
    <row r="52" spans="1:36" s="232" customFormat="1">
      <c r="A52" s="283"/>
      <c r="B52" s="283" t="s">
        <v>109</v>
      </c>
      <c r="C52" s="667" t="s">
        <v>533</v>
      </c>
      <c r="D52" s="123" t="s">
        <v>416</v>
      </c>
      <c r="E52" s="679"/>
      <c r="F52" s="529">
        <f>VLOOKUP(D52,'Oct 2012 Revenue'!D:T,17,FALSE)</f>
        <v>0</v>
      </c>
      <c r="G52" s="680"/>
      <c r="H52" s="680"/>
      <c r="I52" s="755"/>
      <c r="J52" s="682">
        <f t="shared" si="0"/>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8"/>
        <v>0</v>
      </c>
      <c r="AD52" s="692">
        <f t="shared" si="9"/>
        <v>0</v>
      </c>
      <c r="AE52" s="38"/>
      <c r="AF52" s="692">
        <f t="shared" si="10"/>
        <v>0</v>
      </c>
      <c r="AG52" s="692">
        <f t="shared" si="11"/>
        <v>0</v>
      </c>
      <c r="AH52" s="692">
        <f t="shared" si="12"/>
        <v>0</v>
      </c>
      <c r="AJ52" s="38">
        <f t="shared" si="13"/>
        <v>0</v>
      </c>
    </row>
    <row r="53" spans="1:36" s="232" customFormat="1">
      <c r="A53" s="283"/>
      <c r="B53" s="283" t="s">
        <v>109</v>
      </c>
      <c r="C53" s="667" t="s">
        <v>533</v>
      </c>
      <c r="D53" s="123" t="s">
        <v>417</v>
      </c>
      <c r="E53" s="679"/>
      <c r="F53" s="529">
        <f>VLOOKUP(D53,'Oct 2012 Revenue'!D:T,17,FALSE)</f>
        <v>0</v>
      </c>
      <c r="G53" s="680"/>
      <c r="H53" s="680"/>
      <c r="I53" s="755"/>
      <c r="J53" s="682">
        <f t="shared" si="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7"/>
        <v>0</v>
      </c>
      <c r="AC53" s="692">
        <f t="shared" si="8"/>
        <v>0</v>
      </c>
      <c r="AD53" s="692">
        <f t="shared" si="9"/>
        <v>0</v>
      </c>
      <c r="AE53" s="38"/>
      <c r="AF53" s="692">
        <f t="shared" si="10"/>
        <v>0</v>
      </c>
      <c r="AG53" s="692">
        <f t="shared" si="11"/>
        <v>0</v>
      </c>
      <c r="AH53" s="692">
        <f t="shared" si="12"/>
        <v>0</v>
      </c>
      <c r="AJ53" s="38">
        <f t="shared" si="13"/>
        <v>0</v>
      </c>
    </row>
    <row r="54" spans="1:36" s="232" customFormat="1">
      <c r="A54" s="283"/>
      <c r="B54" s="283" t="s">
        <v>109</v>
      </c>
      <c r="C54" s="667" t="s">
        <v>533</v>
      </c>
      <c r="D54" s="123" t="s">
        <v>418</v>
      </c>
      <c r="E54" s="679"/>
      <c r="F54" s="529">
        <f>VLOOKUP(D54,'Oct 2012 Revenue'!D:T,17,FALSE)</f>
        <v>0</v>
      </c>
      <c r="G54" s="680"/>
      <c r="H54" s="680"/>
      <c r="I54" s="755"/>
      <c r="J54" s="682">
        <f t="shared" si="0"/>
        <v>0</v>
      </c>
      <c r="K54" s="683"/>
      <c r="L54" s="684"/>
      <c r="M54" s="753"/>
      <c r="N54" s="683">
        <v>0</v>
      </c>
      <c r="O54" s="686"/>
      <c r="P54" s="683">
        <v>0</v>
      </c>
      <c r="Q54" s="687">
        <f t="shared" si="1"/>
        <v>0</v>
      </c>
      <c r="R54" s="688">
        <v>0</v>
      </c>
      <c r="S54" s="693"/>
      <c r="T54" s="690">
        <f t="shared" si="2"/>
        <v>0</v>
      </c>
      <c r="U54" s="683"/>
      <c r="V54" s="474">
        <f t="shared" si="3"/>
        <v>0</v>
      </c>
      <c r="W54" s="474">
        <f t="shared" si="4"/>
        <v>0</v>
      </c>
      <c r="X54" s="475">
        <f t="shared" si="5"/>
        <v>0</v>
      </c>
      <c r="Y54" s="475">
        <v>0</v>
      </c>
      <c r="Z54" s="476">
        <v>0</v>
      </c>
      <c r="AA54" s="38">
        <f t="shared" si="6"/>
        <v>0</v>
      </c>
      <c r="AB54" s="692">
        <f t="shared" si="7"/>
        <v>0</v>
      </c>
      <c r="AC54" s="692">
        <f t="shared" si="8"/>
        <v>0</v>
      </c>
      <c r="AD54" s="692">
        <f t="shared" si="9"/>
        <v>0</v>
      </c>
      <c r="AE54" s="38"/>
      <c r="AF54" s="692">
        <f t="shared" si="10"/>
        <v>0</v>
      </c>
      <c r="AG54" s="692">
        <f t="shared" si="11"/>
        <v>0</v>
      </c>
      <c r="AH54" s="692">
        <f t="shared" si="12"/>
        <v>0</v>
      </c>
      <c r="AJ54" s="38">
        <f t="shared" si="13"/>
        <v>0</v>
      </c>
    </row>
    <row r="55" spans="1:36">
      <c r="A55" s="20" t="s">
        <v>211</v>
      </c>
      <c r="B55" s="20" t="s">
        <v>109</v>
      </c>
      <c r="C55" s="667" t="s">
        <v>534</v>
      </c>
      <c r="D55" s="68" t="s">
        <v>9</v>
      </c>
      <c r="E55" s="679"/>
      <c r="F55" s="529">
        <f>VLOOKUP(D55,'Oct 2012 Revenue'!D:T,17,FALSE)</f>
        <v>-9000</v>
      </c>
      <c r="G55" s="680"/>
      <c r="H55" s="680"/>
      <c r="I55" s="755"/>
      <c r="J55" s="682">
        <f t="shared" si="0"/>
        <v>-9000</v>
      </c>
      <c r="K55" s="683"/>
      <c r="L55" s="684"/>
      <c r="M55" s="753">
        <v>12000</v>
      </c>
      <c r="N55" s="683">
        <v>0</v>
      </c>
      <c r="O55" s="686"/>
      <c r="P55" s="683">
        <v>0</v>
      </c>
      <c r="Q55" s="687">
        <f t="shared" si="1"/>
        <v>12000</v>
      </c>
      <c r="R55" s="688">
        <v>0</v>
      </c>
      <c r="S55" s="693"/>
      <c r="T55" s="690">
        <f t="shared" si="2"/>
        <v>-12000</v>
      </c>
      <c r="U55" s="697"/>
      <c r="V55" s="474">
        <f t="shared" si="3"/>
        <v>0</v>
      </c>
      <c r="W55" s="474">
        <f t="shared" si="4"/>
        <v>12000</v>
      </c>
      <c r="X55" s="475">
        <f t="shared" si="5"/>
        <v>0</v>
      </c>
      <c r="Y55" s="475">
        <v>0</v>
      </c>
      <c r="Z55" s="476">
        <v>0</v>
      </c>
      <c r="AA55" s="38">
        <f t="shared" si="6"/>
        <v>0</v>
      </c>
      <c r="AB55" s="692">
        <f t="shared" si="7"/>
        <v>0</v>
      </c>
      <c r="AC55" s="692">
        <f t="shared" si="8"/>
        <v>-9000</v>
      </c>
      <c r="AD55" s="692">
        <f t="shared" si="9"/>
        <v>0</v>
      </c>
      <c r="AE55" s="38"/>
      <c r="AF55" s="692">
        <f t="shared" si="10"/>
        <v>0</v>
      </c>
      <c r="AG55" s="692">
        <f t="shared" si="11"/>
        <v>12000</v>
      </c>
      <c r="AH55" s="692">
        <f t="shared" si="12"/>
        <v>0</v>
      </c>
      <c r="AJ55" s="38">
        <f t="shared" si="13"/>
        <v>3000</v>
      </c>
    </row>
    <row r="56" spans="1:36">
      <c r="A56" s="20" t="s">
        <v>211</v>
      </c>
      <c r="B56" s="20" t="s">
        <v>114</v>
      </c>
      <c r="C56" s="667"/>
      <c r="D56" s="68" t="s">
        <v>487</v>
      </c>
      <c r="E56" s="679"/>
      <c r="F56" s="529">
        <f>VLOOKUP(D56,'Oct 2012 Revenue'!D:T,17,FALSE)</f>
        <v>0</v>
      </c>
      <c r="G56" s="680"/>
      <c r="H56" s="680"/>
      <c r="I56" s="755"/>
      <c r="J56" s="682">
        <f t="shared" si="0"/>
        <v>0</v>
      </c>
      <c r="K56" s="683"/>
      <c r="L56" s="684"/>
      <c r="M56" s="753"/>
      <c r="N56" s="683">
        <v>0</v>
      </c>
      <c r="O56" s="686"/>
      <c r="P56" s="683">
        <v>0</v>
      </c>
      <c r="Q56" s="687">
        <f t="shared" si="1"/>
        <v>0</v>
      </c>
      <c r="R56" s="688">
        <v>0</v>
      </c>
      <c r="S56" s="693"/>
      <c r="T56" s="690">
        <f t="shared" si="2"/>
        <v>0</v>
      </c>
      <c r="U56" s="683"/>
      <c r="V56" s="474">
        <f t="shared" si="3"/>
        <v>0</v>
      </c>
      <c r="W56" s="474">
        <f t="shared" si="4"/>
        <v>0</v>
      </c>
      <c r="X56" s="475">
        <f t="shared" si="5"/>
        <v>0</v>
      </c>
      <c r="Y56" s="475">
        <v>0</v>
      </c>
      <c r="Z56" s="476">
        <v>0</v>
      </c>
      <c r="AA56" s="38">
        <f t="shared" si="6"/>
        <v>0</v>
      </c>
      <c r="AB56" s="692">
        <f t="shared" si="7"/>
        <v>0</v>
      </c>
      <c r="AC56" s="692">
        <f t="shared" si="8"/>
        <v>0</v>
      </c>
      <c r="AD56" s="692">
        <f t="shared" si="9"/>
        <v>0</v>
      </c>
      <c r="AE56" s="38"/>
      <c r="AF56" s="692">
        <f t="shared" si="10"/>
        <v>0</v>
      </c>
      <c r="AG56" s="692">
        <f t="shared" si="11"/>
        <v>0</v>
      </c>
      <c r="AH56" s="692">
        <f t="shared" si="12"/>
        <v>0</v>
      </c>
      <c r="AJ56" s="38">
        <f t="shared" si="13"/>
        <v>0</v>
      </c>
    </row>
    <row r="57" spans="1:36">
      <c r="A57" s="20"/>
      <c r="B57" s="20" t="s">
        <v>109</v>
      </c>
      <c r="C57" s="667"/>
      <c r="D57" s="68" t="s">
        <v>830</v>
      </c>
      <c r="E57" s="679"/>
      <c r="F57" s="529">
        <f>VLOOKUP(D57,'Oct 2012 Revenue'!D:T,17,FALSE)</f>
        <v>19910.11</v>
      </c>
      <c r="G57" s="680"/>
      <c r="H57" s="680"/>
      <c r="I57" s="755"/>
      <c r="J57" s="682">
        <f t="shared" si="0"/>
        <v>19910.11</v>
      </c>
      <c r="K57" s="683"/>
      <c r="L57" s="684"/>
      <c r="M57" s="753">
        <v>60000</v>
      </c>
      <c r="N57" s="683">
        <v>0</v>
      </c>
      <c r="O57" s="686"/>
      <c r="P57" s="683">
        <v>0</v>
      </c>
      <c r="Q57" s="687">
        <f t="shared" si="1"/>
        <v>60000</v>
      </c>
      <c r="R57" s="688">
        <v>73456.990000000005</v>
      </c>
      <c r="S57" s="693"/>
      <c r="T57" s="690">
        <f t="shared" si="2"/>
        <v>13456.990000000005</v>
      </c>
      <c r="U57" s="683"/>
      <c r="V57" s="474">
        <f t="shared" si="3"/>
        <v>0</v>
      </c>
      <c r="W57" s="474">
        <f t="shared" si="4"/>
        <v>60000</v>
      </c>
      <c r="X57" s="475">
        <f t="shared" si="5"/>
        <v>0</v>
      </c>
      <c r="Y57" s="475">
        <v>0</v>
      </c>
      <c r="Z57" s="476">
        <v>0</v>
      </c>
      <c r="AA57" s="38">
        <f t="shared" si="6"/>
        <v>0</v>
      </c>
      <c r="AB57" s="692">
        <f t="shared" si="7"/>
        <v>0</v>
      </c>
      <c r="AC57" s="692">
        <f t="shared" si="8"/>
        <v>19910.11</v>
      </c>
      <c r="AD57" s="692">
        <f t="shared" si="9"/>
        <v>0</v>
      </c>
      <c r="AE57" s="38"/>
      <c r="AF57" s="692">
        <f t="shared" si="10"/>
        <v>0</v>
      </c>
      <c r="AG57" s="692">
        <f t="shared" si="11"/>
        <v>60000</v>
      </c>
      <c r="AH57" s="692">
        <f t="shared" si="12"/>
        <v>0</v>
      </c>
      <c r="AJ57" s="38">
        <f t="shared" si="13"/>
        <v>79910.11</v>
      </c>
    </row>
    <row r="58" spans="1:36">
      <c r="A58" s="20"/>
      <c r="B58" s="20" t="s">
        <v>109</v>
      </c>
      <c r="C58" s="667"/>
      <c r="D58" s="68" t="s">
        <v>374</v>
      </c>
      <c r="E58" s="679"/>
      <c r="F58" s="529">
        <f>VLOOKUP(D58,'Oct 2012 Revenue'!D:T,17,FALSE)</f>
        <v>-10000</v>
      </c>
      <c r="G58" s="680"/>
      <c r="H58" s="680"/>
      <c r="I58" s="755"/>
      <c r="J58" s="682">
        <f t="shared" si="0"/>
        <v>-10000</v>
      </c>
      <c r="K58" s="683"/>
      <c r="L58" s="684"/>
      <c r="M58" s="753">
        <v>15000</v>
      </c>
      <c r="N58" s="683">
        <v>0</v>
      </c>
      <c r="O58" s="686"/>
      <c r="P58" s="683">
        <v>0</v>
      </c>
      <c r="Q58" s="687">
        <f t="shared" si="1"/>
        <v>15000</v>
      </c>
      <c r="R58" s="688">
        <v>4546.67</v>
      </c>
      <c r="S58" s="693"/>
      <c r="T58" s="690">
        <f t="shared" si="2"/>
        <v>-10453.33</v>
      </c>
      <c r="U58" s="683"/>
      <c r="V58" s="474">
        <f t="shared" si="3"/>
        <v>0</v>
      </c>
      <c r="W58" s="474">
        <f t="shared" si="4"/>
        <v>15000</v>
      </c>
      <c r="X58" s="475">
        <f t="shared" si="5"/>
        <v>0</v>
      </c>
      <c r="Y58" s="475">
        <v>0</v>
      </c>
      <c r="Z58" s="476">
        <v>0</v>
      </c>
      <c r="AA58" s="38">
        <f t="shared" si="6"/>
        <v>0</v>
      </c>
      <c r="AB58" s="692">
        <f t="shared" si="7"/>
        <v>0</v>
      </c>
      <c r="AC58" s="692">
        <f t="shared" si="8"/>
        <v>-10000</v>
      </c>
      <c r="AD58" s="692">
        <f t="shared" si="9"/>
        <v>0</v>
      </c>
      <c r="AE58" s="38"/>
      <c r="AF58" s="692">
        <f t="shared" si="10"/>
        <v>0</v>
      </c>
      <c r="AG58" s="692">
        <f t="shared" si="11"/>
        <v>15000</v>
      </c>
      <c r="AH58" s="692">
        <f t="shared" si="12"/>
        <v>0</v>
      </c>
      <c r="AJ58" s="38">
        <f t="shared" si="13"/>
        <v>5000</v>
      </c>
    </row>
    <row r="59" spans="1:36">
      <c r="A59" s="20"/>
      <c r="B59" s="20" t="s">
        <v>114</v>
      </c>
      <c r="C59" s="667"/>
      <c r="D59" s="68" t="s">
        <v>502</v>
      </c>
      <c r="E59" s="679"/>
      <c r="F59" s="529">
        <f>VLOOKUP(D59,'Oct 2012 Revenue'!D:T,17,FALSE)</f>
        <v>0</v>
      </c>
      <c r="G59" s="680"/>
      <c r="H59" s="680"/>
      <c r="I59" s="755"/>
      <c r="J59" s="682">
        <f t="shared" si="0"/>
        <v>0</v>
      </c>
      <c r="K59" s="683"/>
      <c r="L59" s="684"/>
      <c r="M59" s="753"/>
      <c r="N59" s="683">
        <v>0</v>
      </c>
      <c r="O59" s="686"/>
      <c r="P59" s="683">
        <v>0</v>
      </c>
      <c r="Q59" s="687">
        <f t="shared" si="1"/>
        <v>0</v>
      </c>
      <c r="R59" s="688">
        <v>0</v>
      </c>
      <c r="S59" s="693"/>
      <c r="T59" s="690">
        <f t="shared" si="2"/>
        <v>0</v>
      </c>
      <c r="U59" s="683"/>
      <c r="V59" s="474">
        <f t="shared" si="3"/>
        <v>0</v>
      </c>
      <c r="W59" s="474">
        <f t="shared" si="4"/>
        <v>0</v>
      </c>
      <c r="X59" s="475">
        <f t="shared" si="5"/>
        <v>0</v>
      </c>
      <c r="Y59" s="475">
        <v>0</v>
      </c>
      <c r="Z59" s="476">
        <v>0</v>
      </c>
      <c r="AA59" s="38">
        <f t="shared" si="6"/>
        <v>0</v>
      </c>
      <c r="AB59" s="692">
        <f t="shared" si="7"/>
        <v>0</v>
      </c>
      <c r="AC59" s="692">
        <f t="shared" si="8"/>
        <v>0</v>
      </c>
      <c r="AD59" s="692">
        <f t="shared" si="9"/>
        <v>0</v>
      </c>
      <c r="AE59" s="38"/>
      <c r="AF59" s="692">
        <f t="shared" si="10"/>
        <v>0</v>
      </c>
      <c r="AG59" s="692">
        <f t="shared" si="11"/>
        <v>0</v>
      </c>
      <c r="AH59" s="692">
        <f t="shared" si="12"/>
        <v>0</v>
      </c>
      <c r="AJ59" s="38">
        <f t="shared" si="13"/>
        <v>0</v>
      </c>
    </row>
    <row r="60" spans="1:36">
      <c r="A60" s="21"/>
      <c r="B60" s="21" t="s">
        <v>110</v>
      </c>
      <c r="C60" s="666" t="s">
        <v>535</v>
      </c>
      <c r="D60" s="123" t="s">
        <v>517</v>
      </c>
      <c r="E60" s="679">
        <f>113894.38+123135.43</f>
        <v>237029.81</v>
      </c>
      <c r="F60" s="529">
        <f>VLOOKUP(D60,'Oct 2012 Revenue'!D:T,17,FALSE)</f>
        <v>-143580.09</v>
      </c>
      <c r="G60" s="680"/>
      <c r="H60" s="680"/>
      <c r="I60" s="755"/>
      <c r="J60" s="682">
        <f t="shared" si="0"/>
        <v>93449.72</v>
      </c>
      <c r="K60" s="683"/>
      <c r="L60" s="684"/>
      <c r="M60" s="753">
        <v>120000</v>
      </c>
      <c r="N60" s="683">
        <v>0</v>
      </c>
      <c r="O60" s="686"/>
      <c r="P60" s="683">
        <v>0</v>
      </c>
      <c r="Q60" s="687">
        <f t="shared" si="1"/>
        <v>120000</v>
      </c>
      <c r="R60" s="688">
        <v>121838.48</v>
      </c>
      <c r="S60" s="693"/>
      <c r="T60" s="690">
        <f t="shared" si="2"/>
        <v>1838.4799999999959</v>
      </c>
      <c r="U60" s="697"/>
      <c r="V60" s="474">
        <f t="shared" si="3"/>
        <v>120000</v>
      </c>
      <c r="W60" s="474">
        <f t="shared" si="4"/>
        <v>0</v>
      </c>
      <c r="X60" s="475">
        <f t="shared" si="5"/>
        <v>0</v>
      </c>
      <c r="Y60" s="475">
        <v>0</v>
      </c>
      <c r="Z60" s="476">
        <v>0</v>
      </c>
      <c r="AA60" s="38">
        <f t="shared" si="6"/>
        <v>0</v>
      </c>
      <c r="AB60" s="692">
        <f t="shared" si="7"/>
        <v>93449.72</v>
      </c>
      <c r="AC60" s="692">
        <f t="shared" si="8"/>
        <v>0</v>
      </c>
      <c r="AD60" s="692">
        <f t="shared" si="9"/>
        <v>0</v>
      </c>
      <c r="AE60" s="38"/>
      <c r="AF60" s="692">
        <f t="shared" si="10"/>
        <v>120000</v>
      </c>
      <c r="AG60" s="692">
        <f t="shared" si="11"/>
        <v>0</v>
      </c>
      <c r="AH60" s="692">
        <f t="shared" si="12"/>
        <v>0</v>
      </c>
      <c r="AJ60" s="38">
        <f t="shared" si="13"/>
        <v>213449.72</v>
      </c>
    </row>
    <row r="61" spans="1:36" hidden="1">
      <c r="A61" s="21"/>
      <c r="B61" s="21" t="s">
        <v>110</v>
      </c>
      <c r="C61" s="666" t="s">
        <v>535</v>
      </c>
      <c r="D61" s="123" t="s">
        <v>437</v>
      </c>
      <c r="E61" s="679"/>
      <c r="F61" s="529">
        <f>VLOOKUP(D61,'Oct 2012 Revenue'!D:T,17,FALSE)</f>
        <v>0</v>
      </c>
      <c r="G61" s="680"/>
      <c r="H61" s="680"/>
      <c r="I61" s="755"/>
      <c r="J61" s="682">
        <f t="shared" si="0"/>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7"/>
        <v>0</v>
      </c>
      <c r="AC61" s="692">
        <f t="shared" si="8"/>
        <v>0</v>
      </c>
      <c r="AD61" s="692">
        <f t="shared" si="9"/>
        <v>0</v>
      </c>
      <c r="AE61" s="38"/>
      <c r="AF61" s="692">
        <f t="shared" si="10"/>
        <v>0</v>
      </c>
      <c r="AG61" s="692">
        <f t="shared" si="11"/>
        <v>0</v>
      </c>
      <c r="AH61" s="692">
        <f t="shared" si="12"/>
        <v>0</v>
      </c>
      <c r="AJ61" s="38">
        <f t="shared" si="13"/>
        <v>0</v>
      </c>
    </row>
    <row r="62" spans="1:36" hidden="1">
      <c r="A62" s="21"/>
      <c r="B62" s="21" t="s">
        <v>110</v>
      </c>
      <c r="C62" s="666" t="s">
        <v>535</v>
      </c>
      <c r="D62" s="123" t="s">
        <v>436</v>
      </c>
      <c r="E62" s="679"/>
      <c r="F62" s="529">
        <f>VLOOKUP(D62,'Oct 2012 Revenue'!D:T,17,FALSE)</f>
        <v>0</v>
      </c>
      <c r="G62" s="680"/>
      <c r="H62" s="680"/>
      <c r="I62" s="755"/>
      <c r="J62" s="682">
        <f t="shared" si="0"/>
        <v>0</v>
      </c>
      <c r="K62" s="683"/>
      <c r="L62" s="684"/>
      <c r="M62" s="753"/>
      <c r="N62" s="683">
        <v>0</v>
      </c>
      <c r="O62" s="686"/>
      <c r="P62" s="683">
        <v>0</v>
      </c>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7"/>
        <v>0</v>
      </c>
      <c r="AC62" s="692">
        <f t="shared" si="8"/>
        <v>0</v>
      </c>
      <c r="AD62" s="692">
        <f t="shared" si="9"/>
        <v>0</v>
      </c>
      <c r="AE62" s="38"/>
      <c r="AF62" s="692">
        <f t="shared" si="10"/>
        <v>0</v>
      </c>
      <c r="AG62" s="692">
        <f t="shared" si="11"/>
        <v>0</v>
      </c>
      <c r="AH62" s="692">
        <f t="shared" si="12"/>
        <v>0</v>
      </c>
      <c r="AJ62" s="38">
        <f t="shared" si="13"/>
        <v>0</v>
      </c>
    </row>
    <row r="63" spans="1:36" hidden="1">
      <c r="A63" s="21"/>
      <c r="B63" s="21" t="s">
        <v>110</v>
      </c>
      <c r="C63" s="666" t="s">
        <v>535</v>
      </c>
      <c r="D63" s="123" t="s">
        <v>391</v>
      </c>
      <c r="E63" s="679"/>
      <c r="F63" s="529">
        <f>VLOOKUP(D63,'Oct 2012 Revenue'!D:T,17,FALSE)</f>
        <v>0</v>
      </c>
      <c r="G63" s="680"/>
      <c r="H63" s="680"/>
      <c r="I63" s="755"/>
      <c r="J63" s="682">
        <f t="shared" si="0"/>
        <v>0</v>
      </c>
      <c r="K63" s="683"/>
      <c r="L63" s="684"/>
      <c r="M63" s="753"/>
      <c r="N63" s="683">
        <v>0</v>
      </c>
      <c r="O63" s="686"/>
      <c r="P63" s="683">
        <v>0</v>
      </c>
      <c r="Q63" s="687">
        <f t="shared" si="1"/>
        <v>0</v>
      </c>
      <c r="R63" s="688">
        <v>0</v>
      </c>
      <c r="S63" s="693"/>
      <c r="T63" s="690">
        <f t="shared" si="2"/>
        <v>0</v>
      </c>
      <c r="U63" s="697"/>
      <c r="V63" s="474">
        <f t="shared" si="3"/>
        <v>0</v>
      </c>
      <c r="W63" s="474">
        <f t="shared" si="4"/>
        <v>0</v>
      </c>
      <c r="X63" s="475">
        <f t="shared" si="5"/>
        <v>0</v>
      </c>
      <c r="Y63" s="475">
        <v>0</v>
      </c>
      <c r="Z63" s="476">
        <v>0</v>
      </c>
      <c r="AA63" s="38">
        <f t="shared" si="6"/>
        <v>0</v>
      </c>
      <c r="AB63" s="692">
        <f t="shared" si="7"/>
        <v>0</v>
      </c>
      <c r="AC63" s="692">
        <f t="shared" si="8"/>
        <v>0</v>
      </c>
      <c r="AD63" s="692">
        <f t="shared" si="9"/>
        <v>0</v>
      </c>
      <c r="AE63" s="38"/>
      <c r="AF63" s="692">
        <f t="shared" si="10"/>
        <v>0</v>
      </c>
      <c r="AG63" s="692">
        <f t="shared" si="11"/>
        <v>0</v>
      </c>
      <c r="AH63" s="692">
        <f t="shared" si="12"/>
        <v>0</v>
      </c>
      <c r="AJ63" s="38">
        <f t="shared" si="13"/>
        <v>0</v>
      </c>
    </row>
    <row r="64" spans="1:36" hidden="1">
      <c r="A64" s="21"/>
      <c r="B64" s="21" t="s">
        <v>110</v>
      </c>
      <c r="C64" s="666" t="s">
        <v>535</v>
      </c>
      <c r="D64" s="123" t="s">
        <v>392</v>
      </c>
      <c r="E64" s="679"/>
      <c r="F64" s="529">
        <f>VLOOKUP(D64,'Oct 2012 Revenue'!D:T,17,FALSE)</f>
        <v>0</v>
      </c>
      <c r="G64" s="680"/>
      <c r="H64" s="680"/>
      <c r="I64" s="755"/>
      <c r="J64" s="682">
        <f t="shared" si="0"/>
        <v>0</v>
      </c>
      <c r="K64" s="683"/>
      <c r="L64" s="684"/>
      <c r="M64" s="753"/>
      <c r="N64" s="683">
        <v>0</v>
      </c>
      <c r="O64" s="686"/>
      <c r="P64" s="683">
        <v>0</v>
      </c>
      <c r="Q64" s="687">
        <f t="shared" si="1"/>
        <v>0</v>
      </c>
      <c r="R64" s="688">
        <v>0</v>
      </c>
      <c r="S64" s="693"/>
      <c r="T64" s="690">
        <f t="shared" si="2"/>
        <v>0</v>
      </c>
      <c r="U64" s="697"/>
      <c r="V64" s="474">
        <f t="shared" si="3"/>
        <v>0</v>
      </c>
      <c r="W64" s="474">
        <f t="shared" si="4"/>
        <v>0</v>
      </c>
      <c r="X64" s="475">
        <f t="shared" si="5"/>
        <v>0</v>
      </c>
      <c r="Y64" s="475">
        <v>0</v>
      </c>
      <c r="Z64" s="476">
        <v>0</v>
      </c>
      <c r="AA64" s="38">
        <f t="shared" si="6"/>
        <v>0</v>
      </c>
      <c r="AB64" s="692">
        <f t="shared" si="7"/>
        <v>0</v>
      </c>
      <c r="AC64" s="692">
        <f t="shared" si="8"/>
        <v>0</v>
      </c>
      <c r="AD64" s="692">
        <f t="shared" si="9"/>
        <v>0</v>
      </c>
      <c r="AE64" s="38"/>
      <c r="AF64" s="692">
        <f t="shared" si="10"/>
        <v>0</v>
      </c>
      <c r="AG64" s="692">
        <f t="shared" si="11"/>
        <v>0</v>
      </c>
      <c r="AH64" s="692">
        <f t="shared" si="12"/>
        <v>0</v>
      </c>
      <c r="AJ64" s="38">
        <f t="shared" si="13"/>
        <v>0</v>
      </c>
    </row>
    <row r="65" spans="1:36" hidden="1">
      <c r="A65" s="21"/>
      <c r="B65" s="21" t="s">
        <v>110</v>
      </c>
      <c r="C65" s="666" t="s">
        <v>535</v>
      </c>
      <c r="D65" s="123" t="s">
        <v>483</v>
      </c>
      <c r="E65" s="679"/>
      <c r="F65" s="529">
        <f>VLOOKUP(D65,'Oct 2012 Revenue'!D:T,17,FALSE)</f>
        <v>0</v>
      </c>
      <c r="G65" s="680"/>
      <c r="H65" s="680"/>
      <c r="I65" s="755"/>
      <c r="J65" s="682">
        <f t="shared" si="0"/>
        <v>0</v>
      </c>
      <c r="K65" s="683"/>
      <c r="L65" s="684"/>
      <c r="M65" s="753"/>
      <c r="N65" s="683"/>
      <c r="O65" s="686"/>
      <c r="P65" s="683"/>
      <c r="Q65" s="687">
        <f t="shared" si="1"/>
        <v>0</v>
      </c>
      <c r="R65" s="688">
        <v>0</v>
      </c>
      <c r="S65" s="693"/>
      <c r="T65" s="690">
        <f t="shared" si="2"/>
        <v>0</v>
      </c>
      <c r="U65" s="697"/>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c r="AJ65" s="38">
        <f t="shared" si="13"/>
        <v>0</v>
      </c>
    </row>
    <row r="66" spans="1:36" hidden="1">
      <c r="A66" s="21"/>
      <c r="B66" s="21" t="s">
        <v>110</v>
      </c>
      <c r="C66" s="666"/>
      <c r="D66" s="373" t="s">
        <v>587</v>
      </c>
      <c r="E66" s="679"/>
      <c r="F66" s="529">
        <f>VLOOKUP(D66,'Oct 2012 Revenue'!D:T,17,FALSE)</f>
        <v>0</v>
      </c>
      <c r="G66" s="680"/>
      <c r="H66" s="680"/>
      <c r="I66" s="755"/>
      <c r="J66" s="682">
        <f t="shared" si="0"/>
        <v>0</v>
      </c>
      <c r="K66" s="683"/>
      <c r="L66" s="684"/>
      <c r="M66" s="753"/>
      <c r="N66" s="683"/>
      <c r="O66" s="686"/>
      <c r="P66" s="683"/>
      <c r="Q66" s="687">
        <f t="shared" si="1"/>
        <v>0</v>
      </c>
      <c r="R66" s="688">
        <v>0</v>
      </c>
      <c r="S66" s="693"/>
      <c r="T66" s="690">
        <f t="shared" si="2"/>
        <v>0</v>
      </c>
      <c r="U66" s="697"/>
      <c r="V66" s="474">
        <f t="shared" si="3"/>
        <v>0</v>
      </c>
      <c r="W66" s="474">
        <f t="shared" si="4"/>
        <v>0</v>
      </c>
      <c r="X66" s="475">
        <f t="shared" si="5"/>
        <v>0</v>
      </c>
      <c r="Y66" s="475">
        <v>0</v>
      </c>
      <c r="Z66" s="476">
        <v>0</v>
      </c>
      <c r="AA66" s="38">
        <f t="shared" si="6"/>
        <v>0</v>
      </c>
      <c r="AB66" s="692">
        <f t="shared" si="7"/>
        <v>0</v>
      </c>
      <c r="AC66" s="692">
        <f t="shared" si="8"/>
        <v>0</v>
      </c>
      <c r="AD66" s="692">
        <f t="shared" si="9"/>
        <v>0</v>
      </c>
      <c r="AE66" s="38"/>
      <c r="AF66" s="692">
        <f t="shared" si="10"/>
        <v>0</v>
      </c>
      <c r="AG66" s="692">
        <f t="shared" si="11"/>
        <v>0</v>
      </c>
      <c r="AH66" s="692">
        <f t="shared" si="12"/>
        <v>0</v>
      </c>
      <c r="AJ66" s="38">
        <f t="shared" si="13"/>
        <v>0</v>
      </c>
    </row>
    <row r="67" spans="1:36">
      <c r="A67" s="20"/>
      <c r="B67" s="20" t="s">
        <v>110</v>
      </c>
      <c r="C67" s="667" t="s">
        <v>536</v>
      </c>
      <c r="D67" s="68" t="s">
        <v>450</v>
      </c>
      <c r="E67" s="679"/>
      <c r="F67" s="529">
        <f>VLOOKUP(D67,'Oct 2012 Revenue'!D:T,17,FALSE)</f>
        <v>0</v>
      </c>
      <c r="G67" s="680"/>
      <c r="H67" s="680"/>
      <c r="I67" s="755"/>
      <c r="J67" s="682">
        <f t="shared" si="0"/>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7"/>
        <v>0</v>
      </c>
      <c r="AC67" s="692">
        <f t="shared" si="8"/>
        <v>0</v>
      </c>
      <c r="AD67" s="692">
        <f t="shared" si="9"/>
        <v>0</v>
      </c>
      <c r="AE67" s="38"/>
      <c r="AF67" s="692">
        <f t="shared" si="10"/>
        <v>0</v>
      </c>
      <c r="AG67" s="692">
        <f t="shared" si="11"/>
        <v>0</v>
      </c>
      <c r="AH67" s="692">
        <f t="shared" si="12"/>
        <v>0</v>
      </c>
      <c r="AJ67" s="38">
        <f t="shared" si="13"/>
        <v>0</v>
      </c>
    </row>
    <row r="68" spans="1:36">
      <c r="A68" s="21" t="s">
        <v>109</v>
      </c>
      <c r="B68" s="21" t="s">
        <v>110</v>
      </c>
      <c r="C68" s="666"/>
      <c r="D68" s="68" t="s">
        <v>438</v>
      </c>
      <c r="E68" s="679"/>
      <c r="F68" s="529">
        <f>VLOOKUP(D68,'Oct 2012 Revenue'!D:T,17,FALSE)</f>
        <v>0</v>
      </c>
      <c r="G68" s="680"/>
      <c r="H68" s="680"/>
      <c r="I68" s="755"/>
      <c r="J68" s="682">
        <f t="shared" si="0"/>
        <v>0</v>
      </c>
      <c r="K68" s="683"/>
      <c r="L68" s="684"/>
      <c r="M68" s="753"/>
      <c r="N68" s="683">
        <v>0</v>
      </c>
      <c r="O68" s="686"/>
      <c r="P68" s="683">
        <v>0</v>
      </c>
      <c r="Q68" s="687">
        <f t="shared" si="1"/>
        <v>0</v>
      </c>
      <c r="R68" s="688">
        <v>0</v>
      </c>
      <c r="S68" s="693"/>
      <c r="T68" s="690">
        <f t="shared" si="2"/>
        <v>0</v>
      </c>
      <c r="U68" s="697"/>
      <c r="V68" s="474">
        <f t="shared" si="3"/>
        <v>0</v>
      </c>
      <c r="W68" s="474">
        <f t="shared" si="4"/>
        <v>0</v>
      </c>
      <c r="X68" s="475">
        <f t="shared" si="5"/>
        <v>0</v>
      </c>
      <c r="Y68" s="475">
        <v>0</v>
      </c>
      <c r="Z68" s="476">
        <v>0</v>
      </c>
      <c r="AA68" s="38">
        <f t="shared" si="6"/>
        <v>0</v>
      </c>
      <c r="AB68" s="692">
        <f t="shared" si="7"/>
        <v>0</v>
      </c>
      <c r="AC68" s="692">
        <f t="shared" si="8"/>
        <v>0</v>
      </c>
      <c r="AD68" s="692">
        <f t="shared" si="9"/>
        <v>0</v>
      </c>
      <c r="AE68" s="38"/>
      <c r="AF68" s="692">
        <f t="shared" si="10"/>
        <v>0</v>
      </c>
      <c r="AG68" s="692">
        <f t="shared" si="11"/>
        <v>0</v>
      </c>
      <c r="AH68" s="692">
        <f t="shared" si="12"/>
        <v>0</v>
      </c>
      <c r="AJ68" s="38">
        <f t="shared" si="13"/>
        <v>0</v>
      </c>
    </row>
    <row r="69" spans="1:36">
      <c r="A69" s="21"/>
      <c r="B69" s="21" t="s">
        <v>110</v>
      </c>
      <c r="C69" s="666"/>
      <c r="D69" s="68" t="s">
        <v>628</v>
      </c>
      <c r="E69" s="679"/>
      <c r="F69" s="529">
        <f>VLOOKUP(D69,'Oct 2012 Revenue'!D:T,17,FALSE)</f>
        <v>0</v>
      </c>
      <c r="G69" s="680"/>
      <c r="H69" s="680"/>
      <c r="I69" s="755"/>
      <c r="J69" s="682">
        <f t="shared" si="0"/>
        <v>0</v>
      </c>
      <c r="K69" s="683"/>
      <c r="L69" s="684"/>
      <c r="M69" s="753"/>
      <c r="N69" s="683">
        <v>0</v>
      </c>
      <c r="O69" s="686"/>
      <c r="P69" s="683">
        <v>0</v>
      </c>
      <c r="Q69" s="687">
        <f t="shared" si="1"/>
        <v>0</v>
      </c>
      <c r="R69" s="688">
        <v>0</v>
      </c>
      <c r="S69" s="693"/>
      <c r="T69" s="690">
        <f t="shared" si="2"/>
        <v>0</v>
      </c>
      <c r="U69" s="697"/>
      <c r="V69" s="474">
        <f t="shared" si="3"/>
        <v>0</v>
      </c>
      <c r="W69" s="474">
        <f t="shared" si="4"/>
        <v>0</v>
      </c>
      <c r="X69" s="475">
        <f t="shared" si="5"/>
        <v>0</v>
      </c>
      <c r="Y69" s="475">
        <v>0</v>
      </c>
      <c r="Z69" s="476">
        <v>0</v>
      </c>
      <c r="AA69" s="38">
        <f t="shared" si="6"/>
        <v>0</v>
      </c>
      <c r="AB69" s="692">
        <f t="shared" si="7"/>
        <v>0</v>
      </c>
      <c r="AC69" s="692">
        <f t="shared" si="8"/>
        <v>0</v>
      </c>
      <c r="AD69" s="692">
        <f t="shared" si="9"/>
        <v>0</v>
      </c>
      <c r="AE69" s="38"/>
      <c r="AF69" s="692">
        <f t="shared" si="10"/>
        <v>0</v>
      </c>
      <c r="AG69" s="692">
        <f t="shared" si="11"/>
        <v>0</v>
      </c>
      <c r="AH69" s="692">
        <f t="shared" si="12"/>
        <v>0</v>
      </c>
      <c r="AJ69" s="38">
        <f t="shared" si="13"/>
        <v>0</v>
      </c>
    </row>
    <row r="70" spans="1:36">
      <c r="A70" s="21"/>
      <c r="B70" s="21" t="s">
        <v>110</v>
      </c>
      <c r="C70" s="666" t="s">
        <v>537</v>
      </c>
      <c r="D70" s="68" t="s">
        <v>12</v>
      </c>
      <c r="E70" s="679"/>
      <c r="F70" s="529">
        <f>VLOOKUP(D70,'Oct 2012 Revenue'!D:T,17,FALSE)</f>
        <v>0</v>
      </c>
      <c r="G70" s="680"/>
      <c r="H70" s="680"/>
      <c r="I70" s="755"/>
      <c r="J70" s="682">
        <f t="shared" si="0"/>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c r="AJ70" s="38">
        <f t="shared" si="13"/>
        <v>0</v>
      </c>
    </row>
    <row r="71" spans="1:36" s="232" customFormat="1">
      <c r="A71" s="283" t="s">
        <v>211</v>
      </c>
      <c r="B71" s="283" t="s">
        <v>110</v>
      </c>
      <c r="C71" s="667" t="s">
        <v>538</v>
      </c>
      <c r="D71" s="123" t="s">
        <v>170</v>
      </c>
      <c r="E71" s="679"/>
      <c r="F71" s="529">
        <f>VLOOKUP(D71,'Oct 2012 Revenue'!D:T,17,FALSE)</f>
        <v>-100000</v>
      </c>
      <c r="G71" s="680"/>
      <c r="H71" s="680"/>
      <c r="I71" s="755"/>
      <c r="J71" s="682">
        <f t="shared" si="0"/>
        <v>-100000</v>
      </c>
      <c r="K71" s="683"/>
      <c r="L71" s="684"/>
      <c r="M71" s="753">
        <v>200000</v>
      </c>
      <c r="N71" s="683">
        <v>0</v>
      </c>
      <c r="O71" s="686"/>
      <c r="P71" s="683">
        <v>0</v>
      </c>
      <c r="Q71" s="687">
        <f t="shared" si="1"/>
        <v>200000</v>
      </c>
      <c r="R71" s="688">
        <v>0</v>
      </c>
      <c r="S71" s="693"/>
      <c r="T71" s="690">
        <f t="shared" si="2"/>
        <v>-200000</v>
      </c>
      <c r="U71" s="683"/>
      <c r="V71" s="474">
        <f t="shared" si="3"/>
        <v>200000</v>
      </c>
      <c r="W71" s="474">
        <f t="shared" si="4"/>
        <v>0</v>
      </c>
      <c r="X71" s="475">
        <f t="shared" si="5"/>
        <v>0</v>
      </c>
      <c r="Y71" s="475">
        <v>0</v>
      </c>
      <c r="Z71" s="476">
        <v>0</v>
      </c>
      <c r="AA71" s="38">
        <f t="shared" si="6"/>
        <v>0</v>
      </c>
      <c r="AB71" s="692">
        <f t="shared" si="7"/>
        <v>-100000</v>
      </c>
      <c r="AC71" s="692">
        <f t="shared" si="8"/>
        <v>0</v>
      </c>
      <c r="AD71" s="692">
        <f t="shared" si="9"/>
        <v>0</v>
      </c>
      <c r="AE71" s="38"/>
      <c r="AF71" s="692">
        <f t="shared" si="10"/>
        <v>200000</v>
      </c>
      <c r="AG71" s="692">
        <f t="shared" si="11"/>
        <v>0</v>
      </c>
      <c r="AH71" s="692">
        <f t="shared" si="12"/>
        <v>0</v>
      </c>
      <c r="AJ71" s="38">
        <f t="shared" si="13"/>
        <v>100000</v>
      </c>
    </row>
    <row r="72" spans="1:36" s="232" customFormat="1">
      <c r="A72" s="283" t="s">
        <v>211</v>
      </c>
      <c r="B72" s="283" t="s">
        <v>110</v>
      </c>
      <c r="C72" s="667" t="s">
        <v>538</v>
      </c>
      <c r="D72" s="123" t="s">
        <v>171</v>
      </c>
      <c r="E72" s="679"/>
      <c r="F72" s="529">
        <f>VLOOKUP(D72,'Oct 2012 Revenue'!D:T,17,FALSE)</f>
        <v>0</v>
      </c>
      <c r="G72" s="680"/>
      <c r="H72" s="680"/>
      <c r="I72" s="755"/>
      <c r="J72" s="682">
        <f t="shared" si="0"/>
        <v>0</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7"/>
        <v>0</v>
      </c>
      <c r="AC72" s="692">
        <f t="shared" si="8"/>
        <v>0</v>
      </c>
      <c r="AD72" s="692">
        <f t="shared" si="9"/>
        <v>0</v>
      </c>
      <c r="AE72" s="38"/>
      <c r="AF72" s="692">
        <f t="shared" si="10"/>
        <v>0</v>
      </c>
      <c r="AG72" s="692">
        <f t="shared" si="11"/>
        <v>0</v>
      </c>
      <c r="AH72" s="692">
        <f t="shared" si="12"/>
        <v>0</v>
      </c>
      <c r="AJ72" s="38">
        <f t="shared" si="13"/>
        <v>0</v>
      </c>
    </row>
    <row r="73" spans="1:36" s="232" customFormat="1">
      <c r="A73" s="283" t="s">
        <v>211</v>
      </c>
      <c r="B73" s="283" t="s">
        <v>110</v>
      </c>
      <c r="C73" s="667" t="s">
        <v>538</v>
      </c>
      <c r="D73" s="123" t="s">
        <v>13</v>
      </c>
      <c r="E73" s="679"/>
      <c r="F73" s="529">
        <f>VLOOKUP(D73,'Oct 2012 Revenue'!D:T,17,FALSE)</f>
        <v>0</v>
      </c>
      <c r="G73" s="680"/>
      <c r="H73" s="680"/>
      <c r="I73" s="755"/>
      <c r="J73" s="682">
        <f t="shared" si="0"/>
        <v>0</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8"/>
        <v>0</v>
      </c>
      <c r="AD73" s="692">
        <f t="shared" si="9"/>
        <v>0</v>
      </c>
      <c r="AE73" s="38"/>
      <c r="AF73" s="692">
        <f t="shared" si="10"/>
        <v>0</v>
      </c>
      <c r="AG73" s="692">
        <f t="shared" si="11"/>
        <v>0</v>
      </c>
      <c r="AH73" s="692">
        <f t="shared" si="12"/>
        <v>0</v>
      </c>
      <c r="AJ73" s="38">
        <f t="shared" si="13"/>
        <v>0</v>
      </c>
    </row>
    <row r="74" spans="1:36" s="232" customFormat="1">
      <c r="A74" s="283" t="s">
        <v>211</v>
      </c>
      <c r="B74" s="283" t="s">
        <v>110</v>
      </c>
      <c r="C74" s="667" t="s">
        <v>538</v>
      </c>
      <c r="D74" s="123" t="s">
        <v>172</v>
      </c>
      <c r="E74" s="679"/>
      <c r="F74" s="529">
        <f>VLOOKUP(D74,'Oct 2012 Revenue'!D:T,17,FALSE)</f>
        <v>0</v>
      </c>
      <c r="G74" s="680"/>
      <c r="H74" s="680"/>
      <c r="I74" s="755"/>
      <c r="J74" s="682">
        <f t="shared" si="0"/>
        <v>0</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0</v>
      </c>
      <c r="AD74" s="692">
        <f t="shared" si="9"/>
        <v>0</v>
      </c>
      <c r="AE74" s="38"/>
      <c r="AF74" s="692">
        <f t="shared" si="10"/>
        <v>0</v>
      </c>
      <c r="AG74" s="692">
        <f t="shared" si="11"/>
        <v>0</v>
      </c>
      <c r="AH74" s="692">
        <f t="shared" si="12"/>
        <v>0</v>
      </c>
      <c r="AJ74" s="38">
        <f t="shared" si="13"/>
        <v>0</v>
      </c>
    </row>
    <row r="75" spans="1:36" s="232" customFormat="1">
      <c r="A75" s="283" t="s">
        <v>211</v>
      </c>
      <c r="B75" s="283" t="s">
        <v>110</v>
      </c>
      <c r="C75" s="667" t="s">
        <v>538</v>
      </c>
      <c r="D75" s="123" t="s">
        <v>173</v>
      </c>
      <c r="E75" s="679"/>
      <c r="F75" s="529">
        <f>VLOOKUP(D75,'Oct 2012 Revenue'!D:T,17,FALSE)</f>
        <v>0</v>
      </c>
      <c r="G75" s="680"/>
      <c r="H75" s="680"/>
      <c r="I75" s="755"/>
      <c r="J75" s="682">
        <f t="shared" si="0"/>
        <v>0</v>
      </c>
      <c r="K75" s="683"/>
      <c r="L75" s="684"/>
      <c r="M75" s="753"/>
      <c r="N75" s="683">
        <v>0</v>
      </c>
      <c r="O75" s="686"/>
      <c r="P75" s="683">
        <v>0</v>
      </c>
      <c r="Q75" s="687">
        <f t="shared" si="1"/>
        <v>0</v>
      </c>
      <c r="R75" s="688">
        <v>0</v>
      </c>
      <c r="S75" s="693"/>
      <c r="T75" s="690">
        <f t="shared" si="2"/>
        <v>0</v>
      </c>
      <c r="U75" s="683"/>
      <c r="V75" s="474">
        <f t="shared" si="3"/>
        <v>0</v>
      </c>
      <c r="W75" s="474">
        <f t="shared" si="4"/>
        <v>0</v>
      </c>
      <c r="X75" s="475">
        <f t="shared" si="5"/>
        <v>0</v>
      </c>
      <c r="Y75" s="475">
        <v>0</v>
      </c>
      <c r="Z75" s="476">
        <v>0</v>
      </c>
      <c r="AA75" s="38">
        <f t="shared" si="6"/>
        <v>0</v>
      </c>
      <c r="AB75" s="692">
        <f t="shared" si="7"/>
        <v>0</v>
      </c>
      <c r="AC75" s="692">
        <f t="shared" si="8"/>
        <v>0</v>
      </c>
      <c r="AD75" s="692">
        <f t="shared" si="9"/>
        <v>0</v>
      </c>
      <c r="AE75" s="38"/>
      <c r="AF75" s="692">
        <f t="shared" si="10"/>
        <v>0</v>
      </c>
      <c r="AG75" s="692">
        <f t="shared" si="11"/>
        <v>0</v>
      </c>
      <c r="AH75" s="692">
        <f t="shared" si="12"/>
        <v>0</v>
      </c>
      <c r="AJ75" s="38">
        <f t="shared" si="13"/>
        <v>0</v>
      </c>
    </row>
    <row r="76" spans="1:36" s="232" customFormat="1">
      <c r="A76" s="283" t="s">
        <v>211</v>
      </c>
      <c r="B76" s="283" t="s">
        <v>110</v>
      </c>
      <c r="C76" s="667" t="s">
        <v>538</v>
      </c>
      <c r="D76" s="123" t="s">
        <v>174</v>
      </c>
      <c r="E76" s="679"/>
      <c r="F76" s="529">
        <f>VLOOKUP(D76,'Oct 2012 Revenue'!D:T,17,FALSE)</f>
        <v>0</v>
      </c>
      <c r="G76" s="680"/>
      <c r="H76" s="680"/>
      <c r="I76" s="755"/>
      <c r="J76" s="682">
        <f t="shared" si="0"/>
        <v>0</v>
      </c>
      <c r="K76" s="683"/>
      <c r="L76" s="684"/>
      <c r="M76" s="753"/>
      <c r="N76" s="683">
        <v>0</v>
      </c>
      <c r="O76" s="686"/>
      <c r="P76" s="683">
        <v>0</v>
      </c>
      <c r="Q76" s="687">
        <f t="shared" si="1"/>
        <v>0</v>
      </c>
      <c r="R76" s="688">
        <v>0</v>
      </c>
      <c r="S76" s="693"/>
      <c r="T76" s="690">
        <f t="shared" si="2"/>
        <v>0</v>
      </c>
      <c r="U76" s="683"/>
      <c r="V76" s="474">
        <f t="shared" si="3"/>
        <v>0</v>
      </c>
      <c r="W76" s="474">
        <f t="shared" si="4"/>
        <v>0</v>
      </c>
      <c r="X76" s="475">
        <f t="shared" si="5"/>
        <v>0</v>
      </c>
      <c r="Y76" s="475">
        <v>0</v>
      </c>
      <c r="Z76" s="476">
        <v>0</v>
      </c>
      <c r="AA76" s="38">
        <f t="shared" si="6"/>
        <v>0</v>
      </c>
      <c r="AB76" s="692">
        <f t="shared" si="7"/>
        <v>0</v>
      </c>
      <c r="AC76" s="692">
        <f t="shared" si="8"/>
        <v>0</v>
      </c>
      <c r="AD76" s="692">
        <f t="shared" si="9"/>
        <v>0</v>
      </c>
      <c r="AE76" s="38"/>
      <c r="AF76" s="692">
        <f t="shared" si="10"/>
        <v>0</v>
      </c>
      <c r="AG76" s="692">
        <f t="shared" si="11"/>
        <v>0</v>
      </c>
      <c r="AH76" s="692">
        <f t="shared" si="12"/>
        <v>0</v>
      </c>
      <c r="AJ76" s="38">
        <f t="shared" si="13"/>
        <v>0</v>
      </c>
    </row>
    <row r="77" spans="1:36" s="232" customFormat="1">
      <c r="A77" s="283"/>
      <c r="B77" s="283" t="s">
        <v>109</v>
      </c>
      <c r="C77" s="794"/>
      <c r="D77" s="351" t="s">
        <v>14</v>
      </c>
      <c r="E77" s="679"/>
      <c r="F77" s="529">
        <f>VLOOKUP(D77,'Oct 2012 Revenue'!D:T,17,FALSE)</f>
        <v>0</v>
      </c>
      <c r="G77" s="680"/>
      <c r="H77" s="680"/>
      <c r="I77" s="755"/>
      <c r="J77" s="682">
        <f t="shared" si="0"/>
        <v>0</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si="7"/>
        <v>0</v>
      </c>
      <c r="AC77" s="692">
        <f t="shared" si="8"/>
        <v>0</v>
      </c>
      <c r="AD77" s="692">
        <f t="shared" si="9"/>
        <v>0</v>
      </c>
      <c r="AE77" s="38"/>
      <c r="AF77" s="692">
        <f t="shared" si="10"/>
        <v>0</v>
      </c>
      <c r="AG77" s="692">
        <f t="shared" si="11"/>
        <v>0</v>
      </c>
      <c r="AH77" s="692">
        <f t="shared" si="12"/>
        <v>0</v>
      </c>
      <c r="AJ77" s="38">
        <f t="shared" si="13"/>
        <v>0</v>
      </c>
    </row>
    <row r="78" spans="1:36">
      <c r="A78" s="20"/>
      <c r="B78" s="20" t="s">
        <v>110</v>
      </c>
      <c r="C78" s="667"/>
      <c r="D78" s="68" t="s">
        <v>15</v>
      </c>
      <c r="E78" s="679"/>
      <c r="F78" s="529">
        <f>VLOOKUP(D78,'Oct 2012 Revenue'!D:T,17,FALSE)</f>
        <v>0</v>
      </c>
      <c r="G78" s="680"/>
      <c r="H78" s="680"/>
      <c r="I78" s="755"/>
      <c r="J78" s="682">
        <f t="shared" si="0"/>
        <v>0</v>
      </c>
      <c r="K78" s="683"/>
      <c r="L78" s="684"/>
      <c r="M78" s="753">
        <v>7000</v>
      </c>
      <c r="N78" s="683">
        <v>0</v>
      </c>
      <c r="O78" s="686"/>
      <c r="P78" s="683">
        <v>0</v>
      </c>
      <c r="Q78" s="687">
        <f t="shared" si="1"/>
        <v>7000</v>
      </c>
      <c r="R78" s="688">
        <v>7175.51</v>
      </c>
      <c r="S78" s="693"/>
      <c r="T78" s="690">
        <f t="shared" si="2"/>
        <v>175.51000000000022</v>
      </c>
      <c r="U78" s="683"/>
      <c r="V78" s="474">
        <f t="shared" si="3"/>
        <v>7000</v>
      </c>
      <c r="W78" s="474">
        <f t="shared" si="4"/>
        <v>0</v>
      </c>
      <c r="X78" s="475">
        <f t="shared" si="5"/>
        <v>0</v>
      </c>
      <c r="Y78" s="475">
        <v>0</v>
      </c>
      <c r="Z78" s="476">
        <v>0</v>
      </c>
      <c r="AA78" s="38">
        <f t="shared" si="6"/>
        <v>0</v>
      </c>
      <c r="AB78" s="692">
        <f t="shared" si="7"/>
        <v>0</v>
      </c>
      <c r="AC78" s="692">
        <f t="shared" si="8"/>
        <v>0</v>
      </c>
      <c r="AD78" s="692">
        <f t="shared" si="9"/>
        <v>0</v>
      </c>
      <c r="AE78" s="38"/>
      <c r="AF78" s="692">
        <f t="shared" si="10"/>
        <v>7000</v>
      </c>
      <c r="AG78" s="692">
        <f t="shared" si="11"/>
        <v>0</v>
      </c>
      <c r="AH78" s="692">
        <f t="shared" si="12"/>
        <v>0</v>
      </c>
      <c r="AJ78" s="38">
        <f t="shared" si="13"/>
        <v>7000</v>
      </c>
    </row>
    <row r="79" spans="1:36">
      <c r="A79" s="20"/>
      <c r="B79" s="20" t="s">
        <v>110</v>
      </c>
      <c r="C79" s="667"/>
      <c r="D79" s="68" t="s">
        <v>646</v>
      </c>
      <c r="E79" s="679"/>
      <c r="F79" s="529">
        <f>VLOOKUP(D79,'Oct 2012 Revenue'!D:T,17,FALSE)</f>
        <v>245.4</v>
      </c>
      <c r="G79" s="680"/>
      <c r="H79" s="680"/>
      <c r="I79" s="755"/>
      <c r="J79" s="682">
        <f t="shared" si="0"/>
        <v>245.4</v>
      </c>
      <c r="K79" s="683"/>
      <c r="L79" s="684"/>
      <c r="M79" s="753"/>
      <c r="N79" s="683">
        <v>0</v>
      </c>
      <c r="O79" s="686"/>
      <c r="P79" s="683">
        <v>0</v>
      </c>
      <c r="Q79" s="687">
        <f t="shared" si="1"/>
        <v>0</v>
      </c>
      <c r="R79" s="688">
        <v>246.92</v>
      </c>
      <c r="S79" s="693"/>
      <c r="T79" s="690">
        <f t="shared" si="2"/>
        <v>246.92</v>
      </c>
      <c r="U79" s="683"/>
      <c r="V79" s="474">
        <f t="shared" si="3"/>
        <v>0</v>
      </c>
      <c r="W79" s="474">
        <f t="shared" si="4"/>
        <v>0</v>
      </c>
      <c r="X79" s="475">
        <f t="shared" si="5"/>
        <v>0</v>
      </c>
      <c r="Y79" s="475">
        <v>0</v>
      </c>
      <c r="Z79" s="476">
        <v>0</v>
      </c>
      <c r="AA79" s="38">
        <f t="shared" si="6"/>
        <v>0</v>
      </c>
      <c r="AB79" s="692">
        <f t="shared" si="7"/>
        <v>245.4</v>
      </c>
      <c r="AC79" s="692">
        <f t="shared" si="8"/>
        <v>0</v>
      </c>
      <c r="AD79" s="692">
        <f t="shared" si="9"/>
        <v>0</v>
      </c>
      <c r="AE79" s="38"/>
      <c r="AF79" s="692">
        <f t="shared" si="10"/>
        <v>0</v>
      </c>
      <c r="AG79" s="692">
        <f t="shared" si="11"/>
        <v>0</v>
      </c>
      <c r="AH79" s="692">
        <f t="shared" si="12"/>
        <v>0</v>
      </c>
      <c r="AJ79" s="38">
        <f t="shared" si="13"/>
        <v>245.4</v>
      </c>
    </row>
    <row r="80" spans="1:36">
      <c r="A80" s="20" t="s">
        <v>109</v>
      </c>
      <c r="B80" s="20" t="s">
        <v>109</v>
      </c>
      <c r="C80" s="667" t="s">
        <v>539</v>
      </c>
      <c r="D80" s="68" t="s">
        <v>510</v>
      </c>
      <c r="E80" s="679"/>
      <c r="F80" s="529">
        <f>VLOOKUP(D80,'Oct 2012 Revenue'!D:T,17,FALSE)</f>
        <v>0</v>
      </c>
      <c r="G80" s="680"/>
      <c r="H80" s="680"/>
      <c r="I80" s="755"/>
      <c r="J80" s="682">
        <f t="shared" si="0"/>
        <v>0</v>
      </c>
      <c r="K80" s="683"/>
      <c r="L80" s="684"/>
      <c r="M80" s="753"/>
      <c r="N80" s="683">
        <v>0</v>
      </c>
      <c r="O80" s="686"/>
      <c r="P80" s="683">
        <v>0</v>
      </c>
      <c r="Q80" s="687">
        <f t="shared" si="1"/>
        <v>0</v>
      </c>
      <c r="R80" s="688">
        <v>0</v>
      </c>
      <c r="S80" s="693"/>
      <c r="T80" s="690">
        <f t="shared" ref="T80:T131" si="40">IF(R80="","",R80-Q80)</f>
        <v>0</v>
      </c>
      <c r="U80" s="683"/>
      <c r="V80" s="474">
        <f t="shared" si="3"/>
        <v>0</v>
      </c>
      <c r="W80" s="474">
        <f t="shared" si="4"/>
        <v>0</v>
      </c>
      <c r="X80" s="475">
        <f t="shared" si="5"/>
        <v>0</v>
      </c>
      <c r="Y80" s="475">
        <v>0</v>
      </c>
      <c r="Z80" s="476">
        <v>0</v>
      </c>
      <c r="AA80" s="38">
        <f t="shared" si="6"/>
        <v>0</v>
      </c>
      <c r="AB80" s="692">
        <f t="shared" si="7"/>
        <v>0</v>
      </c>
      <c r="AC80" s="692">
        <f t="shared" si="8"/>
        <v>0</v>
      </c>
      <c r="AD80" s="692">
        <f t="shared" si="9"/>
        <v>0</v>
      </c>
      <c r="AE80" s="38"/>
      <c r="AF80" s="692">
        <f t="shared" si="10"/>
        <v>0</v>
      </c>
      <c r="AG80" s="692">
        <f t="shared" si="11"/>
        <v>0</v>
      </c>
      <c r="AH80" s="692">
        <f t="shared" si="12"/>
        <v>0</v>
      </c>
      <c r="AJ80" s="38">
        <f t="shared" si="13"/>
        <v>0</v>
      </c>
    </row>
    <row r="81" spans="1:36">
      <c r="A81" s="20"/>
      <c r="B81" s="20" t="s">
        <v>109</v>
      </c>
      <c r="C81" s="667"/>
      <c r="D81" s="68" t="s">
        <v>16</v>
      </c>
      <c r="E81" s="679"/>
      <c r="F81" s="529">
        <f>VLOOKUP(D81,'Oct 2012 Revenue'!D:T,17,FALSE)</f>
        <v>0</v>
      </c>
      <c r="G81" s="680"/>
      <c r="H81" s="680"/>
      <c r="I81" s="755"/>
      <c r="J81" s="682">
        <f t="shared" si="0"/>
        <v>0</v>
      </c>
      <c r="K81" s="683"/>
      <c r="L81" s="684"/>
      <c r="M81" s="753"/>
      <c r="N81" s="683">
        <v>0</v>
      </c>
      <c r="O81" s="686"/>
      <c r="P81" s="683">
        <v>0</v>
      </c>
      <c r="Q81" s="687">
        <f t="shared" si="1"/>
        <v>0</v>
      </c>
      <c r="R81" s="688">
        <v>0</v>
      </c>
      <c r="S81" s="693"/>
      <c r="T81" s="690">
        <f t="shared" si="40"/>
        <v>0</v>
      </c>
      <c r="U81" s="683"/>
      <c r="V81" s="474">
        <f t="shared" si="3"/>
        <v>0</v>
      </c>
      <c r="W81" s="474">
        <f t="shared" si="4"/>
        <v>0</v>
      </c>
      <c r="X81" s="475">
        <f t="shared" si="5"/>
        <v>0</v>
      </c>
      <c r="Y81" s="475">
        <v>0</v>
      </c>
      <c r="Z81" s="476">
        <v>0</v>
      </c>
      <c r="AA81" s="38">
        <f t="shared" si="6"/>
        <v>0</v>
      </c>
      <c r="AB81" s="692">
        <f t="shared" si="7"/>
        <v>0</v>
      </c>
      <c r="AC81" s="692">
        <f t="shared" si="8"/>
        <v>0</v>
      </c>
      <c r="AD81" s="692">
        <f t="shared" si="9"/>
        <v>0</v>
      </c>
      <c r="AE81" s="38"/>
      <c r="AF81" s="692">
        <f t="shared" si="10"/>
        <v>0</v>
      </c>
      <c r="AG81" s="692">
        <f t="shared" si="11"/>
        <v>0</v>
      </c>
      <c r="AH81" s="692">
        <f t="shared" si="12"/>
        <v>0</v>
      </c>
      <c r="AJ81" s="38">
        <f t="shared" si="13"/>
        <v>0</v>
      </c>
    </row>
    <row r="82" spans="1:36">
      <c r="A82" s="20"/>
      <c r="B82" s="20" t="s">
        <v>110</v>
      </c>
      <c r="C82" s="667"/>
      <c r="D82" s="68" t="s">
        <v>597</v>
      </c>
      <c r="E82" s="679"/>
      <c r="F82" s="529">
        <f>VLOOKUP(D82,'Oct 2012 Revenue'!D:T,17,FALSE)</f>
        <v>12359.259999999995</v>
      </c>
      <c r="G82" s="680"/>
      <c r="H82" s="680"/>
      <c r="I82" s="755"/>
      <c r="J82" s="682">
        <f t="shared" si="0"/>
        <v>12359.259999999995</v>
      </c>
      <c r="K82" s="683"/>
      <c r="L82" s="684"/>
      <c r="M82" s="753">
        <v>85000</v>
      </c>
      <c r="N82" s="683">
        <v>0</v>
      </c>
      <c r="O82" s="686"/>
      <c r="P82" s="683">
        <v>0</v>
      </c>
      <c r="Q82" s="687">
        <f t="shared" si="1"/>
        <v>85000</v>
      </c>
      <c r="R82" s="688">
        <f>79802.01+12709.9+8274.09</f>
        <v>100785.99999999999</v>
      </c>
      <c r="S82" s="693"/>
      <c r="T82" s="690">
        <f t="shared" si="40"/>
        <v>15785.999999999985</v>
      </c>
      <c r="U82" s="683"/>
      <c r="V82" s="474">
        <f t="shared" si="3"/>
        <v>85000</v>
      </c>
      <c r="W82" s="474">
        <f t="shared" si="4"/>
        <v>0</v>
      </c>
      <c r="X82" s="475">
        <f t="shared" si="5"/>
        <v>0</v>
      </c>
      <c r="Y82" s="475">
        <v>0</v>
      </c>
      <c r="Z82" s="476">
        <v>0</v>
      </c>
      <c r="AA82" s="38">
        <f t="shared" si="6"/>
        <v>0</v>
      </c>
      <c r="AB82" s="692">
        <f t="shared" si="7"/>
        <v>12359.259999999995</v>
      </c>
      <c r="AC82" s="692">
        <f t="shared" si="8"/>
        <v>0</v>
      </c>
      <c r="AD82" s="692">
        <f t="shared" si="9"/>
        <v>0</v>
      </c>
      <c r="AE82" s="38"/>
      <c r="AF82" s="692">
        <f t="shared" si="10"/>
        <v>85000</v>
      </c>
      <c r="AG82" s="692">
        <f t="shared" si="11"/>
        <v>0</v>
      </c>
      <c r="AH82" s="692">
        <f t="shared" si="12"/>
        <v>0</v>
      </c>
      <c r="AJ82" s="38">
        <f t="shared" si="13"/>
        <v>97359.26</v>
      </c>
    </row>
    <row r="83" spans="1:36" s="232" customFormat="1">
      <c r="A83" s="283"/>
      <c r="B83" s="283" t="s">
        <v>109</v>
      </c>
      <c r="C83" s="667" t="s">
        <v>540</v>
      </c>
      <c r="D83" s="373" t="s">
        <v>410</v>
      </c>
      <c r="E83" s="679">
        <v>3422.11</v>
      </c>
      <c r="F83" s="529">
        <f>VLOOKUP(D83,'Oct 2012 Revenue'!D:T,17,FALSE)</f>
        <v>-5000</v>
      </c>
      <c r="G83" s="680"/>
      <c r="H83" s="680"/>
      <c r="I83" s="755"/>
      <c r="J83" s="682">
        <f t="shared" si="0"/>
        <v>-1577.8899999999999</v>
      </c>
      <c r="K83" s="683"/>
      <c r="L83" s="684"/>
      <c r="M83" s="753">
        <v>5000</v>
      </c>
      <c r="N83" s="683">
        <v>0</v>
      </c>
      <c r="O83" s="686"/>
      <c r="P83" s="683">
        <v>0</v>
      </c>
      <c r="Q83" s="687">
        <f t="shared" si="1"/>
        <v>5000</v>
      </c>
      <c r="R83" s="688">
        <v>0</v>
      </c>
      <c r="S83" s="693"/>
      <c r="T83" s="690">
        <f t="shared" si="40"/>
        <v>-5000</v>
      </c>
      <c r="U83" s="683"/>
      <c r="V83" s="474">
        <f t="shared" si="3"/>
        <v>0</v>
      </c>
      <c r="W83" s="474">
        <f t="shared" si="4"/>
        <v>5000</v>
      </c>
      <c r="X83" s="475">
        <f t="shared" si="5"/>
        <v>0</v>
      </c>
      <c r="Y83" s="475">
        <v>0</v>
      </c>
      <c r="Z83" s="476">
        <v>0</v>
      </c>
      <c r="AA83" s="38">
        <f t="shared" si="6"/>
        <v>0</v>
      </c>
      <c r="AB83" s="692">
        <f t="shared" ref="AB83:AB146" si="41">IF(B83="D",J83,0)</f>
        <v>0</v>
      </c>
      <c r="AC83" s="692">
        <f t="shared" ref="AC83:AC146" si="42">IF(B83="M",J83,0)</f>
        <v>-1577.8899999999999</v>
      </c>
      <c r="AD83" s="692">
        <f t="shared" ref="AD83:AD146" si="43">IF(B83="V",J83,0)</f>
        <v>0</v>
      </c>
      <c r="AE83" s="38"/>
      <c r="AF83" s="692">
        <f t="shared" ref="AF83:AF148" si="44">IF(B83="D",Q83,0)</f>
        <v>0</v>
      </c>
      <c r="AG83" s="692">
        <f t="shared" ref="AG83:AG148" si="45">IF(B83="M",Q83,0)</f>
        <v>5000</v>
      </c>
      <c r="AH83" s="692">
        <f t="shared" ref="AH83:AH148" si="46">IF(B83="V",Q83,0)</f>
        <v>0</v>
      </c>
      <c r="AJ83" s="38">
        <f t="shared" si="13"/>
        <v>3422.11</v>
      </c>
    </row>
    <row r="84" spans="1:36" s="232" customFormat="1">
      <c r="A84" s="283"/>
      <c r="B84" s="283" t="s">
        <v>109</v>
      </c>
      <c r="C84" s="667" t="s">
        <v>540</v>
      </c>
      <c r="D84" s="373" t="s">
        <v>879</v>
      </c>
      <c r="E84" s="679">
        <v>23972.98</v>
      </c>
      <c r="F84" s="529">
        <f>VLOOKUP(D84,'Oct 2012 Revenue'!D:T,17,FALSE)</f>
        <v>-29300.89</v>
      </c>
      <c r="G84" s="680"/>
      <c r="H84" s="680"/>
      <c r="I84" s="755"/>
      <c r="J84" s="682">
        <f t="shared" ref="J84:J147" si="47">SUM(E84:I84)</f>
        <v>-5327.91</v>
      </c>
      <c r="K84" s="683"/>
      <c r="L84" s="684"/>
      <c r="M84" s="753">
        <v>20000</v>
      </c>
      <c r="N84" s="683">
        <v>0</v>
      </c>
      <c r="O84" s="686"/>
      <c r="P84" s="683">
        <v>0</v>
      </c>
      <c r="Q84" s="687">
        <f t="shared" si="1"/>
        <v>20000</v>
      </c>
      <c r="R84" s="688">
        <v>4480.92</v>
      </c>
      <c r="S84" s="693"/>
      <c r="T84" s="690">
        <f t="shared" si="40"/>
        <v>-15519.08</v>
      </c>
      <c r="U84" s="683"/>
      <c r="V84" s="474">
        <f t="shared" ref="V84:V148" si="48">IF(B84="D",Q84,0)</f>
        <v>0</v>
      </c>
      <c r="W84" s="474">
        <f t="shared" ref="W84:W148" si="49">IF(B84="M",Q84,0)</f>
        <v>20000</v>
      </c>
      <c r="X84" s="475">
        <f t="shared" ref="X84:X148" si="50">IF(B84="V",Q84,0)</f>
        <v>0</v>
      </c>
      <c r="Y84" s="475">
        <v>0</v>
      </c>
      <c r="Z84" s="476">
        <v>0</v>
      </c>
      <c r="AA84" s="38">
        <f t="shared" ref="AA84:AA148" si="51">(L84+M84)-(V84+W84+X84+Y84+Z84)</f>
        <v>0</v>
      </c>
      <c r="AB84" s="692">
        <f t="shared" si="41"/>
        <v>0</v>
      </c>
      <c r="AC84" s="692">
        <f t="shared" si="42"/>
        <v>-5327.91</v>
      </c>
      <c r="AD84" s="692">
        <f t="shared" si="43"/>
        <v>0</v>
      </c>
      <c r="AE84" s="38"/>
      <c r="AF84" s="692">
        <f t="shared" si="44"/>
        <v>0</v>
      </c>
      <c r="AG84" s="692">
        <f t="shared" si="45"/>
        <v>20000</v>
      </c>
      <c r="AH84" s="692">
        <f t="shared" si="46"/>
        <v>0</v>
      </c>
      <c r="AJ84" s="38">
        <f t="shared" si="13"/>
        <v>14672.09</v>
      </c>
    </row>
    <row r="85" spans="1:36" s="232" customFormat="1">
      <c r="A85" s="283"/>
      <c r="B85" s="283" t="s">
        <v>109</v>
      </c>
      <c r="C85" s="667" t="s">
        <v>540</v>
      </c>
      <c r="D85" s="373" t="s">
        <v>620</v>
      </c>
      <c r="E85" s="679">
        <v>1259.82</v>
      </c>
      <c r="F85" s="529">
        <f>VLOOKUP(D85,'Oct 2012 Revenue'!D:T,17,FALSE)</f>
        <v>0</v>
      </c>
      <c r="G85" s="680"/>
      <c r="H85" s="680"/>
      <c r="I85" s="755"/>
      <c r="J85" s="682">
        <f t="shared" si="47"/>
        <v>1259.82</v>
      </c>
      <c r="K85" s="683"/>
      <c r="L85" s="684"/>
      <c r="M85" s="753"/>
      <c r="N85" s="683">
        <v>0</v>
      </c>
      <c r="O85" s="686"/>
      <c r="P85" s="683">
        <v>0</v>
      </c>
      <c r="Q85" s="687">
        <f t="shared" si="1"/>
        <v>0</v>
      </c>
      <c r="R85" s="688">
        <v>0</v>
      </c>
      <c r="S85" s="693"/>
      <c r="T85" s="690">
        <f t="shared" si="40"/>
        <v>0</v>
      </c>
      <c r="U85" s="683"/>
      <c r="V85" s="474">
        <f t="shared" si="48"/>
        <v>0</v>
      </c>
      <c r="W85" s="474">
        <f t="shared" si="49"/>
        <v>0</v>
      </c>
      <c r="X85" s="475">
        <f t="shared" si="50"/>
        <v>0</v>
      </c>
      <c r="Y85" s="475">
        <v>0</v>
      </c>
      <c r="Z85" s="476">
        <v>0</v>
      </c>
      <c r="AA85" s="38">
        <f t="shared" si="51"/>
        <v>0</v>
      </c>
      <c r="AB85" s="692">
        <f t="shared" si="41"/>
        <v>0</v>
      </c>
      <c r="AC85" s="692">
        <f t="shared" si="42"/>
        <v>1259.82</v>
      </c>
      <c r="AD85" s="692">
        <f t="shared" si="43"/>
        <v>0</v>
      </c>
      <c r="AE85" s="38"/>
      <c r="AF85" s="692">
        <f t="shared" si="44"/>
        <v>0</v>
      </c>
      <c r="AG85" s="692">
        <f t="shared" si="45"/>
        <v>0</v>
      </c>
      <c r="AH85" s="692">
        <f t="shared" si="46"/>
        <v>0</v>
      </c>
      <c r="AJ85" s="38">
        <f t="shared" ref="AJ85:AJ150" si="52">SUM(AB85:AH85)</f>
        <v>1259.82</v>
      </c>
    </row>
    <row r="86" spans="1:36">
      <c r="A86" s="20"/>
      <c r="B86" s="20" t="s">
        <v>110</v>
      </c>
      <c r="C86" s="667" t="s">
        <v>541</v>
      </c>
      <c r="D86" s="351" t="s">
        <v>507</v>
      </c>
      <c r="E86" s="679"/>
      <c r="F86" s="529">
        <f>VLOOKUP(D86,'Oct 2012 Revenue'!D:T,17,FALSE)</f>
        <v>0</v>
      </c>
      <c r="G86" s="680"/>
      <c r="H86" s="680"/>
      <c r="I86" s="755"/>
      <c r="J86" s="682">
        <f t="shared" si="47"/>
        <v>0</v>
      </c>
      <c r="K86" s="683"/>
      <c r="L86" s="684"/>
      <c r="M86" s="753"/>
      <c r="N86" s="683">
        <v>0</v>
      </c>
      <c r="O86" s="686"/>
      <c r="P86" s="683">
        <v>0</v>
      </c>
      <c r="Q86" s="687">
        <f t="shared" si="1"/>
        <v>0</v>
      </c>
      <c r="R86" s="688">
        <v>0</v>
      </c>
      <c r="S86" s="693"/>
      <c r="T86" s="690">
        <f t="shared" si="40"/>
        <v>0</v>
      </c>
      <c r="U86" s="683"/>
      <c r="V86" s="474">
        <f t="shared" si="48"/>
        <v>0</v>
      </c>
      <c r="W86" s="474">
        <f t="shared" si="49"/>
        <v>0</v>
      </c>
      <c r="X86" s="475">
        <f t="shared" si="50"/>
        <v>0</v>
      </c>
      <c r="Y86" s="475">
        <v>0</v>
      </c>
      <c r="Z86" s="476">
        <v>0</v>
      </c>
      <c r="AA86" s="38">
        <f t="shared" si="51"/>
        <v>0</v>
      </c>
      <c r="AB86" s="692">
        <f t="shared" si="41"/>
        <v>0</v>
      </c>
      <c r="AC86" s="692">
        <f t="shared" si="42"/>
        <v>0</v>
      </c>
      <c r="AD86" s="692">
        <f t="shared" si="43"/>
        <v>0</v>
      </c>
      <c r="AE86" s="38"/>
      <c r="AF86" s="692">
        <f t="shared" si="44"/>
        <v>0</v>
      </c>
      <c r="AG86" s="692">
        <f t="shared" si="45"/>
        <v>0</v>
      </c>
      <c r="AH86" s="692">
        <f t="shared" si="46"/>
        <v>0</v>
      </c>
      <c r="AJ86" s="38">
        <f t="shared" si="52"/>
        <v>0</v>
      </c>
    </row>
    <row r="87" spans="1:36">
      <c r="A87" s="20"/>
      <c r="B87" s="20" t="s">
        <v>110</v>
      </c>
      <c r="C87" s="667" t="s">
        <v>541</v>
      </c>
      <c r="D87" s="351" t="s">
        <v>506</v>
      </c>
      <c r="E87" s="679"/>
      <c r="F87" s="529">
        <f>VLOOKUP(D87,'Oct 2012 Revenue'!D:T,17,FALSE)</f>
        <v>0</v>
      </c>
      <c r="G87" s="680"/>
      <c r="H87" s="680"/>
      <c r="I87" s="755"/>
      <c r="J87" s="682">
        <f t="shared" si="47"/>
        <v>0</v>
      </c>
      <c r="K87" s="683"/>
      <c r="L87" s="684"/>
      <c r="M87" s="753"/>
      <c r="N87" s="683">
        <v>0</v>
      </c>
      <c r="O87" s="686"/>
      <c r="P87" s="683">
        <v>0</v>
      </c>
      <c r="Q87" s="687">
        <f t="shared" si="1"/>
        <v>0</v>
      </c>
      <c r="R87" s="688">
        <v>0</v>
      </c>
      <c r="S87" s="693"/>
      <c r="T87" s="690">
        <f t="shared" si="40"/>
        <v>0</v>
      </c>
      <c r="U87" s="683"/>
      <c r="V87" s="474">
        <f t="shared" si="48"/>
        <v>0</v>
      </c>
      <c r="W87" s="474">
        <f t="shared" si="49"/>
        <v>0</v>
      </c>
      <c r="X87" s="475">
        <f t="shared" si="50"/>
        <v>0</v>
      </c>
      <c r="Y87" s="475">
        <v>0</v>
      </c>
      <c r="Z87" s="476">
        <v>0</v>
      </c>
      <c r="AA87" s="38">
        <f t="shared" si="51"/>
        <v>0</v>
      </c>
      <c r="AB87" s="692">
        <f t="shared" si="41"/>
        <v>0</v>
      </c>
      <c r="AC87" s="692">
        <f t="shared" si="42"/>
        <v>0</v>
      </c>
      <c r="AD87" s="692">
        <f t="shared" si="43"/>
        <v>0</v>
      </c>
      <c r="AE87" s="38"/>
      <c r="AF87" s="692">
        <f t="shared" si="44"/>
        <v>0</v>
      </c>
      <c r="AG87" s="692">
        <f t="shared" si="45"/>
        <v>0</v>
      </c>
      <c r="AH87" s="692">
        <f t="shared" si="46"/>
        <v>0</v>
      </c>
      <c r="AJ87" s="38">
        <f t="shared" si="52"/>
        <v>0</v>
      </c>
    </row>
    <row r="88" spans="1:36">
      <c r="A88" s="20"/>
      <c r="B88" s="20" t="s">
        <v>110</v>
      </c>
      <c r="C88" s="667" t="s">
        <v>542</v>
      </c>
      <c r="D88" s="68" t="s">
        <v>305</v>
      </c>
      <c r="E88" s="679"/>
      <c r="F88" s="529">
        <f>VLOOKUP(D88,'Oct 2012 Revenue'!D:T,17,FALSE)</f>
        <v>577.79999999999995</v>
      </c>
      <c r="G88" s="680"/>
      <c r="H88" s="680"/>
      <c r="I88" s="755"/>
      <c r="J88" s="682">
        <f t="shared" si="47"/>
        <v>577.79999999999995</v>
      </c>
      <c r="K88" s="683"/>
      <c r="L88" s="684"/>
      <c r="M88" s="753"/>
      <c r="N88" s="683">
        <v>0</v>
      </c>
      <c r="O88" s="686"/>
      <c r="P88" s="683">
        <v>0</v>
      </c>
      <c r="Q88" s="687">
        <f t="shared" si="1"/>
        <v>0</v>
      </c>
      <c r="R88" s="688">
        <v>0</v>
      </c>
      <c r="S88" s="693"/>
      <c r="T88" s="690">
        <f t="shared" si="40"/>
        <v>0</v>
      </c>
      <c r="U88" s="683"/>
      <c r="V88" s="474">
        <f t="shared" si="48"/>
        <v>0</v>
      </c>
      <c r="W88" s="474">
        <f t="shared" si="49"/>
        <v>0</v>
      </c>
      <c r="X88" s="475">
        <f t="shared" si="50"/>
        <v>0</v>
      </c>
      <c r="Y88" s="475">
        <v>0</v>
      </c>
      <c r="Z88" s="476">
        <v>0</v>
      </c>
      <c r="AA88" s="38">
        <f t="shared" si="51"/>
        <v>0</v>
      </c>
      <c r="AB88" s="692">
        <f t="shared" si="41"/>
        <v>577.79999999999995</v>
      </c>
      <c r="AC88" s="692">
        <f t="shared" si="42"/>
        <v>0</v>
      </c>
      <c r="AD88" s="692">
        <f t="shared" si="43"/>
        <v>0</v>
      </c>
      <c r="AE88" s="38"/>
      <c r="AF88" s="692">
        <f t="shared" si="44"/>
        <v>0</v>
      </c>
      <c r="AG88" s="692">
        <f t="shared" si="45"/>
        <v>0</v>
      </c>
      <c r="AH88" s="692">
        <f t="shared" si="46"/>
        <v>0</v>
      </c>
      <c r="AJ88" s="38">
        <f t="shared" si="52"/>
        <v>577.79999999999995</v>
      </c>
    </row>
    <row r="89" spans="1:36">
      <c r="A89" s="20"/>
      <c r="B89" s="20" t="s">
        <v>110</v>
      </c>
      <c r="C89" s="667" t="s">
        <v>543</v>
      </c>
      <c r="D89" s="68" t="s">
        <v>199</v>
      </c>
      <c r="E89" s="679">
        <v>-127.43</v>
      </c>
      <c r="F89" s="529">
        <f>VLOOKUP(D89,'Oct 2012 Revenue'!D:T,17,FALSE)</f>
        <v>363.13</v>
      </c>
      <c r="G89" s="680"/>
      <c r="H89" s="680"/>
      <c r="I89" s="755"/>
      <c r="J89" s="682">
        <f t="shared" si="47"/>
        <v>235.7</v>
      </c>
      <c r="K89" s="683"/>
      <c r="L89" s="684"/>
      <c r="M89" s="753"/>
      <c r="N89" s="683">
        <v>0</v>
      </c>
      <c r="O89" s="686"/>
      <c r="P89" s="683">
        <v>0</v>
      </c>
      <c r="Q89" s="687">
        <f t="shared" si="1"/>
        <v>0</v>
      </c>
      <c r="R89" s="688">
        <v>0</v>
      </c>
      <c r="S89" s="693"/>
      <c r="T89" s="690">
        <f t="shared" si="40"/>
        <v>0</v>
      </c>
      <c r="U89" s="683"/>
      <c r="V89" s="474">
        <f t="shared" si="48"/>
        <v>0</v>
      </c>
      <c r="W89" s="474">
        <f t="shared" si="49"/>
        <v>0</v>
      </c>
      <c r="X89" s="475">
        <f t="shared" si="50"/>
        <v>0</v>
      </c>
      <c r="Y89" s="475">
        <v>0</v>
      </c>
      <c r="Z89" s="476">
        <v>0</v>
      </c>
      <c r="AA89" s="38">
        <f t="shared" si="51"/>
        <v>0</v>
      </c>
      <c r="AB89" s="692">
        <f t="shared" si="41"/>
        <v>235.7</v>
      </c>
      <c r="AC89" s="692">
        <f t="shared" si="42"/>
        <v>0</v>
      </c>
      <c r="AD89" s="692">
        <f t="shared" si="43"/>
        <v>0</v>
      </c>
      <c r="AE89" s="38"/>
      <c r="AF89" s="692">
        <f t="shared" si="44"/>
        <v>0</v>
      </c>
      <c r="AG89" s="692">
        <f t="shared" si="45"/>
        <v>0</v>
      </c>
      <c r="AH89" s="692">
        <f t="shared" si="46"/>
        <v>0</v>
      </c>
      <c r="AJ89" s="38">
        <f t="shared" si="52"/>
        <v>235.7</v>
      </c>
    </row>
    <row r="90" spans="1:36">
      <c r="A90" s="20"/>
      <c r="B90" s="20" t="s">
        <v>110</v>
      </c>
      <c r="C90" s="667" t="s">
        <v>543</v>
      </c>
      <c r="D90" s="68" t="s">
        <v>200</v>
      </c>
      <c r="E90" s="679">
        <v>-1653.4</v>
      </c>
      <c r="F90" s="529">
        <f>VLOOKUP(D90,'Oct 2012 Revenue'!D:T,17,FALSE)</f>
        <v>310.8</v>
      </c>
      <c r="G90" s="680"/>
      <c r="H90" s="680"/>
      <c r="I90" s="755"/>
      <c r="J90" s="682">
        <f t="shared" si="47"/>
        <v>-1342.6000000000001</v>
      </c>
      <c r="K90" s="683"/>
      <c r="L90" s="684"/>
      <c r="M90" s="753"/>
      <c r="N90" s="683">
        <v>0</v>
      </c>
      <c r="O90" s="686"/>
      <c r="P90" s="683">
        <v>0</v>
      </c>
      <c r="Q90" s="687">
        <f t="shared" si="1"/>
        <v>0</v>
      </c>
      <c r="R90" s="688">
        <v>0</v>
      </c>
      <c r="S90" s="693"/>
      <c r="T90" s="690">
        <f t="shared" si="40"/>
        <v>0</v>
      </c>
      <c r="U90" s="683"/>
      <c r="V90" s="474">
        <f t="shared" si="48"/>
        <v>0</v>
      </c>
      <c r="W90" s="474">
        <f t="shared" si="49"/>
        <v>0</v>
      </c>
      <c r="X90" s="475">
        <f t="shared" si="50"/>
        <v>0</v>
      </c>
      <c r="Y90" s="475">
        <v>0</v>
      </c>
      <c r="Z90" s="476">
        <v>0</v>
      </c>
      <c r="AA90" s="38">
        <f t="shared" si="51"/>
        <v>0</v>
      </c>
      <c r="AB90" s="692">
        <f t="shared" si="41"/>
        <v>-1342.6000000000001</v>
      </c>
      <c r="AC90" s="692">
        <f t="shared" si="42"/>
        <v>0</v>
      </c>
      <c r="AD90" s="692">
        <f t="shared" si="43"/>
        <v>0</v>
      </c>
      <c r="AE90" s="38"/>
      <c r="AF90" s="692">
        <f t="shared" si="44"/>
        <v>0</v>
      </c>
      <c r="AG90" s="692">
        <f t="shared" si="45"/>
        <v>0</v>
      </c>
      <c r="AH90" s="692">
        <f t="shared" si="46"/>
        <v>0</v>
      </c>
      <c r="AJ90" s="38">
        <f t="shared" si="52"/>
        <v>-1342.6000000000001</v>
      </c>
    </row>
    <row r="91" spans="1:36">
      <c r="A91" s="20"/>
      <c r="B91" s="20" t="s">
        <v>110</v>
      </c>
      <c r="C91" s="667" t="s">
        <v>543</v>
      </c>
      <c r="D91" s="68" t="s">
        <v>201</v>
      </c>
      <c r="E91" s="679">
        <v>-61.5</v>
      </c>
      <c r="F91" s="529">
        <f>VLOOKUP(D91,'Oct 2012 Revenue'!D:T,17,FALSE)</f>
        <v>25.21</v>
      </c>
      <c r="G91" s="680"/>
      <c r="H91" s="680"/>
      <c r="I91" s="755"/>
      <c r="J91" s="682">
        <f t="shared" si="47"/>
        <v>-36.29</v>
      </c>
      <c r="K91" s="683"/>
      <c r="L91" s="684"/>
      <c r="M91" s="753"/>
      <c r="N91" s="683">
        <v>0</v>
      </c>
      <c r="O91" s="686"/>
      <c r="P91" s="683">
        <v>0</v>
      </c>
      <c r="Q91" s="687">
        <f t="shared" si="1"/>
        <v>0</v>
      </c>
      <c r="R91" s="688">
        <v>0</v>
      </c>
      <c r="S91" s="693"/>
      <c r="T91" s="690">
        <f t="shared" si="40"/>
        <v>0</v>
      </c>
      <c r="U91" s="683"/>
      <c r="V91" s="474">
        <f t="shared" si="48"/>
        <v>0</v>
      </c>
      <c r="W91" s="474">
        <f t="shared" si="49"/>
        <v>0</v>
      </c>
      <c r="X91" s="475">
        <f t="shared" si="50"/>
        <v>0</v>
      </c>
      <c r="Y91" s="475">
        <v>0</v>
      </c>
      <c r="Z91" s="476">
        <v>0</v>
      </c>
      <c r="AA91" s="38">
        <f t="shared" si="51"/>
        <v>0</v>
      </c>
      <c r="AB91" s="692">
        <f t="shared" si="41"/>
        <v>-36.29</v>
      </c>
      <c r="AC91" s="692">
        <f t="shared" si="42"/>
        <v>0</v>
      </c>
      <c r="AD91" s="692">
        <f t="shared" si="43"/>
        <v>0</v>
      </c>
      <c r="AE91" s="38"/>
      <c r="AF91" s="692">
        <f t="shared" si="44"/>
        <v>0</v>
      </c>
      <c r="AG91" s="692">
        <f t="shared" si="45"/>
        <v>0</v>
      </c>
      <c r="AH91" s="692">
        <f t="shared" si="46"/>
        <v>0</v>
      </c>
      <c r="AJ91" s="38">
        <f t="shared" si="52"/>
        <v>-36.29</v>
      </c>
    </row>
    <row r="92" spans="1:36">
      <c r="A92" s="20" t="s">
        <v>97</v>
      </c>
      <c r="B92" s="20" t="s">
        <v>114</v>
      </c>
      <c r="C92" s="667"/>
      <c r="D92" s="68" t="s">
        <v>387</v>
      </c>
      <c r="E92" s="679"/>
      <c r="F92" s="529">
        <f>VLOOKUP(D92,'Oct 2012 Revenue'!D:T,17,FALSE)</f>
        <v>-2152.75</v>
      </c>
      <c r="G92" s="680"/>
      <c r="H92" s="680"/>
      <c r="I92" s="755"/>
      <c r="J92" s="682">
        <f t="shared" si="47"/>
        <v>-2152.75</v>
      </c>
      <c r="K92" s="683"/>
      <c r="L92" s="684"/>
      <c r="M92" s="753">
        <v>10000</v>
      </c>
      <c r="N92" s="683">
        <v>0</v>
      </c>
      <c r="O92" s="686"/>
      <c r="P92" s="683">
        <v>0</v>
      </c>
      <c r="Q92" s="687">
        <f t="shared" si="1"/>
        <v>10000</v>
      </c>
      <c r="R92" s="688">
        <v>9711.66</v>
      </c>
      <c r="S92" s="693"/>
      <c r="T92" s="690">
        <f t="shared" si="40"/>
        <v>-288.34000000000015</v>
      </c>
      <c r="U92" s="683"/>
      <c r="V92" s="474">
        <f t="shared" si="48"/>
        <v>0</v>
      </c>
      <c r="W92" s="474">
        <f t="shared" si="49"/>
        <v>0</v>
      </c>
      <c r="X92" s="475">
        <f t="shared" si="50"/>
        <v>10000</v>
      </c>
      <c r="Y92" s="475">
        <v>0</v>
      </c>
      <c r="Z92" s="476">
        <v>0</v>
      </c>
      <c r="AA92" s="38">
        <f t="shared" si="51"/>
        <v>0</v>
      </c>
      <c r="AB92" s="692">
        <f t="shared" si="41"/>
        <v>0</v>
      </c>
      <c r="AC92" s="692">
        <f t="shared" si="42"/>
        <v>0</v>
      </c>
      <c r="AD92" s="692">
        <f t="shared" si="43"/>
        <v>-2152.75</v>
      </c>
      <c r="AE92" s="38"/>
      <c r="AF92" s="692">
        <f t="shared" si="44"/>
        <v>0</v>
      </c>
      <c r="AG92" s="692">
        <f t="shared" si="45"/>
        <v>0</v>
      </c>
      <c r="AH92" s="692">
        <f t="shared" si="46"/>
        <v>10000</v>
      </c>
      <c r="AJ92" s="38">
        <f t="shared" si="52"/>
        <v>7847.25</v>
      </c>
    </row>
    <row r="93" spans="1:36">
      <c r="A93" s="20" t="s">
        <v>97</v>
      </c>
      <c r="B93" s="20" t="s">
        <v>114</v>
      </c>
      <c r="C93" s="667"/>
      <c r="D93" s="68" t="s">
        <v>482</v>
      </c>
      <c r="E93" s="679"/>
      <c r="F93" s="529">
        <f>VLOOKUP(D93,'Oct 2012 Revenue'!D:T,17,FALSE)</f>
        <v>0</v>
      </c>
      <c r="G93" s="680"/>
      <c r="H93" s="680"/>
      <c r="I93" s="755"/>
      <c r="J93" s="682">
        <f t="shared" si="47"/>
        <v>0</v>
      </c>
      <c r="K93" s="683"/>
      <c r="L93" s="684"/>
      <c r="M93" s="753"/>
      <c r="N93" s="683"/>
      <c r="O93" s="686"/>
      <c r="P93" s="683"/>
      <c r="Q93" s="687">
        <f t="shared" si="1"/>
        <v>0</v>
      </c>
      <c r="R93" s="688">
        <v>0</v>
      </c>
      <c r="S93" s="693"/>
      <c r="T93" s="690">
        <f t="shared" si="40"/>
        <v>0</v>
      </c>
      <c r="U93" s="683"/>
      <c r="V93" s="474">
        <f t="shared" si="48"/>
        <v>0</v>
      </c>
      <c r="W93" s="474">
        <f t="shared" si="49"/>
        <v>0</v>
      </c>
      <c r="X93" s="475">
        <f t="shared" si="50"/>
        <v>0</v>
      </c>
      <c r="Y93" s="475">
        <v>0</v>
      </c>
      <c r="Z93" s="476">
        <v>0</v>
      </c>
      <c r="AA93" s="38">
        <f t="shared" si="51"/>
        <v>0</v>
      </c>
      <c r="AB93" s="692">
        <f t="shared" si="41"/>
        <v>0</v>
      </c>
      <c r="AC93" s="692">
        <f t="shared" si="42"/>
        <v>0</v>
      </c>
      <c r="AD93" s="692">
        <f t="shared" si="43"/>
        <v>0</v>
      </c>
      <c r="AE93" s="38"/>
      <c r="AF93" s="692">
        <f t="shared" si="44"/>
        <v>0</v>
      </c>
      <c r="AG93" s="692">
        <f t="shared" si="45"/>
        <v>0</v>
      </c>
      <c r="AH93" s="692">
        <f t="shared" si="46"/>
        <v>0</v>
      </c>
      <c r="AJ93" s="38">
        <f t="shared" si="52"/>
        <v>0</v>
      </c>
    </row>
    <row r="94" spans="1:36">
      <c r="A94" s="20" t="s">
        <v>109</v>
      </c>
      <c r="B94" s="20" t="s">
        <v>109</v>
      </c>
      <c r="C94" s="667" t="s">
        <v>544</v>
      </c>
      <c r="D94" s="68" t="s">
        <v>383</v>
      </c>
      <c r="E94" s="679"/>
      <c r="F94" s="529">
        <f>VLOOKUP(D94,'Oct 2012 Revenue'!D:T,17,FALSE)</f>
        <v>186.22</v>
      </c>
      <c r="G94" s="680"/>
      <c r="H94" s="680"/>
      <c r="I94" s="755"/>
      <c r="J94" s="682">
        <f t="shared" si="47"/>
        <v>186.22</v>
      </c>
      <c r="K94" s="683"/>
      <c r="L94" s="684"/>
      <c r="M94" s="753"/>
      <c r="N94" s="683">
        <v>0</v>
      </c>
      <c r="O94" s="686"/>
      <c r="P94" s="683">
        <v>0</v>
      </c>
      <c r="Q94" s="687">
        <f t="shared" si="1"/>
        <v>0</v>
      </c>
      <c r="R94" s="688">
        <v>204.98</v>
      </c>
      <c r="S94" s="693"/>
      <c r="T94" s="690">
        <f t="shared" si="40"/>
        <v>204.98</v>
      </c>
      <c r="U94" s="683"/>
      <c r="V94" s="474">
        <f t="shared" si="48"/>
        <v>0</v>
      </c>
      <c r="W94" s="474">
        <f t="shared" si="49"/>
        <v>0</v>
      </c>
      <c r="X94" s="475">
        <f t="shared" si="50"/>
        <v>0</v>
      </c>
      <c r="Y94" s="475">
        <v>0</v>
      </c>
      <c r="Z94" s="476">
        <v>0</v>
      </c>
      <c r="AA94" s="38">
        <f t="shared" si="51"/>
        <v>0</v>
      </c>
      <c r="AB94" s="692">
        <f t="shared" si="41"/>
        <v>0</v>
      </c>
      <c r="AC94" s="692">
        <f t="shared" si="42"/>
        <v>186.22</v>
      </c>
      <c r="AD94" s="692">
        <f t="shared" si="43"/>
        <v>0</v>
      </c>
      <c r="AE94" s="38"/>
      <c r="AF94" s="692">
        <f t="shared" si="44"/>
        <v>0</v>
      </c>
      <c r="AG94" s="692">
        <f t="shared" si="45"/>
        <v>0</v>
      </c>
      <c r="AH94" s="692">
        <f t="shared" si="46"/>
        <v>0</v>
      </c>
      <c r="AJ94" s="38">
        <f t="shared" si="52"/>
        <v>186.22</v>
      </c>
    </row>
    <row r="95" spans="1:36">
      <c r="A95" s="21" t="s">
        <v>211</v>
      </c>
      <c r="B95" s="21" t="s">
        <v>109</v>
      </c>
      <c r="C95" s="666" t="s">
        <v>545</v>
      </c>
      <c r="D95" s="68" t="s">
        <v>181</v>
      </c>
      <c r="E95" s="679"/>
      <c r="F95" s="529">
        <f>VLOOKUP(D95,'Oct 2012 Revenue'!D:T,17,FALSE)</f>
        <v>-15000</v>
      </c>
      <c r="G95" s="680"/>
      <c r="H95" s="680"/>
      <c r="I95" s="755"/>
      <c r="J95" s="682">
        <f t="shared" si="47"/>
        <v>-15000</v>
      </c>
      <c r="K95" s="683"/>
      <c r="L95" s="684"/>
      <c r="M95" s="753">
        <v>17000</v>
      </c>
      <c r="N95" s="683">
        <v>0</v>
      </c>
      <c r="O95" s="686"/>
      <c r="P95" s="683">
        <v>0</v>
      </c>
      <c r="Q95" s="687">
        <f t="shared" si="1"/>
        <v>17000</v>
      </c>
      <c r="R95" s="688">
        <v>0</v>
      </c>
      <c r="S95" s="693"/>
      <c r="T95" s="690">
        <f t="shared" si="40"/>
        <v>-17000</v>
      </c>
      <c r="U95" s="683"/>
      <c r="V95" s="474">
        <f t="shared" si="48"/>
        <v>0</v>
      </c>
      <c r="W95" s="474">
        <f t="shared" si="49"/>
        <v>17000</v>
      </c>
      <c r="X95" s="475">
        <f t="shared" si="50"/>
        <v>0</v>
      </c>
      <c r="Y95" s="475">
        <v>0</v>
      </c>
      <c r="Z95" s="476">
        <v>0</v>
      </c>
      <c r="AA95" s="38">
        <f t="shared" si="51"/>
        <v>0</v>
      </c>
      <c r="AB95" s="692">
        <f t="shared" si="41"/>
        <v>0</v>
      </c>
      <c r="AC95" s="692">
        <f t="shared" si="42"/>
        <v>-15000</v>
      </c>
      <c r="AD95" s="692">
        <f t="shared" si="43"/>
        <v>0</v>
      </c>
      <c r="AE95" s="38"/>
      <c r="AF95" s="692">
        <f t="shared" si="44"/>
        <v>0</v>
      </c>
      <c r="AG95" s="692">
        <f t="shared" si="45"/>
        <v>17000</v>
      </c>
      <c r="AH95" s="692">
        <f t="shared" si="46"/>
        <v>0</v>
      </c>
      <c r="AJ95" s="38">
        <f t="shared" si="52"/>
        <v>2000</v>
      </c>
    </row>
    <row r="96" spans="1:36">
      <c r="A96" s="21" t="s">
        <v>211</v>
      </c>
      <c r="B96" s="21" t="s">
        <v>110</v>
      </c>
      <c r="C96" s="666"/>
      <c r="D96" s="68" t="s">
        <v>504</v>
      </c>
      <c r="E96" s="679"/>
      <c r="F96" s="529">
        <f>VLOOKUP(D96,'Oct 2012 Revenue'!D:T,17,FALSE)</f>
        <v>0</v>
      </c>
      <c r="G96" s="680"/>
      <c r="H96" s="680"/>
      <c r="I96" s="755"/>
      <c r="J96" s="682">
        <f t="shared" si="47"/>
        <v>0</v>
      </c>
      <c r="K96" s="683"/>
      <c r="L96" s="684"/>
      <c r="M96" s="753"/>
      <c r="N96" s="683">
        <v>0</v>
      </c>
      <c r="O96" s="686"/>
      <c r="P96" s="683">
        <v>0</v>
      </c>
      <c r="Q96" s="687">
        <f t="shared" si="1"/>
        <v>0</v>
      </c>
      <c r="R96" s="688">
        <v>0</v>
      </c>
      <c r="S96" s="693"/>
      <c r="T96" s="690">
        <f t="shared" si="40"/>
        <v>0</v>
      </c>
      <c r="U96" s="683"/>
      <c r="V96" s="474">
        <f t="shared" si="48"/>
        <v>0</v>
      </c>
      <c r="W96" s="474">
        <f t="shared" si="49"/>
        <v>0</v>
      </c>
      <c r="X96" s="475">
        <f t="shared" si="50"/>
        <v>0</v>
      </c>
      <c r="Y96" s="475">
        <v>0</v>
      </c>
      <c r="Z96" s="476">
        <v>0</v>
      </c>
      <c r="AA96" s="38">
        <f t="shared" si="51"/>
        <v>0</v>
      </c>
      <c r="AB96" s="692">
        <f t="shared" si="41"/>
        <v>0</v>
      </c>
      <c r="AC96" s="692">
        <f t="shared" si="42"/>
        <v>0</v>
      </c>
      <c r="AD96" s="692">
        <f t="shared" si="43"/>
        <v>0</v>
      </c>
      <c r="AE96" s="38"/>
      <c r="AF96" s="692">
        <f t="shared" si="44"/>
        <v>0</v>
      </c>
      <c r="AG96" s="692">
        <f t="shared" si="45"/>
        <v>0</v>
      </c>
      <c r="AH96" s="692">
        <f t="shared" si="46"/>
        <v>0</v>
      </c>
      <c r="AJ96" s="38">
        <f t="shared" si="52"/>
        <v>0</v>
      </c>
    </row>
    <row r="97" spans="1:36">
      <c r="A97" s="20" t="s">
        <v>211</v>
      </c>
      <c r="B97" s="20" t="s">
        <v>109</v>
      </c>
      <c r="C97" s="667" t="s">
        <v>546</v>
      </c>
      <c r="D97" s="68" t="s">
        <v>142</v>
      </c>
      <c r="E97" s="679"/>
      <c r="F97" s="529">
        <f>VLOOKUP(D97,'Oct 2012 Revenue'!D:T,17,FALSE)</f>
        <v>0</v>
      </c>
      <c r="G97" s="680"/>
      <c r="H97" s="680"/>
      <c r="I97" s="755"/>
      <c r="J97" s="682">
        <f t="shared" si="47"/>
        <v>0</v>
      </c>
      <c r="K97" s="683"/>
      <c r="L97" s="684"/>
      <c r="M97" s="753"/>
      <c r="N97" s="683">
        <v>0</v>
      </c>
      <c r="O97" s="686"/>
      <c r="P97" s="683">
        <v>0</v>
      </c>
      <c r="Q97" s="687">
        <f t="shared" si="1"/>
        <v>0</v>
      </c>
      <c r="R97" s="688">
        <v>0</v>
      </c>
      <c r="S97" s="693"/>
      <c r="T97" s="690">
        <f t="shared" si="40"/>
        <v>0</v>
      </c>
      <c r="U97" s="697"/>
      <c r="V97" s="474">
        <f t="shared" si="48"/>
        <v>0</v>
      </c>
      <c r="W97" s="474">
        <f t="shared" si="49"/>
        <v>0</v>
      </c>
      <c r="X97" s="475">
        <f t="shared" si="50"/>
        <v>0</v>
      </c>
      <c r="Y97" s="475">
        <v>0</v>
      </c>
      <c r="Z97" s="476">
        <v>0</v>
      </c>
      <c r="AA97" s="38">
        <f t="shared" si="51"/>
        <v>0</v>
      </c>
      <c r="AB97" s="692">
        <f t="shared" si="41"/>
        <v>0</v>
      </c>
      <c r="AC97" s="692">
        <f t="shared" si="42"/>
        <v>0</v>
      </c>
      <c r="AD97" s="692">
        <f t="shared" si="43"/>
        <v>0</v>
      </c>
      <c r="AE97" s="38"/>
      <c r="AF97" s="692">
        <f t="shared" si="44"/>
        <v>0</v>
      </c>
      <c r="AG97" s="692">
        <f t="shared" si="45"/>
        <v>0</v>
      </c>
      <c r="AH97" s="692">
        <f t="shared" si="46"/>
        <v>0</v>
      </c>
      <c r="AJ97" s="38">
        <f t="shared" si="52"/>
        <v>0</v>
      </c>
    </row>
    <row r="98" spans="1:36">
      <c r="A98" s="20" t="s">
        <v>211</v>
      </c>
      <c r="B98" s="20" t="s">
        <v>109</v>
      </c>
      <c r="C98" s="667" t="s">
        <v>546</v>
      </c>
      <c r="D98" s="68" t="s">
        <v>143</v>
      </c>
      <c r="E98" s="679"/>
      <c r="F98" s="529">
        <f>VLOOKUP(D98,'Oct 2012 Revenue'!D:T,17,FALSE)</f>
        <v>0</v>
      </c>
      <c r="G98" s="680"/>
      <c r="H98" s="680"/>
      <c r="I98" s="755"/>
      <c r="J98" s="682">
        <f t="shared" si="47"/>
        <v>0</v>
      </c>
      <c r="K98" s="683"/>
      <c r="L98" s="684"/>
      <c r="M98" s="753"/>
      <c r="N98" s="683">
        <v>0</v>
      </c>
      <c r="O98" s="686"/>
      <c r="P98" s="683">
        <v>0</v>
      </c>
      <c r="Q98" s="687">
        <f t="shared" si="1"/>
        <v>0</v>
      </c>
      <c r="R98" s="688">
        <v>0</v>
      </c>
      <c r="S98" s="693"/>
      <c r="T98" s="690">
        <f t="shared" si="40"/>
        <v>0</v>
      </c>
      <c r="U98" s="697"/>
      <c r="V98" s="474">
        <f t="shared" si="48"/>
        <v>0</v>
      </c>
      <c r="W98" s="474">
        <f t="shared" si="49"/>
        <v>0</v>
      </c>
      <c r="X98" s="475">
        <f t="shared" si="50"/>
        <v>0</v>
      </c>
      <c r="Y98" s="475">
        <v>0</v>
      </c>
      <c r="Z98" s="476">
        <v>0</v>
      </c>
      <c r="AA98" s="38">
        <f t="shared" si="51"/>
        <v>0</v>
      </c>
      <c r="AB98" s="692">
        <f t="shared" si="41"/>
        <v>0</v>
      </c>
      <c r="AC98" s="692">
        <f t="shared" si="42"/>
        <v>0</v>
      </c>
      <c r="AD98" s="692">
        <f t="shared" si="43"/>
        <v>0</v>
      </c>
      <c r="AE98" s="38"/>
      <c r="AF98" s="692">
        <f t="shared" si="44"/>
        <v>0</v>
      </c>
      <c r="AG98" s="692">
        <f t="shared" si="45"/>
        <v>0</v>
      </c>
      <c r="AH98" s="692">
        <f t="shared" si="46"/>
        <v>0</v>
      </c>
      <c r="AJ98" s="38">
        <f t="shared" si="52"/>
        <v>0</v>
      </c>
    </row>
    <row r="99" spans="1:36">
      <c r="A99" s="20" t="s">
        <v>109</v>
      </c>
      <c r="B99" s="20" t="s">
        <v>109</v>
      </c>
      <c r="C99" s="667"/>
      <c r="D99" s="68" t="s">
        <v>498</v>
      </c>
      <c r="E99" s="679">
        <f>1928.21+1680.77-2157.64</f>
        <v>1451.3400000000001</v>
      </c>
      <c r="F99" s="529">
        <f>VLOOKUP(D99,'Oct 2012 Revenue'!D:T,17,FALSE)</f>
        <v>0</v>
      </c>
      <c r="G99" s="680"/>
      <c r="H99" s="680"/>
      <c r="I99" s="755"/>
      <c r="J99" s="682">
        <f t="shared" si="47"/>
        <v>1451.3400000000001</v>
      </c>
      <c r="K99" s="683"/>
      <c r="L99" s="684"/>
      <c r="M99" s="753"/>
      <c r="N99" s="683">
        <v>0</v>
      </c>
      <c r="O99" s="686"/>
      <c r="P99" s="683">
        <v>0</v>
      </c>
      <c r="Q99" s="687">
        <f t="shared" si="1"/>
        <v>0</v>
      </c>
      <c r="R99" s="688">
        <v>0</v>
      </c>
      <c r="S99" s="693"/>
      <c r="T99" s="690">
        <f t="shared" si="40"/>
        <v>0</v>
      </c>
      <c r="U99" s="683"/>
      <c r="V99" s="474">
        <f t="shared" si="48"/>
        <v>0</v>
      </c>
      <c r="W99" s="474">
        <f t="shared" si="49"/>
        <v>0</v>
      </c>
      <c r="X99" s="475">
        <f t="shared" si="50"/>
        <v>0</v>
      </c>
      <c r="Y99" s="475">
        <v>0</v>
      </c>
      <c r="Z99" s="476">
        <v>0</v>
      </c>
      <c r="AA99" s="38">
        <f t="shared" si="51"/>
        <v>0</v>
      </c>
      <c r="AB99" s="692">
        <f t="shared" si="41"/>
        <v>0</v>
      </c>
      <c r="AC99" s="692">
        <f t="shared" si="42"/>
        <v>1451.3400000000001</v>
      </c>
      <c r="AD99" s="692">
        <f t="shared" si="43"/>
        <v>0</v>
      </c>
      <c r="AE99" s="38"/>
      <c r="AF99" s="692">
        <f t="shared" si="44"/>
        <v>0</v>
      </c>
      <c r="AG99" s="692">
        <f t="shared" si="45"/>
        <v>0</v>
      </c>
      <c r="AH99" s="692">
        <f t="shared" si="46"/>
        <v>0</v>
      </c>
      <c r="AJ99" s="38">
        <f t="shared" si="52"/>
        <v>1451.3400000000001</v>
      </c>
    </row>
    <row r="100" spans="1:36">
      <c r="A100" s="21"/>
      <c r="B100" s="21" t="s">
        <v>110</v>
      </c>
      <c r="C100" s="666"/>
      <c r="D100" s="68" t="s">
        <v>20</v>
      </c>
      <c r="E100" s="679"/>
      <c r="F100" s="529">
        <f>VLOOKUP(D100,'Oct 2012 Revenue'!D:T,17,FALSE)</f>
        <v>0</v>
      </c>
      <c r="G100" s="680"/>
      <c r="H100" s="680"/>
      <c r="I100" s="770">
        <v>141.27000000000001</v>
      </c>
      <c r="J100" s="682">
        <f t="shared" si="47"/>
        <v>141.27000000000001</v>
      </c>
      <c r="K100" s="683"/>
      <c r="L100" s="684"/>
      <c r="M100" s="753"/>
      <c r="N100" s="683">
        <v>0</v>
      </c>
      <c r="O100" s="686"/>
      <c r="P100" s="683">
        <v>0</v>
      </c>
      <c r="Q100" s="687">
        <f t="shared" si="1"/>
        <v>0</v>
      </c>
      <c r="R100" s="688">
        <v>0</v>
      </c>
      <c r="S100" s="693"/>
      <c r="T100" s="690">
        <f t="shared" si="40"/>
        <v>0</v>
      </c>
      <c r="U100" s="683"/>
      <c r="V100" s="474">
        <f t="shared" si="48"/>
        <v>0</v>
      </c>
      <c r="W100" s="474">
        <f t="shared" si="49"/>
        <v>0</v>
      </c>
      <c r="X100" s="475">
        <f t="shared" si="50"/>
        <v>0</v>
      </c>
      <c r="Y100" s="475">
        <v>0</v>
      </c>
      <c r="Z100" s="476">
        <v>0</v>
      </c>
      <c r="AA100" s="38">
        <f t="shared" si="51"/>
        <v>0</v>
      </c>
      <c r="AB100" s="692">
        <f t="shared" si="41"/>
        <v>141.27000000000001</v>
      </c>
      <c r="AC100" s="692">
        <f t="shared" si="42"/>
        <v>0</v>
      </c>
      <c r="AD100" s="692">
        <f t="shared" si="43"/>
        <v>0</v>
      </c>
      <c r="AE100" s="38"/>
      <c r="AF100" s="692">
        <f t="shared" si="44"/>
        <v>0</v>
      </c>
      <c r="AG100" s="692">
        <f t="shared" si="45"/>
        <v>0</v>
      </c>
      <c r="AH100" s="692">
        <f t="shared" si="46"/>
        <v>0</v>
      </c>
      <c r="AJ100" s="38">
        <f t="shared" si="52"/>
        <v>141.27000000000001</v>
      </c>
    </row>
    <row r="101" spans="1:36">
      <c r="A101" s="21"/>
      <c r="B101" s="21" t="s">
        <v>110</v>
      </c>
      <c r="C101" s="666" t="s">
        <v>547</v>
      </c>
      <c r="D101" s="68" t="s">
        <v>203</v>
      </c>
      <c r="E101" s="679"/>
      <c r="F101" s="529">
        <f>VLOOKUP(D101,'Oct 2012 Revenue'!D:T,17,FALSE)</f>
        <v>0</v>
      </c>
      <c r="G101" s="680"/>
      <c r="H101" s="680"/>
      <c r="I101" s="755"/>
      <c r="J101" s="682">
        <f t="shared" si="47"/>
        <v>0</v>
      </c>
      <c r="K101" s="683"/>
      <c r="L101" s="684"/>
      <c r="M101" s="753"/>
      <c r="N101" s="683">
        <v>0</v>
      </c>
      <c r="O101" s="686"/>
      <c r="P101" s="683">
        <v>0</v>
      </c>
      <c r="Q101" s="687">
        <f t="shared" si="1"/>
        <v>0</v>
      </c>
      <c r="R101" s="688">
        <v>0</v>
      </c>
      <c r="S101" s="693"/>
      <c r="T101" s="690">
        <f t="shared" si="40"/>
        <v>0</v>
      </c>
      <c r="U101" s="683"/>
      <c r="V101" s="474">
        <f t="shared" si="48"/>
        <v>0</v>
      </c>
      <c r="W101" s="474">
        <f t="shared" si="49"/>
        <v>0</v>
      </c>
      <c r="X101" s="475">
        <f t="shared" si="50"/>
        <v>0</v>
      </c>
      <c r="Y101" s="475">
        <v>0</v>
      </c>
      <c r="Z101" s="476">
        <v>0</v>
      </c>
      <c r="AA101" s="38">
        <f t="shared" si="51"/>
        <v>0</v>
      </c>
      <c r="AB101" s="692">
        <f t="shared" si="41"/>
        <v>0</v>
      </c>
      <c r="AC101" s="692">
        <f t="shared" si="42"/>
        <v>0</v>
      </c>
      <c r="AD101" s="692">
        <f t="shared" si="43"/>
        <v>0</v>
      </c>
      <c r="AE101" s="38"/>
      <c r="AF101" s="692">
        <f t="shared" si="44"/>
        <v>0</v>
      </c>
      <c r="AG101" s="692">
        <f t="shared" si="45"/>
        <v>0</v>
      </c>
      <c r="AH101" s="692">
        <f t="shared" si="46"/>
        <v>0</v>
      </c>
      <c r="AJ101" s="38">
        <f t="shared" si="52"/>
        <v>0</v>
      </c>
    </row>
    <row r="102" spans="1:36">
      <c r="A102" s="21"/>
      <c r="B102" s="21" t="s">
        <v>110</v>
      </c>
      <c r="C102" s="666" t="s">
        <v>547</v>
      </c>
      <c r="D102" s="68" t="s">
        <v>202</v>
      </c>
      <c r="E102" s="679"/>
      <c r="F102" s="529">
        <f>VLOOKUP(D102,'Oct 2012 Revenue'!D:T,17,FALSE)</f>
        <v>0</v>
      </c>
      <c r="G102" s="680"/>
      <c r="H102" s="680"/>
      <c r="I102" s="755"/>
      <c r="J102" s="682">
        <f t="shared" si="47"/>
        <v>0</v>
      </c>
      <c r="K102" s="683"/>
      <c r="L102" s="684"/>
      <c r="M102" s="753"/>
      <c r="N102" s="683">
        <v>0</v>
      </c>
      <c r="O102" s="686"/>
      <c r="P102" s="683">
        <v>0</v>
      </c>
      <c r="Q102" s="687">
        <f t="shared" si="1"/>
        <v>0</v>
      </c>
      <c r="R102" s="688">
        <v>0</v>
      </c>
      <c r="S102" s="693"/>
      <c r="T102" s="690">
        <f t="shared" si="40"/>
        <v>0</v>
      </c>
      <c r="U102" s="683"/>
      <c r="V102" s="474">
        <f t="shared" si="48"/>
        <v>0</v>
      </c>
      <c r="W102" s="474">
        <f t="shared" si="49"/>
        <v>0</v>
      </c>
      <c r="X102" s="475">
        <f t="shared" si="50"/>
        <v>0</v>
      </c>
      <c r="Y102" s="475">
        <v>0</v>
      </c>
      <c r="Z102" s="476">
        <v>0</v>
      </c>
      <c r="AA102" s="38">
        <f t="shared" si="51"/>
        <v>0</v>
      </c>
      <c r="AB102" s="692">
        <f t="shared" si="41"/>
        <v>0</v>
      </c>
      <c r="AC102" s="692">
        <f t="shared" si="42"/>
        <v>0</v>
      </c>
      <c r="AD102" s="692">
        <f t="shared" si="43"/>
        <v>0</v>
      </c>
      <c r="AE102" s="38"/>
      <c r="AF102" s="692">
        <f t="shared" si="44"/>
        <v>0</v>
      </c>
      <c r="AG102" s="692">
        <f t="shared" si="45"/>
        <v>0</v>
      </c>
      <c r="AH102" s="692">
        <f t="shared" si="46"/>
        <v>0</v>
      </c>
      <c r="AJ102" s="38">
        <f t="shared" si="52"/>
        <v>0</v>
      </c>
    </row>
    <row r="103" spans="1:36">
      <c r="A103" s="20" t="s">
        <v>211</v>
      </c>
      <c r="B103" s="20" t="s">
        <v>110</v>
      </c>
      <c r="C103" s="667"/>
      <c r="D103" s="373" t="s">
        <v>466</v>
      </c>
      <c r="E103" s="679"/>
      <c r="F103" s="529">
        <f>VLOOKUP(D103,'Oct 2012 Revenue'!D:T,17,FALSE)</f>
        <v>0</v>
      </c>
      <c r="G103" s="680"/>
      <c r="H103" s="680"/>
      <c r="I103" s="755"/>
      <c r="J103" s="682">
        <f t="shared" si="47"/>
        <v>0</v>
      </c>
      <c r="K103" s="683"/>
      <c r="L103" s="684"/>
      <c r="M103" s="753"/>
      <c r="N103" s="683">
        <v>0</v>
      </c>
      <c r="O103" s="686"/>
      <c r="P103" s="683">
        <v>0</v>
      </c>
      <c r="Q103" s="687">
        <f t="shared" si="1"/>
        <v>0</v>
      </c>
      <c r="R103" s="688">
        <v>0</v>
      </c>
      <c r="S103" s="693"/>
      <c r="T103" s="690">
        <f t="shared" si="40"/>
        <v>0</v>
      </c>
      <c r="U103" s="683"/>
      <c r="V103" s="474">
        <f t="shared" si="48"/>
        <v>0</v>
      </c>
      <c r="W103" s="474">
        <f t="shared" si="49"/>
        <v>0</v>
      </c>
      <c r="X103" s="475">
        <f t="shared" si="50"/>
        <v>0</v>
      </c>
      <c r="Y103" s="475">
        <v>0</v>
      </c>
      <c r="Z103" s="476">
        <v>0</v>
      </c>
      <c r="AA103" s="38">
        <f t="shared" si="51"/>
        <v>0</v>
      </c>
      <c r="AB103" s="692">
        <f t="shared" si="41"/>
        <v>0</v>
      </c>
      <c r="AC103" s="692">
        <f t="shared" si="42"/>
        <v>0</v>
      </c>
      <c r="AD103" s="692">
        <f t="shared" si="43"/>
        <v>0</v>
      </c>
      <c r="AE103" s="38"/>
      <c r="AF103" s="692">
        <f t="shared" si="44"/>
        <v>0</v>
      </c>
      <c r="AG103" s="692">
        <f t="shared" si="45"/>
        <v>0</v>
      </c>
      <c r="AH103" s="692">
        <f t="shared" si="46"/>
        <v>0</v>
      </c>
      <c r="AJ103" s="38">
        <f t="shared" si="52"/>
        <v>0</v>
      </c>
    </row>
    <row r="104" spans="1:36">
      <c r="A104" s="20"/>
      <c r="B104" s="20" t="s">
        <v>110</v>
      </c>
      <c r="C104" s="667"/>
      <c r="D104" s="373" t="s">
        <v>627</v>
      </c>
      <c r="E104" s="679"/>
      <c r="F104" s="529">
        <f>VLOOKUP(D104,'Oct 2012 Revenue'!D:T,17,FALSE)</f>
        <v>0</v>
      </c>
      <c r="G104" s="680"/>
      <c r="H104" s="680"/>
      <c r="I104" s="755"/>
      <c r="J104" s="682">
        <f t="shared" si="47"/>
        <v>0</v>
      </c>
      <c r="K104" s="683"/>
      <c r="L104" s="684"/>
      <c r="M104" s="753"/>
      <c r="N104" s="683">
        <v>0</v>
      </c>
      <c r="O104" s="686"/>
      <c r="P104" s="683">
        <v>0</v>
      </c>
      <c r="Q104" s="687">
        <f t="shared" si="1"/>
        <v>0</v>
      </c>
      <c r="R104" s="688">
        <v>0</v>
      </c>
      <c r="S104" s="693"/>
      <c r="T104" s="690">
        <f t="shared" si="40"/>
        <v>0</v>
      </c>
      <c r="U104" s="683"/>
      <c r="V104" s="474">
        <f t="shared" si="48"/>
        <v>0</v>
      </c>
      <c r="W104" s="474">
        <f t="shared" si="49"/>
        <v>0</v>
      </c>
      <c r="X104" s="475">
        <f t="shared" si="50"/>
        <v>0</v>
      </c>
      <c r="Y104" s="475">
        <v>0</v>
      </c>
      <c r="Z104" s="476">
        <v>0</v>
      </c>
      <c r="AA104" s="38">
        <f t="shared" si="51"/>
        <v>0</v>
      </c>
      <c r="AB104" s="692">
        <f t="shared" si="41"/>
        <v>0</v>
      </c>
      <c r="AC104" s="692">
        <f t="shared" si="42"/>
        <v>0</v>
      </c>
      <c r="AD104" s="692">
        <f t="shared" si="43"/>
        <v>0</v>
      </c>
      <c r="AE104" s="38"/>
      <c r="AF104" s="692">
        <f t="shared" si="44"/>
        <v>0</v>
      </c>
      <c r="AG104" s="692">
        <f t="shared" si="45"/>
        <v>0</v>
      </c>
      <c r="AH104" s="692">
        <f t="shared" si="46"/>
        <v>0</v>
      </c>
      <c r="AJ104" s="38">
        <f t="shared" si="52"/>
        <v>0</v>
      </c>
    </row>
    <row r="105" spans="1:36" s="232" customFormat="1">
      <c r="A105" s="283"/>
      <c r="B105" s="283" t="s">
        <v>110</v>
      </c>
      <c r="C105" s="667"/>
      <c r="D105" s="123" t="s">
        <v>386</v>
      </c>
      <c r="E105" s="679"/>
      <c r="F105" s="529">
        <f>VLOOKUP(D105,'Oct 2012 Revenue'!D:T,17,FALSE)</f>
        <v>0</v>
      </c>
      <c r="G105" s="680"/>
      <c r="H105" s="680"/>
      <c r="I105" s="770">
        <v>2258752.08</v>
      </c>
      <c r="J105" s="682">
        <f t="shared" si="47"/>
        <v>2258752.08</v>
      </c>
      <c r="K105" s="683"/>
      <c r="L105" s="684"/>
      <c r="M105" s="753"/>
      <c r="N105" s="683">
        <v>0</v>
      </c>
      <c r="O105" s="686"/>
      <c r="P105" s="683">
        <v>0</v>
      </c>
      <c r="Q105" s="687">
        <f t="shared" si="1"/>
        <v>0</v>
      </c>
      <c r="R105" s="688">
        <v>0</v>
      </c>
      <c r="S105" s="693"/>
      <c r="T105" s="690">
        <f t="shared" si="40"/>
        <v>0</v>
      </c>
      <c r="U105" s="683"/>
      <c r="V105" s="474">
        <f t="shared" si="48"/>
        <v>0</v>
      </c>
      <c r="W105" s="474">
        <f t="shared" si="49"/>
        <v>0</v>
      </c>
      <c r="X105" s="475">
        <f t="shared" si="50"/>
        <v>0</v>
      </c>
      <c r="Y105" s="475">
        <v>0</v>
      </c>
      <c r="Z105" s="476">
        <v>0</v>
      </c>
      <c r="AA105" s="38">
        <f t="shared" si="51"/>
        <v>0</v>
      </c>
      <c r="AB105" s="692">
        <f t="shared" si="41"/>
        <v>2258752.08</v>
      </c>
      <c r="AC105" s="692">
        <f t="shared" si="42"/>
        <v>0</v>
      </c>
      <c r="AD105" s="692">
        <f t="shared" si="43"/>
        <v>0</v>
      </c>
      <c r="AE105" s="38"/>
      <c r="AF105" s="692">
        <f t="shared" si="44"/>
        <v>0</v>
      </c>
      <c r="AG105" s="692">
        <f t="shared" si="45"/>
        <v>0</v>
      </c>
      <c r="AH105" s="692">
        <f t="shared" si="46"/>
        <v>0</v>
      </c>
      <c r="AJ105" s="38">
        <f t="shared" si="52"/>
        <v>2258752.08</v>
      </c>
    </row>
    <row r="106" spans="1:36" s="232" customFormat="1">
      <c r="A106" s="283"/>
      <c r="B106" s="283" t="s">
        <v>110</v>
      </c>
      <c r="C106" s="667"/>
      <c r="D106" s="123" t="s">
        <v>331</v>
      </c>
      <c r="E106" s="679"/>
      <c r="F106" s="529">
        <f>VLOOKUP(D106,'Oct 2012 Revenue'!D:T,17,FALSE)</f>
        <v>0</v>
      </c>
      <c r="G106" s="680"/>
      <c r="H106" s="680"/>
      <c r="I106" s="770">
        <v>17532.93</v>
      </c>
      <c r="J106" s="682">
        <f t="shared" si="47"/>
        <v>17532.93</v>
      </c>
      <c r="K106" s="683"/>
      <c r="L106" s="684"/>
      <c r="M106" s="753"/>
      <c r="N106" s="683">
        <v>0</v>
      </c>
      <c r="O106" s="686"/>
      <c r="P106" s="683">
        <v>0</v>
      </c>
      <c r="Q106" s="687">
        <f t="shared" si="1"/>
        <v>0</v>
      </c>
      <c r="R106" s="688">
        <v>0</v>
      </c>
      <c r="S106" s="693"/>
      <c r="T106" s="690">
        <f t="shared" si="40"/>
        <v>0</v>
      </c>
      <c r="U106" s="683"/>
      <c r="V106" s="474">
        <f t="shared" si="48"/>
        <v>0</v>
      </c>
      <c r="W106" s="474">
        <f t="shared" si="49"/>
        <v>0</v>
      </c>
      <c r="X106" s="475">
        <f t="shared" si="50"/>
        <v>0</v>
      </c>
      <c r="Y106" s="475">
        <v>0</v>
      </c>
      <c r="Z106" s="476">
        <v>0</v>
      </c>
      <c r="AA106" s="38">
        <f t="shared" si="51"/>
        <v>0</v>
      </c>
      <c r="AB106" s="692">
        <f t="shared" si="41"/>
        <v>17532.93</v>
      </c>
      <c r="AC106" s="692">
        <f t="shared" si="42"/>
        <v>0</v>
      </c>
      <c r="AD106" s="692">
        <f t="shared" si="43"/>
        <v>0</v>
      </c>
      <c r="AE106" s="38"/>
      <c r="AF106" s="692">
        <f t="shared" si="44"/>
        <v>0</v>
      </c>
      <c r="AG106" s="692">
        <f t="shared" si="45"/>
        <v>0</v>
      </c>
      <c r="AH106" s="692">
        <f t="shared" si="46"/>
        <v>0</v>
      </c>
      <c r="AJ106" s="38">
        <f t="shared" si="52"/>
        <v>17532.93</v>
      </c>
    </row>
    <row r="107" spans="1:36" s="232" customFormat="1">
      <c r="A107" s="283"/>
      <c r="B107" s="283" t="s">
        <v>110</v>
      </c>
      <c r="C107" s="667"/>
      <c r="D107" s="413" t="s">
        <v>332</v>
      </c>
      <c r="E107" s="679"/>
      <c r="F107" s="529">
        <f>VLOOKUP(D107,'Oct 2012 Revenue'!D:T,17,FALSE)</f>
        <v>0</v>
      </c>
      <c r="G107" s="680"/>
      <c r="H107" s="680"/>
      <c r="I107" s="770">
        <f>1141502.23+23239.76</f>
        <v>1164741.99</v>
      </c>
      <c r="J107" s="682">
        <f t="shared" si="47"/>
        <v>1164741.99</v>
      </c>
      <c r="K107" s="683"/>
      <c r="L107" s="684"/>
      <c r="M107" s="753"/>
      <c r="N107" s="683">
        <v>0</v>
      </c>
      <c r="O107" s="686"/>
      <c r="P107" s="683">
        <v>0</v>
      </c>
      <c r="Q107" s="687">
        <f t="shared" si="1"/>
        <v>0</v>
      </c>
      <c r="R107" s="688">
        <v>0</v>
      </c>
      <c r="S107" s="693"/>
      <c r="T107" s="690">
        <f t="shared" si="40"/>
        <v>0</v>
      </c>
      <c r="U107" s="683"/>
      <c r="V107" s="474">
        <f t="shared" si="48"/>
        <v>0</v>
      </c>
      <c r="W107" s="474">
        <f t="shared" si="49"/>
        <v>0</v>
      </c>
      <c r="X107" s="475">
        <f t="shared" si="50"/>
        <v>0</v>
      </c>
      <c r="Y107" s="475">
        <v>0</v>
      </c>
      <c r="Z107" s="476">
        <v>0</v>
      </c>
      <c r="AA107" s="38">
        <f t="shared" si="51"/>
        <v>0</v>
      </c>
      <c r="AB107" s="692">
        <f t="shared" si="41"/>
        <v>1164741.99</v>
      </c>
      <c r="AC107" s="692">
        <f t="shared" si="42"/>
        <v>0</v>
      </c>
      <c r="AD107" s="692">
        <f t="shared" si="43"/>
        <v>0</v>
      </c>
      <c r="AE107" s="38"/>
      <c r="AF107" s="692">
        <f t="shared" si="44"/>
        <v>0</v>
      </c>
      <c r="AG107" s="692">
        <f t="shared" si="45"/>
        <v>0</v>
      </c>
      <c r="AH107" s="692">
        <f t="shared" si="46"/>
        <v>0</v>
      </c>
      <c r="AJ107" s="38">
        <f t="shared" si="52"/>
        <v>1164741.99</v>
      </c>
    </row>
    <row r="108" spans="1:36" s="232" customFormat="1">
      <c r="A108" s="283"/>
      <c r="B108" s="283" t="s">
        <v>110</v>
      </c>
      <c r="C108" s="667"/>
      <c r="D108" s="123" t="s">
        <v>333</v>
      </c>
      <c r="E108" s="679"/>
      <c r="F108" s="529">
        <f>VLOOKUP(D108,'Oct 2012 Revenue'!D:T,17,FALSE)</f>
        <v>0</v>
      </c>
      <c r="G108" s="680"/>
      <c r="H108" s="680"/>
      <c r="I108" s="770">
        <v>763.4</v>
      </c>
      <c r="J108" s="682">
        <f t="shared" si="47"/>
        <v>763.4</v>
      </c>
      <c r="K108" s="683"/>
      <c r="L108" s="684"/>
      <c r="M108" s="753"/>
      <c r="N108" s="683">
        <v>0</v>
      </c>
      <c r="O108" s="686"/>
      <c r="P108" s="683">
        <v>0</v>
      </c>
      <c r="Q108" s="687">
        <f t="shared" si="1"/>
        <v>0</v>
      </c>
      <c r="R108" s="688">
        <v>0</v>
      </c>
      <c r="S108" s="693"/>
      <c r="T108" s="690">
        <f t="shared" si="40"/>
        <v>0</v>
      </c>
      <c r="U108" s="683"/>
      <c r="V108" s="474">
        <f t="shared" si="48"/>
        <v>0</v>
      </c>
      <c r="W108" s="474">
        <f t="shared" si="49"/>
        <v>0</v>
      </c>
      <c r="X108" s="475">
        <f t="shared" si="50"/>
        <v>0</v>
      </c>
      <c r="Y108" s="475">
        <v>0</v>
      </c>
      <c r="Z108" s="476">
        <v>0</v>
      </c>
      <c r="AA108" s="38">
        <f t="shared" si="51"/>
        <v>0</v>
      </c>
      <c r="AB108" s="692">
        <f t="shared" si="41"/>
        <v>763.4</v>
      </c>
      <c r="AC108" s="692">
        <f t="shared" si="42"/>
        <v>0</v>
      </c>
      <c r="AD108" s="692">
        <f t="shared" si="43"/>
        <v>0</v>
      </c>
      <c r="AE108" s="38"/>
      <c r="AF108" s="692">
        <f t="shared" si="44"/>
        <v>0</v>
      </c>
      <c r="AG108" s="692">
        <f t="shared" si="45"/>
        <v>0</v>
      </c>
      <c r="AH108" s="692">
        <f t="shared" si="46"/>
        <v>0</v>
      </c>
      <c r="AJ108" s="38">
        <f t="shared" si="52"/>
        <v>763.4</v>
      </c>
    </row>
    <row r="109" spans="1:36" s="232" customFormat="1">
      <c r="A109" s="283"/>
      <c r="B109" s="283" t="s">
        <v>110</v>
      </c>
      <c r="C109" s="667"/>
      <c r="D109" s="123" t="s">
        <v>334</v>
      </c>
      <c r="E109" s="679"/>
      <c r="F109" s="529">
        <f>VLOOKUP(D109,'Oct 2012 Revenue'!D:T,17,FALSE)</f>
        <v>0</v>
      </c>
      <c r="G109" s="680"/>
      <c r="H109" s="680"/>
      <c r="I109" s="770">
        <v>321924.44</v>
      </c>
      <c r="J109" s="682">
        <f t="shared" si="47"/>
        <v>321924.44</v>
      </c>
      <c r="K109" s="683"/>
      <c r="L109" s="684"/>
      <c r="M109" s="753"/>
      <c r="N109" s="683">
        <v>0</v>
      </c>
      <c r="O109" s="686"/>
      <c r="P109" s="683">
        <v>0</v>
      </c>
      <c r="Q109" s="687">
        <f t="shared" si="1"/>
        <v>0</v>
      </c>
      <c r="R109" s="688">
        <v>0</v>
      </c>
      <c r="S109" s="693"/>
      <c r="T109" s="690">
        <f t="shared" si="40"/>
        <v>0</v>
      </c>
      <c r="U109" s="683"/>
      <c r="V109" s="474">
        <f t="shared" si="48"/>
        <v>0</v>
      </c>
      <c r="W109" s="474">
        <f t="shared" si="49"/>
        <v>0</v>
      </c>
      <c r="X109" s="475">
        <f t="shared" si="50"/>
        <v>0</v>
      </c>
      <c r="Y109" s="475">
        <v>0</v>
      </c>
      <c r="Z109" s="476">
        <v>0</v>
      </c>
      <c r="AA109" s="38">
        <f t="shared" si="51"/>
        <v>0</v>
      </c>
      <c r="AB109" s="692">
        <f t="shared" si="41"/>
        <v>321924.44</v>
      </c>
      <c r="AC109" s="692">
        <f t="shared" si="42"/>
        <v>0</v>
      </c>
      <c r="AD109" s="692">
        <f t="shared" si="43"/>
        <v>0</v>
      </c>
      <c r="AE109" s="38"/>
      <c r="AF109" s="692">
        <f t="shared" si="44"/>
        <v>0</v>
      </c>
      <c r="AG109" s="692">
        <f t="shared" si="45"/>
        <v>0</v>
      </c>
      <c r="AH109" s="692">
        <f t="shared" si="46"/>
        <v>0</v>
      </c>
      <c r="AJ109" s="38">
        <f t="shared" si="52"/>
        <v>321924.44</v>
      </c>
    </row>
    <row r="110" spans="1:36" s="232" customFormat="1">
      <c r="A110" s="283"/>
      <c r="B110" s="283" t="s">
        <v>110</v>
      </c>
      <c r="C110" s="667"/>
      <c r="D110" s="123" t="s">
        <v>335</v>
      </c>
      <c r="E110" s="679"/>
      <c r="F110" s="529">
        <f>VLOOKUP(D110,'Oct 2012 Revenue'!D:T,17,FALSE)</f>
        <v>0</v>
      </c>
      <c r="G110" s="680"/>
      <c r="H110" s="680"/>
      <c r="I110" s="770">
        <v>532.37</v>
      </c>
      <c r="J110" s="682">
        <f t="shared" si="47"/>
        <v>532.37</v>
      </c>
      <c r="K110" s="683"/>
      <c r="L110" s="684"/>
      <c r="M110" s="753"/>
      <c r="N110" s="683">
        <v>0</v>
      </c>
      <c r="O110" s="686"/>
      <c r="P110" s="683">
        <v>0</v>
      </c>
      <c r="Q110" s="687">
        <f t="shared" si="1"/>
        <v>0</v>
      </c>
      <c r="R110" s="688">
        <v>0</v>
      </c>
      <c r="S110" s="693"/>
      <c r="T110" s="690">
        <f t="shared" si="40"/>
        <v>0</v>
      </c>
      <c r="U110" s="683"/>
      <c r="V110" s="474">
        <f t="shared" si="48"/>
        <v>0</v>
      </c>
      <c r="W110" s="474">
        <f t="shared" si="49"/>
        <v>0</v>
      </c>
      <c r="X110" s="475">
        <f t="shared" si="50"/>
        <v>0</v>
      </c>
      <c r="Y110" s="475">
        <v>0</v>
      </c>
      <c r="Z110" s="476">
        <v>0</v>
      </c>
      <c r="AA110" s="38">
        <f t="shared" si="51"/>
        <v>0</v>
      </c>
      <c r="AB110" s="692">
        <f t="shared" si="41"/>
        <v>532.37</v>
      </c>
      <c r="AC110" s="692">
        <f t="shared" si="42"/>
        <v>0</v>
      </c>
      <c r="AD110" s="692">
        <f t="shared" si="43"/>
        <v>0</v>
      </c>
      <c r="AE110" s="38"/>
      <c r="AF110" s="692">
        <f t="shared" si="44"/>
        <v>0</v>
      </c>
      <c r="AG110" s="692">
        <f t="shared" si="45"/>
        <v>0</v>
      </c>
      <c r="AH110" s="692">
        <f t="shared" si="46"/>
        <v>0</v>
      </c>
      <c r="AJ110" s="38">
        <f t="shared" si="52"/>
        <v>532.37</v>
      </c>
    </row>
    <row r="111" spans="1:36" s="232" customFormat="1">
      <c r="A111" s="283"/>
      <c r="B111" s="283" t="s">
        <v>110</v>
      </c>
      <c r="C111" s="667"/>
      <c r="D111" s="123" t="s">
        <v>336</v>
      </c>
      <c r="E111" s="679"/>
      <c r="F111" s="529">
        <f>VLOOKUP(D111,'Oct 2012 Revenue'!D:T,17,FALSE)</f>
        <v>0</v>
      </c>
      <c r="G111" s="680"/>
      <c r="H111" s="680"/>
      <c r="I111" s="770">
        <v>339519.81</v>
      </c>
      <c r="J111" s="682">
        <f t="shared" si="47"/>
        <v>339519.81</v>
      </c>
      <c r="K111" s="683"/>
      <c r="L111" s="684"/>
      <c r="M111" s="753"/>
      <c r="N111" s="683">
        <v>0</v>
      </c>
      <c r="O111" s="686"/>
      <c r="P111" s="683">
        <v>0</v>
      </c>
      <c r="Q111" s="687">
        <f t="shared" si="1"/>
        <v>0</v>
      </c>
      <c r="R111" s="688">
        <v>0</v>
      </c>
      <c r="S111" s="693"/>
      <c r="T111" s="690">
        <f t="shared" si="40"/>
        <v>0</v>
      </c>
      <c r="U111" s="683"/>
      <c r="V111" s="474">
        <f t="shared" si="48"/>
        <v>0</v>
      </c>
      <c r="W111" s="474">
        <f t="shared" si="49"/>
        <v>0</v>
      </c>
      <c r="X111" s="475">
        <f t="shared" si="50"/>
        <v>0</v>
      </c>
      <c r="Y111" s="475">
        <v>0</v>
      </c>
      <c r="Z111" s="476">
        <v>0</v>
      </c>
      <c r="AA111" s="38">
        <f t="shared" si="51"/>
        <v>0</v>
      </c>
      <c r="AB111" s="692">
        <f t="shared" si="41"/>
        <v>339519.81</v>
      </c>
      <c r="AC111" s="692">
        <f t="shared" si="42"/>
        <v>0</v>
      </c>
      <c r="AD111" s="692">
        <f t="shared" si="43"/>
        <v>0</v>
      </c>
      <c r="AE111" s="38"/>
      <c r="AF111" s="692">
        <f t="shared" si="44"/>
        <v>0</v>
      </c>
      <c r="AG111" s="692">
        <f t="shared" si="45"/>
        <v>0</v>
      </c>
      <c r="AH111" s="692">
        <f t="shared" si="46"/>
        <v>0</v>
      </c>
      <c r="AJ111" s="38">
        <f t="shared" si="52"/>
        <v>339519.81</v>
      </c>
    </row>
    <row r="112" spans="1:36" s="232" customFormat="1">
      <c r="A112" s="283"/>
      <c r="B112" s="283" t="s">
        <v>110</v>
      </c>
      <c r="C112" s="667"/>
      <c r="D112" s="123" t="s">
        <v>337</v>
      </c>
      <c r="E112" s="679"/>
      <c r="F112" s="529">
        <f>VLOOKUP(D112,'Oct 2012 Revenue'!D:T,17,FALSE)</f>
        <v>0</v>
      </c>
      <c r="G112" s="680"/>
      <c r="H112" s="680"/>
      <c r="I112" s="770">
        <v>534.22</v>
      </c>
      <c r="J112" s="682">
        <f t="shared" si="47"/>
        <v>534.22</v>
      </c>
      <c r="K112" s="683"/>
      <c r="L112" s="684"/>
      <c r="M112" s="753"/>
      <c r="N112" s="683">
        <v>0</v>
      </c>
      <c r="O112" s="686"/>
      <c r="P112" s="683">
        <v>0</v>
      </c>
      <c r="Q112" s="687">
        <f t="shared" si="1"/>
        <v>0</v>
      </c>
      <c r="R112" s="688">
        <v>0</v>
      </c>
      <c r="S112" s="693"/>
      <c r="T112" s="690">
        <f t="shared" si="40"/>
        <v>0</v>
      </c>
      <c r="U112" s="683"/>
      <c r="V112" s="474">
        <f t="shared" si="48"/>
        <v>0</v>
      </c>
      <c r="W112" s="474">
        <f t="shared" si="49"/>
        <v>0</v>
      </c>
      <c r="X112" s="475">
        <f t="shared" si="50"/>
        <v>0</v>
      </c>
      <c r="Y112" s="475">
        <v>0</v>
      </c>
      <c r="Z112" s="476">
        <v>0</v>
      </c>
      <c r="AA112" s="38">
        <f t="shared" si="51"/>
        <v>0</v>
      </c>
      <c r="AB112" s="692">
        <f t="shared" si="41"/>
        <v>534.22</v>
      </c>
      <c r="AC112" s="692">
        <f t="shared" si="42"/>
        <v>0</v>
      </c>
      <c r="AD112" s="692">
        <f t="shared" si="43"/>
        <v>0</v>
      </c>
      <c r="AE112" s="38"/>
      <c r="AF112" s="692">
        <f t="shared" si="44"/>
        <v>0</v>
      </c>
      <c r="AG112" s="692">
        <f t="shared" si="45"/>
        <v>0</v>
      </c>
      <c r="AH112" s="692">
        <f t="shared" si="46"/>
        <v>0</v>
      </c>
      <c r="AJ112" s="38">
        <f t="shared" si="52"/>
        <v>534.22</v>
      </c>
    </row>
    <row r="113" spans="1:36" s="232" customFormat="1">
      <c r="A113" s="283"/>
      <c r="B113" s="283" t="s">
        <v>110</v>
      </c>
      <c r="C113" s="667"/>
      <c r="D113" s="123" t="s">
        <v>338</v>
      </c>
      <c r="E113" s="679"/>
      <c r="F113" s="529">
        <f>VLOOKUP(D113,'Oct 2012 Revenue'!D:T,17,FALSE)</f>
        <v>0</v>
      </c>
      <c r="G113" s="680"/>
      <c r="H113" s="680"/>
      <c r="I113" s="770">
        <v>113125.85</v>
      </c>
      <c r="J113" s="682">
        <f t="shared" si="47"/>
        <v>113125.85</v>
      </c>
      <c r="K113" s="683"/>
      <c r="L113" s="684"/>
      <c r="M113" s="753"/>
      <c r="N113" s="683">
        <v>0</v>
      </c>
      <c r="O113" s="686"/>
      <c r="P113" s="683">
        <v>0</v>
      </c>
      <c r="Q113" s="687">
        <f t="shared" si="1"/>
        <v>0</v>
      </c>
      <c r="R113" s="688">
        <v>0</v>
      </c>
      <c r="S113" s="693"/>
      <c r="T113" s="690">
        <f t="shared" si="40"/>
        <v>0</v>
      </c>
      <c r="U113" s="683"/>
      <c r="V113" s="474">
        <f t="shared" si="48"/>
        <v>0</v>
      </c>
      <c r="W113" s="474">
        <f t="shared" si="49"/>
        <v>0</v>
      </c>
      <c r="X113" s="475">
        <f t="shared" si="50"/>
        <v>0</v>
      </c>
      <c r="Y113" s="475">
        <v>0</v>
      </c>
      <c r="Z113" s="476">
        <v>0</v>
      </c>
      <c r="AA113" s="38">
        <f t="shared" si="51"/>
        <v>0</v>
      </c>
      <c r="AB113" s="692">
        <f t="shared" si="41"/>
        <v>113125.85</v>
      </c>
      <c r="AC113" s="692">
        <f t="shared" si="42"/>
        <v>0</v>
      </c>
      <c r="AD113" s="692">
        <f t="shared" si="43"/>
        <v>0</v>
      </c>
      <c r="AE113" s="38"/>
      <c r="AF113" s="692">
        <f t="shared" si="44"/>
        <v>0</v>
      </c>
      <c r="AG113" s="692">
        <f t="shared" si="45"/>
        <v>0</v>
      </c>
      <c r="AH113" s="692">
        <f t="shared" si="46"/>
        <v>0</v>
      </c>
      <c r="AJ113" s="38">
        <f t="shared" si="52"/>
        <v>113125.85</v>
      </c>
    </row>
    <row r="114" spans="1:36" s="232" customFormat="1">
      <c r="A114" s="283"/>
      <c r="B114" s="283" t="s">
        <v>110</v>
      </c>
      <c r="C114" s="667"/>
      <c r="D114" s="123" t="s">
        <v>339</v>
      </c>
      <c r="E114" s="679"/>
      <c r="F114" s="529">
        <f>VLOOKUP(D114,'Oct 2012 Revenue'!D:T,17,FALSE)</f>
        <v>0</v>
      </c>
      <c r="G114" s="680"/>
      <c r="H114" s="680"/>
      <c r="I114" s="770">
        <v>87298.66</v>
      </c>
      <c r="J114" s="682">
        <f t="shared" si="47"/>
        <v>87298.66</v>
      </c>
      <c r="K114" s="683"/>
      <c r="L114" s="684"/>
      <c r="M114" s="753"/>
      <c r="N114" s="683">
        <v>0</v>
      </c>
      <c r="O114" s="686"/>
      <c r="P114" s="683">
        <v>0</v>
      </c>
      <c r="Q114" s="687">
        <f t="shared" si="1"/>
        <v>0</v>
      </c>
      <c r="R114" s="688">
        <v>0</v>
      </c>
      <c r="S114" s="693"/>
      <c r="T114" s="690">
        <f t="shared" si="40"/>
        <v>0</v>
      </c>
      <c r="U114" s="683"/>
      <c r="V114" s="474">
        <f t="shared" si="48"/>
        <v>0</v>
      </c>
      <c r="W114" s="474">
        <f t="shared" si="49"/>
        <v>0</v>
      </c>
      <c r="X114" s="475">
        <f t="shared" si="50"/>
        <v>0</v>
      </c>
      <c r="Y114" s="475">
        <v>0</v>
      </c>
      <c r="Z114" s="476">
        <v>0</v>
      </c>
      <c r="AA114" s="38">
        <f t="shared" si="51"/>
        <v>0</v>
      </c>
      <c r="AB114" s="692">
        <f t="shared" si="41"/>
        <v>87298.66</v>
      </c>
      <c r="AC114" s="692">
        <f t="shared" si="42"/>
        <v>0</v>
      </c>
      <c r="AD114" s="692">
        <f t="shared" si="43"/>
        <v>0</v>
      </c>
      <c r="AE114" s="38"/>
      <c r="AF114" s="692">
        <f t="shared" si="44"/>
        <v>0</v>
      </c>
      <c r="AG114" s="692">
        <f t="shared" si="45"/>
        <v>0</v>
      </c>
      <c r="AH114" s="692">
        <f t="shared" si="46"/>
        <v>0</v>
      </c>
      <c r="AJ114" s="38">
        <f t="shared" si="52"/>
        <v>87298.66</v>
      </c>
    </row>
    <row r="115" spans="1:36" s="232" customFormat="1">
      <c r="A115" s="283"/>
      <c r="B115" s="283" t="s">
        <v>110</v>
      </c>
      <c r="C115" s="667"/>
      <c r="D115" s="123" t="s">
        <v>340</v>
      </c>
      <c r="E115" s="679"/>
      <c r="F115" s="529">
        <f>VLOOKUP(D115,'Oct 2012 Revenue'!D:T,17,FALSE)</f>
        <v>0</v>
      </c>
      <c r="G115" s="680"/>
      <c r="H115" s="680"/>
      <c r="I115" s="770">
        <v>65.989999999999995</v>
      </c>
      <c r="J115" s="682">
        <f t="shared" si="47"/>
        <v>65.989999999999995</v>
      </c>
      <c r="K115" s="683"/>
      <c r="L115" s="684"/>
      <c r="M115" s="753"/>
      <c r="N115" s="683">
        <v>0</v>
      </c>
      <c r="O115" s="686"/>
      <c r="P115" s="683">
        <v>0</v>
      </c>
      <c r="Q115" s="687">
        <f t="shared" si="1"/>
        <v>0</v>
      </c>
      <c r="R115" s="688">
        <v>0</v>
      </c>
      <c r="S115" s="693"/>
      <c r="T115" s="690">
        <f t="shared" si="40"/>
        <v>0</v>
      </c>
      <c r="U115" s="683"/>
      <c r="V115" s="474">
        <f t="shared" si="48"/>
        <v>0</v>
      </c>
      <c r="W115" s="474">
        <f t="shared" si="49"/>
        <v>0</v>
      </c>
      <c r="X115" s="475">
        <f t="shared" si="50"/>
        <v>0</v>
      </c>
      <c r="Y115" s="475">
        <v>0</v>
      </c>
      <c r="Z115" s="476">
        <v>0</v>
      </c>
      <c r="AA115" s="38">
        <f t="shared" si="51"/>
        <v>0</v>
      </c>
      <c r="AB115" s="692">
        <f t="shared" si="41"/>
        <v>65.989999999999995</v>
      </c>
      <c r="AC115" s="692">
        <f t="shared" si="42"/>
        <v>0</v>
      </c>
      <c r="AD115" s="692">
        <f t="shared" si="43"/>
        <v>0</v>
      </c>
      <c r="AE115" s="38"/>
      <c r="AF115" s="692">
        <f t="shared" si="44"/>
        <v>0</v>
      </c>
      <c r="AG115" s="692">
        <f t="shared" si="45"/>
        <v>0</v>
      </c>
      <c r="AH115" s="692">
        <f t="shared" si="46"/>
        <v>0</v>
      </c>
      <c r="AJ115" s="38">
        <f t="shared" si="52"/>
        <v>65.989999999999995</v>
      </c>
    </row>
    <row r="116" spans="1:36" s="232" customFormat="1">
      <c r="A116" s="283"/>
      <c r="B116" s="283" t="s">
        <v>110</v>
      </c>
      <c r="C116" s="667"/>
      <c r="D116" s="123" t="s">
        <v>439</v>
      </c>
      <c r="E116" s="679"/>
      <c r="F116" s="529">
        <f>VLOOKUP(D116,'Oct 2012 Revenue'!D:T,17,FALSE)</f>
        <v>0</v>
      </c>
      <c r="G116" s="680"/>
      <c r="H116" s="680"/>
      <c r="I116" s="770">
        <v>2844.97</v>
      </c>
      <c r="J116" s="682">
        <f t="shared" si="47"/>
        <v>2844.97</v>
      </c>
      <c r="K116" s="683"/>
      <c r="L116" s="684"/>
      <c r="M116" s="753"/>
      <c r="N116" s="683">
        <v>0</v>
      </c>
      <c r="O116" s="686"/>
      <c r="P116" s="683">
        <v>0</v>
      </c>
      <c r="Q116" s="687">
        <f t="shared" si="1"/>
        <v>0</v>
      </c>
      <c r="R116" s="688">
        <v>0</v>
      </c>
      <c r="S116" s="693"/>
      <c r="T116" s="690">
        <f t="shared" si="40"/>
        <v>0</v>
      </c>
      <c r="U116" s="683"/>
      <c r="V116" s="474">
        <f t="shared" si="48"/>
        <v>0</v>
      </c>
      <c r="W116" s="474">
        <f t="shared" si="49"/>
        <v>0</v>
      </c>
      <c r="X116" s="475">
        <f t="shared" si="50"/>
        <v>0</v>
      </c>
      <c r="Y116" s="475">
        <v>0</v>
      </c>
      <c r="Z116" s="476">
        <v>0</v>
      </c>
      <c r="AA116" s="38">
        <f t="shared" si="51"/>
        <v>0</v>
      </c>
      <c r="AB116" s="692">
        <f t="shared" si="41"/>
        <v>2844.97</v>
      </c>
      <c r="AC116" s="692">
        <f t="shared" si="42"/>
        <v>0</v>
      </c>
      <c r="AD116" s="692">
        <f t="shared" si="43"/>
        <v>0</v>
      </c>
      <c r="AE116" s="38"/>
      <c r="AF116" s="692">
        <f t="shared" si="44"/>
        <v>0</v>
      </c>
      <c r="AG116" s="692">
        <f t="shared" si="45"/>
        <v>0</v>
      </c>
      <c r="AH116" s="692">
        <f t="shared" si="46"/>
        <v>0</v>
      </c>
      <c r="AJ116" s="38">
        <f t="shared" si="52"/>
        <v>2844.97</v>
      </c>
    </row>
    <row r="117" spans="1:36" s="232" customFormat="1">
      <c r="A117" s="283"/>
      <c r="B117" s="283" t="s">
        <v>110</v>
      </c>
      <c r="C117" s="667"/>
      <c r="D117" s="123" t="s">
        <v>592</v>
      </c>
      <c r="E117" s="679"/>
      <c r="F117" s="529">
        <f>VLOOKUP(D117,'Oct 2012 Revenue'!D:T,17,FALSE)</f>
        <v>0</v>
      </c>
      <c r="G117" s="680"/>
      <c r="H117" s="680"/>
      <c r="I117" s="770">
        <v>2978.77</v>
      </c>
      <c r="J117" s="682">
        <f t="shared" si="47"/>
        <v>2978.77</v>
      </c>
      <c r="K117" s="683"/>
      <c r="L117" s="684"/>
      <c r="M117" s="753"/>
      <c r="N117" s="683">
        <v>0</v>
      </c>
      <c r="O117" s="686"/>
      <c r="P117" s="683">
        <v>0</v>
      </c>
      <c r="Q117" s="687">
        <f t="shared" si="1"/>
        <v>0</v>
      </c>
      <c r="R117" s="688">
        <v>0</v>
      </c>
      <c r="S117" s="693"/>
      <c r="T117" s="690">
        <f t="shared" si="40"/>
        <v>0</v>
      </c>
      <c r="U117" s="683"/>
      <c r="V117" s="474">
        <f t="shared" si="48"/>
        <v>0</v>
      </c>
      <c r="W117" s="474">
        <f t="shared" si="49"/>
        <v>0</v>
      </c>
      <c r="X117" s="475">
        <f t="shared" si="50"/>
        <v>0</v>
      </c>
      <c r="Y117" s="475">
        <v>0</v>
      </c>
      <c r="Z117" s="476">
        <v>0</v>
      </c>
      <c r="AA117" s="38">
        <f t="shared" si="51"/>
        <v>0</v>
      </c>
      <c r="AB117" s="692">
        <f t="shared" si="41"/>
        <v>2978.77</v>
      </c>
      <c r="AC117" s="692">
        <f t="shared" si="42"/>
        <v>0</v>
      </c>
      <c r="AD117" s="692">
        <f t="shared" si="43"/>
        <v>0</v>
      </c>
      <c r="AE117" s="38"/>
      <c r="AF117" s="692">
        <f t="shared" si="44"/>
        <v>0</v>
      </c>
      <c r="AG117" s="692">
        <f t="shared" si="45"/>
        <v>0</v>
      </c>
      <c r="AH117" s="692">
        <f t="shared" si="46"/>
        <v>0</v>
      </c>
      <c r="AJ117" s="38">
        <f t="shared" si="52"/>
        <v>2978.77</v>
      </c>
    </row>
    <row r="118" spans="1:36" s="232" customFormat="1">
      <c r="A118" s="283"/>
      <c r="B118" s="283" t="s">
        <v>110</v>
      </c>
      <c r="C118" s="667"/>
      <c r="D118" s="123" t="s">
        <v>512</v>
      </c>
      <c r="E118" s="679"/>
      <c r="F118" s="529">
        <f>VLOOKUP(D118,'Oct 2012 Revenue'!D:T,17,FALSE)</f>
        <v>0</v>
      </c>
      <c r="G118" s="680"/>
      <c r="H118" s="680"/>
      <c r="I118" s="770">
        <f>20280.07+2700.51+1781.35+6988.28+418.49+101.97</f>
        <v>32270.670000000002</v>
      </c>
      <c r="J118" s="682">
        <f t="shared" si="47"/>
        <v>32270.670000000002</v>
      </c>
      <c r="K118" s="683"/>
      <c r="L118" s="684"/>
      <c r="M118" s="753"/>
      <c r="N118" s="683">
        <v>0</v>
      </c>
      <c r="O118" s="686"/>
      <c r="P118" s="683"/>
      <c r="Q118" s="687">
        <f t="shared" si="1"/>
        <v>0</v>
      </c>
      <c r="R118" s="688">
        <v>0</v>
      </c>
      <c r="S118" s="693"/>
      <c r="T118" s="690">
        <f t="shared" si="40"/>
        <v>0</v>
      </c>
      <c r="U118" s="683"/>
      <c r="V118" s="474">
        <f t="shared" si="48"/>
        <v>0</v>
      </c>
      <c r="W118" s="474">
        <f t="shared" si="49"/>
        <v>0</v>
      </c>
      <c r="X118" s="475">
        <f t="shared" si="50"/>
        <v>0</v>
      </c>
      <c r="Y118" s="475">
        <v>0</v>
      </c>
      <c r="Z118" s="476">
        <v>0</v>
      </c>
      <c r="AA118" s="38">
        <f t="shared" si="51"/>
        <v>0</v>
      </c>
      <c r="AB118" s="692">
        <f t="shared" si="41"/>
        <v>32270.670000000002</v>
      </c>
      <c r="AC118" s="692">
        <f t="shared" si="42"/>
        <v>0</v>
      </c>
      <c r="AD118" s="692">
        <f t="shared" si="43"/>
        <v>0</v>
      </c>
      <c r="AE118" s="38"/>
      <c r="AF118" s="692">
        <f t="shared" si="44"/>
        <v>0</v>
      </c>
      <c r="AG118" s="692">
        <f t="shared" si="45"/>
        <v>0</v>
      </c>
      <c r="AH118" s="692">
        <f t="shared" si="46"/>
        <v>0</v>
      </c>
      <c r="AJ118" s="38">
        <f t="shared" si="52"/>
        <v>32270.670000000002</v>
      </c>
    </row>
    <row r="119" spans="1:36" s="24" customFormat="1">
      <c r="A119" s="32"/>
      <c r="B119" s="32" t="s">
        <v>110</v>
      </c>
      <c r="C119" s="667"/>
      <c r="D119" s="68" t="s">
        <v>588</v>
      </c>
      <c r="E119" s="679"/>
      <c r="F119" s="529">
        <f>VLOOKUP(D119,'Oct 2012 Revenue'!D:T,17,FALSE)</f>
        <v>0</v>
      </c>
      <c r="G119" s="680"/>
      <c r="H119" s="680"/>
      <c r="I119" s="755"/>
      <c r="J119" s="682">
        <f t="shared" si="47"/>
        <v>0</v>
      </c>
      <c r="K119" s="683"/>
      <c r="L119" s="684"/>
      <c r="M119" s="753"/>
      <c r="N119" s="698"/>
      <c r="O119" s="699"/>
      <c r="P119" s="698"/>
      <c r="Q119" s="687">
        <f t="shared" si="1"/>
        <v>0</v>
      </c>
      <c r="R119" s="688">
        <v>0</v>
      </c>
      <c r="S119" s="693"/>
      <c r="T119" s="690">
        <f t="shared" si="40"/>
        <v>0</v>
      </c>
      <c r="U119" s="683"/>
      <c r="V119" s="474">
        <f t="shared" si="48"/>
        <v>0</v>
      </c>
      <c r="W119" s="474">
        <f t="shared" si="49"/>
        <v>0</v>
      </c>
      <c r="X119" s="475">
        <f t="shared" si="50"/>
        <v>0</v>
      </c>
      <c r="Y119" s="475">
        <v>0</v>
      </c>
      <c r="Z119" s="476">
        <v>0</v>
      </c>
      <c r="AA119" s="38">
        <f t="shared" si="51"/>
        <v>0</v>
      </c>
      <c r="AB119" s="692">
        <f t="shared" si="41"/>
        <v>0</v>
      </c>
      <c r="AC119" s="692">
        <f t="shared" si="42"/>
        <v>0</v>
      </c>
      <c r="AD119" s="692">
        <f t="shared" si="43"/>
        <v>0</v>
      </c>
      <c r="AE119" s="38"/>
      <c r="AF119" s="692">
        <f t="shared" si="44"/>
        <v>0</v>
      </c>
      <c r="AG119" s="692">
        <f t="shared" si="45"/>
        <v>0</v>
      </c>
      <c r="AH119" s="692">
        <f t="shared" si="46"/>
        <v>0</v>
      </c>
      <c r="AJ119" s="38">
        <f t="shared" si="52"/>
        <v>0</v>
      </c>
    </row>
    <row r="120" spans="1:36">
      <c r="A120" s="21"/>
      <c r="B120" s="21" t="s">
        <v>109</v>
      </c>
      <c r="C120" s="666" t="s">
        <v>548</v>
      </c>
      <c r="D120" s="68" t="s">
        <v>461</v>
      </c>
      <c r="E120" s="679"/>
      <c r="F120" s="529">
        <f>VLOOKUP(D120,'Oct 2012 Revenue'!D:T,17,FALSE)</f>
        <v>0</v>
      </c>
      <c r="G120" s="680"/>
      <c r="H120" s="680"/>
      <c r="I120" s="755"/>
      <c r="J120" s="682">
        <f t="shared" si="47"/>
        <v>0</v>
      </c>
      <c r="K120" s="683"/>
      <c r="L120" s="684"/>
      <c r="M120" s="753"/>
      <c r="N120" s="683">
        <v>0</v>
      </c>
      <c r="O120" s="686"/>
      <c r="P120" s="683">
        <v>0</v>
      </c>
      <c r="Q120" s="687">
        <f t="shared" si="1"/>
        <v>0</v>
      </c>
      <c r="R120" s="688">
        <v>3563.44</v>
      </c>
      <c r="S120" s="693"/>
      <c r="T120" s="690">
        <f t="shared" si="40"/>
        <v>3563.44</v>
      </c>
      <c r="U120" s="683"/>
      <c r="V120" s="474">
        <f t="shared" si="48"/>
        <v>0</v>
      </c>
      <c r="W120" s="474">
        <f t="shared" si="49"/>
        <v>0</v>
      </c>
      <c r="X120" s="475">
        <f t="shared" si="50"/>
        <v>0</v>
      </c>
      <c r="Y120" s="475">
        <v>0</v>
      </c>
      <c r="Z120" s="476">
        <v>0</v>
      </c>
      <c r="AA120" s="38">
        <f t="shared" si="51"/>
        <v>0</v>
      </c>
      <c r="AB120" s="692">
        <f t="shared" si="41"/>
        <v>0</v>
      </c>
      <c r="AC120" s="692">
        <f t="shared" si="42"/>
        <v>0</v>
      </c>
      <c r="AD120" s="692">
        <f t="shared" si="43"/>
        <v>0</v>
      </c>
      <c r="AE120" s="38"/>
      <c r="AF120" s="692">
        <f t="shared" si="44"/>
        <v>0</v>
      </c>
      <c r="AG120" s="692">
        <f t="shared" si="45"/>
        <v>0</v>
      </c>
      <c r="AH120" s="692">
        <f t="shared" si="46"/>
        <v>0</v>
      </c>
      <c r="AJ120" s="38">
        <f t="shared" si="52"/>
        <v>0</v>
      </c>
    </row>
    <row r="121" spans="1:36">
      <c r="A121" s="20"/>
      <c r="B121" s="20" t="s">
        <v>109</v>
      </c>
      <c r="C121" s="667" t="s">
        <v>549</v>
      </c>
      <c r="D121" s="68" t="s">
        <v>22</v>
      </c>
      <c r="E121" s="679"/>
      <c r="F121" s="529">
        <f>VLOOKUP(D121,'Oct 2012 Revenue'!D:T,17,FALSE)</f>
        <v>0</v>
      </c>
      <c r="G121" s="680"/>
      <c r="H121" s="680"/>
      <c r="I121" s="755"/>
      <c r="J121" s="682">
        <f t="shared" si="47"/>
        <v>0</v>
      </c>
      <c r="K121" s="683"/>
      <c r="L121" s="684"/>
      <c r="M121" s="753"/>
      <c r="N121" s="683">
        <v>0</v>
      </c>
      <c r="O121" s="686"/>
      <c r="P121" s="683">
        <v>0</v>
      </c>
      <c r="Q121" s="687">
        <f t="shared" si="1"/>
        <v>0</v>
      </c>
      <c r="R121" s="688">
        <v>0</v>
      </c>
      <c r="S121" s="693"/>
      <c r="T121" s="690">
        <f t="shared" si="40"/>
        <v>0</v>
      </c>
      <c r="U121" s="683"/>
      <c r="V121" s="474">
        <f t="shared" si="48"/>
        <v>0</v>
      </c>
      <c r="W121" s="474">
        <f t="shared" si="49"/>
        <v>0</v>
      </c>
      <c r="X121" s="475">
        <f t="shared" si="50"/>
        <v>0</v>
      </c>
      <c r="Y121" s="475">
        <v>0</v>
      </c>
      <c r="Z121" s="476">
        <v>0</v>
      </c>
      <c r="AA121" s="38">
        <f t="shared" si="51"/>
        <v>0</v>
      </c>
      <c r="AB121" s="692">
        <f t="shared" si="41"/>
        <v>0</v>
      </c>
      <c r="AC121" s="692">
        <f t="shared" si="42"/>
        <v>0</v>
      </c>
      <c r="AD121" s="692">
        <f t="shared" si="43"/>
        <v>0</v>
      </c>
      <c r="AE121" s="38"/>
      <c r="AF121" s="692">
        <f t="shared" si="44"/>
        <v>0</v>
      </c>
      <c r="AG121" s="692">
        <f t="shared" si="45"/>
        <v>0</v>
      </c>
      <c r="AH121" s="692">
        <f t="shared" si="46"/>
        <v>0</v>
      </c>
      <c r="AJ121" s="38">
        <f t="shared" si="52"/>
        <v>0</v>
      </c>
    </row>
    <row r="122" spans="1:36">
      <c r="A122" s="20"/>
      <c r="B122" s="20" t="s">
        <v>110</v>
      </c>
      <c r="C122" s="667"/>
      <c r="D122" s="68" t="s">
        <v>24</v>
      </c>
      <c r="E122" s="679">
        <v>3767.23</v>
      </c>
      <c r="F122" s="529">
        <f>VLOOKUP(D122,'Oct 2012 Revenue'!D:T,17,FALSE)</f>
        <v>3674.94</v>
      </c>
      <c r="G122" s="680"/>
      <c r="H122" s="680"/>
      <c r="I122" s="755"/>
      <c r="J122" s="682">
        <f t="shared" si="47"/>
        <v>7442.17</v>
      </c>
      <c r="K122" s="683"/>
      <c r="L122" s="684"/>
      <c r="M122" s="753"/>
      <c r="N122" s="683">
        <v>0</v>
      </c>
      <c r="O122" s="686"/>
      <c r="P122" s="683">
        <v>0</v>
      </c>
      <c r="Q122" s="687">
        <f t="shared" si="1"/>
        <v>0</v>
      </c>
      <c r="R122" s="688">
        <v>0</v>
      </c>
      <c r="S122" s="693"/>
      <c r="T122" s="690">
        <f t="shared" si="40"/>
        <v>0</v>
      </c>
      <c r="U122" s="683"/>
      <c r="V122" s="474">
        <f t="shared" si="48"/>
        <v>0</v>
      </c>
      <c r="W122" s="474">
        <f t="shared" si="49"/>
        <v>0</v>
      </c>
      <c r="X122" s="475">
        <f t="shared" si="50"/>
        <v>0</v>
      </c>
      <c r="Y122" s="475">
        <v>0</v>
      </c>
      <c r="Z122" s="476">
        <v>0</v>
      </c>
      <c r="AA122" s="38">
        <f t="shared" si="51"/>
        <v>0</v>
      </c>
      <c r="AB122" s="692">
        <f t="shared" si="41"/>
        <v>7442.17</v>
      </c>
      <c r="AC122" s="692">
        <f t="shared" si="42"/>
        <v>0</v>
      </c>
      <c r="AD122" s="692">
        <f t="shared" si="43"/>
        <v>0</v>
      </c>
      <c r="AE122" s="38"/>
      <c r="AF122" s="692">
        <f t="shared" si="44"/>
        <v>0</v>
      </c>
      <c r="AG122" s="692">
        <f t="shared" si="45"/>
        <v>0</v>
      </c>
      <c r="AH122" s="692">
        <f t="shared" si="46"/>
        <v>0</v>
      </c>
      <c r="AJ122" s="38">
        <f t="shared" si="52"/>
        <v>7442.17</v>
      </c>
    </row>
    <row r="123" spans="1:36">
      <c r="A123" s="21"/>
      <c r="B123" s="21" t="s">
        <v>110</v>
      </c>
      <c r="C123" s="666" t="s">
        <v>550</v>
      </c>
      <c r="D123" s="68" t="s">
        <v>282</v>
      </c>
      <c r="E123" s="679"/>
      <c r="F123" s="529">
        <f>VLOOKUP(D123,'Oct 2012 Revenue'!D:T,17,FALSE)</f>
        <v>804.72999999999956</v>
      </c>
      <c r="G123" s="680"/>
      <c r="H123" s="680"/>
      <c r="I123" s="755"/>
      <c r="J123" s="682">
        <f t="shared" si="47"/>
        <v>804.72999999999956</v>
      </c>
      <c r="K123" s="683"/>
      <c r="L123" s="684"/>
      <c r="M123" s="753">
        <v>25000</v>
      </c>
      <c r="N123" s="683">
        <v>0</v>
      </c>
      <c r="O123" s="686"/>
      <c r="P123" s="683">
        <v>0</v>
      </c>
      <c r="Q123" s="687">
        <f t="shared" si="1"/>
        <v>25000</v>
      </c>
      <c r="R123" s="688">
        <v>25240.06</v>
      </c>
      <c r="S123" s="693"/>
      <c r="T123" s="690">
        <f t="shared" si="40"/>
        <v>240.06000000000131</v>
      </c>
      <c r="U123" s="683"/>
      <c r="V123" s="474">
        <f t="shared" si="48"/>
        <v>25000</v>
      </c>
      <c r="W123" s="474">
        <f t="shared" si="49"/>
        <v>0</v>
      </c>
      <c r="X123" s="475">
        <f t="shared" si="50"/>
        <v>0</v>
      </c>
      <c r="Y123" s="475">
        <v>0</v>
      </c>
      <c r="Z123" s="476">
        <v>0</v>
      </c>
      <c r="AA123" s="38">
        <f t="shared" si="51"/>
        <v>0</v>
      </c>
      <c r="AB123" s="692">
        <f t="shared" si="41"/>
        <v>804.72999999999956</v>
      </c>
      <c r="AC123" s="692">
        <f t="shared" si="42"/>
        <v>0</v>
      </c>
      <c r="AD123" s="692">
        <f t="shared" si="43"/>
        <v>0</v>
      </c>
      <c r="AE123" s="38"/>
      <c r="AF123" s="692">
        <f t="shared" si="44"/>
        <v>25000</v>
      </c>
      <c r="AG123" s="692">
        <f t="shared" si="45"/>
        <v>0</v>
      </c>
      <c r="AH123" s="692">
        <f t="shared" si="46"/>
        <v>0</v>
      </c>
      <c r="AJ123" s="38">
        <f t="shared" si="52"/>
        <v>25804.73</v>
      </c>
    </row>
    <row r="124" spans="1:36">
      <c r="A124" s="21"/>
      <c r="B124" s="21" t="s">
        <v>109</v>
      </c>
      <c r="C124" s="666" t="s">
        <v>551</v>
      </c>
      <c r="D124" s="68" t="s">
        <v>499</v>
      </c>
      <c r="E124" s="679"/>
      <c r="F124" s="529">
        <f>VLOOKUP(D124,'Oct 2012 Revenue'!D:T,17,FALSE)</f>
        <v>0</v>
      </c>
      <c r="G124" s="680"/>
      <c r="H124" s="680"/>
      <c r="I124" s="755"/>
      <c r="J124" s="682">
        <f t="shared" si="47"/>
        <v>0</v>
      </c>
      <c r="K124" s="683"/>
      <c r="L124" s="684"/>
      <c r="M124" s="753"/>
      <c r="N124" s="683">
        <v>0</v>
      </c>
      <c r="O124" s="686"/>
      <c r="P124" s="683">
        <v>0</v>
      </c>
      <c r="Q124" s="687">
        <f t="shared" si="1"/>
        <v>0</v>
      </c>
      <c r="R124" s="688">
        <v>0</v>
      </c>
      <c r="S124" s="693"/>
      <c r="T124" s="690">
        <f t="shared" si="40"/>
        <v>0</v>
      </c>
      <c r="U124" s="683"/>
      <c r="V124" s="474">
        <f t="shared" si="48"/>
        <v>0</v>
      </c>
      <c r="W124" s="474">
        <f t="shared" si="49"/>
        <v>0</v>
      </c>
      <c r="X124" s="475">
        <f t="shared" si="50"/>
        <v>0</v>
      </c>
      <c r="Y124" s="475">
        <v>0</v>
      </c>
      <c r="Z124" s="476">
        <v>0</v>
      </c>
      <c r="AA124" s="38">
        <f t="shared" si="51"/>
        <v>0</v>
      </c>
      <c r="AB124" s="692">
        <f t="shared" si="41"/>
        <v>0</v>
      </c>
      <c r="AC124" s="692">
        <f t="shared" si="42"/>
        <v>0</v>
      </c>
      <c r="AD124" s="692">
        <f t="shared" si="43"/>
        <v>0</v>
      </c>
      <c r="AE124" s="38"/>
      <c r="AF124" s="692">
        <f t="shared" si="44"/>
        <v>0</v>
      </c>
      <c r="AG124" s="692">
        <f t="shared" si="45"/>
        <v>0</v>
      </c>
      <c r="AH124" s="692">
        <f t="shared" si="46"/>
        <v>0</v>
      </c>
      <c r="AJ124" s="38">
        <f t="shared" si="52"/>
        <v>0</v>
      </c>
    </row>
    <row r="125" spans="1:36">
      <c r="A125" s="21"/>
      <c r="B125" s="21" t="s">
        <v>110</v>
      </c>
      <c r="C125" s="666"/>
      <c r="D125" s="68" t="s">
        <v>28</v>
      </c>
      <c r="E125" s="679"/>
      <c r="F125" s="529">
        <f>VLOOKUP(D125,'Oct 2012 Revenue'!D:T,17,FALSE)</f>
        <v>0</v>
      </c>
      <c r="G125" s="680"/>
      <c r="H125" s="680"/>
      <c r="I125" s="770">
        <v>1362.2</v>
      </c>
      <c r="J125" s="682">
        <f t="shared" si="47"/>
        <v>1362.2</v>
      </c>
      <c r="K125" s="683"/>
      <c r="L125" s="684"/>
      <c r="M125" s="753"/>
      <c r="N125" s="683">
        <v>0</v>
      </c>
      <c r="O125" s="686"/>
      <c r="P125" s="683">
        <v>0</v>
      </c>
      <c r="Q125" s="687">
        <f t="shared" si="1"/>
        <v>0</v>
      </c>
      <c r="R125" s="688">
        <v>0</v>
      </c>
      <c r="S125" s="693"/>
      <c r="T125" s="690">
        <f t="shared" si="40"/>
        <v>0</v>
      </c>
      <c r="U125" s="683"/>
      <c r="V125" s="474">
        <f t="shared" si="48"/>
        <v>0</v>
      </c>
      <c r="W125" s="474">
        <f t="shared" si="49"/>
        <v>0</v>
      </c>
      <c r="X125" s="475">
        <f t="shared" si="50"/>
        <v>0</v>
      </c>
      <c r="Y125" s="475">
        <v>0</v>
      </c>
      <c r="Z125" s="476">
        <v>0</v>
      </c>
      <c r="AA125" s="38">
        <f t="shared" si="51"/>
        <v>0</v>
      </c>
      <c r="AB125" s="692">
        <f t="shared" si="41"/>
        <v>1362.2</v>
      </c>
      <c r="AC125" s="692">
        <f t="shared" si="42"/>
        <v>0</v>
      </c>
      <c r="AD125" s="692">
        <f t="shared" si="43"/>
        <v>0</v>
      </c>
      <c r="AE125" s="38"/>
      <c r="AF125" s="692">
        <f t="shared" si="44"/>
        <v>0</v>
      </c>
      <c r="AG125" s="692">
        <f t="shared" si="45"/>
        <v>0</v>
      </c>
      <c r="AH125" s="692">
        <f t="shared" si="46"/>
        <v>0</v>
      </c>
      <c r="AJ125" s="38">
        <f t="shared" si="52"/>
        <v>1362.2</v>
      </c>
    </row>
    <row r="126" spans="1:36">
      <c r="A126" s="21"/>
      <c r="B126" s="21" t="s">
        <v>114</v>
      </c>
      <c r="C126" s="666" t="s">
        <v>552</v>
      </c>
      <c r="D126" s="68" t="s">
        <v>513</v>
      </c>
      <c r="E126" s="679">
        <v>3325.3</v>
      </c>
      <c r="F126" s="529">
        <f>VLOOKUP(D126,'Oct 2012 Revenue'!D:T,17,FALSE)</f>
        <v>0</v>
      </c>
      <c r="G126" s="680"/>
      <c r="H126" s="680"/>
      <c r="I126" s="755"/>
      <c r="J126" s="682">
        <f t="shared" si="47"/>
        <v>3325.3</v>
      </c>
      <c r="K126" s="683"/>
      <c r="L126" s="684"/>
      <c r="M126" s="753"/>
      <c r="N126" s="683">
        <v>0</v>
      </c>
      <c r="O126" s="686"/>
      <c r="P126" s="683">
        <v>0</v>
      </c>
      <c r="Q126" s="687">
        <f>L126+M126</f>
        <v>0</v>
      </c>
      <c r="R126" s="688">
        <v>2416.8000000000002</v>
      </c>
      <c r="S126" s="693"/>
      <c r="T126" s="690">
        <f t="shared" si="40"/>
        <v>2416.8000000000002</v>
      </c>
      <c r="U126" s="683"/>
      <c r="V126" s="474">
        <f t="shared" si="48"/>
        <v>0</v>
      </c>
      <c r="W126" s="474">
        <f t="shared" si="49"/>
        <v>0</v>
      </c>
      <c r="X126" s="475">
        <f t="shared" si="50"/>
        <v>0</v>
      </c>
      <c r="Y126" s="475">
        <v>0</v>
      </c>
      <c r="Z126" s="476">
        <v>0</v>
      </c>
      <c r="AA126" s="38">
        <f t="shared" si="51"/>
        <v>0</v>
      </c>
      <c r="AB126" s="692">
        <f t="shared" si="41"/>
        <v>0</v>
      </c>
      <c r="AC126" s="692">
        <f t="shared" si="42"/>
        <v>0</v>
      </c>
      <c r="AD126" s="692">
        <f t="shared" si="43"/>
        <v>3325.3</v>
      </c>
      <c r="AE126" s="38"/>
      <c r="AF126" s="692">
        <f t="shared" si="44"/>
        <v>0</v>
      </c>
      <c r="AG126" s="692">
        <f t="shared" si="45"/>
        <v>0</v>
      </c>
      <c r="AH126" s="692">
        <f t="shared" si="46"/>
        <v>0</v>
      </c>
      <c r="AJ126" s="38">
        <f t="shared" si="52"/>
        <v>3325.3</v>
      </c>
    </row>
    <row r="127" spans="1:36">
      <c r="A127" s="21"/>
      <c r="B127" s="21" t="s">
        <v>109</v>
      </c>
      <c r="C127" s="666" t="s">
        <v>553</v>
      </c>
      <c r="D127" s="68" t="s">
        <v>308</v>
      </c>
      <c r="E127" s="679"/>
      <c r="F127" s="529">
        <f>VLOOKUP(D127,'Oct 2012 Revenue'!D:T,17,FALSE)</f>
        <v>0</v>
      </c>
      <c r="G127" s="680"/>
      <c r="H127" s="680"/>
      <c r="I127" s="755"/>
      <c r="J127" s="682">
        <f t="shared" si="47"/>
        <v>0</v>
      </c>
      <c r="K127" s="683"/>
      <c r="L127" s="684"/>
      <c r="M127" s="753"/>
      <c r="N127" s="683">
        <v>0</v>
      </c>
      <c r="O127" s="686"/>
      <c r="P127" s="683">
        <v>0</v>
      </c>
      <c r="Q127" s="687">
        <f t="shared" si="1"/>
        <v>0</v>
      </c>
      <c r="R127" s="688">
        <v>0</v>
      </c>
      <c r="S127" s="693"/>
      <c r="T127" s="690">
        <f t="shared" si="40"/>
        <v>0</v>
      </c>
      <c r="U127" s="683"/>
      <c r="V127" s="474">
        <f t="shared" si="48"/>
        <v>0</v>
      </c>
      <c r="W127" s="474">
        <f t="shared" si="49"/>
        <v>0</v>
      </c>
      <c r="X127" s="475">
        <f t="shared" si="50"/>
        <v>0</v>
      </c>
      <c r="Y127" s="475">
        <v>0</v>
      </c>
      <c r="Z127" s="476">
        <v>0</v>
      </c>
      <c r="AA127" s="38">
        <f t="shared" si="51"/>
        <v>0</v>
      </c>
      <c r="AB127" s="692">
        <f t="shared" si="41"/>
        <v>0</v>
      </c>
      <c r="AC127" s="692">
        <f t="shared" si="42"/>
        <v>0</v>
      </c>
      <c r="AD127" s="692">
        <f t="shared" si="43"/>
        <v>0</v>
      </c>
      <c r="AE127" s="38"/>
      <c r="AF127" s="692">
        <f t="shared" si="44"/>
        <v>0</v>
      </c>
      <c r="AG127" s="692">
        <f t="shared" si="45"/>
        <v>0</v>
      </c>
      <c r="AH127" s="692">
        <f t="shared" si="46"/>
        <v>0</v>
      </c>
      <c r="AJ127" s="38">
        <f t="shared" si="52"/>
        <v>0</v>
      </c>
    </row>
    <row r="128" spans="1:36" s="232" customFormat="1">
      <c r="A128" s="283" t="s">
        <v>211</v>
      </c>
      <c r="B128" s="283" t="s">
        <v>109</v>
      </c>
      <c r="C128" s="667" t="s">
        <v>554</v>
      </c>
      <c r="D128" s="123" t="s">
        <v>389</v>
      </c>
      <c r="E128" s="679"/>
      <c r="F128" s="529">
        <f>VLOOKUP(D128,'Oct 2012 Revenue'!D:T,17,FALSE)</f>
        <v>0</v>
      </c>
      <c r="G128" s="680"/>
      <c r="H128" s="680"/>
      <c r="I128" s="755"/>
      <c r="J128" s="682">
        <f t="shared" si="47"/>
        <v>0</v>
      </c>
      <c r="K128" s="683"/>
      <c r="L128" s="684"/>
      <c r="M128" s="753"/>
      <c r="N128" s="683">
        <v>0</v>
      </c>
      <c r="O128" s="686"/>
      <c r="P128" s="683">
        <v>0</v>
      </c>
      <c r="Q128" s="687">
        <f t="shared" si="1"/>
        <v>0</v>
      </c>
      <c r="R128" s="688">
        <v>0</v>
      </c>
      <c r="S128" s="693"/>
      <c r="T128" s="690">
        <f t="shared" si="40"/>
        <v>0</v>
      </c>
      <c r="U128" s="683"/>
      <c r="V128" s="474">
        <f t="shared" si="48"/>
        <v>0</v>
      </c>
      <c r="W128" s="474">
        <f t="shared" si="49"/>
        <v>0</v>
      </c>
      <c r="X128" s="475">
        <f t="shared" si="50"/>
        <v>0</v>
      </c>
      <c r="Y128" s="475">
        <v>0</v>
      </c>
      <c r="Z128" s="476">
        <v>0</v>
      </c>
      <c r="AA128" s="38">
        <f t="shared" si="51"/>
        <v>0</v>
      </c>
      <c r="AB128" s="692">
        <f t="shared" si="41"/>
        <v>0</v>
      </c>
      <c r="AC128" s="692">
        <f t="shared" si="42"/>
        <v>0</v>
      </c>
      <c r="AD128" s="692">
        <f t="shared" si="43"/>
        <v>0</v>
      </c>
      <c r="AE128" s="38"/>
      <c r="AF128" s="692">
        <f t="shared" si="44"/>
        <v>0</v>
      </c>
      <c r="AG128" s="692">
        <f t="shared" si="45"/>
        <v>0</v>
      </c>
      <c r="AH128" s="692">
        <f t="shared" si="46"/>
        <v>0</v>
      </c>
      <c r="AJ128" s="38">
        <f t="shared" si="52"/>
        <v>0</v>
      </c>
    </row>
    <row r="129" spans="1:36" s="232" customFormat="1">
      <c r="A129" s="283"/>
      <c r="B129" s="283" t="s">
        <v>109</v>
      </c>
      <c r="C129" s="667"/>
      <c r="D129" s="123" t="s">
        <v>807</v>
      </c>
      <c r="E129" s="679"/>
      <c r="F129" s="529">
        <f>VLOOKUP(D129,'Oct 2012 Revenue'!D:T,17,FALSE)</f>
        <v>324.27000000000044</v>
      </c>
      <c r="G129" s="680"/>
      <c r="H129" s="680"/>
      <c r="I129" s="755"/>
      <c r="J129" s="682">
        <f t="shared" si="47"/>
        <v>324.27000000000044</v>
      </c>
      <c r="K129" s="683"/>
      <c r="L129" s="684"/>
      <c r="M129" s="753">
        <v>12000</v>
      </c>
      <c r="N129" s="683">
        <v>0</v>
      </c>
      <c r="O129" s="686"/>
      <c r="P129" s="683">
        <v>0</v>
      </c>
      <c r="Q129" s="687">
        <f t="shared" si="1"/>
        <v>12000</v>
      </c>
      <c r="R129" s="688">
        <f>1186.27+12331.09</f>
        <v>13517.36</v>
      </c>
      <c r="S129" s="693"/>
      <c r="T129" s="690">
        <f t="shared" si="40"/>
        <v>1517.3600000000006</v>
      </c>
      <c r="U129" s="683"/>
      <c r="V129" s="474">
        <f t="shared" si="48"/>
        <v>0</v>
      </c>
      <c r="W129" s="474">
        <f t="shared" si="49"/>
        <v>12000</v>
      </c>
      <c r="X129" s="475">
        <f t="shared" si="50"/>
        <v>0</v>
      </c>
      <c r="Y129" s="475">
        <v>0</v>
      </c>
      <c r="Z129" s="476">
        <v>0</v>
      </c>
      <c r="AA129" s="38">
        <f t="shared" si="51"/>
        <v>0</v>
      </c>
      <c r="AB129" s="692">
        <f t="shared" si="41"/>
        <v>0</v>
      </c>
      <c r="AC129" s="692">
        <f t="shared" si="42"/>
        <v>324.27000000000044</v>
      </c>
      <c r="AD129" s="692">
        <f t="shared" si="43"/>
        <v>0</v>
      </c>
      <c r="AE129" s="38"/>
      <c r="AF129" s="692">
        <f t="shared" si="44"/>
        <v>0</v>
      </c>
      <c r="AG129" s="692">
        <f t="shared" si="45"/>
        <v>12000</v>
      </c>
      <c r="AH129" s="692">
        <f t="shared" si="46"/>
        <v>0</v>
      </c>
      <c r="AJ129" s="38">
        <f t="shared" si="52"/>
        <v>12324.27</v>
      </c>
    </row>
    <row r="130" spans="1:36" s="232" customFormat="1">
      <c r="A130" s="283"/>
      <c r="B130" s="283" t="s">
        <v>110</v>
      </c>
      <c r="C130" s="667"/>
      <c r="D130" s="123" t="s">
        <v>808</v>
      </c>
      <c r="E130" s="679"/>
      <c r="F130" s="529">
        <f>VLOOKUP(D130,'Oct 2012 Revenue'!D:T,17,FALSE)</f>
        <v>1897.13</v>
      </c>
      <c r="G130" s="680"/>
      <c r="H130" s="680"/>
      <c r="I130" s="755"/>
      <c r="J130" s="682">
        <f t="shared" si="47"/>
        <v>1897.13</v>
      </c>
      <c r="K130" s="683"/>
      <c r="L130" s="684"/>
      <c r="M130" s="753"/>
      <c r="N130" s="683">
        <v>0</v>
      </c>
      <c r="O130" s="686"/>
      <c r="P130" s="683">
        <v>0</v>
      </c>
      <c r="Q130" s="687">
        <f t="shared" si="1"/>
        <v>0</v>
      </c>
      <c r="R130" s="688">
        <v>1609.26</v>
      </c>
      <c r="S130" s="693"/>
      <c r="T130" s="690">
        <f t="shared" si="40"/>
        <v>1609.26</v>
      </c>
      <c r="U130" s="683"/>
      <c r="V130" s="474">
        <f t="shared" si="48"/>
        <v>0</v>
      </c>
      <c r="W130" s="474">
        <f t="shared" si="49"/>
        <v>0</v>
      </c>
      <c r="X130" s="475">
        <f t="shared" si="50"/>
        <v>0</v>
      </c>
      <c r="Y130" s="475">
        <v>0</v>
      </c>
      <c r="Z130" s="476">
        <v>0</v>
      </c>
      <c r="AA130" s="38">
        <f t="shared" si="51"/>
        <v>0</v>
      </c>
      <c r="AB130" s="692">
        <f t="shared" si="41"/>
        <v>1897.13</v>
      </c>
      <c r="AC130" s="692">
        <f t="shared" si="42"/>
        <v>0</v>
      </c>
      <c r="AD130" s="692">
        <f t="shared" si="43"/>
        <v>0</v>
      </c>
      <c r="AE130" s="38"/>
      <c r="AF130" s="692">
        <f t="shared" si="44"/>
        <v>0</v>
      </c>
      <c r="AG130" s="692">
        <f t="shared" si="45"/>
        <v>0</v>
      </c>
      <c r="AH130" s="692">
        <f t="shared" si="46"/>
        <v>0</v>
      </c>
      <c r="AJ130" s="38">
        <f t="shared" si="52"/>
        <v>1897.13</v>
      </c>
    </row>
    <row r="131" spans="1:36" s="232" customFormat="1">
      <c r="A131" s="403"/>
      <c r="B131" s="403" t="s">
        <v>110</v>
      </c>
      <c r="C131" s="666" t="s">
        <v>563</v>
      </c>
      <c r="D131" s="123" t="s">
        <v>867</v>
      </c>
      <c r="E131" s="679"/>
      <c r="F131" s="529">
        <f>VLOOKUP(D131,'Oct 2012 Revenue'!D:T,17,FALSE)</f>
        <v>0</v>
      </c>
      <c r="G131" s="680"/>
      <c r="H131" s="680"/>
      <c r="I131" s="755"/>
      <c r="J131" s="682">
        <f t="shared" si="47"/>
        <v>0</v>
      </c>
      <c r="K131" s="683"/>
      <c r="L131" s="684"/>
      <c r="M131" s="753"/>
      <c r="N131" s="683">
        <v>0</v>
      </c>
      <c r="O131" s="686"/>
      <c r="P131" s="683">
        <v>0</v>
      </c>
      <c r="Q131" s="687">
        <f t="shared" si="1"/>
        <v>0</v>
      </c>
      <c r="R131" s="688">
        <v>0</v>
      </c>
      <c r="S131" s="693"/>
      <c r="T131" s="690">
        <f t="shared" si="40"/>
        <v>0</v>
      </c>
      <c r="U131" s="683"/>
      <c r="V131" s="474">
        <f t="shared" si="48"/>
        <v>0</v>
      </c>
      <c r="W131" s="474">
        <f t="shared" si="49"/>
        <v>0</v>
      </c>
      <c r="X131" s="475">
        <f t="shared" si="50"/>
        <v>0</v>
      </c>
      <c r="Y131" s="475">
        <v>0</v>
      </c>
      <c r="Z131" s="476">
        <v>0</v>
      </c>
      <c r="AA131" s="38">
        <f t="shared" si="51"/>
        <v>0</v>
      </c>
      <c r="AB131" s="692">
        <f t="shared" si="41"/>
        <v>0</v>
      </c>
      <c r="AC131" s="692">
        <f t="shared" si="42"/>
        <v>0</v>
      </c>
      <c r="AD131" s="692">
        <f t="shared" si="43"/>
        <v>0</v>
      </c>
      <c r="AE131" s="38"/>
      <c r="AF131" s="692">
        <f t="shared" si="44"/>
        <v>0</v>
      </c>
      <c r="AG131" s="692">
        <f t="shared" si="45"/>
        <v>0</v>
      </c>
      <c r="AH131" s="692">
        <f t="shared" si="46"/>
        <v>0</v>
      </c>
      <c r="AJ131" s="38">
        <f t="shared" si="52"/>
        <v>0</v>
      </c>
    </row>
    <row r="132" spans="1:36" s="232" customFormat="1">
      <c r="A132" s="283"/>
      <c r="B132" s="283" t="s">
        <v>110</v>
      </c>
      <c r="C132" s="667"/>
      <c r="D132" s="68" t="s">
        <v>488</v>
      </c>
      <c r="E132" s="679"/>
      <c r="F132" s="529">
        <f>VLOOKUP(D132,'Oct 2012 Revenue'!D:T,17,FALSE)</f>
        <v>0</v>
      </c>
      <c r="G132" s="680"/>
      <c r="H132" s="680"/>
      <c r="I132" s="755"/>
      <c r="J132" s="682">
        <f t="shared" si="47"/>
        <v>0</v>
      </c>
      <c r="K132" s="683"/>
      <c r="L132" s="684"/>
      <c r="M132" s="753"/>
      <c r="N132" s="683">
        <v>0</v>
      </c>
      <c r="O132" s="686"/>
      <c r="P132" s="683">
        <v>0</v>
      </c>
      <c r="Q132" s="687">
        <f t="shared" si="1"/>
        <v>0</v>
      </c>
      <c r="R132" s="688">
        <v>0</v>
      </c>
      <c r="S132" s="693"/>
      <c r="T132" s="690">
        <f t="shared" ref="T132:T148" si="53">IF(R132="","",R132-Q132)</f>
        <v>0</v>
      </c>
      <c r="U132" s="683"/>
      <c r="V132" s="474">
        <f t="shared" si="48"/>
        <v>0</v>
      </c>
      <c r="W132" s="474">
        <f t="shared" si="49"/>
        <v>0</v>
      </c>
      <c r="X132" s="475">
        <f t="shared" si="50"/>
        <v>0</v>
      </c>
      <c r="Y132" s="475">
        <v>0</v>
      </c>
      <c r="Z132" s="476">
        <v>0</v>
      </c>
      <c r="AA132" s="38">
        <f t="shared" si="51"/>
        <v>0</v>
      </c>
      <c r="AB132" s="692">
        <f t="shared" si="41"/>
        <v>0</v>
      </c>
      <c r="AC132" s="692">
        <f t="shared" si="42"/>
        <v>0</v>
      </c>
      <c r="AD132" s="692">
        <f t="shared" si="43"/>
        <v>0</v>
      </c>
      <c r="AE132" s="38"/>
      <c r="AF132" s="692">
        <f t="shared" si="44"/>
        <v>0</v>
      </c>
      <c r="AG132" s="692">
        <f t="shared" si="45"/>
        <v>0</v>
      </c>
      <c r="AH132" s="692">
        <f t="shared" si="46"/>
        <v>0</v>
      </c>
      <c r="AJ132" s="38">
        <f t="shared" si="52"/>
        <v>0</v>
      </c>
    </row>
    <row r="133" spans="1:36" s="232" customFormat="1">
      <c r="A133" s="283"/>
      <c r="B133" s="283" t="s">
        <v>110</v>
      </c>
      <c r="C133" s="667" t="s">
        <v>555</v>
      </c>
      <c r="D133" s="123" t="s">
        <v>192</v>
      </c>
      <c r="E133" s="679"/>
      <c r="F133" s="529">
        <f>VLOOKUP(D133,'Oct 2012 Revenue'!D:T,17,FALSE)</f>
        <v>0</v>
      </c>
      <c r="G133" s="680"/>
      <c r="H133" s="680"/>
      <c r="I133" s="770">
        <v>5927.99</v>
      </c>
      <c r="J133" s="682">
        <f t="shared" si="47"/>
        <v>5927.99</v>
      </c>
      <c r="K133" s="683"/>
      <c r="L133" s="684"/>
      <c r="M133" s="753"/>
      <c r="N133" s="683">
        <v>0</v>
      </c>
      <c r="O133" s="686"/>
      <c r="P133" s="683">
        <v>0</v>
      </c>
      <c r="Q133" s="687">
        <f t="shared" si="1"/>
        <v>0</v>
      </c>
      <c r="R133" s="688">
        <v>0</v>
      </c>
      <c r="S133" s="693"/>
      <c r="T133" s="690">
        <f t="shared" si="53"/>
        <v>0</v>
      </c>
      <c r="U133" s="683"/>
      <c r="V133" s="474">
        <f t="shared" si="48"/>
        <v>0</v>
      </c>
      <c r="W133" s="474">
        <f t="shared" si="49"/>
        <v>0</v>
      </c>
      <c r="X133" s="475">
        <f t="shared" si="50"/>
        <v>0</v>
      </c>
      <c r="Y133" s="475">
        <v>0</v>
      </c>
      <c r="Z133" s="476">
        <v>0</v>
      </c>
      <c r="AA133" s="38">
        <f t="shared" si="51"/>
        <v>0</v>
      </c>
      <c r="AB133" s="692">
        <f t="shared" si="41"/>
        <v>5927.99</v>
      </c>
      <c r="AC133" s="692">
        <f t="shared" si="42"/>
        <v>0</v>
      </c>
      <c r="AD133" s="692">
        <f t="shared" si="43"/>
        <v>0</v>
      </c>
      <c r="AE133" s="38"/>
      <c r="AF133" s="692">
        <f t="shared" si="44"/>
        <v>0</v>
      </c>
      <c r="AG133" s="692">
        <f t="shared" si="45"/>
        <v>0</v>
      </c>
      <c r="AH133" s="692">
        <f t="shared" si="46"/>
        <v>0</v>
      </c>
      <c r="AJ133" s="38">
        <f t="shared" si="52"/>
        <v>5927.99</v>
      </c>
    </row>
    <row r="134" spans="1:36" s="232" customFormat="1" hidden="1">
      <c r="A134" s="283"/>
      <c r="B134" s="283" t="s">
        <v>110</v>
      </c>
      <c r="C134" s="667" t="s">
        <v>555</v>
      </c>
      <c r="D134" s="123" t="s">
        <v>193</v>
      </c>
      <c r="E134" s="679"/>
      <c r="F134" s="529">
        <f>VLOOKUP(D134,'Oct 2012 Revenue'!D:T,17,FALSE)</f>
        <v>0</v>
      </c>
      <c r="G134" s="680"/>
      <c r="H134" s="680"/>
      <c r="I134" s="755"/>
      <c r="J134" s="682">
        <f t="shared" si="47"/>
        <v>0</v>
      </c>
      <c r="K134" s="683"/>
      <c r="L134" s="684"/>
      <c r="M134" s="753"/>
      <c r="N134" s="683">
        <v>0</v>
      </c>
      <c r="O134" s="686"/>
      <c r="P134" s="683">
        <v>0</v>
      </c>
      <c r="Q134" s="687">
        <f t="shared" si="1"/>
        <v>0</v>
      </c>
      <c r="R134" s="688">
        <v>0</v>
      </c>
      <c r="S134" s="693"/>
      <c r="T134" s="690">
        <f t="shared" si="53"/>
        <v>0</v>
      </c>
      <c r="U134" s="683"/>
      <c r="V134" s="474">
        <f t="shared" si="48"/>
        <v>0</v>
      </c>
      <c r="W134" s="474">
        <f t="shared" si="49"/>
        <v>0</v>
      </c>
      <c r="X134" s="475">
        <f t="shared" si="50"/>
        <v>0</v>
      </c>
      <c r="Y134" s="475">
        <v>0</v>
      </c>
      <c r="Z134" s="476">
        <v>0</v>
      </c>
      <c r="AA134" s="38">
        <f t="shared" si="51"/>
        <v>0</v>
      </c>
      <c r="AB134" s="692">
        <f t="shared" si="41"/>
        <v>0</v>
      </c>
      <c r="AC134" s="692">
        <f t="shared" si="42"/>
        <v>0</v>
      </c>
      <c r="AD134" s="692">
        <f t="shared" si="43"/>
        <v>0</v>
      </c>
      <c r="AE134" s="38"/>
      <c r="AF134" s="692">
        <f t="shared" si="44"/>
        <v>0</v>
      </c>
      <c r="AG134" s="692">
        <f t="shared" si="45"/>
        <v>0</v>
      </c>
      <c r="AH134" s="692">
        <f t="shared" si="46"/>
        <v>0</v>
      </c>
      <c r="AJ134" s="38">
        <f t="shared" si="52"/>
        <v>0</v>
      </c>
    </row>
    <row r="135" spans="1:36" s="232" customFormat="1" hidden="1">
      <c r="A135" s="283"/>
      <c r="B135" s="283" t="s">
        <v>110</v>
      </c>
      <c r="C135" s="667" t="s">
        <v>555</v>
      </c>
      <c r="D135" s="123" t="s">
        <v>194</v>
      </c>
      <c r="E135" s="679"/>
      <c r="F135" s="529">
        <f>VLOOKUP(D135,'Oct 2012 Revenue'!D:T,17,FALSE)</f>
        <v>0</v>
      </c>
      <c r="G135" s="680"/>
      <c r="H135" s="680"/>
      <c r="I135" s="755"/>
      <c r="J135" s="682">
        <f t="shared" si="47"/>
        <v>0</v>
      </c>
      <c r="K135" s="683"/>
      <c r="L135" s="684"/>
      <c r="M135" s="753"/>
      <c r="N135" s="683">
        <v>0</v>
      </c>
      <c r="O135" s="686"/>
      <c r="P135" s="683">
        <v>0</v>
      </c>
      <c r="Q135" s="687">
        <f t="shared" si="1"/>
        <v>0</v>
      </c>
      <c r="R135" s="688">
        <v>0</v>
      </c>
      <c r="S135" s="693"/>
      <c r="T135" s="690">
        <f t="shared" si="53"/>
        <v>0</v>
      </c>
      <c r="U135" s="683"/>
      <c r="V135" s="474">
        <f t="shared" si="48"/>
        <v>0</v>
      </c>
      <c r="W135" s="474">
        <f t="shared" si="49"/>
        <v>0</v>
      </c>
      <c r="X135" s="475">
        <f t="shared" si="50"/>
        <v>0</v>
      </c>
      <c r="Y135" s="475">
        <v>0</v>
      </c>
      <c r="Z135" s="476">
        <v>0</v>
      </c>
      <c r="AA135" s="38">
        <f t="shared" si="51"/>
        <v>0</v>
      </c>
      <c r="AB135" s="692">
        <f t="shared" si="41"/>
        <v>0</v>
      </c>
      <c r="AC135" s="692">
        <f t="shared" si="42"/>
        <v>0</v>
      </c>
      <c r="AD135" s="692">
        <f t="shared" si="43"/>
        <v>0</v>
      </c>
      <c r="AE135" s="38"/>
      <c r="AF135" s="692">
        <f t="shared" si="44"/>
        <v>0</v>
      </c>
      <c r="AG135" s="692">
        <f t="shared" si="45"/>
        <v>0</v>
      </c>
      <c r="AH135" s="692">
        <f t="shared" si="46"/>
        <v>0</v>
      </c>
      <c r="AJ135" s="38">
        <f t="shared" si="52"/>
        <v>0</v>
      </c>
    </row>
    <row r="136" spans="1:36" s="232" customFormat="1" hidden="1">
      <c r="A136" s="283"/>
      <c r="B136" s="283" t="s">
        <v>110</v>
      </c>
      <c r="C136" s="667" t="s">
        <v>555</v>
      </c>
      <c r="D136" s="123" t="s">
        <v>195</v>
      </c>
      <c r="E136" s="679"/>
      <c r="F136" s="529">
        <f>VLOOKUP(D136,'Oct 2012 Revenue'!D:T,17,FALSE)</f>
        <v>0</v>
      </c>
      <c r="G136" s="680"/>
      <c r="H136" s="680"/>
      <c r="I136" s="755"/>
      <c r="J136" s="682">
        <f t="shared" si="47"/>
        <v>0</v>
      </c>
      <c r="K136" s="683"/>
      <c r="L136" s="684"/>
      <c r="M136" s="753"/>
      <c r="N136" s="683">
        <v>0</v>
      </c>
      <c r="O136" s="686"/>
      <c r="P136" s="683">
        <v>0</v>
      </c>
      <c r="Q136" s="687">
        <f t="shared" si="1"/>
        <v>0</v>
      </c>
      <c r="R136" s="688">
        <v>0</v>
      </c>
      <c r="S136" s="693"/>
      <c r="T136" s="690">
        <f t="shared" si="53"/>
        <v>0</v>
      </c>
      <c r="U136" s="683"/>
      <c r="V136" s="474">
        <f t="shared" si="48"/>
        <v>0</v>
      </c>
      <c r="W136" s="474">
        <f t="shared" si="49"/>
        <v>0</v>
      </c>
      <c r="X136" s="475">
        <f t="shared" si="50"/>
        <v>0</v>
      </c>
      <c r="Y136" s="475">
        <v>0</v>
      </c>
      <c r="Z136" s="476">
        <v>0</v>
      </c>
      <c r="AA136" s="38">
        <f t="shared" si="51"/>
        <v>0</v>
      </c>
      <c r="AB136" s="692">
        <f t="shared" si="41"/>
        <v>0</v>
      </c>
      <c r="AC136" s="692">
        <f t="shared" si="42"/>
        <v>0</v>
      </c>
      <c r="AD136" s="692">
        <f t="shared" si="43"/>
        <v>0</v>
      </c>
      <c r="AE136" s="38"/>
      <c r="AF136" s="692">
        <f t="shared" si="44"/>
        <v>0</v>
      </c>
      <c r="AG136" s="692">
        <f t="shared" si="45"/>
        <v>0</v>
      </c>
      <c r="AH136" s="692">
        <f t="shared" si="46"/>
        <v>0</v>
      </c>
      <c r="AJ136" s="38">
        <f t="shared" si="52"/>
        <v>0</v>
      </c>
    </row>
    <row r="137" spans="1:36" s="232" customFormat="1" hidden="1">
      <c r="A137" s="283"/>
      <c r="B137" s="283" t="s">
        <v>110</v>
      </c>
      <c r="C137" s="667" t="s">
        <v>555</v>
      </c>
      <c r="D137" s="123" t="s">
        <v>196</v>
      </c>
      <c r="E137" s="679"/>
      <c r="F137" s="529">
        <f>VLOOKUP(D137,'Oct 2012 Revenue'!D:T,17,FALSE)</f>
        <v>0</v>
      </c>
      <c r="G137" s="680"/>
      <c r="H137" s="680"/>
      <c r="I137" s="755"/>
      <c r="J137" s="682">
        <f t="shared" si="47"/>
        <v>0</v>
      </c>
      <c r="K137" s="683"/>
      <c r="L137" s="684"/>
      <c r="M137" s="753"/>
      <c r="N137" s="683">
        <v>0</v>
      </c>
      <c r="O137" s="686"/>
      <c r="P137" s="683">
        <v>0</v>
      </c>
      <c r="Q137" s="687">
        <f t="shared" si="1"/>
        <v>0</v>
      </c>
      <c r="R137" s="688">
        <v>0</v>
      </c>
      <c r="S137" s="693"/>
      <c r="T137" s="690">
        <f t="shared" si="53"/>
        <v>0</v>
      </c>
      <c r="U137" s="683"/>
      <c r="V137" s="474">
        <f t="shared" si="48"/>
        <v>0</v>
      </c>
      <c r="W137" s="474">
        <f t="shared" si="49"/>
        <v>0</v>
      </c>
      <c r="X137" s="475">
        <f t="shared" si="50"/>
        <v>0</v>
      </c>
      <c r="Y137" s="475">
        <v>0</v>
      </c>
      <c r="Z137" s="476">
        <v>0</v>
      </c>
      <c r="AA137" s="38">
        <f t="shared" si="51"/>
        <v>0</v>
      </c>
      <c r="AB137" s="692">
        <f t="shared" si="41"/>
        <v>0</v>
      </c>
      <c r="AC137" s="692">
        <f t="shared" si="42"/>
        <v>0</v>
      </c>
      <c r="AD137" s="692">
        <f t="shared" si="43"/>
        <v>0</v>
      </c>
      <c r="AE137" s="38"/>
      <c r="AF137" s="692">
        <f t="shared" si="44"/>
        <v>0</v>
      </c>
      <c r="AG137" s="692">
        <f t="shared" si="45"/>
        <v>0</v>
      </c>
      <c r="AH137" s="692">
        <f t="shared" si="46"/>
        <v>0</v>
      </c>
      <c r="AJ137" s="38">
        <f t="shared" si="52"/>
        <v>0</v>
      </c>
    </row>
    <row r="138" spans="1:36" s="232" customFormat="1" hidden="1">
      <c r="A138" s="283"/>
      <c r="B138" s="283" t="s">
        <v>110</v>
      </c>
      <c r="C138" s="667" t="s">
        <v>555</v>
      </c>
      <c r="D138" s="123" t="s">
        <v>197</v>
      </c>
      <c r="E138" s="679"/>
      <c r="F138" s="529">
        <f>VLOOKUP(D138,'Oct 2012 Revenue'!D:T,17,FALSE)</f>
        <v>0</v>
      </c>
      <c r="G138" s="680"/>
      <c r="H138" s="680"/>
      <c r="I138" s="755"/>
      <c r="J138" s="682">
        <f t="shared" si="47"/>
        <v>0</v>
      </c>
      <c r="K138" s="683"/>
      <c r="L138" s="684"/>
      <c r="M138" s="753"/>
      <c r="N138" s="683">
        <v>0</v>
      </c>
      <c r="O138" s="686"/>
      <c r="P138" s="683">
        <v>0</v>
      </c>
      <c r="Q138" s="687">
        <f t="shared" si="1"/>
        <v>0</v>
      </c>
      <c r="R138" s="688">
        <v>0</v>
      </c>
      <c r="S138" s="693"/>
      <c r="T138" s="690">
        <f t="shared" si="53"/>
        <v>0</v>
      </c>
      <c r="U138" s="683"/>
      <c r="V138" s="474">
        <f t="shared" si="48"/>
        <v>0</v>
      </c>
      <c r="W138" s="474">
        <f t="shared" si="49"/>
        <v>0</v>
      </c>
      <c r="X138" s="475">
        <f t="shared" si="50"/>
        <v>0</v>
      </c>
      <c r="Y138" s="475">
        <v>0</v>
      </c>
      <c r="Z138" s="476">
        <v>0</v>
      </c>
      <c r="AA138" s="38">
        <f t="shared" si="51"/>
        <v>0</v>
      </c>
      <c r="AB138" s="692">
        <f t="shared" si="41"/>
        <v>0</v>
      </c>
      <c r="AC138" s="692">
        <f t="shared" si="42"/>
        <v>0</v>
      </c>
      <c r="AD138" s="692">
        <f t="shared" si="43"/>
        <v>0</v>
      </c>
      <c r="AE138" s="38"/>
      <c r="AF138" s="692">
        <f t="shared" si="44"/>
        <v>0</v>
      </c>
      <c r="AG138" s="692">
        <f t="shared" si="45"/>
        <v>0</v>
      </c>
      <c r="AH138" s="692">
        <f t="shared" si="46"/>
        <v>0</v>
      </c>
      <c r="AJ138" s="38">
        <f t="shared" si="52"/>
        <v>0</v>
      </c>
    </row>
    <row r="139" spans="1:36" s="232" customFormat="1" hidden="1">
      <c r="A139" s="283"/>
      <c r="B139" s="283" t="s">
        <v>110</v>
      </c>
      <c r="C139" s="667" t="s">
        <v>555</v>
      </c>
      <c r="D139" s="123" t="s">
        <v>440</v>
      </c>
      <c r="E139" s="679"/>
      <c r="F139" s="529">
        <f>VLOOKUP(D139,'Oct 2012 Revenue'!D:T,17,FALSE)</f>
        <v>0</v>
      </c>
      <c r="G139" s="680"/>
      <c r="H139" s="680"/>
      <c r="I139" s="755"/>
      <c r="J139" s="682">
        <f t="shared" si="47"/>
        <v>0</v>
      </c>
      <c r="K139" s="683"/>
      <c r="L139" s="684"/>
      <c r="M139" s="753"/>
      <c r="N139" s="683">
        <v>0</v>
      </c>
      <c r="O139" s="686"/>
      <c r="P139" s="683">
        <v>0</v>
      </c>
      <c r="Q139" s="687">
        <f t="shared" si="1"/>
        <v>0</v>
      </c>
      <c r="R139" s="688">
        <v>0</v>
      </c>
      <c r="S139" s="693"/>
      <c r="T139" s="690">
        <f t="shared" si="53"/>
        <v>0</v>
      </c>
      <c r="U139" s="683"/>
      <c r="V139" s="474">
        <f t="shared" si="48"/>
        <v>0</v>
      </c>
      <c r="W139" s="474">
        <f t="shared" si="49"/>
        <v>0</v>
      </c>
      <c r="X139" s="475">
        <f t="shared" si="50"/>
        <v>0</v>
      </c>
      <c r="Y139" s="475">
        <v>0</v>
      </c>
      <c r="Z139" s="476">
        <v>0</v>
      </c>
      <c r="AA139" s="38">
        <f t="shared" si="51"/>
        <v>0</v>
      </c>
      <c r="AB139" s="692">
        <f t="shared" si="41"/>
        <v>0</v>
      </c>
      <c r="AC139" s="692">
        <f t="shared" si="42"/>
        <v>0</v>
      </c>
      <c r="AD139" s="692">
        <f t="shared" si="43"/>
        <v>0</v>
      </c>
      <c r="AE139" s="38"/>
      <c r="AF139" s="692">
        <f t="shared" si="44"/>
        <v>0</v>
      </c>
      <c r="AG139" s="692">
        <f t="shared" si="45"/>
        <v>0</v>
      </c>
      <c r="AH139" s="692">
        <f t="shared" si="46"/>
        <v>0</v>
      </c>
      <c r="AJ139" s="38">
        <f t="shared" si="52"/>
        <v>0</v>
      </c>
    </row>
    <row r="140" spans="1:36" s="232" customFormat="1">
      <c r="A140" s="283"/>
      <c r="B140" s="283" t="s">
        <v>110</v>
      </c>
      <c r="C140" s="667" t="s">
        <v>555</v>
      </c>
      <c r="D140" s="123" t="s">
        <v>481</v>
      </c>
      <c r="E140" s="679"/>
      <c r="F140" s="529">
        <f>VLOOKUP(D140,'Oct 2012 Revenue'!D:T,17,FALSE)</f>
        <v>0</v>
      </c>
      <c r="G140" s="680"/>
      <c r="H140" s="680"/>
      <c r="I140" s="770">
        <v>395.15</v>
      </c>
      <c r="J140" s="682">
        <f t="shared" si="47"/>
        <v>395.15</v>
      </c>
      <c r="K140" s="683"/>
      <c r="L140" s="684"/>
      <c r="M140" s="753"/>
      <c r="N140" s="683">
        <v>0</v>
      </c>
      <c r="O140" s="686"/>
      <c r="P140" s="683">
        <v>0</v>
      </c>
      <c r="Q140" s="687">
        <f t="shared" si="1"/>
        <v>0</v>
      </c>
      <c r="R140" s="688">
        <v>0</v>
      </c>
      <c r="S140" s="693"/>
      <c r="T140" s="690">
        <f t="shared" si="53"/>
        <v>0</v>
      </c>
      <c r="U140" s="683"/>
      <c r="V140" s="474">
        <f t="shared" si="48"/>
        <v>0</v>
      </c>
      <c r="W140" s="474">
        <f t="shared" si="49"/>
        <v>0</v>
      </c>
      <c r="X140" s="475">
        <f t="shared" si="50"/>
        <v>0</v>
      </c>
      <c r="Y140" s="475">
        <v>0</v>
      </c>
      <c r="Z140" s="476">
        <v>0</v>
      </c>
      <c r="AA140" s="38">
        <f t="shared" si="51"/>
        <v>0</v>
      </c>
      <c r="AB140" s="692">
        <f t="shared" si="41"/>
        <v>395.15</v>
      </c>
      <c r="AC140" s="692">
        <f t="shared" si="42"/>
        <v>0</v>
      </c>
      <c r="AD140" s="692">
        <f t="shared" si="43"/>
        <v>0</v>
      </c>
      <c r="AE140" s="38"/>
      <c r="AF140" s="692">
        <f t="shared" si="44"/>
        <v>0</v>
      </c>
      <c r="AG140" s="692">
        <f t="shared" si="45"/>
        <v>0</v>
      </c>
      <c r="AH140" s="692">
        <f t="shared" si="46"/>
        <v>0</v>
      </c>
      <c r="AJ140" s="38">
        <f t="shared" si="52"/>
        <v>395.15</v>
      </c>
    </row>
    <row r="141" spans="1:36" s="232" customFormat="1" hidden="1">
      <c r="A141" s="283"/>
      <c r="B141" s="283" t="s">
        <v>109</v>
      </c>
      <c r="C141" s="667" t="s">
        <v>555</v>
      </c>
      <c r="D141" s="123" t="s">
        <v>248</v>
      </c>
      <c r="E141" s="679"/>
      <c r="F141" s="529">
        <f>VLOOKUP(D141,'Oct 2012 Revenue'!D:T,17,FALSE)</f>
        <v>0</v>
      </c>
      <c r="G141" s="680"/>
      <c r="H141" s="680"/>
      <c r="I141" s="755"/>
      <c r="J141" s="682">
        <f t="shared" si="47"/>
        <v>0</v>
      </c>
      <c r="K141" s="683"/>
      <c r="L141" s="684"/>
      <c r="M141" s="753"/>
      <c r="N141" s="683">
        <v>0</v>
      </c>
      <c r="O141" s="686"/>
      <c r="P141" s="683">
        <v>0</v>
      </c>
      <c r="Q141" s="687">
        <f t="shared" si="1"/>
        <v>0</v>
      </c>
      <c r="R141" s="688">
        <v>0</v>
      </c>
      <c r="S141" s="693"/>
      <c r="T141" s="690">
        <f t="shared" si="53"/>
        <v>0</v>
      </c>
      <c r="U141" s="683"/>
      <c r="V141" s="474">
        <f t="shared" si="48"/>
        <v>0</v>
      </c>
      <c r="W141" s="474">
        <f t="shared" si="49"/>
        <v>0</v>
      </c>
      <c r="X141" s="475">
        <f t="shared" si="50"/>
        <v>0</v>
      </c>
      <c r="Y141" s="475">
        <v>0</v>
      </c>
      <c r="Z141" s="476">
        <v>0</v>
      </c>
      <c r="AA141" s="38">
        <f t="shared" si="51"/>
        <v>0</v>
      </c>
      <c r="AB141" s="692">
        <f t="shared" si="41"/>
        <v>0</v>
      </c>
      <c r="AC141" s="692">
        <f t="shared" si="42"/>
        <v>0</v>
      </c>
      <c r="AD141" s="692">
        <f t="shared" si="43"/>
        <v>0</v>
      </c>
      <c r="AE141" s="38"/>
      <c r="AF141" s="692">
        <f t="shared" si="44"/>
        <v>0</v>
      </c>
      <c r="AG141" s="692">
        <f t="shared" si="45"/>
        <v>0</v>
      </c>
      <c r="AH141" s="692">
        <f t="shared" si="46"/>
        <v>0</v>
      </c>
      <c r="AJ141" s="38">
        <f t="shared" si="52"/>
        <v>0</v>
      </c>
    </row>
    <row r="142" spans="1:36" s="232" customFormat="1">
      <c r="A142" s="283"/>
      <c r="B142" s="20" t="s">
        <v>109</v>
      </c>
      <c r="C142" s="667"/>
      <c r="D142" s="68" t="s">
        <v>465</v>
      </c>
      <c r="E142" s="679"/>
      <c r="F142" s="529">
        <f>VLOOKUP(D142,'Oct 2012 Revenue'!D:T,17,FALSE)</f>
        <v>-5000</v>
      </c>
      <c r="G142" s="680"/>
      <c r="H142" s="680"/>
      <c r="I142" s="755"/>
      <c r="J142" s="682">
        <f t="shared" si="47"/>
        <v>-5000</v>
      </c>
      <c r="K142" s="683"/>
      <c r="L142" s="684"/>
      <c r="M142" s="753">
        <v>7500</v>
      </c>
      <c r="N142" s="683">
        <v>0</v>
      </c>
      <c r="O142" s="686"/>
      <c r="P142" s="683">
        <v>0</v>
      </c>
      <c r="Q142" s="687">
        <f t="shared" si="1"/>
        <v>7500</v>
      </c>
      <c r="R142" s="688">
        <v>0</v>
      </c>
      <c r="S142" s="693"/>
      <c r="T142" s="690">
        <f t="shared" si="53"/>
        <v>-7500</v>
      </c>
      <c r="U142" s="683"/>
      <c r="V142" s="474">
        <f t="shared" si="48"/>
        <v>0</v>
      </c>
      <c r="W142" s="474">
        <f t="shared" si="49"/>
        <v>7500</v>
      </c>
      <c r="X142" s="475">
        <f t="shared" si="50"/>
        <v>0</v>
      </c>
      <c r="Y142" s="475">
        <v>0</v>
      </c>
      <c r="Z142" s="476">
        <v>0</v>
      </c>
      <c r="AA142" s="38">
        <f t="shared" si="51"/>
        <v>0</v>
      </c>
      <c r="AB142" s="692">
        <f t="shared" si="41"/>
        <v>0</v>
      </c>
      <c r="AC142" s="692">
        <f t="shared" si="42"/>
        <v>-5000</v>
      </c>
      <c r="AD142" s="692">
        <f t="shared" si="43"/>
        <v>0</v>
      </c>
      <c r="AE142" s="38"/>
      <c r="AF142" s="692">
        <f t="shared" si="44"/>
        <v>0</v>
      </c>
      <c r="AG142" s="692">
        <f t="shared" si="45"/>
        <v>7500</v>
      </c>
      <c r="AH142" s="692">
        <f t="shared" si="46"/>
        <v>0</v>
      </c>
      <c r="AJ142" s="38">
        <f t="shared" si="52"/>
        <v>2500</v>
      </c>
    </row>
    <row r="143" spans="1:36">
      <c r="A143" s="21"/>
      <c r="B143" s="21" t="s">
        <v>110</v>
      </c>
      <c r="C143" s="666" t="s">
        <v>556</v>
      </c>
      <c r="D143" s="68" t="s">
        <v>261</v>
      </c>
      <c r="E143" s="679"/>
      <c r="F143" s="529">
        <f>VLOOKUP(D143,'Oct 2012 Revenue'!D:T,17,FALSE)</f>
        <v>-4420.7700000000041</v>
      </c>
      <c r="G143" s="680"/>
      <c r="H143" s="680"/>
      <c r="I143" s="755"/>
      <c r="J143" s="682">
        <f t="shared" si="47"/>
        <v>-4420.7700000000041</v>
      </c>
      <c r="K143" s="683"/>
      <c r="L143" s="684"/>
      <c r="M143" s="753">
        <v>80000</v>
      </c>
      <c r="N143" s="683">
        <v>0</v>
      </c>
      <c r="O143" s="686"/>
      <c r="P143" s="683">
        <v>0</v>
      </c>
      <c r="Q143" s="687">
        <f t="shared" si="1"/>
        <v>80000</v>
      </c>
      <c r="R143" s="688">
        <f>114833.5-R144</f>
        <v>107219.08</v>
      </c>
      <c r="S143" s="693"/>
      <c r="T143" s="690">
        <f t="shared" si="53"/>
        <v>27219.08</v>
      </c>
      <c r="U143" s="683"/>
      <c r="V143" s="474">
        <f t="shared" si="48"/>
        <v>80000</v>
      </c>
      <c r="W143" s="474">
        <f t="shared" si="49"/>
        <v>0</v>
      </c>
      <c r="X143" s="475">
        <f t="shared" si="50"/>
        <v>0</v>
      </c>
      <c r="Y143" s="475">
        <v>0</v>
      </c>
      <c r="Z143" s="476">
        <v>0</v>
      </c>
      <c r="AA143" s="38">
        <f t="shared" si="51"/>
        <v>0</v>
      </c>
      <c r="AB143" s="692">
        <f t="shared" si="41"/>
        <v>-4420.7700000000041</v>
      </c>
      <c r="AC143" s="692">
        <f t="shared" si="42"/>
        <v>0</v>
      </c>
      <c r="AD143" s="692">
        <f t="shared" si="43"/>
        <v>0</v>
      </c>
      <c r="AE143" s="38"/>
      <c r="AF143" s="692">
        <f t="shared" si="44"/>
        <v>80000</v>
      </c>
      <c r="AG143" s="692">
        <f t="shared" si="45"/>
        <v>0</v>
      </c>
      <c r="AH143" s="692">
        <f t="shared" si="46"/>
        <v>0</v>
      </c>
      <c r="AJ143" s="38">
        <f t="shared" si="52"/>
        <v>75579.23</v>
      </c>
    </row>
    <row r="144" spans="1:36" s="269" customFormat="1">
      <c r="A144" s="21"/>
      <c r="B144" s="21" t="s">
        <v>110</v>
      </c>
      <c r="C144" s="666" t="s">
        <v>556</v>
      </c>
      <c r="D144" s="68" t="s">
        <v>262</v>
      </c>
      <c r="E144" s="679"/>
      <c r="F144" s="529">
        <f>VLOOKUP(D144,'Oct 2012 Revenue'!D:T,17,FALSE)</f>
        <v>-10000</v>
      </c>
      <c r="G144" s="680"/>
      <c r="H144" s="680"/>
      <c r="I144" s="755"/>
      <c r="J144" s="682">
        <f t="shared" si="47"/>
        <v>-10000</v>
      </c>
      <c r="K144" s="683"/>
      <c r="L144" s="684"/>
      <c r="M144" s="753">
        <v>10000</v>
      </c>
      <c r="N144" s="683">
        <v>0</v>
      </c>
      <c r="O144" s="686"/>
      <c r="P144" s="683">
        <v>0</v>
      </c>
      <c r="Q144" s="687">
        <f t="shared" si="1"/>
        <v>10000</v>
      </c>
      <c r="R144" s="688">
        <f>6765.92+848.5</f>
        <v>7614.42</v>
      </c>
      <c r="S144" s="693"/>
      <c r="T144" s="690">
        <f t="shared" si="53"/>
        <v>-2385.58</v>
      </c>
      <c r="U144" s="683"/>
      <c r="V144" s="474">
        <f t="shared" si="48"/>
        <v>10000</v>
      </c>
      <c r="W144" s="474">
        <f t="shared" si="49"/>
        <v>0</v>
      </c>
      <c r="X144" s="475">
        <f t="shared" si="50"/>
        <v>0</v>
      </c>
      <c r="Y144" s="475">
        <v>0</v>
      </c>
      <c r="Z144" s="476">
        <v>0</v>
      </c>
      <c r="AA144" s="38">
        <f t="shared" si="51"/>
        <v>0</v>
      </c>
      <c r="AB144" s="692">
        <f t="shared" si="41"/>
        <v>-10000</v>
      </c>
      <c r="AC144" s="692">
        <f t="shared" si="42"/>
        <v>0</v>
      </c>
      <c r="AD144" s="692">
        <f t="shared" si="43"/>
        <v>0</v>
      </c>
      <c r="AE144" s="38"/>
      <c r="AF144" s="692">
        <f t="shared" si="44"/>
        <v>10000</v>
      </c>
      <c r="AG144" s="692">
        <f t="shared" si="45"/>
        <v>0</v>
      </c>
      <c r="AH144" s="692">
        <f t="shared" si="46"/>
        <v>0</v>
      </c>
      <c r="AJ144" s="38">
        <f t="shared" si="52"/>
        <v>0</v>
      </c>
    </row>
    <row r="145" spans="1:36" s="269" customFormat="1">
      <c r="A145" s="21"/>
      <c r="B145" s="21" t="s">
        <v>114</v>
      </c>
      <c r="C145" s="675" t="s">
        <v>619</v>
      </c>
      <c r="D145" s="68" t="s">
        <v>626</v>
      </c>
      <c r="E145" s="679"/>
      <c r="F145" s="529">
        <f>VLOOKUP(D145,'Oct 2012 Revenue'!D:T,17,FALSE)</f>
        <v>0</v>
      </c>
      <c r="G145" s="680"/>
      <c r="H145" s="680"/>
      <c r="I145" s="770">
        <v>8582.1200000000008</v>
      </c>
      <c r="J145" s="682">
        <f t="shared" si="47"/>
        <v>8582.1200000000008</v>
      </c>
      <c r="K145" s="683"/>
      <c r="L145" s="684"/>
      <c r="M145" s="753"/>
      <c r="N145" s="683">
        <v>0</v>
      </c>
      <c r="O145" s="686"/>
      <c r="P145" s="683">
        <v>0</v>
      </c>
      <c r="Q145" s="687">
        <f t="shared" ref="Q145:Q210" si="54">L145+M145</f>
        <v>0</v>
      </c>
      <c r="R145" s="688">
        <v>0</v>
      </c>
      <c r="S145" s="693"/>
      <c r="T145" s="690">
        <f t="shared" si="53"/>
        <v>0</v>
      </c>
      <c r="U145" s="683"/>
      <c r="V145" s="474">
        <f t="shared" si="48"/>
        <v>0</v>
      </c>
      <c r="W145" s="474">
        <f t="shared" si="49"/>
        <v>0</v>
      </c>
      <c r="X145" s="475">
        <f t="shared" si="50"/>
        <v>0</v>
      </c>
      <c r="Y145" s="475">
        <v>0</v>
      </c>
      <c r="Z145" s="476">
        <v>0</v>
      </c>
      <c r="AA145" s="38">
        <f t="shared" si="51"/>
        <v>0</v>
      </c>
      <c r="AB145" s="692">
        <f t="shared" si="41"/>
        <v>0</v>
      </c>
      <c r="AC145" s="692">
        <f t="shared" si="42"/>
        <v>0</v>
      </c>
      <c r="AD145" s="692">
        <f t="shared" si="43"/>
        <v>8582.1200000000008</v>
      </c>
      <c r="AE145" s="38"/>
      <c r="AF145" s="692">
        <f t="shared" si="44"/>
        <v>0</v>
      </c>
      <c r="AG145" s="692">
        <f t="shared" si="45"/>
        <v>0</v>
      </c>
      <c r="AH145" s="692">
        <f t="shared" si="46"/>
        <v>0</v>
      </c>
      <c r="AJ145" s="38">
        <f t="shared" si="52"/>
        <v>8582.1200000000008</v>
      </c>
    </row>
    <row r="146" spans="1:36">
      <c r="A146" s="21"/>
      <c r="B146" s="21" t="s">
        <v>109</v>
      </c>
      <c r="C146" s="666"/>
      <c r="D146" s="68" t="s">
        <v>396</v>
      </c>
      <c r="E146" s="679"/>
      <c r="F146" s="529">
        <f>VLOOKUP(D146,'Oct 2012 Revenue'!D:T,17,FALSE)</f>
        <v>7.43</v>
      </c>
      <c r="G146" s="680"/>
      <c r="H146" s="680"/>
      <c r="I146" s="755"/>
      <c r="J146" s="682">
        <f t="shared" si="47"/>
        <v>7.43</v>
      </c>
      <c r="K146" s="683"/>
      <c r="L146" s="684"/>
      <c r="M146" s="753"/>
      <c r="N146" s="683">
        <v>0</v>
      </c>
      <c r="O146" s="686"/>
      <c r="P146" s="683">
        <v>0</v>
      </c>
      <c r="Q146" s="687">
        <f t="shared" si="54"/>
        <v>0</v>
      </c>
      <c r="R146" s="688">
        <v>5.14</v>
      </c>
      <c r="S146" s="693"/>
      <c r="T146" s="690">
        <f t="shared" si="53"/>
        <v>5.14</v>
      </c>
      <c r="U146" s="683"/>
      <c r="V146" s="474">
        <f t="shared" si="48"/>
        <v>0</v>
      </c>
      <c r="W146" s="474">
        <f t="shared" si="49"/>
        <v>0</v>
      </c>
      <c r="X146" s="475">
        <f t="shared" si="50"/>
        <v>0</v>
      </c>
      <c r="Y146" s="475">
        <v>0</v>
      </c>
      <c r="Z146" s="476">
        <v>0</v>
      </c>
      <c r="AA146" s="38">
        <f t="shared" si="51"/>
        <v>0</v>
      </c>
      <c r="AB146" s="692">
        <f t="shared" si="41"/>
        <v>0</v>
      </c>
      <c r="AC146" s="692">
        <f t="shared" si="42"/>
        <v>7.43</v>
      </c>
      <c r="AD146" s="692">
        <f t="shared" si="43"/>
        <v>0</v>
      </c>
      <c r="AE146" s="38"/>
      <c r="AF146" s="692">
        <f t="shared" si="44"/>
        <v>0</v>
      </c>
      <c r="AG146" s="692">
        <f t="shared" si="45"/>
        <v>0</v>
      </c>
      <c r="AH146" s="692">
        <f t="shared" si="46"/>
        <v>0</v>
      </c>
      <c r="AJ146" s="38">
        <f t="shared" si="52"/>
        <v>7.43</v>
      </c>
    </row>
    <row r="147" spans="1:36">
      <c r="A147" s="20"/>
      <c r="B147" s="20" t="s">
        <v>109</v>
      </c>
      <c r="C147" s="667" t="s">
        <v>557</v>
      </c>
      <c r="D147" s="68" t="s">
        <v>32</v>
      </c>
      <c r="E147" s="679"/>
      <c r="F147" s="529">
        <f>VLOOKUP(D147,'Oct 2012 Revenue'!D:T,17,FALSE)</f>
        <v>151.09</v>
      </c>
      <c r="G147" s="680"/>
      <c r="H147" s="680"/>
      <c r="I147" s="755"/>
      <c r="J147" s="682">
        <f t="shared" si="47"/>
        <v>151.09</v>
      </c>
      <c r="K147" s="683"/>
      <c r="L147" s="684"/>
      <c r="M147" s="753"/>
      <c r="N147" s="683">
        <v>0</v>
      </c>
      <c r="O147" s="686"/>
      <c r="P147" s="683">
        <v>0</v>
      </c>
      <c r="Q147" s="687">
        <f t="shared" si="54"/>
        <v>0</v>
      </c>
      <c r="R147" s="688">
        <v>0</v>
      </c>
      <c r="S147" s="693"/>
      <c r="T147" s="690">
        <f t="shared" si="53"/>
        <v>0</v>
      </c>
      <c r="U147" s="683"/>
      <c r="V147" s="474">
        <f t="shared" si="48"/>
        <v>0</v>
      </c>
      <c r="W147" s="474">
        <f t="shared" si="49"/>
        <v>0</v>
      </c>
      <c r="X147" s="475">
        <f t="shared" si="50"/>
        <v>0</v>
      </c>
      <c r="Y147" s="475">
        <v>0</v>
      </c>
      <c r="Z147" s="476">
        <v>0</v>
      </c>
      <c r="AA147" s="38">
        <f t="shared" si="51"/>
        <v>0</v>
      </c>
      <c r="AB147" s="692">
        <f t="shared" ref="AB147:AB212" si="55">IF(B147="D",J147,0)</f>
        <v>0</v>
      </c>
      <c r="AC147" s="692">
        <f t="shared" ref="AC147:AC212" si="56">IF(B147="M",J147,0)</f>
        <v>151.09</v>
      </c>
      <c r="AD147" s="692">
        <f t="shared" ref="AD147:AD212" si="57">IF(B147="V",J147,0)</f>
        <v>0</v>
      </c>
      <c r="AE147" s="38"/>
      <c r="AF147" s="692">
        <f t="shared" si="44"/>
        <v>0</v>
      </c>
      <c r="AG147" s="692">
        <f t="shared" si="45"/>
        <v>0</v>
      </c>
      <c r="AH147" s="692">
        <f t="shared" si="46"/>
        <v>0</v>
      </c>
      <c r="AJ147" s="38">
        <f t="shared" si="52"/>
        <v>151.09</v>
      </c>
    </row>
    <row r="148" spans="1:36">
      <c r="A148" s="21"/>
      <c r="B148" s="21" t="s">
        <v>110</v>
      </c>
      <c r="C148" s="666"/>
      <c r="D148" s="68" t="s">
        <v>448</v>
      </c>
      <c r="E148" s="679"/>
      <c r="F148" s="529">
        <f>VLOOKUP(D148,'Oct 2012 Revenue'!D:T,17,FALSE)</f>
        <v>0</v>
      </c>
      <c r="G148" s="680"/>
      <c r="H148" s="680"/>
      <c r="I148" s="755"/>
      <c r="J148" s="682">
        <f t="shared" ref="J148:J212" si="58">SUM(E148:I148)</f>
        <v>0</v>
      </c>
      <c r="K148" s="683"/>
      <c r="L148" s="684"/>
      <c r="M148" s="753"/>
      <c r="N148" s="683">
        <v>0</v>
      </c>
      <c r="O148" s="686"/>
      <c r="P148" s="683">
        <v>0</v>
      </c>
      <c r="Q148" s="687">
        <f t="shared" si="54"/>
        <v>0</v>
      </c>
      <c r="R148" s="688">
        <v>0</v>
      </c>
      <c r="S148" s="693"/>
      <c r="T148" s="690">
        <f t="shared" si="53"/>
        <v>0</v>
      </c>
      <c r="U148" s="683"/>
      <c r="V148" s="474">
        <f t="shared" si="48"/>
        <v>0</v>
      </c>
      <c r="W148" s="474">
        <f t="shared" si="49"/>
        <v>0</v>
      </c>
      <c r="X148" s="475">
        <f t="shared" si="50"/>
        <v>0</v>
      </c>
      <c r="Y148" s="475">
        <v>0</v>
      </c>
      <c r="Z148" s="476">
        <v>0</v>
      </c>
      <c r="AA148" s="38">
        <f t="shared" si="51"/>
        <v>0</v>
      </c>
      <c r="AB148" s="692">
        <f t="shared" si="55"/>
        <v>0</v>
      </c>
      <c r="AC148" s="692">
        <f t="shared" si="56"/>
        <v>0</v>
      </c>
      <c r="AD148" s="692">
        <f t="shared" si="57"/>
        <v>0</v>
      </c>
      <c r="AE148" s="38"/>
      <c r="AF148" s="692">
        <f t="shared" si="44"/>
        <v>0</v>
      </c>
      <c r="AG148" s="692">
        <f t="shared" si="45"/>
        <v>0</v>
      </c>
      <c r="AH148" s="692">
        <f t="shared" si="46"/>
        <v>0</v>
      </c>
      <c r="AJ148" s="38">
        <f t="shared" si="52"/>
        <v>0</v>
      </c>
    </row>
    <row r="149" spans="1:36">
      <c r="A149" s="21"/>
      <c r="B149" s="21" t="s">
        <v>110</v>
      </c>
      <c r="C149" s="666"/>
      <c r="D149" s="68" t="s">
        <v>877</v>
      </c>
      <c r="E149" s="679">
        <f>57.54-10.43</f>
        <v>47.11</v>
      </c>
      <c r="F149" s="529">
        <f>VLOOKUP(D149,'Oct 2012 Revenue'!D:T,17,FALSE)</f>
        <v>10.43</v>
      </c>
      <c r="G149" s="680"/>
      <c r="H149" s="680"/>
      <c r="I149" s="755"/>
      <c r="J149" s="682">
        <f t="shared" ref="J149" si="59">SUM(E149:I149)</f>
        <v>57.54</v>
      </c>
      <c r="K149" s="683"/>
      <c r="L149" s="684"/>
      <c r="M149" s="753"/>
      <c r="N149" s="683">
        <v>0</v>
      </c>
      <c r="O149" s="686"/>
      <c r="P149" s="683">
        <v>0</v>
      </c>
      <c r="Q149" s="687">
        <f t="shared" ref="Q149" si="60">L149+M149</f>
        <v>0</v>
      </c>
      <c r="R149" s="688">
        <v>0</v>
      </c>
      <c r="S149" s="693"/>
      <c r="T149" s="690">
        <f t="shared" ref="T149" si="61">IF(R149="","",R149-Q149)</f>
        <v>0</v>
      </c>
      <c r="U149" s="683"/>
      <c r="V149" s="474">
        <f t="shared" ref="V149" si="62">IF(B149="D",Q149,0)</f>
        <v>0</v>
      </c>
      <c r="W149" s="474">
        <f t="shared" ref="W149" si="63">IF(B149="M",Q149,0)</f>
        <v>0</v>
      </c>
      <c r="X149" s="475">
        <f t="shared" ref="X149" si="64">IF(B149="V",Q149,0)</f>
        <v>0</v>
      </c>
      <c r="Y149" s="475">
        <v>0</v>
      </c>
      <c r="Z149" s="476">
        <v>0</v>
      </c>
      <c r="AA149" s="38">
        <f t="shared" ref="AA149" si="65">(L149+M149)-(V149+W149+X149+Y149+Z149)</f>
        <v>0</v>
      </c>
      <c r="AB149" s="692">
        <f t="shared" ref="AB149" si="66">IF(B149="D",J149,0)</f>
        <v>57.54</v>
      </c>
      <c r="AC149" s="692">
        <f t="shared" ref="AC149" si="67">IF(B149="M",J149,0)</f>
        <v>0</v>
      </c>
      <c r="AD149" s="692">
        <f t="shared" ref="AD149" si="68">IF(B149="V",J149,0)</f>
        <v>0</v>
      </c>
      <c r="AE149" s="38"/>
      <c r="AF149" s="692">
        <f t="shared" ref="AF149" si="69">IF(B149="D",Q149,0)</f>
        <v>0</v>
      </c>
      <c r="AG149" s="692">
        <f t="shared" ref="AG149" si="70">IF(B149="M",Q149,0)</f>
        <v>0</v>
      </c>
      <c r="AH149" s="692">
        <f t="shared" ref="AH149" si="71">IF(B149="V",Q149,0)</f>
        <v>0</v>
      </c>
      <c r="AJ149" s="38">
        <f t="shared" ref="AJ149" si="72">SUM(AB149:AH149)</f>
        <v>57.54</v>
      </c>
    </row>
    <row r="150" spans="1:36">
      <c r="A150" s="21"/>
      <c r="B150" s="21" t="s">
        <v>110</v>
      </c>
      <c r="C150" s="666" t="s">
        <v>558</v>
      </c>
      <c r="D150" s="68" t="s">
        <v>122</v>
      </c>
      <c r="E150" s="679">
        <f>4165.65+2432.92</f>
        <v>6598.57</v>
      </c>
      <c r="F150" s="529">
        <f>VLOOKUP(D150,'Oct 2012 Revenue'!D:T,17,FALSE)</f>
        <v>-6000</v>
      </c>
      <c r="G150" s="680"/>
      <c r="H150" s="680"/>
      <c r="I150" s="755"/>
      <c r="J150" s="682">
        <f t="shared" si="58"/>
        <v>598.56999999999971</v>
      </c>
      <c r="K150" s="683"/>
      <c r="L150" s="684"/>
      <c r="M150" s="753">
        <v>5000</v>
      </c>
      <c r="N150" s="683">
        <v>0</v>
      </c>
      <c r="O150" s="686"/>
      <c r="P150" s="683">
        <v>0</v>
      </c>
      <c r="Q150" s="687">
        <f t="shared" si="54"/>
        <v>5000</v>
      </c>
      <c r="R150" s="688">
        <v>0</v>
      </c>
      <c r="S150" s="693"/>
      <c r="T150" s="690">
        <f t="shared" ref="T150:T214" si="73">IF(R150="","",R150-Q150)</f>
        <v>-5000</v>
      </c>
      <c r="U150" s="683"/>
      <c r="V150" s="474">
        <f t="shared" ref="V150:V214" si="74">IF(B150="D",Q150,0)</f>
        <v>5000</v>
      </c>
      <c r="W150" s="474">
        <f t="shared" ref="W150:W214" si="75">IF(B150="M",Q150,0)</f>
        <v>0</v>
      </c>
      <c r="X150" s="475">
        <f t="shared" ref="X150:X214" si="76">IF(B150="V",Q150,0)</f>
        <v>0</v>
      </c>
      <c r="Y150" s="475">
        <v>0</v>
      </c>
      <c r="Z150" s="476">
        <v>0</v>
      </c>
      <c r="AA150" s="38">
        <f t="shared" ref="AA150:AA213" si="77">(L150+M150)-(V150+W150+X150+Y150+Z150)</f>
        <v>0</v>
      </c>
      <c r="AB150" s="692">
        <f t="shared" si="55"/>
        <v>598.56999999999971</v>
      </c>
      <c r="AC150" s="692">
        <f t="shared" si="56"/>
        <v>0</v>
      </c>
      <c r="AD150" s="692">
        <f t="shared" si="57"/>
        <v>0</v>
      </c>
      <c r="AE150" s="38"/>
      <c r="AF150" s="692">
        <f t="shared" ref="AF150:AF213" si="78">IF(B150="D",Q150,0)</f>
        <v>5000</v>
      </c>
      <c r="AG150" s="692">
        <f t="shared" ref="AG150:AG213" si="79">IF(B150="M",Q150,0)</f>
        <v>0</v>
      </c>
      <c r="AH150" s="692">
        <f t="shared" ref="AH150:AH213" si="80">IF(B150="V",Q150,0)</f>
        <v>0</v>
      </c>
      <c r="AJ150" s="38">
        <f t="shared" si="52"/>
        <v>5598.57</v>
      </c>
    </row>
    <row r="151" spans="1:36">
      <c r="A151" s="21"/>
      <c r="B151" s="21" t="s">
        <v>114</v>
      </c>
      <c r="C151" s="666" t="s">
        <v>558</v>
      </c>
      <c r="D151" s="68" t="s">
        <v>629</v>
      </c>
      <c r="E151" s="679">
        <f>2.63+3.69</f>
        <v>6.32</v>
      </c>
      <c r="F151" s="529">
        <f>VLOOKUP(D151,'Oct 2012 Revenue'!D:T,17,FALSE)</f>
        <v>0</v>
      </c>
      <c r="G151" s="680"/>
      <c r="H151" s="680"/>
      <c r="I151" s="755"/>
      <c r="J151" s="682">
        <f t="shared" si="58"/>
        <v>6.32</v>
      </c>
      <c r="K151" s="683"/>
      <c r="L151" s="684"/>
      <c r="M151" s="753"/>
      <c r="N151" s="683">
        <v>0</v>
      </c>
      <c r="O151" s="686"/>
      <c r="P151" s="683">
        <v>0</v>
      </c>
      <c r="Q151" s="687">
        <f t="shared" si="54"/>
        <v>0</v>
      </c>
      <c r="R151" s="688">
        <v>0</v>
      </c>
      <c r="S151" s="693"/>
      <c r="T151" s="690">
        <f t="shared" si="73"/>
        <v>0</v>
      </c>
      <c r="U151" s="683"/>
      <c r="V151" s="474">
        <f t="shared" si="74"/>
        <v>0</v>
      </c>
      <c r="W151" s="474">
        <f t="shared" si="75"/>
        <v>0</v>
      </c>
      <c r="X151" s="475">
        <f t="shared" si="76"/>
        <v>0</v>
      </c>
      <c r="Y151" s="475">
        <v>0</v>
      </c>
      <c r="Z151" s="476">
        <v>0</v>
      </c>
      <c r="AA151" s="38">
        <f t="shared" si="77"/>
        <v>0</v>
      </c>
      <c r="AB151" s="692">
        <f t="shared" si="55"/>
        <v>0</v>
      </c>
      <c r="AC151" s="692">
        <f t="shared" si="56"/>
        <v>0</v>
      </c>
      <c r="AD151" s="692">
        <f t="shared" si="57"/>
        <v>6.32</v>
      </c>
      <c r="AE151" s="38"/>
      <c r="AF151" s="692">
        <f t="shared" si="78"/>
        <v>0</v>
      </c>
      <c r="AG151" s="692">
        <f t="shared" si="79"/>
        <v>0</v>
      </c>
      <c r="AH151" s="692">
        <f t="shared" si="80"/>
        <v>0</v>
      </c>
      <c r="AJ151" s="38">
        <f t="shared" ref="AJ151:AJ214" si="81">SUM(AB151:AH151)</f>
        <v>6.32</v>
      </c>
    </row>
    <row r="152" spans="1:36">
      <c r="A152" s="21"/>
      <c r="B152" s="21" t="s">
        <v>109</v>
      </c>
      <c r="C152" s="666" t="s">
        <v>559</v>
      </c>
      <c r="D152" s="68" t="s">
        <v>33</v>
      </c>
      <c r="E152" s="679"/>
      <c r="F152" s="529">
        <f>VLOOKUP(D152,'Oct 2012 Revenue'!D:T,17,FALSE)</f>
        <v>0</v>
      </c>
      <c r="G152" s="680"/>
      <c r="H152" s="680"/>
      <c r="I152" s="755"/>
      <c r="J152" s="682">
        <f t="shared" si="58"/>
        <v>0</v>
      </c>
      <c r="K152" s="683"/>
      <c r="L152" s="684"/>
      <c r="M152" s="753"/>
      <c r="N152" s="683">
        <v>0</v>
      </c>
      <c r="O152" s="686"/>
      <c r="P152" s="683">
        <v>0</v>
      </c>
      <c r="Q152" s="687">
        <f t="shared" si="54"/>
        <v>0</v>
      </c>
      <c r="R152" s="688">
        <v>2229.1999999999998</v>
      </c>
      <c r="S152" s="693"/>
      <c r="T152" s="690">
        <f t="shared" si="73"/>
        <v>2229.1999999999998</v>
      </c>
      <c r="U152" s="683"/>
      <c r="V152" s="474">
        <f t="shared" si="74"/>
        <v>0</v>
      </c>
      <c r="W152" s="474">
        <f t="shared" si="75"/>
        <v>0</v>
      </c>
      <c r="X152" s="475">
        <f t="shared" si="76"/>
        <v>0</v>
      </c>
      <c r="Y152" s="475">
        <v>0</v>
      </c>
      <c r="Z152" s="476">
        <v>0</v>
      </c>
      <c r="AA152" s="38">
        <f t="shared" si="77"/>
        <v>0</v>
      </c>
      <c r="AB152" s="692">
        <f t="shared" si="55"/>
        <v>0</v>
      </c>
      <c r="AC152" s="692">
        <f t="shared" si="56"/>
        <v>0</v>
      </c>
      <c r="AD152" s="692">
        <f t="shared" si="57"/>
        <v>0</v>
      </c>
      <c r="AE152" s="38"/>
      <c r="AF152" s="692">
        <f t="shared" si="78"/>
        <v>0</v>
      </c>
      <c r="AG152" s="692">
        <f t="shared" si="79"/>
        <v>0</v>
      </c>
      <c r="AH152" s="692">
        <f t="shared" si="80"/>
        <v>0</v>
      </c>
      <c r="AJ152" s="38">
        <f t="shared" si="81"/>
        <v>0</v>
      </c>
    </row>
    <row r="153" spans="1:36">
      <c r="A153" s="21"/>
      <c r="B153" s="21" t="s">
        <v>109</v>
      </c>
      <c r="C153" s="666" t="s">
        <v>560</v>
      </c>
      <c r="D153" s="68" t="s">
        <v>379</v>
      </c>
      <c r="E153" s="679"/>
      <c r="F153" s="529">
        <f>VLOOKUP(D153,'Oct 2012 Revenue'!D:T,17,FALSE)</f>
        <v>94.56</v>
      </c>
      <c r="G153" s="680"/>
      <c r="H153" s="680"/>
      <c r="I153" s="755"/>
      <c r="J153" s="682">
        <f t="shared" si="58"/>
        <v>94.56</v>
      </c>
      <c r="K153" s="683"/>
      <c r="L153" s="684"/>
      <c r="M153" s="753"/>
      <c r="N153" s="683">
        <v>0</v>
      </c>
      <c r="O153" s="686"/>
      <c r="P153" s="683">
        <v>0</v>
      </c>
      <c r="Q153" s="687">
        <f t="shared" si="54"/>
        <v>0</v>
      </c>
      <c r="R153" s="688">
        <v>163.32</v>
      </c>
      <c r="S153" s="693"/>
      <c r="T153" s="690">
        <f t="shared" si="73"/>
        <v>163.32</v>
      </c>
      <c r="U153" s="683"/>
      <c r="V153" s="474">
        <f t="shared" si="74"/>
        <v>0</v>
      </c>
      <c r="W153" s="474">
        <f t="shared" si="75"/>
        <v>0</v>
      </c>
      <c r="X153" s="475">
        <f t="shared" si="76"/>
        <v>0</v>
      </c>
      <c r="Y153" s="475">
        <v>0</v>
      </c>
      <c r="Z153" s="476">
        <v>0</v>
      </c>
      <c r="AA153" s="38">
        <f t="shared" si="77"/>
        <v>0</v>
      </c>
      <c r="AB153" s="692">
        <f t="shared" si="55"/>
        <v>0</v>
      </c>
      <c r="AC153" s="692">
        <f t="shared" si="56"/>
        <v>94.56</v>
      </c>
      <c r="AD153" s="692">
        <f t="shared" si="57"/>
        <v>0</v>
      </c>
      <c r="AE153" s="38"/>
      <c r="AF153" s="692">
        <f t="shared" si="78"/>
        <v>0</v>
      </c>
      <c r="AG153" s="692">
        <f t="shared" si="79"/>
        <v>0</v>
      </c>
      <c r="AH153" s="692">
        <f t="shared" si="80"/>
        <v>0</v>
      </c>
      <c r="AJ153" s="38">
        <f t="shared" si="81"/>
        <v>94.56</v>
      </c>
    </row>
    <row r="154" spans="1:36" s="232" customFormat="1">
      <c r="A154" s="283"/>
      <c r="B154" s="283" t="s">
        <v>114</v>
      </c>
      <c r="C154" s="667"/>
      <c r="D154" s="500" t="s">
        <v>408</v>
      </c>
      <c r="E154" s="679"/>
      <c r="F154" s="529">
        <f>VLOOKUP(D154,'Oct 2012 Revenue'!D:T,17,FALSE)</f>
        <v>0</v>
      </c>
      <c r="G154" s="680"/>
      <c r="H154" s="680"/>
      <c r="I154" s="770">
        <v>7837.5</v>
      </c>
      <c r="J154" s="682">
        <f t="shared" si="58"/>
        <v>7837.5</v>
      </c>
      <c r="K154" s="683"/>
      <c r="L154" s="684"/>
      <c r="M154" s="753"/>
      <c r="N154" s="683">
        <v>0</v>
      </c>
      <c r="O154" s="686"/>
      <c r="P154" s="683">
        <v>0</v>
      </c>
      <c r="Q154" s="687">
        <f t="shared" si="54"/>
        <v>0</v>
      </c>
      <c r="R154" s="688">
        <v>0</v>
      </c>
      <c r="S154" s="693"/>
      <c r="T154" s="690">
        <f t="shared" si="73"/>
        <v>0</v>
      </c>
      <c r="U154" s="683"/>
      <c r="V154" s="474">
        <f t="shared" si="74"/>
        <v>0</v>
      </c>
      <c r="W154" s="474">
        <f t="shared" si="75"/>
        <v>0</v>
      </c>
      <c r="X154" s="475">
        <f t="shared" si="76"/>
        <v>0</v>
      </c>
      <c r="Y154" s="475">
        <v>0</v>
      </c>
      <c r="Z154" s="476">
        <v>0</v>
      </c>
      <c r="AA154" s="38">
        <f t="shared" si="77"/>
        <v>0</v>
      </c>
      <c r="AB154" s="692">
        <f t="shared" si="55"/>
        <v>0</v>
      </c>
      <c r="AC154" s="692">
        <f t="shared" si="56"/>
        <v>0</v>
      </c>
      <c r="AD154" s="692">
        <f t="shared" si="57"/>
        <v>7837.5</v>
      </c>
      <c r="AE154" s="38"/>
      <c r="AF154" s="692">
        <f t="shared" si="78"/>
        <v>0</v>
      </c>
      <c r="AG154" s="692">
        <f t="shared" si="79"/>
        <v>0</v>
      </c>
      <c r="AH154" s="692">
        <f t="shared" si="80"/>
        <v>0</v>
      </c>
      <c r="AJ154" s="38">
        <f t="shared" si="81"/>
        <v>7837.5</v>
      </c>
    </row>
    <row r="155" spans="1:36" s="232" customFormat="1">
      <c r="A155" s="283"/>
      <c r="B155" s="283" t="s">
        <v>110</v>
      </c>
      <c r="C155" s="667"/>
      <c r="D155" s="567" t="s">
        <v>445</v>
      </c>
      <c r="E155" s="679"/>
      <c r="F155" s="529">
        <f>VLOOKUP(D155,'Oct 2012 Revenue'!D:T,17,FALSE)</f>
        <v>0</v>
      </c>
      <c r="G155" s="680"/>
      <c r="H155" s="680"/>
      <c r="I155" s="755"/>
      <c r="J155" s="682">
        <f t="shared" si="58"/>
        <v>0</v>
      </c>
      <c r="K155" s="683"/>
      <c r="L155" s="684"/>
      <c r="M155" s="753"/>
      <c r="N155" s="683">
        <v>0</v>
      </c>
      <c r="O155" s="686"/>
      <c r="P155" s="683">
        <v>0</v>
      </c>
      <c r="Q155" s="687">
        <f t="shared" si="54"/>
        <v>0</v>
      </c>
      <c r="R155" s="688">
        <v>0</v>
      </c>
      <c r="S155" s="693"/>
      <c r="T155" s="690">
        <f t="shared" si="73"/>
        <v>0</v>
      </c>
      <c r="U155" s="683"/>
      <c r="V155" s="474">
        <f t="shared" si="74"/>
        <v>0</v>
      </c>
      <c r="W155" s="474">
        <f t="shared" si="75"/>
        <v>0</v>
      </c>
      <c r="X155" s="475">
        <f t="shared" si="76"/>
        <v>0</v>
      </c>
      <c r="Y155" s="475">
        <v>0</v>
      </c>
      <c r="Z155" s="476">
        <v>0</v>
      </c>
      <c r="AA155" s="38">
        <f t="shared" si="77"/>
        <v>0</v>
      </c>
      <c r="AB155" s="692">
        <f t="shared" si="55"/>
        <v>0</v>
      </c>
      <c r="AC155" s="692">
        <f t="shared" si="56"/>
        <v>0</v>
      </c>
      <c r="AD155" s="692">
        <f t="shared" si="57"/>
        <v>0</v>
      </c>
      <c r="AE155" s="38"/>
      <c r="AF155" s="692">
        <f t="shared" si="78"/>
        <v>0</v>
      </c>
      <c r="AG155" s="692">
        <f t="shared" si="79"/>
        <v>0</v>
      </c>
      <c r="AH155" s="692">
        <f t="shared" si="80"/>
        <v>0</v>
      </c>
      <c r="AJ155" s="38">
        <f t="shared" si="81"/>
        <v>0</v>
      </c>
    </row>
    <row r="156" spans="1:36" s="232" customFormat="1">
      <c r="A156" s="283"/>
      <c r="B156" s="283" t="s">
        <v>109</v>
      </c>
      <c r="C156" s="667" t="s">
        <v>562</v>
      </c>
      <c r="D156" s="567" t="s">
        <v>480</v>
      </c>
      <c r="E156" s="679"/>
      <c r="F156" s="529">
        <f>VLOOKUP(D156,'Oct 2012 Revenue'!D:T,17,FALSE)</f>
        <v>0</v>
      </c>
      <c r="G156" s="680"/>
      <c r="H156" s="680"/>
      <c r="I156" s="770">
        <v>8739.0300000000007</v>
      </c>
      <c r="J156" s="682">
        <f t="shared" si="58"/>
        <v>8739.0300000000007</v>
      </c>
      <c r="K156" s="683"/>
      <c r="L156" s="684"/>
      <c r="M156" s="753"/>
      <c r="N156" s="683">
        <v>0</v>
      </c>
      <c r="O156" s="686"/>
      <c r="P156" s="683">
        <v>0</v>
      </c>
      <c r="Q156" s="687">
        <f t="shared" si="54"/>
        <v>0</v>
      </c>
      <c r="R156" s="688">
        <v>0</v>
      </c>
      <c r="S156" s="693"/>
      <c r="T156" s="690">
        <f t="shared" si="73"/>
        <v>0</v>
      </c>
      <c r="U156" s="683"/>
      <c r="V156" s="474">
        <f t="shared" si="74"/>
        <v>0</v>
      </c>
      <c r="W156" s="474">
        <f t="shared" si="75"/>
        <v>0</v>
      </c>
      <c r="X156" s="475">
        <f t="shared" si="76"/>
        <v>0</v>
      </c>
      <c r="Y156" s="475">
        <v>0</v>
      </c>
      <c r="Z156" s="476">
        <v>0</v>
      </c>
      <c r="AA156" s="38">
        <f t="shared" si="77"/>
        <v>0</v>
      </c>
      <c r="AB156" s="692">
        <f t="shared" si="55"/>
        <v>0</v>
      </c>
      <c r="AC156" s="692">
        <f t="shared" si="56"/>
        <v>8739.0300000000007</v>
      </c>
      <c r="AD156" s="692">
        <f t="shared" si="57"/>
        <v>0</v>
      </c>
      <c r="AE156" s="38"/>
      <c r="AF156" s="692">
        <f t="shared" si="78"/>
        <v>0</v>
      </c>
      <c r="AG156" s="692">
        <f t="shared" si="79"/>
        <v>0</v>
      </c>
      <c r="AH156" s="692">
        <f t="shared" si="80"/>
        <v>0</v>
      </c>
      <c r="AJ156" s="38">
        <f t="shared" si="81"/>
        <v>8739.0300000000007</v>
      </c>
    </row>
    <row r="157" spans="1:36" s="232" customFormat="1">
      <c r="A157" s="403"/>
      <c r="B157" s="403" t="s">
        <v>109</v>
      </c>
      <c r="C157" s="666" t="s">
        <v>563</v>
      </c>
      <c r="D157" s="123" t="s">
        <v>327</v>
      </c>
      <c r="E157" s="679"/>
      <c r="F157" s="529">
        <f>VLOOKUP(D157,'Oct 2012 Revenue'!D:T,17,FALSE)</f>
        <v>13688.899999999994</v>
      </c>
      <c r="G157" s="680"/>
      <c r="H157" s="680"/>
      <c r="I157" s="755"/>
      <c r="J157" s="682">
        <f t="shared" si="58"/>
        <v>13688.899999999994</v>
      </c>
      <c r="K157" s="683"/>
      <c r="L157" s="684"/>
      <c r="M157" s="753">
        <v>100000</v>
      </c>
      <c r="N157" s="683">
        <v>0</v>
      </c>
      <c r="O157" s="686"/>
      <c r="P157" s="683">
        <v>0</v>
      </c>
      <c r="Q157" s="687">
        <f t="shared" si="54"/>
        <v>100000</v>
      </c>
      <c r="R157" s="688">
        <v>72787.149999999994</v>
      </c>
      <c r="S157" s="693"/>
      <c r="T157" s="690">
        <f t="shared" si="73"/>
        <v>-27212.850000000006</v>
      </c>
      <c r="U157" s="683"/>
      <c r="V157" s="474">
        <f t="shared" si="74"/>
        <v>0</v>
      </c>
      <c r="W157" s="474">
        <f t="shared" si="75"/>
        <v>100000</v>
      </c>
      <c r="X157" s="475">
        <f t="shared" si="76"/>
        <v>0</v>
      </c>
      <c r="Y157" s="475">
        <v>0</v>
      </c>
      <c r="Z157" s="476">
        <v>0</v>
      </c>
      <c r="AA157" s="38">
        <f t="shared" si="77"/>
        <v>0</v>
      </c>
      <c r="AB157" s="692">
        <f t="shared" si="55"/>
        <v>0</v>
      </c>
      <c r="AC157" s="692">
        <f t="shared" si="56"/>
        <v>13688.899999999994</v>
      </c>
      <c r="AD157" s="692">
        <f t="shared" si="57"/>
        <v>0</v>
      </c>
      <c r="AE157" s="38"/>
      <c r="AF157" s="692">
        <f t="shared" si="78"/>
        <v>0</v>
      </c>
      <c r="AG157" s="692">
        <f t="shared" si="79"/>
        <v>100000</v>
      </c>
      <c r="AH157" s="692">
        <f t="shared" si="80"/>
        <v>0</v>
      </c>
      <c r="AJ157" s="38">
        <f t="shared" si="81"/>
        <v>113688.9</v>
      </c>
    </row>
    <row r="158" spans="1:36" s="232" customFormat="1">
      <c r="A158" s="403"/>
      <c r="B158" s="403" t="s">
        <v>110</v>
      </c>
      <c r="C158" s="666" t="s">
        <v>563</v>
      </c>
      <c r="D158" s="123" t="s">
        <v>637</v>
      </c>
      <c r="E158" s="679">
        <v>5389.12</v>
      </c>
      <c r="F158" s="529">
        <f>VLOOKUP(D158,'Oct 2012 Revenue'!D:T,17,FALSE)</f>
        <v>0</v>
      </c>
      <c r="G158" s="680"/>
      <c r="H158" s="680"/>
      <c r="I158" s="755"/>
      <c r="J158" s="682">
        <f t="shared" si="58"/>
        <v>5389.12</v>
      </c>
      <c r="K158" s="683"/>
      <c r="L158" s="684"/>
      <c r="M158" s="753"/>
      <c r="N158" s="683">
        <v>0</v>
      </c>
      <c r="O158" s="686"/>
      <c r="P158" s="683">
        <v>0</v>
      </c>
      <c r="Q158" s="687">
        <f t="shared" si="54"/>
        <v>0</v>
      </c>
      <c r="R158" s="688">
        <v>0</v>
      </c>
      <c r="S158" s="693"/>
      <c r="T158" s="690">
        <f t="shared" si="73"/>
        <v>0</v>
      </c>
      <c r="U158" s="683"/>
      <c r="V158" s="474">
        <f t="shared" si="74"/>
        <v>0</v>
      </c>
      <c r="W158" s="474">
        <f t="shared" si="75"/>
        <v>0</v>
      </c>
      <c r="X158" s="475">
        <f t="shared" si="76"/>
        <v>0</v>
      </c>
      <c r="Y158" s="475">
        <v>0</v>
      </c>
      <c r="Z158" s="476">
        <v>0</v>
      </c>
      <c r="AA158" s="38">
        <f t="shared" si="77"/>
        <v>0</v>
      </c>
      <c r="AB158" s="692">
        <f t="shared" si="55"/>
        <v>5389.12</v>
      </c>
      <c r="AC158" s="692">
        <f t="shared" si="56"/>
        <v>0</v>
      </c>
      <c r="AD158" s="692">
        <f t="shared" si="57"/>
        <v>0</v>
      </c>
      <c r="AE158" s="38"/>
      <c r="AF158" s="692">
        <f t="shared" si="78"/>
        <v>0</v>
      </c>
      <c r="AG158" s="692">
        <f t="shared" si="79"/>
        <v>0</v>
      </c>
      <c r="AH158" s="692">
        <f t="shared" si="80"/>
        <v>0</v>
      </c>
      <c r="AJ158" s="38">
        <f t="shared" si="81"/>
        <v>5389.12</v>
      </c>
    </row>
    <row r="159" spans="1:36">
      <c r="A159" s="21" t="s">
        <v>212</v>
      </c>
      <c r="B159" s="21" t="s">
        <v>110</v>
      </c>
      <c r="C159" s="666"/>
      <c r="D159" s="68" t="s">
        <v>232</v>
      </c>
      <c r="E159" s="679"/>
      <c r="F159" s="529">
        <f>VLOOKUP(D159,'Oct 2012 Revenue'!D:T,17,FALSE)</f>
        <v>0</v>
      </c>
      <c r="G159" s="680"/>
      <c r="H159" s="680"/>
      <c r="I159" s="755"/>
      <c r="J159" s="682">
        <f t="shared" si="58"/>
        <v>0</v>
      </c>
      <c r="K159" s="683"/>
      <c r="L159" s="684"/>
      <c r="M159" s="753"/>
      <c r="N159" s="683">
        <v>0</v>
      </c>
      <c r="O159" s="686"/>
      <c r="P159" s="683">
        <v>0</v>
      </c>
      <c r="Q159" s="687">
        <f t="shared" si="54"/>
        <v>0</v>
      </c>
      <c r="R159" s="688">
        <v>0</v>
      </c>
      <c r="S159" s="693"/>
      <c r="T159" s="690">
        <f t="shared" si="73"/>
        <v>0</v>
      </c>
      <c r="U159" s="683"/>
      <c r="V159" s="474">
        <f t="shared" si="74"/>
        <v>0</v>
      </c>
      <c r="W159" s="474">
        <f t="shared" si="75"/>
        <v>0</v>
      </c>
      <c r="X159" s="475">
        <f t="shared" si="76"/>
        <v>0</v>
      </c>
      <c r="Y159" s="475">
        <v>0</v>
      </c>
      <c r="Z159" s="476">
        <v>0</v>
      </c>
      <c r="AA159" s="38">
        <f t="shared" si="77"/>
        <v>0</v>
      </c>
      <c r="AB159" s="692">
        <f t="shared" si="55"/>
        <v>0</v>
      </c>
      <c r="AC159" s="692">
        <f t="shared" si="56"/>
        <v>0</v>
      </c>
      <c r="AD159" s="692">
        <f t="shared" si="57"/>
        <v>0</v>
      </c>
      <c r="AE159" s="38"/>
      <c r="AF159" s="692">
        <f t="shared" si="78"/>
        <v>0</v>
      </c>
      <c r="AG159" s="692">
        <f t="shared" si="79"/>
        <v>0</v>
      </c>
      <c r="AH159" s="692">
        <f t="shared" si="80"/>
        <v>0</v>
      </c>
      <c r="AJ159" s="38">
        <f t="shared" si="81"/>
        <v>0</v>
      </c>
    </row>
    <row r="160" spans="1:36">
      <c r="A160" s="21"/>
      <c r="B160" s="21" t="s">
        <v>109</v>
      </c>
      <c r="C160" s="666" t="s">
        <v>564</v>
      </c>
      <c r="D160" s="68" t="s">
        <v>876</v>
      </c>
      <c r="E160" s="679"/>
      <c r="F160" s="529">
        <f>VLOOKUP(D160,'Oct 2012 Revenue'!D:T,17,FALSE)</f>
        <v>5861.88</v>
      </c>
      <c r="G160" s="680"/>
      <c r="H160" s="680"/>
      <c r="I160" s="755"/>
      <c r="J160" s="682">
        <f t="shared" si="58"/>
        <v>5861.88</v>
      </c>
      <c r="K160" s="683"/>
      <c r="L160" s="684"/>
      <c r="M160" s="753"/>
      <c r="N160" s="683">
        <v>0</v>
      </c>
      <c r="O160" s="686"/>
      <c r="P160" s="683">
        <v>0</v>
      </c>
      <c r="Q160" s="687">
        <f t="shared" si="54"/>
        <v>0</v>
      </c>
      <c r="R160" s="688">
        <v>0</v>
      </c>
      <c r="S160" s="693"/>
      <c r="T160" s="690">
        <f t="shared" si="73"/>
        <v>0</v>
      </c>
      <c r="U160" s="683"/>
      <c r="V160" s="474">
        <f t="shared" si="74"/>
        <v>0</v>
      </c>
      <c r="W160" s="474">
        <f t="shared" si="75"/>
        <v>0</v>
      </c>
      <c r="X160" s="475">
        <f t="shared" si="76"/>
        <v>0</v>
      </c>
      <c r="Y160" s="475">
        <v>0</v>
      </c>
      <c r="Z160" s="476">
        <v>0</v>
      </c>
      <c r="AA160" s="38">
        <f t="shared" si="77"/>
        <v>0</v>
      </c>
      <c r="AB160" s="692">
        <f t="shared" si="55"/>
        <v>0</v>
      </c>
      <c r="AC160" s="692">
        <f t="shared" si="56"/>
        <v>5861.88</v>
      </c>
      <c r="AD160" s="692">
        <f t="shared" si="57"/>
        <v>0</v>
      </c>
      <c r="AE160" s="38"/>
      <c r="AF160" s="692">
        <f t="shared" si="78"/>
        <v>0</v>
      </c>
      <c r="AG160" s="692">
        <f t="shared" si="79"/>
        <v>0</v>
      </c>
      <c r="AH160" s="692">
        <f t="shared" si="80"/>
        <v>0</v>
      </c>
      <c r="AJ160" s="38">
        <f t="shared" si="81"/>
        <v>5861.88</v>
      </c>
    </row>
    <row r="161" spans="1:36">
      <c r="A161" s="21"/>
      <c r="B161" s="21" t="s">
        <v>109</v>
      </c>
      <c r="C161" s="666" t="s">
        <v>564</v>
      </c>
      <c r="D161" s="68" t="s">
        <v>307</v>
      </c>
      <c r="E161" s="679"/>
      <c r="F161" s="529">
        <f>VLOOKUP(D161,'Oct 2012 Revenue'!D:T,17,FALSE)</f>
        <v>0</v>
      </c>
      <c r="G161" s="680"/>
      <c r="H161" s="680"/>
      <c r="I161" s="755"/>
      <c r="J161" s="682">
        <f t="shared" si="58"/>
        <v>0</v>
      </c>
      <c r="K161" s="683"/>
      <c r="L161" s="684"/>
      <c r="M161" s="753"/>
      <c r="N161" s="683">
        <v>0</v>
      </c>
      <c r="O161" s="686"/>
      <c r="P161" s="683">
        <v>0</v>
      </c>
      <c r="Q161" s="687">
        <f t="shared" si="54"/>
        <v>0</v>
      </c>
      <c r="R161" s="688">
        <v>0</v>
      </c>
      <c r="S161" s="693"/>
      <c r="T161" s="690">
        <f t="shared" si="73"/>
        <v>0</v>
      </c>
      <c r="U161" s="683"/>
      <c r="V161" s="474">
        <f t="shared" si="74"/>
        <v>0</v>
      </c>
      <c r="W161" s="474">
        <f t="shared" si="75"/>
        <v>0</v>
      </c>
      <c r="X161" s="475">
        <f t="shared" si="76"/>
        <v>0</v>
      </c>
      <c r="Y161" s="475">
        <v>0</v>
      </c>
      <c r="Z161" s="476">
        <v>0</v>
      </c>
      <c r="AA161" s="38">
        <f t="shared" si="77"/>
        <v>0</v>
      </c>
      <c r="AB161" s="692">
        <f t="shared" si="55"/>
        <v>0</v>
      </c>
      <c r="AC161" s="692">
        <f t="shared" si="56"/>
        <v>0</v>
      </c>
      <c r="AD161" s="692">
        <f t="shared" si="57"/>
        <v>0</v>
      </c>
      <c r="AE161" s="38"/>
      <c r="AF161" s="692">
        <f t="shared" si="78"/>
        <v>0</v>
      </c>
      <c r="AG161" s="692">
        <f t="shared" si="79"/>
        <v>0</v>
      </c>
      <c r="AH161" s="692">
        <f t="shared" si="80"/>
        <v>0</v>
      </c>
      <c r="AJ161" s="38">
        <f t="shared" si="81"/>
        <v>0</v>
      </c>
    </row>
    <row r="162" spans="1:36">
      <c r="A162" s="21"/>
      <c r="B162" s="21" t="s">
        <v>109</v>
      </c>
      <c r="C162" s="666" t="s">
        <v>565</v>
      </c>
      <c r="D162" s="68" t="s">
        <v>485</v>
      </c>
      <c r="E162" s="679"/>
      <c r="F162" s="529">
        <f>VLOOKUP(D162,'Oct 2012 Revenue'!D:T,17,FALSE)</f>
        <v>-29000</v>
      </c>
      <c r="G162" s="680"/>
      <c r="H162" s="680"/>
      <c r="I162" s="755"/>
      <c r="J162" s="682">
        <f t="shared" si="58"/>
        <v>-29000</v>
      </c>
      <c r="K162" s="683"/>
      <c r="L162" s="684"/>
      <c r="M162" s="753">
        <v>58000</v>
      </c>
      <c r="N162" s="683"/>
      <c r="O162" s="686"/>
      <c r="P162" s="683"/>
      <c r="Q162" s="687">
        <f t="shared" si="54"/>
        <v>58000</v>
      </c>
      <c r="R162" s="688">
        <v>98985.3</v>
      </c>
      <c r="S162" s="693"/>
      <c r="T162" s="690">
        <f t="shared" si="73"/>
        <v>40985.300000000003</v>
      </c>
      <c r="U162" s="683"/>
      <c r="V162" s="474">
        <f t="shared" si="74"/>
        <v>0</v>
      </c>
      <c r="W162" s="474">
        <f t="shared" si="75"/>
        <v>58000</v>
      </c>
      <c r="X162" s="475">
        <f t="shared" si="76"/>
        <v>0</v>
      </c>
      <c r="Y162" s="475">
        <v>0</v>
      </c>
      <c r="Z162" s="476">
        <v>0</v>
      </c>
      <c r="AA162" s="38">
        <f t="shared" si="77"/>
        <v>0</v>
      </c>
      <c r="AB162" s="692">
        <f t="shared" si="55"/>
        <v>0</v>
      </c>
      <c r="AC162" s="692">
        <f t="shared" si="56"/>
        <v>-29000</v>
      </c>
      <c r="AD162" s="692">
        <f t="shared" si="57"/>
        <v>0</v>
      </c>
      <c r="AE162" s="38"/>
      <c r="AF162" s="692">
        <f t="shared" si="78"/>
        <v>0</v>
      </c>
      <c r="AG162" s="692">
        <f t="shared" si="79"/>
        <v>58000</v>
      </c>
      <c r="AH162" s="692">
        <f t="shared" si="80"/>
        <v>0</v>
      </c>
      <c r="AJ162" s="38">
        <f t="shared" si="81"/>
        <v>29000</v>
      </c>
    </row>
    <row r="163" spans="1:36" s="232" customFormat="1">
      <c r="A163" s="403"/>
      <c r="B163" s="403" t="s">
        <v>109</v>
      </c>
      <c r="C163" s="666"/>
      <c r="D163" s="123" t="s">
        <v>220</v>
      </c>
      <c r="E163" s="679"/>
      <c r="F163" s="529">
        <f>VLOOKUP(D163,'Oct 2012 Revenue'!D:T,17,FALSE)</f>
        <v>0</v>
      </c>
      <c r="G163" s="680"/>
      <c r="H163" s="680"/>
      <c r="I163" s="755"/>
      <c r="J163" s="682">
        <f t="shared" si="58"/>
        <v>0</v>
      </c>
      <c r="K163" s="683"/>
      <c r="L163" s="684"/>
      <c r="M163" s="753"/>
      <c r="N163" s="683">
        <v>0</v>
      </c>
      <c r="O163" s="686"/>
      <c r="P163" s="683">
        <v>0</v>
      </c>
      <c r="Q163" s="687">
        <f t="shared" si="54"/>
        <v>0</v>
      </c>
      <c r="R163" s="688">
        <v>0</v>
      </c>
      <c r="S163" s="693"/>
      <c r="T163" s="690">
        <f t="shared" si="73"/>
        <v>0</v>
      </c>
      <c r="U163" s="683"/>
      <c r="V163" s="474">
        <f t="shared" si="74"/>
        <v>0</v>
      </c>
      <c r="W163" s="474">
        <f t="shared" si="75"/>
        <v>0</v>
      </c>
      <c r="X163" s="475">
        <f t="shared" si="76"/>
        <v>0</v>
      </c>
      <c r="Y163" s="475">
        <v>0</v>
      </c>
      <c r="Z163" s="476">
        <v>0</v>
      </c>
      <c r="AA163" s="38">
        <f t="shared" si="77"/>
        <v>0</v>
      </c>
      <c r="AB163" s="692">
        <f t="shared" si="55"/>
        <v>0</v>
      </c>
      <c r="AC163" s="692">
        <f t="shared" si="56"/>
        <v>0</v>
      </c>
      <c r="AD163" s="692">
        <f t="shared" si="57"/>
        <v>0</v>
      </c>
      <c r="AE163" s="38"/>
      <c r="AF163" s="692">
        <f t="shared" si="78"/>
        <v>0</v>
      </c>
      <c r="AG163" s="692">
        <f t="shared" si="79"/>
        <v>0</v>
      </c>
      <c r="AH163" s="692">
        <f t="shared" si="80"/>
        <v>0</v>
      </c>
      <c r="AJ163" s="38">
        <f t="shared" si="81"/>
        <v>0</v>
      </c>
    </row>
    <row r="164" spans="1:36" s="24" customFormat="1">
      <c r="A164" s="472"/>
      <c r="B164" s="21" t="s">
        <v>109</v>
      </c>
      <c r="C164" s="666"/>
      <c r="D164" s="68" t="s">
        <v>505</v>
      </c>
      <c r="E164" s="679"/>
      <c r="F164" s="529">
        <f>VLOOKUP(D164,'Oct 2012 Revenue'!D:T,17,FALSE)</f>
        <v>0</v>
      </c>
      <c r="G164" s="680"/>
      <c r="H164" s="680"/>
      <c r="I164" s="770">
        <v>6706.24</v>
      </c>
      <c r="J164" s="682">
        <f t="shared" si="58"/>
        <v>6706.24</v>
      </c>
      <c r="K164" s="698"/>
      <c r="L164" s="684"/>
      <c r="M164" s="753"/>
      <c r="N164" s="698">
        <v>0</v>
      </c>
      <c r="O164" s="686"/>
      <c r="P164" s="698">
        <v>0</v>
      </c>
      <c r="Q164" s="700">
        <f t="shared" si="54"/>
        <v>0</v>
      </c>
      <c r="R164" s="688">
        <v>0</v>
      </c>
      <c r="S164" s="701"/>
      <c r="T164" s="702">
        <f t="shared" si="73"/>
        <v>0</v>
      </c>
      <c r="U164" s="698"/>
      <c r="V164" s="474">
        <f t="shared" si="74"/>
        <v>0</v>
      </c>
      <c r="W164" s="474">
        <f t="shared" si="75"/>
        <v>0</v>
      </c>
      <c r="X164" s="475">
        <f t="shared" si="76"/>
        <v>0</v>
      </c>
      <c r="Y164" s="475">
        <v>0</v>
      </c>
      <c r="Z164" s="476">
        <v>0</v>
      </c>
      <c r="AA164" s="38">
        <f t="shared" si="77"/>
        <v>0</v>
      </c>
      <c r="AB164" s="692">
        <f t="shared" si="55"/>
        <v>0</v>
      </c>
      <c r="AC164" s="692">
        <f t="shared" si="56"/>
        <v>6706.24</v>
      </c>
      <c r="AD164" s="692">
        <f t="shared" si="57"/>
        <v>0</v>
      </c>
      <c r="AE164" s="38"/>
      <c r="AF164" s="692">
        <f t="shared" si="78"/>
        <v>0</v>
      </c>
      <c r="AG164" s="692">
        <f t="shared" si="79"/>
        <v>0</v>
      </c>
      <c r="AH164" s="692">
        <f t="shared" si="80"/>
        <v>0</v>
      </c>
      <c r="AJ164" s="38">
        <f t="shared" si="81"/>
        <v>6706.24</v>
      </c>
    </row>
    <row r="165" spans="1:36">
      <c r="A165" s="21"/>
      <c r="B165" s="21" t="s">
        <v>110</v>
      </c>
      <c r="C165" s="666"/>
      <c r="D165" s="68" t="s">
        <v>185</v>
      </c>
      <c r="E165" s="679"/>
      <c r="F165" s="529">
        <f>VLOOKUP(D165,'Oct 2012 Revenue'!D:T,17,FALSE)</f>
        <v>0</v>
      </c>
      <c r="G165" s="680"/>
      <c r="H165" s="680"/>
      <c r="I165" s="755"/>
      <c r="J165" s="682">
        <f t="shared" si="58"/>
        <v>0</v>
      </c>
      <c r="K165" s="683"/>
      <c r="L165" s="684"/>
      <c r="M165" s="753"/>
      <c r="N165" s="683">
        <v>0</v>
      </c>
      <c r="O165" s="686"/>
      <c r="P165" s="683">
        <v>0</v>
      </c>
      <c r="Q165" s="687">
        <f t="shared" si="54"/>
        <v>0</v>
      </c>
      <c r="R165" s="688">
        <v>0</v>
      </c>
      <c r="S165" s="693"/>
      <c r="T165" s="690">
        <f t="shared" si="73"/>
        <v>0</v>
      </c>
      <c r="U165" s="683"/>
      <c r="V165" s="474">
        <f t="shared" si="74"/>
        <v>0</v>
      </c>
      <c r="W165" s="474">
        <f t="shared" si="75"/>
        <v>0</v>
      </c>
      <c r="X165" s="475">
        <f t="shared" si="76"/>
        <v>0</v>
      </c>
      <c r="Y165" s="475">
        <v>0</v>
      </c>
      <c r="Z165" s="476">
        <v>0</v>
      </c>
      <c r="AA165" s="38">
        <f t="shared" si="77"/>
        <v>0</v>
      </c>
      <c r="AB165" s="692">
        <f t="shared" si="55"/>
        <v>0</v>
      </c>
      <c r="AC165" s="692">
        <f t="shared" si="56"/>
        <v>0</v>
      </c>
      <c r="AD165" s="692">
        <f t="shared" si="57"/>
        <v>0</v>
      </c>
      <c r="AE165" s="38"/>
      <c r="AF165" s="692">
        <f t="shared" si="78"/>
        <v>0</v>
      </c>
      <c r="AG165" s="692">
        <f t="shared" si="79"/>
        <v>0</v>
      </c>
      <c r="AH165" s="692">
        <f t="shared" si="80"/>
        <v>0</v>
      </c>
      <c r="AJ165" s="38">
        <f t="shared" si="81"/>
        <v>0</v>
      </c>
    </row>
    <row r="166" spans="1:36">
      <c r="A166" s="21"/>
      <c r="B166" s="21" t="s">
        <v>110</v>
      </c>
      <c r="C166" s="666"/>
      <c r="D166" s="68" t="s">
        <v>186</v>
      </c>
      <c r="E166" s="679"/>
      <c r="F166" s="529">
        <f>VLOOKUP(D166,'Oct 2012 Revenue'!D:T,17,FALSE)</f>
        <v>0</v>
      </c>
      <c r="G166" s="680"/>
      <c r="H166" s="680"/>
      <c r="I166" s="755"/>
      <c r="J166" s="682">
        <f t="shared" si="58"/>
        <v>0</v>
      </c>
      <c r="K166" s="683"/>
      <c r="L166" s="684"/>
      <c r="M166" s="753"/>
      <c r="N166" s="683">
        <v>0</v>
      </c>
      <c r="O166" s="686"/>
      <c r="P166" s="683">
        <v>0</v>
      </c>
      <c r="Q166" s="687">
        <f t="shared" si="54"/>
        <v>0</v>
      </c>
      <c r="R166" s="688">
        <v>0</v>
      </c>
      <c r="S166" s="693"/>
      <c r="T166" s="690">
        <f t="shared" si="73"/>
        <v>0</v>
      </c>
      <c r="U166" s="683"/>
      <c r="V166" s="474">
        <f t="shared" si="74"/>
        <v>0</v>
      </c>
      <c r="W166" s="474">
        <f t="shared" si="75"/>
        <v>0</v>
      </c>
      <c r="X166" s="475">
        <f t="shared" si="76"/>
        <v>0</v>
      </c>
      <c r="Y166" s="475">
        <v>0</v>
      </c>
      <c r="Z166" s="476">
        <v>0</v>
      </c>
      <c r="AA166" s="38">
        <f t="shared" si="77"/>
        <v>0</v>
      </c>
      <c r="AB166" s="692">
        <f t="shared" si="55"/>
        <v>0</v>
      </c>
      <c r="AC166" s="692">
        <f t="shared" si="56"/>
        <v>0</v>
      </c>
      <c r="AD166" s="692">
        <f t="shared" si="57"/>
        <v>0</v>
      </c>
      <c r="AE166" s="38"/>
      <c r="AF166" s="692">
        <f t="shared" si="78"/>
        <v>0</v>
      </c>
      <c r="AG166" s="692">
        <f t="shared" si="79"/>
        <v>0</v>
      </c>
      <c r="AH166" s="692">
        <f t="shared" si="80"/>
        <v>0</v>
      </c>
      <c r="AJ166" s="38">
        <f t="shared" si="81"/>
        <v>0</v>
      </c>
    </row>
    <row r="167" spans="1:36">
      <c r="A167" s="21"/>
      <c r="B167" s="21" t="s">
        <v>110</v>
      </c>
      <c r="C167" s="666"/>
      <c r="D167" s="68" t="s">
        <v>449</v>
      </c>
      <c r="E167" s="679"/>
      <c r="F167" s="529">
        <f>VLOOKUP(D167,'Oct 2012 Revenue'!D:T,17,FALSE)</f>
        <v>0</v>
      </c>
      <c r="G167" s="680"/>
      <c r="H167" s="680"/>
      <c r="I167" s="755"/>
      <c r="J167" s="682">
        <f t="shared" si="58"/>
        <v>0</v>
      </c>
      <c r="K167" s="683"/>
      <c r="L167" s="684"/>
      <c r="M167" s="753"/>
      <c r="N167" s="683">
        <v>0</v>
      </c>
      <c r="O167" s="686"/>
      <c r="P167" s="683">
        <v>0</v>
      </c>
      <c r="Q167" s="687">
        <f t="shared" si="54"/>
        <v>0</v>
      </c>
      <c r="R167" s="688">
        <v>0</v>
      </c>
      <c r="S167" s="693"/>
      <c r="T167" s="690">
        <f t="shared" si="73"/>
        <v>0</v>
      </c>
      <c r="U167" s="683"/>
      <c r="V167" s="474">
        <f t="shared" si="74"/>
        <v>0</v>
      </c>
      <c r="W167" s="474">
        <f t="shared" si="75"/>
        <v>0</v>
      </c>
      <c r="X167" s="475">
        <f t="shared" si="76"/>
        <v>0</v>
      </c>
      <c r="Y167" s="475">
        <v>0</v>
      </c>
      <c r="Z167" s="476">
        <v>0</v>
      </c>
      <c r="AA167" s="38">
        <f t="shared" si="77"/>
        <v>0</v>
      </c>
      <c r="AB167" s="692">
        <f t="shared" si="55"/>
        <v>0</v>
      </c>
      <c r="AC167" s="692">
        <f t="shared" si="56"/>
        <v>0</v>
      </c>
      <c r="AD167" s="692">
        <f t="shared" si="57"/>
        <v>0</v>
      </c>
      <c r="AE167" s="38"/>
      <c r="AF167" s="692">
        <f t="shared" si="78"/>
        <v>0</v>
      </c>
      <c r="AG167" s="692">
        <f t="shared" si="79"/>
        <v>0</v>
      </c>
      <c r="AH167" s="692">
        <f t="shared" si="80"/>
        <v>0</v>
      </c>
      <c r="AJ167" s="38">
        <f t="shared" si="81"/>
        <v>0</v>
      </c>
    </row>
    <row r="168" spans="1:36">
      <c r="A168" s="21"/>
      <c r="B168" s="21" t="s">
        <v>110</v>
      </c>
      <c r="C168" s="666" t="s">
        <v>566</v>
      </c>
      <c r="D168" s="68" t="s">
        <v>39</v>
      </c>
      <c r="E168" s="679"/>
      <c r="F168" s="529">
        <f>VLOOKUP(D168,'Oct 2012 Revenue'!D:T,17,FALSE)</f>
        <v>0</v>
      </c>
      <c r="G168" s="680"/>
      <c r="H168" s="680"/>
      <c r="I168" s="755"/>
      <c r="J168" s="682">
        <f t="shared" si="58"/>
        <v>0</v>
      </c>
      <c r="K168" s="683"/>
      <c r="L168" s="684"/>
      <c r="M168" s="753"/>
      <c r="N168" s="683">
        <v>0</v>
      </c>
      <c r="O168" s="686"/>
      <c r="P168" s="683">
        <v>0</v>
      </c>
      <c r="Q168" s="687">
        <f t="shared" si="54"/>
        <v>0</v>
      </c>
      <c r="R168" s="688">
        <v>3196.49</v>
      </c>
      <c r="S168" s="693"/>
      <c r="T168" s="690">
        <f t="shared" si="73"/>
        <v>3196.49</v>
      </c>
      <c r="U168" s="683"/>
      <c r="V168" s="474">
        <f t="shared" si="74"/>
        <v>0</v>
      </c>
      <c r="W168" s="474">
        <f t="shared" si="75"/>
        <v>0</v>
      </c>
      <c r="X168" s="475">
        <f t="shared" si="76"/>
        <v>0</v>
      </c>
      <c r="Y168" s="475">
        <v>0</v>
      </c>
      <c r="Z168" s="476">
        <v>0</v>
      </c>
      <c r="AA168" s="38">
        <f t="shared" si="77"/>
        <v>0</v>
      </c>
      <c r="AB168" s="692">
        <f t="shared" si="55"/>
        <v>0</v>
      </c>
      <c r="AC168" s="692">
        <f t="shared" si="56"/>
        <v>0</v>
      </c>
      <c r="AD168" s="692">
        <f t="shared" si="57"/>
        <v>0</v>
      </c>
      <c r="AE168" s="38"/>
      <c r="AF168" s="692">
        <f t="shared" si="78"/>
        <v>0</v>
      </c>
      <c r="AG168" s="692">
        <f t="shared" si="79"/>
        <v>0</v>
      </c>
      <c r="AH168" s="692">
        <f t="shared" si="80"/>
        <v>0</v>
      </c>
      <c r="AJ168" s="38">
        <f t="shared" si="81"/>
        <v>0</v>
      </c>
    </row>
    <row r="169" spans="1:36">
      <c r="A169" s="21"/>
      <c r="B169" s="21" t="s">
        <v>110</v>
      </c>
      <c r="C169" s="666" t="s">
        <v>567</v>
      </c>
      <c r="D169" s="68" t="s">
        <v>435</v>
      </c>
      <c r="E169" s="679"/>
      <c r="F169" s="529">
        <f>VLOOKUP(D169,'Oct 2012 Revenue'!D:T,17,FALSE)</f>
        <v>5260.4199999999983</v>
      </c>
      <c r="G169" s="680"/>
      <c r="H169" s="680"/>
      <c r="I169" s="755"/>
      <c r="J169" s="682">
        <f t="shared" si="58"/>
        <v>5260.4199999999983</v>
      </c>
      <c r="K169" s="683"/>
      <c r="L169" s="684"/>
      <c r="M169" s="753">
        <v>25000</v>
      </c>
      <c r="N169" s="683">
        <v>0</v>
      </c>
      <c r="O169" s="686"/>
      <c r="P169" s="683">
        <v>0</v>
      </c>
      <c r="Q169" s="687">
        <f t="shared" si="54"/>
        <v>25000</v>
      </c>
      <c r="R169" s="688">
        <v>26658.2</v>
      </c>
      <c r="S169" s="693"/>
      <c r="T169" s="690">
        <f t="shared" si="73"/>
        <v>1658.2000000000007</v>
      </c>
      <c r="U169" s="683"/>
      <c r="V169" s="474">
        <f t="shared" si="74"/>
        <v>25000</v>
      </c>
      <c r="W169" s="474">
        <f t="shared" si="75"/>
        <v>0</v>
      </c>
      <c r="X169" s="475">
        <f t="shared" si="76"/>
        <v>0</v>
      </c>
      <c r="Y169" s="475">
        <v>0</v>
      </c>
      <c r="Z169" s="476">
        <v>0</v>
      </c>
      <c r="AA169" s="38">
        <f t="shared" si="77"/>
        <v>0</v>
      </c>
      <c r="AB169" s="692">
        <f t="shared" si="55"/>
        <v>5260.4199999999983</v>
      </c>
      <c r="AC169" s="692">
        <f t="shared" si="56"/>
        <v>0</v>
      </c>
      <c r="AD169" s="692">
        <f t="shared" si="57"/>
        <v>0</v>
      </c>
      <c r="AE169" s="38"/>
      <c r="AF169" s="692">
        <f t="shared" si="78"/>
        <v>25000</v>
      </c>
      <c r="AG169" s="692">
        <f t="shared" si="79"/>
        <v>0</v>
      </c>
      <c r="AH169" s="692">
        <f t="shared" si="80"/>
        <v>0</v>
      </c>
      <c r="AJ169" s="38">
        <f t="shared" si="81"/>
        <v>30260.42</v>
      </c>
    </row>
    <row r="170" spans="1:36">
      <c r="A170" s="21"/>
      <c r="B170" s="21" t="s">
        <v>110</v>
      </c>
      <c r="C170" s="675" t="s">
        <v>584</v>
      </c>
      <c r="D170" s="68" t="s">
        <v>99</v>
      </c>
      <c r="E170" s="679"/>
      <c r="F170" s="529">
        <f>VLOOKUP(D170,'Oct 2012 Revenue'!D:T,17,FALSE)</f>
        <v>-40000</v>
      </c>
      <c r="G170" s="680"/>
      <c r="H170" s="680"/>
      <c r="I170" s="755"/>
      <c r="J170" s="682">
        <f t="shared" si="58"/>
        <v>-40000</v>
      </c>
      <c r="K170" s="683"/>
      <c r="L170" s="684"/>
      <c r="M170" s="753">
        <v>60000</v>
      </c>
      <c r="N170" s="683">
        <v>0</v>
      </c>
      <c r="O170" s="686"/>
      <c r="P170" s="683">
        <v>0</v>
      </c>
      <c r="Q170" s="687">
        <f t="shared" si="54"/>
        <v>60000</v>
      </c>
      <c r="R170" s="688">
        <v>18376.22</v>
      </c>
      <c r="S170" s="693"/>
      <c r="T170" s="690">
        <f t="shared" si="73"/>
        <v>-41623.78</v>
      </c>
      <c r="U170" s="683"/>
      <c r="V170" s="474">
        <f t="shared" si="74"/>
        <v>60000</v>
      </c>
      <c r="W170" s="474">
        <f t="shared" si="75"/>
        <v>0</v>
      </c>
      <c r="X170" s="475">
        <f t="shared" si="76"/>
        <v>0</v>
      </c>
      <c r="Y170" s="475">
        <v>0</v>
      </c>
      <c r="Z170" s="476">
        <v>0</v>
      </c>
      <c r="AA170" s="38">
        <f t="shared" si="77"/>
        <v>0</v>
      </c>
      <c r="AB170" s="692">
        <f t="shared" si="55"/>
        <v>-40000</v>
      </c>
      <c r="AC170" s="692">
        <f t="shared" si="56"/>
        <v>0</v>
      </c>
      <c r="AD170" s="692">
        <f t="shared" si="57"/>
        <v>0</v>
      </c>
      <c r="AE170" s="38"/>
      <c r="AF170" s="692">
        <f t="shared" si="78"/>
        <v>60000</v>
      </c>
      <c r="AG170" s="692">
        <f t="shared" si="79"/>
        <v>0</v>
      </c>
      <c r="AH170" s="692">
        <f t="shared" si="80"/>
        <v>0</v>
      </c>
      <c r="AJ170" s="38">
        <f t="shared" si="81"/>
        <v>20000</v>
      </c>
    </row>
    <row r="171" spans="1:36" s="232" customFormat="1">
      <c r="A171" s="403"/>
      <c r="B171" s="403" t="s">
        <v>110</v>
      </c>
      <c r="C171" s="666"/>
      <c r="D171" s="123" t="s">
        <v>378</v>
      </c>
      <c r="E171" s="679"/>
      <c r="F171" s="529">
        <f>VLOOKUP(D171,'Oct 2012 Revenue'!D:T,17,FALSE)</f>
        <v>0</v>
      </c>
      <c r="G171" s="680"/>
      <c r="H171" s="680"/>
      <c r="I171" s="755"/>
      <c r="J171" s="682">
        <f t="shared" si="58"/>
        <v>0</v>
      </c>
      <c r="K171" s="683"/>
      <c r="L171" s="684"/>
      <c r="M171" s="753"/>
      <c r="N171" s="683">
        <v>0</v>
      </c>
      <c r="O171" s="686"/>
      <c r="P171" s="683">
        <v>0</v>
      </c>
      <c r="Q171" s="687">
        <f t="shared" si="54"/>
        <v>0</v>
      </c>
      <c r="R171" s="688">
        <v>0</v>
      </c>
      <c r="S171" s="693"/>
      <c r="T171" s="690">
        <f t="shared" si="73"/>
        <v>0</v>
      </c>
      <c r="U171" s="683"/>
      <c r="V171" s="474">
        <f t="shared" si="74"/>
        <v>0</v>
      </c>
      <c r="W171" s="474">
        <f t="shared" si="75"/>
        <v>0</v>
      </c>
      <c r="X171" s="475">
        <f t="shared" si="76"/>
        <v>0</v>
      </c>
      <c r="Y171" s="475">
        <v>0</v>
      </c>
      <c r="Z171" s="476">
        <v>0</v>
      </c>
      <c r="AA171" s="38">
        <f t="shared" si="77"/>
        <v>0</v>
      </c>
      <c r="AB171" s="692">
        <f t="shared" si="55"/>
        <v>0</v>
      </c>
      <c r="AC171" s="692">
        <f t="shared" si="56"/>
        <v>0</v>
      </c>
      <c r="AD171" s="692">
        <f t="shared" si="57"/>
        <v>0</v>
      </c>
      <c r="AE171" s="38"/>
      <c r="AF171" s="692">
        <f t="shared" si="78"/>
        <v>0</v>
      </c>
      <c r="AG171" s="692">
        <f t="shared" si="79"/>
        <v>0</v>
      </c>
      <c r="AH171" s="692">
        <f t="shared" si="80"/>
        <v>0</v>
      </c>
      <c r="AJ171" s="38">
        <f t="shared" si="81"/>
        <v>0</v>
      </c>
    </row>
    <row r="172" spans="1:36" s="232" customFormat="1">
      <c r="A172" s="403"/>
      <c r="B172" s="403" t="s">
        <v>110</v>
      </c>
      <c r="C172" s="666" t="s">
        <v>568</v>
      </c>
      <c r="D172" s="123" t="s">
        <v>303</v>
      </c>
      <c r="E172" s="679">
        <v>84062.1</v>
      </c>
      <c r="F172" s="529">
        <f>VLOOKUP(D172,'Oct 2012 Revenue'!D:T,17,FALSE)</f>
        <v>-170000</v>
      </c>
      <c r="G172" s="680"/>
      <c r="H172" s="680"/>
      <c r="I172" s="755"/>
      <c r="J172" s="682">
        <f t="shared" si="58"/>
        <v>-85937.9</v>
      </c>
      <c r="K172" s="683"/>
      <c r="L172" s="684"/>
      <c r="M172" s="753">
        <v>85000</v>
      </c>
      <c r="N172" s="683">
        <v>0</v>
      </c>
      <c r="O172" s="686"/>
      <c r="P172" s="683">
        <v>0</v>
      </c>
      <c r="Q172" s="687">
        <f t="shared" si="54"/>
        <v>85000</v>
      </c>
      <c r="R172" s="688">
        <v>83469.14</v>
      </c>
      <c r="S172" s="693"/>
      <c r="T172" s="690">
        <f t="shared" si="73"/>
        <v>-1530.8600000000006</v>
      </c>
      <c r="U172" s="683"/>
      <c r="V172" s="474">
        <f t="shared" si="74"/>
        <v>85000</v>
      </c>
      <c r="W172" s="474">
        <f t="shared" si="75"/>
        <v>0</v>
      </c>
      <c r="X172" s="475">
        <f t="shared" si="76"/>
        <v>0</v>
      </c>
      <c r="Y172" s="475">
        <v>0</v>
      </c>
      <c r="Z172" s="476">
        <v>0</v>
      </c>
      <c r="AA172" s="38">
        <f t="shared" si="77"/>
        <v>0</v>
      </c>
      <c r="AB172" s="692">
        <f t="shared" si="55"/>
        <v>-85937.9</v>
      </c>
      <c r="AC172" s="692">
        <f t="shared" si="56"/>
        <v>0</v>
      </c>
      <c r="AD172" s="692">
        <f t="shared" si="57"/>
        <v>0</v>
      </c>
      <c r="AE172" s="38"/>
      <c r="AF172" s="692">
        <f t="shared" si="78"/>
        <v>85000</v>
      </c>
      <c r="AG172" s="692">
        <f t="shared" si="79"/>
        <v>0</v>
      </c>
      <c r="AH172" s="692">
        <f t="shared" si="80"/>
        <v>0</v>
      </c>
      <c r="AJ172" s="38">
        <f t="shared" si="81"/>
        <v>-937.89999999999418</v>
      </c>
    </row>
    <row r="173" spans="1:36" s="232" customFormat="1">
      <c r="A173" s="403"/>
      <c r="B173" s="403" t="s">
        <v>110</v>
      </c>
      <c r="C173" s="666"/>
      <c r="D173" s="123" t="s">
        <v>856</v>
      </c>
      <c r="E173" s="679">
        <f>5266.74+5290.02</f>
        <v>10556.76</v>
      </c>
      <c r="F173" s="529">
        <f>VLOOKUP(D173,'Oct 2012 Revenue'!D:T,17,FALSE)</f>
        <v>-22000</v>
      </c>
      <c r="G173" s="680"/>
      <c r="H173" s="680"/>
      <c r="I173" s="755"/>
      <c r="J173" s="682">
        <f t="shared" si="58"/>
        <v>-11443.24</v>
      </c>
      <c r="K173" s="683"/>
      <c r="L173" s="684"/>
      <c r="M173" s="753">
        <v>11000</v>
      </c>
      <c r="N173" s="683">
        <v>0</v>
      </c>
      <c r="O173" s="686"/>
      <c r="P173" s="683">
        <v>0</v>
      </c>
      <c r="Q173" s="687">
        <f t="shared" si="54"/>
        <v>11000</v>
      </c>
      <c r="R173" s="688">
        <f>5229.83+6194.6</f>
        <v>11424.43</v>
      </c>
      <c r="S173" s="693"/>
      <c r="T173" s="690">
        <f t="shared" si="73"/>
        <v>424.43000000000029</v>
      </c>
      <c r="U173" s="683"/>
      <c r="V173" s="474">
        <f t="shared" si="74"/>
        <v>11000</v>
      </c>
      <c r="W173" s="474">
        <f t="shared" si="75"/>
        <v>0</v>
      </c>
      <c r="X173" s="475">
        <f t="shared" si="76"/>
        <v>0</v>
      </c>
      <c r="Y173" s="475">
        <v>0</v>
      </c>
      <c r="Z173" s="476">
        <v>0</v>
      </c>
      <c r="AA173" s="38">
        <f t="shared" si="77"/>
        <v>0</v>
      </c>
      <c r="AB173" s="692">
        <f t="shared" si="55"/>
        <v>-11443.24</v>
      </c>
      <c r="AC173" s="692">
        <f t="shared" si="56"/>
        <v>0</v>
      </c>
      <c r="AD173" s="692">
        <f t="shared" si="57"/>
        <v>0</v>
      </c>
      <c r="AE173" s="38"/>
      <c r="AF173" s="692">
        <f t="shared" si="78"/>
        <v>11000</v>
      </c>
      <c r="AG173" s="692">
        <f t="shared" si="79"/>
        <v>0</v>
      </c>
      <c r="AH173" s="692">
        <f t="shared" si="80"/>
        <v>0</v>
      </c>
      <c r="AJ173" s="38">
        <f t="shared" si="81"/>
        <v>-443.23999999999978</v>
      </c>
    </row>
    <row r="174" spans="1:36" s="232" customFormat="1">
      <c r="A174" s="403"/>
      <c r="B174" s="403" t="s">
        <v>109</v>
      </c>
      <c r="C174" s="666" t="s">
        <v>569</v>
      </c>
      <c r="D174" s="123" t="s">
        <v>468</v>
      </c>
      <c r="E174" s="679"/>
      <c r="F174" s="529">
        <f>VLOOKUP(D174,'Oct 2012 Revenue'!D:T,17,FALSE)</f>
        <v>0</v>
      </c>
      <c r="G174" s="680"/>
      <c r="H174" s="680"/>
      <c r="I174" s="755"/>
      <c r="J174" s="682">
        <f t="shared" si="58"/>
        <v>0</v>
      </c>
      <c r="K174" s="683"/>
      <c r="L174" s="684"/>
      <c r="M174" s="753"/>
      <c r="N174" s="683">
        <v>0</v>
      </c>
      <c r="O174" s="686"/>
      <c r="P174" s="683">
        <v>0</v>
      </c>
      <c r="Q174" s="687">
        <f t="shared" si="54"/>
        <v>0</v>
      </c>
      <c r="R174" s="688">
        <v>0</v>
      </c>
      <c r="S174" s="693"/>
      <c r="T174" s="690">
        <f t="shared" si="73"/>
        <v>0</v>
      </c>
      <c r="U174" s="683"/>
      <c r="V174" s="474">
        <f t="shared" si="74"/>
        <v>0</v>
      </c>
      <c r="W174" s="474">
        <f t="shared" si="75"/>
        <v>0</v>
      </c>
      <c r="X174" s="475">
        <f t="shared" si="76"/>
        <v>0</v>
      </c>
      <c r="Y174" s="475">
        <v>0</v>
      </c>
      <c r="Z174" s="476">
        <v>0</v>
      </c>
      <c r="AA174" s="38">
        <f t="shared" si="77"/>
        <v>0</v>
      </c>
      <c r="AB174" s="692">
        <f t="shared" si="55"/>
        <v>0</v>
      </c>
      <c r="AC174" s="692">
        <f t="shared" si="56"/>
        <v>0</v>
      </c>
      <c r="AD174" s="692">
        <f t="shared" si="57"/>
        <v>0</v>
      </c>
      <c r="AE174" s="38"/>
      <c r="AF174" s="692">
        <f t="shared" si="78"/>
        <v>0</v>
      </c>
      <c r="AG174" s="692">
        <f t="shared" si="79"/>
        <v>0</v>
      </c>
      <c r="AH174" s="692">
        <f t="shared" si="80"/>
        <v>0</v>
      </c>
      <c r="AJ174" s="38">
        <f t="shared" si="81"/>
        <v>0</v>
      </c>
    </row>
    <row r="175" spans="1:36">
      <c r="A175" s="20"/>
      <c r="B175" s="20" t="s">
        <v>110</v>
      </c>
      <c r="C175" s="676" t="s">
        <v>844</v>
      </c>
      <c r="D175" s="68" t="s">
        <v>845</v>
      </c>
      <c r="E175" s="679"/>
      <c r="F175" s="529">
        <f>VLOOKUP(D175,'Oct 2012 Revenue'!D:T,17,FALSE)</f>
        <v>0</v>
      </c>
      <c r="G175" s="680"/>
      <c r="H175" s="680"/>
      <c r="I175" s="755"/>
      <c r="J175" s="682">
        <f t="shared" si="58"/>
        <v>0</v>
      </c>
      <c r="K175" s="683"/>
      <c r="L175" s="684"/>
      <c r="M175" s="753"/>
      <c r="N175" s="683">
        <v>0</v>
      </c>
      <c r="O175" s="686"/>
      <c r="P175" s="683">
        <v>0</v>
      </c>
      <c r="Q175" s="687">
        <f t="shared" si="54"/>
        <v>0</v>
      </c>
      <c r="R175" s="688">
        <v>0</v>
      </c>
      <c r="S175" s="693"/>
      <c r="T175" s="690">
        <f t="shared" si="73"/>
        <v>0</v>
      </c>
      <c r="U175" s="683"/>
      <c r="V175" s="474">
        <f t="shared" si="74"/>
        <v>0</v>
      </c>
      <c r="W175" s="474">
        <f t="shared" si="75"/>
        <v>0</v>
      </c>
      <c r="X175" s="475">
        <f t="shared" si="76"/>
        <v>0</v>
      </c>
      <c r="Y175" s="475">
        <v>0</v>
      </c>
      <c r="Z175" s="476">
        <v>0</v>
      </c>
      <c r="AA175" s="38">
        <f t="shared" si="77"/>
        <v>0</v>
      </c>
      <c r="AB175" s="692">
        <f t="shared" si="55"/>
        <v>0</v>
      </c>
      <c r="AC175" s="692">
        <f t="shared" si="56"/>
        <v>0</v>
      </c>
      <c r="AD175" s="692">
        <f t="shared" si="57"/>
        <v>0</v>
      </c>
      <c r="AE175" s="38"/>
      <c r="AF175" s="692">
        <f t="shared" si="78"/>
        <v>0</v>
      </c>
      <c r="AG175" s="692">
        <f t="shared" si="79"/>
        <v>0</v>
      </c>
      <c r="AH175" s="692">
        <f t="shared" si="80"/>
        <v>0</v>
      </c>
      <c r="AJ175" s="38">
        <f t="shared" si="81"/>
        <v>0</v>
      </c>
    </row>
    <row r="176" spans="1:36">
      <c r="A176" s="20"/>
      <c r="B176" s="20" t="s">
        <v>109</v>
      </c>
      <c r="C176" s="667" t="s">
        <v>570</v>
      </c>
      <c r="D176" s="68" t="s">
        <v>41</v>
      </c>
      <c r="E176" s="679"/>
      <c r="F176" s="529">
        <f>VLOOKUP(D176,'Oct 2012 Revenue'!D:T,17,FALSE)</f>
        <v>0</v>
      </c>
      <c r="G176" s="680"/>
      <c r="H176" s="680"/>
      <c r="I176" s="755"/>
      <c r="J176" s="682">
        <f t="shared" si="58"/>
        <v>0</v>
      </c>
      <c r="K176" s="683"/>
      <c r="L176" s="684"/>
      <c r="M176" s="753"/>
      <c r="N176" s="683">
        <v>0</v>
      </c>
      <c r="O176" s="686"/>
      <c r="P176" s="683">
        <v>0</v>
      </c>
      <c r="Q176" s="687">
        <f t="shared" si="54"/>
        <v>0</v>
      </c>
      <c r="R176" s="688">
        <v>0</v>
      </c>
      <c r="S176" s="693"/>
      <c r="T176" s="690">
        <f t="shared" si="73"/>
        <v>0</v>
      </c>
      <c r="U176" s="683"/>
      <c r="V176" s="474">
        <f t="shared" si="74"/>
        <v>0</v>
      </c>
      <c r="W176" s="474">
        <f t="shared" si="75"/>
        <v>0</v>
      </c>
      <c r="X176" s="475">
        <f t="shared" si="76"/>
        <v>0</v>
      </c>
      <c r="Y176" s="475">
        <v>0</v>
      </c>
      <c r="Z176" s="476">
        <v>0</v>
      </c>
      <c r="AA176" s="38">
        <f t="shared" si="77"/>
        <v>0</v>
      </c>
      <c r="AB176" s="692">
        <f t="shared" si="55"/>
        <v>0</v>
      </c>
      <c r="AC176" s="692">
        <f t="shared" si="56"/>
        <v>0</v>
      </c>
      <c r="AD176" s="692">
        <f t="shared" si="57"/>
        <v>0</v>
      </c>
      <c r="AE176" s="38"/>
      <c r="AF176" s="692">
        <f t="shared" si="78"/>
        <v>0</v>
      </c>
      <c r="AG176" s="692">
        <f t="shared" si="79"/>
        <v>0</v>
      </c>
      <c r="AH176" s="692">
        <f t="shared" si="80"/>
        <v>0</v>
      </c>
      <c r="AJ176" s="38">
        <f t="shared" si="81"/>
        <v>0</v>
      </c>
    </row>
    <row r="177" spans="1:36">
      <c r="A177" s="20"/>
      <c r="B177" s="20" t="s">
        <v>109</v>
      </c>
      <c r="C177" s="667" t="s">
        <v>570</v>
      </c>
      <c r="D177" s="68" t="s">
        <v>221</v>
      </c>
      <c r="E177" s="679"/>
      <c r="F177" s="529">
        <f>VLOOKUP(D177,'Oct 2012 Revenue'!D:T,17,FALSE)</f>
        <v>0</v>
      </c>
      <c r="G177" s="680"/>
      <c r="H177" s="680"/>
      <c r="I177" s="755"/>
      <c r="J177" s="682">
        <f t="shared" si="58"/>
        <v>0</v>
      </c>
      <c r="K177" s="683"/>
      <c r="L177" s="684"/>
      <c r="M177" s="753"/>
      <c r="N177" s="683">
        <v>0</v>
      </c>
      <c r="O177" s="686"/>
      <c r="P177" s="683">
        <v>0</v>
      </c>
      <c r="Q177" s="687">
        <f t="shared" si="54"/>
        <v>0</v>
      </c>
      <c r="R177" s="688">
        <v>0</v>
      </c>
      <c r="S177" s="693"/>
      <c r="T177" s="690">
        <f t="shared" si="73"/>
        <v>0</v>
      </c>
      <c r="U177" s="683"/>
      <c r="V177" s="474">
        <f t="shared" si="74"/>
        <v>0</v>
      </c>
      <c r="W177" s="474">
        <f t="shared" si="75"/>
        <v>0</v>
      </c>
      <c r="X177" s="475">
        <f t="shared" si="76"/>
        <v>0</v>
      </c>
      <c r="Y177" s="475">
        <v>0</v>
      </c>
      <c r="Z177" s="476">
        <v>0</v>
      </c>
      <c r="AA177" s="38">
        <f t="shared" si="77"/>
        <v>0</v>
      </c>
      <c r="AB177" s="692">
        <f t="shared" si="55"/>
        <v>0</v>
      </c>
      <c r="AC177" s="692">
        <f t="shared" si="56"/>
        <v>0</v>
      </c>
      <c r="AD177" s="692">
        <f t="shared" si="57"/>
        <v>0</v>
      </c>
      <c r="AE177" s="38"/>
      <c r="AF177" s="692">
        <f t="shared" si="78"/>
        <v>0</v>
      </c>
      <c r="AG177" s="692">
        <f t="shared" si="79"/>
        <v>0</v>
      </c>
      <c r="AH177" s="692">
        <f t="shared" si="80"/>
        <v>0</v>
      </c>
      <c r="AJ177" s="38">
        <f t="shared" si="81"/>
        <v>0</v>
      </c>
    </row>
    <row r="178" spans="1:36">
      <c r="A178" s="21"/>
      <c r="B178" s="21" t="s">
        <v>110</v>
      </c>
      <c r="C178" s="666"/>
      <c r="D178" s="68" t="s">
        <v>43</v>
      </c>
      <c r="E178" s="679"/>
      <c r="F178" s="529">
        <f>VLOOKUP(D178,'Oct 2012 Revenue'!D:T,17,FALSE)</f>
        <v>335.05</v>
      </c>
      <c r="G178" s="680"/>
      <c r="H178" s="680"/>
      <c r="I178" s="755"/>
      <c r="J178" s="682">
        <f t="shared" si="58"/>
        <v>335.05</v>
      </c>
      <c r="K178" s="683"/>
      <c r="L178" s="684"/>
      <c r="M178" s="753"/>
      <c r="N178" s="683">
        <v>0</v>
      </c>
      <c r="O178" s="686"/>
      <c r="P178" s="683">
        <v>0</v>
      </c>
      <c r="Q178" s="687">
        <f t="shared" si="54"/>
        <v>0</v>
      </c>
      <c r="R178" s="688">
        <v>312.29000000000002</v>
      </c>
      <c r="S178" s="693"/>
      <c r="T178" s="690">
        <f t="shared" si="73"/>
        <v>312.29000000000002</v>
      </c>
      <c r="U178" s="683"/>
      <c r="V178" s="474">
        <f t="shared" si="74"/>
        <v>0</v>
      </c>
      <c r="W178" s="474">
        <f t="shared" si="75"/>
        <v>0</v>
      </c>
      <c r="X178" s="475">
        <f t="shared" si="76"/>
        <v>0</v>
      </c>
      <c r="Y178" s="475">
        <v>0</v>
      </c>
      <c r="Z178" s="476">
        <v>0</v>
      </c>
      <c r="AA178" s="38">
        <f t="shared" si="77"/>
        <v>0</v>
      </c>
      <c r="AB178" s="692">
        <f t="shared" si="55"/>
        <v>335.05</v>
      </c>
      <c r="AC178" s="692">
        <f t="shared" si="56"/>
        <v>0</v>
      </c>
      <c r="AD178" s="692">
        <f t="shared" si="57"/>
        <v>0</v>
      </c>
      <c r="AE178" s="38"/>
      <c r="AF178" s="692">
        <f t="shared" si="78"/>
        <v>0</v>
      </c>
      <c r="AG178" s="692">
        <f t="shared" si="79"/>
        <v>0</v>
      </c>
      <c r="AH178" s="692">
        <f t="shared" si="80"/>
        <v>0</v>
      </c>
      <c r="AJ178" s="38">
        <f t="shared" si="81"/>
        <v>335.05</v>
      </c>
    </row>
    <row r="179" spans="1:36">
      <c r="A179" s="21"/>
      <c r="B179" s="21" t="s">
        <v>109</v>
      </c>
      <c r="C179" s="666" t="s">
        <v>571</v>
      </c>
      <c r="D179" s="68" t="s">
        <v>44</v>
      </c>
      <c r="E179" s="679"/>
      <c r="F179" s="529">
        <f>VLOOKUP(D179,'Oct 2012 Revenue'!D:T,17,FALSE)</f>
        <v>0</v>
      </c>
      <c r="G179" s="680"/>
      <c r="H179" s="680"/>
      <c r="I179" s="770">
        <v>3663.6</v>
      </c>
      <c r="J179" s="682">
        <f t="shared" si="58"/>
        <v>3663.6</v>
      </c>
      <c r="K179" s="683"/>
      <c r="L179" s="684"/>
      <c r="M179" s="753"/>
      <c r="N179" s="683">
        <v>0</v>
      </c>
      <c r="O179" s="686"/>
      <c r="P179" s="683">
        <v>0</v>
      </c>
      <c r="Q179" s="687">
        <f t="shared" si="54"/>
        <v>0</v>
      </c>
      <c r="R179" s="688">
        <v>0</v>
      </c>
      <c r="S179" s="693"/>
      <c r="T179" s="690">
        <f t="shared" si="73"/>
        <v>0</v>
      </c>
      <c r="U179" s="683"/>
      <c r="V179" s="474">
        <f t="shared" si="74"/>
        <v>0</v>
      </c>
      <c r="W179" s="474">
        <f t="shared" si="75"/>
        <v>0</v>
      </c>
      <c r="X179" s="475">
        <f t="shared" si="76"/>
        <v>0</v>
      </c>
      <c r="Y179" s="475">
        <v>0</v>
      </c>
      <c r="Z179" s="476">
        <v>0</v>
      </c>
      <c r="AA179" s="38">
        <f t="shared" si="77"/>
        <v>0</v>
      </c>
      <c r="AB179" s="692">
        <f t="shared" si="55"/>
        <v>0</v>
      </c>
      <c r="AC179" s="692">
        <f t="shared" si="56"/>
        <v>3663.6</v>
      </c>
      <c r="AD179" s="692">
        <f t="shared" si="57"/>
        <v>0</v>
      </c>
      <c r="AE179" s="38"/>
      <c r="AF179" s="692">
        <f t="shared" si="78"/>
        <v>0</v>
      </c>
      <c r="AG179" s="692">
        <f t="shared" si="79"/>
        <v>0</v>
      </c>
      <c r="AH179" s="692">
        <f t="shared" si="80"/>
        <v>0</v>
      </c>
      <c r="AJ179" s="38">
        <f t="shared" si="81"/>
        <v>3663.6</v>
      </c>
    </row>
    <row r="180" spans="1:36">
      <c r="A180" s="21"/>
      <c r="B180" s="21" t="s">
        <v>114</v>
      </c>
      <c r="C180" s="666" t="s">
        <v>571</v>
      </c>
      <c r="D180" s="68" t="s">
        <v>44</v>
      </c>
      <c r="E180" s="679"/>
      <c r="F180" s="529">
        <f>VLOOKUP(D180,'Oct 2012 Revenue'!D:T,17,FALSE)</f>
        <v>0</v>
      </c>
      <c r="G180" s="680"/>
      <c r="H180" s="680"/>
      <c r="I180" s="770">
        <v>28.8</v>
      </c>
      <c r="J180" s="682">
        <f t="shared" si="58"/>
        <v>28.8</v>
      </c>
      <c r="K180" s="683"/>
      <c r="L180" s="684"/>
      <c r="M180" s="753"/>
      <c r="N180" s="683">
        <v>0</v>
      </c>
      <c r="O180" s="686"/>
      <c r="P180" s="683">
        <v>0</v>
      </c>
      <c r="Q180" s="687">
        <f t="shared" si="54"/>
        <v>0</v>
      </c>
      <c r="R180" s="688">
        <v>0</v>
      </c>
      <c r="S180" s="693"/>
      <c r="T180" s="690">
        <f t="shared" si="73"/>
        <v>0</v>
      </c>
      <c r="U180" s="683"/>
      <c r="V180" s="474">
        <f t="shared" si="74"/>
        <v>0</v>
      </c>
      <c r="W180" s="474">
        <f t="shared" si="75"/>
        <v>0</v>
      </c>
      <c r="X180" s="475">
        <f t="shared" si="76"/>
        <v>0</v>
      </c>
      <c r="Y180" s="475">
        <v>0</v>
      </c>
      <c r="Z180" s="476">
        <v>0</v>
      </c>
      <c r="AA180" s="38">
        <f t="shared" si="77"/>
        <v>0</v>
      </c>
      <c r="AB180" s="692">
        <f t="shared" si="55"/>
        <v>0</v>
      </c>
      <c r="AC180" s="692">
        <f t="shared" si="56"/>
        <v>0</v>
      </c>
      <c r="AD180" s="692">
        <f t="shared" si="57"/>
        <v>28.8</v>
      </c>
      <c r="AE180" s="38"/>
      <c r="AF180" s="692">
        <f t="shared" si="78"/>
        <v>0</v>
      </c>
      <c r="AG180" s="692">
        <f t="shared" si="79"/>
        <v>0</v>
      </c>
      <c r="AH180" s="692">
        <f t="shared" si="80"/>
        <v>0</v>
      </c>
      <c r="AJ180" s="38">
        <f t="shared" si="81"/>
        <v>28.8</v>
      </c>
    </row>
    <row r="181" spans="1:36">
      <c r="A181" s="21"/>
      <c r="B181" s="21" t="s">
        <v>110</v>
      </c>
      <c r="C181" s="666" t="s">
        <v>572</v>
      </c>
      <c r="D181" s="68" t="s">
        <v>388</v>
      </c>
      <c r="E181" s="679"/>
      <c r="F181" s="529">
        <f>VLOOKUP(D181,'Oct 2012 Revenue'!D:T,17,FALSE)</f>
        <v>-33000</v>
      </c>
      <c r="G181" s="680"/>
      <c r="H181" s="680"/>
      <c r="I181" s="755"/>
      <c r="J181" s="682">
        <f t="shared" si="58"/>
        <v>-33000</v>
      </c>
      <c r="K181" s="683"/>
      <c r="L181" s="684"/>
      <c r="M181" s="753">
        <v>44000</v>
      </c>
      <c r="N181" s="683">
        <v>0</v>
      </c>
      <c r="O181" s="686"/>
      <c r="P181" s="683">
        <v>0</v>
      </c>
      <c r="Q181" s="687">
        <f t="shared" si="54"/>
        <v>44000</v>
      </c>
      <c r="R181" s="688">
        <v>8504.8700000000008</v>
      </c>
      <c r="S181" s="693"/>
      <c r="T181" s="690">
        <f t="shared" si="73"/>
        <v>-35495.129999999997</v>
      </c>
      <c r="U181" s="683"/>
      <c r="V181" s="474">
        <f t="shared" si="74"/>
        <v>44000</v>
      </c>
      <c r="W181" s="474">
        <f t="shared" si="75"/>
        <v>0</v>
      </c>
      <c r="X181" s="475">
        <f t="shared" si="76"/>
        <v>0</v>
      </c>
      <c r="Y181" s="475">
        <v>0</v>
      </c>
      <c r="Z181" s="476">
        <v>0</v>
      </c>
      <c r="AA181" s="38">
        <f t="shared" si="77"/>
        <v>0</v>
      </c>
      <c r="AB181" s="692">
        <f t="shared" si="55"/>
        <v>-33000</v>
      </c>
      <c r="AC181" s="692">
        <f t="shared" si="56"/>
        <v>0</v>
      </c>
      <c r="AD181" s="692">
        <f t="shared" si="57"/>
        <v>0</v>
      </c>
      <c r="AE181" s="38"/>
      <c r="AF181" s="692">
        <f t="shared" si="78"/>
        <v>44000</v>
      </c>
      <c r="AG181" s="692">
        <f t="shared" si="79"/>
        <v>0</v>
      </c>
      <c r="AH181" s="692">
        <f t="shared" si="80"/>
        <v>0</v>
      </c>
      <c r="AJ181" s="38">
        <f t="shared" si="81"/>
        <v>11000</v>
      </c>
    </row>
    <row r="182" spans="1:36">
      <c r="A182" s="20"/>
      <c r="B182" s="20" t="s">
        <v>109</v>
      </c>
      <c r="C182" s="667"/>
      <c r="D182" s="68" t="s">
        <v>842</v>
      </c>
      <c r="E182" s="679"/>
      <c r="F182" s="529">
        <f>VLOOKUP(D182,'Oct 2012 Revenue'!D:T,17,FALSE)</f>
        <v>-10000</v>
      </c>
      <c r="G182" s="680"/>
      <c r="H182" s="680"/>
      <c r="I182" s="755"/>
      <c r="J182" s="682">
        <f t="shared" si="58"/>
        <v>-10000</v>
      </c>
      <c r="K182" s="683"/>
      <c r="L182" s="684"/>
      <c r="M182" s="753">
        <v>20000</v>
      </c>
      <c r="N182" s="683">
        <v>0</v>
      </c>
      <c r="O182" s="686"/>
      <c r="P182" s="683">
        <v>0</v>
      </c>
      <c r="Q182" s="687">
        <f t="shared" si="54"/>
        <v>20000</v>
      </c>
      <c r="R182" s="688">
        <v>0</v>
      </c>
      <c r="S182" s="693"/>
      <c r="T182" s="690">
        <f t="shared" si="73"/>
        <v>-20000</v>
      </c>
      <c r="U182" s="683"/>
      <c r="V182" s="474">
        <f t="shared" si="74"/>
        <v>0</v>
      </c>
      <c r="W182" s="474">
        <f t="shared" si="75"/>
        <v>20000</v>
      </c>
      <c r="X182" s="475">
        <f t="shared" si="76"/>
        <v>0</v>
      </c>
      <c r="Y182" s="475">
        <v>0</v>
      </c>
      <c r="Z182" s="476">
        <v>0</v>
      </c>
      <c r="AA182" s="38">
        <f t="shared" si="77"/>
        <v>0</v>
      </c>
      <c r="AB182" s="692">
        <f t="shared" si="55"/>
        <v>0</v>
      </c>
      <c r="AC182" s="692">
        <f t="shared" si="56"/>
        <v>-10000</v>
      </c>
      <c r="AD182" s="692">
        <f t="shared" si="57"/>
        <v>0</v>
      </c>
      <c r="AE182" s="38"/>
      <c r="AF182" s="692">
        <f t="shared" si="78"/>
        <v>0</v>
      </c>
      <c r="AG182" s="692">
        <f t="shared" si="79"/>
        <v>20000</v>
      </c>
      <c r="AH182" s="692">
        <f t="shared" si="80"/>
        <v>0</v>
      </c>
      <c r="AJ182" s="38">
        <f t="shared" si="81"/>
        <v>10000</v>
      </c>
    </row>
    <row r="183" spans="1:36">
      <c r="A183" s="21"/>
      <c r="B183" s="21" t="s">
        <v>110</v>
      </c>
      <c r="C183" s="666"/>
      <c r="D183" s="68" t="s">
        <v>45</v>
      </c>
      <c r="E183" s="679"/>
      <c r="F183" s="529">
        <f>VLOOKUP(D183,'Oct 2012 Revenue'!D:T,17,FALSE)</f>
        <v>1705.1800000000003</v>
      </c>
      <c r="G183" s="680"/>
      <c r="H183" s="680"/>
      <c r="I183" s="755"/>
      <c r="J183" s="682">
        <f t="shared" si="58"/>
        <v>1705.1800000000003</v>
      </c>
      <c r="K183" s="683"/>
      <c r="L183" s="684"/>
      <c r="M183" s="753">
        <v>15000</v>
      </c>
      <c r="N183" s="683">
        <v>0</v>
      </c>
      <c r="O183" s="686"/>
      <c r="P183" s="683">
        <v>0</v>
      </c>
      <c r="Q183" s="687">
        <f t="shared" si="54"/>
        <v>15000</v>
      </c>
      <c r="R183" s="688">
        <f>17220.56+959.04</f>
        <v>18179.600000000002</v>
      </c>
      <c r="S183" s="693"/>
      <c r="T183" s="690">
        <f t="shared" si="73"/>
        <v>3179.6000000000022</v>
      </c>
      <c r="U183" s="683"/>
      <c r="V183" s="474">
        <f t="shared" si="74"/>
        <v>15000</v>
      </c>
      <c r="W183" s="474">
        <f t="shared" si="75"/>
        <v>0</v>
      </c>
      <c r="X183" s="475">
        <f t="shared" si="76"/>
        <v>0</v>
      </c>
      <c r="Y183" s="475">
        <v>0</v>
      </c>
      <c r="Z183" s="476">
        <v>0</v>
      </c>
      <c r="AA183" s="38">
        <f t="shared" si="77"/>
        <v>0</v>
      </c>
      <c r="AB183" s="692">
        <f t="shared" si="55"/>
        <v>1705.1800000000003</v>
      </c>
      <c r="AC183" s="692">
        <f t="shared" si="56"/>
        <v>0</v>
      </c>
      <c r="AD183" s="692">
        <f t="shared" si="57"/>
        <v>0</v>
      </c>
      <c r="AE183" s="38"/>
      <c r="AF183" s="692">
        <f t="shared" si="78"/>
        <v>15000</v>
      </c>
      <c r="AG183" s="692">
        <f t="shared" si="79"/>
        <v>0</v>
      </c>
      <c r="AH183" s="692">
        <f t="shared" si="80"/>
        <v>0</v>
      </c>
      <c r="AJ183" s="38">
        <f t="shared" si="81"/>
        <v>16705.18</v>
      </c>
    </row>
    <row r="184" spans="1:36">
      <c r="A184" s="20" t="s">
        <v>211</v>
      </c>
      <c r="B184" s="20" t="s">
        <v>110</v>
      </c>
      <c r="C184" s="667"/>
      <c r="D184" s="68" t="s">
        <v>503</v>
      </c>
      <c r="E184" s="679"/>
      <c r="F184" s="529">
        <f>VLOOKUP(D184,'Oct 2012 Revenue'!D:T,17,FALSE)</f>
        <v>0</v>
      </c>
      <c r="G184" s="680"/>
      <c r="H184" s="680"/>
      <c r="I184" s="755"/>
      <c r="J184" s="682">
        <f t="shared" si="58"/>
        <v>0</v>
      </c>
      <c r="K184" s="683"/>
      <c r="L184" s="684"/>
      <c r="M184" s="753"/>
      <c r="N184" s="683">
        <v>0</v>
      </c>
      <c r="O184" s="686"/>
      <c r="P184" s="683">
        <v>0</v>
      </c>
      <c r="Q184" s="687">
        <f t="shared" si="54"/>
        <v>0</v>
      </c>
      <c r="R184" s="688">
        <v>0</v>
      </c>
      <c r="S184" s="693"/>
      <c r="T184" s="690">
        <f t="shared" si="73"/>
        <v>0</v>
      </c>
      <c r="U184" s="697"/>
      <c r="V184" s="474">
        <f t="shared" si="74"/>
        <v>0</v>
      </c>
      <c r="W184" s="474">
        <f t="shared" si="75"/>
        <v>0</v>
      </c>
      <c r="X184" s="475">
        <f t="shared" si="76"/>
        <v>0</v>
      </c>
      <c r="Y184" s="475">
        <v>0</v>
      </c>
      <c r="Z184" s="476">
        <v>0</v>
      </c>
      <c r="AA184" s="38">
        <f t="shared" si="77"/>
        <v>0</v>
      </c>
      <c r="AB184" s="692">
        <f t="shared" si="55"/>
        <v>0</v>
      </c>
      <c r="AC184" s="692">
        <f t="shared" si="56"/>
        <v>0</v>
      </c>
      <c r="AD184" s="692">
        <f t="shared" si="57"/>
        <v>0</v>
      </c>
      <c r="AE184" s="38"/>
      <c r="AF184" s="692">
        <f t="shared" si="78"/>
        <v>0</v>
      </c>
      <c r="AG184" s="692">
        <f t="shared" si="79"/>
        <v>0</v>
      </c>
      <c r="AH184" s="692">
        <f t="shared" si="80"/>
        <v>0</v>
      </c>
      <c r="AJ184" s="38">
        <f t="shared" si="81"/>
        <v>0</v>
      </c>
    </row>
    <row r="185" spans="1:36">
      <c r="A185" s="20"/>
      <c r="B185" s="20" t="s">
        <v>110</v>
      </c>
      <c r="C185" s="667" t="s">
        <v>573</v>
      </c>
      <c r="D185" s="68" t="s">
        <v>102</v>
      </c>
      <c r="E185" s="679"/>
      <c r="F185" s="529">
        <f>VLOOKUP(D185,'Oct 2012 Revenue'!D:T,17,FALSE)</f>
        <v>41590.119999999995</v>
      </c>
      <c r="G185" s="680"/>
      <c r="H185" s="680"/>
      <c r="I185" s="755"/>
      <c r="J185" s="682">
        <f t="shared" si="58"/>
        <v>41590.119999999995</v>
      </c>
      <c r="K185" s="683"/>
      <c r="L185" s="684"/>
      <c r="M185" s="753">
        <v>925000</v>
      </c>
      <c r="N185" s="683">
        <v>0</v>
      </c>
      <c r="O185" s="686"/>
      <c r="P185" s="683">
        <v>0</v>
      </c>
      <c r="Q185" s="687">
        <f t="shared" si="54"/>
        <v>925000</v>
      </c>
      <c r="R185" s="688">
        <v>961858.72</v>
      </c>
      <c r="S185" s="693"/>
      <c r="T185" s="690">
        <f t="shared" si="73"/>
        <v>36858.719999999972</v>
      </c>
      <c r="U185" s="697"/>
      <c r="V185" s="474">
        <f t="shared" si="74"/>
        <v>925000</v>
      </c>
      <c r="W185" s="474">
        <f t="shared" si="75"/>
        <v>0</v>
      </c>
      <c r="X185" s="475">
        <f t="shared" si="76"/>
        <v>0</v>
      </c>
      <c r="Y185" s="475">
        <v>0</v>
      </c>
      <c r="Z185" s="476">
        <v>0</v>
      </c>
      <c r="AA185" s="38">
        <f t="shared" si="77"/>
        <v>0</v>
      </c>
      <c r="AB185" s="692">
        <f t="shared" si="55"/>
        <v>41590.119999999995</v>
      </c>
      <c r="AC185" s="692">
        <f t="shared" si="56"/>
        <v>0</v>
      </c>
      <c r="AD185" s="692">
        <f t="shared" si="57"/>
        <v>0</v>
      </c>
      <c r="AE185" s="38"/>
      <c r="AF185" s="692">
        <f t="shared" si="78"/>
        <v>925000</v>
      </c>
      <c r="AG185" s="692">
        <f t="shared" si="79"/>
        <v>0</v>
      </c>
      <c r="AH185" s="692">
        <f t="shared" si="80"/>
        <v>0</v>
      </c>
      <c r="AJ185" s="38">
        <f t="shared" si="81"/>
        <v>966590.12</v>
      </c>
    </row>
    <row r="186" spans="1:36">
      <c r="A186" s="20"/>
      <c r="B186" s="20" t="s">
        <v>110</v>
      </c>
      <c r="C186" s="667" t="s">
        <v>573</v>
      </c>
      <c r="D186" s="68" t="s">
        <v>511</v>
      </c>
      <c r="E186" s="679"/>
      <c r="F186" s="529">
        <f>VLOOKUP(D186,'Oct 2012 Revenue'!D:T,17,FALSE)</f>
        <v>-2287.2999999999993</v>
      </c>
      <c r="G186" s="680"/>
      <c r="H186" s="680"/>
      <c r="I186" s="755"/>
      <c r="J186" s="682">
        <f t="shared" si="58"/>
        <v>-2287.2999999999993</v>
      </c>
      <c r="K186" s="683"/>
      <c r="L186" s="684"/>
      <c r="M186" s="753">
        <v>20000</v>
      </c>
      <c r="N186" s="683">
        <v>0</v>
      </c>
      <c r="O186" s="686"/>
      <c r="P186" s="683">
        <v>0</v>
      </c>
      <c r="Q186" s="687">
        <f t="shared" si="54"/>
        <v>20000</v>
      </c>
      <c r="R186" s="688">
        <v>22709.11</v>
      </c>
      <c r="S186" s="693"/>
      <c r="T186" s="690">
        <f t="shared" si="73"/>
        <v>2709.1100000000006</v>
      </c>
      <c r="U186" s="697"/>
      <c r="V186" s="474">
        <f t="shared" si="74"/>
        <v>20000</v>
      </c>
      <c r="W186" s="474">
        <f t="shared" si="75"/>
        <v>0</v>
      </c>
      <c r="X186" s="475">
        <f t="shared" si="76"/>
        <v>0</v>
      </c>
      <c r="Y186" s="475">
        <v>0</v>
      </c>
      <c r="Z186" s="476">
        <v>0</v>
      </c>
      <c r="AA186" s="38">
        <f t="shared" si="77"/>
        <v>0</v>
      </c>
      <c r="AB186" s="692">
        <f t="shared" si="55"/>
        <v>-2287.2999999999993</v>
      </c>
      <c r="AC186" s="692">
        <f t="shared" si="56"/>
        <v>0</v>
      </c>
      <c r="AD186" s="692">
        <f t="shared" si="57"/>
        <v>0</v>
      </c>
      <c r="AE186" s="38"/>
      <c r="AF186" s="692">
        <f t="shared" si="78"/>
        <v>20000</v>
      </c>
      <c r="AG186" s="692">
        <f t="shared" si="79"/>
        <v>0</v>
      </c>
      <c r="AH186" s="692">
        <f t="shared" si="80"/>
        <v>0</v>
      </c>
      <c r="AJ186" s="38">
        <f t="shared" si="81"/>
        <v>17712.7</v>
      </c>
    </row>
    <row r="187" spans="1:36">
      <c r="A187" s="21"/>
      <c r="B187" s="21" t="s">
        <v>110</v>
      </c>
      <c r="C187" s="666"/>
      <c r="D187" s="68" t="s">
        <v>50</v>
      </c>
      <c r="E187" s="679"/>
      <c r="F187" s="529">
        <f>VLOOKUP(D187,'Oct 2012 Revenue'!D:T,17,FALSE)</f>
        <v>0</v>
      </c>
      <c r="G187" s="680"/>
      <c r="H187" s="680"/>
      <c r="I187" s="770">
        <v>936.1</v>
      </c>
      <c r="J187" s="682">
        <f t="shared" si="58"/>
        <v>936.1</v>
      </c>
      <c r="K187" s="683"/>
      <c r="L187" s="684"/>
      <c r="M187" s="753"/>
      <c r="N187" s="683">
        <v>0</v>
      </c>
      <c r="O187" s="686"/>
      <c r="P187" s="683">
        <v>0</v>
      </c>
      <c r="Q187" s="687">
        <f t="shared" si="54"/>
        <v>0</v>
      </c>
      <c r="R187" s="688">
        <v>0</v>
      </c>
      <c r="S187" s="693"/>
      <c r="T187" s="690">
        <f t="shared" si="73"/>
        <v>0</v>
      </c>
      <c r="U187" s="683"/>
      <c r="V187" s="474">
        <f t="shared" si="74"/>
        <v>0</v>
      </c>
      <c r="W187" s="474">
        <f t="shared" si="75"/>
        <v>0</v>
      </c>
      <c r="X187" s="475">
        <f t="shared" si="76"/>
        <v>0</v>
      </c>
      <c r="Y187" s="475">
        <v>0</v>
      </c>
      <c r="Z187" s="476">
        <v>0</v>
      </c>
      <c r="AA187" s="38">
        <f t="shared" si="77"/>
        <v>0</v>
      </c>
      <c r="AB187" s="692">
        <f t="shared" si="55"/>
        <v>936.1</v>
      </c>
      <c r="AC187" s="692">
        <f t="shared" si="56"/>
        <v>0</v>
      </c>
      <c r="AD187" s="692">
        <f t="shared" si="57"/>
        <v>0</v>
      </c>
      <c r="AE187" s="38"/>
      <c r="AF187" s="692">
        <f t="shared" si="78"/>
        <v>0</v>
      </c>
      <c r="AG187" s="692">
        <f t="shared" si="79"/>
        <v>0</v>
      </c>
      <c r="AH187" s="692">
        <f t="shared" si="80"/>
        <v>0</v>
      </c>
      <c r="AJ187" s="38">
        <f t="shared" si="81"/>
        <v>936.1</v>
      </c>
    </row>
    <row r="188" spans="1:36">
      <c r="A188" s="21"/>
      <c r="B188" s="21" t="s">
        <v>109</v>
      </c>
      <c r="C188" s="666"/>
      <c r="D188" s="68" t="s">
        <v>51</v>
      </c>
      <c r="E188" s="679"/>
      <c r="F188" s="529">
        <f>VLOOKUP(D188,'Oct 2012 Revenue'!D:T,17,FALSE)</f>
        <v>0</v>
      </c>
      <c r="G188" s="680"/>
      <c r="H188" s="680"/>
      <c r="I188" s="755"/>
      <c r="J188" s="682">
        <f t="shared" si="58"/>
        <v>0</v>
      </c>
      <c r="K188" s="683"/>
      <c r="L188" s="684"/>
      <c r="M188" s="753"/>
      <c r="N188" s="683">
        <v>0</v>
      </c>
      <c r="O188" s="686"/>
      <c r="P188" s="683">
        <v>0</v>
      </c>
      <c r="Q188" s="687">
        <f t="shared" si="54"/>
        <v>0</v>
      </c>
      <c r="R188" s="688">
        <v>0</v>
      </c>
      <c r="S188" s="693"/>
      <c r="T188" s="690">
        <f t="shared" si="73"/>
        <v>0</v>
      </c>
      <c r="U188" s="683"/>
      <c r="V188" s="474">
        <f t="shared" si="74"/>
        <v>0</v>
      </c>
      <c r="W188" s="474">
        <f t="shared" si="75"/>
        <v>0</v>
      </c>
      <c r="X188" s="475">
        <f t="shared" si="76"/>
        <v>0</v>
      </c>
      <c r="Y188" s="475">
        <v>0</v>
      </c>
      <c r="Z188" s="476">
        <v>0</v>
      </c>
      <c r="AA188" s="38">
        <f t="shared" si="77"/>
        <v>0</v>
      </c>
      <c r="AB188" s="692">
        <f t="shared" si="55"/>
        <v>0</v>
      </c>
      <c r="AC188" s="692">
        <f t="shared" si="56"/>
        <v>0</v>
      </c>
      <c r="AD188" s="692">
        <f t="shared" si="57"/>
        <v>0</v>
      </c>
      <c r="AE188" s="38"/>
      <c r="AF188" s="692">
        <f t="shared" si="78"/>
        <v>0</v>
      </c>
      <c r="AG188" s="692">
        <f t="shared" si="79"/>
        <v>0</v>
      </c>
      <c r="AH188" s="692">
        <f t="shared" si="80"/>
        <v>0</v>
      </c>
      <c r="AJ188" s="38">
        <f t="shared" si="81"/>
        <v>0</v>
      </c>
    </row>
    <row r="189" spans="1:36">
      <c r="A189" s="21"/>
      <c r="B189" s="21" t="s">
        <v>109</v>
      </c>
      <c r="C189" s="666"/>
      <c r="D189" s="68" t="s">
        <v>107</v>
      </c>
      <c r="E189" s="679"/>
      <c r="F189" s="529">
        <f>VLOOKUP(D189,'Oct 2012 Revenue'!D:T,17,FALSE)</f>
        <v>0</v>
      </c>
      <c r="G189" s="680"/>
      <c r="H189" s="680"/>
      <c r="I189" s="755"/>
      <c r="J189" s="682">
        <f t="shared" si="58"/>
        <v>0</v>
      </c>
      <c r="K189" s="683"/>
      <c r="L189" s="684"/>
      <c r="M189" s="753"/>
      <c r="N189" s="683">
        <v>0</v>
      </c>
      <c r="O189" s="686"/>
      <c r="P189" s="683">
        <v>0</v>
      </c>
      <c r="Q189" s="687">
        <f t="shared" si="54"/>
        <v>0</v>
      </c>
      <c r="R189" s="688">
        <v>0</v>
      </c>
      <c r="S189" s="693"/>
      <c r="T189" s="690">
        <f t="shared" si="73"/>
        <v>0</v>
      </c>
      <c r="U189" s="683"/>
      <c r="V189" s="474">
        <f t="shared" si="74"/>
        <v>0</v>
      </c>
      <c r="W189" s="474">
        <f t="shared" si="75"/>
        <v>0</v>
      </c>
      <c r="X189" s="475">
        <f t="shared" si="76"/>
        <v>0</v>
      </c>
      <c r="Y189" s="475">
        <v>0</v>
      </c>
      <c r="Z189" s="476">
        <v>0</v>
      </c>
      <c r="AA189" s="38">
        <f t="shared" si="77"/>
        <v>0</v>
      </c>
      <c r="AB189" s="692">
        <f t="shared" si="55"/>
        <v>0</v>
      </c>
      <c r="AC189" s="692">
        <f t="shared" si="56"/>
        <v>0</v>
      </c>
      <c r="AD189" s="692">
        <f t="shared" si="57"/>
        <v>0</v>
      </c>
      <c r="AE189" s="38"/>
      <c r="AF189" s="692">
        <f t="shared" si="78"/>
        <v>0</v>
      </c>
      <c r="AG189" s="692">
        <f t="shared" si="79"/>
        <v>0</v>
      </c>
      <c r="AH189" s="692">
        <f t="shared" si="80"/>
        <v>0</v>
      </c>
      <c r="AJ189" s="38">
        <f t="shared" si="81"/>
        <v>0</v>
      </c>
    </row>
    <row r="190" spans="1:36">
      <c r="A190" s="21"/>
      <c r="B190" s="21" t="s">
        <v>109</v>
      </c>
      <c r="C190" s="666"/>
      <c r="D190" s="68" t="s">
        <v>467</v>
      </c>
      <c r="E190" s="679"/>
      <c r="F190" s="529">
        <f>VLOOKUP(D190,'Oct 2012 Revenue'!D:T,17,FALSE)</f>
        <v>0</v>
      </c>
      <c r="G190" s="680"/>
      <c r="H190" s="680"/>
      <c r="I190" s="755"/>
      <c r="J190" s="682">
        <f t="shared" si="58"/>
        <v>0</v>
      </c>
      <c r="K190" s="683"/>
      <c r="L190" s="684"/>
      <c r="M190" s="753"/>
      <c r="N190" s="683">
        <v>0</v>
      </c>
      <c r="O190" s="686"/>
      <c r="P190" s="683">
        <v>0</v>
      </c>
      <c r="Q190" s="687">
        <f t="shared" si="54"/>
        <v>0</v>
      </c>
      <c r="R190" s="688">
        <v>0</v>
      </c>
      <c r="S190" s="693"/>
      <c r="T190" s="690">
        <f t="shared" si="73"/>
        <v>0</v>
      </c>
      <c r="U190" s="683"/>
      <c r="V190" s="474">
        <f t="shared" si="74"/>
        <v>0</v>
      </c>
      <c r="W190" s="474">
        <f t="shared" si="75"/>
        <v>0</v>
      </c>
      <c r="X190" s="475">
        <f t="shared" si="76"/>
        <v>0</v>
      </c>
      <c r="Y190" s="475">
        <v>0</v>
      </c>
      <c r="Z190" s="476">
        <v>0</v>
      </c>
      <c r="AA190" s="38">
        <f t="shared" si="77"/>
        <v>0</v>
      </c>
      <c r="AB190" s="692">
        <f t="shared" si="55"/>
        <v>0</v>
      </c>
      <c r="AC190" s="692">
        <f t="shared" si="56"/>
        <v>0</v>
      </c>
      <c r="AD190" s="692">
        <f t="shared" si="57"/>
        <v>0</v>
      </c>
      <c r="AE190" s="38"/>
      <c r="AF190" s="692">
        <f t="shared" si="78"/>
        <v>0</v>
      </c>
      <c r="AG190" s="692">
        <f t="shared" si="79"/>
        <v>0</v>
      </c>
      <c r="AH190" s="692">
        <f t="shared" si="80"/>
        <v>0</v>
      </c>
      <c r="AJ190" s="38">
        <f t="shared" si="81"/>
        <v>0</v>
      </c>
    </row>
    <row r="191" spans="1:36">
      <c r="A191" s="21"/>
      <c r="B191" s="21" t="s">
        <v>109</v>
      </c>
      <c r="C191" s="666" t="s">
        <v>575</v>
      </c>
      <c r="D191" s="68" t="s">
        <v>54</v>
      </c>
      <c r="E191" s="679">
        <f>337.26+294.09+368.48+740.21+348.38+129.31+295.47</f>
        <v>2513.1999999999998</v>
      </c>
      <c r="F191" s="529">
        <f>VLOOKUP(D191,'Oct 2012 Revenue'!D:T,17,FALSE)</f>
        <v>0</v>
      </c>
      <c r="G191" s="680"/>
      <c r="H191" s="680"/>
      <c r="I191" s="755"/>
      <c r="J191" s="682">
        <f t="shared" si="58"/>
        <v>2513.1999999999998</v>
      </c>
      <c r="K191" s="683"/>
      <c r="L191" s="684"/>
      <c r="M191" s="753"/>
      <c r="N191" s="683">
        <v>0</v>
      </c>
      <c r="O191" s="686"/>
      <c r="P191" s="683">
        <v>0</v>
      </c>
      <c r="Q191" s="687">
        <f t="shared" si="54"/>
        <v>0</v>
      </c>
      <c r="R191" s="688">
        <v>0</v>
      </c>
      <c r="S191" s="693"/>
      <c r="T191" s="690">
        <f t="shared" si="73"/>
        <v>0</v>
      </c>
      <c r="U191" s="683"/>
      <c r="V191" s="474">
        <f t="shared" si="74"/>
        <v>0</v>
      </c>
      <c r="W191" s="474">
        <f t="shared" si="75"/>
        <v>0</v>
      </c>
      <c r="X191" s="475">
        <f t="shared" si="76"/>
        <v>0</v>
      </c>
      <c r="Y191" s="475">
        <v>0</v>
      </c>
      <c r="Z191" s="476">
        <v>0</v>
      </c>
      <c r="AA191" s="38">
        <f t="shared" si="77"/>
        <v>0</v>
      </c>
      <c r="AB191" s="692">
        <f t="shared" si="55"/>
        <v>0</v>
      </c>
      <c r="AC191" s="692">
        <f t="shared" si="56"/>
        <v>2513.1999999999998</v>
      </c>
      <c r="AD191" s="692">
        <f t="shared" si="57"/>
        <v>0</v>
      </c>
      <c r="AE191" s="38"/>
      <c r="AF191" s="692">
        <f t="shared" si="78"/>
        <v>0</v>
      </c>
      <c r="AG191" s="692">
        <f t="shared" si="79"/>
        <v>0</v>
      </c>
      <c r="AH191" s="692">
        <f t="shared" si="80"/>
        <v>0</v>
      </c>
      <c r="AJ191" s="38">
        <f t="shared" si="81"/>
        <v>2513.1999999999998</v>
      </c>
    </row>
    <row r="192" spans="1:36">
      <c r="A192" s="20"/>
      <c r="B192" s="20" t="s">
        <v>110</v>
      </c>
      <c r="C192" s="667" t="s">
        <v>576</v>
      </c>
      <c r="D192" s="68" t="s">
        <v>394</v>
      </c>
      <c r="E192" s="679"/>
      <c r="F192" s="529">
        <f>VLOOKUP(D192,'Oct 2012 Revenue'!D:T,17,FALSE)</f>
        <v>0</v>
      </c>
      <c r="G192" s="680"/>
      <c r="H192" s="680"/>
      <c r="I192" s="755"/>
      <c r="J192" s="682">
        <f t="shared" si="58"/>
        <v>0</v>
      </c>
      <c r="K192" s="683"/>
      <c r="L192" s="684"/>
      <c r="M192" s="753"/>
      <c r="N192" s="683">
        <v>0</v>
      </c>
      <c r="O192" s="686"/>
      <c r="P192" s="683">
        <v>0</v>
      </c>
      <c r="Q192" s="687">
        <f t="shared" si="54"/>
        <v>0</v>
      </c>
      <c r="R192" s="688">
        <v>0</v>
      </c>
      <c r="S192" s="693"/>
      <c r="T192" s="690">
        <f t="shared" si="73"/>
        <v>0</v>
      </c>
      <c r="U192" s="683"/>
      <c r="V192" s="474">
        <f t="shared" si="74"/>
        <v>0</v>
      </c>
      <c r="W192" s="474">
        <f t="shared" si="75"/>
        <v>0</v>
      </c>
      <c r="X192" s="475">
        <f t="shared" si="76"/>
        <v>0</v>
      </c>
      <c r="Y192" s="475">
        <v>0</v>
      </c>
      <c r="Z192" s="476">
        <v>0</v>
      </c>
      <c r="AA192" s="38">
        <f t="shared" si="77"/>
        <v>0</v>
      </c>
      <c r="AB192" s="692">
        <f t="shared" si="55"/>
        <v>0</v>
      </c>
      <c r="AC192" s="692">
        <f t="shared" si="56"/>
        <v>0</v>
      </c>
      <c r="AD192" s="692">
        <f t="shared" si="57"/>
        <v>0</v>
      </c>
      <c r="AE192" s="38"/>
      <c r="AF192" s="692">
        <f t="shared" si="78"/>
        <v>0</v>
      </c>
      <c r="AG192" s="692">
        <f t="shared" si="79"/>
        <v>0</v>
      </c>
      <c r="AH192" s="692">
        <f t="shared" si="80"/>
        <v>0</v>
      </c>
      <c r="AJ192" s="38">
        <f t="shared" si="81"/>
        <v>0</v>
      </c>
    </row>
    <row r="193" spans="1:36">
      <c r="A193" s="20"/>
      <c r="B193" s="20" t="s">
        <v>110</v>
      </c>
      <c r="C193" s="667"/>
      <c r="D193" s="68" t="s">
        <v>55</v>
      </c>
      <c r="E193" s="679"/>
      <c r="F193" s="529">
        <f>VLOOKUP(D193,'Oct 2012 Revenue'!D:T,17,FALSE)</f>
        <v>753.82</v>
      </c>
      <c r="G193" s="680"/>
      <c r="H193" s="680"/>
      <c r="I193" s="755"/>
      <c r="J193" s="682">
        <f t="shared" si="58"/>
        <v>753.82</v>
      </c>
      <c r="K193" s="683"/>
      <c r="L193" s="684"/>
      <c r="M193" s="753"/>
      <c r="N193" s="683">
        <v>0</v>
      </c>
      <c r="O193" s="686"/>
      <c r="P193" s="683">
        <v>0</v>
      </c>
      <c r="Q193" s="687">
        <f t="shared" si="54"/>
        <v>0</v>
      </c>
      <c r="R193" s="688">
        <v>483.82</v>
      </c>
      <c r="S193" s="693"/>
      <c r="T193" s="690">
        <f t="shared" si="73"/>
        <v>483.82</v>
      </c>
      <c r="U193" s="683"/>
      <c r="V193" s="474">
        <f t="shared" si="74"/>
        <v>0</v>
      </c>
      <c r="W193" s="474">
        <f t="shared" si="75"/>
        <v>0</v>
      </c>
      <c r="X193" s="475">
        <f t="shared" si="76"/>
        <v>0</v>
      </c>
      <c r="Y193" s="475">
        <v>0</v>
      </c>
      <c r="Z193" s="476">
        <v>0</v>
      </c>
      <c r="AA193" s="38">
        <f t="shared" si="77"/>
        <v>0</v>
      </c>
      <c r="AB193" s="692">
        <f t="shared" si="55"/>
        <v>753.82</v>
      </c>
      <c r="AC193" s="692">
        <f t="shared" si="56"/>
        <v>0</v>
      </c>
      <c r="AD193" s="692">
        <f t="shared" si="57"/>
        <v>0</v>
      </c>
      <c r="AE193" s="38"/>
      <c r="AF193" s="692">
        <f t="shared" si="78"/>
        <v>0</v>
      </c>
      <c r="AG193" s="692">
        <f t="shared" si="79"/>
        <v>0</v>
      </c>
      <c r="AH193" s="692">
        <f t="shared" si="80"/>
        <v>0</v>
      </c>
      <c r="AJ193" s="38">
        <f t="shared" si="81"/>
        <v>753.82</v>
      </c>
    </row>
    <row r="194" spans="1:36">
      <c r="A194" s="20"/>
      <c r="B194" s="20" t="s">
        <v>110</v>
      </c>
      <c r="C194" s="676" t="s">
        <v>854</v>
      </c>
      <c r="D194" s="68" t="s">
        <v>855</v>
      </c>
      <c r="E194" s="679"/>
      <c r="F194" s="529">
        <f>VLOOKUP(D194,'Oct 2012 Revenue'!D:T,17,FALSE)</f>
        <v>0</v>
      </c>
      <c r="G194" s="680"/>
      <c r="H194" s="680"/>
      <c r="I194" s="755"/>
      <c r="J194" s="682">
        <f t="shared" si="58"/>
        <v>0</v>
      </c>
      <c r="K194" s="683"/>
      <c r="L194" s="684"/>
      <c r="M194" s="753"/>
      <c r="N194" s="683">
        <v>0</v>
      </c>
      <c r="O194" s="686"/>
      <c r="P194" s="683">
        <v>0</v>
      </c>
      <c r="Q194" s="687">
        <f t="shared" si="54"/>
        <v>0</v>
      </c>
      <c r="R194" s="688">
        <v>548.89</v>
      </c>
      <c r="S194" s="693"/>
      <c r="T194" s="690">
        <f t="shared" si="73"/>
        <v>548.89</v>
      </c>
      <c r="U194" s="683"/>
      <c r="V194" s="474">
        <f t="shared" si="74"/>
        <v>0</v>
      </c>
      <c r="W194" s="474">
        <f t="shared" si="75"/>
        <v>0</v>
      </c>
      <c r="X194" s="475">
        <f t="shared" si="76"/>
        <v>0</v>
      </c>
      <c r="Y194" s="475">
        <v>0</v>
      </c>
      <c r="Z194" s="476">
        <v>0</v>
      </c>
      <c r="AA194" s="38">
        <f t="shared" si="77"/>
        <v>0</v>
      </c>
      <c r="AB194" s="692">
        <f t="shared" si="55"/>
        <v>0</v>
      </c>
      <c r="AC194" s="692">
        <f t="shared" si="56"/>
        <v>0</v>
      </c>
      <c r="AD194" s="692">
        <f t="shared" si="57"/>
        <v>0</v>
      </c>
      <c r="AE194" s="38"/>
      <c r="AF194" s="692">
        <f t="shared" si="78"/>
        <v>0</v>
      </c>
      <c r="AG194" s="692">
        <f t="shared" si="79"/>
        <v>0</v>
      </c>
      <c r="AH194" s="692">
        <f t="shared" si="80"/>
        <v>0</v>
      </c>
      <c r="AJ194" s="38">
        <f t="shared" si="81"/>
        <v>0</v>
      </c>
    </row>
    <row r="195" spans="1:36">
      <c r="A195" s="20"/>
      <c r="B195" s="20" t="s">
        <v>109</v>
      </c>
      <c r="C195" s="667" t="s">
        <v>577</v>
      </c>
      <c r="D195" s="68" t="s">
        <v>159</v>
      </c>
      <c r="E195" s="679"/>
      <c r="F195" s="529">
        <f>VLOOKUP(D195,'Oct 2012 Revenue'!D:T,17,FALSE)</f>
        <v>0</v>
      </c>
      <c r="G195" s="680"/>
      <c r="H195" s="680"/>
      <c r="I195" s="755"/>
      <c r="J195" s="682">
        <f t="shared" si="58"/>
        <v>0</v>
      </c>
      <c r="K195" s="683"/>
      <c r="L195" s="684"/>
      <c r="M195" s="753">
        <v>20000</v>
      </c>
      <c r="N195" s="683">
        <v>0</v>
      </c>
      <c r="O195" s="686"/>
      <c r="P195" s="683">
        <v>0</v>
      </c>
      <c r="Q195" s="687">
        <f t="shared" si="54"/>
        <v>20000</v>
      </c>
      <c r="R195" s="688">
        <v>12511.07</v>
      </c>
      <c r="S195" s="693"/>
      <c r="T195" s="690">
        <f t="shared" si="73"/>
        <v>-7488.93</v>
      </c>
      <c r="U195" s="683"/>
      <c r="V195" s="474">
        <f t="shared" si="74"/>
        <v>0</v>
      </c>
      <c r="W195" s="474">
        <f t="shared" si="75"/>
        <v>20000</v>
      </c>
      <c r="X195" s="475">
        <f t="shared" si="76"/>
        <v>0</v>
      </c>
      <c r="Y195" s="475">
        <v>0</v>
      </c>
      <c r="Z195" s="476">
        <v>0</v>
      </c>
      <c r="AA195" s="38">
        <f t="shared" si="77"/>
        <v>0</v>
      </c>
      <c r="AB195" s="692">
        <f t="shared" si="55"/>
        <v>0</v>
      </c>
      <c r="AC195" s="692">
        <f t="shared" si="56"/>
        <v>0</v>
      </c>
      <c r="AD195" s="692">
        <f t="shared" si="57"/>
        <v>0</v>
      </c>
      <c r="AE195" s="38"/>
      <c r="AF195" s="692">
        <f t="shared" si="78"/>
        <v>0</v>
      </c>
      <c r="AG195" s="692">
        <f t="shared" si="79"/>
        <v>20000</v>
      </c>
      <c r="AH195" s="692">
        <f t="shared" si="80"/>
        <v>0</v>
      </c>
      <c r="AJ195" s="38">
        <f t="shared" si="81"/>
        <v>20000</v>
      </c>
    </row>
    <row r="196" spans="1:36">
      <c r="A196" s="20"/>
      <c r="B196" s="20" t="s">
        <v>109</v>
      </c>
      <c r="C196" s="667" t="s">
        <v>577</v>
      </c>
      <c r="D196" s="68" t="s">
        <v>160</v>
      </c>
      <c r="E196" s="679"/>
      <c r="F196" s="529">
        <f>VLOOKUP(D196,'Oct 2012 Revenue'!D:T,17,FALSE)</f>
        <v>0</v>
      </c>
      <c r="G196" s="680"/>
      <c r="H196" s="680"/>
      <c r="I196" s="755"/>
      <c r="J196" s="682">
        <f t="shared" si="58"/>
        <v>0</v>
      </c>
      <c r="K196" s="683"/>
      <c r="L196" s="684"/>
      <c r="M196" s="753">
        <v>13000</v>
      </c>
      <c r="N196" s="683">
        <v>0</v>
      </c>
      <c r="O196" s="686"/>
      <c r="P196" s="683">
        <v>0</v>
      </c>
      <c r="Q196" s="687">
        <f t="shared" si="54"/>
        <v>13000</v>
      </c>
      <c r="R196" s="688">
        <v>19132.02</v>
      </c>
      <c r="S196" s="693"/>
      <c r="T196" s="690">
        <f t="shared" si="73"/>
        <v>6132.02</v>
      </c>
      <c r="U196" s="683"/>
      <c r="V196" s="474">
        <f t="shared" si="74"/>
        <v>0</v>
      </c>
      <c r="W196" s="474">
        <f t="shared" si="75"/>
        <v>13000</v>
      </c>
      <c r="X196" s="475">
        <f t="shared" si="76"/>
        <v>0</v>
      </c>
      <c r="Y196" s="475">
        <v>0</v>
      </c>
      <c r="Z196" s="476">
        <v>0</v>
      </c>
      <c r="AA196" s="38">
        <f t="shared" si="77"/>
        <v>0</v>
      </c>
      <c r="AB196" s="692">
        <f t="shared" si="55"/>
        <v>0</v>
      </c>
      <c r="AC196" s="692">
        <f t="shared" si="56"/>
        <v>0</v>
      </c>
      <c r="AD196" s="692">
        <f t="shared" si="57"/>
        <v>0</v>
      </c>
      <c r="AE196" s="38"/>
      <c r="AF196" s="692">
        <f t="shared" si="78"/>
        <v>0</v>
      </c>
      <c r="AG196" s="692">
        <f t="shared" si="79"/>
        <v>13000</v>
      </c>
      <c r="AH196" s="692">
        <f t="shared" si="80"/>
        <v>0</v>
      </c>
      <c r="AJ196" s="38">
        <f t="shared" si="81"/>
        <v>13000</v>
      </c>
    </row>
    <row r="197" spans="1:36">
      <c r="A197" s="21"/>
      <c r="B197" s="21" t="s">
        <v>109</v>
      </c>
      <c r="C197" s="667" t="s">
        <v>577</v>
      </c>
      <c r="D197" s="68" t="s">
        <v>161</v>
      </c>
      <c r="E197" s="679"/>
      <c r="F197" s="529">
        <f>VLOOKUP(D197,'Oct 2012 Revenue'!D:T,17,FALSE)</f>
        <v>0</v>
      </c>
      <c r="G197" s="680"/>
      <c r="H197" s="680"/>
      <c r="I197" s="755"/>
      <c r="J197" s="682">
        <f t="shared" si="58"/>
        <v>0</v>
      </c>
      <c r="K197" s="683"/>
      <c r="L197" s="684"/>
      <c r="M197" s="753"/>
      <c r="N197" s="683">
        <v>0</v>
      </c>
      <c r="O197" s="686"/>
      <c r="P197" s="683">
        <v>0</v>
      </c>
      <c r="Q197" s="687">
        <f t="shared" si="54"/>
        <v>0</v>
      </c>
      <c r="R197" s="688">
        <v>0</v>
      </c>
      <c r="S197" s="693"/>
      <c r="T197" s="690">
        <f t="shared" si="73"/>
        <v>0</v>
      </c>
      <c r="U197" s="683"/>
      <c r="V197" s="474">
        <f t="shared" si="74"/>
        <v>0</v>
      </c>
      <c r="W197" s="474">
        <f t="shared" si="75"/>
        <v>0</v>
      </c>
      <c r="X197" s="475">
        <f t="shared" si="76"/>
        <v>0</v>
      </c>
      <c r="Y197" s="475">
        <v>0</v>
      </c>
      <c r="Z197" s="476">
        <v>0</v>
      </c>
      <c r="AA197" s="38">
        <f t="shared" si="77"/>
        <v>0</v>
      </c>
      <c r="AB197" s="692">
        <f t="shared" si="55"/>
        <v>0</v>
      </c>
      <c r="AC197" s="692">
        <f t="shared" si="56"/>
        <v>0</v>
      </c>
      <c r="AD197" s="692">
        <f t="shared" si="57"/>
        <v>0</v>
      </c>
      <c r="AE197" s="38"/>
      <c r="AF197" s="692">
        <f t="shared" si="78"/>
        <v>0</v>
      </c>
      <c r="AG197" s="692">
        <f t="shared" si="79"/>
        <v>0</v>
      </c>
      <c r="AH197" s="692">
        <f t="shared" si="80"/>
        <v>0</v>
      </c>
      <c r="AJ197" s="38">
        <f t="shared" si="81"/>
        <v>0</v>
      </c>
    </row>
    <row r="198" spans="1:36">
      <c r="A198" s="21"/>
      <c r="B198" s="21" t="s">
        <v>109</v>
      </c>
      <c r="C198" s="667" t="s">
        <v>577</v>
      </c>
      <c r="D198" s="68" t="s">
        <v>162</v>
      </c>
      <c r="E198" s="679"/>
      <c r="F198" s="529">
        <f>VLOOKUP(D198,'Oct 2012 Revenue'!D:T,17,FALSE)</f>
        <v>0</v>
      </c>
      <c r="G198" s="680"/>
      <c r="H198" s="680"/>
      <c r="I198" s="755"/>
      <c r="J198" s="682">
        <f t="shared" si="58"/>
        <v>0</v>
      </c>
      <c r="K198" s="683"/>
      <c r="L198" s="684"/>
      <c r="M198" s="753"/>
      <c r="N198" s="683">
        <v>0</v>
      </c>
      <c r="O198" s="686"/>
      <c r="P198" s="683">
        <v>0</v>
      </c>
      <c r="Q198" s="687">
        <f t="shared" si="54"/>
        <v>0</v>
      </c>
      <c r="R198" s="688">
        <v>0</v>
      </c>
      <c r="S198" s="693"/>
      <c r="T198" s="690">
        <f t="shared" si="73"/>
        <v>0</v>
      </c>
      <c r="U198" s="683"/>
      <c r="V198" s="474">
        <f t="shared" si="74"/>
        <v>0</v>
      </c>
      <c r="W198" s="474">
        <f t="shared" si="75"/>
        <v>0</v>
      </c>
      <c r="X198" s="475">
        <f t="shared" si="76"/>
        <v>0</v>
      </c>
      <c r="Y198" s="475">
        <v>0</v>
      </c>
      <c r="Z198" s="476">
        <v>0</v>
      </c>
      <c r="AA198" s="38">
        <f t="shared" si="77"/>
        <v>0</v>
      </c>
      <c r="AB198" s="692">
        <f t="shared" si="55"/>
        <v>0</v>
      </c>
      <c r="AC198" s="692">
        <f t="shared" si="56"/>
        <v>0</v>
      </c>
      <c r="AD198" s="692">
        <f t="shared" si="57"/>
        <v>0</v>
      </c>
      <c r="AE198" s="38"/>
      <c r="AF198" s="692">
        <f t="shared" si="78"/>
        <v>0</v>
      </c>
      <c r="AG198" s="692">
        <f t="shared" si="79"/>
        <v>0</v>
      </c>
      <c r="AH198" s="692">
        <f t="shared" si="80"/>
        <v>0</v>
      </c>
      <c r="AJ198" s="38">
        <f t="shared" si="81"/>
        <v>0</v>
      </c>
    </row>
    <row r="199" spans="1:36">
      <c r="A199" s="21"/>
      <c r="B199" s="21" t="s">
        <v>109</v>
      </c>
      <c r="C199" s="666"/>
      <c r="D199" s="68" t="s">
        <v>163</v>
      </c>
      <c r="E199" s="679"/>
      <c r="F199" s="529">
        <f>VLOOKUP(D199,'Oct 2012 Revenue'!D:T,17,FALSE)</f>
        <v>0</v>
      </c>
      <c r="G199" s="680"/>
      <c r="H199" s="680"/>
      <c r="I199" s="770">
        <v>3913.84</v>
      </c>
      <c r="J199" s="682">
        <f t="shared" si="58"/>
        <v>3913.84</v>
      </c>
      <c r="K199" s="683"/>
      <c r="L199" s="684"/>
      <c r="M199" s="753"/>
      <c r="N199" s="683">
        <v>0</v>
      </c>
      <c r="O199" s="686"/>
      <c r="P199" s="683">
        <v>0</v>
      </c>
      <c r="Q199" s="687">
        <f t="shared" si="54"/>
        <v>0</v>
      </c>
      <c r="R199" s="688">
        <v>0</v>
      </c>
      <c r="S199" s="704"/>
      <c r="T199" s="690">
        <f t="shared" si="73"/>
        <v>0</v>
      </c>
      <c r="U199" s="705"/>
      <c r="V199" s="474">
        <f t="shared" si="74"/>
        <v>0</v>
      </c>
      <c r="W199" s="474">
        <f t="shared" si="75"/>
        <v>0</v>
      </c>
      <c r="X199" s="475">
        <f t="shared" si="76"/>
        <v>0</v>
      </c>
      <c r="Y199" s="475">
        <v>0</v>
      </c>
      <c r="Z199" s="476">
        <v>0</v>
      </c>
      <c r="AA199" s="38">
        <f t="shared" si="77"/>
        <v>0</v>
      </c>
      <c r="AB199" s="692">
        <f t="shared" si="55"/>
        <v>0</v>
      </c>
      <c r="AC199" s="692">
        <f t="shared" si="56"/>
        <v>3913.84</v>
      </c>
      <c r="AD199" s="692">
        <f t="shared" si="57"/>
        <v>0</v>
      </c>
      <c r="AE199" s="38"/>
      <c r="AF199" s="692">
        <f t="shared" si="78"/>
        <v>0</v>
      </c>
      <c r="AG199" s="692">
        <f t="shared" si="79"/>
        <v>0</v>
      </c>
      <c r="AH199" s="692">
        <f t="shared" si="80"/>
        <v>0</v>
      </c>
      <c r="AJ199" s="38">
        <f t="shared" si="81"/>
        <v>3913.84</v>
      </c>
    </row>
    <row r="200" spans="1:36">
      <c r="A200" s="21"/>
      <c r="B200" s="21" t="s">
        <v>109</v>
      </c>
      <c r="C200" s="666"/>
      <c r="D200" s="412" t="s">
        <v>164</v>
      </c>
      <c r="E200" s="679"/>
      <c r="F200" s="529">
        <f>VLOOKUP(D200,'Oct 2012 Revenue'!D:T,17,FALSE)</f>
        <v>0</v>
      </c>
      <c r="G200" s="680"/>
      <c r="H200" s="680"/>
      <c r="I200" s="770">
        <v>13.74</v>
      </c>
      <c r="J200" s="682">
        <f t="shared" si="58"/>
        <v>13.74</v>
      </c>
      <c r="K200" s="683"/>
      <c r="L200" s="684"/>
      <c r="M200" s="753"/>
      <c r="N200" s="683">
        <v>0</v>
      </c>
      <c r="O200" s="686"/>
      <c r="P200" s="683">
        <v>0</v>
      </c>
      <c r="Q200" s="687">
        <f t="shared" si="54"/>
        <v>0</v>
      </c>
      <c r="R200" s="688">
        <v>0</v>
      </c>
      <c r="S200" s="704"/>
      <c r="T200" s="690">
        <f t="shared" si="73"/>
        <v>0</v>
      </c>
      <c r="U200" s="705"/>
      <c r="V200" s="474">
        <f t="shared" si="74"/>
        <v>0</v>
      </c>
      <c r="W200" s="474">
        <f t="shared" si="75"/>
        <v>0</v>
      </c>
      <c r="X200" s="475">
        <f t="shared" si="76"/>
        <v>0</v>
      </c>
      <c r="Y200" s="475">
        <v>0</v>
      </c>
      <c r="Z200" s="476">
        <v>0</v>
      </c>
      <c r="AA200" s="38">
        <f t="shared" si="77"/>
        <v>0</v>
      </c>
      <c r="AB200" s="692">
        <f t="shared" si="55"/>
        <v>0</v>
      </c>
      <c r="AC200" s="692">
        <f t="shared" si="56"/>
        <v>13.74</v>
      </c>
      <c r="AD200" s="692">
        <f t="shared" si="57"/>
        <v>0</v>
      </c>
      <c r="AE200" s="38"/>
      <c r="AF200" s="692">
        <f t="shared" si="78"/>
        <v>0</v>
      </c>
      <c r="AG200" s="692">
        <f t="shared" si="79"/>
        <v>0</v>
      </c>
      <c r="AH200" s="692">
        <f t="shared" si="80"/>
        <v>0</v>
      </c>
      <c r="AJ200" s="38">
        <f t="shared" si="81"/>
        <v>13.74</v>
      </c>
    </row>
    <row r="201" spans="1:36">
      <c r="A201" s="21" t="s">
        <v>109</v>
      </c>
      <c r="B201" s="21" t="s">
        <v>114</v>
      </c>
      <c r="C201" s="666" t="s">
        <v>578</v>
      </c>
      <c r="D201" s="412" t="s">
        <v>318</v>
      </c>
      <c r="E201" s="679"/>
      <c r="F201" s="529">
        <f>VLOOKUP(D201,'Oct 2012 Revenue'!D:T,17,FALSE)</f>
        <v>-30000</v>
      </c>
      <c r="G201" s="680"/>
      <c r="H201" s="680"/>
      <c r="I201" s="755"/>
      <c r="J201" s="682">
        <f t="shared" si="58"/>
        <v>-30000</v>
      </c>
      <c r="K201" s="683"/>
      <c r="L201" s="684"/>
      <c r="M201" s="753">
        <v>60000</v>
      </c>
      <c r="N201" s="683">
        <v>0</v>
      </c>
      <c r="O201" s="686"/>
      <c r="P201" s="683">
        <v>0</v>
      </c>
      <c r="Q201" s="687">
        <f t="shared" si="54"/>
        <v>60000</v>
      </c>
      <c r="R201" s="688">
        <v>28713</v>
      </c>
      <c r="S201" s="704"/>
      <c r="T201" s="690">
        <f t="shared" si="73"/>
        <v>-31287</v>
      </c>
      <c r="U201" s="683"/>
      <c r="V201" s="474">
        <f t="shared" si="74"/>
        <v>0</v>
      </c>
      <c r="W201" s="474">
        <f t="shared" si="75"/>
        <v>0</v>
      </c>
      <c r="X201" s="475">
        <f t="shared" si="76"/>
        <v>60000</v>
      </c>
      <c r="Y201" s="475">
        <v>0</v>
      </c>
      <c r="Z201" s="476">
        <v>0</v>
      </c>
      <c r="AA201" s="38">
        <f t="shared" si="77"/>
        <v>0</v>
      </c>
      <c r="AB201" s="692">
        <f t="shared" si="55"/>
        <v>0</v>
      </c>
      <c r="AC201" s="692">
        <f t="shared" si="56"/>
        <v>0</v>
      </c>
      <c r="AD201" s="692">
        <f t="shared" si="57"/>
        <v>-30000</v>
      </c>
      <c r="AE201" s="38"/>
      <c r="AF201" s="692">
        <f t="shared" si="78"/>
        <v>0</v>
      </c>
      <c r="AG201" s="692">
        <f t="shared" si="79"/>
        <v>0</v>
      </c>
      <c r="AH201" s="692">
        <f t="shared" si="80"/>
        <v>60000</v>
      </c>
      <c r="AJ201" s="38">
        <f t="shared" si="81"/>
        <v>30000</v>
      </c>
    </row>
    <row r="202" spans="1:36">
      <c r="A202" s="20" t="s">
        <v>211</v>
      </c>
      <c r="B202" s="20" t="s">
        <v>109</v>
      </c>
      <c r="C202" s="667"/>
      <c r="D202" s="68" t="s">
        <v>57</v>
      </c>
      <c r="E202" s="679"/>
      <c r="F202" s="529">
        <f>VLOOKUP(D202,'Oct 2012 Revenue'!D:T,17,FALSE)</f>
        <v>0</v>
      </c>
      <c r="G202" s="680"/>
      <c r="H202" s="680"/>
      <c r="I202" s="755"/>
      <c r="J202" s="682">
        <f t="shared" si="58"/>
        <v>0</v>
      </c>
      <c r="K202" s="683"/>
      <c r="L202" s="684"/>
      <c r="M202" s="753"/>
      <c r="N202" s="683">
        <v>0</v>
      </c>
      <c r="O202" s="686"/>
      <c r="P202" s="683">
        <v>0</v>
      </c>
      <c r="Q202" s="687">
        <f t="shared" si="54"/>
        <v>0</v>
      </c>
      <c r="R202" s="688">
        <v>0</v>
      </c>
      <c r="S202" s="693"/>
      <c r="T202" s="690">
        <f t="shared" si="73"/>
        <v>0</v>
      </c>
      <c r="U202" s="683"/>
      <c r="V202" s="474">
        <f t="shared" si="74"/>
        <v>0</v>
      </c>
      <c r="W202" s="474">
        <f t="shared" si="75"/>
        <v>0</v>
      </c>
      <c r="X202" s="475">
        <f t="shared" si="76"/>
        <v>0</v>
      </c>
      <c r="Y202" s="475">
        <v>0</v>
      </c>
      <c r="Z202" s="476">
        <v>0</v>
      </c>
      <c r="AA202" s="38">
        <f t="shared" si="77"/>
        <v>0</v>
      </c>
      <c r="AB202" s="692">
        <f t="shared" si="55"/>
        <v>0</v>
      </c>
      <c r="AC202" s="692">
        <f t="shared" si="56"/>
        <v>0</v>
      </c>
      <c r="AD202" s="692">
        <f t="shared" si="57"/>
        <v>0</v>
      </c>
      <c r="AE202" s="38"/>
      <c r="AF202" s="692">
        <f t="shared" si="78"/>
        <v>0</v>
      </c>
      <c r="AG202" s="692">
        <f t="shared" si="79"/>
        <v>0</v>
      </c>
      <c r="AH202" s="692">
        <f t="shared" si="80"/>
        <v>0</v>
      </c>
      <c r="AJ202" s="38">
        <f t="shared" si="81"/>
        <v>0</v>
      </c>
    </row>
    <row r="203" spans="1:36">
      <c r="A203" s="20"/>
      <c r="B203" s="20" t="s">
        <v>114</v>
      </c>
      <c r="C203" s="676" t="s">
        <v>621</v>
      </c>
      <c r="D203" s="68" t="s">
        <v>622</v>
      </c>
      <c r="E203" s="679"/>
      <c r="F203" s="529">
        <f>VLOOKUP(D203,'Oct 2012 Revenue'!D:T,17,FALSE)</f>
        <v>0</v>
      </c>
      <c r="G203" s="680"/>
      <c r="H203" s="680"/>
      <c r="I203" s="755"/>
      <c r="J203" s="682">
        <f t="shared" si="58"/>
        <v>0</v>
      </c>
      <c r="K203" s="683"/>
      <c r="L203" s="684"/>
      <c r="M203" s="753"/>
      <c r="N203" s="683">
        <v>0</v>
      </c>
      <c r="O203" s="686"/>
      <c r="P203" s="683">
        <v>0</v>
      </c>
      <c r="Q203" s="687">
        <f t="shared" si="54"/>
        <v>0</v>
      </c>
      <c r="R203" s="688">
        <v>0</v>
      </c>
      <c r="S203" s="704"/>
      <c r="T203" s="690">
        <f t="shared" si="73"/>
        <v>0</v>
      </c>
      <c r="U203" s="683"/>
      <c r="V203" s="474">
        <f t="shared" si="74"/>
        <v>0</v>
      </c>
      <c r="W203" s="474">
        <f t="shared" si="75"/>
        <v>0</v>
      </c>
      <c r="X203" s="475">
        <f t="shared" si="76"/>
        <v>0</v>
      </c>
      <c r="Y203" s="475">
        <v>0</v>
      </c>
      <c r="Z203" s="476">
        <v>0</v>
      </c>
      <c r="AA203" s="38">
        <f t="shared" si="77"/>
        <v>0</v>
      </c>
      <c r="AB203" s="692">
        <f t="shared" si="55"/>
        <v>0</v>
      </c>
      <c r="AC203" s="692">
        <f t="shared" si="56"/>
        <v>0</v>
      </c>
      <c r="AD203" s="692">
        <f t="shared" si="57"/>
        <v>0</v>
      </c>
      <c r="AE203" s="38"/>
      <c r="AF203" s="692">
        <f t="shared" si="78"/>
        <v>0</v>
      </c>
      <c r="AG203" s="692">
        <f t="shared" si="79"/>
        <v>0</v>
      </c>
      <c r="AH203" s="692">
        <f t="shared" si="80"/>
        <v>0</v>
      </c>
      <c r="AJ203" s="38">
        <f t="shared" si="81"/>
        <v>0</v>
      </c>
    </row>
    <row r="204" spans="1:36">
      <c r="A204" s="20"/>
      <c r="B204" s="20" t="s">
        <v>110</v>
      </c>
      <c r="C204" s="667"/>
      <c r="D204" s="68" t="s">
        <v>497</v>
      </c>
      <c r="E204" s="679">
        <v>233.44</v>
      </c>
      <c r="F204" s="529">
        <f>VLOOKUP(D204,'Oct 2012 Revenue'!D:T,17,FALSE)</f>
        <v>201.02</v>
      </c>
      <c r="G204" s="680"/>
      <c r="H204" s="680"/>
      <c r="I204" s="755"/>
      <c r="J204" s="682">
        <f t="shared" si="58"/>
        <v>434.46000000000004</v>
      </c>
      <c r="K204" s="683"/>
      <c r="L204" s="684"/>
      <c r="M204" s="753"/>
      <c r="N204" s="683">
        <v>0</v>
      </c>
      <c r="O204" s="686"/>
      <c r="P204" s="683">
        <v>0</v>
      </c>
      <c r="Q204" s="687">
        <f t="shared" si="54"/>
        <v>0</v>
      </c>
      <c r="R204" s="688">
        <v>0</v>
      </c>
      <c r="S204" s="693"/>
      <c r="T204" s="690">
        <f t="shared" si="73"/>
        <v>0</v>
      </c>
      <c r="U204" s="683"/>
      <c r="V204" s="474">
        <f t="shared" si="74"/>
        <v>0</v>
      </c>
      <c r="W204" s="474">
        <f t="shared" si="75"/>
        <v>0</v>
      </c>
      <c r="X204" s="475">
        <f t="shared" si="76"/>
        <v>0</v>
      </c>
      <c r="Y204" s="475">
        <v>0</v>
      </c>
      <c r="Z204" s="476">
        <v>0</v>
      </c>
      <c r="AA204" s="38">
        <f t="shared" si="77"/>
        <v>0</v>
      </c>
      <c r="AB204" s="692">
        <f t="shared" si="55"/>
        <v>434.46000000000004</v>
      </c>
      <c r="AC204" s="692">
        <f t="shared" si="56"/>
        <v>0</v>
      </c>
      <c r="AD204" s="692">
        <f t="shared" si="57"/>
        <v>0</v>
      </c>
      <c r="AE204" s="38"/>
      <c r="AF204" s="692">
        <f t="shared" si="78"/>
        <v>0</v>
      </c>
      <c r="AG204" s="692">
        <f t="shared" si="79"/>
        <v>0</v>
      </c>
      <c r="AH204" s="692">
        <f t="shared" si="80"/>
        <v>0</v>
      </c>
      <c r="AJ204" s="38">
        <f t="shared" si="81"/>
        <v>434.46000000000004</v>
      </c>
    </row>
    <row r="205" spans="1:36">
      <c r="A205" s="20"/>
      <c r="B205" s="20" t="s">
        <v>110</v>
      </c>
      <c r="C205" s="667"/>
      <c r="D205" s="68" t="s">
        <v>509</v>
      </c>
      <c r="E205" s="679"/>
      <c r="F205" s="529">
        <f>VLOOKUP(D205,'Oct 2012 Revenue'!D:T,17,FALSE)</f>
        <v>2019.7700000000004</v>
      </c>
      <c r="G205" s="680"/>
      <c r="H205" s="680"/>
      <c r="I205" s="755"/>
      <c r="J205" s="682">
        <f t="shared" si="58"/>
        <v>2019.7700000000004</v>
      </c>
      <c r="K205" s="683"/>
      <c r="L205" s="684"/>
      <c r="M205" s="753">
        <v>10000</v>
      </c>
      <c r="N205" s="683"/>
      <c r="O205" s="686"/>
      <c r="P205" s="683"/>
      <c r="Q205" s="687">
        <f t="shared" si="54"/>
        <v>10000</v>
      </c>
      <c r="R205" s="688">
        <v>11915.66</v>
      </c>
      <c r="S205" s="693"/>
      <c r="T205" s="690">
        <f t="shared" si="73"/>
        <v>1915.6599999999999</v>
      </c>
      <c r="U205" s="683"/>
      <c r="V205" s="474">
        <f t="shared" si="74"/>
        <v>10000</v>
      </c>
      <c r="W205" s="474">
        <f t="shared" si="75"/>
        <v>0</v>
      </c>
      <c r="X205" s="475">
        <f t="shared" si="76"/>
        <v>0</v>
      </c>
      <c r="Y205" s="475">
        <v>0</v>
      </c>
      <c r="Z205" s="476">
        <v>0</v>
      </c>
      <c r="AA205" s="38">
        <f t="shared" si="77"/>
        <v>0</v>
      </c>
      <c r="AB205" s="692">
        <f t="shared" si="55"/>
        <v>2019.7700000000004</v>
      </c>
      <c r="AC205" s="692">
        <f t="shared" si="56"/>
        <v>0</v>
      </c>
      <c r="AD205" s="692">
        <f t="shared" si="57"/>
        <v>0</v>
      </c>
      <c r="AE205" s="38"/>
      <c r="AF205" s="692">
        <f t="shared" si="78"/>
        <v>10000</v>
      </c>
      <c r="AG205" s="692">
        <f t="shared" si="79"/>
        <v>0</v>
      </c>
      <c r="AH205" s="692">
        <f t="shared" si="80"/>
        <v>0</v>
      </c>
      <c r="AJ205" s="38">
        <f t="shared" si="81"/>
        <v>12019.77</v>
      </c>
    </row>
    <row r="206" spans="1:36" s="627" customFormat="1">
      <c r="A206" s="610"/>
      <c r="B206" s="610" t="s">
        <v>110</v>
      </c>
      <c r="C206" s="667" t="s">
        <v>580</v>
      </c>
      <c r="D206" s="612" t="s">
        <v>476</v>
      </c>
      <c r="E206" s="679"/>
      <c r="F206" s="529">
        <f>VLOOKUP(D206,'Oct 2012 Revenue'!D:T,17,FALSE)</f>
        <v>0</v>
      </c>
      <c r="G206" s="680"/>
      <c r="H206" s="680"/>
      <c r="I206" s="755"/>
      <c r="J206" s="682">
        <f t="shared" si="58"/>
        <v>0</v>
      </c>
      <c r="K206" s="683"/>
      <c r="L206" s="684"/>
      <c r="M206" s="753"/>
      <c r="N206" s="683">
        <v>0</v>
      </c>
      <c r="O206" s="686"/>
      <c r="P206" s="683">
        <v>0</v>
      </c>
      <c r="Q206" s="687">
        <f t="shared" si="54"/>
        <v>0</v>
      </c>
      <c r="R206" s="688">
        <v>0</v>
      </c>
      <c r="S206" s="706"/>
      <c r="T206" s="690">
        <f t="shared" si="73"/>
        <v>0</v>
      </c>
      <c r="U206" s="707"/>
      <c r="V206" s="474">
        <f t="shared" si="74"/>
        <v>0</v>
      </c>
      <c r="W206" s="474">
        <f t="shared" si="75"/>
        <v>0</v>
      </c>
      <c r="X206" s="475">
        <f t="shared" si="76"/>
        <v>0</v>
      </c>
      <c r="Y206" s="475">
        <v>0</v>
      </c>
      <c r="Z206" s="476">
        <v>0</v>
      </c>
      <c r="AA206" s="38">
        <f t="shared" si="77"/>
        <v>0</v>
      </c>
      <c r="AB206" s="692">
        <f t="shared" si="55"/>
        <v>0</v>
      </c>
      <c r="AC206" s="692">
        <f t="shared" si="56"/>
        <v>0</v>
      </c>
      <c r="AD206" s="692">
        <f t="shared" si="57"/>
        <v>0</v>
      </c>
      <c r="AE206" s="38"/>
      <c r="AF206" s="692">
        <f t="shared" si="78"/>
        <v>0</v>
      </c>
      <c r="AG206" s="692">
        <f t="shared" si="79"/>
        <v>0</v>
      </c>
      <c r="AH206" s="692">
        <f t="shared" si="80"/>
        <v>0</v>
      </c>
      <c r="AJ206" s="38">
        <f t="shared" si="81"/>
        <v>0</v>
      </c>
    </row>
    <row r="207" spans="1:36" s="232" customFormat="1">
      <c r="A207" s="283"/>
      <c r="B207" s="283" t="s">
        <v>114</v>
      </c>
      <c r="C207" s="667" t="s">
        <v>580</v>
      </c>
      <c r="D207" s="123" t="s">
        <v>371</v>
      </c>
      <c r="E207" s="679"/>
      <c r="F207" s="529">
        <f>VLOOKUP(D207,'Oct 2012 Revenue'!D:T,17,FALSE)</f>
        <v>0</v>
      </c>
      <c r="G207" s="680"/>
      <c r="H207" s="680"/>
      <c r="I207" s="755"/>
      <c r="J207" s="682">
        <f t="shared" si="58"/>
        <v>0</v>
      </c>
      <c r="K207" s="683"/>
      <c r="L207" s="684"/>
      <c r="M207" s="753"/>
      <c r="N207" s="683">
        <v>0</v>
      </c>
      <c r="O207" s="686"/>
      <c r="P207" s="683">
        <v>0</v>
      </c>
      <c r="Q207" s="687">
        <f t="shared" si="54"/>
        <v>0</v>
      </c>
      <c r="R207" s="688">
        <f>683.15+3435.26</f>
        <v>4118.41</v>
      </c>
      <c r="S207" s="693"/>
      <c r="T207" s="690">
        <f t="shared" si="73"/>
        <v>4118.41</v>
      </c>
      <c r="U207" s="683"/>
      <c r="V207" s="474">
        <f t="shared" si="74"/>
        <v>0</v>
      </c>
      <c r="W207" s="474">
        <f t="shared" si="75"/>
        <v>0</v>
      </c>
      <c r="X207" s="475">
        <f t="shared" si="76"/>
        <v>0</v>
      </c>
      <c r="Y207" s="475">
        <v>0</v>
      </c>
      <c r="Z207" s="476">
        <v>0</v>
      </c>
      <c r="AA207" s="38">
        <f t="shared" si="77"/>
        <v>0</v>
      </c>
      <c r="AB207" s="692">
        <f t="shared" si="55"/>
        <v>0</v>
      </c>
      <c r="AC207" s="692">
        <f t="shared" si="56"/>
        <v>0</v>
      </c>
      <c r="AD207" s="692">
        <f t="shared" si="57"/>
        <v>0</v>
      </c>
      <c r="AE207" s="38"/>
      <c r="AF207" s="692">
        <f t="shared" si="78"/>
        <v>0</v>
      </c>
      <c r="AG207" s="692">
        <f t="shared" si="79"/>
        <v>0</v>
      </c>
      <c r="AH207" s="692">
        <f t="shared" si="80"/>
        <v>0</v>
      </c>
      <c r="AJ207" s="38">
        <f t="shared" si="81"/>
        <v>0</v>
      </c>
    </row>
    <row r="208" spans="1:36" s="232" customFormat="1">
      <c r="A208" s="283"/>
      <c r="B208" s="283" t="s">
        <v>110</v>
      </c>
      <c r="C208" s="667" t="s">
        <v>580</v>
      </c>
      <c r="D208" s="123" t="s">
        <v>422</v>
      </c>
      <c r="E208" s="679"/>
      <c r="F208" s="529">
        <f>VLOOKUP(D208,'Oct 2012 Revenue'!D:T,17,FALSE)</f>
        <v>0</v>
      </c>
      <c r="G208" s="680"/>
      <c r="H208" s="680"/>
      <c r="I208" s="755"/>
      <c r="J208" s="682">
        <f t="shared" si="58"/>
        <v>0</v>
      </c>
      <c r="K208" s="683"/>
      <c r="L208" s="684">
        <v>422404</v>
      </c>
      <c r="M208" s="753"/>
      <c r="N208" s="683">
        <v>0</v>
      </c>
      <c r="O208" s="686"/>
      <c r="P208" s="683">
        <v>0</v>
      </c>
      <c r="Q208" s="687">
        <f t="shared" si="54"/>
        <v>422404</v>
      </c>
      <c r="R208" s="688">
        <v>419431.84</v>
      </c>
      <c r="S208" s="693"/>
      <c r="T208" s="690">
        <f t="shared" si="73"/>
        <v>-2972.1599999999744</v>
      </c>
      <c r="U208" s="683"/>
      <c r="V208" s="474">
        <f t="shared" si="74"/>
        <v>422404</v>
      </c>
      <c r="W208" s="474">
        <f t="shared" si="75"/>
        <v>0</v>
      </c>
      <c r="X208" s="475">
        <f t="shared" si="76"/>
        <v>0</v>
      </c>
      <c r="Y208" s="475">
        <v>0</v>
      </c>
      <c r="Z208" s="476">
        <v>0</v>
      </c>
      <c r="AA208" s="38">
        <f t="shared" si="77"/>
        <v>0</v>
      </c>
      <c r="AB208" s="692">
        <f t="shared" si="55"/>
        <v>0</v>
      </c>
      <c r="AC208" s="692">
        <f t="shared" si="56"/>
        <v>0</v>
      </c>
      <c r="AD208" s="692">
        <f t="shared" si="57"/>
        <v>0</v>
      </c>
      <c r="AE208" s="38"/>
      <c r="AF208" s="692">
        <f t="shared" si="78"/>
        <v>422404</v>
      </c>
      <c r="AG208" s="692">
        <f t="shared" si="79"/>
        <v>0</v>
      </c>
      <c r="AH208" s="692">
        <f t="shared" si="80"/>
        <v>0</v>
      </c>
      <c r="AJ208" s="38">
        <f t="shared" si="81"/>
        <v>422404</v>
      </c>
    </row>
    <row r="209" spans="1:36" s="232" customFormat="1">
      <c r="A209" s="283"/>
      <c r="B209" s="283" t="s">
        <v>114</v>
      </c>
      <c r="C209" s="667" t="s">
        <v>580</v>
      </c>
      <c r="D209" s="123" t="s">
        <v>442</v>
      </c>
      <c r="E209" s="679"/>
      <c r="F209" s="529">
        <f>VLOOKUP(D209,'Oct 2012 Revenue'!D:T,17,FALSE)</f>
        <v>3833.0599999999977</v>
      </c>
      <c r="G209" s="680"/>
      <c r="H209" s="680"/>
      <c r="I209" s="755"/>
      <c r="J209" s="682">
        <f t="shared" si="58"/>
        <v>3833.0599999999977</v>
      </c>
      <c r="K209" s="683"/>
      <c r="L209" s="684"/>
      <c r="M209" s="753"/>
      <c r="N209" s="683">
        <v>0</v>
      </c>
      <c r="O209" s="686"/>
      <c r="P209" s="683">
        <v>0</v>
      </c>
      <c r="Q209" s="687">
        <f t="shared" si="54"/>
        <v>0</v>
      </c>
      <c r="R209" s="688">
        <v>0</v>
      </c>
      <c r="S209" s="693"/>
      <c r="T209" s="690">
        <f t="shared" si="73"/>
        <v>0</v>
      </c>
      <c r="U209" s="683"/>
      <c r="V209" s="474">
        <f t="shared" si="74"/>
        <v>0</v>
      </c>
      <c r="W209" s="474">
        <f t="shared" si="75"/>
        <v>0</v>
      </c>
      <c r="X209" s="475">
        <f t="shared" si="76"/>
        <v>0</v>
      </c>
      <c r="Y209" s="475">
        <v>0</v>
      </c>
      <c r="Z209" s="476">
        <v>0</v>
      </c>
      <c r="AA209" s="38">
        <f t="shared" si="77"/>
        <v>0</v>
      </c>
      <c r="AB209" s="692">
        <f t="shared" si="55"/>
        <v>0</v>
      </c>
      <c r="AC209" s="692">
        <f t="shared" si="56"/>
        <v>0</v>
      </c>
      <c r="AD209" s="692">
        <f t="shared" si="57"/>
        <v>3833.0599999999977</v>
      </c>
      <c r="AE209" s="38"/>
      <c r="AF209" s="692">
        <f t="shared" si="78"/>
        <v>0</v>
      </c>
      <c r="AG209" s="692">
        <f t="shared" si="79"/>
        <v>0</v>
      </c>
      <c r="AH209" s="692">
        <f t="shared" si="80"/>
        <v>0</v>
      </c>
      <c r="AJ209" s="38">
        <f t="shared" si="81"/>
        <v>3833.0599999999977</v>
      </c>
    </row>
    <row r="210" spans="1:36">
      <c r="A210" s="21" t="s">
        <v>97</v>
      </c>
      <c r="B210" s="21" t="s">
        <v>109</v>
      </c>
      <c r="C210" s="666"/>
      <c r="D210" s="68" t="s">
        <v>381</v>
      </c>
      <c r="E210" s="679"/>
      <c r="F210" s="529">
        <f>VLOOKUP(D210,'Oct 2012 Revenue'!D:T,17,FALSE)</f>
        <v>0</v>
      </c>
      <c r="G210" s="680"/>
      <c r="H210" s="680"/>
      <c r="I210" s="755"/>
      <c r="J210" s="682">
        <f t="shared" si="58"/>
        <v>0</v>
      </c>
      <c r="K210" s="683"/>
      <c r="L210" s="684"/>
      <c r="M210" s="753"/>
      <c r="N210" s="683">
        <v>0</v>
      </c>
      <c r="O210" s="686"/>
      <c r="P210" s="683">
        <v>0</v>
      </c>
      <c r="Q210" s="687">
        <f t="shared" si="54"/>
        <v>0</v>
      </c>
      <c r="R210" s="688">
        <v>0</v>
      </c>
      <c r="S210" s="693"/>
      <c r="T210" s="690">
        <f t="shared" si="73"/>
        <v>0</v>
      </c>
      <c r="U210" s="683"/>
      <c r="V210" s="474">
        <f t="shared" si="74"/>
        <v>0</v>
      </c>
      <c r="W210" s="474">
        <f t="shared" si="75"/>
        <v>0</v>
      </c>
      <c r="X210" s="475">
        <f t="shared" si="76"/>
        <v>0</v>
      </c>
      <c r="Y210" s="475">
        <v>0</v>
      </c>
      <c r="Z210" s="476">
        <v>0</v>
      </c>
      <c r="AA210" s="38">
        <f t="shared" si="77"/>
        <v>0</v>
      </c>
      <c r="AB210" s="692">
        <f t="shared" si="55"/>
        <v>0</v>
      </c>
      <c r="AC210" s="692">
        <f t="shared" si="56"/>
        <v>0</v>
      </c>
      <c r="AD210" s="692">
        <f t="shared" si="57"/>
        <v>0</v>
      </c>
      <c r="AE210" s="38"/>
      <c r="AF210" s="692">
        <f t="shared" si="78"/>
        <v>0</v>
      </c>
      <c r="AG210" s="692">
        <f t="shared" si="79"/>
        <v>0</v>
      </c>
      <c r="AH210" s="692">
        <f t="shared" si="80"/>
        <v>0</v>
      </c>
      <c r="AJ210" s="38">
        <f t="shared" si="81"/>
        <v>0</v>
      </c>
    </row>
    <row r="211" spans="1:36">
      <c r="A211" s="21" t="s">
        <v>97</v>
      </c>
      <c r="B211" s="21" t="s">
        <v>114</v>
      </c>
      <c r="C211" s="666"/>
      <c r="D211" s="68" t="s">
        <v>376</v>
      </c>
      <c r="E211" s="679"/>
      <c r="F211" s="529">
        <f>VLOOKUP(D211,'Oct 2012 Revenue'!D:T,17,FALSE)</f>
        <v>0</v>
      </c>
      <c r="G211" s="680"/>
      <c r="H211" s="680"/>
      <c r="I211" s="755"/>
      <c r="J211" s="682">
        <f t="shared" si="58"/>
        <v>0</v>
      </c>
      <c r="K211" s="683"/>
      <c r="L211" s="684"/>
      <c r="M211" s="753"/>
      <c r="N211" s="683">
        <v>0</v>
      </c>
      <c r="O211" s="686"/>
      <c r="P211" s="683">
        <v>0</v>
      </c>
      <c r="Q211" s="687">
        <f t="shared" ref="Q211:Q225" si="82">L211+M211</f>
        <v>0</v>
      </c>
      <c r="R211" s="688">
        <v>0</v>
      </c>
      <c r="S211" s="693"/>
      <c r="T211" s="690">
        <f t="shared" si="73"/>
        <v>0</v>
      </c>
      <c r="U211" s="683"/>
      <c r="V211" s="474">
        <f t="shared" si="74"/>
        <v>0</v>
      </c>
      <c r="W211" s="474">
        <f t="shared" si="75"/>
        <v>0</v>
      </c>
      <c r="X211" s="475">
        <f t="shared" si="76"/>
        <v>0</v>
      </c>
      <c r="Y211" s="475">
        <v>0</v>
      </c>
      <c r="Z211" s="476">
        <v>0</v>
      </c>
      <c r="AA211" s="38">
        <f t="shared" si="77"/>
        <v>0</v>
      </c>
      <c r="AB211" s="692">
        <f t="shared" si="55"/>
        <v>0</v>
      </c>
      <c r="AC211" s="692">
        <f t="shared" si="56"/>
        <v>0</v>
      </c>
      <c r="AD211" s="692">
        <f t="shared" si="57"/>
        <v>0</v>
      </c>
      <c r="AE211" s="38"/>
      <c r="AF211" s="692">
        <f t="shared" si="78"/>
        <v>0</v>
      </c>
      <c r="AG211" s="692">
        <f t="shared" si="79"/>
        <v>0</v>
      </c>
      <c r="AH211" s="692">
        <f t="shared" si="80"/>
        <v>0</v>
      </c>
      <c r="AJ211" s="38">
        <f t="shared" si="81"/>
        <v>0</v>
      </c>
    </row>
    <row r="212" spans="1:36">
      <c r="A212" s="20"/>
      <c r="B212" s="20" t="s">
        <v>110</v>
      </c>
      <c r="C212" s="667"/>
      <c r="D212" s="68" t="s">
        <v>390</v>
      </c>
      <c r="E212" s="679">
        <v>298.60000000000002</v>
      </c>
      <c r="F212" s="529">
        <f>VLOOKUP(D212,'Oct 2012 Revenue'!D:T,17,FALSE)</f>
        <v>0</v>
      </c>
      <c r="G212" s="680"/>
      <c r="H212" s="680"/>
      <c r="I212" s="755"/>
      <c r="J212" s="682">
        <f t="shared" si="58"/>
        <v>298.60000000000002</v>
      </c>
      <c r="K212" s="683"/>
      <c r="L212" s="684"/>
      <c r="M212" s="753"/>
      <c r="N212" s="683">
        <v>0</v>
      </c>
      <c r="O212" s="686"/>
      <c r="P212" s="683">
        <v>0</v>
      </c>
      <c r="Q212" s="687">
        <f t="shared" si="82"/>
        <v>0</v>
      </c>
      <c r="R212" s="688">
        <v>0</v>
      </c>
      <c r="S212" s="693"/>
      <c r="T212" s="690">
        <f t="shared" si="73"/>
        <v>0</v>
      </c>
      <c r="U212" s="683"/>
      <c r="V212" s="474">
        <f t="shared" si="74"/>
        <v>0</v>
      </c>
      <c r="W212" s="474">
        <f t="shared" si="75"/>
        <v>0</v>
      </c>
      <c r="X212" s="475">
        <f t="shared" si="76"/>
        <v>0</v>
      </c>
      <c r="Y212" s="475">
        <v>0</v>
      </c>
      <c r="Z212" s="476">
        <v>0</v>
      </c>
      <c r="AA212" s="38">
        <f t="shared" si="77"/>
        <v>0</v>
      </c>
      <c r="AB212" s="692">
        <f t="shared" si="55"/>
        <v>298.60000000000002</v>
      </c>
      <c r="AC212" s="692">
        <f t="shared" si="56"/>
        <v>0</v>
      </c>
      <c r="AD212" s="692">
        <f t="shared" si="57"/>
        <v>0</v>
      </c>
      <c r="AE212" s="38"/>
      <c r="AF212" s="692">
        <f t="shared" si="78"/>
        <v>0</v>
      </c>
      <c r="AG212" s="692">
        <f t="shared" si="79"/>
        <v>0</v>
      </c>
      <c r="AH212" s="692">
        <f t="shared" si="80"/>
        <v>0</v>
      </c>
      <c r="AJ212" s="38">
        <f t="shared" si="81"/>
        <v>298.60000000000002</v>
      </c>
    </row>
    <row r="213" spans="1:36">
      <c r="A213" s="20"/>
      <c r="B213" s="20" t="s">
        <v>110</v>
      </c>
      <c r="C213" s="667" t="s">
        <v>581</v>
      </c>
      <c r="D213" s="123" t="s">
        <v>166</v>
      </c>
      <c r="E213" s="679"/>
      <c r="F213" s="529">
        <f>VLOOKUP(D213,'Oct 2012 Revenue'!D:T,17,FALSE)</f>
        <v>0</v>
      </c>
      <c r="G213" s="680"/>
      <c r="H213" s="680"/>
      <c r="I213" s="755"/>
      <c r="J213" s="682">
        <f t="shared" ref="J213:J225" si="83">SUM(E213:I213)</f>
        <v>0</v>
      </c>
      <c r="K213" s="683"/>
      <c r="L213" s="684"/>
      <c r="M213" s="753"/>
      <c r="N213" s="683">
        <v>0</v>
      </c>
      <c r="O213" s="686"/>
      <c r="P213" s="683">
        <v>0</v>
      </c>
      <c r="Q213" s="687">
        <f t="shared" si="82"/>
        <v>0</v>
      </c>
      <c r="R213" s="688">
        <v>0</v>
      </c>
      <c r="S213" s="693"/>
      <c r="T213" s="690">
        <f t="shared" si="73"/>
        <v>0</v>
      </c>
      <c r="U213" s="683"/>
      <c r="V213" s="474">
        <f t="shared" si="74"/>
        <v>0</v>
      </c>
      <c r="W213" s="474">
        <f t="shared" si="75"/>
        <v>0</v>
      </c>
      <c r="X213" s="475">
        <f t="shared" si="76"/>
        <v>0</v>
      </c>
      <c r="Y213" s="475">
        <v>0</v>
      </c>
      <c r="Z213" s="476">
        <v>0</v>
      </c>
      <c r="AA213" s="38">
        <f t="shared" si="77"/>
        <v>0</v>
      </c>
      <c r="AB213" s="692">
        <f t="shared" ref="AB213:AB225" si="84">IF(B213="D",J213,0)</f>
        <v>0</v>
      </c>
      <c r="AC213" s="692">
        <f t="shared" ref="AC213:AC225" si="85">IF(B213="M",J213,0)</f>
        <v>0</v>
      </c>
      <c r="AD213" s="692">
        <f t="shared" ref="AD213:AD225" si="86">IF(B213="V",J213,0)</f>
        <v>0</v>
      </c>
      <c r="AE213" s="38"/>
      <c r="AF213" s="692">
        <f t="shared" si="78"/>
        <v>0</v>
      </c>
      <c r="AG213" s="692">
        <f t="shared" si="79"/>
        <v>0</v>
      </c>
      <c r="AH213" s="692">
        <f t="shared" si="80"/>
        <v>0</v>
      </c>
      <c r="AJ213" s="38">
        <f t="shared" si="81"/>
        <v>0</v>
      </c>
    </row>
    <row r="214" spans="1:36">
      <c r="A214" s="20"/>
      <c r="B214" s="20" t="s">
        <v>109</v>
      </c>
      <c r="C214" s="667" t="s">
        <v>581</v>
      </c>
      <c r="D214" s="123" t="s">
        <v>165</v>
      </c>
      <c r="E214" s="679"/>
      <c r="F214" s="529">
        <f>VLOOKUP(D214,'Oct 2012 Revenue'!D:T,17,FALSE)</f>
        <v>0</v>
      </c>
      <c r="G214" s="680"/>
      <c r="H214" s="680"/>
      <c r="I214" s="755"/>
      <c r="J214" s="682">
        <f t="shared" si="83"/>
        <v>0</v>
      </c>
      <c r="K214" s="683"/>
      <c r="L214" s="684"/>
      <c r="M214" s="753"/>
      <c r="N214" s="683">
        <v>0</v>
      </c>
      <c r="O214" s="686"/>
      <c r="P214" s="683">
        <v>0</v>
      </c>
      <c r="Q214" s="687">
        <f t="shared" si="82"/>
        <v>0</v>
      </c>
      <c r="R214" s="688">
        <v>0</v>
      </c>
      <c r="S214" s="693"/>
      <c r="T214" s="690">
        <f t="shared" si="73"/>
        <v>0</v>
      </c>
      <c r="U214" s="683"/>
      <c r="V214" s="474">
        <f t="shared" si="74"/>
        <v>0</v>
      </c>
      <c r="W214" s="474">
        <f t="shared" si="75"/>
        <v>0</v>
      </c>
      <c r="X214" s="475">
        <f t="shared" si="76"/>
        <v>0</v>
      </c>
      <c r="Y214" s="475">
        <v>0</v>
      </c>
      <c r="Z214" s="476">
        <v>0</v>
      </c>
      <c r="AA214" s="38">
        <f t="shared" ref="AA214:AA225" si="87">(L214+M214)-(V214+W214+X214+Y214+Z214)</f>
        <v>0</v>
      </c>
      <c r="AB214" s="692">
        <f t="shared" si="84"/>
        <v>0</v>
      </c>
      <c r="AC214" s="692">
        <f t="shared" si="85"/>
        <v>0</v>
      </c>
      <c r="AD214" s="692">
        <f t="shared" si="86"/>
        <v>0</v>
      </c>
      <c r="AE214" s="38"/>
      <c r="AF214" s="692">
        <f t="shared" ref="AF214:AF225" si="88">IF(B214="D",Q214,0)</f>
        <v>0</v>
      </c>
      <c r="AG214" s="692">
        <f t="shared" ref="AG214:AG225" si="89">IF(B214="M",Q214,0)</f>
        <v>0</v>
      </c>
      <c r="AH214" s="692">
        <f t="shared" ref="AH214:AH225" si="90">IF(B214="V",Q214,0)</f>
        <v>0</v>
      </c>
      <c r="AJ214" s="38">
        <f t="shared" si="81"/>
        <v>0</v>
      </c>
    </row>
    <row r="215" spans="1:36">
      <c r="A215" s="20"/>
      <c r="B215" s="20" t="s">
        <v>109</v>
      </c>
      <c r="C215" s="667"/>
      <c r="D215" s="123" t="s">
        <v>310</v>
      </c>
      <c r="E215" s="679"/>
      <c r="F215" s="529">
        <f>VLOOKUP(D215,'Oct 2012 Revenue'!D:T,17,FALSE)</f>
        <v>0</v>
      </c>
      <c r="G215" s="680"/>
      <c r="H215" s="680"/>
      <c r="I215" s="755"/>
      <c r="J215" s="682">
        <f t="shared" si="83"/>
        <v>0</v>
      </c>
      <c r="K215" s="683"/>
      <c r="L215" s="684"/>
      <c r="M215" s="753"/>
      <c r="N215" s="683">
        <v>0</v>
      </c>
      <c r="O215" s="686"/>
      <c r="P215" s="683">
        <v>0</v>
      </c>
      <c r="Q215" s="687">
        <f t="shared" si="82"/>
        <v>0</v>
      </c>
      <c r="R215" s="688">
        <v>0</v>
      </c>
      <c r="S215" s="693"/>
      <c r="T215" s="690">
        <f t="shared" ref="T215:T225" si="91">IF(R215="","",R215-Q215)</f>
        <v>0</v>
      </c>
      <c r="U215" s="683"/>
      <c r="V215" s="474">
        <f t="shared" ref="V215:V225" si="92">IF(B215="D",Q215,0)</f>
        <v>0</v>
      </c>
      <c r="W215" s="474">
        <f t="shared" ref="W215:W225" si="93">IF(B215="M",Q215,0)</f>
        <v>0</v>
      </c>
      <c r="X215" s="475">
        <f t="shared" ref="X215:X225" si="94">IF(B215="V",Q215,0)</f>
        <v>0</v>
      </c>
      <c r="Y215" s="475">
        <v>0</v>
      </c>
      <c r="Z215" s="476">
        <v>0</v>
      </c>
      <c r="AA215" s="38">
        <f t="shared" si="87"/>
        <v>0</v>
      </c>
      <c r="AB215" s="692">
        <f t="shared" si="84"/>
        <v>0</v>
      </c>
      <c r="AC215" s="692">
        <f t="shared" si="85"/>
        <v>0</v>
      </c>
      <c r="AD215" s="692">
        <f t="shared" si="86"/>
        <v>0</v>
      </c>
      <c r="AE215" s="38"/>
      <c r="AF215" s="692">
        <f t="shared" si="88"/>
        <v>0</v>
      </c>
      <c r="AG215" s="692">
        <f t="shared" si="89"/>
        <v>0</v>
      </c>
      <c r="AH215" s="692">
        <f t="shared" si="90"/>
        <v>0</v>
      </c>
      <c r="AJ215" s="38">
        <f t="shared" ref="AJ215:AJ225" si="95">SUM(AB215:AH215)</f>
        <v>0</v>
      </c>
    </row>
    <row r="216" spans="1:36">
      <c r="A216" s="20"/>
      <c r="B216" s="20" t="s">
        <v>109</v>
      </c>
      <c r="C216" s="667"/>
      <c r="D216" s="123" t="s">
        <v>441</v>
      </c>
      <c r="E216" s="679"/>
      <c r="F216" s="529">
        <f>VLOOKUP(D216,'Oct 2012 Revenue'!D:T,17,FALSE)</f>
        <v>0</v>
      </c>
      <c r="G216" s="680"/>
      <c r="H216" s="680"/>
      <c r="I216" s="755"/>
      <c r="J216" s="682">
        <f t="shared" si="83"/>
        <v>0</v>
      </c>
      <c r="K216" s="683"/>
      <c r="L216" s="684"/>
      <c r="M216" s="753"/>
      <c r="N216" s="683">
        <v>0</v>
      </c>
      <c r="O216" s="686"/>
      <c r="P216" s="683">
        <v>0</v>
      </c>
      <c r="Q216" s="687">
        <f t="shared" si="82"/>
        <v>0</v>
      </c>
      <c r="R216" s="688">
        <v>0</v>
      </c>
      <c r="S216" s="693"/>
      <c r="T216" s="690">
        <f t="shared" si="91"/>
        <v>0</v>
      </c>
      <c r="U216" s="683"/>
      <c r="V216" s="474">
        <f t="shared" si="92"/>
        <v>0</v>
      </c>
      <c r="W216" s="474">
        <f t="shared" si="93"/>
        <v>0</v>
      </c>
      <c r="X216" s="475">
        <f t="shared" si="94"/>
        <v>0</v>
      </c>
      <c r="Y216" s="475">
        <v>0</v>
      </c>
      <c r="Z216" s="476">
        <v>0</v>
      </c>
      <c r="AA216" s="38">
        <f t="shared" si="87"/>
        <v>0</v>
      </c>
      <c r="AB216" s="692">
        <f t="shared" si="84"/>
        <v>0</v>
      </c>
      <c r="AC216" s="692">
        <f t="shared" si="85"/>
        <v>0</v>
      </c>
      <c r="AD216" s="692">
        <f t="shared" si="86"/>
        <v>0</v>
      </c>
      <c r="AE216" s="38"/>
      <c r="AF216" s="692">
        <f t="shared" si="88"/>
        <v>0</v>
      </c>
      <c r="AG216" s="692">
        <f t="shared" si="89"/>
        <v>0</v>
      </c>
      <c r="AH216" s="692">
        <f t="shared" si="90"/>
        <v>0</v>
      </c>
      <c r="AJ216" s="38">
        <f t="shared" si="95"/>
        <v>0</v>
      </c>
    </row>
    <row r="217" spans="1:36">
      <c r="A217" s="20"/>
      <c r="B217" s="20" t="s">
        <v>109</v>
      </c>
      <c r="C217" s="667"/>
      <c r="D217" s="68" t="s">
        <v>121</v>
      </c>
      <c r="E217" s="679"/>
      <c r="F217" s="529">
        <f>VLOOKUP(D217,'Oct 2012 Revenue'!D:T,17,FALSE)</f>
        <v>0</v>
      </c>
      <c r="G217" s="680"/>
      <c r="H217" s="680"/>
      <c r="I217" s="755"/>
      <c r="J217" s="682">
        <f t="shared" si="83"/>
        <v>0</v>
      </c>
      <c r="K217" s="683"/>
      <c r="L217" s="684"/>
      <c r="M217" s="753"/>
      <c r="N217" s="683">
        <v>0</v>
      </c>
      <c r="O217" s="686"/>
      <c r="P217" s="683">
        <v>0</v>
      </c>
      <c r="Q217" s="687">
        <f t="shared" si="82"/>
        <v>0</v>
      </c>
      <c r="R217" s="688">
        <v>0</v>
      </c>
      <c r="S217" s="693"/>
      <c r="T217" s="690">
        <f t="shared" si="91"/>
        <v>0</v>
      </c>
      <c r="U217" s="683"/>
      <c r="V217" s="474">
        <f t="shared" si="92"/>
        <v>0</v>
      </c>
      <c r="W217" s="474">
        <f t="shared" si="93"/>
        <v>0</v>
      </c>
      <c r="X217" s="475">
        <f t="shared" si="94"/>
        <v>0</v>
      </c>
      <c r="Y217" s="475">
        <v>0</v>
      </c>
      <c r="Z217" s="476">
        <v>0</v>
      </c>
      <c r="AA217" s="38">
        <f t="shared" si="87"/>
        <v>0</v>
      </c>
      <c r="AB217" s="692">
        <f t="shared" si="84"/>
        <v>0</v>
      </c>
      <c r="AC217" s="692">
        <f t="shared" si="85"/>
        <v>0</v>
      </c>
      <c r="AD217" s="692">
        <f t="shared" si="86"/>
        <v>0</v>
      </c>
      <c r="AE217" s="38"/>
      <c r="AF217" s="692">
        <f t="shared" si="88"/>
        <v>0</v>
      </c>
      <c r="AG217" s="692">
        <f t="shared" si="89"/>
        <v>0</v>
      </c>
      <c r="AH217" s="692">
        <f t="shared" si="90"/>
        <v>0</v>
      </c>
      <c r="AJ217" s="38">
        <f t="shared" si="95"/>
        <v>0</v>
      </c>
    </row>
    <row r="218" spans="1:36">
      <c r="A218" s="20"/>
      <c r="B218" s="20" t="s">
        <v>110</v>
      </c>
      <c r="C218" s="667"/>
      <c r="D218" s="68" t="s">
        <v>168</v>
      </c>
      <c r="E218" s="679"/>
      <c r="F218" s="529">
        <f>VLOOKUP(D218,'Oct 2012 Revenue'!D:T,17,FALSE)</f>
        <v>0</v>
      </c>
      <c r="G218" s="680"/>
      <c r="H218" s="680"/>
      <c r="I218" s="755"/>
      <c r="J218" s="682">
        <f t="shared" si="83"/>
        <v>0</v>
      </c>
      <c r="K218" s="683"/>
      <c r="L218" s="684"/>
      <c r="M218" s="753"/>
      <c r="N218" s="683">
        <v>0</v>
      </c>
      <c r="O218" s="686"/>
      <c r="P218" s="683">
        <v>0</v>
      </c>
      <c r="Q218" s="687">
        <f t="shared" si="82"/>
        <v>0</v>
      </c>
      <c r="R218" s="688">
        <v>0</v>
      </c>
      <c r="S218" s="693"/>
      <c r="T218" s="690">
        <f t="shared" si="91"/>
        <v>0</v>
      </c>
      <c r="U218" s="683"/>
      <c r="V218" s="474">
        <f t="shared" si="92"/>
        <v>0</v>
      </c>
      <c r="W218" s="474">
        <f t="shared" si="93"/>
        <v>0</v>
      </c>
      <c r="X218" s="475">
        <f t="shared" si="94"/>
        <v>0</v>
      </c>
      <c r="Y218" s="475">
        <v>0</v>
      </c>
      <c r="Z218" s="476">
        <v>0</v>
      </c>
      <c r="AA218" s="38">
        <f t="shared" si="87"/>
        <v>0</v>
      </c>
      <c r="AB218" s="692">
        <f t="shared" si="84"/>
        <v>0</v>
      </c>
      <c r="AC218" s="692">
        <f t="shared" si="85"/>
        <v>0</v>
      </c>
      <c r="AD218" s="692">
        <f t="shared" si="86"/>
        <v>0</v>
      </c>
      <c r="AE218" s="38"/>
      <c r="AF218" s="692">
        <f t="shared" si="88"/>
        <v>0</v>
      </c>
      <c r="AG218" s="692">
        <f t="shared" si="89"/>
        <v>0</v>
      </c>
      <c r="AH218" s="692">
        <f t="shared" si="90"/>
        <v>0</v>
      </c>
      <c r="AJ218" s="38">
        <f t="shared" si="95"/>
        <v>0</v>
      </c>
    </row>
    <row r="219" spans="1:36">
      <c r="A219" s="20"/>
      <c r="B219" s="20" t="s">
        <v>109</v>
      </c>
      <c r="C219" s="667" t="s">
        <v>582</v>
      </c>
      <c r="D219" s="68" t="s">
        <v>167</v>
      </c>
      <c r="E219" s="679"/>
      <c r="F219" s="529">
        <f>VLOOKUP(D219,'Oct 2012 Revenue'!D:T,17,FALSE)</f>
        <v>0</v>
      </c>
      <c r="G219" s="680"/>
      <c r="H219" s="680"/>
      <c r="I219" s="755"/>
      <c r="J219" s="682">
        <f t="shared" si="83"/>
        <v>0</v>
      </c>
      <c r="K219" s="683"/>
      <c r="L219" s="684"/>
      <c r="M219" s="753"/>
      <c r="N219" s="683">
        <v>0</v>
      </c>
      <c r="O219" s="686"/>
      <c r="P219" s="683">
        <v>0</v>
      </c>
      <c r="Q219" s="687">
        <f t="shared" si="82"/>
        <v>0</v>
      </c>
      <c r="R219" s="688">
        <v>0</v>
      </c>
      <c r="S219" s="693"/>
      <c r="T219" s="690">
        <f t="shared" si="91"/>
        <v>0</v>
      </c>
      <c r="U219" s="683"/>
      <c r="V219" s="474">
        <f t="shared" si="92"/>
        <v>0</v>
      </c>
      <c r="W219" s="474">
        <f t="shared" si="93"/>
        <v>0</v>
      </c>
      <c r="X219" s="475">
        <f t="shared" si="94"/>
        <v>0</v>
      </c>
      <c r="Y219" s="475">
        <v>0</v>
      </c>
      <c r="Z219" s="476">
        <v>0</v>
      </c>
      <c r="AA219" s="38">
        <f t="shared" si="87"/>
        <v>0</v>
      </c>
      <c r="AB219" s="692">
        <f t="shared" si="84"/>
        <v>0</v>
      </c>
      <c r="AC219" s="692">
        <f t="shared" si="85"/>
        <v>0</v>
      </c>
      <c r="AD219" s="692">
        <f t="shared" si="86"/>
        <v>0</v>
      </c>
      <c r="AE219" s="38"/>
      <c r="AF219" s="692">
        <f t="shared" si="88"/>
        <v>0</v>
      </c>
      <c r="AG219" s="692">
        <f t="shared" si="89"/>
        <v>0</v>
      </c>
      <c r="AH219" s="692">
        <f t="shared" si="90"/>
        <v>0</v>
      </c>
      <c r="AJ219" s="38">
        <f t="shared" si="95"/>
        <v>0</v>
      </c>
    </row>
    <row r="220" spans="1:36">
      <c r="A220" s="20" t="s">
        <v>218</v>
      </c>
      <c r="B220" s="20" t="s">
        <v>110</v>
      </c>
      <c r="C220" s="667"/>
      <c r="D220" s="68" t="s">
        <v>60</v>
      </c>
      <c r="E220" s="679"/>
      <c r="F220" s="529">
        <f>VLOOKUP(D220,'Oct 2012 Revenue'!D:T,17,FALSE)</f>
        <v>150.85000000000036</v>
      </c>
      <c r="G220" s="680"/>
      <c r="H220" s="680"/>
      <c r="I220" s="755"/>
      <c r="J220" s="682">
        <f t="shared" si="83"/>
        <v>150.85000000000036</v>
      </c>
      <c r="K220" s="683"/>
      <c r="L220" s="684"/>
      <c r="M220" s="753">
        <v>5000</v>
      </c>
      <c r="N220" s="683">
        <v>0</v>
      </c>
      <c r="O220" s="686"/>
      <c r="P220" s="683">
        <v>0</v>
      </c>
      <c r="Q220" s="687">
        <f t="shared" si="82"/>
        <v>5000</v>
      </c>
      <c r="R220" s="688">
        <v>0</v>
      </c>
      <c r="S220" s="693"/>
      <c r="T220" s="690">
        <f t="shared" si="91"/>
        <v>-5000</v>
      </c>
      <c r="U220" s="697"/>
      <c r="V220" s="474">
        <f t="shared" si="92"/>
        <v>5000</v>
      </c>
      <c r="W220" s="474">
        <f t="shared" si="93"/>
        <v>0</v>
      </c>
      <c r="X220" s="475">
        <f t="shared" si="94"/>
        <v>0</v>
      </c>
      <c r="Y220" s="475">
        <v>0</v>
      </c>
      <c r="Z220" s="476">
        <v>0</v>
      </c>
      <c r="AA220" s="38">
        <f t="shared" si="87"/>
        <v>0</v>
      </c>
      <c r="AB220" s="692">
        <f t="shared" si="84"/>
        <v>150.85000000000036</v>
      </c>
      <c r="AC220" s="692">
        <f t="shared" si="85"/>
        <v>0</v>
      </c>
      <c r="AD220" s="692">
        <f t="shared" si="86"/>
        <v>0</v>
      </c>
      <c r="AE220" s="38"/>
      <c r="AF220" s="692">
        <f t="shared" si="88"/>
        <v>5000</v>
      </c>
      <c r="AG220" s="692">
        <f t="shared" si="89"/>
        <v>0</v>
      </c>
      <c r="AH220" s="692">
        <f t="shared" si="90"/>
        <v>0</v>
      </c>
      <c r="AJ220" s="38">
        <f t="shared" si="95"/>
        <v>5150.8500000000004</v>
      </c>
    </row>
    <row r="221" spans="1:36">
      <c r="A221" s="20"/>
      <c r="B221" s="20" t="s">
        <v>110</v>
      </c>
      <c r="C221" s="667" t="s">
        <v>583</v>
      </c>
      <c r="D221" s="68" t="s">
        <v>169</v>
      </c>
      <c r="E221" s="679"/>
      <c r="F221" s="529">
        <f>VLOOKUP(D221,'Oct 2012 Revenue'!D:T,17,FALSE)</f>
        <v>0</v>
      </c>
      <c r="G221" s="680"/>
      <c r="H221" s="680"/>
      <c r="I221" s="770">
        <v>196.64</v>
      </c>
      <c r="J221" s="682">
        <f t="shared" si="83"/>
        <v>196.64</v>
      </c>
      <c r="K221" s="683"/>
      <c r="L221" s="684"/>
      <c r="M221" s="753"/>
      <c r="N221" s="683">
        <v>0</v>
      </c>
      <c r="O221" s="686"/>
      <c r="P221" s="683">
        <v>0</v>
      </c>
      <c r="Q221" s="687">
        <f t="shared" si="82"/>
        <v>0</v>
      </c>
      <c r="R221" s="688">
        <v>0</v>
      </c>
      <c r="S221" s="693"/>
      <c r="T221" s="690">
        <f t="shared" si="91"/>
        <v>0</v>
      </c>
      <c r="U221" s="683"/>
      <c r="V221" s="474">
        <f t="shared" si="92"/>
        <v>0</v>
      </c>
      <c r="W221" s="474">
        <f t="shared" si="93"/>
        <v>0</v>
      </c>
      <c r="X221" s="475">
        <f t="shared" si="94"/>
        <v>0</v>
      </c>
      <c r="Y221" s="475">
        <v>0</v>
      </c>
      <c r="Z221" s="476">
        <v>0</v>
      </c>
      <c r="AA221" s="38">
        <f t="shared" si="87"/>
        <v>0</v>
      </c>
      <c r="AB221" s="692">
        <f t="shared" si="84"/>
        <v>196.64</v>
      </c>
      <c r="AC221" s="692">
        <f t="shared" si="85"/>
        <v>0</v>
      </c>
      <c r="AD221" s="692">
        <f t="shared" si="86"/>
        <v>0</v>
      </c>
      <c r="AE221" s="38"/>
      <c r="AF221" s="692">
        <f t="shared" si="88"/>
        <v>0</v>
      </c>
      <c r="AG221" s="692">
        <f t="shared" si="89"/>
        <v>0</v>
      </c>
      <c r="AH221" s="692">
        <f t="shared" si="90"/>
        <v>0</v>
      </c>
      <c r="AJ221" s="38">
        <f t="shared" si="95"/>
        <v>196.64</v>
      </c>
    </row>
    <row r="222" spans="1:36">
      <c r="A222" s="21"/>
      <c r="B222" s="21" t="s">
        <v>110</v>
      </c>
      <c r="C222" s="666"/>
      <c r="D222" s="68" t="s">
        <v>590</v>
      </c>
      <c r="E222" s="679"/>
      <c r="F222" s="529">
        <f>VLOOKUP(D222,'Oct 2012 Revenue'!D:T,17,FALSE)</f>
        <v>0</v>
      </c>
      <c r="G222" s="680"/>
      <c r="H222" s="680"/>
      <c r="I222" s="755"/>
      <c r="J222" s="682">
        <f t="shared" si="83"/>
        <v>0</v>
      </c>
      <c r="K222" s="683"/>
      <c r="L222" s="684"/>
      <c r="M222" s="753"/>
      <c r="N222" s="683">
        <v>0</v>
      </c>
      <c r="O222" s="686"/>
      <c r="P222" s="683">
        <v>0</v>
      </c>
      <c r="Q222" s="687">
        <f t="shared" si="82"/>
        <v>0</v>
      </c>
      <c r="R222" s="688">
        <v>0</v>
      </c>
      <c r="S222" s="693"/>
      <c r="T222" s="690">
        <f t="shared" si="91"/>
        <v>0</v>
      </c>
      <c r="U222" s="683"/>
      <c r="V222" s="474">
        <f t="shared" si="92"/>
        <v>0</v>
      </c>
      <c r="W222" s="474">
        <f t="shared" si="93"/>
        <v>0</v>
      </c>
      <c r="X222" s="475">
        <f t="shared" si="94"/>
        <v>0</v>
      </c>
      <c r="Y222" s="475">
        <v>0</v>
      </c>
      <c r="Z222" s="476">
        <v>0</v>
      </c>
      <c r="AA222" s="38">
        <f t="shared" si="87"/>
        <v>0</v>
      </c>
      <c r="AB222" s="692">
        <f t="shared" si="84"/>
        <v>0</v>
      </c>
      <c r="AC222" s="692">
        <v>0.22</v>
      </c>
      <c r="AD222" s="692">
        <v>-0.22</v>
      </c>
      <c r="AE222" s="38"/>
      <c r="AF222" s="692">
        <f t="shared" si="88"/>
        <v>0</v>
      </c>
      <c r="AG222" s="692">
        <f t="shared" si="89"/>
        <v>0</v>
      </c>
      <c r="AH222" s="692">
        <f t="shared" si="90"/>
        <v>0</v>
      </c>
      <c r="AJ222" s="38">
        <f t="shared" si="95"/>
        <v>0</v>
      </c>
    </row>
    <row r="223" spans="1:36">
      <c r="A223" s="21"/>
      <c r="B223" s="21" t="s">
        <v>114</v>
      </c>
      <c r="C223" s="666"/>
      <c r="D223" s="68" t="s">
        <v>591</v>
      </c>
      <c r="E223" s="679"/>
      <c r="F223" s="529">
        <f>VLOOKUP(D223,'Oct 2012 Revenue'!D:T,17,FALSE)</f>
        <v>2758.4900000000002</v>
      </c>
      <c r="G223" s="680"/>
      <c r="H223" s="680"/>
      <c r="I223" s="755"/>
      <c r="J223" s="682">
        <f t="shared" si="83"/>
        <v>2758.4900000000002</v>
      </c>
      <c r="K223" s="683"/>
      <c r="L223" s="684"/>
      <c r="M223" s="753"/>
      <c r="N223" s="683">
        <v>0</v>
      </c>
      <c r="O223" s="686"/>
      <c r="P223" s="683">
        <v>0</v>
      </c>
      <c r="Q223" s="687">
        <f t="shared" si="82"/>
        <v>0</v>
      </c>
      <c r="R223" s="688">
        <f>513.46+425.67+204.24+1142.17</f>
        <v>2285.54</v>
      </c>
      <c r="S223" s="693"/>
      <c r="T223" s="690">
        <f t="shared" si="91"/>
        <v>2285.54</v>
      </c>
      <c r="U223" s="683"/>
      <c r="V223" s="474">
        <f t="shared" si="92"/>
        <v>0</v>
      </c>
      <c r="W223" s="474">
        <f t="shared" si="93"/>
        <v>0</v>
      </c>
      <c r="X223" s="475">
        <f t="shared" si="94"/>
        <v>0</v>
      </c>
      <c r="Y223" s="475">
        <v>0</v>
      </c>
      <c r="Z223" s="476">
        <v>0</v>
      </c>
      <c r="AA223" s="38">
        <f t="shared" si="87"/>
        <v>0</v>
      </c>
      <c r="AB223" s="692">
        <f t="shared" si="84"/>
        <v>0</v>
      </c>
      <c r="AC223" s="692">
        <f t="shared" si="85"/>
        <v>0</v>
      </c>
      <c r="AD223" s="692">
        <f t="shared" si="86"/>
        <v>2758.4900000000002</v>
      </c>
      <c r="AE223" s="38"/>
      <c r="AF223" s="692">
        <f t="shared" si="88"/>
        <v>0</v>
      </c>
      <c r="AG223" s="692">
        <f t="shared" si="89"/>
        <v>0</v>
      </c>
      <c r="AH223" s="692">
        <f t="shared" si="90"/>
        <v>0</v>
      </c>
      <c r="AJ223" s="38">
        <f t="shared" si="95"/>
        <v>2758.4900000000002</v>
      </c>
    </row>
    <row r="224" spans="1:36">
      <c r="A224" s="21"/>
      <c r="B224" s="21" t="s">
        <v>114</v>
      </c>
      <c r="C224" s="672"/>
      <c r="D224" s="519" t="s">
        <v>433</v>
      </c>
      <c r="E224" s="679"/>
      <c r="F224" s="529">
        <f>VLOOKUP(D224,'Oct 2012 Revenue'!D:T,17,FALSE)</f>
        <v>0</v>
      </c>
      <c r="G224" s="680"/>
      <c r="H224" s="680"/>
      <c r="I224" s="755"/>
      <c r="J224" s="682">
        <f t="shared" si="83"/>
        <v>0</v>
      </c>
      <c r="K224" s="683"/>
      <c r="L224" s="684"/>
      <c r="M224" s="753"/>
      <c r="N224" s="683">
        <v>0</v>
      </c>
      <c r="O224" s="686"/>
      <c r="P224" s="683">
        <v>0</v>
      </c>
      <c r="Q224" s="687">
        <f t="shared" si="82"/>
        <v>0</v>
      </c>
      <c r="R224" s="688">
        <v>0</v>
      </c>
      <c r="S224" s="693"/>
      <c r="T224" s="690">
        <f t="shared" si="91"/>
        <v>0</v>
      </c>
      <c r="U224" s="683"/>
      <c r="V224" s="474">
        <f t="shared" si="92"/>
        <v>0</v>
      </c>
      <c r="W224" s="474">
        <f t="shared" si="93"/>
        <v>0</v>
      </c>
      <c r="X224" s="475">
        <f t="shared" si="94"/>
        <v>0</v>
      </c>
      <c r="Y224" s="475">
        <v>0</v>
      </c>
      <c r="Z224" s="476">
        <v>0</v>
      </c>
      <c r="AA224" s="38">
        <f t="shared" si="87"/>
        <v>0</v>
      </c>
      <c r="AB224" s="692">
        <f t="shared" si="84"/>
        <v>0</v>
      </c>
      <c r="AC224" s="692">
        <f t="shared" ref="AC224" si="96">IF(B224="M",J224,0)</f>
        <v>0</v>
      </c>
      <c r="AD224" s="692">
        <f t="shared" ref="AD224" si="97">IF(B224="V",J224,0)</f>
        <v>0</v>
      </c>
      <c r="AE224" s="38"/>
      <c r="AF224" s="692">
        <f t="shared" si="88"/>
        <v>0</v>
      </c>
      <c r="AG224" s="692">
        <f t="shared" si="89"/>
        <v>0</v>
      </c>
      <c r="AH224" s="692">
        <f t="shared" si="90"/>
        <v>0</v>
      </c>
      <c r="AJ224" s="38">
        <f t="shared" si="95"/>
        <v>0</v>
      </c>
    </row>
    <row r="225" spans="1:36" s="146" customFormat="1" ht="13" thickBot="1">
      <c r="A225" s="21"/>
      <c r="B225" s="21" t="s">
        <v>110</v>
      </c>
      <c r="C225" s="666"/>
      <c r="D225" s="68" t="s">
        <v>593</v>
      </c>
      <c r="E225" s="679">
        <v>13.63</v>
      </c>
      <c r="F225" s="529">
        <f>VLOOKUP(D225,'Oct 2012 Revenue'!D:T,17,FALSE)</f>
        <v>0</v>
      </c>
      <c r="G225" s="680"/>
      <c r="H225" s="680"/>
      <c r="I225" s="755"/>
      <c r="J225" s="682">
        <f t="shared" si="83"/>
        <v>13.63</v>
      </c>
      <c r="K225" s="683"/>
      <c r="L225" s="684"/>
      <c r="M225" s="753"/>
      <c r="N225" s="683">
        <v>0</v>
      </c>
      <c r="O225" s="686"/>
      <c r="P225" s="683">
        <v>0</v>
      </c>
      <c r="Q225" s="687">
        <f t="shared" si="82"/>
        <v>0</v>
      </c>
      <c r="R225" s="688">
        <v>0</v>
      </c>
      <c r="S225" s="693"/>
      <c r="T225" s="690">
        <f t="shared" si="91"/>
        <v>0</v>
      </c>
      <c r="U225" s="683"/>
      <c r="V225" s="474">
        <f t="shared" si="92"/>
        <v>0</v>
      </c>
      <c r="W225" s="474">
        <f t="shared" si="93"/>
        <v>0</v>
      </c>
      <c r="X225" s="475">
        <f t="shared" si="94"/>
        <v>0</v>
      </c>
      <c r="Y225" s="475">
        <v>0</v>
      </c>
      <c r="Z225" s="476">
        <v>0</v>
      </c>
      <c r="AA225" s="38">
        <f t="shared" si="87"/>
        <v>0</v>
      </c>
      <c r="AB225" s="692">
        <f t="shared" si="84"/>
        <v>13.63</v>
      </c>
      <c r="AC225" s="692">
        <f t="shared" si="85"/>
        <v>0</v>
      </c>
      <c r="AD225" s="692">
        <f t="shared" si="86"/>
        <v>0</v>
      </c>
      <c r="AE225" s="38"/>
      <c r="AF225" s="692">
        <f t="shared" si="88"/>
        <v>0</v>
      </c>
      <c r="AG225" s="692">
        <f t="shared" si="89"/>
        <v>0</v>
      </c>
      <c r="AH225" s="692">
        <f t="shared" si="90"/>
        <v>0</v>
      </c>
      <c r="AJ225" s="38">
        <f t="shared" si="95"/>
        <v>13.63</v>
      </c>
    </row>
    <row r="226" spans="1:36" ht="13" thickBot="1">
      <c r="A226" s="107"/>
      <c r="B226" s="108"/>
      <c r="C226" s="673"/>
      <c r="D226" s="71" t="s">
        <v>86</v>
      </c>
      <c r="E226" s="454">
        <f t="shared" ref="E226:J226" si="98">SUM(E16:E225)</f>
        <v>402864.95999999996</v>
      </c>
      <c r="F226" s="454">
        <f t="shared" si="98"/>
        <v>-577575.72000000009</v>
      </c>
      <c r="G226" s="454">
        <f t="shared" si="98"/>
        <v>0</v>
      </c>
      <c r="H226" s="454">
        <f t="shared" si="98"/>
        <v>0</v>
      </c>
      <c r="I226" s="454">
        <f t="shared" si="98"/>
        <v>4448159.66</v>
      </c>
      <c r="J226" s="454">
        <f t="shared" si="98"/>
        <v>4273448.8999999985</v>
      </c>
      <c r="K226" s="454"/>
      <c r="L226" s="454">
        <f>SUM(L16:L225)</f>
        <v>422404</v>
      </c>
      <c r="M226" s="454">
        <f>SUM(M16:M225)</f>
        <v>2849500</v>
      </c>
      <c r="N226" s="454">
        <f>SUM(N16:N225)</f>
        <v>0</v>
      </c>
      <c r="O226" s="100">
        <f>SUM(O16:O225)</f>
        <v>0</v>
      </c>
      <c r="P226" s="157">
        <f>SUM(P17:P225)</f>
        <v>0</v>
      </c>
      <c r="Q226" s="100">
        <f>SUM(Q16:Q225)</f>
        <v>3271904</v>
      </c>
      <c r="R226" s="100">
        <f>SUM(R16:R225)</f>
        <v>2927641.1999999997</v>
      </c>
      <c r="S226" s="708"/>
      <c r="T226" s="100">
        <f>SUM(T16:T225)</f>
        <v>-344262.80000000016</v>
      </c>
      <c r="U226" s="683"/>
      <c r="V226" s="314">
        <f>SUM(V16:V225)</f>
        <v>2742404</v>
      </c>
      <c r="W226" s="314">
        <f>SUM(W16:W225)</f>
        <v>454500</v>
      </c>
      <c r="X226" s="314">
        <f>SUM(X16:X225)</f>
        <v>75000</v>
      </c>
      <c r="Y226" s="314">
        <f>SUM(Y16:Y225)</f>
        <v>0</v>
      </c>
      <c r="Z226" s="314">
        <f>SUM(Z16:Z225)</f>
        <v>0</v>
      </c>
      <c r="AA226" s="38"/>
      <c r="AB226" s="314">
        <f>SUM(AB16:AB225)</f>
        <v>4325291.6799999978</v>
      </c>
      <c r="AC226" s="314">
        <f>SUM(AC16:AC225)</f>
        <v>-45700.260000000017</v>
      </c>
      <c r="AD226" s="314">
        <f>SUM(AD16:AD225)</f>
        <v>-6142.5200000000041</v>
      </c>
      <c r="AE226" s="38"/>
      <c r="AF226" s="314">
        <f>SUM(AF16:AF225)</f>
        <v>2742404</v>
      </c>
      <c r="AG226" s="314">
        <f>SUM(AG16:AG225)</f>
        <v>454500</v>
      </c>
      <c r="AH226" s="314">
        <f>SUM(AH16:AH225)</f>
        <v>75000</v>
      </c>
    </row>
    <row r="227" spans="1:36" ht="13" thickBot="1">
      <c r="A227" s="65"/>
      <c r="B227" s="65"/>
      <c r="C227" s="674"/>
      <c r="D227" s="141"/>
      <c r="E227" s="709" t="s">
        <v>293</v>
      </c>
      <c r="F227" s="160">
        <f>F226-E226</f>
        <v>-980440.68</v>
      </c>
      <c r="G227" s="153"/>
      <c r="H227" s="153" t="s">
        <v>225</v>
      </c>
      <c r="I227" s="153">
        <f>I226+H226+G226</f>
        <v>4448159.66</v>
      </c>
      <c r="J227" s="323"/>
      <c r="K227" s="153"/>
      <c r="L227" s="153" t="s">
        <v>296</v>
      </c>
      <c r="M227" s="100">
        <f>M226+L226</f>
        <v>3271904</v>
      </c>
      <c r="N227" s="153"/>
      <c r="O227" s="641"/>
      <c r="P227" s="153"/>
      <c r="Q227" s="153"/>
      <c r="R227" s="153"/>
      <c r="S227" s="153"/>
      <c r="T227" s="153"/>
      <c r="U227" s="153"/>
      <c r="V227" s="139"/>
      <c r="W227" s="139"/>
      <c r="X227" s="139"/>
      <c r="Y227" s="139"/>
      <c r="Z227" s="104"/>
      <c r="AA227" s="38"/>
      <c r="AB227" s="711"/>
      <c r="AC227" s="711"/>
      <c r="AD227" s="711"/>
      <c r="AE227" s="38"/>
      <c r="AF227" s="38"/>
      <c r="AG227" s="38"/>
      <c r="AH227" s="38"/>
    </row>
    <row r="228" spans="1:36" ht="13" thickBot="1">
      <c r="A228" s="65"/>
      <c r="B228" s="65"/>
      <c r="C228" s="674"/>
      <c r="E228" s="159"/>
      <c r="F228" s="153"/>
      <c r="G228" s="153"/>
      <c r="H228" s="153"/>
      <c r="I228" s="153"/>
      <c r="J228" s="153"/>
      <c r="K228" s="153"/>
      <c r="L228" s="153"/>
      <c r="M228" s="710"/>
      <c r="N228" s="153"/>
      <c r="O228" s="153"/>
      <c r="P228" s="153"/>
      <c r="Q228" s="153"/>
      <c r="R228" s="153"/>
      <c r="S228" s="153"/>
      <c r="T228" s="153"/>
      <c r="U228" s="153"/>
      <c r="V228" s="331" t="s">
        <v>345</v>
      </c>
      <c r="W228" s="139"/>
      <c r="X228" s="139"/>
      <c r="Y228" s="139"/>
      <c r="Z228" s="104"/>
      <c r="AA228" s="164" t="s">
        <v>633</v>
      </c>
      <c r="AB228" s="798">
        <v>-66519.47</v>
      </c>
      <c r="AC228" s="798"/>
      <c r="AD228" s="798">
        <f>-SUM(AB228)</f>
        <v>66519.47</v>
      </c>
      <c r="AE228" s="38"/>
      <c r="AF228" s="711"/>
      <c r="AG228" s="711"/>
      <c r="AH228" s="711"/>
    </row>
    <row r="229" spans="1:36" ht="17" thickTop="1" thickBot="1">
      <c r="E229" s="712"/>
      <c r="F229" s="713"/>
      <c r="G229" s="714"/>
      <c r="H229" s="715"/>
      <c r="I229" s="715"/>
      <c r="J229" s="164"/>
      <c r="K229" s="169"/>
      <c r="L229" s="233"/>
      <c r="M229" s="233"/>
      <c r="N229" s="38"/>
      <c r="O229" s="642"/>
      <c r="P229" s="139"/>
      <c r="Q229" s="139"/>
      <c r="R229" s="33"/>
      <c r="S229" s="33"/>
      <c r="T229" s="33"/>
      <c r="U229" s="169"/>
      <c r="V229" s="332"/>
      <c r="W229" s="333"/>
      <c r="X229" s="491"/>
      <c r="Y229" s="491"/>
      <c r="Z229" s="334"/>
      <c r="AA229" s="164" t="s">
        <v>634</v>
      </c>
      <c r="AB229" s="798">
        <v>-214596.73</v>
      </c>
      <c r="AC229" s="798"/>
      <c r="AD229" s="798">
        <f>-SUM(AB229)</f>
        <v>214596.73</v>
      </c>
      <c r="AE229" s="38"/>
      <c r="AF229" s="38"/>
      <c r="AG229" s="38"/>
      <c r="AH229" s="38"/>
    </row>
    <row r="230" spans="1:36" ht="17" thickBot="1">
      <c r="E230" s="712"/>
      <c r="F230" s="713"/>
      <c r="G230" s="714"/>
      <c r="H230" s="715"/>
      <c r="J230" s="79">
        <f>J226</f>
        <v>4273448.8999999985</v>
      </c>
      <c r="K230" s="715" t="s">
        <v>873</v>
      </c>
      <c r="L230" s="169"/>
      <c r="M230" s="493"/>
      <c r="N230" s="38"/>
      <c r="O230" s="80"/>
      <c r="P230" s="104"/>
      <c r="Q230" s="139"/>
      <c r="R230" s="33"/>
      <c r="S230" s="33"/>
      <c r="T230" s="33"/>
      <c r="U230" s="169"/>
      <c r="V230" s="487"/>
      <c r="W230" s="488"/>
      <c r="X230" s="492" t="s">
        <v>399</v>
      </c>
      <c r="Y230" s="492" t="s">
        <v>400</v>
      </c>
      <c r="Z230" s="488"/>
      <c r="AA230" s="717" t="s">
        <v>475</v>
      </c>
      <c r="AB230" s="718">
        <f>SUM(AB226:AB229)</f>
        <v>4044175.4799999981</v>
      </c>
      <c r="AC230" s="718">
        <f>AC226</f>
        <v>-45700.260000000017</v>
      </c>
      <c r="AD230" s="718">
        <f>SUM(AD226:AD229)</f>
        <v>274973.68</v>
      </c>
      <c r="AE230" s="718"/>
      <c r="AF230" s="718">
        <f>AF226</f>
        <v>2742404</v>
      </c>
      <c r="AG230" s="718">
        <f>AG226</f>
        <v>454500</v>
      </c>
      <c r="AH230" s="719">
        <f>AH226</f>
        <v>75000</v>
      </c>
      <c r="AJ230" s="38">
        <f>SUM(AJ17:AJ229)</f>
        <v>7545352.8999999985</v>
      </c>
    </row>
    <row r="231" spans="1:36" ht="15" thickBot="1">
      <c r="D231" s="143"/>
      <c r="E231" s="759"/>
      <c r="F231" s="713"/>
      <c r="G231" s="714"/>
      <c r="H231" s="720"/>
      <c r="J231" s="750">
        <f>SUM('June GL'!H2)</f>
        <v>0</v>
      </c>
      <c r="K231" s="757" t="s">
        <v>251</v>
      </c>
      <c r="L231" s="722"/>
      <c r="M231" s="642"/>
      <c r="N231" s="33"/>
      <c r="O231" s="80"/>
      <c r="P231" s="104"/>
      <c r="Q231" s="139"/>
      <c r="R231" s="33"/>
      <c r="S231" s="33"/>
      <c r="T231" s="33"/>
      <c r="U231" s="169"/>
      <c r="V231" s="158" t="s">
        <v>609</v>
      </c>
      <c r="W231" s="104" t="s">
        <v>352</v>
      </c>
      <c r="X231" s="104">
        <f>V226+W226+X226</f>
        <v>3271904</v>
      </c>
      <c r="Y231" s="104"/>
      <c r="Z231" s="136"/>
      <c r="AA231" s="723"/>
      <c r="AB231" s="38"/>
      <c r="AC231" s="38"/>
      <c r="AD231" s="38"/>
      <c r="AE231" s="38"/>
      <c r="AF231" s="38"/>
      <c r="AG231" s="38"/>
      <c r="AH231" s="38"/>
    </row>
    <row r="232" spans="1:36" ht="15" thickTop="1">
      <c r="D232" s="143"/>
      <c r="E232" s="712"/>
      <c r="F232" s="713"/>
      <c r="G232" s="714"/>
      <c r="H232" s="714" t="s">
        <v>249</v>
      </c>
      <c r="J232" s="173">
        <f>J231+J230</f>
        <v>4273448.8999999985</v>
      </c>
      <c r="K232" s="714" t="s">
        <v>454</v>
      </c>
      <c r="L232" s="722"/>
      <c r="M232" s="80"/>
      <c r="N232" s="104"/>
      <c r="O232" s="173"/>
      <c r="P232" s="104"/>
      <c r="Q232" s="139"/>
      <c r="R232" s="139"/>
      <c r="S232" s="139"/>
      <c r="T232" s="139"/>
      <c r="U232" s="169"/>
      <c r="V232" s="158"/>
      <c r="W232" s="104"/>
      <c r="X232" s="104"/>
      <c r="Y232" s="104"/>
      <c r="Z232" s="136"/>
      <c r="AA232" s="723"/>
      <c r="AB232" s="38"/>
      <c r="AC232" s="38"/>
      <c r="AD232" s="38" t="s">
        <v>86</v>
      </c>
      <c r="AE232" s="38"/>
      <c r="AF232" s="233">
        <f>SUM(AB230+AF230)</f>
        <v>6786579.4799999986</v>
      </c>
      <c r="AG232" s="233">
        <f t="shared" ref="AG232:AH232" si="99">SUM(AC230+AG230)</f>
        <v>408799.74</v>
      </c>
      <c r="AH232" s="233">
        <f t="shared" si="99"/>
        <v>349973.68</v>
      </c>
    </row>
    <row r="233" spans="1:36" ht="14">
      <c r="D233" s="143"/>
      <c r="E233" s="712"/>
      <c r="F233" s="713">
        <f>'Oct 2012 Revenue'!M226+F227</f>
        <v>2215743.3199999998</v>
      </c>
      <c r="G233" s="714"/>
      <c r="H233" s="714"/>
      <c r="J233" s="80"/>
      <c r="K233" s="714"/>
      <c r="L233" s="722"/>
      <c r="M233" s="104"/>
      <c r="N233" s="38"/>
      <c r="O233" s="139"/>
      <c r="P233" s="104"/>
      <c r="Q233" s="139"/>
      <c r="R233" s="139"/>
      <c r="S233" s="139"/>
      <c r="T233" s="139"/>
      <c r="U233" s="169"/>
      <c r="V233" s="158" t="s">
        <v>600</v>
      </c>
      <c r="W233" s="104" t="s">
        <v>355</v>
      </c>
      <c r="X233" s="104"/>
      <c r="Y233" s="104">
        <f>V226</f>
        <v>2742404</v>
      </c>
      <c r="Z233" s="136"/>
      <c r="AA233" s="38"/>
      <c r="AB233" s="797" t="s">
        <v>882</v>
      </c>
      <c r="AC233" s="38"/>
      <c r="AD233" s="38"/>
      <c r="AE233" s="38"/>
      <c r="AF233" s="233"/>
      <c r="AG233" s="233"/>
      <c r="AH233" s="233"/>
    </row>
    <row r="234" spans="1:36" ht="15" thickBot="1">
      <c r="D234" s="143" t="s">
        <v>823</v>
      </c>
      <c r="E234" s="712"/>
      <c r="F234" s="713"/>
      <c r="G234" s="714"/>
      <c r="H234" s="714"/>
      <c r="J234" s="661">
        <f>M227</f>
        <v>3271904</v>
      </c>
      <c r="K234" s="714" t="s">
        <v>874</v>
      </c>
      <c r="L234" s="645"/>
      <c r="M234" s="173"/>
      <c r="N234" s="38"/>
      <c r="O234" s="139"/>
      <c r="P234" s="104"/>
      <c r="Q234" s="139"/>
      <c r="R234" s="726"/>
      <c r="S234" s="139"/>
      <c r="T234" s="727"/>
      <c r="U234" s="169"/>
      <c r="V234" s="158"/>
      <c r="W234" s="104" t="s">
        <v>356</v>
      </c>
      <c r="X234" s="104"/>
      <c r="Y234" s="104">
        <f>Y226</f>
        <v>0</v>
      </c>
      <c r="Z234" s="136"/>
      <c r="AA234" s="38"/>
      <c r="AB234" s="38"/>
      <c r="AC234" s="38"/>
      <c r="AD234" s="38"/>
      <c r="AE234" s="38"/>
      <c r="AG234" s="233">
        <f>SUM(AF232:AH232)</f>
        <v>7545352.8999999985</v>
      </c>
      <c r="AH234" s="233"/>
    </row>
    <row r="235" spans="1:36" ht="16" thickTop="1" thickBot="1">
      <c r="D235" s="143"/>
      <c r="E235" s="712"/>
      <c r="F235" s="713"/>
      <c r="G235" s="714"/>
      <c r="H235" s="714"/>
      <c r="J235" s="173">
        <v>0</v>
      </c>
      <c r="K235" s="714"/>
      <c r="L235" s="722"/>
      <c r="M235" s="173"/>
      <c r="N235" s="38"/>
      <c r="O235" s="33"/>
      <c r="P235" s="38"/>
      <c r="Q235" s="139"/>
      <c r="R235" s="139"/>
      <c r="S235" s="139"/>
      <c r="T235" s="139"/>
      <c r="U235" s="169"/>
      <c r="V235" s="158"/>
      <c r="W235" s="104"/>
      <c r="X235" s="104"/>
      <c r="Y235" s="104"/>
      <c r="Z235" s="136"/>
      <c r="AA235" s="38"/>
      <c r="AB235" s="38"/>
      <c r="AC235" s="38"/>
      <c r="AD235" s="38"/>
      <c r="AE235" s="38"/>
    </row>
    <row r="236" spans="1:36" ht="15" thickBot="1">
      <c r="E236" s="712"/>
      <c r="F236" s="713"/>
      <c r="G236" s="714"/>
      <c r="H236" s="714"/>
      <c r="J236" s="754">
        <f>J230+J234</f>
        <v>7545352.8999999985</v>
      </c>
      <c r="K236" s="714" t="s">
        <v>875</v>
      </c>
      <c r="L236" s="722"/>
      <c r="M236" s="173"/>
      <c r="N236" s="38"/>
      <c r="O236" s="33"/>
      <c r="P236" s="38"/>
      <c r="Q236" s="139"/>
      <c r="R236" s="139"/>
      <c r="S236" s="139"/>
      <c r="T236" s="139"/>
      <c r="U236" s="169"/>
      <c r="V236" s="158" t="s">
        <v>601</v>
      </c>
      <c r="W236" s="104" t="s">
        <v>357</v>
      </c>
      <c r="X236" s="104"/>
      <c r="Y236" s="104">
        <f>W226</f>
        <v>454500</v>
      </c>
      <c r="Z236" s="136"/>
      <c r="AA236" s="38"/>
      <c r="AB236" s="38"/>
      <c r="AC236" s="38"/>
      <c r="AD236" s="38"/>
      <c r="AE236" s="38"/>
      <c r="AF236" s="796" t="s">
        <v>857</v>
      </c>
      <c r="AG236" s="38">
        <f>AG234-AH232</f>
        <v>7195379.2199999988</v>
      </c>
      <c r="AH236" s="38"/>
    </row>
    <row r="237" spans="1:36">
      <c r="E237" s="712"/>
      <c r="F237" s="713"/>
      <c r="G237" s="714"/>
      <c r="H237" s="714"/>
      <c r="J237" s="637"/>
      <c r="K237" s="714"/>
      <c r="L237" s="173"/>
      <c r="M237" s="731"/>
      <c r="N237" s="38"/>
      <c r="O237" s="33"/>
      <c r="P237" s="38"/>
      <c r="Q237" s="139"/>
      <c r="R237" s="139"/>
      <c r="S237" s="139"/>
      <c r="T237" s="139"/>
      <c r="U237" s="169"/>
      <c r="V237" s="415"/>
      <c r="W237" s="104" t="s">
        <v>358</v>
      </c>
      <c r="X237" s="104"/>
      <c r="Y237" s="104">
        <f>Z226</f>
        <v>0</v>
      </c>
      <c r="Z237" s="136"/>
      <c r="AA237" s="38"/>
      <c r="AB237" s="38"/>
      <c r="AC237" s="38"/>
      <c r="AD237" s="38"/>
      <c r="AE237" s="38"/>
      <c r="AF237" s="38"/>
      <c r="AG237" s="38"/>
      <c r="AH237" s="38"/>
    </row>
    <row r="238" spans="1:36">
      <c r="E238" s="712"/>
      <c r="F238" s="713"/>
      <c r="G238" s="714"/>
      <c r="H238" s="714"/>
      <c r="J238" s="658">
        <f>SUM(AB230:AH230)</f>
        <v>7545352.8999999976</v>
      </c>
      <c r="K238" s="714" t="s">
        <v>518</v>
      </c>
      <c r="L238" s="732"/>
      <c r="M238" s="637"/>
      <c r="N238" s="38"/>
      <c r="O238" s="33"/>
      <c r="P238" s="38"/>
      <c r="Q238" s="139"/>
      <c r="R238" s="139"/>
      <c r="S238" s="139"/>
      <c r="T238" s="139"/>
      <c r="U238" s="169"/>
      <c r="V238" s="415"/>
      <c r="W238" s="104"/>
      <c r="X238" s="104"/>
      <c r="Y238" s="104"/>
      <c r="Z238" s="136"/>
      <c r="AA238" s="38"/>
      <c r="AB238" s="38"/>
      <c r="AC238" s="38"/>
      <c r="AD238" s="38"/>
      <c r="AE238" s="38"/>
      <c r="AF238" s="38"/>
      <c r="AG238" s="38"/>
      <c r="AH238" s="38"/>
    </row>
    <row r="239" spans="1:36" ht="13" thickBot="1">
      <c r="E239" s="712"/>
      <c r="F239" s="713"/>
      <c r="G239" s="714"/>
      <c r="H239" s="714"/>
      <c r="J239" s="169"/>
      <c r="K239" s="714" t="s">
        <v>454</v>
      </c>
      <c r="L239" s="733"/>
      <c r="M239" s="795"/>
      <c r="N239" s="38"/>
      <c r="O239" s="33"/>
      <c r="P239" s="38"/>
      <c r="Q239" s="139"/>
      <c r="R239" s="139"/>
      <c r="S239" s="139"/>
      <c r="T239" s="139"/>
      <c r="U239" s="169"/>
      <c r="V239" s="158" t="s">
        <v>602</v>
      </c>
      <c r="W239" s="488" t="s">
        <v>359</v>
      </c>
      <c r="X239" s="488"/>
      <c r="Y239" s="488">
        <f>X226</f>
        <v>75000</v>
      </c>
      <c r="Z239" s="414"/>
      <c r="AA239" s="38"/>
      <c r="AB239" s="38"/>
      <c r="AC239" s="38"/>
      <c r="AD239" s="38"/>
      <c r="AE239" s="38"/>
      <c r="AF239" s="38"/>
      <c r="AG239" s="38"/>
      <c r="AH239" s="38"/>
    </row>
    <row r="240" spans="1:36" ht="15" thickBot="1">
      <c r="E240" s="712"/>
      <c r="F240" s="713"/>
      <c r="G240" s="714"/>
      <c r="H240" s="714"/>
      <c r="J240" s="736"/>
      <c r="K240" s="714" t="s">
        <v>519</v>
      </c>
      <c r="L240" s="169"/>
      <c r="M240" s="169"/>
      <c r="N240" s="38"/>
      <c r="O240" s="33"/>
      <c r="P240" s="38"/>
      <c r="Q240" s="33"/>
      <c r="R240" s="33"/>
      <c r="S240" s="33"/>
      <c r="T240" s="33"/>
      <c r="U240" s="169"/>
      <c r="V240" s="416"/>
      <c r="W240" s="104"/>
      <c r="X240" s="80">
        <f>SUM(X231:X239)</f>
        <v>3271904</v>
      </c>
      <c r="Y240" s="80">
        <f>SUM(Y231:Y239)</f>
        <v>3271904</v>
      </c>
      <c r="Z240" s="136"/>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V241" s="416"/>
      <c r="W241" s="104"/>
      <c r="X241" s="104"/>
      <c r="Y241" s="104"/>
      <c r="Z241" s="136"/>
      <c r="AA241" s="38"/>
      <c r="AB241" s="38"/>
      <c r="AC241" s="38"/>
      <c r="AD241" s="38"/>
      <c r="AE241" s="38"/>
      <c r="AF241" s="38"/>
      <c r="AG241" s="38"/>
      <c r="AH241" s="38"/>
    </row>
    <row r="242" spans="5:34" ht="13" thickBot="1">
      <c r="E242" s="712"/>
      <c r="F242" s="713"/>
      <c r="G242" s="714"/>
      <c r="H242" s="714"/>
      <c r="I242" s="714"/>
      <c r="J242" s="169"/>
      <c r="K242" s="169"/>
      <c r="L242" s="169"/>
      <c r="M242" s="169"/>
      <c r="N242" s="38"/>
      <c r="O242" s="33"/>
      <c r="P242" s="38"/>
      <c r="Q242" s="33"/>
      <c r="R242" s="33"/>
      <c r="S242" s="33"/>
      <c r="T242" s="33"/>
      <c r="U242" s="169"/>
      <c r="V242" s="330"/>
      <c r="W242" s="279"/>
      <c r="X242" s="279"/>
      <c r="Y242" s="279"/>
      <c r="Z242" s="280"/>
      <c r="AA242" s="38"/>
      <c r="AB242" s="38"/>
      <c r="AC242" s="38"/>
      <c r="AD242" s="38"/>
      <c r="AE242" s="38"/>
      <c r="AF242" s="38"/>
      <c r="AG242" s="38"/>
      <c r="AH242" s="38"/>
    </row>
    <row r="243" spans="5:34">
      <c r="E243" s="712"/>
      <c r="F243" s="713"/>
      <c r="G243" s="714"/>
      <c r="H243" s="714"/>
      <c r="I243" s="714"/>
      <c r="J243" s="169"/>
      <c r="K243" s="169"/>
      <c r="L243" s="169"/>
      <c r="M243" s="169"/>
      <c r="N243" s="38"/>
      <c r="O243" s="33"/>
      <c r="P243" s="38"/>
      <c r="Q243" s="33"/>
      <c r="R243" s="33"/>
      <c r="S243" s="33"/>
      <c r="T243" s="33"/>
      <c r="U243" s="169"/>
      <c r="V243" s="104"/>
      <c r="W243" s="104"/>
      <c r="X243" s="104"/>
      <c r="Y243" s="104"/>
      <c r="Z243" s="104"/>
      <c r="AA243" s="38"/>
      <c r="AB243" s="38"/>
      <c r="AC243" s="38"/>
      <c r="AD243" s="38"/>
      <c r="AE243" s="38"/>
      <c r="AF243" s="38"/>
      <c r="AG243" s="38"/>
      <c r="AH243" s="38"/>
    </row>
    <row r="244" spans="5:34">
      <c r="E244" s="712"/>
      <c r="F244" s="713"/>
      <c r="G244" s="714"/>
      <c r="H244" s="714"/>
      <c r="I244" s="714"/>
      <c r="J244" s="169"/>
      <c r="K244" s="169"/>
      <c r="L244" s="169"/>
      <c r="M244" s="169"/>
      <c r="N244" s="38"/>
      <c r="O244" s="33"/>
      <c r="P244" s="38"/>
      <c r="Q244" s="33"/>
      <c r="R244" s="33"/>
      <c r="S244" s="33"/>
      <c r="T244" s="33"/>
      <c r="U244" s="169"/>
      <c r="AA244" s="38"/>
      <c r="AB244" s="38"/>
      <c r="AC244" s="38"/>
      <c r="AD244" s="38"/>
      <c r="AE244" s="38"/>
      <c r="AF244" s="38"/>
      <c r="AG244" s="38"/>
      <c r="AH244" s="38"/>
    </row>
    <row r="245" spans="5:34">
      <c r="E245" s="712"/>
      <c r="F245" s="713"/>
      <c r="G245" s="714"/>
      <c r="H245" s="714"/>
      <c r="I245" s="714"/>
      <c r="J245" s="169"/>
      <c r="K245" s="169"/>
      <c r="L245" s="169"/>
      <c r="M245" s="169"/>
      <c r="N245" s="38"/>
      <c r="O245" s="33"/>
      <c r="P245" s="38"/>
      <c r="Q245" s="33"/>
      <c r="R245" s="33"/>
      <c r="S245" s="33"/>
      <c r="T245" s="33"/>
      <c r="U245" s="169"/>
      <c r="AA245" s="38"/>
      <c r="AB245" s="38"/>
      <c r="AC245" s="38"/>
      <c r="AD245" s="38"/>
      <c r="AE245" s="38"/>
      <c r="AF245" s="38"/>
      <c r="AG245" s="38"/>
      <c r="AH245" s="38"/>
    </row>
    <row r="246" spans="5:34">
      <c r="E246" s="712"/>
      <c r="F246" s="713"/>
      <c r="G246" s="714"/>
      <c r="H246" s="714"/>
      <c r="I246" s="714"/>
      <c r="J246" s="169"/>
      <c r="K246" s="169"/>
      <c r="L246" s="169"/>
      <c r="M246" s="169"/>
      <c r="N246" s="38"/>
      <c r="O246" s="33"/>
      <c r="P246" s="38"/>
      <c r="Q246" s="33"/>
      <c r="R246" s="33"/>
      <c r="S246" s="33"/>
      <c r="T246" s="33"/>
      <c r="U246" s="169"/>
      <c r="AA246" s="38"/>
      <c r="AB246" s="38"/>
      <c r="AC246" s="38"/>
      <c r="AD246" s="38"/>
      <c r="AE246" s="38"/>
      <c r="AF246" s="38"/>
      <c r="AG246" s="38"/>
      <c r="AH246" s="38"/>
    </row>
    <row r="247" spans="5:34">
      <c r="E247" s="712"/>
      <c r="F247" s="713"/>
      <c r="G247" s="714"/>
      <c r="H247" s="714"/>
      <c r="I247" s="714"/>
      <c r="J247" s="169"/>
      <c r="K247" s="169"/>
      <c r="L247" s="169"/>
      <c r="M247" s="169"/>
      <c r="N247" s="38"/>
      <c r="O247" s="33"/>
      <c r="P247" s="38"/>
      <c r="Q247" s="33"/>
      <c r="R247" s="33"/>
      <c r="S247" s="33"/>
      <c r="T247" s="33"/>
      <c r="U247" s="169"/>
      <c r="AA247" s="38"/>
      <c r="AB247" s="38"/>
      <c r="AC247" s="38"/>
      <c r="AD247" s="38"/>
      <c r="AE247" s="38"/>
      <c r="AF247" s="38"/>
      <c r="AG247" s="38"/>
      <c r="AH247" s="38"/>
    </row>
    <row r="248" spans="5:34">
      <c r="E248" s="712"/>
      <c r="F248" s="713"/>
      <c r="G248" s="714"/>
      <c r="H248" s="714"/>
      <c r="I248" s="714"/>
      <c r="J248" s="169"/>
      <c r="K248" s="169"/>
      <c r="L248" s="169"/>
      <c r="M248" s="169"/>
      <c r="N248" s="38"/>
      <c r="O248" s="33"/>
      <c r="P248" s="38"/>
      <c r="Q248" s="33"/>
      <c r="R248" s="33"/>
      <c r="S248" s="33"/>
      <c r="T248" s="33"/>
      <c r="U248" s="169"/>
      <c r="AA248" s="38"/>
      <c r="AB248" s="38"/>
      <c r="AC248" s="38"/>
      <c r="AD248" s="38"/>
      <c r="AE248" s="38"/>
      <c r="AF248" s="38"/>
      <c r="AG248" s="38"/>
      <c r="AH248" s="38"/>
    </row>
    <row r="249" spans="5:34">
      <c r="E249" s="712"/>
      <c r="F249" s="713"/>
      <c r="G249" s="714"/>
      <c r="H249" s="714"/>
      <c r="I249" s="714"/>
      <c r="J249" s="169"/>
      <c r="K249" s="169"/>
      <c r="L249" s="169"/>
      <c r="M249" s="169"/>
      <c r="N249" s="38"/>
      <c r="O249" s="33"/>
      <c r="P249" s="38"/>
      <c r="Q249" s="33"/>
      <c r="R249" s="33"/>
      <c r="S249" s="33"/>
      <c r="T249" s="33"/>
      <c r="U249" s="169"/>
      <c r="AA249" s="38"/>
      <c r="AB249" s="38"/>
      <c r="AC249" s="38"/>
      <c r="AD249" s="38"/>
      <c r="AE249" s="38"/>
      <c r="AF249" s="38"/>
      <c r="AG249" s="38"/>
      <c r="AH249" s="38"/>
    </row>
  </sheetData>
  <customSheetViews>
    <customSheetView guid="{86CCC894-C193-4761-8385-3C374FD67B70}" hiddenRows="1" hiddenColumns="1" topLeftCell="U225">
      <selection activeCell="R67" sqref="R67"/>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48"/>
  <sheetViews>
    <sheetView topLeftCell="A154" workbookViewId="0">
      <selection activeCell="R184" sqref="R184:R185"/>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7.3984375" style="146" customWidth="1"/>
    <col min="16" max="16" width="1.796875" style="16" customWidth="1"/>
    <col min="17" max="18" width="15.3984375" style="146" customWidth="1"/>
    <col min="19" max="19" width="1.796875" style="146" customWidth="1"/>
    <col min="20" max="20" width="15.3984375" style="146" customWidth="1"/>
    <col min="21" max="21" width="1.796875" style="24" customWidth="1"/>
    <col min="22" max="26" width="15.3984375" style="38" customWidth="1"/>
    <col min="27" max="27" width="15.3984375" style="16" customWidth="1"/>
    <col min="28" max="29" width="15.3984375" style="559" customWidth="1"/>
    <col min="30" max="30" width="15.796875" style="559" customWidth="1"/>
    <col min="31" max="31" width="2.3984375" style="559" customWidth="1"/>
    <col min="32" max="33" width="14.796875" style="559" bestFit="1" customWidth="1"/>
    <col min="34" max="34" width="14.19921875" style="559" customWidth="1"/>
    <col min="35" max="35" width="9.3984375" style="16"/>
    <col min="36" max="36" width="14.796875" style="16" bestFit="1" customWidth="1"/>
    <col min="37" max="16384" width="9.398437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859</v>
      </c>
      <c r="F3" s="29"/>
      <c r="G3" s="18"/>
      <c r="H3" s="168"/>
      <c r="I3" s="168"/>
      <c r="J3" s="169"/>
      <c r="K3" s="169"/>
      <c r="L3" s="169"/>
      <c r="M3" s="169"/>
      <c r="N3" s="169"/>
    </row>
    <row r="4" spans="1:34">
      <c r="D4" s="148"/>
      <c r="G4" s="164"/>
      <c r="H4" s="168"/>
      <c r="I4" s="168"/>
      <c r="J4" s="169"/>
      <c r="K4" s="169"/>
      <c r="L4" s="169"/>
      <c r="M4" s="169"/>
      <c r="N4" s="169"/>
    </row>
    <row r="5" spans="1:34" ht="13"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3" thickBot="1">
      <c r="B12" s="469"/>
      <c r="C12" s="670"/>
      <c r="D12" s="470" t="s">
        <v>103</v>
      </c>
      <c r="E12" s="471" t="s">
        <v>101</v>
      </c>
      <c r="F12" s="29"/>
      <c r="G12" s="166"/>
      <c r="H12" s="150"/>
      <c r="I12" s="150"/>
      <c r="J12" s="76"/>
    </row>
    <row r="13" spans="1:34" ht="13" thickBot="1">
      <c r="A13" s="152"/>
      <c r="B13" s="152"/>
      <c r="C13" s="67"/>
      <c r="D13" s="54"/>
      <c r="E13" s="34"/>
      <c r="G13" s="167"/>
      <c r="H13" s="49"/>
      <c r="I13" s="49"/>
      <c r="J13" s="50"/>
      <c r="K13" s="50"/>
      <c r="L13" s="50"/>
      <c r="M13" s="745"/>
      <c r="N13" s="146"/>
      <c r="P13" s="146"/>
      <c r="U13" s="50"/>
      <c r="V13" s="33"/>
      <c r="W13" s="33"/>
      <c r="X13" s="33"/>
      <c r="Y13" s="33"/>
    </row>
    <row r="14" spans="1:34" ht="13" thickBot="1">
      <c r="D14" s="526"/>
      <c r="E14" s="582" t="s">
        <v>860</v>
      </c>
      <c r="F14" s="583" t="s">
        <v>368</v>
      </c>
      <c r="G14" s="96"/>
      <c r="H14" s="96"/>
      <c r="I14" s="96"/>
      <c r="J14" s="96" t="s">
        <v>427</v>
      </c>
      <c r="K14" s="581"/>
      <c r="L14" s="96" t="s">
        <v>427</v>
      </c>
      <c r="M14" s="96" t="s">
        <v>427</v>
      </c>
      <c r="N14" s="93"/>
      <c r="O14" s="96"/>
      <c r="P14" s="93"/>
      <c r="Q14" s="13"/>
      <c r="R14" s="96"/>
      <c r="S14" s="101"/>
      <c r="T14" s="96"/>
      <c r="U14" s="93"/>
      <c r="V14" s="96"/>
      <c r="W14" s="96"/>
      <c r="X14" s="304"/>
      <c r="Y14" s="304"/>
      <c r="Z14" s="304"/>
      <c r="AC14" s="560" t="s">
        <v>266</v>
      </c>
      <c r="AG14" s="561" t="s">
        <v>267</v>
      </c>
    </row>
    <row r="15" spans="1:34" ht="13" thickBot="1">
      <c r="A15" s="22" t="s">
        <v>95</v>
      </c>
      <c r="B15" s="22" t="s">
        <v>100</v>
      </c>
      <c r="C15" s="36" t="s">
        <v>522</v>
      </c>
      <c r="D15" s="36" t="s">
        <v>67</v>
      </c>
      <c r="E15" s="450" t="s">
        <v>230</v>
      </c>
      <c r="F15" s="528" t="s">
        <v>229</v>
      </c>
      <c r="G15" s="176" t="s">
        <v>288</v>
      </c>
      <c r="H15" s="545" t="s">
        <v>289</v>
      </c>
      <c r="I15" s="758" t="s">
        <v>427</v>
      </c>
      <c r="J15" s="313" t="s">
        <v>105</v>
      </c>
      <c r="K15" s="93"/>
      <c r="L15" s="94" t="s">
        <v>104</v>
      </c>
      <c r="M15" s="95" t="s">
        <v>106</v>
      </c>
      <c r="N15" s="102"/>
      <c r="O15" s="427" t="s">
        <v>839</v>
      </c>
      <c r="P15" s="102"/>
      <c r="Q15" s="313" t="s">
        <v>861</v>
      </c>
      <c r="R15" s="156" t="s">
        <v>862</v>
      </c>
      <c r="S15" s="149"/>
      <c r="T15" s="327" t="s">
        <v>863</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VLOOKUP(D16,'Sept 2012 Revenue'!D:T,17,FALSE)</f>
        <v>0</v>
      </c>
      <c r="G16" s="680"/>
      <c r="H16" s="680"/>
      <c r="I16" s="755"/>
      <c r="J16" s="682">
        <f t="shared" ref="J16:J82" si="0">SUM(E16:I16)</f>
        <v>0</v>
      </c>
      <c r="K16" s="683"/>
      <c r="L16" s="684"/>
      <c r="M16" s="753"/>
      <c r="N16" s="683">
        <v>0</v>
      </c>
      <c r="O16" s="686"/>
      <c r="P16" s="683">
        <v>0</v>
      </c>
      <c r="Q16" s="687">
        <f t="shared" ref="Q16:Q143" si="1">L16+M16</f>
        <v>0</v>
      </c>
      <c r="R16" s="688">
        <v>0</v>
      </c>
      <c r="S16" s="689"/>
      <c r="T16" s="690">
        <f t="shared" ref="T16:T82" si="2">IF(R16="","",R16-Q16)</f>
        <v>0</v>
      </c>
      <c r="U16" s="691"/>
      <c r="V16" s="474">
        <f t="shared" ref="V16:V82" si="3">IF(B16="D",Q16,0)</f>
        <v>0</v>
      </c>
      <c r="W16" s="474">
        <f t="shared" ref="W16:W82" si="4">IF(B16="M",Q16,0)</f>
        <v>0</v>
      </c>
      <c r="X16" s="475">
        <f t="shared" ref="X16:X82" si="5">IF(B16="V",Q16,0)</f>
        <v>0</v>
      </c>
      <c r="Y16" s="475">
        <v>0</v>
      </c>
      <c r="Z16" s="476">
        <v>0</v>
      </c>
      <c r="AA16" s="38">
        <f t="shared" ref="AA16:AA82" si="6">(L16+M16)-(V16+W16+X16+Y16+Z16)</f>
        <v>0</v>
      </c>
      <c r="AB16" s="692">
        <f t="shared" ref="AB16:AB17" si="7">IF(B16="D",J16,0)</f>
        <v>0</v>
      </c>
      <c r="AC16" s="692">
        <f t="shared" ref="AC16:AC17" si="8">IF(B16="M",J16,0)</f>
        <v>0</v>
      </c>
      <c r="AD16" s="692">
        <f t="shared" ref="AD16:AD17" si="9">IF(B16="V",J16,0)</f>
        <v>0</v>
      </c>
      <c r="AE16" s="38"/>
      <c r="AF16" s="692">
        <f t="shared" ref="AF16:AF81" si="10">IF(B16="D",Q16,0)</f>
        <v>0</v>
      </c>
      <c r="AG16" s="692">
        <f t="shared" ref="AG16:AG81" si="11">IF(B16="M",Q16,0)</f>
        <v>0</v>
      </c>
      <c r="AH16" s="692">
        <f t="shared" ref="AH16:AH81" si="12">IF(B16="V",Q16,0)</f>
        <v>0</v>
      </c>
    </row>
    <row r="17" spans="1:36">
      <c r="A17" s="20" t="s">
        <v>109</v>
      </c>
      <c r="B17" s="20" t="s">
        <v>110</v>
      </c>
      <c r="C17" s="671" t="s">
        <v>523</v>
      </c>
      <c r="D17" s="123" t="s">
        <v>317</v>
      </c>
      <c r="E17" s="679"/>
      <c r="F17" s="529">
        <f>VLOOKUP(D17,'Sept 2012 Revenue'!D:T,17,FALSE)</f>
        <v>-24.989999999999782</v>
      </c>
      <c r="G17" s="680"/>
      <c r="H17" s="680"/>
      <c r="I17" s="755"/>
      <c r="J17" s="682">
        <f t="shared" si="0"/>
        <v>-24.989999999999782</v>
      </c>
      <c r="K17" s="683"/>
      <c r="L17" s="684"/>
      <c r="M17" s="753">
        <v>10000</v>
      </c>
      <c r="N17" s="683">
        <v>0</v>
      </c>
      <c r="O17" s="686"/>
      <c r="P17" s="683">
        <v>0</v>
      </c>
      <c r="Q17" s="687">
        <f t="shared" si="1"/>
        <v>10000</v>
      </c>
      <c r="R17" s="688">
        <f>8745.13+2250.64</f>
        <v>10995.769999999999</v>
      </c>
      <c r="S17" s="693"/>
      <c r="T17" s="690">
        <f t="shared" si="2"/>
        <v>995.76999999999862</v>
      </c>
      <c r="U17" s="683"/>
      <c r="V17" s="474">
        <f t="shared" si="3"/>
        <v>10000</v>
      </c>
      <c r="W17" s="474">
        <f t="shared" si="4"/>
        <v>0</v>
      </c>
      <c r="X17" s="475">
        <f t="shared" si="5"/>
        <v>0</v>
      </c>
      <c r="Y17" s="475">
        <v>0</v>
      </c>
      <c r="Z17" s="476">
        <v>0</v>
      </c>
      <c r="AA17" s="38">
        <f t="shared" si="6"/>
        <v>0</v>
      </c>
      <c r="AB17" s="692">
        <f t="shared" si="7"/>
        <v>-24.989999999999782</v>
      </c>
      <c r="AC17" s="692">
        <f t="shared" si="8"/>
        <v>0</v>
      </c>
      <c r="AD17" s="692">
        <f t="shared" si="9"/>
        <v>0</v>
      </c>
      <c r="AE17" s="38"/>
      <c r="AF17" s="692">
        <f t="shared" si="10"/>
        <v>10000</v>
      </c>
      <c r="AG17" s="692">
        <f t="shared" si="11"/>
        <v>0</v>
      </c>
      <c r="AH17" s="692">
        <f t="shared" si="12"/>
        <v>0</v>
      </c>
      <c r="AJ17" s="38">
        <f>SUM(AB17:AH17)</f>
        <v>9975.01</v>
      </c>
    </row>
    <row r="18" spans="1:36">
      <c r="A18" s="20" t="s">
        <v>109</v>
      </c>
      <c r="B18" s="20" t="s">
        <v>109</v>
      </c>
      <c r="C18" s="671" t="s">
        <v>523</v>
      </c>
      <c r="D18" s="68" t="s">
        <v>393</v>
      </c>
      <c r="E18" s="679"/>
      <c r="F18" s="529">
        <f>VLOOKUP(D18,'Sept 2012 Revenue'!D:T,17,FALSE)</f>
        <v>10707.430492000007</v>
      </c>
      <c r="G18" s="680"/>
      <c r="H18" s="680"/>
      <c r="I18" s="755"/>
      <c r="J18" s="682">
        <f t="shared" si="0"/>
        <v>10707.430492000007</v>
      </c>
      <c r="K18" s="683"/>
      <c r="L18" s="684"/>
      <c r="M18" s="753">
        <v>40000</v>
      </c>
      <c r="N18" s="683">
        <v>0</v>
      </c>
      <c r="O18" s="686"/>
      <c r="P18" s="683">
        <v>0</v>
      </c>
      <c r="Q18" s="687">
        <f t="shared" si="1"/>
        <v>40000</v>
      </c>
      <c r="R18" s="688">
        <v>42624.800000000003</v>
      </c>
      <c r="S18" s="693"/>
      <c r="T18" s="690">
        <f t="shared" si="2"/>
        <v>2624.8000000000029</v>
      </c>
      <c r="U18" s="683"/>
      <c r="V18" s="474">
        <f t="shared" si="3"/>
        <v>0</v>
      </c>
      <c r="W18" s="474">
        <f t="shared" si="4"/>
        <v>40000</v>
      </c>
      <c r="X18" s="475">
        <f t="shared" si="5"/>
        <v>0</v>
      </c>
      <c r="Y18" s="475">
        <v>0</v>
      </c>
      <c r="Z18" s="476">
        <v>0</v>
      </c>
      <c r="AA18" s="38">
        <f t="shared" si="6"/>
        <v>0</v>
      </c>
      <c r="AB18" s="692">
        <f t="shared" ref="AB18:AB83" si="13">IF(B18="D",J18,0)</f>
        <v>0</v>
      </c>
      <c r="AC18" s="692">
        <f t="shared" ref="AC18:AC83" si="14">IF(B18="M",J18,0)</f>
        <v>10707.430492000007</v>
      </c>
      <c r="AD18" s="692">
        <f t="shared" ref="AD18:AD83" si="15">IF(B18="V",J18,0)</f>
        <v>0</v>
      </c>
      <c r="AE18" s="38"/>
      <c r="AF18" s="692">
        <f t="shared" si="10"/>
        <v>0</v>
      </c>
      <c r="AG18" s="692">
        <f t="shared" si="11"/>
        <v>40000</v>
      </c>
      <c r="AH18" s="692">
        <f t="shared" si="12"/>
        <v>0</v>
      </c>
      <c r="AJ18" s="38">
        <f t="shared" ref="AJ18:AJ83" si="16">SUM(AB18:AH18)</f>
        <v>50707.430492000007</v>
      </c>
    </row>
    <row r="19" spans="1:36">
      <c r="A19" s="20" t="s">
        <v>109</v>
      </c>
      <c r="B19" s="20" t="s">
        <v>109</v>
      </c>
      <c r="C19" s="671" t="s">
        <v>523</v>
      </c>
      <c r="D19" s="68" t="s">
        <v>129</v>
      </c>
      <c r="E19" s="679"/>
      <c r="F19" s="529">
        <f>VLOOKUP(D19,'Sept 2012 Revenue'!D:T,17,FALSE)</f>
        <v>19.281000000000002</v>
      </c>
      <c r="G19" s="680"/>
      <c r="H19" s="680"/>
      <c r="I19" s="755"/>
      <c r="J19" s="682">
        <f t="shared" si="0"/>
        <v>19.281000000000002</v>
      </c>
      <c r="K19" s="683"/>
      <c r="L19" s="684"/>
      <c r="M19" s="753"/>
      <c r="N19" s="683">
        <v>0</v>
      </c>
      <c r="O19" s="686"/>
      <c r="P19" s="683">
        <v>0</v>
      </c>
      <c r="Q19" s="687">
        <f t="shared" si="1"/>
        <v>0</v>
      </c>
      <c r="R19" s="688">
        <v>14.8</v>
      </c>
      <c r="S19" s="693"/>
      <c r="T19" s="690">
        <f t="shared" si="2"/>
        <v>14.8</v>
      </c>
      <c r="U19" s="683"/>
      <c r="V19" s="474">
        <f t="shared" si="3"/>
        <v>0</v>
      </c>
      <c r="W19" s="474">
        <f t="shared" si="4"/>
        <v>0</v>
      </c>
      <c r="X19" s="475">
        <f t="shared" si="5"/>
        <v>0</v>
      </c>
      <c r="Y19" s="475">
        <v>0</v>
      </c>
      <c r="Z19" s="476">
        <v>0</v>
      </c>
      <c r="AA19" s="38">
        <f t="shared" si="6"/>
        <v>0</v>
      </c>
      <c r="AB19" s="692">
        <f t="shared" si="13"/>
        <v>0</v>
      </c>
      <c r="AC19" s="692">
        <f t="shared" si="14"/>
        <v>19.281000000000002</v>
      </c>
      <c r="AD19" s="692">
        <f t="shared" si="15"/>
        <v>0</v>
      </c>
      <c r="AE19" s="38"/>
      <c r="AF19" s="692">
        <f t="shared" si="10"/>
        <v>0</v>
      </c>
      <c r="AG19" s="692">
        <f t="shared" si="11"/>
        <v>0</v>
      </c>
      <c r="AH19" s="692">
        <f t="shared" si="12"/>
        <v>0</v>
      </c>
      <c r="AJ19" s="38">
        <f t="shared" si="16"/>
        <v>19.281000000000002</v>
      </c>
    </row>
    <row r="20" spans="1:36">
      <c r="A20" s="20"/>
      <c r="B20" s="20" t="s">
        <v>110</v>
      </c>
      <c r="C20" s="667" t="s">
        <v>524</v>
      </c>
      <c r="D20" s="123" t="s">
        <v>380</v>
      </c>
      <c r="E20" s="679"/>
      <c r="F20" s="529">
        <f>VLOOKUP(D20,'Sept 2012 Revenue'!D:T,17,FALSE)</f>
        <v>-158.26000000000022</v>
      </c>
      <c r="G20" s="680"/>
      <c r="H20" s="680"/>
      <c r="I20" s="770">
        <v>4303.74</v>
      </c>
      <c r="J20" s="682">
        <f t="shared" si="0"/>
        <v>4145.4799999999996</v>
      </c>
      <c r="K20" s="683"/>
      <c r="L20" s="684"/>
      <c r="M20" s="753"/>
      <c r="N20" s="683">
        <v>0</v>
      </c>
      <c r="O20" s="686"/>
      <c r="P20" s="683">
        <v>0</v>
      </c>
      <c r="Q20" s="687">
        <f t="shared" si="1"/>
        <v>0</v>
      </c>
      <c r="R20" s="688">
        <v>0</v>
      </c>
      <c r="S20" s="693"/>
      <c r="T20" s="690">
        <f t="shared" si="2"/>
        <v>0</v>
      </c>
      <c r="U20" s="683"/>
      <c r="V20" s="474">
        <f t="shared" si="3"/>
        <v>0</v>
      </c>
      <c r="W20" s="474">
        <f t="shared" si="4"/>
        <v>0</v>
      </c>
      <c r="X20" s="475">
        <f t="shared" si="5"/>
        <v>0</v>
      </c>
      <c r="Y20" s="475">
        <v>0</v>
      </c>
      <c r="Z20" s="476">
        <v>0</v>
      </c>
      <c r="AA20" s="38">
        <f t="shared" si="6"/>
        <v>0</v>
      </c>
      <c r="AB20" s="692">
        <f t="shared" si="13"/>
        <v>4145.4799999999996</v>
      </c>
      <c r="AC20" s="692">
        <f t="shared" si="14"/>
        <v>0</v>
      </c>
      <c r="AD20" s="692">
        <f t="shared" si="15"/>
        <v>0</v>
      </c>
      <c r="AE20" s="38"/>
      <c r="AF20" s="692">
        <f t="shared" si="10"/>
        <v>0</v>
      </c>
      <c r="AG20" s="692">
        <f t="shared" si="11"/>
        <v>0</v>
      </c>
      <c r="AH20" s="692">
        <f t="shared" si="12"/>
        <v>0</v>
      </c>
      <c r="AJ20" s="38">
        <f t="shared" si="16"/>
        <v>4145.4799999999996</v>
      </c>
    </row>
    <row r="21" spans="1:36">
      <c r="A21" s="20"/>
      <c r="B21" s="20" t="s">
        <v>110</v>
      </c>
      <c r="C21" s="667" t="s">
        <v>524</v>
      </c>
      <c r="D21" s="123" t="s">
        <v>132</v>
      </c>
      <c r="E21" s="679"/>
      <c r="F21" s="529">
        <f>VLOOKUP(D21,'Sept 2012 Revenue'!D:T,17,FALSE)</f>
        <v>634.76000000000022</v>
      </c>
      <c r="G21" s="680"/>
      <c r="H21" s="680"/>
      <c r="I21" s="770">
        <v>6077.11</v>
      </c>
      <c r="J21" s="682">
        <f t="shared" si="0"/>
        <v>6711.87</v>
      </c>
      <c r="K21" s="683"/>
      <c r="L21" s="684"/>
      <c r="M21" s="753"/>
      <c r="N21" s="683">
        <v>0</v>
      </c>
      <c r="O21" s="686"/>
      <c r="P21" s="683">
        <v>0</v>
      </c>
      <c r="Q21" s="687">
        <f t="shared" si="1"/>
        <v>0</v>
      </c>
      <c r="R21" s="688">
        <v>0</v>
      </c>
      <c r="S21" s="693"/>
      <c r="T21" s="690">
        <f t="shared" si="2"/>
        <v>0</v>
      </c>
      <c r="U21" s="683"/>
      <c r="V21" s="474">
        <f t="shared" si="3"/>
        <v>0</v>
      </c>
      <c r="W21" s="474">
        <f t="shared" si="4"/>
        <v>0</v>
      </c>
      <c r="X21" s="475">
        <f t="shared" si="5"/>
        <v>0</v>
      </c>
      <c r="Y21" s="475">
        <v>0</v>
      </c>
      <c r="Z21" s="476">
        <v>0</v>
      </c>
      <c r="AA21" s="38">
        <f t="shared" si="6"/>
        <v>0</v>
      </c>
      <c r="AB21" s="692">
        <f t="shared" si="13"/>
        <v>6711.87</v>
      </c>
      <c r="AC21" s="692">
        <f t="shared" si="14"/>
        <v>0</v>
      </c>
      <c r="AD21" s="692">
        <f t="shared" si="15"/>
        <v>0</v>
      </c>
      <c r="AE21" s="38"/>
      <c r="AF21" s="692">
        <f t="shared" si="10"/>
        <v>0</v>
      </c>
      <c r="AG21" s="692">
        <f t="shared" si="11"/>
        <v>0</v>
      </c>
      <c r="AH21" s="692">
        <f t="shared" si="12"/>
        <v>0</v>
      </c>
      <c r="AJ21" s="38">
        <f t="shared" si="16"/>
        <v>6711.87</v>
      </c>
    </row>
    <row r="22" spans="1:36">
      <c r="A22" s="20"/>
      <c r="B22" s="20" t="s">
        <v>110</v>
      </c>
      <c r="C22" s="667" t="s">
        <v>524</v>
      </c>
      <c r="D22" s="123" t="s">
        <v>133</v>
      </c>
      <c r="E22" s="679"/>
      <c r="F22" s="529">
        <f>VLOOKUP(D22,'Sept 2012 Revenue'!D:T,17,FALSE)</f>
        <v>1227.1000000000004</v>
      </c>
      <c r="G22" s="680"/>
      <c r="H22" s="680"/>
      <c r="I22" s="770">
        <v>7293.4</v>
      </c>
      <c r="J22" s="682">
        <f t="shared" si="0"/>
        <v>8520.5</v>
      </c>
      <c r="K22" s="683"/>
      <c r="L22" s="684"/>
      <c r="M22" s="753"/>
      <c r="N22" s="683">
        <v>0</v>
      </c>
      <c r="O22" s="686"/>
      <c r="P22" s="683">
        <v>0</v>
      </c>
      <c r="Q22" s="687">
        <f t="shared" si="1"/>
        <v>0</v>
      </c>
      <c r="R22" s="688">
        <v>0</v>
      </c>
      <c r="S22" s="693"/>
      <c r="T22" s="690">
        <f t="shared" si="2"/>
        <v>0</v>
      </c>
      <c r="U22" s="683"/>
      <c r="V22" s="474">
        <f t="shared" si="3"/>
        <v>0</v>
      </c>
      <c r="W22" s="474">
        <f t="shared" si="4"/>
        <v>0</v>
      </c>
      <c r="X22" s="475">
        <f t="shared" si="5"/>
        <v>0</v>
      </c>
      <c r="Y22" s="475">
        <v>0</v>
      </c>
      <c r="Z22" s="476">
        <v>0</v>
      </c>
      <c r="AA22" s="38">
        <f t="shared" si="6"/>
        <v>0</v>
      </c>
      <c r="AB22" s="692">
        <f t="shared" si="13"/>
        <v>8520.5</v>
      </c>
      <c r="AC22" s="692">
        <f t="shared" si="14"/>
        <v>0</v>
      </c>
      <c r="AD22" s="692">
        <f t="shared" si="15"/>
        <v>0</v>
      </c>
      <c r="AE22" s="38"/>
      <c r="AF22" s="692">
        <f t="shared" si="10"/>
        <v>0</v>
      </c>
      <c r="AG22" s="692">
        <f t="shared" si="11"/>
        <v>0</v>
      </c>
      <c r="AH22" s="692">
        <f t="shared" si="12"/>
        <v>0</v>
      </c>
      <c r="AJ22" s="38">
        <f t="shared" si="16"/>
        <v>8520.5</v>
      </c>
    </row>
    <row r="23" spans="1:36" s="232" customFormat="1">
      <c r="A23" s="283" t="s">
        <v>211</v>
      </c>
      <c r="B23" s="283" t="s">
        <v>109</v>
      </c>
      <c r="C23" s="667" t="s">
        <v>525</v>
      </c>
      <c r="D23" s="123" t="s">
        <v>419</v>
      </c>
      <c r="E23" s="679"/>
      <c r="F23" s="529">
        <f>VLOOKUP(D23,'Sept 2012 Revenue'!D:T,17,FALSE)</f>
        <v>-33000</v>
      </c>
      <c r="G23" s="680"/>
      <c r="H23" s="680"/>
      <c r="I23" s="755"/>
      <c r="J23" s="682">
        <f t="shared" si="0"/>
        <v>-33000</v>
      </c>
      <c r="K23" s="683"/>
      <c r="L23" s="684"/>
      <c r="M23" s="753">
        <v>44000</v>
      </c>
      <c r="N23" s="683">
        <v>0</v>
      </c>
      <c r="O23" s="686"/>
      <c r="P23" s="683">
        <v>0</v>
      </c>
      <c r="Q23" s="687">
        <f t="shared" si="1"/>
        <v>44000</v>
      </c>
      <c r="R23" s="688">
        <v>0</v>
      </c>
      <c r="S23" s="693"/>
      <c r="T23" s="690">
        <f t="shared" si="2"/>
        <v>-44000</v>
      </c>
      <c r="U23" s="683"/>
      <c r="V23" s="474">
        <f t="shared" si="3"/>
        <v>0</v>
      </c>
      <c r="W23" s="474">
        <f t="shared" si="4"/>
        <v>44000</v>
      </c>
      <c r="X23" s="475">
        <f t="shared" si="5"/>
        <v>0</v>
      </c>
      <c r="Y23" s="475">
        <v>0</v>
      </c>
      <c r="Z23" s="476">
        <v>0</v>
      </c>
      <c r="AA23" s="38">
        <f t="shared" si="6"/>
        <v>0</v>
      </c>
      <c r="AB23" s="692">
        <f t="shared" si="13"/>
        <v>0</v>
      </c>
      <c r="AC23" s="692">
        <f t="shared" si="14"/>
        <v>-33000</v>
      </c>
      <c r="AD23" s="692">
        <f t="shared" si="15"/>
        <v>0</v>
      </c>
      <c r="AE23" s="38"/>
      <c r="AF23" s="692">
        <f t="shared" si="10"/>
        <v>0</v>
      </c>
      <c r="AG23" s="692">
        <f t="shared" si="11"/>
        <v>44000</v>
      </c>
      <c r="AH23" s="692">
        <f t="shared" si="12"/>
        <v>0</v>
      </c>
      <c r="AJ23" s="38">
        <f t="shared" si="16"/>
        <v>11000</v>
      </c>
    </row>
    <row r="24" spans="1:36" s="232" customFormat="1">
      <c r="A24" s="283"/>
      <c r="B24" s="283" t="s">
        <v>109</v>
      </c>
      <c r="C24" s="667" t="s">
        <v>525</v>
      </c>
      <c r="D24" s="413" t="s">
        <v>420</v>
      </c>
      <c r="E24" s="679"/>
      <c r="F24" s="529">
        <f>VLOOKUP(D24,'Sept 2012 Revenue'!D:T,17,FALSE)</f>
        <v>0</v>
      </c>
      <c r="G24" s="680"/>
      <c r="H24" s="680"/>
      <c r="I24" s="755"/>
      <c r="J24" s="682">
        <f t="shared" si="0"/>
        <v>0</v>
      </c>
      <c r="K24" s="683"/>
      <c r="L24" s="684"/>
      <c r="M24" s="753"/>
      <c r="N24" s="683">
        <v>0</v>
      </c>
      <c r="O24" s="686"/>
      <c r="P24" s="683">
        <v>0</v>
      </c>
      <c r="Q24" s="687">
        <f t="shared" si="1"/>
        <v>0</v>
      </c>
      <c r="R24" s="688">
        <v>0</v>
      </c>
      <c r="S24" s="693"/>
      <c r="T24" s="690">
        <f t="shared" si="2"/>
        <v>0</v>
      </c>
      <c r="U24" s="683"/>
      <c r="V24" s="474">
        <f t="shared" si="3"/>
        <v>0</v>
      </c>
      <c r="W24" s="474">
        <f t="shared" si="4"/>
        <v>0</v>
      </c>
      <c r="X24" s="475">
        <f t="shared" si="5"/>
        <v>0</v>
      </c>
      <c r="Y24" s="475">
        <v>0</v>
      </c>
      <c r="Z24" s="476">
        <v>0</v>
      </c>
      <c r="AA24" s="38">
        <f t="shared" si="6"/>
        <v>0</v>
      </c>
      <c r="AB24" s="692">
        <f t="shared" si="13"/>
        <v>0</v>
      </c>
      <c r="AC24" s="692">
        <f t="shared" si="14"/>
        <v>0</v>
      </c>
      <c r="AD24" s="692">
        <f t="shared" si="15"/>
        <v>0</v>
      </c>
      <c r="AE24" s="38"/>
      <c r="AF24" s="692">
        <f t="shared" si="10"/>
        <v>0</v>
      </c>
      <c r="AG24" s="692">
        <f t="shared" si="11"/>
        <v>0</v>
      </c>
      <c r="AH24" s="692">
        <f t="shared" si="12"/>
        <v>0</v>
      </c>
      <c r="AJ24" s="38">
        <f t="shared" si="16"/>
        <v>0</v>
      </c>
    </row>
    <row r="25" spans="1:36" s="232" customFormat="1">
      <c r="A25" s="283"/>
      <c r="B25" s="283" t="s">
        <v>109</v>
      </c>
      <c r="C25" s="667" t="s">
        <v>525</v>
      </c>
      <c r="D25" s="413" t="s">
        <v>421</v>
      </c>
      <c r="E25" s="679"/>
      <c r="F25" s="529">
        <f>VLOOKUP(D25,'Sept 2012 Revenue'!D:T,17,FALSE)</f>
        <v>0</v>
      </c>
      <c r="G25" s="680"/>
      <c r="H25" s="680"/>
      <c r="I25" s="755"/>
      <c r="J25" s="682">
        <f t="shared" si="0"/>
        <v>0</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13"/>
        <v>0</v>
      </c>
      <c r="AC25" s="692">
        <f t="shared" si="14"/>
        <v>0</v>
      </c>
      <c r="AD25" s="692">
        <f t="shared" si="15"/>
        <v>0</v>
      </c>
      <c r="AE25" s="38"/>
      <c r="AF25" s="692">
        <f t="shared" si="10"/>
        <v>0</v>
      </c>
      <c r="AG25" s="692">
        <f t="shared" si="11"/>
        <v>0</v>
      </c>
      <c r="AH25" s="692">
        <f t="shared" si="12"/>
        <v>0</v>
      </c>
      <c r="AJ25" s="38">
        <f t="shared" si="16"/>
        <v>0</v>
      </c>
    </row>
    <row r="26" spans="1:36">
      <c r="A26" s="20"/>
      <c r="B26" s="20" t="s">
        <v>110</v>
      </c>
      <c r="C26" s="667"/>
      <c r="D26" s="68" t="s">
        <v>191</v>
      </c>
      <c r="E26" s="679"/>
      <c r="F26" s="529">
        <f>VLOOKUP(D26,'Sept 2012 Revenue'!D:T,17,FALSE)</f>
        <v>0</v>
      </c>
      <c r="G26" s="680"/>
      <c r="H26" s="680"/>
      <c r="I26" s="770">
        <v>189.99</v>
      </c>
      <c r="J26" s="682">
        <f t="shared" si="0"/>
        <v>189.99</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13"/>
        <v>189.99</v>
      </c>
      <c r="AC26" s="692">
        <f t="shared" si="14"/>
        <v>0</v>
      </c>
      <c r="AD26" s="692">
        <f t="shared" si="15"/>
        <v>0</v>
      </c>
      <c r="AE26" s="38"/>
      <c r="AF26" s="692">
        <f t="shared" si="10"/>
        <v>0</v>
      </c>
      <c r="AG26" s="692">
        <f t="shared" si="11"/>
        <v>0</v>
      </c>
      <c r="AH26" s="692">
        <f t="shared" si="12"/>
        <v>0</v>
      </c>
      <c r="AJ26" s="38">
        <f t="shared" si="16"/>
        <v>189.99</v>
      </c>
    </row>
    <row r="27" spans="1:36">
      <c r="A27" s="20"/>
      <c r="B27" s="20" t="s">
        <v>110</v>
      </c>
      <c r="C27" s="667"/>
      <c r="D27" s="68" t="s">
        <v>589</v>
      </c>
      <c r="E27" s="679"/>
      <c r="F27" s="529">
        <f>VLOOKUP(D27,'Sept 2012 Revenue'!D:T,17,FALSE)</f>
        <v>6404.91</v>
      </c>
      <c r="G27" s="680"/>
      <c r="H27" s="680"/>
      <c r="I27" s="755"/>
      <c r="J27" s="682">
        <f t="shared" si="0"/>
        <v>6404.91</v>
      </c>
      <c r="K27" s="683"/>
      <c r="L27" s="684"/>
      <c r="M27" s="753">
        <v>7000</v>
      </c>
      <c r="N27" s="683">
        <v>0</v>
      </c>
      <c r="O27" s="686"/>
      <c r="P27" s="683">
        <v>0</v>
      </c>
      <c r="Q27" s="687">
        <f t="shared" si="1"/>
        <v>7000</v>
      </c>
      <c r="R27" s="688">
        <v>0</v>
      </c>
      <c r="S27" s="693"/>
      <c r="T27" s="690">
        <f t="shared" si="2"/>
        <v>-7000</v>
      </c>
      <c r="U27" s="683"/>
      <c r="V27" s="474">
        <f t="shared" si="3"/>
        <v>7000</v>
      </c>
      <c r="W27" s="474">
        <f t="shared" si="4"/>
        <v>0</v>
      </c>
      <c r="X27" s="475">
        <f t="shared" si="5"/>
        <v>0</v>
      </c>
      <c r="Y27" s="475">
        <v>0</v>
      </c>
      <c r="Z27" s="476">
        <v>0</v>
      </c>
      <c r="AA27" s="38">
        <f t="shared" si="6"/>
        <v>0</v>
      </c>
      <c r="AB27" s="692">
        <f t="shared" si="13"/>
        <v>6404.91</v>
      </c>
      <c r="AC27" s="692">
        <f t="shared" si="14"/>
        <v>0</v>
      </c>
      <c r="AD27" s="692">
        <f t="shared" si="15"/>
        <v>0</v>
      </c>
      <c r="AE27" s="38"/>
      <c r="AF27" s="692">
        <f t="shared" si="10"/>
        <v>7000</v>
      </c>
      <c r="AG27" s="692">
        <f t="shared" si="11"/>
        <v>0</v>
      </c>
      <c r="AH27" s="692">
        <f t="shared" si="12"/>
        <v>0</v>
      </c>
      <c r="AJ27" s="38">
        <f t="shared" si="16"/>
        <v>13404.91</v>
      </c>
    </row>
    <row r="28" spans="1:36">
      <c r="A28" s="20"/>
      <c r="B28" s="20" t="s">
        <v>110</v>
      </c>
      <c r="C28" s="667"/>
      <c r="D28" s="68" t="s">
        <v>829</v>
      </c>
      <c r="E28" s="679"/>
      <c r="F28" s="529">
        <f>VLOOKUP(D28,'Sept 2012 Revenue'!D:T,17,FALSE)</f>
        <v>0</v>
      </c>
      <c r="G28" s="680"/>
      <c r="H28" s="680"/>
      <c r="I28" s="755"/>
      <c r="J28" s="682">
        <f t="shared" si="0"/>
        <v>0</v>
      </c>
      <c r="K28" s="683"/>
      <c r="L28" s="684"/>
      <c r="M28" s="753"/>
      <c r="N28" s="683">
        <v>0</v>
      </c>
      <c r="O28" s="686"/>
      <c r="P28" s="683">
        <v>0</v>
      </c>
      <c r="Q28" s="687">
        <f t="shared" si="1"/>
        <v>0</v>
      </c>
      <c r="R28" s="688">
        <v>0</v>
      </c>
      <c r="S28" s="693"/>
      <c r="T28" s="690">
        <f t="shared" si="2"/>
        <v>0</v>
      </c>
      <c r="U28" s="683"/>
      <c r="V28" s="474">
        <f t="shared" si="3"/>
        <v>0</v>
      </c>
      <c r="W28" s="474">
        <f t="shared" si="4"/>
        <v>0</v>
      </c>
      <c r="X28" s="475">
        <f t="shared" si="5"/>
        <v>0</v>
      </c>
      <c r="Y28" s="475">
        <v>0</v>
      </c>
      <c r="Z28" s="476">
        <v>0</v>
      </c>
      <c r="AA28" s="38">
        <f t="shared" si="6"/>
        <v>0</v>
      </c>
      <c r="AB28" s="692">
        <f t="shared" si="13"/>
        <v>0</v>
      </c>
      <c r="AC28" s="692">
        <f t="shared" si="14"/>
        <v>0</v>
      </c>
      <c r="AD28" s="692">
        <f t="shared" si="15"/>
        <v>0</v>
      </c>
      <c r="AE28" s="38"/>
      <c r="AF28" s="692">
        <f t="shared" si="10"/>
        <v>0</v>
      </c>
      <c r="AG28" s="692">
        <f t="shared" si="11"/>
        <v>0</v>
      </c>
      <c r="AH28" s="692">
        <f t="shared" si="12"/>
        <v>0</v>
      </c>
      <c r="AJ28" s="38">
        <f t="shared" si="16"/>
        <v>0</v>
      </c>
    </row>
    <row r="29" spans="1:36">
      <c r="A29" s="20"/>
      <c r="B29" s="20" t="s">
        <v>109</v>
      </c>
      <c r="C29" s="667" t="s">
        <v>526</v>
      </c>
      <c r="D29" s="68" t="s">
        <v>385</v>
      </c>
      <c r="E29" s="679">
        <f>1189.71+1282.35</f>
        <v>2472.06</v>
      </c>
      <c r="F29" s="529">
        <f>VLOOKUP(D29,'Sept 2012 Revenue'!D:T,17,FALSE)</f>
        <v>1547.43</v>
      </c>
      <c r="G29" s="680"/>
      <c r="H29" s="680"/>
      <c r="I29" s="755"/>
      <c r="J29" s="682">
        <f t="shared" si="0"/>
        <v>4019.49</v>
      </c>
      <c r="K29" s="683"/>
      <c r="L29" s="684"/>
      <c r="M29" s="753"/>
      <c r="N29" s="683">
        <v>0</v>
      </c>
      <c r="O29" s="686"/>
      <c r="P29" s="683">
        <v>0</v>
      </c>
      <c r="Q29" s="687">
        <f t="shared" si="1"/>
        <v>0</v>
      </c>
      <c r="R29" s="688">
        <v>1569.65</v>
      </c>
      <c r="S29" s="693"/>
      <c r="T29" s="690">
        <f t="shared" si="2"/>
        <v>1569.65</v>
      </c>
      <c r="U29" s="691"/>
      <c r="V29" s="474">
        <f t="shared" si="3"/>
        <v>0</v>
      </c>
      <c r="W29" s="474">
        <f t="shared" si="4"/>
        <v>0</v>
      </c>
      <c r="X29" s="475">
        <f t="shared" si="5"/>
        <v>0</v>
      </c>
      <c r="Y29" s="475">
        <v>0</v>
      </c>
      <c r="Z29" s="476">
        <v>0</v>
      </c>
      <c r="AA29" s="38">
        <f t="shared" si="6"/>
        <v>0</v>
      </c>
      <c r="AB29" s="692">
        <f t="shared" si="13"/>
        <v>0</v>
      </c>
      <c r="AC29" s="692">
        <f t="shared" si="14"/>
        <v>4019.49</v>
      </c>
      <c r="AD29" s="692">
        <f t="shared" si="15"/>
        <v>0</v>
      </c>
      <c r="AE29" s="38"/>
      <c r="AF29" s="692">
        <f t="shared" si="10"/>
        <v>0</v>
      </c>
      <c r="AG29" s="692">
        <f t="shared" si="11"/>
        <v>0</v>
      </c>
      <c r="AH29" s="692">
        <f t="shared" si="12"/>
        <v>0</v>
      </c>
      <c r="AJ29" s="38">
        <f t="shared" si="16"/>
        <v>4019.49</v>
      </c>
    </row>
    <row r="30" spans="1:36" s="232" customFormat="1">
      <c r="A30" s="283"/>
      <c r="B30" s="283" t="s">
        <v>110</v>
      </c>
      <c r="C30" s="667" t="s">
        <v>527</v>
      </c>
      <c r="D30" s="123" t="s">
        <v>401</v>
      </c>
      <c r="E30" s="679"/>
      <c r="F30" s="529">
        <f>VLOOKUP(D30,'Sept 2012 Revenue'!D:T,17,FALSE)</f>
        <v>-43406.049999999988</v>
      </c>
      <c r="G30" s="680"/>
      <c r="H30" s="680"/>
      <c r="I30" s="755"/>
      <c r="J30" s="682">
        <f t="shared" si="0"/>
        <v>-43406.049999999988</v>
      </c>
      <c r="K30" s="683"/>
      <c r="L30" s="684"/>
      <c r="M30" s="753">
        <v>335000</v>
      </c>
      <c r="N30" s="683">
        <v>0</v>
      </c>
      <c r="O30" s="686"/>
      <c r="P30" s="683">
        <v>0</v>
      </c>
      <c r="Q30" s="687">
        <f t="shared" si="1"/>
        <v>335000</v>
      </c>
      <c r="R30" s="688">
        <v>374500.1</v>
      </c>
      <c r="S30" s="693"/>
      <c r="T30" s="690">
        <f t="shared" si="2"/>
        <v>39500.099999999977</v>
      </c>
      <c r="U30" s="683"/>
      <c r="V30" s="474">
        <f t="shared" si="3"/>
        <v>335000</v>
      </c>
      <c r="W30" s="474">
        <f t="shared" si="4"/>
        <v>0</v>
      </c>
      <c r="X30" s="475">
        <f t="shared" si="5"/>
        <v>0</v>
      </c>
      <c r="Y30" s="475">
        <v>0</v>
      </c>
      <c r="Z30" s="476">
        <v>0</v>
      </c>
      <c r="AA30" s="38">
        <f t="shared" si="6"/>
        <v>0</v>
      </c>
      <c r="AB30" s="692">
        <f t="shared" si="13"/>
        <v>-43406.049999999988</v>
      </c>
      <c r="AC30" s="692">
        <f t="shared" si="14"/>
        <v>0</v>
      </c>
      <c r="AD30" s="692">
        <f t="shared" si="15"/>
        <v>0</v>
      </c>
      <c r="AE30" s="38"/>
      <c r="AF30" s="692">
        <f t="shared" si="10"/>
        <v>335000</v>
      </c>
      <c r="AG30" s="692">
        <f t="shared" si="11"/>
        <v>0</v>
      </c>
      <c r="AH30" s="692">
        <f t="shared" si="12"/>
        <v>0</v>
      </c>
      <c r="AJ30" s="38">
        <f t="shared" si="16"/>
        <v>291593.95</v>
      </c>
    </row>
    <row r="31" spans="1:36" s="232" customFormat="1">
      <c r="A31" s="283"/>
      <c r="B31" s="283" t="s">
        <v>110</v>
      </c>
      <c r="C31" s="667" t="s">
        <v>528</v>
      </c>
      <c r="D31" s="123" t="s">
        <v>403</v>
      </c>
      <c r="E31" s="679"/>
      <c r="F31" s="529">
        <f>VLOOKUP(D31,'Sept 2012 Revenue'!D:T,17,FALSE)</f>
        <v>-1403.989999999998</v>
      </c>
      <c r="G31" s="680"/>
      <c r="H31" s="680"/>
      <c r="I31" s="755"/>
      <c r="J31" s="682">
        <f t="shared" si="0"/>
        <v>-1403.989999999998</v>
      </c>
      <c r="K31" s="683"/>
      <c r="L31" s="684"/>
      <c r="M31" s="753">
        <v>50000</v>
      </c>
      <c r="N31" s="683">
        <v>0</v>
      </c>
      <c r="O31" s="686"/>
      <c r="P31" s="683">
        <v>0</v>
      </c>
      <c r="Q31" s="687">
        <f t="shared" si="1"/>
        <v>50000</v>
      </c>
      <c r="R31" s="688">
        <v>52773.2</v>
      </c>
      <c r="S31" s="693"/>
      <c r="T31" s="690">
        <f t="shared" si="2"/>
        <v>2773.1999999999971</v>
      </c>
      <c r="U31" s="683"/>
      <c r="V31" s="474">
        <f t="shared" si="3"/>
        <v>50000</v>
      </c>
      <c r="W31" s="474">
        <f t="shared" si="4"/>
        <v>0</v>
      </c>
      <c r="X31" s="475">
        <f t="shared" si="5"/>
        <v>0</v>
      </c>
      <c r="Y31" s="475">
        <v>0</v>
      </c>
      <c r="Z31" s="476">
        <v>0</v>
      </c>
      <c r="AA31" s="38">
        <f t="shared" si="6"/>
        <v>0</v>
      </c>
      <c r="AB31" s="692">
        <f t="shared" si="13"/>
        <v>-1403.989999999998</v>
      </c>
      <c r="AC31" s="692">
        <f t="shared" si="14"/>
        <v>0</v>
      </c>
      <c r="AD31" s="692">
        <f t="shared" si="15"/>
        <v>0</v>
      </c>
      <c r="AE31" s="38"/>
      <c r="AF31" s="692">
        <f t="shared" si="10"/>
        <v>50000</v>
      </c>
      <c r="AG31" s="692">
        <f t="shared" si="11"/>
        <v>0</v>
      </c>
      <c r="AH31" s="692">
        <f t="shared" si="12"/>
        <v>0</v>
      </c>
      <c r="AJ31" s="38">
        <f t="shared" si="16"/>
        <v>48596.01</v>
      </c>
    </row>
    <row r="32" spans="1:36" s="232" customFormat="1">
      <c r="A32" s="283"/>
      <c r="B32" s="283" t="s">
        <v>110</v>
      </c>
      <c r="C32" s="667" t="s">
        <v>528</v>
      </c>
      <c r="D32" s="123" t="s">
        <v>404</v>
      </c>
      <c r="E32" s="679"/>
      <c r="F32" s="529">
        <f>VLOOKUP(D32,'Sept 2012 Revenue'!D:T,17,FALSE)</f>
        <v>-452.61000000000058</v>
      </c>
      <c r="G32" s="680"/>
      <c r="H32" s="680"/>
      <c r="I32" s="755"/>
      <c r="J32" s="682">
        <f t="shared" si="0"/>
        <v>-452.61000000000058</v>
      </c>
      <c r="K32" s="683"/>
      <c r="L32" s="684"/>
      <c r="M32" s="753">
        <v>65000</v>
      </c>
      <c r="N32" s="683">
        <v>0</v>
      </c>
      <c r="O32" s="686"/>
      <c r="P32" s="683">
        <v>0</v>
      </c>
      <c r="Q32" s="687">
        <f t="shared" si="1"/>
        <v>65000</v>
      </c>
      <c r="R32" s="688">
        <v>62990.69</v>
      </c>
      <c r="S32" s="693"/>
      <c r="T32" s="690">
        <f t="shared" si="2"/>
        <v>-2009.3099999999977</v>
      </c>
      <c r="U32" s="683"/>
      <c r="V32" s="474">
        <f t="shared" si="3"/>
        <v>65000</v>
      </c>
      <c r="W32" s="474">
        <f t="shared" si="4"/>
        <v>0</v>
      </c>
      <c r="X32" s="475">
        <f t="shared" si="5"/>
        <v>0</v>
      </c>
      <c r="Y32" s="475">
        <v>0</v>
      </c>
      <c r="Z32" s="476">
        <v>0</v>
      </c>
      <c r="AA32" s="38">
        <f t="shared" si="6"/>
        <v>0</v>
      </c>
      <c r="AB32" s="692">
        <f t="shared" si="13"/>
        <v>-452.61000000000058</v>
      </c>
      <c r="AC32" s="692">
        <f t="shared" si="14"/>
        <v>0</v>
      </c>
      <c r="AD32" s="692">
        <f t="shared" si="15"/>
        <v>0</v>
      </c>
      <c r="AE32" s="38"/>
      <c r="AF32" s="692">
        <f t="shared" si="10"/>
        <v>65000</v>
      </c>
      <c r="AG32" s="692">
        <f t="shared" si="11"/>
        <v>0</v>
      </c>
      <c r="AH32" s="692">
        <f t="shared" si="12"/>
        <v>0</v>
      </c>
      <c r="AJ32" s="38">
        <f t="shared" si="16"/>
        <v>64547.39</v>
      </c>
    </row>
    <row r="33" spans="1:36" s="232" customFormat="1">
      <c r="A33" s="283"/>
      <c r="B33" s="283" t="s">
        <v>110</v>
      </c>
      <c r="C33" s="667" t="s">
        <v>528</v>
      </c>
      <c r="D33" s="123" t="s">
        <v>405</v>
      </c>
      <c r="E33" s="679"/>
      <c r="F33" s="529">
        <f>VLOOKUP(D33,'Sept 2012 Revenue'!D:T,17,FALSE)</f>
        <v>-1048.1499999999996</v>
      </c>
      <c r="G33" s="680"/>
      <c r="H33" s="680"/>
      <c r="I33" s="755"/>
      <c r="J33" s="682">
        <f t="shared" si="0"/>
        <v>-1048.1499999999996</v>
      </c>
      <c r="K33" s="683"/>
      <c r="L33" s="684"/>
      <c r="M33" s="753">
        <v>12000</v>
      </c>
      <c r="N33" s="683">
        <v>0</v>
      </c>
      <c r="O33" s="686"/>
      <c r="P33" s="683">
        <v>0</v>
      </c>
      <c r="Q33" s="687">
        <f t="shared" si="1"/>
        <v>12000</v>
      </c>
      <c r="R33" s="688">
        <v>12206.85</v>
      </c>
      <c r="S33" s="693"/>
      <c r="T33" s="690">
        <f t="shared" si="2"/>
        <v>206.85000000000036</v>
      </c>
      <c r="U33" s="683"/>
      <c r="V33" s="474">
        <f t="shared" si="3"/>
        <v>12000</v>
      </c>
      <c r="W33" s="474">
        <f t="shared" si="4"/>
        <v>0</v>
      </c>
      <c r="X33" s="475">
        <f t="shared" si="5"/>
        <v>0</v>
      </c>
      <c r="Y33" s="475">
        <v>0</v>
      </c>
      <c r="Z33" s="476">
        <v>0</v>
      </c>
      <c r="AA33" s="38">
        <f t="shared" si="6"/>
        <v>0</v>
      </c>
      <c r="AB33" s="692">
        <f t="shared" si="13"/>
        <v>-1048.1499999999996</v>
      </c>
      <c r="AC33" s="692">
        <f t="shared" si="14"/>
        <v>0</v>
      </c>
      <c r="AD33" s="692">
        <f t="shared" si="15"/>
        <v>0</v>
      </c>
      <c r="AE33" s="38"/>
      <c r="AF33" s="692">
        <f t="shared" si="10"/>
        <v>12000</v>
      </c>
      <c r="AG33" s="692">
        <f t="shared" si="11"/>
        <v>0</v>
      </c>
      <c r="AH33" s="692">
        <f t="shared" si="12"/>
        <v>0</v>
      </c>
      <c r="AJ33" s="38">
        <f t="shared" si="16"/>
        <v>10951.85</v>
      </c>
    </row>
    <row r="34" spans="1:36" s="232" customFormat="1">
      <c r="A34" s="283"/>
      <c r="B34" s="283" t="s">
        <v>110</v>
      </c>
      <c r="C34" s="667" t="s">
        <v>528</v>
      </c>
      <c r="D34" s="123" t="s">
        <v>406</v>
      </c>
      <c r="E34" s="679"/>
      <c r="F34" s="529">
        <f>VLOOKUP(D34,'Sept 2012 Revenue'!D:T,17,FALSE)</f>
        <v>-320.94999999999982</v>
      </c>
      <c r="G34" s="680"/>
      <c r="H34" s="680"/>
      <c r="I34" s="755"/>
      <c r="J34" s="682">
        <f t="shared" si="0"/>
        <v>-320.94999999999982</v>
      </c>
      <c r="K34" s="683"/>
      <c r="L34" s="684"/>
      <c r="M34" s="753">
        <v>5000</v>
      </c>
      <c r="N34" s="683">
        <v>0</v>
      </c>
      <c r="O34" s="686"/>
      <c r="P34" s="683">
        <v>0</v>
      </c>
      <c r="Q34" s="687">
        <f t="shared" si="1"/>
        <v>5000</v>
      </c>
      <c r="R34" s="688">
        <v>4614.01</v>
      </c>
      <c r="S34" s="693"/>
      <c r="T34" s="690">
        <f t="shared" si="2"/>
        <v>-385.98999999999978</v>
      </c>
      <c r="U34" s="683"/>
      <c r="V34" s="474">
        <f t="shared" si="3"/>
        <v>5000</v>
      </c>
      <c r="W34" s="474">
        <f t="shared" si="4"/>
        <v>0</v>
      </c>
      <c r="X34" s="475">
        <f t="shared" si="5"/>
        <v>0</v>
      </c>
      <c r="Y34" s="475">
        <v>0</v>
      </c>
      <c r="Z34" s="476">
        <v>0</v>
      </c>
      <c r="AA34" s="38">
        <f t="shared" si="6"/>
        <v>0</v>
      </c>
      <c r="AB34" s="692">
        <f t="shared" si="13"/>
        <v>-320.94999999999982</v>
      </c>
      <c r="AC34" s="692">
        <f t="shared" si="14"/>
        <v>0</v>
      </c>
      <c r="AD34" s="692">
        <f t="shared" si="15"/>
        <v>0</v>
      </c>
      <c r="AE34" s="38"/>
      <c r="AF34" s="692">
        <f t="shared" si="10"/>
        <v>5000</v>
      </c>
      <c r="AG34" s="692">
        <f t="shared" si="11"/>
        <v>0</v>
      </c>
      <c r="AH34" s="692">
        <f t="shared" si="12"/>
        <v>0</v>
      </c>
      <c r="AJ34" s="38">
        <f t="shared" si="16"/>
        <v>4679.05</v>
      </c>
    </row>
    <row r="35" spans="1:36" s="232" customFormat="1">
      <c r="A35" s="283"/>
      <c r="B35" s="283" t="s">
        <v>110</v>
      </c>
      <c r="C35" s="667" t="s">
        <v>528</v>
      </c>
      <c r="D35" s="123" t="s">
        <v>407</v>
      </c>
      <c r="E35" s="679"/>
      <c r="F35" s="529">
        <f>VLOOKUP(D35,'Sept 2012 Revenue'!D:T,17,FALSE)</f>
        <v>158.76999999999998</v>
      </c>
      <c r="G35" s="680"/>
      <c r="H35" s="680"/>
      <c r="I35" s="755"/>
      <c r="J35" s="682">
        <f t="shared" si="0"/>
        <v>158.76999999999998</v>
      </c>
      <c r="K35" s="683"/>
      <c r="L35" s="684"/>
      <c r="M35" s="753">
        <v>2000</v>
      </c>
      <c r="N35" s="683">
        <v>0</v>
      </c>
      <c r="O35" s="686"/>
      <c r="P35" s="683">
        <v>0</v>
      </c>
      <c r="Q35" s="687">
        <f t="shared" si="1"/>
        <v>2000</v>
      </c>
      <c r="R35" s="688">
        <v>2178.0100000000002</v>
      </c>
      <c r="S35" s="693"/>
      <c r="T35" s="690">
        <f t="shared" si="2"/>
        <v>178.01000000000022</v>
      </c>
      <c r="U35" s="683"/>
      <c r="V35" s="474">
        <f t="shared" si="3"/>
        <v>2000</v>
      </c>
      <c r="W35" s="474">
        <f t="shared" si="4"/>
        <v>0</v>
      </c>
      <c r="X35" s="475">
        <f t="shared" si="5"/>
        <v>0</v>
      </c>
      <c r="Y35" s="475">
        <v>0</v>
      </c>
      <c r="Z35" s="476">
        <v>0</v>
      </c>
      <c r="AA35" s="38">
        <f t="shared" si="6"/>
        <v>0</v>
      </c>
      <c r="AB35" s="692">
        <f t="shared" si="13"/>
        <v>158.76999999999998</v>
      </c>
      <c r="AC35" s="692">
        <f t="shared" si="14"/>
        <v>0</v>
      </c>
      <c r="AD35" s="692">
        <f t="shared" si="15"/>
        <v>0</v>
      </c>
      <c r="AE35" s="38"/>
      <c r="AF35" s="692">
        <f t="shared" si="10"/>
        <v>2000</v>
      </c>
      <c r="AG35" s="692">
        <f t="shared" si="11"/>
        <v>0</v>
      </c>
      <c r="AH35" s="692">
        <f t="shared" si="12"/>
        <v>0</v>
      </c>
      <c r="AJ35" s="38">
        <f t="shared" si="16"/>
        <v>2158.77</v>
      </c>
    </row>
    <row r="36" spans="1:36" s="232" customFormat="1">
      <c r="A36" s="283"/>
      <c r="B36" s="283" t="s">
        <v>110</v>
      </c>
      <c r="C36" s="667" t="s">
        <v>528</v>
      </c>
      <c r="D36" s="123" t="s">
        <v>880</v>
      </c>
      <c r="E36" s="679"/>
      <c r="F36" s="529"/>
      <c r="G36" s="680"/>
      <c r="H36" s="680"/>
      <c r="I36" s="755"/>
      <c r="J36" s="682">
        <f t="shared" ref="J36" si="17">SUM(E36:I36)</f>
        <v>0</v>
      </c>
      <c r="K36" s="683"/>
      <c r="L36" s="684"/>
      <c r="M36" s="753"/>
      <c r="N36" s="683">
        <v>0</v>
      </c>
      <c r="O36" s="686"/>
      <c r="P36" s="683">
        <v>0</v>
      </c>
      <c r="Q36" s="687">
        <f t="shared" ref="Q36" si="18">L36+M36</f>
        <v>0</v>
      </c>
      <c r="R36" s="688">
        <v>1367.06</v>
      </c>
      <c r="S36" s="693"/>
      <c r="T36" s="690">
        <f t="shared" ref="T36" si="19">IF(R36="","",R36-Q36)</f>
        <v>1367.06</v>
      </c>
      <c r="U36" s="683"/>
      <c r="V36" s="474">
        <f t="shared" ref="V36" si="20">IF(B36="D",Q36,0)</f>
        <v>0</v>
      </c>
      <c r="W36" s="474">
        <f t="shared" ref="W36" si="21">IF(B36="M",Q36,0)</f>
        <v>0</v>
      </c>
      <c r="X36" s="475">
        <f t="shared" ref="X36" si="22">IF(B36="V",Q36,0)</f>
        <v>0</v>
      </c>
      <c r="Y36" s="475">
        <v>0</v>
      </c>
      <c r="Z36" s="476">
        <v>0</v>
      </c>
      <c r="AA36" s="38">
        <f t="shared" ref="AA36" si="23">(L36+M36)-(V36+W36+X36+Y36+Z36)</f>
        <v>0</v>
      </c>
      <c r="AB36" s="692">
        <f t="shared" ref="AB36" si="24">IF(B36="D",J36,0)</f>
        <v>0</v>
      </c>
      <c r="AC36" s="692">
        <f t="shared" ref="AC36" si="25">IF(B36="M",J36,0)</f>
        <v>0</v>
      </c>
      <c r="AD36" s="692">
        <f t="shared" ref="AD36" si="26">IF(B36="V",J36,0)</f>
        <v>0</v>
      </c>
      <c r="AE36" s="38"/>
      <c r="AF36" s="692">
        <f t="shared" ref="AF36" si="27">IF(B36="D",Q36,0)</f>
        <v>0</v>
      </c>
      <c r="AG36" s="692">
        <f t="shared" ref="AG36" si="28">IF(B36="M",Q36,0)</f>
        <v>0</v>
      </c>
      <c r="AH36" s="692">
        <f t="shared" ref="AH36" si="29">IF(B36="V",Q36,0)</f>
        <v>0</v>
      </c>
      <c r="AJ36" s="38">
        <f t="shared" ref="AJ36" si="30">SUM(AB36:AH36)</f>
        <v>0</v>
      </c>
    </row>
    <row r="37" spans="1:36" s="232" customFormat="1">
      <c r="A37" s="283"/>
      <c r="B37" s="283" t="s">
        <v>110</v>
      </c>
      <c r="C37" s="667" t="s">
        <v>528</v>
      </c>
      <c r="D37" s="123" t="s">
        <v>881</v>
      </c>
      <c r="E37" s="679"/>
      <c r="F37" s="529"/>
      <c r="G37" s="680"/>
      <c r="H37" s="680"/>
      <c r="I37" s="755"/>
      <c r="J37" s="682">
        <f t="shared" ref="J37" si="31">SUM(E37:I37)</f>
        <v>0</v>
      </c>
      <c r="K37" s="683"/>
      <c r="L37" s="684"/>
      <c r="M37" s="753"/>
      <c r="N37" s="683">
        <v>0</v>
      </c>
      <c r="O37" s="686"/>
      <c r="P37" s="683">
        <v>0</v>
      </c>
      <c r="Q37" s="687">
        <f t="shared" ref="Q37" si="32">L37+M37</f>
        <v>0</v>
      </c>
      <c r="R37" s="688">
        <v>1041.1400000000001</v>
      </c>
      <c r="S37" s="693"/>
      <c r="T37" s="690">
        <f t="shared" ref="T37" si="33">IF(R37="","",R37-Q37)</f>
        <v>1041.1400000000001</v>
      </c>
      <c r="U37" s="683"/>
      <c r="V37" s="474">
        <f t="shared" ref="V37" si="34">IF(B37="D",Q37,0)</f>
        <v>0</v>
      </c>
      <c r="W37" s="474">
        <f t="shared" ref="W37" si="35">IF(B37="M",Q37,0)</f>
        <v>0</v>
      </c>
      <c r="X37" s="475">
        <f t="shared" ref="X37" si="36">IF(B37="V",Q37,0)</f>
        <v>0</v>
      </c>
      <c r="Y37" s="475">
        <v>0</v>
      </c>
      <c r="Z37" s="476">
        <v>0</v>
      </c>
      <c r="AA37" s="38">
        <f t="shared" ref="AA37" si="37">(L37+M37)-(V37+W37+X37+Y37+Z37)</f>
        <v>0</v>
      </c>
      <c r="AB37" s="692">
        <f t="shared" ref="AB37" si="38">IF(B37="D",J37,0)</f>
        <v>0</v>
      </c>
      <c r="AC37" s="692">
        <f t="shared" ref="AC37" si="39">IF(B37="M",J37,0)</f>
        <v>0</v>
      </c>
      <c r="AD37" s="692">
        <f t="shared" ref="AD37" si="40">IF(B37="V",J37,0)</f>
        <v>0</v>
      </c>
      <c r="AE37" s="38"/>
      <c r="AF37" s="692">
        <f t="shared" ref="AF37" si="41">IF(B37="D",Q37,0)</f>
        <v>0</v>
      </c>
      <c r="AG37" s="692">
        <f t="shared" ref="AG37" si="42">IF(B37="M",Q37,0)</f>
        <v>0</v>
      </c>
      <c r="AH37" s="692">
        <f t="shared" ref="AH37" si="43">IF(B37="V",Q37,0)</f>
        <v>0</v>
      </c>
      <c r="AJ37" s="38">
        <f t="shared" ref="AJ37" si="44">SUM(AB37:AH37)</f>
        <v>0</v>
      </c>
    </row>
    <row r="38" spans="1:36" s="232" customFormat="1">
      <c r="A38" s="283"/>
      <c r="B38" s="283" t="s">
        <v>110</v>
      </c>
      <c r="C38" s="667" t="s">
        <v>528</v>
      </c>
      <c r="D38" s="123" t="s">
        <v>820</v>
      </c>
      <c r="E38" s="679">
        <v>9631.7099999999991</v>
      </c>
      <c r="F38" s="529">
        <f>VLOOKUP(D38,'Sept 2012 Revenue'!D:T,17,FALSE)</f>
        <v>-22000</v>
      </c>
      <c r="G38" s="680"/>
      <c r="H38" s="680"/>
      <c r="I38" s="755"/>
      <c r="J38" s="682">
        <f t="shared" si="0"/>
        <v>-12368.29</v>
      </c>
      <c r="K38" s="683"/>
      <c r="L38" s="684"/>
      <c r="M38" s="753">
        <v>20000</v>
      </c>
      <c r="N38" s="683">
        <v>0</v>
      </c>
      <c r="O38" s="686"/>
      <c r="P38" s="683">
        <v>0</v>
      </c>
      <c r="Q38" s="687">
        <f t="shared" si="1"/>
        <v>20000</v>
      </c>
      <c r="R38" s="688">
        <v>11789.65</v>
      </c>
      <c r="S38" s="693"/>
      <c r="T38" s="690">
        <f t="shared" si="2"/>
        <v>-8210.35</v>
      </c>
      <c r="U38" s="683"/>
      <c r="V38" s="474">
        <f t="shared" si="3"/>
        <v>20000</v>
      </c>
      <c r="W38" s="474">
        <f t="shared" si="4"/>
        <v>0</v>
      </c>
      <c r="X38" s="475">
        <f t="shared" si="5"/>
        <v>0</v>
      </c>
      <c r="Y38" s="475">
        <v>0</v>
      </c>
      <c r="Z38" s="476">
        <v>0</v>
      </c>
      <c r="AA38" s="38">
        <f t="shared" si="6"/>
        <v>0</v>
      </c>
      <c r="AB38" s="692">
        <f t="shared" si="13"/>
        <v>-12368.29</v>
      </c>
      <c r="AC38" s="692">
        <f t="shared" si="14"/>
        <v>0</v>
      </c>
      <c r="AD38" s="692">
        <f t="shared" si="15"/>
        <v>0</v>
      </c>
      <c r="AE38" s="38"/>
      <c r="AF38" s="692">
        <f t="shared" si="10"/>
        <v>20000</v>
      </c>
      <c r="AG38" s="692">
        <f t="shared" si="11"/>
        <v>0</v>
      </c>
      <c r="AH38" s="692">
        <f t="shared" si="12"/>
        <v>0</v>
      </c>
      <c r="AJ38" s="38">
        <f t="shared" si="16"/>
        <v>7631.7099999999991</v>
      </c>
    </row>
    <row r="39" spans="1:36" s="232" customFormat="1">
      <c r="A39" s="283"/>
      <c r="B39" s="283" t="s">
        <v>110</v>
      </c>
      <c r="C39" s="667" t="s">
        <v>527</v>
      </c>
      <c r="D39" s="123" t="s">
        <v>460</v>
      </c>
      <c r="E39" s="679"/>
      <c r="F39" s="529">
        <f>VLOOKUP(D39,'Sept 2012 Revenue'!D:T,17,FALSE)</f>
        <v>0</v>
      </c>
      <c r="G39" s="680"/>
      <c r="H39" s="680"/>
      <c r="I39" s="770">
        <v>33897.19</v>
      </c>
      <c r="J39" s="682">
        <f t="shared" si="0"/>
        <v>33897.19</v>
      </c>
      <c r="K39" s="683"/>
      <c r="L39" s="684"/>
      <c r="M39" s="753"/>
      <c r="N39" s="683">
        <v>0</v>
      </c>
      <c r="O39" s="686"/>
      <c r="P39" s="683">
        <v>0</v>
      </c>
      <c r="Q39" s="687">
        <f t="shared" si="1"/>
        <v>0</v>
      </c>
      <c r="R39" s="688">
        <v>0</v>
      </c>
      <c r="S39" s="693"/>
      <c r="T39" s="690">
        <f t="shared" si="2"/>
        <v>0</v>
      </c>
      <c r="U39" s="683"/>
      <c r="V39" s="474">
        <f t="shared" si="3"/>
        <v>0</v>
      </c>
      <c r="W39" s="474">
        <f t="shared" si="4"/>
        <v>0</v>
      </c>
      <c r="X39" s="475">
        <f t="shared" si="5"/>
        <v>0</v>
      </c>
      <c r="Y39" s="475">
        <v>0</v>
      </c>
      <c r="Z39" s="476">
        <v>0</v>
      </c>
      <c r="AA39" s="38">
        <f t="shared" si="6"/>
        <v>0</v>
      </c>
      <c r="AB39" s="692">
        <f t="shared" si="13"/>
        <v>33897.19</v>
      </c>
      <c r="AC39" s="692">
        <f t="shared" si="14"/>
        <v>0</v>
      </c>
      <c r="AD39" s="692">
        <f t="shared" si="15"/>
        <v>0</v>
      </c>
      <c r="AE39" s="38"/>
      <c r="AF39" s="692">
        <f t="shared" si="10"/>
        <v>0</v>
      </c>
      <c r="AG39" s="692">
        <f t="shared" si="11"/>
        <v>0</v>
      </c>
      <c r="AH39" s="692">
        <f t="shared" si="12"/>
        <v>0</v>
      </c>
      <c r="AJ39" s="38">
        <f t="shared" si="16"/>
        <v>33897.19</v>
      </c>
    </row>
    <row r="40" spans="1:36" s="232" customFormat="1">
      <c r="A40" s="283"/>
      <c r="B40" s="283" t="s">
        <v>110</v>
      </c>
      <c r="C40" s="676" t="s">
        <v>528</v>
      </c>
      <c r="D40" s="123" t="s">
        <v>623</v>
      </c>
      <c r="E40" s="679"/>
      <c r="F40" s="529">
        <f>VLOOKUP(D40,'Sept 2012 Revenue'!D:T,17,FALSE)</f>
        <v>0</v>
      </c>
      <c r="G40" s="680"/>
      <c r="H40" s="680"/>
      <c r="I40" s="770">
        <v>9198.43</v>
      </c>
      <c r="J40" s="682">
        <f t="shared" si="0"/>
        <v>9198.43</v>
      </c>
      <c r="K40" s="683"/>
      <c r="L40" s="684"/>
      <c r="M40" s="753"/>
      <c r="N40" s="683">
        <v>0</v>
      </c>
      <c r="O40" s="686"/>
      <c r="P40" s="683">
        <v>0</v>
      </c>
      <c r="Q40" s="687">
        <f t="shared" si="1"/>
        <v>0</v>
      </c>
      <c r="R40" s="688">
        <v>0</v>
      </c>
      <c r="S40" s="693"/>
      <c r="T40" s="690">
        <f t="shared" si="2"/>
        <v>0</v>
      </c>
      <c r="U40" s="683"/>
      <c r="V40" s="474">
        <f t="shared" si="3"/>
        <v>0</v>
      </c>
      <c r="W40" s="474">
        <f t="shared" si="4"/>
        <v>0</v>
      </c>
      <c r="X40" s="475">
        <f t="shared" si="5"/>
        <v>0</v>
      </c>
      <c r="Y40" s="475">
        <v>0</v>
      </c>
      <c r="Z40" s="476">
        <v>0</v>
      </c>
      <c r="AA40" s="38">
        <f t="shared" si="6"/>
        <v>0</v>
      </c>
      <c r="AB40" s="692">
        <f t="shared" si="13"/>
        <v>9198.43</v>
      </c>
      <c r="AC40" s="692">
        <f t="shared" si="14"/>
        <v>0</v>
      </c>
      <c r="AD40" s="692">
        <f t="shared" si="15"/>
        <v>0</v>
      </c>
      <c r="AE40" s="38"/>
      <c r="AF40" s="692">
        <f t="shared" si="10"/>
        <v>0</v>
      </c>
      <c r="AG40" s="692">
        <f t="shared" si="11"/>
        <v>0</v>
      </c>
      <c r="AH40" s="692">
        <f t="shared" si="12"/>
        <v>0</v>
      </c>
      <c r="AJ40" s="38">
        <f t="shared" si="16"/>
        <v>9198.43</v>
      </c>
    </row>
    <row r="41" spans="1:36" s="232" customFormat="1">
      <c r="A41" s="403"/>
      <c r="B41" s="403" t="s">
        <v>114</v>
      </c>
      <c r="C41" s="666" t="s">
        <v>529</v>
      </c>
      <c r="D41" s="123" t="s">
        <v>108</v>
      </c>
      <c r="E41" s="679"/>
      <c r="F41" s="529">
        <f>VLOOKUP(D41,'Sept 2012 Revenue'!D:T,17,FALSE)</f>
        <v>-278.21000000000004</v>
      </c>
      <c r="G41" s="680"/>
      <c r="H41" s="680"/>
      <c r="I41" s="755"/>
      <c r="J41" s="682">
        <f t="shared" si="0"/>
        <v>-278.21000000000004</v>
      </c>
      <c r="K41" s="683"/>
      <c r="L41" s="684"/>
      <c r="M41" s="753">
        <v>5000</v>
      </c>
      <c r="N41" s="683">
        <v>0</v>
      </c>
      <c r="O41" s="686"/>
      <c r="P41" s="683">
        <v>0</v>
      </c>
      <c r="Q41" s="687">
        <f t="shared" si="1"/>
        <v>5000</v>
      </c>
      <c r="R41" s="688">
        <v>4638.8599999999997</v>
      </c>
      <c r="S41" s="693"/>
      <c r="T41" s="690">
        <f t="shared" si="2"/>
        <v>-361.14000000000033</v>
      </c>
      <c r="U41" s="683"/>
      <c r="V41" s="474">
        <f t="shared" si="3"/>
        <v>0</v>
      </c>
      <c r="W41" s="474">
        <f t="shared" si="4"/>
        <v>0</v>
      </c>
      <c r="X41" s="475">
        <f t="shared" si="5"/>
        <v>5000</v>
      </c>
      <c r="Y41" s="475">
        <v>0</v>
      </c>
      <c r="Z41" s="476">
        <v>0</v>
      </c>
      <c r="AA41" s="38">
        <f t="shared" si="6"/>
        <v>0</v>
      </c>
      <c r="AB41" s="692">
        <f t="shared" si="13"/>
        <v>0</v>
      </c>
      <c r="AC41" s="692">
        <f t="shared" si="14"/>
        <v>0</v>
      </c>
      <c r="AD41" s="692">
        <f t="shared" si="15"/>
        <v>-278.21000000000004</v>
      </c>
      <c r="AE41" s="38"/>
      <c r="AF41" s="692">
        <f t="shared" si="10"/>
        <v>0</v>
      </c>
      <c r="AG41" s="692">
        <f t="shared" si="11"/>
        <v>0</v>
      </c>
      <c r="AH41" s="692">
        <f t="shared" si="12"/>
        <v>5000</v>
      </c>
      <c r="AJ41" s="38">
        <f t="shared" si="16"/>
        <v>4721.79</v>
      </c>
    </row>
    <row r="42" spans="1:36">
      <c r="A42" s="21"/>
      <c r="B42" s="21" t="s">
        <v>110</v>
      </c>
      <c r="C42" s="666"/>
      <c r="D42" s="68" t="s">
        <v>234</v>
      </c>
      <c r="E42" s="679"/>
      <c r="F42" s="529">
        <f>VLOOKUP(D42,'Sept 2012 Revenue'!D:T,17,FALSE)</f>
        <v>-5000</v>
      </c>
      <c r="G42" s="680"/>
      <c r="H42" s="680"/>
      <c r="I42" s="755"/>
      <c r="J42" s="682">
        <f t="shared" si="0"/>
        <v>-5000</v>
      </c>
      <c r="K42" s="683"/>
      <c r="L42" s="684"/>
      <c r="M42" s="753">
        <v>7000</v>
      </c>
      <c r="N42" s="683">
        <v>0</v>
      </c>
      <c r="O42" s="686"/>
      <c r="P42" s="683">
        <v>0</v>
      </c>
      <c r="Q42" s="687">
        <f t="shared" si="1"/>
        <v>7000</v>
      </c>
      <c r="R42" s="688">
        <v>6633.9</v>
      </c>
      <c r="S42" s="693"/>
      <c r="T42" s="690">
        <f t="shared" si="2"/>
        <v>-366.10000000000036</v>
      </c>
      <c r="U42" s="683"/>
      <c r="V42" s="474">
        <f t="shared" si="3"/>
        <v>7000</v>
      </c>
      <c r="W42" s="474">
        <f t="shared" si="4"/>
        <v>0</v>
      </c>
      <c r="X42" s="475">
        <f t="shared" si="5"/>
        <v>0</v>
      </c>
      <c r="Y42" s="475">
        <v>0</v>
      </c>
      <c r="Z42" s="476">
        <v>0</v>
      </c>
      <c r="AA42" s="38">
        <f t="shared" si="6"/>
        <v>0</v>
      </c>
      <c r="AB42" s="692">
        <f t="shared" si="13"/>
        <v>-5000</v>
      </c>
      <c r="AC42" s="692">
        <f t="shared" si="14"/>
        <v>0</v>
      </c>
      <c r="AD42" s="692">
        <f t="shared" si="15"/>
        <v>0</v>
      </c>
      <c r="AE42" s="38"/>
      <c r="AF42" s="692">
        <f t="shared" si="10"/>
        <v>7000</v>
      </c>
      <c r="AG42" s="692">
        <f t="shared" si="11"/>
        <v>0</v>
      </c>
      <c r="AH42" s="692">
        <f t="shared" si="12"/>
        <v>0</v>
      </c>
      <c r="AJ42" s="38">
        <f t="shared" si="16"/>
        <v>2000</v>
      </c>
    </row>
    <row r="43" spans="1:36">
      <c r="A43" s="20"/>
      <c r="B43" s="20" t="s">
        <v>109</v>
      </c>
      <c r="C43" s="667"/>
      <c r="D43" s="68" t="s">
        <v>598</v>
      </c>
      <c r="E43" s="679">
        <f>2005.39+2083.83</f>
        <v>4089.2200000000003</v>
      </c>
      <c r="F43" s="529">
        <f>VLOOKUP(D43,'Sept 2012 Revenue'!D:T,17,FALSE)</f>
        <v>0</v>
      </c>
      <c r="G43" s="680"/>
      <c r="H43" s="680"/>
      <c r="I43" s="755"/>
      <c r="J43" s="682">
        <f t="shared" si="0"/>
        <v>4089.2200000000003</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13"/>
        <v>0</v>
      </c>
      <c r="AC43" s="692">
        <f t="shared" si="14"/>
        <v>4089.2200000000003</v>
      </c>
      <c r="AD43" s="692">
        <f t="shared" si="15"/>
        <v>0</v>
      </c>
      <c r="AE43" s="38"/>
      <c r="AF43" s="692">
        <f t="shared" si="10"/>
        <v>0</v>
      </c>
      <c r="AG43" s="692">
        <f t="shared" si="11"/>
        <v>0</v>
      </c>
      <c r="AH43" s="692">
        <f t="shared" si="12"/>
        <v>0</v>
      </c>
      <c r="AJ43" s="38">
        <f t="shared" si="16"/>
        <v>4089.2200000000003</v>
      </c>
    </row>
    <row r="44" spans="1:36">
      <c r="A44" s="20"/>
      <c r="B44" s="20" t="s">
        <v>110</v>
      </c>
      <c r="C44" s="667"/>
      <c r="D44" s="68" t="s">
        <v>311</v>
      </c>
      <c r="E44" s="679">
        <v>45.11</v>
      </c>
      <c r="F44" s="529">
        <f>VLOOKUP(D44,'Sept 2012 Revenue'!D:T,17,FALSE)</f>
        <v>0</v>
      </c>
      <c r="G44" s="680"/>
      <c r="H44" s="680"/>
      <c r="I44" s="755"/>
      <c r="J44" s="682">
        <f t="shared" si="0"/>
        <v>45.11</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13"/>
        <v>45.11</v>
      </c>
      <c r="AC44" s="692">
        <f t="shared" si="14"/>
        <v>0</v>
      </c>
      <c r="AD44" s="692">
        <f t="shared" si="15"/>
        <v>0</v>
      </c>
      <c r="AE44" s="38"/>
      <c r="AF44" s="692">
        <f t="shared" si="10"/>
        <v>0</v>
      </c>
      <c r="AG44" s="692">
        <f t="shared" si="11"/>
        <v>0</v>
      </c>
      <c r="AH44" s="692">
        <f t="shared" si="12"/>
        <v>0</v>
      </c>
      <c r="AJ44" s="38">
        <f t="shared" si="16"/>
        <v>45.11</v>
      </c>
    </row>
    <row r="45" spans="1:36">
      <c r="A45" s="20"/>
      <c r="B45" s="20" t="s">
        <v>110</v>
      </c>
      <c r="C45" s="667"/>
      <c r="D45" s="68" t="s">
        <v>451</v>
      </c>
      <c r="E45" s="679"/>
      <c r="F45" s="529">
        <f>VLOOKUP(D45,'Sept 2012 Revenue'!D:T,17,FALSE)</f>
        <v>0</v>
      </c>
      <c r="G45" s="680"/>
      <c r="H45" s="680"/>
      <c r="I45" s="755"/>
      <c r="J45" s="682">
        <f t="shared" si="0"/>
        <v>0</v>
      </c>
      <c r="K45" s="683"/>
      <c r="L45" s="684"/>
      <c r="M45" s="753"/>
      <c r="N45" s="683">
        <v>0</v>
      </c>
      <c r="O45" s="686"/>
      <c r="P45" s="683">
        <v>0</v>
      </c>
      <c r="Q45" s="687">
        <f t="shared" si="1"/>
        <v>0</v>
      </c>
      <c r="R45" s="688">
        <v>0</v>
      </c>
      <c r="S45" s="693"/>
      <c r="T45" s="690">
        <f t="shared" si="2"/>
        <v>0</v>
      </c>
      <c r="U45" s="683"/>
      <c r="V45" s="474">
        <f t="shared" si="3"/>
        <v>0</v>
      </c>
      <c r="W45" s="474">
        <f t="shared" si="4"/>
        <v>0</v>
      </c>
      <c r="X45" s="475">
        <f t="shared" si="5"/>
        <v>0</v>
      </c>
      <c r="Y45" s="475">
        <v>0</v>
      </c>
      <c r="Z45" s="476">
        <v>0</v>
      </c>
      <c r="AA45" s="38">
        <f t="shared" si="6"/>
        <v>0</v>
      </c>
      <c r="AB45" s="692">
        <f t="shared" si="13"/>
        <v>0</v>
      </c>
      <c r="AC45" s="692">
        <f t="shared" si="14"/>
        <v>0</v>
      </c>
      <c r="AD45" s="692">
        <f t="shared" si="15"/>
        <v>0</v>
      </c>
      <c r="AE45" s="38"/>
      <c r="AF45" s="692">
        <f t="shared" si="10"/>
        <v>0</v>
      </c>
      <c r="AG45" s="692">
        <f t="shared" si="11"/>
        <v>0</v>
      </c>
      <c r="AH45" s="692">
        <f t="shared" si="12"/>
        <v>0</v>
      </c>
      <c r="AJ45" s="38">
        <f t="shared" si="16"/>
        <v>0</v>
      </c>
    </row>
    <row r="46" spans="1:36">
      <c r="A46" s="20"/>
      <c r="B46" s="20" t="s">
        <v>109</v>
      </c>
      <c r="C46" s="667"/>
      <c r="D46" s="68" t="s">
        <v>469</v>
      </c>
      <c r="E46" s="679"/>
      <c r="F46" s="529">
        <f>VLOOKUP(D46,'Sept 2012 Revenue'!D:T,17,FALSE)</f>
        <v>0</v>
      </c>
      <c r="G46" s="680"/>
      <c r="H46" s="680"/>
      <c r="I46" s="755"/>
      <c r="J46" s="682">
        <f t="shared" si="0"/>
        <v>0</v>
      </c>
      <c r="K46" s="683"/>
      <c r="L46" s="684"/>
      <c r="M46" s="753"/>
      <c r="N46" s="683">
        <v>0</v>
      </c>
      <c r="O46" s="686"/>
      <c r="P46" s="683">
        <v>0</v>
      </c>
      <c r="Q46" s="687">
        <f t="shared" si="1"/>
        <v>0</v>
      </c>
      <c r="R46" s="688">
        <v>0</v>
      </c>
      <c r="S46" s="693"/>
      <c r="T46" s="690">
        <f t="shared" si="2"/>
        <v>0</v>
      </c>
      <c r="U46" s="683"/>
      <c r="V46" s="474">
        <f t="shared" si="3"/>
        <v>0</v>
      </c>
      <c r="W46" s="474">
        <f t="shared" si="4"/>
        <v>0</v>
      </c>
      <c r="X46" s="475">
        <f t="shared" si="5"/>
        <v>0</v>
      </c>
      <c r="Y46" s="475">
        <v>0</v>
      </c>
      <c r="Z46" s="476">
        <v>0</v>
      </c>
      <c r="AA46" s="38">
        <f t="shared" si="6"/>
        <v>0</v>
      </c>
      <c r="AB46" s="692">
        <f t="shared" si="13"/>
        <v>0</v>
      </c>
      <c r="AC46" s="692">
        <f t="shared" si="14"/>
        <v>0</v>
      </c>
      <c r="AD46" s="692">
        <f t="shared" si="15"/>
        <v>0</v>
      </c>
      <c r="AE46" s="38"/>
      <c r="AF46" s="692">
        <f t="shared" si="10"/>
        <v>0</v>
      </c>
      <c r="AG46" s="692">
        <f t="shared" si="11"/>
        <v>0</v>
      </c>
      <c r="AH46" s="692">
        <f t="shared" si="12"/>
        <v>0</v>
      </c>
      <c r="AJ46" s="38">
        <f t="shared" si="16"/>
        <v>0</v>
      </c>
    </row>
    <row r="47" spans="1:36">
      <c r="A47" s="20"/>
      <c r="B47" s="20" t="s">
        <v>110</v>
      </c>
      <c r="C47" s="667" t="s">
        <v>530</v>
      </c>
      <c r="D47" s="68" t="s">
        <v>69</v>
      </c>
      <c r="E47" s="679">
        <v>2134.0500000000002</v>
      </c>
      <c r="F47" s="529">
        <f>VLOOKUP(D47,'Sept 2012 Revenue'!D:T,17,FALSE)</f>
        <v>2699.76</v>
      </c>
      <c r="G47" s="680"/>
      <c r="H47" s="680"/>
      <c r="I47" s="755"/>
      <c r="J47" s="682">
        <f t="shared" si="0"/>
        <v>4833.8100000000004</v>
      </c>
      <c r="K47" s="683"/>
      <c r="L47" s="684"/>
      <c r="M47" s="753"/>
      <c r="N47" s="683">
        <v>0</v>
      </c>
      <c r="O47" s="686"/>
      <c r="P47" s="683">
        <v>0</v>
      </c>
      <c r="Q47" s="687">
        <f t="shared" si="1"/>
        <v>0</v>
      </c>
      <c r="R47" s="688">
        <v>2651.11</v>
      </c>
      <c r="S47" s="693"/>
      <c r="T47" s="690">
        <f t="shared" si="2"/>
        <v>2651.11</v>
      </c>
      <c r="U47" s="683"/>
      <c r="V47" s="474">
        <f t="shared" si="3"/>
        <v>0</v>
      </c>
      <c r="W47" s="474">
        <f t="shared" si="4"/>
        <v>0</v>
      </c>
      <c r="X47" s="475">
        <f t="shared" si="5"/>
        <v>0</v>
      </c>
      <c r="Y47" s="475">
        <v>0</v>
      </c>
      <c r="Z47" s="476">
        <v>0</v>
      </c>
      <c r="AA47" s="38">
        <f t="shared" si="6"/>
        <v>0</v>
      </c>
      <c r="AB47" s="692">
        <f t="shared" si="13"/>
        <v>4833.8100000000004</v>
      </c>
      <c r="AC47" s="692">
        <f t="shared" si="14"/>
        <v>0</v>
      </c>
      <c r="AD47" s="692">
        <f t="shared" si="15"/>
        <v>0</v>
      </c>
      <c r="AE47" s="38"/>
      <c r="AF47" s="692">
        <f t="shared" si="10"/>
        <v>0</v>
      </c>
      <c r="AG47" s="692">
        <f t="shared" si="11"/>
        <v>0</v>
      </c>
      <c r="AH47" s="692">
        <f t="shared" si="12"/>
        <v>0</v>
      </c>
      <c r="AJ47" s="38">
        <f t="shared" si="16"/>
        <v>4833.8100000000004</v>
      </c>
    </row>
    <row r="48" spans="1:36">
      <c r="A48" s="20"/>
      <c r="B48" s="20" t="s">
        <v>110</v>
      </c>
      <c r="C48" s="667" t="s">
        <v>531</v>
      </c>
      <c r="D48" s="68" t="s">
        <v>237</v>
      </c>
      <c r="E48" s="679"/>
      <c r="F48" s="529">
        <f>VLOOKUP(D48,'Sept 2012 Revenue'!D:T,17,FALSE)</f>
        <v>-1282.92</v>
      </c>
      <c r="G48" s="680"/>
      <c r="H48" s="680"/>
      <c r="I48" s="755"/>
      <c r="J48" s="682">
        <f t="shared" si="0"/>
        <v>-1282.92</v>
      </c>
      <c r="K48" s="683"/>
      <c r="L48" s="684"/>
      <c r="M48" s="753">
        <v>14000</v>
      </c>
      <c r="N48" s="683">
        <v>0</v>
      </c>
      <c r="O48" s="686"/>
      <c r="P48" s="683">
        <v>0</v>
      </c>
      <c r="Q48" s="687">
        <f t="shared" si="1"/>
        <v>14000</v>
      </c>
      <c r="R48" s="688">
        <v>12475.41</v>
      </c>
      <c r="S48" s="693"/>
      <c r="T48" s="690">
        <f t="shared" si="2"/>
        <v>-1524.5900000000001</v>
      </c>
      <c r="U48" s="683"/>
      <c r="V48" s="474">
        <f t="shared" si="3"/>
        <v>14000</v>
      </c>
      <c r="W48" s="474">
        <f t="shared" si="4"/>
        <v>0</v>
      </c>
      <c r="X48" s="475">
        <f t="shared" si="5"/>
        <v>0</v>
      </c>
      <c r="Y48" s="475">
        <v>0</v>
      </c>
      <c r="Z48" s="476">
        <v>0</v>
      </c>
      <c r="AA48" s="38">
        <f t="shared" si="6"/>
        <v>0</v>
      </c>
      <c r="AB48" s="692">
        <f t="shared" si="13"/>
        <v>-1282.92</v>
      </c>
      <c r="AC48" s="692">
        <f t="shared" si="14"/>
        <v>0</v>
      </c>
      <c r="AD48" s="692">
        <f t="shared" si="15"/>
        <v>0</v>
      </c>
      <c r="AE48" s="38"/>
      <c r="AF48" s="692">
        <f t="shared" si="10"/>
        <v>14000</v>
      </c>
      <c r="AG48" s="692">
        <f t="shared" si="11"/>
        <v>0</v>
      </c>
      <c r="AH48" s="692">
        <f t="shared" si="12"/>
        <v>0</v>
      </c>
      <c r="AJ48" s="38">
        <f t="shared" si="16"/>
        <v>12717.08</v>
      </c>
    </row>
    <row r="49" spans="1:36">
      <c r="A49" s="20" t="s">
        <v>211</v>
      </c>
      <c r="B49" s="20" t="s">
        <v>110</v>
      </c>
      <c r="C49" s="667" t="s">
        <v>532</v>
      </c>
      <c r="D49" s="68" t="s">
        <v>7</v>
      </c>
      <c r="E49" s="679"/>
      <c r="F49" s="529">
        <f>VLOOKUP(D49,'Sept 2012 Revenue'!D:T,17,FALSE)</f>
        <v>-7147.9700000000012</v>
      </c>
      <c r="G49" s="680"/>
      <c r="H49" s="680"/>
      <c r="I49" s="755"/>
      <c r="J49" s="682">
        <f t="shared" si="0"/>
        <v>-7147.9700000000012</v>
      </c>
      <c r="K49" s="683"/>
      <c r="L49" s="684"/>
      <c r="M49" s="753">
        <v>10000</v>
      </c>
      <c r="N49" s="683">
        <v>0</v>
      </c>
      <c r="O49" s="686"/>
      <c r="P49" s="683">
        <v>0</v>
      </c>
      <c r="Q49" s="687">
        <f t="shared" si="1"/>
        <v>10000</v>
      </c>
      <c r="R49" s="688">
        <v>0</v>
      </c>
      <c r="S49" s="693"/>
      <c r="T49" s="690">
        <f t="shared" si="2"/>
        <v>-10000</v>
      </c>
      <c r="U49" s="697"/>
      <c r="V49" s="474">
        <f t="shared" si="3"/>
        <v>10000</v>
      </c>
      <c r="W49" s="474">
        <f t="shared" si="4"/>
        <v>0</v>
      </c>
      <c r="X49" s="475">
        <f t="shared" si="5"/>
        <v>0</v>
      </c>
      <c r="Y49" s="475">
        <v>0</v>
      </c>
      <c r="Z49" s="476">
        <v>0</v>
      </c>
      <c r="AA49" s="38">
        <f t="shared" si="6"/>
        <v>0</v>
      </c>
      <c r="AB49" s="692">
        <f t="shared" si="13"/>
        <v>-7147.9700000000012</v>
      </c>
      <c r="AC49" s="692">
        <f t="shared" si="14"/>
        <v>0</v>
      </c>
      <c r="AD49" s="692">
        <f t="shared" si="15"/>
        <v>0</v>
      </c>
      <c r="AE49" s="38"/>
      <c r="AF49" s="692">
        <f t="shared" si="10"/>
        <v>10000</v>
      </c>
      <c r="AG49" s="692">
        <f t="shared" si="11"/>
        <v>0</v>
      </c>
      <c r="AH49" s="692">
        <f t="shared" si="12"/>
        <v>0</v>
      </c>
      <c r="AJ49" s="38">
        <f t="shared" si="16"/>
        <v>2852.0299999999988</v>
      </c>
    </row>
    <row r="50" spans="1:36" s="232" customFormat="1">
      <c r="A50" s="283" t="s">
        <v>97</v>
      </c>
      <c r="B50" s="283" t="s">
        <v>109</v>
      </c>
      <c r="C50" s="667" t="s">
        <v>533</v>
      </c>
      <c r="D50" s="123" t="s">
        <v>415</v>
      </c>
      <c r="E50" s="679"/>
      <c r="F50" s="529">
        <f>VLOOKUP(D50,'Sept 2012 Revenue'!D:T,17,FALSE)</f>
        <v>0</v>
      </c>
      <c r="G50" s="680"/>
      <c r="H50" s="680"/>
      <c r="I50" s="755"/>
      <c r="J50" s="682">
        <f t="shared" si="0"/>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13"/>
        <v>0</v>
      </c>
      <c r="AC50" s="692">
        <f t="shared" si="14"/>
        <v>0</v>
      </c>
      <c r="AD50" s="692">
        <f t="shared" si="15"/>
        <v>0</v>
      </c>
      <c r="AE50" s="38"/>
      <c r="AF50" s="692">
        <f t="shared" si="10"/>
        <v>0</v>
      </c>
      <c r="AG50" s="692">
        <f t="shared" si="11"/>
        <v>0</v>
      </c>
      <c r="AH50" s="692">
        <f t="shared" si="12"/>
        <v>0</v>
      </c>
      <c r="AJ50" s="38">
        <f t="shared" si="16"/>
        <v>0</v>
      </c>
    </row>
    <row r="51" spans="1:36" s="232" customFormat="1">
      <c r="A51" s="283"/>
      <c r="B51" s="283" t="s">
        <v>109</v>
      </c>
      <c r="C51" s="667" t="s">
        <v>533</v>
      </c>
      <c r="D51" s="123" t="s">
        <v>416</v>
      </c>
      <c r="E51" s="679"/>
      <c r="F51" s="529">
        <f>VLOOKUP(D51,'Sept 2012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13"/>
        <v>0</v>
      </c>
      <c r="AC51" s="692">
        <f t="shared" si="14"/>
        <v>0</v>
      </c>
      <c r="AD51" s="692">
        <f t="shared" si="15"/>
        <v>0</v>
      </c>
      <c r="AE51" s="38"/>
      <c r="AF51" s="692">
        <f t="shared" si="10"/>
        <v>0</v>
      </c>
      <c r="AG51" s="692">
        <f t="shared" si="11"/>
        <v>0</v>
      </c>
      <c r="AH51" s="692">
        <f t="shared" si="12"/>
        <v>0</v>
      </c>
      <c r="AJ51" s="38">
        <f t="shared" si="16"/>
        <v>0</v>
      </c>
    </row>
    <row r="52" spans="1:36" s="232" customFormat="1">
      <c r="A52" s="283"/>
      <c r="B52" s="283" t="s">
        <v>109</v>
      </c>
      <c r="C52" s="667" t="s">
        <v>533</v>
      </c>
      <c r="D52" s="123" t="s">
        <v>417</v>
      </c>
      <c r="E52" s="679"/>
      <c r="F52" s="529">
        <f>VLOOKUP(D52,'Sept 2012 Revenue'!D:T,17,FALSE)</f>
        <v>0</v>
      </c>
      <c r="G52" s="680"/>
      <c r="H52" s="680"/>
      <c r="I52" s="755"/>
      <c r="J52" s="682">
        <f t="shared" si="0"/>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13"/>
        <v>0</v>
      </c>
      <c r="AC52" s="692">
        <f t="shared" si="14"/>
        <v>0</v>
      </c>
      <c r="AD52" s="692">
        <f t="shared" si="15"/>
        <v>0</v>
      </c>
      <c r="AE52" s="38"/>
      <c r="AF52" s="692">
        <f t="shared" si="10"/>
        <v>0</v>
      </c>
      <c r="AG52" s="692">
        <f t="shared" si="11"/>
        <v>0</v>
      </c>
      <c r="AH52" s="692">
        <f t="shared" si="12"/>
        <v>0</v>
      </c>
      <c r="AJ52" s="38">
        <f t="shared" si="16"/>
        <v>0</v>
      </c>
    </row>
    <row r="53" spans="1:36" s="232" customFormat="1">
      <c r="A53" s="283"/>
      <c r="B53" s="283" t="s">
        <v>109</v>
      </c>
      <c r="C53" s="667" t="s">
        <v>533</v>
      </c>
      <c r="D53" s="123" t="s">
        <v>418</v>
      </c>
      <c r="E53" s="679"/>
      <c r="F53" s="529">
        <f>VLOOKUP(D53,'Sept 2012 Revenue'!D:T,17,FALSE)</f>
        <v>0</v>
      </c>
      <c r="G53" s="680"/>
      <c r="H53" s="680"/>
      <c r="I53" s="755"/>
      <c r="J53" s="682">
        <f t="shared" si="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13"/>
        <v>0</v>
      </c>
      <c r="AC53" s="692">
        <f t="shared" si="14"/>
        <v>0</v>
      </c>
      <c r="AD53" s="692">
        <f t="shared" si="15"/>
        <v>0</v>
      </c>
      <c r="AE53" s="38"/>
      <c r="AF53" s="692">
        <f t="shared" si="10"/>
        <v>0</v>
      </c>
      <c r="AG53" s="692">
        <f t="shared" si="11"/>
        <v>0</v>
      </c>
      <c r="AH53" s="692">
        <f t="shared" si="12"/>
        <v>0</v>
      </c>
      <c r="AJ53" s="38">
        <f t="shared" si="16"/>
        <v>0</v>
      </c>
    </row>
    <row r="54" spans="1:36">
      <c r="A54" s="20" t="s">
        <v>211</v>
      </c>
      <c r="B54" s="20" t="s">
        <v>109</v>
      </c>
      <c r="C54" s="667" t="s">
        <v>534</v>
      </c>
      <c r="D54" s="68" t="s">
        <v>9</v>
      </c>
      <c r="E54" s="679">
        <f>5985.08+8112.91</f>
        <v>14097.99</v>
      </c>
      <c r="F54" s="529">
        <f>VLOOKUP(D54,'Sept 2012 Revenue'!D:T,17,FALSE)</f>
        <v>-5000</v>
      </c>
      <c r="G54" s="680"/>
      <c r="H54" s="680"/>
      <c r="I54" s="755"/>
      <c r="J54" s="682">
        <f t="shared" si="0"/>
        <v>9097.99</v>
      </c>
      <c r="K54" s="683"/>
      <c r="L54" s="684"/>
      <c r="M54" s="753">
        <v>9000</v>
      </c>
      <c r="N54" s="683">
        <v>0</v>
      </c>
      <c r="O54" s="686"/>
      <c r="P54" s="683">
        <v>0</v>
      </c>
      <c r="Q54" s="687">
        <f t="shared" si="1"/>
        <v>9000</v>
      </c>
      <c r="R54" s="688">
        <v>0</v>
      </c>
      <c r="S54" s="693"/>
      <c r="T54" s="690">
        <f t="shared" si="2"/>
        <v>-9000</v>
      </c>
      <c r="U54" s="697"/>
      <c r="V54" s="474">
        <f t="shared" si="3"/>
        <v>0</v>
      </c>
      <c r="W54" s="474">
        <f t="shared" si="4"/>
        <v>9000</v>
      </c>
      <c r="X54" s="475">
        <f t="shared" si="5"/>
        <v>0</v>
      </c>
      <c r="Y54" s="475">
        <v>0</v>
      </c>
      <c r="Z54" s="476">
        <v>0</v>
      </c>
      <c r="AA54" s="38">
        <f t="shared" si="6"/>
        <v>0</v>
      </c>
      <c r="AB54" s="692">
        <f t="shared" si="13"/>
        <v>0</v>
      </c>
      <c r="AC54" s="692">
        <f t="shared" si="14"/>
        <v>9097.99</v>
      </c>
      <c r="AD54" s="692">
        <f t="shared" si="15"/>
        <v>0</v>
      </c>
      <c r="AE54" s="38"/>
      <c r="AF54" s="692">
        <f t="shared" si="10"/>
        <v>0</v>
      </c>
      <c r="AG54" s="692">
        <f t="shared" si="11"/>
        <v>9000</v>
      </c>
      <c r="AH54" s="692">
        <f t="shared" si="12"/>
        <v>0</v>
      </c>
      <c r="AJ54" s="38">
        <f t="shared" si="16"/>
        <v>18097.989999999998</v>
      </c>
    </row>
    <row r="55" spans="1:36">
      <c r="A55" s="20" t="s">
        <v>211</v>
      </c>
      <c r="B55" s="20" t="s">
        <v>114</v>
      </c>
      <c r="C55" s="667"/>
      <c r="D55" s="68" t="s">
        <v>487</v>
      </c>
      <c r="E55" s="679"/>
      <c r="F55" s="529">
        <f>VLOOKUP(D55,'Sept 2012 Revenue'!D:T,17,FALSE)</f>
        <v>0</v>
      </c>
      <c r="G55" s="680"/>
      <c r="H55" s="680"/>
      <c r="I55" s="755"/>
      <c r="J55" s="682">
        <f t="shared" si="0"/>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13"/>
        <v>0</v>
      </c>
      <c r="AC55" s="692">
        <f t="shared" si="14"/>
        <v>0</v>
      </c>
      <c r="AD55" s="692">
        <f t="shared" si="15"/>
        <v>0</v>
      </c>
      <c r="AE55" s="38"/>
      <c r="AF55" s="692">
        <f t="shared" si="10"/>
        <v>0</v>
      </c>
      <c r="AG55" s="692">
        <f t="shared" si="11"/>
        <v>0</v>
      </c>
      <c r="AH55" s="692">
        <f t="shared" si="12"/>
        <v>0</v>
      </c>
      <c r="AJ55" s="38">
        <f t="shared" si="16"/>
        <v>0</v>
      </c>
    </row>
    <row r="56" spans="1:36">
      <c r="A56" s="20"/>
      <c r="B56" s="20" t="s">
        <v>109</v>
      </c>
      <c r="C56" s="667"/>
      <c r="D56" s="68" t="s">
        <v>830</v>
      </c>
      <c r="E56" s="679"/>
      <c r="F56" s="529">
        <f>VLOOKUP(D56,'Sept 2012 Revenue'!D:T,17,FALSE)</f>
        <v>16454.370000000003</v>
      </c>
      <c r="G56" s="680"/>
      <c r="H56" s="680"/>
      <c r="I56" s="755"/>
      <c r="J56" s="682">
        <f t="shared" si="0"/>
        <v>16454.370000000003</v>
      </c>
      <c r="K56" s="683"/>
      <c r="L56" s="684"/>
      <c r="M56" s="753">
        <v>40000</v>
      </c>
      <c r="N56" s="683">
        <v>0</v>
      </c>
      <c r="O56" s="686"/>
      <c r="P56" s="683">
        <v>0</v>
      </c>
      <c r="Q56" s="687">
        <f t="shared" si="1"/>
        <v>40000</v>
      </c>
      <c r="R56" s="688">
        <v>59910.11</v>
      </c>
      <c r="S56" s="693"/>
      <c r="T56" s="690">
        <f t="shared" si="2"/>
        <v>19910.11</v>
      </c>
      <c r="U56" s="683"/>
      <c r="V56" s="474">
        <f t="shared" si="3"/>
        <v>0</v>
      </c>
      <c r="W56" s="474">
        <f t="shared" si="4"/>
        <v>40000</v>
      </c>
      <c r="X56" s="475">
        <f t="shared" si="5"/>
        <v>0</v>
      </c>
      <c r="Y56" s="475">
        <v>0</v>
      </c>
      <c r="Z56" s="476">
        <v>0</v>
      </c>
      <c r="AA56" s="38">
        <f t="shared" si="6"/>
        <v>0</v>
      </c>
      <c r="AB56" s="692">
        <f t="shared" si="13"/>
        <v>0</v>
      </c>
      <c r="AC56" s="692">
        <f t="shared" si="14"/>
        <v>16454.370000000003</v>
      </c>
      <c r="AD56" s="692">
        <f t="shared" si="15"/>
        <v>0</v>
      </c>
      <c r="AE56" s="38"/>
      <c r="AF56" s="692">
        <f t="shared" si="10"/>
        <v>0</v>
      </c>
      <c r="AG56" s="692">
        <f t="shared" si="11"/>
        <v>40000</v>
      </c>
      <c r="AH56" s="692">
        <f t="shared" si="12"/>
        <v>0</v>
      </c>
      <c r="AJ56" s="38">
        <f t="shared" si="16"/>
        <v>56454.37</v>
      </c>
    </row>
    <row r="57" spans="1:36">
      <c r="A57" s="20"/>
      <c r="B57" s="20" t="s">
        <v>109</v>
      </c>
      <c r="C57" s="667"/>
      <c r="D57" s="68" t="s">
        <v>374</v>
      </c>
      <c r="E57" s="679">
        <f>3131.94+3840.07+4677.37+4229.28+4669.73+4179.35+4381.34+4550.85-28798.71</f>
        <v>4861.2200000000012</v>
      </c>
      <c r="F57" s="529">
        <f>VLOOKUP(D57,'Sept 2012 Revenue'!D:T,17,FALSE)</f>
        <v>0</v>
      </c>
      <c r="G57" s="680"/>
      <c r="H57" s="680"/>
      <c r="I57" s="755"/>
      <c r="J57" s="682">
        <f t="shared" si="0"/>
        <v>4861.2200000000012</v>
      </c>
      <c r="K57" s="683"/>
      <c r="L57" s="684"/>
      <c r="M57" s="753">
        <v>10000</v>
      </c>
      <c r="N57" s="683">
        <v>0</v>
      </c>
      <c r="O57" s="686"/>
      <c r="P57" s="683">
        <v>0</v>
      </c>
      <c r="Q57" s="687">
        <f t="shared" si="1"/>
        <v>10000</v>
      </c>
      <c r="R57" s="688">
        <v>0</v>
      </c>
      <c r="S57" s="693"/>
      <c r="T57" s="690">
        <f t="shared" si="2"/>
        <v>-10000</v>
      </c>
      <c r="U57" s="683"/>
      <c r="V57" s="474">
        <f t="shared" si="3"/>
        <v>0</v>
      </c>
      <c r="W57" s="474">
        <f t="shared" si="4"/>
        <v>10000</v>
      </c>
      <c r="X57" s="475">
        <f t="shared" si="5"/>
        <v>0</v>
      </c>
      <c r="Y57" s="475">
        <v>0</v>
      </c>
      <c r="Z57" s="476">
        <v>0</v>
      </c>
      <c r="AA57" s="38">
        <f t="shared" si="6"/>
        <v>0</v>
      </c>
      <c r="AB57" s="692">
        <f t="shared" si="13"/>
        <v>0</v>
      </c>
      <c r="AC57" s="692">
        <f t="shared" si="14"/>
        <v>4861.2200000000012</v>
      </c>
      <c r="AD57" s="692">
        <f t="shared" si="15"/>
        <v>0</v>
      </c>
      <c r="AE57" s="38"/>
      <c r="AF57" s="692">
        <f t="shared" si="10"/>
        <v>0</v>
      </c>
      <c r="AG57" s="692">
        <f t="shared" si="11"/>
        <v>10000</v>
      </c>
      <c r="AH57" s="692">
        <f t="shared" si="12"/>
        <v>0</v>
      </c>
      <c r="AJ57" s="38">
        <f t="shared" si="16"/>
        <v>14861.220000000001</v>
      </c>
    </row>
    <row r="58" spans="1:36">
      <c r="A58" s="20"/>
      <c r="B58" s="20" t="s">
        <v>114</v>
      </c>
      <c r="C58" s="667"/>
      <c r="D58" s="68" t="s">
        <v>502</v>
      </c>
      <c r="E58" s="679">
        <v>67.3</v>
      </c>
      <c r="F58" s="529">
        <f>VLOOKUP(D58,'Sept 2012 Revenue'!D:T,17,FALSE)</f>
        <v>0</v>
      </c>
      <c r="G58" s="680"/>
      <c r="H58" s="680"/>
      <c r="I58" s="755"/>
      <c r="J58" s="682">
        <f t="shared" si="0"/>
        <v>67.3</v>
      </c>
      <c r="K58" s="683"/>
      <c r="L58" s="684"/>
      <c r="M58" s="753"/>
      <c r="N58" s="683">
        <v>0</v>
      </c>
      <c r="O58" s="686"/>
      <c r="P58" s="683">
        <v>0</v>
      </c>
      <c r="Q58" s="687">
        <f t="shared" si="1"/>
        <v>0</v>
      </c>
      <c r="R58" s="688">
        <v>0</v>
      </c>
      <c r="S58" s="693"/>
      <c r="T58" s="690">
        <f t="shared" si="2"/>
        <v>0</v>
      </c>
      <c r="U58" s="683"/>
      <c r="V58" s="474">
        <f t="shared" si="3"/>
        <v>0</v>
      </c>
      <c r="W58" s="474">
        <f t="shared" si="4"/>
        <v>0</v>
      </c>
      <c r="X58" s="475">
        <f t="shared" si="5"/>
        <v>0</v>
      </c>
      <c r="Y58" s="475">
        <v>0</v>
      </c>
      <c r="Z58" s="476">
        <v>0</v>
      </c>
      <c r="AA58" s="38">
        <f t="shared" si="6"/>
        <v>0</v>
      </c>
      <c r="AB58" s="692">
        <f t="shared" si="13"/>
        <v>0</v>
      </c>
      <c r="AC58" s="692">
        <f t="shared" si="14"/>
        <v>0</v>
      </c>
      <c r="AD58" s="692">
        <f t="shared" si="15"/>
        <v>67.3</v>
      </c>
      <c r="AE58" s="38"/>
      <c r="AF58" s="692">
        <f t="shared" si="10"/>
        <v>0</v>
      </c>
      <c r="AG58" s="692">
        <f t="shared" si="11"/>
        <v>0</v>
      </c>
      <c r="AH58" s="692">
        <f t="shared" si="12"/>
        <v>0</v>
      </c>
      <c r="AJ58" s="38">
        <f t="shared" si="16"/>
        <v>67.3</v>
      </c>
    </row>
    <row r="59" spans="1:36">
      <c r="A59" s="21"/>
      <c r="B59" s="21" t="s">
        <v>110</v>
      </c>
      <c r="C59" s="666" t="s">
        <v>535</v>
      </c>
      <c r="D59" s="123" t="s">
        <v>517</v>
      </c>
      <c r="E59" s="679"/>
      <c r="F59" s="529">
        <f>VLOOKUP(D59,'Sept 2012 Revenue'!D:T,17,FALSE)</f>
        <v>-180000</v>
      </c>
      <c r="G59" s="680"/>
      <c r="H59" s="680"/>
      <c r="I59" s="755"/>
      <c r="J59" s="682">
        <f t="shared" si="0"/>
        <v>-180000</v>
      </c>
      <c r="K59" s="683"/>
      <c r="L59" s="684"/>
      <c r="M59" s="753">
        <v>270000</v>
      </c>
      <c r="N59" s="683">
        <v>0</v>
      </c>
      <c r="O59" s="686"/>
      <c r="P59" s="683">
        <v>0</v>
      </c>
      <c r="Q59" s="687">
        <f t="shared" si="1"/>
        <v>270000</v>
      </c>
      <c r="R59" s="688">
        <v>126419.91</v>
      </c>
      <c r="S59" s="693"/>
      <c r="T59" s="690">
        <f t="shared" si="2"/>
        <v>-143580.09</v>
      </c>
      <c r="U59" s="697"/>
      <c r="V59" s="474">
        <f t="shared" si="3"/>
        <v>270000</v>
      </c>
      <c r="W59" s="474">
        <f t="shared" si="4"/>
        <v>0</v>
      </c>
      <c r="X59" s="475">
        <f t="shared" si="5"/>
        <v>0</v>
      </c>
      <c r="Y59" s="475">
        <v>0</v>
      </c>
      <c r="Z59" s="476">
        <v>0</v>
      </c>
      <c r="AA59" s="38">
        <f t="shared" si="6"/>
        <v>0</v>
      </c>
      <c r="AB59" s="692">
        <f t="shared" si="13"/>
        <v>-180000</v>
      </c>
      <c r="AC59" s="692">
        <f t="shared" si="14"/>
        <v>0</v>
      </c>
      <c r="AD59" s="692">
        <f t="shared" si="15"/>
        <v>0</v>
      </c>
      <c r="AE59" s="38"/>
      <c r="AF59" s="692">
        <f t="shared" si="10"/>
        <v>270000</v>
      </c>
      <c r="AG59" s="692">
        <f t="shared" si="11"/>
        <v>0</v>
      </c>
      <c r="AH59" s="692">
        <f t="shared" si="12"/>
        <v>0</v>
      </c>
      <c r="AJ59" s="38">
        <f t="shared" si="16"/>
        <v>90000</v>
      </c>
    </row>
    <row r="60" spans="1:36">
      <c r="A60" s="21"/>
      <c r="B60" s="21" t="s">
        <v>110</v>
      </c>
      <c r="C60" s="666" t="s">
        <v>535</v>
      </c>
      <c r="D60" s="123" t="s">
        <v>437</v>
      </c>
      <c r="E60" s="679"/>
      <c r="F60" s="529">
        <f>VLOOKUP(D60,'Sept 2012 Revenue'!D:T,17,FALSE)</f>
        <v>0</v>
      </c>
      <c r="G60" s="680"/>
      <c r="H60" s="680"/>
      <c r="I60" s="755"/>
      <c r="J60" s="682">
        <f t="shared" si="0"/>
        <v>0</v>
      </c>
      <c r="K60" s="683"/>
      <c r="L60" s="684"/>
      <c r="M60" s="753"/>
      <c r="N60" s="683">
        <v>0</v>
      </c>
      <c r="O60" s="686"/>
      <c r="P60" s="683">
        <v>0</v>
      </c>
      <c r="Q60" s="687">
        <f t="shared" si="1"/>
        <v>0</v>
      </c>
      <c r="R60" s="688">
        <v>0</v>
      </c>
      <c r="S60" s="693"/>
      <c r="T60" s="690">
        <f t="shared" si="2"/>
        <v>0</v>
      </c>
      <c r="U60" s="697"/>
      <c r="V60" s="474">
        <f t="shared" si="3"/>
        <v>0</v>
      </c>
      <c r="W60" s="474">
        <f t="shared" si="4"/>
        <v>0</v>
      </c>
      <c r="X60" s="475">
        <f t="shared" si="5"/>
        <v>0</v>
      </c>
      <c r="Y60" s="475">
        <v>0</v>
      </c>
      <c r="Z60" s="476">
        <v>0</v>
      </c>
      <c r="AA60" s="38">
        <f t="shared" si="6"/>
        <v>0</v>
      </c>
      <c r="AB60" s="692">
        <f t="shared" si="13"/>
        <v>0</v>
      </c>
      <c r="AC60" s="692">
        <f t="shared" si="14"/>
        <v>0</v>
      </c>
      <c r="AD60" s="692">
        <f t="shared" si="15"/>
        <v>0</v>
      </c>
      <c r="AE60" s="38"/>
      <c r="AF60" s="692">
        <f t="shared" si="10"/>
        <v>0</v>
      </c>
      <c r="AG60" s="692">
        <f t="shared" si="11"/>
        <v>0</v>
      </c>
      <c r="AH60" s="692">
        <f t="shared" si="12"/>
        <v>0</v>
      </c>
      <c r="AJ60" s="38">
        <f t="shared" si="16"/>
        <v>0</v>
      </c>
    </row>
    <row r="61" spans="1:36">
      <c r="A61" s="21"/>
      <c r="B61" s="21" t="s">
        <v>110</v>
      </c>
      <c r="C61" s="666" t="s">
        <v>535</v>
      </c>
      <c r="D61" s="123" t="s">
        <v>436</v>
      </c>
      <c r="E61" s="679"/>
      <c r="F61" s="529">
        <f>VLOOKUP(D61,'Sept 2012 Revenue'!D:T,17,FALSE)</f>
        <v>0</v>
      </c>
      <c r="G61" s="680"/>
      <c r="H61" s="680"/>
      <c r="I61" s="755"/>
      <c r="J61" s="682">
        <f t="shared" si="0"/>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13"/>
        <v>0</v>
      </c>
      <c r="AC61" s="692">
        <f t="shared" si="14"/>
        <v>0</v>
      </c>
      <c r="AD61" s="692">
        <f t="shared" si="15"/>
        <v>0</v>
      </c>
      <c r="AE61" s="38"/>
      <c r="AF61" s="692">
        <f t="shared" si="10"/>
        <v>0</v>
      </c>
      <c r="AG61" s="692">
        <f t="shared" si="11"/>
        <v>0</v>
      </c>
      <c r="AH61" s="692">
        <f t="shared" si="12"/>
        <v>0</v>
      </c>
      <c r="AJ61" s="38">
        <f t="shared" si="16"/>
        <v>0</v>
      </c>
    </row>
    <row r="62" spans="1:36">
      <c r="A62" s="21"/>
      <c r="B62" s="21" t="s">
        <v>110</v>
      </c>
      <c r="C62" s="666" t="s">
        <v>535</v>
      </c>
      <c r="D62" s="123" t="s">
        <v>391</v>
      </c>
      <c r="E62" s="679"/>
      <c r="F62" s="529">
        <f>VLOOKUP(D62,'Sept 2012 Revenue'!D:T,17,FALSE)</f>
        <v>0</v>
      </c>
      <c r="G62" s="680"/>
      <c r="H62" s="680"/>
      <c r="I62" s="755"/>
      <c r="J62" s="682">
        <f t="shared" si="0"/>
        <v>0</v>
      </c>
      <c r="K62" s="683"/>
      <c r="L62" s="684"/>
      <c r="M62" s="753"/>
      <c r="N62" s="683">
        <v>0</v>
      </c>
      <c r="O62" s="686"/>
      <c r="P62" s="683">
        <v>0</v>
      </c>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13"/>
        <v>0</v>
      </c>
      <c r="AC62" s="692">
        <f t="shared" si="14"/>
        <v>0</v>
      </c>
      <c r="AD62" s="692">
        <f t="shared" si="15"/>
        <v>0</v>
      </c>
      <c r="AE62" s="38"/>
      <c r="AF62" s="692">
        <f t="shared" si="10"/>
        <v>0</v>
      </c>
      <c r="AG62" s="692">
        <f t="shared" si="11"/>
        <v>0</v>
      </c>
      <c r="AH62" s="692">
        <f t="shared" si="12"/>
        <v>0</v>
      </c>
      <c r="AJ62" s="38">
        <f t="shared" si="16"/>
        <v>0</v>
      </c>
    </row>
    <row r="63" spans="1:36">
      <c r="A63" s="21"/>
      <c r="B63" s="21" t="s">
        <v>110</v>
      </c>
      <c r="C63" s="666" t="s">
        <v>535</v>
      </c>
      <c r="D63" s="123" t="s">
        <v>392</v>
      </c>
      <c r="E63" s="679"/>
      <c r="F63" s="529">
        <f>VLOOKUP(D63,'Sept 2012 Revenue'!D:T,17,FALSE)</f>
        <v>0</v>
      </c>
      <c r="G63" s="680"/>
      <c r="H63" s="680"/>
      <c r="I63" s="755"/>
      <c r="J63" s="682">
        <f t="shared" si="0"/>
        <v>0</v>
      </c>
      <c r="K63" s="683"/>
      <c r="L63" s="684"/>
      <c r="M63" s="753"/>
      <c r="N63" s="683">
        <v>0</v>
      </c>
      <c r="O63" s="686"/>
      <c r="P63" s="683">
        <v>0</v>
      </c>
      <c r="Q63" s="687">
        <f t="shared" si="1"/>
        <v>0</v>
      </c>
      <c r="R63" s="688">
        <v>0</v>
      </c>
      <c r="S63" s="693"/>
      <c r="T63" s="690">
        <f t="shared" si="2"/>
        <v>0</v>
      </c>
      <c r="U63" s="697"/>
      <c r="V63" s="474">
        <f t="shared" si="3"/>
        <v>0</v>
      </c>
      <c r="W63" s="474">
        <f t="shared" si="4"/>
        <v>0</v>
      </c>
      <c r="X63" s="475">
        <f t="shared" si="5"/>
        <v>0</v>
      </c>
      <c r="Y63" s="475">
        <v>0</v>
      </c>
      <c r="Z63" s="476">
        <v>0</v>
      </c>
      <c r="AA63" s="38">
        <f t="shared" si="6"/>
        <v>0</v>
      </c>
      <c r="AB63" s="692">
        <f t="shared" si="13"/>
        <v>0</v>
      </c>
      <c r="AC63" s="692">
        <f t="shared" si="14"/>
        <v>0</v>
      </c>
      <c r="AD63" s="692">
        <f t="shared" si="15"/>
        <v>0</v>
      </c>
      <c r="AE63" s="38"/>
      <c r="AF63" s="692">
        <f t="shared" si="10"/>
        <v>0</v>
      </c>
      <c r="AG63" s="692">
        <f t="shared" si="11"/>
        <v>0</v>
      </c>
      <c r="AH63" s="692">
        <f t="shared" si="12"/>
        <v>0</v>
      </c>
      <c r="AJ63" s="38">
        <f t="shared" si="16"/>
        <v>0</v>
      </c>
    </row>
    <row r="64" spans="1:36">
      <c r="A64" s="21"/>
      <c r="B64" s="21" t="s">
        <v>110</v>
      </c>
      <c r="C64" s="666" t="s">
        <v>535</v>
      </c>
      <c r="D64" s="123" t="s">
        <v>483</v>
      </c>
      <c r="E64" s="679"/>
      <c r="F64" s="529">
        <f>VLOOKUP(D64,'Sept 2012 Revenue'!D:T,17,FALSE)</f>
        <v>0</v>
      </c>
      <c r="G64" s="680"/>
      <c r="H64" s="680"/>
      <c r="I64" s="755"/>
      <c r="J64" s="682">
        <f t="shared" si="0"/>
        <v>0</v>
      </c>
      <c r="K64" s="683"/>
      <c r="L64" s="684"/>
      <c r="M64" s="753"/>
      <c r="N64" s="683"/>
      <c r="O64" s="686"/>
      <c r="P64" s="683"/>
      <c r="Q64" s="687">
        <f t="shared" si="1"/>
        <v>0</v>
      </c>
      <c r="R64" s="688">
        <v>0</v>
      </c>
      <c r="S64" s="693"/>
      <c r="T64" s="690">
        <f t="shared" si="2"/>
        <v>0</v>
      </c>
      <c r="U64" s="697"/>
      <c r="V64" s="474">
        <f t="shared" si="3"/>
        <v>0</v>
      </c>
      <c r="W64" s="474">
        <f t="shared" si="4"/>
        <v>0</v>
      </c>
      <c r="X64" s="475">
        <f t="shared" si="5"/>
        <v>0</v>
      </c>
      <c r="Y64" s="475">
        <v>0</v>
      </c>
      <c r="Z64" s="476">
        <v>0</v>
      </c>
      <c r="AA64" s="38">
        <f t="shared" si="6"/>
        <v>0</v>
      </c>
      <c r="AB64" s="692">
        <f t="shared" si="13"/>
        <v>0</v>
      </c>
      <c r="AC64" s="692">
        <f t="shared" si="14"/>
        <v>0</v>
      </c>
      <c r="AD64" s="692">
        <f t="shared" si="15"/>
        <v>0</v>
      </c>
      <c r="AE64" s="38"/>
      <c r="AF64" s="692">
        <f t="shared" si="10"/>
        <v>0</v>
      </c>
      <c r="AG64" s="692">
        <f t="shared" si="11"/>
        <v>0</v>
      </c>
      <c r="AH64" s="692">
        <f t="shared" si="12"/>
        <v>0</v>
      </c>
      <c r="AJ64" s="38">
        <f t="shared" si="16"/>
        <v>0</v>
      </c>
    </row>
    <row r="65" spans="1:36">
      <c r="A65" s="21"/>
      <c r="B65" s="21" t="s">
        <v>110</v>
      </c>
      <c r="C65" s="666"/>
      <c r="D65" s="373" t="s">
        <v>587</v>
      </c>
      <c r="E65" s="679"/>
      <c r="F65" s="529">
        <f>VLOOKUP(D65,'Sept 2012 Revenue'!D:T,17,FALSE)</f>
        <v>0</v>
      </c>
      <c r="G65" s="680"/>
      <c r="H65" s="680"/>
      <c r="I65" s="755"/>
      <c r="J65" s="682">
        <f t="shared" si="0"/>
        <v>0</v>
      </c>
      <c r="K65" s="683"/>
      <c r="L65" s="684"/>
      <c r="M65" s="753"/>
      <c r="N65" s="683"/>
      <c r="O65" s="686"/>
      <c r="P65" s="683"/>
      <c r="Q65" s="687">
        <f t="shared" si="1"/>
        <v>0</v>
      </c>
      <c r="R65" s="688">
        <v>0</v>
      </c>
      <c r="S65" s="693"/>
      <c r="T65" s="690">
        <f t="shared" si="2"/>
        <v>0</v>
      </c>
      <c r="U65" s="697"/>
      <c r="V65" s="474">
        <f t="shared" si="3"/>
        <v>0</v>
      </c>
      <c r="W65" s="474">
        <f t="shared" si="4"/>
        <v>0</v>
      </c>
      <c r="X65" s="475">
        <f t="shared" si="5"/>
        <v>0</v>
      </c>
      <c r="Y65" s="475">
        <v>0</v>
      </c>
      <c r="Z65" s="476">
        <v>0</v>
      </c>
      <c r="AA65" s="38">
        <f t="shared" si="6"/>
        <v>0</v>
      </c>
      <c r="AB65" s="692">
        <f t="shared" si="13"/>
        <v>0</v>
      </c>
      <c r="AC65" s="692">
        <f t="shared" si="14"/>
        <v>0</v>
      </c>
      <c r="AD65" s="692">
        <f t="shared" si="15"/>
        <v>0</v>
      </c>
      <c r="AE65" s="38"/>
      <c r="AF65" s="692">
        <f t="shared" si="10"/>
        <v>0</v>
      </c>
      <c r="AG65" s="692">
        <f t="shared" si="11"/>
        <v>0</v>
      </c>
      <c r="AH65" s="692">
        <f t="shared" si="12"/>
        <v>0</v>
      </c>
      <c r="AJ65" s="38">
        <f t="shared" si="16"/>
        <v>0</v>
      </c>
    </row>
    <row r="66" spans="1:36">
      <c r="A66" s="20"/>
      <c r="B66" s="20" t="s">
        <v>110</v>
      </c>
      <c r="C66" s="667" t="s">
        <v>536</v>
      </c>
      <c r="D66" s="68" t="s">
        <v>450</v>
      </c>
      <c r="E66" s="679"/>
      <c r="F66" s="529">
        <f>VLOOKUP(D66,'Sept 2012 Revenue'!D:T,17,FALSE)</f>
        <v>0</v>
      </c>
      <c r="G66" s="680"/>
      <c r="H66" s="680"/>
      <c r="I66" s="755"/>
      <c r="J66" s="682">
        <f t="shared" si="0"/>
        <v>0</v>
      </c>
      <c r="K66" s="683"/>
      <c r="L66" s="684"/>
      <c r="M66" s="753"/>
      <c r="N66" s="683">
        <v>0</v>
      </c>
      <c r="O66" s="686"/>
      <c r="P66" s="683">
        <v>0</v>
      </c>
      <c r="Q66" s="687">
        <f t="shared" si="1"/>
        <v>0</v>
      </c>
      <c r="R66" s="688">
        <v>0</v>
      </c>
      <c r="S66" s="693"/>
      <c r="T66" s="690">
        <f t="shared" si="2"/>
        <v>0</v>
      </c>
      <c r="U66" s="683"/>
      <c r="V66" s="474">
        <f t="shared" si="3"/>
        <v>0</v>
      </c>
      <c r="W66" s="474">
        <f t="shared" si="4"/>
        <v>0</v>
      </c>
      <c r="X66" s="475">
        <f t="shared" si="5"/>
        <v>0</v>
      </c>
      <c r="Y66" s="475">
        <v>0</v>
      </c>
      <c r="Z66" s="476">
        <v>0</v>
      </c>
      <c r="AA66" s="38">
        <f t="shared" si="6"/>
        <v>0</v>
      </c>
      <c r="AB66" s="692">
        <f t="shared" si="13"/>
        <v>0</v>
      </c>
      <c r="AC66" s="692">
        <f t="shared" si="14"/>
        <v>0</v>
      </c>
      <c r="AD66" s="692">
        <f t="shared" si="15"/>
        <v>0</v>
      </c>
      <c r="AE66" s="38"/>
      <c r="AF66" s="692">
        <f t="shared" si="10"/>
        <v>0</v>
      </c>
      <c r="AG66" s="692">
        <f t="shared" si="11"/>
        <v>0</v>
      </c>
      <c r="AH66" s="692">
        <f t="shared" si="12"/>
        <v>0</v>
      </c>
      <c r="AJ66" s="38">
        <f t="shared" si="16"/>
        <v>0</v>
      </c>
    </row>
    <row r="67" spans="1:36">
      <c r="A67" s="21" t="s">
        <v>109</v>
      </c>
      <c r="B67" s="21" t="s">
        <v>110</v>
      </c>
      <c r="C67" s="666"/>
      <c r="D67" s="68" t="s">
        <v>438</v>
      </c>
      <c r="E67" s="679"/>
      <c r="F67" s="529">
        <f>VLOOKUP(D67,'Sept 2012 Revenue'!D:T,17,FALSE)</f>
        <v>0</v>
      </c>
      <c r="G67" s="680"/>
      <c r="H67" s="680"/>
      <c r="I67" s="755"/>
      <c r="J67" s="682">
        <f t="shared" si="0"/>
        <v>0</v>
      </c>
      <c r="K67" s="683"/>
      <c r="L67" s="684"/>
      <c r="M67" s="753"/>
      <c r="N67" s="683">
        <v>0</v>
      </c>
      <c r="O67" s="686"/>
      <c r="P67" s="683">
        <v>0</v>
      </c>
      <c r="Q67" s="687">
        <f t="shared" si="1"/>
        <v>0</v>
      </c>
      <c r="R67" s="688">
        <v>0</v>
      </c>
      <c r="S67" s="693"/>
      <c r="T67" s="690">
        <f t="shared" si="2"/>
        <v>0</v>
      </c>
      <c r="U67" s="697"/>
      <c r="V67" s="474">
        <f t="shared" si="3"/>
        <v>0</v>
      </c>
      <c r="W67" s="474">
        <f t="shared" si="4"/>
        <v>0</v>
      </c>
      <c r="X67" s="475">
        <f t="shared" si="5"/>
        <v>0</v>
      </c>
      <c r="Y67" s="475">
        <v>0</v>
      </c>
      <c r="Z67" s="476">
        <v>0</v>
      </c>
      <c r="AA67" s="38">
        <f t="shared" si="6"/>
        <v>0</v>
      </c>
      <c r="AB67" s="692">
        <f t="shared" si="13"/>
        <v>0</v>
      </c>
      <c r="AC67" s="692">
        <f t="shared" si="14"/>
        <v>0</v>
      </c>
      <c r="AD67" s="692">
        <f t="shared" si="15"/>
        <v>0</v>
      </c>
      <c r="AE67" s="38"/>
      <c r="AF67" s="692">
        <f t="shared" si="10"/>
        <v>0</v>
      </c>
      <c r="AG67" s="692">
        <f t="shared" si="11"/>
        <v>0</v>
      </c>
      <c r="AH67" s="692">
        <f t="shared" si="12"/>
        <v>0</v>
      </c>
      <c r="AJ67" s="38">
        <f t="shared" si="16"/>
        <v>0</v>
      </c>
    </row>
    <row r="68" spans="1:36">
      <c r="A68" s="21"/>
      <c r="B68" s="21" t="s">
        <v>110</v>
      </c>
      <c r="C68" s="666"/>
      <c r="D68" s="68" t="s">
        <v>628</v>
      </c>
      <c r="E68" s="679"/>
      <c r="F68" s="529">
        <f>VLOOKUP(D68,'Sept 2012 Revenue'!D:T,17,FALSE)</f>
        <v>0</v>
      </c>
      <c r="G68" s="680"/>
      <c r="H68" s="680"/>
      <c r="I68" s="755"/>
      <c r="J68" s="682">
        <f t="shared" si="0"/>
        <v>0</v>
      </c>
      <c r="K68" s="683"/>
      <c r="L68" s="684"/>
      <c r="M68" s="753"/>
      <c r="N68" s="683">
        <v>0</v>
      </c>
      <c r="O68" s="686"/>
      <c r="P68" s="683">
        <v>0</v>
      </c>
      <c r="Q68" s="687">
        <f t="shared" si="1"/>
        <v>0</v>
      </c>
      <c r="R68" s="688">
        <v>0</v>
      </c>
      <c r="S68" s="693"/>
      <c r="T68" s="690">
        <f t="shared" si="2"/>
        <v>0</v>
      </c>
      <c r="U68" s="697"/>
      <c r="V68" s="474">
        <f t="shared" si="3"/>
        <v>0</v>
      </c>
      <c r="W68" s="474">
        <f t="shared" si="4"/>
        <v>0</v>
      </c>
      <c r="X68" s="475">
        <f t="shared" si="5"/>
        <v>0</v>
      </c>
      <c r="Y68" s="475">
        <v>0</v>
      </c>
      <c r="Z68" s="476">
        <v>0</v>
      </c>
      <c r="AA68" s="38">
        <f t="shared" si="6"/>
        <v>0</v>
      </c>
      <c r="AB68" s="692">
        <f t="shared" si="13"/>
        <v>0</v>
      </c>
      <c r="AC68" s="692">
        <f t="shared" si="14"/>
        <v>0</v>
      </c>
      <c r="AD68" s="692">
        <f t="shared" si="15"/>
        <v>0</v>
      </c>
      <c r="AE68" s="38"/>
      <c r="AF68" s="692">
        <f t="shared" si="10"/>
        <v>0</v>
      </c>
      <c r="AG68" s="692">
        <f t="shared" si="11"/>
        <v>0</v>
      </c>
      <c r="AH68" s="692">
        <f t="shared" si="12"/>
        <v>0</v>
      </c>
      <c r="AJ68" s="38">
        <f t="shared" si="16"/>
        <v>0</v>
      </c>
    </row>
    <row r="69" spans="1:36">
      <c r="A69" s="21"/>
      <c r="B69" s="21" t="s">
        <v>110</v>
      </c>
      <c r="C69" s="666" t="s">
        <v>537</v>
      </c>
      <c r="D69" s="68" t="s">
        <v>12</v>
      </c>
      <c r="E69" s="679"/>
      <c r="F69" s="529">
        <f>VLOOKUP(D69,'Sept 2012 Revenue'!D:T,17,FALSE)</f>
        <v>0</v>
      </c>
      <c r="G69" s="680"/>
      <c r="H69" s="680"/>
      <c r="I69" s="755"/>
      <c r="J69" s="682">
        <f t="shared" si="0"/>
        <v>0</v>
      </c>
      <c r="K69" s="683"/>
      <c r="L69" s="684"/>
      <c r="M69" s="753"/>
      <c r="N69" s="683">
        <v>0</v>
      </c>
      <c r="O69" s="686"/>
      <c r="P69" s="683">
        <v>0</v>
      </c>
      <c r="Q69" s="687">
        <f t="shared" si="1"/>
        <v>0</v>
      </c>
      <c r="R69" s="688">
        <v>0</v>
      </c>
      <c r="S69" s="693"/>
      <c r="T69" s="690">
        <f t="shared" si="2"/>
        <v>0</v>
      </c>
      <c r="U69" s="683"/>
      <c r="V69" s="474">
        <f t="shared" si="3"/>
        <v>0</v>
      </c>
      <c r="W69" s="474">
        <f t="shared" si="4"/>
        <v>0</v>
      </c>
      <c r="X69" s="475">
        <f t="shared" si="5"/>
        <v>0</v>
      </c>
      <c r="Y69" s="475">
        <v>0</v>
      </c>
      <c r="Z69" s="476">
        <v>0</v>
      </c>
      <c r="AA69" s="38">
        <f t="shared" si="6"/>
        <v>0</v>
      </c>
      <c r="AB69" s="692">
        <f t="shared" si="13"/>
        <v>0</v>
      </c>
      <c r="AC69" s="692">
        <f t="shared" si="14"/>
        <v>0</v>
      </c>
      <c r="AD69" s="692">
        <f t="shared" si="15"/>
        <v>0</v>
      </c>
      <c r="AE69" s="38"/>
      <c r="AF69" s="692">
        <f t="shared" si="10"/>
        <v>0</v>
      </c>
      <c r="AG69" s="692">
        <f t="shared" si="11"/>
        <v>0</v>
      </c>
      <c r="AH69" s="692">
        <f t="shared" si="12"/>
        <v>0</v>
      </c>
      <c r="AJ69" s="38">
        <f t="shared" si="16"/>
        <v>0</v>
      </c>
    </row>
    <row r="70" spans="1:36" s="232" customFormat="1">
      <c r="A70" s="283" t="s">
        <v>211</v>
      </c>
      <c r="B70" s="283" t="s">
        <v>110</v>
      </c>
      <c r="C70" s="667" t="s">
        <v>538</v>
      </c>
      <c r="D70" s="123" t="s">
        <v>170</v>
      </c>
      <c r="E70" s="679"/>
      <c r="F70" s="529">
        <f>VLOOKUP(D70,'Sept 2012 Revenue'!D:T,17,FALSE)</f>
        <v>-85187.079999999987</v>
      </c>
      <c r="G70" s="680"/>
      <c r="H70" s="680"/>
      <c r="I70" s="755"/>
      <c r="J70" s="682">
        <f t="shared" si="0"/>
        <v>-85187.079999999987</v>
      </c>
      <c r="K70" s="683"/>
      <c r="L70" s="684"/>
      <c r="M70" s="753">
        <v>100000</v>
      </c>
      <c r="N70" s="683">
        <v>0</v>
      </c>
      <c r="O70" s="686"/>
      <c r="P70" s="683">
        <v>0</v>
      </c>
      <c r="Q70" s="687">
        <f t="shared" si="1"/>
        <v>100000</v>
      </c>
      <c r="R70" s="688">
        <v>0</v>
      </c>
      <c r="S70" s="693"/>
      <c r="T70" s="690">
        <f t="shared" si="2"/>
        <v>-100000</v>
      </c>
      <c r="U70" s="683"/>
      <c r="V70" s="474">
        <f t="shared" si="3"/>
        <v>100000</v>
      </c>
      <c r="W70" s="474">
        <f t="shared" si="4"/>
        <v>0</v>
      </c>
      <c r="X70" s="475">
        <f t="shared" si="5"/>
        <v>0</v>
      </c>
      <c r="Y70" s="475">
        <v>0</v>
      </c>
      <c r="Z70" s="476">
        <v>0</v>
      </c>
      <c r="AA70" s="38">
        <f t="shared" si="6"/>
        <v>0</v>
      </c>
      <c r="AB70" s="692">
        <f t="shared" si="13"/>
        <v>-85187.079999999987</v>
      </c>
      <c r="AC70" s="692">
        <f t="shared" si="14"/>
        <v>0</v>
      </c>
      <c r="AD70" s="692">
        <f t="shared" si="15"/>
        <v>0</v>
      </c>
      <c r="AE70" s="38"/>
      <c r="AF70" s="692">
        <f t="shared" si="10"/>
        <v>100000</v>
      </c>
      <c r="AG70" s="692">
        <f t="shared" si="11"/>
        <v>0</v>
      </c>
      <c r="AH70" s="692">
        <f t="shared" si="12"/>
        <v>0</v>
      </c>
      <c r="AJ70" s="38">
        <f t="shared" si="16"/>
        <v>14812.920000000013</v>
      </c>
    </row>
    <row r="71" spans="1:36" s="232" customFormat="1">
      <c r="A71" s="283" t="s">
        <v>211</v>
      </c>
      <c r="B71" s="283" t="s">
        <v>110</v>
      </c>
      <c r="C71" s="667" t="s">
        <v>538</v>
      </c>
      <c r="D71" s="123" t="s">
        <v>171</v>
      </c>
      <c r="E71" s="679"/>
      <c r="F71" s="529">
        <f>VLOOKUP(D71,'Sept 2012 Revenue'!D:T,17,FALSE)</f>
        <v>633.1</v>
      </c>
      <c r="G71" s="680"/>
      <c r="H71" s="680"/>
      <c r="I71" s="755"/>
      <c r="J71" s="682">
        <f t="shared" si="0"/>
        <v>633.1</v>
      </c>
      <c r="K71" s="683"/>
      <c r="L71" s="684"/>
      <c r="M71" s="753"/>
      <c r="N71" s="683">
        <v>0</v>
      </c>
      <c r="O71" s="686"/>
      <c r="P71" s="683">
        <v>0</v>
      </c>
      <c r="Q71" s="687">
        <f t="shared" si="1"/>
        <v>0</v>
      </c>
      <c r="R71" s="688">
        <v>0</v>
      </c>
      <c r="S71" s="693"/>
      <c r="T71" s="690">
        <f t="shared" si="2"/>
        <v>0</v>
      </c>
      <c r="U71" s="683"/>
      <c r="V71" s="474">
        <f t="shared" si="3"/>
        <v>0</v>
      </c>
      <c r="W71" s="474">
        <f t="shared" si="4"/>
        <v>0</v>
      </c>
      <c r="X71" s="475">
        <f t="shared" si="5"/>
        <v>0</v>
      </c>
      <c r="Y71" s="475">
        <v>0</v>
      </c>
      <c r="Z71" s="476">
        <v>0</v>
      </c>
      <c r="AA71" s="38">
        <f t="shared" si="6"/>
        <v>0</v>
      </c>
      <c r="AB71" s="692">
        <f t="shared" si="13"/>
        <v>633.1</v>
      </c>
      <c r="AC71" s="692">
        <f t="shared" si="14"/>
        <v>0</v>
      </c>
      <c r="AD71" s="692">
        <f t="shared" si="15"/>
        <v>0</v>
      </c>
      <c r="AE71" s="38"/>
      <c r="AF71" s="692">
        <f t="shared" si="10"/>
        <v>0</v>
      </c>
      <c r="AG71" s="692">
        <f t="shared" si="11"/>
        <v>0</v>
      </c>
      <c r="AH71" s="692">
        <f t="shared" si="12"/>
        <v>0</v>
      </c>
      <c r="AJ71" s="38">
        <f t="shared" si="16"/>
        <v>633.1</v>
      </c>
    </row>
    <row r="72" spans="1:36" s="232" customFormat="1">
      <c r="A72" s="283" t="s">
        <v>211</v>
      </c>
      <c r="B72" s="283" t="s">
        <v>110</v>
      </c>
      <c r="C72" s="667" t="s">
        <v>538</v>
      </c>
      <c r="D72" s="123" t="s">
        <v>13</v>
      </c>
      <c r="E72" s="679"/>
      <c r="F72" s="529">
        <f>VLOOKUP(D72,'Sept 2012 Revenue'!D:T,17,FALSE)</f>
        <v>57637.49</v>
      </c>
      <c r="G72" s="680"/>
      <c r="H72" s="680"/>
      <c r="I72" s="755"/>
      <c r="J72" s="682">
        <f t="shared" si="0"/>
        <v>57637.49</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13"/>
        <v>57637.49</v>
      </c>
      <c r="AC72" s="692">
        <f t="shared" si="14"/>
        <v>0</v>
      </c>
      <c r="AD72" s="692">
        <f t="shared" si="15"/>
        <v>0</v>
      </c>
      <c r="AE72" s="38"/>
      <c r="AF72" s="692">
        <f t="shared" si="10"/>
        <v>0</v>
      </c>
      <c r="AG72" s="692">
        <f t="shared" si="11"/>
        <v>0</v>
      </c>
      <c r="AH72" s="692">
        <f t="shared" si="12"/>
        <v>0</v>
      </c>
      <c r="AJ72" s="38">
        <f t="shared" si="16"/>
        <v>57637.49</v>
      </c>
    </row>
    <row r="73" spans="1:36" s="232" customFormat="1">
      <c r="A73" s="283" t="s">
        <v>211</v>
      </c>
      <c r="B73" s="283" t="s">
        <v>110</v>
      </c>
      <c r="C73" s="667" t="s">
        <v>538</v>
      </c>
      <c r="D73" s="123" t="s">
        <v>172</v>
      </c>
      <c r="E73" s="679"/>
      <c r="F73" s="529">
        <f>VLOOKUP(D73,'Sept 2012 Revenue'!D:T,17,FALSE)</f>
        <v>7</v>
      </c>
      <c r="G73" s="680"/>
      <c r="H73" s="680"/>
      <c r="I73" s="755"/>
      <c r="J73" s="682">
        <f t="shared" si="0"/>
        <v>7</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13"/>
        <v>7</v>
      </c>
      <c r="AC73" s="692">
        <f t="shared" si="14"/>
        <v>0</v>
      </c>
      <c r="AD73" s="692">
        <f t="shared" si="15"/>
        <v>0</v>
      </c>
      <c r="AE73" s="38"/>
      <c r="AF73" s="692">
        <f t="shared" si="10"/>
        <v>0</v>
      </c>
      <c r="AG73" s="692">
        <f t="shared" si="11"/>
        <v>0</v>
      </c>
      <c r="AH73" s="692">
        <f t="shared" si="12"/>
        <v>0</v>
      </c>
      <c r="AJ73" s="38">
        <f t="shared" si="16"/>
        <v>7</v>
      </c>
    </row>
    <row r="74" spans="1:36" s="232" customFormat="1">
      <c r="A74" s="283" t="s">
        <v>211</v>
      </c>
      <c r="B74" s="283" t="s">
        <v>110</v>
      </c>
      <c r="C74" s="667" t="s">
        <v>538</v>
      </c>
      <c r="D74" s="123" t="s">
        <v>173</v>
      </c>
      <c r="E74" s="679"/>
      <c r="F74" s="529">
        <f>VLOOKUP(D74,'Sept 2012 Revenue'!D:T,17,FALSE)</f>
        <v>23722</v>
      </c>
      <c r="G74" s="680"/>
      <c r="H74" s="680"/>
      <c r="I74" s="755"/>
      <c r="J74" s="682">
        <f t="shared" si="0"/>
        <v>23722</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13"/>
        <v>23722</v>
      </c>
      <c r="AC74" s="692">
        <f t="shared" si="14"/>
        <v>0</v>
      </c>
      <c r="AD74" s="692">
        <f t="shared" si="15"/>
        <v>0</v>
      </c>
      <c r="AE74" s="38"/>
      <c r="AF74" s="692">
        <f t="shared" si="10"/>
        <v>0</v>
      </c>
      <c r="AG74" s="692">
        <f t="shared" si="11"/>
        <v>0</v>
      </c>
      <c r="AH74" s="692">
        <f t="shared" si="12"/>
        <v>0</v>
      </c>
      <c r="AJ74" s="38">
        <f t="shared" si="16"/>
        <v>23722</v>
      </c>
    </row>
    <row r="75" spans="1:36" s="232" customFormat="1">
      <c r="A75" s="283" t="s">
        <v>211</v>
      </c>
      <c r="B75" s="283" t="s">
        <v>110</v>
      </c>
      <c r="C75" s="667" t="s">
        <v>538</v>
      </c>
      <c r="D75" s="123" t="s">
        <v>174</v>
      </c>
      <c r="E75" s="679"/>
      <c r="F75" s="529">
        <f>VLOOKUP(D75,'Sept 2012 Revenue'!D:T,17,FALSE)</f>
        <v>2.86</v>
      </c>
      <c r="G75" s="680"/>
      <c r="H75" s="680"/>
      <c r="I75" s="755"/>
      <c r="J75" s="682">
        <f t="shared" si="0"/>
        <v>2.86</v>
      </c>
      <c r="K75" s="683"/>
      <c r="L75" s="684"/>
      <c r="M75" s="753"/>
      <c r="N75" s="683">
        <v>0</v>
      </c>
      <c r="O75" s="686"/>
      <c r="P75" s="683">
        <v>0</v>
      </c>
      <c r="Q75" s="687">
        <f t="shared" si="1"/>
        <v>0</v>
      </c>
      <c r="R75" s="688">
        <v>0</v>
      </c>
      <c r="S75" s="693"/>
      <c r="T75" s="690">
        <f t="shared" si="2"/>
        <v>0</v>
      </c>
      <c r="U75" s="683"/>
      <c r="V75" s="474">
        <f t="shared" si="3"/>
        <v>0</v>
      </c>
      <c r="W75" s="474">
        <f t="shared" si="4"/>
        <v>0</v>
      </c>
      <c r="X75" s="475">
        <f t="shared" si="5"/>
        <v>0</v>
      </c>
      <c r="Y75" s="475">
        <v>0</v>
      </c>
      <c r="Z75" s="476">
        <v>0</v>
      </c>
      <c r="AA75" s="38">
        <f t="shared" si="6"/>
        <v>0</v>
      </c>
      <c r="AB75" s="692">
        <f t="shared" si="13"/>
        <v>2.86</v>
      </c>
      <c r="AC75" s="692">
        <f t="shared" si="14"/>
        <v>0</v>
      </c>
      <c r="AD75" s="692">
        <f t="shared" si="15"/>
        <v>0</v>
      </c>
      <c r="AE75" s="38"/>
      <c r="AF75" s="692">
        <f t="shared" si="10"/>
        <v>0</v>
      </c>
      <c r="AG75" s="692">
        <f t="shared" si="11"/>
        <v>0</v>
      </c>
      <c r="AH75" s="692">
        <f t="shared" si="12"/>
        <v>0</v>
      </c>
      <c r="AJ75" s="38">
        <f t="shared" si="16"/>
        <v>2.86</v>
      </c>
    </row>
    <row r="76" spans="1:36" s="232" customFormat="1">
      <c r="A76" s="283"/>
      <c r="B76" s="283" t="s">
        <v>109</v>
      </c>
      <c r="C76" s="794"/>
      <c r="D76" s="351" t="s">
        <v>14</v>
      </c>
      <c r="E76" s="679"/>
      <c r="F76" s="529">
        <f>VLOOKUP(D76,'Sept 2012 Revenue'!D:T,17,FALSE)</f>
        <v>0</v>
      </c>
      <c r="G76" s="680"/>
      <c r="H76" s="680"/>
      <c r="I76" s="755"/>
      <c r="J76" s="682">
        <f t="shared" si="0"/>
        <v>0</v>
      </c>
      <c r="K76" s="683"/>
      <c r="L76" s="684"/>
      <c r="M76" s="753"/>
      <c r="N76" s="683">
        <v>0</v>
      </c>
      <c r="O76" s="686"/>
      <c r="P76" s="683">
        <v>0</v>
      </c>
      <c r="Q76" s="687">
        <f t="shared" si="1"/>
        <v>0</v>
      </c>
      <c r="R76" s="688">
        <v>0</v>
      </c>
      <c r="S76" s="693"/>
      <c r="T76" s="690">
        <f t="shared" si="2"/>
        <v>0</v>
      </c>
      <c r="U76" s="683"/>
      <c r="V76" s="474">
        <f t="shared" si="3"/>
        <v>0</v>
      </c>
      <c r="W76" s="474">
        <f t="shared" si="4"/>
        <v>0</v>
      </c>
      <c r="X76" s="475">
        <f t="shared" si="5"/>
        <v>0</v>
      </c>
      <c r="Y76" s="475">
        <v>0</v>
      </c>
      <c r="Z76" s="476">
        <v>0</v>
      </c>
      <c r="AA76" s="38">
        <f t="shared" si="6"/>
        <v>0</v>
      </c>
      <c r="AB76" s="692">
        <f t="shared" si="13"/>
        <v>0</v>
      </c>
      <c r="AC76" s="692">
        <f t="shared" si="14"/>
        <v>0</v>
      </c>
      <c r="AD76" s="692">
        <f t="shared" si="15"/>
        <v>0</v>
      </c>
      <c r="AE76" s="38"/>
      <c r="AF76" s="692">
        <f t="shared" si="10"/>
        <v>0</v>
      </c>
      <c r="AG76" s="692">
        <f t="shared" si="11"/>
        <v>0</v>
      </c>
      <c r="AH76" s="692">
        <f t="shared" si="12"/>
        <v>0</v>
      </c>
      <c r="AJ76" s="38">
        <f t="shared" si="16"/>
        <v>0</v>
      </c>
    </row>
    <row r="77" spans="1:36">
      <c r="A77" s="20"/>
      <c r="B77" s="20" t="s">
        <v>110</v>
      </c>
      <c r="C77" s="667"/>
      <c r="D77" s="68" t="s">
        <v>15</v>
      </c>
      <c r="E77" s="679"/>
      <c r="F77" s="529">
        <f>VLOOKUP(D77,'Sept 2012 Revenue'!D:T,17,FALSE)</f>
        <v>0</v>
      </c>
      <c r="G77" s="680"/>
      <c r="H77" s="680"/>
      <c r="I77" s="770">
        <v>7393.72</v>
      </c>
      <c r="J77" s="682">
        <f t="shared" si="0"/>
        <v>7393.72</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si="13"/>
        <v>7393.72</v>
      </c>
      <c r="AC77" s="692">
        <f t="shared" si="14"/>
        <v>0</v>
      </c>
      <c r="AD77" s="692">
        <f t="shared" si="15"/>
        <v>0</v>
      </c>
      <c r="AE77" s="38"/>
      <c r="AF77" s="692">
        <f t="shared" si="10"/>
        <v>0</v>
      </c>
      <c r="AG77" s="692">
        <f t="shared" si="11"/>
        <v>0</v>
      </c>
      <c r="AH77" s="692">
        <f t="shared" si="12"/>
        <v>0</v>
      </c>
      <c r="AJ77" s="38">
        <f t="shared" si="16"/>
        <v>7393.72</v>
      </c>
    </row>
    <row r="78" spans="1:36">
      <c r="A78" s="20"/>
      <c r="B78" s="20" t="s">
        <v>110</v>
      </c>
      <c r="C78" s="667"/>
      <c r="D78" s="68" t="s">
        <v>646</v>
      </c>
      <c r="E78" s="679"/>
      <c r="F78" s="529">
        <f>VLOOKUP(D78,'Sept 2012 Revenue'!D:T,17,FALSE)</f>
        <v>321.41000000000003</v>
      </c>
      <c r="G78" s="680"/>
      <c r="H78" s="680"/>
      <c r="I78" s="755"/>
      <c r="J78" s="682">
        <f t="shared" si="0"/>
        <v>321.41000000000003</v>
      </c>
      <c r="K78" s="683"/>
      <c r="L78" s="684"/>
      <c r="M78" s="753"/>
      <c r="N78" s="683">
        <v>0</v>
      </c>
      <c r="O78" s="686"/>
      <c r="P78" s="683">
        <v>0</v>
      </c>
      <c r="Q78" s="687">
        <f t="shared" si="1"/>
        <v>0</v>
      </c>
      <c r="R78" s="688">
        <v>245.4</v>
      </c>
      <c r="S78" s="693"/>
      <c r="T78" s="690">
        <f t="shared" si="2"/>
        <v>245.4</v>
      </c>
      <c r="U78" s="683"/>
      <c r="V78" s="474">
        <f t="shared" si="3"/>
        <v>0</v>
      </c>
      <c r="W78" s="474">
        <f t="shared" si="4"/>
        <v>0</v>
      </c>
      <c r="X78" s="475">
        <f t="shared" si="5"/>
        <v>0</v>
      </c>
      <c r="Y78" s="475">
        <v>0</v>
      </c>
      <c r="Z78" s="476">
        <v>0</v>
      </c>
      <c r="AA78" s="38">
        <f t="shared" si="6"/>
        <v>0</v>
      </c>
      <c r="AB78" s="692">
        <f t="shared" si="13"/>
        <v>321.41000000000003</v>
      </c>
      <c r="AC78" s="692">
        <f t="shared" si="14"/>
        <v>0</v>
      </c>
      <c r="AD78" s="692">
        <f t="shared" si="15"/>
        <v>0</v>
      </c>
      <c r="AE78" s="38"/>
      <c r="AF78" s="692">
        <f t="shared" si="10"/>
        <v>0</v>
      </c>
      <c r="AG78" s="692">
        <f t="shared" si="11"/>
        <v>0</v>
      </c>
      <c r="AH78" s="692">
        <f t="shared" si="12"/>
        <v>0</v>
      </c>
      <c r="AJ78" s="38">
        <f t="shared" si="16"/>
        <v>321.41000000000003</v>
      </c>
    </row>
    <row r="79" spans="1:36">
      <c r="A79" s="20" t="s">
        <v>109</v>
      </c>
      <c r="B79" s="20" t="s">
        <v>109</v>
      </c>
      <c r="C79" s="667" t="s">
        <v>539</v>
      </c>
      <c r="D79" s="68" t="s">
        <v>510</v>
      </c>
      <c r="E79" s="679">
        <f>743.81+859.33+992.33</f>
        <v>2595.4699999999998</v>
      </c>
      <c r="F79" s="529">
        <f>VLOOKUP(D79,'Sept 2012 Revenue'!D:T,17,FALSE)</f>
        <v>0</v>
      </c>
      <c r="G79" s="680"/>
      <c r="H79" s="680"/>
      <c r="I79" s="755"/>
      <c r="J79" s="682">
        <f t="shared" si="0"/>
        <v>2595.4699999999998</v>
      </c>
      <c r="K79" s="683"/>
      <c r="L79" s="684"/>
      <c r="M79" s="753"/>
      <c r="N79" s="683">
        <v>0</v>
      </c>
      <c r="O79" s="686"/>
      <c r="P79" s="683">
        <v>0</v>
      </c>
      <c r="Q79" s="687">
        <f t="shared" si="1"/>
        <v>0</v>
      </c>
      <c r="R79" s="688">
        <v>0</v>
      </c>
      <c r="S79" s="693"/>
      <c r="T79" s="690">
        <f t="shared" si="2"/>
        <v>0</v>
      </c>
      <c r="U79" s="683"/>
      <c r="V79" s="474">
        <f t="shared" si="3"/>
        <v>0</v>
      </c>
      <c r="W79" s="474">
        <f t="shared" si="4"/>
        <v>0</v>
      </c>
      <c r="X79" s="475">
        <f t="shared" si="5"/>
        <v>0</v>
      </c>
      <c r="Y79" s="475">
        <v>0</v>
      </c>
      <c r="Z79" s="476">
        <v>0</v>
      </c>
      <c r="AA79" s="38">
        <f t="shared" si="6"/>
        <v>0</v>
      </c>
      <c r="AB79" s="692">
        <f t="shared" si="13"/>
        <v>0</v>
      </c>
      <c r="AC79" s="692">
        <f t="shared" si="14"/>
        <v>2595.4699999999998</v>
      </c>
      <c r="AD79" s="692">
        <f t="shared" si="15"/>
        <v>0</v>
      </c>
      <c r="AE79" s="38"/>
      <c r="AF79" s="692">
        <f t="shared" si="10"/>
        <v>0</v>
      </c>
      <c r="AG79" s="692">
        <f t="shared" si="11"/>
        <v>0</v>
      </c>
      <c r="AH79" s="692">
        <f t="shared" si="12"/>
        <v>0</v>
      </c>
      <c r="AJ79" s="38">
        <f t="shared" si="16"/>
        <v>2595.4699999999998</v>
      </c>
    </row>
    <row r="80" spans="1:36">
      <c r="A80" s="20"/>
      <c r="B80" s="20" t="s">
        <v>109</v>
      </c>
      <c r="C80" s="667"/>
      <c r="D80" s="68" t="s">
        <v>16</v>
      </c>
      <c r="E80" s="679"/>
      <c r="F80" s="529">
        <f>VLOOKUP(D80,'Sept 2012 Revenue'!D:T,17,FALSE)</f>
        <v>27.26</v>
      </c>
      <c r="G80" s="680"/>
      <c r="H80" s="680"/>
      <c r="I80" s="770">
        <v>77.81</v>
      </c>
      <c r="J80" s="682">
        <f t="shared" si="0"/>
        <v>105.07000000000001</v>
      </c>
      <c r="K80" s="683"/>
      <c r="L80" s="684"/>
      <c r="M80" s="753"/>
      <c r="N80" s="683">
        <v>0</v>
      </c>
      <c r="O80" s="686"/>
      <c r="P80" s="683">
        <v>0</v>
      </c>
      <c r="Q80" s="687">
        <f t="shared" si="1"/>
        <v>0</v>
      </c>
      <c r="R80" s="688">
        <v>0</v>
      </c>
      <c r="S80" s="693"/>
      <c r="T80" s="690">
        <f t="shared" si="2"/>
        <v>0</v>
      </c>
      <c r="U80" s="683"/>
      <c r="V80" s="474">
        <f t="shared" si="3"/>
        <v>0</v>
      </c>
      <c r="W80" s="474">
        <f t="shared" si="4"/>
        <v>0</v>
      </c>
      <c r="X80" s="475">
        <f t="shared" si="5"/>
        <v>0</v>
      </c>
      <c r="Y80" s="475">
        <v>0</v>
      </c>
      <c r="Z80" s="476">
        <v>0</v>
      </c>
      <c r="AA80" s="38">
        <f t="shared" si="6"/>
        <v>0</v>
      </c>
      <c r="AB80" s="692">
        <f t="shared" si="13"/>
        <v>0</v>
      </c>
      <c r="AC80" s="692">
        <f t="shared" si="14"/>
        <v>105.07000000000001</v>
      </c>
      <c r="AD80" s="692">
        <f t="shared" si="15"/>
        <v>0</v>
      </c>
      <c r="AE80" s="38"/>
      <c r="AF80" s="692">
        <f t="shared" si="10"/>
        <v>0</v>
      </c>
      <c r="AG80" s="692">
        <f t="shared" si="11"/>
        <v>0</v>
      </c>
      <c r="AH80" s="692">
        <f t="shared" si="12"/>
        <v>0</v>
      </c>
      <c r="AJ80" s="38">
        <f t="shared" si="16"/>
        <v>105.07000000000001</v>
      </c>
    </row>
    <row r="81" spans="1:36">
      <c r="A81" s="20"/>
      <c r="B81" s="20" t="s">
        <v>110</v>
      </c>
      <c r="C81" s="667"/>
      <c r="D81" s="68" t="s">
        <v>597</v>
      </c>
      <c r="E81" s="679"/>
      <c r="F81" s="529">
        <f>VLOOKUP(D81,'Sept 2012 Revenue'!D:T,17,FALSE)</f>
        <v>4001.4799999999959</v>
      </c>
      <c r="G81" s="680"/>
      <c r="H81" s="680"/>
      <c r="I81" s="755"/>
      <c r="J81" s="682">
        <f t="shared" si="0"/>
        <v>4001.4799999999959</v>
      </c>
      <c r="K81" s="683"/>
      <c r="L81" s="684"/>
      <c r="M81" s="753">
        <v>75000</v>
      </c>
      <c r="N81" s="683">
        <v>0</v>
      </c>
      <c r="O81" s="686"/>
      <c r="P81" s="683">
        <v>0</v>
      </c>
      <c r="Q81" s="687">
        <f t="shared" si="1"/>
        <v>75000</v>
      </c>
      <c r="R81" s="688">
        <v>87359.26</v>
      </c>
      <c r="S81" s="693"/>
      <c r="T81" s="690">
        <f t="shared" si="2"/>
        <v>12359.259999999995</v>
      </c>
      <c r="U81" s="683"/>
      <c r="V81" s="474">
        <f t="shared" si="3"/>
        <v>75000</v>
      </c>
      <c r="W81" s="474">
        <f t="shared" si="4"/>
        <v>0</v>
      </c>
      <c r="X81" s="475">
        <f t="shared" si="5"/>
        <v>0</v>
      </c>
      <c r="Y81" s="475">
        <v>0</v>
      </c>
      <c r="Z81" s="476">
        <v>0</v>
      </c>
      <c r="AA81" s="38">
        <f t="shared" si="6"/>
        <v>0</v>
      </c>
      <c r="AB81" s="692">
        <f t="shared" si="13"/>
        <v>4001.4799999999959</v>
      </c>
      <c r="AC81" s="692">
        <f t="shared" si="14"/>
        <v>0</v>
      </c>
      <c r="AD81" s="692">
        <f t="shared" si="15"/>
        <v>0</v>
      </c>
      <c r="AE81" s="38"/>
      <c r="AF81" s="692">
        <f t="shared" si="10"/>
        <v>75000</v>
      </c>
      <c r="AG81" s="692">
        <f t="shared" si="11"/>
        <v>0</v>
      </c>
      <c r="AH81" s="692">
        <f t="shared" si="12"/>
        <v>0</v>
      </c>
      <c r="AJ81" s="38">
        <f t="shared" si="16"/>
        <v>79001.48</v>
      </c>
    </row>
    <row r="82" spans="1:36" s="232" customFormat="1">
      <c r="A82" s="283"/>
      <c r="B82" s="283" t="s">
        <v>109</v>
      </c>
      <c r="C82" s="667" t="s">
        <v>540</v>
      </c>
      <c r="D82" s="373" t="s">
        <v>410</v>
      </c>
      <c r="E82" s="679"/>
      <c r="F82" s="529">
        <f>VLOOKUP(D82,'Sept 2012 Revenue'!D:T,17,FALSE)</f>
        <v>0</v>
      </c>
      <c r="G82" s="680"/>
      <c r="H82" s="680"/>
      <c r="I82" s="755"/>
      <c r="J82" s="682">
        <f t="shared" si="0"/>
        <v>0</v>
      </c>
      <c r="K82" s="683"/>
      <c r="L82" s="684"/>
      <c r="M82" s="753">
        <v>5000</v>
      </c>
      <c r="N82" s="683">
        <v>0</v>
      </c>
      <c r="O82" s="686"/>
      <c r="P82" s="683">
        <v>0</v>
      </c>
      <c r="Q82" s="687">
        <f t="shared" si="1"/>
        <v>5000</v>
      </c>
      <c r="R82" s="688">
        <v>0</v>
      </c>
      <c r="S82" s="693"/>
      <c r="T82" s="690">
        <f t="shared" si="2"/>
        <v>-5000</v>
      </c>
      <c r="U82" s="683"/>
      <c r="V82" s="474">
        <f t="shared" si="3"/>
        <v>0</v>
      </c>
      <c r="W82" s="474">
        <f t="shared" si="4"/>
        <v>5000</v>
      </c>
      <c r="X82" s="475">
        <f t="shared" si="5"/>
        <v>0</v>
      </c>
      <c r="Y82" s="475">
        <v>0</v>
      </c>
      <c r="Z82" s="476">
        <v>0</v>
      </c>
      <c r="AA82" s="38">
        <f t="shared" si="6"/>
        <v>0</v>
      </c>
      <c r="AB82" s="692">
        <f t="shared" si="13"/>
        <v>0</v>
      </c>
      <c r="AC82" s="692">
        <f t="shared" si="14"/>
        <v>0</v>
      </c>
      <c r="AD82" s="692">
        <f t="shared" si="15"/>
        <v>0</v>
      </c>
      <c r="AE82" s="38"/>
      <c r="AF82" s="692">
        <f t="shared" ref="AF82:AF147" si="45">IF(B82="D",Q82,0)</f>
        <v>0</v>
      </c>
      <c r="AG82" s="692">
        <f t="shared" ref="AG82:AG147" si="46">IF(B82="M",Q82,0)</f>
        <v>5000</v>
      </c>
      <c r="AH82" s="692">
        <f t="shared" ref="AH82:AH147" si="47">IF(B82="V",Q82,0)</f>
        <v>0</v>
      </c>
      <c r="AJ82" s="38">
        <f t="shared" si="16"/>
        <v>5000</v>
      </c>
    </row>
    <row r="83" spans="1:36" s="232" customFormat="1">
      <c r="A83" s="283"/>
      <c r="B83" s="283" t="s">
        <v>109</v>
      </c>
      <c r="C83" s="667" t="s">
        <v>540</v>
      </c>
      <c r="D83" s="373" t="s">
        <v>879</v>
      </c>
      <c r="E83" s="679"/>
      <c r="F83" s="529">
        <v>0</v>
      </c>
      <c r="G83" s="680"/>
      <c r="H83" s="680"/>
      <c r="I83" s="755"/>
      <c r="J83" s="682">
        <f t="shared" ref="J83:J146" si="48">SUM(E83:I83)</f>
        <v>0</v>
      </c>
      <c r="K83" s="683"/>
      <c r="L83" s="684"/>
      <c r="M83" s="753"/>
      <c r="N83" s="683">
        <v>0</v>
      </c>
      <c r="O83" s="686"/>
      <c r="P83" s="683">
        <v>0</v>
      </c>
      <c r="Q83" s="687">
        <v>50000</v>
      </c>
      <c r="R83" s="688">
        <v>20699.11</v>
      </c>
      <c r="S83" s="693"/>
      <c r="T83" s="690">
        <f t="shared" ref="T83:T146" si="49">IF(R83="","",R83-Q83)</f>
        <v>-29300.89</v>
      </c>
      <c r="U83" s="683"/>
      <c r="V83" s="474">
        <f t="shared" ref="V83:V147" si="50">IF(B83="D",Q83,0)</f>
        <v>0</v>
      </c>
      <c r="W83" s="474">
        <f t="shared" ref="W83:W147" si="51">IF(B83="M",Q83,0)</f>
        <v>50000</v>
      </c>
      <c r="X83" s="475">
        <f t="shared" ref="X83:X147" si="52">IF(B83="V",Q83,0)</f>
        <v>0</v>
      </c>
      <c r="Y83" s="475">
        <v>0</v>
      </c>
      <c r="Z83" s="476">
        <v>0</v>
      </c>
      <c r="AA83" s="38">
        <f t="shared" ref="AA83:AA147" si="53">(L83+M83)-(V83+W83+X83+Y83+Z83)</f>
        <v>-50000</v>
      </c>
      <c r="AB83" s="692">
        <f t="shared" si="13"/>
        <v>0</v>
      </c>
      <c r="AC83" s="692">
        <f t="shared" si="14"/>
        <v>0</v>
      </c>
      <c r="AD83" s="692">
        <f t="shared" si="15"/>
        <v>0</v>
      </c>
      <c r="AE83" s="38"/>
      <c r="AF83" s="692">
        <f t="shared" si="45"/>
        <v>0</v>
      </c>
      <c r="AG83" s="692">
        <f t="shared" si="46"/>
        <v>50000</v>
      </c>
      <c r="AH83" s="692">
        <f t="shared" si="47"/>
        <v>0</v>
      </c>
      <c r="AJ83" s="38">
        <f t="shared" si="16"/>
        <v>50000</v>
      </c>
    </row>
    <row r="84" spans="1:36" s="232" customFormat="1">
      <c r="A84" s="283"/>
      <c r="B84" s="283" t="s">
        <v>109</v>
      </c>
      <c r="C84" s="667" t="s">
        <v>540</v>
      </c>
      <c r="D84" s="373" t="s">
        <v>620</v>
      </c>
      <c r="E84" s="679"/>
      <c r="F84" s="529">
        <f>VLOOKUP(D84,'Sept 2012 Revenue'!D:T,17,FALSE)</f>
        <v>0</v>
      </c>
      <c r="G84" s="680"/>
      <c r="H84" s="680"/>
      <c r="I84" s="755"/>
      <c r="J84" s="682">
        <f t="shared" si="48"/>
        <v>0</v>
      </c>
      <c r="K84" s="683"/>
      <c r="L84" s="684"/>
      <c r="M84" s="753"/>
      <c r="N84" s="683">
        <v>0</v>
      </c>
      <c r="O84" s="686"/>
      <c r="P84" s="683">
        <v>0</v>
      </c>
      <c r="Q84" s="687">
        <f t="shared" si="1"/>
        <v>0</v>
      </c>
      <c r="R84" s="688">
        <v>0</v>
      </c>
      <c r="S84" s="693"/>
      <c r="T84" s="690">
        <f t="shared" si="49"/>
        <v>0</v>
      </c>
      <c r="U84" s="683"/>
      <c r="V84" s="474">
        <f t="shared" si="50"/>
        <v>0</v>
      </c>
      <c r="W84" s="474">
        <f t="shared" si="51"/>
        <v>0</v>
      </c>
      <c r="X84" s="475">
        <f t="shared" si="52"/>
        <v>0</v>
      </c>
      <c r="Y84" s="475">
        <v>0</v>
      </c>
      <c r="Z84" s="476">
        <v>0</v>
      </c>
      <c r="AA84" s="38">
        <f t="shared" si="53"/>
        <v>0</v>
      </c>
      <c r="AB84" s="692">
        <f t="shared" ref="AB84:AB149" si="54">IF(B84="D",J84,0)</f>
        <v>0</v>
      </c>
      <c r="AC84" s="692">
        <f t="shared" ref="AC84:AC149" si="55">IF(B84="M",J84,0)</f>
        <v>0</v>
      </c>
      <c r="AD84" s="692">
        <f t="shared" ref="AD84:AD149" si="56">IF(B84="V",J84,0)</f>
        <v>0</v>
      </c>
      <c r="AE84" s="38"/>
      <c r="AF84" s="692">
        <f t="shared" si="45"/>
        <v>0</v>
      </c>
      <c r="AG84" s="692">
        <f t="shared" si="46"/>
        <v>0</v>
      </c>
      <c r="AH84" s="692">
        <f t="shared" si="47"/>
        <v>0</v>
      </c>
      <c r="AJ84" s="38">
        <f t="shared" ref="AJ84:AJ149" si="57">SUM(AB84:AH84)</f>
        <v>0</v>
      </c>
    </row>
    <row r="85" spans="1:36">
      <c r="A85" s="20"/>
      <c r="B85" s="20" t="s">
        <v>110</v>
      </c>
      <c r="C85" s="667" t="s">
        <v>541</v>
      </c>
      <c r="D85" s="351" t="s">
        <v>507</v>
      </c>
      <c r="E85" s="679">
        <v>164.33</v>
      </c>
      <c r="F85" s="529">
        <f>VLOOKUP(D85,'Sept 2012 Revenue'!D:T,17,FALSE)</f>
        <v>169.86</v>
      </c>
      <c r="G85" s="680"/>
      <c r="H85" s="680"/>
      <c r="I85" s="755"/>
      <c r="J85" s="682">
        <f t="shared" si="48"/>
        <v>334.19000000000005</v>
      </c>
      <c r="K85" s="683"/>
      <c r="L85" s="684"/>
      <c r="M85" s="753"/>
      <c r="N85" s="683">
        <v>0</v>
      </c>
      <c r="O85" s="686"/>
      <c r="P85" s="683">
        <v>0</v>
      </c>
      <c r="Q85" s="687">
        <f t="shared" si="1"/>
        <v>0</v>
      </c>
      <c r="R85" s="688">
        <v>0</v>
      </c>
      <c r="S85" s="693"/>
      <c r="T85" s="690">
        <f t="shared" si="49"/>
        <v>0</v>
      </c>
      <c r="U85" s="683"/>
      <c r="V85" s="474">
        <f t="shared" si="50"/>
        <v>0</v>
      </c>
      <c r="W85" s="474">
        <f t="shared" si="51"/>
        <v>0</v>
      </c>
      <c r="X85" s="475">
        <f t="shared" si="52"/>
        <v>0</v>
      </c>
      <c r="Y85" s="475">
        <v>0</v>
      </c>
      <c r="Z85" s="476">
        <v>0</v>
      </c>
      <c r="AA85" s="38">
        <f t="shared" si="53"/>
        <v>0</v>
      </c>
      <c r="AB85" s="692">
        <f t="shared" si="54"/>
        <v>334.19000000000005</v>
      </c>
      <c r="AC85" s="692">
        <f t="shared" si="55"/>
        <v>0</v>
      </c>
      <c r="AD85" s="692">
        <f t="shared" si="56"/>
        <v>0</v>
      </c>
      <c r="AE85" s="38"/>
      <c r="AF85" s="692">
        <f t="shared" si="45"/>
        <v>0</v>
      </c>
      <c r="AG85" s="692">
        <f t="shared" si="46"/>
        <v>0</v>
      </c>
      <c r="AH85" s="692">
        <f t="shared" si="47"/>
        <v>0</v>
      </c>
      <c r="AJ85" s="38">
        <f t="shared" si="57"/>
        <v>334.19000000000005</v>
      </c>
    </row>
    <row r="86" spans="1:36">
      <c r="A86" s="20"/>
      <c r="B86" s="20" t="s">
        <v>110</v>
      </c>
      <c r="C86" s="667" t="s">
        <v>541</v>
      </c>
      <c r="D86" s="351" t="s">
        <v>506</v>
      </c>
      <c r="E86" s="679">
        <v>99.02</v>
      </c>
      <c r="F86" s="529">
        <f>VLOOKUP(D86,'Sept 2012 Revenue'!D:T,17,FALSE)</f>
        <v>4.13</v>
      </c>
      <c r="G86" s="680"/>
      <c r="H86" s="680"/>
      <c r="I86" s="755"/>
      <c r="J86" s="682">
        <f t="shared" si="48"/>
        <v>103.14999999999999</v>
      </c>
      <c r="K86" s="683"/>
      <c r="L86" s="684"/>
      <c r="M86" s="753"/>
      <c r="N86" s="683">
        <v>0</v>
      </c>
      <c r="O86" s="686"/>
      <c r="P86" s="683">
        <v>0</v>
      </c>
      <c r="Q86" s="687">
        <f t="shared" si="1"/>
        <v>0</v>
      </c>
      <c r="R86" s="688">
        <v>0</v>
      </c>
      <c r="S86" s="693"/>
      <c r="T86" s="690">
        <f t="shared" si="49"/>
        <v>0</v>
      </c>
      <c r="U86" s="683"/>
      <c r="V86" s="474">
        <f t="shared" si="50"/>
        <v>0</v>
      </c>
      <c r="W86" s="474">
        <f t="shared" si="51"/>
        <v>0</v>
      </c>
      <c r="X86" s="475">
        <f t="shared" si="52"/>
        <v>0</v>
      </c>
      <c r="Y86" s="475">
        <v>0</v>
      </c>
      <c r="Z86" s="476">
        <v>0</v>
      </c>
      <c r="AA86" s="38">
        <f t="shared" si="53"/>
        <v>0</v>
      </c>
      <c r="AB86" s="692">
        <f t="shared" si="54"/>
        <v>103.14999999999999</v>
      </c>
      <c r="AC86" s="692">
        <f t="shared" si="55"/>
        <v>0</v>
      </c>
      <c r="AD86" s="692">
        <f t="shared" si="56"/>
        <v>0</v>
      </c>
      <c r="AE86" s="38"/>
      <c r="AF86" s="692">
        <f t="shared" si="45"/>
        <v>0</v>
      </c>
      <c r="AG86" s="692">
        <f t="shared" si="46"/>
        <v>0</v>
      </c>
      <c r="AH86" s="692">
        <f t="shared" si="47"/>
        <v>0</v>
      </c>
      <c r="AJ86" s="38">
        <f t="shared" si="57"/>
        <v>103.14999999999999</v>
      </c>
    </row>
    <row r="87" spans="1:36">
      <c r="A87" s="20"/>
      <c r="B87" s="20" t="s">
        <v>110</v>
      </c>
      <c r="C87" s="667" t="s">
        <v>542</v>
      </c>
      <c r="D87" s="68" t="s">
        <v>305</v>
      </c>
      <c r="E87" s="679">
        <v>360.51</v>
      </c>
      <c r="F87" s="529">
        <f>VLOOKUP(D87,'Sept 2012 Revenue'!D:T,17,FALSE)</f>
        <v>374.28</v>
      </c>
      <c r="G87" s="680"/>
      <c r="H87" s="680"/>
      <c r="I87" s="755"/>
      <c r="J87" s="682">
        <f t="shared" si="48"/>
        <v>734.79</v>
      </c>
      <c r="K87" s="683"/>
      <c r="L87" s="684"/>
      <c r="M87" s="753"/>
      <c r="N87" s="683">
        <v>0</v>
      </c>
      <c r="O87" s="686"/>
      <c r="P87" s="683">
        <v>0</v>
      </c>
      <c r="Q87" s="687">
        <f t="shared" si="1"/>
        <v>0</v>
      </c>
      <c r="R87" s="688">
        <v>577.79999999999995</v>
      </c>
      <c r="S87" s="693"/>
      <c r="T87" s="690">
        <f t="shared" si="49"/>
        <v>577.79999999999995</v>
      </c>
      <c r="U87" s="683"/>
      <c r="V87" s="474">
        <f t="shared" si="50"/>
        <v>0</v>
      </c>
      <c r="W87" s="474">
        <f t="shared" si="51"/>
        <v>0</v>
      </c>
      <c r="X87" s="475">
        <f t="shared" si="52"/>
        <v>0</v>
      </c>
      <c r="Y87" s="475">
        <v>0</v>
      </c>
      <c r="Z87" s="476">
        <v>0</v>
      </c>
      <c r="AA87" s="38">
        <f t="shared" si="53"/>
        <v>0</v>
      </c>
      <c r="AB87" s="692">
        <f t="shared" si="54"/>
        <v>734.79</v>
      </c>
      <c r="AC87" s="692">
        <f t="shared" si="55"/>
        <v>0</v>
      </c>
      <c r="AD87" s="692">
        <f t="shared" si="56"/>
        <v>0</v>
      </c>
      <c r="AE87" s="38"/>
      <c r="AF87" s="692">
        <f t="shared" si="45"/>
        <v>0</v>
      </c>
      <c r="AG87" s="692">
        <f t="shared" si="46"/>
        <v>0</v>
      </c>
      <c r="AH87" s="692">
        <f t="shared" si="47"/>
        <v>0</v>
      </c>
      <c r="AJ87" s="38">
        <f t="shared" si="57"/>
        <v>734.79</v>
      </c>
    </row>
    <row r="88" spans="1:36">
      <c r="A88" s="20"/>
      <c r="B88" s="20" t="s">
        <v>110</v>
      </c>
      <c r="C88" s="667" t="s">
        <v>543</v>
      </c>
      <c r="D88" s="68" t="s">
        <v>199</v>
      </c>
      <c r="E88" s="679">
        <v>200.13</v>
      </c>
      <c r="F88" s="529">
        <f>VLOOKUP(D88,'Sept 2012 Revenue'!D:T,17,FALSE)</f>
        <v>127.43</v>
      </c>
      <c r="G88" s="680"/>
      <c r="H88" s="680"/>
      <c r="I88" s="755"/>
      <c r="J88" s="682">
        <f t="shared" si="48"/>
        <v>327.56</v>
      </c>
      <c r="K88" s="683"/>
      <c r="L88" s="684"/>
      <c r="M88" s="753"/>
      <c r="N88" s="683">
        <v>0</v>
      </c>
      <c r="O88" s="686"/>
      <c r="P88" s="683">
        <v>0</v>
      </c>
      <c r="Q88" s="687">
        <f t="shared" si="1"/>
        <v>0</v>
      </c>
      <c r="R88" s="688">
        <v>363.13</v>
      </c>
      <c r="S88" s="693"/>
      <c r="T88" s="690">
        <f t="shared" si="49"/>
        <v>363.13</v>
      </c>
      <c r="U88" s="683"/>
      <c r="V88" s="474">
        <f t="shared" si="50"/>
        <v>0</v>
      </c>
      <c r="W88" s="474">
        <f t="shared" si="51"/>
        <v>0</v>
      </c>
      <c r="X88" s="475">
        <f t="shared" si="52"/>
        <v>0</v>
      </c>
      <c r="Y88" s="475">
        <v>0</v>
      </c>
      <c r="Z88" s="476">
        <v>0</v>
      </c>
      <c r="AA88" s="38">
        <f t="shared" si="53"/>
        <v>0</v>
      </c>
      <c r="AB88" s="692">
        <f t="shared" si="54"/>
        <v>327.56</v>
      </c>
      <c r="AC88" s="692">
        <f t="shared" si="55"/>
        <v>0</v>
      </c>
      <c r="AD88" s="692">
        <f t="shared" si="56"/>
        <v>0</v>
      </c>
      <c r="AE88" s="38"/>
      <c r="AF88" s="692">
        <f t="shared" si="45"/>
        <v>0</v>
      </c>
      <c r="AG88" s="692">
        <f t="shared" si="46"/>
        <v>0</v>
      </c>
      <c r="AH88" s="692">
        <f t="shared" si="47"/>
        <v>0</v>
      </c>
      <c r="AJ88" s="38">
        <f t="shared" si="57"/>
        <v>327.56</v>
      </c>
    </row>
    <row r="89" spans="1:36">
      <c r="A89" s="20"/>
      <c r="B89" s="20" t="s">
        <v>110</v>
      </c>
      <c r="C89" s="667" t="s">
        <v>543</v>
      </c>
      <c r="D89" s="68" t="s">
        <v>200</v>
      </c>
      <c r="E89" s="679">
        <v>5405.4</v>
      </c>
      <c r="F89" s="529">
        <f>VLOOKUP(D89,'Sept 2012 Revenue'!D:T,17,FALSE)</f>
        <v>1653.4</v>
      </c>
      <c r="G89" s="680"/>
      <c r="H89" s="680"/>
      <c r="I89" s="755"/>
      <c r="J89" s="682">
        <f t="shared" si="48"/>
        <v>7058.7999999999993</v>
      </c>
      <c r="K89" s="683"/>
      <c r="L89" s="684"/>
      <c r="M89" s="753"/>
      <c r="N89" s="683">
        <v>0</v>
      </c>
      <c r="O89" s="686"/>
      <c r="P89" s="683">
        <v>0</v>
      </c>
      <c r="Q89" s="687">
        <f t="shared" si="1"/>
        <v>0</v>
      </c>
      <c r="R89" s="688">
        <v>310.8</v>
      </c>
      <c r="S89" s="693"/>
      <c r="T89" s="690">
        <f t="shared" si="49"/>
        <v>310.8</v>
      </c>
      <c r="U89" s="683"/>
      <c r="V89" s="474">
        <f t="shared" si="50"/>
        <v>0</v>
      </c>
      <c r="W89" s="474">
        <f t="shared" si="51"/>
        <v>0</v>
      </c>
      <c r="X89" s="475">
        <f t="shared" si="52"/>
        <v>0</v>
      </c>
      <c r="Y89" s="475">
        <v>0</v>
      </c>
      <c r="Z89" s="476">
        <v>0</v>
      </c>
      <c r="AA89" s="38">
        <f t="shared" si="53"/>
        <v>0</v>
      </c>
      <c r="AB89" s="692">
        <f t="shared" si="54"/>
        <v>7058.7999999999993</v>
      </c>
      <c r="AC89" s="692">
        <f t="shared" si="55"/>
        <v>0</v>
      </c>
      <c r="AD89" s="692">
        <f t="shared" si="56"/>
        <v>0</v>
      </c>
      <c r="AE89" s="38"/>
      <c r="AF89" s="692">
        <f t="shared" si="45"/>
        <v>0</v>
      </c>
      <c r="AG89" s="692">
        <f t="shared" si="46"/>
        <v>0</v>
      </c>
      <c r="AH89" s="692">
        <f t="shared" si="47"/>
        <v>0</v>
      </c>
      <c r="AJ89" s="38">
        <f t="shared" si="57"/>
        <v>7058.7999999999993</v>
      </c>
    </row>
    <row r="90" spans="1:36">
      <c r="A90" s="20"/>
      <c r="B90" s="20" t="s">
        <v>110</v>
      </c>
      <c r="C90" s="667" t="s">
        <v>543</v>
      </c>
      <c r="D90" s="68" t="s">
        <v>201</v>
      </c>
      <c r="E90" s="679">
        <v>30.01</v>
      </c>
      <c r="F90" s="529">
        <f>VLOOKUP(D90,'Sept 2012 Revenue'!D:T,17,FALSE)</f>
        <v>61.5</v>
      </c>
      <c r="G90" s="680"/>
      <c r="H90" s="680"/>
      <c r="I90" s="755"/>
      <c r="J90" s="682">
        <f t="shared" si="48"/>
        <v>91.51</v>
      </c>
      <c r="K90" s="683"/>
      <c r="L90" s="684"/>
      <c r="M90" s="753"/>
      <c r="N90" s="683">
        <v>0</v>
      </c>
      <c r="O90" s="686"/>
      <c r="P90" s="683">
        <v>0</v>
      </c>
      <c r="Q90" s="687">
        <f t="shared" si="1"/>
        <v>0</v>
      </c>
      <c r="R90" s="688">
        <v>25.21</v>
      </c>
      <c r="S90" s="693"/>
      <c r="T90" s="690">
        <f t="shared" si="49"/>
        <v>25.21</v>
      </c>
      <c r="U90" s="683"/>
      <c r="V90" s="474">
        <f t="shared" si="50"/>
        <v>0</v>
      </c>
      <c r="W90" s="474">
        <f t="shared" si="51"/>
        <v>0</v>
      </c>
      <c r="X90" s="475">
        <f t="shared" si="52"/>
        <v>0</v>
      </c>
      <c r="Y90" s="475">
        <v>0</v>
      </c>
      <c r="Z90" s="476">
        <v>0</v>
      </c>
      <c r="AA90" s="38">
        <f t="shared" si="53"/>
        <v>0</v>
      </c>
      <c r="AB90" s="692">
        <f t="shared" si="54"/>
        <v>91.51</v>
      </c>
      <c r="AC90" s="692">
        <f t="shared" si="55"/>
        <v>0</v>
      </c>
      <c r="AD90" s="692">
        <f t="shared" si="56"/>
        <v>0</v>
      </c>
      <c r="AE90" s="38"/>
      <c r="AF90" s="692">
        <f t="shared" si="45"/>
        <v>0</v>
      </c>
      <c r="AG90" s="692">
        <f t="shared" si="46"/>
        <v>0</v>
      </c>
      <c r="AH90" s="692">
        <f t="shared" si="47"/>
        <v>0</v>
      </c>
      <c r="AJ90" s="38">
        <f t="shared" si="57"/>
        <v>91.51</v>
      </c>
    </row>
    <row r="91" spans="1:36">
      <c r="A91" s="20" t="s">
        <v>97</v>
      </c>
      <c r="B91" s="20" t="s">
        <v>114</v>
      </c>
      <c r="C91" s="667"/>
      <c r="D91" s="68" t="s">
        <v>387</v>
      </c>
      <c r="E91" s="679"/>
      <c r="F91" s="529">
        <f>VLOOKUP(D91,'Sept 2012 Revenue'!D:T,17,FALSE)</f>
        <v>-1096.9799999999996</v>
      </c>
      <c r="G91" s="680"/>
      <c r="H91" s="680"/>
      <c r="I91" s="755"/>
      <c r="J91" s="682">
        <f t="shared" si="48"/>
        <v>-1096.9799999999996</v>
      </c>
      <c r="K91" s="683"/>
      <c r="L91" s="684"/>
      <c r="M91" s="753">
        <v>12000</v>
      </c>
      <c r="N91" s="683">
        <v>0</v>
      </c>
      <c r="O91" s="686"/>
      <c r="P91" s="683">
        <v>0</v>
      </c>
      <c r="Q91" s="687">
        <f t="shared" si="1"/>
        <v>12000</v>
      </c>
      <c r="R91" s="688">
        <v>9847.25</v>
      </c>
      <c r="S91" s="693"/>
      <c r="T91" s="690">
        <f t="shared" si="49"/>
        <v>-2152.75</v>
      </c>
      <c r="U91" s="683"/>
      <c r="V91" s="474">
        <f t="shared" si="50"/>
        <v>0</v>
      </c>
      <c r="W91" s="474">
        <f t="shared" si="51"/>
        <v>0</v>
      </c>
      <c r="X91" s="475">
        <f t="shared" si="52"/>
        <v>12000</v>
      </c>
      <c r="Y91" s="475">
        <v>0</v>
      </c>
      <c r="Z91" s="476">
        <v>0</v>
      </c>
      <c r="AA91" s="38">
        <f t="shared" si="53"/>
        <v>0</v>
      </c>
      <c r="AB91" s="692">
        <f t="shared" si="54"/>
        <v>0</v>
      </c>
      <c r="AC91" s="692">
        <f t="shared" si="55"/>
        <v>0</v>
      </c>
      <c r="AD91" s="692">
        <f t="shared" si="56"/>
        <v>-1096.9799999999996</v>
      </c>
      <c r="AE91" s="38"/>
      <c r="AF91" s="692">
        <f t="shared" si="45"/>
        <v>0</v>
      </c>
      <c r="AG91" s="692">
        <f t="shared" si="46"/>
        <v>0</v>
      </c>
      <c r="AH91" s="692">
        <f t="shared" si="47"/>
        <v>12000</v>
      </c>
      <c r="AJ91" s="38">
        <f t="shared" si="57"/>
        <v>10903.02</v>
      </c>
    </row>
    <row r="92" spans="1:36">
      <c r="A92" s="20" t="s">
        <v>97</v>
      </c>
      <c r="B92" s="20" t="s">
        <v>114</v>
      </c>
      <c r="C92" s="667"/>
      <c r="D92" s="68" t="s">
        <v>482</v>
      </c>
      <c r="E92" s="679"/>
      <c r="F92" s="529">
        <f>VLOOKUP(D92,'Sept 2012 Revenue'!D:T,17,FALSE)</f>
        <v>0</v>
      </c>
      <c r="G92" s="680"/>
      <c r="H92" s="680"/>
      <c r="I92" s="755"/>
      <c r="J92" s="682">
        <f t="shared" si="48"/>
        <v>0</v>
      </c>
      <c r="K92" s="683"/>
      <c r="L92" s="684"/>
      <c r="M92" s="753"/>
      <c r="N92" s="683"/>
      <c r="O92" s="686"/>
      <c r="P92" s="683"/>
      <c r="Q92" s="687">
        <f t="shared" si="1"/>
        <v>0</v>
      </c>
      <c r="R92" s="688">
        <v>0</v>
      </c>
      <c r="S92" s="693"/>
      <c r="T92" s="690">
        <f t="shared" si="49"/>
        <v>0</v>
      </c>
      <c r="U92" s="683"/>
      <c r="V92" s="474">
        <f t="shared" si="50"/>
        <v>0</v>
      </c>
      <c r="W92" s="474">
        <f t="shared" si="51"/>
        <v>0</v>
      </c>
      <c r="X92" s="475">
        <f t="shared" si="52"/>
        <v>0</v>
      </c>
      <c r="Y92" s="475">
        <v>0</v>
      </c>
      <c r="Z92" s="476">
        <v>0</v>
      </c>
      <c r="AA92" s="38">
        <f t="shared" si="53"/>
        <v>0</v>
      </c>
      <c r="AB92" s="692">
        <f t="shared" si="54"/>
        <v>0</v>
      </c>
      <c r="AC92" s="692">
        <f t="shared" si="55"/>
        <v>0</v>
      </c>
      <c r="AD92" s="692">
        <f t="shared" si="56"/>
        <v>0</v>
      </c>
      <c r="AE92" s="38"/>
      <c r="AF92" s="692">
        <f t="shared" si="45"/>
        <v>0</v>
      </c>
      <c r="AG92" s="692">
        <f t="shared" si="46"/>
        <v>0</v>
      </c>
      <c r="AH92" s="692">
        <f t="shared" si="47"/>
        <v>0</v>
      </c>
      <c r="AJ92" s="38">
        <f t="shared" si="57"/>
        <v>0</v>
      </c>
    </row>
    <row r="93" spans="1:36">
      <c r="A93" s="20" t="s">
        <v>109</v>
      </c>
      <c r="B93" s="20" t="s">
        <v>109</v>
      </c>
      <c r="C93" s="667" t="s">
        <v>544</v>
      </c>
      <c r="D93" s="68" t="s">
        <v>383</v>
      </c>
      <c r="E93" s="679"/>
      <c r="F93" s="529">
        <f>VLOOKUP(D93,'Sept 2012 Revenue'!D:T,17,FALSE)</f>
        <v>0</v>
      </c>
      <c r="G93" s="680"/>
      <c r="H93" s="680"/>
      <c r="I93" s="755"/>
      <c r="J93" s="682">
        <f t="shared" si="48"/>
        <v>0</v>
      </c>
      <c r="K93" s="683"/>
      <c r="L93" s="684"/>
      <c r="M93" s="753"/>
      <c r="N93" s="683">
        <v>0</v>
      </c>
      <c r="O93" s="686"/>
      <c r="P93" s="683">
        <v>0</v>
      </c>
      <c r="Q93" s="687">
        <f t="shared" si="1"/>
        <v>0</v>
      </c>
      <c r="R93" s="688">
        <v>186.22</v>
      </c>
      <c r="S93" s="693"/>
      <c r="T93" s="690">
        <f t="shared" si="49"/>
        <v>186.22</v>
      </c>
      <c r="U93" s="683"/>
      <c r="V93" s="474">
        <f t="shared" si="50"/>
        <v>0</v>
      </c>
      <c r="W93" s="474">
        <f t="shared" si="51"/>
        <v>0</v>
      </c>
      <c r="X93" s="475">
        <f t="shared" si="52"/>
        <v>0</v>
      </c>
      <c r="Y93" s="475">
        <v>0</v>
      </c>
      <c r="Z93" s="476">
        <v>0</v>
      </c>
      <c r="AA93" s="38">
        <f t="shared" si="53"/>
        <v>0</v>
      </c>
      <c r="AB93" s="692">
        <f t="shared" si="54"/>
        <v>0</v>
      </c>
      <c r="AC93" s="692">
        <f t="shared" si="55"/>
        <v>0</v>
      </c>
      <c r="AD93" s="692">
        <f t="shared" si="56"/>
        <v>0</v>
      </c>
      <c r="AE93" s="38"/>
      <c r="AF93" s="692">
        <f t="shared" si="45"/>
        <v>0</v>
      </c>
      <c r="AG93" s="692">
        <f t="shared" si="46"/>
        <v>0</v>
      </c>
      <c r="AH93" s="692">
        <f t="shared" si="47"/>
        <v>0</v>
      </c>
      <c r="AJ93" s="38">
        <f t="shared" si="57"/>
        <v>0</v>
      </c>
    </row>
    <row r="94" spans="1:36">
      <c r="A94" s="21" t="s">
        <v>211</v>
      </c>
      <c r="B94" s="21" t="s">
        <v>109</v>
      </c>
      <c r="C94" s="666" t="s">
        <v>545</v>
      </c>
      <c r="D94" s="68" t="s">
        <v>181</v>
      </c>
      <c r="E94" s="679"/>
      <c r="F94" s="529">
        <f>VLOOKUP(D94,'Sept 2012 Revenue'!D:T,17,FALSE)</f>
        <v>-14000</v>
      </c>
      <c r="G94" s="680"/>
      <c r="H94" s="680"/>
      <c r="I94" s="755"/>
      <c r="J94" s="682">
        <f t="shared" si="48"/>
        <v>-14000</v>
      </c>
      <c r="K94" s="683"/>
      <c r="L94" s="684"/>
      <c r="M94" s="753">
        <v>15000</v>
      </c>
      <c r="N94" s="683">
        <v>0</v>
      </c>
      <c r="O94" s="686"/>
      <c r="P94" s="683">
        <v>0</v>
      </c>
      <c r="Q94" s="687">
        <f t="shared" si="1"/>
        <v>15000</v>
      </c>
      <c r="R94" s="688">
        <v>0</v>
      </c>
      <c r="S94" s="693"/>
      <c r="T94" s="690">
        <f t="shared" si="49"/>
        <v>-15000</v>
      </c>
      <c r="U94" s="683"/>
      <c r="V94" s="474">
        <f t="shared" si="50"/>
        <v>0</v>
      </c>
      <c r="W94" s="474">
        <f t="shared" si="51"/>
        <v>15000</v>
      </c>
      <c r="X94" s="475">
        <f t="shared" si="52"/>
        <v>0</v>
      </c>
      <c r="Y94" s="475">
        <v>0</v>
      </c>
      <c r="Z94" s="476">
        <v>0</v>
      </c>
      <c r="AA94" s="38">
        <f t="shared" si="53"/>
        <v>0</v>
      </c>
      <c r="AB94" s="692">
        <f t="shared" si="54"/>
        <v>0</v>
      </c>
      <c r="AC94" s="692">
        <f t="shared" si="55"/>
        <v>-14000</v>
      </c>
      <c r="AD94" s="692">
        <f t="shared" si="56"/>
        <v>0</v>
      </c>
      <c r="AE94" s="38"/>
      <c r="AF94" s="692">
        <f t="shared" si="45"/>
        <v>0</v>
      </c>
      <c r="AG94" s="692">
        <f t="shared" si="46"/>
        <v>15000</v>
      </c>
      <c r="AH94" s="692">
        <f t="shared" si="47"/>
        <v>0</v>
      </c>
      <c r="AJ94" s="38">
        <f t="shared" si="57"/>
        <v>1000</v>
      </c>
    </row>
    <row r="95" spans="1:36">
      <c r="A95" s="21" t="s">
        <v>211</v>
      </c>
      <c r="B95" s="21" t="s">
        <v>110</v>
      </c>
      <c r="C95" s="666"/>
      <c r="D95" s="68" t="s">
        <v>504</v>
      </c>
      <c r="E95" s="679"/>
      <c r="F95" s="529">
        <f>VLOOKUP(D95,'Sept 2012 Revenue'!D:T,17,FALSE)</f>
        <v>0</v>
      </c>
      <c r="G95" s="680"/>
      <c r="H95" s="680"/>
      <c r="I95" s="755"/>
      <c r="J95" s="682">
        <f t="shared" si="48"/>
        <v>0</v>
      </c>
      <c r="K95" s="683"/>
      <c r="L95" s="684"/>
      <c r="M95" s="753"/>
      <c r="N95" s="683">
        <v>0</v>
      </c>
      <c r="O95" s="686"/>
      <c r="P95" s="683">
        <v>0</v>
      </c>
      <c r="Q95" s="687">
        <f t="shared" si="1"/>
        <v>0</v>
      </c>
      <c r="R95" s="688">
        <v>0</v>
      </c>
      <c r="S95" s="693"/>
      <c r="T95" s="690">
        <f t="shared" si="49"/>
        <v>0</v>
      </c>
      <c r="U95" s="683"/>
      <c r="V95" s="474">
        <f t="shared" si="50"/>
        <v>0</v>
      </c>
      <c r="W95" s="474">
        <f t="shared" si="51"/>
        <v>0</v>
      </c>
      <c r="X95" s="475">
        <f t="shared" si="52"/>
        <v>0</v>
      </c>
      <c r="Y95" s="475">
        <v>0</v>
      </c>
      <c r="Z95" s="476">
        <v>0</v>
      </c>
      <c r="AA95" s="38">
        <f t="shared" si="53"/>
        <v>0</v>
      </c>
      <c r="AB95" s="692">
        <f t="shared" si="54"/>
        <v>0</v>
      </c>
      <c r="AC95" s="692">
        <f t="shared" si="55"/>
        <v>0</v>
      </c>
      <c r="AD95" s="692">
        <f t="shared" si="56"/>
        <v>0</v>
      </c>
      <c r="AE95" s="38"/>
      <c r="AF95" s="692">
        <f t="shared" si="45"/>
        <v>0</v>
      </c>
      <c r="AG95" s="692">
        <f t="shared" si="46"/>
        <v>0</v>
      </c>
      <c r="AH95" s="692">
        <f t="shared" si="47"/>
        <v>0</v>
      </c>
      <c r="AJ95" s="38">
        <f t="shared" si="57"/>
        <v>0</v>
      </c>
    </row>
    <row r="96" spans="1:36">
      <c r="A96" s="20" t="s">
        <v>211</v>
      </c>
      <c r="B96" s="20" t="s">
        <v>109</v>
      </c>
      <c r="C96" s="667" t="s">
        <v>546</v>
      </c>
      <c r="D96" s="68" t="s">
        <v>142</v>
      </c>
      <c r="E96" s="679"/>
      <c r="F96" s="529">
        <f>VLOOKUP(D96,'Sept 2012 Revenue'!D:T,17,FALSE)</f>
        <v>0</v>
      </c>
      <c r="G96" s="680"/>
      <c r="H96" s="680"/>
      <c r="I96" s="770">
        <v>1926.21</v>
      </c>
      <c r="J96" s="682">
        <f t="shared" si="48"/>
        <v>1926.21</v>
      </c>
      <c r="K96" s="683"/>
      <c r="L96" s="684"/>
      <c r="M96" s="753"/>
      <c r="N96" s="683">
        <v>0</v>
      </c>
      <c r="O96" s="686"/>
      <c r="P96" s="683">
        <v>0</v>
      </c>
      <c r="Q96" s="687">
        <f t="shared" si="1"/>
        <v>0</v>
      </c>
      <c r="R96" s="688">
        <v>0</v>
      </c>
      <c r="S96" s="693"/>
      <c r="T96" s="690">
        <f t="shared" si="49"/>
        <v>0</v>
      </c>
      <c r="U96" s="697"/>
      <c r="V96" s="474">
        <f t="shared" si="50"/>
        <v>0</v>
      </c>
      <c r="W96" s="474">
        <f t="shared" si="51"/>
        <v>0</v>
      </c>
      <c r="X96" s="475">
        <f t="shared" si="52"/>
        <v>0</v>
      </c>
      <c r="Y96" s="475">
        <v>0</v>
      </c>
      <c r="Z96" s="476">
        <v>0</v>
      </c>
      <c r="AA96" s="38">
        <f t="shared" si="53"/>
        <v>0</v>
      </c>
      <c r="AB96" s="692">
        <f t="shared" si="54"/>
        <v>0</v>
      </c>
      <c r="AC96" s="692">
        <f t="shared" si="55"/>
        <v>1926.21</v>
      </c>
      <c r="AD96" s="692">
        <f t="shared" si="56"/>
        <v>0</v>
      </c>
      <c r="AE96" s="38"/>
      <c r="AF96" s="692">
        <f t="shared" si="45"/>
        <v>0</v>
      </c>
      <c r="AG96" s="692">
        <f t="shared" si="46"/>
        <v>0</v>
      </c>
      <c r="AH96" s="692">
        <f t="shared" si="47"/>
        <v>0</v>
      </c>
      <c r="AJ96" s="38">
        <f t="shared" si="57"/>
        <v>1926.21</v>
      </c>
    </row>
    <row r="97" spans="1:36">
      <c r="A97" s="20" t="s">
        <v>211</v>
      </c>
      <c r="B97" s="20" t="s">
        <v>109</v>
      </c>
      <c r="C97" s="667" t="s">
        <v>546</v>
      </c>
      <c r="D97" s="68" t="s">
        <v>143</v>
      </c>
      <c r="E97" s="679"/>
      <c r="F97" s="529">
        <f>VLOOKUP(D97,'Sept 2012 Revenue'!D:T,17,FALSE)</f>
        <v>0</v>
      </c>
      <c r="G97" s="680"/>
      <c r="H97" s="680"/>
      <c r="I97" s="770">
        <v>135.05000000000001</v>
      </c>
      <c r="J97" s="682">
        <f t="shared" si="48"/>
        <v>135.05000000000001</v>
      </c>
      <c r="K97" s="683"/>
      <c r="L97" s="684"/>
      <c r="M97" s="753"/>
      <c r="N97" s="683">
        <v>0</v>
      </c>
      <c r="O97" s="686"/>
      <c r="P97" s="683">
        <v>0</v>
      </c>
      <c r="Q97" s="687">
        <f t="shared" si="1"/>
        <v>0</v>
      </c>
      <c r="R97" s="688">
        <v>0</v>
      </c>
      <c r="S97" s="693"/>
      <c r="T97" s="690">
        <f t="shared" si="49"/>
        <v>0</v>
      </c>
      <c r="U97" s="697"/>
      <c r="V97" s="474">
        <f t="shared" si="50"/>
        <v>0</v>
      </c>
      <c r="W97" s="474">
        <f t="shared" si="51"/>
        <v>0</v>
      </c>
      <c r="X97" s="475">
        <f t="shared" si="52"/>
        <v>0</v>
      </c>
      <c r="Y97" s="475">
        <v>0</v>
      </c>
      <c r="Z97" s="476">
        <v>0</v>
      </c>
      <c r="AA97" s="38">
        <f t="shared" si="53"/>
        <v>0</v>
      </c>
      <c r="AB97" s="692">
        <f t="shared" si="54"/>
        <v>0</v>
      </c>
      <c r="AC97" s="692">
        <f t="shared" si="55"/>
        <v>135.05000000000001</v>
      </c>
      <c r="AD97" s="692">
        <f t="shared" si="56"/>
        <v>0</v>
      </c>
      <c r="AE97" s="38"/>
      <c r="AF97" s="692">
        <f t="shared" si="45"/>
        <v>0</v>
      </c>
      <c r="AG97" s="692">
        <f t="shared" si="46"/>
        <v>0</v>
      </c>
      <c r="AH97" s="692">
        <f t="shared" si="47"/>
        <v>0</v>
      </c>
      <c r="AJ97" s="38">
        <f t="shared" si="57"/>
        <v>135.05000000000001</v>
      </c>
    </row>
    <row r="98" spans="1:36">
      <c r="A98" s="20" t="s">
        <v>109</v>
      </c>
      <c r="B98" s="20" t="s">
        <v>109</v>
      </c>
      <c r="C98" s="667"/>
      <c r="D98" s="68" t="s">
        <v>498</v>
      </c>
      <c r="E98" s="679"/>
      <c r="F98" s="529">
        <f>VLOOKUP(D98,'Sept 2012 Revenue'!D:T,17,FALSE)</f>
        <v>0</v>
      </c>
      <c r="G98" s="680"/>
      <c r="H98" s="680"/>
      <c r="I98" s="755"/>
      <c r="J98" s="682">
        <f t="shared" si="48"/>
        <v>0</v>
      </c>
      <c r="K98" s="683"/>
      <c r="L98" s="684"/>
      <c r="M98" s="753"/>
      <c r="N98" s="683">
        <v>0</v>
      </c>
      <c r="O98" s="686"/>
      <c r="P98" s="683">
        <v>0</v>
      </c>
      <c r="Q98" s="687">
        <f t="shared" si="1"/>
        <v>0</v>
      </c>
      <c r="R98" s="688">
        <v>0</v>
      </c>
      <c r="S98" s="693"/>
      <c r="T98" s="690">
        <f t="shared" si="49"/>
        <v>0</v>
      </c>
      <c r="U98" s="683"/>
      <c r="V98" s="474">
        <f t="shared" si="50"/>
        <v>0</v>
      </c>
      <c r="W98" s="474">
        <f t="shared" si="51"/>
        <v>0</v>
      </c>
      <c r="X98" s="475">
        <f t="shared" si="52"/>
        <v>0</v>
      </c>
      <c r="Y98" s="475">
        <v>0</v>
      </c>
      <c r="Z98" s="476">
        <v>0</v>
      </c>
      <c r="AA98" s="38">
        <f t="shared" si="53"/>
        <v>0</v>
      </c>
      <c r="AB98" s="692">
        <f t="shared" si="54"/>
        <v>0</v>
      </c>
      <c r="AC98" s="692">
        <f t="shared" si="55"/>
        <v>0</v>
      </c>
      <c r="AD98" s="692">
        <f t="shared" si="56"/>
        <v>0</v>
      </c>
      <c r="AE98" s="38"/>
      <c r="AF98" s="692">
        <f t="shared" si="45"/>
        <v>0</v>
      </c>
      <c r="AG98" s="692">
        <f t="shared" si="46"/>
        <v>0</v>
      </c>
      <c r="AH98" s="692">
        <f t="shared" si="47"/>
        <v>0</v>
      </c>
      <c r="AJ98" s="38">
        <f t="shared" si="57"/>
        <v>0</v>
      </c>
    </row>
    <row r="99" spans="1:36">
      <c r="A99" s="21"/>
      <c r="B99" s="21" t="s">
        <v>110</v>
      </c>
      <c r="C99" s="666"/>
      <c r="D99" s="68" t="s">
        <v>20</v>
      </c>
      <c r="E99" s="679"/>
      <c r="F99" s="529">
        <f>VLOOKUP(D99,'Sept 2012 Revenue'!D:T,17,FALSE)</f>
        <v>0</v>
      </c>
      <c r="G99" s="680"/>
      <c r="H99" s="680"/>
      <c r="I99" s="755"/>
      <c r="J99" s="682">
        <f t="shared" si="48"/>
        <v>0</v>
      </c>
      <c r="K99" s="683"/>
      <c r="L99" s="684"/>
      <c r="M99" s="753"/>
      <c r="N99" s="683">
        <v>0</v>
      </c>
      <c r="O99" s="686"/>
      <c r="P99" s="683">
        <v>0</v>
      </c>
      <c r="Q99" s="687">
        <f t="shared" si="1"/>
        <v>0</v>
      </c>
      <c r="R99" s="688">
        <v>0</v>
      </c>
      <c r="S99" s="693"/>
      <c r="T99" s="690">
        <f t="shared" si="49"/>
        <v>0</v>
      </c>
      <c r="U99" s="683"/>
      <c r="V99" s="474">
        <f t="shared" si="50"/>
        <v>0</v>
      </c>
      <c r="W99" s="474">
        <f t="shared" si="51"/>
        <v>0</v>
      </c>
      <c r="X99" s="475">
        <f t="shared" si="52"/>
        <v>0</v>
      </c>
      <c r="Y99" s="475">
        <v>0</v>
      </c>
      <c r="Z99" s="476">
        <v>0</v>
      </c>
      <c r="AA99" s="38">
        <f t="shared" si="53"/>
        <v>0</v>
      </c>
      <c r="AB99" s="692">
        <f t="shared" si="54"/>
        <v>0</v>
      </c>
      <c r="AC99" s="692">
        <f t="shared" si="55"/>
        <v>0</v>
      </c>
      <c r="AD99" s="692">
        <f t="shared" si="56"/>
        <v>0</v>
      </c>
      <c r="AE99" s="38"/>
      <c r="AF99" s="692">
        <f t="shared" si="45"/>
        <v>0</v>
      </c>
      <c r="AG99" s="692">
        <f t="shared" si="46"/>
        <v>0</v>
      </c>
      <c r="AH99" s="692">
        <f t="shared" si="47"/>
        <v>0</v>
      </c>
      <c r="AJ99" s="38">
        <f t="shared" si="57"/>
        <v>0</v>
      </c>
    </row>
    <row r="100" spans="1:36">
      <c r="A100" s="21"/>
      <c r="B100" s="21" t="s">
        <v>110</v>
      </c>
      <c r="C100" s="666" t="s">
        <v>547</v>
      </c>
      <c r="D100" s="68" t="s">
        <v>203</v>
      </c>
      <c r="E100" s="679"/>
      <c r="F100" s="529">
        <f>VLOOKUP(D100,'Sept 2012 Revenue'!D:T,17,FALSE)</f>
        <v>0</v>
      </c>
      <c r="G100" s="680"/>
      <c r="H100" s="680"/>
      <c r="I100" s="755"/>
      <c r="J100" s="682">
        <f t="shared" si="48"/>
        <v>0</v>
      </c>
      <c r="K100" s="683"/>
      <c r="L100" s="684"/>
      <c r="M100" s="753"/>
      <c r="N100" s="683">
        <v>0</v>
      </c>
      <c r="O100" s="686"/>
      <c r="P100" s="683">
        <v>0</v>
      </c>
      <c r="Q100" s="687">
        <f t="shared" si="1"/>
        <v>0</v>
      </c>
      <c r="R100" s="688">
        <v>0</v>
      </c>
      <c r="S100" s="693"/>
      <c r="T100" s="690">
        <f t="shared" si="49"/>
        <v>0</v>
      </c>
      <c r="U100" s="683"/>
      <c r="V100" s="474">
        <f t="shared" si="50"/>
        <v>0</v>
      </c>
      <c r="W100" s="474">
        <f t="shared" si="51"/>
        <v>0</v>
      </c>
      <c r="X100" s="475">
        <f t="shared" si="52"/>
        <v>0</v>
      </c>
      <c r="Y100" s="475">
        <v>0</v>
      </c>
      <c r="Z100" s="476">
        <v>0</v>
      </c>
      <c r="AA100" s="38">
        <f t="shared" si="53"/>
        <v>0</v>
      </c>
      <c r="AB100" s="692">
        <f t="shared" si="54"/>
        <v>0</v>
      </c>
      <c r="AC100" s="692">
        <f t="shared" si="55"/>
        <v>0</v>
      </c>
      <c r="AD100" s="692">
        <f t="shared" si="56"/>
        <v>0</v>
      </c>
      <c r="AE100" s="38"/>
      <c r="AF100" s="692">
        <f t="shared" si="45"/>
        <v>0</v>
      </c>
      <c r="AG100" s="692">
        <f t="shared" si="46"/>
        <v>0</v>
      </c>
      <c r="AH100" s="692">
        <f t="shared" si="47"/>
        <v>0</v>
      </c>
      <c r="AJ100" s="38">
        <f t="shared" si="57"/>
        <v>0</v>
      </c>
    </row>
    <row r="101" spans="1:36">
      <c r="A101" s="21"/>
      <c r="B101" s="21" t="s">
        <v>110</v>
      </c>
      <c r="C101" s="666" t="s">
        <v>547</v>
      </c>
      <c r="D101" s="68" t="s">
        <v>202</v>
      </c>
      <c r="E101" s="679"/>
      <c r="F101" s="529">
        <f>VLOOKUP(D101,'Sept 2012 Revenue'!D:T,17,FALSE)</f>
        <v>0</v>
      </c>
      <c r="G101" s="680"/>
      <c r="H101" s="680"/>
      <c r="I101" s="755"/>
      <c r="J101" s="682">
        <f t="shared" si="48"/>
        <v>0</v>
      </c>
      <c r="K101" s="683"/>
      <c r="L101" s="684"/>
      <c r="M101" s="753"/>
      <c r="N101" s="683">
        <v>0</v>
      </c>
      <c r="O101" s="686"/>
      <c r="P101" s="683">
        <v>0</v>
      </c>
      <c r="Q101" s="687">
        <f t="shared" si="1"/>
        <v>0</v>
      </c>
      <c r="R101" s="688">
        <v>0</v>
      </c>
      <c r="S101" s="693"/>
      <c r="T101" s="690">
        <f t="shared" si="49"/>
        <v>0</v>
      </c>
      <c r="U101" s="683"/>
      <c r="V101" s="474">
        <f t="shared" si="50"/>
        <v>0</v>
      </c>
      <c r="W101" s="474">
        <f t="shared" si="51"/>
        <v>0</v>
      </c>
      <c r="X101" s="475">
        <f t="shared" si="52"/>
        <v>0</v>
      </c>
      <c r="Y101" s="475">
        <v>0</v>
      </c>
      <c r="Z101" s="476">
        <v>0</v>
      </c>
      <c r="AA101" s="38">
        <f t="shared" si="53"/>
        <v>0</v>
      </c>
      <c r="AB101" s="692">
        <f t="shared" si="54"/>
        <v>0</v>
      </c>
      <c r="AC101" s="692">
        <f t="shared" si="55"/>
        <v>0</v>
      </c>
      <c r="AD101" s="692">
        <f t="shared" si="56"/>
        <v>0</v>
      </c>
      <c r="AE101" s="38"/>
      <c r="AF101" s="692">
        <f t="shared" si="45"/>
        <v>0</v>
      </c>
      <c r="AG101" s="692">
        <f t="shared" si="46"/>
        <v>0</v>
      </c>
      <c r="AH101" s="692">
        <f t="shared" si="47"/>
        <v>0</v>
      </c>
      <c r="AJ101" s="38">
        <f t="shared" si="57"/>
        <v>0</v>
      </c>
    </row>
    <row r="102" spans="1:36">
      <c r="A102" s="20" t="s">
        <v>211</v>
      </c>
      <c r="B102" s="20" t="s">
        <v>110</v>
      </c>
      <c r="C102" s="667"/>
      <c r="D102" s="373" t="s">
        <v>466</v>
      </c>
      <c r="E102" s="679"/>
      <c r="F102" s="529">
        <f>VLOOKUP(D102,'Sept 2012 Revenue'!D:T,17,FALSE)</f>
        <v>0</v>
      </c>
      <c r="G102" s="680"/>
      <c r="H102" s="680"/>
      <c r="I102" s="770">
        <v>966.41</v>
      </c>
      <c r="J102" s="682">
        <f t="shared" si="48"/>
        <v>966.41</v>
      </c>
      <c r="K102" s="683"/>
      <c r="L102" s="684"/>
      <c r="M102" s="753"/>
      <c r="N102" s="683">
        <v>0</v>
      </c>
      <c r="O102" s="686"/>
      <c r="P102" s="683">
        <v>0</v>
      </c>
      <c r="Q102" s="687">
        <f t="shared" si="1"/>
        <v>0</v>
      </c>
      <c r="R102" s="688">
        <v>0</v>
      </c>
      <c r="S102" s="693"/>
      <c r="T102" s="690">
        <f t="shared" si="49"/>
        <v>0</v>
      </c>
      <c r="U102" s="683"/>
      <c r="V102" s="474">
        <f t="shared" si="50"/>
        <v>0</v>
      </c>
      <c r="W102" s="474">
        <f t="shared" si="51"/>
        <v>0</v>
      </c>
      <c r="X102" s="475">
        <f t="shared" si="52"/>
        <v>0</v>
      </c>
      <c r="Y102" s="475">
        <v>0</v>
      </c>
      <c r="Z102" s="476">
        <v>0</v>
      </c>
      <c r="AA102" s="38">
        <f t="shared" si="53"/>
        <v>0</v>
      </c>
      <c r="AB102" s="692">
        <f t="shared" si="54"/>
        <v>966.41</v>
      </c>
      <c r="AC102" s="692">
        <f t="shared" si="55"/>
        <v>0</v>
      </c>
      <c r="AD102" s="692">
        <f t="shared" si="56"/>
        <v>0</v>
      </c>
      <c r="AE102" s="38"/>
      <c r="AF102" s="692">
        <f t="shared" si="45"/>
        <v>0</v>
      </c>
      <c r="AG102" s="692">
        <f t="shared" si="46"/>
        <v>0</v>
      </c>
      <c r="AH102" s="692">
        <f t="shared" si="47"/>
        <v>0</v>
      </c>
      <c r="AJ102" s="38">
        <f t="shared" si="57"/>
        <v>966.41</v>
      </c>
    </row>
    <row r="103" spans="1:36">
      <c r="A103" s="20"/>
      <c r="B103" s="20" t="s">
        <v>110</v>
      </c>
      <c r="C103" s="667"/>
      <c r="D103" s="373" t="s">
        <v>627</v>
      </c>
      <c r="E103" s="679"/>
      <c r="F103" s="529">
        <f>VLOOKUP(D103,'Sept 2012 Revenue'!D:T,17,FALSE)</f>
        <v>0</v>
      </c>
      <c r="G103" s="680"/>
      <c r="H103" s="680"/>
      <c r="I103" s="755"/>
      <c r="J103" s="682">
        <f t="shared" si="48"/>
        <v>0</v>
      </c>
      <c r="K103" s="683"/>
      <c r="L103" s="684"/>
      <c r="M103" s="753"/>
      <c r="N103" s="683">
        <v>0</v>
      </c>
      <c r="O103" s="686"/>
      <c r="P103" s="683">
        <v>0</v>
      </c>
      <c r="Q103" s="687">
        <f t="shared" si="1"/>
        <v>0</v>
      </c>
      <c r="R103" s="688">
        <v>0</v>
      </c>
      <c r="S103" s="693"/>
      <c r="T103" s="690">
        <f t="shared" si="49"/>
        <v>0</v>
      </c>
      <c r="U103" s="683"/>
      <c r="V103" s="474">
        <f t="shared" si="50"/>
        <v>0</v>
      </c>
      <c r="W103" s="474">
        <f t="shared" si="51"/>
        <v>0</v>
      </c>
      <c r="X103" s="475">
        <f t="shared" si="52"/>
        <v>0</v>
      </c>
      <c r="Y103" s="475">
        <v>0</v>
      </c>
      <c r="Z103" s="476">
        <v>0</v>
      </c>
      <c r="AA103" s="38">
        <f t="shared" si="53"/>
        <v>0</v>
      </c>
      <c r="AB103" s="692">
        <f t="shared" si="54"/>
        <v>0</v>
      </c>
      <c r="AC103" s="692">
        <f t="shared" si="55"/>
        <v>0</v>
      </c>
      <c r="AD103" s="692">
        <f t="shared" si="56"/>
        <v>0</v>
      </c>
      <c r="AE103" s="38"/>
      <c r="AF103" s="692">
        <f t="shared" si="45"/>
        <v>0</v>
      </c>
      <c r="AG103" s="692">
        <f t="shared" si="46"/>
        <v>0</v>
      </c>
      <c r="AH103" s="692">
        <f t="shared" si="47"/>
        <v>0</v>
      </c>
      <c r="AJ103" s="38">
        <f t="shared" si="57"/>
        <v>0</v>
      </c>
    </row>
    <row r="104" spans="1:36" s="232" customFormat="1">
      <c r="A104" s="283"/>
      <c r="B104" s="283" t="s">
        <v>110</v>
      </c>
      <c r="C104" s="667"/>
      <c r="D104" s="123" t="s">
        <v>386</v>
      </c>
      <c r="E104" s="679"/>
      <c r="F104" s="529">
        <f>VLOOKUP(D104,'Sept 2012 Revenue'!D:T,17,FALSE)</f>
        <v>0</v>
      </c>
      <c r="G104" s="680"/>
      <c r="H104" s="680"/>
      <c r="I104" s="770">
        <v>2863252.01</v>
      </c>
      <c r="J104" s="682">
        <f t="shared" si="48"/>
        <v>2863252.01</v>
      </c>
      <c r="K104" s="683"/>
      <c r="L104" s="684"/>
      <c r="M104" s="753"/>
      <c r="N104" s="683">
        <v>0</v>
      </c>
      <c r="O104" s="686"/>
      <c r="P104" s="683">
        <v>0</v>
      </c>
      <c r="Q104" s="687">
        <f t="shared" si="1"/>
        <v>0</v>
      </c>
      <c r="R104" s="688">
        <v>0</v>
      </c>
      <c r="S104" s="693"/>
      <c r="T104" s="690">
        <f t="shared" si="49"/>
        <v>0</v>
      </c>
      <c r="U104" s="683"/>
      <c r="V104" s="474">
        <f t="shared" si="50"/>
        <v>0</v>
      </c>
      <c r="W104" s="474">
        <f t="shared" si="51"/>
        <v>0</v>
      </c>
      <c r="X104" s="475">
        <f t="shared" si="52"/>
        <v>0</v>
      </c>
      <c r="Y104" s="475">
        <v>0</v>
      </c>
      <c r="Z104" s="476">
        <v>0</v>
      </c>
      <c r="AA104" s="38">
        <f t="shared" si="53"/>
        <v>0</v>
      </c>
      <c r="AB104" s="692">
        <f t="shared" si="54"/>
        <v>2863252.01</v>
      </c>
      <c r="AC104" s="692">
        <f t="shared" si="55"/>
        <v>0</v>
      </c>
      <c r="AD104" s="692">
        <f t="shared" si="56"/>
        <v>0</v>
      </c>
      <c r="AE104" s="38"/>
      <c r="AF104" s="692">
        <f t="shared" si="45"/>
        <v>0</v>
      </c>
      <c r="AG104" s="692">
        <f t="shared" si="46"/>
        <v>0</v>
      </c>
      <c r="AH104" s="692">
        <f t="shared" si="47"/>
        <v>0</v>
      </c>
      <c r="AJ104" s="38">
        <f t="shared" si="57"/>
        <v>2863252.01</v>
      </c>
    </row>
    <row r="105" spans="1:36" s="232" customFormat="1">
      <c r="A105" s="283"/>
      <c r="B105" s="283" t="s">
        <v>110</v>
      </c>
      <c r="C105" s="667"/>
      <c r="D105" s="123" t="s">
        <v>331</v>
      </c>
      <c r="E105" s="679"/>
      <c r="F105" s="529">
        <f>VLOOKUP(D105,'Sept 2012 Revenue'!D:T,17,FALSE)</f>
        <v>0</v>
      </c>
      <c r="G105" s="680"/>
      <c r="H105" s="680"/>
      <c r="I105" s="770">
        <v>21597.11</v>
      </c>
      <c r="J105" s="682">
        <f t="shared" si="48"/>
        <v>21597.11</v>
      </c>
      <c r="K105" s="683"/>
      <c r="L105" s="684"/>
      <c r="M105" s="753"/>
      <c r="N105" s="683">
        <v>0</v>
      </c>
      <c r="O105" s="686"/>
      <c r="P105" s="683">
        <v>0</v>
      </c>
      <c r="Q105" s="687">
        <f t="shared" si="1"/>
        <v>0</v>
      </c>
      <c r="R105" s="688">
        <v>0</v>
      </c>
      <c r="S105" s="693"/>
      <c r="T105" s="690">
        <f t="shared" si="49"/>
        <v>0</v>
      </c>
      <c r="U105" s="683"/>
      <c r="V105" s="474">
        <f t="shared" si="50"/>
        <v>0</v>
      </c>
      <c r="W105" s="474">
        <f t="shared" si="51"/>
        <v>0</v>
      </c>
      <c r="X105" s="475">
        <f t="shared" si="52"/>
        <v>0</v>
      </c>
      <c r="Y105" s="475">
        <v>0</v>
      </c>
      <c r="Z105" s="476">
        <v>0</v>
      </c>
      <c r="AA105" s="38">
        <f t="shared" si="53"/>
        <v>0</v>
      </c>
      <c r="AB105" s="692">
        <f t="shared" si="54"/>
        <v>21597.11</v>
      </c>
      <c r="AC105" s="692">
        <f t="shared" si="55"/>
        <v>0</v>
      </c>
      <c r="AD105" s="692">
        <f t="shared" si="56"/>
        <v>0</v>
      </c>
      <c r="AE105" s="38"/>
      <c r="AF105" s="692">
        <f t="shared" si="45"/>
        <v>0</v>
      </c>
      <c r="AG105" s="692">
        <f t="shared" si="46"/>
        <v>0</v>
      </c>
      <c r="AH105" s="692">
        <f t="shared" si="47"/>
        <v>0</v>
      </c>
      <c r="AJ105" s="38">
        <f t="shared" si="57"/>
        <v>21597.11</v>
      </c>
    </row>
    <row r="106" spans="1:36" s="232" customFormat="1">
      <c r="A106" s="283"/>
      <c r="B106" s="283" t="s">
        <v>110</v>
      </c>
      <c r="C106" s="667"/>
      <c r="D106" s="413" t="s">
        <v>332</v>
      </c>
      <c r="E106" s="679"/>
      <c r="F106" s="529">
        <f>VLOOKUP(D106,'Sept 2012 Revenue'!D:T,17,FALSE)</f>
        <v>0</v>
      </c>
      <c r="G106" s="680"/>
      <c r="H106" s="680"/>
      <c r="I106" s="770">
        <f>1490790.01+18470.4</f>
        <v>1509260.41</v>
      </c>
      <c r="J106" s="682">
        <f t="shared" si="48"/>
        <v>1509260.41</v>
      </c>
      <c r="K106" s="683"/>
      <c r="L106" s="684"/>
      <c r="M106" s="753"/>
      <c r="N106" s="683">
        <v>0</v>
      </c>
      <c r="O106" s="686"/>
      <c r="P106" s="683">
        <v>0</v>
      </c>
      <c r="Q106" s="687">
        <f t="shared" si="1"/>
        <v>0</v>
      </c>
      <c r="R106" s="688">
        <v>0</v>
      </c>
      <c r="S106" s="693"/>
      <c r="T106" s="690">
        <f t="shared" si="49"/>
        <v>0</v>
      </c>
      <c r="U106" s="683"/>
      <c r="V106" s="474">
        <f t="shared" si="50"/>
        <v>0</v>
      </c>
      <c r="W106" s="474">
        <f t="shared" si="51"/>
        <v>0</v>
      </c>
      <c r="X106" s="475">
        <f t="shared" si="52"/>
        <v>0</v>
      </c>
      <c r="Y106" s="475">
        <v>0</v>
      </c>
      <c r="Z106" s="476">
        <v>0</v>
      </c>
      <c r="AA106" s="38">
        <f t="shared" si="53"/>
        <v>0</v>
      </c>
      <c r="AB106" s="692">
        <f t="shared" si="54"/>
        <v>1509260.41</v>
      </c>
      <c r="AC106" s="692">
        <f t="shared" si="55"/>
        <v>0</v>
      </c>
      <c r="AD106" s="692">
        <f t="shared" si="56"/>
        <v>0</v>
      </c>
      <c r="AE106" s="38"/>
      <c r="AF106" s="692">
        <f t="shared" si="45"/>
        <v>0</v>
      </c>
      <c r="AG106" s="692">
        <f t="shared" si="46"/>
        <v>0</v>
      </c>
      <c r="AH106" s="692">
        <f t="shared" si="47"/>
        <v>0</v>
      </c>
      <c r="AJ106" s="38">
        <f t="shared" si="57"/>
        <v>1509260.41</v>
      </c>
    </row>
    <row r="107" spans="1:36" s="232" customFormat="1">
      <c r="A107" s="283"/>
      <c r="B107" s="283" t="s">
        <v>110</v>
      </c>
      <c r="C107" s="667"/>
      <c r="D107" s="123" t="s">
        <v>333</v>
      </c>
      <c r="E107" s="679"/>
      <c r="F107" s="529">
        <f>VLOOKUP(D107,'Sept 2012 Revenue'!D:T,17,FALSE)</f>
        <v>0</v>
      </c>
      <c r="G107" s="680"/>
      <c r="H107" s="680"/>
      <c r="I107" s="770">
        <v>972.82</v>
      </c>
      <c r="J107" s="682">
        <f t="shared" si="48"/>
        <v>972.82</v>
      </c>
      <c r="K107" s="683"/>
      <c r="L107" s="684"/>
      <c r="M107" s="753"/>
      <c r="N107" s="683">
        <v>0</v>
      </c>
      <c r="O107" s="686"/>
      <c r="P107" s="683">
        <v>0</v>
      </c>
      <c r="Q107" s="687">
        <f t="shared" si="1"/>
        <v>0</v>
      </c>
      <c r="R107" s="688">
        <v>0</v>
      </c>
      <c r="S107" s="693"/>
      <c r="T107" s="690">
        <f t="shared" si="49"/>
        <v>0</v>
      </c>
      <c r="U107" s="683"/>
      <c r="V107" s="474">
        <f t="shared" si="50"/>
        <v>0</v>
      </c>
      <c r="W107" s="474">
        <f t="shared" si="51"/>
        <v>0</v>
      </c>
      <c r="X107" s="475">
        <f t="shared" si="52"/>
        <v>0</v>
      </c>
      <c r="Y107" s="475">
        <v>0</v>
      </c>
      <c r="Z107" s="476">
        <v>0</v>
      </c>
      <c r="AA107" s="38">
        <f t="shared" si="53"/>
        <v>0</v>
      </c>
      <c r="AB107" s="692">
        <f t="shared" si="54"/>
        <v>972.82</v>
      </c>
      <c r="AC107" s="692">
        <f t="shared" si="55"/>
        <v>0</v>
      </c>
      <c r="AD107" s="692">
        <f t="shared" si="56"/>
        <v>0</v>
      </c>
      <c r="AE107" s="38"/>
      <c r="AF107" s="692">
        <f t="shared" si="45"/>
        <v>0</v>
      </c>
      <c r="AG107" s="692">
        <f t="shared" si="46"/>
        <v>0</v>
      </c>
      <c r="AH107" s="692">
        <f t="shared" si="47"/>
        <v>0</v>
      </c>
      <c r="AJ107" s="38">
        <f t="shared" si="57"/>
        <v>972.82</v>
      </c>
    </row>
    <row r="108" spans="1:36" s="232" customFormat="1">
      <c r="A108" s="283"/>
      <c r="B108" s="283" t="s">
        <v>110</v>
      </c>
      <c r="C108" s="667"/>
      <c r="D108" s="123" t="s">
        <v>334</v>
      </c>
      <c r="E108" s="679"/>
      <c r="F108" s="529">
        <f>VLOOKUP(D108,'Sept 2012 Revenue'!D:T,17,FALSE)</f>
        <v>0</v>
      </c>
      <c r="G108" s="680"/>
      <c r="H108" s="680"/>
      <c r="I108" s="770">
        <v>379384.27</v>
      </c>
      <c r="J108" s="682">
        <f t="shared" si="48"/>
        <v>379384.27</v>
      </c>
      <c r="K108" s="683"/>
      <c r="L108" s="684"/>
      <c r="M108" s="753"/>
      <c r="N108" s="683">
        <v>0</v>
      </c>
      <c r="O108" s="686"/>
      <c r="P108" s="683">
        <v>0</v>
      </c>
      <c r="Q108" s="687">
        <f t="shared" si="1"/>
        <v>0</v>
      </c>
      <c r="R108" s="688">
        <v>0</v>
      </c>
      <c r="S108" s="693"/>
      <c r="T108" s="690">
        <f t="shared" si="49"/>
        <v>0</v>
      </c>
      <c r="U108" s="683"/>
      <c r="V108" s="474">
        <f t="shared" si="50"/>
        <v>0</v>
      </c>
      <c r="W108" s="474">
        <f t="shared" si="51"/>
        <v>0</v>
      </c>
      <c r="X108" s="475">
        <f t="shared" si="52"/>
        <v>0</v>
      </c>
      <c r="Y108" s="475">
        <v>0</v>
      </c>
      <c r="Z108" s="476">
        <v>0</v>
      </c>
      <c r="AA108" s="38">
        <f t="shared" si="53"/>
        <v>0</v>
      </c>
      <c r="AB108" s="692">
        <f t="shared" si="54"/>
        <v>379384.27</v>
      </c>
      <c r="AC108" s="692">
        <f t="shared" si="55"/>
        <v>0</v>
      </c>
      <c r="AD108" s="692">
        <f t="shared" si="56"/>
        <v>0</v>
      </c>
      <c r="AE108" s="38"/>
      <c r="AF108" s="692">
        <f t="shared" si="45"/>
        <v>0</v>
      </c>
      <c r="AG108" s="692">
        <f t="shared" si="46"/>
        <v>0</v>
      </c>
      <c r="AH108" s="692">
        <f t="shared" si="47"/>
        <v>0</v>
      </c>
      <c r="AJ108" s="38">
        <f t="shared" si="57"/>
        <v>379384.27</v>
      </c>
    </row>
    <row r="109" spans="1:36" s="232" customFormat="1">
      <c r="A109" s="283"/>
      <c r="B109" s="283" t="s">
        <v>110</v>
      </c>
      <c r="C109" s="667"/>
      <c r="D109" s="123" t="s">
        <v>335</v>
      </c>
      <c r="E109" s="679"/>
      <c r="F109" s="529">
        <f>VLOOKUP(D109,'Sept 2012 Revenue'!D:T,17,FALSE)</f>
        <v>0</v>
      </c>
      <c r="G109" s="680"/>
      <c r="H109" s="680"/>
      <c r="I109" s="770">
        <v>727.45</v>
      </c>
      <c r="J109" s="682">
        <f t="shared" si="48"/>
        <v>727.45</v>
      </c>
      <c r="K109" s="683"/>
      <c r="L109" s="684"/>
      <c r="M109" s="753"/>
      <c r="N109" s="683">
        <v>0</v>
      </c>
      <c r="O109" s="686"/>
      <c r="P109" s="683">
        <v>0</v>
      </c>
      <c r="Q109" s="687">
        <f t="shared" si="1"/>
        <v>0</v>
      </c>
      <c r="R109" s="688">
        <v>0</v>
      </c>
      <c r="S109" s="693"/>
      <c r="T109" s="690">
        <f t="shared" si="49"/>
        <v>0</v>
      </c>
      <c r="U109" s="683"/>
      <c r="V109" s="474">
        <f t="shared" si="50"/>
        <v>0</v>
      </c>
      <c r="W109" s="474">
        <f t="shared" si="51"/>
        <v>0</v>
      </c>
      <c r="X109" s="475">
        <f t="shared" si="52"/>
        <v>0</v>
      </c>
      <c r="Y109" s="475">
        <v>0</v>
      </c>
      <c r="Z109" s="476">
        <v>0</v>
      </c>
      <c r="AA109" s="38">
        <f t="shared" si="53"/>
        <v>0</v>
      </c>
      <c r="AB109" s="692">
        <f t="shared" si="54"/>
        <v>727.45</v>
      </c>
      <c r="AC109" s="692">
        <f t="shared" si="55"/>
        <v>0</v>
      </c>
      <c r="AD109" s="692">
        <f t="shared" si="56"/>
        <v>0</v>
      </c>
      <c r="AE109" s="38"/>
      <c r="AF109" s="692">
        <f t="shared" si="45"/>
        <v>0</v>
      </c>
      <c r="AG109" s="692">
        <f t="shared" si="46"/>
        <v>0</v>
      </c>
      <c r="AH109" s="692">
        <f t="shared" si="47"/>
        <v>0</v>
      </c>
      <c r="AJ109" s="38">
        <f t="shared" si="57"/>
        <v>727.45</v>
      </c>
    </row>
    <row r="110" spans="1:36" s="232" customFormat="1">
      <c r="A110" s="283"/>
      <c r="B110" s="283" t="s">
        <v>110</v>
      </c>
      <c r="C110" s="667"/>
      <c r="D110" s="123" t="s">
        <v>336</v>
      </c>
      <c r="E110" s="679"/>
      <c r="F110" s="529">
        <f>VLOOKUP(D110,'Sept 2012 Revenue'!D:T,17,FALSE)</f>
        <v>0</v>
      </c>
      <c r="G110" s="680"/>
      <c r="H110" s="680"/>
      <c r="I110" s="770">
        <v>414077.77</v>
      </c>
      <c r="J110" s="682">
        <f t="shared" si="48"/>
        <v>414077.77</v>
      </c>
      <c r="K110" s="683"/>
      <c r="L110" s="684"/>
      <c r="M110" s="753"/>
      <c r="N110" s="683">
        <v>0</v>
      </c>
      <c r="O110" s="686"/>
      <c r="P110" s="683">
        <v>0</v>
      </c>
      <c r="Q110" s="687">
        <f t="shared" si="1"/>
        <v>0</v>
      </c>
      <c r="R110" s="688">
        <v>0</v>
      </c>
      <c r="S110" s="693"/>
      <c r="T110" s="690">
        <f t="shared" si="49"/>
        <v>0</v>
      </c>
      <c r="U110" s="683"/>
      <c r="V110" s="474">
        <f t="shared" si="50"/>
        <v>0</v>
      </c>
      <c r="W110" s="474">
        <f t="shared" si="51"/>
        <v>0</v>
      </c>
      <c r="X110" s="475">
        <f t="shared" si="52"/>
        <v>0</v>
      </c>
      <c r="Y110" s="475">
        <v>0</v>
      </c>
      <c r="Z110" s="476">
        <v>0</v>
      </c>
      <c r="AA110" s="38">
        <f t="shared" si="53"/>
        <v>0</v>
      </c>
      <c r="AB110" s="692">
        <f t="shared" si="54"/>
        <v>414077.77</v>
      </c>
      <c r="AC110" s="692">
        <f t="shared" si="55"/>
        <v>0</v>
      </c>
      <c r="AD110" s="692">
        <f t="shared" si="56"/>
        <v>0</v>
      </c>
      <c r="AE110" s="38"/>
      <c r="AF110" s="692">
        <f t="shared" si="45"/>
        <v>0</v>
      </c>
      <c r="AG110" s="692">
        <f t="shared" si="46"/>
        <v>0</v>
      </c>
      <c r="AH110" s="692">
        <f t="shared" si="47"/>
        <v>0</v>
      </c>
      <c r="AJ110" s="38">
        <f t="shared" si="57"/>
        <v>414077.77</v>
      </c>
    </row>
    <row r="111" spans="1:36" s="232" customFormat="1">
      <c r="A111" s="283"/>
      <c r="B111" s="283" t="s">
        <v>110</v>
      </c>
      <c r="C111" s="667"/>
      <c r="D111" s="123" t="s">
        <v>337</v>
      </c>
      <c r="E111" s="679"/>
      <c r="F111" s="529">
        <f>VLOOKUP(D111,'Sept 2012 Revenue'!D:T,17,FALSE)</f>
        <v>0</v>
      </c>
      <c r="G111" s="680"/>
      <c r="H111" s="680"/>
      <c r="I111" s="770">
        <v>770.23</v>
      </c>
      <c r="J111" s="682">
        <f t="shared" si="48"/>
        <v>770.23</v>
      </c>
      <c r="K111" s="683"/>
      <c r="L111" s="684"/>
      <c r="M111" s="753"/>
      <c r="N111" s="683">
        <v>0</v>
      </c>
      <c r="O111" s="686"/>
      <c r="P111" s="683">
        <v>0</v>
      </c>
      <c r="Q111" s="687">
        <f t="shared" si="1"/>
        <v>0</v>
      </c>
      <c r="R111" s="688">
        <v>0</v>
      </c>
      <c r="S111" s="693"/>
      <c r="T111" s="690">
        <f t="shared" si="49"/>
        <v>0</v>
      </c>
      <c r="U111" s="683"/>
      <c r="V111" s="474">
        <f t="shared" si="50"/>
        <v>0</v>
      </c>
      <c r="W111" s="474">
        <f t="shared" si="51"/>
        <v>0</v>
      </c>
      <c r="X111" s="475">
        <f t="shared" si="52"/>
        <v>0</v>
      </c>
      <c r="Y111" s="475">
        <v>0</v>
      </c>
      <c r="Z111" s="476">
        <v>0</v>
      </c>
      <c r="AA111" s="38">
        <f t="shared" si="53"/>
        <v>0</v>
      </c>
      <c r="AB111" s="692">
        <f t="shared" si="54"/>
        <v>770.23</v>
      </c>
      <c r="AC111" s="692">
        <f t="shared" si="55"/>
        <v>0</v>
      </c>
      <c r="AD111" s="692">
        <f t="shared" si="56"/>
        <v>0</v>
      </c>
      <c r="AE111" s="38"/>
      <c r="AF111" s="692">
        <f t="shared" si="45"/>
        <v>0</v>
      </c>
      <c r="AG111" s="692">
        <f t="shared" si="46"/>
        <v>0</v>
      </c>
      <c r="AH111" s="692">
        <f t="shared" si="47"/>
        <v>0</v>
      </c>
      <c r="AJ111" s="38">
        <f t="shared" si="57"/>
        <v>770.23</v>
      </c>
    </row>
    <row r="112" spans="1:36" s="232" customFormat="1">
      <c r="A112" s="283"/>
      <c r="B112" s="283" t="s">
        <v>110</v>
      </c>
      <c r="C112" s="667"/>
      <c r="D112" s="123" t="s">
        <v>338</v>
      </c>
      <c r="E112" s="679"/>
      <c r="F112" s="529">
        <f>VLOOKUP(D112,'Sept 2012 Revenue'!D:T,17,FALSE)</f>
        <v>0</v>
      </c>
      <c r="G112" s="680"/>
      <c r="H112" s="680"/>
      <c r="I112" s="770">
        <v>127867.73</v>
      </c>
      <c r="J112" s="682">
        <f t="shared" si="48"/>
        <v>127867.73</v>
      </c>
      <c r="K112" s="683"/>
      <c r="L112" s="684"/>
      <c r="M112" s="753"/>
      <c r="N112" s="683">
        <v>0</v>
      </c>
      <c r="O112" s="686"/>
      <c r="P112" s="683">
        <v>0</v>
      </c>
      <c r="Q112" s="687">
        <f t="shared" si="1"/>
        <v>0</v>
      </c>
      <c r="R112" s="688">
        <v>0</v>
      </c>
      <c r="S112" s="693"/>
      <c r="T112" s="690">
        <f t="shared" si="49"/>
        <v>0</v>
      </c>
      <c r="U112" s="683"/>
      <c r="V112" s="474">
        <f t="shared" si="50"/>
        <v>0</v>
      </c>
      <c r="W112" s="474">
        <f t="shared" si="51"/>
        <v>0</v>
      </c>
      <c r="X112" s="475">
        <f t="shared" si="52"/>
        <v>0</v>
      </c>
      <c r="Y112" s="475">
        <v>0</v>
      </c>
      <c r="Z112" s="476">
        <v>0</v>
      </c>
      <c r="AA112" s="38">
        <f t="shared" si="53"/>
        <v>0</v>
      </c>
      <c r="AB112" s="692">
        <f t="shared" si="54"/>
        <v>127867.73</v>
      </c>
      <c r="AC112" s="692">
        <f t="shared" si="55"/>
        <v>0</v>
      </c>
      <c r="AD112" s="692">
        <f t="shared" si="56"/>
        <v>0</v>
      </c>
      <c r="AE112" s="38"/>
      <c r="AF112" s="692">
        <f t="shared" si="45"/>
        <v>0</v>
      </c>
      <c r="AG112" s="692">
        <f t="shared" si="46"/>
        <v>0</v>
      </c>
      <c r="AH112" s="692">
        <f t="shared" si="47"/>
        <v>0</v>
      </c>
      <c r="AJ112" s="38">
        <f t="shared" si="57"/>
        <v>127867.73</v>
      </c>
    </row>
    <row r="113" spans="1:36" s="232" customFormat="1">
      <c r="A113" s="283"/>
      <c r="B113" s="283" t="s">
        <v>110</v>
      </c>
      <c r="C113" s="667"/>
      <c r="D113" s="123" t="s">
        <v>339</v>
      </c>
      <c r="E113" s="679"/>
      <c r="F113" s="529">
        <f>VLOOKUP(D113,'Sept 2012 Revenue'!D:T,17,FALSE)</f>
        <v>0</v>
      </c>
      <c r="G113" s="680"/>
      <c r="H113" s="680"/>
      <c r="I113" s="770">
        <v>104473.33</v>
      </c>
      <c r="J113" s="682">
        <f t="shared" si="48"/>
        <v>104473.33</v>
      </c>
      <c r="K113" s="683"/>
      <c r="L113" s="684"/>
      <c r="M113" s="753"/>
      <c r="N113" s="683">
        <v>0</v>
      </c>
      <c r="O113" s="686"/>
      <c r="P113" s="683">
        <v>0</v>
      </c>
      <c r="Q113" s="687">
        <f t="shared" si="1"/>
        <v>0</v>
      </c>
      <c r="R113" s="688">
        <v>0</v>
      </c>
      <c r="S113" s="693"/>
      <c r="T113" s="690">
        <f t="shared" si="49"/>
        <v>0</v>
      </c>
      <c r="U113" s="683"/>
      <c r="V113" s="474">
        <f t="shared" si="50"/>
        <v>0</v>
      </c>
      <c r="W113" s="474">
        <f t="shared" si="51"/>
        <v>0</v>
      </c>
      <c r="X113" s="475">
        <f t="shared" si="52"/>
        <v>0</v>
      </c>
      <c r="Y113" s="475">
        <v>0</v>
      </c>
      <c r="Z113" s="476">
        <v>0</v>
      </c>
      <c r="AA113" s="38">
        <f t="shared" si="53"/>
        <v>0</v>
      </c>
      <c r="AB113" s="692">
        <f t="shared" si="54"/>
        <v>104473.33</v>
      </c>
      <c r="AC113" s="692">
        <f t="shared" si="55"/>
        <v>0</v>
      </c>
      <c r="AD113" s="692">
        <f t="shared" si="56"/>
        <v>0</v>
      </c>
      <c r="AE113" s="38"/>
      <c r="AF113" s="692">
        <f t="shared" si="45"/>
        <v>0</v>
      </c>
      <c r="AG113" s="692">
        <f t="shared" si="46"/>
        <v>0</v>
      </c>
      <c r="AH113" s="692">
        <f t="shared" si="47"/>
        <v>0</v>
      </c>
      <c r="AJ113" s="38">
        <f t="shared" si="57"/>
        <v>104473.33</v>
      </c>
    </row>
    <row r="114" spans="1:36" s="232" customFormat="1">
      <c r="A114" s="283"/>
      <c r="B114" s="283" t="s">
        <v>110</v>
      </c>
      <c r="C114" s="667"/>
      <c r="D114" s="123" t="s">
        <v>340</v>
      </c>
      <c r="E114" s="679"/>
      <c r="F114" s="529">
        <f>VLOOKUP(D114,'Sept 2012 Revenue'!D:T,17,FALSE)</f>
        <v>0</v>
      </c>
      <c r="G114" s="680"/>
      <c r="H114" s="680"/>
      <c r="I114" s="770">
        <v>134.88</v>
      </c>
      <c r="J114" s="682">
        <f t="shared" si="48"/>
        <v>134.88</v>
      </c>
      <c r="K114" s="683"/>
      <c r="L114" s="684"/>
      <c r="M114" s="753"/>
      <c r="N114" s="683">
        <v>0</v>
      </c>
      <c r="O114" s="686"/>
      <c r="P114" s="683">
        <v>0</v>
      </c>
      <c r="Q114" s="687">
        <f t="shared" si="1"/>
        <v>0</v>
      </c>
      <c r="R114" s="688">
        <v>0</v>
      </c>
      <c r="S114" s="693"/>
      <c r="T114" s="690">
        <f t="shared" si="49"/>
        <v>0</v>
      </c>
      <c r="U114" s="683"/>
      <c r="V114" s="474">
        <f t="shared" si="50"/>
        <v>0</v>
      </c>
      <c r="W114" s="474">
        <f t="shared" si="51"/>
        <v>0</v>
      </c>
      <c r="X114" s="475">
        <f t="shared" si="52"/>
        <v>0</v>
      </c>
      <c r="Y114" s="475">
        <v>0</v>
      </c>
      <c r="Z114" s="476">
        <v>0</v>
      </c>
      <c r="AA114" s="38">
        <f t="shared" si="53"/>
        <v>0</v>
      </c>
      <c r="AB114" s="692">
        <f t="shared" si="54"/>
        <v>134.88</v>
      </c>
      <c r="AC114" s="692">
        <f t="shared" si="55"/>
        <v>0</v>
      </c>
      <c r="AD114" s="692">
        <f t="shared" si="56"/>
        <v>0</v>
      </c>
      <c r="AE114" s="38"/>
      <c r="AF114" s="692">
        <f t="shared" si="45"/>
        <v>0</v>
      </c>
      <c r="AG114" s="692">
        <f t="shared" si="46"/>
        <v>0</v>
      </c>
      <c r="AH114" s="692">
        <f t="shared" si="47"/>
        <v>0</v>
      </c>
      <c r="AJ114" s="38">
        <f t="shared" si="57"/>
        <v>134.88</v>
      </c>
    </row>
    <row r="115" spans="1:36" s="232" customFormat="1">
      <c r="A115" s="283"/>
      <c r="B115" s="283" t="s">
        <v>110</v>
      </c>
      <c r="C115" s="667"/>
      <c r="D115" s="123" t="s">
        <v>439</v>
      </c>
      <c r="E115" s="679"/>
      <c r="F115" s="529">
        <f>VLOOKUP(D115,'Sept 2012 Revenue'!D:T,17,FALSE)</f>
        <v>0</v>
      </c>
      <c r="G115" s="680"/>
      <c r="H115" s="680"/>
      <c r="I115" s="770">
        <v>2526.17</v>
      </c>
      <c r="J115" s="682">
        <f t="shared" si="48"/>
        <v>2526.17</v>
      </c>
      <c r="K115" s="683"/>
      <c r="L115" s="684"/>
      <c r="M115" s="753"/>
      <c r="N115" s="683">
        <v>0</v>
      </c>
      <c r="O115" s="686"/>
      <c r="P115" s="683">
        <v>0</v>
      </c>
      <c r="Q115" s="687">
        <f t="shared" si="1"/>
        <v>0</v>
      </c>
      <c r="R115" s="688">
        <v>0</v>
      </c>
      <c r="S115" s="693"/>
      <c r="T115" s="690">
        <f t="shared" si="49"/>
        <v>0</v>
      </c>
      <c r="U115" s="683"/>
      <c r="V115" s="474">
        <f t="shared" si="50"/>
        <v>0</v>
      </c>
      <c r="W115" s="474">
        <f t="shared" si="51"/>
        <v>0</v>
      </c>
      <c r="X115" s="475">
        <f t="shared" si="52"/>
        <v>0</v>
      </c>
      <c r="Y115" s="475">
        <v>0</v>
      </c>
      <c r="Z115" s="476">
        <v>0</v>
      </c>
      <c r="AA115" s="38">
        <f t="shared" si="53"/>
        <v>0</v>
      </c>
      <c r="AB115" s="692">
        <f t="shared" si="54"/>
        <v>2526.17</v>
      </c>
      <c r="AC115" s="692">
        <f t="shared" si="55"/>
        <v>0</v>
      </c>
      <c r="AD115" s="692">
        <f t="shared" si="56"/>
        <v>0</v>
      </c>
      <c r="AE115" s="38"/>
      <c r="AF115" s="692">
        <f t="shared" si="45"/>
        <v>0</v>
      </c>
      <c r="AG115" s="692">
        <f t="shared" si="46"/>
        <v>0</v>
      </c>
      <c r="AH115" s="692">
        <f t="shared" si="47"/>
        <v>0</v>
      </c>
      <c r="AJ115" s="38">
        <f t="shared" si="57"/>
        <v>2526.17</v>
      </c>
    </row>
    <row r="116" spans="1:36" s="232" customFormat="1">
      <c r="A116" s="283"/>
      <c r="B116" s="283" t="s">
        <v>110</v>
      </c>
      <c r="C116" s="667"/>
      <c r="D116" s="123" t="s">
        <v>592</v>
      </c>
      <c r="E116" s="679"/>
      <c r="F116" s="529">
        <f>VLOOKUP(D116,'Sept 2012 Revenue'!D:T,17,FALSE)</f>
        <v>0</v>
      </c>
      <c r="G116" s="680"/>
      <c r="H116" s="680"/>
      <c r="I116" s="770">
        <v>2121.92</v>
      </c>
      <c r="J116" s="682">
        <f t="shared" si="48"/>
        <v>2121.92</v>
      </c>
      <c r="K116" s="683"/>
      <c r="L116" s="684"/>
      <c r="M116" s="753"/>
      <c r="N116" s="683">
        <v>0</v>
      </c>
      <c r="O116" s="686"/>
      <c r="P116" s="683">
        <v>0</v>
      </c>
      <c r="Q116" s="687">
        <f t="shared" si="1"/>
        <v>0</v>
      </c>
      <c r="R116" s="688">
        <v>0</v>
      </c>
      <c r="S116" s="693"/>
      <c r="T116" s="690">
        <f t="shared" si="49"/>
        <v>0</v>
      </c>
      <c r="U116" s="683"/>
      <c r="V116" s="474">
        <f t="shared" si="50"/>
        <v>0</v>
      </c>
      <c r="W116" s="474">
        <f t="shared" si="51"/>
        <v>0</v>
      </c>
      <c r="X116" s="475">
        <f t="shared" si="52"/>
        <v>0</v>
      </c>
      <c r="Y116" s="475">
        <v>0</v>
      </c>
      <c r="Z116" s="476">
        <v>0</v>
      </c>
      <c r="AA116" s="38">
        <f t="shared" si="53"/>
        <v>0</v>
      </c>
      <c r="AB116" s="692">
        <f t="shared" si="54"/>
        <v>2121.92</v>
      </c>
      <c r="AC116" s="692">
        <f t="shared" si="55"/>
        <v>0</v>
      </c>
      <c r="AD116" s="692">
        <f t="shared" si="56"/>
        <v>0</v>
      </c>
      <c r="AE116" s="38"/>
      <c r="AF116" s="692">
        <f t="shared" si="45"/>
        <v>0</v>
      </c>
      <c r="AG116" s="692">
        <f t="shared" si="46"/>
        <v>0</v>
      </c>
      <c r="AH116" s="692">
        <f t="shared" si="47"/>
        <v>0</v>
      </c>
      <c r="AJ116" s="38">
        <f t="shared" si="57"/>
        <v>2121.92</v>
      </c>
    </row>
    <row r="117" spans="1:36" s="232" customFormat="1">
      <c r="A117" s="283"/>
      <c r="B117" s="283" t="s">
        <v>110</v>
      </c>
      <c r="C117" s="667"/>
      <c r="D117" s="123" t="s">
        <v>512</v>
      </c>
      <c r="E117" s="679"/>
      <c r="F117" s="529">
        <f>VLOOKUP(D117,'Sept 2012 Revenue'!D:T,17,FALSE)</f>
        <v>0</v>
      </c>
      <c r="G117" s="680"/>
      <c r="H117" s="680"/>
      <c r="I117" s="770">
        <f>133.12+462.84+8024.28+1868.51+3228.73+21709.81</f>
        <v>35427.29</v>
      </c>
      <c r="J117" s="682">
        <f t="shared" si="48"/>
        <v>35427.29</v>
      </c>
      <c r="K117" s="683"/>
      <c r="L117" s="684"/>
      <c r="M117" s="753"/>
      <c r="N117" s="683">
        <v>0</v>
      </c>
      <c r="O117" s="686"/>
      <c r="P117" s="683"/>
      <c r="Q117" s="687">
        <f t="shared" si="1"/>
        <v>0</v>
      </c>
      <c r="R117" s="688">
        <v>0</v>
      </c>
      <c r="S117" s="693"/>
      <c r="T117" s="690">
        <f t="shared" si="49"/>
        <v>0</v>
      </c>
      <c r="U117" s="683"/>
      <c r="V117" s="474">
        <f t="shared" si="50"/>
        <v>0</v>
      </c>
      <c r="W117" s="474">
        <f t="shared" si="51"/>
        <v>0</v>
      </c>
      <c r="X117" s="475">
        <f t="shared" si="52"/>
        <v>0</v>
      </c>
      <c r="Y117" s="475">
        <v>0</v>
      </c>
      <c r="Z117" s="476">
        <v>0</v>
      </c>
      <c r="AA117" s="38">
        <f t="shared" si="53"/>
        <v>0</v>
      </c>
      <c r="AB117" s="692">
        <f t="shared" si="54"/>
        <v>35427.29</v>
      </c>
      <c r="AC117" s="692">
        <f t="shared" si="55"/>
        <v>0</v>
      </c>
      <c r="AD117" s="692">
        <f t="shared" si="56"/>
        <v>0</v>
      </c>
      <c r="AE117" s="38"/>
      <c r="AF117" s="692">
        <f t="shared" si="45"/>
        <v>0</v>
      </c>
      <c r="AG117" s="692">
        <f t="shared" si="46"/>
        <v>0</v>
      </c>
      <c r="AH117" s="692">
        <f t="shared" si="47"/>
        <v>0</v>
      </c>
      <c r="AJ117" s="38">
        <f t="shared" si="57"/>
        <v>35427.29</v>
      </c>
    </row>
    <row r="118" spans="1:36" s="24" customFormat="1">
      <c r="A118" s="32"/>
      <c r="B118" s="32" t="s">
        <v>110</v>
      </c>
      <c r="C118" s="667"/>
      <c r="D118" s="68" t="s">
        <v>588</v>
      </c>
      <c r="E118" s="679"/>
      <c r="F118" s="529">
        <f>VLOOKUP(D118,'Sept 2012 Revenue'!D:T,17,FALSE)</f>
        <v>0</v>
      </c>
      <c r="G118" s="680"/>
      <c r="H118" s="680"/>
      <c r="I118" s="755"/>
      <c r="J118" s="682">
        <f t="shared" si="48"/>
        <v>0</v>
      </c>
      <c r="K118" s="683"/>
      <c r="L118" s="684"/>
      <c r="M118" s="753"/>
      <c r="N118" s="698"/>
      <c r="O118" s="699"/>
      <c r="P118" s="698"/>
      <c r="Q118" s="687">
        <f t="shared" si="1"/>
        <v>0</v>
      </c>
      <c r="R118" s="688">
        <v>0</v>
      </c>
      <c r="S118" s="693"/>
      <c r="T118" s="690">
        <f t="shared" si="49"/>
        <v>0</v>
      </c>
      <c r="U118" s="683"/>
      <c r="V118" s="474">
        <f t="shared" si="50"/>
        <v>0</v>
      </c>
      <c r="W118" s="474">
        <f t="shared" si="51"/>
        <v>0</v>
      </c>
      <c r="X118" s="475">
        <f t="shared" si="52"/>
        <v>0</v>
      </c>
      <c r="Y118" s="475">
        <v>0</v>
      </c>
      <c r="Z118" s="476">
        <v>0</v>
      </c>
      <c r="AA118" s="38">
        <f t="shared" si="53"/>
        <v>0</v>
      </c>
      <c r="AB118" s="692">
        <f t="shared" si="54"/>
        <v>0</v>
      </c>
      <c r="AC118" s="692">
        <f t="shared" si="55"/>
        <v>0</v>
      </c>
      <c r="AD118" s="692">
        <f t="shared" si="56"/>
        <v>0</v>
      </c>
      <c r="AE118" s="38"/>
      <c r="AF118" s="692">
        <f t="shared" si="45"/>
        <v>0</v>
      </c>
      <c r="AG118" s="692">
        <f t="shared" si="46"/>
        <v>0</v>
      </c>
      <c r="AH118" s="692">
        <f t="shared" si="47"/>
        <v>0</v>
      </c>
      <c r="AJ118" s="38">
        <f t="shared" si="57"/>
        <v>0</v>
      </c>
    </row>
    <row r="119" spans="1:36">
      <c r="A119" s="21"/>
      <c r="B119" s="21" t="s">
        <v>109</v>
      </c>
      <c r="C119" s="666" t="s">
        <v>548</v>
      </c>
      <c r="D119" s="68" t="s">
        <v>461</v>
      </c>
      <c r="E119" s="679"/>
      <c r="F119" s="529">
        <f>VLOOKUP(D119,'Sept 2012 Revenue'!D:T,17,FALSE)</f>
        <v>2748.67</v>
      </c>
      <c r="G119" s="680"/>
      <c r="H119" s="680"/>
      <c r="I119" s="770">
        <v>3363.82</v>
      </c>
      <c r="J119" s="682">
        <f t="shared" si="48"/>
        <v>6112.49</v>
      </c>
      <c r="K119" s="683"/>
      <c r="L119" s="684"/>
      <c r="M119" s="753"/>
      <c r="N119" s="683">
        <v>0</v>
      </c>
      <c r="O119" s="686"/>
      <c r="P119" s="683">
        <v>0</v>
      </c>
      <c r="Q119" s="687">
        <f t="shared" si="1"/>
        <v>0</v>
      </c>
      <c r="R119" s="688">
        <v>0</v>
      </c>
      <c r="S119" s="693"/>
      <c r="T119" s="690">
        <f t="shared" si="49"/>
        <v>0</v>
      </c>
      <c r="U119" s="683"/>
      <c r="V119" s="474">
        <f t="shared" si="50"/>
        <v>0</v>
      </c>
      <c r="W119" s="474">
        <f t="shared" si="51"/>
        <v>0</v>
      </c>
      <c r="X119" s="475">
        <f t="shared" si="52"/>
        <v>0</v>
      </c>
      <c r="Y119" s="475">
        <v>0</v>
      </c>
      <c r="Z119" s="476">
        <v>0</v>
      </c>
      <c r="AA119" s="38">
        <f t="shared" si="53"/>
        <v>0</v>
      </c>
      <c r="AB119" s="692">
        <f t="shared" si="54"/>
        <v>0</v>
      </c>
      <c r="AC119" s="692">
        <f t="shared" si="55"/>
        <v>6112.49</v>
      </c>
      <c r="AD119" s="692">
        <f t="shared" si="56"/>
        <v>0</v>
      </c>
      <c r="AE119" s="38"/>
      <c r="AF119" s="692">
        <f t="shared" si="45"/>
        <v>0</v>
      </c>
      <c r="AG119" s="692">
        <f t="shared" si="46"/>
        <v>0</v>
      </c>
      <c r="AH119" s="692">
        <f t="shared" si="47"/>
        <v>0</v>
      </c>
      <c r="AJ119" s="38">
        <f t="shared" si="57"/>
        <v>6112.49</v>
      </c>
    </row>
    <row r="120" spans="1:36">
      <c r="A120" s="20"/>
      <c r="B120" s="20" t="s">
        <v>109</v>
      </c>
      <c r="C120" s="667" t="s">
        <v>549</v>
      </c>
      <c r="D120" s="68" t="s">
        <v>22</v>
      </c>
      <c r="E120" s="679"/>
      <c r="F120" s="529">
        <f>VLOOKUP(D120,'Sept 2012 Revenue'!D:T,17,FALSE)</f>
        <v>0</v>
      </c>
      <c r="G120" s="680"/>
      <c r="H120" s="680"/>
      <c r="I120" s="755"/>
      <c r="J120" s="682">
        <f t="shared" si="48"/>
        <v>0</v>
      </c>
      <c r="K120" s="683"/>
      <c r="L120" s="684"/>
      <c r="M120" s="753"/>
      <c r="N120" s="683">
        <v>0</v>
      </c>
      <c r="O120" s="686"/>
      <c r="P120" s="683">
        <v>0</v>
      </c>
      <c r="Q120" s="687">
        <f t="shared" si="1"/>
        <v>0</v>
      </c>
      <c r="R120" s="688">
        <v>0</v>
      </c>
      <c r="S120" s="693"/>
      <c r="T120" s="690">
        <f t="shared" si="49"/>
        <v>0</v>
      </c>
      <c r="U120" s="683"/>
      <c r="V120" s="474">
        <f t="shared" si="50"/>
        <v>0</v>
      </c>
      <c r="W120" s="474">
        <f t="shared" si="51"/>
        <v>0</v>
      </c>
      <c r="X120" s="475">
        <f t="shared" si="52"/>
        <v>0</v>
      </c>
      <c r="Y120" s="475">
        <v>0</v>
      </c>
      <c r="Z120" s="476">
        <v>0</v>
      </c>
      <c r="AA120" s="38">
        <f t="shared" si="53"/>
        <v>0</v>
      </c>
      <c r="AB120" s="692">
        <f t="shared" si="54"/>
        <v>0</v>
      </c>
      <c r="AC120" s="692">
        <f t="shared" si="55"/>
        <v>0</v>
      </c>
      <c r="AD120" s="692">
        <f t="shared" si="56"/>
        <v>0</v>
      </c>
      <c r="AE120" s="38"/>
      <c r="AF120" s="692">
        <f t="shared" si="45"/>
        <v>0</v>
      </c>
      <c r="AG120" s="692">
        <f t="shared" si="46"/>
        <v>0</v>
      </c>
      <c r="AH120" s="692">
        <f t="shared" si="47"/>
        <v>0</v>
      </c>
      <c r="AJ120" s="38">
        <f t="shared" si="57"/>
        <v>0</v>
      </c>
    </row>
    <row r="121" spans="1:36">
      <c r="A121" s="20"/>
      <c r="B121" s="20" t="s">
        <v>110</v>
      </c>
      <c r="C121" s="667"/>
      <c r="D121" s="68" t="s">
        <v>24</v>
      </c>
      <c r="E121" s="679"/>
      <c r="F121" s="529">
        <f>VLOOKUP(D121,'Sept 2012 Revenue'!D:T,17,FALSE)</f>
        <v>0</v>
      </c>
      <c r="G121" s="680"/>
      <c r="H121" s="680"/>
      <c r="I121" s="755"/>
      <c r="J121" s="682">
        <f t="shared" si="48"/>
        <v>0</v>
      </c>
      <c r="K121" s="683"/>
      <c r="L121" s="684"/>
      <c r="M121" s="753"/>
      <c r="N121" s="683">
        <v>0</v>
      </c>
      <c r="O121" s="686"/>
      <c r="P121" s="683">
        <v>0</v>
      </c>
      <c r="Q121" s="687">
        <f t="shared" si="1"/>
        <v>0</v>
      </c>
      <c r="R121" s="688">
        <v>3674.94</v>
      </c>
      <c r="S121" s="693"/>
      <c r="T121" s="690">
        <f t="shared" si="49"/>
        <v>3674.94</v>
      </c>
      <c r="U121" s="683"/>
      <c r="V121" s="474">
        <f t="shared" si="50"/>
        <v>0</v>
      </c>
      <c r="W121" s="474">
        <f t="shared" si="51"/>
        <v>0</v>
      </c>
      <c r="X121" s="475">
        <f t="shared" si="52"/>
        <v>0</v>
      </c>
      <c r="Y121" s="475">
        <v>0</v>
      </c>
      <c r="Z121" s="476">
        <v>0</v>
      </c>
      <c r="AA121" s="38">
        <f t="shared" si="53"/>
        <v>0</v>
      </c>
      <c r="AB121" s="692">
        <f t="shared" si="54"/>
        <v>0</v>
      </c>
      <c r="AC121" s="692">
        <f t="shared" si="55"/>
        <v>0</v>
      </c>
      <c r="AD121" s="692">
        <f t="shared" si="56"/>
        <v>0</v>
      </c>
      <c r="AE121" s="38"/>
      <c r="AF121" s="692">
        <f t="shared" si="45"/>
        <v>0</v>
      </c>
      <c r="AG121" s="692">
        <f t="shared" si="46"/>
        <v>0</v>
      </c>
      <c r="AH121" s="692">
        <f t="shared" si="47"/>
        <v>0</v>
      </c>
      <c r="AJ121" s="38">
        <f t="shared" si="57"/>
        <v>0</v>
      </c>
    </row>
    <row r="122" spans="1:36">
      <c r="A122" s="21"/>
      <c r="B122" s="21" t="s">
        <v>110</v>
      </c>
      <c r="C122" s="666" t="s">
        <v>550</v>
      </c>
      <c r="D122" s="68" t="s">
        <v>282</v>
      </c>
      <c r="E122" s="679"/>
      <c r="F122" s="529">
        <f>VLOOKUP(D122,'Sept 2012 Revenue'!D:T,17,FALSE)</f>
        <v>-1366.2299999999996</v>
      </c>
      <c r="G122" s="680"/>
      <c r="H122" s="680"/>
      <c r="I122" s="755"/>
      <c r="J122" s="682">
        <f t="shared" si="48"/>
        <v>-1366.2299999999996</v>
      </c>
      <c r="K122" s="683"/>
      <c r="L122" s="684"/>
      <c r="M122" s="753">
        <v>25000</v>
      </c>
      <c r="N122" s="683">
        <v>0</v>
      </c>
      <c r="O122" s="686"/>
      <c r="P122" s="683">
        <v>0</v>
      </c>
      <c r="Q122" s="687">
        <f t="shared" si="1"/>
        <v>25000</v>
      </c>
      <c r="R122" s="688">
        <v>25804.73</v>
      </c>
      <c r="S122" s="693"/>
      <c r="T122" s="690">
        <f t="shared" si="49"/>
        <v>804.72999999999956</v>
      </c>
      <c r="U122" s="683"/>
      <c r="V122" s="474">
        <f t="shared" si="50"/>
        <v>25000</v>
      </c>
      <c r="W122" s="474">
        <f t="shared" si="51"/>
        <v>0</v>
      </c>
      <c r="X122" s="475">
        <f t="shared" si="52"/>
        <v>0</v>
      </c>
      <c r="Y122" s="475">
        <v>0</v>
      </c>
      <c r="Z122" s="476">
        <v>0</v>
      </c>
      <c r="AA122" s="38">
        <f t="shared" si="53"/>
        <v>0</v>
      </c>
      <c r="AB122" s="692">
        <f t="shared" si="54"/>
        <v>-1366.2299999999996</v>
      </c>
      <c r="AC122" s="692">
        <f t="shared" si="55"/>
        <v>0</v>
      </c>
      <c r="AD122" s="692">
        <f t="shared" si="56"/>
        <v>0</v>
      </c>
      <c r="AE122" s="38"/>
      <c r="AF122" s="692">
        <f t="shared" si="45"/>
        <v>25000</v>
      </c>
      <c r="AG122" s="692">
        <f t="shared" si="46"/>
        <v>0</v>
      </c>
      <c r="AH122" s="692">
        <f t="shared" si="47"/>
        <v>0</v>
      </c>
      <c r="AJ122" s="38">
        <f t="shared" si="57"/>
        <v>23633.77</v>
      </c>
    </row>
    <row r="123" spans="1:36">
      <c r="A123" s="21"/>
      <c r="B123" s="21" t="s">
        <v>109</v>
      </c>
      <c r="C123" s="666" t="s">
        <v>551</v>
      </c>
      <c r="D123" s="68" t="s">
        <v>499</v>
      </c>
      <c r="E123" s="679"/>
      <c r="F123" s="529">
        <f>VLOOKUP(D123,'Sept 2012 Revenue'!D:T,17,FALSE)</f>
        <v>0</v>
      </c>
      <c r="G123" s="680"/>
      <c r="H123" s="680"/>
      <c r="I123" s="755"/>
      <c r="J123" s="682">
        <f t="shared" si="48"/>
        <v>0</v>
      </c>
      <c r="K123" s="683"/>
      <c r="L123" s="684"/>
      <c r="M123" s="753"/>
      <c r="N123" s="683">
        <v>0</v>
      </c>
      <c r="O123" s="686"/>
      <c r="P123" s="683">
        <v>0</v>
      </c>
      <c r="Q123" s="687">
        <f t="shared" si="1"/>
        <v>0</v>
      </c>
      <c r="R123" s="688">
        <v>0</v>
      </c>
      <c r="S123" s="693"/>
      <c r="T123" s="690">
        <f t="shared" si="49"/>
        <v>0</v>
      </c>
      <c r="U123" s="683"/>
      <c r="V123" s="474">
        <f t="shared" si="50"/>
        <v>0</v>
      </c>
      <c r="W123" s="474">
        <f t="shared" si="51"/>
        <v>0</v>
      </c>
      <c r="X123" s="475">
        <f t="shared" si="52"/>
        <v>0</v>
      </c>
      <c r="Y123" s="475">
        <v>0</v>
      </c>
      <c r="Z123" s="476">
        <v>0</v>
      </c>
      <c r="AA123" s="38">
        <f t="shared" si="53"/>
        <v>0</v>
      </c>
      <c r="AB123" s="692">
        <f t="shared" si="54"/>
        <v>0</v>
      </c>
      <c r="AC123" s="692">
        <f t="shared" si="55"/>
        <v>0</v>
      </c>
      <c r="AD123" s="692">
        <f t="shared" si="56"/>
        <v>0</v>
      </c>
      <c r="AE123" s="38"/>
      <c r="AF123" s="692">
        <f t="shared" si="45"/>
        <v>0</v>
      </c>
      <c r="AG123" s="692">
        <f t="shared" si="46"/>
        <v>0</v>
      </c>
      <c r="AH123" s="692">
        <f t="shared" si="47"/>
        <v>0</v>
      </c>
      <c r="AJ123" s="38">
        <f t="shared" si="57"/>
        <v>0</v>
      </c>
    </row>
    <row r="124" spans="1:36">
      <c r="A124" s="21"/>
      <c r="B124" s="21" t="s">
        <v>110</v>
      </c>
      <c r="C124" s="666"/>
      <c r="D124" s="68" t="s">
        <v>28</v>
      </c>
      <c r="E124" s="679"/>
      <c r="F124" s="529">
        <f>VLOOKUP(D124,'Sept 2012 Revenue'!D:T,17,FALSE)</f>
        <v>0</v>
      </c>
      <c r="G124" s="680"/>
      <c r="H124" s="680"/>
      <c r="I124" s="770">
        <v>1110.9000000000001</v>
      </c>
      <c r="J124" s="682">
        <f t="shared" si="48"/>
        <v>1110.9000000000001</v>
      </c>
      <c r="K124" s="683"/>
      <c r="L124" s="684"/>
      <c r="M124" s="753"/>
      <c r="N124" s="683">
        <v>0</v>
      </c>
      <c r="O124" s="686"/>
      <c r="P124" s="683">
        <v>0</v>
      </c>
      <c r="Q124" s="687">
        <f t="shared" si="1"/>
        <v>0</v>
      </c>
      <c r="R124" s="688">
        <v>0</v>
      </c>
      <c r="S124" s="693"/>
      <c r="T124" s="690">
        <f t="shared" si="49"/>
        <v>0</v>
      </c>
      <c r="U124" s="683"/>
      <c r="V124" s="474">
        <f t="shared" si="50"/>
        <v>0</v>
      </c>
      <c r="W124" s="474">
        <f t="shared" si="51"/>
        <v>0</v>
      </c>
      <c r="X124" s="475">
        <f t="shared" si="52"/>
        <v>0</v>
      </c>
      <c r="Y124" s="475">
        <v>0</v>
      </c>
      <c r="Z124" s="476">
        <v>0</v>
      </c>
      <c r="AA124" s="38">
        <f t="shared" si="53"/>
        <v>0</v>
      </c>
      <c r="AB124" s="692">
        <f t="shared" si="54"/>
        <v>1110.9000000000001</v>
      </c>
      <c r="AC124" s="692">
        <f t="shared" si="55"/>
        <v>0</v>
      </c>
      <c r="AD124" s="692">
        <f t="shared" si="56"/>
        <v>0</v>
      </c>
      <c r="AE124" s="38"/>
      <c r="AF124" s="692">
        <f t="shared" si="45"/>
        <v>0</v>
      </c>
      <c r="AG124" s="692">
        <f t="shared" si="46"/>
        <v>0</v>
      </c>
      <c r="AH124" s="692">
        <f t="shared" si="47"/>
        <v>0</v>
      </c>
      <c r="AJ124" s="38">
        <f t="shared" si="57"/>
        <v>1110.9000000000001</v>
      </c>
    </row>
    <row r="125" spans="1:36">
      <c r="A125" s="21"/>
      <c r="B125" s="21" t="s">
        <v>114</v>
      </c>
      <c r="C125" s="666" t="s">
        <v>552</v>
      </c>
      <c r="D125" s="68" t="s">
        <v>513</v>
      </c>
      <c r="E125" s="679">
        <v>3222.02</v>
      </c>
      <c r="F125" s="529">
        <f>VLOOKUP(D125,'Sept 2012 Revenue'!D:T,17,FALSE)</f>
        <v>0</v>
      </c>
      <c r="G125" s="680"/>
      <c r="H125" s="680"/>
      <c r="I125" s="755"/>
      <c r="J125" s="682">
        <f t="shared" si="48"/>
        <v>3222.02</v>
      </c>
      <c r="K125" s="683"/>
      <c r="L125" s="684"/>
      <c r="M125" s="753"/>
      <c r="N125" s="683">
        <v>0</v>
      </c>
      <c r="O125" s="686"/>
      <c r="P125" s="683">
        <v>0</v>
      </c>
      <c r="Q125" s="687">
        <f>L125+M125</f>
        <v>0</v>
      </c>
      <c r="R125" s="688">
        <v>0</v>
      </c>
      <c r="S125" s="693"/>
      <c r="T125" s="690">
        <f t="shared" si="49"/>
        <v>0</v>
      </c>
      <c r="U125" s="683"/>
      <c r="V125" s="474">
        <f t="shared" si="50"/>
        <v>0</v>
      </c>
      <c r="W125" s="474">
        <f t="shared" si="51"/>
        <v>0</v>
      </c>
      <c r="X125" s="475">
        <f t="shared" si="52"/>
        <v>0</v>
      </c>
      <c r="Y125" s="475">
        <v>0</v>
      </c>
      <c r="Z125" s="476">
        <v>0</v>
      </c>
      <c r="AA125" s="38">
        <f t="shared" si="53"/>
        <v>0</v>
      </c>
      <c r="AB125" s="692">
        <f t="shared" si="54"/>
        <v>0</v>
      </c>
      <c r="AC125" s="692">
        <f t="shared" si="55"/>
        <v>0</v>
      </c>
      <c r="AD125" s="692">
        <f t="shared" si="56"/>
        <v>3222.02</v>
      </c>
      <c r="AE125" s="38"/>
      <c r="AF125" s="692">
        <f t="shared" si="45"/>
        <v>0</v>
      </c>
      <c r="AG125" s="692">
        <f t="shared" si="46"/>
        <v>0</v>
      </c>
      <c r="AH125" s="692">
        <f t="shared" si="47"/>
        <v>0</v>
      </c>
      <c r="AJ125" s="38">
        <f t="shared" si="57"/>
        <v>3222.02</v>
      </c>
    </row>
    <row r="126" spans="1:36">
      <c r="A126" s="21"/>
      <c r="B126" s="21" t="s">
        <v>109</v>
      </c>
      <c r="C126" s="666" t="s">
        <v>553</v>
      </c>
      <c r="D126" s="68" t="s">
        <v>308</v>
      </c>
      <c r="E126" s="679">
        <f>1376.93+1721.11</f>
        <v>3098.04</v>
      </c>
      <c r="F126" s="529">
        <f>VLOOKUP(D126,'Sept 2012 Revenue'!D:T,17,FALSE)</f>
        <v>0</v>
      </c>
      <c r="G126" s="680"/>
      <c r="H126" s="680"/>
      <c r="I126" s="755"/>
      <c r="J126" s="682">
        <f t="shared" si="48"/>
        <v>3098.04</v>
      </c>
      <c r="K126" s="683"/>
      <c r="L126" s="684"/>
      <c r="M126" s="753"/>
      <c r="N126" s="683">
        <v>0</v>
      </c>
      <c r="O126" s="686"/>
      <c r="P126" s="683">
        <v>0</v>
      </c>
      <c r="Q126" s="687">
        <f t="shared" si="1"/>
        <v>0</v>
      </c>
      <c r="R126" s="688">
        <v>0</v>
      </c>
      <c r="S126" s="693"/>
      <c r="T126" s="690">
        <f t="shared" si="49"/>
        <v>0</v>
      </c>
      <c r="U126" s="683"/>
      <c r="V126" s="474">
        <f t="shared" si="50"/>
        <v>0</v>
      </c>
      <c r="W126" s="474">
        <f t="shared" si="51"/>
        <v>0</v>
      </c>
      <c r="X126" s="475">
        <f t="shared" si="52"/>
        <v>0</v>
      </c>
      <c r="Y126" s="475">
        <v>0</v>
      </c>
      <c r="Z126" s="476">
        <v>0</v>
      </c>
      <c r="AA126" s="38">
        <f t="shared" si="53"/>
        <v>0</v>
      </c>
      <c r="AB126" s="692">
        <f t="shared" si="54"/>
        <v>0</v>
      </c>
      <c r="AC126" s="692">
        <f t="shared" si="55"/>
        <v>3098.04</v>
      </c>
      <c r="AD126" s="692">
        <f t="shared" si="56"/>
        <v>0</v>
      </c>
      <c r="AE126" s="38"/>
      <c r="AF126" s="692">
        <f t="shared" si="45"/>
        <v>0</v>
      </c>
      <c r="AG126" s="692">
        <f t="shared" si="46"/>
        <v>0</v>
      </c>
      <c r="AH126" s="692">
        <f t="shared" si="47"/>
        <v>0</v>
      </c>
      <c r="AJ126" s="38">
        <f t="shared" si="57"/>
        <v>3098.04</v>
      </c>
    </row>
    <row r="127" spans="1:36" s="232" customFormat="1">
      <c r="A127" s="283" t="s">
        <v>211</v>
      </c>
      <c r="B127" s="283" t="s">
        <v>109</v>
      </c>
      <c r="C127" s="667" t="s">
        <v>554</v>
      </c>
      <c r="D127" s="123" t="s">
        <v>389</v>
      </c>
      <c r="E127" s="679"/>
      <c r="F127" s="529">
        <f>VLOOKUP(D127,'Sept 2012 Revenue'!D:T,17,FALSE)</f>
        <v>0</v>
      </c>
      <c r="G127" s="680"/>
      <c r="H127" s="680"/>
      <c r="I127" s="755"/>
      <c r="J127" s="682">
        <f t="shared" si="48"/>
        <v>0</v>
      </c>
      <c r="K127" s="683"/>
      <c r="L127" s="684"/>
      <c r="M127" s="753"/>
      <c r="N127" s="683">
        <v>0</v>
      </c>
      <c r="O127" s="686"/>
      <c r="P127" s="683">
        <v>0</v>
      </c>
      <c r="Q127" s="687">
        <f t="shared" si="1"/>
        <v>0</v>
      </c>
      <c r="R127" s="688">
        <v>0</v>
      </c>
      <c r="S127" s="693"/>
      <c r="T127" s="690">
        <f t="shared" si="49"/>
        <v>0</v>
      </c>
      <c r="U127" s="683"/>
      <c r="V127" s="474">
        <f t="shared" si="50"/>
        <v>0</v>
      </c>
      <c r="W127" s="474">
        <f t="shared" si="51"/>
        <v>0</v>
      </c>
      <c r="X127" s="475">
        <f t="shared" si="52"/>
        <v>0</v>
      </c>
      <c r="Y127" s="475">
        <v>0</v>
      </c>
      <c r="Z127" s="476">
        <v>0</v>
      </c>
      <c r="AA127" s="38">
        <f t="shared" si="53"/>
        <v>0</v>
      </c>
      <c r="AB127" s="692">
        <f t="shared" si="54"/>
        <v>0</v>
      </c>
      <c r="AC127" s="692">
        <f t="shared" si="55"/>
        <v>0</v>
      </c>
      <c r="AD127" s="692">
        <f t="shared" si="56"/>
        <v>0</v>
      </c>
      <c r="AE127" s="38"/>
      <c r="AF127" s="692">
        <f t="shared" si="45"/>
        <v>0</v>
      </c>
      <c r="AG127" s="692">
        <f t="shared" si="46"/>
        <v>0</v>
      </c>
      <c r="AH127" s="692">
        <f t="shared" si="47"/>
        <v>0</v>
      </c>
      <c r="AJ127" s="38">
        <f t="shared" si="57"/>
        <v>0</v>
      </c>
    </row>
    <row r="128" spans="1:36" s="232" customFormat="1">
      <c r="A128" s="283"/>
      <c r="B128" s="283" t="s">
        <v>110</v>
      </c>
      <c r="C128" s="667"/>
      <c r="D128" s="123" t="s">
        <v>807</v>
      </c>
      <c r="E128" s="679"/>
      <c r="F128" s="529">
        <f>VLOOKUP(D128,'Sept 2012 Revenue'!D:T,17,FALSE)</f>
        <v>1248.92</v>
      </c>
      <c r="G128" s="680"/>
      <c r="H128" s="680"/>
      <c r="I128" s="755"/>
      <c r="J128" s="682">
        <f t="shared" si="48"/>
        <v>1248.92</v>
      </c>
      <c r="K128" s="683"/>
      <c r="L128" s="684"/>
      <c r="M128" s="753">
        <v>12000</v>
      </c>
      <c r="N128" s="683">
        <v>0</v>
      </c>
      <c r="O128" s="686"/>
      <c r="P128" s="683">
        <v>0</v>
      </c>
      <c r="Q128" s="687">
        <f t="shared" si="1"/>
        <v>12000</v>
      </c>
      <c r="R128" s="688">
        <f>11213.73+1110.54</f>
        <v>12324.27</v>
      </c>
      <c r="S128" s="693"/>
      <c r="T128" s="690">
        <f t="shared" si="49"/>
        <v>324.27000000000044</v>
      </c>
      <c r="U128" s="683"/>
      <c r="V128" s="474">
        <f t="shared" si="50"/>
        <v>12000</v>
      </c>
      <c r="W128" s="474">
        <f t="shared" si="51"/>
        <v>0</v>
      </c>
      <c r="X128" s="475">
        <f t="shared" si="52"/>
        <v>0</v>
      </c>
      <c r="Y128" s="475">
        <v>0</v>
      </c>
      <c r="Z128" s="476">
        <v>0</v>
      </c>
      <c r="AA128" s="38">
        <f t="shared" si="53"/>
        <v>0</v>
      </c>
      <c r="AB128" s="692">
        <f t="shared" si="54"/>
        <v>1248.92</v>
      </c>
      <c r="AC128" s="692">
        <f t="shared" si="55"/>
        <v>0</v>
      </c>
      <c r="AD128" s="692">
        <f t="shared" si="56"/>
        <v>0</v>
      </c>
      <c r="AE128" s="38"/>
      <c r="AF128" s="692">
        <f t="shared" si="45"/>
        <v>12000</v>
      </c>
      <c r="AG128" s="692">
        <f t="shared" si="46"/>
        <v>0</v>
      </c>
      <c r="AH128" s="692">
        <f t="shared" si="47"/>
        <v>0</v>
      </c>
      <c r="AJ128" s="38">
        <f t="shared" si="57"/>
        <v>13248.92</v>
      </c>
    </row>
    <row r="129" spans="1:36" s="232" customFormat="1">
      <c r="A129" s="283"/>
      <c r="B129" s="283" t="s">
        <v>109</v>
      </c>
      <c r="C129" s="667"/>
      <c r="D129" s="123" t="s">
        <v>808</v>
      </c>
      <c r="E129" s="679"/>
      <c r="F129" s="529">
        <f>VLOOKUP(D129,'Sept 2012 Revenue'!D:T,17,FALSE)</f>
        <v>-260.5099999999984</v>
      </c>
      <c r="G129" s="680"/>
      <c r="H129" s="680"/>
      <c r="I129" s="755"/>
      <c r="J129" s="682">
        <f t="shared" si="48"/>
        <v>-260.5099999999984</v>
      </c>
      <c r="K129" s="683"/>
      <c r="L129" s="684"/>
      <c r="M129" s="753"/>
      <c r="N129" s="683">
        <v>0</v>
      </c>
      <c r="O129" s="686"/>
      <c r="P129" s="683">
        <v>0</v>
      </c>
      <c r="Q129" s="687">
        <f t="shared" si="1"/>
        <v>0</v>
      </c>
      <c r="R129" s="688">
        <v>1897.13</v>
      </c>
      <c r="S129" s="693"/>
      <c r="T129" s="690">
        <f t="shared" si="49"/>
        <v>1897.13</v>
      </c>
      <c r="U129" s="683"/>
      <c r="V129" s="474">
        <f t="shared" si="50"/>
        <v>0</v>
      </c>
      <c r="W129" s="474">
        <f t="shared" si="51"/>
        <v>0</v>
      </c>
      <c r="X129" s="475">
        <f t="shared" si="52"/>
        <v>0</v>
      </c>
      <c r="Y129" s="475">
        <v>0</v>
      </c>
      <c r="Z129" s="476">
        <v>0</v>
      </c>
      <c r="AA129" s="38">
        <f t="shared" si="53"/>
        <v>0</v>
      </c>
      <c r="AB129" s="692">
        <f t="shared" si="54"/>
        <v>0</v>
      </c>
      <c r="AC129" s="692">
        <f t="shared" si="55"/>
        <v>-260.5099999999984</v>
      </c>
      <c r="AD129" s="692">
        <f t="shared" si="56"/>
        <v>0</v>
      </c>
      <c r="AE129" s="38"/>
      <c r="AF129" s="692">
        <f t="shared" si="45"/>
        <v>0</v>
      </c>
      <c r="AG129" s="692">
        <f t="shared" si="46"/>
        <v>0</v>
      </c>
      <c r="AH129" s="692">
        <f t="shared" si="47"/>
        <v>0</v>
      </c>
      <c r="AJ129" s="38">
        <f t="shared" si="57"/>
        <v>-260.5099999999984</v>
      </c>
    </row>
    <row r="130" spans="1:36" s="232" customFormat="1">
      <c r="A130" s="403"/>
      <c r="B130" s="403" t="s">
        <v>110</v>
      </c>
      <c r="C130" s="666" t="s">
        <v>563</v>
      </c>
      <c r="D130" s="123" t="s">
        <v>867</v>
      </c>
      <c r="E130" s="679">
        <v>24215.15</v>
      </c>
      <c r="F130" s="529">
        <f>VLOOKUP(D130,'Sept 2012 Revenue'!D:T,17,FALSE)</f>
        <v>0</v>
      </c>
      <c r="G130" s="680"/>
      <c r="H130" s="680"/>
      <c r="I130" s="770">
        <v>1921.05</v>
      </c>
      <c r="J130" s="682">
        <f t="shared" si="48"/>
        <v>26136.2</v>
      </c>
      <c r="K130" s="683"/>
      <c r="L130" s="684"/>
      <c r="M130" s="753"/>
      <c r="N130" s="683">
        <v>0</v>
      </c>
      <c r="O130" s="686"/>
      <c r="P130" s="683">
        <v>0</v>
      </c>
      <c r="Q130" s="687">
        <f t="shared" si="1"/>
        <v>0</v>
      </c>
      <c r="R130" s="688">
        <v>0</v>
      </c>
      <c r="S130" s="693"/>
      <c r="T130" s="690">
        <f t="shared" si="49"/>
        <v>0</v>
      </c>
      <c r="U130" s="683"/>
      <c r="V130" s="474">
        <f t="shared" si="50"/>
        <v>0</v>
      </c>
      <c r="W130" s="474">
        <f t="shared" si="51"/>
        <v>0</v>
      </c>
      <c r="X130" s="475">
        <f t="shared" si="52"/>
        <v>0</v>
      </c>
      <c r="Y130" s="475">
        <v>0</v>
      </c>
      <c r="Z130" s="476">
        <v>0</v>
      </c>
      <c r="AA130" s="38">
        <f t="shared" si="53"/>
        <v>0</v>
      </c>
      <c r="AB130" s="692">
        <f t="shared" si="54"/>
        <v>26136.2</v>
      </c>
      <c r="AC130" s="692">
        <f t="shared" si="55"/>
        <v>0</v>
      </c>
      <c r="AD130" s="692">
        <f t="shared" si="56"/>
        <v>0</v>
      </c>
      <c r="AE130" s="38"/>
      <c r="AF130" s="692">
        <f t="shared" si="45"/>
        <v>0</v>
      </c>
      <c r="AG130" s="692">
        <f t="shared" si="46"/>
        <v>0</v>
      </c>
      <c r="AH130" s="692">
        <f t="shared" si="47"/>
        <v>0</v>
      </c>
      <c r="AJ130" s="38">
        <f t="shared" si="57"/>
        <v>26136.2</v>
      </c>
    </row>
    <row r="131" spans="1:36" s="232" customFormat="1">
      <c r="A131" s="283"/>
      <c r="B131" s="283" t="s">
        <v>110</v>
      </c>
      <c r="C131" s="667"/>
      <c r="D131" s="68" t="s">
        <v>488</v>
      </c>
      <c r="E131" s="679"/>
      <c r="F131" s="529">
        <f>VLOOKUP(D131,'Sept 2012 Revenue'!D:T,17,FALSE)</f>
        <v>0</v>
      </c>
      <c r="G131" s="680"/>
      <c r="H131" s="680"/>
      <c r="I131" s="755"/>
      <c r="J131" s="682">
        <f t="shared" si="48"/>
        <v>0</v>
      </c>
      <c r="K131" s="683"/>
      <c r="L131" s="684"/>
      <c r="M131" s="753"/>
      <c r="N131" s="683">
        <v>0</v>
      </c>
      <c r="O131" s="686"/>
      <c r="P131" s="683">
        <v>0</v>
      </c>
      <c r="Q131" s="687">
        <f t="shared" si="1"/>
        <v>0</v>
      </c>
      <c r="R131" s="688">
        <v>0</v>
      </c>
      <c r="S131" s="693"/>
      <c r="T131" s="690">
        <f t="shared" si="49"/>
        <v>0</v>
      </c>
      <c r="U131" s="683"/>
      <c r="V131" s="474">
        <f t="shared" si="50"/>
        <v>0</v>
      </c>
      <c r="W131" s="474">
        <f t="shared" si="51"/>
        <v>0</v>
      </c>
      <c r="X131" s="475">
        <f t="shared" si="52"/>
        <v>0</v>
      </c>
      <c r="Y131" s="475">
        <v>0</v>
      </c>
      <c r="Z131" s="476">
        <v>0</v>
      </c>
      <c r="AA131" s="38">
        <f t="shared" si="53"/>
        <v>0</v>
      </c>
      <c r="AB131" s="692">
        <f t="shared" si="54"/>
        <v>0</v>
      </c>
      <c r="AC131" s="692">
        <f t="shared" si="55"/>
        <v>0</v>
      </c>
      <c r="AD131" s="692">
        <f t="shared" si="56"/>
        <v>0</v>
      </c>
      <c r="AE131" s="38"/>
      <c r="AF131" s="692">
        <f t="shared" si="45"/>
        <v>0</v>
      </c>
      <c r="AG131" s="692">
        <f t="shared" si="46"/>
        <v>0</v>
      </c>
      <c r="AH131" s="692">
        <f t="shared" si="47"/>
        <v>0</v>
      </c>
      <c r="AJ131" s="38">
        <f t="shared" si="57"/>
        <v>0</v>
      </c>
    </row>
    <row r="132" spans="1:36" s="232" customFormat="1">
      <c r="A132" s="283"/>
      <c r="B132" s="283" t="s">
        <v>110</v>
      </c>
      <c r="C132" s="667" t="s">
        <v>555</v>
      </c>
      <c r="D132" s="123" t="s">
        <v>192</v>
      </c>
      <c r="E132" s="679"/>
      <c r="F132" s="529">
        <f>VLOOKUP(D132,'Sept 2012 Revenue'!D:T,17,FALSE)</f>
        <v>0</v>
      </c>
      <c r="G132" s="680"/>
      <c r="H132" s="680"/>
      <c r="I132" s="770">
        <v>4020.65</v>
      </c>
      <c r="J132" s="682">
        <f t="shared" si="48"/>
        <v>4020.65</v>
      </c>
      <c r="K132" s="683"/>
      <c r="L132" s="684"/>
      <c r="M132" s="753"/>
      <c r="N132" s="683">
        <v>0</v>
      </c>
      <c r="O132" s="686"/>
      <c r="P132" s="683">
        <v>0</v>
      </c>
      <c r="Q132" s="687">
        <f t="shared" si="1"/>
        <v>0</v>
      </c>
      <c r="R132" s="688">
        <v>0</v>
      </c>
      <c r="S132" s="693"/>
      <c r="T132" s="690">
        <f t="shared" si="49"/>
        <v>0</v>
      </c>
      <c r="U132" s="683"/>
      <c r="V132" s="474">
        <f t="shared" si="50"/>
        <v>0</v>
      </c>
      <c r="W132" s="474">
        <f t="shared" si="51"/>
        <v>0</v>
      </c>
      <c r="X132" s="475">
        <f t="shared" si="52"/>
        <v>0</v>
      </c>
      <c r="Y132" s="475">
        <v>0</v>
      </c>
      <c r="Z132" s="476">
        <v>0</v>
      </c>
      <c r="AA132" s="38">
        <f t="shared" si="53"/>
        <v>0</v>
      </c>
      <c r="AB132" s="692">
        <f t="shared" si="54"/>
        <v>4020.65</v>
      </c>
      <c r="AC132" s="692">
        <f t="shared" si="55"/>
        <v>0</v>
      </c>
      <c r="AD132" s="692">
        <f t="shared" si="56"/>
        <v>0</v>
      </c>
      <c r="AE132" s="38"/>
      <c r="AF132" s="692">
        <f t="shared" si="45"/>
        <v>0</v>
      </c>
      <c r="AG132" s="692">
        <f t="shared" si="46"/>
        <v>0</v>
      </c>
      <c r="AH132" s="692">
        <f t="shared" si="47"/>
        <v>0</v>
      </c>
      <c r="AJ132" s="38">
        <f t="shared" si="57"/>
        <v>4020.65</v>
      </c>
    </row>
    <row r="133" spans="1:36" s="232" customFormat="1">
      <c r="A133" s="283"/>
      <c r="B133" s="283" t="s">
        <v>110</v>
      </c>
      <c r="C133" s="667" t="s">
        <v>555</v>
      </c>
      <c r="D133" s="123" t="s">
        <v>193</v>
      </c>
      <c r="E133" s="679"/>
      <c r="F133" s="529">
        <f>VLOOKUP(D133,'Sept 2012 Revenue'!D:T,17,FALSE)</f>
        <v>0</v>
      </c>
      <c r="G133" s="680"/>
      <c r="H133" s="680"/>
      <c r="I133" s="770">
        <v>257.89</v>
      </c>
      <c r="J133" s="682">
        <f t="shared" si="48"/>
        <v>257.89</v>
      </c>
      <c r="K133" s="683"/>
      <c r="L133" s="684"/>
      <c r="M133" s="753"/>
      <c r="N133" s="683">
        <v>0</v>
      </c>
      <c r="O133" s="686"/>
      <c r="P133" s="683">
        <v>0</v>
      </c>
      <c r="Q133" s="687">
        <f t="shared" si="1"/>
        <v>0</v>
      </c>
      <c r="R133" s="688">
        <v>0</v>
      </c>
      <c r="S133" s="693"/>
      <c r="T133" s="690">
        <f t="shared" si="49"/>
        <v>0</v>
      </c>
      <c r="U133" s="683"/>
      <c r="V133" s="474">
        <f t="shared" si="50"/>
        <v>0</v>
      </c>
      <c r="W133" s="474">
        <f t="shared" si="51"/>
        <v>0</v>
      </c>
      <c r="X133" s="475">
        <f t="shared" si="52"/>
        <v>0</v>
      </c>
      <c r="Y133" s="475">
        <v>0</v>
      </c>
      <c r="Z133" s="476">
        <v>0</v>
      </c>
      <c r="AA133" s="38">
        <f t="shared" si="53"/>
        <v>0</v>
      </c>
      <c r="AB133" s="692">
        <f t="shared" si="54"/>
        <v>257.89</v>
      </c>
      <c r="AC133" s="692">
        <f t="shared" si="55"/>
        <v>0</v>
      </c>
      <c r="AD133" s="692">
        <f t="shared" si="56"/>
        <v>0</v>
      </c>
      <c r="AE133" s="38"/>
      <c r="AF133" s="692">
        <f t="shared" si="45"/>
        <v>0</v>
      </c>
      <c r="AG133" s="692">
        <f t="shared" si="46"/>
        <v>0</v>
      </c>
      <c r="AH133" s="692">
        <f t="shared" si="47"/>
        <v>0</v>
      </c>
      <c r="AJ133" s="38">
        <f t="shared" si="57"/>
        <v>257.89</v>
      </c>
    </row>
    <row r="134" spans="1:36" s="232" customFormat="1">
      <c r="A134" s="283"/>
      <c r="B134" s="283" t="s">
        <v>110</v>
      </c>
      <c r="C134" s="667" t="s">
        <v>555</v>
      </c>
      <c r="D134" s="123" t="s">
        <v>194</v>
      </c>
      <c r="E134" s="679"/>
      <c r="F134" s="529">
        <f>VLOOKUP(D134,'Sept 2012 Revenue'!D:T,17,FALSE)</f>
        <v>0</v>
      </c>
      <c r="G134" s="680"/>
      <c r="H134" s="680"/>
      <c r="I134" s="770">
        <v>59.62</v>
      </c>
      <c r="J134" s="682">
        <f t="shared" si="48"/>
        <v>59.62</v>
      </c>
      <c r="K134" s="683"/>
      <c r="L134" s="684"/>
      <c r="M134" s="753"/>
      <c r="N134" s="683">
        <v>0</v>
      </c>
      <c r="O134" s="686"/>
      <c r="P134" s="683">
        <v>0</v>
      </c>
      <c r="Q134" s="687">
        <f t="shared" si="1"/>
        <v>0</v>
      </c>
      <c r="R134" s="688">
        <v>0</v>
      </c>
      <c r="S134" s="693"/>
      <c r="T134" s="690">
        <f t="shared" si="49"/>
        <v>0</v>
      </c>
      <c r="U134" s="683"/>
      <c r="V134" s="474">
        <f t="shared" si="50"/>
        <v>0</v>
      </c>
      <c r="W134" s="474">
        <f t="shared" si="51"/>
        <v>0</v>
      </c>
      <c r="X134" s="475">
        <f t="shared" si="52"/>
        <v>0</v>
      </c>
      <c r="Y134" s="475">
        <v>0</v>
      </c>
      <c r="Z134" s="476">
        <v>0</v>
      </c>
      <c r="AA134" s="38">
        <f t="shared" si="53"/>
        <v>0</v>
      </c>
      <c r="AB134" s="692">
        <f t="shared" si="54"/>
        <v>59.62</v>
      </c>
      <c r="AC134" s="692">
        <f t="shared" si="55"/>
        <v>0</v>
      </c>
      <c r="AD134" s="692">
        <f t="shared" si="56"/>
        <v>0</v>
      </c>
      <c r="AE134" s="38"/>
      <c r="AF134" s="692">
        <f t="shared" si="45"/>
        <v>0</v>
      </c>
      <c r="AG134" s="692">
        <f t="shared" si="46"/>
        <v>0</v>
      </c>
      <c r="AH134" s="692">
        <f t="shared" si="47"/>
        <v>0</v>
      </c>
      <c r="AJ134" s="38">
        <f t="shared" si="57"/>
        <v>59.62</v>
      </c>
    </row>
    <row r="135" spans="1:36" s="232" customFormat="1">
      <c r="A135" s="283"/>
      <c r="B135" s="283" t="s">
        <v>110</v>
      </c>
      <c r="C135" s="667" t="s">
        <v>555</v>
      </c>
      <c r="D135" s="123" t="s">
        <v>195</v>
      </c>
      <c r="E135" s="679"/>
      <c r="F135" s="529">
        <f>VLOOKUP(D135,'Sept 2012 Revenue'!D:T,17,FALSE)</f>
        <v>0</v>
      </c>
      <c r="G135" s="680"/>
      <c r="H135" s="680"/>
      <c r="I135" s="770">
        <v>6.38</v>
      </c>
      <c r="J135" s="682">
        <f t="shared" si="48"/>
        <v>6.38</v>
      </c>
      <c r="K135" s="683"/>
      <c r="L135" s="684"/>
      <c r="M135" s="753"/>
      <c r="N135" s="683">
        <v>0</v>
      </c>
      <c r="O135" s="686"/>
      <c r="P135" s="683">
        <v>0</v>
      </c>
      <c r="Q135" s="687">
        <f t="shared" si="1"/>
        <v>0</v>
      </c>
      <c r="R135" s="688">
        <v>0</v>
      </c>
      <c r="S135" s="693"/>
      <c r="T135" s="690">
        <f t="shared" si="49"/>
        <v>0</v>
      </c>
      <c r="U135" s="683"/>
      <c r="V135" s="474">
        <f t="shared" si="50"/>
        <v>0</v>
      </c>
      <c r="W135" s="474">
        <f t="shared" si="51"/>
        <v>0</v>
      </c>
      <c r="X135" s="475">
        <f t="shared" si="52"/>
        <v>0</v>
      </c>
      <c r="Y135" s="475">
        <v>0</v>
      </c>
      <c r="Z135" s="476">
        <v>0</v>
      </c>
      <c r="AA135" s="38">
        <f t="shared" si="53"/>
        <v>0</v>
      </c>
      <c r="AB135" s="692">
        <f t="shared" si="54"/>
        <v>6.38</v>
      </c>
      <c r="AC135" s="692">
        <f t="shared" si="55"/>
        <v>0</v>
      </c>
      <c r="AD135" s="692">
        <f t="shared" si="56"/>
        <v>0</v>
      </c>
      <c r="AE135" s="38"/>
      <c r="AF135" s="692">
        <f t="shared" si="45"/>
        <v>0</v>
      </c>
      <c r="AG135" s="692">
        <f t="shared" si="46"/>
        <v>0</v>
      </c>
      <c r="AH135" s="692">
        <f t="shared" si="47"/>
        <v>0</v>
      </c>
      <c r="AJ135" s="38">
        <f t="shared" si="57"/>
        <v>6.38</v>
      </c>
    </row>
    <row r="136" spans="1:36" s="232" customFormat="1">
      <c r="A136" s="283"/>
      <c r="B136" s="283" t="s">
        <v>110</v>
      </c>
      <c r="C136" s="667" t="s">
        <v>555</v>
      </c>
      <c r="D136" s="123" t="s">
        <v>196</v>
      </c>
      <c r="E136" s="679"/>
      <c r="F136" s="529">
        <f>VLOOKUP(D136,'Sept 2012 Revenue'!D:T,17,FALSE)</f>
        <v>0</v>
      </c>
      <c r="G136" s="680"/>
      <c r="H136" s="680"/>
      <c r="I136" s="770">
        <v>95.24</v>
      </c>
      <c r="J136" s="682">
        <f t="shared" si="48"/>
        <v>95.24</v>
      </c>
      <c r="K136" s="683"/>
      <c r="L136" s="684"/>
      <c r="M136" s="753"/>
      <c r="N136" s="683">
        <v>0</v>
      </c>
      <c r="O136" s="686"/>
      <c r="P136" s="683">
        <v>0</v>
      </c>
      <c r="Q136" s="687">
        <f t="shared" si="1"/>
        <v>0</v>
      </c>
      <c r="R136" s="688">
        <v>0</v>
      </c>
      <c r="S136" s="693"/>
      <c r="T136" s="690">
        <f t="shared" si="49"/>
        <v>0</v>
      </c>
      <c r="U136" s="683"/>
      <c r="V136" s="474">
        <f t="shared" si="50"/>
        <v>0</v>
      </c>
      <c r="W136" s="474">
        <f t="shared" si="51"/>
        <v>0</v>
      </c>
      <c r="X136" s="475">
        <f t="shared" si="52"/>
        <v>0</v>
      </c>
      <c r="Y136" s="475">
        <v>0</v>
      </c>
      <c r="Z136" s="476">
        <v>0</v>
      </c>
      <c r="AA136" s="38">
        <f t="shared" si="53"/>
        <v>0</v>
      </c>
      <c r="AB136" s="692">
        <f t="shared" si="54"/>
        <v>95.24</v>
      </c>
      <c r="AC136" s="692">
        <f t="shared" si="55"/>
        <v>0</v>
      </c>
      <c r="AD136" s="692">
        <f t="shared" si="56"/>
        <v>0</v>
      </c>
      <c r="AE136" s="38"/>
      <c r="AF136" s="692">
        <f t="shared" si="45"/>
        <v>0</v>
      </c>
      <c r="AG136" s="692">
        <f t="shared" si="46"/>
        <v>0</v>
      </c>
      <c r="AH136" s="692">
        <f t="shared" si="47"/>
        <v>0</v>
      </c>
      <c r="AJ136" s="38">
        <f t="shared" si="57"/>
        <v>95.24</v>
      </c>
    </row>
    <row r="137" spans="1:36" s="232" customFormat="1">
      <c r="A137" s="283"/>
      <c r="B137" s="283" t="s">
        <v>110</v>
      </c>
      <c r="C137" s="667" t="s">
        <v>555</v>
      </c>
      <c r="D137" s="123" t="s">
        <v>197</v>
      </c>
      <c r="E137" s="679"/>
      <c r="F137" s="529">
        <f>VLOOKUP(D137,'Sept 2012 Revenue'!D:T,17,FALSE)</f>
        <v>0</v>
      </c>
      <c r="G137" s="680"/>
      <c r="H137" s="680"/>
      <c r="I137" s="770">
        <v>6.83</v>
      </c>
      <c r="J137" s="682">
        <f t="shared" si="48"/>
        <v>6.83</v>
      </c>
      <c r="K137" s="683"/>
      <c r="L137" s="684"/>
      <c r="M137" s="753"/>
      <c r="N137" s="683">
        <v>0</v>
      </c>
      <c r="O137" s="686"/>
      <c r="P137" s="683">
        <v>0</v>
      </c>
      <c r="Q137" s="687">
        <f t="shared" si="1"/>
        <v>0</v>
      </c>
      <c r="R137" s="688">
        <v>0</v>
      </c>
      <c r="S137" s="693"/>
      <c r="T137" s="690">
        <f t="shared" si="49"/>
        <v>0</v>
      </c>
      <c r="U137" s="683"/>
      <c r="V137" s="474">
        <f t="shared" si="50"/>
        <v>0</v>
      </c>
      <c r="W137" s="474">
        <f t="shared" si="51"/>
        <v>0</v>
      </c>
      <c r="X137" s="475">
        <f t="shared" si="52"/>
        <v>0</v>
      </c>
      <c r="Y137" s="475">
        <v>0</v>
      </c>
      <c r="Z137" s="476">
        <v>0</v>
      </c>
      <c r="AA137" s="38">
        <f t="shared" si="53"/>
        <v>0</v>
      </c>
      <c r="AB137" s="692">
        <f t="shared" si="54"/>
        <v>6.83</v>
      </c>
      <c r="AC137" s="692">
        <f t="shared" si="55"/>
        <v>0</v>
      </c>
      <c r="AD137" s="692">
        <f t="shared" si="56"/>
        <v>0</v>
      </c>
      <c r="AE137" s="38"/>
      <c r="AF137" s="692">
        <f t="shared" si="45"/>
        <v>0</v>
      </c>
      <c r="AG137" s="692">
        <f t="shared" si="46"/>
        <v>0</v>
      </c>
      <c r="AH137" s="692">
        <f t="shared" si="47"/>
        <v>0</v>
      </c>
      <c r="AJ137" s="38">
        <f t="shared" si="57"/>
        <v>6.83</v>
      </c>
    </row>
    <row r="138" spans="1:36" s="232" customFormat="1">
      <c r="A138" s="283"/>
      <c r="B138" s="283" t="s">
        <v>110</v>
      </c>
      <c r="C138" s="667" t="s">
        <v>555</v>
      </c>
      <c r="D138" s="123" t="s">
        <v>440</v>
      </c>
      <c r="E138" s="679"/>
      <c r="F138" s="529">
        <f>VLOOKUP(D138,'Sept 2012 Revenue'!D:T,17,FALSE)</f>
        <v>0</v>
      </c>
      <c r="G138" s="680"/>
      <c r="H138" s="680"/>
      <c r="I138" s="770">
        <f>1157.06+190.51+204.36</f>
        <v>1551.9299999999998</v>
      </c>
      <c r="J138" s="682">
        <f t="shared" si="48"/>
        <v>1551.9299999999998</v>
      </c>
      <c r="K138" s="683"/>
      <c r="L138" s="684"/>
      <c r="M138" s="753"/>
      <c r="N138" s="683">
        <v>0</v>
      </c>
      <c r="O138" s="686"/>
      <c r="P138" s="683">
        <v>0</v>
      </c>
      <c r="Q138" s="687">
        <f t="shared" si="1"/>
        <v>0</v>
      </c>
      <c r="R138" s="688">
        <v>0</v>
      </c>
      <c r="S138" s="693"/>
      <c r="T138" s="690">
        <f t="shared" si="49"/>
        <v>0</v>
      </c>
      <c r="U138" s="683"/>
      <c r="V138" s="474">
        <f t="shared" si="50"/>
        <v>0</v>
      </c>
      <c r="W138" s="474">
        <f t="shared" si="51"/>
        <v>0</v>
      </c>
      <c r="X138" s="475">
        <f t="shared" si="52"/>
        <v>0</v>
      </c>
      <c r="Y138" s="475">
        <v>0</v>
      </c>
      <c r="Z138" s="476">
        <v>0</v>
      </c>
      <c r="AA138" s="38">
        <f t="shared" si="53"/>
        <v>0</v>
      </c>
      <c r="AB138" s="692">
        <f t="shared" si="54"/>
        <v>1551.9299999999998</v>
      </c>
      <c r="AC138" s="692">
        <f t="shared" si="55"/>
        <v>0</v>
      </c>
      <c r="AD138" s="692">
        <f t="shared" si="56"/>
        <v>0</v>
      </c>
      <c r="AE138" s="38"/>
      <c r="AF138" s="692">
        <f t="shared" si="45"/>
        <v>0</v>
      </c>
      <c r="AG138" s="692">
        <f t="shared" si="46"/>
        <v>0</v>
      </c>
      <c r="AH138" s="692">
        <f t="shared" si="47"/>
        <v>0</v>
      </c>
      <c r="AJ138" s="38">
        <f t="shared" si="57"/>
        <v>1551.9299999999998</v>
      </c>
    </row>
    <row r="139" spans="1:36" s="232" customFormat="1">
      <c r="A139" s="283"/>
      <c r="B139" s="283" t="s">
        <v>110</v>
      </c>
      <c r="C139" s="667" t="s">
        <v>555</v>
      </c>
      <c r="D139" s="123" t="s">
        <v>481</v>
      </c>
      <c r="E139" s="679"/>
      <c r="F139" s="529">
        <f>VLOOKUP(D139,'Sept 2012 Revenue'!D:T,17,FALSE)</f>
        <v>0</v>
      </c>
      <c r="G139" s="680"/>
      <c r="H139" s="680"/>
      <c r="I139" s="770">
        <v>451.75</v>
      </c>
      <c r="J139" s="682">
        <f t="shared" si="48"/>
        <v>451.75</v>
      </c>
      <c r="K139" s="683"/>
      <c r="L139" s="684"/>
      <c r="M139" s="753"/>
      <c r="N139" s="683">
        <v>0</v>
      </c>
      <c r="O139" s="686"/>
      <c r="P139" s="683">
        <v>0</v>
      </c>
      <c r="Q139" s="687">
        <f t="shared" si="1"/>
        <v>0</v>
      </c>
      <c r="R139" s="688">
        <v>0</v>
      </c>
      <c r="S139" s="693"/>
      <c r="T139" s="690">
        <f t="shared" si="49"/>
        <v>0</v>
      </c>
      <c r="U139" s="683"/>
      <c r="V139" s="474">
        <f t="shared" si="50"/>
        <v>0</v>
      </c>
      <c r="W139" s="474">
        <f t="shared" si="51"/>
        <v>0</v>
      </c>
      <c r="X139" s="475">
        <f t="shared" si="52"/>
        <v>0</v>
      </c>
      <c r="Y139" s="475">
        <v>0</v>
      </c>
      <c r="Z139" s="476">
        <v>0</v>
      </c>
      <c r="AA139" s="38">
        <f t="shared" si="53"/>
        <v>0</v>
      </c>
      <c r="AB139" s="692">
        <f t="shared" si="54"/>
        <v>451.75</v>
      </c>
      <c r="AC139" s="692">
        <f t="shared" si="55"/>
        <v>0</v>
      </c>
      <c r="AD139" s="692">
        <f t="shared" si="56"/>
        <v>0</v>
      </c>
      <c r="AE139" s="38"/>
      <c r="AF139" s="692">
        <f t="shared" si="45"/>
        <v>0</v>
      </c>
      <c r="AG139" s="692">
        <f t="shared" si="46"/>
        <v>0</v>
      </c>
      <c r="AH139" s="692">
        <f t="shared" si="47"/>
        <v>0</v>
      </c>
      <c r="AJ139" s="38">
        <f t="shared" si="57"/>
        <v>451.75</v>
      </c>
    </row>
    <row r="140" spans="1:36" s="232" customFormat="1">
      <c r="A140" s="283"/>
      <c r="B140" s="283" t="s">
        <v>109</v>
      </c>
      <c r="C140" s="667" t="s">
        <v>555</v>
      </c>
      <c r="D140" s="123" t="s">
        <v>248</v>
      </c>
      <c r="E140" s="679"/>
      <c r="F140" s="529">
        <f>VLOOKUP(D140,'Sept 2012 Revenue'!D:T,17,FALSE)</f>
        <v>0</v>
      </c>
      <c r="G140" s="680"/>
      <c r="H140" s="680"/>
      <c r="I140" s="755"/>
      <c r="J140" s="682">
        <f t="shared" si="48"/>
        <v>0</v>
      </c>
      <c r="K140" s="683"/>
      <c r="L140" s="684"/>
      <c r="M140" s="753"/>
      <c r="N140" s="683">
        <v>0</v>
      </c>
      <c r="O140" s="686"/>
      <c r="P140" s="683">
        <v>0</v>
      </c>
      <c r="Q140" s="687">
        <f t="shared" si="1"/>
        <v>0</v>
      </c>
      <c r="R140" s="688">
        <v>0</v>
      </c>
      <c r="S140" s="693"/>
      <c r="T140" s="690">
        <f t="shared" si="49"/>
        <v>0</v>
      </c>
      <c r="U140" s="683"/>
      <c r="V140" s="474">
        <f t="shared" si="50"/>
        <v>0</v>
      </c>
      <c r="W140" s="474">
        <f t="shared" si="51"/>
        <v>0</v>
      </c>
      <c r="X140" s="475">
        <f t="shared" si="52"/>
        <v>0</v>
      </c>
      <c r="Y140" s="475">
        <v>0</v>
      </c>
      <c r="Z140" s="476">
        <v>0</v>
      </c>
      <c r="AA140" s="38">
        <f t="shared" si="53"/>
        <v>0</v>
      </c>
      <c r="AB140" s="692">
        <f t="shared" si="54"/>
        <v>0</v>
      </c>
      <c r="AC140" s="692">
        <f t="shared" si="55"/>
        <v>0</v>
      </c>
      <c r="AD140" s="692">
        <f t="shared" si="56"/>
        <v>0</v>
      </c>
      <c r="AE140" s="38"/>
      <c r="AF140" s="692">
        <f t="shared" si="45"/>
        <v>0</v>
      </c>
      <c r="AG140" s="692">
        <f t="shared" si="46"/>
        <v>0</v>
      </c>
      <c r="AH140" s="692">
        <f t="shared" si="47"/>
        <v>0</v>
      </c>
      <c r="AJ140" s="38">
        <f t="shared" si="57"/>
        <v>0</v>
      </c>
    </row>
    <row r="141" spans="1:36" s="232" customFormat="1">
      <c r="A141" s="283"/>
      <c r="B141" s="20" t="s">
        <v>109</v>
      </c>
      <c r="C141" s="667"/>
      <c r="D141" s="68" t="s">
        <v>465</v>
      </c>
      <c r="E141" s="679">
        <v>20577.919999999998</v>
      </c>
      <c r="F141" s="529">
        <f>VLOOKUP(D141,'Sept 2012 Revenue'!D:T,17,FALSE)</f>
        <v>-20000</v>
      </c>
      <c r="G141" s="680"/>
      <c r="H141" s="680"/>
      <c r="I141" s="755"/>
      <c r="J141" s="682">
        <f t="shared" si="48"/>
        <v>577.91999999999825</v>
      </c>
      <c r="K141" s="683"/>
      <c r="L141" s="684"/>
      <c r="M141" s="753">
        <v>5000</v>
      </c>
      <c r="N141" s="683">
        <v>0</v>
      </c>
      <c r="O141" s="686"/>
      <c r="P141" s="683">
        <v>0</v>
      </c>
      <c r="Q141" s="687">
        <f t="shared" si="1"/>
        <v>5000</v>
      </c>
      <c r="R141" s="688">
        <v>0</v>
      </c>
      <c r="S141" s="693"/>
      <c r="T141" s="690">
        <f t="shared" si="49"/>
        <v>-5000</v>
      </c>
      <c r="U141" s="683"/>
      <c r="V141" s="474">
        <f t="shared" si="50"/>
        <v>0</v>
      </c>
      <c r="W141" s="474">
        <f t="shared" si="51"/>
        <v>5000</v>
      </c>
      <c r="X141" s="475">
        <f t="shared" si="52"/>
        <v>0</v>
      </c>
      <c r="Y141" s="475">
        <v>0</v>
      </c>
      <c r="Z141" s="476">
        <v>0</v>
      </c>
      <c r="AA141" s="38">
        <f t="shared" si="53"/>
        <v>0</v>
      </c>
      <c r="AB141" s="692">
        <f t="shared" si="54"/>
        <v>0</v>
      </c>
      <c r="AC141" s="692">
        <f t="shared" si="55"/>
        <v>577.91999999999825</v>
      </c>
      <c r="AD141" s="692">
        <f t="shared" si="56"/>
        <v>0</v>
      </c>
      <c r="AE141" s="38"/>
      <c r="AF141" s="692">
        <f t="shared" si="45"/>
        <v>0</v>
      </c>
      <c r="AG141" s="692">
        <f t="shared" si="46"/>
        <v>5000</v>
      </c>
      <c r="AH141" s="692">
        <f t="shared" si="47"/>
        <v>0</v>
      </c>
      <c r="AJ141" s="38">
        <f t="shared" si="57"/>
        <v>5577.9199999999983</v>
      </c>
    </row>
    <row r="142" spans="1:36">
      <c r="A142" s="21"/>
      <c r="B142" s="21" t="s">
        <v>110</v>
      </c>
      <c r="C142" s="666" t="s">
        <v>556</v>
      </c>
      <c r="D142" s="68" t="s">
        <v>261</v>
      </c>
      <c r="E142" s="679"/>
      <c r="F142" s="529">
        <f>VLOOKUP(D142,'Sept 2012 Revenue'!D:T,17,FALSE)</f>
        <v>-3517.9300000000076</v>
      </c>
      <c r="G142" s="680"/>
      <c r="H142" s="680"/>
      <c r="I142" s="755"/>
      <c r="J142" s="682">
        <f t="shared" si="48"/>
        <v>-3517.9300000000076</v>
      </c>
      <c r="K142" s="683"/>
      <c r="L142" s="684"/>
      <c r="M142" s="753">
        <v>90000</v>
      </c>
      <c r="N142" s="683">
        <v>0</v>
      </c>
      <c r="O142" s="686"/>
      <c r="P142" s="683">
        <v>0</v>
      </c>
      <c r="Q142" s="687">
        <f t="shared" si="1"/>
        <v>90000</v>
      </c>
      <c r="R142" s="688">
        <v>85579.23</v>
      </c>
      <c r="S142" s="693"/>
      <c r="T142" s="690">
        <f t="shared" si="49"/>
        <v>-4420.7700000000041</v>
      </c>
      <c r="U142" s="683"/>
      <c r="V142" s="474">
        <f t="shared" si="50"/>
        <v>90000</v>
      </c>
      <c r="W142" s="474">
        <f t="shared" si="51"/>
        <v>0</v>
      </c>
      <c r="X142" s="475">
        <f t="shared" si="52"/>
        <v>0</v>
      </c>
      <c r="Y142" s="475">
        <v>0</v>
      </c>
      <c r="Z142" s="476">
        <v>0</v>
      </c>
      <c r="AA142" s="38">
        <f t="shared" si="53"/>
        <v>0</v>
      </c>
      <c r="AB142" s="692">
        <f t="shared" si="54"/>
        <v>-3517.9300000000076</v>
      </c>
      <c r="AC142" s="692">
        <f t="shared" si="55"/>
        <v>0</v>
      </c>
      <c r="AD142" s="692">
        <f t="shared" si="56"/>
        <v>0</v>
      </c>
      <c r="AE142" s="38"/>
      <c r="AF142" s="692">
        <f t="shared" si="45"/>
        <v>90000</v>
      </c>
      <c r="AG142" s="692">
        <f t="shared" si="46"/>
        <v>0</v>
      </c>
      <c r="AH142" s="692">
        <f t="shared" si="47"/>
        <v>0</v>
      </c>
      <c r="AJ142" s="38">
        <f t="shared" si="57"/>
        <v>86482.069999999992</v>
      </c>
    </row>
    <row r="143" spans="1:36" s="269" customFormat="1">
      <c r="A143" s="21"/>
      <c r="B143" s="21" t="s">
        <v>110</v>
      </c>
      <c r="C143" s="666" t="s">
        <v>556</v>
      </c>
      <c r="D143" s="68" t="s">
        <v>262</v>
      </c>
      <c r="E143" s="679"/>
      <c r="F143" s="529">
        <f>VLOOKUP(D143,'Sept 2012 Revenue'!D:T,17,FALSE)</f>
        <v>-780.97999999999956</v>
      </c>
      <c r="G143" s="680"/>
      <c r="H143" s="680"/>
      <c r="I143" s="755"/>
      <c r="J143" s="682">
        <f t="shared" si="48"/>
        <v>-780.97999999999956</v>
      </c>
      <c r="K143" s="683"/>
      <c r="L143" s="684"/>
      <c r="M143" s="753">
        <v>10000</v>
      </c>
      <c r="N143" s="683">
        <v>0</v>
      </c>
      <c r="O143" s="686"/>
      <c r="P143" s="683">
        <v>0</v>
      </c>
      <c r="Q143" s="687">
        <f t="shared" si="1"/>
        <v>10000</v>
      </c>
      <c r="R143" s="688">
        <v>0</v>
      </c>
      <c r="S143" s="693"/>
      <c r="T143" s="690">
        <f t="shared" si="49"/>
        <v>-10000</v>
      </c>
      <c r="U143" s="683"/>
      <c r="V143" s="474">
        <f t="shared" si="50"/>
        <v>10000</v>
      </c>
      <c r="W143" s="474">
        <f t="shared" si="51"/>
        <v>0</v>
      </c>
      <c r="X143" s="475">
        <f t="shared" si="52"/>
        <v>0</v>
      </c>
      <c r="Y143" s="475">
        <v>0</v>
      </c>
      <c r="Z143" s="476">
        <v>0</v>
      </c>
      <c r="AA143" s="38">
        <f t="shared" si="53"/>
        <v>0</v>
      </c>
      <c r="AB143" s="692">
        <f t="shared" si="54"/>
        <v>-780.97999999999956</v>
      </c>
      <c r="AC143" s="692">
        <f t="shared" si="55"/>
        <v>0</v>
      </c>
      <c r="AD143" s="692">
        <f t="shared" si="56"/>
        <v>0</v>
      </c>
      <c r="AE143" s="38"/>
      <c r="AF143" s="692">
        <f t="shared" si="45"/>
        <v>10000</v>
      </c>
      <c r="AG143" s="692">
        <f t="shared" si="46"/>
        <v>0</v>
      </c>
      <c r="AH143" s="692">
        <f t="shared" si="47"/>
        <v>0</v>
      </c>
      <c r="AJ143" s="38">
        <f t="shared" si="57"/>
        <v>9219.02</v>
      </c>
    </row>
    <row r="144" spans="1:36" s="269" customFormat="1">
      <c r="A144" s="21"/>
      <c r="B144" s="21" t="s">
        <v>114</v>
      </c>
      <c r="C144" s="675" t="s">
        <v>619</v>
      </c>
      <c r="D144" s="68" t="s">
        <v>626</v>
      </c>
      <c r="E144" s="679"/>
      <c r="F144" s="529">
        <f>VLOOKUP(D144,'Sept 2012 Revenue'!D:T,17,FALSE)</f>
        <v>0</v>
      </c>
      <c r="G144" s="680"/>
      <c r="H144" s="680"/>
      <c r="I144" s="770">
        <v>4211.8500000000004</v>
      </c>
      <c r="J144" s="682">
        <f t="shared" si="48"/>
        <v>4211.8500000000004</v>
      </c>
      <c r="K144" s="683"/>
      <c r="L144" s="684"/>
      <c r="M144" s="753"/>
      <c r="N144" s="683">
        <v>0</v>
      </c>
      <c r="O144" s="686"/>
      <c r="P144" s="683">
        <v>0</v>
      </c>
      <c r="Q144" s="687">
        <f t="shared" ref="Q144:Q209" si="58">L144+M144</f>
        <v>0</v>
      </c>
      <c r="R144" s="688">
        <v>0</v>
      </c>
      <c r="S144" s="693"/>
      <c r="T144" s="690">
        <f t="shared" si="49"/>
        <v>0</v>
      </c>
      <c r="U144" s="683"/>
      <c r="V144" s="474">
        <f t="shared" si="50"/>
        <v>0</v>
      </c>
      <c r="W144" s="474">
        <f t="shared" si="51"/>
        <v>0</v>
      </c>
      <c r="X144" s="475">
        <f t="shared" si="52"/>
        <v>0</v>
      </c>
      <c r="Y144" s="475">
        <v>0</v>
      </c>
      <c r="Z144" s="476">
        <v>0</v>
      </c>
      <c r="AA144" s="38">
        <f t="shared" si="53"/>
        <v>0</v>
      </c>
      <c r="AB144" s="692">
        <f t="shared" si="54"/>
        <v>0</v>
      </c>
      <c r="AC144" s="692">
        <f t="shared" si="55"/>
        <v>0</v>
      </c>
      <c r="AD144" s="692">
        <f t="shared" si="56"/>
        <v>4211.8500000000004</v>
      </c>
      <c r="AE144" s="38"/>
      <c r="AF144" s="692">
        <f t="shared" si="45"/>
        <v>0</v>
      </c>
      <c r="AG144" s="692">
        <f t="shared" si="46"/>
        <v>0</v>
      </c>
      <c r="AH144" s="692">
        <f t="shared" si="47"/>
        <v>0</v>
      </c>
      <c r="AJ144" s="38">
        <f t="shared" si="57"/>
        <v>4211.8500000000004</v>
      </c>
    </row>
    <row r="145" spans="1:36">
      <c r="A145" s="21"/>
      <c r="B145" s="21" t="s">
        <v>109</v>
      </c>
      <c r="C145" s="666"/>
      <c r="D145" s="68" t="s">
        <v>396</v>
      </c>
      <c r="E145" s="679"/>
      <c r="F145" s="529">
        <f>VLOOKUP(D145,'Sept 2012 Revenue'!D:T,17,FALSE)</f>
        <v>10.37</v>
      </c>
      <c r="G145" s="680"/>
      <c r="H145" s="680"/>
      <c r="I145" s="755"/>
      <c r="J145" s="682">
        <f t="shared" si="48"/>
        <v>10.37</v>
      </c>
      <c r="K145" s="683"/>
      <c r="L145" s="684"/>
      <c r="M145" s="753"/>
      <c r="N145" s="683">
        <v>0</v>
      </c>
      <c r="O145" s="686"/>
      <c r="P145" s="683">
        <v>0</v>
      </c>
      <c r="Q145" s="687">
        <f t="shared" si="58"/>
        <v>0</v>
      </c>
      <c r="R145" s="688">
        <v>7.43</v>
      </c>
      <c r="S145" s="693"/>
      <c r="T145" s="690">
        <f t="shared" si="49"/>
        <v>7.43</v>
      </c>
      <c r="U145" s="683"/>
      <c r="V145" s="474">
        <f t="shared" si="50"/>
        <v>0</v>
      </c>
      <c r="W145" s="474">
        <f t="shared" si="51"/>
        <v>0</v>
      </c>
      <c r="X145" s="475">
        <f t="shared" si="52"/>
        <v>0</v>
      </c>
      <c r="Y145" s="475">
        <v>0</v>
      </c>
      <c r="Z145" s="476">
        <v>0</v>
      </c>
      <c r="AA145" s="38">
        <f t="shared" si="53"/>
        <v>0</v>
      </c>
      <c r="AB145" s="692">
        <f t="shared" si="54"/>
        <v>0</v>
      </c>
      <c r="AC145" s="692">
        <f t="shared" si="55"/>
        <v>10.37</v>
      </c>
      <c r="AD145" s="692">
        <f t="shared" si="56"/>
        <v>0</v>
      </c>
      <c r="AE145" s="38"/>
      <c r="AF145" s="692">
        <f t="shared" si="45"/>
        <v>0</v>
      </c>
      <c r="AG145" s="692">
        <f t="shared" si="46"/>
        <v>0</v>
      </c>
      <c r="AH145" s="692">
        <f t="shared" si="47"/>
        <v>0</v>
      </c>
      <c r="AJ145" s="38">
        <f t="shared" si="57"/>
        <v>10.37</v>
      </c>
    </row>
    <row r="146" spans="1:36">
      <c r="A146" s="20"/>
      <c r="B146" s="20" t="s">
        <v>109</v>
      </c>
      <c r="C146" s="667" t="s">
        <v>557</v>
      </c>
      <c r="D146" s="68" t="s">
        <v>32</v>
      </c>
      <c r="E146" s="679"/>
      <c r="F146" s="529">
        <f>VLOOKUP(D146,'Sept 2012 Revenue'!D:T,17,FALSE)</f>
        <v>0</v>
      </c>
      <c r="G146" s="680"/>
      <c r="H146" s="680"/>
      <c r="I146" s="755"/>
      <c r="J146" s="682">
        <f t="shared" si="48"/>
        <v>0</v>
      </c>
      <c r="K146" s="683"/>
      <c r="L146" s="684"/>
      <c r="M146" s="753"/>
      <c r="N146" s="683">
        <v>0</v>
      </c>
      <c r="O146" s="686"/>
      <c r="P146" s="683">
        <v>0</v>
      </c>
      <c r="Q146" s="687">
        <f t="shared" si="58"/>
        <v>0</v>
      </c>
      <c r="R146" s="688">
        <v>151.09</v>
      </c>
      <c r="S146" s="693"/>
      <c r="T146" s="690">
        <f t="shared" si="49"/>
        <v>151.09</v>
      </c>
      <c r="U146" s="683"/>
      <c r="V146" s="474">
        <f t="shared" si="50"/>
        <v>0</v>
      </c>
      <c r="W146" s="474">
        <f t="shared" si="51"/>
        <v>0</v>
      </c>
      <c r="X146" s="475">
        <f t="shared" si="52"/>
        <v>0</v>
      </c>
      <c r="Y146" s="475">
        <v>0</v>
      </c>
      <c r="Z146" s="476">
        <v>0</v>
      </c>
      <c r="AA146" s="38">
        <f t="shared" si="53"/>
        <v>0</v>
      </c>
      <c r="AB146" s="692">
        <f t="shared" si="54"/>
        <v>0</v>
      </c>
      <c r="AC146" s="692">
        <f t="shared" si="55"/>
        <v>0</v>
      </c>
      <c r="AD146" s="692">
        <f t="shared" si="56"/>
        <v>0</v>
      </c>
      <c r="AE146" s="38"/>
      <c r="AF146" s="692">
        <f t="shared" si="45"/>
        <v>0</v>
      </c>
      <c r="AG146" s="692">
        <f t="shared" si="46"/>
        <v>0</v>
      </c>
      <c r="AH146" s="692">
        <f t="shared" si="47"/>
        <v>0</v>
      </c>
      <c r="AJ146" s="38">
        <f t="shared" si="57"/>
        <v>0</v>
      </c>
    </row>
    <row r="147" spans="1:36">
      <c r="A147" s="21"/>
      <c r="B147" s="21" t="s">
        <v>110</v>
      </c>
      <c r="C147" s="666"/>
      <c r="D147" s="68" t="s">
        <v>448</v>
      </c>
      <c r="E147" s="679">
        <v>2099.5100000000002</v>
      </c>
      <c r="F147" s="529">
        <f>VLOOKUP(D147,'Sept 2012 Revenue'!D:T,17,FALSE)</f>
        <v>0</v>
      </c>
      <c r="G147" s="680"/>
      <c r="H147" s="680"/>
      <c r="I147" s="755"/>
      <c r="J147" s="682">
        <f t="shared" ref="J147:J211" si="59">SUM(E147:I147)</f>
        <v>2099.5100000000002</v>
      </c>
      <c r="K147" s="683"/>
      <c r="L147" s="684"/>
      <c r="M147" s="753"/>
      <c r="N147" s="683">
        <v>0</v>
      </c>
      <c r="O147" s="686"/>
      <c r="P147" s="683">
        <v>0</v>
      </c>
      <c r="Q147" s="687">
        <f t="shared" si="58"/>
        <v>0</v>
      </c>
      <c r="R147" s="688">
        <v>0</v>
      </c>
      <c r="S147" s="693"/>
      <c r="T147" s="690">
        <f t="shared" ref="T147:T211" si="60">IF(R147="","",R147-Q147)</f>
        <v>0</v>
      </c>
      <c r="U147" s="683"/>
      <c r="V147" s="474">
        <f t="shared" si="50"/>
        <v>0</v>
      </c>
      <c r="W147" s="474">
        <f t="shared" si="51"/>
        <v>0</v>
      </c>
      <c r="X147" s="475">
        <f t="shared" si="52"/>
        <v>0</v>
      </c>
      <c r="Y147" s="475">
        <v>0</v>
      </c>
      <c r="Z147" s="476">
        <v>0</v>
      </c>
      <c r="AA147" s="38">
        <f t="shared" si="53"/>
        <v>0</v>
      </c>
      <c r="AB147" s="692">
        <f t="shared" si="54"/>
        <v>2099.5100000000002</v>
      </c>
      <c r="AC147" s="692">
        <f t="shared" si="55"/>
        <v>0</v>
      </c>
      <c r="AD147" s="692">
        <f t="shared" si="56"/>
        <v>0</v>
      </c>
      <c r="AE147" s="38"/>
      <c r="AF147" s="692">
        <f t="shared" si="45"/>
        <v>0</v>
      </c>
      <c r="AG147" s="692">
        <f t="shared" si="46"/>
        <v>0</v>
      </c>
      <c r="AH147" s="692">
        <f t="shared" si="47"/>
        <v>0</v>
      </c>
      <c r="AJ147" s="38">
        <f t="shared" si="57"/>
        <v>2099.5100000000002</v>
      </c>
    </row>
    <row r="148" spans="1:36">
      <c r="A148" s="21"/>
      <c r="B148" s="21" t="s">
        <v>110</v>
      </c>
      <c r="C148" s="666"/>
      <c r="D148" s="68" t="s">
        <v>877</v>
      </c>
      <c r="E148" s="679"/>
      <c r="F148" s="529"/>
      <c r="G148" s="680"/>
      <c r="H148" s="680"/>
      <c r="I148" s="755"/>
      <c r="J148" s="682">
        <f t="shared" ref="J148" si="61">SUM(E148:I148)</f>
        <v>0</v>
      </c>
      <c r="K148" s="683"/>
      <c r="L148" s="684"/>
      <c r="M148" s="753"/>
      <c r="N148" s="683">
        <v>0</v>
      </c>
      <c r="O148" s="686"/>
      <c r="P148" s="683">
        <v>0</v>
      </c>
      <c r="Q148" s="687">
        <f t="shared" ref="Q148" si="62">L148+M148</f>
        <v>0</v>
      </c>
      <c r="R148" s="688">
        <v>10.43</v>
      </c>
      <c r="S148" s="693"/>
      <c r="T148" s="690">
        <f t="shared" ref="T148" si="63">IF(R148="","",R148-Q148)</f>
        <v>10.43</v>
      </c>
      <c r="U148" s="683"/>
      <c r="V148" s="474">
        <f t="shared" ref="V148" si="64">IF(B148="D",Q148,0)</f>
        <v>0</v>
      </c>
      <c r="W148" s="474">
        <f t="shared" ref="W148" si="65">IF(B148="M",Q148,0)</f>
        <v>0</v>
      </c>
      <c r="X148" s="475">
        <f t="shared" ref="X148" si="66">IF(B148="V",Q148,0)</f>
        <v>0</v>
      </c>
      <c r="Y148" s="475">
        <v>0</v>
      </c>
      <c r="Z148" s="476">
        <v>0</v>
      </c>
      <c r="AA148" s="38">
        <f t="shared" ref="AA148" si="67">(L148+M148)-(V148+W148+X148+Y148+Z148)</f>
        <v>0</v>
      </c>
      <c r="AB148" s="692">
        <f t="shared" ref="AB148" si="68">IF(B148="D",J148,0)</f>
        <v>0</v>
      </c>
      <c r="AC148" s="692">
        <f t="shared" ref="AC148" si="69">IF(B148="M",J148,0)</f>
        <v>0</v>
      </c>
      <c r="AD148" s="692">
        <f t="shared" ref="AD148" si="70">IF(B148="V",J148,0)</f>
        <v>0</v>
      </c>
      <c r="AE148" s="38"/>
      <c r="AF148" s="692">
        <f t="shared" ref="AF148" si="71">IF(B148="D",Q148,0)</f>
        <v>0</v>
      </c>
      <c r="AG148" s="692">
        <f t="shared" ref="AG148" si="72">IF(B148="M",Q148,0)</f>
        <v>0</v>
      </c>
      <c r="AH148" s="692">
        <f t="shared" ref="AH148" si="73">IF(B148="V",Q148,0)</f>
        <v>0</v>
      </c>
      <c r="AJ148" s="38">
        <f t="shared" ref="AJ148" si="74">SUM(AB148:AH148)</f>
        <v>0</v>
      </c>
    </row>
    <row r="149" spans="1:36">
      <c r="A149" s="21"/>
      <c r="B149" s="21" t="s">
        <v>110</v>
      </c>
      <c r="C149" s="666" t="s">
        <v>558</v>
      </c>
      <c r="D149" s="68" t="s">
        <v>122</v>
      </c>
      <c r="E149" s="679">
        <f>1940.97+2858.15</f>
        <v>4799.12</v>
      </c>
      <c r="F149" s="529">
        <f>VLOOKUP(D149,'Sept 2012 Revenue'!D:T,17,FALSE)</f>
        <v>-8000</v>
      </c>
      <c r="G149" s="680"/>
      <c r="H149" s="680"/>
      <c r="I149" s="755"/>
      <c r="J149" s="682">
        <f t="shared" si="59"/>
        <v>-3200.88</v>
      </c>
      <c r="K149" s="683"/>
      <c r="L149" s="684"/>
      <c r="M149" s="753">
        <v>6000</v>
      </c>
      <c r="N149" s="683">
        <v>0</v>
      </c>
      <c r="O149" s="686"/>
      <c r="P149" s="683">
        <v>0</v>
      </c>
      <c r="Q149" s="687">
        <f t="shared" si="58"/>
        <v>6000</v>
      </c>
      <c r="R149" s="688">
        <v>0</v>
      </c>
      <c r="S149" s="693"/>
      <c r="T149" s="690">
        <f t="shared" si="60"/>
        <v>-6000</v>
      </c>
      <c r="U149" s="683"/>
      <c r="V149" s="474">
        <f t="shared" ref="V149:V213" si="75">IF(B149="D",Q149,0)</f>
        <v>6000</v>
      </c>
      <c r="W149" s="474">
        <f t="shared" ref="W149:W213" si="76">IF(B149="M",Q149,0)</f>
        <v>0</v>
      </c>
      <c r="X149" s="475">
        <f t="shared" ref="X149:X213" si="77">IF(B149="V",Q149,0)</f>
        <v>0</v>
      </c>
      <c r="Y149" s="475">
        <v>0</v>
      </c>
      <c r="Z149" s="476">
        <v>0</v>
      </c>
      <c r="AA149" s="38">
        <f t="shared" ref="AA149:AA212" si="78">(L149+M149)-(V149+W149+X149+Y149+Z149)</f>
        <v>0</v>
      </c>
      <c r="AB149" s="692">
        <f t="shared" si="54"/>
        <v>-3200.88</v>
      </c>
      <c r="AC149" s="692">
        <f t="shared" si="55"/>
        <v>0</v>
      </c>
      <c r="AD149" s="692">
        <f t="shared" si="56"/>
        <v>0</v>
      </c>
      <c r="AE149" s="38"/>
      <c r="AF149" s="692">
        <f t="shared" ref="AF149:AF212" si="79">IF(B149="D",Q149,0)</f>
        <v>6000</v>
      </c>
      <c r="AG149" s="692">
        <f t="shared" ref="AG149:AG212" si="80">IF(B149="M",Q149,0)</f>
        <v>0</v>
      </c>
      <c r="AH149" s="692">
        <f t="shared" ref="AH149:AH212" si="81">IF(B149="V",Q149,0)</f>
        <v>0</v>
      </c>
      <c r="AJ149" s="38">
        <f t="shared" si="57"/>
        <v>2799.12</v>
      </c>
    </row>
    <row r="150" spans="1:36">
      <c r="A150" s="21"/>
      <c r="B150" s="21" t="s">
        <v>114</v>
      </c>
      <c r="C150" s="666" t="s">
        <v>558</v>
      </c>
      <c r="D150" s="68" t="s">
        <v>629</v>
      </c>
      <c r="E150" s="679">
        <f>2.35+3.28</f>
        <v>5.63</v>
      </c>
      <c r="F150" s="529">
        <f>VLOOKUP(D150,'Sept 2012 Revenue'!D:T,17,FALSE)</f>
        <v>0</v>
      </c>
      <c r="G150" s="680"/>
      <c r="H150" s="680"/>
      <c r="I150" s="755"/>
      <c r="J150" s="682">
        <f t="shared" si="59"/>
        <v>5.63</v>
      </c>
      <c r="K150" s="683"/>
      <c r="L150" s="684"/>
      <c r="M150" s="753"/>
      <c r="N150" s="683">
        <v>0</v>
      </c>
      <c r="O150" s="686"/>
      <c r="P150" s="683">
        <v>0</v>
      </c>
      <c r="Q150" s="687">
        <f t="shared" si="58"/>
        <v>0</v>
      </c>
      <c r="R150" s="688">
        <v>0</v>
      </c>
      <c r="S150" s="693"/>
      <c r="T150" s="690">
        <f t="shared" si="60"/>
        <v>0</v>
      </c>
      <c r="U150" s="683"/>
      <c r="V150" s="474">
        <f t="shared" si="75"/>
        <v>0</v>
      </c>
      <c r="W150" s="474">
        <f t="shared" si="76"/>
        <v>0</v>
      </c>
      <c r="X150" s="475">
        <f t="shared" si="77"/>
        <v>0</v>
      </c>
      <c r="Y150" s="475">
        <v>0</v>
      </c>
      <c r="Z150" s="476">
        <v>0</v>
      </c>
      <c r="AA150" s="38">
        <f t="shared" si="78"/>
        <v>0</v>
      </c>
      <c r="AB150" s="692">
        <f t="shared" ref="AB150:AB213" si="82">IF(B150="D",J150,0)</f>
        <v>0</v>
      </c>
      <c r="AC150" s="692">
        <f t="shared" ref="AC150:AC213" si="83">IF(B150="M",J150,0)</f>
        <v>0</v>
      </c>
      <c r="AD150" s="692">
        <f t="shared" ref="AD150:AD213" si="84">IF(B150="V",J150,0)</f>
        <v>5.63</v>
      </c>
      <c r="AE150" s="38"/>
      <c r="AF150" s="692">
        <f t="shared" si="79"/>
        <v>0</v>
      </c>
      <c r="AG150" s="692">
        <f t="shared" si="80"/>
        <v>0</v>
      </c>
      <c r="AH150" s="692">
        <f t="shared" si="81"/>
        <v>0</v>
      </c>
      <c r="AJ150" s="38">
        <f t="shared" ref="AJ150:AJ213" si="85">SUM(AB150:AH150)</f>
        <v>5.63</v>
      </c>
    </row>
    <row r="151" spans="1:36">
      <c r="A151" s="21"/>
      <c r="B151" s="21" t="s">
        <v>109</v>
      </c>
      <c r="C151" s="666" t="s">
        <v>559</v>
      </c>
      <c r="D151" s="68" t="s">
        <v>33</v>
      </c>
      <c r="E151" s="679"/>
      <c r="F151" s="529">
        <f>VLOOKUP(D151,'Sept 2012 Revenue'!D:T,17,FALSE)</f>
        <v>0</v>
      </c>
      <c r="G151" s="680"/>
      <c r="H151" s="680"/>
      <c r="I151" s="755"/>
      <c r="J151" s="682">
        <f t="shared" si="59"/>
        <v>0</v>
      </c>
      <c r="K151" s="683"/>
      <c r="L151" s="684"/>
      <c r="M151" s="753"/>
      <c r="N151" s="683">
        <v>0</v>
      </c>
      <c r="O151" s="686"/>
      <c r="P151" s="683">
        <v>0</v>
      </c>
      <c r="Q151" s="687">
        <f t="shared" si="58"/>
        <v>0</v>
      </c>
      <c r="R151" s="688">
        <v>0</v>
      </c>
      <c r="S151" s="693"/>
      <c r="T151" s="690">
        <f t="shared" si="60"/>
        <v>0</v>
      </c>
      <c r="U151" s="683"/>
      <c r="V151" s="474">
        <f t="shared" si="75"/>
        <v>0</v>
      </c>
      <c r="W151" s="474">
        <f t="shared" si="76"/>
        <v>0</v>
      </c>
      <c r="X151" s="475">
        <f t="shared" si="77"/>
        <v>0</v>
      </c>
      <c r="Y151" s="475">
        <v>0</v>
      </c>
      <c r="Z151" s="476">
        <v>0</v>
      </c>
      <c r="AA151" s="38">
        <f t="shared" si="78"/>
        <v>0</v>
      </c>
      <c r="AB151" s="692">
        <f t="shared" si="82"/>
        <v>0</v>
      </c>
      <c r="AC151" s="692">
        <f t="shared" si="83"/>
        <v>0</v>
      </c>
      <c r="AD151" s="692">
        <f t="shared" si="84"/>
        <v>0</v>
      </c>
      <c r="AE151" s="38"/>
      <c r="AF151" s="692">
        <f t="shared" si="79"/>
        <v>0</v>
      </c>
      <c r="AG151" s="692">
        <f t="shared" si="80"/>
        <v>0</v>
      </c>
      <c r="AH151" s="692">
        <f t="shared" si="81"/>
        <v>0</v>
      </c>
      <c r="AJ151" s="38">
        <f t="shared" si="85"/>
        <v>0</v>
      </c>
    </row>
    <row r="152" spans="1:36">
      <c r="A152" s="21"/>
      <c r="B152" s="21" t="s">
        <v>109</v>
      </c>
      <c r="C152" s="666" t="s">
        <v>560</v>
      </c>
      <c r="D152" s="68" t="s">
        <v>379</v>
      </c>
      <c r="E152" s="679"/>
      <c r="F152" s="529">
        <f>VLOOKUP(D152,'Sept 2012 Revenue'!D:T,17,FALSE)</f>
        <v>250.24</v>
      </c>
      <c r="G152" s="680"/>
      <c r="H152" s="680"/>
      <c r="I152" s="755"/>
      <c r="J152" s="682">
        <f t="shared" si="59"/>
        <v>250.24</v>
      </c>
      <c r="K152" s="683"/>
      <c r="L152" s="684"/>
      <c r="M152" s="753"/>
      <c r="N152" s="683">
        <v>0</v>
      </c>
      <c r="O152" s="686"/>
      <c r="P152" s="683">
        <v>0</v>
      </c>
      <c r="Q152" s="687">
        <f t="shared" si="58"/>
        <v>0</v>
      </c>
      <c r="R152" s="688">
        <v>94.56</v>
      </c>
      <c r="S152" s="693"/>
      <c r="T152" s="690">
        <f t="shared" si="60"/>
        <v>94.56</v>
      </c>
      <c r="U152" s="683"/>
      <c r="V152" s="474">
        <f t="shared" si="75"/>
        <v>0</v>
      </c>
      <c r="W152" s="474">
        <f t="shared" si="76"/>
        <v>0</v>
      </c>
      <c r="X152" s="475">
        <f t="shared" si="77"/>
        <v>0</v>
      </c>
      <c r="Y152" s="475">
        <v>0</v>
      </c>
      <c r="Z152" s="476">
        <v>0</v>
      </c>
      <c r="AA152" s="38">
        <f t="shared" si="78"/>
        <v>0</v>
      </c>
      <c r="AB152" s="692">
        <f t="shared" si="82"/>
        <v>0</v>
      </c>
      <c r="AC152" s="692">
        <f t="shared" si="83"/>
        <v>250.24</v>
      </c>
      <c r="AD152" s="692">
        <f t="shared" si="84"/>
        <v>0</v>
      </c>
      <c r="AE152" s="38"/>
      <c r="AF152" s="692">
        <f t="shared" si="79"/>
        <v>0</v>
      </c>
      <c r="AG152" s="692">
        <f t="shared" si="80"/>
        <v>0</v>
      </c>
      <c r="AH152" s="692">
        <f t="shared" si="81"/>
        <v>0</v>
      </c>
      <c r="AJ152" s="38">
        <f t="shared" si="85"/>
        <v>250.24</v>
      </c>
    </row>
    <row r="153" spans="1:36" s="232" customFormat="1">
      <c r="A153" s="283"/>
      <c r="B153" s="283" t="s">
        <v>114</v>
      </c>
      <c r="C153" s="667"/>
      <c r="D153" s="500" t="s">
        <v>408</v>
      </c>
      <c r="E153" s="679"/>
      <c r="F153" s="529">
        <f>VLOOKUP(D153,'Sept 2012 Revenue'!D:T,17,FALSE)</f>
        <v>0</v>
      </c>
      <c r="G153" s="680"/>
      <c r="H153" s="680"/>
      <c r="I153" s="770">
        <v>9087.5</v>
      </c>
      <c r="J153" s="682">
        <f t="shared" si="59"/>
        <v>9087.5</v>
      </c>
      <c r="K153" s="683"/>
      <c r="L153" s="684"/>
      <c r="M153" s="753"/>
      <c r="N153" s="683">
        <v>0</v>
      </c>
      <c r="O153" s="686"/>
      <c r="P153" s="683">
        <v>0</v>
      </c>
      <c r="Q153" s="687">
        <f t="shared" si="58"/>
        <v>0</v>
      </c>
      <c r="R153" s="688">
        <v>0</v>
      </c>
      <c r="S153" s="693"/>
      <c r="T153" s="690">
        <f t="shared" si="60"/>
        <v>0</v>
      </c>
      <c r="U153" s="683"/>
      <c r="V153" s="474">
        <f t="shared" si="75"/>
        <v>0</v>
      </c>
      <c r="W153" s="474">
        <f t="shared" si="76"/>
        <v>0</v>
      </c>
      <c r="X153" s="475">
        <f t="shared" si="77"/>
        <v>0</v>
      </c>
      <c r="Y153" s="475">
        <v>0</v>
      </c>
      <c r="Z153" s="476">
        <v>0</v>
      </c>
      <c r="AA153" s="38">
        <f t="shared" si="78"/>
        <v>0</v>
      </c>
      <c r="AB153" s="692">
        <f t="shared" si="82"/>
        <v>0</v>
      </c>
      <c r="AC153" s="692">
        <f t="shared" si="83"/>
        <v>0</v>
      </c>
      <c r="AD153" s="692">
        <f t="shared" si="84"/>
        <v>9087.5</v>
      </c>
      <c r="AE153" s="38"/>
      <c r="AF153" s="692">
        <f t="shared" si="79"/>
        <v>0</v>
      </c>
      <c r="AG153" s="692">
        <f t="shared" si="80"/>
        <v>0</v>
      </c>
      <c r="AH153" s="692">
        <f t="shared" si="81"/>
        <v>0</v>
      </c>
      <c r="AJ153" s="38">
        <f t="shared" si="85"/>
        <v>9087.5</v>
      </c>
    </row>
    <row r="154" spans="1:36" s="232" customFormat="1">
      <c r="A154" s="283"/>
      <c r="B154" s="283" t="s">
        <v>110</v>
      </c>
      <c r="C154" s="667"/>
      <c r="D154" s="567" t="s">
        <v>445</v>
      </c>
      <c r="E154" s="679"/>
      <c r="F154" s="529">
        <f>VLOOKUP(D154,'Sept 2012 Revenue'!D:T,17,FALSE)</f>
        <v>0</v>
      </c>
      <c r="G154" s="680"/>
      <c r="H154" s="680"/>
      <c r="I154" s="755"/>
      <c r="J154" s="682">
        <f t="shared" si="59"/>
        <v>0</v>
      </c>
      <c r="K154" s="683"/>
      <c r="L154" s="684"/>
      <c r="M154" s="753"/>
      <c r="N154" s="683">
        <v>0</v>
      </c>
      <c r="O154" s="686"/>
      <c r="P154" s="683">
        <v>0</v>
      </c>
      <c r="Q154" s="687">
        <f t="shared" si="58"/>
        <v>0</v>
      </c>
      <c r="R154" s="688">
        <v>0</v>
      </c>
      <c r="S154" s="693"/>
      <c r="T154" s="690">
        <f t="shared" si="60"/>
        <v>0</v>
      </c>
      <c r="U154" s="683"/>
      <c r="V154" s="474">
        <f t="shared" si="75"/>
        <v>0</v>
      </c>
      <c r="W154" s="474">
        <f t="shared" si="76"/>
        <v>0</v>
      </c>
      <c r="X154" s="475">
        <f t="shared" si="77"/>
        <v>0</v>
      </c>
      <c r="Y154" s="475">
        <v>0</v>
      </c>
      <c r="Z154" s="476">
        <v>0</v>
      </c>
      <c r="AA154" s="38">
        <f t="shared" si="78"/>
        <v>0</v>
      </c>
      <c r="AB154" s="692">
        <f t="shared" si="82"/>
        <v>0</v>
      </c>
      <c r="AC154" s="692">
        <f t="shared" si="83"/>
        <v>0</v>
      </c>
      <c r="AD154" s="692">
        <f t="shared" si="84"/>
        <v>0</v>
      </c>
      <c r="AE154" s="38"/>
      <c r="AF154" s="692">
        <f t="shared" si="79"/>
        <v>0</v>
      </c>
      <c r="AG154" s="692">
        <f t="shared" si="80"/>
        <v>0</v>
      </c>
      <c r="AH154" s="692">
        <f t="shared" si="81"/>
        <v>0</v>
      </c>
      <c r="AJ154" s="38">
        <f t="shared" si="85"/>
        <v>0</v>
      </c>
    </row>
    <row r="155" spans="1:36" s="232" customFormat="1">
      <c r="A155" s="283"/>
      <c r="B155" s="283" t="s">
        <v>109</v>
      </c>
      <c r="C155" s="667" t="s">
        <v>562</v>
      </c>
      <c r="D155" s="567" t="s">
        <v>480</v>
      </c>
      <c r="E155" s="679">
        <v>7664.84</v>
      </c>
      <c r="F155" s="529">
        <f>VLOOKUP(D155,'Sept 2012 Revenue'!D:T,17,FALSE)</f>
        <v>-75.430000000000291</v>
      </c>
      <c r="G155" s="680"/>
      <c r="H155" s="680"/>
      <c r="I155" s="770">
        <v>9751.39</v>
      </c>
      <c r="J155" s="682">
        <f t="shared" si="59"/>
        <v>17340.8</v>
      </c>
      <c r="K155" s="683"/>
      <c r="L155" s="684"/>
      <c r="M155" s="753"/>
      <c r="N155" s="683">
        <v>0</v>
      </c>
      <c r="O155" s="686"/>
      <c r="P155" s="683">
        <v>0</v>
      </c>
      <c r="Q155" s="687">
        <f t="shared" si="58"/>
        <v>0</v>
      </c>
      <c r="R155" s="688">
        <v>0</v>
      </c>
      <c r="S155" s="693"/>
      <c r="T155" s="690">
        <f t="shared" si="60"/>
        <v>0</v>
      </c>
      <c r="U155" s="683"/>
      <c r="V155" s="474">
        <f t="shared" si="75"/>
        <v>0</v>
      </c>
      <c r="W155" s="474">
        <f t="shared" si="76"/>
        <v>0</v>
      </c>
      <c r="X155" s="475">
        <f t="shared" si="77"/>
        <v>0</v>
      </c>
      <c r="Y155" s="475">
        <v>0</v>
      </c>
      <c r="Z155" s="476">
        <v>0</v>
      </c>
      <c r="AA155" s="38">
        <f t="shared" si="78"/>
        <v>0</v>
      </c>
      <c r="AB155" s="692">
        <f t="shared" si="82"/>
        <v>0</v>
      </c>
      <c r="AC155" s="692">
        <f t="shared" si="83"/>
        <v>17340.8</v>
      </c>
      <c r="AD155" s="692">
        <f t="shared" si="84"/>
        <v>0</v>
      </c>
      <c r="AE155" s="38"/>
      <c r="AF155" s="692">
        <f t="shared" si="79"/>
        <v>0</v>
      </c>
      <c r="AG155" s="692">
        <f t="shared" si="80"/>
        <v>0</v>
      </c>
      <c r="AH155" s="692">
        <f t="shared" si="81"/>
        <v>0</v>
      </c>
      <c r="AJ155" s="38">
        <f t="shared" si="85"/>
        <v>17340.8</v>
      </c>
    </row>
    <row r="156" spans="1:36" s="232" customFormat="1">
      <c r="A156" s="403"/>
      <c r="B156" s="403" t="s">
        <v>109</v>
      </c>
      <c r="C156" s="666" t="s">
        <v>563</v>
      </c>
      <c r="D156" s="123" t="s">
        <v>327</v>
      </c>
      <c r="E156" s="679"/>
      <c r="F156" s="529">
        <f>VLOOKUP(D156,'Sept 2012 Revenue'!D:T,17,FALSE)</f>
        <v>-2611.8600000000006</v>
      </c>
      <c r="G156" s="680"/>
      <c r="H156" s="680"/>
      <c r="I156" s="755"/>
      <c r="J156" s="682">
        <f t="shared" si="59"/>
        <v>-2611.8600000000006</v>
      </c>
      <c r="K156" s="683"/>
      <c r="L156" s="684"/>
      <c r="M156" s="753">
        <v>90000</v>
      </c>
      <c r="N156" s="683">
        <v>0</v>
      </c>
      <c r="O156" s="686"/>
      <c r="P156" s="683">
        <v>0</v>
      </c>
      <c r="Q156" s="687">
        <f t="shared" si="58"/>
        <v>90000</v>
      </c>
      <c r="R156" s="688">
        <v>103688.9</v>
      </c>
      <c r="S156" s="693"/>
      <c r="T156" s="690">
        <f t="shared" si="60"/>
        <v>13688.899999999994</v>
      </c>
      <c r="U156" s="683"/>
      <c r="V156" s="474">
        <f t="shared" si="75"/>
        <v>0</v>
      </c>
      <c r="W156" s="474">
        <f t="shared" si="76"/>
        <v>90000</v>
      </c>
      <c r="X156" s="475">
        <f t="shared" si="77"/>
        <v>0</v>
      </c>
      <c r="Y156" s="475">
        <v>0</v>
      </c>
      <c r="Z156" s="476">
        <v>0</v>
      </c>
      <c r="AA156" s="38">
        <f t="shared" si="78"/>
        <v>0</v>
      </c>
      <c r="AB156" s="692">
        <f t="shared" si="82"/>
        <v>0</v>
      </c>
      <c r="AC156" s="692">
        <f t="shared" si="83"/>
        <v>-2611.8600000000006</v>
      </c>
      <c r="AD156" s="692">
        <f t="shared" si="84"/>
        <v>0</v>
      </c>
      <c r="AE156" s="38"/>
      <c r="AF156" s="692">
        <f t="shared" si="79"/>
        <v>0</v>
      </c>
      <c r="AG156" s="692">
        <f t="shared" si="80"/>
        <v>90000</v>
      </c>
      <c r="AH156" s="692">
        <f t="shared" si="81"/>
        <v>0</v>
      </c>
      <c r="AJ156" s="38">
        <f t="shared" si="85"/>
        <v>87388.14</v>
      </c>
    </row>
    <row r="157" spans="1:36" s="232" customFormat="1">
      <c r="A157" s="403"/>
      <c r="B157" s="403" t="s">
        <v>110</v>
      </c>
      <c r="C157" s="666" t="s">
        <v>563</v>
      </c>
      <c r="D157" s="123" t="s">
        <v>637</v>
      </c>
      <c r="E157" s="679"/>
      <c r="F157" s="529">
        <f>VLOOKUP(D157,'Sept 2012 Revenue'!D:T,17,FALSE)</f>
        <v>0</v>
      </c>
      <c r="G157" s="680"/>
      <c r="H157" s="680"/>
      <c r="I157" s="755"/>
      <c r="J157" s="682">
        <f t="shared" si="59"/>
        <v>0</v>
      </c>
      <c r="K157" s="683"/>
      <c r="L157" s="684"/>
      <c r="M157" s="753"/>
      <c r="N157" s="683">
        <v>0</v>
      </c>
      <c r="O157" s="686"/>
      <c r="P157" s="683">
        <v>0</v>
      </c>
      <c r="Q157" s="687">
        <f t="shared" si="58"/>
        <v>0</v>
      </c>
      <c r="R157" s="688">
        <v>0</v>
      </c>
      <c r="S157" s="693"/>
      <c r="T157" s="690">
        <f t="shared" si="60"/>
        <v>0</v>
      </c>
      <c r="U157" s="683"/>
      <c r="V157" s="474">
        <f t="shared" si="75"/>
        <v>0</v>
      </c>
      <c r="W157" s="474">
        <f t="shared" si="76"/>
        <v>0</v>
      </c>
      <c r="X157" s="475">
        <f t="shared" si="77"/>
        <v>0</v>
      </c>
      <c r="Y157" s="475">
        <v>0</v>
      </c>
      <c r="Z157" s="476">
        <v>0</v>
      </c>
      <c r="AA157" s="38">
        <f t="shared" si="78"/>
        <v>0</v>
      </c>
      <c r="AB157" s="692">
        <f t="shared" si="82"/>
        <v>0</v>
      </c>
      <c r="AC157" s="692">
        <f t="shared" si="83"/>
        <v>0</v>
      </c>
      <c r="AD157" s="692">
        <f t="shared" si="84"/>
        <v>0</v>
      </c>
      <c r="AE157" s="38"/>
      <c r="AF157" s="692">
        <f t="shared" si="79"/>
        <v>0</v>
      </c>
      <c r="AG157" s="692">
        <f t="shared" si="80"/>
        <v>0</v>
      </c>
      <c r="AH157" s="692">
        <f t="shared" si="81"/>
        <v>0</v>
      </c>
      <c r="AJ157" s="38">
        <f t="shared" si="85"/>
        <v>0</v>
      </c>
    </row>
    <row r="158" spans="1:36">
      <c r="A158" s="21" t="s">
        <v>212</v>
      </c>
      <c r="B158" s="21" t="s">
        <v>110</v>
      </c>
      <c r="C158" s="666"/>
      <c r="D158" s="68" t="s">
        <v>232</v>
      </c>
      <c r="E158" s="679"/>
      <c r="F158" s="529">
        <f>VLOOKUP(D158,'Sept 2012 Revenue'!D:T,17,FALSE)</f>
        <v>0</v>
      </c>
      <c r="G158" s="680"/>
      <c r="H158" s="680"/>
      <c r="I158" s="755"/>
      <c r="J158" s="682">
        <f t="shared" si="59"/>
        <v>0</v>
      </c>
      <c r="K158" s="683"/>
      <c r="L158" s="684"/>
      <c r="M158" s="753"/>
      <c r="N158" s="683">
        <v>0</v>
      </c>
      <c r="O158" s="686"/>
      <c r="P158" s="683">
        <v>0</v>
      </c>
      <c r="Q158" s="687">
        <f t="shared" si="58"/>
        <v>0</v>
      </c>
      <c r="R158" s="688">
        <v>0</v>
      </c>
      <c r="S158" s="693"/>
      <c r="T158" s="690">
        <f t="shared" si="60"/>
        <v>0</v>
      </c>
      <c r="U158" s="683"/>
      <c r="V158" s="474">
        <f t="shared" si="75"/>
        <v>0</v>
      </c>
      <c r="W158" s="474">
        <f t="shared" si="76"/>
        <v>0</v>
      </c>
      <c r="X158" s="475">
        <f t="shared" si="77"/>
        <v>0</v>
      </c>
      <c r="Y158" s="475">
        <v>0</v>
      </c>
      <c r="Z158" s="476">
        <v>0</v>
      </c>
      <c r="AA158" s="38">
        <f t="shared" si="78"/>
        <v>0</v>
      </c>
      <c r="AB158" s="692">
        <f t="shared" si="82"/>
        <v>0</v>
      </c>
      <c r="AC158" s="692">
        <f t="shared" si="83"/>
        <v>0</v>
      </c>
      <c r="AD158" s="692">
        <f t="shared" si="84"/>
        <v>0</v>
      </c>
      <c r="AE158" s="38"/>
      <c r="AF158" s="692">
        <f t="shared" si="79"/>
        <v>0</v>
      </c>
      <c r="AG158" s="692">
        <f t="shared" si="80"/>
        <v>0</v>
      </c>
      <c r="AH158" s="692">
        <f t="shared" si="81"/>
        <v>0</v>
      </c>
      <c r="AJ158" s="38">
        <f t="shared" si="85"/>
        <v>0</v>
      </c>
    </row>
    <row r="159" spans="1:36">
      <c r="A159" s="21"/>
      <c r="B159" s="21" t="s">
        <v>109</v>
      </c>
      <c r="C159" s="666" t="s">
        <v>564</v>
      </c>
      <c r="D159" s="68" t="s">
        <v>876</v>
      </c>
      <c r="E159" s="679"/>
      <c r="F159" s="529">
        <f>VLOOKUP(D159,'Sept 2012 Revenue'!D:T,17,FALSE)</f>
        <v>0</v>
      </c>
      <c r="G159" s="680"/>
      <c r="H159" s="680"/>
      <c r="I159" s="755"/>
      <c r="J159" s="682">
        <f t="shared" si="59"/>
        <v>0</v>
      </c>
      <c r="K159" s="683"/>
      <c r="L159" s="684"/>
      <c r="M159" s="753"/>
      <c r="N159" s="683">
        <v>0</v>
      </c>
      <c r="O159" s="686"/>
      <c r="P159" s="683">
        <v>0</v>
      </c>
      <c r="Q159" s="687">
        <f t="shared" si="58"/>
        <v>0</v>
      </c>
      <c r="R159" s="688">
        <f>2875.29+1457.09+54.76+1062.77+205.25+206.72</f>
        <v>5861.88</v>
      </c>
      <c r="S159" s="693"/>
      <c r="T159" s="690">
        <f t="shared" si="60"/>
        <v>5861.88</v>
      </c>
      <c r="U159" s="683"/>
      <c r="V159" s="474">
        <f t="shared" si="75"/>
        <v>0</v>
      </c>
      <c r="W159" s="474">
        <f t="shared" si="76"/>
        <v>0</v>
      </c>
      <c r="X159" s="475">
        <f t="shared" si="77"/>
        <v>0</v>
      </c>
      <c r="Y159" s="475">
        <v>0</v>
      </c>
      <c r="Z159" s="476">
        <v>0</v>
      </c>
      <c r="AA159" s="38">
        <f t="shared" si="78"/>
        <v>0</v>
      </c>
      <c r="AB159" s="692">
        <f t="shared" si="82"/>
        <v>0</v>
      </c>
      <c r="AC159" s="692">
        <f t="shared" si="83"/>
        <v>0</v>
      </c>
      <c r="AD159" s="692">
        <f t="shared" si="84"/>
        <v>0</v>
      </c>
      <c r="AE159" s="38"/>
      <c r="AF159" s="692">
        <f t="shared" si="79"/>
        <v>0</v>
      </c>
      <c r="AG159" s="692">
        <f t="shared" si="80"/>
        <v>0</v>
      </c>
      <c r="AH159" s="692">
        <f t="shared" si="81"/>
        <v>0</v>
      </c>
      <c r="AJ159" s="38">
        <f t="shared" si="85"/>
        <v>0</v>
      </c>
    </row>
    <row r="160" spans="1:36">
      <c r="A160" s="21"/>
      <c r="B160" s="21" t="s">
        <v>109</v>
      </c>
      <c r="C160" s="666" t="s">
        <v>564</v>
      </c>
      <c r="D160" s="68" t="s">
        <v>307</v>
      </c>
      <c r="E160" s="679"/>
      <c r="F160" s="529">
        <f>VLOOKUP(D160,'Sept 2012 Revenue'!D:T,17,FALSE)</f>
        <v>0</v>
      </c>
      <c r="G160" s="680"/>
      <c r="H160" s="680"/>
      <c r="I160" s="755"/>
      <c r="J160" s="682">
        <f t="shared" si="59"/>
        <v>0</v>
      </c>
      <c r="K160" s="683"/>
      <c r="L160" s="684"/>
      <c r="M160" s="753"/>
      <c r="N160" s="683">
        <v>0</v>
      </c>
      <c r="O160" s="686"/>
      <c r="P160" s="683">
        <v>0</v>
      </c>
      <c r="Q160" s="687">
        <f t="shared" si="58"/>
        <v>0</v>
      </c>
      <c r="R160" s="688">
        <v>0</v>
      </c>
      <c r="S160" s="693"/>
      <c r="T160" s="690">
        <f t="shared" si="60"/>
        <v>0</v>
      </c>
      <c r="U160" s="683"/>
      <c r="V160" s="474">
        <f t="shared" si="75"/>
        <v>0</v>
      </c>
      <c r="W160" s="474">
        <f t="shared" si="76"/>
        <v>0</v>
      </c>
      <c r="X160" s="475">
        <f t="shared" si="77"/>
        <v>0</v>
      </c>
      <c r="Y160" s="475">
        <v>0</v>
      </c>
      <c r="Z160" s="476">
        <v>0</v>
      </c>
      <c r="AA160" s="38">
        <f t="shared" si="78"/>
        <v>0</v>
      </c>
      <c r="AB160" s="692">
        <f t="shared" si="82"/>
        <v>0</v>
      </c>
      <c r="AC160" s="692">
        <f t="shared" si="83"/>
        <v>0</v>
      </c>
      <c r="AD160" s="692">
        <f t="shared" si="84"/>
        <v>0</v>
      </c>
      <c r="AE160" s="38"/>
      <c r="AF160" s="692">
        <f t="shared" si="79"/>
        <v>0</v>
      </c>
      <c r="AG160" s="692">
        <f t="shared" si="80"/>
        <v>0</v>
      </c>
      <c r="AH160" s="692">
        <f t="shared" si="81"/>
        <v>0</v>
      </c>
      <c r="AJ160" s="38">
        <f t="shared" si="85"/>
        <v>0</v>
      </c>
    </row>
    <row r="161" spans="1:36">
      <c r="A161" s="21"/>
      <c r="B161" s="21" t="s">
        <v>109</v>
      </c>
      <c r="C161" s="666" t="s">
        <v>565</v>
      </c>
      <c r="D161" s="68" t="s">
        <v>485</v>
      </c>
      <c r="E161" s="679"/>
      <c r="F161" s="529">
        <f>VLOOKUP(D161,'Sept 2012 Revenue'!D:T,17,FALSE)</f>
        <v>17128.330000000002</v>
      </c>
      <c r="G161" s="680"/>
      <c r="H161" s="680"/>
      <c r="I161" s="755"/>
      <c r="J161" s="682">
        <f t="shared" si="59"/>
        <v>17128.330000000002</v>
      </c>
      <c r="K161" s="683"/>
      <c r="L161" s="684"/>
      <c r="M161" s="753">
        <v>29000</v>
      </c>
      <c r="N161" s="683"/>
      <c r="O161" s="686"/>
      <c r="P161" s="683"/>
      <c r="Q161" s="687">
        <f t="shared" si="58"/>
        <v>29000</v>
      </c>
      <c r="R161" s="688">
        <v>0</v>
      </c>
      <c r="S161" s="693"/>
      <c r="T161" s="690">
        <f t="shared" si="60"/>
        <v>-29000</v>
      </c>
      <c r="U161" s="683"/>
      <c r="V161" s="474">
        <f t="shared" si="75"/>
        <v>0</v>
      </c>
      <c r="W161" s="474">
        <f t="shared" si="76"/>
        <v>29000</v>
      </c>
      <c r="X161" s="475">
        <f t="shared" si="77"/>
        <v>0</v>
      </c>
      <c r="Y161" s="475">
        <v>0</v>
      </c>
      <c r="Z161" s="476">
        <v>0</v>
      </c>
      <c r="AA161" s="38">
        <f t="shared" si="78"/>
        <v>0</v>
      </c>
      <c r="AB161" s="692">
        <f t="shared" si="82"/>
        <v>0</v>
      </c>
      <c r="AC161" s="692">
        <f t="shared" si="83"/>
        <v>17128.330000000002</v>
      </c>
      <c r="AD161" s="692">
        <f t="shared" si="84"/>
        <v>0</v>
      </c>
      <c r="AE161" s="38"/>
      <c r="AF161" s="692">
        <f t="shared" si="79"/>
        <v>0</v>
      </c>
      <c r="AG161" s="692">
        <f t="shared" si="80"/>
        <v>29000</v>
      </c>
      <c r="AH161" s="692">
        <f t="shared" si="81"/>
        <v>0</v>
      </c>
      <c r="AJ161" s="38">
        <f t="shared" si="85"/>
        <v>46128.33</v>
      </c>
    </row>
    <row r="162" spans="1:36" s="232" customFormat="1">
      <c r="A162" s="403"/>
      <c r="B162" s="403" t="s">
        <v>109</v>
      </c>
      <c r="C162" s="666"/>
      <c r="D162" s="123" t="s">
        <v>220</v>
      </c>
      <c r="E162" s="679"/>
      <c r="F162" s="529">
        <f>VLOOKUP(D162,'Sept 2012 Revenue'!D:T,17,FALSE)</f>
        <v>0</v>
      </c>
      <c r="G162" s="680"/>
      <c r="H162" s="680"/>
      <c r="I162" s="755"/>
      <c r="J162" s="682">
        <f t="shared" si="59"/>
        <v>0</v>
      </c>
      <c r="K162" s="683"/>
      <c r="L162" s="684"/>
      <c r="M162" s="753"/>
      <c r="N162" s="683">
        <v>0</v>
      </c>
      <c r="O162" s="686"/>
      <c r="P162" s="683">
        <v>0</v>
      </c>
      <c r="Q162" s="687">
        <f t="shared" si="58"/>
        <v>0</v>
      </c>
      <c r="R162" s="688">
        <v>0</v>
      </c>
      <c r="S162" s="693"/>
      <c r="T162" s="690">
        <f t="shared" si="60"/>
        <v>0</v>
      </c>
      <c r="U162" s="683"/>
      <c r="V162" s="474">
        <f t="shared" si="75"/>
        <v>0</v>
      </c>
      <c r="W162" s="474">
        <f t="shared" si="76"/>
        <v>0</v>
      </c>
      <c r="X162" s="475">
        <f t="shared" si="77"/>
        <v>0</v>
      </c>
      <c r="Y162" s="475">
        <v>0</v>
      </c>
      <c r="Z162" s="476">
        <v>0</v>
      </c>
      <c r="AA162" s="38">
        <f t="shared" si="78"/>
        <v>0</v>
      </c>
      <c r="AB162" s="692">
        <f t="shared" si="82"/>
        <v>0</v>
      </c>
      <c r="AC162" s="692">
        <f t="shared" si="83"/>
        <v>0</v>
      </c>
      <c r="AD162" s="692">
        <f t="shared" si="84"/>
        <v>0</v>
      </c>
      <c r="AE162" s="38"/>
      <c r="AF162" s="692">
        <f t="shared" si="79"/>
        <v>0</v>
      </c>
      <c r="AG162" s="692">
        <f t="shared" si="80"/>
        <v>0</v>
      </c>
      <c r="AH162" s="692">
        <f t="shared" si="81"/>
        <v>0</v>
      </c>
      <c r="AJ162" s="38">
        <f t="shared" si="85"/>
        <v>0</v>
      </c>
    </row>
    <row r="163" spans="1:36" s="24" customFormat="1">
      <c r="A163" s="472"/>
      <c r="B163" s="21" t="s">
        <v>109</v>
      </c>
      <c r="C163" s="666"/>
      <c r="D163" s="68" t="s">
        <v>505</v>
      </c>
      <c r="E163" s="679"/>
      <c r="F163" s="529">
        <f>VLOOKUP(D163,'Sept 2012 Revenue'!D:T,17,FALSE)</f>
        <v>0</v>
      </c>
      <c r="G163" s="680"/>
      <c r="H163" s="680"/>
      <c r="I163" s="770">
        <f>3330.13*2</f>
        <v>6660.26</v>
      </c>
      <c r="J163" s="682">
        <f t="shared" si="59"/>
        <v>6660.26</v>
      </c>
      <c r="K163" s="698"/>
      <c r="L163" s="684"/>
      <c r="M163" s="753"/>
      <c r="N163" s="698">
        <v>0</v>
      </c>
      <c r="O163" s="686"/>
      <c r="P163" s="698">
        <v>0</v>
      </c>
      <c r="Q163" s="700">
        <f t="shared" si="58"/>
        <v>0</v>
      </c>
      <c r="R163" s="688">
        <v>0</v>
      </c>
      <c r="S163" s="701"/>
      <c r="T163" s="690">
        <f t="shared" si="60"/>
        <v>0</v>
      </c>
      <c r="U163" s="698"/>
      <c r="V163" s="474">
        <f t="shared" si="75"/>
        <v>0</v>
      </c>
      <c r="W163" s="474">
        <f t="shared" si="76"/>
        <v>0</v>
      </c>
      <c r="X163" s="475">
        <f t="shared" si="77"/>
        <v>0</v>
      </c>
      <c r="Y163" s="475">
        <v>0</v>
      </c>
      <c r="Z163" s="476">
        <v>0</v>
      </c>
      <c r="AA163" s="38">
        <f t="shared" si="78"/>
        <v>0</v>
      </c>
      <c r="AB163" s="692">
        <f t="shared" si="82"/>
        <v>0</v>
      </c>
      <c r="AC163" s="692">
        <f t="shared" si="83"/>
        <v>6660.26</v>
      </c>
      <c r="AD163" s="692">
        <f t="shared" si="84"/>
        <v>0</v>
      </c>
      <c r="AE163" s="38"/>
      <c r="AF163" s="692">
        <f t="shared" si="79"/>
        <v>0</v>
      </c>
      <c r="AG163" s="692">
        <f t="shared" si="80"/>
        <v>0</v>
      </c>
      <c r="AH163" s="692">
        <f t="shared" si="81"/>
        <v>0</v>
      </c>
      <c r="AJ163" s="38">
        <f t="shared" si="85"/>
        <v>6660.26</v>
      </c>
    </row>
    <row r="164" spans="1:36">
      <c r="A164" s="21"/>
      <c r="B164" s="21" t="s">
        <v>110</v>
      </c>
      <c r="C164" s="666"/>
      <c r="D164" s="68" t="s">
        <v>185</v>
      </c>
      <c r="E164" s="679">
        <v>68.599999999999994</v>
      </c>
      <c r="F164" s="529">
        <f>VLOOKUP(D164,'Sept 2012 Revenue'!D:T,17,FALSE)</f>
        <v>48.3</v>
      </c>
      <c r="G164" s="680"/>
      <c r="H164" s="680"/>
      <c r="I164" s="755"/>
      <c r="J164" s="682">
        <f t="shared" si="59"/>
        <v>116.89999999999999</v>
      </c>
      <c r="K164" s="683"/>
      <c r="L164" s="684"/>
      <c r="M164" s="753"/>
      <c r="N164" s="683">
        <v>0</v>
      </c>
      <c r="O164" s="686"/>
      <c r="P164" s="683">
        <v>0</v>
      </c>
      <c r="Q164" s="687">
        <f t="shared" si="58"/>
        <v>0</v>
      </c>
      <c r="R164" s="688">
        <v>0</v>
      </c>
      <c r="S164" s="693"/>
      <c r="T164" s="690">
        <f t="shared" si="60"/>
        <v>0</v>
      </c>
      <c r="U164" s="683"/>
      <c r="V164" s="474">
        <f t="shared" si="75"/>
        <v>0</v>
      </c>
      <c r="W164" s="474">
        <f t="shared" si="76"/>
        <v>0</v>
      </c>
      <c r="X164" s="475">
        <f t="shared" si="77"/>
        <v>0</v>
      </c>
      <c r="Y164" s="475">
        <v>0</v>
      </c>
      <c r="Z164" s="476">
        <v>0</v>
      </c>
      <c r="AA164" s="38">
        <f t="shared" si="78"/>
        <v>0</v>
      </c>
      <c r="AB164" s="692">
        <f t="shared" si="82"/>
        <v>116.89999999999999</v>
      </c>
      <c r="AC164" s="692">
        <f t="shared" si="83"/>
        <v>0</v>
      </c>
      <c r="AD164" s="692">
        <f t="shared" si="84"/>
        <v>0</v>
      </c>
      <c r="AE164" s="38"/>
      <c r="AF164" s="692">
        <f t="shared" si="79"/>
        <v>0</v>
      </c>
      <c r="AG164" s="692">
        <f t="shared" si="80"/>
        <v>0</v>
      </c>
      <c r="AH164" s="692">
        <f t="shared" si="81"/>
        <v>0</v>
      </c>
      <c r="AJ164" s="38">
        <f t="shared" si="85"/>
        <v>116.89999999999999</v>
      </c>
    </row>
    <row r="165" spans="1:36">
      <c r="A165" s="21"/>
      <c r="B165" s="21" t="s">
        <v>110</v>
      </c>
      <c r="C165" s="666"/>
      <c r="D165" s="68" t="s">
        <v>186</v>
      </c>
      <c r="E165" s="679">
        <v>54.94</v>
      </c>
      <c r="F165" s="529">
        <f>VLOOKUP(D165,'Sept 2012 Revenue'!D:T,17,FALSE)</f>
        <v>87.92</v>
      </c>
      <c r="G165" s="680"/>
      <c r="H165" s="680"/>
      <c r="I165" s="755"/>
      <c r="J165" s="682">
        <f t="shared" si="59"/>
        <v>142.86000000000001</v>
      </c>
      <c r="K165" s="683"/>
      <c r="L165" s="684"/>
      <c r="M165" s="753"/>
      <c r="N165" s="683">
        <v>0</v>
      </c>
      <c r="O165" s="686"/>
      <c r="P165" s="683">
        <v>0</v>
      </c>
      <c r="Q165" s="687">
        <f t="shared" si="58"/>
        <v>0</v>
      </c>
      <c r="R165" s="688">
        <v>0</v>
      </c>
      <c r="S165" s="693"/>
      <c r="T165" s="690">
        <f t="shared" si="60"/>
        <v>0</v>
      </c>
      <c r="U165" s="683"/>
      <c r="V165" s="474">
        <f t="shared" si="75"/>
        <v>0</v>
      </c>
      <c r="W165" s="474">
        <f t="shared" si="76"/>
        <v>0</v>
      </c>
      <c r="X165" s="475">
        <f t="shared" si="77"/>
        <v>0</v>
      </c>
      <c r="Y165" s="475">
        <v>0</v>
      </c>
      <c r="Z165" s="476">
        <v>0</v>
      </c>
      <c r="AA165" s="38">
        <f t="shared" si="78"/>
        <v>0</v>
      </c>
      <c r="AB165" s="692">
        <f t="shared" si="82"/>
        <v>142.86000000000001</v>
      </c>
      <c r="AC165" s="692">
        <f t="shared" si="83"/>
        <v>0</v>
      </c>
      <c r="AD165" s="692">
        <f t="shared" si="84"/>
        <v>0</v>
      </c>
      <c r="AE165" s="38"/>
      <c r="AF165" s="692">
        <f t="shared" si="79"/>
        <v>0</v>
      </c>
      <c r="AG165" s="692">
        <f t="shared" si="80"/>
        <v>0</v>
      </c>
      <c r="AH165" s="692">
        <f t="shared" si="81"/>
        <v>0</v>
      </c>
      <c r="AJ165" s="38">
        <f t="shared" si="85"/>
        <v>142.86000000000001</v>
      </c>
    </row>
    <row r="166" spans="1:36">
      <c r="A166" s="21"/>
      <c r="B166" s="21" t="s">
        <v>110</v>
      </c>
      <c r="C166" s="666"/>
      <c r="D166" s="68" t="s">
        <v>449</v>
      </c>
      <c r="E166" s="679"/>
      <c r="F166" s="529">
        <f>VLOOKUP(D166,'Sept 2012 Revenue'!D:T,17,FALSE)</f>
        <v>0</v>
      </c>
      <c r="G166" s="680"/>
      <c r="H166" s="680"/>
      <c r="I166" s="755"/>
      <c r="J166" s="682">
        <f t="shared" si="59"/>
        <v>0</v>
      </c>
      <c r="K166" s="683"/>
      <c r="L166" s="684"/>
      <c r="M166" s="753"/>
      <c r="N166" s="683">
        <v>0</v>
      </c>
      <c r="O166" s="686"/>
      <c r="P166" s="683">
        <v>0</v>
      </c>
      <c r="Q166" s="687">
        <f t="shared" si="58"/>
        <v>0</v>
      </c>
      <c r="R166" s="688">
        <v>0</v>
      </c>
      <c r="S166" s="693"/>
      <c r="T166" s="690">
        <f t="shared" si="60"/>
        <v>0</v>
      </c>
      <c r="U166" s="683"/>
      <c r="V166" s="474">
        <f t="shared" si="75"/>
        <v>0</v>
      </c>
      <c r="W166" s="474">
        <f t="shared" si="76"/>
        <v>0</v>
      </c>
      <c r="X166" s="475">
        <f t="shared" si="77"/>
        <v>0</v>
      </c>
      <c r="Y166" s="475">
        <v>0</v>
      </c>
      <c r="Z166" s="476">
        <v>0</v>
      </c>
      <c r="AA166" s="38">
        <f t="shared" si="78"/>
        <v>0</v>
      </c>
      <c r="AB166" s="692">
        <f t="shared" si="82"/>
        <v>0</v>
      </c>
      <c r="AC166" s="692">
        <f t="shared" si="83"/>
        <v>0</v>
      </c>
      <c r="AD166" s="692">
        <f t="shared" si="84"/>
        <v>0</v>
      </c>
      <c r="AE166" s="38"/>
      <c r="AF166" s="692">
        <f t="shared" si="79"/>
        <v>0</v>
      </c>
      <c r="AG166" s="692">
        <f t="shared" si="80"/>
        <v>0</v>
      </c>
      <c r="AH166" s="692">
        <f t="shared" si="81"/>
        <v>0</v>
      </c>
      <c r="AJ166" s="38">
        <f t="shared" si="85"/>
        <v>0</v>
      </c>
    </row>
    <row r="167" spans="1:36">
      <c r="A167" s="21"/>
      <c r="B167" s="21" t="s">
        <v>110</v>
      </c>
      <c r="C167" s="666" t="s">
        <v>566</v>
      </c>
      <c r="D167" s="68" t="s">
        <v>39</v>
      </c>
      <c r="E167" s="679"/>
      <c r="F167" s="529">
        <f>VLOOKUP(D167,'Sept 2012 Revenue'!D:T,17,FALSE)</f>
        <v>1094.27</v>
      </c>
      <c r="G167" s="680"/>
      <c r="H167" s="680"/>
      <c r="I167" s="770">
        <v>2792.45</v>
      </c>
      <c r="J167" s="682">
        <f t="shared" si="59"/>
        <v>3886.72</v>
      </c>
      <c r="K167" s="683"/>
      <c r="L167" s="684"/>
      <c r="M167" s="753"/>
      <c r="N167" s="683">
        <v>0</v>
      </c>
      <c r="O167" s="686"/>
      <c r="P167" s="683">
        <v>0</v>
      </c>
      <c r="Q167" s="687">
        <f t="shared" si="58"/>
        <v>0</v>
      </c>
      <c r="R167" s="688">
        <v>0</v>
      </c>
      <c r="S167" s="693"/>
      <c r="T167" s="690">
        <f t="shared" si="60"/>
        <v>0</v>
      </c>
      <c r="U167" s="683"/>
      <c r="V167" s="474">
        <f t="shared" si="75"/>
        <v>0</v>
      </c>
      <c r="W167" s="474">
        <f t="shared" si="76"/>
        <v>0</v>
      </c>
      <c r="X167" s="475">
        <f t="shared" si="77"/>
        <v>0</v>
      </c>
      <c r="Y167" s="475">
        <v>0</v>
      </c>
      <c r="Z167" s="476">
        <v>0</v>
      </c>
      <c r="AA167" s="38">
        <f t="shared" si="78"/>
        <v>0</v>
      </c>
      <c r="AB167" s="692">
        <f t="shared" si="82"/>
        <v>3886.72</v>
      </c>
      <c r="AC167" s="692">
        <f t="shared" si="83"/>
        <v>0</v>
      </c>
      <c r="AD167" s="692">
        <f t="shared" si="84"/>
        <v>0</v>
      </c>
      <c r="AE167" s="38"/>
      <c r="AF167" s="692">
        <f t="shared" si="79"/>
        <v>0</v>
      </c>
      <c r="AG167" s="692">
        <f t="shared" si="80"/>
        <v>0</v>
      </c>
      <c r="AH167" s="692">
        <f t="shared" si="81"/>
        <v>0</v>
      </c>
      <c r="AJ167" s="38">
        <f t="shared" si="85"/>
        <v>3886.72</v>
      </c>
    </row>
    <row r="168" spans="1:36">
      <c r="A168" s="21"/>
      <c r="B168" s="21" t="s">
        <v>110</v>
      </c>
      <c r="C168" s="666" t="s">
        <v>567</v>
      </c>
      <c r="D168" s="68" t="s">
        <v>435</v>
      </c>
      <c r="E168" s="679"/>
      <c r="F168" s="529">
        <f>VLOOKUP(D168,'Sept 2012 Revenue'!D:T,17,FALSE)</f>
        <v>637.06999999999971</v>
      </c>
      <c r="G168" s="680"/>
      <c r="H168" s="680"/>
      <c r="I168" s="755"/>
      <c r="J168" s="682">
        <f t="shared" si="59"/>
        <v>637.06999999999971</v>
      </c>
      <c r="K168" s="683"/>
      <c r="L168" s="684"/>
      <c r="M168" s="753">
        <v>20000</v>
      </c>
      <c r="N168" s="683">
        <v>0</v>
      </c>
      <c r="O168" s="686"/>
      <c r="P168" s="683">
        <v>0</v>
      </c>
      <c r="Q168" s="687">
        <f t="shared" si="58"/>
        <v>20000</v>
      </c>
      <c r="R168" s="688">
        <v>25260.42</v>
      </c>
      <c r="S168" s="693"/>
      <c r="T168" s="690">
        <f t="shared" si="60"/>
        <v>5260.4199999999983</v>
      </c>
      <c r="U168" s="683"/>
      <c r="V168" s="474">
        <f t="shared" si="75"/>
        <v>20000</v>
      </c>
      <c r="W168" s="474">
        <f t="shared" si="76"/>
        <v>0</v>
      </c>
      <c r="X168" s="475">
        <f t="shared" si="77"/>
        <v>0</v>
      </c>
      <c r="Y168" s="475">
        <v>0</v>
      </c>
      <c r="Z168" s="476">
        <v>0</v>
      </c>
      <c r="AA168" s="38">
        <f t="shared" si="78"/>
        <v>0</v>
      </c>
      <c r="AB168" s="692">
        <f t="shared" si="82"/>
        <v>637.06999999999971</v>
      </c>
      <c r="AC168" s="692">
        <f t="shared" si="83"/>
        <v>0</v>
      </c>
      <c r="AD168" s="692">
        <f t="shared" si="84"/>
        <v>0</v>
      </c>
      <c r="AE168" s="38"/>
      <c r="AF168" s="692">
        <f t="shared" si="79"/>
        <v>20000</v>
      </c>
      <c r="AG168" s="692">
        <f t="shared" si="80"/>
        <v>0</v>
      </c>
      <c r="AH168" s="692">
        <f t="shared" si="81"/>
        <v>0</v>
      </c>
      <c r="AJ168" s="38">
        <f t="shared" si="85"/>
        <v>20637.07</v>
      </c>
    </row>
    <row r="169" spans="1:36">
      <c r="A169" s="21"/>
      <c r="B169" s="21" t="s">
        <v>110</v>
      </c>
      <c r="C169" s="675" t="s">
        <v>584</v>
      </c>
      <c r="D169" s="68" t="s">
        <v>99</v>
      </c>
      <c r="E169" s="679"/>
      <c r="F169" s="529">
        <f>VLOOKUP(D169,'Sept 2012 Revenue'!D:T,17,FALSE)</f>
        <v>-20000</v>
      </c>
      <c r="G169" s="680"/>
      <c r="H169" s="680"/>
      <c r="I169" s="755"/>
      <c r="J169" s="682">
        <f t="shared" si="59"/>
        <v>-20000</v>
      </c>
      <c r="K169" s="683"/>
      <c r="L169" s="684"/>
      <c r="M169" s="753">
        <v>40000</v>
      </c>
      <c r="N169" s="683">
        <v>0</v>
      </c>
      <c r="O169" s="686"/>
      <c r="P169" s="683">
        <v>0</v>
      </c>
      <c r="Q169" s="687">
        <f t="shared" si="58"/>
        <v>40000</v>
      </c>
      <c r="R169" s="688">
        <v>0</v>
      </c>
      <c r="S169" s="693"/>
      <c r="T169" s="690">
        <f t="shared" si="60"/>
        <v>-40000</v>
      </c>
      <c r="U169" s="683"/>
      <c r="V169" s="474">
        <f t="shared" si="75"/>
        <v>40000</v>
      </c>
      <c r="W169" s="474">
        <f t="shared" si="76"/>
        <v>0</v>
      </c>
      <c r="X169" s="475">
        <f t="shared" si="77"/>
        <v>0</v>
      </c>
      <c r="Y169" s="475">
        <v>0</v>
      </c>
      <c r="Z169" s="476">
        <v>0</v>
      </c>
      <c r="AA169" s="38">
        <f t="shared" si="78"/>
        <v>0</v>
      </c>
      <c r="AB169" s="692">
        <f t="shared" si="82"/>
        <v>-20000</v>
      </c>
      <c r="AC169" s="692">
        <f t="shared" si="83"/>
        <v>0</v>
      </c>
      <c r="AD169" s="692">
        <f t="shared" si="84"/>
        <v>0</v>
      </c>
      <c r="AE169" s="38"/>
      <c r="AF169" s="692">
        <f t="shared" si="79"/>
        <v>40000</v>
      </c>
      <c r="AG169" s="692">
        <f t="shared" si="80"/>
        <v>0</v>
      </c>
      <c r="AH169" s="692">
        <f t="shared" si="81"/>
        <v>0</v>
      </c>
      <c r="AJ169" s="38">
        <f t="shared" si="85"/>
        <v>20000</v>
      </c>
    </row>
    <row r="170" spans="1:36" s="232" customFormat="1">
      <c r="A170" s="403"/>
      <c r="B170" s="403" t="s">
        <v>110</v>
      </c>
      <c r="C170" s="666"/>
      <c r="D170" s="123" t="s">
        <v>378</v>
      </c>
      <c r="E170" s="679"/>
      <c r="F170" s="529">
        <f>VLOOKUP(D170,'Sept 2012 Revenue'!D:T,17,FALSE)</f>
        <v>0</v>
      </c>
      <c r="G170" s="680"/>
      <c r="H170" s="680"/>
      <c r="I170" s="755"/>
      <c r="J170" s="682">
        <f t="shared" si="59"/>
        <v>0</v>
      </c>
      <c r="K170" s="683"/>
      <c r="L170" s="684"/>
      <c r="M170" s="753"/>
      <c r="N170" s="683">
        <v>0</v>
      </c>
      <c r="O170" s="686"/>
      <c r="P170" s="683">
        <v>0</v>
      </c>
      <c r="Q170" s="687">
        <f t="shared" si="58"/>
        <v>0</v>
      </c>
      <c r="R170" s="688">
        <v>0</v>
      </c>
      <c r="S170" s="693"/>
      <c r="T170" s="690">
        <f t="shared" si="60"/>
        <v>0</v>
      </c>
      <c r="U170" s="683"/>
      <c r="V170" s="474">
        <f t="shared" si="75"/>
        <v>0</v>
      </c>
      <c r="W170" s="474">
        <f t="shared" si="76"/>
        <v>0</v>
      </c>
      <c r="X170" s="475">
        <f t="shared" si="77"/>
        <v>0</v>
      </c>
      <c r="Y170" s="475">
        <v>0</v>
      </c>
      <c r="Z170" s="476">
        <v>0</v>
      </c>
      <c r="AA170" s="38">
        <f t="shared" si="78"/>
        <v>0</v>
      </c>
      <c r="AB170" s="692">
        <f t="shared" si="82"/>
        <v>0</v>
      </c>
      <c r="AC170" s="692">
        <f t="shared" si="83"/>
        <v>0</v>
      </c>
      <c r="AD170" s="692">
        <f t="shared" si="84"/>
        <v>0</v>
      </c>
      <c r="AE170" s="38"/>
      <c r="AF170" s="692">
        <f t="shared" si="79"/>
        <v>0</v>
      </c>
      <c r="AG170" s="692">
        <f t="shared" si="80"/>
        <v>0</v>
      </c>
      <c r="AH170" s="692">
        <f t="shared" si="81"/>
        <v>0</v>
      </c>
      <c r="AJ170" s="38">
        <f t="shared" si="85"/>
        <v>0</v>
      </c>
    </row>
    <row r="171" spans="1:36" s="232" customFormat="1">
      <c r="A171" s="403"/>
      <c r="B171" s="403" t="s">
        <v>110</v>
      </c>
      <c r="C171" s="666" t="s">
        <v>568</v>
      </c>
      <c r="D171" s="123" t="s">
        <v>303</v>
      </c>
      <c r="E171" s="679"/>
      <c r="F171" s="529">
        <f>VLOOKUP(D171,'Sept 2012 Revenue'!D:T,17,FALSE)</f>
        <v>-85000</v>
      </c>
      <c r="G171" s="680"/>
      <c r="H171" s="680"/>
      <c r="I171" s="755"/>
      <c r="J171" s="682">
        <f t="shared" si="59"/>
        <v>-85000</v>
      </c>
      <c r="K171" s="683"/>
      <c r="L171" s="684"/>
      <c r="M171" s="753">
        <v>170000</v>
      </c>
      <c r="N171" s="683">
        <v>0</v>
      </c>
      <c r="O171" s="686"/>
      <c r="P171" s="683">
        <v>0</v>
      </c>
      <c r="Q171" s="687">
        <f t="shared" si="58"/>
        <v>170000</v>
      </c>
      <c r="R171" s="688">
        <v>0</v>
      </c>
      <c r="S171" s="693"/>
      <c r="T171" s="690">
        <f t="shared" si="60"/>
        <v>-170000</v>
      </c>
      <c r="U171" s="683"/>
      <c r="V171" s="474">
        <f t="shared" si="75"/>
        <v>170000</v>
      </c>
      <c r="W171" s="474">
        <f t="shared" si="76"/>
        <v>0</v>
      </c>
      <c r="X171" s="475">
        <f t="shared" si="77"/>
        <v>0</v>
      </c>
      <c r="Y171" s="475">
        <v>0</v>
      </c>
      <c r="Z171" s="476">
        <v>0</v>
      </c>
      <c r="AA171" s="38">
        <f t="shared" si="78"/>
        <v>0</v>
      </c>
      <c r="AB171" s="692">
        <f t="shared" si="82"/>
        <v>-85000</v>
      </c>
      <c r="AC171" s="692">
        <f t="shared" si="83"/>
        <v>0</v>
      </c>
      <c r="AD171" s="692">
        <f t="shared" si="84"/>
        <v>0</v>
      </c>
      <c r="AE171" s="38"/>
      <c r="AF171" s="692">
        <f t="shared" si="79"/>
        <v>170000</v>
      </c>
      <c r="AG171" s="692">
        <f t="shared" si="80"/>
        <v>0</v>
      </c>
      <c r="AH171" s="692">
        <f t="shared" si="81"/>
        <v>0</v>
      </c>
      <c r="AJ171" s="38">
        <f t="shared" si="85"/>
        <v>85000</v>
      </c>
    </row>
    <row r="172" spans="1:36" s="232" customFormat="1">
      <c r="A172" s="403"/>
      <c r="B172" s="403" t="s">
        <v>110</v>
      </c>
      <c r="C172" s="666"/>
      <c r="D172" s="123" t="s">
        <v>856</v>
      </c>
      <c r="E172" s="679"/>
      <c r="F172" s="529">
        <f>VLOOKUP(D172,'Sept 2012 Revenue'!D:T,17,FALSE)</f>
        <v>-11000</v>
      </c>
      <c r="G172" s="680"/>
      <c r="H172" s="680"/>
      <c r="I172" s="755"/>
      <c r="J172" s="682">
        <f t="shared" si="59"/>
        <v>-11000</v>
      </c>
      <c r="K172" s="683"/>
      <c r="L172" s="684"/>
      <c r="M172" s="753">
        <v>22000</v>
      </c>
      <c r="N172" s="683">
        <v>0</v>
      </c>
      <c r="O172" s="686"/>
      <c r="P172" s="683">
        <v>0</v>
      </c>
      <c r="Q172" s="687">
        <f t="shared" si="58"/>
        <v>22000</v>
      </c>
      <c r="R172" s="688">
        <v>0</v>
      </c>
      <c r="S172" s="693"/>
      <c r="T172" s="690">
        <f t="shared" si="60"/>
        <v>-22000</v>
      </c>
      <c r="U172" s="683"/>
      <c r="V172" s="474">
        <f t="shared" si="75"/>
        <v>22000</v>
      </c>
      <c r="W172" s="474">
        <f t="shared" si="76"/>
        <v>0</v>
      </c>
      <c r="X172" s="475">
        <f t="shared" si="77"/>
        <v>0</v>
      </c>
      <c r="Y172" s="475">
        <v>0</v>
      </c>
      <c r="Z172" s="476">
        <v>0</v>
      </c>
      <c r="AA172" s="38">
        <f t="shared" si="78"/>
        <v>0</v>
      </c>
      <c r="AB172" s="692">
        <f t="shared" si="82"/>
        <v>-11000</v>
      </c>
      <c r="AC172" s="692">
        <f t="shared" si="83"/>
        <v>0</v>
      </c>
      <c r="AD172" s="692">
        <f t="shared" si="84"/>
        <v>0</v>
      </c>
      <c r="AE172" s="38"/>
      <c r="AF172" s="692">
        <f t="shared" si="79"/>
        <v>22000</v>
      </c>
      <c r="AG172" s="692">
        <f t="shared" si="80"/>
        <v>0</v>
      </c>
      <c r="AH172" s="692">
        <f t="shared" si="81"/>
        <v>0</v>
      </c>
      <c r="AJ172" s="38">
        <f t="shared" si="85"/>
        <v>11000</v>
      </c>
    </row>
    <row r="173" spans="1:36" s="232" customFormat="1">
      <c r="A173" s="403"/>
      <c r="B173" s="403" t="s">
        <v>109</v>
      </c>
      <c r="C173" s="666" t="s">
        <v>569</v>
      </c>
      <c r="D173" s="123" t="s">
        <v>468</v>
      </c>
      <c r="E173" s="679"/>
      <c r="F173" s="529">
        <f>VLOOKUP(D173,'Sept 2012 Revenue'!D:T,17,FALSE)</f>
        <v>-27000</v>
      </c>
      <c r="G173" s="680"/>
      <c r="H173" s="680"/>
      <c r="I173" s="755"/>
      <c r="J173" s="682">
        <f t="shared" si="59"/>
        <v>-27000</v>
      </c>
      <c r="K173" s="683"/>
      <c r="L173" s="684"/>
      <c r="M173" s="753">
        <v>50000</v>
      </c>
      <c r="N173" s="683">
        <v>0</v>
      </c>
      <c r="O173" s="686"/>
      <c r="P173" s="683">
        <v>0</v>
      </c>
      <c r="Q173" s="687">
        <v>0</v>
      </c>
      <c r="R173" s="688">
        <v>0</v>
      </c>
      <c r="S173" s="693"/>
      <c r="T173" s="690">
        <f t="shared" si="60"/>
        <v>0</v>
      </c>
      <c r="U173" s="683"/>
      <c r="V173" s="474">
        <f t="shared" si="75"/>
        <v>0</v>
      </c>
      <c r="W173" s="474">
        <f t="shared" si="76"/>
        <v>0</v>
      </c>
      <c r="X173" s="475">
        <f t="shared" si="77"/>
        <v>0</v>
      </c>
      <c r="Y173" s="475">
        <v>0</v>
      </c>
      <c r="Z173" s="476">
        <v>0</v>
      </c>
      <c r="AA173" s="38">
        <f t="shared" si="78"/>
        <v>50000</v>
      </c>
      <c r="AB173" s="692">
        <f t="shared" si="82"/>
        <v>0</v>
      </c>
      <c r="AC173" s="692">
        <f t="shared" si="83"/>
        <v>-27000</v>
      </c>
      <c r="AD173" s="692">
        <f t="shared" si="84"/>
        <v>0</v>
      </c>
      <c r="AE173" s="38"/>
      <c r="AF173" s="692">
        <f t="shared" si="79"/>
        <v>0</v>
      </c>
      <c r="AG173" s="692">
        <f t="shared" si="80"/>
        <v>0</v>
      </c>
      <c r="AH173" s="692">
        <f t="shared" si="81"/>
        <v>0</v>
      </c>
      <c r="AJ173" s="38">
        <f t="shared" si="85"/>
        <v>-27000</v>
      </c>
    </row>
    <row r="174" spans="1:36">
      <c r="A174" s="20"/>
      <c r="B174" s="20" t="s">
        <v>110</v>
      </c>
      <c r="C174" s="676" t="s">
        <v>844</v>
      </c>
      <c r="D174" s="68" t="s">
        <v>845</v>
      </c>
      <c r="E174" s="679"/>
      <c r="F174" s="529">
        <f>VLOOKUP(D174,'Sept 2012 Revenue'!D:T,17,FALSE)</f>
        <v>0</v>
      </c>
      <c r="G174" s="680"/>
      <c r="H174" s="680"/>
      <c r="I174" s="755"/>
      <c r="J174" s="682">
        <f t="shared" si="59"/>
        <v>0</v>
      </c>
      <c r="K174" s="683"/>
      <c r="L174" s="684"/>
      <c r="M174" s="753"/>
      <c r="N174" s="683">
        <v>0</v>
      </c>
      <c r="O174" s="686"/>
      <c r="P174" s="683">
        <v>0</v>
      </c>
      <c r="Q174" s="687">
        <f t="shared" si="58"/>
        <v>0</v>
      </c>
      <c r="R174" s="688">
        <v>0</v>
      </c>
      <c r="S174" s="693"/>
      <c r="T174" s="690">
        <f t="shared" si="60"/>
        <v>0</v>
      </c>
      <c r="U174" s="683"/>
      <c r="V174" s="474">
        <f t="shared" si="75"/>
        <v>0</v>
      </c>
      <c r="W174" s="474">
        <f t="shared" si="76"/>
        <v>0</v>
      </c>
      <c r="X174" s="475">
        <f t="shared" si="77"/>
        <v>0</v>
      </c>
      <c r="Y174" s="475">
        <v>0</v>
      </c>
      <c r="Z174" s="476">
        <v>0</v>
      </c>
      <c r="AA174" s="38">
        <f t="shared" si="78"/>
        <v>0</v>
      </c>
      <c r="AB174" s="692">
        <f t="shared" si="82"/>
        <v>0</v>
      </c>
      <c r="AC174" s="692">
        <f t="shared" si="83"/>
        <v>0</v>
      </c>
      <c r="AD174" s="692">
        <f t="shared" si="84"/>
        <v>0</v>
      </c>
      <c r="AE174" s="38"/>
      <c r="AF174" s="692">
        <f t="shared" si="79"/>
        <v>0</v>
      </c>
      <c r="AG174" s="692">
        <f t="shared" si="80"/>
        <v>0</v>
      </c>
      <c r="AH174" s="692">
        <f t="shared" si="81"/>
        <v>0</v>
      </c>
      <c r="AJ174" s="38">
        <f t="shared" si="85"/>
        <v>0</v>
      </c>
    </row>
    <row r="175" spans="1:36">
      <c r="A175" s="20"/>
      <c r="B175" s="20" t="s">
        <v>109</v>
      </c>
      <c r="C175" s="667" t="s">
        <v>570</v>
      </c>
      <c r="D175" s="68" t="s">
        <v>41</v>
      </c>
      <c r="E175" s="679">
        <f>29579.04+4005.49</f>
        <v>33584.53</v>
      </c>
      <c r="F175" s="529">
        <f>VLOOKUP(D175,'Sept 2012 Revenue'!D:T,17,FALSE)</f>
        <v>0</v>
      </c>
      <c r="G175" s="680"/>
      <c r="H175" s="680"/>
      <c r="I175" s="755"/>
      <c r="J175" s="682">
        <f t="shared" si="59"/>
        <v>33584.53</v>
      </c>
      <c r="K175" s="683"/>
      <c r="L175" s="684"/>
      <c r="M175" s="753"/>
      <c r="N175" s="683">
        <v>0</v>
      </c>
      <c r="O175" s="686"/>
      <c r="P175" s="683">
        <v>0</v>
      </c>
      <c r="Q175" s="687">
        <f t="shared" si="58"/>
        <v>0</v>
      </c>
      <c r="R175" s="688">
        <v>0</v>
      </c>
      <c r="S175" s="693"/>
      <c r="T175" s="690">
        <f t="shared" si="60"/>
        <v>0</v>
      </c>
      <c r="U175" s="683"/>
      <c r="V175" s="474">
        <f t="shared" si="75"/>
        <v>0</v>
      </c>
      <c r="W175" s="474">
        <f t="shared" si="76"/>
        <v>0</v>
      </c>
      <c r="X175" s="475">
        <f t="shared" si="77"/>
        <v>0</v>
      </c>
      <c r="Y175" s="475">
        <v>0</v>
      </c>
      <c r="Z175" s="476">
        <v>0</v>
      </c>
      <c r="AA175" s="38">
        <f t="shared" si="78"/>
        <v>0</v>
      </c>
      <c r="AB175" s="692">
        <f t="shared" si="82"/>
        <v>0</v>
      </c>
      <c r="AC175" s="692">
        <f t="shared" si="83"/>
        <v>33584.53</v>
      </c>
      <c r="AD175" s="692">
        <f t="shared" si="84"/>
        <v>0</v>
      </c>
      <c r="AE175" s="38"/>
      <c r="AF175" s="692">
        <f t="shared" si="79"/>
        <v>0</v>
      </c>
      <c r="AG175" s="692">
        <f t="shared" si="80"/>
        <v>0</v>
      </c>
      <c r="AH175" s="692">
        <f t="shared" si="81"/>
        <v>0</v>
      </c>
      <c r="AJ175" s="38">
        <f t="shared" si="85"/>
        <v>33584.53</v>
      </c>
    </row>
    <row r="176" spans="1:36">
      <c r="A176" s="20"/>
      <c r="B176" s="20" t="s">
        <v>109</v>
      </c>
      <c r="C176" s="667" t="s">
        <v>570</v>
      </c>
      <c r="D176" s="68" t="s">
        <v>221</v>
      </c>
      <c r="E176" s="679">
        <f>1629.35+189.85</f>
        <v>1819.1999999999998</v>
      </c>
      <c r="F176" s="529">
        <f>VLOOKUP(D176,'Sept 2012 Revenue'!D:T,17,FALSE)</f>
        <v>0</v>
      </c>
      <c r="G176" s="680"/>
      <c r="H176" s="680"/>
      <c r="I176" s="755"/>
      <c r="J176" s="682">
        <f t="shared" si="59"/>
        <v>1819.1999999999998</v>
      </c>
      <c r="K176" s="683"/>
      <c r="L176" s="684"/>
      <c r="M176" s="753"/>
      <c r="N176" s="683">
        <v>0</v>
      </c>
      <c r="O176" s="686"/>
      <c r="P176" s="683">
        <v>0</v>
      </c>
      <c r="Q176" s="687">
        <f t="shared" si="58"/>
        <v>0</v>
      </c>
      <c r="R176" s="688">
        <v>0</v>
      </c>
      <c r="S176" s="693"/>
      <c r="T176" s="690">
        <f t="shared" si="60"/>
        <v>0</v>
      </c>
      <c r="U176" s="683"/>
      <c r="V176" s="474">
        <f t="shared" si="75"/>
        <v>0</v>
      </c>
      <c r="W176" s="474">
        <f t="shared" si="76"/>
        <v>0</v>
      </c>
      <c r="X176" s="475">
        <f t="shared" si="77"/>
        <v>0</v>
      </c>
      <c r="Y176" s="475">
        <v>0</v>
      </c>
      <c r="Z176" s="476">
        <v>0</v>
      </c>
      <c r="AA176" s="38">
        <f t="shared" si="78"/>
        <v>0</v>
      </c>
      <c r="AB176" s="692">
        <f t="shared" si="82"/>
        <v>0</v>
      </c>
      <c r="AC176" s="692">
        <f t="shared" si="83"/>
        <v>1819.1999999999998</v>
      </c>
      <c r="AD176" s="692">
        <f t="shared" si="84"/>
        <v>0</v>
      </c>
      <c r="AE176" s="38"/>
      <c r="AF176" s="692">
        <f t="shared" si="79"/>
        <v>0</v>
      </c>
      <c r="AG176" s="692">
        <f t="shared" si="80"/>
        <v>0</v>
      </c>
      <c r="AH176" s="692">
        <f t="shared" si="81"/>
        <v>0</v>
      </c>
      <c r="AJ176" s="38">
        <f t="shared" si="85"/>
        <v>1819.1999999999998</v>
      </c>
    </row>
    <row r="177" spans="1:36">
      <c r="A177" s="21"/>
      <c r="B177" s="21" t="s">
        <v>110</v>
      </c>
      <c r="C177" s="666"/>
      <c r="D177" s="68" t="s">
        <v>43</v>
      </c>
      <c r="E177" s="679"/>
      <c r="F177" s="529">
        <f>VLOOKUP(D177,'Sept 2012 Revenue'!D:T,17,FALSE)</f>
        <v>346.79</v>
      </c>
      <c r="G177" s="680"/>
      <c r="H177" s="680"/>
      <c r="I177" s="755"/>
      <c r="J177" s="682">
        <f t="shared" si="59"/>
        <v>346.79</v>
      </c>
      <c r="K177" s="683"/>
      <c r="L177" s="684"/>
      <c r="M177" s="753"/>
      <c r="N177" s="683">
        <v>0</v>
      </c>
      <c r="O177" s="686"/>
      <c r="P177" s="683">
        <v>0</v>
      </c>
      <c r="Q177" s="687">
        <f t="shared" si="58"/>
        <v>0</v>
      </c>
      <c r="R177" s="688">
        <v>335.05</v>
      </c>
      <c r="S177" s="693"/>
      <c r="T177" s="690">
        <f t="shared" si="60"/>
        <v>335.05</v>
      </c>
      <c r="U177" s="683"/>
      <c r="V177" s="474">
        <f t="shared" si="75"/>
        <v>0</v>
      </c>
      <c r="W177" s="474">
        <f t="shared" si="76"/>
        <v>0</v>
      </c>
      <c r="X177" s="475">
        <f t="shared" si="77"/>
        <v>0</v>
      </c>
      <c r="Y177" s="475">
        <v>0</v>
      </c>
      <c r="Z177" s="476">
        <v>0</v>
      </c>
      <c r="AA177" s="38">
        <f t="shared" si="78"/>
        <v>0</v>
      </c>
      <c r="AB177" s="692">
        <f t="shared" si="82"/>
        <v>346.79</v>
      </c>
      <c r="AC177" s="692">
        <f t="shared" si="83"/>
        <v>0</v>
      </c>
      <c r="AD177" s="692">
        <f t="shared" si="84"/>
        <v>0</v>
      </c>
      <c r="AE177" s="38"/>
      <c r="AF177" s="692">
        <f t="shared" si="79"/>
        <v>0</v>
      </c>
      <c r="AG177" s="692">
        <f t="shared" si="80"/>
        <v>0</v>
      </c>
      <c r="AH177" s="692">
        <f t="shared" si="81"/>
        <v>0</v>
      </c>
      <c r="AJ177" s="38">
        <f t="shared" si="85"/>
        <v>346.79</v>
      </c>
    </row>
    <row r="178" spans="1:36">
      <c r="A178" s="21"/>
      <c r="B178" s="21" t="s">
        <v>109</v>
      </c>
      <c r="C178" s="666" t="s">
        <v>571</v>
      </c>
      <c r="D178" s="68" t="s">
        <v>44</v>
      </c>
      <c r="E178" s="679"/>
      <c r="F178" s="529">
        <f>VLOOKUP(D178,'Sept 2012 Revenue'!D:T,17,FALSE)</f>
        <v>0</v>
      </c>
      <c r="G178" s="680"/>
      <c r="H178" s="680"/>
      <c r="I178" s="770">
        <f>218.4+3980.4</f>
        <v>4198.8</v>
      </c>
      <c r="J178" s="682">
        <f t="shared" si="59"/>
        <v>4198.8</v>
      </c>
      <c r="K178" s="683"/>
      <c r="L178" s="684"/>
      <c r="M178" s="753"/>
      <c r="N178" s="683">
        <v>0</v>
      </c>
      <c r="O178" s="686"/>
      <c r="P178" s="683">
        <v>0</v>
      </c>
      <c r="Q178" s="687">
        <f t="shared" si="58"/>
        <v>0</v>
      </c>
      <c r="R178" s="688">
        <v>0</v>
      </c>
      <c r="S178" s="693"/>
      <c r="T178" s="690">
        <f t="shared" si="60"/>
        <v>0</v>
      </c>
      <c r="U178" s="683"/>
      <c r="V178" s="474">
        <f t="shared" si="75"/>
        <v>0</v>
      </c>
      <c r="W178" s="474">
        <f t="shared" si="76"/>
        <v>0</v>
      </c>
      <c r="X178" s="475">
        <f t="shared" si="77"/>
        <v>0</v>
      </c>
      <c r="Y178" s="475">
        <v>0</v>
      </c>
      <c r="Z178" s="476">
        <v>0</v>
      </c>
      <c r="AA178" s="38">
        <f t="shared" si="78"/>
        <v>0</v>
      </c>
      <c r="AB178" s="692">
        <f t="shared" si="82"/>
        <v>0</v>
      </c>
      <c r="AC178" s="692">
        <f t="shared" si="83"/>
        <v>4198.8</v>
      </c>
      <c r="AD178" s="692">
        <f t="shared" si="84"/>
        <v>0</v>
      </c>
      <c r="AE178" s="38"/>
      <c r="AF178" s="692">
        <f t="shared" si="79"/>
        <v>0</v>
      </c>
      <c r="AG178" s="692">
        <f t="shared" si="80"/>
        <v>0</v>
      </c>
      <c r="AH178" s="692">
        <f t="shared" si="81"/>
        <v>0</v>
      </c>
      <c r="AJ178" s="38">
        <f t="shared" si="85"/>
        <v>4198.8</v>
      </c>
    </row>
    <row r="179" spans="1:36">
      <c r="A179" s="21"/>
      <c r="B179" s="21" t="s">
        <v>114</v>
      </c>
      <c r="C179" s="666" t="s">
        <v>571</v>
      </c>
      <c r="D179" s="68" t="s">
        <v>44</v>
      </c>
      <c r="E179" s="679"/>
      <c r="F179" s="529">
        <f>VLOOKUP(D179,'Sept 2012 Revenue'!D:T,17,FALSE)</f>
        <v>0</v>
      </c>
      <c r="G179" s="680"/>
      <c r="H179" s="680"/>
      <c r="I179" s="770">
        <v>92.7</v>
      </c>
      <c r="J179" s="682">
        <f t="shared" si="59"/>
        <v>92.7</v>
      </c>
      <c r="K179" s="683"/>
      <c r="L179" s="684"/>
      <c r="M179" s="753"/>
      <c r="N179" s="683">
        <v>0</v>
      </c>
      <c r="O179" s="686"/>
      <c r="P179" s="683">
        <v>0</v>
      </c>
      <c r="Q179" s="687">
        <f t="shared" si="58"/>
        <v>0</v>
      </c>
      <c r="R179" s="688">
        <v>0</v>
      </c>
      <c r="S179" s="693"/>
      <c r="T179" s="690">
        <f t="shared" si="60"/>
        <v>0</v>
      </c>
      <c r="U179" s="683"/>
      <c r="V179" s="474">
        <f t="shared" si="75"/>
        <v>0</v>
      </c>
      <c r="W179" s="474">
        <f t="shared" si="76"/>
        <v>0</v>
      </c>
      <c r="X179" s="475">
        <f t="shared" si="77"/>
        <v>0</v>
      </c>
      <c r="Y179" s="475">
        <v>0</v>
      </c>
      <c r="Z179" s="476">
        <v>0</v>
      </c>
      <c r="AA179" s="38">
        <f t="shared" si="78"/>
        <v>0</v>
      </c>
      <c r="AB179" s="692">
        <f t="shared" si="82"/>
        <v>0</v>
      </c>
      <c r="AC179" s="692">
        <f t="shared" si="83"/>
        <v>0</v>
      </c>
      <c r="AD179" s="692">
        <f t="shared" si="84"/>
        <v>92.7</v>
      </c>
      <c r="AE179" s="38"/>
      <c r="AF179" s="692">
        <f t="shared" si="79"/>
        <v>0</v>
      </c>
      <c r="AG179" s="692">
        <f t="shared" si="80"/>
        <v>0</v>
      </c>
      <c r="AH179" s="692">
        <f t="shared" si="81"/>
        <v>0</v>
      </c>
      <c r="AJ179" s="38">
        <f t="shared" si="85"/>
        <v>92.7</v>
      </c>
    </row>
    <row r="180" spans="1:36">
      <c r="A180" s="21"/>
      <c r="B180" s="21" t="s">
        <v>110</v>
      </c>
      <c r="C180" s="666" t="s">
        <v>572</v>
      </c>
      <c r="D180" s="68" t="s">
        <v>388</v>
      </c>
      <c r="E180" s="679"/>
      <c r="F180" s="529">
        <f>VLOOKUP(D180,'Sept 2012 Revenue'!D:T,17,FALSE)</f>
        <v>-22000</v>
      </c>
      <c r="G180" s="680"/>
      <c r="H180" s="680"/>
      <c r="I180" s="755"/>
      <c r="J180" s="682">
        <f t="shared" si="59"/>
        <v>-22000</v>
      </c>
      <c r="K180" s="683"/>
      <c r="L180" s="684"/>
      <c r="M180" s="753">
        <v>33000</v>
      </c>
      <c r="N180" s="683">
        <v>0</v>
      </c>
      <c r="O180" s="686"/>
      <c r="P180" s="683">
        <v>0</v>
      </c>
      <c r="Q180" s="687">
        <f t="shared" si="58"/>
        <v>33000</v>
      </c>
      <c r="R180" s="688">
        <v>0</v>
      </c>
      <c r="S180" s="693"/>
      <c r="T180" s="690">
        <f t="shared" si="60"/>
        <v>-33000</v>
      </c>
      <c r="U180" s="683"/>
      <c r="V180" s="474">
        <f t="shared" si="75"/>
        <v>33000</v>
      </c>
      <c r="W180" s="474">
        <f t="shared" si="76"/>
        <v>0</v>
      </c>
      <c r="X180" s="475">
        <f t="shared" si="77"/>
        <v>0</v>
      </c>
      <c r="Y180" s="475">
        <v>0</v>
      </c>
      <c r="Z180" s="476">
        <v>0</v>
      </c>
      <c r="AA180" s="38">
        <f t="shared" si="78"/>
        <v>0</v>
      </c>
      <c r="AB180" s="692">
        <f t="shared" si="82"/>
        <v>-22000</v>
      </c>
      <c r="AC180" s="692">
        <f t="shared" si="83"/>
        <v>0</v>
      </c>
      <c r="AD180" s="692">
        <f t="shared" si="84"/>
        <v>0</v>
      </c>
      <c r="AE180" s="38"/>
      <c r="AF180" s="692">
        <f t="shared" si="79"/>
        <v>33000</v>
      </c>
      <c r="AG180" s="692">
        <f t="shared" si="80"/>
        <v>0</v>
      </c>
      <c r="AH180" s="692">
        <f t="shared" si="81"/>
        <v>0</v>
      </c>
      <c r="AJ180" s="38">
        <f t="shared" si="85"/>
        <v>11000</v>
      </c>
    </row>
    <row r="181" spans="1:36">
      <c r="A181" s="20"/>
      <c r="B181" s="20" t="s">
        <v>109</v>
      </c>
      <c r="C181" s="667"/>
      <c r="D181" s="68" t="s">
        <v>842</v>
      </c>
      <c r="E181" s="679">
        <v>13987.98</v>
      </c>
      <c r="F181" s="529">
        <f>VLOOKUP(D181,'Sept 2012 Revenue'!D:T,17,FALSE)</f>
        <v>-9117.3700000000008</v>
      </c>
      <c r="G181" s="680"/>
      <c r="H181" s="680"/>
      <c r="I181" s="755"/>
      <c r="J181" s="682">
        <f t="shared" si="59"/>
        <v>4870.6099999999988</v>
      </c>
      <c r="K181" s="683"/>
      <c r="L181" s="684"/>
      <c r="M181" s="753">
        <v>10000</v>
      </c>
      <c r="N181" s="683">
        <v>0</v>
      </c>
      <c r="O181" s="686"/>
      <c r="P181" s="683">
        <v>0</v>
      </c>
      <c r="Q181" s="687">
        <f t="shared" si="58"/>
        <v>10000</v>
      </c>
      <c r="R181" s="688">
        <v>0</v>
      </c>
      <c r="S181" s="693"/>
      <c r="T181" s="690">
        <f t="shared" si="60"/>
        <v>-10000</v>
      </c>
      <c r="U181" s="683"/>
      <c r="V181" s="474">
        <f t="shared" si="75"/>
        <v>0</v>
      </c>
      <c r="W181" s="474">
        <f t="shared" si="76"/>
        <v>10000</v>
      </c>
      <c r="X181" s="475">
        <f t="shared" si="77"/>
        <v>0</v>
      </c>
      <c r="Y181" s="475">
        <v>0</v>
      </c>
      <c r="Z181" s="476">
        <v>0</v>
      </c>
      <c r="AA181" s="38">
        <f t="shared" si="78"/>
        <v>0</v>
      </c>
      <c r="AB181" s="692">
        <f t="shared" si="82"/>
        <v>0</v>
      </c>
      <c r="AC181" s="692">
        <f t="shared" si="83"/>
        <v>4870.6099999999988</v>
      </c>
      <c r="AD181" s="692">
        <f t="shared" si="84"/>
        <v>0</v>
      </c>
      <c r="AE181" s="38"/>
      <c r="AF181" s="692">
        <f t="shared" si="79"/>
        <v>0</v>
      </c>
      <c r="AG181" s="692">
        <f t="shared" si="80"/>
        <v>10000</v>
      </c>
      <c r="AH181" s="692">
        <f t="shared" si="81"/>
        <v>0</v>
      </c>
      <c r="AJ181" s="38">
        <f t="shared" si="85"/>
        <v>14870.609999999999</v>
      </c>
    </row>
    <row r="182" spans="1:36">
      <c r="A182" s="21"/>
      <c r="B182" s="21" t="s">
        <v>110</v>
      </c>
      <c r="C182" s="666"/>
      <c r="D182" s="68" t="s">
        <v>45</v>
      </c>
      <c r="E182" s="679"/>
      <c r="F182" s="529">
        <f>VLOOKUP(D182,'Sept 2012 Revenue'!D:T,17,FALSE)</f>
        <v>-12197.25</v>
      </c>
      <c r="G182" s="680"/>
      <c r="H182" s="680"/>
      <c r="I182" s="755"/>
      <c r="J182" s="682">
        <f t="shared" si="59"/>
        <v>-12197.25</v>
      </c>
      <c r="K182" s="683"/>
      <c r="L182" s="684"/>
      <c r="M182" s="753">
        <v>15000</v>
      </c>
      <c r="N182" s="683">
        <v>0</v>
      </c>
      <c r="O182" s="686"/>
      <c r="P182" s="683">
        <v>0</v>
      </c>
      <c r="Q182" s="687">
        <f t="shared" si="58"/>
        <v>15000</v>
      </c>
      <c r="R182" s="688">
        <f>15849.52+855.66</f>
        <v>16705.18</v>
      </c>
      <c r="S182" s="693"/>
      <c r="T182" s="690">
        <f t="shared" si="60"/>
        <v>1705.1800000000003</v>
      </c>
      <c r="U182" s="683"/>
      <c r="V182" s="474">
        <f t="shared" si="75"/>
        <v>15000</v>
      </c>
      <c r="W182" s="474">
        <f t="shared" si="76"/>
        <v>0</v>
      </c>
      <c r="X182" s="475">
        <f t="shared" si="77"/>
        <v>0</v>
      </c>
      <c r="Y182" s="475">
        <v>0</v>
      </c>
      <c r="Z182" s="476">
        <v>0</v>
      </c>
      <c r="AA182" s="38">
        <f t="shared" si="78"/>
        <v>0</v>
      </c>
      <c r="AB182" s="692">
        <f t="shared" si="82"/>
        <v>-12197.25</v>
      </c>
      <c r="AC182" s="692">
        <f t="shared" si="83"/>
        <v>0</v>
      </c>
      <c r="AD182" s="692">
        <f t="shared" si="84"/>
        <v>0</v>
      </c>
      <c r="AE182" s="38"/>
      <c r="AF182" s="692">
        <f t="shared" si="79"/>
        <v>15000</v>
      </c>
      <c r="AG182" s="692">
        <f t="shared" si="80"/>
        <v>0</v>
      </c>
      <c r="AH182" s="692">
        <f t="shared" si="81"/>
        <v>0</v>
      </c>
      <c r="AJ182" s="38">
        <f t="shared" si="85"/>
        <v>2802.75</v>
      </c>
    </row>
    <row r="183" spans="1:36">
      <c r="A183" s="20" t="s">
        <v>211</v>
      </c>
      <c r="B183" s="20" t="s">
        <v>110</v>
      </c>
      <c r="C183" s="667"/>
      <c r="D183" s="68" t="s">
        <v>503</v>
      </c>
      <c r="E183" s="679"/>
      <c r="F183" s="529">
        <f>VLOOKUP(D183,'Sept 2012 Revenue'!D:T,17,FALSE)</f>
        <v>0</v>
      </c>
      <c r="G183" s="680"/>
      <c r="H183" s="680"/>
      <c r="I183" s="755"/>
      <c r="J183" s="682">
        <f t="shared" si="59"/>
        <v>0</v>
      </c>
      <c r="K183" s="683"/>
      <c r="L183" s="684"/>
      <c r="M183" s="753"/>
      <c r="N183" s="683">
        <v>0</v>
      </c>
      <c r="O183" s="686"/>
      <c r="P183" s="683">
        <v>0</v>
      </c>
      <c r="Q183" s="687">
        <f t="shared" si="58"/>
        <v>0</v>
      </c>
      <c r="R183" s="688">
        <v>0</v>
      </c>
      <c r="S183" s="693"/>
      <c r="T183" s="690">
        <f t="shared" si="60"/>
        <v>0</v>
      </c>
      <c r="U183" s="697"/>
      <c r="V183" s="474">
        <f t="shared" si="75"/>
        <v>0</v>
      </c>
      <c r="W183" s="474">
        <f t="shared" si="76"/>
        <v>0</v>
      </c>
      <c r="X183" s="475">
        <f t="shared" si="77"/>
        <v>0</v>
      </c>
      <c r="Y183" s="475">
        <v>0</v>
      </c>
      <c r="Z183" s="476">
        <v>0</v>
      </c>
      <c r="AA183" s="38">
        <f t="shared" si="78"/>
        <v>0</v>
      </c>
      <c r="AB183" s="692">
        <f t="shared" si="82"/>
        <v>0</v>
      </c>
      <c r="AC183" s="692">
        <f t="shared" si="83"/>
        <v>0</v>
      </c>
      <c r="AD183" s="692">
        <f t="shared" si="84"/>
        <v>0</v>
      </c>
      <c r="AE183" s="38"/>
      <c r="AF183" s="692">
        <f t="shared" si="79"/>
        <v>0</v>
      </c>
      <c r="AG183" s="692">
        <f t="shared" si="80"/>
        <v>0</v>
      </c>
      <c r="AH183" s="692">
        <f t="shared" si="81"/>
        <v>0</v>
      </c>
      <c r="AJ183" s="38">
        <f t="shared" si="85"/>
        <v>0</v>
      </c>
    </row>
    <row r="184" spans="1:36">
      <c r="A184" s="20"/>
      <c r="B184" s="20" t="s">
        <v>110</v>
      </c>
      <c r="C184" s="667" t="s">
        <v>573</v>
      </c>
      <c r="D184" s="68" t="s">
        <v>102</v>
      </c>
      <c r="E184" s="679"/>
      <c r="F184" s="529">
        <f>VLOOKUP(D184,'Sept 2012 Revenue'!D:T,17,FALSE)</f>
        <v>65285.849999999977</v>
      </c>
      <c r="G184" s="680"/>
      <c r="H184" s="680"/>
      <c r="I184" s="755"/>
      <c r="J184" s="682">
        <f t="shared" si="59"/>
        <v>65285.849999999977</v>
      </c>
      <c r="K184" s="683"/>
      <c r="L184" s="684"/>
      <c r="M184" s="753">
        <v>900000</v>
      </c>
      <c r="N184" s="683">
        <v>0</v>
      </c>
      <c r="O184" s="686"/>
      <c r="P184" s="683">
        <v>0</v>
      </c>
      <c r="Q184" s="687">
        <f t="shared" si="58"/>
        <v>900000</v>
      </c>
      <c r="R184" s="688">
        <v>941590.12</v>
      </c>
      <c r="S184" s="693"/>
      <c r="T184" s="690">
        <f t="shared" si="60"/>
        <v>41590.119999999995</v>
      </c>
      <c r="U184" s="697"/>
      <c r="V184" s="474">
        <f t="shared" si="75"/>
        <v>900000</v>
      </c>
      <c r="W184" s="474">
        <f t="shared" si="76"/>
        <v>0</v>
      </c>
      <c r="X184" s="475">
        <f t="shared" si="77"/>
        <v>0</v>
      </c>
      <c r="Y184" s="475">
        <v>0</v>
      </c>
      <c r="Z184" s="476">
        <v>0</v>
      </c>
      <c r="AA184" s="38">
        <f t="shared" si="78"/>
        <v>0</v>
      </c>
      <c r="AB184" s="692">
        <f t="shared" si="82"/>
        <v>65285.849999999977</v>
      </c>
      <c r="AC184" s="692">
        <f t="shared" si="83"/>
        <v>0</v>
      </c>
      <c r="AD184" s="692">
        <f t="shared" si="84"/>
        <v>0</v>
      </c>
      <c r="AE184" s="38"/>
      <c r="AF184" s="692">
        <f t="shared" si="79"/>
        <v>900000</v>
      </c>
      <c r="AG184" s="692">
        <f t="shared" si="80"/>
        <v>0</v>
      </c>
      <c r="AH184" s="692">
        <f t="shared" si="81"/>
        <v>0</v>
      </c>
      <c r="AJ184" s="38">
        <f t="shared" si="85"/>
        <v>965285.85</v>
      </c>
    </row>
    <row r="185" spans="1:36">
      <c r="A185" s="20"/>
      <c r="B185" s="20" t="s">
        <v>110</v>
      </c>
      <c r="C185" s="667" t="s">
        <v>573</v>
      </c>
      <c r="D185" s="68" t="s">
        <v>511</v>
      </c>
      <c r="E185" s="679"/>
      <c r="F185" s="529">
        <f>VLOOKUP(D185,'Sept 2012 Revenue'!D:T,17,FALSE)</f>
        <v>-247.79000000000087</v>
      </c>
      <c r="G185" s="680"/>
      <c r="H185" s="680"/>
      <c r="I185" s="755"/>
      <c r="J185" s="682">
        <f t="shared" si="59"/>
        <v>-247.79000000000087</v>
      </c>
      <c r="K185" s="683"/>
      <c r="L185" s="684"/>
      <c r="M185" s="753">
        <v>25000</v>
      </c>
      <c r="N185" s="683">
        <v>0</v>
      </c>
      <c r="O185" s="686"/>
      <c r="P185" s="683">
        <v>0</v>
      </c>
      <c r="Q185" s="687">
        <f t="shared" si="58"/>
        <v>25000</v>
      </c>
      <c r="R185" s="688">
        <v>22712.7</v>
      </c>
      <c r="S185" s="693"/>
      <c r="T185" s="690">
        <f t="shared" si="60"/>
        <v>-2287.2999999999993</v>
      </c>
      <c r="U185" s="697"/>
      <c r="V185" s="474">
        <f t="shared" si="75"/>
        <v>25000</v>
      </c>
      <c r="W185" s="474">
        <f t="shared" si="76"/>
        <v>0</v>
      </c>
      <c r="X185" s="475">
        <f t="shared" si="77"/>
        <v>0</v>
      </c>
      <c r="Y185" s="475">
        <v>0</v>
      </c>
      <c r="Z185" s="476">
        <v>0</v>
      </c>
      <c r="AA185" s="38">
        <f t="shared" si="78"/>
        <v>0</v>
      </c>
      <c r="AB185" s="692">
        <f t="shared" si="82"/>
        <v>-247.79000000000087</v>
      </c>
      <c r="AC185" s="692">
        <f t="shared" si="83"/>
        <v>0</v>
      </c>
      <c r="AD185" s="692">
        <f t="shared" si="84"/>
        <v>0</v>
      </c>
      <c r="AE185" s="38"/>
      <c r="AF185" s="692">
        <f t="shared" si="79"/>
        <v>25000</v>
      </c>
      <c r="AG185" s="692">
        <f t="shared" si="80"/>
        <v>0</v>
      </c>
      <c r="AH185" s="692">
        <f t="shared" si="81"/>
        <v>0</v>
      </c>
      <c r="AJ185" s="38">
        <f t="shared" si="85"/>
        <v>24752.21</v>
      </c>
    </row>
    <row r="186" spans="1:36">
      <c r="A186" s="21"/>
      <c r="B186" s="21" t="s">
        <v>110</v>
      </c>
      <c r="C186" s="666"/>
      <c r="D186" s="68" t="s">
        <v>50</v>
      </c>
      <c r="E186" s="679"/>
      <c r="F186" s="529">
        <f>VLOOKUP(D186,'Sept 2012 Revenue'!D:T,17,FALSE)</f>
        <v>0</v>
      </c>
      <c r="G186" s="680"/>
      <c r="H186" s="680"/>
      <c r="I186" s="770">
        <v>991.88</v>
      </c>
      <c r="J186" s="682">
        <f t="shared" si="59"/>
        <v>991.88</v>
      </c>
      <c r="K186" s="683"/>
      <c r="L186" s="684"/>
      <c r="M186" s="753"/>
      <c r="N186" s="683">
        <v>0</v>
      </c>
      <c r="O186" s="686"/>
      <c r="P186" s="683">
        <v>0</v>
      </c>
      <c r="Q186" s="687">
        <f t="shared" si="58"/>
        <v>0</v>
      </c>
      <c r="R186" s="688">
        <v>0</v>
      </c>
      <c r="S186" s="693"/>
      <c r="T186" s="690">
        <f t="shared" si="60"/>
        <v>0</v>
      </c>
      <c r="U186" s="683"/>
      <c r="V186" s="474">
        <f t="shared" si="75"/>
        <v>0</v>
      </c>
      <c r="W186" s="474">
        <f t="shared" si="76"/>
        <v>0</v>
      </c>
      <c r="X186" s="475">
        <f t="shared" si="77"/>
        <v>0</v>
      </c>
      <c r="Y186" s="475">
        <v>0</v>
      </c>
      <c r="Z186" s="476">
        <v>0</v>
      </c>
      <c r="AA186" s="38">
        <f t="shared" si="78"/>
        <v>0</v>
      </c>
      <c r="AB186" s="692">
        <f t="shared" si="82"/>
        <v>991.88</v>
      </c>
      <c r="AC186" s="692">
        <f t="shared" si="83"/>
        <v>0</v>
      </c>
      <c r="AD186" s="692">
        <f t="shared" si="84"/>
        <v>0</v>
      </c>
      <c r="AE186" s="38"/>
      <c r="AF186" s="692">
        <f t="shared" si="79"/>
        <v>0</v>
      </c>
      <c r="AG186" s="692">
        <f t="shared" si="80"/>
        <v>0</v>
      </c>
      <c r="AH186" s="692">
        <f t="shared" si="81"/>
        <v>0</v>
      </c>
      <c r="AJ186" s="38">
        <f t="shared" si="85"/>
        <v>991.88</v>
      </c>
    </row>
    <row r="187" spans="1:36">
      <c r="A187" s="21"/>
      <c r="B187" s="21" t="s">
        <v>109</v>
      </c>
      <c r="C187" s="666"/>
      <c r="D187" s="68" t="s">
        <v>51</v>
      </c>
      <c r="E187" s="679"/>
      <c r="F187" s="529">
        <f>VLOOKUP(D187,'Sept 2012 Revenue'!D:T,17,FALSE)</f>
        <v>0</v>
      </c>
      <c r="G187" s="680"/>
      <c r="H187" s="680"/>
      <c r="I187" s="755"/>
      <c r="J187" s="682">
        <f t="shared" si="59"/>
        <v>0</v>
      </c>
      <c r="K187" s="683"/>
      <c r="L187" s="684"/>
      <c r="M187" s="753"/>
      <c r="N187" s="683">
        <v>0</v>
      </c>
      <c r="O187" s="686"/>
      <c r="P187" s="683">
        <v>0</v>
      </c>
      <c r="Q187" s="687">
        <f t="shared" si="58"/>
        <v>0</v>
      </c>
      <c r="R187" s="688">
        <v>0</v>
      </c>
      <c r="S187" s="693"/>
      <c r="T187" s="690">
        <f t="shared" si="60"/>
        <v>0</v>
      </c>
      <c r="U187" s="683"/>
      <c r="V187" s="474">
        <f t="shared" si="75"/>
        <v>0</v>
      </c>
      <c r="W187" s="474">
        <f t="shared" si="76"/>
        <v>0</v>
      </c>
      <c r="X187" s="475">
        <f t="shared" si="77"/>
        <v>0</v>
      </c>
      <c r="Y187" s="475">
        <v>0</v>
      </c>
      <c r="Z187" s="476">
        <v>0</v>
      </c>
      <c r="AA187" s="38">
        <f t="shared" si="78"/>
        <v>0</v>
      </c>
      <c r="AB187" s="692">
        <f t="shared" si="82"/>
        <v>0</v>
      </c>
      <c r="AC187" s="692">
        <f t="shared" si="83"/>
        <v>0</v>
      </c>
      <c r="AD187" s="692">
        <f t="shared" si="84"/>
        <v>0</v>
      </c>
      <c r="AE187" s="38"/>
      <c r="AF187" s="692">
        <f t="shared" si="79"/>
        <v>0</v>
      </c>
      <c r="AG187" s="692">
        <f t="shared" si="80"/>
        <v>0</v>
      </c>
      <c r="AH187" s="692">
        <f t="shared" si="81"/>
        <v>0</v>
      </c>
      <c r="AJ187" s="38">
        <f t="shared" si="85"/>
        <v>0</v>
      </c>
    </row>
    <row r="188" spans="1:36">
      <c r="A188" s="21"/>
      <c r="B188" s="21" t="s">
        <v>109</v>
      </c>
      <c r="C188" s="666"/>
      <c r="D188" s="68" t="s">
        <v>107</v>
      </c>
      <c r="E188" s="679"/>
      <c r="F188" s="529">
        <f>VLOOKUP(D188,'Sept 2012 Revenue'!D:T,17,FALSE)</f>
        <v>0</v>
      </c>
      <c r="G188" s="680"/>
      <c r="H188" s="680"/>
      <c r="I188" s="755"/>
      <c r="J188" s="682">
        <f t="shared" si="59"/>
        <v>0</v>
      </c>
      <c r="K188" s="683"/>
      <c r="L188" s="684"/>
      <c r="M188" s="753"/>
      <c r="N188" s="683">
        <v>0</v>
      </c>
      <c r="O188" s="686"/>
      <c r="P188" s="683">
        <v>0</v>
      </c>
      <c r="Q188" s="687">
        <f t="shared" si="58"/>
        <v>0</v>
      </c>
      <c r="R188" s="688">
        <v>0</v>
      </c>
      <c r="S188" s="693"/>
      <c r="T188" s="690">
        <f t="shared" si="60"/>
        <v>0</v>
      </c>
      <c r="U188" s="683"/>
      <c r="V188" s="474">
        <f t="shared" si="75"/>
        <v>0</v>
      </c>
      <c r="W188" s="474">
        <f t="shared" si="76"/>
        <v>0</v>
      </c>
      <c r="X188" s="475">
        <f t="shared" si="77"/>
        <v>0</v>
      </c>
      <c r="Y188" s="475">
        <v>0</v>
      </c>
      <c r="Z188" s="476">
        <v>0</v>
      </c>
      <c r="AA188" s="38">
        <f t="shared" si="78"/>
        <v>0</v>
      </c>
      <c r="AB188" s="692">
        <f t="shared" si="82"/>
        <v>0</v>
      </c>
      <c r="AC188" s="692">
        <f t="shared" si="83"/>
        <v>0</v>
      </c>
      <c r="AD188" s="692">
        <f t="shared" si="84"/>
        <v>0</v>
      </c>
      <c r="AE188" s="38"/>
      <c r="AF188" s="692">
        <f t="shared" si="79"/>
        <v>0</v>
      </c>
      <c r="AG188" s="692">
        <f t="shared" si="80"/>
        <v>0</v>
      </c>
      <c r="AH188" s="692">
        <f t="shared" si="81"/>
        <v>0</v>
      </c>
      <c r="AJ188" s="38">
        <f t="shared" si="85"/>
        <v>0</v>
      </c>
    </row>
    <row r="189" spans="1:36">
      <c r="A189" s="21"/>
      <c r="B189" s="21" t="s">
        <v>109</v>
      </c>
      <c r="C189" s="666"/>
      <c r="D189" s="68" t="s">
        <v>467</v>
      </c>
      <c r="E189" s="679"/>
      <c r="F189" s="529">
        <f>VLOOKUP(D189,'Sept 2012 Revenue'!D:T,17,FALSE)</f>
        <v>0</v>
      </c>
      <c r="G189" s="680"/>
      <c r="H189" s="680"/>
      <c r="I189" s="755"/>
      <c r="J189" s="682">
        <f t="shared" si="59"/>
        <v>0</v>
      </c>
      <c r="K189" s="683"/>
      <c r="L189" s="684"/>
      <c r="M189" s="753"/>
      <c r="N189" s="683">
        <v>0</v>
      </c>
      <c r="O189" s="686"/>
      <c r="P189" s="683">
        <v>0</v>
      </c>
      <c r="Q189" s="687">
        <f t="shared" si="58"/>
        <v>0</v>
      </c>
      <c r="R189" s="688">
        <v>0</v>
      </c>
      <c r="S189" s="693"/>
      <c r="T189" s="690">
        <f t="shared" si="60"/>
        <v>0</v>
      </c>
      <c r="U189" s="683"/>
      <c r="V189" s="474">
        <f t="shared" si="75"/>
        <v>0</v>
      </c>
      <c r="W189" s="474">
        <f t="shared" si="76"/>
        <v>0</v>
      </c>
      <c r="X189" s="475">
        <f t="shared" si="77"/>
        <v>0</v>
      </c>
      <c r="Y189" s="475">
        <v>0</v>
      </c>
      <c r="Z189" s="476">
        <v>0</v>
      </c>
      <c r="AA189" s="38">
        <f t="shared" si="78"/>
        <v>0</v>
      </c>
      <c r="AB189" s="692">
        <f t="shared" si="82"/>
        <v>0</v>
      </c>
      <c r="AC189" s="692">
        <f t="shared" si="83"/>
        <v>0</v>
      </c>
      <c r="AD189" s="692">
        <f t="shared" si="84"/>
        <v>0</v>
      </c>
      <c r="AE189" s="38"/>
      <c r="AF189" s="692">
        <f t="shared" si="79"/>
        <v>0</v>
      </c>
      <c r="AG189" s="692">
        <f t="shared" si="80"/>
        <v>0</v>
      </c>
      <c r="AH189" s="692">
        <f t="shared" si="81"/>
        <v>0</v>
      </c>
      <c r="AJ189" s="38">
        <f t="shared" si="85"/>
        <v>0</v>
      </c>
    </row>
    <row r="190" spans="1:36">
      <c r="A190" s="21"/>
      <c r="B190" s="21" t="s">
        <v>109</v>
      </c>
      <c r="C190" s="666" t="s">
        <v>575</v>
      </c>
      <c r="D190" s="68" t="s">
        <v>54</v>
      </c>
      <c r="E190" s="679"/>
      <c r="F190" s="529">
        <f>VLOOKUP(D190,'Sept 2012 Revenue'!D:T,17,FALSE)</f>
        <v>0</v>
      </c>
      <c r="G190" s="680"/>
      <c r="H190" s="680"/>
      <c r="I190" s="755"/>
      <c r="J190" s="682">
        <f t="shared" si="59"/>
        <v>0</v>
      </c>
      <c r="K190" s="683"/>
      <c r="L190" s="684"/>
      <c r="M190" s="753"/>
      <c r="N190" s="683">
        <v>0</v>
      </c>
      <c r="O190" s="686"/>
      <c r="P190" s="683">
        <v>0</v>
      </c>
      <c r="Q190" s="687">
        <f t="shared" si="58"/>
        <v>0</v>
      </c>
      <c r="R190" s="688">
        <v>0</v>
      </c>
      <c r="S190" s="693"/>
      <c r="T190" s="690">
        <f t="shared" si="60"/>
        <v>0</v>
      </c>
      <c r="U190" s="683"/>
      <c r="V190" s="474">
        <f t="shared" si="75"/>
        <v>0</v>
      </c>
      <c r="W190" s="474">
        <f t="shared" si="76"/>
        <v>0</v>
      </c>
      <c r="X190" s="475">
        <f t="shared" si="77"/>
        <v>0</v>
      </c>
      <c r="Y190" s="475">
        <v>0</v>
      </c>
      <c r="Z190" s="476">
        <v>0</v>
      </c>
      <c r="AA190" s="38">
        <f t="shared" si="78"/>
        <v>0</v>
      </c>
      <c r="AB190" s="692">
        <f t="shared" si="82"/>
        <v>0</v>
      </c>
      <c r="AC190" s="692">
        <f t="shared" si="83"/>
        <v>0</v>
      </c>
      <c r="AD190" s="692">
        <f t="shared" si="84"/>
        <v>0</v>
      </c>
      <c r="AE190" s="38"/>
      <c r="AF190" s="692">
        <f t="shared" si="79"/>
        <v>0</v>
      </c>
      <c r="AG190" s="692">
        <f t="shared" si="80"/>
        <v>0</v>
      </c>
      <c r="AH190" s="692">
        <f t="shared" si="81"/>
        <v>0</v>
      </c>
      <c r="AJ190" s="38">
        <f t="shared" si="85"/>
        <v>0</v>
      </c>
    </row>
    <row r="191" spans="1:36">
      <c r="A191" s="20"/>
      <c r="B191" s="20" t="s">
        <v>110</v>
      </c>
      <c r="C191" s="667" t="s">
        <v>576</v>
      </c>
      <c r="D191" s="68" t="s">
        <v>394</v>
      </c>
      <c r="E191" s="679"/>
      <c r="F191" s="529">
        <f>VLOOKUP(D191,'Sept 2012 Revenue'!D:T,17,FALSE)</f>
        <v>0</v>
      </c>
      <c r="G191" s="680"/>
      <c r="H191" s="680"/>
      <c r="I191" s="755"/>
      <c r="J191" s="682">
        <f t="shared" si="59"/>
        <v>0</v>
      </c>
      <c r="K191" s="683"/>
      <c r="L191" s="684"/>
      <c r="M191" s="753"/>
      <c r="N191" s="683">
        <v>0</v>
      </c>
      <c r="O191" s="686"/>
      <c r="P191" s="683">
        <v>0</v>
      </c>
      <c r="Q191" s="687">
        <f t="shared" si="58"/>
        <v>0</v>
      </c>
      <c r="R191" s="688">
        <v>0</v>
      </c>
      <c r="S191" s="693"/>
      <c r="T191" s="690">
        <f t="shared" si="60"/>
        <v>0</v>
      </c>
      <c r="U191" s="683"/>
      <c r="V191" s="474">
        <f t="shared" si="75"/>
        <v>0</v>
      </c>
      <c r="W191" s="474">
        <f t="shared" si="76"/>
        <v>0</v>
      </c>
      <c r="X191" s="475">
        <f t="shared" si="77"/>
        <v>0</v>
      </c>
      <c r="Y191" s="475">
        <v>0</v>
      </c>
      <c r="Z191" s="476">
        <v>0</v>
      </c>
      <c r="AA191" s="38">
        <f t="shared" si="78"/>
        <v>0</v>
      </c>
      <c r="AB191" s="692">
        <f t="shared" si="82"/>
        <v>0</v>
      </c>
      <c r="AC191" s="692">
        <f t="shared" si="83"/>
        <v>0</v>
      </c>
      <c r="AD191" s="692">
        <f t="shared" si="84"/>
        <v>0</v>
      </c>
      <c r="AE191" s="38"/>
      <c r="AF191" s="692">
        <f t="shared" si="79"/>
        <v>0</v>
      </c>
      <c r="AG191" s="692">
        <f t="shared" si="80"/>
        <v>0</v>
      </c>
      <c r="AH191" s="692">
        <f t="shared" si="81"/>
        <v>0</v>
      </c>
      <c r="AJ191" s="38">
        <f t="shared" si="85"/>
        <v>0</v>
      </c>
    </row>
    <row r="192" spans="1:36">
      <c r="A192" s="20"/>
      <c r="B192" s="20" t="s">
        <v>110</v>
      </c>
      <c r="C192" s="667"/>
      <c r="D192" s="68" t="s">
        <v>55</v>
      </c>
      <c r="E192" s="679"/>
      <c r="F192" s="529">
        <f>VLOOKUP(D192,'Sept 2012 Revenue'!D:T,17,FALSE)</f>
        <v>687.97</v>
      </c>
      <c r="G192" s="680"/>
      <c r="H192" s="680"/>
      <c r="I192" s="755"/>
      <c r="J192" s="682">
        <f t="shared" si="59"/>
        <v>687.97</v>
      </c>
      <c r="K192" s="683"/>
      <c r="L192" s="684"/>
      <c r="M192" s="753"/>
      <c r="N192" s="683">
        <v>0</v>
      </c>
      <c r="O192" s="686"/>
      <c r="P192" s="683">
        <v>0</v>
      </c>
      <c r="Q192" s="687">
        <f t="shared" si="58"/>
        <v>0</v>
      </c>
      <c r="R192" s="688">
        <v>753.82</v>
      </c>
      <c r="S192" s="693"/>
      <c r="T192" s="690">
        <f t="shared" si="60"/>
        <v>753.82</v>
      </c>
      <c r="U192" s="683"/>
      <c r="V192" s="474">
        <f t="shared" si="75"/>
        <v>0</v>
      </c>
      <c r="W192" s="474">
        <f t="shared" si="76"/>
        <v>0</v>
      </c>
      <c r="X192" s="475">
        <f t="shared" si="77"/>
        <v>0</v>
      </c>
      <c r="Y192" s="475">
        <v>0</v>
      </c>
      <c r="Z192" s="476">
        <v>0</v>
      </c>
      <c r="AA192" s="38">
        <f t="shared" si="78"/>
        <v>0</v>
      </c>
      <c r="AB192" s="692">
        <f t="shared" si="82"/>
        <v>687.97</v>
      </c>
      <c r="AC192" s="692">
        <f t="shared" si="83"/>
        <v>0</v>
      </c>
      <c r="AD192" s="692">
        <f t="shared" si="84"/>
        <v>0</v>
      </c>
      <c r="AE192" s="38"/>
      <c r="AF192" s="692">
        <f t="shared" si="79"/>
        <v>0</v>
      </c>
      <c r="AG192" s="692">
        <f t="shared" si="80"/>
        <v>0</v>
      </c>
      <c r="AH192" s="692">
        <f t="shared" si="81"/>
        <v>0</v>
      </c>
      <c r="AJ192" s="38">
        <f t="shared" si="85"/>
        <v>687.97</v>
      </c>
    </row>
    <row r="193" spans="1:36">
      <c r="A193" s="20"/>
      <c r="B193" s="20" t="s">
        <v>110</v>
      </c>
      <c r="C193" s="676" t="s">
        <v>854</v>
      </c>
      <c r="D193" s="68" t="s">
        <v>855</v>
      </c>
      <c r="E193" s="679"/>
      <c r="F193" s="529">
        <f>VLOOKUP(D193,'Sept 2012 Revenue'!D:T,17,FALSE)</f>
        <v>653.70000000000005</v>
      </c>
      <c r="G193" s="680"/>
      <c r="H193" s="680"/>
      <c r="I193" s="755"/>
      <c r="J193" s="682">
        <f t="shared" si="59"/>
        <v>653.70000000000005</v>
      </c>
      <c r="K193" s="683"/>
      <c r="L193" s="684"/>
      <c r="M193" s="753"/>
      <c r="N193" s="683">
        <v>0</v>
      </c>
      <c r="O193" s="686"/>
      <c r="P193" s="683">
        <v>0</v>
      </c>
      <c r="Q193" s="687">
        <f t="shared" si="58"/>
        <v>0</v>
      </c>
      <c r="R193" s="688">
        <v>0</v>
      </c>
      <c r="S193" s="693"/>
      <c r="T193" s="690">
        <f t="shared" si="60"/>
        <v>0</v>
      </c>
      <c r="U193" s="683"/>
      <c r="V193" s="474">
        <f t="shared" si="75"/>
        <v>0</v>
      </c>
      <c r="W193" s="474">
        <f t="shared" si="76"/>
        <v>0</v>
      </c>
      <c r="X193" s="475">
        <f t="shared" si="77"/>
        <v>0</v>
      </c>
      <c r="Y193" s="475">
        <v>0</v>
      </c>
      <c r="Z193" s="476">
        <v>0</v>
      </c>
      <c r="AA193" s="38">
        <f t="shared" si="78"/>
        <v>0</v>
      </c>
      <c r="AB193" s="692">
        <f t="shared" si="82"/>
        <v>653.70000000000005</v>
      </c>
      <c r="AC193" s="692">
        <f t="shared" si="83"/>
        <v>0</v>
      </c>
      <c r="AD193" s="692">
        <f t="shared" si="84"/>
        <v>0</v>
      </c>
      <c r="AE193" s="38"/>
      <c r="AF193" s="692">
        <f t="shared" si="79"/>
        <v>0</v>
      </c>
      <c r="AG193" s="692">
        <f t="shared" si="80"/>
        <v>0</v>
      </c>
      <c r="AH193" s="692">
        <f t="shared" si="81"/>
        <v>0</v>
      </c>
      <c r="AJ193" s="38">
        <f t="shared" si="85"/>
        <v>653.70000000000005</v>
      </c>
    </row>
    <row r="194" spans="1:36">
      <c r="A194" s="20"/>
      <c r="B194" s="20" t="s">
        <v>109</v>
      </c>
      <c r="C194" s="667" t="s">
        <v>577</v>
      </c>
      <c r="D194" s="68" t="s">
        <v>159</v>
      </c>
      <c r="E194" s="679"/>
      <c r="F194" s="529">
        <f>VLOOKUP(D194,'Sept 2012 Revenue'!D:T,17,FALSE)</f>
        <v>-4247.380000000001</v>
      </c>
      <c r="G194" s="680"/>
      <c r="H194" s="680"/>
      <c r="I194" s="770">
        <v>19870.099999999999</v>
      </c>
      <c r="J194" s="682">
        <f t="shared" si="59"/>
        <v>15622.719999999998</v>
      </c>
      <c r="K194" s="683"/>
      <c r="L194" s="684"/>
      <c r="M194" s="753"/>
      <c r="N194" s="683">
        <v>0</v>
      </c>
      <c r="O194" s="686"/>
      <c r="P194" s="683">
        <v>0</v>
      </c>
      <c r="Q194" s="687">
        <f t="shared" si="58"/>
        <v>0</v>
      </c>
      <c r="R194" s="688">
        <v>0</v>
      </c>
      <c r="S194" s="693"/>
      <c r="T194" s="690">
        <f t="shared" si="60"/>
        <v>0</v>
      </c>
      <c r="U194" s="683"/>
      <c r="V194" s="474">
        <f t="shared" si="75"/>
        <v>0</v>
      </c>
      <c r="W194" s="474">
        <f t="shared" si="76"/>
        <v>0</v>
      </c>
      <c r="X194" s="475">
        <f t="shared" si="77"/>
        <v>0</v>
      </c>
      <c r="Y194" s="475">
        <v>0</v>
      </c>
      <c r="Z194" s="476">
        <v>0</v>
      </c>
      <c r="AA194" s="38">
        <f t="shared" si="78"/>
        <v>0</v>
      </c>
      <c r="AB194" s="692">
        <f t="shared" si="82"/>
        <v>0</v>
      </c>
      <c r="AC194" s="692">
        <f t="shared" si="83"/>
        <v>15622.719999999998</v>
      </c>
      <c r="AD194" s="692">
        <f t="shared" si="84"/>
        <v>0</v>
      </c>
      <c r="AE194" s="38"/>
      <c r="AF194" s="692">
        <f t="shared" si="79"/>
        <v>0</v>
      </c>
      <c r="AG194" s="692">
        <f t="shared" si="80"/>
        <v>0</v>
      </c>
      <c r="AH194" s="692">
        <f t="shared" si="81"/>
        <v>0</v>
      </c>
      <c r="AJ194" s="38">
        <f t="shared" si="85"/>
        <v>15622.719999999998</v>
      </c>
    </row>
    <row r="195" spans="1:36">
      <c r="A195" s="20"/>
      <c r="B195" s="20" t="s">
        <v>109</v>
      </c>
      <c r="C195" s="667" t="s">
        <v>577</v>
      </c>
      <c r="D195" s="68" t="s">
        <v>160</v>
      </c>
      <c r="E195" s="679"/>
      <c r="F195" s="529">
        <f>VLOOKUP(D195,'Sept 2012 Revenue'!D:T,17,FALSE)</f>
        <v>0</v>
      </c>
      <c r="G195" s="680"/>
      <c r="H195" s="680"/>
      <c r="I195" s="770">
        <v>13672.53</v>
      </c>
      <c r="J195" s="682">
        <f t="shared" si="59"/>
        <v>13672.53</v>
      </c>
      <c r="K195" s="683"/>
      <c r="L195" s="684"/>
      <c r="M195" s="753"/>
      <c r="N195" s="683">
        <v>0</v>
      </c>
      <c r="O195" s="686"/>
      <c r="P195" s="683">
        <v>0</v>
      </c>
      <c r="Q195" s="687">
        <f t="shared" si="58"/>
        <v>0</v>
      </c>
      <c r="R195" s="688">
        <v>0</v>
      </c>
      <c r="S195" s="693"/>
      <c r="T195" s="690">
        <f t="shared" si="60"/>
        <v>0</v>
      </c>
      <c r="U195" s="683"/>
      <c r="V195" s="474">
        <f t="shared" si="75"/>
        <v>0</v>
      </c>
      <c r="W195" s="474">
        <f t="shared" si="76"/>
        <v>0</v>
      </c>
      <c r="X195" s="475">
        <f t="shared" si="77"/>
        <v>0</v>
      </c>
      <c r="Y195" s="475">
        <v>0</v>
      </c>
      <c r="Z195" s="476">
        <v>0</v>
      </c>
      <c r="AA195" s="38">
        <f t="shared" si="78"/>
        <v>0</v>
      </c>
      <c r="AB195" s="692">
        <f t="shared" si="82"/>
        <v>0</v>
      </c>
      <c r="AC195" s="692">
        <f t="shared" si="83"/>
        <v>13672.53</v>
      </c>
      <c r="AD195" s="692">
        <f t="shared" si="84"/>
        <v>0</v>
      </c>
      <c r="AE195" s="38"/>
      <c r="AF195" s="692">
        <f t="shared" si="79"/>
        <v>0</v>
      </c>
      <c r="AG195" s="692">
        <f t="shared" si="80"/>
        <v>0</v>
      </c>
      <c r="AH195" s="692">
        <f t="shared" si="81"/>
        <v>0</v>
      </c>
      <c r="AJ195" s="38">
        <f t="shared" si="85"/>
        <v>13672.53</v>
      </c>
    </row>
    <row r="196" spans="1:36">
      <c r="A196" s="21"/>
      <c r="B196" s="21" t="s">
        <v>109</v>
      </c>
      <c r="C196" s="667" t="s">
        <v>577</v>
      </c>
      <c r="D196" s="68" t="s">
        <v>161</v>
      </c>
      <c r="E196" s="679"/>
      <c r="F196" s="529">
        <f>VLOOKUP(D196,'Sept 2012 Revenue'!D:T,17,FALSE)</f>
        <v>0</v>
      </c>
      <c r="G196" s="680"/>
      <c r="H196" s="680"/>
      <c r="I196" s="755"/>
      <c r="J196" s="682">
        <f t="shared" si="59"/>
        <v>0</v>
      </c>
      <c r="K196" s="683"/>
      <c r="L196" s="684"/>
      <c r="M196" s="753"/>
      <c r="N196" s="683">
        <v>0</v>
      </c>
      <c r="O196" s="686"/>
      <c r="P196" s="683">
        <v>0</v>
      </c>
      <c r="Q196" s="687">
        <f t="shared" si="58"/>
        <v>0</v>
      </c>
      <c r="R196" s="688">
        <v>0</v>
      </c>
      <c r="S196" s="693"/>
      <c r="T196" s="690">
        <f t="shared" si="60"/>
        <v>0</v>
      </c>
      <c r="U196" s="683"/>
      <c r="V196" s="474">
        <f t="shared" si="75"/>
        <v>0</v>
      </c>
      <c r="W196" s="474">
        <f t="shared" si="76"/>
        <v>0</v>
      </c>
      <c r="X196" s="475">
        <f t="shared" si="77"/>
        <v>0</v>
      </c>
      <c r="Y196" s="475">
        <v>0</v>
      </c>
      <c r="Z196" s="476">
        <v>0</v>
      </c>
      <c r="AA196" s="38">
        <f t="shared" si="78"/>
        <v>0</v>
      </c>
      <c r="AB196" s="692">
        <f t="shared" si="82"/>
        <v>0</v>
      </c>
      <c r="AC196" s="692">
        <f t="shared" si="83"/>
        <v>0</v>
      </c>
      <c r="AD196" s="692">
        <f t="shared" si="84"/>
        <v>0</v>
      </c>
      <c r="AE196" s="38"/>
      <c r="AF196" s="692">
        <f t="shared" si="79"/>
        <v>0</v>
      </c>
      <c r="AG196" s="692">
        <f t="shared" si="80"/>
        <v>0</v>
      </c>
      <c r="AH196" s="692">
        <f t="shared" si="81"/>
        <v>0</v>
      </c>
      <c r="AJ196" s="38">
        <f t="shared" si="85"/>
        <v>0</v>
      </c>
    </row>
    <row r="197" spans="1:36">
      <c r="A197" s="21"/>
      <c r="B197" s="21" t="s">
        <v>109</v>
      </c>
      <c r="C197" s="667" t="s">
        <v>577</v>
      </c>
      <c r="D197" s="68" t="s">
        <v>162</v>
      </c>
      <c r="E197" s="679"/>
      <c r="F197" s="529">
        <f>VLOOKUP(D197,'Sept 2012 Revenue'!D:T,17,FALSE)</f>
        <v>0</v>
      </c>
      <c r="G197" s="680"/>
      <c r="H197" s="680"/>
      <c r="I197" s="755"/>
      <c r="J197" s="682">
        <f t="shared" si="59"/>
        <v>0</v>
      </c>
      <c r="K197" s="683"/>
      <c r="L197" s="684"/>
      <c r="M197" s="753"/>
      <c r="N197" s="683">
        <v>0</v>
      </c>
      <c r="O197" s="686"/>
      <c r="P197" s="683">
        <v>0</v>
      </c>
      <c r="Q197" s="687">
        <f t="shared" si="58"/>
        <v>0</v>
      </c>
      <c r="R197" s="688">
        <v>0</v>
      </c>
      <c r="S197" s="693"/>
      <c r="T197" s="690">
        <f t="shared" si="60"/>
        <v>0</v>
      </c>
      <c r="U197" s="683"/>
      <c r="V197" s="474">
        <f t="shared" si="75"/>
        <v>0</v>
      </c>
      <c r="W197" s="474">
        <f t="shared" si="76"/>
        <v>0</v>
      </c>
      <c r="X197" s="475">
        <f t="shared" si="77"/>
        <v>0</v>
      </c>
      <c r="Y197" s="475">
        <v>0</v>
      </c>
      <c r="Z197" s="476">
        <v>0</v>
      </c>
      <c r="AA197" s="38">
        <f t="shared" si="78"/>
        <v>0</v>
      </c>
      <c r="AB197" s="692">
        <f t="shared" si="82"/>
        <v>0</v>
      </c>
      <c r="AC197" s="692">
        <f t="shared" si="83"/>
        <v>0</v>
      </c>
      <c r="AD197" s="692">
        <f t="shared" si="84"/>
        <v>0</v>
      </c>
      <c r="AE197" s="38"/>
      <c r="AF197" s="692">
        <f t="shared" si="79"/>
        <v>0</v>
      </c>
      <c r="AG197" s="692">
        <f t="shared" si="80"/>
        <v>0</v>
      </c>
      <c r="AH197" s="692">
        <f t="shared" si="81"/>
        <v>0</v>
      </c>
      <c r="AJ197" s="38">
        <f t="shared" si="85"/>
        <v>0</v>
      </c>
    </row>
    <row r="198" spans="1:36">
      <c r="A198" s="21"/>
      <c r="B198" s="21" t="s">
        <v>109</v>
      </c>
      <c r="C198" s="666"/>
      <c r="D198" s="68" t="s">
        <v>163</v>
      </c>
      <c r="E198" s="679"/>
      <c r="F198" s="529">
        <f>VLOOKUP(D198,'Sept 2012 Revenue'!D:T,17,FALSE)</f>
        <v>0</v>
      </c>
      <c r="G198" s="680"/>
      <c r="H198" s="680"/>
      <c r="I198" s="770">
        <v>4552.42</v>
      </c>
      <c r="J198" s="682">
        <f t="shared" si="59"/>
        <v>4552.42</v>
      </c>
      <c r="K198" s="683"/>
      <c r="L198" s="684"/>
      <c r="M198" s="753"/>
      <c r="N198" s="683">
        <v>0</v>
      </c>
      <c r="O198" s="686"/>
      <c r="P198" s="683">
        <v>0</v>
      </c>
      <c r="Q198" s="687">
        <f t="shared" si="58"/>
        <v>0</v>
      </c>
      <c r="R198" s="688">
        <v>0</v>
      </c>
      <c r="S198" s="704"/>
      <c r="T198" s="690">
        <f t="shared" si="60"/>
        <v>0</v>
      </c>
      <c r="U198" s="705"/>
      <c r="V198" s="474">
        <f t="shared" si="75"/>
        <v>0</v>
      </c>
      <c r="W198" s="474">
        <f t="shared" si="76"/>
        <v>0</v>
      </c>
      <c r="X198" s="475">
        <f t="shared" si="77"/>
        <v>0</v>
      </c>
      <c r="Y198" s="475">
        <v>0</v>
      </c>
      <c r="Z198" s="476">
        <v>0</v>
      </c>
      <c r="AA198" s="38">
        <f t="shared" si="78"/>
        <v>0</v>
      </c>
      <c r="AB198" s="692">
        <f t="shared" si="82"/>
        <v>0</v>
      </c>
      <c r="AC198" s="692">
        <f t="shared" si="83"/>
        <v>4552.42</v>
      </c>
      <c r="AD198" s="692">
        <f t="shared" si="84"/>
        <v>0</v>
      </c>
      <c r="AE198" s="38"/>
      <c r="AF198" s="692">
        <f t="shared" si="79"/>
        <v>0</v>
      </c>
      <c r="AG198" s="692">
        <f t="shared" si="80"/>
        <v>0</v>
      </c>
      <c r="AH198" s="692">
        <f t="shared" si="81"/>
        <v>0</v>
      </c>
      <c r="AJ198" s="38">
        <f t="shared" si="85"/>
        <v>4552.42</v>
      </c>
    </row>
    <row r="199" spans="1:36">
      <c r="A199" s="21"/>
      <c r="B199" s="21" t="s">
        <v>109</v>
      </c>
      <c r="C199" s="666"/>
      <c r="D199" s="412" t="s">
        <v>164</v>
      </c>
      <c r="E199" s="679"/>
      <c r="F199" s="529">
        <f>VLOOKUP(D199,'Sept 2012 Revenue'!D:T,17,FALSE)</f>
        <v>0</v>
      </c>
      <c r="G199" s="680"/>
      <c r="H199" s="680"/>
      <c r="I199" s="770">
        <v>75.540000000000006</v>
      </c>
      <c r="J199" s="682">
        <f t="shared" si="59"/>
        <v>75.540000000000006</v>
      </c>
      <c r="K199" s="683"/>
      <c r="L199" s="684"/>
      <c r="M199" s="753"/>
      <c r="N199" s="683">
        <v>0</v>
      </c>
      <c r="O199" s="686"/>
      <c r="P199" s="683">
        <v>0</v>
      </c>
      <c r="Q199" s="687">
        <f t="shared" si="58"/>
        <v>0</v>
      </c>
      <c r="R199" s="688">
        <v>0</v>
      </c>
      <c r="S199" s="704"/>
      <c r="T199" s="690">
        <f t="shared" si="60"/>
        <v>0</v>
      </c>
      <c r="U199" s="705"/>
      <c r="V199" s="474">
        <f t="shared" si="75"/>
        <v>0</v>
      </c>
      <c r="W199" s="474">
        <f t="shared" si="76"/>
        <v>0</v>
      </c>
      <c r="X199" s="475">
        <f t="shared" si="77"/>
        <v>0</v>
      </c>
      <c r="Y199" s="475">
        <v>0</v>
      </c>
      <c r="Z199" s="476">
        <v>0</v>
      </c>
      <c r="AA199" s="38">
        <f t="shared" si="78"/>
        <v>0</v>
      </c>
      <c r="AB199" s="692">
        <f t="shared" si="82"/>
        <v>0</v>
      </c>
      <c r="AC199" s="692">
        <f t="shared" si="83"/>
        <v>75.540000000000006</v>
      </c>
      <c r="AD199" s="692">
        <f t="shared" si="84"/>
        <v>0</v>
      </c>
      <c r="AE199" s="38"/>
      <c r="AF199" s="692">
        <f t="shared" si="79"/>
        <v>0</v>
      </c>
      <c r="AG199" s="692">
        <f t="shared" si="80"/>
        <v>0</v>
      </c>
      <c r="AH199" s="692">
        <f t="shared" si="81"/>
        <v>0</v>
      </c>
      <c r="AJ199" s="38">
        <f t="shared" si="85"/>
        <v>75.540000000000006</v>
      </c>
    </row>
    <row r="200" spans="1:36">
      <c r="A200" s="21" t="s">
        <v>109</v>
      </c>
      <c r="B200" s="21" t="s">
        <v>114</v>
      </c>
      <c r="C200" s="666" t="s">
        <v>578</v>
      </c>
      <c r="D200" s="412" t="s">
        <v>318</v>
      </c>
      <c r="E200" s="679">
        <v>28357</v>
      </c>
      <c r="F200" s="529">
        <f>VLOOKUP(D200,'Sept 2012 Revenue'!D:T,17,FALSE)</f>
        <v>-23949</v>
      </c>
      <c r="G200" s="680"/>
      <c r="H200" s="680"/>
      <c r="I200" s="755"/>
      <c r="J200" s="682">
        <f t="shared" si="59"/>
        <v>4408</v>
      </c>
      <c r="K200" s="683"/>
      <c r="L200" s="684"/>
      <c r="M200" s="753">
        <v>30000</v>
      </c>
      <c r="N200" s="683">
        <v>0</v>
      </c>
      <c r="O200" s="686"/>
      <c r="P200" s="683">
        <v>0</v>
      </c>
      <c r="Q200" s="687">
        <f t="shared" si="58"/>
        <v>30000</v>
      </c>
      <c r="R200" s="688">
        <v>0</v>
      </c>
      <c r="S200" s="704"/>
      <c r="T200" s="690">
        <f t="shared" si="60"/>
        <v>-30000</v>
      </c>
      <c r="U200" s="683"/>
      <c r="V200" s="474">
        <f t="shared" si="75"/>
        <v>0</v>
      </c>
      <c r="W200" s="474">
        <f t="shared" si="76"/>
        <v>0</v>
      </c>
      <c r="X200" s="475">
        <f t="shared" si="77"/>
        <v>30000</v>
      </c>
      <c r="Y200" s="475">
        <v>0</v>
      </c>
      <c r="Z200" s="476">
        <v>0</v>
      </c>
      <c r="AA200" s="38">
        <f t="shared" si="78"/>
        <v>0</v>
      </c>
      <c r="AB200" s="692">
        <f t="shared" si="82"/>
        <v>0</v>
      </c>
      <c r="AC200" s="692">
        <f t="shared" si="83"/>
        <v>0</v>
      </c>
      <c r="AD200" s="692">
        <f t="shared" si="84"/>
        <v>4408</v>
      </c>
      <c r="AE200" s="38"/>
      <c r="AF200" s="692">
        <f t="shared" si="79"/>
        <v>0</v>
      </c>
      <c r="AG200" s="692">
        <f t="shared" si="80"/>
        <v>0</v>
      </c>
      <c r="AH200" s="692">
        <f t="shared" si="81"/>
        <v>30000</v>
      </c>
      <c r="AJ200" s="38">
        <f t="shared" si="85"/>
        <v>34408</v>
      </c>
    </row>
    <row r="201" spans="1:36">
      <c r="A201" s="20" t="s">
        <v>211</v>
      </c>
      <c r="B201" s="20" t="s">
        <v>109</v>
      </c>
      <c r="C201" s="667"/>
      <c r="D201" s="68" t="s">
        <v>57</v>
      </c>
      <c r="E201" s="679"/>
      <c r="F201" s="529">
        <f>VLOOKUP(D201,'Sept 2012 Revenue'!D:T,17,FALSE)</f>
        <v>0</v>
      </c>
      <c r="G201" s="680"/>
      <c r="H201" s="680"/>
      <c r="I201" s="755"/>
      <c r="J201" s="682">
        <f t="shared" si="59"/>
        <v>0</v>
      </c>
      <c r="K201" s="683"/>
      <c r="L201" s="684"/>
      <c r="M201" s="753"/>
      <c r="N201" s="683">
        <v>0</v>
      </c>
      <c r="O201" s="686"/>
      <c r="P201" s="683">
        <v>0</v>
      </c>
      <c r="Q201" s="687">
        <f t="shared" si="58"/>
        <v>0</v>
      </c>
      <c r="R201" s="688">
        <v>0</v>
      </c>
      <c r="S201" s="693"/>
      <c r="T201" s="690">
        <f t="shared" si="60"/>
        <v>0</v>
      </c>
      <c r="U201" s="683"/>
      <c r="V201" s="474">
        <f t="shared" si="75"/>
        <v>0</v>
      </c>
      <c r="W201" s="474">
        <f t="shared" si="76"/>
        <v>0</v>
      </c>
      <c r="X201" s="475">
        <f t="shared" si="77"/>
        <v>0</v>
      </c>
      <c r="Y201" s="475">
        <v>0</v>
      </c>
      <c r="Z201" s="476">
        <v>0</v>
      </c>
      <c r="AA201" s="38">
        <f t="shared" si="78"/>
        <v>0</v>
      </c>
      <c r="AB201" s="692">
        <f t="shared" si="82"/>
        <v>0</v>
      </c>
      <c r="AC201" s="692">
        <f t="shared" si="83"/>
        <v>0</v>
      </c>
      <c r="AD201" s="692">
        <f t="shared" si="84"/>
        <v>0</v>
      </c>
      <c r="AE201" s="38"/>
      <c r="AF201" s="692">
        <f t="shared" si="79"/>
        <v>0</v>
      </c>
      <c r="AG201" s="692">
        <f t="shared" si="80"/>
        <v>0</v>
      </c>
      <c r="AH201" s="692">
        <f t="shared" si="81"/>
        <v>0</v>
      </c>
      <c r="AJ201" s="38">
        <f t="shared" si="85"/>
        <v>0</v>
      </c>
    </row>
    <row r="202" spans="1:36">
      <c r="A202" s="20"/>
      <c r="B202" s="20" t="s">
        <v>114</v>
      </c>
      <c r="C202" s="676" t="s">
        <v>621</v>
      </c>
      <c r="D202" s="68" t="s">
        <v>622</v>
      </c>
      <c r="E202" s="679">
        <v>434.5</v>
      </c>
      <c r="F202" s="529">
        <f>VLOOKUP(D202,'Sept 2012 Revenue'!D:T,17,FALSE)</f>
        <v>0</v>
      </c>
      <c r="G202" s="680"/>
      <c r="H202" s="680"/>
      <c r="I202" s="755"/>
      <c r="J202" s="682">
        <f t="shared" si="59"/>
        <v>434.5</v>
      </c>
      <c r="K202" s="683"/>
      <c r="L202" s="684"/>
      <c r="M202" s="753"/>
      <c r="N202" s="683">
        <v>0</v>
      </c>
      <c r="O202" s="686"/>
      <c r="P202" s="683">
        <v>0</v>
      </c>
      <c r="Q202" s="687">
        <f t="shared" si="58"/>
        <v>0</v>
      </c>
      <c r="R202" s="688">
        <v>0</v>
      </c>
      <c r="S202" s="704"/>
      <c r="T202" s="690">
        <f t="shared" si="60"/>
        <v>0</v>
      </c>
      <c r="U202" s="683"/>
      <c r="V202" s="474">
        <f t="shared" si="75"/>
        <v>0</v>
      </c>
      <c r="W202" s="474">
        <f t="shared" si="76"/>
        <v>0</v>
      </c>
      <c r="X202" s="475">
        <f t="shared" si="77"/>
        <v>0</v>
      </c>
      <c r="Y202" s="475">
        <v>0</v>
      </c>
      <c r="Z202" s="476">
        <v>0</v>
      </c>
      <c r="AA202" s="38">
        <f t="shared" si="78"/>
        <v>0</v>
      </c>
      <c r="AB202" s="692">
        <f t="shared" si="82"/>
        <v>0</v>
      </c>
      <c r="AC202" s="692">
        <f t="shared" si="83"/>
        <v>0</v>
      </c>
      <c r="AD202" s="692">
        <f t="shared" si="84"/>
        <v>434.5</v>
      </c>
      <c r="AE202" s="38"/>
      <c r="AF202" s="692">
        <f t="shared" si="79"/>
        <v>0</v>
      </c>
      <c r="AG202" s="692">
        <f t="shared" si="80"/>
        <v>0</v>
      </c>
      <c r="AH202" s="692">
        <f t="shared" si="81"/>
        <v>0</v>
      </c>
      <c r="AJ202" s="38">
        <f t="shared" si="85"/>
        <v>434.5</v>
      </c>
    </row>
    <row r="203" spans="1:36">
      <c r="A203" s="20"/>
      <c r="B203" s="20" t="s">
        <v>110</v>
      </c>
      <c r="C203" s="667"/>
      <c r="D203" s="68" t="s">
        <v>497</v>
      </c>
      <c r="E203" s="679">
        <v>943.48</v>
      </c>
      <c r="F203" s="529">
        <f>VLOOKUP(D203,'Sept 2012 Revenue'!D:T,17,FALSE)</f>
        <v>0</v>
      </c>
      <c r="G203" s="680"/>
      <c r="H203" s="680"/>
      <c r="I203" s="755"/>
      <c r="J203" s="682">
        <f t="shared" si="59"/>
        <v>943.48</v>
      </c>
      <c r="K203" s="683"/>
      <c r="L203" s="684"/>
      <c r="M203" s="753"/>
      <c r="N203" s="683">
        <v>0</v>
      </c>
      <c r="O203" s="686"/>
      <c r="P203" s="683">
        <v>0</v>
      </c>
      <c r="Q203" s="687">
        <f t="shared" si="58"/>
        <v>0</v>
      </c>
      <c r="R203" s="688">
        <v>201.02</v>
      </c>
      <c r="S203" s="693"/>
      <c r="T203" s="690">
        <f t="shared" si="60"/>
        <v>201.02</v>
      </c>
      <c r="U203" s="683"/>
      <c r="V203" s="474">
        <f t="shared" si="75"/>
        <v>0</v>
      </c>
      <c r="W203" s="474">
        <f t="shared" si="76"/>
        <v>0</v>
      </c>
      <c r="X203" s="475">
        <f t="shared" si="77"/>
        <v>0</v>
      </c>
      <c r="Y203" s="475">
        <v>0</v>
      </c>
      <c r="Z203" s="476">
        <v>0</v>
      </c>
      <c r="AA203" s="38">
        <f t="shared" si="78"/>
        <v>0</v>
      </c>
      <c r="AB203" s="692">
        <f t="shared" si="82"/>
        <v>943.48</v>
      </c>
      <c r="AC203" s="692">
        <f t="shared" si="83"/>
        <v>0</v>
      </c>
      <c r="AD203" s="692">
        <f t="shared" si="84"/>
        <v>0</v>
      </c>
      <c r="AE203" s="38"/>
      <c r="AF203" s="692">
        <f t="shared" si="79"/>
        <v>0</v>
      </c>
      <c r="AG203" s="692">
        <f t="shared" si="80"/>
        <v>0</v>
      </c>
      <c r="AH203" s="692">
        <f t="shared" si="81"/>
        <v>0</v>
      </c>
      <c r="AJ203" s="38">
        <f t="shared" si="85"/>
        <v>943.48</v>
      </c>
    </row>
    <row r="204" spans="1:36">
      <c r="A204" s="20"/>
      <c r="B204" s="20" t="s">
        <v>110</v>
      </c>
      <c r="C204" s="667"/>
      <c r="D204" s="68" t="s">
        <v>509</v>
      </c>
      <c r="E204" s="679"/>
      <c r="F204" s="529">
        <f>VLOOKUP(D204,'Sept 2012 Revenue'!D:T,17,FALSE)</f>
        <v>0</v>
      </c>
      <c r="G204" s="680"/>
      <c r="H204" s="680"/>
      <c r="I204" s="755"/>
      <c r="J204" s="682">
        <f t="shared" si="59"/>
        <v>0</v>
      </c>
      <c r="K204" s="683"/>
      <c r="L204" s="684"/>
      <c r="M204" s="753">
        <v>10000</v>
      </c>
      <c r="N204" s="683"/>
      <c r="O204" s="686"/>
      <c r="P204" s="683"/>
      <c r="Q204" s="687">
        <f t="shared" si="58"/>
        <v>10000</v>
      </c>
      <c r="R204" s="688">
        <v>12019.77</v>
      </c>
      <c r="S204" s="693"/>
      <c r="T204" s="690">
        <f t="shared" si="60"/>
        <v>2019.7700000000004</v>
      </c>
      <c r="U204" s="683"/>
      <c r="V204" s="474">
        <f t="shared" si="75"/>
        <v>10000</v>
      </c>
      <c r="W204" s="474">
        <f t="shared" si="76"/>
        <v>0</v>
      </c>
      <c r="X204" s="475">
        <f t="shared" si="77"/>
        <v>0</v>
      </c>
      <c r="Y204" s="475">
        <v>0</v>
      </c>
      <c r="Z204" s="476">
        <v>0</v>
      </c>
      <c r="AA204" s="38">
        <f t="shared" si="78"/>
        <v>0</v>
      </c>
      <c r="AB204" s="692">
        <f t="shared" si="82"/>
        <v>0</v>
      </c>
      <c r="AC204" s="692">
        <f t="shared" si="83"/>
        <v>0</v>
      </c>
      <c r="AD204" s="692">
        <f t="shared" si="84"/>
        <v>0</v>
      </c>
      <c r="AE204" s="38"/>
      <c r="AF204" s="692">
        <f t="shared" si="79"/>
        <v>10000</v>
      </c>
      <c r="AG204" s="692">
        <f t="shared" si="80"/>
        <v>0</v>
      </c>
      <c r="AH204" s="692">
        <f t="shared" si="81"/>
        <v>0</v>
      </c>
      <c r="AJ204" s="38">
        <f t="shared" si="85"/>
        <v>10000</v>
      </c>
    </row>
    <row r="205" spans="1:36" s="627" customFormat="1">
      <c r="A205" s="610"/>
      <c r="B205" s="610" t="s">
        <v>110</v>
      </c>
      <c r="C205" s="667" t="s">
        <v>580</v>
      </c>
      <c r="D205" s="612" t="s">
        <v>476</v>
      </c>
      <c r="E205" s="679"/>
      <c r="F205" s="529">
        <f>VLOOKUP(D205,'Sept 2012 Revenue'!D:T,17,FALSE)</f>
        <v>0</v>
      </c>
      <c r="G205" s="680"/>
      <c r="H205" s="680"/>
      <c r="I205" s="755"/>
      <c r="J205" s="682">
        <f t="shared" si="59"/>
        <v>0</v>
      </c>
      <c r="K205" s="683"/>
      <c r="L205" s="684"/>
      <c r="M205" s="753"/>
      <c r="N205" s="683">
        <v>0</v>
      </c>
      <c r="O205" s="686"/>
      <c r="P205" s="683">
        <v>0</v>
      </c>
      <c r="Q205" s="687">
        <f t="shared" si="58"/>
        <v>0</v>
      </c>
      <c r="R205" s="688">
        <v>0</v>
      </c>
      <c r="S205" s="706"/>
      <c r="T205" s="690">
        <f t="shared" si="60"/>
        <v>0</v>
      </c>
      <c r="U205" s="707"/>
      <c r="V205" s="474">
        <f t="shared" si="75"/>
        <v>0</v>
      </c>
      <c r="W205" s="474">
        <f t="shared" si="76"/>
        <v>0</v>
      </c>
      <c r="X205" s="475">
        <f t="shared" si="77"/>
        <v>0</v>
      </c>
      <c r="Y205" s="475">
        <v>0</v>
      </c>
      <c r="Z205" s="476">
        <v>0</v>
      </c>
      <c r="AA205" s="38">
        <f t="shared" si="78"/>
        <v>0</v>
      </c>
      <c r="AB205" s="692">
        <f t="shared" si="82"/>
        <v>0</v>
      </c>
      <c r="AC205" s="692">
        <f t="shared" si="83"/>
        <v>0</v>
      </c>
      <c r="AD205" s="692">
        <f t="shared" si="84"/>
        <v>0</v>
      </c>
      <c r="AE205" s="38"/>
      <c r="AF205" s="692">
        <f t="shared" si="79"/>
        <v>0</v>
      </c>
      <c r="AG205" s="692">
        <f t="shared" si="80"/>
        <v>0</v>
      </c>
      <c r="AH205" s="692">
        <f t="shared" si="81"/>
        <v>0</v>
      </c>
      <c r="AJ205" s="38">
        <f t="shared" si="85"/>
        <v>0</v>
      </c>
    </row>
    <row r="206" spans="1:36" s="232" customFormat="1">
      <c r="A206" s="283"/>
      <c r="B206" s="283" t="s">
        <v>114</v>
      </c>
      <c r="C206" s="667" t="s">
        <v>580</v>
      </c>
      <c r="D206" s="123" t="s">
        <v>371</v>
      </c>
      <c r="E206" s="679"/>
      <c r="F206" s="529">
        <f>VLOOKUP(D206,'Sept 2012 Revenue'!D:T,17,FALSE)</f>
        <v>716.82999999999993</v>
      </c>
      <c r="G206" s="680"/>
      <c r="H206" s="680"/>
      <c r="I206" s="755"/>
      <c r="J206" s="682">
        <f t="shared" si="59"/>
        <v>716.82999999999993</v>
      </c>
      <c r="K206" s="683"/>
      <c r="L206" s="684"/>
      <c r="M206" s="753"/>
      <c r="N206" s="683">
        <v>0</v>
      </c>
      <c r="O206" s="686"/>
      <c r="P206" s="683">
        <v>0</v>
      </c>
      <c r="Q206" s="687">
        <f t="shared" si="58"/>
        <v>0</v>
      </c>
      <c r="R206" s="688">
        <v>0</v>
      </c>
      <c r="S206" s="693"/>
      <c r="T206" s="690">
        <f t="shared" si="60"/>
        <v>0</v>
      </c>
      <c r="U206" s="683"/>
      <c r="V206" s="474">
        <f t="shared" si="75"/>
        <v>0</v>
      </c>
      <c r="W206" s="474">
        <f t="shared" si="76"/>
        <v>0</v>
      </c>
      <c r="X206" s="475">
        <f t="shared" si="77"/>
        <v>0</v>
      </c>
      <c r="Y206" s="475">
        <v>0</v>
      </c>
      <c r="Z206" s="476">
        <v>0</v>
      </c>
      <c r="AA206" s="38">
        <f t="shared" si="78"/>
        <v>0</v>
      </c>
      <c r="AB206" s="692">
        <f t="shared" si="82"/>
        <v>0</v>
      </c>
      <c r="AC206" s="692">
        <f t="shared" si="83"/>
        <v>0</v>
      </c>
      <c r="AD206" s="692">
        <f t="shared" si="84"/>
        <v>716.82999999999993</v>
      </c>
      <c r="AE206" s="38"/>
      <c r="AF206" s="692">
        <f t="shared" si="79"/>
        <v>0</v>
      </c>
      <c r="AG206" s="692">
        <f t="shared" si="80"/>
        <v>0</v>
      </c>
      <c r="AH206" s="692">
        <f t="shared" si="81"/>
        <v>0</v>
      </c>
      <c r="AJ206" s="38">
        <f t="shared" si="85"/>
        <v>716.82999999999993</v>
      </c>
    </row>
    <row r="207" spans="1:36" s="232" customFormat="1">
      <c r="A207" s="283"/>
      <c r="B207" s="283" t="s">
        <v>110</v>
      </c>
      <c r="C207" s="667" t="s">
        <v>580</v>
      </c>
      <c r="D207" s="123" t="s">
        <v>422</v>
      </c>
      <c r="E207" s="679"/>
      <c r="F207" s="529">
        <f>VLOOKUP(D207,'Sept 2012 Revenue'!D:T,17,FALSE)</f>
        <v>106.61</v>
      </c>
      <c r="G207" s="680"/>
      <c r="H207" s="680"/>
      <c r="I207" s="755"/>
      <c r="J207" s="682">
        <f t="shared" si="59"/>
        <v>106.61</v>
      </c>
      <c r="K207" s="683"/>
      <c r="L207" s="684"/>
      <c r="M207" s="753"/>
      <c r="N207" s="683">
        <v>0</v>
      </c>
      <c r="O207" s="686"/>
      <c r="P207" s="683">
        <v>0</v>
      </c>
      <c r="Q207" s="687">
        <f t="shared" si="58"/>
        <v>0</v>
      </c>
      <c r="R207" s="688">
        <v>0</v>
      </c>
      <c r="S207" s="693"/>
      <c r="T207" s="690">
        <f t="shared" si="60"/>
        <v>0</v>
      </c>
      <c r="U207" s="683"/>
      <c r="V207" s="474">
        <f t="shared" si="75"/>
        <v>0</v>
      </c>
      <c r="W207" s="474">
        <f t="shared" si="76"/>
        <v>0</v>
      </c>
      <c r="X207" s="475">
        <f t="shared" si="77"/>
        <v>0</v>
      </c>
      <c r="Y207" s="475">
        <v>0</v>
      </c>
      <c r="Z207" s="476">
        <v>0</v>
      </c>
      <c r="AA207" s="38">
        <f t="shared" si="78"/>
        <v>0</v>
      </c>
      <c r="AB207" s="692">
        <f t="shared" si="82"/>
        <v>106.61</v>
      </c>
      <c r="AC207" s="692">
        <f t="shared" si="83"/>
        <v>0</v>
      </c>
      <c r="AD207" s="692">
        <f t="shared" si="84"/>
        <v>0</v>
      </c>
      <c r="AE207" s="38"/>
      <c r="AF207" s="692">
        <f t="shared" si="79"/>
        <v>0</v>
      </c>
      <c r="AG207" s="692">
        <f t="shared" si="80"/>
        <v>0</v>
      </c>
      <c r="AH207" s="692">
        <f t="shared" si="81"/>
        <v>0</v>
      </c>
      <c r="AJ207" s="38">
        <f t="shared" si="85"/>
        <v>106.61</v>
      </c>
    </row>
    <row r="208" spans="1:36" s="232" customFormat="1">
      <c r="A208" s="283"/>
      <c r="B208" s="283" t="s">
        <v>110</v>
      </c>
      <c r="C208" s="667" t="s">
        <v>580</v>
      </c>
      <c r="D208" s="123" t="s">
        <v>442</v>
      </c>
      <c r="E208" s="679"/>
      <c r="F208" s="529">
        <f>VLOOKUP(D208,'Sept 2012 Revenue'!D:T,17,FALSE)</f>
        <v>5270.9899999999907</v>
      </c>
      <c r="G208" s="680"/>
      <c r="H208" s="680"/>
      <c r="I208" s="755"/>
      <c r="J208" s="682">
        <f t="shared" si="59"/>
        <v>5270.9899999999907</v>
      </c>
      <c r="K208" s="683"/>
      <c r="L208" s="684">
        <v>432184</v>
      </c>
      <c r="M208" s="753"/>
      <c r="N208" s="683">
        <v>0</v>
      </c>
      <c r="O208" s="686"/>
      <c r="P208" s="683">
        <v>0</v>
      </c>
      <c r="Q208" s="687">
        <f t="shared" si="58"/>
        <v>432184</v>
      </c>
      <c r="R208" s="688">
        <v>436017.06</v>
      </c>
      <c r="S208" s="693"/>
      <c r="T208" s="690">
        <f t="shared" si="60"/>
        <v>3833.0599999999977</v>
      </c>
      <c r="U208" s="683"/>
      <c r="V208" s="474">
        <f t="shared" si="75"/>
        <v>432184</v>
      </c>
      <c r="W208" s="474">
        <f t="shared" si="76"/>
        <v>0</v>
      </c>
      <c r="X208" s="475">
        <f t="shared" si="77"/>
        <v>0</v>
      </c>
      <c r="Y208" s="475">
        <v>0</v>
      </c>
      <c r="Z208" s="476">
        <v>0</v>
      </c>
      <c r="AA208" s="38">
        <f t="shared" si="78"/>
        <v>0</v>
      </c>
      <c r="AB208" s="692">
        <f t="shared" si="82"/>
        <v>5270.9899999999907</v>
      </c>
      <c r="AC208" s="692">
        <f t="shared" si="83"/>
        <v>0</v>
      </c>
      <c r="AD208" s="692">
        <f t="shared" si="84"/>
        <v>0</v>
      </c>
      <c r="AE208" s="38"/>
      <c r="AF208" s="692">
        <f t="shared" si="79"/>
        <v>432184</v>
      </c>
      <c r="AG208" s="692">
        <f t="shared" si="80"/>
        <v>0</v>
      </c>
      <c r="AH208" s="692">
        <f t="shared" si="81"/>
        <v>0</v>
      </c>
      <c r="AJ208" s="38">
        <f t="shared" si="85"/>
        <v>437454.99</v>
      </c>
    </row>
    <row r="209" spans="1:36">
      <c r="A209" s="21" t="s">
        <v>97</v>
      </c>
      <c r="B209" s="21" t="s">
        <v>109</v>
      </c>
      <c r="C209" s="666"/>
      <c r="D209" s="68" t="s">
        <v>381</v>
      </c>
      <c r="E209" s="679"/>
      <c r="F209" s="529">
        <f>VLOOKUP(D209,'Sept 2012 Revenue'!D:T,17,FALSE)</f>
        <v>0</v>
      </c>
      <c r="G209" s="680"/>
      <c r="H209" s="680"/>
      <c r="I209" s="755"/>
      <c r="J209" s="682">
        <f t="shared" si="59"/>
        <v>0</v>
      </c>
      <c r="K209" s="683"/>
      <c r="L209" s="684"/>
      <c r="M209" s="753"/>
      <c r="N209" s="683">
        <v>0</v>
      </c>
      <c r="O209" s="686"/>
      <c r="P209" s="683">
        <v>0</v>
      </c>
      <c r="Q209" s="687">
        <f t="shared" si="58"/>
        <v>0</v>
      </c>
      <c r="R209" s="688">
        <v>0</v>
      </c>
      <c r="S209" s="693"/>
      <c r="T209" s="690">
        <f t="shared" si="60"/>
        <v>0</v>
      </c>
      <c r="U209" s="683"/>
      <c r="V209" s="474">
        <f t="shared" si="75"/>
        <v>0</v>
      </c>
      <c r="W209" s="474">
        <f t="shared" si="76"/>
        <v>0</v>
      </c>
      <c r="X209" s="475">
        <f t="shared" si="77"/>
        <v>0</v>
      </c>
      <c r="Y209" s="475">
        <v>0</v>
      </c>
      <c r="Z209" s="476">
        <v>0</v>
      </c>
      <c r="AA209" s="38">
        <f t="shared" si="78"/>
        <v>0</v>
      </c>
      <c r="AB209" s="692">
        <f t="shared" si="82"/>
        <v>0</v>
      </c>
      <c r="AC209" s="692">
        <f t="shared" si="83"/>
        <v>0</v>
      </c>
      <c r="AD209" s="692">
        <f t="shared" si="84"/>
        <v>0</v>
      </c>
      <c r="AE209" s="38"/>
      <c r="AF209" s="692">
        <f t="shared" si="79"/>
        <v>0</v>
      </c>
      <c r="AG209" s="692">
        <f t="shared" si="80"/>
        <v>0</v>
      </c>
      <c r="AH209" s="692">
        <f t="shared" si="81"/>
        <v>0</v>
      </c>
      <c r="AJ209" s="38">
        <f t="shared" si="85"/>
        <v>0</v>
      </c>
    </row>
    <row r="210" spans="1:36">
      <c r="A210" s="21" t="s">
        <v>97</v>
      </c>
      <c r="B210" s="21" t="s">
        <v>114</v>
      </c>
      <c r="C210" s="666"/>
      <c r="D210" s="68" t="s">
        <v>376</v>
      </c>
      <c r="E210" s="679"/>
      <c r="F210" s="529">
        <f>VLOOKUP(D210,'Sept 2012 Revenue'!D:T,17,FALSE)</f>
        <v>0</v>
      </c>
      <c r="G210" s="680"/>
      <c r="H210" s="680"/>
      <c r="I210" s="755"/>
      <c r="J210" s="682">
        <f t="shared" si="59"/>
        <v>0</v>
      </c>
      <c r="K210" s="683"/>
      <c r="L210" s="684"/>
      <c r="M210" s="753"/>
      <c r="N210" s="683">
        <v>0</v>
      </c>
      <c r="O210" s="686"/>
      <c r="P210" s="683">
        <v>0</v>
      </c>
      <c r="Q210" s="687">
        <f t="shared" ref="Q210:Q224" si="86">L210+M210</f>
        <v>0</v>
      </c>
      <c r="R210" s="688">
        <v>0</v>
      </c>
      <c r="S210" s="693"/>
      <c r="T210" s="690">
        <f t="shared" si="60"/>
        <v>0</v>
      </c>
      <c r="U210" s="683"/>
      <c r="V210" s="474">
        <f t="shared" si="75"/>
        <v>0</v>
      </c>
      <c r="W210" s="474">
        <f t="shared" si="76"/>
        <v>0</v>
      </c>
      <c r="X210" s="475">
        <f t="shared" si="77"/>
        <v>0</v>
      </c>
      <c r="Y210" s="475">
        <v>0</v>
      </c>
      <c r="Z210" s="476">
        <v>0</v>
      </c>
      <c r="AA210" s="38">
        <f t="shared" si="78"/>
        <v>0</v>
      </c>
      <c r="AB210" s="692">
        <f t="shared" si="82"/>
        <v>0</v>
      </c>
      <c r="AC210" s="692">
        <f t="shared" si="83"/>
        <v>0</v>
      </c>
      <c r="AD210" s="692">
        <f t="shared" si="84"/>
        <v>0</v>
      </c>
      <c r="AE210" s="38"/>
      <c r="AF210" s="692">
        <f t="shared" si="79"/>
        <v>0</v>
      </c>
      <c r="AG210" s="692">
        <f t="shared" si="80"/>
        <v>0</v>
      </c>
      <c r="AH210" s="692">
        <f t="shared" si="81"/>
        <v>0</v>
      </c>
      <c r="AJ210" s="38">
        <f t="shared" si="85"/>
        <v>0</v>
      </c>
    </row>
    <row r="211" spans="1:36">
      <c r="A211" s="20"/>
      <c r="B211" s="20" t="s">
        <v>110</v>
      </c>
      <c r="C211" s="667"/>
      <c r="D211" s="68" t="s">
        <v>390</v>
      </c>
      <c r="E211" s="679"/>
      <c r="F211" s="529">
        <f>VLOOKUP(D211,'Sept 2012 Revenue'!D:T,17,FALSE)</f>
        <v>0</v>
      </c>
      <c r="G211" s="680"/>
      <c r="H211" s="680"/>
      <c r="I211" s="755"/>
      <c r="J211" s="682">
        <f t="shared" si="59"/>
        <v>0</v>
      </c>
      <c r="K211" s="683"/>
      <c r="L211" s="684"/>
      <c r="M211" s="753"/>
      <c r="N211" s="683">
        <v>0</v>
      </c>
      <c r="O211" s="686"/>
      <c r="P211" s="683">
        <v>0</v>
      </c>
      <c r="Q211" s="687">
        <f t="shared" si="86"/>
        <v>0</v>
      </c>
      <c r="R211" s="688">
        <v>0</v>
      </c>
      <c r="S211" s="693"/>
      <c r="T211" s="690">
        <f t="shared" si="60"/>
        <v>0</v>
      </c>
      <c r="U211" s="683"/>
      <c r="V211" s="474">
        <f t="shared" si="75"/>
        <v>0</v>
      </c>
      <c r="W211" s="474">
        <f t="shared" si="76"/>
        <v>0</v>
      </c>
      <c r="X211" s="475">
        <f t="shared" si="77"/>
        <v>0</v>
      </c>
      <c r="Y211" s="475">
        <v>0</v>
      </c>
      <c r="Z211" s="476">
        <v>0</v>
      </c>
      <c r="AA211" s="38">
        <f t="shared" si="78"/>
        <v>0</v>
      </c>
      <c r="AB211" s="692">
        <f t="shared" si="82"/>
        <v>0</v>
      </c>
      <c r="AC211" s="692">
        <f t="shared" si="83"/>
        <v>0</v>
      </c>
      <c r="AD211" s="692">
        <f t="shared" si="84"/>
        <v>0</v>
      </c>
      <c r="AE211" s="38"/>
      <c r="AF211" s="692">
        <f t="shared" si="79"/>
        <v>0</v>
      </c>
      <c r="AG211" s="692">
        <f t="shared" si="80"/>
        <v>0</v>
      </c>
      <c r="AH211" s="692">
        <f t="shared" si="81"/>
        <v>0</v>
      </c>
      <c r="AJ211" s="38">
        <f t="shared" si="85"/>
        <v>0</v>
      </c>
    </row>
    <row r="212" spans="1:36">
      <c r="A212" s="20"/>
      <c r="B212" s="20" t="s">
        <v>110</v>
      </c>
      <c r="C212" s="667" t="s">
        <v>581</v>
      </c>
      <c r="D212" s="123" t="s">
        <v>166</v>
      </c>
      <c r="E212" s="679"/>
      <c r="F212" s="529">
        <f>VLOOKUP(D212,'Sept 2012 Revenue'!D:T,17,FALSE)</f>
        <v>0</v>
      </c>
      <c r="G212" s="680"/>
      <c r="H212" s="680"/>
      <c r="I212" s="755"/>
      <c r="J212" s="682">
        <f t="shared" ref="J212:J224" si="87">SUM(E212:I212)</f>
        <v>0</v>
      </c>
      <c r="K212" s="683"/>
      <c r="L212" s="684"/>
      <c r="M212" s="753"/>
      <c r="N212" s="683">
        <v>0</v>
      </c>
      <c r="O212" s="686"/>
      <c r="P212" s="683">
        <v>0</v>
      </c>
      <c r="Q212" s="687">
        <f t="shared" si="86"/>
        <v>0</v>
      </c>
      <c r="R212" s="688">
        <v>0</v>
      </c>
      <c r="S212" s="693"/>
      <c r="T212" s="690">
        <f t="shared" ref="T212:T224" si="88">IF(R212="","",R212-Q212)</f>
        <v>0</v>
      </c>
      <c r="U212" s="683"/>
      <c r="V212" s="474">
        <f t="shared" si="75"/>
        <v>0</v>
      </c>
      <c r="W212" s="474">
        <f t="shared" si="76"/>
        <v>0</v>
      </c>
      <c r="X212" s="475">
        <f t="shared" si="77"/>
        <v>0</v>
      </c>
      <c r="Y212" s="475">
        <v>0</v>
      </c>
      <c r="Z212" s="476">
        <v>0</v>
      </c>
      <c r="AA212" s="38">
        <f t="shared" si="78"/>
        <v>0</v>
      </c>
      <c r="AB212" s="692">
        <f t="shared" si="82"/>
        <v>0</v>
      </c>
      <c r="AC212" s="692">
        <f t="shared" si="83"/>
        <v>0</v>
      </c>
      <c r="AD212" s="692">
        <f t="shared" si="84"/>
        <v>0</v>
      </c>
      <c r="AE212" s="38"/>
      <c r="AF212" s="692">
        <f t="shared" si="79"/>
        <v>0</v>
      </c>
      <c r="AG212" s="692">
        <f t="shared" si="80"/>
        <v>0</v>
      </c>
      <c r="AH212" s="692">
        <f t="shared" si="81"/>
        <v>0</v>
      </c>
      <c r="AJ212" s="38">
        <f t="shared" si="85"/>
        <v>0</v>
      </c>
    </row>
    <row r="213" spans="1:36">
      <c r="A213" s="20"/>
      <c r="B213" s="20" t="s">
        <v>109</v>
      </c>
      <c r="C213" s="667" t="s">
        <v>581</v>
      </c>
      <c r="D213" s="123" t="s">
        <v>165</v>
      </c>
      <c r="E213" s="679"/>
      <c r="F213" s="529">
        <f>VLOOKUP(D213,'Sept 2012 Revenue'!D:T,17,FALSE)</f>
        <v>0</v>
      </c>
      <c r="G213" s="680"/>
      <c r="H213" s="680"/>
      <c r="I213" s="755"/>
      <c r="J213" s="682">
        <f t="shared" si="87"/>
        <v>0</v>
      </c>
      <c r="K213" s="683"/>
      <c r="L213" s="684"/>
      <c r="M213" s="753"/>
      <c r="N213" s="683">
        <v>0</v>
      </c>
      <c r="O213" s="686"/>
      <c r="P213" s="683">
        <v>0</v>
      </c>
      <c r="Q213" s="687">
        <f t="shared" si="86"/>
        <v>0</v>
      </c>
      <c r="R213" s="688">
        <v>0</v>
      </c>
      <c r="S213" s="693"/>
      <c r="T213" s="690">
        <f t="shared" si="88"/>
        <v>0</v>
      </c>
      <c r="U213" s="683"/>
      <c r="V213" s="474">
        <f t="shared" si="75"/>
        <v>0</v>
      </c>
      <c r="W213" s="474">
        <f t="shared" si="76"/>
        <v>0</v>
      </c>
      <c r="X213" s="475">
        <f t="shared" si="77"/>
        <v>0</v>
      </c>
      <c r="Y213" s="475">
        <v>0</v>
      </c>
      <c r="Z213" s="476">
        <v>0</v>
      </c>
      <c r="AA213" s="38">
        <f t="shared" ref="AA213:AA224" si="89">(L213+M213)-(V213+W213+X213+Y213+Z213)</f>
        <v>0</v>
      </c>
      <c r="AB213" s="692">
        <f t="shared" si="82"/>
        <v>0</v>
      </c>
      <c r="AC213" s="692">
        <f t="shared" si="83"/>
        <v>0</v>
      </c>
      <c r="AD213" s="692">
        <f t="shared" si="84"/>
        <v>0</v>
      </c>
      <c r="AE213" s="38"/>
      <c r="AF213" s="692">
        <f t="shared" ref="AF213:AF224" si="90">IF(B213="D",Q213,0)</f>
        <v>0</v>
      </c>
      <c r="AG213" s="692">
        <f t="shared" ref="AG213:AG224" si="91">IF(B213="M",Q213,0)</f>
        <v>0</v>
      </c>
      <c r="AH213" s="692">
        <f t="shared" ref="AH213:AH224" si="92">IF(B213="V",Q213,0)</f>
        <v>0</v>
      </c>
      <c r="AJ213" s="38">
        <f t="shared" si="85"/>
        <v>0</v>
      </c>
    </row>
    <row r="214" spans="1:36">
      <c r="A214" s="20"/>
      <c r="B214" s="20" t="s">
        <v>109</v>
      </c>
      <c r="C214" s="667"/>
      <c r="D214" s="123" t="s">
        <v>310</v>
      </c>
      <c r="E214" s="679"/>
      <c r="F214" s="529">
        <f>VLOOKUP(D214,'Sept 2012 Revenue'!D:T,17,FALSE)</f>
        <v>0</v>
      </c>
      <c r="G214" s="680"/>
      <c r="H214" s="680"/>
      <c r="I214" s="755"/>
      <c r="J214" s="682">
        <f t="shared" si="87"/>
        <v>0</v>
      </c>
      <c r="K214" s="683"/>
      <c r="L214" s="684"/>
      <c r="M214" s="753"/>
      <c r="N214" s="683">
        <v>0</v>
      </c>
      <c r="O214" s="686"/>
      <c r="P214" s="683">
        <v>0</v>
      </c>
      <c r="Q214" s="687">
        <f t="shared" si="86"/>
        <v>0</v>
      </c>
      <c r="R214" s="688">
        <v>0</v>
      </c>
      <c r="S214" s="693"/>
      <c r="T214" s="690">
        <f t="shared" si="88"/>
        <v>0</v>
      </c>
      <c r="U214" s="683"/>
      <c r="V214" s="474">
        <f t="shared" ref="V214:V224" si="93">IF(B214="D",Q214,0)</f>
        <v>0</v>
      </c>
      <c r="W214" s="474">
        <f t="shared" ref="W214:W224" si="94">IF(B214="M",Q214,0)</f>
        <v>0</v>
      </c>
      <c r="X214" s="475">
        <f t="shared" ref="X214:X224" si="95">IF(B214="V",Q214,0)</f>
        <v>0</v>
      </c>
      <c r="Y214" s="475">
        <v>0</v>
      </c>
      <c r="Z214" s="476">
        <v>0</v>
      </c>
      <c r="AA214" s="38">
        <f t="shared" si="89"/>
        <v>0</v>
      </c>
      <c r="AB214" s="692">
        <f t="shared" ref="AB214:AB224" si="96">IF(B214="D",J214,0)</f>
        <v>0</v>
      </c>
      <c r="AC214" s="692">
        <f t="shared" ref="AC214:AC224" si="97">IF(B214="M",J214,0)</f>
        <v>0</v>
      </c>
      <c r="AD214" s="692">
        <f t="shared" ref="AD214:AD224" si="98">IF(B214="V",J214,0)</f>
        <v>0</v>
      </c>
      <c r="AE214" s="38"/>
      <c r="AF214" s="692">
        <f t="shared" si="90"/>
        <v>0</v>
      </c>
      <c r="AG214" s="692">
        <f t="shared" si="91"/>
        <v>0</v>
      </c>
      <c r="AH214" s="692">
        <f t="shared" si="92"/>
        <v>0</v>
      </c>
      <c r="AJ214" s="38">
        <f t="shared" ref="AJ214:AJ224" si="99">SUM(AB214:AH214)</f>
        <v>0</v>
      </c>
    </row>
    <row r="215" spans="1:36">
      <c r="A215" s="20"/>
      <c r="B215" s="20" t="s">
        <v>109</v>
      </c>
      <c r="C215" s="667"/>
      <c r="D215" s="123" t="s">
        <v>441</v>
      </c>
      <c r="E215" s="679"/>
      <c r="F215" s="529">
        <f>VLOOKUP(D215,'Sept 2012 Revenue'!D:T,17,FALSE)</f>
        <v>0</v>
      </c>
      <c r="G215" s="680"/>
      <c r="H215" s="680"/>
      <c r="I215" s="755"/>
      <c r="J215" s="682">
        <f t="shared" si="87"/>
        <v>0</v>
      </c>
      <c r="K215" s="683"/>
      <c r="L215" s="684"/>
      <c r="M215" s="753"/>
      <c r="N215" s="683">
        <v>0</v>
      </c>
      <c r="O215" s="686"/>
      <c r="P215" s="683">
        <v>0</v>
      </c>
      <c r="Q215" s="687">
        <f t="shared" si="86"/>
        <v>0</v>
      </c>
      <c r="R215" s="688">
        <v>0</v>
      </c>
      <c r="S215" s="693"/>
      <c r="T215" s="690">
        <f t="shared" si="88"/>
        <v>0</v>
      </c>
      <c r="U215" s="683"/>
      <c r="V215" s="474">
        <f t="shared" si="93"/>
        <v>0</v>
      </c>
      <c r="W215" s="474">
        <f t="shared" si="94"/>
        <v>0</v>
      </c>
      <c r="X215" s="475">
        <f t="shared" si="95"/>
        <v>0</v>
      </c>
      <c r="Y215" s="475">
        <v>0</v>
      </c>
      <c r="Z215" s="476">
        <v>0</v>
      </c>
      <c r="AA215" s="38">
        <f t="shared" si="89"/>
        <v>0</v>
      </c>
      <c r="AB215" s="692">
        <f t="shared" si="96"/>
        <v>0</v>
      </c>
      <c r="AC215" s="692">
        <f t="shared" si="97"/>
        <v>0</v>
      </c>
      <c r="AD215" s="692">
        <f t="shared" si="98"/>
        <v>0</v>
      </c>
      <c r="AE215" s="38"/>
      <c r="AF215" s="692">
        <f t="shared" si="90"/>
        <v>0</v>
      </c>
      <c r="AG215" s="692">
        <f t="shared" si="91"/>
        <v>0</v>
      </c>
      <c r="AH215" s="692">
        <f t="shared" si="92"/>
        <v>0</v>
      </c>
      <c r="AJ215" s="38">
        <f t="shared" si="99"/>
        <v>0</v>
      </c>
    </row>
    <row r="216" spans="1:36">
      <c r="A216" s="20"/>
      <c r="B216" s="20" t="s">
        <v>109</v>
      </c>
      <c r="C216" s="667"/>
      <c r="D216" s="68" t="s">
        <v>121</v>
      </c>
      <c r="E216" s="679"/>
      <c r="F216" s="529">
        <f>VLOOKUP(D216,'Sept 2012 Revenue'!D:T,17,FALSE)</f>
        <v>0</v>
      </c>
      <c r="G216" s="680"/>
      <c r="H216" s="680"/>
      <c r="I216" s="755"/>
      <c r="J216" s="682">
        <f t="shared" si="87"/>
        <v>0</v>
      </c>
      <c r="K216" s="683"/>
      <c r="L216" s="684"/>
      <c r="M216" s="753"/>
      <c r="N216" s="683">
        <v>0</v>
      </c>
      <c r="O216" s="686"/>
      <c r="P216" s="683">
        <v>0</v>
      </c>
      <c r="Q216" s="687">
        <f t="shared" si="86"/>
        <v>0</v>
      </c>
      <c r="R216" s="688">
        <v>0</v>
      </c>
      <c r="S216" s="693"/>
      <c r="T216" s="690">
        <f t="shared" si="88"/>
        <v>0</v>
      </c>
      <c r="U216" s="683"/>
      <c r="V216" s="474">
        <f t="shared" si="93"/>
        <v>0</v>
      </c>
      <c r="W216" s="474">
        <f t="shared" si="94"/>
        <v>0</v>
      </c>
      <c r="X216" s="475">
        <f t="shared" si="95"/>
        <v>0</v>
      </c>
      <c r="Y216" s="475">
        <v>0</v>
      </c>
      <c r="Z216" s="476">
        <v>0</v>
      </c>
      <c r="AA216" s="38">
        <f t="shared" si="89"/>
        <v>0</v>
      </c>
      <c r="AB216" s="692">
        <f t="shared" si="96"/>
        <v>0</v>
      </c>
      <c r="AC216" s="692">
        <f t="shared" si="97"/>
        <v>0</v>
      </c>
      <c r="AD216" s="692">
        <f t="shared" si="98"/>
        <v>0</v>
      </c>
      <c r="AE216" s="38"/>
      <c r="AF216" s="692">
        <f t="shared" si="90"/>
        <v>0</v>
      </c>
      <c r="AG216" s="692">
        <f t="shared" si="91"/>
        <v>0</v>
      </c>
      <c r="AH216" s="692">
        <f t="shared" si="92"/>
        <v>0</v>
      </c>
      <c r="AJ216" s="38">
        <f t="shared" si="99"/>
        <v>0</v>
      </c>
    </row>
    <row r="217" spans="1:36">
      <c r="A217" s="20"/>
      <c r="B217" s="20" t="s">
        <v>110</v>
      </c>
      <c r="C217" s="667"/>
      <c r="D217" s="68" t="s">
        <v>168</v>
      </c>
      <c r="E217" s="679"/>
      <c r="F217" s="529">
        <f>VLOOKUP(D217,'Sept 2012 Revenue'!D:T,17,FALSE)</f>
        <v>0</v>
      </c>
      <c r="G217" s="680"/>
      <c r="H217" s="680"/>
      <c r="I217" s="755"/>
      <c r="J217" s="682">
        <f t="shared" si="87"/>
        <v>0</v>
      </c>
      <c r="K217" s="683"/>
      <c r="L217" s="684"/>
      <c r="M217" s="753"/>
      <c r="N217" s="683">
        <v>0</v>
      </c>
      <c r="O217" s="686"/>
      <c r="P217" s="683">
        <v>0</v>
      </c>
      <c r="Q217" s="687">
        <f t="shared" si="86"/>
        <v>0</v>
      </c>
      <c r="R217" s="688">
        <v>0</v>
      </c>
      <c r="S217" s="693"/>
      <c r="T217" s="690">
        <f t="shared" si="88"/>
        <v>0</v>
      </c>
      <c r="U217" s="683"/>
      <c r="V217" s="474">
        <f t="shared" si="93"/>
        <v>0</v>
      </c>
      <c r="W217" s="474">
        <f t="shared" si="94"/>
        <v>0</v>
      </c>
      <c r="X217" s="475">
        <f t="shared" si="95"/>
        <v>0</v>
      </c>
      <c r="Y217" s="475">
        <v>0</v>
      </c>
      <c r="Z217" s="476">
        <v>0</v>
      </c>
      <c r="AA217" s="38">
        <f t="shared" si="89"/>
        <v>0</v>
      </c>
      <c r="AB217" s="692">
        <f t="shared" si="96"/>
        <v>0</v>
      </c>
      <c r="AC217" s="692">
        <f t="shared" si="97"/>
        <v>0</v>
      </c>
      <c r="AD217" s="692">
        <f t="shared" si="98"/>
        <v>0</v>
      </c>
      <c r="AE217" s="38"/>
      <c r="AF217" s="692">
        <f t="shared" si="90"/>
        <v>0</v>
      </c>
      <c r="AG217" s="692">
        <f t="shared" si="91"/>
        <v>0</v>
      </c>
      <c r="AH217" s="692">
        <f t="shared" si="92"/>
        <v>0</v>
      </c>
      <c r="AJ217" s="38">
        <f t="shared" si="99"/>
        <v>0</v>
      </c>
    </row>
    <row r="218" spans="1:36">
      <c r="A218" s="20"/>
      <c r="B218" s="20" t="s">
        <v>109</v>
      </c>
      <c r="C218" s="667" t="s">
        <v>582</v>
      </c>
      <c r="D218" s="68" t="s">
        <v>167</v>
      </c>
      <c r="E218" s="679"/>
      <c r="F218" s="529">
        <f>VLOOKUP(D218,'Sept 2012 Revenue'!D:T,17,FALSE)</f>
        <v>0</v>
      </c>
      <c r="G218" s="680"/>
      <c r="H218" s="680"/>
      <c r="I218" s="755"/>
      <c r="J218" s="682">
        <f t="shared" si="87"/>
        <v>0</v>
      </c>
      <c r="K218" s="683"/>
      <c r="L218" s="684"/>
      <c r="M218" s="753"/>
      <c r="N218" s="683">
        <v>0</v>
      </c>
      <c r="O218" s="686"/>
      <c r="P218" s="683">
        <v>0</v>
      </c>
      <c r="Q218" s="687">
        <f t="shared" si="86"/>
        <v>0</v>
      </c>
      <c r="R218" s="688">
        <v>0</v>
      </c>
      <c r="S218" s="693"/>
      <c r="T218" s="690">
        <f t="shared" si="88"/>
        <v>0</v>
      </c>
      <c r="U218" s="683"/>
      <c r="V218" s="474">
        <f t="shared" si="93"/>
        <v>0</v>
      </c>
      <c r="W218" s="474">
        <f t="shared" si="94"/>
        <v>0</v>
      </c>
      <c r="X218" s="475">
        <f t="shared" si="95"/>
        <v>0</v>
      </c>
      <c r="Y218" s="475">
        <v>0</v>
      </c>
      <c r="Z218" s="476">
        <v>0</v>
      </c>
      <c r="AA218" s="38">
        <f t="shared" si="89"/>
        <v>0</v>
      </c>
      <c r="AB218" s="692">
        <f t="shared" si="96"/>
        <v>0</v>
      </c>
      <c r="AC218" s="692">
        <f t="shared" si="97"/>
        <v>0</v>
      </c>
      <c r="AD218" s="692">
        <f t="shared" si="98"/>
        <v>0</v>
      </c>
      <c r="AE218" s="38"/>
      <c r="AF218" s="692">
        <f t="shared" si="90"/>
        <v>0</v>
      </c>
      <c r="AG218" s="692">
        <f t="shared" si="91"/>
        <v>0</v>
      </c>
      <c r="AH218" s="692">
        <f t="shared" si="92"/>
        <v>0</v>
      </c>
      <c r="AJ218" s="38">
        <f t="shared" si="99"/>
        <v>0</v>
      </c>
    </row>
    <row r="219" spans="1:36">
      <c r="A219" s="20" t="s">
        <v>218</v>
      </c>
      <c r="B219" s="20" t="s">
        <v>110</v>
      </c>
      <c r="C219" s="667"/>
      <c r="D219" s="68" t="s">
        <v>60</v>
      </c>
      <c r="E219" s="679"/>
      <c r="F219" s="529">
        <f>VLOOKUP(D219,'Sept 2012 Revenue'!D:T,17,FALSE)</f>
        <v>-8000</v>
      </c>
      <c r="G219" s="680"/>
      <c r="H219" s="680"/>
      <c r="I219" s="755"/>
      <c r="J219" s="682">
        <f t="shared" si="87"/>
        <v>-8000</v>
      </c>
      <c r="K219" s="683"/>
      <c r="L219" s="684"/>
      <c r="M219" s="753">
        <v>10000</v>
      </c>
      <c r="N219" s="683">
        <v>0</v>
      </c>
      <c r="O219" s="686"/>
      <c r="P219" s="683">
        <v>0</v>
      </c>
      <c r="Q219" s="687">
        <f t="shared" si="86"/>
        <v>10000</v>
      </c>
      <c r="R219" s="688">
        <f>2328.4+7822.45</f>
        <v>10150.85</v>
      </c>
      <c r="S219" s="693"/>
      <c r="T219" s="690">
        <f t="shared" si="88"/>
        <v>150.85000000000036</v>
      </c>
      <c r="U219" s="697"/>
      <c r="V219" s="474">
        <f t="shared" si="93"/>
        <v>10000</v>
      </c>
      <c r="W219" s="474">
        <f t="shared" si="94"/>
        <v>0</v>
      </c>
      <c r="X219" s="475">
        <f t="shared" si="95"/>
        <v>0</v>
      </c>
      <c r="Y219" s="475">
        <v>0</v>
      </c>
      <c r="Z219" s="476">
        <v>0</v>
      </c>
      <c r="AA219" s="38">
        <f t="shared" si="89"/>
        <v>0</v>
      </c>
      <c r="AB219" s="692">
        <f t="shared" si="96"/>
        <v>-8000</v>
      </c>
      <c r="AC219" s="692">
        <f t="shared" si="97"/>
        <v>0</v>
      </c>
      <c r="AD219" s="692">
        <f t="shared" si="98"/>
        <v>0</v>
      </c>
      <c r="AE219" s="38"/>
      <c r="AF219" s="692">
        <f t="shared" si="90"/>
        <v>10000</v>
      </c>
      <c r="AG219" s="692">
        <f t="shared" si="91"/>
        <v>0</v>
      </c>
      <c r="AH219" s="692">
        <f t="shared" si="92"/>
        <v>0</v>
      </c>
      <c r="AJ219" s="38">
        <f t="shared" si="99"/>
        <v>2000</v>
      </c>
    </row>
    <row r="220" spans="1:36">
      <c r="A220" s="20"/>
      <c r="B220" s="20" t="s">
        <v>110</v>
      </c>
      <c r="C220" s="667" t="s">
        <v>583</v>
      </c>
      <c r="D220" s="68" t="s">
        <v>169</v>
      </c>
      <c r="E220" s="679">
        <v>193.28</v>
      </c>
      <c r="F220" s="529">
        <f>VLOOKUP(D220,'Sept 2012 Revenue'!D:T,17,FALSE)</f>
        <v>192.27</v>
      </c>
      <c r="G220" s="680"/>
      <c r="H220" s="680"/>
      <c r="I220" s="770">
        <v>197.06</v>
      </c>
      <c r="J220" s="682">
        <f t="shared" si="87"/>
        <v>582.61</v>
      </c>
      <c r="K220" s="683"/>
      <c r="L220" s="684"/>
      <c r="M220" s="753"/>
      <c r="N220" s="683">
        <v>0</v>
      </c>
      <c r="O220" s="686"/>
      <c r="P220" s="683">
        <v>0</v>
      </c>
      <c r="Q220" s="687">
        <f t="shared" si="86"/>
        <v>0</v>
      </c>
      <c r="R220" s="688">
        <v>0</v>
      </c>
      <c r="S220" s="693"/>
      <c r="T220" s="690">
        <f t="shared" si="88"/>
        <v>0</v>
      </c>
      <c r="U220" s="683"/>
      <c r="V220" s="474">
        <f t="shared" si="93"/>
        <v>0</v>
      </c>
      <c r="W220" s="474">
        <f t="shared" si="94"/>
        <v>0</v>
      </c>
      <c r="X220" s="475">
        <f t="shared" si="95"/>
        <v>0</v>
      </c>
      <c r="Y220" s="475">
        <v>0</v>
      </c>
      <c r="Z220" s="476">
        <v>0</v>
      </c>
      <c r="AA220" s="38">
        <f t="shared" si="89"/>
        <v>0</v>
      </c>
      <c r="AB220" s="692">
        <f t="shared" si="96"/>
        <v>582.61</v>
      </c>
      <c r="AC220" s="692">
        <f t="shared" si="97"/>
        <v>0</v>
      </c>
      <c r="AD220" s="692">
        <f t="shared" si="98"/>
        <v>0</v>
      </c>
      <c r="AE220" s="38"/>
      <c r="AF220" s="692">
        <f t="shared" si="90"/>
        <v>0</v>
      </c>
      <c r="AG220" s="692">
        <f t="shared" si="91"/>
        <v>0</v>
      </c>
      <c r="AH220" s="692">
        <f t="shared" si="92"/>
        <v>0</v>
      </c>
      <c r="AJ220" s="38">
        <f t="shared" si="99"/>
        <v>582.61</v>
      </c>
    </row>
    <row r="221" spans="1:36">
      <c r="A221" s="21"/>
      <c r="B221" s="21" t="s">
        <v>110</v>
      </c>
      <c r="C221" s="666"/>
      <c r="D221" s="68" t="s">
        <v>590</v>
      </c>
      <c r="E221" s="679"/>
      <c r="F221" s="529">
        <f>VLOOKUP(D221,'Sept 2012 Revenue'!D:T,17,FALSE)</f>
        <v>0</v>
      </c>
      <c r="G221" s="680"/>
      <c r="H221" s="680"/>
      <c r="I221" s="755"/>
      <c r="J221" s="682">
        <f t="shared" si="87"/>
        <v>0</v>
      </c>
      <c r="K221" s="683"/>
      <c r="L221" s="684"/>
      <c r="M221" s="753"/>
      <c r="N221" s="683">
        <v>0</v>
      </c>
      <c r="O221" s="686"/>
      <c r="P221" s="683">
        <v>0</v>
      </c>
      <c r="Q221" s="687">
        <f t="shared" si="86"/>
        <v>0</v>
      </c>
      <c r="R221" s="688">
        <v>0</v>
      </c>
      <c r="S221" s="693"/>
      <c r="T221" s="690">
        <f t="shared" si="88"/>
        <v>0</v>
      </c>
      <c r="U221" s="683"/>
      <c r="V221" s="474">
        <f t="shared" si="93"/>
        <v>0</v>
      </c>
      <c r="W221" s="474">
        <f t="shared" si="94"/>
        <v>0</v>
      </c>
      <c r="X221" s="475">
        <f t="shared" si="95"/>
        <v>0</v>
      </c>
      <c r="Y221" s="475">
        <v>0</v>
      </c>
      <c r="Z221" s="476">
        <v>0</v>
      </c>
      <c r="AA221" s="38">
        <f t="shared" si="89"/>
        <v>0</v>
      </c>
      <c r="AB221" s="692">
        <f t="shared" si="96"/>
        <v>0</v>
      </c>
      <c r="AC221" s="692">
        <f t="shared" si="97"/>
        <v>0</v>
      </c>
      <c r="AD221" s="692">
        <f t="shared" si="98"/>
        <v>0</v>
      </c>
      <c r="AE221" s="38"/>
      <c r="AF221" s="692">
        <f t="shared" si="90"/>
        <v>0</v>
      </c>
      <c r="AG221" s="692">
        <f t="shared" si="91"/>
        <v>0</v>
      </c>
      <c r="AH221" s="692">
        <f t="shared" si="92"/>
        <v>0</v>
      </c>
      <c r="AJ221" s="38">
        <f t="shared" si="99"/>
        <v>0</v>
      </c>
    </row>
    <row r="222" spans="1:36">
      <c r="A222" s="21"/>
      <c r="B222" s="21" t="s">
        <v>114</v>
      </c>
      <c r="C222" s="666"/>
      <c r="D222" s="68" t="s">
        <v>591</v>
      </c>
      <c r="E222" s="679"/>
      <c r="F222" s="529">
        <f>VLOOKUP(D222,'Sept 2012 Revenue'!D:T,17,FALSE)</f>
        <v>2586.5700000000002</v>
      </c>
      <c r="G222" s="680"/>
      <c r="H222" s="680"/>
      <c r="I222" s="755"/>
      <c r="J222" s="682">
        <f t="shared" si="87"/>
        <v>2586.5700000000002</v>
      </c>
      <c r="K222" s="683"/>
      <c r="L222" s="684"/>
      <c r="M222" s="753"/>
      <c r="N222" s="683">
        <v>0</v>
      </c>
      <c r="O222" s="686"/>
      <c r="P222" s="683">
        <v>0</v>
      </c>
      <c r="Q222" s="687">
        <f t="shared" si="86"/>
        <v>0</v>
      </c>
      <c r="R222" s="688">
        <f>895.04+1471.38+392.07</f>
        <v>2758.4900000000002</v>
      </c>
      <c r="S222" s="693"/>
      <c r="T222" s="690">
        <f t="shared" si="88"/>
        <v>2758.4900000000002</v>
      </c>
      <c r="U222" s="683"/>
      <c r="V222" s="474">
        <f t="shared" si="93"/>
        <v>0</v>
      </c>
      <c r="W222" s="474">
        <f t="shared" si="94"/>
        <v>0</v>
      </c>
      <c r="X222" s="475">
        <f t="shared" si="95"/>
        <v>0</v>
      </c>
      <c r="Y222" s="475">
        <v>0</v>
      </c>
      <c r="Z222" s="476">
        <v>0</v>
      </c>
      <c r="AA222" s="38">
        <f t="shared" si="89"/>
        <v>0</v>
      </c>
      <c r="AB222" s="692">
        <f t="shared" si="96"/>
        <v>0</v>
      </c>
      <c r="AC222" s="692">
        <f t="shared" si="97"/>
        <v>0</v>
      </c>
      <c r="AD222" s="692">
        <f t="shared" si="98"/>
        <v>2586.5700000000002</v>
      </c>
      <c r="AE222" s="38"/>
      <c r="AF222" s="692">
        <f t="shared" si="90"/>
        <v>0</v>
      </c>
      <c r="AG222" s="692">
        <f t="shared" si="91"/>
        <v>0</v>
      </c>
      <c r="AH222" s="692">
        <f t="shared" si="92"/>
        <v>0</v>
      </c>
      <c r="AJ222" s="38">
        <f t="shared" si="99"/>
        <v>2586.5700000000002</v>
      </c>
    </row>
    <row r="223" spans="1:36">
      <c r="A223" s="21"/>
      <c r="B223" s="21" t="s">
        <v>114</v>
      </c>
      <c r="C223" s="672"/>
      <c r="D223" s="519" t="s">
        <v>433</v>
      </c>
      <c r="E223" s="679"/>
      <c r="F223" s="529">
        <f>VLOOKUP(D223,'Sept 2012 Revenue'!D:T,17,FALSE)</f>
        <v>0</v>
      </c>
      <c r="G223" s="680"/>
      <c r="H223" s="680"/>
      <c r="I223" s="755"/>
      <c r="J223" s="682">
        <f t="shared" si="87"/>
        <v>0</v>
      </c>
      <c r="K223" s="683"/>
      <c r="L223" s="684"/>
      <c r="M223" s="753"/>
      <c r="N223" s="683">
        <v>0</v>
      </c>
      <c r="O223" s="686"/>
      <c r="P223" s="683">
        <v>0</v>
      </c>
      <c r="Q223" s="687">
        <f t="shared" si="86"/>
        <v>0</v>
      </c>
      <c r="R223" s="688">
        <v>0</v>
      </c>
      <c r="S223" s="693"/>
      <c r="T223" s="690">
        <f t="shared" si="88"/>
        <v>0</v>
      </c>
      <c r="U223" s="683"/>
      <c r="V223" s="474">
        <f t="shared" si="93"/>
        <v>0</v>
      </c>
      <c r="W223" s="474">
        <f t="shared" si="94"/>
        <v>0</v>
      </c>
      <c r="X223" s="475">
        <f t="shared" si="95"/>
        <v>0</v>
      </c>
      <c r="Y223" s="475">
        <v>0</v>
      </c>
      <c r="Z223" s="476">
        <v>0</v>
      </c>
      <c r="AA223" s="38">
        <f t="shared" si="89"/>
        <v>0</v>
      </c>
      <c r="AB223" s="692">
        <f t="shared" si="96"/>
        <v>0</v>
      </c>
      <c r="AC223" s="692">
        <v>-0.99</v>
      </c>
      <c r="AD223" s="692">
        <v>0.99</v>
      </c>
      <c r="AE223" s="38"/>
      <c r="AF223" s="692">
        <f t="shared" si="90"/>
        <v>0</v>
      </c>
      <c r="AG223" s="692">
        <f t="shared" si="91"/>
        <v>0</v>
      </c>
      <c r="AH223" s="692">
        <f t="shared" si="92"/>
        <v>0</v>
      </c>
      <c r="AJ223" s="38">
        <f t="shared" si="99"/>
        <v>0</v>
      </c>
    </row>
    <row r="224" spans="1:36" s="146" customFormat="1" ht="13" thickBot="1">
      <c r="A224" s="21"/>
      <c r="B224" s="21" t="s">
        <v>110</v>
      </c>
      <c r="C224" s="666"/>
      <c r="D224" s="68" t="s">
        <v>593</v>
      </c>
      <c r="E224" s="679">
        <v>30.14</v>
      </c>
      <c r="F224" s="529">
        <f>VLOOKUP(D224,'Aug 2012 Revenue'!D:T,17,FALSE)</f>
        <v>0</v>
      </c>
      <c r="G224" s="680"/>
      <c r="H224" s="680"/>
      <c r="I224" s="755"/>
      <c r="J224" s="682">
        <f t="shared" si="87"/>
        <v>30.14</v>
      </c>
      <c r="K224" s="683"/>
      <c r="L224" s="684"/>
      <c r="M224" s="753"/>
      <c r="N224" s="683">
        <v>0</v>
      </c>
      <c r="O224" s="686"/>
      <c r="P224" s="683">
        <v>0</v>
      </c>
      <c r="Q224" s="687">
        <f t="shared" si="86"/>
        <v>0</v>
      </c>
      <c r="R224" s="688">
        <v>0</v>
      </c>
      <c r="S224" s="693"/>
      <c r="T224" s="690">
        <f t="shared" si="88"/>
        <v>0</v>
      </c>
      <c r="U224" s="683"/>
      <c r="V224" s="474">
        <f t="shared" si="93"/>
        <v>0</v>
      </c>
      <c r="W224" s="474">
        <f t="shared" si="94"/>
        <v>0</v>
      </c>
      <c r="X224" s="475">
        <f t="shared" si="95"/>
        <v>0</v>
      </c>
      <c r="Y224" s="475">
        <v>0</v>
      </c>
      <c r="Z224" s="476">
        <v>0</v>
      </c>
      <c r="AA224" s="38">
        <f t="shared" si="89"/>
        <v>0</v>
      </c>
      <c r="AB224" s="692">
        <f t="shared" si="96"/>
        <v>30.14</v>
      </c>
      <c r="AC224" s="692">
        <f t="shared" si="97"/>
        <v>0</v>
      </c>
      <c r="AD224" s="692">
        <f t="shared" si="98"/>
        <v>0</v>
      </c>
      <c r="AE224" s="38"/>
      <c r="AF224" s="692">
        <f t="shared" si="90"/>
        <v>0</v>
      </c>
      <c r="AG224" s="692">
        <f t="shared" si="91"/>
        <v>0</v>
      </c>
      <c r="AH224" s="692">
        <f t="shared" si="92"/>
        <v>0</v>
      </c>
      <c r="AJ224" s="38">
        <f t="shared" si="99"/>
        <v>30.14</v>
      </c>
    </row>
    <row r="225" spans="1:36" ht="13" thickBot="1">
      <c r="A225" s="107"/>
      <c r="B225" s="108"/>
      <c r="C225" s="673"/>
      <c r="D225" s="71" t="s">
        <v>86</v>
      </c>
      <c r="E225" s="454">
        <f t="shared" ref="E225:J225" si="100">SUM(E16:E224)</f>
        <v>191409.41000000006</v>
      </c>
      <c r="F225" s="454">
        <f t="shared" si="100"/>
        <v>-432481.20850800007</v>
      </c>
      <c r="G225" s="454">
        <f t="shared" si="100"/>
        <v>0</v>
      </c>
      <c r="H225" s="454">
        <f t="shared" si="100"/>
        <v>0</v>
      </c>
      <c r="I225" s="454">
        <f t="shared" si="100"/>
        <v>5623052.9900000002</v>
      </c>
      <c r="J225" s="454">
        <f t="shared" si="100"/>
        <v>5381981.1914920025</v>
      </c>
      <c r="K225" s="454"/>
      <c r="L225" s="454">
        <f>SUM(L16:L224)</f>
        <v>432184</v>
      </c>
      <c r="M225" s="454">
        <f>SUM(M16:M224)</f>
        <v>2764000</v>
      </c>
      <c r="N225" s="454">
        <f>SUM(N16:N224)</f>
        <v>0</v>
      </c>
      <c r="O225" s="100">
        <f>SUM(O16:O224)</f>
        <v>0</v>
      </c>
      <c r="P225" s="157">
        <f>SUM(P17:P224)</f>
        <v>0</v>
      </c>
      <c r="Q225" s="100">
        <f>SUM(Q16:Q224)</f>
        <v>3196184</v>
      </c>
      <c r="R225" s="100">
        <f>SUM(R16:R224)</f>
        <v>2618608.2800000003</v>
      </c>
      <c r="S225" s="708"/>
      <c r="T225" s="100">
        <f>SUM(T16:T224)</f>
        <v>-577575.72000000009</v>
      </c>
      <c r="U225" s="683"/>
      <c r="V225" s="314">
        <f>SUM(V16:V224)</f>
        <v>2802184</v>
      </c>
      <c r="W225" s="314">
        <f>SUM(W16:W224)</f>
        <v>347000</v>
      </c>
      <c r="X225" s="314">
        <f>SUM(X16:X224)</f>
        <v>47000</v>
      </c>
      <c r="Y225" s="314">
        <f>SUM(Y16:Y224)</f>
        <v>0</v>
      </c>
      <c r="Z225" s="314">
        <f>SUM(Z16:Z224)</f>
        <v>0</v>
      </c>
      <c r="AA225" s="38"/>
      <c r="AB225" s="314">
        <f>SUM(AB16:AB224)</f>
        <v>5251810.2500000028</v>
      </c>
      <c r="AC225" s="314">
        <f>SUM(AC16:AC224)</f>
        <v>106712.241492</v>
      </c>
      <c r="AD225" s="314">
        <f>SUM(AD16:AD224)</f>
        <v>23458.7</v>
      </c>
      <c r="AE225" s="38"/>
      <c r="AF225" s="314">
        <f>SUM(AF16:AF224)</f>
        <v>2802184</v>
      </c>
      <c r="AG225" s="314">
        <f>SUM(AG16:AG224)</f>
        <v>347000</v>
      </c>
      <c r="AH225" s="314">
        <f>SUM(AH16:AH224)</f>
        <v>47000</v>
      </c>
    </row>
    <row r="226" spans="1:36" ht="13" thickBot="1">
      <c r="A226" s="65"/>
      <c r="B226" s="65"/>
      <c r="C226" s="674"/>
      <c r="D226" s="141"/>
      <c r="E226" s="709" t="s">
        <v>293</v>
      </c>
      <c r="F226" s="160">
        <f>F225-E225</f>
        <v>-623890.61850800016</v>
      </c>
      <c r="G226" s="153"/>
      <c r="H226" s="153" t="s">
        <v>225</v>
      </c>
      <c r="I226" s="153">
        <f>I225+H225+G225</f>
        <v>5623052.9900000002</v>
      </c>
      <c r="J226" s="323"/>
      <c r="K226" s="153"/>
      <c r="L226" s="153" t="s">
        <v>296</v>
      </c>
      <c r="M226" s="100">
        <f>M225+L225</f>
        <v>3196184</v>
      </c>
      <c r="N226" s="153"/>
      <c r="O226" s="641"/>
      <c r="P226" s="153"/>
      <c r="Q226" s="153"/>
      <c r="R226" s="153"/>
      <c r="S226" s="153"/>
      <c r="T226" s="153"/>
      <c r="U226" s="153"/>
      <c r="V226" s="139"/>
      <c r="W226" s="139"/>
      <c r="X226" s="139"/>
      <c r="Y226" s="139"/>
      <c r="Z226" s="104"/>
      <c r="AA226" s="38"/>
      <c r="AB226" s="711"/>
      <c r="AC226" s="711"/>
      <c r="AD226" s="711"/>
      <c r="AE226" s="38"/>
      <c r="AF226" s="38"/>
      <c r="AG226" s="38"/>
      <c r="AH226" s="38"/>
    </row>
    <row r="227" spans="1:36" ht="13" thickBot="1">
      <c r="A227" s="65"/>
      <c r="B227" s="65"/>
      <c r="C227" s="674"/>
      <c r="E227" s="159"/>
      <c r="F227" s="153"/>
      <c r="G227" s="153"/>
      <c r="H227" s="153"/>
      <c r="I227" s="153"/>
      <c r="J227" s="153"/>
      <c r="K227" s="153"/>
      <c r="L227" s="153"/>
      <c r="M227" s="710"/>
      <c r="N227" s="153"/>
      <c r="O227" s="153"/>
      <c r="P227" s="153"/>
      <c r="Q227" s="153"/>
      <c r="R227" s="153"/>
      <c r="S227" s="153"/>
      <c r="T227" s="153"/>
      <c r="U227" s="153"/>
      <c r="V227" s="331" t="s">
        <v>345</v>
      </c>
      <c r="W227" s="139"/>
      <c r="X227" s="139"/>
      <c r="Y227" s="139"/>
      <c r="Z227" s="104"/>
      <c r="AA227" s="164" t="s">
        <v>633</v>
      </c>
      <c r="AB227" s="139">
        <v>-30971.16</v>
      </c>
      <c r="AC227" s="139"/>
      <c r="AD227" s="139">
        <f>-SUM(AB227)</f>
        <v>30971.16</v>
      </c>
      <c r="AE227" s="38"/>
      <c r="AF227" s="711"/>
      <c r="AG227" s="711"/>
      <c r="AH227" s="711"/>
    </row>
    <row r="228" spans="1:36" ht="17" thickTop="1" thickBot="1">
      <c r="E228" s="712"/>
      <c r="F228" s="713"/>
      <c r="G228" s="714"/>
      <c r="H228" s="715"/>
      <c r="I228" s="715"/>
      <c r="J228" s="164"/>
      <c r="K228" s="169"/>
      <c r="L228" s="233"/>
      <c r="M228" s="233"/>
      <c r="N228" s="38"/>
      <c r="O228" s="642"/>
      <c r="P228" s="139"/>
      <c r="Q228" s="139"/>
      <c r="R228" s="33"/>
      <c r="S228" s="33"/>
      <c r="T228" s="33"/>
      <c r="U228" s="169"/>
      <c r="V228" s="332"/>
      <c r="W228" s="333"/>
      <c r="X228" s="491"/>
      <c r="Y228" s="491"/>
      <c r="Z228" s="334"/>
      <c r="AA228" s="164" t="s">
        <v>634</v>
      </c>
      <c r="AB228" s="139">
        <v>-175993.31</v>
      </c>
      <c r="AC228" s="139"/>
      <c r="AD228" s="139">
        <f>-SUM(AB228)</f>
        <v>175993.31</v>
      </c>
      <c r="AE228" s="38"/>
      <c r="AF228" s="38"/>
      <c r="AG228" s="38"/>
      <c r="AH228" s="38"/>
    </row>
    <row r="229" spans="1:36" ht="17" thickBot="1">
      <c r="E229" s="712"/>
      <c r="F229" s="713"/>
      <c r="G229" s="714"/>
      <c r="H229" s="715"/>
      <c r="J229" s="79">
        <f>J225</f>
        <v>5381981.1914920025</v>
      </c>
      <c r="K229" s="715" t="s">
        <v>864</v>
      </c>
      <c r="L229" s="169"/>
      <c r="M229" s="493"/>
      <c r="N229" s="38"/>
      <c r="O229" s="80"/>
      <c r="P229" s="104"/>
      <c r="Q229" s="139"/>
      <c r="R229" s="33"/>
      <c r="S229" s="33"/>
      <c r="T229" s="33"/>
      <c r="U229" s="169"/>
      <c r="V229" s="487"/>
      <c r="W229" s="488"/>
      <c r="X229" s="492" t="s">
        <v>399</v>
      </c>
      <c r="Y229" s="492" t="s">
        <v>400</v>
      </c>
      <c r="Z229" s="488"/>
      <c r="AA229" s="717" t="s">
        <v>475</v>
      </c>
      <c r="AB229" s="718">
        <f>SUM(AB225:AB228)</f>
        <v>5044845.7800000031</v>
      </c>
      <c r="AC229" s="718">
        <f>AC225</f>
        <v>106712.241492</v>
      </c>
      <c r="AD229" s="718">
        <f>SUM(AD225:AD228)</f>
        <v>230423.16999999998</v>
      </c>
      <c r="AE229" s="718"/>
      <c r="AF229" s="718">
        <f>AF225</f>
        <v>2802184</v>
      </c>
      <c r="AG229" s="718">
        <f>AG225</f>
        <v>347000</v>
      </c>
      <c r="AH229" s="719">
        <f>AH225</f>
        <v>47000</v>
      </c>
      <c r="AJ229" s="38">
        <f>SUM(AJ17:AJ228)</f>
        <v>8578165.1914920025</v>
      </c>
    </row>
    <row r="230" spans="1:36" ht="15" thickBot="1">
      <c r="D230" s="143"/>
      <c r="E230" s="759"/>
      <c r="F230" s="713"/>
      <c r="G230" s="714"/>
      <c r="H230" s="720"/>
      <c r="J230" s="750">
        <f>SUM('June GL'!H2)</f>
        <v>0</v>
      </c>
      <c r="K230" s="757" t="s">
        <v>251</v>
      </c>
      <c r="L230" s="722"/>
      <c r="M230" s="642"/>
      <c r="N230" s="33"/>
      <c r="O230" s="80"/>
      <c r="P230" s="104"/>
      <c r="Q230" s="139"/>
      <c r="R230" s="33"/>
      <c r="S230" s="33"/>
      <c r="T230" s="33"/>
      <c r="U230" s="169"/>
      <c r="V230" s="158" t="s">
        <v>609</v>
      </c>
      <c r="W230" s="104" t="s">
        <v>352</v>
      </c>
      <c r="X230" s="104">
        <f>V225+W225+X225</f>
        <v>3196184</v>
      </c>
      <c r="Y230" s="104"/>
      <c r="Z230" s="136"/>
      <c r="AA230" s="723"/>
      <c r="AB230" s="38"/>
      <c r="AC230" s="38"/>
      <c r="AD230" s="38"/>
      <c r="AE230" s="38"/>
      <c r="AF230" s="38"/>
      <c r="AG230" s="38"/>
      <c r="AH230" s="38"/>
    </row>
    <row r="231" spans="1:36" ht="15" thickTop="1">
      <c r="D231" s="143"/>
      <c r="E231" s="712"/>
      <c r="F231" s="713"/>
      <c r="G231" s="714"/>
      <c r="H231" s="714" t="s">
        <v>249</v>
      </c>
      <c r="J231" s="173">
        <f>J230+J229</f>
        <v>5381981.1914920025</v>
      </c>
      <c r="K231" s="714" t="s">
        <v>454</v>
      </c>
      <c r="L231" s="722"/>
      <c r="M231" s="80"/>
      <c r="N231" s="104"/>
      <c r="O231" s="173"/>
      <c r="P231" s="104"/>
      <c r="Q231" s="139"/>
      <c r="R231" s="139"/>
      <c r="S231" s="139"/>
      <c r="T231" s="139"/>
      <c r="U231" s="169"/>
      <c r="V231" s="158"/>
      <c r="W231" s="104"/>
      <c r="X231" s="104"/>
      <c r="Y231" s="104"/>
      <c r="Z231" s="136"/>
      <c r="AA231" s="723"/>
      <c r="AB231" s="38"/>
      <c r="AC231" s="38"/>
      <c r="AD231" s="38" t="s">
        <v>86</v>
      </c>
      <c r="AE231" s="38"/>
      <c r="AF231" s="233">
        <f>SUM(AB229+AF229)</f>
        <v>7847029.7800000031</v>
      </c>
      <c r="AG231" s="233">
        <f t="shared" ref="AG231:AH231" si="101">SUM(AC229+AG229)</f>
        <v>453712.241492</v>
      </c>
      <c r="AH231" s="233">
        <f t="shared" si="101"/>
        <v>277423.17</v>
      </c>
    </row>
    <row r="232" spans="1:36" ht="14">
      <c r="D232" s="143"/>
      <c r="E232" s="712"/>
      <c r="F232" s="713">
        <f>'Sept 2012 Revenue'!M223+F226</f>
        <v>2577617.5414920002</v>
      </c>
      <c r="G232" s="714"/>
      <c r="H232" s="714"/>
      <c r="J232" s="80"/>
      <c r="K232" s="714"/>
      <c r="L232" s="722"/>
      <c r="M232" s="104"/>
      <c r="N232" s="38"/>
      <c r="O232" s="139"/>
      <c r="P232" s="104"/>
      <c r="Q232" s="139"/>
      <c r="R232" s="139"/>
      <c r="S232" s="139"/>
      <c r="T232" s="139"/>
      <c r="U232" s="169"/>
      <c r="V232" s="158" t="s">
        <v>600</v>
      </c>
      <c r="W232" s="104" t="s">
        <v>355</v>
      </c>
      <c r="X232" s="104"/>
      <c r="Y232" s="104">
        <f>V225</f>
        <v>2802184</v>
      </c>
      <c r="Z232" s="136"/>
      <c r="AA232" s="38"/>
      <c r="AB232" s="752"/>
      <c r="AC232" s="38"/>
      <c r="AD232" s="38"/>
      <c r="AE232" s="38"/>
      <c r="AF232" s="233"/>
      <c r="AG232" s="233"/>
      <c r="AH232" s="233"/>
    </row>
    <row r="233" spans="1:36" ht="15" thickBot="1">
      <c r="D233" s="143" t="s">
        <v>823</v>
      </c>
      <c r="E233" s="712"/>
      <c r="F233" s="713"/>
      <c r="G233" s="714"/>
      <c r="H233" s="714"/>
      <c r="J233" s="661">
        <f>M226</f>
        <v>3196184</v>
      </c>
      <c r="K233" s="714" t="s">
        <v>865</v>
      </c>
      <c r="L233" s="645"/>
      <c r="M233" s="173"/>
      <c r="N233" s="38"/>
      <c r="O233" s="139"/>
      <c r="P233" s="104"/>
      <c r="Q233" s="139"/>
      <c r="R233" s="726"/>
      <c r="S233" s="139"/>
      <c r="T233" s="727"/>
      <c r="U233" s="169"/>
      <c r="V233" s="158"/>
      <c r="W233" s="104" t="s">
        <v>356</v>
      </c>
      <c r="X233" s="104"/>
      <c r="Y233" s="104">
        <f>Y225</f>
        <v>0</v>
      </c>
      <c r="Z233" s="136"/>
      <c r="AA233" s="38"/>
      <c r="AB233" s="38"/>
      <c r="AC233" s="38"/>
      <c r="AD233" s="38"/>
      <c r="AE233" s="38"/>
      <c r="AG233" s="233">
        <f>SUM(AF231:AH231)</f>
        <v>8578165.1914920043</v>
      </c>
      <c r="AH233" s="233"/>
    </row>
    <row r="234" spans="1:36" ht="16" thickTop="1" thickBot="1">
      <c r="D234" s="143"/>
      <c r="E234" s="712"/>
      <c r="F234" s="713"/>
      <c r="G234" s="714"/>
      <c r="H234" s="714"/>
      <c r="J234" s="173">
        <v>0</v>
      </c>
      <c r="K234" s="714"/>
      <c r="L234" s="722"/>
      <c r="M234" s="173"/>
      <c r="N234" s="38"/>
      <c r="O234" s="33"/>
      <c r="P234" s="38"/>
      <c r="Q234" s="139"/>
      <c r="R234" s="139"/>
      <c r="S234" s="139"/>
      <c r="T234" s="139"/>
      <c r="U234" s="169"/>
      <c r="V234" s="158"/>
      <c r="W234" s="104"/>
      <c r="X234" s="104"/>
      <c r="Y234" s="104"/>
      <c r="Z234" s="136"/>
      <c r="AA234" s="38"/>
      <c r="AB234" s="38"/>
      <c r="AC234" s="38"/>
      <c r="AD234" s="38"/>
      <c r="AE234" s="38"/>
    </row>
    <row r="235" spans="1:36" ht="15" thickBot="1">
      <c r="E235" s="712"/>
      <c r="F235" s="713"/>
      <c r="G235" s="714"/>
      <c r="H235" s="714"/>
      <c r="J235" s="754">
        <f>J229+J233</f>
        <v>8578165.1914920025</v>
      </c>
      <c r="K235" s="714" t="s">
        <v>866</v>
      </c>
      <c r="L235" s="722"/>
      <c r="M235" s="173"/>
      <c r="N235" s="38"/>
      <c r="O235" s="33"/>
      <c r="P235" s="38"/>
      <c r="Q235" s="139"/>
      <c r="R235" s="139"/>
      <c r="S235" s="139"/>
      <c r="T235" s="139"/>
      <c r="U235" s="169"/>
      <c r="V235" s="158" t="s">
        <v>601</v>
      </c>
      <c r="W235" s="104" t="s">
        <v>357</v>
      </c>
      <c r="X235" s="104"/>
      <c r="Y235" s="104">
        <f>W225</f>
        <v>347000</v>
      </c>
      <c r="Z235" s="136"/>
      <c r="AA235" s="38"/>
      <c r="AB235" s="38"/>
      <c r="AC235" s="38"/>
      <c r="AD235" s="38"/>
      <c r="AE235" s="38"/>
      <c r="AF235" s="796" t="s">
        <v>857</v>
      </c>
      <c r="AG235" s="38">
        <f>AG233-AH231</f>
        <v>8300742.0214920044</v>
      </c>
      <c r="AH235" s="38"/>
    </row>
    <row r="236" spans="1:36">
      <c r="E236" s="712"/>
      <c r="F236" s="713"/>
      <c r="G236" s="714"/>
      <c r="H236" s="714"/>
      <c r="J236" s="637"/>
      <c r="K236" s="714"/>
      <c r="L236" s="173"/>
      <c r="M236" s="731"/>
      <c r="N236" s="38"/>
      <c r="O236" s="33"/>
      <c r="P236" s="38"/>
      <c r="Q236" s="139"/>
      <c r="R236" s="139"/>
      <c r="S236" s="139"/>
      <c r="T236" s="139"/>
      <c r="U236" s="169"/>
      <c r="V236" s="415"/>
      <c r="W236" s="104" t="s">
        <v>358</v>
      </c>
      <c r="X236" s="104"/>
      <c r="Y236" s="104">
        <f>Z225</f>
        <v>0</v>
      </c>
      <c r="Z236" s="136"/>
      <c r="AA236" s="38"/>
      <c r="AB236" s="38"/>
      <c r="AC236" s="38"/>
      <c r="AD236" s="38"/>
      <c r="AE236" s="38"/>
      <c r="AF236" s="38"/>
      <c r="AG236" s="38"/>
      <c r="AH236" s="38"/>
    </row>
    <row r="237" spans="1:36">
      <c r="E237" s="712"/>
      <c r="F237" s="713"/>
      <c r="G237" s="714"/>
      <c r="H237" s="714"/>
      <c r="J237" s="658">
        <f>SUM(AB229:AH229)</f>
        <v>8578165.1914920025</v>
      </c>
      <c r="K237" s="714" t="s">
        <v>518</v>
      </c>
      <c r="L237" s="732"/>
      <c r="M237" s="637"/>
      <c r="N237" s="38"/>
      <c r="O237" s="33"/>
      <c r="P237" s="38"/>
      <c r="Q237" s="139"/>
      <c r="R237" s="139"/>
      <c r="S237" s="139"/>
      <c r="T237" s="139"/>
      <c r="U237" s="169"/>
      <c r="V237" s="415"/>
      <c r="W237" s="104"/>
      <c r="X237" s="104"/>
      <c r="Y237" s="104"/>
      <c r="Z237" s="136"/>
      <c r="AA237" s="38"/>
      <c r="AB237" s="38"/>
      <c r="AC237" s="38"/>
      <c r="AD237" s="38"/>
      <c r="AE237" s="38"/>
      <c r="AF237" s="38"/>
      <c r="AG237" s="38"/>
      <c r="AH237" s="38"/>
    </row>
    <row r="238" spans="1:36" ht="13" thickBot="1">
      <c r="E238" s="712"/>
      <c r="F238" s="713"/>
      <c r="G238" s="714"/>
      <c r="H238" s="714"/>
      <c r="J238" s="169"/>
      <c r="K238" s="714" t="s">
        <v>454</v>
      </c>
      <c r="L238" s="733"/>
      <c r="M238" s="795"/>
      <c r="N238" s="38"/>
      <c r="O238" s="33"/>
      <c r="P238" s="38"/>
      <c r="Q238" s="139"/>
      <c r="R238" s="139"/>
      <c r="S238" s="139"/>
      <c r="T238" s="139"/>
      <c r="U238" s="169"/>
      <c r="V238" s="158" t="s">
        <v>602</v>
      </c>
      <c r="W238" s="488" t="s">
        <v>359</v>
      </c>
      <c r="X238" s="488"/>
      <c r="Y238" s="488">
        <f>X225</f>
        <v>47000</v>
      </c>
      <c r="Z238" s="414"/>
      <c r="AA238" s="38"/>
      <c r="AB238" s="38"/>
      <c r="AC238" s="38"/>
      <c r="AD238" s="38"/>
      <c r="AE238" s="38"/>
      <c r="AF238" s="38"/>
      <c r="AG238" s="38"/>
      <c r="AH238" s="38"/>
    </row>
    <row r="239" spans="1:36" ht="15" thickBot="1">
      <c r="E239" s="712"/>
      <c r="F239" s="713"/>
      <c r="G239" s="714"/>
      <c r="H239" s="714"/>
      <c r="J239" s="736"/>
      <c r="K239" s="714" t="s">
        <v>519</v>
      </c>
      <c r="L239" s="169"/>
      <c r="M239" s="169"/>
      <c r="N239" s="38"/>
      <c r="O239" s="33"/>
      <c r="P239" s="38"/>
      <c r="Q239" s="33"/>
      <c r="R239" s="33"/>
      <c r="S239" s="33"/>
      <c r="T239" s="33"/>
      <c r="U239" s="169"/>
      <c r="V239" s="416"/>
      <c r="W239" s="104"/>
      <c r="X239" s="80">
        <f>SUM(X230:X238)</f>
        <v>3196184</v>
      </c>
      <c r="Y239" s="80">
        <f>SUM(Y230:Y238)</f>
        <v>3196184</v>
      </c>
      <c r="Z239" s="136"/>
      <c r="AA239" s="38"/>
      <c r="AB239" s="38"/>
      <c r="AC239" s="38"/>
      <c r="AD239" s="38"/>
      <c r="AE239" s="38"/>
      <c r="AF239" s="38"/>
      <c r="AG239" s="38"/>
      <c r="AH239" s="38"/>
    </row>
    <row r="240" spans="1:36">
      <c r="E240" s="712"/>
      <c r="F240" s="713"/>
      <c r="G240" s="714"/>
      <c r="H240" s="714"/>
      <c r="I240" s="714"/>
      <c r="J240" s="169"/>
      <c r="K240" s="169"/>
      <c r="L240" s="169"/>
      <c r="M240" s="169"/>
      <c r="N240" s="38"/>
      <c r="O240" s="33"/>
      <c r="P240" s="38"/>
      <c r="Q240" s="33"/>
      <c r="R240" s="33"/>
      <c r="S240" s="33"/>
      <c r="T240" s="33"/>
      <c r="U240" s="169"/>
      <c r="V240" s="416"/>
      <c r="W240" s="104"/>
      <c r="X240" s="104"/>
      <c r="Y240" s="104"/>
      <c r="Z240" s="136"/>
      <c r="AA240" s="38"/>
      <c r="AB240" s="38"/>
      <c r="AC240" s="38"/>
      <c r="AD240" s="38"/>
      <c r="AE240" s="38"/>
      <c r="AF240" s="38"/>
      <c r="AG240" s="38"/>
      <c r="AH240" s="38"/>
    </row>
    <row r="241" spans="5:34" ht="13" thickBot="1">
      <c r="E241" s="712"/>
      <c r="F241" s="713"/>
      <c r="G241" s="714"/>
      <c r="H241" s="714"/>
      <c r="I241" s="714"/>
      <c r="J241" s="169"/>
      <c r="K241" s="169"/>
      <c r="L241" s="169"/>
      <c r="M241" s="169"/>
      <c r="N241" s="38"/>
      <c r="O241" s="33"/>
      <c r="P241" s="38"/>
      <c r="Q241" s="33"/>
      <c r="R241" s="33"/>
      <c r="S241" s="33"/>
      <c r="T241" s="33"/>
      <c r="U241" s="169"/>
      <c r="V241" s="330"/>
      <c r="W241" s="279"/>
      <c r="X241" s="279"/>
      <c r="Y241" s="279"/>
      <c r="Z241" s="280"/>
      <c r="AA241" s="38"/>
      <c r="AB241" s="38"/>
      <c r="AC241" s="38"/>
      <c r="AD241" s="38"/>
      <c r="AE241" s="38"/>
      <c r="AF241" s="38"/>
      <c r="AG241" s="38"/>
      <c r="AH241" s="38"/>
    </row>
    <row r="242" spans="5:34">
      <c r="E242" s="712"/>
      <c r="F242" s="713"/>
      <c r="G242" s="714"/>
      <c r="H242" s="714"/>
      <c r="I242" s="714"/>
      <c r="J242" s="169"/>
      <c r="K242" s="169"/>
      <c r="L242" s="169"/>
      <c r="M242" s="169"/>
      <c r="N242" s="38"/>
      <c r="O242" s="33"/>
      <c r="P242" s="38"/>
      <c r="Q242" s="33"/>
      <c r="R242" s="33"/>
      <c r="S242" s="33"/>
      <c r="T242" s="33"/>
      <c r="U242" s="169"/>
      <c r="V242" s="104"/>
      <c r="W242" s="104"/>
      <c r="X242" s="104"/>
      <c r="Y242" s="104"/>
      <c r="Z242" s="104"/>
      <c r="AA242" s="38"/>
      <c r="AB242" s="38"/>
      <c r="AC242" s="38"/>
      <c r="AD242" s="38"/>
      <c r="AE242" s="38"/>
      <c r="AF242" s="38"/>
      <c r="AG242" s="38"/>
      <c r="AH242" s="38"/>
    </row>
    <row r="243" spans="5:34">
      <c r="E243" s="712"/>
      <c r="F243" s="713"/>
      <c r="G243" s="714"/>
      <c r="H243" s="714"/>
      <c r="I243" s="714"/>
      <c r="J243" s="169"/>
      <c r="K243" s="169"/>
      <c r="L243" s="169"/>
      <c r="M243" s="169"/>
      <c r="N243" s="38"/>
      <c r="O243" s="33"/>
      <c r="P243" s="38"/>
      <c r="Q243" s="33"/>
      <c r="R243" s="33"/>
      <c r="S243" s="33"/>
      <c r="T243" s="33"/>
      <c r="U243" s="169"/>
      <c r="AA243" s="38"/>
      <c r="AB243" s="38"/>
      <c r="AC243" s="38"/>
      <c r="AD243" s="38"/>
      <c r="AE243" s="38"/>
      <c r="AF243" s="38"/>
      <c r="AG243" s="38"/>
      <c r="AH243" s="38"/>
    </row>
    <row r="244" spans="5:34">
      <c r="E244" s="712"/>
      <c r="F244" s="713"/>
      <c r="G244" s="714"/>
      <c r="H244" s="714"/>
      <c r="I244" s="714"/>
      <c r="J244" s="169"/>
      <c r="K244" s="169"/>
      <c r="L244" s="169"/>
      <c r="M244" s="169"/>
      <c r="N244" s="38"/>
      <c r="O244" s="33"/>
      <c r="P244" s="38"/>
      <c r="Q244" s="33"/>
      <c r="R244" s="33"/>
      <c r="S244" s="33"/>
      <c r="T244" s="33"/>
      <c r="U244" s="169"/>
      <c r="AA244" s="38"/>
      <c r="AB244" s="38"/>
      <c r="AC244" s="38"/>
      <c r="AD244" s="38"/>
      <c r="AE244" s="38"/>
      <c r="AF244" s="38"/>
      <c r="AG244" s="38"/>
      <c r="AH244" s="38"/>
    </row>
    <row r="245" spans="5:34">
      <c r="E245" s="712"/>
      <c r="F245" s="713"/>
      <c r="G245" s="714"/>
      <c r="H245" s="714"/>
      <c r="I245" s="714"/>
      <c r="J245" s="169"/>
      <c r="K245" s="169"/>
      <c r="L245" s="169"/>
      <c r="M245" s="169"/>
      <c r="N245" s="38"/>
      <c r="O245" s="33"/>
      <c r="P245" s="38"/>
      <c r="Q245" s="33"/>
      <c r="R245" s="33"/>
      <c r="S245" s="33"/>
      <c r="T245" s="33"/>
      <c r="U245" s="169"/>
      <c r="AA245" s="38"/>
      <c r="AB245" s="38"/>
      <c r="AC245" s="38"/>
      <c r="AD245" s="38"/>
      <c r="AE245" s="38"/>
      <c r="AF245" s="38"/>
      <c r="AG245" s="38"/>
      <c r="AH245" s="38"/>
    </row>
    <row r="246" spans="5:34">
      <c r="E246" s="712"/>
      <c r="F246" s="713"/>
      <c r="G246" s="714"/>
      <c r="H246" s="714"/>
      <c r="I246" s="714"/>
      <c r="J246" s="169"/>
      <c r="K246" s="169"/>
      <c r="L246" s="169"/>
      <c r="M246" s="169"/>
      <c r="N246" s="38"/>
      <c r="O246" s="33"/>
      <c r="P246" s="38"/>
      <c r="Q246" s="33"/>
      <c r="R246" s="33"/>
      <c r="S246" s="33"/>
      <c r="T246" s="33"/>
      <c r="U246" s="169"/>
      <c r="AA246" s="38"/>
      <c r="AB246" s="38"/>
      <c r="AC246" s="38"/>
      <c r="AD246" s="38"/>
      <c r="AE246" s="38"/>
      <c r="AF246" s="38"/>
      <c r="AG246" s="38"/>
      <c r="AH246" s="38"/>
    </row>
    <row r="247" spans="5:34">
      <c r="E247" s="712"/>
      <c r="F247" s="713"/>
      <c r="G247" s="714"/>
      <c r="H247" s="714"/>
      <c r="I247" s="714"/>
      <c r="J247" s="169"/>
      <c r="K247" s="169"/>
      <c r="L247" s="169"/>
      <c r="M247" s="169"/>
      <c r="N247" s="38"/>
      <c r="O247" s="33"/>
      <c r="P247" s="38"/>
      <c r="Q247" s="33"/>
      <c r="R247" s="33"/>
      <c r="S247" s="33"/>
      <c r="T247" s="33"/>
      <c r="U247" s="169"/>
      <c r="AA247" s="38"/>
      <c r="AB247" s="38"/>
      <c r="AC247" s="38"/>
      <c r="AD247" s="38"/>
      <c r="AE247" s="38"/>
      <c r="AF247" s="38"/>
      <c r="AG247" s="38"/>
      <c r="AH247" s="38"/>
    </row>
    <row r="248" spans="5:34">
      <c r="E248" s="712"/>
      <c r="F248" s="713"/>
      <c r="G248" s="714"/>
      <c r="H248" s="714"/>
      <c r="I248" s="714"/>
      <c r="J248" s="169"/>
      <c r="K248" s="169"/>
      <c r="L248" s="169"/>
      <c r="M248" s="169"/>
      <c r="N248" s="38"/>
      <c r="O248" s="33"/>
      <c r="P248" s="38"/>
      <c r="Q248" s="33"/>
      <c r="R248" s="33"/>
      <c r="S248" s="33"/>
      <c r="T248" s="33"/>
      <c r="U248" s="169"/>
      <c r="AA248" s="38"/>
      <c r="AB248" s="38"/>
      <c r="AC248" s="38"/>
      <c r="AD248" s="38"/>
      <c r="AE248" s="38"/>
      <c r="AF248" s="38"/>
      <c r="AG248" s="38"/>
      <c r="AH248" s="38"/>
    </row>
  </sheetData>
  <customSheetViews>
    <customSheetView guid="{86CCC894-C193-4761-8385-3C374FD67B70}" showPageBreaks="1" hiddenColumns="1" topLeftCell="T209">
      <selection activeCell="F141" sqref="F141:F142"/>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45"/>
  <sheetViews>
    <sheetView topLeftCell="D141" workbookViewId="0">
      <selection activeCell="R181" sqref="R181:R182"/>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7.3984375" style="146" customWidth="1"/>
    <col min="16" max="16" width="1.796875" style="16" customWidth="1"/>
    <col min="17" max="18" width="15.3984375" style="146" customWidth="1"/>
    <col min="19" max="19" width="1.796875" style="146" customWidth="1"/>
    <col min="20" max="20" width="15.3984375" style="146" customWidth="1"/>
    <col min="21" max="21" width="1.796875" style="24" customWidth="1"/>
    <col min="22" max="26" width="15.3984375" style="38" customWidth="1"/>
    <col min="27" max="27" width="15.3984375" style="16" customWidth="1"/>
    <col min="28" max="29" width="15.3984375" style="559" customWidth="1"/>
    <col min="30" max="30" width="15.796875" style="559" customWidth="1"/>
    <col min="31" max="31" width="2.3984375" style="559" customWidth="1"/>
    <col min="32" max="33" width="14.796875" style="559" bestFit="1" customWidth="1"/>
    <col min="34" max="34" width="14.19921875" style="559" customWidth="1"/>
    <col min="35" max="35" width="9.3984375" style="16"/>
    <col min="36" max="36" width="14.19921875" style="16" bestFit="1" customWidth="1"/>
    <col min="37" max="16384" width="9.3984375" style="16"/>
  </cols>
  <sheetData>
    <row r="1" spans="1:34">
      <c r="D1" s="147" t="s">
        <v>71</v>
      </c>
      <c r="F1" s="29"/>
      <c r="G1" s="162"/>
      <c r="H1" s="163"/>
      <c r="I1" s="163"/>
      <c r="J1" s="169"/>
      <c r="K1" s="169"/>
      <c r="L1" s="169"/>
      <c r="M1" s="169"/>
      <c r="N1" s="169"/>
      <c r="U1" s="40"/>
    </row>
    <row r="2" spans="1:34">
      <c r="D2" s="147" t="s">
        <v>858</v>
      </c>
      <c r="F2" s="29"/>
      <c r="G2" s="162"/>
      <c r="H2" s="163"/>
      <c r="I2" s="163"/>
      <c r="J2" s="169"/>
      <c r="K2" s="169"/>
      <c r="L2" s="169"/>
      <c r="M2" s="169"/>
      <c r="N2" s="169"/>
      <c r="U2" s="40"/>
    </row>
    <row r="3" spans="1:34">
      <c r="D3" s="147" t="s">
        <v>846</v>
      </c>
      <c r="F3" s="29"/>
      <c r="G3" s="18"/>
      <c r="H3" s="168"/>
      <c r="I3" s="168"/>
      <c r="J3" s="169"/>
      <c r="K3" s="169"/>
      <c r="L3" s="169"/>
      <c r="M3" s="169"/>
      <c r="N3" s="169"/>
    </row>
    <row r="4" spans="1:34">
      <c r="D4" s="148"/>
      <c r="G4" s="164"/>
      <c r="H4" s="168"/>
      <c r="I4" s="168"/>
      <c r="J4" s="169"/>
      <c r="K4" s="169"/>
      <c r="L4" s="169"/>
      <c r="M4" s="169"/>
      <c r="N4" s="169"/>
    </row>
    <row r="5" spans="1:34" ht="13"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3" thickBot="1">
      <c r="B12" s="469"/>
      <c r="C12" s="670"/>
      <c r="D12" s="470" t="s">
        <v>103</v>
      </c>
      <c r="E12" s="471" t="s">
        <v>101</v>
      </c>
      <c r="F12" s="29"/>
      <c r="G12" s="166"/>
      <c r="H12" s="150"/>
      <c r="I12" s="150"/>
      <c r="J12" s="76"/>
    </row>
    <row r="13" spans="1:34" ht="13" thickBot="1">
      <c r="A13" s="152"/>
      <c r="B13" s="152"/>
      <c r="C13" s="67"/>
      <c r="D13" s="54"/>
      <c r="E13" s="34"/>
      <c r="G13" s="167"/>
      <c r="H13" s="49"/>
      <c r="I13" s="49"/>
      <c r="J13" s="50"/>
      <c r="K13" s="50"/>
      <c r="L13" s="50"/>
      <c r="M13" s="745"/>
      <c r="N13" s="146"/>
      <c r="P13" s="146"/>
      <c r="U13" s="50"/>
      <c r="V13" s="33"/>
      <c r="W13" s="33"/>
      <c r="X13" s="33"/>
      <c r="Y13" s="33"/>
    </row>
    <row r="14" spans="1:34" ht="13" thickBot="1">
      <c r="D14" s="526"/>
      <c r="E14" s="582" t="s">
        <v>848</v>
      </c>
      <c r="F14" s="583" t="s">
        <v>367</v>
      </c>
      <c r="G14" s="96"/>
      <c r="H14" s="96"/>
      <c r="I14" s="96"/>
      <c r="J14" s="96" t="s">
        <v>368</v>
      </c>
      <c r="K14" s="581"/>
      <c r="L14" s="96" t="s">
        <v>368</v>
      </c>
      <c r="M14" s="96" t="s">
        <v>368</v>
      </c>
      <c r="N14" s="93"/>
      <c r="O14" s="96"/>
      <c r="P14" s="93"/>
      <c r="Q14" s="13"/>
      <c r="R14" s="96"/>
      <c r="S14" s="101"/>
      <c r="T14" s="96"/>
      <c r="U14" s="93"/>
      <c r="V14" s="96"/>
      <c r="W14" s="96"/>
      <c r="X14" s="304"/>
      <c r="Y14" s="304"/>
      <c r="Z14" s="304"/>
      <c r="AC14" s="560" t="s">
        <v>266</v>
      </c>
      <c r="AG14" s="561" t="s">
        <v>267</v>
      </c>
    </row>
    <row r="15" spans="1:34" ht="13" thickBot="1">
      <c r="A15" s="22" t="s">
        <v>95</v>
      </c>
      <c r="B15" s="22" t="s">
        <v>100</v>
      </c>
      <c r="C15" s="36" t="s">
        <v>522</v>
      </c>
      <c r="D15" s="36" t="s">
        <v>67</v>
      </c>
      <c r="E15" s="450" t="s">
        <v>230</v>
      </c>
      <c r="F15" s="528" t="s">
        <v>229</v>
      </c>
      <c r="G15" s="176" t="s">
        <v>288</v>
      </c>
      <c r="H15" s="545" t="s">
        <v>289</v>
      </c>
      <c r="I15" s="758" t="s">
        <v>368</v>
      </c>
      <c r="J15" s="313" t="s">
        <v>105</v>
      </c>
      <c r="K15" s="93"/>
      <c r="L15" s="94" t="s">
        <v>104</v>
      </c>
      <c r="M15" s="95" t="s">
        <v>106</v>
      </c>
      <c r="N15" s="102"/>
      <c r="O15" s="427" t="s">
        <v>839</v>
      </c>
      <c r="P15" s="102"/>
      <c r="Q15" s="313" t="s">
        <v>847</v>
      </c>
      <c r="R15" s="156" t="s">
        <v>852</v>
      </c>
      <c r="S15" s="149"/>
      <c r="T15" s="327" t="s">
        <v>853</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VLOOKUP(D16,'Aug 2012 Revenue'!D:T,17,FALSE)</f>
        <v>0</v>
      </c>
      <c r="G16" s="680"/>
      <c r="H16" s="680"/>
      <c r="I16" s="755"/>
      <c r="J16" s="682">
        <f t="shared" ref="J16:J40" si="0">SUM(E16:I16)</f>
        <v>0</v>
      </c>
      <c r="K16" s="683"/>
      <c r="L16" s="684"/>
      <c r="M16" s="753"/>
      <c r="N16" s="683">
        <v>0</v>
      </c>
      <c r="O16" s="686"/>
      <c r="P16" s="683">
        <v>0</v>
      </c>
      <c r="Q16" s="687">
        <f t="shared" ref="Q16:Q141" si="1">L16+M16</f>
        <v>0</v>
      </c>
      <c r="R16" s="688">
        <v>0</v>
      </c>
      <c r="S16" s="689"/>
      <c r="T16" s="690">
        <f t="shared" ref="T16:T80" si="2">IF(R16="","",R16-Q16)</f>
        <v>0</v>
      </c>
      <c r="U16" s="691"/>
      <c r="V16" s="474">
        <f t="shared" ref="V16:V80" si="3">IF(B16="D",Q16,0)</f>
        <v>0</v>
      </c>
      <c r="W16" s="474">
        <f t="shared" ref="W16:W80" si="4">IF(B16="M",Q16,0)</f>
        <v>0</v>
      </c>
      <c r="X16" s="475">
        <f t="shared" ref="X16:X80" si="5">IF(B16="V",Q16,0)</f>
        <v>0</v>
      </c>
      <c r="Y16" s="475">
        <v>0</v>
      </c>
      <c r="Z16" s="476">
        <v>0</v>
      </c>
      <c r="AA16" s="38">
        <f t="shared" ref="AA16:AA80" si="6">(L16+M16)-(V16+W16+X16+Y16+Z16)</f>
        <v>0</v>
      </c>
      <c r="AB16" s="692">
        <f t="shared" ref="AB16" si="7">IF(B16="D",J16,0)</f>
        <v>0</v>
      </c>
      <c r="AC16" s="692">
        <f t="shared" ref="AC16" si="8">IF(B16="M",J16,0)</f>
        <v>0</v>
      </c>
      <c r="AD16" s="692">
        <f t="shared" ref="AD16" si="9">IF(B16="V",J16,0)</f>
        <v>0</v>
      </c>
      <c r="AE16" s="38"/>
      <c r="AF16" s="692">
        <f t="shared" ref="AF16" si="10">IF(B16="D",Q16,0)</f>
        <v>0</v>
      </c>
      <c r="AG16" s="692">
        <f t="shared" ref="AG16" si="11">IF(B16="M",Q16,0)</f>
        <v>0</v>
      </c>
      <c r="AH16" s="692">
        <f t="shared" ref="AH16" si="12">IF(B16="V",Q16,0)</f>
        <v>0</v>
      </c>
    </row>
    <row r="17" spans="1:36">
      <c r="A17" s="20" t="s">
        <v>109</v>
      </c>
      <c r="B17" s="20" t="s">
        <v>110</v>
      </c>
      <c r="C17" s="671" t="s">
        <v>523</v>
      </c>
      <c r="D17" s="123" t="s">
        <v>317</v>
      </c>
      <c r="E17" s="679"/>
      <c r="F17" s="529">
        <f>VLOOKUP(D17,'Aug 2012 Revenue'!D:T,17,FALSE)</f>
        <v>-500.67000000000007</v>
      </c>
      <c r="G17" s="680"/>
      <c r="H17" s="680"/>
      <c r="I17" s="755"/>
      <c r="J17" s="682">
        <f t="shared" si="0"/>
        <v>-500.67000000000007</v>
      </c>
      <c r="K17" s="683"/>
      <c r="L17" s="684"/>
      <c r="M17" s="753">
        <v>10000</v>
      </c>
      <c r="N17" s="683">
        <v>0</v>
      </c>
      <c r="O17" s="686"/>
      <c r="P17" s="683">
        <v>0</v>
      </c>
      <c r="Q17" s="687">
        <f t="shared" si="1"/>
        <v>10000</v>
      </c>
      <c r="R17" s="688">
        <f>8021.51+1953.5</f>
        <v>9975.01</v>
      </c>
      <c r="S17" s="693"/>
      <c r="T17" s="690">
        <f t="shared" si="2"/>
        <v>-24.989999999999782</v>
      </c>
      <c r="U17" s="683"/>
      <c r="V17" s="474">
        <f t="shared" si="3"/>
        <v>10000</v>
      </c>
      <c r="W17" s="474">
        <f t="shared" si="4"/>
        <v>0</v>
      </c>
      <c r="X17" s="475">
        <f t="shared" si="5"/>
        <v>0</v>
      </c>
      <c r="Y17" s="475">
        <v>0</v>
      </c>
      <c r="Z17" s="476">
        <v>0</v>
      </c>
      <c r="AA17" s="38">
        <f t="shared" si="6"/>
        <v>0</v>
      </c>
      <c r="AB17" s="692">
        <f t="shared" ref="AB17:AB81" si="13">IF(B17="D",J17,0)</f>
        <v>-500.67000000000007</v>
      </c>
      <c r="AC17" s="692">
        <f t="shared" ref="AC17:AC81" si="14">IF(B17="M",J17,0)</f>
        <v>0</v>
      </c>
      <c r="AD17" s="692">
        <f t="shared" ref="AD17:AD81" si="15">IF(B17="V",J17,0)</f>
        <v>0</v>
      </c>
      <c r="AE17" s="38"/>
      <c r="AF17" s="692">
        <f t="shared" ref="AF17:AF81" si="16">IF(B17="D",Q17,0)</f>
        <v>10000</v>
      </c>
      <c r="AG17" s="692">
        <f t="shared" ref="AG17:AG81" si="17">IF(B17="M",Q17,0)</f>
        <v>0</v>
      </c>
      <c r="AH17" s="692">
        <f t="shared" ref="AH17:AH81" si="18">IF(B17="V",Q17,0)</f>
        <v>0</v>
      </c>
      <c r="AJ17" s="38">
        <f>SUM(AB17:AH17)</f>
        <v>9499.33</v>
      </c>
    </row>
    <row r="18" spans="1:36">
      <c r="A18" s="20" t="s">
        <v>109</v>
      </c>
      <c r="B18" s="20" t="s">
        <v>109</v>
      </c>
      <c r="C18" s="671" t="s">
        <v>523</v>
      </c>
      <c r="D18" s="68" t="s">
        <v>393</v>
      </c>
      <c r="E18" s="679"/>
      <c r="F18" s="529">
        <f>VLOOKUP(D18,'Aug 2012 Revenue'!D:T,17,FALSE)</f>
        <v>7882.5599999999977</v>
      </c>
      <c r="G18" s="680"/>
      <c r="H18" s="680"/>
      <c r="I18" s="755"/>
      <c r="J18" s="682">
        <f t="shared" si="0"/>
        <v>7882.5599999999977</v>
      </c>
      <c r="K18" s="683"/>
      <c r="L18" s="684"/>
      <c r="M18" s="753">
        <v>33000</v>
      </c>
      <c r="N18" s="683">
        <v>0</v>
      </c>
      <c r="O18" s="686"/>
      <c r="P18" s="683">
        <v>0</v>
      </c>
      <c r="Q18" s="687">
        <f t="shared" si="1"/>
        <v>33000</v>
      </c>
      <c r="R18" s="688">
        <f>(33964.86+38.12)*1.2854</f>
        <v>43707.430492000007</v>
      </c>
      <c r="S18" s="693"/>
      <c r="T18" s="690">
        <f t="shared" si="2"/>
        <v>10707.430492000007</v>
      </c>
      <c r="U18" s="683"/>
      <c r="V18" s="474">
        <f t="shared" si="3"/>
        <v>0</v>
      </c>
      <c r="W18" s="474">
        <f t="shared" si="4"/>
        <v>33000</v>
      </c>
      <c r="X18" s="475">
        <f t="shared" si="5"/>
        <v>0</v>
      </c>
      <c r="Y18" s="475">
        <v>0</v>
      </c>
      <c r="Z18" s="476">
        <v>0</v>
      </c>
      <c r="AA18" s="38">
        <f t="shared" si="6"/>
        <v>0</v>
      </c>
      <c r="AB18" s="692">
        <f t="shared" si="13"/>
        <v>0</v>
      </c>
      <c r="AC18" s="692">
        <f t="shared" si="14"/>
        <v>7882.5599999999977</v>
      </c>
      <c r="AD18" s="692">
        <f t="shared" si="15"/>
        <v>0</v>
      </c>
      <c r="AE18" s="38"/>
      <c r="AF18" s="692">
        <f t="shared" si="16"/>
        <v>0</v>
      </c>
      <c r="AG18" s="692">
        <f t="shared" si="17"/>
        <v>33000</v>
      </c>
      <c r="AH18" s="692">
        <f t="shared" si="18"/>
        <v>0</v>
      </c>
      <c r="AJ18" s="38">
        <f t="shared" ref="AJ18:AJ81" si="19">SUM(AB18:AH18)</f>
        <v>40882.559999999998</v>
      </c>
    </row>
    <row r="19" spans="1:36">
      <c r="A19" s="20" t="s">
        <v>109</v>
      </c>
      <c r="B19" s="20" t="s">
        <v>109</v>
      </c>
      <c r="C19" s="671" t="s">
        <v>523</v>
      </c>
      <c r="D19" s="68" t="s">
        <v>129</v>
      </c>
      <c r="E19" s="679"/>
      <c r="F19" s="529">
        <f>VLOOKUP(D19,'Aug 2012 Revenue'!D:T,17,FALSE)</f>
        <v>10.63</v>
      </c>
      <c r="G19" s="680"/>
      <c r="H19" s="680"/>
      <c r="I19" s="755"/>
      <c r="J19" s="682">
        <f t="shared" si="0"/>
        <v>10.63</v>
      </c>
      <c r="K19" s="683"/>
      <c r="L19" s="684"/>
      <c r="M19" s="753"/>
      <c r="N19" s="683">
        <v>0</v>
      </c>
      <c r="O19" s="686"/>
      <c r="P19" s="683">
        <v>0</v>
      </c>
      <c r="Q19" s="687">
        <f t="shared" si="1"/>
        <v>0</v>
      </c>
      <c r="R19" s="688">
        <f>15*1.2854</f>
        <v>19.281000000000002</v>
      </c>
      <c r="S19" s="693"/>
      <c r="T19" s="690">
        <f t="shared" si="2"/>
        <v>19.281000000000002</v>
      </c>
      <c r="U19" s="683"/>
      <c r="V19" s="474">
        <f t="shared" si="3"/>
        <v>0</v>
      </c>
      <c r="W19" s="474">
        <f t="shared" si="4"/>
        <v>0</v>
      </c>
      <c r="X19" s="475">
        <f t="shared" si="5"/>
        <v>0</v>
      </c>
      <c r="Y19" s="475">
        <v>0</v>
      </c>
      <c r="Z19" s="476">
        <v>0</v>
      </c>
      <c r="AA19" s="38">
        <f t="shared" si="6"/>
        <v>0</v>
      </c>
      <c r="AB19" s="692">
        <f t="shared" si="13"/>
        <v>0</v>
      </c>
      <c r="AC19" s="692">
        <f t="shared" si="14"/>
        <v>10.63</v>
      </c>
      <c r="AD19" s="692">
        <f t="shared" si="15"/>
        <v>0</v>
      </c>
      <c r="AE19" s="38"/>
      <c r="AF19" s="692">
        <f t="shared" si="16"/>
        <v>0</v>
      </c>
      <c r="AG19" s="692">
        <f t="shared" si="17"/>
        <v>0</v>
      </c>
      <c r="AH19" s="692">
        <f t="shared" si="18"/>
        <v>0</v>
      </c>
      <c r="AJ19" s="38">
        <f t="shared" si="19"/>
        <v>10.63</v>
      </c>
    </row>
    <row r="20" spans="1:36">
      <c r="A20" s="20"/>
      <c r="B20" s="20" t="s">
        <v>110</v>
      </c>
      <c r="C20" s="667" t="s">
        <v>524</v>
      </c>
      <c r="D20" s="123" t="s">
        <v>380</v>
      </c>
      <c r="E20" s="679"/>
      <c r="F20" s="529">
        <f>VLOOKUP(D20,'Aug 2012 Revenue'!D:T,17,FALSE)</f>
        <v>-159.03999999999996</v>
      </c>
      <c r="G20" s="680"/>
      <c r="H20" s="680"/>
      <c r="I20" s="755"/>
      <c r="J20" s="682">
        <f t="shared" si="0"/>
        <v>-159.03999999999996</v>
      </c>
      <c r="K20" s="683"/>
      <c r="L20" s="684"/>
      <c r="M20" s="753">
        <v>4000</v>
      </c>
      <c r="N20" s="683">
        <v>0</v>
      </c>
      <c r="O20" s="686"/>
      <c r="P20" s="683">
        <v>0</v>
      </c>
      <c r="Q20" s="687">
        <f t="shared" si="1"/>
        <v>4000</v>
      </c>
      <c r="R20" s="688">
        <v>3841.74</v>
      </c>
      <c r="S20" s="693"/>
      <c r="T20" s="690">
        <f t="shared" si="2"/>
        <v>-158.26000000000022</v>
      </c>
      <c r="U20" s="683"/>
      <c r="V20" s="474">
        <f t="shared" si="3"/>
        <v>4000</v>
      </c>
      <c r="W20" s="474">
        <f t="shared" si="4"/>
        <v>0</v>
      </c>
      <c r="X20" s="475">
        <f t="shared" si="5"/>
        <v>0</v>
      </c>
      <c r="Y20" s="475">
        <v>0</v>
      </c>
      <c r="Z20" s="476">
        <v>0</v>
      </c>
      <c r="AA20" s="38">
        <f t="shared" si="6"/>
        <v>0</v>
      </c>
      <c r="AB20" s="692">
        <f t="shared" si="13"/>
        <v>-159.03999999999996</v>
      </c>
      <c r="AC20" s="692">
        <f t="shared" si="14"/>
        <v>0</v>
      </c>
      <c r="AD20" s="692">
        <f t="shared" si="15"/>
        <v>0</v>
      </c>
      <c r="AE20" s="38"/>
      <c r="AF20" s="692">
        <f t="shared" si="16"/>
        <v>4000</v>
      </c>
      <c r="AG20" s="692">
        <f t="shared" si="17"/>
        <v>0</v>
      </c>
      <c r="AH20" s="692">
        <f t="shared" si="18"/>
        <v>0</v>
      </c>
      <c r="AJ20" s="38">
        <f t="shared" si="19"/>
        <v>3840.96</v>
      </c>
    </row>
    <row r="21" spans="1:36">
      <c r="A21" s="20"/>
      <c r="B21" s="20" t="s">
        <v>110</v>
      </c>
      <c r="C21" s="667" t="s">
        <v>524</v>
      </c>
      <c r="D21" s="123" t="s">
        <v>132</v>
      </c>
      <c r="E21" s="679"/>
      <c r="F21" s="529">
        <f>VLOOKUP(D21,'Aug 2012 Revenue'!D:T,17,FALSE)</f>
        <v>5.2899999999999636</v>
      </c>
      <c r="G21" s="680"/>
      <c r="H21" s="680"/>
      <c r="I21" s="755"/>
      <c r="J21" s="682">
        <f t="shared" si="0"/>
        <v>5.2899999999999636</v>
      </c>
      <c r="K21" s="683"/>
      <c r="L21" s="684"/>
      <c r="M21" s="753">
        <v>5000</v>
      </c>
      <c r="N21" s="683">
        <v>0</v>
      </c>
      <c r="O21" s="686"/>
      <c r="P21" s="683">
        <v>0</v>
      </c>
      <c r="Q21" s="687">
        <f t="shared" si="1"/>
        <v>5000</v>
      </c>
      <c r="R21" s="688">
        <v>5634.76</v>
      </c>
      <c r="S21" s="693"/>
      <c r="T21" s="690">
        <f t="shared" si="2"/>
        <v>634.76000000000022</v>
      </c>
      <c r="U21" s="683"/>
      <c r="V21" s="474">
        <f t="shared" si="3"/>
        <v>5000</v>
      </c>
      <c r="W21" s="474">
        <f t="shared" si="4"/>
        <v>0</v>
      </c>
      <c r="X21" s="475">
        <f t="shared" si="5"/>
        <v>0</v>
      </c>
      <c r="Y21" s="475">
        <v>0</v>
      </c>
      <c r="Z21" s="476">
        <v>0</v>
      </c>
      <c r="AA21" s="38">
        <f t="shared" si="6"/>
        <v>0</v>
      </c>
      <c r="AB21" s="692">
        <f t="shared" si="13"/>
        <v>5.2899999999999636</v>
      </c>
      <c r="AC21" s="692">
        <f t="shared" si="14"/>
        <v>0</v>
      </c>
      <c r="AD21" s="692">
        <f t="shared" si="15"/>
        <v>0</v>
      </c>
      <c r="AE21" s="38"/>
      <c r="AF21" s="692">
        <f t="shared" si="16"/>
        <v>5000</v>
      </c>
      <c r="AG21" s="692">
        <f t="shared" si="17"/>
        <v>0</v>
      </c>
      <c r="AH21" s="692">
        <f t="shared" si="18"/>
        <v>0</v>
      </c>
      <c r="AJ21" s="38">
        <f t="shared" si="19"/>
        <v>5005.29</v>
      </c>
    </row>
    <row r="22" spans="1:36">
      <c r="A22" s="20"/>
      <c r="B22" s="20" t="s">
        <v>110</v>
      </c>
      <c r="C22" s="667" t="s">
        <v>524</v>
      </c>
      <c r="D22" s="123" t="s">
        <v>133</v>
      </c>
      <c r="E22" s="679"/>
      <c r="F22" s="529">
        <f>VLOOKUP(D22,'Aug 2012 Revenue'!D:T,17,FALSE)</f>
        <v>1330.1999999999998</v>
      </c>
      <c r="G22" s="680"/>
      <c r="H22" s="680"/>
      <c r="I22" s="755"/>
      <c r="J22" s="682">
        <f t="shared" si="0"/>
        <v>1330.1999999999998</v>
      </c>
      <c r="K22" s="683"/>
      <c r="L22" s="684"/>
      <c r="M22" s="753">
        <v>6000</v>
      </c>
      <c r="N22" s="683">
        <v>0</v>
      </c>
      <c r="O22" s="686"/>
      <c r="P22" s="683">
        <v>0</v>
      </c>
      <c r="Q22" s="687">
        <f t="shared" si="1"/>
        <v>6000</v>
      </c>
      <c r="R22" s="688">
        <v>7227.1</v>
      </c>
      <c r="S22" s="693"/>
      <c r="T22" s="690">
        <f t="shared" si="2"/>
        <v>1227.1000000000004</v>
      </c>
      <c r="U22" s="683"/>
      <c r="V22" s="474">
        <f t="shared" si="3"/>
        <v>6000</v>
      </c>
      <c r="W22" s="474">
        <f t="shared" si="4"/>
        <v>0</v>
      </c>
      <c r="X22" s="475">
        <f t="shared" si="5"/>
        <v>0</v>
      </c>
      <c r="Y22" s="475">
        <v>0</v>
      </c>
      <c r="Z22" s="476">
        <v>0</v>
      </c>
      <c r="AA22" s="38">
        <f t="shared" si="6"/>
        <v>0</v>
      </c>
      <c r="AB22" s="692">
        <f t="shared" si="13"/>
        <v>1330.1999999999998</v>
      </c>
      <c r="AC22" s="692">
        <f t="shared" si="14"/>
        <v>0</v>
      </c>
      <c r="AD22" s="692">
        <f t="shared" si="15"/>
        <v>0</v>
      </c>
      <c r="AE22" s="38"/>
      <c r="AF22" s="692">
        <f t="shared" si="16"/>
        <v>6000</v>
      </c>
      <c r="AG22" s="692">
        <f t="shared" si="17"/>
        <v>0</v>
      </c>
      <c r="AH22" s="692">
        <f t="shared" si="18"/>
        <v>0</v>
      </c>
      <c r="AJ22" s="38">
        <f t="shared" si="19"/>
        <v>7330.2</v>
      </c>
    </row>
    <row r="23" spans="1:36" s="232" customFormat="1">
      <c r="A23" s="283" t="s">
        <v>211</v>
      </c>
      <c r="B23" s="283" t="s">
        <v>109</v>
      </c>
      <c r="C23" s="667" t="s">
        <v>525</v>
      </c>
      <c r="D23" s="123" t="s">
        <v>419</v>
      </c>
      <c r="E23" s="679"/>
      <c r="F23" s="529">
        <f>VLOOKUP(D23,'Aug 2012 Revenue'!D:T,17,FALSE)</f>
        <v>-22000</v>
      </c>
      <c r="G23" s="680"/>
      <c r="H23" s="680"/>
      <c r="I23" s="755"/>
      <c r="J23" s="682">
        <f t="shared" si="0"/>
        <v>-22000</v>
      </c>
      <c r="K23" s="683"/>
      <c r="L23" s="684"/>
      <c r="M23" s="753">
        <v>33000</v>
      </c>
      <c r="N23" s="683">
        <v>0</v>
      </c>
      <c r="O23" s="686"/>
      <c r="P23" s="683">
        <v>0</v>
      </c>
      <c r="Q23" s="687">
        <f t="shared" si="1"/>
        <v>33000</v>
      </c>
      <c r="R23" s="688">
        <v>0</v>
      </c>
      <c r="S23" s="693"/>
      <c r="T23" s="690">
        <f t="shared" si="2"/>
        <v>-33000</v>
      </c>
      <c r="U23" s="683"/>
      <c r="V23" s="474">
        <f t="shared" si="3"/>
        <v>0</v>
      </c>
      <c r="W23" s="474">
        <f t="shared" si="4"/>
        <v>33000</v>
      </c>
      <c r="X23" s="475">
        <f t="shared" si="5"/>
        <v>0</v>
      </c>
      <c r="Y23" s="475">
        <v>0</v>
      </c>
      <c r="Z23" s="476">
        <v>0</v>
      </c>
      <c r="AA23" s="38">
        <f t="shared" si="6"/>
        <v>0</v>
      </c>
      <c r="AB23" s="692">
        <f t="shared" si="13"/>
        <v>0</v>
      </c>
      <c r="AC23" s="692">
        <f t="shared" si="14"/>
        <v>-22000</v>
      </c>
      <c r="AD23" s="692">
        <f t="shared" si="15"/>
        <v>0</v>
      </c>
      <c r="AE23" s="38"/>
      <c r="AF23" s="692">
        <f t="shared" si="16"/>
        <v>0</v>
      </c>
      <c r="AG23" s="692">
        <f t="shared" si="17"/>
        <v>33000</v>
      </c>
      <c r="AH23" s="692">
        <f t="shared" si="18"/>
        <v>0</v>
      </c>
      <c r="AJ23" s="38">
        <f t="shared" si="19"/>
        <v>11000</v>
      </c>
    </row>
    <row r="24" spans="1:36" s="232" customFormat="1">
      <c r="A24" s="283"/>
      <c r="B24" s="283" t="s">
        <v>109</v>
      </c>
      <c r="C24" s="667" t="s">
        <v>525</v>
      </c>
      <c r="D24" s="413" t="s">
        <v>420</v>
      </c>
      <c r="E24" s="679"/>
      <c r="F24" s="529">
        <f>VLOOKUP(D24,'Aug 2012 Revenue'!D:T,17,FALSE)</f>
        <v>0</v>
      </c>
      <c r="G24" s="680"/>
      <c r="H24" s="680"/>
      <c r="I24" s="755"/>
      <c r="J24" s="682">
        <f t="shared" si="0"/>
        <v>0</v>
      </c>
      <c r="K24" s="683"/>
      <c r="L24" s="684"/>
      <c r="M24" s="753"/>
      <c r="N24" s="683">
        <v>0</v>
      </c>
      <c r="O24" s="686"/>
      <c r="P24" s="683">
        <v>0</v>
      </c>
      <c r="Q24" s="687">
        <f t="shared" si="1"/>
        <v>0</v>
      </c>
      <c r="R24" s="688">
        <v>0</v>
      </c>
      <c r="S24" s="693"/>
      <c r="T24" s="690">
        <f t="shared" si="2"/>
        <v>0</v>
      </c>
      <c r="U24" s="683"/>
      <c r="V24" s="474">
        <f t="shared" si="3"/>
        <v>0</v>
      </c>
      <c r="W24" s="474">
        <f t="shared" si="4"/>
        <v>0</v>
      </c>
      <c r="X24" s="475">
        <f t="shared" si="5"/>
        <v>0</v>
      </c>
      <c r="Y24" s="475">
        <v>0</v>
      </c>
      <c r="Z24" s="476">
        <v>0</v>
      </c>
      <c r="AA24" s="38">
        <f t="shared" si="6"/>
        <v>0</v>
      </c>
      <c r="AB24" s="692">
        <f t="shared" si="13"/>
        <v>0</v>
      </c>
      <c r="AC24" s="692">
        <f t="shared" si="14"/>
        <v>0</v>
      </c>
      <c r="AD24" s="692">
        <f t="shared" si="15"/>
        <v>0</v>
      </c>
      <c r="AE24" s="38"/>
      <c r="AF24" s="692">
        <f t="shared" si="16"/>
        <v>0</v>
      </c>
      <c r="AG24" s="692">
        <f t="shared" si="17"/>
        <v>0</v>
      </c>
      <c r="AH24" s="692">
        <f t="shared" si="18"/>
        <v>0</v>
      </c>
      <c r="AJ24" s="38">
        <f t="shared" si="19"/>
        <v>0</v>
      </c>
    </row>
    <row r="25" spans="1:36" s="232" customFormat="1">
      <c r="A25" s="283"/>
      <c r="B25" s="283" t="s">
        <v>109</v>
      </c>
      <c r="C25" s="667" t="s">
        <v>525</v>
      </c>
      <c r="D25" s="413" t="s">
        <v>421</v>
      </c>
      <c r="E25" s="679"/>
      <c r="F25" s="529">
        <f>VLOOKUP(D25,'Aug 2012 Revenue'!D:T,17,FALSE)</f>
        <v>0</v>
      </c>
      <c r="G25" s="680"/>
      <c r="H25" s="680"/>
      <c r="I25" s="755"/>
      <c r="J25" s="682">
        <f t="shared" si="0"/>
        <v>0</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13"/>
        <v>0</v>
      </c>
      <c r="AC25" s="692">
        <f t="shared" si="14"/>
        <v>0</v>
      </c>
      <c r="AD25" s="692">
        <f t="shared" si="15"/>
        <v>0</v>
      </c>
      <c r="AE25" s="38"/>
      <c r="AF25" s="692">
        <f t="shared" si="16"/>
        <v>0</v>
      </c>
      <c r="AG25" s="692">
        <f t="shared" si="17"/>
        <v>0</v>
      </c>
      <c r="AH25" s="692">
        <f t="shared" si="18"/>
        <v>0</v>
      </c>
      <c r="AJ25" s="38">
        <f t="shared" si="19"/>
        <v>0</v>
      </c>
    </row>
    <row r="26" spans="1:36">
      <c r="A26" s="20"/>
      <c r="B26" s="20" t="s">
        <v>110</v>
      </c>
      <c r="C26" s="667"/>
      <c r="D26" s="68" t="s">
        <v>191</v>
      </c>
      <c r="E26" s="679"/>
      <c r="F26" s="529">
        <f>VLOOKUP(D26,'Aug 2012 Revenue'!D:T,17,FALSE)</f>
        <v>0</v>
      </c>
      <c r="G26" s="680"/>
      <c r="H26" s="680"/>
      <c r="I26" s="770">
        <v>151.75</v>
      </c>
      <c r="J26" s="682">
        <f t="shared" si="0"/>
        <v>151.75</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13"/>
        <v>151.75</v>
      </c>
      <c r="AC26" s="692">
        <f t="shared" si="14"/>
        <v>0</v>
      </c>
      <c r="AD26" s="692">
        <f t="shared" si="15"/>
        <v>0</v>
      </c>
      <c r="AE26" s="38"/>
      <c r="AF26" s="692">
        <f t="shared" si="16"/>
        <v>0</v>
      </c>
      <c r="AG26" s="692">
        <f t="shared" si="17"/>
        <v>0</v>
      </c>
      <c r="AH26" s="692">
        <f t="shared" si="18"/>
        <v>0</v>
      </c>
      <c r="AJ26" s="38">
        <f t="shared" si="19"/>
        <v>151.75</v>
      </c>
    </row>
    <row r="27" spans="1:36">
      <c r="A27" s="20"/>
      <c r="B27" s="20" t="s">
        <v>110</v>
      </c>
      <c r="C27" s="667"/>
      <c r="D27" s="68" t="s">
        <v>589</v>
      </c>
      <c r="E27" s="679"/>
      <c r="F27" s="529">
        <f>VLOOKUP(D27,'Aug 2012 Revenue'!D:T,17,FALSE)</f>
        <v>-10000</v>
      </c>
      <c r="G27" s="680"/>
      <c r="H27" s="680"/>
      <c r="I27" s="755"/>
      <c r="J27" s="682">
        <f t="shared" si="0"/>
        <v>-10000</v>
      </c>
      <c r="K27" s="683"/>
      <c r="L27" s="684"/>
      <c r="M27" s="753">
        <v>15000</v>
      </c>
      <c r="N27" s="683">
        <v>0</v>
      </c>
      <c r="O27" s="686"/>
      <c r="P27" s="683">
        <v>0</v>
      </c>
      <c r="Q27" s="687">
        <f t="shared" si="1"/>
        <v>15000</v>
      </c>
      <c r="R27" s="688">
        <v>21404.91</v>
      </c>
      <c r="S27" s="693"/>
      <c r="T27" s="690">
        <f t="shared" si="2"/>
        <v>6404.91</v>
      </c>
      <c r="U27" s="683"/>
      <c r="V27" s="474">
        <f t="shared" si="3"/>
        <v>15000</v>
      </c>
      <c r="W27" s="474">
        <f t="shared" si="4"/>
        <v>0</v>
      </c>
      <c r="X27" s="475">
        <f t="shared" si="5"/>
        <v>0</v>
      </c>
      <c r="Y27" s="475">
        <v>0</v>
      </c>
      <c r="Z27" s="476">
        <v>0</v>
      </c>
      <c r="AA27" s="38">
        <f t="shared" si="6"/>
        <v>0</v>
      </c>
      <c r="AB27" s="692">
        <f t="shared" si="13"/>
        <v>-10000</v>
      </c>
      <c r="AC27" s="692">
        <f t="shared" si="14"/>
        <v>0</v>
      </c>
      <c r="AD27" s="692">
        <f t="shared" si="15"/>
        <v>0</v>
      </c>
      <c r="AE27" s="38"/>
      <c r="AF27" s="692">
        <f t="shared" si="16"/>
        <v>15000</v>
      </c>
      <c r="AG27" s="692">
        <f t="shared" si="17"/>
        <v>0</v>
      </c>
      <c r="AH27" s="692">
        <f t="shared" si="18"/>
        <v>0</v>
      </c>
      <c r="AJ27" s="38">
        <f t="shared" si="19"/>
        <v>5000</v>
      </c>
    </row>
    <row r="28" spans="1:36">
      <c r="A28" s="20"/>
      <c r="B28" s="20" t="s">
        <v>110</v>
      </c>
      <c r="C28" s="667"/>
      <c r="D28" s="68" t="s">
        <v>829</v>
      </c>
      <c r="E28" s="679"/>
      <c r="F28" s="529">
        <f>VLOOKUP(D28,'Aug 2012 Revenue'!D:T,17,FALSE)</f>
        <v>0</v>
      </c>
      <c r="G28" s="680"/>
      <c r="H28" s="680"/>
      <c r="I28" s="755"/>
      <c r="J28" s="682">
        <f t="shared" si="0"/>
        <v>0</v>
      </c>
      <c r="K28" s="683"/>
      <c r="L28" s="684"/>
      <c r="M28" s="753"/>
      <c r="N28" s="683">
        <v>0</v>
      </c>
      <c r="O28" s="686"/>
      <c r="P28" s="683">
        <v>0</v>
      </c>
      <c r="Q28" s="687">
        <f t="shared" si="1"/>
        <v>0</v>
      </c>
      <c r="R28" s="688">
        <v>0</v>
      </c>
      <c r="S28" s="693"/>
      <c r="T28" s="690">
        <f t="shared" si="2"/>
        <v>0</v>
      </c>
      <c r="U28" s="683"/>
      <c r="V28" s="474">
        <f t="shared" si="3"/>
        <v>0</v>
      </c>
      <c r="W28" s="474">
        <f t="shared" si="4"/>
        <v>0</v>
      </c>
      <c r="X28" s="475">
        <f t="shared" si="5"/>
        <v>0</v>
      </c>
      <c r="Y28" s="475">
        <v>0</v>
      </c>
      <c r="Z28" s="476">
        <v>0</v>
      </c>
      <c r="AA28" s="38">
        <f t="shared" si="6"/>
        <v>0</v>
      </c>
      <c r="AB28" s="692">
        <f t="shared" si="13"/>
        <v>0</v>
      </c>
      <c r="AC28" s="692">
        <f t="shared" si="14"/>
        <v>0</v>
      </c>
      <c r="AD28" s="692">
        <f t="shared" si="15"/>
        <v>0</v>
      </c>
      <c r="AE28" s="38"/>
      <c r="AF28" s="692">
        <f t="shared" si="16"/>
        <v>0</v>
      </c>
      <c r="AG28" s="692">
        <f t="shared" si="17"/>
        <v>0</v>
      </c>
      <c r="AH28" s="692">
        <f t="shared" si="18"/>
        <v>0</v>
      </c>
      <c r="AJ28" s="38">
        <f t="shared" si="19"/>
        <v>0</v>
      </c>
    </row>
    <row r="29" spans="1:36">
      <c r="A29" s="20"/>
      <c r="B29" s="20" t="s">
        <v>109</v>
      </c>
      <c r="C29" s="667" t="s">
        <v>526</v>
      </c>
      <c r="D29" s="68" t="s">
        <v>385</v>
      </c>
      <c r="E29" s="679"/>
      <c r="F29" s="529">
        <f>VLOOKUP(D29,'Aug 2012 Revenue'!D:T,17,FALSE)</f>
        <v>0</v>
      </c>
      <c r="G29" s="680"/>
      <c r="H29" s="680"/>
      <c r="I29" s="755"/>
      <c r="J29" s="682">
        <f t="shared" si="0"/>
        <v>0</v>
      </c>
      <c r="K29" s="683"/>
      <c r="L29" s="684"/>
      <c r="M29" s="753"/>
      <c r="N29" s="683">
        <v>0</v>
      </c>
      <c r="O29" s="686"/>
      <c r="P29" s="683">
        <v>0</v>
      </c>
      <c r="Q29" s="687">
        <f t="shared" si="1"/>
        <v>0</v>
      </c>
      <c r="R29" s="688">
        <v>1547.43</v>
      </c>
      <c r="S29" s="693"/>
      <c r="T29" s="690">
        <f t="shared" si="2"/>
        <v>1547.43</v>
      </c>
      <c r="U29" s="691"/>
      <c r="V29" s="474">
        <f t="shared" si="3"/>
        <v>0</v>
      </c>
      <c r="W29" s="474">
        <f t="shared" si="4"/>
        <v>0</v>
      </c>
      <c r="X29" s="475">
        <f t="shared" si="5"/>
        <v>0</v>
      </c>
      <c r="Y29" s="475">
        <v>0</v>
      </c>
      <c r="Z29" s="476">
        <v>0</v>
      </c>
      <c r="AA29" s="38">
        <f t="shared" si="6"/>
        <v>0</v>
      </c>
      <c r="AB29" s="692">
        <f t="shared" si="13"/>
        <v>0</v>
      </c>
      <c r="AC29" s="692">
        <f t="shared" si="14"/>
        <v>0</v>
      </c>
      <c r="AD29" s="692">
        <f t="shared" si="15"/>
        <v>0</v>
      </c>
      <c r="AE29" s="38"/>
      <c r="AF29" s="692">
        <f t="shared" si="16"/>
        <v>0</v>
      </c>
      <c r="AG29" s="692">
        <f t="shared" si="17"/>
        <v>0</v>
      </c>
      <c r="AH29" s="692">
        <f t="shared" si="18"/>
        <v>0</v>
      </c>
      <c r="AJ29" s="38">
        <f t="shared" si="19"/>
        <v>0</v>
      </c>
    </row>
    <row r="30" spans="1:36" s="232" customFormat="1">
      <c r="A30" s="283"/>
      <c r="B30" s="283" t="s">
        <v>110</v>
      </c>
      <c r="C30" s="667" t="s">
        <v>527</v>
      </c>
      <c r="D30" s="123" t="s">
        <v>401</v>
      </c>
      <c r="E30" s="679"/>
      <c r="F30" s="529">
        <f>VLOOKUP(D30,'Aug 2012 Revenue'!D:T,17,FALSE)</f>
        <v>-64199.5</v>
      </c>
      <c r="G30" s="680"/>
      <c r="H30" s="680"/>
      <c r="I30" s="755"/>
      <c r="J30" s="682">
        <f t="shared" si="0"/>
        <v>-64199.5</v>
      </c>
      <c r="K30" s="683"/>
      <c r="L30" s="684"/>
      <c r="M30" s="753">
        <v>375000</v>
      </c>
      <c r="N30" s="683">
        <v>0</v>
      </c>
      <c r="O30" s="686"/>
      <c r="P30" s="683">
        <v>0</v>
      </c>
      <c r="Q30" s="687">
        <f t="shared" si="1"/>
        <v>375000</v>
      </c>
      <c r="R30" s="688">
        <v>331593.95</v>
      </c>
      <c r="S30" s="693"/>
      <c r="T30" s="690">
        <f t="shared" si="2"/>
        <v>-43406.049999999988</v>
      </c>
      <c r="U30" s="683"/>
      <c r="V30" s="474">
        <f t="shared" si="3"/>
        <v>375000</v>
      </c>
      <c r="W30" s="474">
        <f t="shared" si="4"/>
        <v>0</v>
      </c>
      <c r="X30" s="475">
        <f t="shared" si="5"/>
        <v>0</v>
      </c>
      <c r="Y30" s="475">
        <v>0</v>
      </c>
      <c r="Z30" s="476">
        <v>0</v>
      </c>
      <c r="AA30" s="38">
        <f t="shared" si="6"/>
        <v>0</v>
      </c>
      <c r="AB30" s="692">
        <f t="shared" si="13"/>
        <v>-64199.5</v>
      </c>
      <c r="AC30" s="692">
        <f t="shared" si="14"/>
        <v>0</v>
      </c>
      <c r="AD30" s="692">
        <f t="shared" si="15"/>
        <v>0</v>
      </c>
      <c r="AE30" s="38"/>
      <c r="AF30" s="692">
        <f t="shared" si="16"/>
        <v>375000</v>
      </c>
      <c r="AG30" s="692">
        <f t="shared" si="17"/>
        <v>0</v>
      </c>
      <c r="AH30" s="692">
        <f t="shared" si="18"/>
        <v>0</v>
      </c>
      <c r="AJ30" s="38">
        <f t="shared" si="19"/>
        <v>310800.5</v>
      </c>
    </row>
    <row r="31" spans="1:36" s="232" customFormat="1">
      <c r="A31" s="283"/>
      <c r="B31" s="283" t="s">
        <v>110</v>
      </c>
      <c r="C31" s="667" t="s">
        <v>528</v>
      </c>
      <c r="D31" s="123" t="s">
        <v>403</v>
      </c>
      <c r="E31" s="679"/>
      <c r="F31" s="529">
        <f>VLOOKUP(D31,'Aug 2012 Revenue'!D:T,17,FALSE)</f>
        <v>-7465.3799999999974</v>
      </c>
      <c r="G31" s="680"/>
      <c r="H31" s="680"/>
      <c r="I31" s="755"/>
      <c r="J31" s="682">
        <f t="shared" si="0"/>
        <v>-7465.3799999999974</v>
      </c>
      <c r="K31" s="683"/>
      <c r="L31" s="684"/>
      <c r="M31" s="753">
        <v>50000</v>
      </c>
      <c r="N31" s="683">
        <v>0</v>
      </c>
      <c r="O31" s="686"/>
      <c r="P31" s="683">
        <v>0</v>
      </c>
      <c r="Q31" s="687">
        <f t="shared" si="1"/>
        <v>50000</v>
      </c>
      <c r="R31" s="688">
        <v>48596.01</v>
      </c>
      <c r="S31" s="693"/>
      <c r="T31" s="690">
        <f t="shared" si="2"/>
        <v>-1403.989999999998</v>
      </c>
      <c r="U31" s="683"/>
      <c r="V31" s="474">
        <f t="shared" si="3"/>
        <v>50000</v>
      </c>
      <c r="W31" s="474">
        <f t="shared" si="4"/>
        <v>0</v>
      </c>
      <c r="X31" s="475">
        <f t="shared" si="5"/>
        <v>0</v>
      </c>
      <c r="Y31" s="475">
        <v>0</v>
      </c>
      <c r="Z31" s="476">
        <v>0</v>
      </c>
      <c r="AA31" s="38">
        <f t="shared" si="6"/>
        <v>0</v>
      </c>
      <c r="AB31" s="692">
        <f t="shared" si="13"/>
        <v>-7465.3799999999974</v>
      </c>
      <c r="AC31" s="692">
        <f t="shared" si="14"/>
        <v>0</v>
      </c>
      <c r="AD31" s="692">
        <f t="shared" si="15"/>
        <v>0</v>
      </c>
      <c r="AE31" s="38"/>
      <c r="AF31" s="692">
        <f t="shared" si="16"/>
        <v>50000</v>
      </c>
      <c r="AG31" s="692">
        <f t="shared" si="17"/>
        <v>0</v>
      </c>
      <c r="AH31" s="692">
        <f t="shared" si="18"/>
        <v>0</v>
      </c>
      <c r="AJ31" s="38">
        <f t="shared" si="19"/>
        <v>42534.62</v>
      </c>
    </row>
    <row r="32" spans="1:36" s="232" customFormat="1">
      <c r="A32" s="283"/>
      <c r="B32" s="283" t="s">
        <v>110</v>
      </c>
      <c r="C32" s="667" t="s">
        <v>528</v>
      </c>
      <c r="D32" s="123" t="s">
        <v>404</v>
      </c>
      <c r="E32" s="679"/>
      <c r="F32" s="529">
        <f>VLOOKUP(D32,'Aug 2012 Revenue'!D:T,17,FALSE)</f>
        <v>-2270.4199999999983</v>
      </c>
      <c r="G32" s="680"/>
      <c r="H32" s="680"/>
      <c r="I32" s="755"/>
      <c r="J32" s="682">
        <f t="shared" si="0"/>
        <v>-2270.4199999999983</v>
      </c>
      <c r="K32" s="683"/>
      <c r="L32" s="684"/>
      <c r="M32" s="753">
        <v>65000</v>
      </c>
      <c r="N32" s="683">
        <v>0</v>
      </c>
      <c r="O32" s="686"/>
      <c r="P32" s="683">
        <v>0</v>
      </c>
      <c r="Q32" s="687">
        <f t="shared" si="1"/>
        <v>65000</v>
      </c>
      <c r="R32" s="688">
        <v>64547.39</v>
      </c>
      <c r="S32" s="693"/>
      <c r="T32" s="690">
        <f t="shared" si="2"/>
        <v>-452.61000000000058</v>
      </c>
      <c r="U32" s="683"/>
      <c r="V32" s="474">
        <f t="shared" si="3"/>
        <v>65000</v>
      </c>
      <c r="W32" s="474">
        <f t="shared" si="4"/>
        <v>0</v>
      </c>
      <c r="X32" s="475">
        <f t="shared" si="5"/>
        <v>0</v>
      </c>
      <c r="Y32" s="475">
        <v>0</v>
      </c>
      <c r="Z32" s="476">
        <v>0</v>
      </c>
      <c r="AA32" s="38">
        <f t="shared" si="6"/>
        <v>0</v>
      </c>
      <c r="AB32" s="692">
        <f t="shared" si="13"/>
        <v>-2270.4199999999983</v>
      </c>
      <c r="AC32" s="692">
        <f t="shared" si="14"/>
        <v>0</v>
      </c>
      <c r="AD32" s="692">
        <f t="shared" si="15"/>
        <v>0</v>
      </c>
      <c r="AE32" s="38"/>
      <c r="AF32" s="692">
        <f t="shared" si="16"/>
        <v>65000</v>
      </c>
      <c r="AG32" s="692">
        <f t="shared" si="17"/>
        <v>0</v>
      </c>
      <c r="AH32" s="692">
        <f t="shared" si="18"/>
        <v>0</v>
      </c>
      <c r="AJ32" s="38">
        <f t="shared" si="19"/>
        <v>62729.58</v>
      </c>
    </row>
    <row r="33" spans="1:36" s="232" customFormat="1">
      <c r="A33" s="283"/>
      <c r="B33" s="283" t="s">
        <v>110</v>
      </c>
      <c r="C33" s="667" t="s">
        <v>528</v>
      </c>
      <c r="D33" s="123" t="s">
        <v>405</v>
      </c>
      <c r="E33" s="679"/>
      <c r="F33" s="529">
        <f>VLOOKUP(D33,'Aug 2012 Revenue'!D:T,17,FALSE)</f>
        <v>-2664.1399999999994</v>
      </c>
      <c r="G33" s="680"/>
      <c r="H33" s="680"/>
      <c r="I33" s="755"/>
      <c r="J33" s="682">
        <f t="shared" si="0"/>
        <v>-2664.1399999999994</v>
      </c>
      <c r="K33" s="683"/>
      <c r="L33" s="684"/>
      <c r="M33" s="753">
        <v>13000</v>
      </c>
      <c r="N33" s="683">
        <v>0</v>
      </c>
      <c r="O33" s="686"/>
      <c r="P33" s="683">
        <v>0</v>
      </c>
      <c r="Q33" s="687">
        <f t="shared" si="1"/>
        <v>13000</v>
      </c>
      <c r="R33" s="688">
        <v>11951.85</v>
      </c>
      <c r="S33" s="693"/>
      <c r="T33" s="690">
        <f t="shared" si="2"/>
        <v>-1048.1499999999996</v>
      </c>
      <c r="U33" s="683"/>
      <c r="V33" s="474">
        <f t="shared" si="3"/>
        <v>13000</v>
      </c>
      <c r="W33" s="474">
        <f t="shared" si="4"/>
        <v>0</v>
      </c>
      <c r="X33" s="475">
        <f t="shared" si="5"/>
        <v>0</v>
      </c>
      <c r="Y33" s="475">
        <v>0</v>
      </c>
      <c r="Z33" s="476">
        <v>0</v>
      </c>
      <c r="AA33" s="38">
        <f t="shared" si="6"/>
        <v>0</v>
      </c>
      <c r="AB33" s="692">
        <f t="shared" si="13"/>
        <v>-2664.1399999999994</v>
      </c>
      <c r="AC33" s="692">
        <f t="shared" si="14"/>
        <v>0</v>
      </c>
      <c r="AD33" s="692">
        <f t="shared" si="15"/>
        <v>0</v>
      </c>
      <c r="AE33" s="38"/>
      <c r="AF33" s="692">
        <f t="shared" si="16"/>
        <v>13000</v>
      </c>
      <c r="AG33" s="692">
        <f t="shared" si="17"/>
        <v>0</v>
      </c>
      <c r="AH33" s="692">
        <f t="shared" si="18"/>
        <v>0</v>
      </c>
      <c r="AJ33" s="38">
        <f t="shared" si="19"/>
        <v>10335.86</v>
      </c>
    </row>
    <row r="34" spans="1:36" s="232" customFormat="1">
      <c r="A34" s="283"/>
      <c r="B34" s="283" t="s">
        <v>110</v>
      </c>
      <c r="C34" s="667" t="s">
        <v>528</v>
      </c>
      <c r="D34" s="123" t="s">
        <v>406</v>
      </c>
      <c r="E34" s="679"/>
      <c r="F34" s="529">
        <f>VLOOKUP(D34,'Aug 2012 Revenue'!D:T,17,FALSE)</f>
        <v>-307.52999999999975</v>
      </c>
      <c r="G34" s="680"/>
      <c r="H34" s="680"/>
      <c r="I34" s="755"/>
      <c r="J34" s="682">
        <f t="shared" si="0"/>
        <v>-307.52999999999975</v>
      </c>
      <c r="K34" s="683"/>
      <c r="L34" s="684"/>
      <c r="M34" s="753">
        <v>5000</v>
      </c>
      <c r="N34" s="683">
        <v>0</v>
      </c>
      <c r="O34" s="686"/>
      <c r="P34" s="683">
        <v>0</v>
      </c>
      <c r="Q34" s="687">
        <f t="shared" si="1"/>
        <v>5000</v>
      </c>
      <c r="R34" s="688">
        <v>4679.05</v>
      </c>
      <c r="S34" s="693"/>
      <c r="T34" s="690">
        <f t="shared" si="2"/>
        <v>-320.94999999999982</v>
      </c>
      <c r="U34" s="683"/>
      <c r="V34" s="474">
        <f t="shared" si="3"/>
        <v>5000</v>
      </c>
      <c r="W34" s="474">
        <f t="shared" si="4"/>
        <v>0</v>
      </c>
      <c r="X34" s="475">
        <f t="shared" si="5"/>
        <v>0</v>
      </c>
      <c r="Y34" s="475">
        <v>0</v>
      </c>
      <c r="Z34" s="476">
        <v>0</v>
      </c>
      <c r="AA34" s="38">
        <f t="shared" si="6"/>
        <v>0</v>
      </c>
      <c r="AB34" s="692">
        <f t="shared" si="13"/>
        <v>-307.52999999999975</v>
      </c>
      <c r="AC34" s="692">
        <f t="shared" si="14"/>
        <v>0</v>
      </c>
      <c r="AD34" s="692">
        <f t="shared" si="15"/>
        <v>0</v>
      </c>
      <c r="AE34" s="38"/>
      <c r="AF34" s="692">
        <f t="shared" si="16"/>
        <v>5000</v>
      </c>
      <c r="AG34" s="692">
        <f t="shared" si="17"/>
        <v>0</v>
      </c>
      <c r="AH34" s="692">
        <f t="shared" si="18"/>
        <v>0</v>
      </c>
      <c r="AJ34" s="38">
        <f t="shared" si="19"/>
        <v>4692.47</v>
      </c>
    </row>
    <row r="35" spans="1:36" s="232" customFormat="1">
      <c r="A35" s="283"/>
      <c r="B35" s="283" t="s">
        <v>110</v>
      </c>
      <c r="C35" s="667" t="s">
        <v>528</v>
      </c>
      <c r="D35" s="123" t="s">
        <v>407</v>
      </c>
      <c r="E35" s="679"/>
      <c r="F35" s="529">
        <f>VLOOKUP(D35,'Aug 2012 Revenue'!D:T,17,FALSE)</f>
        <v>297.2199999999998</v>
      </c>
      <c r="G35" s="680"/>
      <c r="H35" s="680"/>
      <c r="I35" s="755"/>
      <c r="J35" s="682">
        <f t="shared" si="0"/>
        <v>297.2199999999998</v>
      </c>
      <c r="K35" s="683"/>
      <c r="L35" s="684"/>
      <c r="M35" s="753">
        <v>2000</v>
      </c>
      <c r="N35" s="683">
        <v>0</v>
      </c>
      <c r="O35" s="686"/>
      <c r="P35" s="683">
        <v>0</v>
      </c>
      <c r="Q35" s="687">
        <f t="shared" si="1"/>
        <v>2000</v>
      </c>
      <c r="R35" s="688">
        <v>2158.77</v>
      </c>
      <c r="S35" s="693"/>
      <c r="T35" s="690">
        <f t="shared" si="2"/>
        <v>158.76999999999998</v>
      </c>
      <c r="U35" s="683"/>
      <c r="V35" s="474">
        <f t="shared" si="3"/>
        <v>2000</v>
      </c>
      <c r="W35" s="474">
        <f t="shared" si="4"/>
        <v>0</v>
      </c>
      <c r="X35" s="475">
        <f t="shared" si="5"/>
        <v>0</v>
      </c>
      <c r="Y35" s="475">
        <v>0</v>
      </c>
      <c r="Z35" s="476">
        <v>0</v>
      </c>
      <c r="AA35" s="38">
        <f t="shared" si="6"/>
        <v>0</v>
      </c>
      <c r="AB35" s="692">
        <f t="shared" si="13"/>
        <v>297.2199999999998</v>
      </c>
      <c r="AC35" s="692">
        <f t="shared" si="14"/>
        <v>0</v>
      </c>
      <c r="AD35" s="692">
        <f t="shared" si="15"/>
        <v>0</v>
      </c>
      <c r="AE35" s="38"/>
      <c r="AF35" s="692">
        <f t="shared" si="16"/>
        <v>2000</v>
      </c>
      <c r="AG35" s="692">
        <f t="shared" si="17"/>
        <v>0</v>
      </c>
      <c r="AH35" s="692">
        <f t="shared" si="18"/>
        <v>0</v>
      </c>
      <c r="AJ35" s="38">
        <f t="shared" si="19"/>
        <v>2297.2199999999998</v>
      </c>
    </row>
    <row r="36" spans="1:36" s="232" customFormat="1">
      <c r="A36" s="283"/>
      <c r="B36" s="283" t="s">
        <v>110</v>
      </c>
      <c r="C36" s="667" t="s">
        <v>528</v>
      </c>
      <c r="D36" s="123" t="s">
        <v>820</v>
      </c>
      <c r="E36" s="679">
        <f>11418.86+10525.55</f>
        <v>21944.41</v>
      </c>
      <c r="F36" s="529">
        <f>VLOOKUP(D36,'Aug 2012 Revenue'!D:T,17,FALSE)</f>
        <v>-36000</v>
      </c>
      <c r="G36" s="680"/>
      <c r="H36" s="680"/>
      <c r="I36" s="755"/>
      <c r="J36" s="682">
        <f t="shared" si="0"/>
        <v>-14055.59</v>
      </c>
      <c r="K36" s="683"/>
      <c r="L36" s="684"/>
      <c r="M36" s="753">
        <v>22000</v>
      </c>
      <c r="N36" s="683">
        <v>0</v>
      </c>
      <c r="O36" s="686"/>
      <c r="P36" s="683">
        <v>0</v>
      </c>
      <c r="Q36" s="687">
        <f t="shared" si="1"/>
        <v>22000</v>
      </c>
      <c r="R36" s="688">
        <v>0</v>
      </c>
      <c r="S36" s="693"/>
      <c r="T36" s="690">
        <f t="shared" si="2"/>
        <v>-22000</v>
      </c>
      <c r="U36" s="683"/>
      <c r="V36" s="474">
        <f t="shared" si="3"/>
        <v>22000</v>
      </c>
      <c r="W36" s="474">
        <f t="shared" si="4"/>
        <v>0</v>
      </c>
      <c r="X36" s="475">
        <f t="shared" si="5"/>
        <v>0</v>
      </c>
      <c r="Y36" s="475">
        <v>0</v>
      </c>
      <c r="Z36" s="476">
        <v>0</v>
      </c>
      <c r="AA36" s="38">
        <f t="shared" si="6"/>
        <v>0</v>
      </c>
      <c r="AB36" s="692">
        <f t="shared" si="13"/>
        <v>-14055.59</v>
      </c>
      <c r="AC36" s="692">
        <f t="shared" si="14"/>
        <v>0</v>
      </c>
      <c r="AD36" s="692">
        <f t="shared" si="15"/>
        <v>0</v>
      </c>
      <c r="AE36" s="38"/>
      <c r="AF36" s="692">
        <f t="shared" si="16"/>
        <v>22000</v>
      </c>
      <c r="AG36" s="692">
        <f t="shared" si="17"/>
        <v>0</v>
      </c>
      <c r="AH36" s="692">
        <f t="shared" si="18"/>
        <v>0</v>
      </c>
      <c r="AJ36" s="38">
        <f t="shared" si="19"/>
        <v>7944.41</v>
      </c>
    </row>
    <row r="37" spans="1:36" s="232" customFormat="1">
      <c r="A37" s="283"/>
      <c r="B37" s="283" t="s">
        <v>110</v>
      </c>
      <c r="C37" s="667" t="s">
        <v>527</v>
      </c>
      <c r="D37" s="123" t="s">
        <v>460</v>
      </c>
      <c r="E37" s="679"/>
      <c r="F37" s="529">
        <f>VLOOKUP(D37,'Aug 2012 Revenue'!D:T,17,FALSE)</f>
        <v>0</v>
      </c>
      <c r="G37" s="680"/>
      <c r="H37" s="680"/>
      <c r="I37" s="770">
        <v>35293.39</v>
      </c>
      <c r="J37" s="682">
        <f t="shared" si="0"/>
        <v>35293.39</v>
      </c>
      <c r="K37" s="683"/>
      <c r="L37" s="684"/>
      <c r="M37" s="753"/>
      <c r="N37" s="683">
        <v>0</v>
      </c>
      <c r="O37" s="686"/>
      <c r="P37" s="683">
        <v>0</v>
      </c>
      <c r="Q37" s="687">
        <f t="shared" si="1"/>
        <v>0</v>
      </c>
      <c r="R37" s="688">
        <v>0</v>
      </c>
      <c r="S37" s="693"/>
      <c r="T37" s="690">
        <f t="shared" si="2"/>
        <v>0</v>
      </c>
      <c r="U37" s="683"/>
      <c r="V37" s="474">
        <f t="shared" si="3"/>
        <v>0</v>
      </c>
      <c r="W37" s="474">
        <f t="shared" si="4"/>
        <v>0</v>
      </c>
      <c r="X37" s="475">
        <f t="shared" si="5"/>
        <v>0</v>
      </c>
      <c r="Y37" s="475">
        <v>0</v>
      </c>
      <c r="Z37" s="476">
        <v>0</v>
      </c>
      <c r="AA37" s="38">
        <f t="shared" si="6"/>
        <v>0</v>
      </c>
      <c r="AB37" s="692">
        <f t="shared" si="13"/>
        <v>35293.39</v>
      </c>
      <c r="AC37" s="692">
        <f t="shared" si="14"/>
        <v>0</v>
      </c>
      <c r="AD37" s="692">
        <f t="shared" si="15"/>
        <v>0</v>
      </c>
      <c r="AE37" s="38"/>
      <c r="AF37" s="692">
        <f t="shared" si="16"/>
        <v>0</v>
      </c>
      <c r="AG37" s="692">
        <f t="shared" si="17"/>
        <v>0</v>
      </c>
      <c r="AH37" s="692">
        <f t="shared" si="18"/>
        <v>0</v>
      </c>
      <c r="AJ37" s="38">
        <f t="shared" si="19"/>
        <v>35293.39</v>
      </c>
    </row>
    <row r="38" spans="1:36" s="232" customFormat="1">
      <c r="A38" s="283"/>
      <c r="B38" s="283" t="s">
        <v>110</v>
      </c>
      <c r="C38" s="676" t="s">
        <v>528</v>
      </c>
      <c r="D38" s="123" t="s">
        <v>623</v>
      </c>
      <c r="E38" s="679"/>
      <c r="F38" s="529">
        <f>VLOOKUP(D38,'Aug 2012 Revenue'!D:T,17,FALSE)</f>
        <v>0</v>
      </c>
      <c r="G38" s="680"/>
      <c r="H38" s="680"/>
      <c r="I38" s="770">
        <v>10588.71</v>
      </c>
      <c r="J38" s="682">
        <f t="shared" si="0"/>
        <v>10588.71</v>
      </c>
      <c r="K38" s="683"/>
      <c r="L38" s="684"/>
      <c r="M38" s="753"/>
      <c r="N38" s="683">
        <v>0</v>
      </c>
      <c r="O38" s="686"/>
      <c r="P38" s="683">
        <v>0</v>
      </c>
      <c r="Q38" s="687">
        <f t="shared" si="1"/>
        <v>0</v>
      </c>
      <c r="R38" s="688">
        <v>0</v>
      </c>
      <c r="S38" s="693"/>
      <c r="T38" s="690">
        <f t="shared" si="2"/>
        <v>0</v>
      </c>
      <c r="U38" s="683"/>
      <c r="V38" s="474">
        <f t="shared" si="3"/>
        <v>0</v>
      </c>
      <c r="W38" s="474">
        <f t="shared" si="4"/>
        <v>0</v>
      </c>
      <c r="X38" s="475">
        <f t="shared" si="5"/>
        <v>0</v>
      </c>
      <c r="Y38" s="475">
        <v>0</v>
      </c>
      <c r="Z38" s="476">
        <v>0</v>
      </c>
      <c r="AA38" s="38">
        <f t="shared" si="6"/>
        <v>0</v>
      </c>
      <c r="AB38" s="692">
        <f t="shared" si="13"/>
        <v>10588.71</v>
      </c>
      <c r="AC38" s="692">
        <f t="shared" si="14"/>
        <v>0</v>
      </c>
      <c r="AD38" s="692">
        <f t="shared" si="15"/>
        <v>0</v>
      </c>
      <c r="AE38" s="38"/>
      <c r="AF38" s="692">
        <f t="shared" si="16"/>
        <v>0</v>
      </c>
      <c r="AG38" s="692">
        <f t="shared" si="17"/>
        <v>0</v>
      </c>
      <c r="AH38" s="692">
        <f t="shared" si="18"/>
        <v>0</v>
      </c>
      <c r="AJ38" s="38">
        <f t="shared" si="19"/>
        <v>10588.71</v>
      </c>
    </row>
    <row r="39" spans="1:36" s="232" customFormat="1">
      <c r="A39" s="403"/>
      <c r="B39" s="403" t="s">
        <v>114</v>
      </c>
      <c r="C39" s="666" t="s">
        <v>529</v>
      </c>
      <c r="D39" s="123" t="s">
        <v>108</v>
      </c>
      <c r="E39" s="679"/>
      <c r="F39" s="529">
        <f>VLOOKUP(D39,'Aug 2012 Revenue'!D:T,17,FALSE)</f>
        <v>-1.5399999999999636</v>
      </c>
      <c r="G39" s="680"/>
      <c r="H39" s="680"/>
      <c r="I39" s="755"/>
      <c r="J39" s="682">
        <f t="shared" si="0"/>
        <v>-1.5399999999999636</v>
      </c>
      <c r="K39" s="683"/>
      <c r="L39" s="684"/>
      <c r="M39" s="753">
        <v>5000</v>
      </c>
      <c r="N39" s="683">
        <v>0</v>
      </c>
      <c r="O39" s="686"/>
      <c r="P39" s="683">
        <v>0</v>
      </c>
      <c r="Q39" s="687">
        <f t="shared" si="1"/>
        <v>5000</v>
      </c>
      <c r="R39" s="688">
        <v>4721.79</v>
      </c>
      <c r="S39" s="693"/>
      <c r="T39" s="690">
        <f t="shared" si="2"/>
        <v>-278.21000000000004</v>
      </c>
      <c r="U39" s="683"/>
      <c r="V39" s="474">
        <f t="shared" si="3"/>
        <v>0</v>
      </c>
      <c r="W39" s="474">
        <f t="shared" si="4"/>
        <v>0</v>
      </c>
      <c r="X39" s="475">
        <f t="shared" si="5"/>
        <v>5000</v>
      </c>
      <c r="Y39" s="475">
        <v>0</v>
      </c>
      <c r="Z39" s="476">
        <v>0</v>
      </c>
      <c r="AA39" s="38">
        <f t="shared" si="6"/>
        <v>0</v>
      </c>
      <c r="AB39" s="692">
        <f t="shared" si="13"/>
        <v>0</v>
      </c>
      <c r="AC39" s="692">
        <f t="shared" si="14"/>
        <v>0</v>
      </c>
      <c r="AD39" s="692">
        <f t="shared" si="15"/>
        <v>-1.5399999999999636</v>
      </c>
      <c r="AE39" s="38"/>
      <c r="AF39" s="692">
        <f t="shared" si="16"/>
        <v>0</v>
      </c>
      <c r="AG39" s="692">
        <f t="shared" si="17"/>
        <v>0</v>
      </c>
      <c r="AH39" s="692">
        <f t="shared" si="18"/>
        <v>5000</v>
      </c>
      <c r="AJ39" s="38">
        <f t="shared" si="19"/>
        <v>4998.46</v>
      </c>
    </row>
    <row r="40" spans="1:36">
      <c r="A40" s="21"/>
      <c r="B40" s="21" t="s">
        <v>110</v>
      </c>
      <c r="C40" s="666"/>
      <c r="D40" s="68" t="s">
        <v>234</v>
      </c>
      <c r="E40" s="679"/>
      <c r="F40" s="529">
        <f>VLOOKUP(D40,'Aug 2012 Revenue'!D:T,17,FALSE)</f>
        <v>0</v>
      </c>
      <c r="G40" s="680"/>
      <c r="H40" s="680"/>
      <c r="I40" s="755"/>
      <c r="J40" s="682">
        <f t="shared" si="0"/>
        <v>0</v>
      </c>
      <c r="K40" s="683"/>
      <c r="L40" s="684"/>
      <c r="M40" s="753">
        <v>5000</v>
      </c>
      <c r="N40" s="683">
        <v>0</v>
      </c>
      <c r="O40" s="686"/>
      <c r="P40" s="683">
        <v>0</v>
      </c>
      <c r="Q40" s="687">
        <f t="shared" si="1"/>
        <v>5000</v>
      </c>
      <c r="R40" s="688">
        <v>0</v>
      </c>
      <c r="S40" s="693"/>
      <c r="T40" s="690">
        <f t="shared" si="2"/>
        <v>-5000</v>
      </c>
      <c r="U40" s="683"/>
      <c r="V40" s="474">
        <f t="shared" si="3"/>
        <v>5000</v>
      </c>
      <c r="W40" s="474">
        <f t="shared" si="4"/>
        <v>0</v>
      </c>
      <c r="X40" s="475">
        <f t="shared" si="5"/>
        <v>0</v>
      </c>
      <c r="Y40" s="475">
        <v>0</v>
      </c>
      <c r="Z40" s="476">
        <v>0</v>
      </c>
      <c r="AA40" s="38">
        <f t="shared" si="6"/>
        <v>0</v>
      </c>
      <c r="AB40" s="692">
        <f t="shared" si="13"/>
        <v>0</v>
      </c>
      <c r="AC40" s="692">
        <f t="shared" si="14"/>
        <v>0</v>
      </c>
      <c r="AD40" s="692">
        <f t="shared" si="15"/>
        <v>0</v>
      </c>
      <c r="AE40" s="38"/>
      <c r="AF40" s="692">
        <f t="shared" si="16"/>
        <v>5000</v>
      </c>
      <c r="AG40" s="692">
        <f t="shared" si="17"/>
        <v>0</v>
      </c>
      <c r="AH40" s="692">
        <f t="shared" si="18"/>
        <v>0</v>
      </c>
      <c r="AJ40" s="38">
        <f t="shared" si="19"/>
        <v>5000</v>
      </c>
    </row>
    <row r="41" spans="1:36">
      <c r="A41" s="20"/>
      <c r="B41" s="20" t="s">
        <v>109</v>
      </c>
      <c r="C41" s="667"/>
      <c r="D41" s="68" t="s">
        <v>598</v>
      </c>
      <c r="F41" s="529">
        <f>VLOOKUP(D41,'Aug 2012 Revenue'!D:T,17,FALSE)</f>
        <v>0</v>
      </c>
      <c r="G41" s="680"/>
      <c r="H41" s="680"/>
      <c r="I41" s="755"/>
      <c r="J41" s="682">
        <f>SUM(F41:I41)</f>
        <v>0</v>
      </c>
      <c r="K41" s="683"/>
      <c r="L41" s="684"/>
      <c r="M41" s="753"/>
      <c r="N41" s="683">
        <v>0</v>
      </c>
      <c r="O41" s="686"/>
      <c r="P41" s="683">
        <v>0</v>
      </c>
      <c r="Q41" s="687">
        <f t="shared" si="1"/>
        <v>0</v>
      </c>
      <c r="R41" s="688">
        <v>0</v>
      </c>
      <c r="S41" s="693"/>
      <c r="T41" s="690">
        <f t="shared" si="2"/>
        <v>0</v>
      </c>
      <c r="U41" s="683"/>
      <c r="V41" s="474">
        <f t="shared" si="3"/>
        <v>0</v>
      </c>
      <c r="W41" s="474">
        <f t="shared" si="4"/>
        <v>0</v>
      </c>
      <c r="X41" s="475">
        <f t="shared" si="5"/>
        <v>0</v>
      </c>
      <c r="Y41" s="475">
        <v>0</v>
      </c>
      <c r="Z41" s="476">
        <v>0</v>
      </c>
      <c r="AA41" s="38">
        <f t="shared" si="6"/>
        <v>0</v>
      </c>
      <c r="AB41" s="692">
        <f t="shared" si="13"/>
        <v>0</v>
      </c>
      <c r="AC41" s="692">
        <f t="shared" si="14"/>
        <v>0</v>
      </c>
      <c r="AD41" s="692">
        <f t="shared" si="15"/>
        <v>0</v>
      </c>
      <c r="AE41" s="38"/>
      <c r="AF41" s="692">
        <f t="shared" si="16"/>
        <v>0</v>
      </c>
      <c r="AG41" s="692">
        <f t="shared" si="17"/>
        <v>0</v>
      </c>
      <c r="AH41" s="692">
        <f t="shared" si="18"/>
        <v>0</v>
      </c>
      <c r="AJ41" s="38">
        <f t="shared" si="19"/>
        <v>0</v>
      </c>
    </row>
    <row r="42" spans="1:36">
      <c r="A42" s="20"/>
      <c r="B42" s="20" t="s">
        <v>110</v>
      </c>
      <c r="C42" s="667"/>
      <c r="D42" s="68" t="s">
        <v>311</v>
      </c>
      <c r="E42" s="679"/>
      <c r="F42" s="529">
        <f>VLOOKUP(D42,'Aug 2012 Revenue'!D:T,17,FALSE)</f>
        <v>0</v>
      </c>
      <c r="G42" s="680"/>
      <c r="H42" s="680"/>
      <c r="I42" s="755"/>
      <c r="J42" s="682">
        <f t="shared" ref="J42:J54" si="20">SUM(E42:I42)</f>
        <v>0</v>
      </c>
      <c r="K42" s="683"/>
      <c r="L42" s="684"/>
      <c r="M42" s="753"/>
      <c r="N42" s="683">
        <v>0</v>
      </c>
      <c r="O42" s="686"/>
      <c r="P42" s="683">
        <v>0</v>
      </c>
      <c r="Q42" s="687">
        <f t="shared" si="1"/>
        <v>0</v>
      </c>
      <c r="R42" s="688">
        <v>0</v>
      </c>
      <c r="S42" s="693"/>
      <c r="T42" s="690">
        <f t="shared" si="2"/>
        <v>0</v>
      </c>
      <c r="U42" s="683"/>
      <c r="V42" s="474">
        <f t="shared" si="3"/>
        <v>0</v>
      </c>
      <c r="W42" s="474">
        <f t="shared" si="4"/>
        <v>0</v>
      </c>
      <c r="X42" s="475">
        <f t="shared" si="5"/>
        <v>0</v>
      </c>
      <c r="Y42" s="475">
        <v>0</v>
      </c>
      <c r="Z42" s="476">
        <v>0</v>
      </c>
      <c r="AA42" s="38">
        <f t="shared" si="6"/>
        <v>0</v>
      </c>
      <c r="AB42" s="692">
        <f t="shared" si="13"/>
        <v>0</v>
      </c>
      <c r="AC42" s="692">
        <f t="shared" si="14"/>
        <v>0</v>
      </c>
      <c r="AD42" s="692">
        <f t="shared" si="15"/>
        <v>0</v>
      </c>
      <c r="AE42" s="38"/>
      <c r="AF42" s="692">
        <f t="shared" si="16"/>
        <v>0</v>
      </c>
      <c r="AG42" s="692">
        <f t="shared" si="17"/>
        <v>0</v>
      </c>
      <c r="AH42" s="692">
        <f t="shared" si="18"/>
        <v>0</v>
      </c>
      <c r="AJ42" s="38">
        <f t="shared" si="19"/>
        <v>0</v>
      </c>
    </row>
    <row r="43" spans="1:36">
      <c r="A43" s="20"/>
      <c r="B43" s="20" t="s">
        <v>110</v>
      </c>
      <c r="C43" s="667"/>
      <c r="D43" s="68" t="s">
        <v>451</v>
      </c>
      <c r="E43" s="679"/>
      <c r="F43" s="529">
        <f>VLOOKUP(D43,'Aug 2012 Revenue'!D:T,17,FALSE)</f>
        <v>-25000</v>
      </c>
      <c r="G43" s="680"/>
      <c r="H43" s="680"/>
      <c r="I43" s="755"/>
      <c r="J43" s="682">
        <f t="shared" si="20"/>
        <v>-25000</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13"/>
        <v>-25000</v>
      </c>
      <c r="AC43" s="692">
        <f t="shared" si="14"/>
        <v>0</v>
      </c>
      <c r="AD43" s="692">
        <f t="shared" si="15"/>
        <v>0</v>
      </c>
      <c r="AE43" s="38"/>
      <c r="AF43" s="692">
        <f t="shared" si="16"/>
        <v>0</v>
      </c>
      <c r="AG43" s="692">
        <f t="shared" si="17"/>
        <v>0</v>
      </c>
      <c r="AH43" s="692">
        <f t="shared" si="18"/>
        <v>0</v>
      </c>
      <c r="AJ43" s="38">
        <f t="shared" si="19"/>
        <v>-25000</v>
      </c>
    </row>
    <row r="44" spans="1:36">
      <c r="A44" s="20"/>
      <c r="B44" s="20" t="s">
        <v>109</v>
      </c>
      <c r="C44" s="667"/>
      <c r="D44" s="68" t="s">
        <v>469</v>
      </c>
      <c r="E44" s="679">
        <v>4165.74</v>
      </c>
      <c r="F44" s="529">
        <f>VLOOKUP(D44,'Aug 2012 Revenue'!D:T,17,FALSE)</f>
        <v>4068.61</v>
      </c>
      <c r="G44" s="680"/>
      <c r="H44" s="680"/>
      <c r="I44" s="770">
        <v>4895.6099999999997</v>
      </c>
      <c r="J44" s="682">
        <f t="shared" si="20"/>
        <v>13129.96</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13"/>
        <v>0</v>
      </c>
      <c r="AC44" s="692">
        <f t="shared" si="14"/>
        <v>13129.96</v>
      </c>
      <c r="AD44" s="692">
        <f t="shared" si="15"/>
        <v>0</v>
      </c>
      <c r="AE44" s="38"/>
      <c r="AF44" s="692">
        <f t="shared" si="16"/>
        <v>0</v>
      </c>
      <c r="AG44" s="692">
        <f t="shared" si="17"/>
        <v>0</v>
      </c>
      <c r="AH44" s="692">
        <f t="shared" si="18"/>
        <v>0</v>
      </c>
      <c r="AJ44" s="38">
        <f t="shared" si="19"/>
        <v>13129.96</v>
      </c>
    </row>
    <row r="45" spans="1:36">
      <c r="A45" s="20"/>
      <c r="B45" s="20" t="s">
        <v>110</v>
      </c>
      <c r="C45" s="667" t="s">
        <v>530</v>
      </c>
      <c r="D45" s="68" t="s">
        <v>69</v>
      </c>
      <c r="E45" s="679"/>
      <c r="F45" s="529">
        <f>VLOOKUP(D45,'Aug 2012 Revenue'!D:T,17,FALSE)</f>
        <v>0</v>
      </c>
      <c r="G45" s="680"/>
      <c r="H45" s="680"/>
      <c r="I45" s="755"/>
      <c r="J45" s="682">
        <f t="shared" si="20"/>
        <v>0</v>
      </c>
      <c r="K45" s="683"/>
      <c r="L45" s="684"/>
      <c r="M45" s="753"/>
      <c r="N45" s="683">
        <v>0</v>
      </c>
      <c r="O45" s="686"/>
      <c r="P45" s="683">
        <v>0</v>
      </c>
      <c r="Q45" s="687">
        <f t="shared" si="1"/>
        <v>0</v>
      </c>
      <c r="R45" s="688">
        <v>2699.76</v>
      </c>
      <c r="S45" s="693"/>
      <c r="T45" s="690">
        <f t="shared" si="2"/>
        <v>2699.76</v>
      </c>
      <c r="U45" s="683"/>
      <c r="V45" s="474">
        <f t="shared" si="3"/>
        <v>0</v>
      </c>
      <c r="W45" s="474">
        <f t="shared" si="4"/>
        <v>0</v>
      </c>
      <c r="X45" s="475">
        <f t="shared" si="5"/>
        <v>0</v>
      </c>
      <c r="Y45" s="475">
        <v>0</v>
      </c>
      <c r="Z45" s="476">
        <v>0</v>
      </c>
      <c r="AA45" s="38">
        <f t="shared" si="6"/>
        <v>0</v>
      </c>
      <c r="AB45" s="692">
        <f t="shared" si="13"/>
        <v>0</v>
      </c>
      <c r="AC45" s="692">
        <f t="shared" si="14"/>
        <v>0</v>
      </c>
      <c r="AD45" s="692">
        <f t="shared" si="15"/>
        <v>0</v>
      </c>
      <c r="AE45" s="38"/>
      <c r="AF45" s="692">
        <f t="shared" si="16"/>
        <v>0</v>
      </c>
      <c r="AG45" s="692">
        <f t="shared" si="17"/>
        <v>0</v>
      </c>
      <c r="AH45" s="692">
        <f t="shared" si="18"/>
        <v>0</v>
      </c>
      <c r="AJ45" s="38">
        <f t="shared" si="19"/>
        <v>0</v>
      </c>
    </row>
    <row r="46" spans="1:36">
      <c r="A46" s="20"/>
      <c r="B46" s="20" t="s">
        <v>110</v>
      </c>
      <c r="C46" s="667" t="s">
        <v>531</v>
      </c>
      <c r="D46" s="68" t="s">
        <v>237</v>
      </c>
      <c r="E46" s="679"/>
      <c r="F46" s="529">
        <f>VLOOKUP(D46,'Aug 2012 Revenue'!D:T,17,FALSE)</f>
        <v>13041.22</v>
      </c>
      <c r="G46" s="680"/>
      <c r="H46" s="680"/>
      <c r="I46" s="755"/>
      <c r="J46" s="682">
        <f t="shared" si="20"/>
        <v>13041.22</v>
      </c>
      <c r="K46" s="683"/>
      <c r="L46" s="684"/>
      <c r="M46" s="753">
        <v>15000</v>
      </c>
      <c r="N46" s="683">
        <v>0</v>
      </c>
      <c r="O46" s="686"/>
      <c r="P46" s="683">
        <v>0</v>
      </c>
      <c r="Q46" s="687">
        <f t="shared" si="1"/>
        <v>15000</v>
      </c>
      <c r="R46" s="688">
        <v>13717.08</v>
      </c>
      <c r="S46" s="693"/>
      <c r="T46" s="690">
        <f t="shared" si="2"/>
        <v>-1282.92</v>
      </c>
      <c r="U46" s="683"/>
      <c r="V46" s="474">
        <f t="shared" si="3"/>
        <v>15000</v>
      </c>
      <c r="W46" s="474">
        <f t="shared" si="4"/>
        <v>0</v>
      </c>
      <c r="X46" s="475">
        <f t="shared" si="5"/>
        <v>0</v>
      </c>
      <c r="Y46" s="475">
        <v>0</v>
      </c>
      <c r="Z46" s="476">
        <v>0</v>
      </c>
      <c r="AA46" s="38">
        <f t="shared" si="6"/>
        <v>0</v>
      </c>
      <c r="AB46" s="692">
        <f t="shared" si="13"/>
        <v>13041.22</v>
      </c>
      <c r="AC46" s="692">
        <f t="shared" si="14"/>
        <v>0</v>
      </c>
      <c r="AD46" s="692">
        <f t="shared" si="15"/>
        <v>0</v>
      </c>
      <c r="AE46" s="38"/>
      <c r="AF46" s="692">
        <f t="shared" si="16"/>
        <v>15000</v>
      </c>
      <c r="AG46" s="692">
        <f t="shared" si="17"/>
        <v>0</v>
      </c>
      <c r="AH46" s="692">
        <f t="shared" si="18"/>
        <v>0</v>
      </c>
      <c r="AJ46" s="38">
        <f t="shared" si="19"/>
        <v>28041.22</v>
      </c>
    </row>
    <row r="47" spans="1:36">
      <c r="A47" s="20" t="s">
        <v>211</v>
      </c>
      <c r="B47" s="20" t="s">
        <v>110</v>
      </c>
      <c r="C47" s="667" t="s">
        <v>532</v>
      </c>
      <c r="D47" s="68" t="s">
        <v>7</v>
      </c>
      <c r="E47" s="679"/>
      <c r="F47" s="529">
        <f>VLOOKUP(D47,'Aug 2012 Revenue'!D:T,17,FALSE)</f>
        <v>-26000</v>
      </c>
      <c r="G47" s="680"/>
      <c r="H47" s="680"/>
      <c r="I47" s="755"/>
      <c r="J47" s="682">
        <f t="shared" si="20"/>
        <v>-26000</v>
      </c>
      <c r="K47" s="683"/>
      <c r="L47" s="684"/>
      <c r="M47" s="753">
        <v>39000</v>
      </c>
      <c r="N47" s="683">
        <v>0</v>
      </c>
      <c r="O47" s="686"/>
      <c r="P47" s="683">
        <v>0</v>
      </c>
      <c r="Q47" s="687">
        <f t="shared" si="1"/>
        <v>39000</v>
      </c>
      <c r="R47" s="688">
        <v>31852.03</v>
      </c>
      <c r="S47" s="693"/>
      <c r="T47" s="690">
        <f t="shared" si="2"/>
        <v>-7147.9700000000012</v>
      </c>
      <c r="U47" s="697"/>
      <c r="V47" s="474">
        <f t="shared" si="3"/>
        <v>39000</v>
      </c>
      <c r="W47" s="474">
        <f t="shared" si="4"/>
        <v>0</v>
      </c>
      <c r="X47" s="475">
        <f t="shared" si="5"/>
        <v>0</v>
      </c>
      <c r="Y47" s="475">
        <v>0</v>
      </c>
      <c r="Z47" s="476">
        <v>0</v>
      </c>
      <c r="AA47" s="38">
        <f t="shared" si="6"/>
        <v>0</v>
      </c>
      <c r="AB47" s="692">
        <f t="shared" si="13"/>
        <v>-26000</v>
      </c>
      <c r="AC47" s="692">
        <f t="shared" si="14"/>
        <v>0</v>
      </c>
      <c r="AD47" s="692">
        <f t="shared" si="15"/>
        <v>0</v>
      </c>
      <c r="AE47" s="38"/>
      <c r="AF47" s="692">
        <f t="shared" si="16"/>
        <v>39000</v>
      </c>
      <c r="AG47" s="692">
        <f t="shared" si="17"/>
        <v>0</v>
      </c>
      <c r="AH47" s="692">
        <f t="shared" si="18"/>
        <v>0</v>
      </c>
      <c r="AJ47" s="38">
        <f t="shared" si="19"/>
        <v>13000</v>
      </c>
    </row>
    <row r="48" spans="1:36" s="232" customFormat="1">
      <c r="A48" s="283" t="s">
        <v>97</v>
      </c>
      <c r="B48" s="283" t="s">
        <v>109</v>
      </c>
      <c r="C48" s="667" t="s">
        <v>533</v>
      </c>
      <c r="D48" s="123" t="s">
        <v>415</v>
      </c>
      <c r="E48" s="679"/>
      <c r="F48" s="529">
        <f>VLOOKUP(D48,'Aug 2012 Revenue'!D:T,17,FALSE)</f>
        <v>0</v>
      </c>
      <c r="G48" s="680"/>
      <c r="H48" s="680"/>
      <c r="I48" s="755"/>
      <c r="J48" s="682">
        <f t="shared" si="20"/>
        <v>0</v>
      </c>
      <c r="K48" s="683"/>
      <c r="L48" s="684"/>
      <c r="M48" s="753"/>
      <c r="N48" s="683">
        <v>0</v>
      </c>
      <c r="O48" s="686"/>
      <c r="P48" s="683">
        <v>0</v>
      </c>
      <c r="Q48" s="687">
        <f t="shared" si="1"/>
        <v>0</v>
      </c>
      <c r="R48" s="688">
        <v>0</v>
      </c>
      <c r="S48" s="693"/>
      <c r="T48" s="690">
        <f t="shared" si="2"/>
        <v>0</v>
      </c>
      <c r="U48" s="683"/>
      <c r="V48" s="474">
        <f t="shared" si="3"/>
        <v>0</v>
      </c>
      <c r="W48" s="474">
        <f t="shared" si="4"/>
        <v>0</v>
      </c>
      <c r="X48" s="475">
        <f t="shared" si="5"/>
        <v>0</v>
      </c>
      <c r="Y48" s="475">
        <v>0</v>
      </c>
      <c r="Z48" s="476">
        <v>0</v>
      </c>
      <c r="AA48" s="38">
        <f t="shared" si="6"/>
        <v>0</v>
      </c>
      <c r="AB48" s="692">
        <f t="shared" si="13"/>
        <v>0</v>
      </c>
      <c r="AC48" s="692">
        <f t="shared" si="14"/>
        <v>0</v>
      </c>
      <c r="AD48" s="692">
        <f t="shared" si="15"/>
        <v>0</v>
      </c>
      <c r="AE48" s="38"/>
      <c r="AF48" s="692">
        <f t="shared" si="16"/>
        <v>0</v>
      </c>
      <c r="AG48" s="692">
        <f t="shared" si="17"/>
        <v>0</v>
      </c>
      <c r="AH48" s="692">
        <f t="shared" si="18"/>
        <v>0</v>
      </c>
      <c r="AJ48" s="38">
        <f t="shared" si="19"/>
        <v>0</v>
      </c>
    </row>
    <row r="49" spans="1:36" s="232" customFormat="1">
      <c r="A49" s="283"/>
      <c r="B49" s="283" t="s">
        <v>109</v>
      </c>
      <c r="C49" s="667" t="s">
        <v>533</v>
      </c>
      <c r="D49" s="123" t="s">
        <v>416</v>
      </c>
      <c r="E49" s="679"/>
      <c r="F49" s="529">
        <f>VLOOKUP(D49,'Aug 2012 Revenue'!D:T,17,FALSE)</f>
        <v>0</v>
      </c>
      <c r="G49" s="680"/>
      <c r="H49" s="680"/>
      <c r="I49" s="755"/>
      <c r="J49" s="682">
        <f t="shared" si="20"/>
        <v>0</v>
      </c>
      <c r="K49" s="683"/>
      <c r="L49" s="684"/>
      <c r="M49" s="753"/>
      <c r="N49" s="683">
        <v>0</v>
      </c>
      <c r="O49" s="686"/>
      <c r="P49" s="683">
        <v>0</v>
      </c>
      <c r="Q49" s="687">
        <f t="shared" si="1"/>
        <v>0</v>
      </c>
      <c r="R49" s="688">
        <v>0</v>
      </c>
      <c r="S49" s="693"/>
      <c r="T49" s="690">
        <f t="shared" si="2"/>
        <v>0</v>
      </c>
      <c r="U49" s="683"/>
      <c r="V49" s="474">
        <f t="shared" si="3"/>
        <v>0</v>
      </c>
      <c r="W49" s="474">
        <f t="shared" si="4"/>
        <v>0</v>
      </c>
      <c r="X49" s="475">
        <f t="shared" si="5"/>
        <v>0</v>
      </c>
      <c r="Y49" s="475">
        <v>0</v>
      </c>
      <c r="Z49" s="476">
        <v>0</v>
      </c>
      <c r="AA49" s="38">
        <f t="shared" si="6"/>
        <v>0</v>
      </c>
      <c r="AB49" s="692">
        <f t="shared" si="13"/>
        <v>0</v>
      </c>
      <c r="AC49" s="692">
        <f t="shared" si="14"/>
        <v>0</v>
      </c>
      <c r="AD49" s="692">
        <f t="shared" si="15"/>
        <v>0</v>
      </c>
      <c r="AE49" s="38"/>
      <c r="AF49" s="692">
        <f t="shared" si="16"/>
        <v>0</v>
      </c>
      <c r="AG49" s="692">
        <f t="shared" si="17"/>
        <v>0</v>
      </c>
      <c r="AH49" s="692">
        <f t="shared" si="18"/>
        <v>0</v>
      </c>
      <c r="AJ49" s="38">
        <f t="shared" si="19"/>
        <v>0</v>
      </c>
    </row>
    <row r="50" spans="1:36" s="232" customFormat="1">
      <c r="A50" s="283"/>
      <c r="B50" s="283" t="s">
        <v>109</v>
      </c>
      <c r="C50" s="667" t="s">
        <v>533</v>
      </c>
      <c r="D50" s="123" t="s">
        <v>417</v>
      </c>
      <c r="E50" s="679"/>
      <c r="F50" s="529">
        <f>VLOOKUP(D50,'Aug 2012 Revenue'!D:T,17,FALSE)</f>
        <v>0</v>
      </c>
      <c r="G50" s="680"/>
      <c r="H50" s="680"/>
      <c r="I50" s="755"/>
      <c r="J50" s="682">
        <f t="shared" si="20"/>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13"/>
        <v>0</v>
      </c>
      <c r="AC50" s="692">
        <f t="shared" si="14"/>
        <v>0</v>
      </c>
      <c r="AD50" s="692">
        <f t="shared" si="15"/>
        <v>0</v>
      </c>
      <c r="AE50" s="38"/>
      <c r="AF50" s="692">
        <f t="shared" si="16"/>
        <v>0</v>
      </c>
      <c r="AG50" s="692">
        <f t="shared" si="17"/>
        <v>0</v>
      </c>
      <c r="AH50" s="692">
        <f t="shared" si="18"/>
        <v>0</v>
      </c>
      <c r="AJ50" s="38">
        <f t="shared" si="19"/>
        <v>0</v>
      </c>
    </row>
    <row r="51" spans="1:36" s="232" customFormat="1">
      <c r="A51" s="283"/>
      <c r="B51" s="283" t="s">
        <v>109</v>
      </c>
      <c r="C51" s="667" t="s">
        <v>533</v>
      </c>
      <c r="D51" s="123" t="s">
        <v>418</v>
      </c>
      <c r="E51" s="679"/>
      <c r="F51" s="529">
        <f>VLOOKUP(D51,'Aug 2012 Revenue'!D:T,17,FALSE)</f>
        <v>0</v>
      </c>
      <c r="G51" s="680"/>
      <c r="H51" s="680"/>
      <c r="I51" s="755"/>
      <c r="J51" s="682">
        <f t="shared" si="2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13"/>
        <v>0</v>
      </c>
      <c r="AC51" s="692">
        <f t="shared" si="14"/>
        <v>0</v>
      </c>
      <c r="AD51" s="692">
        <f t="shared" si="15"/>
        <v>0</v>
      </c>
      <c r="AE51" s="38"/>
      <c r="AF51" s="692">
        <f t="shared" si="16"/>
        <v>0</v>
      </c>
      <c r="AG51" s="692">
        <f t="shared" si="17"/>
        <v>0</v>
      </c>
      <c r="AH51" s="692">
        <f t="shared" si="18"/>
        <v>0</v>
      </c>
      <c r="AJ51" s="38">
        <f t="shared" si="19"/>
        <v>0</v>
      </c>
    </row>
    <row r="52" spans="1:36">
      <c r="A52" s="20" t="s">
        <v>211</v>
      </c>
      <c r="B52" s="20" t="s">
        <v>109</v>
      </c>
      <c r="C52" s="667" t="s">
        <v>534</v>
      </c>
      <c r="D52" s="68" t="s">
        <v>9</v>
      </c>
      <c r="E52" s="679">
        <f>28595.05-4211.54+203.66</f>
        <v>24587.17</v>
      </c>
      <c r="F52" s="529">
        <f>VLOOKUP(D52,'Aug 2012 Revenue'!D:T,17,FALSE)</f>
        <v>-15788.46</v>
      </c>
      <c r="G52" s="680"/>
      <c r="H52" s="680"/>
      <c r="I52" s="755"/>
      <c r="J52" s="682">
        <f t="shared" si="20"/>
        <v>8798.7099999999991</v>
      </c>
      <c r="K52" s="683"/>
      <c r="L52" s="684"/>
      <c r="M52" s="753">
        <v>5000</v>
      </c>
      <c r="N52" s="683">
        <v>0</v>
      </c>
      <c r="O52" s="686"/>
      <c r="P52" s="683">
        <v>0</v>
      </c>
      <c r="Q52" s="687">
        <f t="shared" si="1"/>
        <v>5000</v>
      </c>
      <c r="R52" s="688">
        <v>0</v>
      </c>
      <c r="S52" s="693"/>
      <c r="T52" s="690">
        <f t="shared" si="2"/>
        <v>-5000</v>
      </c>
      <c r="U52" s="697"/>
      <c r="V52" s="474">
        <f t="shared" si="3"/>
        <v>0</v>
      </c>
      <c r="W52" s="474">
        <f t="shared" si="4"/>
        <v>5000</v>
      </c>
      <c r="X52" s="475">
        <f t="shared" si="5"/>
        <v>0</v>
      </c>
      <c r="Y52" s="475">
        <v>0</v>
      </c>
      <c r="Z52" s="476">
        <v>0</v>
      </c>
      <c r="AA52" s="38">
        <f t="shared" si="6"/>
        <v>0</v>
      </c>
      <c r="AB52" s="692">
        <f t="shared" si="13"/>
        <v>0</v>
      </c>
      <c r="AC52" s="692">
        <f t="shared" si="14"/>
        <v>8798.7099999999991</v>
      </c>
      <c r="AD52" s="692">
        <f t="shared" si="15"/>
        <v>0</v>
      </c>
      <c r="AE52" s="38"/>
      <c r="AF52" s="692">
        <f t="shared" si="16"/>
        <v>0</v>
      </c>
      <c r="AG52" s="692">
        <f t="shared" si="17"/>
        <v>5000</v>
      </c>
      <c r="AH52" s="692">
        <f t="shared" si="18"/>
        <v>0</v>
      </c>
      <c r="AJ52" s="38">
        <f t="shared" si="19"/>
        <v>13798.71</v>
      </c>
    </row>
    <row r="53" spans="1:36">
      <c r="A53" s="20" t="s">
        <v>211</v>
      </c>
      <c r="B53" s="20" t="s">
        <v>114</v>
      </c>
      <c r="C53" s="667"/>
      <c r="D53" s="68" t="s">
        <v>487</v>
      </c>
      <c r="E53" s="679"/>
      <c r="F53" s="529">
        <f>VLOOKUP(D53,'Aug 2012 Revenue'!D:T,17,FALSE)</f>
        <v>0</v>
      </c>
      <c r="G53" s="680"/>
      <c r="H53" s="680"/>
      <c r="I53" s="755"/>
      <c r="J53" s="682">
        <f t="shared" si="2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13"/>
        <v>0</v>
      </c>
      <c r="AC53" s="692">
        <f t="shared" si="14"/>
        <v>0</v>
      </c>
      <c r="AD53" s="692">
        <f t="shared" si="15"/>
        <v>0</v>
      </c>
      <c r="AE53" s="38"/>
      <c r="AF53" s="692">
        <f t="shared" si="16"/>
        <v>0</v>
      </c>
      <c r="AG53" s="692">
        <f t="shared" si="17"/>
        <v>0</v>
      </c>
      <c r="AH53" s="692">
        <f t="shared" si="18"/>
        <v>0</v>
      </c>
      <c r="AJ53" s="38">
        <f t="shared" si="19"/>
        <v>0</v>
      </c>
    </row>
    <row r="54" spans="1:36">
      <c r="A54" s="20"/>
      <c r="B54" s="20" t="s">
        <v>109</v>
      </c>
      <c r="C54" s="667"/>
      <c r="D54" s="68" t="s">
        <v>830</v>
      </c>
      <c r="E54" s="679"/>
      <c r="F54" s="529">
        <f>VLOOKUP(D54,'Aug 2012 Revenue'!D:T,17,FALSE)</f>
        <v>0</v>
      </c>
      <c r="G54" s="680"/>
      <c r="H54" s="680"/>
      <c r="I54" s="755"/>
      <c r="J54" s="682">
        <f t="shared" si="20"/>
        <v>0</v>
      </c>
      <c r="K54" s="683"/>
      <c r="L54" s="684"/>
      <c r="M54" s="753">
        <v>20000</v>
      </c>
      <c r="N54" s="683">
        <v>0</v>
      </c>
      <c r="O54" s="686"/>
      <c r="P54" s="683">
        <v>0</v>
      </c>
      <c r="Q54" s="687">
        <f t="shared" si="1"/>
        <v>20000</v>
      </c>
      <c r="R54" s="688">
        <v>36454.370000000003</v>
      </c>
      <c r="S54" s="693"/>
      <c r="T54" s="690">
        <f t="shared" si="2"/>
        <v>16454.370000000003</v>
      </c>
      <c r="U54" s="683"/>
      <c r="V54" s="474">
        <f t="shared" si="3"/>
        <v>0</v>
      </c>
      <c r="W54" s="474">
        <f t="shared" si="4"/>
        <v>20000</v>
      </c>
      <c r="X54" s="475">
        <f t="shared" si="5"/>
        <v>0</v>
      </c>
      <c r="Y54" s="475">
        <v>0</v>
      </c>
      <c r="Z54" s="476">
        <v>0</v>
      </c>
      <c r="AA54" s="38">
        <f t="shared" si="6"/>
        <v>0</v>
      </c>
      <c r="AB54" s="692">
        <f t="shared" si="13"/>
        <v>0</v>
      </c>
      <c r="AC54" s="692">
        <f t="shared" si="14"/>
        <v>0</v>
      </c>
      <c r="AD54" s="692">
        <f t="shared" si="15"/>
        <v>0</v>
      </c>
      <c r="AE54" s="38"/>
      <c r="AF54" s="692">
        <f t="shared" si="16"/>
        <v>0</v>
      </c>
      <c r="AG54" s="692">
        <f t="shared" si="17"/>
        <v>20000</v>
      </c>
      <c r="AH54" s="692">
        <f t="shared" si="18"/>
        <v>0</v>
      </c>
      <c r="AJ54" s="38">
        <f t="shared" si="19"/>
        <v>20000</v>
      </c>
    </row>
    <row r="55" spans="1:36">
      <c r="A55" s="20"/>
      <c r="B55" s="20" t="s">
        <v>109</v>
      </c>
      <c r="C55" s="667"/>
      <c r="D55" s="68" t="s">
        <v>374</v>
      </c>
      <c r="F55" s="529">
        <f>VLOOKUP(D55,'Aug 2012 Revenue'!D:T,17,FALSE)</f>
        <v>0</v>
      </c>
      <c r="G55" s="680"/>
      <c r="H55" s="680"/>
      <c r="I55" s="755"/>
      <c r="J55" s="682">
        <f>SUM(F55:I55)</f>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13"/>
        <v>0</v>
      </c>
      <c r="AC55" s="692">
        <f t="shared" si="14"/>
        <v>0</v>
      </c>
      <c r="AD55" s="692">
        <f t="shared" si="15"/>
        <v>0</v>
      </c>
      <c r="AE55" s="38"/>
      <c r="AF55" s="692">
        <f t="shared" si="16"/>
        <v>0</v>
      </c>
      <c r="AG55" s="692">
        <f t="shared" si="17"/>
        <v>0</v>
      </c>
      <c r="AH55" s="692">
        <f t="shared" si="18"/>
        <v>0</v>
      </c>
      <c r="AJ55" s="38">
        <f t="shared" si="19"/>
        <v>0</v>
      </c>
    </row>
    <row r="56" spans="1:36">
      <c r="A56" s="20"/>
      <c r="B56" s="20" t="s">
        <v>114</v>
      </c>
      <c r="C56" s="667"/>
      <c r="D56" s="68" t="s">
        <v>502</v>
      </c>
      <c r="E56" s="679">
        <v>2667.07</v>
      </c>
      <c r="F56" s="529">
        <f>VLOOKUP(D56,'Aug 2012 Revenue'!D:T,17,FALSE)</f>
        <v>0</v>
      </c>
      <c r="G56" s="680"/>
      <c r="H56" s="680"/>
      <c r="I56" s="755"/>
      <c r="J56" s="682">
        <f t="shared" ref="J56" si="21">SUM(E56:I56)</f>
        <v>2667.07</v>
      </c>
      <c r="K56" s="683"/>
      <c r="L56" s="684"/>
      <c r="M56" s="753"/>
      <c r="N56" s="683">
        <v>0</v>
      </c>
      <c r="O56" s="686"/>
      <c r="P56" s="683">
        <v>0</v>
      </c>
      <c r="Q56" s="687">
        <f t="shared" ref="Q56" si="22">L56+M56</f>
        <v>0</v>
      </c>
      <c r="R56" s="688">
        <v>0</v>
      </c>
      <c r="S56" s="693"/>
      <c r="T56" s="690">
        <f t="shared" si="2"/>
        <v>0</v>
      </c>
      <c r="U56" s="683"/>
      <c r="V56" s="474">
        <f t="shared" ref="V56" si="23">IF(B56="D",Q56,0)</f>
        <v>0</v>
      </c>
      <c r="W56" s="474">
        <f t="shared" ref="W56" si="24">IF(B56="M",Q56,0)</f>
        <v>0</v>
      </c>
      <c r="X56" s="475">
        <f t="shared" ref="X56" si="25">IF(B56="V",Q56,0)</f>
        <v>0</v>
      </c>
      <c r="Y56" s="475">
        <v>0</v>
      </c>
      <c r="Z56" s="476">
        <v>0</v>
      </c>
      <c r="AA56" s="38">
        <f t="shared" ref="AA56" si="26">(L56+M56)-(V56+W56+X56+Y56+Z56)</f>
        <v>0</v>
      </c>
      <c r="AB56" s="692">
        <f t="shared" ref="AB56" si="27">IF(B56="D",J56,0)</f>
        <v>0</v>
      </c>
      <c r="AC56" s="692">
        <f t="shared" ref="AC56" si="28">IF(B56="M",J56,0)</f>
        <v>0</v>
      </c>
      <c r="AD56" s="692">
        <f t="shared" ref="AD56" si="29">IF(B56="V",J56,0)</f>
        <v>2667.07</v>
      </c>
      <c r="AE56" s="38"/>
      <c r="AF56" s="692">
        <f t="shared" ref="AF56" si="30">IF(B56="D",Q56,0)</f>
        <v>0</v>
      </c>
      <c r="AG56" s="692">
        <f t="shared" ref="AG56" si="31">IF(B56="M",Q56,0)</f>
        <v>0</v>
      </c>
      <c r="AH56" s="692">
        <f t="shared" ref="AH56" si="32">IF(B56="V",Q56,0)</f>
        <v>0</v>
      </c>
      <c r="AJ56" s="38">
        <f t="shared" si="19"/>
        <v>2667.07</v>
      </c>
    </row>
    <row r="57" spans="1:36">
      <c r="A57" s="21"/>
      <c r="B57" s="21" t="s">
        <v>110</v>
      </c>
      <c r="C57" s="666" t="s">
        <v>535</v>
      </c>
      <c r="D57" s="123" t="s">
        <v>517</v>
      </c>
      <c r="E57" s="679"/>
      <c r="F57" s="529">
        <f>VLOOKUP(D57,'Aug 2012 Revenue'!D:T,17,FALSE)</f>
        <v>-90000</v>
      </c>
      <c r="G57" s="680"/>
      <c r="H57" s="680"/>
      <c r="I57" s="755"/>
      <c r="J57" s="682">
        <f t="shared" ref="J57:J80" si="33">SUM(E57:I57)</f>
        <v>-90000</v>
      </c>
      <c r="K57" s="683"/>
      <c r="L57" s="684"/>
      <c r="M57" s="753">
        <v>180000</v>
      </c>
      <c r="N57" s="683">
        <v>0</v>
      </c>
      <c r="O57" s="686"/>
      <c r="P57" s="683">
        <v>0</v>
      </c>
      <c r="Q57" s="687">
        <f t="shared" si="1"/>
        <v>180000</v>
      </c>
      <c r="R57" s="688">
        <v>0</v>
      </c>
      <c r="S57" s="693"/>
      <c r="T57" s="690">
        <f t="shared" si="2"/>
        <v>-180000</v>
      </c>
      <c r="U57" s="697"/>
      <c r="V57" s="474">
        <f t="shared" si="3"/>
        <v>180000</v>
      </c>
      <c r="W57" s="474">
        <f t="shared" si="4"/>
        <v>0</v>
      </c>
      <c r="X57" s="475">
        <f t="shared" si="5"/>
        <v>0</v>
      </c>
      <c r="Y57" s="475">
        <v>0</v>
      </c>
      <c r="Z57" s="476">
        <v>0</v>
      </c>
      <c r="AA57" s="38">
        <f t="shared" si="6"/>
        <v>0</v>
      </c>
      <c r="AB57" s="692">
        <f t="shared" si="13"/>
        <v>-90000</v>
      </c>
      <c r="AC57" s="692">
        <f t="shared" si="14"/>
        <v>0</v>
      </c>
      <c r="AD57" s="692">
        <f t="shared" si="15"/>
        <v>0</v>
      </c>
      <c r="AE57" s="38"/>
      <c r="AF57" s="692">
        <f t="shared" si="16"/>
        <v>180000</v>
      </c>
      <c r="AG57" s="692">
        <f t="shared" si="17"/>
        <v>0</v>
      </c>
      <c r="AH57" s="692">
        <f t="shared" si="18"/>
        <v>0</v>
      </c>
      <c r="AJ57" s="38">
        <f t="shared" si="19"/>
        <v>90000</v>
      </c>
    </row>
    <row r="58" spans="1:36">
      <c r="A58" s="21"/>
      <c r="B58" s="21" t="s">
        <v>110</v>
      </c>
      <c r="C58" s="666" t="s">
        <v>535</v>
      </c>
      <c r="D58" s="123" t="s">
        <v>437</v>
      </c>
      <c r="E58" s="679"/>
      <c r="F58" s="529">
        <f>VLOOKUP(D58,'Aug 2012 Revenue'!D:T,17,FALSE)</f>
        <v>0</v>
      </c>
      <c r="G58" s="680"/>
      <c r="H58" s="680"/>
      <c r="I58" s="755"/>
      <c r="J58" s="682">
        <f t="shared" si="33"/>
        <v>0</v>
      </c>
      <c r="K58" s="683"/>
      <c r="L58" s="684"/>
      <c r="M58" s="753"/>
      <c r="N58" s="683">
        <v>0</v>
      </c>
      <c r="O58" s="686"/>
      <c r="P58" s="683">
        <v>0</v>
      </c>
      <c r="Q58" s="687">
        <f t="shared" si="1"/>
        <v>0</v>
      </c>
      <c r="R58" s="688">
        <v>0</v>
      </c>
      <c r="S58" s="693"/>
      <c r="T58" s="690">
        <f t="shared" si="2"/>
        <v>0</v>
      </c>
      <c r="U58" s="697"/>
      <c r="V58" s="474">
        <f t="shared" si="3"/>
        <v>0</v>
      </c>
      <c r="W58" s="474">
        <f t="shared" si="4"/>
        <v>0</v>
      </c>
      <c r="X58" s="475">
        <f t="shared" si="5"/>
        <v>0</v>
      </c>
      <c r="Y58" s="475">
        <v>0</v>
      </c>
      <c r="Z58" s="476">
        <v>0</v>
      </c>
      <c r="AA58" s="38">
        <f t="shared" si="6"/>
        <v>0</v>
      </c>
      <c r="AB58" s="692">
        <f t="shared" si="13"/>
        <v>0</v>
      </c>
      <c r="AC58" s="692">
        <f t="shared" si="14"/>
        <v>0</v>
      </c>
      <c r="AD58" s="692">
        <f t="shared" si="15"/>
        <v>0</v>
      </c>
      <c r="AE58" s="38"/>
      <c r="AF58" s="692">
        <f t="shared" si="16"/>
        <v>0</v>
      </c>
      <c r="AG58" s="692">
        <f t="shared" si="17"/>
        <v>0</v>
      </c>
      <c r="AH58" s="692">
        <f t="shared" si="18"/>
        <v>0</v>
      </c>
      <c r="AJ58" s="38">
        <f t="shared" si="19"/>
        <v>0</v>
      </c>
    </row>
    <row r="59" spans="1:36">
      <c r="A59" s="21"/>
      <c r="B59" s="21" t="s">
        <v>110</v>
      </c>
      <c r="C59" s="666" t="s">
        <v>535</v>
      </c>
      <c r="D59" s="123" t="s">
        <v>436</v>
      </c>
      <c r="E59" s="679"/>
      <c r="F59" s="529">
        <f>VLOOKUP(D59,'Aug 2012 Revenue'!D:T,17,FALSE)</f>
        <v>0</v>
      </c>
      <c r="G59" s="680"/>
      <c r="H59" s="680"/>
      <c r="I59" s="755"/>
      <c r="J59" s="682">
        <f t="shared" si="33"/>
        <v>0</v>
      </c>
      <c r="K59" s="683"/>
      <c r="L59" s="684"/>
      <c r="M59" s="753"/>
      <c r="N59" s="683">
        <v>0</v>
      </c>
      <c r="O59" s="686"/>
      <c r="P59" s="683">
        <v>0</v>
      </c>
      <c r="Q59" s="687">
        <f t="shared" si="1"/>
        <v>0</v>
      </c>
      <c r="R59" s="688">
        <v>0</v>
      </c>
      <c r="S59" s="693"/>
      <c r="T59" s="690">
        <f t="shared" si="2"/>
        <v>0</v>
      </c>
      <c r="U59" s="697"/>
      <c r="V59" s="474">
        <f t="shared" si="3"/>
        <v>0</v>
      </c>
      <c r="W59" s="474">
        <f t="shared" si="4"/>
        <v>0</v>
      </c>
      <c r="X59" s="475">
        <f t="shared" si="5"/>
        <v>0</v>
      </c>
      <c r="Y59" s="475">
        <v>0</v>
      </c>
      <c r="Z59" s="476">
        <v>0</v>
      </c>
      <c r="AA59" s="38">
        <f t="shared" si="6"/>
        <v>0</v>
      </c>
      <c r="AB59" s="692">
        <f t="shared" si="13"/>
        <v>0</v>
      </c>
      <c r="AC59" s="692">
        <f t="shared" si="14"/>
        <v>0</v>
      </c>
      <c r="AD59" s="692">
        <f t="shared" si="15"/>
        <v>0</v>
      </c>
      <c r="AE59" s="38"/>
      <c r="AF59" s="692">
        <f t="shared" si="16"/>
        <v>0</v>
      </c>
      <c r="AG59" s="692">
        <f t="shared" si="17"/>
        <v>0</v>
      </c>
      <c r="AH59" s="692">
        <f t="shared" si="18"/>
        <v>0</v>
      </c>
      <c r="AJ59" s="38">
        <f t="shared" si="19"/>
        <v>0</v>
      </c>
    </row>
    <row r="60" spans="1:36">
      <c r="A60" s="21"/>
      <c r="B60" s="21" t="s">
        <v>110</v>
      </c>
      <c r="C60" s="666" t="s">
        <v>535</v>
      </c>
      <c r="D60" s="123" t="s">
        <v>391</v>
      </c>
      <c r="E60" s="679"/>
      <c r="F60" s="529">
        <f>VLOOKUP(D60,'Aug 2012 Revenue'!D:T,17,FALSE)</f>
        <v>0</v>
      </c>
      <c r="G60" s="680"/>
      <c r="H60" s="680"/>
      <c r="I60" s="755"/>
      <c r="J60" s="682">
        <f t="shared" si="33"/>
        <v>0</v>
      </c>
      <c r="K60" s="683"/>
      <c r="L60" s="684"/>
      <c r="M60" s="753"/>
      <c r="N60" s="683">
        <v>0</v>
      </c>
      <c r="O60" s="686"/>
      <c r="P60" s="683">
        <v>0</v>
      </c>
      <c r="Q60" s="687">
        <f t="shared" si="1"/>
        <v>0</v>
      </c>
      <c r="R60" s="688">
        <v>0</v>
      </c>
      <c r="S60" s="693"/>
      <c r="T60" s="690">
        <f t="shared" si="2"/>
        <v>0</v>
      </c>
      <c r="U60" s="697"/>
      <c r="V60" s="474">
        <f t="shared" si="3"/>
        <v>0</v>
      </c>
      <c r="W60" s="474">
        <f t="shared" si="4"/>
        <v>0</v>
      </c>
      <c r="X60" s="475">
        <f t="shared" si="5"/>
        <v>0</v>
      </c>
      <c r="Y60" s="475">
        <v>0</v>
      </c>
      <c r="Z60" s="476">
        <v>0</v>
      </c>
      <c r="AA60" s="38">
        <f t="shared" si="6"/>
        <v>0</v>
      </c>
      <c r="AB60" s="692">
        <f t="shared" si="13"/>
        <v>0</v>
      </c>
      <c r="AC60" s="692">
        <f t="shared" si="14"/>
        <v>0</v>
      </c>
      <c r="AD60" s="692">
        <f t="shared" si="15"/>
        <v>0</v>
      </c>
      <c r="AE60" s="38"/>
      <c r="AF60" s="692">
        <f t="shared" si="16"/>
        <v>0</v>
      </c>
      <c r="AG60" s="692">
        <f t="shared" si="17"/>
        <v>0</v>
      </c>
      <c r="AH60" s="692">
        <f t="shared" si="18"/>
        <v>0</v>
      </c>
      <c r="AJ60" s="38">
        <f t="shared" si="19"/>
        <v>0</v>
      </c>
    </row>
    <row r="61" spans="1:36">
      <c r="A61" s="21"/>
      <c r="B61" s="21" t="s">
        <v>110</v>
      </c>
      <c r="C61" s="666" t="s">
        <v>535</v>
      </c>
      <c r="D61" s="123" t="s">
        <v>392</v>
      </c>
      <c r="E61" s="679"/>
      <c r="F61" s="529">
        <f>VLOOKUP(D61,'Aug 2012 Revenue'!D:T,17,FALSE)</f>
        <v>0</v>
      </c>
      <c r="G61" s="680"/>
      <c r="H61" s="680"/>
      <c r="I61" s="755"/>
      <c r="J61" s="682">
        <f t="shared" si="33"/>
        <v>0</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13"/>
        <v>0</v>
      </c>
      <c r="AC61" s="692">
        <f t="shared" si="14"/>
        <v>0</v>
      </c>
      <c r="AD61" s="692">
        <f t="shared" si="15"/>
        <v>0</v>
      </c>
      <c r="AE61" s="38"/>
      <c r="AF61" s="692">
        <f t="shared" si="16"/>
        <v>0</v>
      </c>
      <c r="AG61" s="692">
        <f t="shared" si="17"/>
        <v>0</v>
      </c>
      <c r="AH61" s="692">
        <f t="shared" si="18"/>
        <v>0</v>
      </c>
      <c r="AJ61" s="38">
        <f t="shared" si="19"/>
        <v>0</v>
      </c>
    </row>
    <row r="62" spans="1:36">
      <c r="A62" s="21"/>
      <c r="B62" s="21" t="s">
        <v>110</v>
      </c>
      <c r="C62" s="666" t="s">
        <v>535</v>
      </c>
      <c r="D62" s="123" t="s">
        <v>483</v>
      </c>
      <c r="E62" s="679"/>
      <c r="F62" s="529">
        <f>VLOOKUP(D62,'Aug 2012 Revenue'!D:T,17,FALSE)</f>
        <v>0</v>
      </c>
      <c r="G62" s="680"/>
      <c r="H62" s="680"/>
      <c r="I62" s="755"/>
      <c r="J62" s="682">
        <f t="shared" si="33"/>
        <v>0</v>
      </c>
      <c r="K62" s="683"/>
      <c r="L62" s="684"/>
      <c r="M62" s="753"/>
      <c r="N62" s="683"/>
      <c r="O62" s="686"/>
      <c r="P62" s="683"/>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13"/>
        <v>0</v>
      </c>
      <c r="AC62" s="692">
        <f t="shared" si="14"/>
        <v>0</v>
      </c>
      <c r="AD62" s="692">
        <f t="shared" si="15"/>
        <v>0</v>
      </c>
      <c r="AE62" s="38"/>
      <c r="AF62" s="692">
        <f t="shared" si="16"/>
        <v>0</v>
      </c>
      <c r="AG62" s="692">
        <f t="shared" si="17"/>
        <v>0</v>
      </c>
      <c r="AH62" s="692">
        <f t="shared" si="18"/>
        <v>0</v>
      </c>
      <c r="AJ62" s="38">
        <f t="shared" si="19"/>
        <v>0</v>
      </c>
    </row>
    <row r="63" spans="1:36">
      <c r="A63" s="21"/>
      <c r="B63" s="21" t="s">
        <v>110</v>
      </c>
      <c r="C63" s="666"/>
      <c r="D63" s="373" t="s">
        <v>587</v>
      </c>
      <c r="E63" s="679"/>
      <c r="F63" s="529">
        <f>VLOOKUP(D63,'Aug 2012 Revenue'!D:T,17,FALSE)</f>
        <v>0</v>
      </c>
      <c r="G63" s="680"/>
      <c r="H63" s="680"/>
      <c r="I63" s="755"/>
      <c r="J63" s="682">
        <f t="shared" si="33"/>
        <v>0</v>
      </c>
      <c r="K63" s="683"/>
      <c r="L63" s="684"/>
      <c r="M63" s="753"/>
      <c r="N63" s="683"/>
      <c r="O63" s="686"/>
      <c r="P63" s="683"/>
      <c r="Q63" s="687">
        <f t="shared" si="1"/>
        <v>0</v>
      </c>
      <c r="R63" s="688">
        <v>0</v>
      </c>
      <c r="S63" s="693"/>
      <c r="T63" s="690">
        <f t="shared" si="2"/>
        <v>0</v>
      </c>
      <c r="U63" s="697"/>
      <c r="V63" s="474">
        <f t="shared" si="3"/>
        <v>0</v>
      </c>
      <c r="W63" s="474">
        <f t="shared" si="4"/>
        <v>0</v>
      </c>
      <c r="X63" s="475">
        <f t="shared" si="5"/>
        <v>0</v>
      </c>
      <c r="Y63" s="475">
        <v>0</v>
      </c>
      <c r="Z63" s="476">
        <v>0</v>
      </c>
      <c r="AA63" s="38">
        <f t="shared" si="6"/>
        <v>0</v>
      </c>
      <c r="AB63" s="692">
        <f t="shared" si="13"/>
        <v>0</v>
      </c>
      <c r="AC63" s="692">
        <f t="shared" si="14"/>
        <v>0</v>
      </c>
      <c r="AD63" s="692">
        <f t="shared" si="15"/>
        <v>0</v>
      </c>
      <c r="AE63" s="38"/>
      <c r="AF63" s="692">
        <f t="shared" si="16"/>
        <v>0</v>
      </c>
      <c r="AG63" s="692">
        <f t="shared" si="17"/>
        <v>0</v>
      </c>
      <c r="AH63" s="692">
        <f t="shared" si="18"/>
        <v>0</v>
      </c>
      <c r="AJ63" s="38">
        <f t="shared" si="19"/>
        <v>0</v>
      </c>
    </row>
    <row r="64" spans="1:36">
      <c r="A64" s="20"/>
      <c r="B64" s="20" t="s">
        <v>110</v>
      </c>
      <c r="C64" s="667" t="s">
        <v>536</v>
      </c>
      <c r="D64" s="68" t="s">
        <v>450</v>
      </c>
      <c r="E64" s="679">
        <v>1438.16</v>
      </c>
      <c r="F64" s="529">
        <f>VLOOKUP(D64,'Aug 2012 Revenue'!D:T,17,FALSE)</f>
        <v>525.24</v>
      </c>
      <c r="G64" s="680"/>
      <c r="H64" s="680"/>
      <c r="I64" s="755"/>
      <c r="J64" s="682">
        <f t="shared" si="33"/>
        <v>1963.4</v>
      </c>
      <c r="K64" s="683"/>
      <c r="L64" s="684"/>
      <c r="M64" s="753"/>
      <c r="N64" s="683">
        <v>0</v>
      </c>
      <c r="O64" s="686"/>
      <c r="P64" s="683">
        <v>0</v>
      </c>
      <c r="Q64" s="687">
        <f t="shared" si="1"/>
        <v>0</v>
      </c>
      <c r="R64" s="688">
        <v>0</v>
      </c>
      <c r="S64" s="693"/>
      <c r="T64" s="690">
        <f t="shared" si="2"/>
        <v>0</v>
      </c>
      <c r="U64" s="683"/>
      <c r="V64" s="474">
        <f t="shared" si="3"/>
        <v>0</v>
      </c>
      <c r="W64" s="474">
        <f t="shared" si="4"/>
        <v>0</v>
      </c>
      <c r="X64" s="475">
        <f t="shared" si="5"/>
        <v>0</v>
      </c>
      <c r="Y64" s="475">
        <v>0</v>
      </c>
      <c r="Z64" s="476">
        <v>0</v>
      </c>
      <c r="AA64" s="38">
        <f t="shared" si="6"/>
        <v>0</v>
      </c>
      <c r="AB64" s="692">
        <f t="shared" si="13"/>
        <v>1963.4</v>
      </c>
      <c r="AC64" s="692">
        <f t="shared" si="14"/>
        <v>0</v>
      </c>
      <c r="AD64" s="692">
        <f t="shared" si="15"/>
        <v>0</v>
      </c>
      <c r="AE64" s="38"/>
      <c r="AF64" s="692">
        <f t="shared" si="16"/>
        <v>0</v>
      </c>
      <c r="AG64" s="692">
        <f t="shared" si="17"/>
        <v>0</v>
      </c>
      <c r="AH64" s="692">
        <f t="shared" si="18"/>
        <v>0</v>
      </c>
      <c r="AJ64" s="38">
        <f t="shared" si="19"/>
        <v>1963.4</v>
      </c>
    </row>
    <row r="65" spans="1:36">
      <c r="A65" s="21" t="s">
        <v>109</v>
      </c>
      <c r="B65" s="21" t="s">
        <v>110</v>
      </c>
      <c r="C65" s="666"/>
      <c r="D65" s="68" t="s">
        <v>438</v>
      </c>
      <c r="E65" s="679"/>
      <c r="F65" s="529">
        <f>VLOOKUP(D65,'Aug 2012 Revenue'!D:T,17,FALSE)</f>
        <v>0</v>
      </c>
      <c r="G65" s="680"/>
      <c r="H65" s="680"/>
      <c r="I65" s="755"/>
      <c r="J65" s="682">
        <f t="shared" si="33"/>
        <v>0</v>
      </c>
      <c r="K65" s="683"/>
      <c r="L65" s="684"/>
      <c r="M65" s="753"/>
      <c r="N65" s="683">
        <v>0</v>
      </c>
      <c r="O65" s="686"/>
      <c r="P65" s="683">
        <v>0</v>
      </c>
      <c r="Q65" s="687">
        <f t="shared" si="1"/>
        <v>0</v>
      </c>
      <c r="R65" s="688">
        <v>0</v>
      </c>
      <c r="S65" s="693"/>
      <c r="T65" s="690">
        <f t="shared" si="2"/>
        <v>0</v>
      </c>
      <c r="U65" s="697"/>
      <c r="V65" s="474">
        <f t="shared" si="3"/>
        <v>0</v>
      </c>
      <c r="W65" s="474">
        <f t="shared" si="4"/>
        <v>0</v>
      </c>
      <c r="X65" s="475">
        <f t="shared" si="5"/>
        <v>0</v>
      </c>
      <c r="Y65" s="475">
        <v>0</v>
      </c>
      <c r="Z65" s="476">
        <v>0</v>
      </c>
      <c r="AA65" s="38">
        <f t="shared" si="6"/>
        <v>0</v>
      </c>
      <c r="AB65" s="692">
        <f t="shared" si="13"/>
        <v>0</v>
      </c>
      <c r="AC65" s="692">
        <f t="shared" si="14"/>
        <v>0</v>
      </c>
      <c r="AD65" s="692">
        <f t="shared" si="15"/>
        <v>0</v>
      </c>
      <c r="AE65" s="38"/>
      <c r="AF65" s="692">
        <f t="shared" si="16"/>
        <v>0</v>
      </c>
      <c r="AG65" s="692">
        <f t="shared" si="17"/>
        <v>0</v>
      </c>
      <c r="AH65" s="692">
        <f t="shared" si="18"/>
        <v>0</v>
      </c>
      <c r="AJ65" s="38">
        <f t="shared" si="19"/>
        <v>0</v>
      </c>
    </row>
    <row r="66" spans="1:36">
      <c r="A66" s="21"/>
      <c r="B66" s="21" t="s">
        <v>110</v>
      </c>
      <c r="C66" s="666"/>
      <c r="D66" s="68" t="s">
        <v>628</v>
      </c>
      <c r="E66" s="679"/>
      <c r="F66" s="529">
        <f>VLOOKUP(D66,'Aug 2012 Revenue'!D:T,17,FALSE)</f>
        <v>0</v>
      </c>
      <c r="G66" s="680"/>
      <c r="H66" s="680"/>
      <c r="I66" s="755"/>
      <c r="J66" s="682">
        <f t="shared" si="33"/>
        <v>0</v>
      </c>
      <c r="K66" s="683"/>
      <c r="L66" s="684"/>
      <c r="M66" s="753"/>
      <c r="N66" s="683">
        <v>0</v>
      </c>
      <c r="O66" s="686"/>
      <c r="P66" s="683">
        <v>0</v>
      </c>
      <c r="Q66" s="687">
        <f t="shared" si="1"/>
        <v>0</v>
      </c>
      <c r="R66" s="688">
        <v>0</v>
      </c>
      <c r="S66" s="693"/>
      <c r="T66" s="690">
        <f t="shared" si="2"/>
        <v>0</v>
      </c>
      <c r="U66" s="697"/>
      <c r="V66" s="474">
        <f t="shared" si="3"/>
        <v>0</v>
      </c>
      <c r="W66" s="474">
        <f t="shared" si="4"/>
        <v>0</v>
      </c>
      <c r="X66" s="475">
        <f t="shared" si="5"/>
        <v>0</v>
      </c>
      <c r="Y66" s="475">
        <v>0</v>
      </c>
      <c r="Z66" s="476">
        <v>0</v>
      </c>
      <c r="AA66" s="38">
        <f t="shared" si="6"/>
        <v>0</v>
      </c>
      <c r="AB66" s="692">
        <f t="shared" si="13"/>
        <v>0</v>
      </c>
      <c r="AC66" s="692">
        <f t="shared" si="14"/>
        <v>0</v>
      </c>
      <c r="AD66" s="692">
        <f t="shared" si="15"/>
        <v>0</v>
      </c>
      <c r="AE66" s="38"/>
      <c r="AF66" s="692">
        <f t="shared" si="16"/>
        <v>0</v>
      </c>
      <c r="AG66" s="692">
        <f t="shared" si="17"/>
        <v>0</v>
      </c>
      <c r="AH66" s="692">
        <f t="shared" si="18"/>
        <v>0</v>
      </c>
      <c r="AJ66" s="38">
        <f t="shared" si="19"/>
        <v>0</v>
      </c>
    </row>
    <row r="67" spans="1:36">
      <c r="A67" s="21"/>
      <c r="B67" s="21" t="s">
        <v>110</v>
      </c>
      <c r="C67" s="666" t="s">
        <v>537</v>
      </c>
      <c r="D67" s="68" t="s">
        <v>12</v>
      </c>
      <c r="E67" s="679"/>
      <c r="F67" s="529">
        <f>VLOOKUP(D67,'Aug 2012 Revenue'!D:T,17,FALSE)</f>
        <v>0</v>
      </c>
      <c r="G67" s="680"/>
      <c r="H67" s="680"/>
      <c r="I67" s="755"/>
      <c r="J67" s="682">
        <f t="shared" si="33"/>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13"/>
        <v>0</v>
      </c>
      <c r="AC67" s="692">
        <f t="shared" si="14"/>
        <v>0</v>
      </c>
      <c r="AD67" s="692">
        <f t="shared" si="15"/>
        <v>0</v>
      </c>
      <c r="AE67" s="38"/>
      <c r="AF67" s="692">
        <f t="shared" si="16"/>
        <v>0</v>
      </c>
      <c r="AG67" s="692">
        <f t="shared" si="17"/>
        <v>0</v>
      </c>
      <c r="AH67" s="692">
        <f t="shared" si="18"/>
        <v>0</v>
      </c>
      <c r="AJ67" s="38">
        <f t="shared" si="19"/>
        <v>0</v>
      </c>
    </row>
    <row r="68" spans="1:36" s="232" customFormat="1">
      <c r="A68" s="283" t="s">
        <v>211</v>
      </c>
      <c r="B68" s="283" t="s">
        <v>110</v>
      </c>
      <c r="C68" s="667" t="s">
        <v>538</v>
      </c>
      <c r="D68" s="123" t="s">
        <v>170</v>
      </c>
      <c r="E68" s="679"/>
      <c r="F68" s="529">
        <f>VLOOKUP(D68,'Aug 2012 Revenue'!D:T,17,FALSE)</f>
        <v>-200000</v>
      </c>
      <c r="G68" s="680"/>
      <c r="H68" s="680"/>
      <c r="I68" s="755"/>
      <c r="J68" s="682">
        <f t="shared" si="33"/>
        <v>-200000</v>
      </c>
      <c r="K68" s="683"/>
      <c r="L68" s="684"/>
      <c r="M68" s="753">
        <v>300000</v>
      </c>
      <c r="N68" s="683">
        <v>0</v>
      </c>
      <c r="O68" s="686"/>
      <c r="P68" s="683">
        <v>0</v>
      </c>
      <c r="Q68" s="687">
        <f t="shared" si="1"/>
        <v>300000</v>
      </c>
      <c r="R68" s="688">
        <v>214812.92</v>
      </c>
      <c r="S68" s="693"/>
      <c r="T68" s="690">
        <f t="shared" si="2"/>
        <v>-85187.079999999987</v>
      </c>
      <c r="U68" s="683"/>
      <c r="V68" s="474">
        <f t="shared" si="3"/>
        <v>300000</v>
      </c>
      <c r="W68" s="474">
        <f t="shared" si="4"/>
        <v>0</v>
      </c>
      <c r="X68" s="475">
        <f t="shared" si="5"/>
        <v>0</v>
      </c>
      <c r="Y68" s="475">
        <v>0</v>
      </c>
      <c r="Z68" s="476">
        <v>0</v>
      </c>
      <c r="AA68" s="38">
        <f t="shared" si="6"/>
        <v>0</v>
      </c>
      <c r="AB68" s="692">
        <f t="shared" si="13"/>
        <v>-200000</v>
      </c>
      <c r="AC68" s="692">
        <f t="shared" si="14"/>
        <v>0</v>
      </c>
      <c r="AD68" s="692">
        <f t="shared" si="15"/>
        <v>0</v>
      </c>
      <c r="AE68" s="38"/>
      <c r="AF68" s="692">
        <f t="shared" si="16"/>
        <v>300000</v>
      </c>
      <c r="AG68" s="692">
        <f t="shared" si="17"/>
        <v>0</v>
      </c>
      <c r="AH68" s="692">
        <f t="shared" si="18"/>
        <v>0</v>
      </c>
      <c r="AJ68" s="38">
        <f t="shared" si="19"/>
        <v>100000</v>
      </c>
    </row>
    <row r="69" spans="1:36" s="232" customFormat="1">
      <c r="A69" s="283" t="s">
        <v>211</v>
      </c>
      <c r="B69" s="283" t="s">
        <v>110</v>
      </c>
      <c r="C69" s="667" t="s">
        <v>538</v>
      </c>
      <c r="D69" s="123" t="s">
        <v>171</v>
      </c>
      <c r="E69" s="679"/>
      <c r="F69" s="529">
        <f>VLOOKUP(D69,'Aug 2012 Revenue'!D:T,17,FALSE)</f>
        <v>0</v>
      </c>
      <c r="G69" s="680"/>
      <c r="H69" s="680"/>
      <c r="I69" s="755"/>
      <c r="J69" s="682">
        <f t="shared" si="33"/>
        <v>0</v>
      </c>
      <c r="K69" s="683"/>
      <c r="L69" s="684"/>
      <c r="M69" s="753"/>
      <c r="N69" s="683">
        <v>0</v>
      </c>
      <c r="O69" s="686"/>
      <c r="P69" s="683">
        <v>0</v>
      </c>
      <c r="Q69" s="687">
        <f t="shared" si="1"/>
        <v>0</v>
      </c>
      <c r="R69" s="688">
        <v>633.1</v>
      </c>
      <c r="S69" s="693"/>
      <c r="T69" s="690">
        <f t="shared" si="2"/>
        <v>633.1</v>
      </c>
      <c r="U69" s="683"/>
      <c r="V69" s="474">
        <f t="shared" si="3"/>
        <v>0</v>
      </c>
      <c r="W69" s="474">
        <f t="shared" si="4"/>
        <v>0</v>
      </c>
      <c r="X69" s="475">
        <f t="shared" si="5"/>
        <v>0</v>
      </c>
      <c r="Y69" s="475">
        <v>0</v>
      </c>
      <c r="Z69" s="476">
        <v>0</v>
      </c>
      <c r="AA69" s="38">
        <f t="shared" si="6"/>
        <v>0</v>
      </c>
      <c r="AB69" s="692">
        <f t="shared" si="13"/>
        <v>0</v>
      </c>
      <c r="AC69" s="692">
        <f t="shared" si="14"/>
        <v>0</v>
      </c>
      <c r="AD69" s="692">
        <f t="shared" si="15"/>
        <v>0</v>
      </c>
      <c r="AE69" s="38"/>
      <c r="AF69" s="692">
        <f t="shared" si="16"/>
        <v>0</v>
      </c>
      <c r="AG69" s="692">
        <f t="shared" si="17"/>
        <v>0</v>
      </c>
      <c r="AH69" s="692">
        <f t="shared" si="18"/>
        <v>0</v>
      </c>
      <c r="AJ69" s="38">
        <f t="shared" si="19"/>
        <v>0</v>
      </c>
    </row>
    <row r="70" spans="1:36" s="232" customFormat="1">
      <c r="A70" s="283" t="s">
        <v>211</v>
      </c>
      <c r="B70" s="283" t="s">
        <v>110</v>
      </c>
      <c r="C70" s="667" t="s">
        <v>538</v>
      </c>
      <c r="D70" s="123" t="s">
        <v>13</v>
      </c>
      <c r="E70" s="679"/>
      <c r="F70" s="529">
        <f>VLOOKUP(D70,'Aug 2012 Revenue'!D:T,17,FALSE)</f>
        <v>0</v>
      </c>
      <c r="G70" s="680"/>
      <c r="H70" s="680"/>
      <c r="I70" s="755"/>
      <c r="J70" s="682">
        <f t="shared" si="33"/>
        <v>0</v>
      </c>
      <c r="K70" s="683"/>
      <c r="L70" s="684"/>
      <c r="M70" s="753"/>
      <c r="N70" s="683">
        <v>0</v>
      </c>
      <c r="O70" s="686"/>
      <c r="P70" s="683">
        <v>0</v>
      </c>
      <c r="Q70" s="687">
        <f t="shared" si="1"/>
        <v>0</v>
      </c>
      <c r="R70" s="688">
        <v>57637.49</v>
      </c>
      <c r="S70" s="693"/>
      <c r="T70" s="690">
        <f t="shared" si="2"/>
        <v>57637.49</v>
      </c>
      <c r="U70" s="683"/>
      <c r="V70" s="474">
        <f t="shared" si="3"/>
        <v>0</v>
      </c>
      <c r="W70" s="474">
        <f t="shared" si="4"/>
        <v>0</v>
      </c>
      <c r="X70" s="475">
        <f t="shared" si="5"/>
        <v>0</v>
      </c>
      <c r="Y70" s="475">
        <v>0</v>
      </c>
      <c r="Z70" s="476">
        <v>0</v>
      </c>
      <c r="AA70" s="38">
        <f t="shared" si="6"/>
        <v>0</v>
      </c>
      <c r="AB70" s="692">
        <f t="shared" si="13"/>
        <v>0</v>
      </c>
      <c r="AC70" s="692">
        <f t="shared" si="14"/>
        <v>0</v>
      </c>
      <c r="AD70" s="692">
        <f t="shared" si="15"/>
        <v>0</v>
      </c>
      <c r="AE70" s="38"/>
      <c r="AF70" s="692">
        <f t="shared" si="16"/>
        <v>0</v>
      </c>
      <c r="AG70" s="692">
        <f t="shared" si="17"/>
        <v>0</v>
      </c>
      <c r="AH70" s="692">
        <f t="shared" si="18"/>
        <v>0</v>
      </c>
      <c r="AJ70" s="38">
        <f t="shared" si="19"/>
        <v>0</v>
      </c>
    </row>
    <row r="71" spans="1:36" s="232" customFormat="1">
      <c r="A71" s="283" t="s">
        <v>211</v>
      </c>
      <c r="B71" s="283" t="s">
        <v>110</v>
      </c>
      <c r="C71" s="667" t="s">
        <v>538</v>
      </c>
      <c r="D71" s="123" t="s">
        <v>172</v>
      </c>
      <c r="E71" s="679"/>
      <c r="F71" s="529">
        <f>VLOOKUP(D71,'Aug 2012 Revenue'!D:T,17,FALSE)</f>
        <v>0</v>
      </c>
      <c r="G71" s="680"/>
      <c r="H71" s="680"/>
      <c r="I71" s="755"/>
      <c r="J71" s="682">
        <f t="shared" si="33"/>
        <v>0</v>
      </c>
      <c r="K71" s="683"/>
      <c r="L71" s="684"/>
      <c r="M71" s="753"/>
      <c r="N71" s="683">
        <v>0</v>
      </c>
      <c r="O71" s="686"/>
      <c r="P71" s="683">
        <v>0</v>
      </c>
      <c r="Q71" s="687">
        <f t="shared" si="1"/>
        <v>0</v>
      </c>
      <c r="R71" s="688">
        <v>7</v>
      </c>
      <c r="S71" s="693"/>
      <c r="T71" s="690">
        <f t="shared" si="2"/>
        <v>7</v>
      </c>
      <c r="U71" s="683"/>
      <c r="V71" s="474">
        <f t="shared" si="3"/>
        <v>0</v>
      </c>
      <c r="W71" s="474">
        <f t="shared" si="4"/>
        <v>0</v>
      </c>
      <c r="X71" s="475">
        <f t="shared" si="5"/>
        <v>0</v>
      </c>
      <c r="Y71" s="475">
        <v>0</v>
      </c>
      <c r="Z71" s="476">
        <v>0</v>
      </c>
      <c r="AA71" s="38">
        <f t="shared" si="6"/>
        <v>0</v>
      </c>
      <c r="AB71" s="692">
        <f t="shared" si="13"/>
        <v>0</v>
      </c>
      <c r="AC71" s="692">
        <f t="shared" si="14"/>
        <v>0</v>
      </c>
      <c r="AD71" s="692">
        <f t="shared" si="15"/>
        <v>0</v>
      </c>
      <c r="AE71" s="38"/>
      <c r="AF71" s="692">
        <f t="shared" si="16"/>
        <v>0</v>
      </c>
      <c r="AG71" s="692">
        <f t="shared" si="17"/>
        <v>0</v>
      </c>
      <c r="AH71" s="692">
        <f t="shared" si="18"/>
        <v>0</v>
      </c>
      <c r="AJ71" s="38">
        <f t="shared" si="19"/>
        <v>0</v>
      </c>
    </row>
    <row r="72" spans="1:36" s="232" customFormat="1">
      <c r="A72" s="283" t="s">
        <v>211</v>
      </c>
      <c r="B72" s="283" t="s">
        <v>110</v>
      </c>
      <c r="C72" s="667" t="s">
        <v>538</v>
      </c>
      <c r="D72" s="123" t="s">
        <v>173</v>
      </c>
      <c r="E72" s="679"/>
      <c r="F72" s="529">
        <f>VLOOKUP(D72,'Aug 2012 Revenue'!D:T,17,FALSE)</f>
        <v>0</v>
      </c>
      <c r="G72" s="680"/>
      <c r="H72" s="680"/>
      <c r="I72" s="755"/>
      <c r="J72" s="682">
        <f t="shared" si="33"/>
        <v>0</v>
      </c>
      <c r="K72" s="683"/>
      <c r="L72" s="684"/>
      <c r="M72" s="753"/>
      <c r="N72" s="683">
        <v>0</v>
      </c>
      <c r="O72" s="686"/>
      <c r="P72" s="683">
        <v>0</v>
      </c>
      <c r="Q72" s="687">
        <f t="shared" si="1"/>
        <v>0</v>
      </c>
      <c r="R72" s="688">
        <v>23722</v>
      </c>
      <c r="S72" s="693"/>
      <c r="T72" s="690">
        <f t="shared" si="2"/>
        <v>23722</v>
      </c>
      <c r="U72" s="683"/>
      <c r="V72" s="474">
        <f t="shared" si="3"/>
        <v>0</v>
      </c>
      <c r="W72" s="474">
        <f t="shared" si="4"/>
        <v>0</v>
      </c>
      <c r="X72" s="475">
        <f t="shared" si="5"/>
        <v>0</v>
      </c>
      <c r="Y72" s="475">
        <v>0</v>
      </c>
      <c r="Z72" s="476">
        <v>0</v>
      </c>
      <c r="AA72" s="38">
        <f t="shared" si="6"/>
        <v>0</v>
      </c>
      <c r="AB72" s="692">
        <f t="shared" si="13"/>
        <v>0</v>
      </c>
      <c r="AC72" s="692">
        <f t="shared" si="14"/>
        <v>0</v>
      </c>
      <c r="AD72" s="692">
        <f t="shared" si="15"/>
        <v>0</v>
      </c>
      <c r="AE72" s="38"/>
      <c r="AF72" s="692">
        <f t="shared" si="16"/>
        <v>0</v>
      </c>
      <c r="AG72" s="692">
        <f t="shared" si="17"/>
        <v>0</v>
      </c>
      <c r="AH72" s="692">
        <f t="shared" si="18"/>
        <v>0</v>
      </c>
      <c r="AJ72" s="38">
        <f t="shared" si="19"/>
        <v>0</v>
      </c>
    </row>
    <row r="73" spans="1:36" s="232" customFormat="1">
      <c r="A73" s="283" t="s">
        <v>211</v>
      </c>
      <c r="B73" s="283" t="s">
        <v>110</v>
      </c>
      <c r="C73" s="667" t="s">
        <v>538</v>
      </c>
      <c r="D73" s="123" t="s">
        <v>174</v>
      </c>
      <c r="E73" s="679"/>
      <c r="F73" s="529">
        <f>VLOOKUP(D73,'Aug 2012 Revenue'!D:T,17,FALSE)</f>
        <v>0</v>
      </c>
      <c r="G73" s="680"/>
      <c r="H73" s="680"/>
      <c r="I73" s="755"/>
      <c r="J73" s="682">
        <f t="shared" si="33"/>
        <v>0</v>
      </c>
      <c r="K73" s="683"/>
      <c r="L73" s="684"/>
      <c r="M73" s="753"/>
      <c r="N73" s="683">
        <v>0</v>
      </c>
      <c r="O73" s="686"/>
      <c r="P73" s="683">
        <v>0</v>
      </c>
      <c r="Q73" s="687">
        <f t="shared" si="1"/>
        <v>0</v>
      </c>
      <c r="R73" s="688">
        <v>2.86</v>
      </c>
      <c r="S73" s="693"/>
      <c r="T73" s="690">
        <f t="shared" si="2"/>
        <v>2.86</v>
      </c>
      <c r="U73" s="683"/>
      <c r="V73" s="474">
        <f t="shared" si="3"/>
        <v>0</v>
      </c>
      <c r="W73" s="474">
        <f t="shared" si="4"/>
        <v>0</v>
      </c>
      <c r="X73" s="475">
        <f t="shared" si="5"/>
        <v>0</v>
      </c>
      <c r="Y73" s="475">
        <v>0</v>
      </c>
      <c r="Z73" s="476">
        <v>0</v>
      </c>
      <c r="AA73" s="38">
        <f t="shared" si="6"/>
        <v>0</v>
      </c>
      <c r="AB73" s="692">
        <f t="shared" si="13"/>
        <v>0</v>
      </c>
      <c r="AC73" s="692">
        <f t="shared" si="14"/>
        <v>0</v>
      </c>
      <c r="AD73" s="692">
        <f t="shared" si="15"/>
        <v>0</v>
      </c>
      <c r="AE73" s="38"/>
      <c r="AF73" s="692">
        <f t="shared" si="16"/>
        <v>0</v>
      </c>
      <c r="AG73" s="692">
        <f t="shared" si="17"/>
        <v>0</v>
      </c>
      <c r="AH73" s="692">
        <f t="shared" si="18"/>
        <v>0</v>
      </c>
      <c r="AJ73" s="38">
        <f t="shared" si="19"/>
        <v>0</v>
      </c>
    </row>
    <row r="74" spans="1:36" s="232" customFormat="1">
      <c r="A74" s="283"/>
      <c r="B74" s="283" t="s">
        <v>109</v>
      </c>
      <c r="C74" s="794"/>
      <c r="D74" s="351" t="s">
        <v>14</v>
      </c>
      <c r="E74" s="679"/>
      <c r="F74" s="529">
        <f>VLOOKUP(D74,'Aug 2012 Revenue'!D:T,17,FALSE)</f>
        <v>0</v>
      </c>
      <c r="G74" s="680"/>
      <c r="H74" s="680"/>
      <c r="I74" s="755"/>
      <c r="J74" s="682">
        <f t="shared" si="33"/>
        <v>0</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13"/>
        <v>0</v>
      </c>
      <c r="AC74" s="692">
        <f t="shared" si="14"/>
        <v>0</v>
      </c>
      <c r="AD74" s="692">
        <f t="shared" si="15"/>
        <v>0</v>
      </c>
      <c r="AE74" s="38"/>
      <c r="AF74" s="692">
        <f t="shared" si="16"/>
        <v>0</v>
      </c>
      <c r="AG74" s="692">
        <f t="shared" si="17"/>
        <v>0</v>
      </c>
      <c r="AH74" s="692">
        <f t="shared" si="18"/>
        <v>0</v>
      </c>
      <c r="AJ74" s="38">
        <f t="shared" si="19"/>
        <v>0</v>
      </c>
    </row>
    <row r="75" spans="1:36">
      <c r="A75" s="20"/>
      <c r="B75" s="20" t="s">
        <v>110</v>
      </c>
      <c r="C75" s="667"/>
      <c r="D75" s="68" t="s">
        <v>15</v>
      </c>
      <c r="E75" s="679"/>
      <c r="F75" s="529">
        <f>VLOOKUP(D75,'Aug 2012 Revenue'!D:T,17,FALSE)</f>
        <v>0</v>
      </c>
      <c r="G75" s="680"/>
      <c r="H75" s="680"/>
      <c r="I75" s="770">
        <v>6890.39</v>
      </c>
      <c r="J75" s="682">
        <f t="shared" si="33"/>
        <v>6890.39</v>
      </c>
      <c r="K75" s="683"/>
      <c r="L75" s="684"/>
      <c r="M75" s="753"/>
      <c r="N75" s="683">
        <v>0</v>
      </c>
      <c r="O75" s="686"/>
      <c r="P75" s="683">
        <v>0</v>
      </c>
      <c r="Q75" s="687">
        <f t="shared" si="1"/>
        <v>0</v>
      </c>
      <c r="R75" s="688">
        <v>0</v>
      </c>
      <c r="S75" s="693"/>
      <c r="T75" s="690">
        <f t="shared" si="2"/>
        <v>0</v>
      </c>
      <c r="U75" s="683"/>
      <c r="V75" s="474">
        <f t="shared" si="3"/>
        <v>0</v>
      </c>
      <c r="W75" s="474">
        <f t="shared" si="4"/>
        <v>0</v>
      </c>
      <c r="X75" s="475">
        <f t="shared" si="5"/>
        <v>0</v>
      </c>
      <c r="Y75" s="475">
        <v>0</v>
      </c>
      <c r="Z75" s="476">
        <v>0</v>
      </c>
      <c r="AA75" s="38">
        <f t="shared" si="6"/>
        <v>0</v>
      </c>
      <c r="AB75" s="692">
        <f t="shared" si="13"/>
        <v>6890.39</v>
      </c>
      <c r="AC75" s="692">
        <f t="shared" si="14"/>
        <v>0</v>
      </c>
      <c r="AD75" s="692">
        <f t="shared" si="15"/>
        <v>0</v>
      </c>
      <c r="AE75" s="38"/>
      <c r="AF75" s="692">
        <f t="shared" si="16"/>
        <v>0</v>
      </c>
      <c r="AG75" s="692">
        <f t="shared" si="17"/>
        <v>0</v>
      </c>
      <c r="AH75" s="692">
        <f t="shared" si="18"/>
        <v>0</v>
      </c>
      <c r="AJ75" s="38">
        <f t="shared" si="19"/>
        <v>6890.39</v>
      </c>
    </row>
    <row r="76" spans="1:36">
      <c r="A76" s="20"/>
      <c r="B76" s="20" t="s">
        <v>110</v>
      </c>
      <c r="C76" s="667"/>
      <c r="D76" s="68" t="s">
        <v>646</v>
      </c>
      <c r="E76" s="679">
        <v>191.48</v>
      </c>
      <c r="F76" s="529">
        <f>VLOOKUP(D76,'Aug 2012 Revenue'!D:T,17,FALSE)</f>
        <v>346.93</v>
      </c>
      <c r="G76" s="680"/>
      <c r="H76" s="680"/>
      <c r="I76" s="755"/>
      <c r="J76" s="682">
        <f t="shared" si="33"/>
        <v>538.41</v>
      </c>
      <c r="K76" s="683"/>
      <c r="L76" s="684"/>
      <c r="M76" s="753"/>
      <c r="N76" s="683">
        <v>0</v>
      </c>
      <c r="O76" s="686"/>
      <c r="P76" s="683">
        <v>0</v>
      </c>
      <c r="Q76" s="687">
        <f t="shared" si="1"/>
        <v>0</v>
      </c>
      <c r="R76" s="688">
        <v>321.41000000000003</v>
      </c>
      <c r="S76" s="693"/>
      <c r="T76" s="690">
        <f t="shared" si="2"/>
        <v>321.41000000000003</v>
      </c>
      <c r="U76" s="683"/>
      <c r="V76" s="474">
        <f t="shared" si="3"/>
        <v>0</v>
      </c>
      <c r="W76" s="474">
        <f t="shared" si="4"/>
        <v>0</v>
      </c>
      <c r="X76" s="475">
        <f t="shared" si="5"/>
        <v>0</v>
      </c>
      <c r="Y76" s="475">
        <v>0</v>
      </c>
      <c r="Z76" s="476">
        <v>0</v>
      </c>
      <c r="AA76" s="38">
        <f t="shared" si="6"/>
        <v>0</v>
      </c>
      <c r="AB76" s="692">
        <f t="shared" si="13"/>
        <v>538.41</v>
      </c>
      <c r="AC76" s="692">
        <f t="shared" si="14"/>
        <v>0</v>
      </c>
      <c r="AD76" s="692">
        <f t="shared" si="15"/>
        <v>0</v>
      </c>
      <c r="AE76" s="38"/>
      <c r="AF76" s="692">
        <f t="shared" si="16"/>
        <v>0</v>
      </c>
      <c r="AG76" s="692">
        <f t="shared" si="17"/>
        <v>0</v>
      </c>
      <c r="AH76" s="692">
        <f t="shared" si="18"/>
        <v>0</v>
      </c>
      <c r="AJ76" s="38">
        <f t="shared" si="19"/>
        <v>538.41</v>
      </c>
    </row>
    <row r="77" spans="1:36">
      <c r="A77" s="20" t="s">
        <v>109</v>
      </c>
      <c r="B77" s="20" t="s">
        <v>109</v>
      </c>
      <c r="C77" s="667" t="s">
        <v>539</v>
      </c>
      <c r="D77" s="68" t="s">
        <v>510</v>
      </c>
      <c r="E77" s="679"/>
      <c r="F77" s="529">
        <f>VLOOKUP(D77,'Aug 2012 Revenue'!D:T,17,FALSE)</f>
        <v>0</v>
      </c>
      <c r="G77" s="680"/>
      <c r="H77" s="680"/>
      <c r="I77" s="755"/>
      <c r="J77" s="682">
        <f t="shared" si="33"/>
        <v>0</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si="13"/>
        <v>0</v>
      </c>
      <c r="AC77" s="692">
        <f t="shared" si="14"/>
        <v>0</v>
      </c>
      <c r="AD77" s="692">
        <f t="shared" si="15"/>
        <v>0</v>
      </c>
      <c r="AE77" s="38"/>
      <c r="AF77" s="692">
        <f t="shared" si="16"/>
        <v>0</v>
      </c>
      <c r="AG77" s="692">
        <f t="shared" si="17"/>
        <v>0</v>
      </c>
      <c r="AH77" s="692">
        <f t="shared" si="18"/>
        <v>0</v>
      </c>
      <c r="AJ77" s="38">
        <f t="shared" si="19"/>
        <v>0</v>
      </c>
    </row>
    <row r="78" spans="1:36">
      <c r="A78" s="20"/>
      <c r="B78" s="20" t="s">
        <v>109</v>
      </c>
      <c r="C78" s="667"/>
      <c r="D78" s="68" t="s">
        <v>16</v>
      </c>
      <c r="E78" s="679"/>
      <c r="F78" s="529">
        <f>VLOOKUP(D78,'Aug 2012 Revenue'!D:T,17,FALSE)</f>
        <v>37.31</v>
      </c>
      <c r="G78" s="680"/>
      <c r="H78" s="680"/>
      <c r="I78" s="755"/>
      <c r="J78" s="682">
        <f t="shared" si="33"/>
        <v>37.31</v>
      </c>
      <c r="K78" s="683"/>
      <c r="L78" s="684"/>
      <c r="M78" s="753"/>
      <c r="N78" s="683">
        <v>0</v>
      </c>
      <c r="O78" s="686"/>
      <c r="P78" s="683">
        <v>0</v>
      </c>
      <c r="Q78" s="687">
        <f t="shared" si="1"/>
        <v>0</v>
      </c>
      <c r="R78" s="688">
        <v>27.26</v>
      </c>
      <c r="S78" s="693"/>
      <c r="T78" s="690">
        <f t="shared" si="2"/>
        <v>27.26</v>
      </c>
      <c r="U78" s="683"/>
      <c r="V78" s="474">
        <f t="shared" si="3"/>
        <v>0</v>
      </c>
      <c r="W78" s="474">
        <f t="shared" si="4"/>
        <v>0</v>
      </c>
      <c r="X78" s="475">
        <f t="shared" si="5"/>
        <v>0</v>
      </c>
      <c r="Y78" s="475">
        <v>0</v>
      </c>
      <c r="Z78" s="476">
        <v>0</v>
      </c>
      <c r="AA78" s="38">
        <f t="shared" si="6"/>
        <v>0</v>
      </c>
      <c r="AB78" s="692">
        <f t="shared" si="13"/>
        <v>0</v>
      </c>
      <c r="AC78" s="692">
        <f t="shared" si="14"/>
        <v>37.31</v>
      </c>
      <c r="AD78" s="692">
        <f t="shared" si="15"/>
        <v>0</v>
      </c>
      <c r="AE78" s="38"/>
      <c r="AF78" s="692">
        <f t="shared" si="16"/>
        <v>0</v>
      </c>
      <c r="AG78" s="692">
        <f t="shared" si="17"/>
        <v>0</v>
      </c>
      <c r="AH78" s="692">
        <f t="shared" si="18"/>
        <v>0</v>
      </c>
      <c r="AJ78" s="38">
        <f t="shared" si="19"/>
        <v>37.31</v>
      </c>
    </row>
    <row r="79" spans="1:36">
      <c r="A79" s="20"/>
      <c r="B79" s="20" t="s">
        <v>110</v>
      </c>
      <c r="C79" s="667"/>
      <c r="D79" s="68" t="s">
        <v>597</v>
      </c>
      <c r="E79" s="679"/>
      <c r="F79" s="529">
        <f>VLOOKUP(D79,'Aug 2012 Revenue'!D:T,17,FALSE)</f>
        <v>3823.7299999999959</v>
      </c>
      <c r="G79" s="680"/>
      <c r="H79" s="680"/>
      <c r="I79" s="755"/>
      <c r="J79" s="682">
        <f t="shared" si="33"/>
        <v>3823.7299999999959</v>
      </c>
      <c r="K79" s="683"/>
      <c r="L79" s="684"/>
      <c r="M79" s="753">
        <v>75000</v>
      </c>
      <c r="N79" s="683">
        <v>0</v>
      </c>
      <c r="O79" s="686"/>
      <c r="P79" s="683">
        <v>0</v>
      </c>
      <c r="Q79" s="687">
        <f t="shared" si="1"/>
        <v>75000</v>
      </c>
      <c r="R79" s="688">
        <v>79001.48</v>
      </c>
      <c r="S79" s="693"/>
      <c r="T79" s="690">
        <f t="shared" si="2"/>
        <v>4001.4799999999959</v>
      </c>
      <c r="U79" s="683"/>
      <c r="V79" s="474">
        <f t="shared" si="3"/>
        <v>75000</v>
      </c>
      <c r="W79" s="474">
        <f t="shared" si="4"/>
        <v>0</v>
      </c>
      <c r="X79" s="475">
        <f t="shared" si="5"/>
        <v>0</v>
      </c>
      <c r="Y79" s="475">
        <v>0</v>
      </c>
      <c r="Z79" s="476">
        <v>0</v>
      </c>
      <c r="AA79" s="38">
        <f t="shared" si="6"/>
        <v>0</v>
      </c>
      <c r="AB79" s="692">
        <f t="shared" si="13"/>
        <v>3823.7299999999959</v>
      </c>
      <c r="AC79" s="692">
        <f t="shared" si="14"/>
        <v>0</v>
      </c>
      <c r="AD79" s="692">
        <f t="shared" si="15"/>
        <v>0</v>
      </c>
      <c r="AE79" s="38"/>
      <c r="AF79" s="692">
        <f t="shared" si="16"/>
        <v>75000</v>
      </c>
      <c r="AG79" s="692">
        <f t="shared" si="17"/>
        <v>0</v>
      </c>
      <c r="AH79" s="692">
        <f t="shared" si="18"/>
        <v>0</v>
      </c>
      <c r="AJ79" s="38">
        <f t="shared" si="19"/>
        <v>78823.73</v>
      </c>
    </row>
    <row r="80" spans="1:36" s="232" customFormat="1">
      <c r="A80" s="283"/>
      <c r="B80" s="283" t="s">
        <v>109</v>
      </c>
      <c r="C80" s="667" t="s">
        <v>540</v>
      </c>
      <c r="D80" s="373" t="s">
        <v>410</v>
      </c>
      <c r="E80" s="679">
        <v>2939.02</v>
      </c>
      <c r="F80" s="529">
        <f>VLOOKUP(D80,'Aug 2012 Revenue'!D:T,17,FALSE)</f>
        <v>2965.31</v>
      </c>
      <c r="G80" s="680"/>
      <c r="H80" s="680"/>
      <c r="I80" s="755"/>
      <c r="J80" s="682">
        <f t="shared" si="33"/>
        <v>5904.33</v>
      </c>
      <c r="K80" s="683"/>
      <c r="L80" s="684"/>
      <c r="M80" s="753"/>
      <c r="N80" s="683">
        <v>0</v>
      </c>
      <c r="O80" s="686"/>
      <c r="P80" s="683">
        <v>0</v>
      </c>
      <c r="Q80" s="687">
        <f t="shared" si="1"/>
        <v>0</v>
      </c>
      <c r="R80" s="688">
        <v>0</v>
      </c>
      <c r="S80" s="693"/>
      <c r="T80" s="690">
        <f t="shared" si="2"/>
        <v>0</v>
      </c>
      <c r="U80" s="683"/>
      <c r="V80" s="474">
        <f t="shared" si="3"/>
        <v>0</v>
      </c>
      <c r="W80" s="474">
        <f t="shared" si="4"/>
        <v>0</v>
      </c>
      <c r="X80" s="475">
        <f t="shared" si="5"/>
        <v>0</v>
      </c>
      <c r="Y80" s="475">
        <v>0</v>
      </c>
      <c r="Z80" s="476">
        <v>0</v>
      </c>
      <c r="AA80" s="38">
        <f t="shared" si="6"/>
        <v>0</v>
      </c>
      <c r="AB80" s="692">
        <f t="shared" si="13"/>
        <v>0</v>
      </c>
      <c r="AC80" s="692">
        <f t="shared" si="14"/>
        <v>5904.33</v>
      </c>
      <c r="AD80" s="692">
        <f t="shared" si="15"/>
        <v>0</v>
      </c>
      <c r="AE80" s="38"/>
      <c r="AF80" s="692">
        <f t="shared" si="16"/>
        <v>0</v>
      </c>
      <c r="AG80" s="692">
        <f t="shared" si="17"/>
        <v>0</v>
      </c>
      <c r="AH80" s="692">
        <f t="shared" si="18"/>
        <v>0</v>
      </c>
      <c r="AJ80" s="38">
        <f t="shared" si="19"/>
        <v>5904.33</v>
      </c>
    </row>
    <row r="81" spans="1:36" s="232" customFormat="1">
      <c r="A81" s="283"/>
      <c r="B81" s="283" t="s">
        <v>109</v>
      </c>
      <c r="C81" s="667" t="s">
        <v>540</v>
      </c>
      <c r="D81" s="373" t="s">
        <v>413</v>
      </c>
      <c r="E81" s="679"/>
      <c r="F81" s="529">
        <f>VLOOKUP(D81,'Aug 2012 Revenue'!D:T,17,FALSE)</f>
        <v>0</v>
      </c>
      <c r="G81" s="680"/>
      <c r="H81" s="680"/>
      <c r="I81" s="755"/>
      <c r="J81" s="682">
        <f t="shared" ref="J81:J135" si="34">SUM(E81:I81)</f>
        <v>0</v>
      </c>
      <c r="K81" s="683"/>
      <c r="L81" s="684"/>
      <c r="M81" s="753"/>
      <c r="N81" s="683">
        <v>0</v>
      </c>
      <c r="O81" s="686"/>
      <c r="P81" s="683">
        <v>0</v>
      </c>
      <c r="Q81" s="687">
        <f t="shared" si="1"/>
        <v>0</v>
      </c>
      <c r="R81" s="688">
        <v>0</v>
      </c>
      <c r="S81" s="693"/>
      <c r="T81" s="690">
        <f t="shared" ref="T81:T145" si="35">IF(R81="","",R81-Q81)</f>
        <v>0</v>
      </c>
      <c r="U81" s="683"/>
      <c r="V81" s="474">
        <f t="shared" ref="V81:V145" si="36">IF(B81="D",Q81,0)</f>
        <v>0</v>
      </c>
      <c r="W81" s="474">
        <f t="shared" ref="W81:W145" si="37">IF(B81="M",Q81,0)</f>
        <v>0</v>
      </c>
      <c r="X81" s="475">
        <f t="shared" ref="X81:X145" si="38">IF(B81="V",Q81,0)</f>
        <v>0</v>
      </c>
      <c r="Y81" s="475">
        <v>0</v>
      </c>
      <c r="Z81" s="476">
        <v>0</v>
      </c>
      <c r="AA81" s="38">
        <f t="shared" ref="AA81:AA145" si="39">(L81+M81)-(V81+W81+X81+Y81+Z81)</f>
        <v>0</v>
      </c>
      <c r="AB81" s="692">
        <f t="shared" si="13"/>
        <v>0</v>
      </c>
      <c r="AC81" s="692">
        <f t="shared" si="14"/>
        <v>0</v>
      </c>
      <c r="AD81" s="692">
        <f t="shared" si="15"/>
        <v>0</v>
      </c>
      <c r="AE81" s="38"/>
      <c r="AF81" s="692">
        <f t="shared" si="16"/>
        <v>0</v>
      </c>
      <c r="AG81" s="692">
        <f t="shared" si="17"/>
        <v>0</v>
      </c>
      <c r="AH81" s="692">
        <f t="shared" si="18"/>
        <v>0</v>
      </c>
      <c r="AJ81" s="38">
        <f t="shared" si="19"/>
        <v>0</v>
      </c>
    </row>
    <row r="82" spans="1:36" s="232" customFormat="1">
      <c r="A82" s="283"/>
      <c r="B82" s="283" t="s">
        <v>109</v>
      </c>
      <c r="C82" s="667" t="s">
        <v>540</v>
      </c>
      <c r="D82" s="373" t="s">
        <v>620</v>
      </c>
      <c r="E82" s="679"/>
      <c r="F82" s="529">
        <f>VLOOKUP(D82,'Aug 2012 Revenue'!D:T,17,FALSE)</f>
        <v>0</v>
      </c>
      <c r="G82" s="680"/>
      <c r="H82" s="680"/>
      <c r="I82" s="755"/>
      <c r="J82" s="682">
        <f t="shared" si="34"/>
        <v>0</v>
      </c>
      <c r="K82" s="683"/>
      <c r="L82" s="684"/>
      <c r="M82" s="753"/>
      <c r="N82" s="683">
        <v>0</v>
      </c>
      <c r="O82" s="686"/>
      <c r="P82" s="683">
        <v>0</v>
      </c>
      <c r="Q82" s="687">
        <f t="shared" si="1"/>
        <v>0</v>
      </c>
      <c r="R82" s="688">
        <v>0</v>
      </c>
      <c r="S82" s="693"/>
      <c r="T82" s="690">
        <f t="shared" si="35"/>
        <v>0</v>
      </c>
      <c r="U82" s="683"/>
      <c r="V82" s="474">
        <f t="shared" si="36"/>
        <v>0</v>
      </c>
      <c r="W82" s="474">
        <f t="shared" si="37"/>
        <v>0</v>
      </c>
      <c r="X82" s="475">
        <f t="shared" si="38"/>
        <v>0</v>
      </c>
      <c r="Y82" s="475">
        <v>0</v>
      </c>
      <c r="Z82" s="476">
        <v>0</v>
      </c>
      <c r="AA82" s="38">
        <f t="shared" si="39"/>
        <v>0</v>
      </c>
      <c r="AB82" s="692">
        <f t="shared" ref="AB82:AB146" si="40">IF(B82="D",J82,0)</f>
        <v>0</v>
      </c>
      <c r="AC82" s="692">
        <f t="shared" ref="AC82:AC146" si="41">IF(B82="M",J82,0)</f>
        <v>0</v>
      </c>
      <c r="AD82" s="692">
        <f t="shared" ref="AD82:AD146" si="42">IF(B82="V",J82,0)</f>
        <v>0</v>
      </c>
      <c r="AE82" s="38"/>
      <c r="AF82" s="692">
        <f t="shared" ref="AF82:AF146" si="43">IF(B82="D",Q82,0)</f>
        <v>0</v>
      </c>
      <c r="AG82" s="692">
        <f t="shared" ref="AG82:AG146" si="44">IF(B82="M",Q82,0)</f>
        <v>0</v>
      </c>
      <c r="AH82" s="692">
        <f t="shared" ref="AH82:AH146" si="45">IF(B82="V",Q82,0)</f>
        <v>0</v>
      </c>
      <c r="AJ82" s="38">
        <f t="shared" ref="AJ82:AJ146" si="46">SUM(AB82:AH82)</f>
        <v>0</v>
      </c>
    </row>
    <row r="83" spans="1:36">
      <c r="A83" s="20"/>
      <c r="B83" s="20" t="s">
        <v>110</v>
      </c>
      <c r="C83" s="667" t="s">
        <v>541</v>
      </c>
      <c r="D83" s="351" t="s">
        <v>507</v>
      </c>
      <c r="E83" s="679"/>
      <c r="F83" s="529">
        <f>VLOOKUP(D83,'Aug 2012 Revenue'!D:T,17,FALSE)</f>
        <v>0</v>
      </c>
      <c r="G83" s="680"/>
      <c r="H83" s="680"/>
      <c r="I83" s="755"/>
      <c r="J83" s="682">
        <f t="shared" si="34"/>
        <v>0</v>
      </c>
      <c r="K83" s="683"/>
      <c r="L83" s="684"/>
      <c r="M83" s="753"/>
      <c r="N83" s="683">
        <v>0</v>
      </c>
      <c r="O83" s="686"/>
      <c r="P83" s="683">
        <v>0</v>
      </c>
      <c r="Q83" s="687">
        <f t="shared" si="1"/>
        <v>0</v>
      </c>
      <c r="R83" s="688">
        <v>169.86</v>
      </c>
      <c r="S83" s="693"/>
      <c r="T83" s="690">
        <f t="shared" si="35"/>
        <v>169.86</v>
      </c>
      <c r="U83" s="683"/>
      <c r="V83" s="474">
        <f t="shared" si="36"/>
        <v>0</v>
      </c>
      <c r="W83" s="474">
        <f t="shared" si="37"/>
        <v>0</v>
      </c>
      <c r="X83" s="475">
        <f t="shared" si="38"/>
        <v>0</v>
      </c>
      <c r="Y83" s="475">
        <v>0</v>
      </c>
      <c r="Z83" s="476">
        <v>0</v>
      </c>
      <c r="AA83" s="38">
        <f t="shared" si="39"/>
        <v>0</v>
      </c>
      <c r="AB83" s="692">
        <f t="shared" si="40"/>
        <v>0</v>
      </c>
      <c r="AC83" s="692">
        <f t="shared" si="41"/>
        <v>0</v>
      </c>
      <c r="AD83" s="692">
        <f t="shared" si="42"/>
        <v>0</v>
      </c>
      <c r="AE83" s="38"/>
      <c r="AF83" s="692">
        <f t="shared" si="43"/>
        <v>0</v>
      </c>
      <c r="AG83" s="692">
        <f t="shared" si="44"/>
        <v>0</v>
      </c>
      <c r="AH83" s="692">
        <f t="shared" si="45"/>
        <v>0</v>
      </c>
      <c r="AJ83" s="38">
        <f t="shared" si="46"/>
        <v>0</v>
      </c>
    </row>
    <row r="84" spans="1:36">
      <c r="A84" s="20"/>
      <c r="B84" s="20" t="s">
        <v>110</v>
      </c>
      <c r="C84" s="667" t="s">
        <v>541</v>
      </c>
      <c r="D84" s="351" t="s">
        <v>506</v>
      </c>
      <c r="E84" s="679"/>
      <c r="F84" s="529">
        <f>VLOOKUP(D84,'Aug 2012 Revenue'!D:T,17,FALSE)</f>
        <v>0</v>
      </c>
      <c r="G84" s="680"/>
      <c r="H84" s="680"/>
      <c r="I84" s="755"/>
      <c r="J84" s="682">
        <f t="shared" si="34"/>
        <v>0</v>
      </c>
      <c r="K84" s="683"/>
      <c r="L84" s="684"/>
      <c r="M84" s="753"/>
      <c r="N84" s="683">
        <v>0</v>
      </c>
      <c r="O84" s="686"/>
      <c r="P84" s="683">
        <v>0</v>
      </c>
      <c r="Q84" s="687">
        <f t="shared" si="1"/>
        <v>0</v>
      </c>
      <c r="R84" s="688">
        <v>4.13</v>
      </c>
      <c r="S84" s="693"/>
      <c r="T84" s="690">
        <f t="shared" si="35"/>
        <v>4.13</v>
      </c>
      <c r="U84" s="683"/>
      <c r="V84" s="474">
        <f t="shared" si="36"/>
        <v>0</v>
      </c>
      <c r="W84" s="474">
        <f t="shared" si="37"/>
        <v>0</v>
      </c>
      <c r="X84" s="475">
        <f t="shared" si="38"/>
        <v>0</v>
      </c>
      <c r="Y84" s="475">
        <v>0</v>
      </c>
      <c r="Z84" s="476">
        <v>0</v>
      </c>
      <c r="AA84" s="38">
        <f t="shared" si="39"/>
        <v>0</v>
      </c>
      <c r="AB84" s="692">
        <f t="shared" si="40"/>
        <v>0</v>
      </c>
      <c r="AC84" s="692">
        <f t="shared" si="41"/>
        <v>0</v>
      </c>
      <c r="AD84" s="692">
        <f t="shared" si="42"/>
        <v>0</v>
      </c>
      <c r="AE84" s="38"/>
      <c r="AF84" s="692">
        <f t="shared" si="43"/>
        <v>0</v>
      </c>
      <c r="AG84" s="692">
        <f t="shared" si="44"/>
        <v>0</v>
      </c>
      <c r="AH84" s="692">
        <f t="shared" si="45"/>
        <v>0</v>
      </c>
      <c r="AJ84" s="38">
        <f t="shared" si="46"/>
        <v>0</v>
      </c>
    </row>
    <row r="85" spans="1:36">
      <c r="A85" s="20"/>
      <c r="B85" s="20" t="s">
        <v>110</v>
      </c>
      <c r="C85" s="667" t="s">
        <v>542</v>
      </c>
      <c r="D85" s="68" t="s">
        <v>305</v>
      </c>
      <c r="E85" s="679"/>
      <c r="F85" s="529">
        <f>VLOOKUP(D85,'Aug 2012 Revenue'!D:T,17,FALSE)</f>
        <v>0</v>
      </c>
      <c r="G85" s="680"/>
      <c r="H85" s="680"/>
      <c r="I85" s="755"/>
      <c r="J85" s="682">
        <f t="shared" si="34"/>
        <v>0</v>
      </c>
      <c r="K85" s="683"/>
      <c r="L85" s="684"/>
      <c r="M85" s="753"/>
      <c r="N85" s="683">
        <v>0</v>
      </c>
      <c r="O85" s="686"/>
      <c r="P85" s="683">
        <v>0</v>
      </c>
      <c r="Q85" s="687">
        <f t="shared" si="1"/>
        <v>0</v>
      </c>
      <c r="R85" s="688">
        <v>374.28</v>
      </c>
      <c r="S85" s="693"/>
      <c r="T85" s="690">
        <f t="shared" si="35"/>
        <v>374.28</v>
      </c>
      <c r="U85" s="683"/>
      <c r="V85" s="474">
        <f t="shared" si="36"/>
        <v>0</v>
      </c>
      <c r="W85" s="474">
        <f t="shared" si="37"/>
        <v>0</v>
      </c>
      <c r="X85" s="475">
        <f t="shared" si="38"/>
        <v>0</v>
      </c>
      <c r="Y85" s="475">
        <v>0</v>
      </c>
      <c r="Z85" s="476">
        <v>0</v>
      </c>
      <c r="AA85" s="38">
        <f t="shared" si="39"/>
        <v>0</v>
      </c>
      <c r="AB85" s="692">
        <f t="shared" si="40"/>
        <v>0</v>
      </c>
      <c r="AC85" s="692">
        <f t="shared" si="41"/>
        <v>0</v>
      </c>
      <c r="AD85" s="692">
        <f t="shared" si="42"/>
        <v>0</v>
      </c>
      <c r="AE85" s="38"/>
      <c r="AF85" s="692">
        <f t="shared" si="43"/>
        <v>0</v>
      </c>
      <c r="AG85" s="692">
        <f t="shared" si="44"/>
        <v>0</v>
      </c>
      <c r="AH85" s="692">
        <f t="shared" si="45"/>
        <v>0</v>
      </c>
      <c r="AJ85" s="38">
        <f t="shared" si="46"/>
        <v>0</v>
      </c>
    </row>
    <row r="86" spans="1:36">
      <c r="A86" s="20"/>
      <c r="B86" s="20" t="s">
        <v>110</v>
      </c>
      <c r="C86" s="667" t="s">
        <v>543</v>
      </c>
      <c r="D86" s="68" t="s">
        <v>199</v>
      </c>
      <c r="E86" s="679"/>
      <c r="F86" s="529">
        <f>VLOOKUP(D86,'Aug 2012 Revenue'!D:T,17,FALSE)</f>
        <v>0</v>
      </c>
      <c r="G86" s="680"/>
      <c r="H86" s="680"/>
      <c r="I86" s="770">
        <v>127.43</v>
      </c>
      <c r="J86" s="682">
        <f t="shared" si="34"/>
        <v>127.43</v>
      </c>
      <c r="K86" s="683"/>
      <c r="L86" s="684"/>
      <c r="M86" s="753"/>
      <c r="N86" s="683">
        <v>0</v>
      </c>
      <c r="O86" s="686"/>
      <c r="P86" s="683">
        <v>0</v>
      </c>
      <c r="Q86" s="687">
        <f t="shared" si="1"/>
        <v>0</v>
      </c>
      <c r="R86" s="688">
        <v>127.43</v>
      </c>
      <c r="S86" s="693"/>
      <c r="T86" s="690">
        <f t="shared" si="35"/>
        <v>127.43</v>
      </c>
      <c r="U86" s="683"/>
      <c r="V86" s="474">
        <f t="shared" si="36"/>
        <v>0</v>
      </c>
      <c r="W86" s="474">
        <f t="shared" si="37"/>
        <v>0</v>
      </c>
      <c r="X86" s="475">
        <f t="shared" si="38"/>
        <v>0</v>
      </c>
      <c r="Y86" s="475">
        <v>0</v>
      </c>
      <c r="Z86" s="476">
        <v>0</v>
      </c>
      <c r="AA86" s="38">
        <f t="shared" si="39"/>
        <v>0</v>
      </c>
      <c r="AB86" s="692">
        <f t="shared" si="40"/>
        <v>127.43</v>
      </c>
      <c r="AC86" s="692">
        <f t="shared" si="41"/>
        <v>0</v>
      </c>
      <c r="AD86" s="692">
        <f t="shared" si="42"/>
        <v>0</v>
      </c>
      <c r="AE86" s="38"/>
      <c r="AF86" s="692">
        <f t="shared" si="43"/>
        <v>0</v>
      </c>
      <c r="AG86" s="692">
        <f t="shared" si="44"/>
        <v>0</v>
      </c>
      <c r="AH86" s="692">
        <f t="shared" si="45"/>
        <v>0</v>
      </c>
      <c r="AJ86" s="38">
        <f t="shared" si="46"/>
        <v>127.43</v>
      </c>
    </row>
    <row r="87" spans="1:36">
      <c r="A87" s="20"/>
      <c r="B87" s="20" t="s">
        <v>110</v>
      </c>
      <c r="C87" s="667" t="s">
        <v>543</v>
      </c>
      <c r="D87" s="68" t="s">
        <v>200</v>
      </c>
      <c r="E87" s="679"/>
      <c r="F87" s="529">
        <f>VLOOKUP(D87,'Aug 2012 Revenue'!D:T,17,FALSE)</f>
        <v>0</v>
      </c>
      <c r="G87" s="680"/>
      <c r="H87" s="680"/>
      <c r="I87" s="770">
        <v>1653.4</v>
      </c>
      <c r="J87" s="682">
        <f t="shared" si="34"/>
        <v>1653.4</v>
      </c>
      <c r="K87" s="683"/>
      <c r="L87" s="684"/>
      <c r="M87" s="753"/>
      <c r="N87" s="683">
        <v>0</v>
      </c>
      <c r="O87" s="686"/>
      <c r="P87" s="683">
        <v>0</v>
      </c>
      <c r="Q87" s="687">
        <f t="shared" si="1"/>
        <v>0</v>
      </c>
      <c r="R87" s="688">
        <v>1653.4</v>
      </c>
      <c r="S87" s="693"/>
      <c r="T87" s="690">
        <f t="shared" si="35"/>
        <v>1653.4</v>
      </c>
      <c r="U87" s="683"/>
      <c r="V87" s="474">
        <f t="shared" si="36"/>
        <v>0</v>
      </c>
      <c r="W87" s="474">
        <f t="shared" si="37"/>
        <v>0</v>
      </c>
      <c r="X87" s="475">
        <f t="shared" si="38"/>
        <v>0</v>
      </c>
      <c r="Y87" s="475">
        <v>0</v>
      </c>
      <c r="Z87" s="476">
        <v>0</v>
      </c>
      <c r="AA87" s="38">
        <f t="shared" si="39"/>
        <v>0</v>
      </c>
      <c r="AB87" s="692">
        <f t="shared" si="40"/>
        <v>1653.4</v>
      </c>
      <c r="AC87" s="692">
        <f t="shared" si="41"/>
        <v>0</v>
      </c>
      <c r="AD87" s="692">
        <f t="shared" si="42"/>
        <v>0</v>
      </c>
      <c r="AE87" s="38"/>
      <c r="AF87" s="692">
        <f t="shared" si="43"/>
        <v>0</v>
      </c>
      <c r="AG87" s="692">
        <f t="shared" si="44"/>
        <v>0</v>
      </c>
      <c r="AH87" s="692">
        <f t="shared" si="45"/>
        <v>0</v>
      </c>
      <c r="AJ87" s="38">
        <f t="shared" si="46"/>
        <v>1653.4</v>
      </c>
    </row>
    <row r="88" spans="1:36">
      <c r="A88" s="20"/>
      <c r="B88" s="20" t="s">
        <v>110</v>
      </c>
      <c r="C88" s="667" t="s">
        <v>543</v>
      </c>
      <c r="D88" s="68" t="s">
        <v>201</v>
      </c>
      <c r="E88" s="679"/>
      <c r="F88" s="529">
        <f>VLOOKUP(D88,'Aug 2012 Revenue'!D:T,17,FALSE)</f>
        <v>0</v>
      </c>
      <c r="G88" s="680"/>
      <c r="H88" s="680"/>
      <c r="I88" s="770">
        <v>61.5</v>
      </c>
      <c r="J88" s="682">
        <f t="shared" si="34"/>
        <v>61.5</v>
      </c>
      <c r="K88" s="683"/>
      <c r="L88" s="684"/>
      <c r="M88" s="753"/>
      <c r="N88" s="683">
        <v>0</v>
      </c>
      <c r="O88" s="686"/>
      <c r="P88" s="683">
        <v>0</v>
      </c>
      <c r="Q88" s="687">
        <f t="shared" si="1"/>
        <v>0</v>
      </c>
      <c r="R88" s="688">
        <v>61.5</v>
      </c>
      <c r="S88" s="693"/>
      <c r="T88" s="690">
        <f t="shared" si="35"/>
        <v>61.5</v>
      </c>
      <c r="U88" s="683"/>
      <c r="V88" s="474">
        <f t="shared" si="36"/>
        <v>0</v>
      </c>
      <c r="W88" s="474">
        <f t="shared" si="37"/>
        <v>0</v>
      </c>
      <c r="X88" s="475">
        <f t="shared" si="38"/>
        <v>0</v>
      </c>
      <c r="Y88" s="475">
        <v>0</v>
      </c>
      <c r="Z88" s="476">
        <v>0</v>
      </c>
      <c r="AA88" s="38">
        <f t="shared" si="39"/>
        <v>0</v>
      </c>
      <c r="AB88" s="692">
        <f t="shared" si="40"/>
        <v>61.5</v>
      </c>
      <c r="AC88" s="692">
        <f t="shared" si="41"/>
        <v>0</v>
      </c>
      <c r="AD88" s="692">
        <f t="shared" si="42"/>
        <v>0</v>
      </c>
      <c r="AE88" s="38"/>
      <c r="AF88" s="692">
        <f t="shared" si="43"/>
        <v>0</v>
      </c>
      <c r="AG88" s="692">
        <f t="shared" si="44"/>
        <v>0</v>
      </c>
      <c r="AH88" s="692">
        <f t="shared" si="45"/>
        <v>0</v>
      </c>
      <c r="AJ88" s="38">
        <f t="shared" si="46"/>
        <v>61.5</v>
      </c>
    </row>
    <row r="89" spans="1:36">
      <c r="A89" s="20" t="s">
        <v>97</v>
      </c>
      <c r="B89" s="20" t="s">
        <v>114</v>
      </c>
      <c r="C89" s="667"/>
      <c r="D89" s="68" t="s">
        <v>387</v>
      </c>
      <c r="E89" s="679"/>
      <c r="F89" s="529">
        <f>VLOOKUP(D89,'Aug 2012 Revenue'!D:T,17,FALSE)</f>
        <v>3408.7199999999993</v>
      </c>
      <c r="G89" s="680"/>
      <c r="H89" s="680"/>
      <c r="I89" s="755"/>
      <c r="J89" s="682">
        <f t="shared" si="34"/>
        <v>3408.7199999999993</v>
      </c>
      <c r="K89" s="683"/>
      <c r="L89" s="684"/>
      <c r="M89" s="753">
        <v>12500</v>
      </c>
      <c r="N89" s="683">
        <v>0</v>
      </c>
      <c r="O89" s="686"/>
      <c r="P89" s="683">
        <v>0</v>
      </c>
      <c r="Q89" s="687">
        <f t="shared" si="1"/>
        <v>12500</v>
      </c>
      <c r="R89" s="688">
        <v>11403.02</v>
      </c>
      <c r="S89" s="693"/>
      <c r="T89" s="690">
        <f t="shared" si="35"/>
        <v>-1096.9799999999996</v>
      </c>
      <c r="U89" s="683"/>
      <c r="V89" s="474">
        <f t="shared" si="36"/>
        <v>0</v>
      </c>
      <c r="W89" s="474">
        <f t="shared" si="37"/>
        <v>0</v>
      </c>
      <c r="X89" s="475">
        <f t="shared" si="38"/>
        <v>12500</v>
      </c>
      <c r="Y89" s="475">
        <v>0</v>
      </c>
      <c r="Z89" s="476">
        <v>0</v>
      </c>
      <c r="AA89" s="38">
        <f t="shared" si="39"/>
        <v>0</v>
      </c>
      <c r="AB89" s="692">
        <f t="shared" si="40"/>
        <v>0</v>
      </c>
      <c r="AC89" s="692">
        <f t="shared" si="41"/>
        <v>0</v>
      </c>
      <c r="AD89" s="692">
        <f t="shared" si="42"/>
        <v>3408.7199999999993</v>
      </c>
      <c r="AE89" s="38"/>
      <c r="AF89" s="692">
        <f t="shared" si="43"/>
        <v>0</v>
      </c>
      <c r="AG89" s="692">
        <f t="shared" si="44"/>
        <v>0</v>
      </c>
      <c r="AH89" s="692">
        <f t="shared" si="45"/>
        <v>12500</v>
      </c>
      <c r="AJ89" s="38">
        <f t="shared" si="46"/>
        <v>15908.72</v>
      </c>
    </row>
    <row r="90" spans="1:36">
      <c r="A90" s="20" t="s">
        <v>97</v>
      </c>
      <c r="B90" s="20" t="s">
        <v>114</v>
      </c>
      <c r="C90" s="667"/>
      <c r="D90" s="68" t="s">
        <v>482</v>
      </c>
      <c r="E90" s="679"/>
      <c r="F90" s="529">
        <f>VLOOKUP(D90,'Aug 2012 Revenue'!D:T,17,FALSE)</f>
        <v>0</v>
      </c>
      <c r="G90" s="680"/>
      <c r="H90" s="680"/>
      <c r="I90" s="755"/>
      <c r="J90" s="682">
        <f t="shared" si="34"/>
        <v>0</v>
      </c>
      <c r="K90" s="683"/>
      <c r="L90" s="684"/>
      <c r="M90" s="753"/>
      <c r="N90" s="683"/>
      <c r="O90" s="686"/>
      <c r="P90" s="683"/>
      <c r="Q90" s="687">
        <f t="shared" si="1"/>
        <v>0</v>
      </c>
      <c r="R90" s="688">
        <v>0</v>
      </c>
      <c r="S90" s="693"/>
      <c r="T90" s="690">
        <f t="shared" si="35"/>
        <v>0</v>
      </c>
      <c r="U90" s="683"/>
      <c r="V90" s="474">
        <f t="shared" si="36"/>
        <v>0</v>
      </c>
      <c r="W90" s="474">
        <f t="shared" si="37"/>
        <v>0</v>
      </c>
      <c r="X90" s="475">
        <f t="shared" si="38"/>
        <v>0</v>
      </c>
      <c r="Y90" s="475">
        <v>0</v>
      </c>
      <c r="Z90" s="476">
        <v>0</v>
      </c>
      <c r="AA90" s="38">
        <f t="shared" si="39"/>
        <v>0</v>
      </c>
      <c r="AB90" s="692">
        <f t="shared" si="40"/>
        <v>0</v>
      </c>
      <c r="AC90" s="692">
        <f t="shared" si="41"/>
        <v>0</v>
      </c>
      <c r="AD90" s="692">
        <f t="shared" si="42"/>
        <v>0</v>
      </c>
      <c r="AE90" s="38"/>
      <c r="AF90" s="692">
        <f t="shared" si="43"/>
        <v>0</v>
      </c>
      <c r="AG90" s="692">
        <f t="shared" si="44"/>
        <v>0</v>
      </c>
      <c r="AH90" s="692">
        <f t="shared" si="45"/>
        <v>0</v>
      </c>
      <c r="AJ90" s="38">
        <f t="shared" si="46"/>
        <v>0</v>
      </c>
    </row>
    <row r="91" spans="1:36">
      <c r="A91" s="20" t="s">
        <v>109</v>
      </c>
      <c r="B91" s="20" t="s">
        <v>109</v>
      </c>
      <c r="C91" s="667" t="s">
        <v>544</v>
      </c>
      <c r="D91" s="68" t="s">
        <v>383</v>
      </c>
      <c r="E91" s="679"/>
      <c r="F91" s="529">
        <f>VLOOKUP(D91,'Aug 2012 Revenue'!D:T,17,FALSE)</f>
        <v>397.76</v>
      </c>
      <c r="G91" s="680"/>
      <c r="H91" s="680"/>
      <c r="I91" s="770">
        <v>279.72000000000003</v>
      </c>
      <c r="J91" s="682">
        <f t="shared" si="34"/>
        <v>677.48</v>
      </c>
      <c r="K91" s="683"/>
      <c r="L91" s="684"/>
      <c r="M91" s="753"/>
      <c r="N91" s="683">
        <v>0</v>
      </c>
      <c r="O91" s="686"/>
      <c r="P91" s="683">
        <v>0</v>
      </c>
      <c r="Q91" s="687">
        <f t="shared" si="1"/>
        <v>0</v>
      </c>
      <c r="R91" s="688">
        <v>0</v>
      </c>
      <c r="S91" s="693"/>
      <c r="T91" s="690">
        <f t="shared" si="35"/>
        <v>0</v>
      </c>
      <c r="U91" s="683"/>
      <c r="V91" s="474">
        <f t="shared" si="36"/>
        <v>0</v>
      </c>
      <c r="W91" s="474">
        <f t="shared" si="37"/>
        <v>0</v>
      </c>
      <c r="X91" s="475">
        <f t="shared" si="38"/>
        <v>0</v>
      </c>
      <c r="Y91" s="475">
        <v>0</v>
      </c>
      <c r="Z91" s="476">
        <v>0</v>
      </c>
      <c r="AA91" s="38">
        <f t="shared" si="39"/>
        <v>0</v>
      </c>
      <c r="AB91" s="692">
        <f t="shared" si="40"/>
        <v>0</v>
      </c>
      <c r="AC91" s="692">
        <f t="shared" si="41"/>
        <v>677.48</v>
      </c>
      <c r="AD91" s="692">
        <f t="shared" si="42"/>
        <v>0</v>
      </c>
      <c r="AE91" s="38"/>
      <c r="AF91" s="692">
        <f t="shared" si="43"/>
        <v>0</v>
      </c>
      <c r="AG91" s="692">
        <f t="shared" si="44"/>
        <v>0</v>
      </c>
      <c r="AH91" s="692">
        <f t="shared" si="45"/>
        <v>0</v>
      </c>
      <c r="AJ91" s="38">
        <f t="shared" si="46"/>
        <v>677.48</v>
      </c>
    </row>
    <row r="92" spans="1:36">
      <c r="A92" s="21" t="s">
        <v>211</v>
      </c>
      <c r="B92" s="21" t="s">
        <v>109</v>
      </c>
      <c r="C92" s="666" t="s">
        <v>545</v>
      </c>
      <c r="D92" s="68" t="s">
        <v>181</v>
      </c>
      <c r="E92" s="679"/>
      <c r="F92" s="529">
        <f>VLOOKUP(D92,'Aug 2012 Revenue'!D:T,17,FALSE)</f>
        <v>-12000</v>
      </c>
      <c r="G92" s="680"/>
      <c r="H92" s="680"/>
      <c r="I92" s="755"/>
      <c r="J92" s="682">
        <f t="shared" si="34"/>
        <v>-12000</v>
      </c>
      <c r="K92" s="683"/>
      <c r="L92" s="684"/>
      <c r="M92" s="753">
        <v>14000</v>
      </c>
      <c r="N92" s="683">
        <v>0</v>
      </c>
      <c r="O92" s="686"/>
      <c r="P92" s="683">
        <v>0</v>
      </c>
      <c r="Q92" s="687">
        <f t="shared" si="1"/>
        <v>14000</v>
      </c>
      <c r="R92" s="688">
        <v>0</v>
      </c>
      <c r="S92" s="693"/>
      <c r="T92" s="690">
        <f t="shared" si="35"/>
        <v>-14000</v>
      </c>
      <c r="U92" s="683"/>
      <c r="V92" s="474">
        <f t="shared" si="36"/>
        <v>0</v>
      </c>
      <c r="W92" s="474">
        <f t="shared" si="37"/>
        <v>14000</v>
      </c>
      <c r="X92" s="475">
        <f t="shared" si="38"/>
        <v>0</v>
      </c>
      <c r="Y92" s="475">
        <v>0</v>
      </c>
      <c r="Z92" s="476">
        <v>0</v>
      </c>
      <c r="AA92" s="38">
        <f t="shared" si="39"/>
        <v>0</v>
      </c>
      <c r="AB92" s="692">
        <f t="shared" si="40"/>
        <v>0</v>
      </c>
      <c r="AC92" s="692">
        <f t="shared" si="41"/>
        <v>-12000</v>
      </c>
      <c r="AD92" s="692">
        <f t="shared" si="42"/>
        <v>0</v>
      </c>
      <c r="AE92" s="38"/>
      <c r="AF92" s="692">
        <f t="shared" si="43"/>
        <v>0</v>
      </c>
      <c r="AG92" s="692">
        <f t="shared" si="44"/>
        <v>14000</v>
      </c>
      <c r="AH92" s="692">
        <f t="shared" si="45"/>
        <v>0</v>
      </c>
      <c r="AJ92" s="38">
        <f t="shared" si="46"/>
        <v>2000</v>
      </c>
    </row>
    <row r="93" spans="1:36">
      <c r="A93" s="21" t="s">
        <v>211</v>
      </c>
      <c r="B93" s="21" t="s">
        <v>110</v>
      </c>
      <c r="C93" s="666"/>
      <c r="D93" s="68" t="s">
        <v>504</v>
      </c>
      <c r="E93" s="679"/>
      <c r="F93" s="529">
        <f>VLOOKUP(D93,'Aug 2012 Revenue'!D:T,17,FALSE)</f>
        <v>0</v>
      </c>
      <c r="G93" s="680"/>
      <c r="H93" s="680"/>
      <c r="I93" s="755"/>
      <c r="J93" s="682">
        <f t="shared" si="34"/>
        <v>0</v>
      </c>
      <c r="K93" s="683"/>
      <c r="L93" s="684"/>
      <c r="M93" s="753"/>
      <c r="N93" s="683">
        <v>0</v>
      </c>
      <c r="O93" s="686"/>
      <c r="P93" s="683">
        <v>0</v>
      </c>
      <c r="Q93" s="687">
        <f t="shared" si="1"/>
        <v>0</v>
      </c>
      <c r="R93" s="688">
        <v>0</v>
      </c>
      <c r="S93" s="693"/>
      <c r="T93" s="690">
        <f t="shared" si="35"/>
        <v>0</v>
      </c>
      <c r="U93" s="683"/>
      <c r="V93" s="474">
        <f t="shared" si="36"/>
        <v>0</v>
      </c>
      <c r="W93" s="474">
        <f t="shared" si="37"/>
        <v>0</v>
      </c>
      <c r="X93" s="475">
        <f t="shared" si="38"/>
        <v>0</v>
      </c>
      <c r="Y93" s="475">
        <v>0</v>
      </c>
      <c r="Z93" s="476">
        <v>0</v>
      </c>
      <c r="AA93" s="38">
        <f t="shared" si="39"/>
        <v>0</v>
      </c>
      <c r="AB93" s="692">
        <f t="shared" si="40"/>
        <v>0</v>
      </c>
      <c r="AC93" s="692">
        <f t="shared" si="41"/>
        <v>0</v>
      </c>
      <c r="AD93" s="692">
        <f t="shared" si="42"/>
        <v>0</v>
      </c>
      <c r="AE93" s="38"/>
      <c r="AF93" s="692">
        <f t="shared" si="43"/>
        <v>0</v>
      </c>
      <c r="AG93" s="692">
        <f t="shared" si="44"/>
        <v>0</v>
      </c>
      <c r="AH93" s="692">
        <f t="shared" si="45"/>
        <v>0</v>
      </c>
      <c r="AJ93" s="38">
        <f t="shared" si="46"/>
        <v>0</v>
      </c>
    </row>
    <row r="94" spans="1:36">
      <c r="A94" s="20" t="s">
        <v>211</v>
      </c>
      <c r="B94" s="20" t="s">
        <v>109</v>
      </c>
      <c r="C94" s="667" t="s">
        <v>546</v>
      </c>
      <c r="D94" s="68" t="s">
        <v>142</v>
      </c>
      <c r="E94" s="679"/>
      <c r="F94" s="529">
        <f>VLOOKUP(D94,'Aug 2012 Revenue'!D:T,17,FALSE)</f>
        <v>0</v>
      </c>
      <c r="G94" s="680"/>
      <c r="H94" s="680"/>
      <c r="I94" s="755"/>
      <c r="J94" s="682">
        <f t="shared" si="34"/>
        <v>0</v>
      </c>
      <c r="K94" s="683"/>
      <c r="L94" s="684"/>
      <c r="M94" s="753"/>
      <c r="N94" s="683">
        <v>0</v>
      </c>
      <c r="O94" s="686"/>
      <c r="P94" s="683">
        <v>0</v>
      </c>
      <c r="Q94" s="687">
        <f t="shared" si="1"/>
        <v>0</v>
      </c>
      <c r="R94" s="688">
        <v>0</v>
      </c>
      <c r="S94" s="693"/>
      <c r="T94" s="690">
        <f t="shared" si="35"/>
        <v>0</v>
      </c>
      <c r="U94" s="697"/>
      <c r="V94" s="474">
        <f t="shared" si="36"/>
        <v>0</v>
      </c>
      <c r="W94" s="474">
        <f t="shared" si="37"/>
        <v>0</v>
      </c>
      <c r="X94" s="475">
        <f t="shared" si="38"/>
        <v>0</v>
      </c>
      <c r="Y94" s="475">
        <v>0</v>
      </c>
      <c r="Z94" s="476">
        <v>0</v>
      </c>
      <c r="AA94" s="38">
        <f t="shared" si="39"/>
        <v>0</v>
      </c>
      <c r="AB94" s="692">
        <f t="shared" si="40"/>
        <v>0</v>
      </c>
      <c r="AC94" s="692">
        <f t="shared" si="41"/>
        <v>0</v>
      </c>
      <c r="AD94" s="692">
        <f t="shared" si="42"/>
        <v>0</v>
      </c>
      <c r="AE94" s="38"/>
      <c r="AF94" s="692">
        <f t="shared" si="43"/>
        <v>0</v>
      </c>
      <c r="AG94" s="692">
        <f t="shared" si="44"/>
        <v>0</v>
      </c>
      <c r="AH94" s="692">
        <f t="shared" si="45"/>
        <v>0</v>
      </c>
      <c r="AJ94" s="38">
        <f t="shared" si="46"/>
        <v>0</v>
      </c>
    </row>
    <row r="95" spans="1:36">
      <c r="A95" s="20" t="s">
        <v>211</v>
      </c>
      <c r="B95" s="20" t="s">
        <v>109</v>
      </c>
      <c r="C95" s="667" t="s">
        <v>546</v>
      </c>
      <c r="D95" s="68" t="s">
        <v>143</v>
      </c>
      <c r="E95" s="679"/>
      <c r="F95" s="529">
        <f>VLOOKUP(D95,'Aug 2012 Revenue'!D:T,17,FALSE)</f>
        <v>0</v>
      </c>
      <c r="G95" s="680"/>
      <c r="H95" s="680"/>
      <c r="I95" s="755"/>
      <c r="J95" s="682">
        <f t="shared" si="34"/>
        <v>0</v>
      </c>
      <c r="K95" s="683"/>
      <c r="L95" s="684"/>
      <c r="M95" s="753"/>
      <c r="N95" s="683">
        <v>0</v>
      </c>
      <c r="O95" s="686"/>
      <c r="P95" s="683">
        <v>0</v>
      </c>
      <c r="Q95" s="687">
        <f t="shared" si="1"/>
        <v>0</v>
      </c>
      <c r="R95" s="688">
        <v>0</v>
      </c>
      <c r="S95" s="693"/>
      <c r="T95" s="690">
        <f t="shared" si="35"/>
        <v>0</v>
      </c>
      <c r="U95" s="697"/>
      <c r="V95" s="474">
        <f t="shared" si="36"/>
        <v>0</v>
      </c>
      <c r="W95" s="474">
        <f t="shared" si="37"/>
        <v>0</v>
      </c>
      <c r="X95" s="475">
        <f t="shared" si="38"/>
        <v>0</v>
      </c>
      <c r="Y95" s="475">
        <v>0</v>
      </c>
      <c r="Z95" s="476">
        <v>0</v>
      </c>
      <c r="AA95" s="38">
        <f t="shared" si="39"/>
        <v>0</v>
      </c>
      <c r="AB95" s="692">
        <f t="shared" si="40"/>
        <v>0</v>
      </c>
      <c r="AC95" s="692">
        <f t="shared" si="41"/>
        <v>0</v>
      </c>
      <c r="AD95" s="692">
        <f t="shared" si="42"/>
        <v>0</v>
      </c>
      <c r="AE95" s="38"/>
      <c r="AF95" s="692">
        <f t="shared" si="43"/>
        <v>0</v>
      </c>
      <c r="AG95" s="692">
        <f t="shared" si="44"/>
        <v>0</v>
      </c>
      <c r="AH95" s="692">
        <f t="shared" si="45"/>
        <v>0</v>
      </c>
      <c r="AJ95" s="38">
        <f t="shared" si="46"/>
        <v>0</v>
      </c>
    </row>
    <row r="96" spans="1:36">
      <c r="A96" s="20" t="s">
        <v>109</v>
      </c>
      <c r="B96" s="20" t="s">
        <v>109</v>
      </c>
      <c r="C96" s="667"/>
      <c r="D96" s="68" t="s">
        <v>498</v>
      </c>
      <c r="E96" s="679">
        <v>2157.64</v>
      </c>
      <c r="F96" s="529">
        <f>VLOOKUP(D96,'Aug 2012 Revenue'!D:T,17,FALSE)</f>
        <v>0</v>
      </c>
      <c r="G96" s="680"/>
      <c r="H96" s="680"/>
      <c r="I96" s="755"/>
      <c r="J96" s="682">
        <f t="shared" si="34"/>
        <v>2157.64</v>
      </c>
      <c r="K96" s="683"/>
      <c r="L96" s="684"/>
      <c r="M96" s="753"/>
      <c r="N96" s="683">
        <v>0</v>
      </c>
      <c r="O96" s="686"/>
      <c r="P96" s="683">
        <v>0</v>
      </c>
      <c r="Q96" s="687">
        <f t="shared" si="1"/>
        <v>0</v>
      </c>
      <c r="R96" s="688">
        <v>0</v>
      </c>
      <c r="S96" s="693"/>
      <c r="T96" s="690">
        <f t="shared" si="35"/>
        <v>0</v>
      </c>
      <c r="U96" s="683"/>
      <c r="V96" s="474">
        <f t="shared" si="36"/>
        <v>0</v>
      </c>
      <c r="W96" s="474">
        <f t="shared" si="37"/>
        <v>0</v>
      </c>
      <c r="X96" s="475">
        <f t="shared" si="38"/>
        <v>0</v>
      </c>
      <c r="Y96" s="475">
        <v>0</v>
      </c>
      <c r="Z96" s="476">
        <v>0</v>
      </c>
      <c r="AA96" s="38">
        <f t="shared" si="39"/>
        <v>0</v>
      </c>
      <c r="AB96" s="692">
        <f t="shared" si="40"/>
        <v>0</v>
      </c>
      <c r="AC96" s="692">
        <f t="shared" si="41"/>
        <v>2157.64</v>
      </c>
      <c r="AD96" s="692">
        <f t="shared" si="42"/>
        <v>0</v>
      </c>
      <c r="AE96" s="38"/>
      <c r="AF96" s="692">
        <f t="shared" si="43"/>
        <v>0</v>
      </c>
      <c r="AG96" s="692">
        <f t="shared" si="44"/>
        <v>0</v>
      </c>
      <c r="AH96" s="692">
        <f t="shared" si="45"/>
        <v>0</v>
      </c>
      <c r="AJ96" s="38">
        <f t="shared" si="46"/>
        <v>2157.64</v>
      </c>
    </row>
    <row r="97" spans="1:36">
      <c r="A97" s="21"/>
      <c r="B97" s="21" t="s">
        <v>110</v>
      </c>
      <c r="C97" s="666"/>
      <c r="D97" s="68" t="s">
        <v>20</v>
      </c>
      <c r="E97" s="679"/>
      <c r="F97" s="529">
        <f>VLOOKUP(D97,'Aug 2012 Revenue'!D:T,17,FALSE)</f>
        <v>0</v>
      </c>
      <c r="G97" s="680"/>
      <c r="H97" s="680"/>
      <c r="I97" s="770">
        <v>101.44</v>
      </c>
      <c r="J97" s="682">
        <f t="shared" si="34"/>
        <v>101.44</v>
      </c>
      <c r="K97" s="683"/>
      <c r="L97" s="684"/>
      <c r="M97" s="753"/>
      <c r="N97" s="683">
        <v>0</v>
      </c>
      <c r="O97" s="686"/>
      <c r="P97" s="683">
        <v>0</v>
      </c>
      <c r="Q97" s="687">
        <f t="shared" si="1"/>
        <v>0</v>
      </c>
      <c r="R97" s="688">
        <v>0</v>
      </c>
      <c r="S97" s="693"/>
      <c r="T97" s="690">
        <f t="shared" si="35"/>
        <v>0</v>
      </c>
      <c r="U97" s="683"/>
      <c r="V97" s="474">
        <f t="shared" si="36"/>
        <v>0</v>
      </c>
      <c r="W97" s="474">
        <f t="shared" si="37"/>
        <v>0</v>
      </c>
      <c r="X97" s="475">
        <f t="shared" si="38"/>
        <v>0</v>
      </c>
      <c r="Y97" s="475">
        <v>0</v>
      </c>
      <c r="Z97" s="476">
        <v>0</v>
      </c>
      <c r="AA97" s="38">
        <f t="shared" si="39"/>
        <v>0</v>
      </c>
      <c r="AB97" s="692">
        <f t="shared" si="40"/>
        <v>101.44</v>
      </c>
      <c r="AC97" s="692">
        <f t="shared" si="41"/>
        <v>0</v>
      </c>
      <c r="AD97" s="692">
        <f t="shared" si="42"/>
        <v>0</v>
      </c>
      <c r="AE97" s="38"/>
      <c r="AF97" s="692">
        <f t="shared" si="43"/>
        <v>0</v>
      </c>
      <c r="AG97" s="692">
        <f t="shared" si="44"/>
        <v>0</v>
      </c>
      <c r="AH97" s="692">
        <f t="shared" si="45"/>
        <v>0</v>
      </c>
      <c r="AJ97" s="38">
        <f t="shared" si="46"/>
        <v>101.44</v>
      </c>
    </row>
    <row r="98" spans="1:36">
      <c r="A98" s="21"/>
      <c r="B98" s="21" t="s">
        <v>110</v>
      </c>
      <c r="C98" s="666" t="s">
        <v>547</v>
      </c>
      <c r="D98" s="68" t="s">
        <v>203</v>
      </c>
      <c r="E98" s="679"/>
      <c r="F98" s="529">
        <f>VLOOKUP(D98,'Aug 2012 Revenue'!D:T,17,FALSE)</f>
        <v>0</v>
      </c>
      <c r="G98" s="680"/>
      <c r="H98" s="680"/>
      <c r="I98" s="755"/>
      <c r="J98" s="682">
        <f t="shared" si="34"/>
        <v>0</v>
      </c>
      <c r="K98" s="683"/>
      <c r="L98" s="684"/>
      <c r="M98" s="753"/>
      <c r="N98" s="683">
        <v>0</v>
      </c>
      <c r="O98" s="686"/>
      <c r="P98" s="683">
        <v>0</v>
      </c>
      <c r="Q98" s="687">
        <f t="shared" si="1"/>
        <v>0</v>
      </c>
      <c r="R98" s="688">
        <v>0</v>
      </c>
      <c r="S98" s="693"/>
      <c r="T98" s="690">
        <f t="shared" si="35"/>
        <v>0</v>
      </c>
      <c r="U98" s="683"/>
      <c r="V98" s="474">
        <f t="shared" si="36"/>
        <v>0</v>
      </c>
      <c r="W98" s="474">
        <f t="shared" si="37"/>
        <v>0</v>
      </c>
      <c r="X98" s="475">
        <f t="shared" si="38"/>
        <v>0</v>
      </c>
      <c r="Y98" s="475">
        <v>0</v>
      </c>
      <c r="Z98" s="476">
        <v>0</v>
      </c>
      <c r="AA98" s="38">
        <f t="shared" si="39"/>
        <v>0</v>
      </c>
      <c r="AB98" s="692">
        <f t="shared" si="40"/>
        <v>0</v>
      </c>
      <c r="AC98" s="692">
        <f t="shared" si="41"/>
        <v>0</v>
      </c>
      <c r="AD98" s="692">
        <f t="shared" si="42"/>
        <v>0</v>
      </c>
      <c r="AE98" s="38"/>
      <c r="AF98" s="692">
        <f t="shared" si="43"/>
        <v>0</v>
      </c>
      <c r="AG98" s="692">
        <f t="shared" si="44"/>
        <v>0</v>
      </c>
      <c r="AH98" s="692">
        <f t="shared" si="45"/>
        <v>0</v>
      </c>
      <c r="AJ98" s="38">
        <f t="shared" si="46"/>
        <v>0</v>
      </c>
    </row>
    <row r="99" spans="1:36">
      <c r="A99" s="21"/>
      <c r="B99" s="21" t="s">
        <v>110</v>
      </c>
      <c r="C99" s="666" t="s">
        <v>547</v>
      </c>
      <c r="D99" s="68" t="s">
        <v>202</v>
      </c>
      <c r="E99" s="679"/>
      <c r="F99" s="529">
        <f>VLOOKUP(D99,'Aug 2012 Revenue'!D:T,17,FALSE)</f>
        <v>0</v>
      </c>
      <c r="G99" s="680"/>
      <c r="H99" s="680"/>
      <c r="I99" s="755"/>
      <c r="J99" s="682">
        <f t="shared" si="34"/>
        <v>0</v>
      </c>
      <c r="K99" s="683"/>
      <c r="L99" s="684"/>
      <c r="M99" s="753"/>
      <c r="N99" s="683">
        <v>0</v>
      </c>
      <c r="O99" s="686"/>
      <c r="P99" s="683">
        <v>0</v>
      </c>
      <c r="Q99" s="687">
        <f t="shared" si="1"/>
        <v>0</v>
      </c>
      <c r="R99" s="688">
        <v>0</v>
      </c>
      <c r="S99" s="693"/>
      <c r="T99" s="690">
        <f t="shared" si="35"/>
        <v>0</v>
      </c>
      <c r="U99" s="683"/>
      <c r="V99" s="474">
        <f t="shared" si="36"/>
        <v>0</v>
      </c>
      <c r="W99" s="474">
        <f t="shared" si="37"/>
        <v>0</v>
      </c>
      <c r="X99" s="475">
        <f t="shared" si="38"/>
        <v>0</v>
      </c>
      <c r="Y99" s="475">
        <v>0</v>
      </c>
      <c r="Z99" s="476">
        <v>0</v>
      </c>
      <c r="AA99" s="38">
        <f t="shared" si="39"/>
        <v>0</v>
      </c>
      <c r="AB99" s="692">
        <f t="shared" si="40"/>
        <v>0</v>
      </c>
      <c r="AC99" s="692">
        <f t="shared" si="41"/>
        <v>0</v>
      </c>
      <c r="AD99" s="692">
        <f t="shared" si="42"/>
        <v>0</v>
      </c>
      <c r="AE99" s="38"/>
      <c r="AF99" s="692">
        <f t="shared" si="43"/>
        <v>0</v>
      </c>
      <c r="AG99" s="692">
        <f t="shared" si="44"/>
        <v>0</v>
      </c>
      <c r="AH99" s="692">
        <f t="shared" si="45"/>
        <v>0</v>
      </c>
      <c r="AJ99" s="38">
        <f t="shared" si="46"/>
        <v>0</v>
      </c>
    </row>
    <row r="100" spans="1:36">
      <c r="A100" s="20" t="s">
        <v>211</v>
      </c>
      <c r="B100" s="20" t="s">
        <v>110</v>
      </c>
      <c r="C100" s="667"/>
      <c r="D100" s="373" t="s">
        <v>466</v>
      </c>
      <c r="E100" s="679"/>
      <c r="F100" s="529">
        <f>VLOOKUP(D100,'Aug 2012 Revenue'!D:T,17,FALSE)</f>
        <v>0</v>
      </c>
      <c r="G100" s="680"/>
      <c r="H100" s="680"/>
      <c r="I100" s="770">
        <v>930.22</v>
      </c>
      <c r="J100" s="682">
        <f t="shared" si="34"/>
        <v>930.22</v>
      </c>
      <c r="K100" s="683"/>
      <c r="L100" s="684"/>
      <c r="M100" s="753"/>
      <c r="N100" s="683">
        <v>0</v>
      </c>
      <c r="O100" s="686"/>
      <c r="P100" s="683">
        <v>0</v>
      </c>
      <c r="Q100" s="687">
        <f t="shared" si="1"/>
        <v>0</v>
      </c>
      <c r="R100" s="688">
        <v>0</v>
      </c>
      <c r="S100" s="693"/>
      <c r="T100" s="690">
        <f t="shared" si="35"/>
        <v>0</v>
      </c>
      <c r="U100" s="683"/>
      <c r="V100" s="474">
        <f t="shared" si="36"/>
        <v>0</v>
      </c>
      <c r="W100" s="474">
        <f t="shared" si="37"/>
        <v>0</v>
      </c>
      <c r="X100" s="475">
        <f t="shared" si="38"/>
        <v>0</v>
      </c>
      <c r="Y100" s="475">
        <v>0</v>
      </c>
      <c r="Z100" s="476">
        <v>0</v>
      </c>
      <c r="AA100" s="38">
        <f t="shared" si="39"/>
        <v>0</v>
      </c>
      <c r="AB100" s="692">
        <f t="shared" si="40"/>
        <v>930.22</v>
      </c>
      <c r="AC100" s="692">
        <f t="shared" si="41"/>
        <v>0</v>
      </c>
      <c r="AD100" s="692">
        <f t="shared" si="42"/>
        <v>0</v>
      </c>
      <c r="AE100" s="38"/>
      <c r="AF100" s="692">
        <f t="shared" si="43"/>
        <v>0</v>
      </c>
      <c r="AG100" s="692">
        <f t="shared" si="44"/>
        <v>0</v>
      </c>
      <c r="AH100" s="692">
        <f t="shared" si="45"/>
        <v>0</v>
      </c>
      <c r="AJ100" s="38">
        <f t="shared" si="46"/>
        <v>930.22</v>
      </c>
    </row>
    <row r="101" spans="1:36">
      <c r="A101" s="20"/>
      <c r="B101" s="20" t="s">
        <v>110</v>
      </c>
      <c r="C101" s="667"/>
      <c r="D101" s="373" t="s">
        <v>627</v>
      </c>
      <c r="E101" s="679">
        <f>5.94+70.59+104.92</f>
        <v>181.45</v>
      </c>
      <c r="F101" s="529">
        <f>VLOOKUP(D101,'Aug 2012 Revenue'!D:T,17,FALSE)</f>
        <v>179.37</v>
      </c>
      <c r="G101" s="680"/>
      <c r="H101" s="680"/>
      <c r="I101" s="755"/>
      <c r="J101" s="682">
        <f t="shared" si="34"/>
        <v>360.82</v>
      </c>
      <c r="K101" s="683"/>
      <c r="L101" s="684"/>
      <c r="M101" s="753"/>
      <c r="N101" s="683">
        <v>0</v>
      </c>
      <c r="O101" s="686"/>
      <c r="P101" s="683">
        <v>0</v>
      </c>
      <c r="Q101" s="687">
        <f t="shared" si="1"/>
        <v>0</v>
      </c>
      <c r="R101" s="688">
        <v>0</v>
      </c>
      <c r="S101" s="693"/>
      <c r="T101" s="690">
        <f t="shared" si="35"/>
        <v>0</v>
      </c>
      <c r="U101" s="683"/>
      <c r="V101" s="474">
        <f t="shared" si="36"/>
        <v>0</v>
      </c>
      <c r="W101" s="474">
        <f t="shared" si="37"/>
        <v>0</v>
      </c>
      <c r="X101" s="475">
        <f t="shared" si="38"/>
        <v>0</v>
      </c>
      <c r="Y101" s="475">
        <v>0</v>
      </c>
      <c r="Z101" s="476">
        <v>0</v>
      </c>
      <c r="AA101" s="38">
        <f t="shared" si="39"/>
        <v>0</v>
      </c>
      <c r="AB101" s="692">
        <f t="shared" si="40"/>
        <v>360.82</v>
      </c>
      <c r="AC101" s="692">
        <f t="shared" si="41"/>
        <v>0</v>
      </c>
      <c r="AD101" s="692">
        <f t="shared" si="42"/>
        <v>0</v>
      </c>
      <c r="AE101" s="38"/>
      <c r="AF101" s="692">
        <f t="shared" si="43"/>
        <v>0</v>
      </c>
      <c r="AG101" s="692">
        <f t="shared" si="44"/>
        <v>0</v>
      </c>
      <c r="AH101" s="692">
        <f t="shared" si="45"/>
        <v>0</v>
      </c>
      <c r="AJ101" s="38">
        <f t="shared" si="46"/>
        <v>360.82</v>
      </c>
    </row>
    <row r="102" spans="1:36" s="232" customFormat="1">
      <c r="A102" s="283"/>
      <c r="B102" s="283" t="s">
        <v>110</v>
      </c>
      <c r="C102" s="667"/>
      <c r="D102" s="123" t="s">
        <v>386</v>
      </c>
      <c r="E102" s="679"/>
      <c r="F102" s="529">
        <f>VLOOKUP(D102,'Aug 2012 Revenue'!D:T,17,FALSE)</f>
        <v>0</v>
      </c>
      <c r="G102" s="680"/>
      <c r="H102" s="680"/>
      <c r="I102" s="770">
        <v>2186021.71</v>
      </c>
      <c r="J102" s="682">
        <f t="shared" si="34"/>
        <v>2186021.71</v>
      </c>
      <c r="K102" s="683"/>
      <c r="L102" s="684"/>
      <c r="M102" s="753"/>
      <c r="N102" s="683">
        <v>0</v>
      </c>
      <c r="O102" s="686"/>
      <c r="P102" s="683">
        <v>0</v>
      </c>
      <c r="Q102" s="687">
        <f t="shared" si="1"/>
        <v>0</v>
      </c>
      <c r="R102" s="688">
        <v>0</v>
      </c>
      <c r="S102" s="693"/>
      <c r="T102" s="690">
        <f t="shared" si="35"/>
        <v>0</v>
      </c>
      <c r="U102" s="683"/>
      <c r="V102" s="474">
        <f t="shared" si="36"/>
        <v>0</v>
      </c>
      <c r="W102" s="474">
        <f t="shared" si="37"/>
        <v>0</v>
      </c>
      <c r="X102" s="475">
        <f t="shared" si="38"/>
        <v>0</v>
      </c>
      <c r="Y102" s="475">
        <v>0</v>
      </c>
      <c r="Z102" s="476">
        <v>0</v>
      </c>
      <c r="AA102" s="38">
        <f t="shared" si="39"/>
        <v>0</v>
      </c>
      <c r="AB102" s="692">
        <f t="shared" si="40"/>
        <v>2186021.71</v>
      </c>
      <c r="AC102" s="692">
        <f t="shared" si="41"/>
        <v>0</v>
      </c>
      <c r="AD102" s="692">
        <f t="shared" si="42"/>
        <v>0</v>
      </c>
      <c r="AE102" s="38"/>
      <c r="AF102" s="692">
        <f t="shared" si="43"/>
        <v>0</v>
      </c>
      <c r="AG102" s="692">
        <f t="shared" si="44"/>
        <v>0</v>
      </c>
      <c r="AH102" s="692">
        <f t="shared" si="45"/>
        <v>0</v>
      </c>
      <c r="AJ102" s="38">
        <f t="shared" si="46"/>
        <v>2186021.71</v>
      </c>
    </row>
    <row r="103" spans="1:36" s="232" customFormat="1">
      <c r="A103" s="283"/>
      <c r="B103" s="283" t="s">
        <v>110</v>
      </c>
      <c r="C103" s="667"/>
      <c r="D103" s="123" t="s">
        <v>331</v>
      </c>
      <c r="E103" s="679"/>
      <c r="F103" s="529">
        <f>VLOOKUP(D103,'Aug 2012 Revenue'!D:T,17,FALSE)</f>
        <v>0</v>
      </c>
      <c r="G103" s="680"/>
      <c r="H103" s="680"/>
      <c r="I103" s="770">
        <v>18252.45</v>
      </c>
      <c r="J103" s="682">
        <f t="shared" si="34"/>
        <v>18252.45</v>
      </c>
      <c r="K103" s="683"/>
      <c r="L103" s="684"/>
      <c r="M103" s="753"/>
      <c r="N103" s="683">
        <v>0</v>
      </c>
      <c r="O103" s="686"/>
      <c r="P103" s="683">
        <v>0</v>
      </c>
      <c r="Q103" s="687">
        <f t="shared" si="1"/>
        <v>0</v>
      </c>
      <c r="R103" s="688">
        <v>0</v>
      </c>
      <c r="S103" s="693"/>
      <c r="T103" s="690">
        <f t="shared" si="35"/>
        <v>0</v>
      </c>
      <c r="U103" s="683"/>
      <c r="V103" s="474">
        <f t="shared" si="36"/>
        <v>0</v>
      </c>
      <c r="W103" s="474">
        <f t="shared" si="37"/>
        <v>0</v>
      </c>
      <c r="X103" s="475">
        <f t="shared" si="38"/>
        <v>0</v>
      </c>
      <c r="Y103" s="475">
        <v>0</v>
      </c>
      <c r="Z103" s="476">
        <v>0</v>
      </c>
      <c r="AA103" s="38">
        <f t="shared" si="39"/>
        <v>0</v>
      </c>
      <c r="AB103" s="692">
        <f t="shared" si="40"/>
        <v>18252.45</v>
      </c>
      <c r="AC103" s="692">
        <f t="shared" si="41"/>
        <v>0</v>
      </c>
      <c r="AD103" s="692">
        <f t="shared" si="42"/>
        <v>0</v>
      </c>
      <c r="AE103" s="38"/>
      <c r="AF103" s="692">
        <f t="shared" si="43"/>
        <v>0</v>
      </c>
      <c r="AG103" s="692">
        <f t="shared" si="44"/>
        <v>0</v>
      </c>
      <c r="AH103" s="692">
        <f t="shared" si="45"/>
        <v>0</v>
      </c>
      <c r="AJ103" s="38">
        <f t="shared" si="46"/>
        <v>18252.45</v>
      </c>
    </row>
    <row r="104" spans="1:36" s="232" customFormat="1">
      <c r="A104" s="283"/>
      <c r="B104" s="283" t="s">
        <v>110</v>
      </c>
      <c r="C104" s="667"/>
      <c r="D104" s="413" t="s">
        <v>332</v>
      </c>
      <c r="E104" s="679"/>
      <c r="F104" s="529">
        <f>VLOOKUP(D104,'Aug 2012 Revenue'!D:T,17,FALSE)</f>
        <v>0</v>
      </c>
      <c r="G104" s="680"/>
      <c r="H104" s="680"/>
      <c r="I104" s="770">
        <v>1131293.52</v>
      </c>
      <c r="J104" s="682">
        <f t="shared" si="34"/>
        <v>1131293.52</v>
      </c>
      <c r="K104" s="683"/>
      <c r="L104" s="684"/>
      <c r="M104" s="753"/>
      <c r="N104" s="683">
        <v>0</v>
      </c>
      <c r="O104" s="686"/>
      <c r="P104" s="683">
        <v>0</v>
      </c>
      <c r="Q104" s="687">
        <f t="shared" si="1"/>
        <v>0</v>
      </c>
      <c r="R104" s="688">
        <v>0</v>
      </c>
      <c r="S104" s="693"/>
      <c r="T104" s="690">
        <f t="shared" si="35"/>
        <v>0</v>
      </c>
      <c r="U104" s="683"/>
      <c r="V104" s="474">
        <f t="shared" si="36"/>
        <v>0</v>
      </c>
      <c r="W104" s="474">
        <f t="shared" si="37"/>
        <v>0</v>
      </c>
      <c r="X104" s="475">
        <f t="shared" si="38"/>
        <v>0</v>
      </c>
      <c r="Y104" s="475">
        <v>0</v>
      </c>
      <c r="Z104" s="476">
        <v>0</v>
      </c>
      <c r="AA104" s="38">
        <f t="shared" si="39"/>
        <v>0</v>
      </c>
      <c r="AB104" s="692">
        <f t="shared" si="40"/>
        <v>1131293.52</v>
      </c>
      <c r="AC104" s="692">
        <f t="shared" si="41"/>
        <v>0</v>
      </c>
      <c r="AD104" s="692">
        <f t="shared" si="42"/>
        <v>0</v>
      </c>
      <c r="AE104" s="38"/>
      <c r="AF104" s="692">
        <f t="shared" si="43"/>
        <v>0</v>
      </c>
      <c r="AG104" s="692">
        <f t="shared" si="44"/>
        <v>0</v>
      </c>
      <c r="AH104" s="692">
        <f t="shared" si="45"/>
        <v>0</v>
      </c>
      <c r="AJ104" s="38">
        <f t="shared" si="46"/>
        <v>1131293.52</v>
      </c>
    </row>
    <row r="105" spans="1:36" s="232" customFormat="1">
      <c r="A105" s="283"/>
      <c r="B105" s="283" t="s">
        <v>110</v>
      </c>
      <c r="C105" s="667"/>
      <c r="D105" s="123" t="s">
        <v>333</v>
      </c>
      <c r="E105" s="679"/>
      <c r="F105" s="529">
        <f>VLOOKUP(D105,'Aug 2012 Revenue'!D:T,17,FALSE)</f>
        <v>0</v>
      </c>
      <c r="G105" s="680"/>
      <c r="H105" s="680"/>
      <c r="I105" s="770">
        <v>788.26</v>
      </c>
      <c r="J105" s="682">
        <f t="shared" si="34"/>
        <v>788.26</v>
      </c>
      <c r="K105" s="683"/>
      <c r="L105" s="684"/>
      <c r="M105" s="753"/>
      <c r="N105" s="683">
        <v>0</v>
      </c>
      <c r="O105" s="686"/>
      <c r="P105" s="683">
        <v>0</v>
      </c>
      <c r="Q105" s="687">
        <f t="shared" si="1"/>
        <v>0</v>
      </c>
      <c r="R105" s="688">
        <v>0</v>
      </c>
      <c r="S105" s="693"/>
      <c r="T105" s="690">
        <f t="shared" si="35"/>
        <v>0</v>
      </c>
      <c r="U105" s="683"/>
      <c r="V105" s="474">
        <f t="shared" si="36"/>
        <v>0</v>
      </c>
      <c r="W105" s="474">
        <f t="shared" si="37"/>
        <v>0</v>
      </c>
      <c r="X105" s="475">
        <f t="shared" si="38"/>
        <v>0</v>
      </c>
      <c r="Y105" s="475">
        <v>0</v>
      </c>
      <c r="Z105" s="476">
        <v>0</v>
      </c>
      <c r="AA105" s="38">
        <f t="shared" si="39"/>
        <v>0</v>
      </c>
      <c r="AB105" s="692">
        <f t="shared" si="40"/>
        <v>788.26</v>
      </c>
      <c r="AC105" s="692">
        <f t="shared" si="41"/>
        <v>0</v>
      </c>
      <c r="AD105" s="692">
        <f t="shared" si="42"/>
        <v>0</v>
      </c>
      <c r="AE105" s="38"/>
      <c r="AF105" s="692">
        <f t="shared" si="43"/>
        <v>0</v>
      </c>
      <c r="AG105" s="692">
        <f t="shared" si="44"/>
        <v>0</v>
      </c>
      <c r="AH105" s="692">
        <f t="shared" si="45"/>
        <v>0</v>
      </c>
      <c r="AJ105" s="38">
        <f t="shared" si="46"/>
        <v>788.26</v>
      </c>
    </row>
    <row r="106" spans="1:36" s="232" customFormat="1">
      <c r="A106" s="283"/>
      <c r="B106" s="283" t="s">
        <v>110</v>
      </c>
      <c r="C106" s="667"/>
      <c r="D106" s="123" t="s">
        <v>334</v>
      </c>
      <c r="E106" s="679"/>
      <c r="F106" s="529">
        <f>VLOOKUP(D106,'Aug 2012 Revenue'!D:T,17,FALSE)</f>
        <v>0</v>
      </c>
      <c r="G106" s="680"/>
      <c r="H106" s="680"/>
      <c r="I106" s="770">
        <v>280374.63</v>
      </c>
      <c r="J106" s="682">
        <f t="shared" si="34"/>
        <v>280374.63</v>
      </c>
      <c r="K106" s="683"/>
      <c r="L106" s="684"/>
      <c r="M106" s="753"/>
      <c r="N106" s="683">
        <v>0</v>
      </c>
      <c r="O106" s="686"/>
      <c r="P106" s="683">
        <v>0</v>
      </c>
      <c r="Q106" s="687">
        <f t="shared" si="1"/>
        <v>0</v>
      </c>
      <c r="R106" s="688">
        <v>0</v>
      </c>
      <c r="S106" s="693"/>
      <c r="T106" s="690">
        <f t="shared" si="35"/>
        <v>0</v>
      </c>
      <c r="U106" s="683"/>
      <c r="V106" s="474">
        <f t="shared" si="36"/>
        <v>0</v>
      </c>
      <c r="W106" s="474">
        <f t="shared" si="37"/>
        <v>0</v>
      </c>
      <c r="X106" s="475">
        <f t="shared" si="38"/>
        <v>0</v>
      </c>
      <c r="Y106" s="475">
        <v>0</v>
      </c>
      <c r="Z106" s="476">
        <v>0</v>
      </c>
      <c r="AA106" s="38">
        <f t="shared" si="39"/>
        <v>0</v>
      </c>
      <c r="AB106" s="692">
        <f t="shared" si="40"/>
        <v>280374.63</v>
      </c>
      <c r="AC106" s="692">
        <f t="shared" si="41"/>
        <v>0</v>
      </c>
      <c r="AD106" s="692">
        <f t="shared" si="42"/>
        <v>0</v>
      </c>
      <c r="AE106" s="38"/>
      <c r="AF106" s="692">
        <f t="shared" si="43"/>
        <v>0</v>
      </c>
      <c r="AG106" s="692">
        <f t="shared" si="44"/>
        <v>0</v>
      </c>
      <c r="AH106" s="692">
        <f t="shared" si="45"/>
        <v>0</v>
      </c>
      <c r="AJ106" s="38">
        <f t="shared" si="46"/>
        <v>280374.63</v>
      </c>
    </row>
    <row r="107" spans="1:36" s="232" customFormat="1">
      <c r="A107" s="283"/>
      <c r="B107" s="283" t="s">
        <v>110</v>
      </c>
      <c r="C107" s="667"/>
      <c r="D107" s="123" t="s">
        <v>335</v>
      </c>
      <c r="E107" s="679"/>
      <c r="F107" s="529">
        <f>VLOOKUP(D107,'Aug 2012 Revenue'!D:T,17,FALSE)</f>
        <v>0</v>
      </c>
      <c r="G107" s="680"/>
      <c r="H107" s="680"/>
      <c r="I107" s="770">
        <v>602.76</v>
      </c>
      <c r="J107" s="682">
        <f t="shared" si="34"/>
        <v>602.76</v>
      </c>
      <c r="K107" s="683"/>
      <c r="L107" s="684"/>
      <c r="M107" s="753"/>
      <c r="N107" s="683">
        <v>0</v>
      </c>
      <c r="O107" s="686"/>
      <c r="P107" s="683">
        <v>0</v>
      </c>
      <c r="Q107" s="687">
        <f t="shared" si="1"/>
        <v>0</v>
      </c>
      <c r="R107" s="688">
        <v>0</v>
      </c>
      <c r="S107" s="693"/>
      <c r="T107" s="690">
        <f t="shared" si="35"/>
        <v>0</v>
      </c>
      <c r="U107" s="683"/>
      <c r="V107" s="474">
        <f t="shared" si="36"/>
        <v>0</v>
      </c>
      <c r="W107" s="474">
        <f t="shared" si="37"/>
        <v>0</v>
      </c>
      <c r="X107" s="475">
        <f t="shared" si="38"/>
        <v>0</v>
      </c>
      <c r="Y107" s="475">
        <v>0</v>
      </c>
      <c r="Z107" s="476">
        <v>0</v>
      </c>
      <c r="AA107" s="38">
        <f t="shared" si="39"/>
        <v>0</v>
      </c>
      <c r="AB107" s="692">
        <f t="shared" si="40"/>
        <v>602.76</v>
      </c>
      <c r="AC107" s="692">
        <f t="shared" si="41"/>
        <v>0</v>
      </c>
      <c r="AD107" s="692">
        <f t="shared" si="42"/>
        <v>0</v>
      </c>
      <c r="AE107" s="38"/>
      <c r="AF107" s="692">
        <f t="shared" si="43"/>
        <v>0</v>
      </c>
      <c r="AG107" s="692">
        <f t="shared" si="44"/>
        <v>0</v>
      </c>
      <c r="AH107" s="692">
        <f t="shared" si="45"/>
        <v>0</v>
      </c>
      <c r="AJ107" s="38">
        <f t="shared" si="46"/>
        <v>602.76</v>
      </c>
    </row>
    <row r="108" spans="1:36" s="232" customFormat="1">
      <c r="A108" s="283"/>
      <c r="B108" s="283" t="s">
        <v>110</v>
      </c>
      <c r="C108" s="667"/>
      <c r="D108" s="123" t="s">
        <v>336</v>
      </c>
      <c r="E108" s="679"/>
      <c r="F108" s="529">
        <f>VLOOKUP(D108,'Aug 2012 Revenue'!D:T,17,FALSE)</f>
        <v>0</v>
      </c>
      <c r="G108" s="680"/>
      <c r="H108" s="680"/>
      <c r="I108" s="770">
        <v>345870.59</v>
      </c>
      <c r="J108" s="682">
        <f t="shared" si="34"/>
        <v>345870.59</v>
      </c>
      <c r="K108" s="683"/>
      <c r="L108" s="684"/>
      <c r="M108" s="753"/>
      <c r="N108" s="683">
        <v>0</v>
      </c>
      <c r="O108" s="686"/>
      <c r="P108" s="683">
        <v>0</v>
      </c>
      <c r="Q108" s="687">
        <f t="shared" si="1"/>
        <v>0</v>
      </c>
      <c r="R108" s="688">
        <v>0</v>
      </c>
      <c r="S108" s="693"/>
      <c r="T108" s="690">
        <f t="shared" si="35"/>
        <v>0</v>
      </c>
      <c r="U108" s="683"/>
      <c r="V108" s="474">
        <f t="shared" si="36"/>
        <v>0</v>
      </c>
      <c r="W108" s="474">
        <f t="shared" si="37"/>
        <v>0</v>
      </c>
      <c r="X108" s="475">
        <f t="shared" si="38"/>
        <v>0</v>
      </c>
      <c r="Y108" s="475">
        <v>0</v>
      </c>
      <c r="Z108" s="476">
        <v>0</v>
      </c>
      <c r="AA108" s="38">
        <f t="shared" si="39"/>
        <v>0</v>
      </c>
      <c r="AB108" s="692">
        <f t="shared" si="40"/>
        <v>345870.59</v>
      </c>
      <c r="AC108" s="692">
        <f t="shared" si="41"/>
        <v>0</v>
      </c>
      <c r="AD108" s="692">
        <f t="shared" si="42"/>
        <v>0</v>
      </c>
      <c r="AE108" s="38"/>
      <c r="AF108" s="692">
        <f t="shared" si="43"/>
        <v>0</v>
      </c>
      <c r="AG108" s="692">
        <f t="shared" si="44"/>
        <v>0</v>
      </c>
      <c r="AH108" s="692">
        <f t="shared" si="45"/>
        <v>0</v>
      </c>
      <c r="AJ108" s="38">
        <f t="shared" si="46"/>
        <v>345870.59</v>
      </c>
    </row>
    <row r="109" spans="1:36" s="232" customFormat="1">
      <c r="A109" s="283"/>
      <c r="B109" s="283" t="s">
        <v>110</v>
      </c>
      <c r="C109" s="667"/>
      <c r="D109" s="123" t="s">
        <v>337</v>
      </c>
      <c r="E109" s="679"/>
      <c r="F109" s="529">
        <f>VLOOKUP(D109,'Aug 2012 Revenue'!D:T,17,FALSE)</f>
        <v>0</v>
      </c>
      <c r="G109" s="680"/>
      <c r="H109" s="680"/>
      <c r="I109" s="770">
        <v>753.64</v>
      </c>
      <c r="J109" s="682">
        <f t="shared" si="34"/>
        <v>753.64</v>
      </c>
      <c r="K109" s="683"/>
      <c r="L109" s="684"/>
      <c r="M109" s="753"/>
      <c r="N109" s="683">
        <v>0</v>
      </c>
      <c r="O109" s="686"/>
      <c r="P109" s="683">
        <v>0</v>
      </c>
      <c r="Q109" s="687">
        <f t="shared" si="1"/>
        <v>0</v>
      </c>
      <c r="R109" s="688">
        <v>0</v>
      </c>
      <c r="S109" s="693"/>
      <c r="T109" s="690">
        <f t="shared" si="35"/>
        <v>0</v>
      </c>
      <c r="U109" s="683"/>
      <c r="V109" s="474">
        <f t="shared" si="36"/>
        <v>0</v>
      </c>
      <c r="W109" s="474">
        <f t="shared" si="37"/>
        <v>0</v>
      </c>
      <c r="X109" s="475">
        <f t="shared" si="38"/>
        <v>0</v>
      </c>
      <c r="Y109" s="475">
        <v>0</v>
      </c>
      <c r="Z109" s="476">
        <v>0</v>
      </c>
      <c r="AA109" s="38">
        <f t="shared" si="39"/>
        <v>0</v>
      </c>
      <c r="AB109" s="692">
        <f t="shared" si="40"/>
        <v>753.64</v>
      </c>
      <c r="AC109" s="692">
        <f t="shared" si="41"/>
        <v>0</v>
      </c>
      <c r="AD109" s="692">
        <f t="shared" si="42"/>
        <v>0</v>
      </c>
      <c r="AE109" s="38"/>
      <c r="AF109" s="692">
        <f t="shared" si="43"/>
        <v>0</v>
      </c>
      <c r="AG109" s="692">
        <f t="shared" si="44"/>
        <v>0</v>
      </c>
      <c r="AH109" s="692">
        <f t="shared" si="45"/>
        <v>0</v>
      </c>
      <c r="AJ109" s="38">
        <f t="shared" si="46"/>
        <v>753.64</v>
      </c>
    </row>
    <row r="110" spans="1:36" s="232" customFormat="1">
      <c r="A110" s="283"/>
      <c r="B110" s="283" t="s">
        <v>110</v>
      </c>
      <c r="C110" s="667"/>
      <c r="D110" s="123" t="s">
        <v>338</v>
      </c>
      <c r="E110" s="679"/>
      <c r="F110" s="529">
        <f>VLOOKUP(D110,'Aug 2012 Revenue'!D:T,17,FALSE)</f>
        <v>0</v>
      </c>
      <c r="G110" s="680"/>
      <c r="H110" s="680"/>
      <c r="I110" s="770">
        <v>91492.35</v>
      </c>
      <c r="J110" s="682">
        <f t="shared" si="34"/>
        <v>91492.35</v>
      </c>
      <c r="K110" s="683"/>
      <c r="L110" s="684"/>
      <c r="M110" s="753"/>
      <c r="N110" s="683">
        <v>0</v>
      </c>
      <c r="O110" s="686"/>
      <c r="P110" s="683">
        <v>0</v>
      </c>
      <c r="Q110" s="687">
        <f t="shared" si="1"/>
        <v>0</v>
      </c>
      <c r="R110" s="688">
        <v>0</v>
      </c>
      <c r="S110" s="693"/>
      <c r="T110" s="690">
        <f t="shared" si="35"/>
        <v>0</v>
      </c>
      <c r="U110" s="683"/>
      <c r="V110" s="474">
        <f t="shared" si="36"/>
        <v>0</v>
      </c>
      <c r="W110" s="474">
        <f t="shared" si="37"/>
        <v>0</v>
      </c>
      <c r="X110" s="475">
        <f t="shared" si="38"/>
        <v>0</v>
      </c>
      <c r="Y110" s="475">
        <v>0</v>
      </c>
      <c r="Z110" s="476">
        <v>0</v>
      </c>
      <c r="AA110" s="38">
        <f t="shared" si="39"/>
        <v>0</v>
      </c>
      <c r="AB110" s="692">
        <f t="shared" si="40"/>
        <v>91492.35</v>
      </c>
      <c r="AC110" s="692">
        <f t="shared" si="41"/>
        <v>0</v>
      </c>
      <c r="AD110" s="692">
        <f t="shared" si="42"/>
        <v>0</v>
      </c>
      <c r="AE110" s="38"/>
      <c r="AF110" s="692">
        <f t="shared" si="43"/>
        <v>0</v>
      </c>
      <c r="AG110" s="692">
        <f t="shared" si="44"/>
        <v>0</v>
      </c>
      <c r="AH110" s="692">
        <f t="shared" si="45"/>
        <v>0</v>
      </c>
      <c r="AJ110" s="38">
        <f t="shared" si="46"/>
        <v>91492.35</v>
      </c>
    </row>
    <row r="111" spans="1:36" s="232" customFormat="1">
      <c r="A111" s="283"/>
      <c r="B111" s="283" t="s">
        <v>110</v>
      </c>
      <c r="C111" s="667"/>
      <c r="D111" s="123" t="s">
        <v>339</v>
      </c>
      <c r="E111" s="679"/>
      <c r="F111" s="529">
        <f>VLOOKUP(D111,'Aug 2012 Revenue'!D:T,17,FALSE)</f>
        <v>0</v>
      </c>
      <c r="G111" s="680"/>
      <c r="H111" s="680"/>
      <c r="I111" s="770">
        <v>86423.89</v>
      </c>
      <c r="J111" s="682">
        <f t="shared" si="34"/>
        <v>86423.89</v>
      </c>
      <c r="K111" s="683"/>
      <c r="L111" s="684"/>
      <c r="M111" s="753"/>
      <c r="N111" s="683">
        <v>0</v>
      </c>
      <c r="O111" s="686"/>
      <c r="P111" s="683">
        <v>0</v>
      </c>
      <c r="Q111" s="687">
        <f t="shared" si="1"/>
        <v>0</v>
      </c>
      <c r="R111" s="688">
        <v>0</v>
      </c>
      <c r="S111" s="693"/>
      <c r="T111" s="690">
        <f t="shared" si="35"/>
        <v>0</v>
      </c>
      <c r="U111" s="683"/>
      <c r="V111" s="474">
        <f t="shared" si="36"/>
        <v>0</v>
      </c>
      <c r="W111" s="474">
        <f t="shared" si="37"/>
        <v>0</v>
      </c>
      <c r="X111" s="475">
        <f t="shared" si="38"/>
        <v>0</v>
      </c>
      <c r="Y111" s="475">
        <v>0</v>
      </c>
      <c r="Z111" s="476">
        <v>0</v>
      </c>
      <c r="AA111" s="38">
        <f t="shared" si="39"/>
        <v>0</v>
      </c>
      <c r="AB111" s="692">
        <f t="shared" si="40"/>
        <v>86423.89</v>
      </c>
      <c r="AC111" s="692">
        <f t="shared" si="41"/>
        <v>0</v>
      </c>
      <c r="AD111" s="692">
        <f t="shared" si="42"/>
        <v>0</v>
      </c>
      <c r="AE111" s="38"/>
      <c r="AF111" s="692">
        <f t="shared" si="43"/>
        <v>0</v>
      </c>
      <c r="AG111" s="692">
        <f t="shared" si="44"/>
        <v>0</v>
      </c>
      <c r="AH111" s="692">
        <f t="shared" si="45"/>
        <v>0</v>
      </c>
      <c r="AJ111" s="38">
        <f t="shared" si="46"/>
        <v>86423.89</v>
      </c>
    </row>
    <row r="112" spans="1:36" s="232" customFormat="1">
      <c r="A112" s="283"/>
      <c r="B112" s="283" t="s">
        <v>110</v>
      </c>
      <c r="C112" s="667"/>
      <c r="D112" s="123" t="s">
        <v>340</v>
      </c>
      <c r="E112" s="679"/>
      <c r="F112" s="529">
        <f>VLOOKUP(D112,'Aug 2012 Revenue'!D:T,17,FALSE)</f>
        <v>0</v>
      </c>
      <c r="G112" s="680"/>
      <c r="H112" s="680"/>
      <c r="I112" s="770">
        <v>101.18</v>
      </c>
      <c r="J112" s="682">
        <f t="shared" si="34"/>
        <v>101.18</v>
      </c>
      <c r="K112" s="683"/>
      <c r="L112" s="684"/>
      <c r="M112" s="753"/>
      <c r="N112" s="683">
        <v>0</v>
      </c>
      <c r="O112" s="686"/>
      <c r="P112" s="683">
        <v>0</v>
      </c>
      <c r="Q112" s="687">
        <f t="shared" si="1"/>
        <v>0</v>
      </c>
      <c r="R112" s="688">
        <v>0</v>
      </c>
      <c r="S112" s="693"/>
      <c r="T112" s="690">
        <f t="shared" si="35"/>
        <v>0</v>
      </c>
      <c r="U112" s="683"/>
      <c r="V112" s="474">
        <f t="shared" si="36"/>
        <v>0</v>
      </c>
      <c r="W112" s="474">
        <f t="shared" si="37"/>
        <v>0</v>
      </c>
      <c r="X112" s="475">
        <f t="shared" si="38"/>
        <v>0</v>
      </c>
      <c r="Y112" s="475">
        <v>0</v>
      </c>
      <c r="Z112" s="476">
        <v>0</v>
      </c>
      <c r="AA112" s="38">
        <f t="shared" si="39"/>
        <v>0</v>
      </c>
      <c r="AB112" s="692">
        <f t="shared" si="40"/>
        <v>101.18</v>
      </c>
      <c r="AC112" s="692">
        <f t="shared" si="41"/>
        <v>0</v>
      </c>
      <c r="AD112" s="692">
        <f t="shared" si="42"/>
        <v>0</v>
      </c>
      <c r="AE112" s="38"/>
      <c r="AF112" s="692">
        <f t="shared" si="43"/>
        <v>0</v>
      </c>
      <c r="AG112" s="692">
        <f t="shared" si="44"/>
        <v>0</v>
      </c>
      <c r="AH112" s="692">
        <f t="shared" si="45"/>
        <v>0</v>
      </c>
      <c r="AJ112" s="38">
        <f t="shared" si="46"/>
        <v>101.18</v>
      </c>
    </row>
    <row r="113" spans="1:36" s="232" customFormat="1">
      <c r="A113" s="283"/>
      <c r="B113" s="283" t="s">
        <v>110</v>
      </c>
      <c r="C113" s="667"/>
      <c r="D113" s="123" t="s">
        <v>439</v>
      </c>
      <c r="E113" s="679"/>
      <c r="F113" s="529">
        <f>VLOOKUP(D113,'Aug 2012 Revenue'!D:T,17,FALSE)</f>
        <v>0</v>
      </c>
      <c r="G113" s="680"/>
      <c r="H113" s="680"/>
      <c r="I113" s="770">
        <v>1916.13</v>
      </c>
      <c r="J113" s="682">
        <f t="shared" si="34"/>
        <v>1916.13</v>
      </c>
      <c r="K113" s="683"/>
      <c r="L113" s="684"/>
      <c r="M113" s="753"/>
      <c r="N113" s="683">
        <v>0</v>
      </c>
      <c r="O113" s="686"/>
      <c r="P113" s="683">
        <v>0</v>
      </c>
      <c r="Q113" s="687">
        <f t="shared" si="1"/>
        <v>0</v>
      </c>
      <c r="R113" s="688">
        <v>0</v>
      </c>
      <c r="S113" s="693"/>
      <c r="T113" s="690">
        <f t="shared" si="35"/>
        <v>0</v>
      </c>
      <c r="U113" s="683"/>
      <c r="V113" s="474">
        <f t="shared" si="36"/>
        <v>0</v>
      </c>
      <c r="W113" s="474">
        <f t="shared" si="37"/>
        <v>0</v>
      </c>
      <c r="X113" s="475">
        <f t="shared" si="38"/>
        <v>0</v>
      </c>
      <c r="Y113" s="475">
        <v>0</v>
      </c>
      <c r="Z113" s="476">
        <v>0</v>
      </c>
      <c r="AA113" s="38">
        <f t="shared" si="39"/>
        <v>0</v>
      </c>
      <c r="AB113" s="692">
        <f t="shared" si="40"/>
        <v>1916.13</v>
      </c>
      <c r="AC113" s="692">
        <f t="shared" si="41"/>
        <v>0</v>
      </c>
      <c r="AD113" s="692">
        <f t="shared" si="42"/>
        <v>0</v>
      </c>
      <c r="AE113" s="38"/>
      <c r="AF113" s="692">
        <f t="shared" si="43"/>
        <v>0</v>
      </c>
      <c r="AG113" s="692">
        <f t="shared" si="44"/>
        <v>0</v>
      </c>
      <c r="AH113" s="692">
        <f t="shared" si="45"/>
        <v>0</v>
      </c>
      <c r="AJ113" s="38">
        <f t="shared" si="46"/>
        <v>1916.13</v>
      </c>
    </row>
    <row r="114" spans="1:36" s="232" customFormat="1">
      <c r="A114" s="283"/>
      <c r="B114" s="283" t="s">
        <v>110</v>
      </c>
      <c r="C114" s="667"/>
      <c r="D114" s="123" t="s">
        <v>592</v>
      </c>
      <c r="E114" s="679"/>
      <c r="F114" s="529">
        <f>VLOOKUP(D114,'Aug 2012 Revenue'!D:T,17,FALSE)</f>
        <v>0</v>
      </c>
      <c r="G114" s="680"/>
      <c r="H114" s="680"/>
      <c r="I114" s="770">
        <v>1474.04</v>
      </c>
      <c r="J114" s="682">
        <f t="shared" si="34"/>
        <v>1474.04</v>
      </c>
      <c r="K114" s="683"/>
      <c r="L114" s="684"/>
      <c r="M114" s="753"/>
      <c r="N114" s="683">
        <v>0</v>
      </c>
      <c r="O114" s="686"/>
      <c r="P114" s="683">
        <v>0</v>
      </c>
      <c r="Q114" s="687">
        <f t="shared" si="1"/>
        <v>0</v>
      </c>
      <c r="R114" s="688">
        <v>0</v>
      </c>
      <c r="S114" s="693"/>
      <c r="T114" s="690">
        <f t="shared" si="35"/>
        <v>0</v>
      </c>
      <c r="U114" s="683"/>
      <c r="V114" s="474">
        <f t="shared" si="36"/>
        <v>0</v>
      </c>
      <c r="W114" s="474">
        <f t="shared" si="37"/>
        <v>0</v>
      </c>
      <c r="X114" s="475">
        <f t="shared" si="38"/>
        <v>0</v>
      </c>
      <c r="Y114" s="475">
        <v>0</v>
      </c>
      <c r="Z114" s="476">
        <v>0</v>
      </c>
      <c r="AA114" s="38">
        <f t="shared" si="39"/>
        <v>0</v>
      </c>
      <c r="AB114" s="692">
        <f t="shared" si="40"/>
        <v>1474.04</v>
      </c>
      <c r="AC114" s="692">
        <f t="shared" si="41"/>
        <v>0</v>
      </c>
      <c r="AD114" s="692">
        <f t="shared" si="42"/>
        <v>0</v>
      </c>
      <c r="AE114" s="38"/>
      <c r="AF114" s="692">
        <f t="shared" si="43"/>
        <v>0</v>
      </c>
      <c r="AG114" s="692">
        <f t="shared" si="44"/>
        <v>0</v>
      </c>
      <c r="AH114" s="692">
        <f t="shared" si="45"/>
        <v>0</v>
      </c>
      <c r="AJ114" s="38">
        <f t="shared" si="46"/>
        <v>1474.04</v>
      </c>
    </row>
    <row r="115" spans="1:36" s="232" customFormat="1">
      <c r="A115" s="283"/>
      <c r="B115" s="283" t="s">
        <v>110</v>
      </c>
      <c r="C115" s="667"/>
      <c r="D115" s="123" t="s">
        <v>512</v>
      </c>
      <c r="E115" s="679"/>
      <c r="F115" s="529">
        <f>VLOOKUP(D115,'Aug 2012 Revenue'!D:T,17,FALSE)</f>
        <v>0</v>
      </c>
      <c r="G115" s="680"/>
      <c r="H115" s="680"/>
      <c r="I115" s="770">
        <f>16896.24+2387.17+1441.32+6442.28+347.76+87.76</f>
        <v>27602.53</v>
      </c>
      <c r="J115" s="682">
        <f>SUM(E115:I115)</f>
        <v>27602.53</v>
      </c>
      <c r="K115" s="683"/>
      <c r="L115" s="684"/>
      <c r="M115" s="753"/>
      <c r="N115" s="683">
        <v>0</v>
      </c>
      <c r="O115" s="686"/>
      <c r="P115" s="683"/>
      <c r="Q115" s="687">
        <f t="shared" si="1"/>
        <v>0</v>
      </c>
      <c r="R115" s="688">
        <v>0</v>
      </c>
      <c r="S115" s="693"/>
      <c r="T115" s="690">
        <f t="shared" si="35"/>
        <v>0</v>
      </c>
      <c r="U115" s="683"/>
      <c r="V115" s="474">
        <f t="shared" si="36"/>
        <v>0</v>
      </c>
      <c r="W115" s="474">
        <f t="shared" si="37"/>
        <v>0</v>
      </c>
      <c r="X115" s="475">
        <f t="shared" si="38"/>
        <v>0</v>
      </c>
      <c r="Y115" s="475">
        <v>0</v>
      </c>
      <c r="Z115" s="476">
        <v>0</v>
      </c>
      <c r="AA115" s="38">
        <f t="shared" si="39"/>
        <v>0</v>
      </c>
      <c r="AB115" s="692">
        <f t="shared" si="40"/>
        <v>27602.53</v>
      </c>
      <c r="AC115" s="692">
        <f t="shared" si="41"/>
        <v>0</v>
      </c>
      <c r="AD115" s="692">
        <f t="shared" si="42"/>
        <v>0</v>
      </c>
      <c r="AE115" s="38"/>
      <c r="AF115" s="692">
        <f t="shared" si="43"/>
        <v>0</v>
      </c>
      <c r="AG115" s="692">
        <f t="shared" si="44"/>
        <v>0</v>
      </c>
      <c r="AH115" s="692">
        <f t="shared" si="45"/>
        <v>0</v>
      </c>
      <c r="AJ115" s="38">
        <f t="shared" si="46"/>
        <v>27602.53</v>
      </c>
    </row>
    <row r="116" spans="1:36" s="24" customFormat="1">
      <c r="A116" s="32"/>
      <c r="B116" s="32" t="s">
        <v>110</v>
      </c>
      <c r="C116" s="667"/>
      <c r="D116" s="68" t="s">
        <v>588</v>
      </c>
      <c r="E116" s="679">
        <v>33.619999999999997</v>
      </c>
      <c r="F116" s="529">
        <f>VLOOKUP(D116,'Aug 2012 Revenue'!D:T,17,FALSE)</f>
        <v>0</v>
      </c>
      <c r="G116" s="680"/>
      <c r="H116" s="680"/>
      <c r="I116" s="770">
        <v>19.36</v>
      </c>
      <c r="J116" s="682">
        <f t="shared" ref="J116" si="47">SUM(E116:I116)</f>
        <v>52.98</v>
      </c>
      <c r="K116" s="683"/>
      <c r="L116" s="684"/>
      <c r="M116" s="753"/>
      <c r="N116" s="698"/>
      <c r="O116" s="699"/>
      <c r="P116" s="698"/>
      <c r="Q116" s="687">
        <f t="shared" si="1"/>
        <v>0</v>
      </c>
      <c r="R116" s="688">
        <v>0</v>
      </c>
      <c r="S116" s="693"/>
      <c r="T116" s="690">
        <f t="shared" si="35"/>
        <v>0</v>
      </c>
      <c r="U116" s="683"/>
      <c r="V116" s="474">
        <f t="shared" si="36"/>
        <v>0</v>
      </c>
      <c r="W116" s="474">
        <f t="shared" si="37"/>
        <v>0</v>
      </c>
      <c r="X116" s="475">
        <f t="shared" si="38"/>
        <v>0</v>
      </c>
      <c r="Y116" s="475">
        <v>0</v>
      </c>
      <c r="Z116" s="476">
        <v>0</v>
      </c>
      <c r="AA116" s="38">
        <f t="shared" si="39"/>
        <v>0</v>
      </c>
      <c r="AB116" s="692">
        <f t="shared" si="40"/>
        <v>52.98</v>
      </c>
      <c r="AC116" s="692">
        <f t="shared" si="41"/>
        <v>0</v>
      </c>
      <c r="AD116" s="692">
        <f t="shared" si="42"/>
        <v>0</v>
      </c>
      <c r="AE116" s="38"/>
      <c r="AF116" s="692">
        <f t="shared" si="43"/>
        <v>0</v>
      </c>
      <c r="AG116" s="692">
        <f t="shared" si="44"/>
        <v>0</v>
      </c>
      <c r="AH116" s="692">
        <f t="shared" si="45"/>
        <v>0</v>
      </c>
      <c r="AJ116" s="38">
        <f t="shared" si="46"/>
        <v>52.98</v>
      </c>
    </row>
    <row r="117" spans="1:36">
      <c r="A117" s="21"/>
      <c r="B117" s="21" t="s">
        <v>109</v>
      </c>
      <c r="C117" s="666" t="s">
        <v>548</v>
      </c>
      <c r="D117" s="68" t="s">
        <v>461</v>
      </c>
      <c r="E117" s="679"/>
      <c r="F117" s="529">
        <f>VLOOKUP(D117,'Aug 2012 Revenue'!D:T,17,FALSE)</f>
        <v>2950.28</v>
      </c>
      <c r="G117" s="680"/>
      <c r="H117" s="680"/>
      <c r="I117" s="755"/>
      <c r="J117" s="682">
        <f t="shared" si="34"/>
        <v>2950.28</v>
      </c>
      <c r="K117" s="683"/>
      <c r="L117" s="684"/>
      <c r="M117" s="753"/>
      <c r="N117" s="683">
        <v>0</v>
      </c>
      <c r="O117" s="686"/>
      <c r="P117" s="683">
        <v>0</v>
      </c>
      <c r="Q117" s="687">
        <f t="shared" si="1"/>
        <v>0</v>
      </c>
      <c r="R117" s="688">
        <v>2748.67</v>
      </c>
      <c r="S117" s="693"/>
      <c r="T117" s="690">
        <f t="shared" si="35"/>
        <v>2748.67</v>
      </c>
      <c r="U117" s="683"/>
      <c r="V117" s="474">
        <f t="shared" si="36"/>
        <v>0</v>
      </c>
      <c r="W117" s="474">
        <f t="shared" si="37"/>
        <v>0</v>
      </c>
      <c r="X117" s="475">
        <f t="shared" si="38"/>
        <v>0</v>
      </c>
      <c r="Y117" s="475">
        <v>0</v>
      </c>
      <c r="Z117" s="476">
        <v>0</v>
      </c>
      <c r="AA117" s="38">
        <f t="shared" si="39"/>
        <v>0</v>
      </c>
      <c r="AB117" s="692">
        <f t="shared" si="40"/>
        <v>0</v>
      </c>
      <c r="AC117" s="692">
        <f t="shared" si="41"/>
        <v>2950.28</v>
      </c>
      <c r="AD117" s="692">
        <f t="shared" si="42"/>
        <v>0</v>
      </c>
      <c r="AE117" s="38"/>
      <c r="AF117" s="692">
        <f t="shared" si="43"/>
        <v>0</v>
      </c>
      <c r="AG117" s="692">
        <f t="shared" si="44"/>
        <v>0</v>
      </c>
      <c r="AH117" s="692">
        <f t="shared" si="45"/>
        <v>0</v>
      </c>
      <c r="AJ117" s="38">
        <f t="shared" si="46"/>
        <v>2950.28</v>
      </c>
    </row>
    <row r="118" spans="1:36">
      <c r="A118" s="20"/>
      <c r="B118" s="20" t="s">
        <v>109</v>
      </c>
      <c r="C118" s="667" t="s">
        <v>549</v>
      </c>
      <c r="D118" s="68" t="s">
        <v>22</v>
      </c>
      <c r="E118" s="679"/>
      <c r="F118" s="529">
        <f>VLOOKUP(D118,'Aug 2012 Revenue'!D:T,17,FALSE)</f>
        <v>0</v>
      </c>
      <c r="G118" s="680"/>
      <c r="H118" s="680"/>
      <c r="I118" s="755"/>
      <c r="J118" s="682">
        <f t="shared" si="34"/>
        <v>0</v>
      </c>
      <c r="K118" s="683"/>
      <c r="L118" s="684"/>
      <c r="M118" s="753"/>
      <c r="N118" s="683">
        <v>0</v>
      </c>
      <c r="O118" s="686"/>
      <c r="P118" s="683">
        <v>0</v>
      </c>
      <c r="Q118" s="687">
        <f t="shared" si="1"/>
        <v>0</v>
      </c>
      <c r="R118" s="688">
        <v>0</v>
      </c>
      <c r="S118" s="693"/>
      <c r="T118" s="690">
        <f t="shared" si="35"/>
        <v>0</v>
      </c>
      <c r="U118" s="683"/>
      <c r="V118" s="474">
        <f t="shared" si="36"/>
        <v>0</v>
      </c>
      <c r="W118" s="474">
        <f t="shared" si="37"/>
        <v>0</v>
      </c>
      <c r="X118" s="475">
        <f t="shared" si="38"/>
        <v>0</v>
      </c>
      <c r="Y118" s="475">
        <v>0</v>
      </c>
      <c r="Z118" s="476">
        <v>0</v>
      </c>
      <c r="AA118" s="38">
        <f t="shared" si="39"/>
        <v>0</v>
      </c>
      <c r="AB118" s="692">
        <f t="shared" si="40"/>
        <v>0</v>
      </c>
      <c r="AC118" s="692">
        <f t="shared" si="41"/>
        <v>0</v>
      </c>
      <c r="AD118" s="692">
        <f t="shared" si="42"/>
        <v>0</v>
      </c>
      <c r="AE118" s="38"/>
      <c r="AF118" s="692">
        <f t="shared" si="43"/>
        <v>0</v>
      </c>
      <c r="AG118" s="692">
        <f t="shared" si="44"/>
        <v>0</v>
      </c>
      <c r="AH118" s="692">
        <f t="shared" si="45"/>
        <v>0</v>
      </c>
      <c r="AJ118" s="38">
        <f t="shared" si="46"/>
        <v>0</v>
      </c>
    </row>
    <row r="119" spans="1:36">
      <c r="A119" s="20"/>
      <c r="B119" s="20" t="s">
        <v>110</v>
      </c>
      <c r="C119" s="667"/>
      <c r="D119" s="68" t="s">
        <v>24</v>
      </c>
      <c r="E119" s="679"/>
      <c r="F119" s="529">
        <f>VLOOKUP(D119,'Aug 2012 Revenue'!D:T,17,FALSE)</f>
        <v>3826.38</v>
      </c>
      <c r="G119" s="680"/>
      <c r="H119" s="680"/>
      <c r="I119" s="755"/>
      <c r="J119" s="682">
        <f t="shared" si="34"/>
        <v>3826.38</v>
      </c>
      <c r="K119" s="683"/>
      <c r="L119" s="684"/>
      <c r="M119" s="753"/>
      <c r="N119" s="683">
        <v>0</v>
      </c>
      <c r="O119" s="686"/>
      <c r="P119" s="683">
        <v>0</v>
      </c>
      <c r="Q119" s="687">
        <f t="shared" si="1"/>
        <v>0</v>
      </c>
      <c r="R119" s="688">
        <v>0</v>
      </c>
      <c r="S119" s="693"/>
      <c r="T119" s="690">
        <f t="shared" si="35"/>
        <v>0</v>
      </c>
      <c r="U119" s="683"/>
      <c r="V119" s="474">
        <f t="shared" si="36"/>
        <v>0</v>
      </c>
      <c r="W119" s="474">
        <f t="shared" si="37"/>
        <v>0</v>
      </c>
      <c r="X119" s="475">
        <f t="shared" si="38"/>
        <v>0</v>
      </c>
      <c r="Y119" s="475">
        <v>0</v>
      </c>
      <c r="Z119" s="476">
        <v>0</v>
      </c>
      <c r="AA119" s="38">
        <f t="shared" si="39"/>
        <v>0</v>
      </c>
      <c r="AB119" s="692">
        <f t="shared" si="40"/>
        <v>3826.38</v>
      </c>
      <c r="AC119" s="692">
        <f t="shared" si="41"/>
        <v>0</v>
      </c>
      <c r="AD119" s="692">
        <f t="shared" si="42"/>
        <v>0</v>
      </c>
      <c r="AE119" s="38"/>
      <c r="AF119" s="692">
        <f t="shared" si="43"/>
        <v>0</v>
      </c>
      <c r="AG119" s="692">
        <f t="shared" si="44"/>
        <v>0</v>
      </c>
      <c r="AH119" s="692">
        <f t="shared" si="45"/>
        <v>0</v>
      </c>
      <c r="AJ119" s="38">
        <f t="shared" si="46"/>
        <v>3826.38</v>
      </c>
    </row>
    <row r="120" spans="1:36">
      <c r="A120" s="21"/>
      <c r="B120" s="21" t="s">
        <v>110</v>
      </c>
      <c r="C120" s="666" t="s">
        <v>550</v>
      </c>
      <c r="D120" s="68" t="s">
        <v>282</v>
      </c>
      <c r="E120" s="679"/>
      <c r="F120" s="529">
        <f>VLOOKUP(D120,'Aug 2012 Revenue'!D:T,17,FALSE)</f>
        <v>-407.88999999999942</v>
      </c>
      <c r="G120" s="680"/>
      <c r="H120" s="680"/>
      <c r="I120" s="755"/>
      <c r="J120" s="682">
        <f t="shared" si="34"/>
        <v>-407.88999999999942</v>
      </c>
      <c r="K120" s="683"/>
      <c r="L120" s="684"/>
      <c r="M120" s="753">
        <v>25000</v>
      </c>
      <c r="N120" s="683">
        <v>0</v>
      </c>
      <c r="O120" s="686"/>
      <c r="P120" s="683">
        <v>0</v>
      </c>
      <c r="Q120" s="687">
        <f t="shared" si="1"/>
        <v>25000</v>
      </c>
      <c r="R120" s="688">
        <v>23633.77</v>
      </c>
      <c r="S120" s="693"/>
      <c r="T120" s="690">
        <f t="shared" si="35"/>
        <v>-1366.2299999999996</v>
      </c>
      <c r="U120" s="683"/>
      <c r="V120" s="474">
        <f t="shared" si="36"/>
        <v>25000</v>
      </c>
      <c r="W120" s="474">
        <f t="shared" si="37"/>
        <v>0</v>
      </c>
      <c r="X120" s="475">
        <f t="shared" si="38"/>
        <v>0</v>
      </c>
      <c r="Y120" s="475">
        <v>0</v>
      </c>
      <c r="Z120" s="476">
        <v>0</v>
      </c>
      <c r="AA120" s="38">
        <f t="shared" si="39"/>
        <v>0</v>
      </c>
      <c r="AB120" s="692">
        <f t="shared" si="40"/>
        <v>-407.88999999999942</v>
      </c>
      <c r="AC120" s="692">
        <f t="shared" si="41"/>
        <v>0</v>
      </c>
      <c r="AD120" s="692">
        <f t="shared" si="42"/>
        <v>0</v>
      </c>
      <c r="AE120" s="38"/>
      <c r="AF120" s="692">
        <f t="shared" si="43"/>
        <v>25000</v>
      </c>
      <c r="AG120" s="692">
        <f t="shared" si="44"/>
        <v>0</v>
      </c>
      <c r="AH120" s="692">
        <f t="shared" si="45"/>
        <v>0</v>
      </c>
      <c r="AJ120" s="38">
        <f t="shared" si="46"/>
        <v>24592.11</v>
      </c>
    </row>
    <row r="121" spans="1:36">
      <c r="A121" s="21"/>
      <c r="B121" s="21" t="s">
        <v>109</v>
      </c>
      <c r="C121" s="666" t="s">
        <v>551</v>
      </c>
      <c r="D121" s="68" t="s">
        <v>499</v>
      </c>
      <c r="E121" s="679"/>
      <c r="F121" s="529">
        <f>VLOOKUP(D121,'Aug 2012 Revenue'!D:T,17,FALSE)</f>
        <v>0</v>
      </c>
      <c r="G121" s="680"/>
      <c r="H121" s="680"/>
      <c r="I121" s="755"/>
      <c r="J121" s="682">
        <f t="shared" si="34"/>
        <v>0</v>
      </c>
      <c r="K121" s="683"/>
      <c r="L121" s="684"/>
      <c r="M121" s="753"/>
      <c r="N121" s="683">
        <v>0</v>
      </c>
      <c r="O121" s="686"/>
      <c r="P121" s="683">
        <v>0</v>
      </c>
      <c r="Q121" s="687">
        <f t="shared" si="1"/>
        <v>0</v>
      </c>
      <c r="R121" s="688">
        <v>0</v>
      </c>
      <c r="S121" s="693"/>
      <c r="T121" s="690">
        <f t="shared" si="35"/>
        <v>0</v>
      </c>
      <c r="U121" s="683"/>
      <c r="V121" s="474">
        <f t="shared" si="36"/>
        <v>0</v>
      </c>
      <c r="W121" s="474">
        <f t="shared" si="37"/>
        <v>0</v>
      </c>
      <c r="X121" s="475">
        <f t="shared" si="38"/>
        <v>0</v>
      </c>
      <c r="Y121" s="475">
        <v>0</v>
      </c>
      <c r="Z121" s="476">
        <v>0</v>
      </c>
      <c r="AA121" s="38">
        <f t="shared" si="39"/>
        <v>0</v>
      </c>
      <c r="AB121" s="692">
        <f t="shared" si="40"/>
        <v>0</v>
      </c>
      <c r="AC121" s="692">
        <f t="shared" si="41"/>
        <v>0</v>
      </c>
      <c r="AD121" s="692">
        <f t="shared" si="42"/>
        <v>0</v>
      </c>
      <c r="AE121" s="38"/>
      <c r="AF121" s="692">
        <f t="shared" si="43"/>
        <v>0</v>
      </c>
      <c r="AG121" s="692">
        <f t="shared" si="44"/>
        <v>0</v>
      </c>
      <c r="AH121" s="692">
        <f t="shared" si="45"/>
        <v>0</v>
      </c>
      <c r="AJ121" s="38">
        <f t="shared" si="46"/>
        <v>0</v>
      </c>
    </row>
    <row r="122" spans="1:36">
      <c r="A122" s="21"/>
      <c r="B122" s="21" t="s">
        <v>110</v>
      </c>
      <c r="C122" s="666"/>
      <c r="D122" s="68" t="s">
        <v>28</v>
      </c>
      <c r="E122" s="679"/>
      <c r="F122" s="529">
        <f>VLOOKUP(D122,'Aug 2012 Revenue'!D:T,17,FALSE)</f>
        <v>0</v>
      </c>
      <c r="G122" s="680"/>
      <c r="H122" s="680"/>
      <c r="I122" s="770">
        <v>1058.4000000000001</v>
      </c>
      <c r="J122" s="682">
        <f t="shared" si="34"/>
        <v>1058.4000000000001</v>
      </c>
      <c r="K122" s="683"/>
      <c r="L122" s="684"/>
      <c r="M122" s="753"/>
      <c r="N122" s="683">
        <v>0</v>
      </c>
      <c r="O122" s="686"/>
      <c r="P122" s="683">
        <v>0</v>
      </c>
      <c r="Q122" s="687">
        <f t="shared" si="1"/>
        <v>0</v>
      </c>
      <c r="R122" s="688">
        <v>0</v>
      </c>
      <c r="S122" s="693"/>
      <c r="T122" s="690">
        <f t="shared" si="35"/>
        <v>0</v>
      </c>
      <c r="U122" s="683"/>
      <c r="V122" s="474">
        <f t="shared" si="36"/>
        <v>0</v>
      </c>
      <c r="W122" s="474">
        <f t="shared" si="37"/>
        <v>0</v>
      </c>
      <c r="X122" s="475">
        <f t="shared" si="38"/>
        <v>0</v>
      </c>
      <c r="Y122" s="475">
        <v>0</v>
      </c>
      <c r="Z122" s="476">
        <v>0</v>
      </c>
      <c r="AA122" s="38">
        <f t="shared" si="39"/>
        <v>0</v>
      </c>
      <c r="AB122" s="692">
        <f t="shared" si="40"/>
        <v>1058.4000000000001</v>
      </c>
      <c r="AC122" s="692">
        <f t="shared" si="41"/>
        <v>0</v>
      </c>
      <c r="AD122" s="692">
        <f t="shared" si="42"/>
        <v>0</v>
      </c>
      <c r="AE122" s="38"/>
      <c r="AF122" s="692">
        <f t="shared" si="43"/>
        <v>0</v>
      </c>
      <c r="AG122" s="692">
        <f t="shared" si="44"/>
        <v>0</v>
      </c>
      <c r="AH122" s="692">
        <f t="shared" si="45"/>
        <v>0</v>
      </c>
      <c r="AJ122" s="38">
        <f t="shared" si="46"/>
        <v>1058.4000000000001</v>
      </c>
    </row>
    <row r="123" spans="1:36">
      <c r="A123" s="21"/>
      <c r="B123" s="21" t="s">
        <v>114</v>
      </c>
      <c r="C123" s="666" t="s">
        <v>552</v>
      </c>
      <c r="D123" s="68" t="s">
        <v>513</v>
      </c>
      <c r="E123" s="679">
        <v>3201.4</v>
      </c>
      <c r="F123" s="529">
        <f>VLOOKUP(D123,'Aug 2012 Revenue'!D:T,17,FALSE)</f>
        <v>0</v>
      </c>
      <c r="G123" s="680"/>
      <c r="H123" s="680"/>
      <c r="I123" s="755"/>
      <c r="J123" s="682">
        <f>SUM(E123:I123)</f>
        <v>3201.4</v>
      </c>
      <c r="K123" s="683"/>
      <c r="L123" s="684"/>
      <c r="M123" s="753"/>
      <c r="N123" s="683">
        <v>0</v>
      </c>
      <c r="O123" s="686"/>
      <c r="P123" s="683">
        <v>0</v>
      </c>
      <c r="Q123" s="687">
        <f>L123+M123</f>
        <v>0</v>
      </c>
      <c r="R123" s="688">
        <v>0</v>
      </c>
      <c r="S123" s="693"/>
      <c r="T123" s="690">
        <f t="shared" si="35"/>
        <v>0</v>
      </c>
      <c r="U123" s="683"/>
      <c r="V123" s="474">
        <f t="shared" si="36"/>
        <v>0</v>
      </c>
      <c r="W123" s="474">
        <f t="shared" si="37"/>
        <v>0</v>
      </c>
      <c r="X123" s="475">
        <f t="shared" si="38"/>
        <v>0</v>
      </c>
      <c r="Y123" s="475">
        <v>0</v>
      </c>
      <c r="Z123" s="476">
        <v>0</v>
      </c>
      <c r="AA123" s="38">
        <f t="shared" si="39"/>
        <v>0</v>
      </c>
      <c r="AB123" s="692">
        <f t="shared" si="40"/>
        <v>0</v>
      </c>
      <c r="AC123" s="692">
        <f t="shared" si="41"/>
        <v>0</v>
      </c>
      <c r="AD123" s="692">
        <f t="shared" si="42"/>
        <v>3201.4</v>
      </c>
      <c r="AE123" s="38"/>
      <c r="AF123" s="692">
        <f t="shared" si="43"/>
        <v>0</v>
      </c>
      <c r="AG123" s="692">
        <f t="shared" si="44"/>
        <v>0</v>
      </c>
      <c r="AH123" s="692">
        <f t="shared" si="45"/>
        <v>0</v>
      </c>
      <c r="AJ123" s="38">
        <f t="shared" si="46"/>
        <v>3201.4</v>
      </c>
    </row>
    <row r="124" spans="1:36">
      <c r="A124" s="21"/>
      <c r="B124" s="21" t="s">
        <v>109</v>
      </c>
      <c r="C124" s="666" t="s">
        <v>553</v>
      </c>
      <c r="D124" s="68" t="s">
        <v>308</v>
      </c>
      <c r="E124" s="679"/>
      <c r="F124" s="529">
        <f>VLOOKUP(D124,'Aug 2012 Revenue'!D:T,17,FALSE)</f>
        <v>0</v>
      </c>
      <c r="G124" s="680"/>
      <c r="H124" s="680"/>
      <c r="I124" s="755"/>
      <c r="J124" s="682">
        <f t="shared" si="34"/>
        <v>0</v>
      </c>
      <c r="K124" s="683"/>
      <c r="L124" s="684"/>
      <c r="M124" s="753"/>
      <c r="N124" s="683">
        <v>0</v>
      </c>
      <c r="O124" s="686"/>
      <c r="P124" s="683">
        <v>0</v>
      </c>
      <c r="Q124" s="687">
        <f t="shared" si="1"/>
        <v>0</v>
      </c>
      <c r="R124" s="688">
        <v>0</v>
      </c>
      <c r="S124" s="693"/>
      <c r="T124" s="690">
        <f t="shared" si="35"/>
        <v>0</v>
      </c>
      <c r="U124" s="683"/>
      <c r="V124" s="474">
        <f t="shared" si="36"/>
        <v>0</v>
      </c>
      <c r="W124" s="474">
        <f t="shared" si="37"/>
        <v>0</v>
      </c>
      <c r="X124" s="475">
        <f t="shared" si="38"/>
        <v>0</v>
      </c>
      <c r="Y124" s="475">
        <v>0</v>
      </c>
      <c r="Z124" s="476">
        <v>0</v>
      </c>
      <c r="AA124" s="38">
        <f t="shared" si="39"/>
        <v>0</v>
      </c>
      <c r="AB124" s="692">
        <f t="shared" si="40"/>
        <v>0</v>
      </c>
      <c r="AC124" s="692">
        <f t="shared" si="41"/>
        <v>0</v>
      </c>
      <c r="AD124" s="692">
        <f t="shared" si="42"/>
        <v>0</v>
      </c>
      <c r="AE124" s="38"/>
      <c r="AF124" s="692">
        <f t="shared" si="43"/>
        <v>0</v>
      </c>
      <c r="AG124" s="692">
        <f t="shared" si="44"/>
        <v>0</v>
      </c>
      <c r="AH124" s="692">
        <f t="shared" si="45"/>
        <v>0</v>
      </c>
      <c r="AJ124" s="38">
        <f t="shared" si="46"/>
        <v>0</v>
      </c>
    </row>
    <row r="125" spans="1:36" s="232" customFormat="1">
      <c r="A125" s="283" t="s">
        <v>211</v>
      </c>
      <c r="B125" s="283" t="s">
        <v>109</v>
      </c>
      <c r="C125" s="667" t="s">
        <v>554</v>
      </c>
      <c r="D125" s="123" t="s">
        <v>389</v>
      </c>
      <c r="E125" s="679"/>
      <c r="F125" s="529">
        <f>VLOOKUP(D125,'Aug 2012 Revenue'!D:T,17,FALSE)</f>
        <v>0</v>
      </c>
      <c r="G125" s="680"/>
      <c r="H125" s="680"/>
      <c r="I125" s="755"/>
      <c r="J125" s="682">
        <f t="shared" si="34"/>
        <v>0</v>
      </c>
      <c r="K125" s="683"/>
      <c r="L125" s="684"/>
      <c r="M125" s="753"/>
      <c r="N125" s="683">
        <v>0</v>
      </c>
      <c r="O125" s="686"/>
      <c r="P125" s="683">
        <v>0</v>
      </c>
      <c r="Q125" s="687">
        <f t="shared" si="1"/>
        <v>0</v>
      </c>
      <c r="R125" s="688">
        <v>0</v>
      </c>
      <c r="S125" s="693"/>
      <c r="T125" s="690">
        <f t="shared" si="35"/>
        <v>0</v>
      </c>
      <c r="U125" s="683"/>
      <c r="V125" s="474">
        <f t="shared" si="36"/>
        <v>0</v>
      </c>
      <c r="W125" s="474">
        <f t="shared" si="37"/>
        <v>0</v>
      </c>
      <c r="X125" s="475">
        <f t="shared" si="38"/>
        <v>0</v>
      </c>
      <c r="Y125" s="475">
        <v>0</v>
      </c>
      <c r="Z125" s="476">
        <v>0</v>
      </c>
      <c r="AA125" s="38">
        <f t="shared" si="39"/>
        <v>0</v>
      </c>
      <c r="AB125" s="692">
        <f t="shared" si="40"/>
        <v>0</v>
      </c>
      <c r="AC125" s="692">
        <f t="shared" si="41"/>
        <v>0</v>
      </c>
      <c r="AD125" s="692">
        <f t="shared" si="42"/>
        <v>0</v>
      </c>
      <c r="AE125" s="38"/>
      <c r="AF125" s="692">
        <f t="shared" si="43"/>
        <v>0</v>
      </c>
      <c r="AG125" s="692">
        <f t="shared" si="44"/>
        <v>0</v>
      </c>
      <c r="AH125" s="692">
        <f t="shared" si="45"/>
        <v>0</v>
      </c>
      <c r="AJ125" s="38">
        <f t="shared" si="46"/>
        <v>0</v>
      </c>
    </row>
    <row r="126" spans="1:36" s="232" customFormat="1">
      <c r="A126" s="283"/>
      <c r="B126" s="283" t="s">
        <v>110</v>
      </c>
      <c r="C126" s="667"/>
      <c r="D126" s="123" t="s">
        <v>807</v>
      </c>
      <c r="E126" s="679"/>
      <c r="F126" s="529">
        <f>VLOOKUP(D126,'Aug 2012 Revenue'!D:T,17,FALSE)</f>
        <v>1303.8</v>
      </c>
      <c r="G126" s="680"/>
      <c r="H126" s="680"/>
      <c r="I126" s="755"/>
      <c r="J126" s="682">
        <f>SUM(E126:I126)</f>
        <v>1303.8</v>
      </c>
      <c r="K126" s="683"/>
      <c r="L126" s="684"/>
      <c r="M126" s="753"/>
      <c r="N126" s="683">
        <v>0</v>
      </c>
      <c r="O126" s="686"/>
      <c r="P126" s="683">
        <v>0</v>
      </c>
      <c r="Q126" s="687">
        <f t="shared" si="1"/>
        <v>0</v>
      </c>
      <c r="R126" s="688">
        <v>1248.92</v>
      </c>
      <c r="S126" s="693"/>
      <c r="T126" s="690">
        <f t="shared" si="35"/>
        <v>1248.92</v>
      </c>
      <c r="U126" s="683"/>
      <c r="V126" s="474">
        <f t="shared" si="36"/>
        <v>0</v>
      </c>
      <c r="W126" s="474">
        <f t="shared" si="37"/>
        <v>0</v>
      </c>
      <c r="X126" s="475">
        <f t="shared" si="38"/>
        <v>0</v>
      </c>
      <c r="Y126" s="475">
        <v>0</v>
      </c>
      <c r="Z126" s="476">
        <v>0</v>
      </c>
      <c r="AA126" s="38">
        <f t="shared" si="39"/>
        <v>0</v>
      </c>
      <c r="AB126" s="692">
        <f t="shared" si="40"/>
        <v>1303.8</v>
      </c>
      <c r="AC126" s="692">
        <f t="shared" si="41"/>
        <v>0</v>
      </c>
      <c r="AD126" s="692">
        <f t="shared" si="42"/>
        <v>0</v>
      </c>
      <c r="AE126" s="38"/>
      <c r="AF126" s="692">
        <f t="shared" si="43"/>
        <v>0</v>
      </c>
      <c r="AG126" s="692">
        <f t="shared" si="44"/>
        <v>0</v>
      </c>
      <c r="AH126" s="692">
        <f t="shared" si="45"/>
        <v>0</v>
      </c>
      <c r="AJ126" s="38">
        <f t="shared" si="46"/>
        <v>1303.8</v>
      </c>
    </row>
    <row r="127" spans="1:36" s="232" customFormat="1">
      <c r="A127" s="283"/>
      <c r="B127" s="283" t="s">
        <v>109</v>
      </c>
      <c r="C127" s="667"/>
      <c r="D127" s="123" t="s">
        <v>808</v>
      </c>
      <c r="E127" s="679"/>
      <c r="F127" s="529">
        <f>VLOOKUP(D127,'Aug 2012 Revenue'!D:T,17,FALSE)</f>
        <v>1857.5999999999985</v>
      </c>
      <c r="G127" s="680"/>
      <c r="H127" s="680"/>
      <c r="I127" s="755"/>
      <c r="J127" s="682">
        <f>SUM(E127:I127)</f>
        <v>1857.5999999999985</v>
      </c>
      <c r="K127" s="683"/>
      <c r="L127" s="684"/>
      <c r="M127" s="753">
        <v>12000</v>
      </c>
      <c r="N127" s="683">
        <v>0</v>
      </c>
      <c r="O127" s="686"/>
      <c r="P127" s="683">
        <v>0</v>
      </c>
      <c r="Q127" s="687">
        <f t="shared" si="1"/>
        <v>12000</v>
      </c>
      <c r="R127" s="688">
        <f>10570.61+1168.88</f>
        <v>11739.490000000002</v>
      </c>
      <c r="S127" s="693"/>
      <c r="T127" s="690">
        <f t="shared" si="35"/>
        <v>-260.5099999999984</v>
      </c>
      <c r="U127" s="683"/>
      <c r="V127" s="474">
        <f t="shared" si="36"/>
        <v>0</v>
      </c>
      <c r="W127" s="474">
        <f t="shared" si="37"/>
        <v>12000</v>
      </c>
      <c r="X127" s="475">
        <f t="shared" si="38"/>
        <v>0</v>
      </c>
      <c r="Y127" s="475">
        <v>0</v>
      </c>
      <c r="Z127" s="476">
        <v>0</v>
      </c>
      <c r="AA127" s="38">
        <f t="shared" si="39"/>
        <v>0</v>
      </c>
      <c r="AB127" s="692">
        <f t="shared" si="40"/>
        <v>0</v>
      </c>
      <c r="AC127" s="692">
        <f t="shared" si="41"/>
        <v>1857.5999999999985</v>
      </c>
      <c r="AD127" s="692">
        <f t="shared" si="42"/>
        <v>0</v>
      </c>
      <c r="AE127" s="38"/>
      <c r="AF127" s="692">
        <f t="shared" si="43"/>
        <v>0</v>
      </c>
      <c r="AG127" s="692">
        <f t="shared" si="44"/>
        <v>12000</v>
      </c>
      <c r="AH127" s="692">
        <f t="shared" si="45"/>
        <v>0</v>
      </c>
      <c r="AJ127" s="38">
        <f t="shared" si="46"/>
        <v>13857.599999999999</v>
      </c>
    </row>
    <row r="128" spans="1:36" s="232" customFormat="1">
      <c r="A128" s="283"/>
      <c r="B128" s="283" t="s">
        <v>110</v>
      </c>
      <c r="C128" s="667"/>
      <c r="D128" s="567" t="s">
        <v>867</v>
      </c>
      <c r="E128" s="679"/>
      <c r="F128" s="529">
        <v>0</v>
      </c>
      <c r="G128" s="680"/>
      <c r="H128" s="680"/>
      <c r="I128" s="755"/>
      <c r="J128" s="682">
        <f t="shared" ref="J128" si="48">SUM(E128:I128)</f>
        <v>0</v>
      </c>
      <c r="K128" s="683"/>
      <c r="L128" s="684"/>
      <c r="M128" s="753"/>
      <c r="N128" s="683">
        <v>0</v>
      </c>
      <c r="O128" s="686"/>
      <c r="P128" s="683">
        <v>0</v>
      </c>
      <c r="Q128" s="687">
        <f t="shared" si="1"/>
        <v>0</v>
      </c>
      <c r="R128" s="688">
        <v>0</v>
      </c>
      <c r="S128" s="693"/>
      <c r="T128" s="690">
        <f t="shared" si="35"/>
        <v>0</v>
      </c>
      <c r="U128" s="683"/>
      <c r="V128" s="474">
        <f t="shared" si="36"/>
        <v>0</v>
      </c>
      <c r="W128" s="474">
        <f t="shared" si="37"/>
        <v>0</v>
      </c>
      <c r="X128" s="475">
        <f t="shared" si="38"/>
        <v>0</v>
      </c>
      <c r="Y128" s="475">
        <v>0</v>
      </c>
      <c r="Z128" s="476">
        <v>0</v>
      </c>
      <c r="AA128" s="38">
        <f t="shared" si="39"/>
        <v>0</v>
      </c>
      <c r="AB128" s="692">
        <f t="shared" si="40"/>
        <v>0</v>
      </c>
      <c r="AC128" s="692">
        <f t="shared" si="41"/>
        <v>0</v>
      </c>
      <c r="AD128" s="692">
        <f t="shared" si="42"/>
        <v>0</v>
      </c>
      <c r="AE128" s="38"/>
      <c r="AF128" s="692">
        <f t="shared" si="43"/>
        <v>0</v>
      </c>
      <c r="AG128" s="692">
        <f t="shared" si="44"/>
        <v>0</v>
      </c>
      <c r="AH128" s="692">
        <f t="shared" si="45"/>
        <v>0</v>
      </c>
      <c r="AJ128" s="38">
        <f t="shared" si="46"/>
        <v>0</v>
      </c>
    </row>
    <row r="129" spans="1:36" s="232" customFormat="1">
      <c r="A129" s="283"/>
      <c r="B129" s="283" t="s">
        <v>110</v>
      </c>
      <c r="C129" s="667"/>
      <c r="D129" s="68" t="s">
        <v>488</v>
      </c>
      <c r="E129" s="679"/>
      <c r="F129" s="529">
        <f>VLOOKUP(D129,'Aug 2012 Revenue'!D:T,17,FALSE)</f>
        <v>0</v>
      </c>
      <c r="G129" s="680"/>
      <c r="H129" s="680"/>
      <c r="I129" s="755"/>
      <c r="J129" s="682">
        <f t="shared" si="34"/>
        <v>0</v>
      </c>
      <c r="K129" s="683"/>
      <c r="L129" s="684"/>
      <c r="M129" s="753"/>
      <c r="N129" s="683">
        <v>0</v>
      </c>
      <c r="O129" s="686"/>
      <c r="P129" s="683">
        <v>0</v>
      </c>
      <c r="Q129" s="687">
        <f t="shared" si="1"/>
        <v>0</v>
      </c>
      <c r="R129" s="688">
        <v>0</v>
      </c>
      <c r="S129" s="693"/>
      <c r="T129" s="690">
        <f t="shared" si="35"/>
        <v>0</v>
      </c>
      <c r="U129" s="683"/>
      <c r="V129" s="474">
        <f t="shared" si="36"/>
        <v>0</v>
      </c>
      <c r="W129" s="474">
        <f t="shared" si="37"/>
        <v>0</v>
      </c>
      <c r="X129" s="475">
        <f t="shared" si="38"/>
        <v>0</v>
      </c>
      <c r="Y129" s="475">
        <v>0</v>
      </c>
      <c r="Z129" s="476">
        <v>0</v>
      </c>
      <c r="AA129" s="38">
        <f t="shared" si="39"/>
        <v>0</v>
      </c>
      <c r="AB129" s="692">
        <f t="shared" si="40"/>
        <v>0</v>
      </c>
      <c r="AC129" s="692">
        <f t="shared" si="41"/>
        <v>0</v>
      </c>
      <c r="AD129" s="692">
        <f t="shared" si="42"/>
        <v>0</v>
      </c>
      <c r="AE129" s="38"/>
      <c r="AF129" s="692">
        <f t="shared" si="43"/>
        <v>0</v>
      </c>
      <c r="AG129" s="692">
        <f t="shared" si="44"/>
        <v>0</v>
      </c>
      <c r="AH129" s="692">
        <f t="shared" si="45"/>
        <v>0</v>
      </c>
      <c r="AJ129" s="38">
        <f t="shared" si="46"/>
        <v>0</v>
      </c>
    </row>
    <row r="130" spans="1:36" s="232" customFormat="1">
      <c r="A130" s="283"/>
      <c r="B130" s="283" t="s">
        <v>110</v>
      </c>
      <c r="C130" s="667" t="s">
        <v>555</v>
      </c>
      <c r="D130" s="123" t="s">
        <v>192</v>
      </c>
      <c r="E130" s="679"/>
      <c r="F130" s="529">
        <f>VLOOKUP(D130,'Aug 2012 Revenue'!D:T,17,FALSE)</f>
        <v>0</v>
      </c>
      <c r="G130" s="680"/>
      <c r="H130" s="680"/>
      <c r="I130" s="770">
        <v>4027.42</v>
      </c>
      <c r="J130" s="682">
        <f t="shared" si="34"/>
        <v>4027.42</v>
      </c>
      <c r="K130" s="683"/>
      <c r="L130" s="684"/>
      <c r="M130" s="753"/>
      <c r="N130" s="683">
        <v>0</v>
      </c>
      <c r="O130" s="686"/>
      <c r="P130" s="683">
        <v>0</v>
      </c>
      <c r="Q130" s="687">
        <f t="shared" si="1"/>
        <v>0</v>
      </c>
      <c r="R130" s="688">
        <v>0</v>
      </c>
      <c r="S130" s="693"/>
      <c r="T130" s="690">
        <f t="shared" si="35"/>
        <v>0</v>
      </c>
      <c r="U130" s="683"/>
      <c r="V130" s="474">
        <f t="shared" si="36"/>
        <v>0</v>
      </c>
      <c r="W130" s="474">
        <f t="shared" si="37"/>
        <v>0</v>
      </c>
      <c r="X130" s="475">
        <f t="shared" si="38"/>
        <v>0</v>
      </c>
      <c r="Y130" s="475">
        <v>0</v>
      </c>
      <c r="Z130" s="476">
        <v>0</v>
      </c>
      <c r="AA130" s="38">
        <f t="shared" si="39"/>
        <v>0</v>
      </c>
      <c r="AB130" s="692">
        <f t="shared" si="40"/>
        <v>4027.42</v>
      </c>
      <c r="AC130" s="692">
        <f t="shared" si="41"/>
        <v>0</v>
      </c>
      <c r="AD130" s="692">
        <f t="shared" si="42"/>
        <v>0</v>
      </c>
      <c r="AE130" s="38"/>
      <c r="AF130" s="692">
        <f t="shared" si="43"/>
        <v>0</v>
      </c>
      <c r="AG130" s="692">
        <f t="shared" si="44"/>
        <v>0</v>
      </c>
      <c r="AH130" s="692">
        <f t="shared" si="45"/>
        <v>0</v>
      </c>
      <c r="AJ130" s="38">
        <f t="shared" si="46"/>
        <v>4027.42</v>
      </c>
    </row>
    <row r="131" spans="1:36" s="232" customFormat="1">
      <c r="A131" s="283"/>
      <c r="B131" s="283" t="s">
        <v>110</v>
      </c>
      <c r="C131" s="667" t="s">
        <v>555</v>
      </c>
      <c r="D131" s="123" t="s">
        <v>193</v>
      </c>
      <c r="E131" s="679"/>
      <c r="F131" s="529">
        <f>VLOOKUP(D131,'Aug 2012 Revenue'!D:T,17,FALSE)</f>
        <v>0</v>
      </c>
      <c r="G131" s="680"/>
      <c r="H131" s="680"/>
      <c r="I131" s="770">
        <v>294.82</v>
      </c>
      <c r="J131" s="682">
        <f t="shared" si="34"/>
        <v>294.82</v>
      </c>
      <c r="K131" s="683"/>
      <c r="L131" s="684"/>
      <c r="M131" s="753"/>
      <c r="N131" s="683">
        <v>0</v>
      </c>
      <c r="O131" s="686"/>
      <c r="P131" s="683">
        <v>0</v>
      </c>
      <c r="Q131" s="687">
        <f t="shared" si="1"/>
        <v>0</v>
      </c>
      <c r="R131" s="688">
        <v>0</v>
      </c>
      <c r="S131" s="693"/>
      <c r="T131" s="690">
        <f t="shared" si="35"/>
        <v>0</v>
      </c>
      <c r="U131" s="683"/>
      <c r="V131" s="474">
        <f t="shared" si="36"/>
        <v>0</v>
      </c>
      <c r="W131" s="474">
        <f t="shared" si="37"/>
        <v>0</v>
      </c>
      <c r="X131" s="475">
        <f t="shared" si="38"/>
        <v>0</v>
      </c>
      <c r="Y131" s="475">
        <v>0</v>
      </c>
      <c r="Z131" s="476">
        <v>0</v>
      </c>
      <c r="AA131" s="38">
        <f t="shared" si="39"/>
        <v>0</v>
      </c>
      <c r="AB131" s="692">
        <f t="shared" si="40"/>
        <v>294.82</v>
      </c>
      <c r="AC131" s="692">
        <f t="shared" si="41"/>
        <v>0</v>
      </c>
      <c r="AD131" s="692">
        <f t="shared" si="42"/>
        <v>0</v>
      </c>
      <c r="AE131" s="38"/>
      <c r="AF131" s="692">
        <f t="shared" si="43"/>
        <v>0</v>
      </c>
      <c r="AG131" s="692">
        <f t="shared" si="44"/>
        <v>0</v>
      </c>
      <c r="AH131" s="692">
        <f t="shared" si="45"/>
        <v>0</v>
      </c>
      <c r="AJ131" s="38">
        <f t="shared" si="46"/>
        <v>294.82</v>
      </c>
    </row>
    <row r="132" spans="1:36" s="232" customFormat="1">
      <c r="A132" s="283"/>
      <c r="B132" s="283" t="s">
        <v>110</v>
      </c>
      <c r="C132" s="667" t="s">
        <v>555</v>
      </c>
      <c r="D132" s="123" t="s">
        <v>194</v>
      </c>
      <c r="E132" s="679"/>
      <c r="F132" s="529">
        <f>VLOOKUP(D132,'Aug 2012 Revenue'!D:T,17,FALSE)</f>
        <v>0</v>
      </c>
      <c r="G132" s="680"/>
      <c r="H132" s="680"/>
      <c r="I132" s="770">
        <v>75.489999999999995</v>
      </c>
      <c r="J132" s="682">
        <f t="shared" si="34"/>
        <v>75.489999999999995</v>
      </c>
      <c r="K132" s="683"/>
      <c r="L132" s="684"/>
      <c r="M132" s="753"/>
      <c r="N132" s="683">
        <v>0</v>
      </c>
      <c r="O132" s="686"/>
      <c r="P132" s="683">
        <v>0</v>
      </c>
      <c r="Q132" s="687">
        <f t="shared" si="1"/>
        <v>0</v>
      </c>
      <c r="R132" s="688">
        <v>0</v>
      </c>
      <c r="S132" s="693"/>
      <c r="T132" s="690">
        <f t="shared" si="35"/>
        <v>0</v>
      </c>
      <c r="U132" s="683"/>
      <c r="V132" s="474">
        <f t="shared" si="36"/>
        <v>0</v>
      </c>
      <c r="W132" s="474">
        <f t="shared" si="37"/>
        <v>0</v>
      </c>
      <c r="X132" s="475">
        <f t="shared" si="38"/>
        <v>0</v>
      </c>
      <c r="Y132" s="475">
        <v>0</v>
      </c>
      <c r="Z132" s="476">
        <v>0</v>
      </c>
      <c r="AA132" s="38">
        <f t="shared" si="39"/>
        <v>0</v>
      </c>
      <c r="AB132" s="692">
        <f t="shared" si="40"/>
        <v>75.489999999999995</v>
      </c>
      <c r="AC132" s="692">
        <f t="shared" si="41"/>
        <v>0</v>
      </c>
      <c r="AD132" s="692">
        <f t="shared" si="42"/>
        <v>0</v>
      </c>
      <c r="AE132" s="38"/>
      <c r="AF132" s="692">
        <f t="shared" si="43"/>
        <v>0</v>
      </c>
      <c r="AG132" s="692">
        <f t="shared" si="44"/>
        <v>0</v>
      </c>
      <c r="AH132" s="692">
        <f t="shared" si="45"/>
        <v>0</v>
      </c>
      <c r="AJ132" s="38">
        <f t="shared" si="46"/>
        <v>75.489999999999995</v>
      </c>
    </row>
    <row r="133" spans="1:36" s="232" customFormat="1">
      <c r="A133" s="283"/>
      <c r="B133" s="283" t="s">
        <v>110</v>
      </c>
      <c r="C133" s="667" t="s">
        <v>555</v>
      </c>
      <c r="D133" s="123" t="s">
        <v>195</v>
      </c>
      <c r="E133" s="679"/>
      <c r="F133" s="529">
        <f>VLOOKUP(D133,'Aug 2012 Revenue'!D:T,17,FALSE)</f>
        <v>0</v>
      </c>
      <c r="G133" s="680"/>
      <c r="H133" s="680"/>
      <c r="I133" s="770">
        <v>4.63</v>
      </c>
      <c r="J133" s="682">
        <f t="shared" si="34"/>
        <v>4.63</v>
      </c>
      <c r="K133" s="683"/>
      <c r="L133" s="684"/>
      <c r="M133" s="753"/>
      <c r="N133" s="683">
        <v>0</v>
      </c>
      <c r="O133" s="686"/>
      <c r="P133" s="683">
        <v>0</v>
      </c>
      <c r="Q133" s="687">
        <f t="shared" si="1"/>
        <v>0</v>
      </c>
      <c r="R133" s="688">
        <v>0</v>
      </c>
      <c r="S133" s="693"/>
      <c r="T133" s="690">
        <f t="shared" si="35"/>
        <v>0</v>
      </c>
      <c r="U133" s="683"/>
      <c r="V133" s="474">
        <f t="shared" si="36"/>
        <v>0</v>
      </c>
      <c r="W133" s="474">
        <f t="shared" si="37"/>
        <v>0</v>
      </c>
      <c r="X133" s="475">
        <f t="shared" si="38"/>
        <v>0</v>
      </c>
      <c r="Y133" s="475">
        <v>0</v>
      </c>
      <c r="Z133" s="476">
        <v>0</v>
      </c>
      <c r="AA133" s="38">
        <f t="shared" si="39"/>
        <v>0</v>
      </c>
      <c r="AB133" s="692">
        <f t="shared" si="40"/>
        <v>4.63</v>
      </c>
      <c r="AC133" s="692">
        <f t="shared" si="41"/>
        <v>0</v>
      </c>
      <c r="AD133" s="692">
        <f t="shared" si="42"/>
        <v>0</v>
      </c>
      <c r="AE133" s="38"/>
      <c r="AF133" s="692">
        <f t="shared" si="43"/>
        <v>0</v>
      </c>
      <c r="AG133" s="692">
        <f t="shared" si="44"/>
        <v>0</v>
      </c>
      <c r="AH133" s="692">
        <f t="shared" si="45"/>
        <v>0</v>
      </c>
      <c r="AJ133" s="38">
        <f t="shared" si="46"/>
        <v>4.63</v>
      </c>
    </row>
    <row r="134" spans="1:36" s="232" customFormat="1">
      <c r="A134" s="283"/>
      <c r="B134" s="283" t="s">
        <v>110</v>
      </c>
      <c r="C134" s="667" t="s">
        <v>555</v>
      </c>
      <c r="D134" s="123" t="s">
        <v>196</v>
      </c>
      <c r="E134" s="679"/>
      <c r="F134" s="529">
        <f>VLOOKUP(D134,'Aug 2012 Revenue'!D:T,17,FALSE)</f>
        <v>0</v>
      </c>
      <c r="G134" s="680"/>
      <c r="H134" s="680"/>
      <c r="I134" s="770">
        <v>140.38</v>
      </c>
      <c r="J134" s="682">
        <f t="shared" si="34"/>
        <v>140.38</v>
      </c>
      <c r="K134" s="683"/>
      <c r="L134" s="684"/>
      <c r="M134" s="753"/>
      <c r="N134" s="683">
        <v>0</v>
      </c>
      <c r="O134" s="686"/>
      <c r="P134" s="683">
        <v>0</v>
      </c>
      <c r="Q134" s="687">
        <f t="shared" si="1"/>
        <v>0</v>
      </c>
      <c r="R134" s="688">
        <v>0</v>
      </c>
      <c r="S134" s="693"/>
      <c r="T134" s="690">
        <f t="shared" si="35"/>
        <v>0</v>
      </c>
      <c r="U134" s="683"/>
      <c r="V134" s="474">
        <f t="shared" si="36"/>
        <v>0</v>
      </c>
      <c r="W134" s="474">
        <f t="shared" si="37"/>
        <v>0</v>
      </c>
      <c r="X134" s="475">
        <f t="shared" si="38"/>
        <v>0</v>
      </c>
      <c r="Y134" s="475">
        <v>0</v>
      </c>
      <c r="Z134" s="476">
        <v>0</v>
      </c>
      <c r="AA134" s="38">
        <f t="shared" si="39"/>
        <v>0</v>
      </c>
      <c r="AB134" s="692">
        <f t="shared" si="40"/>
        <v>140.38</v>
      </c>
      <c r="AC134" s="692">
        <f t="shared" si="41"/>
        <v>0</v>
      </c>
      <c r="AD134" s="692">
        <f t="shared" si="42"/>
        <v>0</v>
      </c>
      <c r="AE134" s="38"/>
      <c r="AF134" s="692">
        <f t="shared" si="43"/>
        <v>0</v>
      </c>
      <c r="AG134" s="692">
        <f t="shared" si="44"/>
        <v>0</v>
      </c>
      <c r="AH134" s="692">
        <f t="shared" si="45"/>
        <v>0</v>
      </c>
      <c r="AJ134" s="38">
        <f t="shared" si="46"/>
        <v>140.38</v>
      </c>
    </row>
    <row r="135" spans="1:36" s="232" customFormat="1">
      <c r="A135" s="283"/>
      <c r="B135" s="283" t="s">
        <v>110</v>
      </c>
      <c r="C135" s="667" t="s">
        <v>555</v>
      </c>
      <c r="D135" s="123" t="s">
        <v>197</v>
      </c>
      <c r="E135" s="679"/>
      <c r="F135" s="529">
        <f>VLOOKUP(D135,'Aug 2012 Revenue'!D:T,17,FALSE)</f>
        <v>0</v>
      </c>
      <c r="G135" s="680"/>
      <c r="H135" s="680"/>
      <c r="I135" s="770">
        <v>2.2799999999999998</v>
      </c>
      <c r="J135" s="682">
        <f t="shared" si="34"/>
        <v>2.2799999999999998</v>
      </c>
      <c r="K135" s="683"/>
      <c r="L135" s="684"/>
      <c r="M135" s="753"/>
      <c r="N135" s="683">
        <v>0</v>
      </c>
      <c r="O135" s="686"/>
      <c r="P135" s="683">
        <v>0</v>
      </c>
      <c r="Q135" s="687">
        <f t="shared" si="1"/>
        <v>0</v>
      </c>
      <c r="R135" s="688">
        <v>0</v>
      </c>
      <c r="S135" s="693"/>
      <c r="T135" s="690">
        <f t="shared" si="35"/>
        <v>0</v>
      </c>
      <c r="U135" s="683"/>
      <c r="V135" s="474">
        <f t="shared" si="36"/>
        <v>0</v>
      </c>
      <c r="W135" s="474">
        <f t="shared" si="37"/>
        <v>0</v>
      </c>
      <c r="X135" s="475">
        <f t="shared" si="38"/>
        <v>0</v>
      </c>
      <c r="Y135" s="475">
        <v>0</v>
      </c>
      <c r="Z135" s="476">
        <v>0</v>
      </c>
      <c r="AA135" s="38">
        <f t="shared" si="39"/>
        <v>0</v>
      </c>
      <c r="AB135" s="692">
        <f t="shared" si="40"/>
        <v>2.2799999999999998</v>
      </c>
      <c r="AC135" s="692">
        <f t="shared" si="41"/>
        <v>0</v>
      </c>
      <c r="AD135" s="692">
        <f t="shared" si="42"/>
        <v>0</v>
      </c>
      <c r="AE135" s="38"/>
      <c r="AF135" s="692">
        <f t="shared" si="43"/>
        <v>0</v>
      </c>
      <c r="AG135" s="692">
        <f t="shared" si="44"/>
        <v>0</v>
      </c>
      <c r="AH135" s="692">
        <f t="shared" si="45"/>
        <v>0</v>
      </c>
      <c r="AJ135" s="38">
        <f t="shared" si="46"/>
        <v>2.2799999999999998</v>
      </c>
    </row>
    <row r="136" spans="1:36" s="232" customFormat="1">
      <c r="A136" s="283"/>
      <c r="B136" s="283" t="s">
        <v>110</v>
      </c>
      <c r="C136" s="667" t="s">
        <v>555</v>
      </c>
      <c r="D136" s="123" t="s">
        <v>440</v>
      </c>
      <c r="E136" s="679"/>
      <c r="F136" s="529">
        <f>VLOOKUP(D136,'Aug 2012 Revenue'!D:T,17,FALSE)</f>
        <v>0</v>
      </c>
      <c r="G136" s="680"/>
      <c r="H136" s="680"/>
      <c r="I136" s="770">
        <f>1293.28+214.87+246.82</f>
        <v>1754.97</v>
      </c>
      <c r="J136" s="682">
        <f t="shared" ref="J136:J185" si="49">SUM(E136:I136)</f>
        <v>1754.97</v>
      </c>
      <c r="K136" s="683"/>
      <c r="L136" s="684"/>
      <c r="M136" s="753"/>
      <c r="N136" s="683">
        <v>0</v>
      </c>
      <c r="O136" s="686"/>
      <c r="P136" s="683">
        <v>0</v>
      </c>
      <c r="Q136" s="687">
        <f t="shared" si="1"/>
        <v>0</v>
      </c>
      <c r="R136" s="688">
        <v>0</v>
      </c>
      <c r="S136" s="693"/>
      <c r="T136" s="690">
        <f t="shared" si="35"/>
        <v>0</v>
      </c>
      <c r="U136" s="683"/>
      <c r="V136" s="474">
        <f t="shared" si="36"/>
        <v>0</v>
      </c>
      <c r="W136" s="474">
        <f t="shared" si="37"/>
        <v>0</v>
      </c>
      <c r="X136" s="475">
        <f t="shared" si="38"/>
        <v>0</v>
      </c>
      <c r="Y136" s="475">
        <v>0</v>
      </c>
      <c r="Z136" s="476">
        <v>0</v>
      </c>
      <c r="AA136" s="38">
        <f t="shared" si="39"/>
        <v>0</v>
      </c>
      <c r="AB136" s="692">
        <f t="shared" si="40"/>
        <v>1754.97</v>
      </c>
      <c r="AC136" s="692">
        <f t="shared" si="41"/>
        <v>0</v>
      </c>
      <c r="AD136" s="692">
        <f t="shared" si="42"/>
        <v>0</v>
      </c>
      <c r="AE136" s="38"/>
      <c r="AF136" s="692">
        <f t="shared" si="43"/>
        <v>0</v>
      </c>
      <c r="AG136" s="692">
        <f t="shared" si="44"/>
        <v>0</v>
      </c>
      <c r="AH136" s="692">
        <f t="shared" si="45"/>
        <v>0</v>
      </c>
      <c r="AJ136" s="38">
        <f t="shared" si="46"/>
        <v>1754.97</v>
      </c>
    </row>
    <row r="137" spans="1:36" s="232" customFormat="1">
      <c r="A137" s="283"/>
      <c r="B137" s="283" t="s">
        <v>110</v>
      </c>
      <c r="C137" s="667" t="s">
        <v>555</v>
      </c>
      <c r="D137" s="123" t="s">
        <v>481</v>
      </c>
      <c r="E137" s="679"/>
      <c r="F137" s="529">
        <f>VLOOKUP(D137,'Aug 2012 Revenue'!D:T,17,FALSE)</f>
        <v>0</v>
      </c>
      <c r="G137" s="680"/>
      <c r="H137" s="680"/>
      <c r="I137" s="770">
        <v>447.81</v>
      </c>
      <c r="J137" s="682">
        <f t="shared" si="49"/>
        <v>447.81</v>
      </c>
      <c r="K137" s="683"/>
      <c r="L137" s="684"/>
      <c r="M137" s="753"/>
      <c r="N137" s="683">
        <v>0</v>
      </c>
      <c r="O137" s="686"/>
      <c r="P137" s="683">
        <v>0</v>
      </c>
      <c r="Q137" s="687">
        <f t="shared" si="1"/>
        <v>0</v>
      </c>
      <c r="R137" s="688">
        <v>0</v>
      </c>
      <c r="S137" s="693"/>
      <c r="T137" s="690">
        <f t="shared" si="35"/>
        <v>0</v>
      </c>
      <c r="U137" s="683"/>
      <c r="V137" s="474">
        <f t="shared" si="36"/>
        <v>0</v>
      </c>
      <c r="W137" s="474">
        <f t="shared" si="37"/>
        <v>0</v>
      </c>
      <c r="X137" s="475">
        <f t="shared" si="38"/>
        <v>0</v>
      </c>
      <c r="Y137" s="475">
        <v>0</v>
      </c>
      <c r="Z137" s="476">
        <v>0</v>
      </c>
      <c r="AA137" s="38">
        <f t="shared" si="39"/>
        <v>0</v>
      </c>
      <c r="AB137" s="692">
        <f t="shared" si="40"/>
        <v>447.81</v>
      </c>
      <c r="AC137" s="692">
        <f t="shared" si="41"/>
        <v>0</v>
      </c>
      <c r="AD137" s="692">
        <f t="shared" si="42"/>
        <v>0</v>
      </c>
      <c r="AE137" s="38"/>
      <c r="AF137" s="692">
        <f t="shared" si="43"/>
        <v>0</v>
      </c>
      <c r="AG137" s="692">
        <f t="shared" si="44"/>
        <v>0</v>
      </c>
      <c r="AH137" s="692">
        <f t="shared" si="45"/>
        <v>0</v>
      </c>
      <c r="AJ137" s="38">
        <f t="shared" si="46"/>
        <v>447.81</v>
      </c>
    </row>
    <row r="138" spans="1:36" s="232" customFormat="1">
      <c r="A138" s="283"/>
      <c r="B138" s="283" t="s">
        <v>109</v>
      </c>
      <c r="C138" s="667" t="s">
        <v>555</v>
      </c>
      <c r="D138" s="123" t="s">
        <v>248</v>
      </c>
      <c r="E138" s="679"/>
      <c r="F138" s="529">
        <f>VLOOKUP(D138,'Aug 2012 Revenue'!D:T,17,FALSE)</f>
        <v>0</v>
      </c>
      <c r="G138" s="680"/>
      <c r="H138" s="680"/>
      <c r="I138" s="755"/>
      <c r="J138" s="682">
        <f t="shared" si="49"/>
        <v>0</v>
      </c>
      <c r="K138" s="683"/>
      <c r="L138" s="684"/>
      <c r="M138" s="753"/>
      <c r="N138" s="683">
        <v>0</v>
      </c>
      <c r="O138" s="686"/>
      <c r="P138" s="683">
        <v>0</v>
      </c>
      <c r="Q138" s="687">
        <f t="shared" si="1"/>
        <v>0</v>
      </c>
      <c r="R138" s="688">
        <v>0</v>
      </c>
      <c r="S138" s="693"/>
      <c r="T138" s="690">
        <f t="shared" si="35"/>
        <v>0</v>
      </c>
      <c r="U138" s="683"/>
      <c r="V138" s="474">
        <f t="shared" si="36"/>
        <v>0</v>
      </c>
      <c r="W138" s="474">
        <f t="shared" si="37"/>
        <v>0</v>
      </c>
      <c r="X138" s="475">
        <f t="shared" si="38"/>
        <v>0</v>
      </c>
      <c r="Y138" s="475">
        <v>0</v>
      </c>
      <c r="Z138" s="476">
        <v>0</v>
      </c>
      <c r="AA138" s="38">
        <f t="shared" si="39"/>
        <v>0</v>
      </c>
      <c r="AB138" s="692">
        <f t="shared" si="40"/>
        <v>0</v>
      </c>
      <c r="AC138" s="692">
        <f t="shared" si="41"/>
        <v>0</v>
      </c>
      <c r="AD138" s="692">
        <f t="shared" si="42"/>
        <v>0</v>
      </c>
      <c r="AE138" s="38"/>
      <c r="AF138" s="692">
        <f t="shared" si="43"/>
        <v>0</v>
      </c>
      <c r="AG138" s="692">
        <f t="shared" si="44"/>
        <v>0</v>
      </c>
      <c r="AH138" s="692">
        <f t="shared" si="45"/>
        <v>0</v>
      </c>
      <c r="AJ138" s="38">
        <f t="shared" si="46"/>
        <v>0</v>
      </c>
    </row>
    <row r="139" spans="1:36" s="232" customFormat="1">
      <c r="A139" s="283"/>
      <c r="B139" s="20" t="s">
        <v>109</v>
      </c>
      <c r="C139" s="667"/>
      <c r="D139" s="68" t="s">
        <v>465</v>
      </c>
      <c r="E139" s="679"/>
      <c r="F139" s="529">
        <f>VLOOKUP(D139,'Aug 2012 Revenue'!D:T,17,FALSE)</f>
        <v>-15000</v>
      </c>
      <c r="G139" s="680"/>
      <c r="H139" s="680"/>
      <c r="I139" s="755"/>
      <c r="J139" s="682">
        <f t="shared" si="49"/>
        <v>-15000</v>
      </c>
      <c r="K139" s="683"/>
      <c r="L139" s="684"/>
      <c r="M139" s="753">
        <v>20000</v>
      </c>
      <c r="N139" s="683">
        <v>0</v>
      </c>
      <c r="O139" s="686"/>
      <c r="P139" s="683">
        <v>0</v>
      </c>
      <c r="Q139" s="687">
        <f t="shared" si="1"/>
        <v>20000</v>
      </c>
      <c r="R139" s="688">
        <v>0</v>
      </c>
      <c r="S139" s="693"/>
      <c r="T139" s="690">
        <f t="shared" si="35"/>
        <v>-20000</v>
      </c>
      <c r="U139" s="683"/>
      <c r="V139" s="474">
        <f t="shared" si="36"/>
        <v>0</v>
      </c>
      <c r="W139" s="474">
        <f t="shared" si="37"/>
        <v>20000</v>
      </c>
      <c r="X139" s="475">
        <f t="shared" si="38"/>
        <v>0</v>
      </c>
      <c r="Y139" s="475">
        <v>0</v>
      </c>
      <c r="Z139" s="476">
        <v>0</v>
      </c>
      <c r="AA139" s="38">
        <f t="shared" si="39"/>
        <v>0</v>
      </c>
      <c r="AB139" s="692">
        <f t="shared" si="40"/>
        <v>0</v>
      </c>
      <c r="AC139" s="692">
        <f t="shared" si="41"/>
        <v>-15000</v>
      </c>
      <c r="AD139" s="692">
        <f t="shared" si="42"/>
        <v>0</v>
      </c>
      <c r="AE139" s="38"/>
      <c r="AF139" s="692">
        <f t="shared" si="43"/>
        <v>0</v>
      </c>
      <c r="AG139" s="692">
        <f t="shared" si="44"/>
        <v>20000</v>
      </c>
      <c r="AH139" s="692">
        <f t="shared" si="45"/>
        <v>0</v>
      </c>
      <c r="AJ139" s="38">
        <f t="shared" si="46"/>
        <v>5000</v>
      </c>
    </row>
    <row r="140" spans="1:36">
      <c r="A140" s="21"/>
      <c r="B140" s="21" t="s">
        <v>110</v>
      </c>
      <c r="C140" s="666" t="s">
        <v>556</v>
      </c>
      <c r="D140" s="68" t="s">
        <v>261</v>
      </c>
      <c r="E140" s="679"/>
      <c r="F140" s="529">
        <f>VLOOKUP(D140,'Aug 2012 Revenue'!D:T,17,FALSE)</f>
        <v>6195</v>
      </c>
      <c r="G140" s="680"/>
      <c r="H140" s="680"/>
      <c r="I140" s="755"/>
      <c r="J140" s="682">
        <f t="shared" si="49"/>
        <v>6195</v>
      </c>
      <c r="K140" s="683"/>
      <c r="L140" s="684"/>
      <c r="M140" s="753">
        <v>90000</v>
      </c>
      <c r="N140" s="683">
        <v>0</v>
      </c>
      <c r="O140" s="686"/>
      <c r="P140" s="683">
        <v>0</v>
      </c>
      <c r="Q140" s="687">
        <f t="shared" si="1"/>
        <v>90000</v>
      </c>
      <c r="R140" s="688">
        <f>95701.09-R141</f>
        <v>86482.069999999992</v>
      </c>
      <c r="S140" s="693"/>
      <c r="T140" s="690">
        <f t="shared" si="35"/>
        <v>-3517.9300000000076</v>
      </c>
      <c r="U140" s="683"/>
      <c r="V140" s="474">
        <f t="shared" si="36"/>
        <v>90000</v>
      </c>
      <c r="W140" s="474">
        <f t="shared" si="37"/>
        <v>0</v>
      </c>
      <c r="X140" s="475">
        <f t="shared" si="38"/>
        <v>0</v>
      </c>
      <c r="Y140" s="475">
        <v>0</v>
      </c>
      <c r="Z140" s="476">
        <v>0</v>
      </c>
      <c r="AA140" s="38">
        <f t="shared" si="39"/>
        <v>0</v>
      </c>
      <c r="AB140" s="692">
        <f t="shared" si="40"/>
        <v>6195</v>
      </c>
      <c r="AC140" s="692">
        <f t="shared" si="41"/>
        <v>0</v>
      </c>
      <c r="AD140" s="692">
        <f t="shared" si="42"/>
        <v>0</v>
      </c>
      <c r="AE140" s="38"/>
      <c r="AF140" s="692">
        <f t="shared" si="43"/>
        <v>90000</v>
      </c>
      <c r="AG140" s="692">
        <f t="shared" si="44"/>
        <v>0</v>
      </c>
      <c r="AH140" s="692">
        <f t="shared" si="45"/>
        <v>0</v>
      </c>
      <c r="AJ140" s="38">
        <f t="shared" si="46"/>
        <v>96195</v>
      </c>
    </row>
    <row r="141" spans="1:36" s="269" customFormat="1">
      <c r="A141" s="21"/>
      <c r="B141" s="21" t="s">
        <v>110</v>
      </c>
      <c r="C141" s="666" t="s">
        <v>556</v>
      </c>
      <c r="D141" s="68" t="s">
        <v>262</v>
      </c>
      <c r="E141" s="679"/>
      <c r="F141" s="529">
        <f>VLOOKUP(D141,'Aug 2012 Revenue'!D:T,17,FALSE)</f>
        <v>-623.15999999999985</v>
      </c>
      <c r="G141" s="680"/>
      <c r="H141" s="680"/>
      <c r="I141" s="755"/>
      <c r="J141" s="682">
        <f t="shared" si="49"/>
        <v>-623.15999999999985</v>
      </c>
      <c r="K141" s="683"/>
      <c r="L141" s="684"/>
      <c r="M141" s="753">
        <v>10000</v>
      </c>
      <c r="N141" s="683">
        <v>0</v>
      </c>
      <c r="O141" s="686"/>
      <c r="P141" s="683">
        <v>0</v>
      </c>
      <c r="Q141" s="687">
        <f t="shared" si="1"/>
        <v>10000</v>
      </c>
      <c r="R141" s="688">
        <v>9219.02</v>
      </c>
      <c r="S141" s="693"/>
      <c r="T141" s="690">
        <f t="shared" si="35"/>
        <v>-780.97999999999956</v>
      </c>
      <c r="U141" s="683"/>
      <c r="V141" s="474">
        <f t="shared" si="36"/>
        <v>10000</v>
      </c>
      <c r="W141" s="474">
        <f t="shared" si="37"/>
        <v>0</v>
      </c>
      <c r="X141" s="475">
        <f t="shared" si="38"/>
        <v>0</v>
      </c>
      <c r="Y141" s="475">
        <v>0</v>
      </c>
      <c r="Z141" s="476">
        <v>0</v>
      </c>
      <c r="AA141" s="38">
        <f t="shared" si="39"/>
        <v>0</v>
      </c>
      <c r="AB141" s="692">
        <f t="shared" si="40"/>
        <v>-623.15999999999985</v>
      </c>
      <c r="AC141" s="692">
        <f t="shared" si="41"/>
        <v>0</v>
      </c>
      <c r="AD141" s="692">
        <f t="shared" si="42"/>
        <v>0</v>
      </c>
      <c r="AE141" s="38"/>
      <c r="AF141" s="692">
        <f t="shared" si="43"/>
        <v>10000</v>
      </c>
      <c r="AG141" s="692">
        <f t="shared" si="44"/>
        <v>0</v>
      </c>
      <c r="AH141" s="692">
        <f t="shared" si="45"/>
        <v>0</v>
      </c>
      <c r="AJ141" s="38">
        <f t="shared" si="46"/>
        <v>9376.84</v>
      </c>
    </row>
    <row r="142" spans="1:36" s="269" customFormat="1">
      <c r="A142" s="21"/>
      <c r="B142" s="21" t="s">
        <v>114</v>
      </c>
      <c r="C142" s="675" t="s">
        <v>619</v>
      </c>
      <c r="D142" s="68" t="s">
        <v>626</v>
      </c>
      <c r="E142" s="679"/>
      <c r="F142" s="529">
        <f>VLOOKUP(D142,'Aug 2012 Revenue'!D:T,17,FALSE)</f>
        <v>0</v>
      </c>
      <c r="G142" s="680"/>
      <c r="H142" s="680"/>
      <c r="I142" s="770">
        <v>4815.72</v>
      </c>
      <c r="J142" s="682">
        <f t="shared" ref="J142" si="50">SUM(E142:I142)</f>
        <v>4815.72</v>
      </c>
      <c r="K142" s="683"/>
      <c r="L142" s="684"/>
      <c r="M142" s="753"/>
      <c r="N142" s="683">
        <v>0</v>
      </c>
      <c r="O142" s="686"/>
      <c r="P142" s="683">
        <v>0</v>
      </c>
      <c r="Q142" s="687">
        <f t="shared" ref="Q142:Q206" si="51">L142+M142</f>
        <v>0</v>
      </c>
      <c r="R142" s="688">
        <v>0</v>
      </c>
      <c r="S142" s="693"/>
      <c r="T142" s="690">
        <f t="shared" si="35"/>
        <v>0</v>
      </c>
      <c r="U142" s="683"/>
      <c r="V142" s="474">
        <f t="shared" si="36"/>
        <v>0</v>
      </c>
      <c r="W142" s="474">
        <f t="shared" si="37"/>
        <v>0</v>
      </c>
      <c r="X142" s="475">
        <f t="shared" si="38"/>
        <v>0</v>
      </c>
      <c r="Y142" s="475">
        <v>0</v>
      </c>
      <c r="Z142" s="476">
        <v>0</v>
      </c>
      <c r="AA142" s="38">
        <f t="shared" si="39"/>
        <v>0</v>
      </c>
      <c r="AB142" s="692">
        <f t="shared" si="40"/>
        <v>0</v>
      </c>
      <c r="AC142" s="692">
        <f t="shared" si="41"/>
        <v>0</v>
      </c>
      <c r="AD142" s="692">
        <f t="shared" si="42"/>
        <v>4815.72</v>
      </c>
      <c r="AE142" s="38"/>
      <c r="AF142" s="692">
        <f t="shared" si="43"/>
        <v>0</v>
      </c>
      <c r="AG142" s="692">
        <f t="shared" si="44"/>
        <v>0</v>
      </c>
      <c r="AH142" s="692">
        <f t="shared" si="45"/>
        <v>0</v>
      </c>
      <c r="AJ142" s="38">
        <f t="shared" si="46"/>
        <v>4815.72</v>
      </c>
    </row>
    <row r="143" spans="1:36">
      <c r="A143" s="21"/>
      <c r="B143" s="21" t="s">
        <v>109</v>
      </c>
      <c r="C143" s="666"/>
      <c r="D143" s="68" t="s">
        <v>396</v>
      </c>
      <c r="E143" s="679">
        <v>7.43</v>
      </c>
      <c r="F143" s="529">
        <f>VLOOKUP(D143,'Aug 2012 Revenue'!D:T,17,FALSE)</f>
        <v>14.29</v>
      </c>
      <c r="G143" s="680"/>
      <c r="H143" s="680"/>
      <c r="I143" s="755"/>
      <c r="J143" s="682">
        <f t="shared" si="49"/>
        <v>21.72</v>
      </c>
      <c r="K143" s="683"/>
      <c r="L143" s="684"/>
      <c r="M143" s="753"/>
      <c r="N143" s="683">
        <v>0</v>
      </c>
      <c r="O143" s="686"/>
      <c r="P143" s="683">
        <v>0</v>
      </c>
      <c r="Q143" s="687">
        <f t="shared" si="51"/>
        <v>0</v>
      </c>
      <c r="R143" s="688">
        <v>10.37</v>
      </c>
      <c r="S143" s="693"/>
      <c r="T143" s="690">
        <f t="shared" si="35"/>
        <v>10.37</v>
      </c>
      <c r="U143" s="683"/>
      <c r="V143" s="474">
        <f t="shared" si="36"/>
        <v>0</v>
      </c>
      <c r="W143" s="474">
        <f t="shared" si="37"/>
        <v>0</v>
      </c>
      <c r="X143" s="475">
        <f t="shared" si="38"/>
        <v>0</v>
      </c>
      <c r="Y143" s="475">
        <v>0</v>
      </c>
      <c r="Z143" s="476">
        <v>0</v>
      </c>
      <c r="AA143" s="38">
        <f t="shared" si="39"/>
        <v>0</v>
      </c>
      <c r="AB143" s="692">
        <f t="shared" si="40"/>
        <v>0</v>
      </c>
      <c r="AC143" s="692">
        <f t="shared" si="41"/>
        <v>21.72</v>
      </c>
      <c r="AD143" s="692">
        <f t="shared" si="42"/>
        <v>0</v>
      </c>
      <c r="AE143" s="38"/>
      <c r="AF143" s="692">
        <f t="shared" si="43"/>
        <v>0</v>
      </c>
      <c r="AG143" s="692">
        <f t="shared" si="44"/>
        <v>0</v>
      </c>
      <c r="AH143" s="692">
        <f t="shared" si="45"/>
        <v>0</v>
      </c>
      <c r="AJ143" s="38">
        <f t="shared" si="46"/>
        <v>21.72</v>
      </c>
    </row>
    <row r="144" spans="1:36">
      <c r="A144" s="20"/>
      <c r="B144" s="20" t="s">
        <v>109</v>
      </c>
      <c r="C144" s="667" t="s">
        <v>557</v>
      </c>
      <c r="D144" s="68" t="s">
        <v>32</v>
      </c>
      <c r="E144" s="679"/>
      <c r="F144" s="529">
        <f>VLOOKUP(D144,'Aug 2012 Revenue'!D:T,17,FALSE)</f>
        <v>61.95</v>
      </c>
      <c r="G144" s="680"/>
      <c r="H144" s="680"/>
      <c r="I144" s="755"/>
      <c r="J144" s="682">
        <f t="shared" si="49"/>
        <v>61.95</v>
      </c>
      <c r="K144" s="683"/>
      <c r="L144" s="684"/>
      <c r="M144" s="753"/>
      <c r="N144" s="683">
        <v>0</v>
      </c>
      <c r="O144" s="686"/>
      <c r="P144" s="683">
        <v>0</v>
      </c>
      <c r="Q144" s="687">
        <f t="shared" si="51"/>
        <v>0</v>
      </c>
      <c r="R144" s="688">
        <v>0</v>
      </c>
      <c r="S144" s="693"/>
      <c r="T144" s="690">
        <f t="shared" si="35"/>
        <v>0</v>
      </c>
      <c r="U144" s="683"/>
      <c r="V144" s="474">
        <f t="shared" si="36"/>
        <v>0</v>
      </c>
      <c r="W144" s="474">
        <f t="shared" si="37"/>
        <v>0</v>
      </c>
      <c r="X144" s="475">
        <f t="shared" si="38"/>
        <v>0</v>
      </c>
      <c r="Y144" s="475">
        <v>0</v>
      </c>
      <c r="Z144" s="476">
        <v>0</v>
      </c>
      <c r="AA144" s="38">
        <f t="shared" si="39"/>
        <v>0</v>
      </c>
      <c r="AB144" s="692">
        <f t="shared" si="40"/>
        <v>0</v>
      </c>
      <c r="AC144" s="692">
        <f t="shared" si="41"/>
        <v>61.95</v>
      </c>
      <c r="AD144" s="692">
        <f t="shared" si="42"/>
        <v>0</v>
      </c>
      <c r="AE144" s="38"/>
      <c r="AF144" s="692">
        <f t="shared" si="43"/>
        <v>0</v>
      </c>
      <c r="AG144" s="692">
        <f t="shared" si="44"/>
        <v>0</v>
      </c>
      <c r="AH144" s="692">
        <f t="shared" si="45"/>
        <v>0</v>
      </c>
      <c r="AJ144" s="38">
        <f t="shared" si="46"/>
        <v>61.95</v>
      </c>
    </row>
    <row r="145" spans="1:36">
      <c r="A145" s="21"/>
      <c r="B145" s="21" t="s">
        <v>110</v>
      </c>
      <c r="C145" s="666"/>
      <c r="D145" s="68" t="s">
        <v>448</v>
      </c>
      <c r="E145" s="679"/>
      <c r="F145" s="529">
        <f>VLOOKUP(D145,'Aug 2012 Revenue'!D:T,17,FALSE)</f>
        <v>0</v>
      </c>
      <c r="G145" s="680"/>
      <c r="H145" s="680"/>
      <c r="I145" s="755"/>
      <c r="J145" s="682">
        <f t="shared" si="49"/>
        <v>0</v>
      </c>
      <c r="K145" s="683"/>
      <c r="L145" s="684"/>
      <c r="M145" s="753"/>
      <c r="N145" s="683">
        <v>0</v>
      </c>
      <c r="O145" s="686"/>
      <c r="P145" s="683">
        <v>0</v>
      </c>
      <c r="Q145" s="687">
        <f t="shared" si="51"/>
        <v>0</v>
      </c>
      <c r="R145" s="688">
        <v>0</v>
      </c>
      <c r="S145" s="693"/>
      <c r="T145" s="690">
        <f t="shared" si="35"/>
        <v>0</v>
      </c>
      <c r="U145" s="683"/>
      <c r="V145" s="474">
        <f t="shared" si="36"/>
        <v>0</v>
      </c>
      <c r="W145" s="474">
        <f t="shared" si="37"/>
        <v>0</v>
      </c>
      <c r="X145" s="475">
        <f t="shared" si="38"/>
        <v>0</v>
      </c>
      <c r="Y145" s="475">
        <v>0</v>
      </c>
      <c r="Z145" s="476">
        <v>0</v>
      </c>
      <c r="AA145" s="38">
        <f t="shared" si="39"/>
        <v>0</v>
      </c>
      <c r="AB145" s="692">
        <f t="shared" si="40"/>
        <v>0</v>
      </c>
      <c r="AC145" s="692">
        <f t="shared" si="41"/>
        <v>0</v>
      </c>
      <c r="AD145" s="692">
        <f t="shared" si="42"/>
        <v>0</v>
      </c>
      <c r="AE145" s="38"/>
      <c r="AF145" s="692">
        <f t="shared" si="43"/>
        <v>0</v>
      </c>
      <c r="AG145" s="692">
        <f t="shared" si="44"/>
        <v>0</v>
      </c>
      <c r="AH145" s="692">
        <f t="shared" si="45"/>
        <v>0</v>
      </c>
      <c r="AJ145" s="38">
        <f t="shared" si="46"/>
        <v>0</v>
      </c>
    </row>
    <row r="146" spans="1:36">
      <c r="A146" s="21"/>
      <c r="B146" s="21" t="s">
        <v>110</v>
      </c>
      <c r="C146" s="666" t="s">
        <v>558</v>
      </c>
      <c r="D146" s="68" t="s">
        <v>122</v>
      </c>
      <c r="E146" s="679">
        <f>1488.78+1859.37+2312.52+1870.09</f>
        <v>7530.76</v>
      </c>
      <c r="F146" s="529">
        <f>VLOOKUP(D146,'Aug 2012 Revenue'!D:T,17,FALSE)</f>
        <v>-18000</v>
      </c>
      <c r="G146" s="680"/>
      <c r="H146" s="680"/>
      <c r="I146" s="755"/>
      <c r="J146" s="682">
        <f t="shared" si="49"/>
        <v>-10469.24</v>
      </c>
      <c r="K146" s="683"/>
      <c r="L146" s="684"/>
      <c r="M146" s="753">
        <v>8000</v>
      </c>
      <c r="N146" s="683">
        <v>0</v>
      </c>
      <c r="O146" s="686"/>
      <c r="P146" s="683">
        <v>0</v>
      </c>
      <c r="Q146" s="687">
        <f t="shared" si="51"/>
        <v>8000</v>
      </c>
      <c r="R146" s="688">
        <v>0</v>
      </c>
      <c r="S146" s="693"/>
      <c r="T146" s="690">
        <f t="shared" ref="T146:T209" si="52">IF(R146="","",R146-Q146)</f>
        <v>-8000</v>
      </c>
      <c r="U146" s="683"/>
      <c r="V146" s="474">
        <f t="shared" ref="V146:V210" si="53">IF(B146="D",Q146,0)</f>
        <v>8000</v>
      </c>
      <c r="W146" s="474">
        <f t="shared" ref="W146:W210" si="54">IF(B146="M",Q146,0)</f>
        <v>0</v>
      </c>
      <c r="X146" s="475">
        <f t="shared" ref="X146:X210" si="55">IF(B146="V",Q146,0)</f>
        <v>0</v>
      </c>
      <c r="Y146" s="475">
        <v>0</v>
      </c>
      <c r="Z146" s="476">
        <v>0</v>
      </c>
      <c r="AA146" s="38">
        <f t="shared" ref="AA146:AA191" si="56">(L146+M146)-(V146+W146+X146+Y146+Z146)</f>
        <v>0</v>
      </c>
      <c r="AB146" s="692">
        <f t="shared" si="40"/>
        <v>-10469.24</v>
      </c>
      <c r="AC146" s="692">
        <f t="shared" si="41"/>
        <v>0</v>
      </c>
      <c r="AD146" s="692">
        <f t="shared" si="42"/>
        <v>0</v>
      </c>
      <c r="AE146" s="38"/>
      <c r="AF146" s="692">
        <f t="shared" si="43"/>
        <v>8000</v>
      </c>
      <c r="AG146" s="692">
        <f t="shared" si="44"/>
        <v>0</v>
      </c>
      <c r="AH146" s="692">
        <f t="shared" si="45"/>
        <v>0</v>
      </c>
      <c r="AJ146" s="38">
        <f t="shared" si="46"/>
        <v>-2469.2399999999998</v>
      </c>
    </row>
    <row r="147" spans="1:36">
      <c r="A147" s="21"/>
      <c r="B147" s="21" t="s">
        <v>114</v>
      </c>
      <c r="C147" s="666" t="s">
        <v>558</v>
      </c>
      <c r="D147" s="68" t="s">
        <v>629</v>
      </c>
      <c r="E147" s="679">
        <f>4.68+3.88+2.96+1.3</f>
        <v>12.82</v>
      </c>
      <c r="F147" s="529">
        <f>VLOOKUP(D147,'Aug 2012 Revenue'!D:T,17,FALSE)</f>
        <v>0</v>
      </c>
      <c r="G147" s="680"/>
      <c r="H147" s="680"/>
      <c r="I147" s="755"/>
      <c r="J147" s="682">
        <f t="shared" ref="J147" si="57">SUM(E147:I147)</f>
        <v>12.82</v>
      </c>
      <c r="K147" s="683"/>
      <c r="L147" s="684"/>
      <c r="M147" s="753"/>
      <c r="N147" s="683">
        <v>0</v>
      </c>
      <c r="O147" s="686"/>
      <c r="P147" s="683">
        <v>0</v>
      </c>
      <c r="Q147" s="687">
        <f t="shared" si="51"/>
        <v>0</v>
      </c>
      <c r="R147" s="688">
        <v>0</v>
      </c>
      <c r="S147" s="693"/>
      <c r="T147" s="690">
        <f t="shared" si="52"/>
        <v>0</v>
      </c>
      <c r="U147" s="683"/>
      <c r="V147" s="474">
        <f t="shared" si="53"/>
        <v>0</v>
      </c>
      <c r="W147" s="474">
        <f t="shared" si="54"/>
        <v>0</v>
      </c>
      <c r="X147" s="475">
        <f t="shared" si="55"/>
        <v>0</v>
      </c>
      <c r="Y147" s="475">
        <v>0</v>
      </c>
      <c r="Z147" s="476">
        <v>0</v>
      </c>
      <c r="AA147" s="38">
        <f t="shared" si="56"/>
        <v>0</v>
      </c>
      <c r="AB147" s="692">
        <f t="shared" ref="AB147:AB210" si="58">IF(B147="D",J147,0)</f>
        <v>0</v>
      </c>
      <c r="AC147" s="692">
        <f t="shared" ref="AC147:AC210" si="59">IF(B147="M",J147,0)</f>
        <v>0</v>
      </c>
      <c r="AD147" s="692">
        <f t="shared" ref="AD147:AD210" si="60">IF(B147="V",J147,0)</f>
        <v>12.82</v>
      </c>
      <c r="AE147" s="38"/>
      <c r="AF147" s="692">
        <f t="shared" ref="AF147:AF210" si="61">IF(B147="D",Q147,0)</f>
        <v>0</v>
      </c>
      <c r="AG147" s="692">
        <f t="shared" ref="AG147:AG210" si="62">IF(B147="M",Q147,0)</f>
        <v>0</v>
      </c>
      <c r="AH147" s="692">
        <f t="shared" ref="AH147:AH210" si="63">IF(B147="V",Q147,0)</f>
        <v>0</v>
      </c>
      <c r="AJ147" s="38">
        <f t="shared" ref="AJ147:AJ210" si="64">SUM(AB147:AH147)</f>
        <v>12.82</v>
      </c>
    </row>
    <row r="148" spans="1:36">
      <c r="A148" s="21"/>
      <c r="B148" s="21" t="s">
        <v>109</v>
      </c>
      <c r="C148" s="666" t="s">
        <v>559</v>
      </c>
      <c r="D148" s="68" t="s">
        <v>33</v>
      </c>
      <c r="E148" s="679"/>
      <c r="F148" s="529">
        <f>VLOOKUP(D148,'Aug 2012 Revenue'!D:T,17,FALSE)</f>
        <v>-1065.3000000000002</v>
      </c>
      <c r="G148" s="680"/>
      <c r="H148" s="680"/>
      <c r="I148" s="770">
        <v>2804</v>
      </c>
      <c r="J148" s="682">
        <f t="shared" si="49"/>
        <v>1738.6999999999998</v>
      </c>
      <c r="K148" s="683"/>
      <c r="L148" s="684"/>
      <c r="M148" s="753"/>
      <c r="N148" s="683">
        <v>0</v>
      </c>
      <c r="O148" s="686"/>
      <c r="P148" s="683">
        <v>0</v>
      </c>
      <c r="Q148" s="687">
        <f t="shared" si="51"/>
        <v>0</v>
      </c>
      <c r="R148" s="688">
        <v>0</v>
      </c>
      <c r="S148" s="693"/>
      <c r="T148" s="690">
        <f t="shared" si="52"/>
        <v>0</v>
      </c>
      <c r="U148" s="683"/>
      <c r="V148" s="474">
        <f t="shared" si="53"/>
        <v>0</v>
      </c>
      <c r="W148" s="474">
        <f t="shared" si="54"/>
        <v>0</v>
      </c>
      <c r="X148" s="475">
        <f t="shared" si="55"/>
        <v>0</v>
      </c>
      <c r="Y148" s="475">
        <v>0</v>
      </c>
      <c r="Z148" s="476">
        <v>0</v>
      </c>
      <c r="AA148" s="38">
        <f t="shared" si="56"/>
        <v>0</v>
      </c>
      <c r="AB148" s="692">
        <f t="shared" si="58"/>
        <v>0</v>
      </c>
      <c r="AC148" s="692">
        <f t="shared" si="59"/>
        <v>1738.6999999999998</v>
      </c>
      <c r="AD148" s="692">
        <f t="shared" si="60"/>
        <v>0</v>
      </c>
      <c r="AE148" s="38"/>
      <c r="AF148" s="692">
        <f t="shared" si="61"/>
        <v>0</v>
      </c>
      <c r="AG148" s="692">
        <f t="shared" si="62"/>
        <v>0</v>
      </c>
      <c r="AH148" s="692">
        <f t="shared" si="63"/>
        <v>0</v>
      </c>
      <c r="AJ148" s="38">
        <f t="shared" si="64"/>
        <v>1738.6999999999998</v>
      </c>
    </row>
    <row r="149" spans="1:36">
      <c r="A149" s="21"/>
      <c r="B149" s="21" t="s">
        <v>109</v>
      </c>
      <c r="C149" s="666" t="s">
        <v>560</v>
      </c>
      <c r="D149" s="68" t="s">
        <v>379</v>
      </c>
      <c r="E149" s="679"/>
      <c r="F149" s="529">
        <f>VLOOKUP(D149,'Aug 2012 Revenue'!D:T,17,FALSE)</f>
        <v>119.15</v>
      </c>
      <c r="G149" s="680"/>
      <c r="H149" s="680"/>
      <c r="I149" s="755"/>
      <c r="J149" s="682">
        <f t="shared" si="49"/>
        <v>119.15</v>
      </c>
      <c r="K149" s="683"/>
      <c r="L149" s="684"/>
      <c r="M149" s="753"/>
      <c r="N149" s="683">
        <v>0</v>
      </c>
      <c r="O149" s="686"/>
      <c r="P149" s="683">
        <v>0</v>
      </c>
      <c r="Q149" s="687">
        <f t="shared" si="51"/>
        <v>0</v>
      </c>
      <c r="R149" s="688">
        <v>250.24</v>
      </c>
      <c r="S149" s="693"/>
      <c r="T149" s="690">
        <f t="shared" si="52"/>
        <v>250.24</v>
      </c>
      <c r="U149" s="683"/>
      <c r="V149" s="474">
        <f t="shared" si="53"/>
        <v>0</v>
      </c>
      <c r="W149" s="474">
        <f t="shared" si="54"/>
        <v>0</v>
      </c>
      <c r="X149" s="475">
        <f t="shared" si="55"/>
        <v>0</v>
      </c>
      <c r="Y149" s="475">
        <v>0</v>
      </c>
      <c r="Z149" s="476">
        <v>0</v>
      </c>
      <c r="AA149" s="38">
        <f t="shared" si="56"/>
        <v>0</v>
      </c>
      <c r="AB149" s="692">
        <f t="shared" si="58"/>
        <v>0</v>
      </c>
      <c r="AC149" s="692">
        <f t="shared" si="59"/>
        <v>119.15</v>
      </c>
      <c r="AD149" s="692">
        <f t="shared" si="60"/>
        <v>0</v>
      </c>
      <c r="AE149" s="38"/>
      <c r="AF149" s="692">
        <f t="shared" si="61"/>
        <v>0</v>
      </c>
      <c r="AG149" s="692">
        <f t="shared" si="62"/>
        <v>0</v>
      </c>
      <c r="AH149" s="692">
        <f t="shared" si="63"/>
        <v>0</v>
      </c>
      <c r="AJ149" s="38">
        <f t="shared" si="64"/>
        <v>119.15</v>
      </c>
    </row>
    <row r="150" spans="1:36" s="232" customFormat="1">
      <c r="A150" s="283"/>
      <c r="B150" s="283" t="s">
        <v>114</v>
      </c>
      <c r="C150" s="667"/>
      <c r="D150" s="500" t="s">
        <v>408</v>
      </c>
      <c r="E150" s="679">
        <f>9087.5*2</f>
        <v>18175</v>
      </c>
      <c r="F150" s="529">
        <f>VLOOKUP(D150,'Aug 2012 Revenue'!D:T,17,FALSE)</f>
        <v>-18175</v>
      </c>
      <c r="G150" s="680"/>
      <c r="H150" s="680"/>
      <c r="I150" s="770">
        <v>9087.5</v>
      </c>
      <c r="J150" s="682">
        <f t="shared" si="49"/>
        <v>9087.5</v>
      </c>
      <c r="K150" s="683"/>
      <c r="L150" s="684"/>
      <c r="M150" s="753"/>
      <c r="N150" s="683">
        <v>0</v>
      </c>
      <c r="O150" s="686"/>
      <c r="P150" s="683">
        <v>0</v>
      </c>
      <c r="Q150" s="687">
        <f t="shared" si="51"/>
        <v>0</v>
      </c>
      <c r="R150" s="688">
        <v>0</v>
      </c>
      <c r="S150" s="693"/>
      <c r="T150" s="690">
        <f t="shared" si="52"/>
        <v>0</v>
      </c>
      <c r="U150" s="683"/>
      <c r="V150" s="474">
        <f t="shared" si="53"/>
        <v>0</v>
      </c>
      <c r="W150" s="474">
        <f t="shared" si="54"/>
        <v>0</v>
      </c>
      <c r="X150" s="475">
        <f t="shared" si="55"/>
        <v>0</v>
      </c>
      <c r="Y150" s="475">
        <v>0</v>
      </c>
      <c r="Z150" s="476">
        <v>0</v>
      </c>
      <c r="AA150" s="38">
        <f t="shared" si="56"/>
        <v>0</v>
      </c>
      <c r="AB150" s="692">
        <f t="shared" si="58"/>
        <v>0</v>
      </c>
      <c r="AC150" s="692">
        <f t="shared" si="59"/>
        <v>0</v>
      </c>
      <c r="AD150" s="692">
        <f t="shared" si="60"/>
        <v>9087.5</v>
      </c>
      <c r="AE150" s="38"/>
      <c r="AF150" s="692">
        <f t="shared" si="61"/>
        <v>0</v>
      </c>
      <c r="AG150" s="692">
        <f t="shared" si="62"/>
        <v>0</v>
      </c>
      <c r="AH150" s="692">
        <f t="shared" si="63"/>
        <v>0</v>
      </c>
      <c r="AJ150" s="38">
        <f t="shared" si="64"/>
        <v>9087.5</v>
      </c>
    </row>
    <row r="151" spans="1:36" s="232" customFormat="1">
      <c r="A151" s="283"/>
      <c r="B151" s="283" t="s">
        <v>110</v>
      </c>
      <c r="C151" s="667"/>
      <c r="D151" s="567" t="s">
        <v>445</v>
      </c>
      <c r="E151" s="679"/>
      <c r="F151" s="529">
        <f>VLOOKUP(D151,'Aug 2012 Revenue'!D:T,17,FALSE)</f>
        <v>0</v>
      </c>
      <c r="G151" s="680"/>
      <c r="H151" s="680"/>
      <c r="I151" s="755"/>
      <c r="J151" s="682">
        <f t="shared" si="49"/>
        <v>0</v>
      </c>
      <c r="K151" s="683"/>
      <c r="L151" s="684"/>
      <c r="M151" s="753"/>
      <c r="N151" s="683">
        <v>0</v>
      </c>
      <c r="O151" s="686"/>
      <c r="P151" s="683">
        <v>0</v>
      </c>
      <c r="Q151" s="687">
        <f t="shared" si="51"/>
        <v>0</v>
      </c>
      <c r="R151" s="688">
        <v>0</v>
      </c>
      <c r="S151" s="693"/>
      <c r="T151" s="690">
        <f t="shared" si="52"/>
        <v>0</v>
      </c>
      <c r="U151" s="683"/>
      <c r="V151" s="474">
        <f t="shared" si="53"/>
        <v>0</v>
      </c>
      <c r="W151" s="474">
        <f t="shared" si="54"/>
        <v>0</v>
      </c>
      <c r="X151" s="475">
        <f t="shared" si="55"/>
        <v>0</v>
      </c>
      <c r="Y151" s="475">
        <v>0</v>
      </c>
      <c r="Z151" s="476">
        <v>0</v>
      </c>
      <c r="AA151" s="38">
        <f t="shared" si="56"/>
        <v>0</v>
      </c>
      <c r="AB151" s="692">
        <f t="shared" si="58"/>
        <v>0</v>
      </c>
      <c r="AC151" s="692">
        <f t="shared" si="59"/>
        <v>0</v>
      </c>
      <c r="AD151" s="692">
        <f t="shared" si="60"/>
        <v>0</v>
      </c>
      <c r="AE151" s="38"/>
      <c r="AF151" s="692">
        <f t="shared" si="61"/>
        <v>0</v>
      </c>
      <c r="AG151" s="692">
        <f t="shared" si="62"/>
        <v>0</v>
      </c>
      <c r="AH151" s="692">
        <f t="shared" si="63"/>
        <v>0</v>
      </c>
      <c r="AJ151" s="38">
        <f t="shared" si="64"/>
        <v>0</v>
      </c>
    </row>
    <row r="152" spans="1:36" s="232" customFormat="1">
      <c r="A152" s="283"/>
      <c r="B152" s="283" t="s">
        <v>109</v>
      </c>
      <c r="C152" s="667" t="s">
        <v>562</v>
      </c>
      <c r="D152" s="567" t="s">
        <v>480</v>
      </c>
      <c r="E152" s="679"/>
      <c r="F152" s="529">
        <f>VLOOKUP(D152,'Aug 2012 Revenue'!D:T,17,FALSE)</f>
        <v>0</v>
      </c>
      <c r="G152" s="680"/>
      <c r="H152" s="680"/>
      <c r="I152" s="755"/>
      <c r="J152" s="682">
        <f t="shared" si="49"/>
        <v>0</v>
      </c>
      <c r="K152" s="683"/>
      <c r="L152" s="684"/>
      <c r="M152" s="753">
        <v>10000</v>
      </c>
      <c r="N152" s="683">
        <v>0</v>
      </c>
      <c r="O152" s="686"/>
      <c r="P152" s="683">
        <v>0</v>
      </c>
      <c r="Q152" s="687">
        <f t="shared" si="51"/>
        <v>10000</v>
      </c>
      <c r="R152" s="688">
        <v>9924.57</v>
      </c>
      <c r="S152" s="693"/>
      <c r="T152" s="690">
        <f t="shared" si="52"/>
        <v>-75.430000000000291</v>
      </c>
      <c r="U152" s="683"/>
      <c r="V152" s="474">
        <f t="shared" si="53"/>
        <v>0</v>
      </c>
      <c r="W152" s="474">
        <f t="shared" si="54"/>
        <v>10000</v>
      </c>
      <c r="X152" s="475">
        <f t="shared" si="55"/>
        <v>0</v>
      </c>
      <c r="Y152" s="475">
        <v>0</v>
      </c>
      <c r="Z152" s="476">
        <v>0</v>
      </c>
      <c r="AA152" s="38">
        <f t="shared" si="56"/>
        <v>0</v>
      </c>
      <c r="AB152" s="692">
        <f t="shared" si="58"/>
        <v>0</v>
      </c>
      <c r="AC152" s="692">
        <f t="shared" si="59"/>
        <v>0</v>
      </c>
      <c r="AD152" s="692">
        <f t="shared" si="60"/>
        <v>0</v>
      </c>
      <c r="AE152" s="38"/>
      <c r="AF152" s="692">
        <f t="shared" si="61"/>
        <v>0</v>
      </c>
      <c r="AG152" s="692">
        <f t="shared" si="62"/>
        <v>10000</v>
      </c>
      <c r="AH152" s="692">
        <f t="shared" si="63"/>
        <v>0</v>
      </c>
      <c r="AJ152" s="38">
        <f t="shared" si="64"/>
        <v>10000</v>
      </c>
    </row>
    <row r="153" spans="1:36" s="232" customFormat="1">
      <c r="A153" s="403"/>
      <c r="B153" s="403" t="s">
        <v>109</v>
      </c>
      <c r="C153" s="666" t="s">
        <v>563</v>
      </c>
      <c r="D153" s="123" t="s">
        <v>327</v>
      </c>
      <c r="E153" s="679"/>
      <c r="F153" s="529">
        <f>VLOOKUP(D153,'Aug 2012 Revenue'!D:T,17,FALSE)</f>
        <v>0</v>
      </c>
      <c r="G153" s="680"/>
      <c r="H153" s="680"/>
      <c r="I153" s="755"/>
      <c r="J153" s="682">
        <f t="shared" si="49"/>
        <v>0</v>
      </c>
      <c r="K153" s="683"/>
      <c r="L153" s="684"/>
      <c r="M153" s="753">
        <v>90000</v>
      </c>
      <c r="N153" s="683">
        <v>0</v>
      </c>
      <c r="O153" s="686"/>
      <c r="P153" s="683">
        <v>0</v>
      </c>
      <c r="Q153" s="687">
        <f t="shared" si="51"/>
        <v>90000</v>
      </c>
      <c r="R153" s="688">
        <v>87388.14</v>
      </c>
      <c r="S153" s="693"/>
      <c r="T153" s="690">
        <f t="shared" si="52"/>
        <v>-2611.8600000000006</v>
      </c>
      <c r="U153" s="683"/>
      <c r="V153" s="474">
        <f t="shared" si="53"/>
        <v>0</v>
      </c>
      <c r="W153" s="474">
        <f t="shared" si="54"/>
        <v>90000</v>
      </c>
      <c r="X153" s="475">
        <f t="shared" si="55"/>
        <v>0</v>
      </c>
      <c r="Y153" s="475">
        <v>0</v>
      </c>
      <c r="Z153" s="476">
        <v>0</v>
      </c>
      <c r="AA153" s="38">
        <f t="shared" si="56"/>
        <v>0</v>
      </c>
      <c r="AB153" s="692">
        <f t="shared" si="58"/>
        <v>0</v>
      </c>
      <c r="AC153" s="692">
        <f t="shared" si="59"/>
        <v>0</v>
      </c>
      <c r="AD153" s="692">
        <f t="shared" si="60"/>
        <v>0</v>
      </c>
      <c r="AE153" s="38"/>
      <c r="AF153" s="692">
        <f t="shared" si="61"/>
        <v>0</v>
      </c>
      <c r="AG153" s="692">
        <f t="shared" si="62"/>
        <v>90000</v>
      </c>
      <c r="AH153" s="692">
        <f t="shared" si="63"/>
        <v>0</v>
      </c>
      <c r="AJ153" s="38">
        <f t="shared" si="64"/>
        <v>90000</v>
      </c>
    </row>
    <row r="154" spans="1:36" s="232" customFormat="1">
      <c r="A154" s="403"/>
      <c r="B154" s="403" t="s">
        <v>110</v>
      </c>
      <c r="C154" s="666" t="s">
        <v>563</v>
      </c>
      <c r="D154" s="123" t="s">
        <v>637</v>
      </c>
      <c r="E154" s="679">
        <v>1369.35</v>
      </c>
      <c r="F154" s="529">
        <f>VLOOKUP(D154,'Aug 2012 Revenue'!D:T,17,FALSE)</f>
        <v>0</v>
      </c>
      <c r="G154" s="680"/>
      <c r="H154" s="680"/>
      <c r="I154" s="755"/>
      <c r="J154" s="682">
        <f t="shared" si="49"/>
        <v>1369.35</v>
      </c>
      <c r="K154" s="683"/>
      <c r="L154" s="684"/>
      <c r="M154" s="753"/>
      <c r="N154" s="683">
        <v>0</v>
      </c>
      <c r="O154" s="686"/>
      <c r="P154" s="683">
        <v>0</v>
      </c>
      <c r="Q154" s="687">
        <f t="shared" si="51"/>
        <v>0</v>
      </c>
      <c r="R154" s="688">
        <v>0</v>
      </c>
      <c r="S154" s="693"/>
      <c r="T154" s="690">
        <f t="shared" si="52"/>
        <v>0</v>
      </c>
      <c r="U154" s="683"/>
      <c r="V154" s="474">
        <f t="shared" si="53"/>
        <v>0</v>
      </c>
      <c r="W154" s="474">
        <f t="shared" si="54"/>
        <v>0</v>
      </c>
      <c r="X154" s="475">
        <f t="shared" si="55"/>
        <v>0</v>
      </c>
      <c r="Y154" s="475">
        <v>0</v>
      </c>
      <c r="Z154" s="476">
        <v>0</v>
      </c>
      <c r="AA154" s="38">
        <f t="shared" si="56"/>
        <v>0</v>
      </c>
      <c r="AB154" s="692">
        <f t="shared" si="58"/>
        <v>1369.35</v>
      </c>
      <c r="AC154" s="692">
        <f t="shared" si="59"/>
        <v>0</v>
      </c>
      <c r="AD154" s="692">
        <f t="shared" si="60"/>
        <v>0</v>
      </c>
      <c r="AE154" s="38"/>
      <c r="AF154" s="692">
        <f t="shared" si="61"/>
        <v>0</v>
      </c>
      <c r="AG154" s="692">
        <f t="shared" si="62"/>
        <v>0</v>
      </c>
      <c r="AH154" s="692">
        <f t="shared" si="63"/>
        <v>0</v>
      </c>
      <c r="AJ154" s="38">
        <f t="shared" si="64"/>
        <v>1369.35</v>
      </c>
    </row>
    <row r="155" spans="1:36">
      <c r="A155" s="21" t="s">
        <v>212</v>
      </c>
      <c r="B155" s="21" t="s">
        <v>110</v>
      </c>
      <c r="C155" s="666"/>
      <c r="D155" s="68" t="s">
        <v>232</v>
      </c>
      <c r="E155" s="679">
        <v>8358.25</v>
      </c>
      <c r="F155" s="529">
        <f>VLOOKUP(D155,'Aug 2012 Revenue'!D:T,17,FALSE)</f>
        <v>0</v>
      </c>
      <c r="G155" s="680"/>
      <c r="H155" s="680"/>
      <c r="I155" s="755"/>
      <c r="J155" s="682">
        <f t="shared" si="49"/>
        <v>8358.25</v>
      </c>
      <c r="K155" s="683"/>
      <c r="L155" s="684"/>
      <c r="M155" s="753"/>
      <c r="N155" s="683">
        <v>0</v>
      </c>
      <c r="O155" s="686"/>
      <c r="P155" s="683">
        <v>0</v>
      </c>
      <c r="Q155" s="687">
        <f t="shared" si="51"/>
        <v>0</v>
      </c>
      <c r="R155" s="688">
        <v>0</v>
      </c>
      <c r="S155" s="693"/>
      <c r="T155" s="690">
        <f t="shared" si="52"/>
        <v>0</v>
      </c>
      <c r="U155" s="683"/>
      <c r="V155" s="474">
        <f t="shared" si="53"/>
        <v>0</v>
      </c>
      <c r="W155" s="474">
        <f t="shared" si="54"/>
        <v>0</v>
      </c>
      <c r="X155" s="475">
        <f t="shared" si="55"/>
        <v>0</v>
      </c>
      <c r="Y155" s="475">
        <v>0</v>
      </c>
      <c r="Z155" s="476">
        <v>0</v>
      </c>
      <c r="AA155" s="38">
        <f t="shared" si="56"/>
        <v>0</v>
      </c>
      <c r="AB155" s="692">
        <f t="shared" si="58"/>
        <v>8358.25</v>
      </c>
      <c r="AC155" s="692">
        <f t="shared" si="59"/>
        <v>0</v>
      </c>
      <c r="AD155" s="692">
        <f t="shared" si="60"/>
        <v>0</v>
      </c>
      <c r="AE155" s="38"/>
      <c r="AF155" s="692">
        <f t="shared" si="61"/>
        <v>0</v>
      </c>
      <c r="AG155" s="692">
        <f t="shared" si="62"/>
        <v>0</v>
      </c>
      <c r="AH155" s="692">
        <f t="shared" si="63"/>
        <v>0</v>
      </c>
      <c r="AJ155" s="38">
        <f t="shared" si="64"/>
        <v>8358.25</v>
      </c>
    </row>
    <row r="156" spans="1:36">
      <c r="A156" s="21"/>
      <c r="B156" s="21" t="s">
        <v>109</v>
      </c>
      <c r="C156" s="666" t="s">
        <v>564</v>
      </c>
      <c r="D156" s="68" t="s">
        <v>876</v>
      </c>
      <c r="E156" s="679"/>
      <c r="F156" s="529" t="e">
        <f>VLOOKUP(D156,'Aug 2012 Revenue'!D:T,17,FALSE)</f>
        <v>#N/A</v>
      </c>
      <c r="G156" s="680"/>
      <c r="H156" s="680"/>
      <c r="I156" s="755"/>
      <c r="J156" s="682" t="e">
        <f t="shared" si="49"/>
        <v>#N/A</v>
      </c>
      <c r="K156" s="683"/>
      <c r="L156" s="684"/>
      <c r="M156" s="753"/>
      <c r="N156" s="683">
        <v>0</v>
      </c>
      <c r="O156" s="686"/>
      <c r="P156" s="683">
        <v>0</v>
      </c>
      <c r="Q156" s="687">
        <f t="shared" si="51"/>
        <v>0</v>
      </c>
      <c r="R156" s="688">
        <v>0</v>
      </c>
      <c r="S156" s="693"/>
      <c r="T156" s="690">
        <f t="shared" si="52"/>
        <v>0</v>
      </c>
      <c r="U156" s="683"/>
      <c r="V156" s="474">
        <f t="shared" si="53"/>
        <v>0</v>
      </c>
      <c r="W156" s="474">
        <f t="shared" si="54"/>
        <v>0</v>
      </c>
      <c r="X156" s="475">
        <f t="shared" si="55"/>
        <v>0</v>
      </c>
      <c r="Y156" s="475">
        <v>0</v>
      </c>
      <c r="Z156" s="476">
        <v>0</v>
      </c>
      <c r="AA156" s="38">
        <f t="shared" si="56"/>
        <v>0</v>
      </c>
      <c r="AB156" s="692">
        <f t="shared" si="58"/>
        <v>0</v>
      </c>
      <c r="AC156" s="692" t="e">
        <f t="shared" si="59"/>
        <v>#N/A</v>
      </c>
      <c r="AD156" s="692">
        <f t="shared" si="60"/>
        <v>0</v>
      </c>
      <c r="AE156" s="38"/>
      <c r="AF156" s="692">
        <f t="shared" si="61"/>
        <v>0</v>
      </c>
      <c r="AG156" s="692">
        <f t="shared" si="62"/>
        <v>0</v>
      </c>
      <c r="AH156" s="692">
        <f t="shared" si="63"/>
        <v>0</v>
      </c>
      <c r="AJ156" s="38" t="e">
        <f t="shared" si="64"/>
        <v>#N/A</v>
      </c>
    </row>
    <row r="157" spans="1:36">
      <c r="A157" s="21"/>
      <c r="B157" s="21" t="s">
        <v>109</v>
      </c>
      <c r="C157" s="666" t="s">
        <v>564</v>
      </c>
      <c r="D157" s="68" t="s">
        <v>307</v>
      </c>
      <c r="E157" s="679"/>
      <c r="F157" s="529">
        <f>VLOOKUP(D157,'Aug 2012 Revenue'!D:T,17,FALSE)</f>
        <v>0</v>
      </c>
      <c r="G157" s="680"/>
      <c r="H157" s="680"/>
      <c r="I157" s="755"/>
      <c r="J157" s="682">
        <f t="shared" si="49"/>
        <v>0</v>
      </c>
      <c r="K157" s="683"/>
      <c r="L157" s="684"/>
      <c r="M157" s="753"/>
      <c r="N157" s="683">
        <v>0</v>
      </c>
      <c r="O157" s="686"/>
      <c r="P157" s="683">
        <v>0</v>
      </c>
      <c r="Q157" s="687">
        <f t="shared" si="51"/>
        <v>0</v>
      </c>
      <c r="R157" s="688">
        <v>0</v>
      </c>
      <c r="S157" s="693"/>
      <c r="T157" s="690">
        <f t="shared" si="52"/>
        <v>0</v>
      </c>
      <c r="U157" s="683"/>
      <c r="V157" s="474">
        <f t="shared" si="53"/>
        <v>0</v>
      </c>
      <c r="W157" s="474">
        <f t="shared" si="54"/>
        <v>0</v>
      </c>
      <c r="X157" s="475">
        <f t="shared" si="55"/>
        <v>0</v>
      </c>
      <c r="Y157" s="475">
        <v>0</v>
      </c>
      <c r="Z157" s="476">
        <v>0</v>
      </c>
      <c r="AA157" s="38">
        <f t="shared" si="56"/>
        <v>0</v>
      </c>
      <c r="AB157" s="692">
        <f t="shared" si="58"/>
        <v>0</v>
      </c>
      <c r="AC157" s="692">
        <f t="shared" si="59"/>
        <v>0</v>
      </c>
      <c r="AD157" s="692">
        <f t="shared" si="60"/>
        <v>0</v>
      </c>
      <c r="AE157" s="38"/>
      <c r="AF157" s="692">
        <f t="shared" si="61"/>
        <v>0</v>
      </c>
      <c r="AG157" s="692">
        <f t="shared" si="62"/>
        <v>0</v>
      </c>
      <c r="AH157" s="692">
        <f t="shared" si="63"/>
        <v>0</v>
      </c>
      <c r="AJ157" s="38">
        <f t="shared" si="64"/>
        <v>0</v>
      </c>
    </row>
    <row r="158" spans="1:36">
      <c r="A158" s="21"/>
      <c r="B158" s="21" t="s">
        <v>109</v>
      </c>
      <c r="C158" s="666" t="s">
        <v>565</v>
      </c>
      <c r="D158" s="68" t="s">
        <v>485</v>
      </c>
      <c r="E158" s="679"/>
      <c r="F158" s="529">
        <f>VLOOKUP(D158,'Aug 2012 Revenue'!D:T,17,FALSE)</f>
        <v>-46000</v>
      </c>
      <c r="G158" s="680"/>
      <c r="H158" s="680"/>
      <c r="I158" s="755"/>
      <c r="J158" s="682">
        <f t="shared" si="49"/>
        <v>-46000</v>
      </c>
      <c r="K158" s="683"/>
      <c r="L158" s="684"/>
      <c r="M158" s="753">
        <v>69000</v>
      </c>
      <c r="N158" s="683"/>
      <c r="O158" s="686"/>
      <c r="P158" s="683"/>
      <c r="Q158" s="687">
        <f t="shared" si="51"/>
        <v>69000</v>
      </c>
      <c r="R158" s="688">
        <f>12788.02+6035.69+8228.01+2564.09+491.47+34491.56+1241.05+1000.87+1352.44+17935.13</f>
        <v>86128.33</v>
      </c>
      <c r="S158" s="693"/>
      <c r="T158" s="690">
        <f t="shared" si="52"/>
        <v>17128.330000000002</v>
      </c>
      <c r="U158" s="683"/>
      <c r="V158" s="474">
        <f t="shared" si="53"/>
        <v>0</v>
      </c>
      <c r="W158" s="474">
        <f t="shared" si="54"/>
        <v>69000</v>
      </c>
      <c r="X158" s="475">
        <f t="shared" si="55"/>
        <v>0</v>
      </c>
      <c r="Y158" s="475">
        <v>0</v>
      </c>
      <c r="Z158" s="476">
        <v>0</v>
      </c>
      <c r="AA158" s="38">
        <f t="shared" si="56"/>
        <v>0</v>
      </c>
      <c r="AB158" s="692">
        <f t="shared" si="58"/>
        <v>0</v>
      </c>
      <c r="AC158" s="692">
        <f t="shared" si="59"/>
        <v>-46000</v>
      </c>
      <c r="AD158" s="692">
        <f t="shared" si="60"/>
        <v>0</v>
      </c>
      <c r="AE158" s="38"/>
      <c r="AF158" s="692">
        <f t="shared" si="61"/>
        <v>0</v>
      </c>
      <c r="AG158" s="692">
        <f t="shared" si="62"/>
        <v>69000</v>
      </c>
      <c r="AH158" s="692">
        <f t="shared" si="63"/>
        <v>0</v>
      </c>
      <c r="AJ158" s="38">
        <f t="shared" si="64"/>
        <v>23000</v>
      </c>
    </row>
    <row r="159" spans="1:36" s="232" customFormat="1">
      <c r="A159" s="403"/>
      <c r="B159" s="403" t="s">
        <v>109</v>
      </c>
      <c r="C159" s="666"/>
      <c r="D159" s="123" t="s">
        <v>220</v>
      </c>
      <c r="E159" s="679"/>
      <c r="F159" s="529">
        <f>VLOOKUP(D159,'Aug 2012 Revenue'!D:T,17,FALSE)</f>
        <v>0</v>
      </c>
      <c r="G159" s="680"/>
      <c r="H159" s="680"/>
      <c r="I159" s="755"/>
      <c r="J159" s="682">
        <f t="shared" si="49"/>
        <v>0</v>
      </c>
      <c r="K159" s="683"/>
      <c r="L159" s="684"/>
      <c r="M159" s="753"/>
      <c r="N159" s="683">
        <v>0</v>
      </c>
      <c r="O159" s="686"/>
      <c r="P159" s="683">
        <v>0</v>
      </c>
      <c r="Q159" s="687">
        <f t="shared" si="51"/>
        <v>0</v>
      </c>
      <c r="R159" s="688">
        <v>0</v>
      </c>
      <c r="S159" s="693"/>
      <c r="T159" s="690">
        <f t="shared" si="52"/>
        <v>0</v>
      </c>
      <c r="U159" s="683"/>
      <c r="V159" s="474">
        <f t="shared" si="53"/>
        <v>0</v>
      </c>
      <c r="W159" s="474">
        <f t="shared" si="54"/>
        <v>0</v>
      </c>
      <c r="X159" s="475">
        <f t="shared" si="55"/>
        <v>0</v>
      </c>
      <c r="Y159" s="475">
        <v>0</v>
      </c>
      <c r="Z159" s="476">
        <v>0</v>
      </c>
      <c r="AA159" s="38">
        <f t="shared" si="56"/>
        <v>0</v>
      </c>
      <c r="AB159" s="692">
        <f t="shared" si="58"/>
        <v>0</v>
      </c>
      <c r="AC159" s="692">
        <f t="shared" si="59"/>
        <v>0</v>
      </c>
      <c r="AD159" s="692">
        <f t="shared" si="60"/>
        <v>0</v>
      </c>
      <c r="AE159" s="38"/>
      <c r="AF159" s="692">
        <f t="shared" si="61"/>
        <v>0</v>
      </c>
      <c r="AG159" s="692">
        <f t="shared" si="62"/>
        <v>0</v>
      </c>
      <c r="AH159" s="692">
        <f t="shared" si="63"/>
        <v>0</v>
      </c>
      <c r="AJ159" s="38">
        <f t="shared" si="64"/>
        <v>0</v>
      </c>
    </row>
    <row r="160" spans="1:36" s="24" customFormat="1">
      <c r="A160" s="472"/>
      <c r="B160" s="21" t="s">
        <v>109</v>
      </c>
      <c r="C160" s="666"/>
      <c r="D160" s="68" t="s">
        <v>505</v>
      </c>
      <c r="E160" s="679"/>
      <c r="F160" s="529">
        <f>VLOOKUP(D160,'Aug 2012 Revenue'!D:T,17,FALSE)</f>
        <v>181.60000000000036</v>
      </c>
      <c r="G160" s="680"/>
      <c r="H160" s="680"/>
      <c r="I160" s="770">
        <v>6655.2</v>
      </c>
      <c r="J160" s="703">
        <f t="shared" ref="J160" si="65">SUM(E160:I160)</f>
        <v>6836.8</v>
      </c>
      <c r="K160" s="698"/>
      <c r="L160" s="684"/>
      <c r="M160" s="753"/>
      <c r="N160" s="698">
        <v>0</v>
      </c>
      <c r="O160" s="686"/>
      <c r="P160" s="698">
        <v>0</v>
      </c>
      <c r="Q160" s="700">
        <f t="shared" si="51"/>
        <v>0</v>
      </c>
      <c r="R160" s="688">
        <v>0</v>
      </c>
      <c r="S160" s="701"/>
      <c r="T160" s="690">
        <f t="shared" si="52"/>
        <v>0</v>
      </c>
      <c r="U160" s="698"/>
      <c r="V160" s="474">
        <f t="shared" si="53"/>
        <v>0</v>
      </c>
      <c r="W160" s="474">
        <f t="shared" si="54"/>
        <v>0</v>
      </c>
      <c r="X160" s="475">
        <f t="shared" si="55"/>
        <v>0</v>
      </c>
      <c r="Y160" s="475">
        <v>0</v>
      </c>
      <c r="Z160" s="476">
        <v>0</v>
      </c>
      <c r="AA160" s="38">
        <f t="shared" si="56"/>
        <v>0</v>
      </c>
      <c r="AB160" s="692">
        <f t="shared" si="58"/>
        <v>0</v>
      </c>
      <c r="AC160" s="692">
        <f t="shared" si="59"/>
        <v>6836.8</v>
      </c>
      <c r="AD160" s="692">
        <f t="shared" si="60"/>
        <v>0</v>
      </c>
      <c r="AE160" s="38"/>
      <c r="AF160" s="692">
        <f t="shared" si="61"/>
        <v>0</v>
      </c>
      <c r="AG160" s="692">
        <f t="shared" si="62"/>
        <v>0</v>
      </c>
      <c r="AH160" s="692">
        <f t="shared" si="63"/>
        <v>0</v>
      </c>
      <c r="AJ160" s="38">
        <f t="shared" si="64"/>
        <v>6836.8</v>
      </c>
    </row>
    <row r="161" spans="1:36">
      <c r="A161" s="21"/>
      <c r="B161" s="21" t="s">
        <v>110</v>
      </c>
      <c r="C161" s="666"/>
      <c r="D161" s="68" t="s">
        <v>185</v>
      </c>
      <c r="E161" s="679"/>
      <c r="F161" s="529">
        <f>VLOOKUP(D161,'Aug 2012 Revenue'!D:T,17,FALSE)</f>
        <v>0</v>
      </c>
      <c r="G161" s="680"/>
      <c r="H161" s="680"/>
      <c r="I161" s="755"/>
      <c r="J161" s="682">
        <f t="shared" si="49"/>
        <v>0</v>
      </c>
      <c r="K161" s="683"/>
      <c r="L161" s="684"/>
      <c r="M161" s="753"/>
      <c r="N161" s="683">
        <v>0</v>
      </c>
      <c r="O161" s="686"/>
      <c r="P161" s="683">
        <v>0</v>
      </c>
      <c r="Q161" s="687">
        <f t="shared" si="51"/>
        <v>0</v>
      </c>
      <c r="R161" s="688">
        <v>48.3</v>
      </c>
      <c r="S161" s="693"/>
      <c r="T161" s="690">
        <f t="shared" si="52"/>
        <v>48.3</v>
      </c>
      <c r="U161" s="683"/>
      <c r="V161" s="474">
        <f t="shared" si="53"/>
        <v>0</v>
      </c>
      <c r="W161" s="474">
        <f t="shared" si="54"/>
        <v>0</v>
      </c>
      <c r="X161" s="475">
        <f t="shared" si="55"/>
        <v>0</v>
      </c>
      <c r="Y161" s="475">
        <v>0</v>
      </c>
      <c r="Z161" s="476">
        <v>0</v>
      </c>
      <c r="AA161" s="38">
        <f t="shared" si="56"/>
        <v>0</v>
      </c>
      <c r="AB161" s="692">
        <f t="shared" si="58"/>
        <v>0</v>
      </c>
      <c r="AC161" s="692">
        <f t="shared" si="59"/>
        <v>0</v>
      </c>
      <c r="AD161" s="692">
        <f t="shared" si="60"/>
        <v>0</v>
      </c>
      <c r="AE161" s="38"/>
      <c r="AF161" s="692">
        <f t="shared" si="61"/>
        <v>0</v>
      </c>
      <c r="AG161" s="692">
        <f t="shared" si="62"/>
        <v>0</v>
      </c>
      <c r="AH161" s="692">
        <f t="shared" si="63"/>
        <v>0</v>
      </c>
      <c r="AJ161" s="38">
        <f t="shared" si="64"/>
        <v>0</v>
      </c>
    </row>
    <row r="162" spans="1:36">
      <c r="A162" s="21"/>
      <c r="B162" s="21" t="s">
        <v>110</v>
      </c>
      <c r="C162" s="666"/>
      <c r="D162" s="68" t="s">
        <v>186</v>
      </c>
      <c r="E162" s="679"/>
      <c r="F162" s="529">
        <f>VLOOKUP(D162,'Aug 2012 Revenue'!D:T,17,FALSE)</f>
        <v>0</v>
      </c>
      <c r="G162" s="680"/>
      <c r="H162" s="680"/>
      <c r="I162" s="755"/>
      <c r="J162" s="682">
        <f t="shared" si="49"/>
        <v>0</v>
      </c>
      <c r="K162" s="683"/>
      <c r="L162" s="684"/>
      <c r="M162" s="753"/>
      <c r="N162" s="683">
        <v>0</v>
      </c>
      <c r="O162" s="686"/>
      <c r="P162" s="683">
        <v>0</v>
      </c>
      <c r="Q162" s="687">
        <f t="shared" si="51"/>
        <v>0</v>
      </c>
      <c r="R162" s="688">
        <v>87.92</v>
      </c>
      <c r="S162" s="693"/>
      <c r="T162" s="690">
        <f t="shared" si="52"/>
        <v>87.92</v>
      </c>
      <c r="U162" s="683"/>
      <c r="V162" s="474">
        <f t="shared" si="53"/>
        <v>0</v>
      </c>
      <c r="W162" s="474">
        <f t="shared" si="54"/>
        <v>0</v>
      </c>
      <c r="X162" s="475">
        <f t="shared" si="55"/>
        <v>0</v>
      </c>
      <c r="Y162" s="475">
        <v>0</v>
      </c>
      <c r="Z162" s="476">
        <v>0</v>
      </c>
      <c r="AA162" s="38">
        <f t="shared" si="56"/>
        <v>0</v>
      </c>
      <c r="AB162" s="692">
        <f t="shared" si="58"/>
        <v>0</v>
      </c>
      <c r="AC162" s="692">
        <f t="shared" si="59"/>
        <v>0</v>
      </c>
      <c r="AD162" s="692">
        <f t="shared" si="60"/>
        <v>0</v>
      </c>
      <c r="AE162" s="38"/>
      <c r="AF162" s="692">
        <f t="shared" si="61"/>
        <v>0</v>
      </c>
      <c r="AG162" s="692">
        <f t="shared" si="62"/>
        <v>0</v>
      </c>
      <c r="AH162" s="692">
        <f t="shared" si="63"/>
        <v>0</v>
      </c>
      <c r="AJ162" s="38">
        <f t="shared" si="64"/>
        <v>0</v>
      </c>
    </row>
    <row r="163" spans="1:36">
      <c r="A163" s="21"/>
      <c r="B163" s="21" t="s">
        <v>110</v>
      </c>
      <c r="C163" s="666"/>
      <c r="D163" s="68" t="s">
        <v>449</v>
      </c>
      <c r="E163" s="679"/>
      <c r="F163" s="529">
        <f>VLOOKUP(D163,'Aug 2012 Revenue'!D:T,17,FALSE)</f>
        <v>0</v>
      </c>
      <c r="G163" s="680"/>
      <c r="H163" s="680"/>
      <c r="I163" s="755"/>
      <c r="J163" s="682">
        <f t="shared" si="49"/>
        <v>0</v>
      </c>
      <c r="K163" s="683"/>
      <c r="L163" s="684"/>
      <c r="M163" s="753"/>
      <c r="N163" s="683">
        <v>0</v>
      </c>
      <c r="O163" s="686"/>
      <c r="P163" s="683">
        <v>0</v>
      </c>
      <c r="Q163" s="687">
        <f t="shared" si="51"/>
        <v>0</v>
      </c>
      <c r="R163" s="688">
        <v>0</v>
      </c>
      <c r="S163" s="693"/>
      <c r="T163" s="690">
        <f t="shared" si="52"/>
        <v>0</v>
      </c>
      <c r="U163" s="683"/>
      <c r="V163" s="474">
        <f t="shared" si="53"/>
        <v>0</v>
      </c>
      <c r="W163" s="474">
        <f t="shared" si="54"/>
        <v>0</v>
      </c>
      <c r="X163" s="475">
        <f t="shared" si="55"/>
        <v>0</v>
      </c>
      <c r="Y163" s="475">
        <v>0</v>
      </c>
      <c r="Z163" s="476">
        <v>0</v>
      </c>
      <c r="AA163" s="38">
        <f t="shared" si="56"/>
        <v>0</v>
      </c>
      <c r="AB163" s="692">
        <f t="shared" si="58"/>
        <v>0</v>
      </c>
      <c r="AC163" s="692">
        <f t="shared" si="59"/>
        <v>0</v>
      </c>
      <c r="AD163" s="692">
        <f t="shared" si="60"/>
        <v>0</v>
      </c>
      <c r="AE163" s="38"/>
      <c r="AF163" s="692">
        <f t="shared" si="61"/>
        <v>0</v>
      </c>
      <c r="AG163" s="692">
        <f t="shared" si="62"/>
        <v>0</v>
      </c>
      <c r="AH163" s="692">
        <f t="shared" si="63"/>
        <v>0</v>
      </c>
      <c r="AJ163" s="38">
        <f t="shared" si="64"/>
        <v>0</v>
      </c>
    </row>
    <row r="164" spans="1:36">
      <c r="A164" s="21"/>
      <c r="B164" s="21" t="s">
        <v>110</v>
      </c>
      <c r="C164" s="666" t="s">
        <v>566</v>
      </c>
      <c r="D164" s="68" t="s">
        <v>39</v>
      </c>
      <c r="E164" s="679"/>
      <c r="F164" s="529">
        <f>VLOOKUP(D164,'Aug 2012 Revenue'!D:T,17,FALSE)</f>
        <v>1214.1600000000001</v>
      </c>
      <c r="G164" s="680"/>
      <c r="H164" s="680"/>
      <c r="I164" s="755"/>
      <c r="J164" s="682">
        <f t="shared" si="49"/>
        <v>1214.1600000000001</v>
      </c>
      <c r="K164" s="683"/>
      <c r="L164" s="684"/>
      <c r="M164" s="753"/>
      <c r="N164" s="683">
        <v>0</v>
      </c>
      <c r="O164" s="686"/>
      <c r="P164" s="683">
        <v>0</v>
      </c>
      <c r="Q164" s="687">
        <f t="shared" si="51"/>
        <v>0</v>
      </c>
      <c r="R164" s="688">
        <v>1094.27</v>
      </c>
      <c r="S164" s="693"/>
      <c r="T164" s="690">
        <f t="shared" si="52"/>
        <v>1094.27</v>
      </c>
      <c r="U164" s="683"/>
      <c r="V164" s="474">
        <f t="shared" si="53"/>
        <v>0</v>
      </c>
      <c r="W164" s="474">
        <f t="shared" si="54"/>
        <v>0</v>
      </c>
      <c r="X164" s="475">
        <f t="shared" si="55"/>
        <v>0</v>
      </c>
      <c r="Y164" s="475">
        <v>0</v>
      </c>
      <c r="Z164" s="476">
        <v>0</v>
      </c>
      <c r="AA164" s="38">
        <f t="shared" si="56"/>
        <v>0</v>
      </c>
      <c r="AB164" s="692">
        <f t="shared" si="58"/>
        <v>1214.1600000000001</v>
      </c>
      <c r="AC164" s="692">
        <f t="shared" si="59"/>
        <v>0</v>
      </c>
      <c r="AD164" s="692">
        <f t="shared" si="60"/>
        <v>0</v>
      </c>
      <c r="AE164" s="38"/>
      <c r="AF164" s="692">
        <f t="shared" si="61"/>
        <v>0</v>
      </c>
      <c r="AG164" s="692">
        <f t="shared" si="62"/>
        <v>0</v>
      </c>
      <c r="AH164" s="692">
        <f t="shared" si="63"/>
        <v>0</v>
      </c>
      <c r="AJ164" s="38">
        <f t="shared" si="64"/>
        <v>1214.1600000000001</v>
      </c>
    </row>
    <row r="165" spans="1:36">
      <c r="A165" s="21"/>
      <c r="B165" s="21" t="s">
        <v>110</v>
      </c>
      <c r="C165" s="666" t="s">
        <v>567</v>
      </c>
      <c r="D165" s="68" t="s">
        <v>435</v>
      </c>
      <c r="E165" s="679">
        <v>20530.87</v>
      </c>
      <c r="F165" s="529">
        <f>VLOOKUP(D165,'Aug 2012 Revenue'!D:T,17,FALSE)</f>
        <v>-3522.5999999999985</v>
      </c>
      <c r="G165" s="680"/>
      <c r="H165" s="680"/>
      <c r="I165" s="755"/>
      <c r="J165" s="682">
        <f t="shared" si="49"/>
        <v>17008.27</v>
      </c>
      <c r="K165" s="683"/>
      <c r="L165" s="684"/>
      <c r="M165" s="753">
        <v>20000</v>
      </c>
      <c r="N165" s="683">
        <v>0</v>
      </c>
      <c r="O165" s="686"/>
      <c r="P165" s="683">
        <v>0</v>
      </c>
      <c r="Q165" s="687">
        <f t="shared" si="51"/>
        <v>20000</v>
      </c>
      <c r="R165" s="688">
        <v>20637.07</v>
      </c>
      <c r="S165" s="693"/>
      <c r="T165" s="690">
        <f t="shared" si="52"/>
        <v>637.06999999999971</v>
      </c>
      <c r="U165" s="683"/>
      <c r="V165" s="474">
        <f t="shared" si="53"/>
        <v>20000</v>
      </c>
      <c r="W165" s="474">
        <f t="shared" si="54"/>
        <v>0</v>
      </c>
      <c r="X165" s="475">
        <f t="shared" si="55"/>
        <v>0</v>
      </c>
      <c r="Y165" s="475">
        <v>0</v>
      </c>
      <c r="Z165" s="476">
        <v>0</v>
      </c>
      <c r="AA165" s="38">
        <f t="shared" si="56"/>
        <v>0</v>
      </c>
      <c r="AB165" s="692">
        <f t="shared" si="58"/>
        <v>17008.27</v>
      </c>
      <c r="AC165" s="692">
        <f t="shared" si="59"/>
        <v>0</v>
      </c>
      <c r="AD165" s="692">
        <f t="shared" si="60"/>
        <v>0</v>
      </c>
      <c r="AE165" s="38"/>
      <c r="AF165" s="692">
        <f t="shared" si="61"/>
        <v>20000</v>
      </c>
      <c r="AG165" s="692">
        <f t="shared" si="62"/>
        <v>0</v>
      </c>
      <c r="AH165" s="692">
        <f t="shared" si="63"/>
        <v>0</v>
      </c>
      <c r="AJ165" s="38">
        <f t="shared" si="64"/>
        <v>37008.270000000004</v>
      </c>
    </row>
    <row r="166" spans="1:36">
      <c r="A166" s="21"/>
      <c r="B166" s="21" t="s">
        <v>110</v>
      </c>
      <c r="C166" s="675" t="s">
        <v>584</v>
      </c>
      <c r="D166" s="68" t="s">
        <v>99</v>
      </c>
      <c r="E166" s="679">
        <f>16385.07+17277.84</f>
        <v>33662.910000000003</v>
      </c>
      <c r="F166" s="529">
        <f>VLOOKUP(D166,'Aug 2012 Revenue'!D:T,17,FALSE)</f>
        <v>-25085.29</v>
      </c>
      <c r="G166" s="680"/>
      <c r="H166" s="680"/>
      <c r="I166" s="755"/>
      <c r="J166" s="682">
        <f t="shared" si="49"/>
        <v>8577.6200000000026</v>
      </c>
      <c r="K166" s="683"/>
      <c r="L166" s="684"/>
      <c r="M166" s="753">
        <v>20000</v>
      </c>
      <c r="N166" s="683">
        <v>0</v>
      </c>
      <c r="O166" s="686"/>
      <c r="P166" s="683">
        <v>0</v>
      </c>
      <c r="Q166" s="687">
        <f t="shared" si="51"/>
        <v>20000</v>
      </c>
      <c r="R166" s="688">
        <v>0</v>
      </c>
      <c r="S166" s="693"/>
      <c r="T166" s="690">
        <f t="shared" si="52"/>
        <v>-20000</v>
      </c>
      <c r="U166" s="683"/>
      <c r="V166" s="474">
        <f t="shared" si="53"/>
        <v>20000</v>
      </c>
      <c r="W166" s="474">
        <f t="shared" si="54"/>
        <v>0</v>
      </c>
      <c r="X166" s="475">
        <f t="shared" si="55"/>
        <v>0</v>
      </c>
      <c r="Y166" s="475">
        <v>0</v>
      </c>
      <c r="Z166" s="476">
        <v>0</v>
      </c>
      <c r="AA166" s="38">
        <f t="shared" si="56"/>
        <v>0</v>
      </c>
      <c r="AB166" s="692">
        <f t="shared" si="58"/>
        <v>8577.6200000000026</v>
      </c>
      <c r="AC166" s="692">
        <f t="shared" si="59"/>
        <v>0</v>
      </c>
      <c r="AD166" s="692">
        <f t="shared" si="60"/>
        <v>0</v>
      </c>
      <c r="AE166" s="38"/>
      <c r="AF166" s="692">
        <f t="shared" si="61"/>
        <v>20000</v>
      </c>
      <c r="AG166" s="692">
        <f t="shared" si="62"/>
        <v>0</v>
      </c>
      <c r="AH166" s="692">
        <f t="shared" si="63"/>
        <v>0</v>
      </c>
      <c r="AJ166" s="38">
        <f t="shared" si="64"/>
        <v>28577.620000000003</v>
      </c>
    </row>
    <row r="167" spans="1:36" s="232" customFormat="1">
      <c r="A167" s="403"/>
      <c r="B167" s="403" t="s">
        <v>110</v>
      </c>
      <c r="C167" s="666"/>
      <c r="D167" s="123" t="s">
        <v>378</v>
      </c>
      <c r="E167" s="679"/>
      <c r="F167" s="529">
        <f>VLOOKUP(D167,'Aug 2012 Revenue'!D:T,17,FALSE)</f>
        <v>0</v>
      </c>
      <c r="G167" s="680"/>
      <c r="H167" s="680"/>
      <c r="I167" s="755"/>
      <c r="J167" s="682">
        <f t="shared" si="49"/>
        <v>0</v>
      </c>
      <c r="K167" s="683"/>
      <c r="L167" s="684"/>
      <c r="M167" s="753"/>
      <c r="N167" s="683">
        <v>0</v>
      </c>
      <c r="O167" s="686"/>
      <c r="P167" s="683">
        <v>0</v>
      </c>
      <c r="Q167" s="687">
        <f t="shared" si="51"/>
        <v>0</v>
      </c>
      <c r="R167" s="688">
        <v>0</v>
      </c>
      <c r="S167" s="693"/>
      <c r="T167" s="690">
        <f t="shared" si="52"/>
        <v>0</v>
      </c>
      <c r="U167" s="683"/>
      <c r="V167" s="474">
        <f t="shared" si="53"/>
        <v>0</v>
      </c>
      <c r="W167" s="474">
        <f t="shared" si="54"/>
        <v>0</v>
      </c>
      <c r="X167" s="475">
        <f t="shared" si="55"/>
        <v>0</v>
      </c>
      <c r="Y167" s="475">
        <v>0</v>
      </c>
      <c r="Z167" s="476">
        <v>0</v>
      </c>
      <c r="AA167" s="38">
        <f t="shared" si="56"/>
        <v>0</v>
      </c>
      <c r="AB167" s="692">
        <f t="shared" si="58"/>
        <v>0</v>
      </c>
      <c r="AC167" s="692">
        <f t="shared" si="59"/>
        <v>0</v>
      </c>
      <c r="AD167" s="692">
        <f t="shared" si="60"/>
        <v>0</v>
      </c>
      <c r="AE167" s="38"/>
      <c r="AF167" s="692">
        <f t="shared" si="61"/>
        <v>0</v>
      </c>
      <c r="AG167" s="692">
        <f t="shared" si="62"/>
        <v>0</v>
      </c>
      <c r="AH167" s="692">
        <f t="shared" si="63"/>
        <v>0</v>
      </c>
      <c r="AJ167" s="38">
        <f t="shared" si="64"/>
        <v>0</v>
      </c>
    </row>
    <row r="168" spans="1:36" s="232" customFormat="1">
      <c r="A168" s="403"/>
      <c r="B168" s="403" t="s">
        <v>110</v>
      </c>
      <c r="C168" s="666" t="s">
        <v>568</v>
      </c>
      <c r="D168" s="123" t="s">
        <v>303</v>
      </c>
      <c r="E168" s="679"/>
      <c r="F168" s="529">
        <f>VLOOKUP(D168,'Aug 2012 Revenue'!D:T,17,FALSE)</f>
        <v>6866.429999999993</v>
      </c>
      <c r="G168" s="680"/>
      <c r="H168" s="680"/>
      <c r="I168" s="755"/>
      <c r="J168" s="682">
        <f t="shared" si="49"/>
        <v>6866.429999999993</v>
      </c>
      <c r="K168" s="683"/>
      <c r="L168" s="684"/>
      <c r="M168" s="753">
        <v>85000</v>
      </c>
      <c r="N168" s="683">
        <v>0</v>
      </c>
      <c r="O168" s="686"/>
      <c r="P168" s="683">
        <v>0</v>
      </c>
      <c r="Q168" s="687">
        <f t="shared" si="51"/>
        <v>85000</v>
      </c>
      <c r="R168" s="688">
        <v>0</v>
      </c>
      <c r="S168" s="693"/>
      <c r="T168" s="690">
        <f t="shared" si="52"/>
        <v>-85000</v>
      </c>
      <c r="U168" s="683"/>
      <c r="V168" s="474">
        <f t="shared" si="53"/>
        <v>85000</v>
      </c>
      <c r="W168" s="474">
        <f t="shared" si="54"/>
        <v>0</v>
      </c>
      <c r="X168" s="475">
        <f t="shared" si="55"/>
        <v>0</v>
      </c>
      <c r="Y168" s="475">
        <v>0</v>
      </c>
      <c r="Z168" s="476">
        <v>0</v>
      </c>
      <c r="AA168" s="38">
        <f t="shared" si="56"/>
        <v>0</v>
      </c>
      <c r="AB168" s="692">
        <f t="shared" si="58"/>
        <v>6866.429999999993</v>
      </c>
      <c r="AC168" s="692">
        <f t="shared" si="59"/>
        <v>0</v>
      </c>
      <c r="AD168" s="692">
        <f t="shared" si="60"/>
        <v>0</v>
      </c>
      <c r="AE168" s="38"/>
      <c r="AF168" s="692">
        <f t="shared" si="61"/>
        <v>85000</v>
      </c>
      <c r="AG168" s="692">
        <f t="shared" si="62"/>
        <v>0</v>
      </c>
      <c r="AH168" s="692">
        <f t="shared" si="63"/>
        <v>0</v>
      </c>
      <c r="AJ168" s="38">
        <f t="shared" si="64"/>
        <v>91866.43</v>
      </c>
    </row>
    <row r="169" spans="1:36" s="232" customFormat="1">
      <c r="A169" s="403"/>
      <c r="B169" s="403" t="s">
        <v>110</v>
      </c>
      <c r="C169" s="666"/>
      <c r="D169" s="123" t="s">
        <v>856</v>
      </c>
      <c r="E169" s="679">
        <f>33216.88+19278.38</f>
        <v>52495.259999999995</v>
      </c>
      <c r="F169" s="529">
        <f>VLOOKUP(D169,'Aug 2012 Revenue'!D:T,17,FALSE)</f>
        <v>11584.92</v>
      </c>
      <c r="G169" s="680"/>
      <c r="H169" s="680"/>
      <c r="I169" s="755"/>
      <c r="J169" s="682">
        <f t="shared" si="49"/>
        <v>64080.179999999993</v>
      </c>
      <c r="K169" s="683"/>
      <c r="L169" s="684"/>
      <c r="M169" s="753">
        <v>11000</v>
      </c>
      <c r="N169" s="683">
        <v>0</v>
      </c>
      <c r="O169" s="686"/>
      <c r="P169" s="683">
        <v>0</v>
      </c>
      <c r="Q169" s="687">
        <f t="shared" si="51"/>
        <v>11000</v>
      </c>
      <c r="R169" s="688">
        <v>0</v>
      </c>
      <c r="S169" s="693"/>
      <c r="T169" s="690">
        <f t="shared" si="52"/>
        <v>-11000</v>
      </c>
      <c r="U169" s="683"/>
      <c r="V169" s="474">
        <f t="shared" si="53"/>
        <v>11000</v>
      </c>
      <c r="W169" s="474">
        <f t="shared" si="54"/>
        <v>0</v>
      </c>
      <c r="X169" s="475">
        <f t="shared" si="55"/>
        <v>0</v>
      </c>
      <c r="Y169" s="475">
        <v>0</v>
      </c>
      <c r="Z169" s="476">
        <v>0</v>
      </c>
      <c r="AA169" s="38">
        <f t="shared" si="56"/>
        <v>0</v>
      </c>
      <c r="AB169" s="692">
        <f t="shared" si="58"/>
        <v>64080.179999999993</v>
      </c>
      <c r="AC169" s="692">
        <f t="shared" si="59"/>
        <v>0</v>
      </c>
      <c r="AD169" s="692">
        <f t="shared" si="60"/>
        <v>0</v>
      </c>
      <c r="AE169" s="38"/>
      <c r="AF169" s="692">
        <f t="shared" si="61"/>
        <v>11000</v>
      </c>
      <c r="AG169" s="692">
        <f t="shared" si="62"/>
        <v>0</v>
      </c>
      <c r="AH169" s="692">
        <f t="shared" si="63"/>
        <v>0</v>
      </c>
      <c r="AJ169" s="38">
        <f t="shared" si="64"/>
        <v>75080.179999999993</v>
      </c>
    </row>
    <row r="170" spans="1:36" s="232" customFormat="1">
      <c r="A170" s="403"/>
      <c r="B170" s="403" t="s">
        <v>109</v>
      </c>
      <c r="C170" s="666" t="s">
        <v>569</v>
      </c>
      <c r="D170" s="123" t="s">
        <v>468</v>
      </c>
      <c r="E170" s="679"/>
      <c r="F170" s="529">
        <f>VLOOKUP(D170,'Aug 2012 Revenue'!D:T,17,FALSE)</f>
        <v>-3481.9199999999983</v>
      </c>
      <c r="G170" s="680"/>
      <c r="H170" s="680"/>
      <c r="I170" s="755"/>
      <c r="J170" s="682">
        <f t="shared" si="49"/>
        <v>-3481.9199999999983</v>
      </c>
      <c r="K170" s="683"/>
      <c r="L170" s="684"/>
      <c r="M170" s="753">
        <v>27000</v>
      </c>
      <c r="N170" s="683">
        <v>0</v>
      </c>
      <c r="O170" s="686"/>
      <c r="P170" s="683">
        <v>0</v>
      </c>
      <c r="Q170" s="687">
        <f t="shared" si="51"/>
        <v>27000</v>
      </c>
      <c r="R170" s="688">
        <v>0</v>
      </c>
      <c r="S170" s="693"/>
      <c r="T170" s="690">
        <f t="shared" si="52"/>
        <v>-27000</v>
      </c>
      <c r="U170" s="683"/>
      <c r="V170" s="474">
        <f t="shared" si="53"/>
        <v>0</v>
      </c>
      <c r="W170" s="474">
        <f t="shared" si="54"/>
        <v>27000</v>
      </c>
      <c r="X170" s="475">
        <f t="shared" si="55"/>
        <v>0</v>
      </c>
      <c r="Y170" s="475">
        <v>0</v>
      </c>
      <c r="Z170" s="476">
        <v>0</v>
      </c>
      <c r="AA170" s="38">
        <f t="shared" si="56"/>
        <v>0</v>
      </c>
      <c r="AB170" s="692">
        <f t="shared" si="58"/>
        <v>0</v>
      </c>
      <c r="AC170" s="692">
        <f t="shared" si="59"/>
        <v>-3481.9199999999983</v>
      </c>
      <c r="AD170" s="692">
        <f t="shared" si="60"/>
        <v>0</v>
      </c>
      <c r="AE170" s="38"/>
      <c r="AF170" s="692">
        <f t="shared" si="61"/>
        <v>0</v>
      </c>
      <c r="AG170" s="692">
        <f t="shared" si="62"/>
        <v>27000</v>
      </c>
      <c r="AH170" s="692">
        <f t="shared" si="63"/>
        <v>0</v>
      </c>
      <c r="AJ170" s="38">
        <f t="shared" si="64"/>
        <v>23518.080000000002</v>
      </c>
    </row>
    <row r="171" spans="1:36">
      <c r="A171" s="20"/>
      <c r="B171" s="20" t="s">
        <v>110</v>
      </c>
      <c r="C171" s="676" t="s">
        <v>844</v>
      </c>
      <c r="D171" s="68" t="s">
        <v>845</v>
      </c>
      <c r="E171" s="679"/>
      <c r="F171" s="529">
        <f>VLOOKUP(D171,'Aug 2012 Revenue'!D:T,17,FALSE)</f>
        <v>0</v>
      </c>
      <c r="G171" s="680"/>
      <c r="H171" s="680"/>
      <c r="I171" s="755"/>
      <c r="J171" s="682">
        <f t="shared" ref="J171" si="66">SUM(E171:I171)</f>
        <v>0</v>
      </c>
      <c r="K171" s="683"/>
      <c r="L171" s="684"/>
      <c r="M171" s="753"/>
      <c r="N171" s="683">
        <v>0</v>
      </c>
      <c r="O171" s="686"/>
      <c r="P171" s="683">
        <v>0</v>
      </c>
      <c r="Q171" s="687">
        <f t="shared" si="51"/>
        <v>0</v>
      </c>
      <c r="R171" s="688">
        <v>0</v>
      </c>
      <c r="S171" s="693"/>
      <c r="T171" s="690">
        <f t="shared" si="52"/>
        <v>0</v>
      </c>
      <c r="U171" s="683"/>
      <c r="V171" s="474">
        <f t="shared" si="53"/>
        <v>0</v>
      </c>
      <c r="W171" s="474">
        <f t="shared" si="54"/>
        <v>0</v>
      </c>
      <c r="X171" s="475">
        <f t="shared" si="55"/>
        <v>0</v>
      </c>
      <c r="Y171" s="475">
        <v>0</v>
      </c>
      <c r="Z171" s="476">
        <v>0</v>
      </c>
      <c r="AA171" s="38">
        <f t="shared" si="56"/>
        <v>0</v>
      </c>
      <c r="AB171" s="692">
        <f t="shared" si="58"/>
        <v>0</v>
      </c>
      <c r="AC171" s="692">
        <f t="shared" si="59"/>
        <v>0</v>
      </c>
      <c r="AD171" s="692">
        <f t="shared" si="60"/>
        <v>0</v>
      </c>
      <c r="AE171" s="38"/>
      <c r="AF171" s="692">
        <f t="shared" si="61"/>
        <v>0</v>
      </c>
      <c r="AG171" s="692">
        <f t="shared" si="62"/>
        <v>0</v>
      </c>
      <c r="AH171" s="692">
        <f t="shared" si="63"/>
        <v>0</v>
      </c>
      <c r="AJ171" s="38">
        <f t="shared" si="64"/>
        <v>0</v>
      </c>
    </row>
    <row r="172" spans="1:36">
      <c r="A172" s="20"/>
      <c r="B172" s="20" t="s">
        <v>109</v>
      </c>
      <c r="C172" s="667" t="s">
        <v>570</v>
      </c>
      <c r="D172" s="68" t="s">
        <v>41</v>
      </c>
      <c r="E172" s="679"/>
      <c r="F172" s="529">
        <f>VLOOKUP(D172,'Aug 2012 Revenue'!D:T,17,FALSE)</f>
        <v>0</v>
      </c>
      <c r="G172" s="680"/>
      <c r="H172" s="680"/>
      <c r="I172" s="755"/>
      <c r="J172" s="682">
        <f t="shared" si="49"/>
        <v>0</v>
      </c>
      <c r="K172" s="683"/>
      <c r="L172" s="684"/>
      <c r="M172" s="753"/>
      <c r="N172" s="683">
        <v>0</v>
      </c>
      <c r="O172" s="686"/>
      <c r="P172" s="683">
        <v>0</v>
      </c>
      <c r="Q172" s="687">
        <f t="shared" si="51"/>
        <v>0</v>
      </c>
      <c r="R172" s="688">
        <v>0</v>
      </c>
      <c r="S172" s="693"/>
      <c r="T172" s="690">
        <f t="shared" si="52"/>
        <v>0</v>
      </c>
      <c r="U172" s="683"/>
      <c r="V172" s="474">
        <f t="shared" si="53"/>
        <v>0</v>
      </c>
      <c r="W172" s="474">
        <f t="shared" si="54"/>
        <v>0</v>
      </c>
      <c r="X172" s="475">
        <f t="shared" si="55"/>
        <v>0</v>
      </c>
      <c r="Y172" s="475">
        <v>0</v>
      </c>
      <c r="Z172" s="476">
        <v>0</v>
      </c>
      <c r="AA172" s="38">
        <f t="shared" si="56"/>
        <v>0</v>
      </c>
      <c r="AB172" s="692">
        <f t="shared" si="58"/>
        <v>0</v>
      </c>
      <c r="AC172" s="692">
        <f t="shared" si="59"/>
        <v>0</v>
      </c>
      <c r="AD172" s="692">
        <f t="shared" si="60"/>
        <v>0</v>
      </c>
      <c r="AE172" s="38"/>
      <c r="AF172" s="692">
        <f t="shared" si="61"/>
        <v>0</v>
      </c>
      <c r="AG172" s="692">
        <f t="shared" si="62"/>
        <v>0</v>
      </c>
      <c r="AH172" s="692">
        <f t="shared" si="63"/>
        <v>0</v>
      </c>
      <c r="AJ172" s="38">
        <f t="shared" si="64"/>
        <v>0</v>
      </c>
    </row>
    <row r="173" spans="1:36">
      <c r="A173" s="20"/>
      <c r="B173" s="20" t="s">
        <v>109</v>
      </c>
      <c r="C173" s="667" t="s">
        <v>570</v>
      </c>
      <c r="D173" s="68" t="s">
        <v>221</v>
      </c>
      <c r="E173" s="679"/>
      <c r="F173" s="529">
        <f>VLOOKUP(D173,'Aug 2012 Revenue'!D:T,17,FALSE)</f>
        <v>0</v>
      </c>
      <c r="G173" s="680"/>
      <c r="H173" s="680"/>
      <c r="I173" s="755"/>
      <c r="J173" s="682">
        <f t="shared" si="49"/>
        <v>0</v>
      </c>
      <c r="K173" s="683"/>
      <c r="L173" s="684"/>
      <c r="M173" s="753"/>
      <c r="N173" s="683">
        <v>0</v>
      </c>
      <c r="O173" s="686"/>
      <c r="P173" s="683">
        <v>0</v>
      </c>
      <c r="Q173" s="687">
        <f t="shared" si="51"/>
        <v>0</v>
      </c>
      <c r="R173" s="688">
        <v>0</v>
      </c>
      <c r="S173" s="693"/>
      <c r="T173" s="690">
        <f t="shared" si="52"/>
        <v>0</v>
      </c>
      <c r="U173" s="683"/>
      <c r="V173" s="474">
        <f t="shared" si="53"/>
        <v>0</v>
      </c>
      <c r="W173" s="474">
        <f t="shared" si="54"/>
        <v>0</v>
      </c>
      <c r="X173" s="475">
        <f t="shared" si="55"/>
        <v>0</v>
      </c>
      <c r="Y173" s="475">
        <v>0</v>
      </c>
      <c r="Z173" s="476">
        <v>0</v>
      </c>
      <c r="AA173" s="38">
        <f t="shared" si="56"/>
        <v>0</v>
      </c>
      <c r="AB173" s="692">
        <f t="shared" si="58"/>
        <v>0</v>
      </c>
      <c r="AC173" s="692">
        <f t="shared" si="59"/>
        <v>0</v>
      </c>
      <c r="AD173" s="692">
        <f t="shared" si="60"/>
        <v>0</v>
      </c>
      <c r="AE173" s="38"/>
      <c r="AF173" s="692">
        <f t="shared" si="61"/>
        <v>0</v>
      </c>
      <c r="AG173" s="692">
        <f t="shared" si="62"/>
        <v>0</v>
      </c>
      <c r="AH173" s="692">
        <f t="shared" si="63"/>
        <v>0</v>
      </c>
      <c r="AJ173" s="38">
        <f t="shared" si="64"/>
        <v>0</v>
      </c>
    </row>
    <row r="174" spans="1:36">
      <c r="A174" s="21"/>
      <c r="B174" s="21" t="s">
        <v>110</v>
      </c>
      <c r="C174" s="666"/>
      <c r="D174" s="68" t="s">
        <v>43</v>
      </c>
      <c r="E174" s="679"/>
      <c r="F174" s="529">
        <f>VLOOKUP(D174,'Aug 2012 Revenue'!D:T,17,FALSE)</f>
        <v>354.93</v>
      </c>
      <c r="G174" s="680"/>
      <c r="H174" s="680"/>
      <c r="I174" s="755"/>
      <c r="J174" s="682">
        <f t="shared" si="49"/>
        <v>354.93</v>
      </c>
      <c r="K174" s="683"/>
      <c r="L174" s="684"/>
      <c r="M174" s="753"/>
      <c r="N174" s="683">
        <v>0</v>
      </c>
      <c r="O174" s="686"/>
      <c r="P174" s="683">
        <v>0</v>
      </c>
      <c r="Q174" s="687">
        <f t="shared" si="51"/>
        <v>0</v>
      </c>
      <c r="R174" s="688">
        <v>346.79</v>
      </c>
      <c r="S174" s="693"/>
      <c r="T174" s="690">
        <f t="shared" si="52"/>
        <v>346.79</v>
      </c>
      <c r="U174" s="683"/>
      <c r="V174" s="474">
        <f t="shared" si="53"/>
        <v>0</v>
      </c>
      <c r="W174" s="474">
        <f t="shared" si="54"/>
        <v>0</v>
      </c>
      <c r="X174" s="475">
        <f t="shared" si="55"/>
        <v>0</v>
      </c>
      <c r="Y174" s="475">
        <v>0</v>
      </c>
      <c r="Z174" s="476">
        <v>0</v>
      </c>
      <c r="AA174" s="38">
        <f t="shared" si="56"/>
        <v>0</v>
      </c>
      <c r="AB174" s="692">
        <f t="shared" si="58"/>
        <v>354.93</v>
      </c>
      <c r="AC174" s="692">
        <f t="shared" si="59"/>
        <v>0</v>
      </c>
      <c r="AD174" s="692">
        <f t="shared" si="60"/>
        <v>0</v>
      </c>
      <c r="AE174" s="38"/>
      <c r="AF174" s="692">
        <f t="shared" si="61"/>
        <v>0</v>
      </c>
      <c r="AG174" s="692">
        <f t="shared" si="62"/>
        <v>0</v>
      </c>
      <c r="AH174" s="692">
        <f t="shared" si="63"/>
        <v>0</v>
      </c>
      <c r="AJ174" s="38">
        <f t="shared" si="64"/>
        <v>354.93</v>
      </c>
    </row>
    <row r="175" spans="1:36">
      <c r="A175" s="21"/>
      <c r="B175" s="21" t="s">
        <v>109</v>
      </c>
      <c r="C175" s="666" t="s">
        <v>571</v>
      </c>
      <c r="D175" s="68" t="s">
        <v>44</v>
      </c>
      <c r="E175" s="679"/>
      <c r="F175" s="529">
        <f>VLOOKUP(D175,'Aug 2012 Revenue'!D:T,17,FALSE)</f>
        <v>0</v>
      </c>
      <c r="G175" s="680"/>
      <c r="H175" s="680"/>
      <c r="I175" s="770">
        <f>158.4+2947.2</f>
        <v>3105.6</v>
      </c>
      <c r="J175" s="682">
        <f t="shared" si="49"/>
        <v>3105.6</v>
      </c>
      <c r="K175" s="683"/>
      <c r="L175" s="684"/>
      <c r="M175" s="753"/>
      <c r="N175" s="683">
        <v>0</v>
      </c>
      <c r="O175" s="686"/>
      <c r="P175" s="683">
        <v>0</v>
      </c>
      <c r="Q175" s="687">
        <f t="shared" si="51"/>
        <v>0</v>
      </c>
      <c r="R175" s="688">
        <v>0</v>
      </c>
      <c r="S175" s="693"/>
      <c r="T175" s="690">
        <f t="shared" si="52"/>
        <v>0</v>
      </c>
      <c r="U175" s="683"/>
      <c r="V175" s="474">
        <f t="shared" si="53"/>
        <v>0</v>
      </c>
      <c r="W175" s="474">
        <f t="shared" si="54"/>
        <v>0</v>
      </c>
      <c r="X175" s="475">
        <f t="shared" si="55"/>
        <v>0</v>
      </c>
      <c r="Y175" s="475">
        <v>0</v>
      </c>
      <c r="Z175" s="476">
        <v>0</v>
      </c>
      <c r="AA175" s="38">
        <f t="shared" si="56"/>
        <v>0</v>
      </c>
      <c r="AB175" s="692">
        <f t="shared" si="58"/>
        <v>0</v>
      </c>
      <c r="AC175" s="692">
        <f t="shared" si="59"/>
        <v>3105.6</v>
      </c>
      <c r="AD175" s="692">
        <f t="shared" si="60"/>
        <v>0</v>
      </c>
      <c r="AE175" s="38"/>
      <c r="AF175" s="692">
        <f t="shared" si="61"/>
        <v>0</v>
      </c>
      <c r="AG175" s="692">
        <f t="shared" si="62"/>
        <v>0</v>
      </c>
      <c r="AH175" s="692">
        <f t="shared" si="63"/>
        <v>0</v>
      </c>
      <c r="AJ175" s="38">
        <f t="shared" si="64"/>
        <v>3105.6</v>
      </c>
    </row>
    <row r="176" spans="1:36">
      <c r="A176" s="21"/>
      <c r="B176" s="21" t="s">
        <v>114</v>
      </c>
      <c r="C176" s="666" t="s">
        <v>571</v>
      </c>
      <c r="D176" s="68" t="s">
        <v>44</v>
      </c>
      <c r="E176" s="679"/>
      <c r="F176" s="529">
        <f>VLOOKUP(D176,'Aug 2012 Revenue'!D:T,17,FALSE)</f>
        <v>0</v>
      </c>
      <c r="G176" s="680"/>
      <c r="H176" s="680"/>
      <c r="I176" s="770">
        <f>4.5+118.8</f>
        <v>123.3</v>
      </c>
      <c r="J176" s="682">
        <f t="shared" ref="J176" si="67">SUM(E176:I176)</f>
        <v>123.3</v>
      </c>
      <c r="K176" s="683"/>
      <c r="L176" s="684"/>
      <c r="M176" s="753"/>
      <c r="N176" s="683">
        <v>0</v>
      </c>
      <c r="O176" s="686"/>
      <c r="P176" s="683">
        <v>0</v>
      </c>
      <c r="Q176" s="687">
        <f t="shared" si="51"/>
        <v>0</v>
      </c>
      <c r="R176" s="688">
        <v>0</v>
      </c>
      <c r="S176" s="693"/>
      <c r="T176" s="690">
        <f t="shared" si="52"/>
        <v>0</v>
      </c>
      <c r="U176" s="683"/>
      <c r="V176" s="474">
        <f t="shared" si="53"/>
        <v>0</v>
      </c>
      <c r="W176" s="474">
        <f t="shared" si="54"/>
        <v>0</v>
      </c>
      <c r="X176" s="475">
        <f t="shared" si="55"/>
        <v>0</v>
      </c>
      <c r="Y176" s="475">
        <v>0</v>
      </c>
      <c r="Z176" s="476">
        <v>0</v>
      </c>
      <c r="AA176" s="38">
        <f t="shared" si="56"/>
        <v>0</v>
      </c>
      <c r="AB176" s="692">
        <f t="shared" si="58"/>
        <v>0</v>
      </c>
      <c r="AC176" s="692">
        <f t="shared" si="59"/>
        <v>0</v>
      </c>
      <c r="AD176" s="692">
        <f t="shared" si="60"/>
        <v>123.3</v>
      </c>
      <c r="AE176" s="38"/>
      <c r="AF176" s="692">
        <f t="shared" si="61"/>
        <v>0</v>
      </c>
      <c r="AG176" s="692">
        <f t="shared" si="62"/>
        <v>0</v>
      </c>
      <c r="AH176" s="692">
        <f t="shared" si="63"/>
        <v>0</v>
      </c>
      <c r="AJ176" s="38">
        <f t="shared" si="64"/>
        <v>123.3</v>
      </c>
    </row>
    <row r="177" spans="1:36">
      <c r="A177" s="21"/>
      <c r="B177" s="21" t="s">
        <v>110</v>
      </c>
      <c r="C177" s="666" t="s">
        <v>572</v>
      </c>
      <c r="D177" s="68" t="s">
        <v>388</v>
      </c>
      <c r="E177" s="679"/>
      <c r="F177" s="529">
        <f>VLOOKUP(D177,'Aug 2012 Revenue'!D:T,17,FALSE)</f>
        <v>-11000</v>
      </c>
      <c r="G177" s="680"/>
      <c r="H177" s="680"/>
      <c r="I177" s="755"/>
      <c r="J177" s="682">
        <f t="shared" si="49"/>
        <v>-11000</v>
      </c>
      <c r="K177" s="683"/>
      <c r="L177" s="684"/>
      <c r="M177" s="753">
        <v>22000</v>
      </c>
      <c r="N177" s="683">
        <v>0</v>
      </c>
      <c r="O177" s="686"/>
      <c r="P177" s="683">
        <v>0</v>
      </c>
      <c r="Q177" s="687">
        <f t="shared" si="51"/>
        <v>22000</v>
      </c>
      <c r="R177" s="688">
        <v>0</v>
      </c>
      <c r="S177" s="693"/>
      <c r="T177" s="690">
        <f t="shared" si="52"/>
        <v>-22000</v>
      </c>
      <c r="U177" s="683"/>
      <c r="V177" s="474">
        <f t="shared" si="53"/>
        <v>22000</v>
      </c>
      <c r="W177" s="474">
        <f t="shared" si="54"/>
        <v>0</v>
      </c>
      <c r="X177" s="475">
        <f t="shared" si="55"/>
        <v>0</v>
      </c>
      <c r="Y177" s="475">
        <v>0</v>
      </c>
      <c r="Z177" s="476">
        <v>0</v>
      </c>
      <c r="AA177" s="38">
        <f t="shared" si="56"/>
        <v>0</v>
      </c>
      <c r="AB177" s="692">
        <f t="shared" si="58"/>
        <v>-11000</v>
      </c>
      <c r="AC177" s="692">
        <f t="shared" si="59"/>
        <v>0</v>
      </c>
      <c r="AD177" s="692">
        <f t="shared" si="60"/>
        <v>0</v>
      </c>
      <c r="AE177" s="38"/>
      <c r="AF177" s="692">
        <f t="shared" si="61"/>
        <v>22000</v>
      </c>
      <c r="AG177" s="692">
        <f t="shared" si="62"/>
        <v>0</v>
      </c>
      <c r="AH177" s="692">
        <f t="shared" si="63"/>
        <v>0</v>
      </c>
      <c r="AJ177" s="38">
        <f t="shared" si="64"/>
        <v>11000</v>
      </c>
    </row>
    <row r="178" spans="1:36">
      <c r="A178" s="20"/>
      <c r="B178" s="20" t="s">
        <v>109</v>
      </c>
      <c r="C178" s="667"/>
      <c r="D178" s="68" t="s">
        <v>842</v>
      </c>
      <c r="E178" s="679">
        <v>-3099.68</v>
      </c>
      <c r="F178" s="529">
        <f>VLOOKUP(D178,'Aug 2012 Revenue'!D:T,17,FALSE)</f>
        <v>-10000</v>
      </c>
      <c r="G178" s="680"/>
      <c r="H178" s="680"/>
      <c r="I178" s="755"/>
      <c r="J178" s="682">
        <f t="shared" ref="J178" si="68">SUM(E178:I178)</f>
        <v>-13099.68</v>
      </c>
      <c r="K178" s="683"/>
      <c r="L178" s="684"/>
      <c r="M178" s="753">
        <v>20000</v>
      </c>
      <c r="N178" s="683">
        <v>0</v>
      </c>
      <c r="O178" s="686"/>
      <c r="P178" s="683">
        <v>0</v>
      </c>
      <c r="Q178" s="687">
        <f t="shared" si="51"/>
        <v>20000</v>
      </c>
      <c r="R178" s="688">
        <v>10882.63</v>
      </c>
      <c r="S178" s="693"/>
      <c r="T178" s="690">
        <f t="shared" si="52"/>
        <v>-9117.3700000000008</v>
      </c>
      <c r="U178" s="683"/>
      <c r="V178" s="474">
        <f t="shared" si="53"/>
        <v>0</v>
      </c>
      <c r="W178" s="474">
        <f t="shared" si="54"/>
        <v>20000</v>
      </c>
      <c r="X178" s="475">
        <f t="shared" si="55"/>
        <v>0</v>
      </c>
      <c r="Y178" s="475">
        <v>0</v>
      </c>
      <c r="Z178" s="476">
        <v>0</v>
      </c>
      <c r="AA178" s="38">
        <f t="shared" si="56"/>
        <v>0</v>
      </c>
      <c r="AB178" s="692">
        <f t="shared" si="58"/>
        <v>0</v>
      </c>
      <c r="AC178" s="692">
        <f t="shared" si="59"/>
        <v>-13099.68</v>
      </c>
      <c r="AD178" s="692">
        <f t="shared" si="60"/>
        <v>0</v>
      </c>
      <c r="AE178" s="38"/>
      <c r="AF178" s="692">
        <f t="shared" si="61"/>
        <v>0</v>
      </c>
      <c r="AG178" s="692">
        <f t="shared" si="62"/>
        <v>20000</v>
      </c>
      <c r="AH178" s="692">
        <f t="shared" si="63"/>
        <v>0</v>
      </c>
      <c r="AJ178" s="38">
        <f t="shared" si="64"/>
        <v>6900.32</v>
      </c>
    </row>
    <row r="179" spans="1:36">
      <c r="A179" s="21"/>
      <c r="B179" s="21" t="s">
        <v>110</v>
      </c>
      <c r="C179" s="666"/>
      <c r="D179" s="68" t="s">
        <v>45</v>
      </c>
      <c r="E179" s="679">
        <f>13388.29+642.82</f>
        <v>14031.11</v>
      </c>
      <c r="F179" s="529">
        <f>VLOOKUP(D179,'Aug 2012 Revenue'!D:T,17,FALSE)</f>
        <v>-9034.7999999999993</v>
      </c>
      <c r="G179" s="680"/>
      <c r="H179" s="680"/>
      <c r="I179" s="755"/>
      <c r="J179" s="682">
        <f t="shared" si="49"/>
        <v>4996.3100000000013</v>
      </c>
      <c r="K179" s="683"/>
      <c r="L179" s="684"/>
      <c r="M179" s="753">
        <v>28000</v>
      </c>
      <c r="N179" s="683">
        <v>0</v>
      </c>
      <c r="O179" s="686"/>
      <c r="P179" s="683">
        <v>0</v>
      </c>
      <c r="Q179" s="687">
        <f t="shared" si="51"/>
        <v>28000</v>
      </c>
      <c r="R179" s="688">
        <f>15053.82+748.93</f>
        <v>15802.75</v>
      </c>
      <c r="S179" s="693"/>
      <c r="T179" s="690">
        <f t="shared" si="52"/>
        <v>-12197.25</v>
      </c>
      <c r="U179" s="683"/>
      <c r="V179" s="474">
        <f t="shared" si="53"/>
        <v>28000</v>
      </c>
      <c r="W179" s="474">
        <f t="shared" si="54"/>
        <v>0</v>
      </c>
      <c r="X179" s="475">
        <f t="shared" si="55"/>
        <v>0</v>
      </c>
      <c r="Y179" s="475">
        <v>0</v>
      </c>
      <c r="Z179" s="476">
        <v>0</v>
      </c>
      <c r="AA179" s="38">
        <f t="shared" si="56"/>
        <v>0</v>
      </c>
      <c r="AB179" s="692">
        <f t="shared" si="58"/>
        <v>4996.3100000000013</v>
      </c>
      <c r="AC179" s="692">
        <f t="shared" si="59"/>
        <v>0</v>
      </c>
      <c r="AD179" s="692">
        <f t="shared" si="60"/>
        <v>0</v>
      </c>
      <c r="AE179" s="38"/>
      <c r="AF179" s="692">
        <f t="shared" si="61"/>
        <v>28000</v>
      </c>
      <c r="AG179" s="692">
        <f t="shared" si="62"/>
        <v>0</v>
      </c>
      <c r="AH179" s="692">
        <f t="shared" si="63"/>
        <v>0</v>
      </c>
      <c r="AJ179" s="38">
        <f t="shared" si="64"/>
        <v>32996.31</v>
      </c>
    </row>
    <row r="180" spans="1:36">
      <c r="A180" s="20" t="s">
        <v>211</v>
      </c>
      <c r="B180" s="20" t="s">
        <v>110</v>
      </c>
      <c r="C180" s="667"/>
      <c r="D180" s="68" t="s">
        <v>503</v>
      </c>
      <c r="E180" s="679"/>
      <c r="F180" s="529">
        <f>VLOOKUP(D180,'Aug 2012 Revenue'!D:T,17,FALSE)</f>
        <v>0</v>
      </c>
      <c r="G180" s="680"/>
      <c r="H180" s="680"/>
      <c r="I180" s="755"/>
      <c r="J180" s="682">
        <f t="shared" ref="J180" si="69">SUM(E180:I180)</f>
        <v>0</v>
      </c>
      <c r="K180" s="683"/>
      <c r="L180" s="684"/>
      <c r="M180" s="753"/>
      <c r="N180" s="683">
        <v>0</v>
      </c>
      <c r="O180" s="686"/>
      <c r="P180" s="683">
        <v>0</v>
      </c>
      <c r="Q180" s="687">
        <f t="shared" si="51"/>
        <v>0</v>
      </c>
      <c r="R180" s="688">
        <v>0</v>
      </c>
      <c r="S180" s="693"/>
      <c r="T180" s="690">
        <f t="shared" si="52"/>
        <v>0</v>
      </c>
      <c r="U180" s="697"/>
      <c r="V180" s="474">
        <f t="shared" si="53"/>
        <v>0</v>
      </c>
      <c r="W180" s="474">
        <f t="shared" si="54"/>
        <v>0</v>
      </c>
      <c r="X180" s="475">
        <f t="shared" si="55"/>
        <v>0</v>
      </c>
      <c r="Y180" s="475">
        <v>0</v>
      </c>
      <c r="Z180" s="476">
        <v>0</v>
      </c>
      <c r="AA180" s="38">
        <f t="shared" si="56"/>
        <v>0</v>
      </c>
      <c r="AB180" s="692">
        <f t="shared" si="58"/>
        <v>0</v>
      </c>
      <c r="AC180" s="692">
        <f t="shared" si="59"/>
        <v>0</v>
      </c>
      <c r="AD180" s="692">
        <f t="shared" si="60"/>
        <v>0</v>
      </c>
      <c r="AE180" s="38"/>
      <c r="AF180" s="692">
        <f t="shared" si="61"/>
        <v>0</v>
      </c>
      <c r="AG180" s="692">
        <f t="shared" si="62"/>
        <v>0</v>
      </c>
      <c r="AH180" s="692">
        <f t="shared" si="63"/>
        <v>0</v>
      </c>
      <c r="AJ180" s="38">
        <f t="shared" si="64"/>
        <v>0</v>
      </c>
    </row>
    <row r="181" spans="1:36">
      <c r="A181" s="20"/>
      <c r="B181" s="20" t="s">
        <v>110</v>
      </c>
      <c r="C181" s="667" t="s">
        <v>573</v>
      </c>
      <c r="D181" s="68" t="s">
        <v>102</v>
      </c>
      <c r="E181" s="679"/>
      <c r="F181" s="529">
        <f>VLOOKUP(D181,'Aug 2012 Revenue'!D:T,17,FALSE)</f>
        <v>56661.919999999925</v>
      </c>
      <c r="G181" s="680"/>
      <c r="H181" s="680"/>
      <c r="I181" s="755"/>
      <c r="J181" s="682">
        <f t="shared" si="49"/>
        <v>56661.919999999925</v>
      </c>
      <c r="K181" s="683"/>
      <c r="L181" s="684"/>
      <c r="M181" s="753">
        <v>830000</v>
      </c>
      <c r="N181" s="683">
        <v>0</v>
      </c>
      <c r="O181" s="686"/>
      <c r="P181" s="683">
        <v>0</v>
      </c>
      <c r="Q181" s="687">
        <f t="shared" si="51"/>
        <v>830000</v>
      </c>
      <c r="R181" s="688">
        <f>877825.36+17460.49</f>
        <v>895285.85</v>
      </c>
      <c r="S181" s="693"/>
      <c r="T181" s="690">
        <f t="shared" si="52"/>
        <v>65285.849999999977</v>
      </c>
      <c r="U181" s="697"/>
      <c r="V181" s="474">
        <f t="shared" si="53"/>
        <v>830000</v>
      </c>
      <c r="W181" s="474">
        <f t="shared" si="54"/>
        <v>0</v>
      </c>
      <c r="X181" s="475">
        <f t="shared" si="55"/>
        <v>0</v>
      </c>
      <c r="Y181" s="475">
        <v>0</v>
      </c>
      <c r="Z181" s="476">
        <v>0</v>
      </c>
      <c r="AA181" s="38">
        <f t="shared" si="56"/>
        <v>0</v>
      </c>
      <c r="AB181" s="692">
        <f t="shared" si="58"/>
        <v>56661.919999999925</v>
      </c>
      <c r="AC181" s="692">
        <f t="shared" si="59"/>
        <v>0</v>
      </c>
      <c r="AD181" s="692">
        <f t="shared" si="60"/>
        <v>0</v>
      </c>
      <c r="AE181" s="38"/>
      <c r="AF181" s="692">
        <f t="shared" si="61"/>
        <v>830000</v>
      </c>
      <c r="AG181" s="692">
        <f t="shared" si="62"/>
        <v>0</v>
      </c>
      <c r="AH181" s="692">
        <f t="shared" si="63"/>
        <v>0</v>
      </c>
      <c r="AJ181" s="38">
        <f t="shared" si="64"/>
        <v>886661.91999999993</v>
      </c>
    </row>
    <row r="182" spans="1:36">
      <c r="A182" s="20"/>
      <c r="B182" s="20" t="s">
        <v>110</v>
      </c>
      <c r="C182" s="667" t="s">
        <v>573</v>
      </c>
      <c r="D182" s="68" t="s">
        <v>511</v>
      </c>
      <c r="E182" s="679"/>
      <c r="F182" s="529">
        <f>VLOOKUP(D182,'Aug 2012 Revenue'!D:T,17,FALSE)</f>
        <v>1654.2799999999988</v>
      </c>
      <c r="G182" s="680"/>
      <c r="H182" s="680"/>
      <c r="I182" s="755"/>
      <c r="J182" s="682">
        <f t="shared" ref="J182" si="70">SUM(E182:I182)</f>
        <v>1654.2799999999988</v>
      </c>
      <c r="K182" s="683"/>
      <c r="L182" s="684"/>
      <c r="M182" s="753">
        <v>25000</v>
      </c>
      <c r="N182" s="683">
        <v>0</v>
      </c>
      <c r="O182" s="686"/>
      <c r="P182" s="683">
        <v>0</v>
      </c>
      <c r="Q182" s="687">
        <f t="shared" si="51"/>
        <v>25000</v>
      </c>
      <c r="R182" s="688">
        <v>24752.21</v>
      </c>
      <c r="S182" s="693"/>
      <c r="T182" s="690">
        <f t="shared" si="52"/>
        <v>-247.79000000000087</v>
      </c>
      <c r="U182" s="697"/>
      <c r="V182" s="474">
        <f t="shared" si="53"/>
        <v>25000</v>
      </c>
      <c r="W182" s="474">
        <f t="shared" si="54"/>
        <v>0</v>
      </c>
      <c r="X182" s="475">
        <f t="shared" si="55"/>
        <v>0</v>
      </c>
      <c r="Y182" s="475">
        <v>0</v>
      </c>
      <c r="Z182" s="476">
        <v>0</v>
      </c>
      <c r="AA182" s="38">
        <f t="shared" si="56"/>
        <v>0</v>
      </c>
      <c r="AB182" s="692">
        <f t="shared" si="58"/>
        <v>1654.2799999999988</v>
      </c>
      <c r="AC182" s="692">
        <f t="shared" si="59"/>
        <v>0</v>
      </c>
      <c r="AD182" s="692">
        <f t="shared" si="60"/>
        <v>0</v>
      </c>
      <c r="AE182" s="38"/>
      <c r="AF182" s="692">
        <f t="shared" si="61"/>
        <v>25000</v>
      </c>
      <c r="AG182" s="692">
        <f t="shared" si="62"/>
        <v>0</v>
      </c>
      <c r="AH182" s="692">
        <f t="shared" si="63"/>
        <v>0</v>
      </c>
      <c r="AJ182" s="38">
        <f t="shared" si="64"/>
        <v>26654.28</v>
      </c>
    </row>
    <row r="183" spans="1:36">
      <c r="A183" s="21"/>
      <c r="B183" s="21" t="s">
        <v>110</v>
      </c>
      <c r="C183" s="666"/>
      <c r="D183" s="68" t="s">
        <v>50</v>
      </c>
      <c r="E183" s="679"/>
      <c r="F183" s="529">
        <f>VLOOKUP(D183,'Aug 2012 Revenue'!D:T,17,FALSE)</f>
        <v>0</v>
      </c>
      <c r="G183" s="680"/>
      <c r="H183" s="680"/>
      <c r="I183" s="770">
        <v>1077.56</v>
      </c>
      <c r="J183" s="682">
        <f t="shared" si="49"/>
        <v>1077.56</v>
      </c>
      <c r="K183" s="683"/>
      <c r="L183" s="684"/>
      <c r="M183" s="753"/>
      <c r="N183" s="683">
        <v>0</v>
      </c>
      <c r="O183" s="686"/>
      <c r="P183" s="683">
        <v>0</v>
      </c>
      <c r="Q183" s="687">
        <f t="shared" si="51"/>
        <v>0</v>
      </c>
      <c r="R183" s="688">
        <v>0</v>
      </c>
      <c r="S183" s="693"/>
      <c r="T183" s="690">
        <f t="shared" si="52"/>
        <v>0</v>
      </c>
      <c r="U183" s="683"/>
      <c r="V183" s="474">
        <f t="shared" si="53"/>
        <v>0</v>
      </c>
      <c r="W183" s="474">
        <f t="shared" si="54"/>
        <v>0</v>
      </c>
      <c r="X183" s="475">
        <f t="shared" si="55"/>
        <v>0</v>
      </c>
      <c r="Y183" s="475">
        <v>0</v>
      </c>
      <c r="Z183" s="476">
        <v>0</v>
      </c>
      <c r="AA183" s="38">
        <f t="shared" si="56"/>
        <v>0</v>
      </c>
      <c r="AB183" s="692">
        <f t="shared" si="58"/>
        <v>1077.56</v>
      </c>
      <c r="AC183" s="692">
        <f t="shared" si="59"/>
        <v>0</v>
      </c>
      <c r="AD183" s="692">
        <f t="shared" si="60"/>
        <v>0</v>
      </c>
      <c r="AE183" s="38"/>
      <c r="AF183" s="692">
        <f t="shared" si="61"/>
        <v>0</v>
      </c>
      <c r="AG183" s="692">
        <f t="shared" si="62"/>
        <v>0</v>
      </c>
      <c r="AH183" s="692">
        <f t="shared" si="63"/>
        <v>0</v>
      </c>
      <c r="AJ183" s="38">
        <f t="shared" si="64"/>
        <v>1077.56</v>
      </c>
    </row>
    <row r="184" spans="1:36">
      <c r="A184" s="21"/>
      <c r="B184" s="21" t="s">
        <v>109</v>
      </c>
      <c r="C184" s="666"/>
      <c r="D184" s="68" t="s">
        <v>51</v>
      </c>
      <c r="E184" s="679"/>
      <c r="F184" s="529">
        <f>VLOOKUP(D184,'Aug 2012 Revenue'!D:T,17,FALSE)</f>
        <v>0</v>
      </c>
      <c r="G184" s="680"/>
      <c r="H184" s="680"/>
      <c r="I184" s="755"/>
      <c r="J184" s="682">
        <f t="shared" si="49"/>
        <v>0</v>
      </c>
      <c r="K184" s="683"/>
      <c r="L184" s="684"/>
      <c r="M184" s="753"/>
      <c r="N184" s="683">
        <v>0</v>
      </c>
      <c r="O184" s="686"/>
      <c r="P184" s="683">
        <v>0</v>
      </c>
      <c r="Q184" s="687">
        <f t="shared" si="51"/>
        <v>0</v>
      </c>
      <c r="R184" s="688">
        <v>0</v>
      </c>
      <c r="S184" s="693"/>
      <c r="T184" s="690">
        <f t="shared" si="52"/>
        <v>0</v>
      </c>
      <c r="U184" s="683"/>
      <c r="V184" s="474">
        <f t="shared" si="53"/>
        <v>0</v>
      </c>
      <c r="W184" s="474">
        <f t="shared" si="54"/>
        <v>0</v>
      </c>
      <c r="X184" s="475">
        <f t="shared" si="55"/>
        <v>0</v>
      </c>
      <c r="Y184" s="475">
        <v>0</v>
      </c>
      <c r="Z184" s="476">
        <v>0</v>
      </c>
      <c r="AA184" s="38">
        <f t="shared" si="56"/>
        <v>0</v>
      </c>
      <c r="AB184" s="692">
        <f t="shared" si="58"/>
        <v>0</v>
      </c>
      <c r="AC184" s="692">
        <f t="shared" si="59"/>
        <v>0</v>
      </c>
      <c r="AD184" s="692">
        <f t="shared" si="60"/>
        <v>0</v>
      </c>
      <c r="AE184" s="38"/>
      <c r="AF184" s="692">
        <f t="shared" si="61"/>
        <v>0</v>
      </c>
      <c r="AG184" s="692">
        <f t="shared" si="62"/>
        <v>0</v>
      </c>
      <c r="AH184" s="692">
        <f t="shared" si="63"/>
        <v>0</v>
      </c>
      <c r="AJ184" s="38">
        <f t="shared" si="64"/>
        <v>0</v>
      </c>
    </row>
    <row r="185" spans="1:36">
      <c r="A185" s="21"/>
      <c r="B185" s="21" t="s">
        <v>109</v>
      </c>
      <c r="C185" s="666"/>
      <c r="D185" s="68" t="s">
        <v>107</v>
      </c>
      <c r="E185" s="679"/>
      <c r="F185" s="529">
        <f>VLOOKUP(D185,'Aug 2012 Revenue'!D:T,17,FALSE)</f>
        <v>0</v>
      </c>
      <c r="G185" s="680"/>
      <c r="H185" s="680"/>
      <c r="I185" s="755"/>
      <c r="J185" s="682">
        <f t="shared" si="49"/>
        <v>0</v>
      </c>
      <c r="K185" s="683"/>
      <c r="L185" s="684"/>
      <c r="M185" s="753"/>
      <c r="N185" s="683">
        <v>0</v>
      </c>
      <c r="O185" s="686"/>
      <c r="P185" s="683">
        <v>0</v>
      </c>
      <c r="Q185" s="687">
        <f t="shared" si="51"/>
        <v>0</v>
      </c>
      <c r="R185" s="688">
        <v>0</v>
      </c>
      <c r="S185" s="693"/>
      <c r="T185" s="690">
        <f t="shared" si="52"/>
        <v>0</v>
      </c>
      <c r="U185" s="683"/>
      <c r="V185" s="474">
        <f t="shared" si="53"/>
        <v>0</v>
      </c>
      <c r="W185" s="474">
        <f t="shared" si="54"/>
        <v>0</v>
      </c>
      <c r="X185" s="475">
        <f t="shared" si="55"/>
        <v>0</v>
      </c>
      <c r="Y185" s="475">
        <v>0</v>
      </c>
      <c r="Z185" s="476">
        <v>0</v>
      </c>
      <c r="AA185" s="38">
        <f t="shared" si="56"/>
        <v>0</v>
      </c>
      <c r="AB185" s="692">
        <f t="shared" si="58"/>
        <v>0</v>
      </c>
      <c r="AC185" s="692">
        <f t="shared" si="59"/>
        <v>0</v>
      </c>
      <c r="AD185" s="692">
        <f t="shared" si="60"/>
        <v>0</v>
      </c>
      <c r="AE185" s="38"/>
      <c r="AF185" s="692">
        <f t="shared" si="61"/>
        <v>0</v>
      </c>
      <c r="AG185" s="692">
        <f t="shared" si="62"/>
        <v>0</v>
      </c>
      <c r="AH185" s="692">
        <f t="shared" si="63"/>
        <v>0</v>
      </c>
      <c r="AJ185" s="38">
        <f t="shared" si="64"/>
        <v>0</v>
      </c>
    </row>
    <row r="186" spans="1:36">
      <c r="A186" s="21"/>
      <c r="B186" s="21" t="s">
        <v>109</v>
      </c>
      <c r="C186" s="666"/>
      <c r="D186" s="68" t="s">
        <v>467</v>
      </c>
      <c r="E186" s="679"/>
      <c r="F186" s="529">
        <f>VLOOKUP(D186,'Aug 2012 Revenue'!D:T,17,FALSE)</f>
        <v>0</v>
      </c>
      <c r="G186" s="680"/>
      <c r="H186" s="680"/>
      <c r="I186" s="755"/>
      <c r="J186" s="682">
        <f t="shared" ref="J186:J221" si="71">SUM(E186:I186)</f>
        <v>0</v>
      </c>
      <c r="K186" s="683"/>
      <c r="L186" s="684"/>
      <c r="M186" s="753"/>
      <c r="N186" s="683">
        <v>0</v>
      </c>
      <c r="O186" s="686"/>
      <c r="P186" s="683">
        <v>0</v>
      </c>
      <c r="Q186" s="687">
        <f t="shared" si="51"/>
        <v>0</v>
      </c>
      <c r="R186" s="688">
        <v>0</v>
      </c>
      <c r="S186" s="693"/>
      <c r="T186" s="690">
        <f t="shared" si="52"/>
        <v>0</v>
      </c>
      <c r="U186" s="683"/>
      <c r="V186" s="474">
        <f t="shared" si="53"/>
        <v>0</v>
      </c>
      <c r="W186" s="474">
        <f t="shared" si="54"/>
        <v>0</v>
      </c>
      <c r="X186" s="475">
        <f t="shared" si="55"/>
        <v>0</v>
      </c>
      <c r="Y186" s="475">
        <v>0</v>
      </c>
      <c r="Z186" s="476">
        <v>0</v>
      </c>
      <c r="AA186" s="38">
        <f t="shared" si="56"/>
        <v>0</v>
      </c>
      <c r="AB186" s="692">
        <f t="shared" si="58"/>
        <v>0</v>
      </c>
      <c r="AC186" s="692">
        <f t="shared" si="59"/>
        <v>0</v>
      </c>
      <c r="AD186" s="692">
        <f t="shared" si="60"/>
        <v>0</v>
      </c>
      <c r="AE186" s="38"/>
      <c r="AF186" s="692">
        <f t="shared" si="61"/>
        <v>0</v>
      </c>
      <c r="AG186" s="692">
        <f t="shared" si="62"/>
        <v>0</v>
      </c>
      <c r="AH186" s="692">
        <f t="shared" si="63"/>
        <v>0</v>
      </c>
      <c r="AJ186" s="38">
        <f t="shared" si="64"/>
        <v>0</v>
      </c>
    </row>
    <row r="187" spans="1:36">
      <c r="A187" s="21"/>
      <c r="B187" s="21" t="s">
        <v>109</v>
      </c>
      <c r="C187" s="666" t="s">
        <v>575</v>
      </c>
      <c r="D187" s="68" t="s">
        <v>54</v>
      </c>
      <c r="E187" s="679"/>
      <c r="F187" s="529">
        <f>VLOOKUP(D187,'Aug 2012 Revenue'!D:T,17,FALSE)</f>
        <v>0</v>
      </c>
      <c r="G187" s="680"/>
      <c r="H187" s="680"/>
      <c r="I187" s="755"/>
      <c r="J187" s="682">
        <f t="shared" si="71"/>
        <v>0</v>
      </c>
      <c r="K187" s="683"/>
      <c r="L187" s="684"/>
      <c r="M187" s="753"/>
      <c r="N187" s="683">
        <v>0</v>
      </c>
      <c r="O187" s="686"/>
      <c r="P187" s="683">
        <v>0</v>
      </c>
      <c r="Q187" s="687">
        <f t="shared" si="51"/>
        <v>0</v>
      </c>
      <c r="R187" s="688">
        <v>0</v>
      </c>
      <c r="S187" s="693"/>
      <c r="T187" s="690">
        <f t="shared" si="52"/>
        <v>0</v>
      </c>
      <c r="U187" s="683"/>
      <c r="V187" s="474">
        <f t="shared" si="53"/>
        <v>0</v>
      </c>
      <c r="W187" s="474">
        <f t="shared" si="54"/>
        <v>0</v>
      </c>
      <c r="X187" s="475">
        <f t="shared" si="55"/>
        <v>0</v>
      </c>
      <c r="Y187" s="475">
        <v>0</v>
      </c>
      <c r="Z187" s="476">
        <v>0</v>
      </c>
      <c r="AA187" s="38">
        <f t="shared" si="56"/>
        <v>0</v>
      </c>
      <c r="AB187" s="692">
        <f t="shared" si="58"/>
        <v>0</v>
      </c>
      <c r="AC187" s="692">
        <f t="shared" si="59"/>
        <v>0</v>
      </c>
      <c r="AD187" s="692">
        <f t="shared" si="60"/>
        <v>0</v>
      </c>
      <c r="AE187" s="38"/>
      <c r="AF187" s="692">
        <f t="shared" si="61"/>
        <v>0</v>
      </c>
      <c r="AG187" s="692">
        <f t="shared" si="62"/>
        <v>0</v>
      </c>
      <c r="AH187" s="692">
        <f t="shared" si="63"/>
        <v>0</v>
      </c>
      <c r="AJ187" s="38">
        <f t="shared" si="64"/>
        <v>0</v>
      </c>
    </row>
    <row r="188" spans="1:36">
      <c r="A188" s="20"/>
      <c r="B188" s="20" t="s">
        <v>110</v>
      </c>
      <c r="C188" s="667" t="s">
        <v>576</v>
      </c>
      <c r="D188" s="68" t="s">
        <v>394</v>
      </c>
      <c r="E188" s="679"/>
      <c r="F188" s="529">
        <f>VLOOKUP(D188,'Aug 2012 Revenue'!D:T,17,FALSE)</f>
        <v>0</v>
      </c>
      <c r="G188" s="680"/>
      <c r="H188" s="680"/>
      <c r="I188" s="755"/>
      <c r="J188" s="682">
        <f t="shared" si="71"/>
        <v>0</v>
      </c>
      <c r="K188" s="683"/>
      <c r="L188" s="684"/>
      <c r="M188" s="753"/>
      <c r="N188" s="683">
        <v>0</v>
      </c>
      <c r="O188" s="686"/>
      <c r="P188" s="683">
        <v>0</v>
      </c>
      <c r="Q188" s="687">
        <f t="shared" si="51"/>
        <v>0</v>
      </c>
      <c r="R188" s="688">
        <v>0</v>
      </c>
      <c r="S188" s="693"/>
      <c r="T188" s="690">
        <f t="shared" si="52"/>
        <v>0</v>
      </c>
      <c r="U188" s="683"/>
      <c r="V188" s="474">
        <f t="shared" si="53"/>
        <v>0</v>
      </c>
      <c r="W188" s="474">
        <f t="shared" si="54"/>
        <v>0</v>
      </c>
      <c r="X188" s="475">
        <f t="shared" si="55"/>
        <v>0</v>
      </c>
      <c r="Y188" s="475">
        <v>0</v>
      </c>
      <c r="Z188" s="476">
        <v>0</v>
      </c>
      <c r="AA188" s="38">
        <f t="shared" si="56"/>
        <v>0</v>
      </c>
      <c r="AB188" s="692">
        <f t="shared" si="58"/>
        <v>0</v>
      </c>
      <c r="AC188" s="692">
        <f t="shared" si="59"/>
        <v>0</v>
      </c>
      <c r="AD188" s="692">
        <f t="shared" si="60"/>
        <v>0</v>
      </c>
      <c r="AE188" s="38"/>
      <c r="AF188" s="692">
        <f t="shared" si="61"/>
        <v>0</v>
      </c>
      <c r="AG188" s="692">
        <f t="shared" si="62"/>
        <v>0</v>
      </c>
      <c r="AH188" s="692">
        <f t="shared" si="63"/>
        <v>0</v>
      </c>
      <c r="AJ188" s="38">
        <f t="shared" si="64"/>
        <v>0</v>
      </c>
    </row>
    <row r="189" spans="1:36">
      <c r="A189" s="20"/>
      <c r="B189" s="20" t="s">
        <v>110</v>
      </c>
      <c r="C189" s="667"/>
      <c r="D189" s="68" t="s">
        <v>55</v>
      </c>
      <c r="E189" s="679"/>
      <c r="F189" s="529">
        <f>VLOOKUP(D189,'Aug 2012 Revenue'!D:T,17,FALSE)</f>
        <v>0</v>
      </c>
      <c r="G189" s="680"/>
      <c r="H189" s="680"/>
      <c r="I189" s="755"/>
      <c r="J189" s="682">
        <f t="shared" si="71"/>
        <v>0</v>
      </c>
      <c r="K189" s="683"/>
      <c r="L189" s="684"/>
      <c r="M189" s="753"/>
      <c r="N189" s="683">
        <v>0</v>
      </c>
      <c r="O189" s="686"/>
      <c r="P189" s="683">
        <v>0</v>
      </c>
      <c r="Q189" s="687">
        <f t="shared" si="51"/>
        <v>0</v>
      </c>
      <c r="R189" s="688">
        <v>687.97</v>
      </c>
      <c r="S189" s="693"/>
      <c r="T189" s="690">
        <f t="shared" si="52"/>
        <v>687.97</v>
      </c>
      <c r="U189" s="683"/>
      <c r="V189" s="474">
        <f t="shared" si="53"/>
        <v>0</v>
      </c>
      <c r="W189" s="474">
        <f t="shared" si="54"/>
        <v>0</v>
      </c>
      <c r="X189" s="475">
        <f t="shared" si="55"/>
        <v>0</v>
      </c>
      <c r="Y189" s="475">
        <v>0</v>
      </c>
      <c r="Z189" s="476">
        <v>0</v>
      </c>
      <c r="AA189" s="38">
        <f t="shared" si="56"/>
        <v>0</v>
      </c>
      <c r="AB189" s="692">
        <f t="shared" si="58"/>
        <v>0</v>
      </c>
      <c r="AC189" s="692">
        <f t="shared" si="59"/>
        <v>0</v>
      </c>
      <c r="AD189" s="692">
        <f t="shared" si="60"/>
        <v>0</v>
      </c>
      <c r="AE189" s="38"/>
      <c r="AF189" s="692">
        <f t="shared" si="61"/>
        <v>0</v>
      </c>
      <c r="AG189" s="692">
        <f t="shared" si="62"/>
        <v>0</v>
      </c>
      <c r="AH189" s="692">
        <f t="shared" si="63"/>
        <v>0</v>
      </c>
      <c r="AJ189" s="38">
        <f t="shared" si="64"/>
        <v>0</v>
      </c>
    </row>
    <row r="190" spans="1:36">
      <c r="A190" s="20"/>
      <c r="B190" s="20" t="s">
        <v>110</v>
      </c>
      <c r="C190" s="676" t="s">
        <v>854</v>
      </c>
      <c r="D190" s="68" t="s">
        <v>855</v>
      </c>
      <c r="E190" s="679">
        <v>769.16</v>
      </c>
      <c r="F190" s="529">
        <f>VLOOKUP(D190,'Aug 2012 Revenue'!D:T,17,FALSE)</f>
        <v>793.06</v>
      </c>
      <c r="G190" s="680"/>
      <c r="H190" s="680"/>
      <c r="I190" s="755"/>
      <c r="J190" s="682">
        <f t="shared" ref="J190" si="72">SUM(E190:I190)</f>
        <v>1562.2199999999998</v>
      </c>
      <c r="K190" s="683"/>
      <c r="L190" s="684"/>
      <c r="M190" s="753"/>
      <c r="N190" s="683">
        <v>0</v>
      </c>
      <c r="O190" s="686"/>
      <c r="P190" s="683">
        <v>0</v>
      </c>
      <c r="Q190" s="687">
        <f t="shared" ref="Q190" si="73">L190+M190</f>
        <v>0</v>
      </c>
      <c r="R190" s="688">
        <v>653.70000000000005</v>
      </c>
      <c r="S190" s="693"/>
      <c r="T190" s="690">
        <f t="shared" si="52"/>
        <v>653.70000000000005</v>
      </c>
      <c r="U190" s="683"/>
      <c r="V190" s="474">
        <f t="shared" ref="V190" si="74">IF(B190="D",Q190,0)</f>
        <v>0</v>
      </c>
      <c r="W190" s="474">
        <f t="shared" ref="W190" si="75">IF(B190="M",Q190,0)</f>
        <v>0</v>
      </c>
      <c r="X190" s="475">
        <f t="shared" ref="X190" si="76">IF(B190="V",Q190,0)</f>
        <v>0</v>
      </c>
      <c r="Y190" s="475">
        <v>0</v>
      </c>
      <c r="Z190" s="476">
        <v>0</v>
      </c>
      <c r="AA190" s="38">
        <f t="shared" ref="AA190" si="77">(L190+M190)-(V190+W190+X190+Y190+Z190)</f>
        <v>0</v>
      </c>
      <c r="AB190" s="692">
        <f t="shared" si="58"/>
        <v>1562.2199999999998</v>
      </c>
      <c r="AC190" s="692">
        <f t="shared" si="59"/>
        <v>0</v>
      </c>
      <c r="AD190" s="692">
        <f t="shared" si="60"/>
        <v>0</v>
      </c>
      <c r="AE190" s="38"/>
      <c r="AF190" s="692">
        <f t="shared" si="61"/>
        <v>0</v>
      </c>
      <c r="AG190" s="692">
        <f t="shared" si="62"/>
        <v>0</v>
      </c>
      <c r="AH190" s="692">
        <f t="shared" si="63"/>
        <v>0</v>
      </c>
      <c r="AJ190" s="38">
        <f t="shared" si="64"/>
        <v>1562.2199999999998</v>
      </c>
    </row>
    <row r="191" spans="1:36">
      <c r="A191" s="20"/>
      <c r="B191" s="20" t="s">
        <v>109</v>
      </c>
      <c r="C191" s="667" t="s">
        <v>577</v>
      </c>
      <c r="D191" s="68" t="s">
        <v>159</v>
      </c>
      <c r="E191" s="679"/>
      <c r="F191" s="529">
        <f>VLOOKUP(D191,'Aug 2012 Revenue'!D:T,17,FALSE)</f>
        <v>0</v>
      </c>
      <c r="G191" s="680"/>
      <c r="H191" s="680"/>
      <c r="I191" s="755"/>
      <c r="J191" s="682">
        <f t="shared" si="71"/>
        <v>0</v>
      </c>
      <c r="K191" s="683"/>
      <c r="L191" s="684"/>
      <c r="M191" s="753">
        <v>25000</v>
      </c>
      <c r="N191" s="683">
        <v>0</v>
      </c>
      <c r="O191" s="686"/>
      <c r="P191" s="683">
        <v>0</v>
      </c>
      <c r="Q191" s="687">
        <f t="shared" si="51"/>
        <v>25000</v>
      </c>
      <c r="R191" s="688">
        <v>20752.62</v>
      </c>
      <c r="S191" s="693"/>
      <c r="T191" s="690">
        <f t="shared" si="52"/>
        <v>-4247.380000000001</v>
      </c>
      <c r="U191" s="683"/>
      <c r="V191" s="474">
        <f t="shared" si="53"/>
        <v>0</v>
      </c>
      <c r="W191" s="474">
        <f t="shared" si="54"/>
        <v>25000</v>
      </c>
      <c r="X191" s="475">
        <f t="shared" si="55"/>
        <v>0</v>
      </c>
      <c r="Y191" s="475">
        <v>0</v>
      </c>
      <c r="Z191" s="476">
        <v>0</v>
      </c>
      <c r="AA191" s="38">
        <f t="shared" si="56"/>
        <v>0</v>
      </c>
      <c r="AB191" s="692">
        <f t="shared" si="58"/>
        <v>0</v>
      </c>
      <c r="AC191" s="692">
        <f t="shared" si="59"/>
        <v>0</v>
      </c>
      <c r="AD191" s="692">
        <f t="shared" si="60"/>
        <v>0</v>
      </c>
      <c r="AE191" s="38"/>
      <c r="AF191" s="692">
        <f t="shared" si="61"/>
        <v>0</v>
      </c>
      <c r="AG191" s="692">
        <f t="shared" si="62"/>
        <v>25000</v>
      </c>
      <c r="AH191" s="692">
        <f t="shared" si="63"/>
        <v>0</v>
      </c>
      <c r="AJ191" s="38">
        <f t="shared" si="64"/>
        <v>25000</v>
      </c>
    </row>
    <row r="192" spans="1:36">
      <c r="A192" s="20"/>
      <c r="B192" s="20" t="s">
        <v>109</v>
      </c>
      <c r="C192" s="667" t="s">
        <v>577</v>
      </c>
      <c r="D192" s="68" t="s">
        <v>160</v>
      </c>
      <c r="E192" s="679"/>
      <c r="F192" s="529">
        <f>VLOOKUP(D192,'Aug 2012 Revenue'!D:T,17,FALSE)</f>
        <v>0</v>
      </c>
      <c r="G192" s="680"/>
      <c r="H192" s="680"/>
      <c r="I192" s="770">
        <v>13391.17</v>
      </c>
      <c r="J192" s="682">
        <f t="shared" si="71"/>
        <v>13391.17</v>
      </c>
      <c r="K192" s="683"/>
      <c r="L192" s="684"/>
      <c r="M192" s="753"/>
      <c r="N192" s="683">
        <v>0</v>
      </c>
      <c r="O192" s="686"/>
      <c r="P192" s="683">
        <v>0</v>
      </c>
      <c r="Q192" s="687">
        <f t="shared" si="51"/>
        <v>0</v>
      </c>
      <c r="R192" s="688">
        <v>0</v>
      </c>
      <c r="S192" s="693"/>
      <c r="T192" s="690">
        <f t="shared" si="52"/>
        <v>0</v>
      </c>
      <c r="U192" s="683"/>
      <c r="V192" s="474">
        <f t="shared" si="53"/>
        <v>0</v>
      </c>
      <c r="W192" s="474">
        <f t="shared" si="54"/>
        <v>0</v>
      </c>
      <c r="X192" s="475">
        <f t="shared" si="55"/>
        <v>0</v>
      </c>
      <c r="Y192" s="475">
        <v>0</v>
      </c>
      <c r="Z192" s="476">
        <v>0</v>
      </c>
      <c r="AA192" s="38">
        <f t="shared" ref="AA192:AA221" si="78">(L192+M192)-(V192+W192+X192+Y192+Z192)</f>
        <v>0</v>
      </c>
      <c r="AB192" s="692">
        <f t="shared" si="58"/>
        <v>0</v>
      </c>
      <c r="AC192" s="692">
        <f t="shared" si="59"/>
        <v>13391.17</v>
      </c>
      <c r="AD192" s="692">
        <f t="shared" si="60"/>
        <v>0</v>
      </c>
      <c r="AE192" s="38"/>
      <c r="AF192" s="692">
        <f t="shared" si="61"/>
        <v>0</v>
      </c>
      <c r="AG192" s="692">
        <f t="shared" si="62"/>
        <v>0</v>
      </c>
      <c r="AH192" s="692">
        <f t="shared" si="63"/>
        <v>0</v>
      </c>
      <c r="AJ192" s="38">
        <f t="shared" si="64"/>
        <v>13391.17</v>
      </c>
    </row>
    <row r="193" spans="1:36">
      <c r="A193" s="21"/>
      <c r="B193" s="21" t="s">
        <v>109</v>
      </c>
      <c r="C193" s="667" t="s">
        <v>577</v>
      </c>
      <c r="D193" s="68" t="s">
        <v>161</v>
      </c>
      <c r="E193" s="679"/>
      <c r="F193" s="529">
        <f>VLOOKUP(D193,'Aug 2012 Revenue'!D:T,17,FALSE)</f>
        <v>0</v>
      </c>
      <c r="G193" s="680"/>
      <c r="H193" s="680"/>
      <c r="I193" s="755"/>
      <c r="J193" s="682">
        <f t="shared" si="71"/>
        <v>0</v>
      </c>
      <c r="K193" s="683"/>
      <c r="L193" s="684"/>
      <c r="M193" s="753"/>
      <c r="N193" s="683">
        <v>0</v>
      </c>
      <c r="O193" s="686"/>
      <c r="P193" s="683">
        <v>0</v>
      </c>
      <c r="Q193" s="687">
        <f t="shared" si="51"/>
        <v>0</v>
      </c>
      <c r="R193" s="688">
        <v>0</v>
      </c>
      <c r="S193" s="693"/>
      <c r="T193" s="690">
        <f t="shared" si="52"/>
        <v>0</v>
      </c>
      <c r="U193" s="683"/>
      <c r="V193" s="474">
        <f t="shared" si="53"/>
        <v>0</v>
      </c>
      <c r="W193" s="474">
        <f t="shared" si="54"/>
        <v>0</v>
      </c>
      <c r="X193" s="475">
        <f t="shared" si="55"/>
        <v>0</v>
      </c>
      <c r="Y193" s="475">
        <v>0</v>
      </c>
      <c r="Z193" s="476">
        <v>0</v>
      </c>
      <c r="AA193" s="38">
        <f t="shared" si="78"/>
        <v>0</v>
      </c>
      <c r="AB193" s="692">
        <f t="shared" si="58"/>
        <v>0</v>
      </c>
      <c r="AC193" s="692">
        <f t="shared" si="59"/>
        <v>0</v>
      </c>
      <c r="AD193" s="692">
        <f t="shared" si="60"/>
        <v>0</v>
      </c>
      <c r="AE193" s="38"/>
      <c r="AF193" s="692">
        <f t="shared" si="61"/>
        <v>0</v>
      </c>
      <c r="AG193" s="692">
        <f t="shared" si="62"/>
        <v>0</v>
      </c>
      <c r="AH193" s="692">
        <f t="shared" si="63"/>
        <v>0</v>
      </c>
      <c r="AJ193" s="38">
        <f t="shared" si="64"/>
        <v>0</v>
      </c>
    </row>
    <row r="194" spans="1:36">
      <c r="A194" s="21"/>
      <c r="B194" s="21" t="s">
        <v>109</v>
      </c>
      <c r="C194" s="667" t="s">
        <v>577</v>
      </c>
      <c r="D194" s="68" t="s">
        <v>162</v>
      </c>
      <c r="E194" s="679"/>
      <c r="F194" s="529">
        <f>VLOOKUP(D194,'Aug 2012 Revenue'!D:T,17,FALSE)</f>
        <v>0</v>
      </c>
      <c r="G194" s="680"/>
      <c r="H194" s="680"/>
      <c r="I194" s="755"/>
      <c r="J194" s="682">
        <f t="shared" si="71"/>
        <v>0</v>
      </c>
      <c r="K194" s="683"/>
      <c r="L194" s="684"/>
      <c r="M194" s="753"/>
      <c r="N194" s="683">
        <v>0</v>
      </c>
      <c r="O194" s="686"/>
      <c r="P194" s="683">
        <v>0</v>
      </c>
      <c r="Q194" s="687">
        <f t="shared" si="51"/>
        <v>0</v>
      </c>
      <c r="R194" s="688">
        <v>0</v>
      </c>
      <c r="S194" s="693"/>
      <c r="T194" s="690">
        <f t="shared" si="52"/>
        <v>0</v>
      </c>
      <c r="U194" s="683"/>
      <c r="V194" s="474">
        <f t="shared" si="53"/>
        <v>0</v>
      </c>
      <c r="W194" s="474">
        <f t="shared" si="54"/>
        <v>0</v>
      </c>
      <c r="X194" s="475">
        <f t="shared" si="55"/>
        <v>0</v>
      </c>
      <c r="Y194" s="475">
        <v>0</v>
      </c>
      <c r="Z194" s="476">
        <v>0</v>
      </c>
      <c r="AA194" s="38">
        <f t="shared" si="78"/>
        <v>0</v>
      </c>
      <c r="AB194" s="692">
        <f t="shared" si="58"/>
        <v>0</v>
      </c>
      <c r="AC194" s="692">
        <f t="shared" si="59"/>
        <v>0</v>
      </c>
      <c r="AD194" s="692">
        <f t="shared" si="60"/>
        <v>0</v>
      </c>
      <c r="AE194" s="38"/>
      <c r="AF194" s="692">
        <f t="shared" si="61"/>
        <v>0</v>
      </c>
      <c r="AG194" s="692">
        <f t="shared" si="62"/>
        <v>0</v>
      </c>
      <c r="AH194" s="692">
        <f t="shared" si="63"/>
        <v>0</v>
      </c>
      <c r="AJ194" s="38">
        <f t="shared" si="64"/>
        <v>0</v>
      </c>
    </row>
    <row r="195" spans="1:36">
      <c r="A195" s="21"/>
      <c r="B195" s="21" t="s">
        <v>109</v>
      </c>
      <c r="C195" s="666"/>
      <c r="D195" s="68" t="s">
        <v>163</v>
      </c>
      <c r="E195" s="679"/>
      <c r="F195" s="529">
        <f>VLOOKUP(D195,'Aug 2012 Revenue'!D:T,17,FALSE)</f>
        <v>0</v>
      </c>
      <c r="G195" s="680"/>
      <c r="H195" s="680"/>
      <c r="I195" s="770">
        <v>4084.15</v>
      </c>
      <c r="J195" s="682">
        <f t="shared" si="71"/>
        <v>4084.15</v>
      </c>
      <c r="K195" s="683"/>
      <c r="L195" s="684"/>
      <c r="M195" s="753"/>
      <c r="N195" s="683">
        <v>0</v>
      </c>
      <c r="O195" s="686"/>
      <c r="P195" s="683">
        <v>0</v>
      </c>
      <c r="Q195" s="687">
        <f t="shared" si="51"/>
        <v>0</v>
      </c>
      <c r="R195" s="688">
        <v>0</v>
      </c>
      <c r="S195" s="704"/>
      <c r="T195" s="690">
        <f t="shared" si="52"/>
        <v>0</v>
      </c>
      <c r="U195" s="705"/>
      <c r="V195" s="474">
        <f t="shared" si="53"/>
        <v>0</v>
      </c>
      <c r="W195" s="474">
        <f t="shared" si="54"/>
        <v>0</v>
      </c>
      <c r="X195" s="475">
        <f t="shared" si="55"/>
        <v>0</v>
      </c>
      <c r="Y195" s="475">
        <v>0</v>
      </c>
      <c r="Z195" s="476">
        <v>0</v>
      </c>
      <c r="AA195" s="38">
        <f t="shared" si="78"/>
        <v>0</v>
      </c>
      <c r="AB195" s="692">
        <f t="shared" si="58"/>
        <v>0</v>
      </c>
      <c r="AC195" s="692">
        <f t="shared" si="59"/>
        <v>4084.15</v>
      </c>
      <c r="AD195" s="692">
        <f t="shared" si="60"/>
        <v>0</v>
      </c>
      <c r="AE195" s="38"/>
      <c r="AF195" s="692">
        <f t="shared" si="61"/>
        <v>0</v>
      </c>
      <c r="AG195" s="692">
        <f t="shared" si="62"/>
        <v>0</v>
      </c>
      <c r="AH195" s="692">
        <f t="shared" si="63"/>
        <v>0</v>
      </c>
      <c r="AJ195" s="38">
        <f t="shared" si="64"/>
        <v>4084.15</v>
      </c>
    </row>
    <row r="196" spans="1:36">
      <c r="A196" s="21"/>
      <c r="B196" s="21" t="s">
        <v>109</v>
      </c>
      <c r="C196" s="666"/>
      <c r="D196" s="412" t="s">
        <v>164</v>
      </c>
      <c r="E196" s="679"/>
      <c r="F196" s="529">
        <f>VLOOKUP(D196,'Aug 2012 Revenue'!D:T,17,FALSE)</f>
        <v>0</v>
      </c>
      <c r="G196" s="680"/>
      <c r="H196" s="680"/>
      <c r="I196" s="770">
        <v>39.83</v>
      </c>
      <c r="J196" s="682">
        <f t="shared" si="71"/>
        <v>39.83</v>
      </c>
      <c r="K196" s="683"/>
      <c r="L196" s="684"/>
      <c r="M196" s="753"/>
      <c r="N196" s="683">
        <v>0</v>
      </c>
      <c r="O196" s="686"/>
      <c r="P196" s="683">
        <v>0</v>
      </c>
      <c r="Q196" s="687">
        <f t="shared" si="51"/>
        <v>0</v>
      </c>
      <c r="R196" s="688">
        <v>0</v>
      </c>
      <c r="S196" s="704"/>
      <c r="T196" s="690">
        <f t="shared" si="52"/>
        <v>0</v>
      </c>
      <c r="U196" s="705"/>
      <c r="V196" s="474">
        <f t="shared" si="53"/>
        <v>0</v>
      </c>
      <c r="W196" s="474">
        <f t="shared" si="54"/>
        <v>0</v>
      </c>
      <c r="X196" s="475">
        <f t="shared" si="55"/>
        <v>0</v>
      </c>
      <c r="Y196" s="475">
        <v>0</v>
      </c>
      <c r="Z196" s="476">
        <v>0</v>
      </c>
      <c r="AA196" s="38">
        <f t="shared" si="78"/>
        <v>0</v>
      </c>
      <c r="AB196" s="692">
        <f t="shared" si="58"/>
        <v>0</v>
      </c>
      <c r="AC196" s="692">
        <f t="shared" si="59"/>
        <v>39.83</v>
      </c>
      <c r="AD196" s="692">
        <f t="shared" si="60"/>
        <v>0</v>
      </c>
      <c r="AE196" s="38"/>
      <c r="AF196" s="692">
        <f t="shared" si="61"/>
        <v>0</v>
      </c>
      <c r="AG196" s="692">
        <f t="shared" si="62"/>
        <v>0</v>
      </c>
      <c r="AH196" s="692">
        <f t="shared" si="63"/>
        <v>0</v>
      </c>
      <c r="AJ196" s="38">
        <f t="shared" si="64"/>
        <v>39.83</v>
      </c>
    </row>
    <row r="197" spans="1:36">
      <c r="A197" s="21" t="s">
        <v>109</v>
      </c>
      <c r="B197" s="21" t="s">
        <v>114</v>
      </c>
      <c r="C197" s="666" t="s">
        <v>578</v>
      </c>
      <c r="D197" s="412" t="s">
        <v>318</v>
      </c>
      <c r="E197" s="679">
        <v>26454</v>
      </c>
      <c r="F197" s="529">
        <f>VLOOKUP(D197,'Aug 2012 Revenue'!D:T,17,FALSE)</f>
        <v>-65000</v>
      </c>
      <c r="G197" s="680"/>
      <c r="H197" s="680"/>
      <c r="I197" s="755"/>
      <c r="J197" s="682">
        <f t="shared" si="71"/>
        <v>-38546</v>
      </c>
      <c r="K197" s="683"/>
      <c r="L197" s="684"/>
      <c r="M197" s="753">
        <v>55000</v>
      </c>
      <c r="N197" s="683">
        <v>0</v>
      </c>
      <c r="O197" s="686"/>
      <c r="P197" s="683">
        <v>0</v>
      </c>
      <c r="Q197" s="687">
        <f t="shared" si="51"/>
        <v>55000</v>
      </c>
      <c r="R197" s="688">
        <v>31051</v>
      </c>
      <c r="S197" s="704"/>
      <c r="T197" s="690">
        <f t="shared" si="52"/>
        <v>-23949</v>
      </c>
      <c r="U197" s="683"/>
      <c r="V197" s="474">
        <f t="shared" si="53"/>
        <v>0</v>
      </c>
      <c r="W197" s="474">
        <f t="shared" si="54"/>
        <v>0</v>
      </c>
      <c r="X197" s="475">
        <f t="shared" si="55"/>
        <v>55000</v>
      </c>
      <c r="Y197" s="475">
        <v>0</v>
      </c>
      <c r="Z197" s="476">
        <v>0</v>
      </c>
      <c r="AA197" s="38">
        <f t="shared" si="78"/>
        <v>0</v>
      </c>
      <c r="AB197" s="692">
        <f t="shared" si="58"/>
        <v>0</v>
      </c>
      <c r="AC197" s="692">
        <f t="shared" si="59"/>
        <v>0</v>
      </c>
      <c r="AD197" s="692">
        <f t="shared" si="60"/>
        <v>-38546</v>
      </c>
      <c r="AE197" s="38"/>
      <c r="AF197" s="692">
        <f t="shared" si="61"/>
        <v>0</v>
      </c>
      <c r="AG197" s="692">
        <f t="shared" si="62"/>
        <v>0</v>
      </c>
      <c r="AH197" s="692">
        <f t="shared" si="63"/>
        <v>55000</v>
      </c>
      <c r="AJ197" s="38">
        <f t="shared" si="64"/>
        <v>16454</v>
      </c>
    </row>
    <row r="198" spans="1:36">
      <c r="A198" s="20" t="s">
        <v>211</v>
      </c>
      <c r="B198" s="20" t="s">
        <v>109</v>
      </c>
      <c r="C198" s="667"/>
      <c r="D198" s="68" t="s">
        <v>57</v>
      </c>
      <c r="E198" s="679"/>
      <c r="F198" s="529">
        <f>VLOOKUP(D198,'Aug 2012 Revenue'!D:T,17,FALSE)</f>
        <v>0</v>
      </c>
      <c r="G198" s="680"/>
      <c r="H198" s="680"/>
      <c r="I198" s="755"/>
      <c r="J198" s="682">
        <f t="shared" si="71"/>
        <v>0</v>
      </c>
      <c r="K198" s="683"/>
      <c r="L198" s="684"/>
      <c r="M198" s="753"/>
      <c r="N198" s="683">
        <v>0</v>
      </c>
      <c r="O198" s="686"/>
      <c r="P198" s="683">
        <v>0</v>
      </c>
      <c r="Q198" s="687">
        <f t="shared" si="51"/>
        <v>0</v>
      </c>
      <c r="R198" s="688">
        <v>0</v>
      </c>
      <c r="S198" s="693"/>
      <c r="T198" s="690">
        <f t="shared" si="52"/>
        <v>0</v>
      </c>
      <c r="U198" s="683"/>
      <c r="V198" s="474">
        <f t="shared" si="53"/>
        <v>0</v>
      </c>
      <c r="W198" s="474">
        <f t="shared" si="54"/>
        <v>0</v>
      </c>
      <c r="X198" s="475">
        <f t="shared" si="55"/>
        <v>0</v>
      </c>
      <c r="Y198" s="475">
        <v>0</v>
      </c>
      <c r="Z198" s="476">
        <v>0</v>
      </c>
      <c r="AA198" s="38">
        <f t="shared" si="78"/>
        <v>0</v>
      </c>
      <c r="AB198" s="692">
        <f t="shared" si="58"/>
        <v>0</v>
      </c>
      <c r="AC198" s="692">
        <f t="shared" si="59"/>
        <v>0</v>
      </c>
      <c r="AD198" s="692">
        <f t="shared" si="60"/>
        <v>0</v>
      </c>
      <c r="AE198" s="38"/>
      <c r="AF198" s="692">
        <f t="shared" si="61"/>
        <v>0</v>
      </c>
      <c r="AG198" s="692">
        <f t="shared" si="62"/>
        <v>0</v>
      </c>
      <c r="AH198" s="692">
        <f t="shared" si="63"/>
        <v>0</v>
      </c>
      <c r="AJ198" s="38">
        <f t="shared" si="64"/>
        <v>0</v>
      </c>
    </row>
    <row r="199" spans="1:36">
      <c r="A199" s="20"/>
      <c r="B199" s="20" t="s">
        <v>114</v>
      </c>
      <c r="C199" s="676" t="s">
        <v>621</v>
      </c>
      <c r="D199" s="68" t="s">
        <v>622</v>
      </c>
      <c r="E199" s="679">
        <f>250+349.1</f>
        <v>599.1</v>
      </c>
      <c r="F199" s="529">
        <f>VLOOKUP(D199,'Aug 2012 Revenue'!D:T,17,FALSE)</f>
        <v>0</v>
      </c>
      <c r="G199" s="680"/>
      <c r="H199" s="680"/>
      <c r="I199" s="755"/>
      <c r="J199" s="682">
        <f t="shared" si="71"/>
        <v>599.1</v>
      </c>
      <c r="K199" s="683"/>
      <c r="L199" s="684"/>
      <c r="M199" s="753"/>
      <c r="N199" s="683">
        <v>0</v>
      </c>
      <c r="O199" s="686"/>
      <c r="P199" s="683">
        <v>0</v>
      </c>
      <c r="Q199" s="687">
        <f t="shared" si="51"/>
        <v>0</v>
      </c>
      <c r="R199" s="688">
        <v>0</v>
      </c>
      <c r="S199" s="704"/>
      <c r="T199" s="690">
        <f t="shared" si="52"/>
        <v>0</v>
      </c>
      <c r="U199" s="683"/>
      <c r="V199" s="474">
        <f t="shared" si="53"/>
        <v>0</v>
      </c>
      <c r="W199" s="474">
        <f t="shared" si="54"/>
        <v>0</v>
      </c>
      <c r="X199" s="475">
        <f t="shared" si="55"/>
        <v>0</v>
      </c>
      <c r="Y199" s="475">
        <v>0</v>
      </c>
      <c r="Z199" s="476">
        <v>0</v>
      </c>
      <c r="AA199" s="38">
        <f t="shared" si="78"/>
        <v>0</v>
      </c>
      <c r="AB199" s="692">
        <f t="shared" si="58"/>
        <v>0</v>
      </c>
      <c r="AC199" s="692">
        <f t="shared" si="59"/>
        <v>0</v>
      </c>
      <c r="AD199" s="692">
        <f t="shared" si="60"/>
        <v>599.1</v>
      </c>
      <c r="AE199" s="38"/>
      <c r="AF199" s="692">
        <f t="shared" si="61"/>
        <v>0</v>
      </c>
      <c r="AG199" s="692">
        <f t="shared" si="62"/>
        <v>0</v>
      </c>
      <c r="AH199" s="692">
        <f t="shared" si="63"/>
        <v>0</v>
      </c>
      <c r="AJ199" s="38">
        <f t="shared" si="64"/>
        <v>599.1</v>
      </c>
    </row>
    <row r="200" spans="1:36">
      <c r="A200" s="20"/>
      <c r="B200" s="20" t="s">
        <v>110</v>
      </c>
      <c r="C200" s="667"/>
      <c r="D200" s="68" t="s">
        <v>497</v>
      </c>
      <c r="E200" s="679">
        <v>200.6</v>
      </c>
      <c r="F200" s="529">
        <f>VLOOKUP(D200,'Aug 2012 Revenue'!D:T,17,FALSE)</f>
        <v>210.53</v>
      </c>
      <c r="G200" s="680"/>
      <c r="H200" s="680"/>
      <c r="I200" s="755"/>
      <c r="J200" s="682">
        <f t="shared" si="71"/>
        <v>411.13</v>
      </c>
      <c r="K200" s="683"/>
      <c r="L200" s="684"/>
      <c r="M200" s="753"/>
      <c r="N200" s="683">
        <v>0</v>
      </c>
      <c r="O200" s="686"/>
      <c r="P200" s="683">
        <v>0</v>
      </c>
      <c r="Q200" s="687">
        <f t="shared" si="51"/>
        <v>0</v>
      </c>
      <c r="R200" s="688">
        <v>0</v>
      </c>
      <c r="S200" s="693"/>
      <c r="T200" s="690">
        <f t="shared" si="52"/>
        <v>0</v>
      </c>
      <c r="U200" s="683"/>
      <c r="V200" s="474">
        <f t="shared" si="53"/>
        <v>0</v>
      </c>
      <c r="W200" s="474">
        <f t="shared" si="54"/>
        <v>0</v>
      </c>
      <c r="X200" s="475">
        <f t="shared" si="55"/>
        <v>0</v>
      </c>
      <c r="Y200" s="475">
        <v>0</v>
      </c>
      <c r="Z200" s="476">
        <v>0</v>
      </c>
      <c r="AA200" s="38">
        <f t="shared" si="78"/>
        <v>0</v>
      </c>
      <c r="AB200" s="692">
        <f t="shared" si="58"/>
        <v>411.13</v>
      </c>
      <c r="AC200" s="692">
        <f t="shared" si="59"/>
        <v>0</v>
      </c>
      <c r="AD200" s="692">
        <f t="shared" si="60"/>
        <v>0</v>
      </c>
      <c r="AE200" s="38"/>
      <c r="AF200" s="692">
        <f t="shared" si="61"/>
        <v>0</v>
      </c>
      <c r="AG200" s="692">
        <f t="shared" si="62"/>
        <v>0</v>
      </c>
      <c r="AH200" s="692">
        <f t="shared" si="63"/>
        <v>0</v>
      </c>
      <c r="AJ200" s="38">
        <f t="shared" si="64"/>
        <v>411.13</v>
      </c>
    </row>
    <row r="201" spans="1:36">
      <c r="A201" s="20"/>
      <c r="B201" s="20" t="s">
        <v>110</v>
      </c>
      <c r="C201" s="667"/>
      <c r="D201" s="68" t="s">
        <v>509</v>
      </c>
      <c r="E201" s="679">
        <v>10039.969999999999</v>
      </c>
      <c r="F201" s="529">
        <f>VLOOKUP(D201,'Aug 2012 Revenue'!D:T,17,FALSE)</f>
        <v>-10201.09</v>
      </c>
      <c r="G201" s="680"/>
      <c r="H201" s="680"/>
      <c r="I201" s="770">
        <v>9705.2900000000009</v>
      </c>
      <c r="J201" s="682">
        <f t="shared" si="71"/>
        <v>9544.17</v>
      </c>
      <c r="K201" s="683"/>
      <c r="L201" s="684"/>
      <c r="M201" s="753"/>
      <c r="N201" s="683"/>
      <c r="O201" s="686"/>
      <c r="P201" s="683"/>
      <c r="Q201" s="687">
        <f t="shared" si="51"/>
        <v>0</v>
      </c>
      <c r="R201" s="688">
        <v>0</v>
      </c>
      <c r="S201" s="693"/>
      <c r="T201" s="690">
        <f t="shared" si="52"/>
        <v>0</v>
      </c>
      <c r="U201" s="683"/>
      <c r="V201" s="474">
        <f t="shared" si="53"/>
        <v>0</v>
      </c>
      <c r="W201" s="474">
        <f t="shared" si="54"/>
        <v>0</v>
      </c>
      <c r="X201" s="475">
        <f t="shared" si="55"/>
        <v>0</v>
      </c>
      <c r="Y201" s="475">
        <v>0</v>
      </c>
      <c r="Z201" s="476">
        <v>0</v>
      </c>
      <c r="AA201" s="38">
        <f t="shared" si="78"/>
        <v>0</v>
      </c>
      <c r="AB201" s="692">
        <f t="shared" si="58"/>
        <v>9544.17</v>
      </c>
      <c r="AC201" s="692">
        <f t="shared" si="59"/>
        <v>0</v>
      </c>
      <c r="AD201" s="692">
        <f t="shared" si="60"/>
        <v>0</v>
      </c>
      <c r="AE201" s="38"/>
      <c r="AF201" s="692">
        <f t="shared" si="61"/>
        <v>0</v>
      </c>
      <c r="AG201" s="692">
        <f t="shared" si="62"/>
        <v>0</v>
      </c>
      <c r="AH201" s="692">
        <f t="shared" si="63"/>
        <v>0</v>
      </c>
      <c r="AJ201" s="38">
        <f t="shared" si="64"/>
        <v>9544.17</v>
      </c>
    </row>
    <row r="202" spans="1:36" s="627" customFormat="1">
      <c r="A202" s="610"/>
      <c r="B202" s="610" t="s">
        <v>110</v>
      </c>
      <c r="C202" s="667" t="s">
        <v>580</v>
      </c>
      <c r="D202" s="612" t="s">
        <v>476</v>
      </c>
      <c r="E202" s="679"/>
      <c r="F202" s="529">
        <f>VLOOKUP(D202,'Aug 2012 Revenue'!D:T,17,FALSE)</f>
        <v>0</v>
      </c>
      <c r="G202" s="680"/>
      <c r="H202" s="680"/>
      <c r="I202" s="755"/>
      <c r="J202" s="682">
        <f t="shared" si="71"/>
        <v>0</v>
      </c>
      <c r="K202" s="683"/>
      <c r="L202" s="684"/>
      <c r="M202" s="753"/>
      <c r="N202" s="683">
        <v>0</v>
      </c>
      <c r="O202" s="686"/>
      <c r="P202" s="683">
        <v>0</v>
      </c>
      <c r="Q202" s="687">
        <f t="shared" si="51"/>
        <v>0</v>
      </c>
      <c r="R202" s="688">
        <v>0</v>
      </c>
      <c r="S202" s="706"/>
      <c r="T202" s="690">
        <f t="shared" si="52"/>
        <v>0</v>
      </c>
      <c r="U202" s="707"/>
      <c r="V202" s="474">
        <f t="shared" si="53"/>
        <v>0</v>
      </c>
      <c r="W202" s="474">
        <f t="shared" si="54"/>
        <v>0</v>
      </c>
      <c r="X202" s="475">
        <f t="shared" si="55"/>
        <v>0</v>
      </c>
      <c r="Y202" s="475">
        <v>0</v>
      </c>
      <c r="Z202" s="476">
        <v>0</v>
      </c>
      <c r="AA202" s="38">
        <f t="shared" si="78"/>
        <v>0</v>
      </c>
      <c r="AB202" s="692">
        <f t="shared" si="58"/>
        <v>0</v>
      </c>
      <c r="AC202" s="692">
        <f t="shared" si="59"/>
        <v>0</v>
      </c>
      <c r="AD202" s="692">
        <f t="shared" si="60"/>
        <v>0</v>
      </c>
      <c r="AE202" s="38"/>
      <c r="AF202" s="692">
        <f t="shared" si="61"/>
        <v>0</v>
      </c>
      <c r="AG202" s="692">
        <f t="shared" si="62"/>
        <v>0</v>
      </c>
      <c r="AH202" s="692">
        <f t="shared" si="63"/>
        <v>0</v>
      </c>
      <c r="AJ202" s="38">
        <f t="shared" si="64"/>
        <v>0</v>
      </c>
    </row>
    <row r="203" spans="1:36" s="232" customFormat="1">
      <c r="A203" s="283"/>
      <c r="B203" s="283" t="s">
        <v>114</v>
      </c>
      <c r="C203" s="667" t="s">
        <v>580</v>
      </c>
      <c r="D203" s="123" t="s">
        <v>371</v>
      </c>
      <c r="E203" s="679"/>
      <c r="F203" s="529">
        <f>VLOOKUP(D203,'Aug 2012 Revenue'!D:T,17,FALSE)</f>
        <v>439.40000000000009</v>
      </c>
      <c r="G203" s="680"/>
      <c r="H203" s="680"/>
      <c r="I203" s="755"/>
      <c r="J203" s="682">
        <f t="shared" si="71"/>
        <v>439.40000000000009</v>
      </c>
      <c r="K203" s="683"/>
      <c r="L203" s="684">
        <v>2335.46</v>
      </c>
      <c r="M203" s="753"/>
      <c r="N203" s="683">
        <v>0</v>
      </c>
      <c r="O203" s="686"/>
      <c r="P203" s="683">
        <v>0</v>
      </c>
      <c r="Q203" s="687">
        <f t="shared" si="51"/>
        <v>2335.46</v>
      </c>
      <c r="R203" s="688">
        <f>686.4+2365.89</f>
        <v>3052.29</v>
      </c>
      <c r="S203" s="693"/>
      <c r="T203" s="690">
        <f t="shared" si="52"/>
        <v>716.82999999999993</v>
      </c>
      <c r="U203" s="683"/>
      <c r="V203" s="474">
        <f t="shared" si="53"/>
        <v>0</v>
      </c>
      <c r="W203" s="474">
        <f t="shared" si="54"/>
        <v>0</v>
      </c>
      <c r="X203" s="475">
        <f t="shared" si="55"/>
        <v>2335.46</v>
      </c>
      <c r="Y203" s="475">
        <v>0</v>
      </c>
      <c r="Z203" s="476">
        <v>0</v>
      </c>
      <c r="AA203" s="38">
        <f t="shared" si="78"/>
        <v>0</v>
      </c>
      <c r="AB203" s="692">
        <f t="shared" si="58"/>
        <v>0</v>
      </c>
      <c r="AC203" s="692">
        <f t="shared" si="59"/>
        <v>0</v>
      </c>
      <c r="AD203" s="692">
        <f t="shared" si="60"/>
        <v>439.40000000000009</v>
      </c>
      <c r="AE203" s="38"/>
      <c r="AF203" s="692">
        <f t="shared" si="61"/>
        <v>0</v>
      </c>
      <c r="AG203" s="692">
        <f t="shared" si="62"/>
        <v>0</v>
      </c>
      <c r="AH203" s="692">
        <f t="shared" si="63"/>
        <v>2335.46</v>
      </c>
      <c r="AJ203" s="38">
        <f t="shared" si="64"/>
        <v>2774.86</v>
      </c>
    </row>
    <row r="204" spans="1:36" s="232" customFormat="1">
      <c r="A204" s="283"/>
      <c r="B204" s="283" t="s">
        <v>110</v>
      </c>
      <c r="C204" s="667" t="s">
        <v>580</v>
      </c>
      <c r="D204" s="123" t="s">
        <v>422</v>
      </c>
      <c r="E204" s="679"/>
      <c r="F204" s="529">
        <f>VLOOKUP(D204,'Aug 2012 Revenue'!D:T,17,FALSE)</f>
        <v>0.33000000001629815</v>
      </c>
      <c r="G204" s="680"/>
      <c r="H204" s="680"/>
      <c r="I204" s="755"/>
      <c r="J204" s="682">
        <f t="shared" si="71"/>
        <v>0.33000000001629815</v>
      </c>
      <c r="K204" s="683"/>
      <c r="L204" s="684"/>
      <c r="M204" s="753"/>
      <c r="N204" s="683">
        <v>0</v>
      </c>
      <c r="O204" s="686"/>
      <c r="P204" s="683">
        <v>0</v>
      </c>
      <c r="Q204" s="687">
        <f t="shared" si="51"/>
        <v>0</v>
      </c>
      <c r="R204" s="688">
        <v>106.61</v>
      </c>
      <c r="S204" s="693"/>
      <c r="T204" s="690">
        <f t="shared" si="52"/>
        <v>106.61</v>
      </c>
      <c r="U204" s="683"/>
      <c r="V204" s="474">
        <f t="shared" si="53"/>
        <v>0</v>
      </c>
      <c r="W204" s="474">
        <f t="shared" si="54"/>
        <v>0</v>
      </c>
      <c r="X204" s="475">
        <f t="shared" si="55"/>
        <v>0</v>
      </c>
      <c r="Y204" s="475">
        <v>0</v>
      </c>
      <c r="Z204" s="476">
        <v>0</v>
      </c>
      <c r="AA204" s="38">
        <f t="shared" si="78"/>
        <v>0</v>
      </c>
      <c r="AB204" s="692">
        <f t="shared" si="58"/>
        <v>0.33000000001629815</v>
      </c>
      <c r="AC204" s="692">
        <f t="shared" si="59"/>
        <v>0</v>
      </c>
      <c r="AD204" s="692">
        <f t="shared" si="60"/>
        <v>0</v>
      </c>
      <c r="AE204" s="38"/>
      <c r="AF204" s="692">
        <f t="shared" si="61"/>
        <v>0</v>
      </c>
      <c r="AG204" s="692">
        <f t="shared" si="62"/>
        <v>0</v>
      </c>
      <c r="AH204" s="692">
        <f t="shared" si="63"/>
        <v>0</v>
      </c>
      <c r="AJ204" s="38">
        <f t="shared" si="64"/>
        <v>0.33000000001629815</v>
      </c>
    </row>
    <row r="205" spans="1:36" s="232" customFormat="1">
      <c r="A205" s="283"/>
      <c r="B205" s="283" t="s">
        <v>110</v>
      </c>
      <c r="C205" s="667" t="s">
        <v>580</v>
      </c>
      <c r="D205" s="123" t="s">
        <v>442</v>
      </c>
      <c r="E205" s="679"/>
      <c r="F205" s="529">
        <f>VLOOKUP(D205,'Aug 2012 Revenue'!D:T,17,FALSE)</f>
        <v>0</v>
      </c>
      <c r="G205" s="680"/>
      <c r="H205" s="680"/>
      <c r="I205" s="755"/>
      <c r="J205" s="682">
        <f t="shared" si="71"/>
        <v>0</v>
      </c>
      <c r="K205" s="683"/>
      <c r="L205" s="684">
        <v>380672.7</v>
      </c>
      <c r="M205" s="753"/>
      <c r="N205" s="683">
        <v>0</v>
      </c>
      <c r="O205" s="686"/>
      <c r="P205" s="683">
        <v>0</v>
      </c>
      <c r="Q205" s="687">
        <f t="shared" si="51"/>
        <v>380672.7</v>
      </c>
      <c r="R205" s="688">
        <v>385943.69</v>
      </c>
      <c r="S205" s="693"/>
      <c r="T205" s="690">
        <f t="shared" si="52"/>
        <v>5270.9899999999907</v>
      </c>
      <c r="U205" s="683"/>
      <c r="V205" s="474">
        <f t="shared" si="53"/>
        <v>380672.7</v>
      </c>
      <c r="W205" s="474">
        <f t="shared" si="54"/>
        <v>0</v>
      </c>
      <c r="X205" s="475">
        <f t="shared" si="55"/>
        <v>0</v>
      </c>
      <c r="Y205" s="475">
        <v>0</v>
      </c>
      <c r="Z205" s="476">
        <v>0</v>
      </c>
      <c r="AA205" s="38">
        <f t="shared" si="78"/>
        <v>0</v>
      </c>
      <c r="AB205" s="692">
        <f t="shared" si="58"/>
        <v>0</v>
      </c>
      <c r="AC205" s="692">
        <f t="shared" si="59"/>
        <v>0</v>
      </c>
      <c r="AD205" s="692">
        <f t="shared" si="60"/>
        <v>0</v>
      </c>
      <c r="AE205" s="38"/>
      <c r="AF205" s="692">
        <f t="shared" si="61"/>
        <v>380672.7</v>
      </c>
      <c r="AG205" s="692">
        <f t="shared" si="62"/>
        <v>0</v>
      </c>
      <c r="AH205" s="692">
        <f t="shared" si="63"/>
        <v>0</v>
      </c>
      <c r="AJ205" s="38">
        <f t="shared" si="64"/>
        <v>380672.7</v>
      </c>
    </row>
    <row r="206" spans="1:36">
      <c r="A206" s="21" t="s">
        <v>97</v>
      </c>
      <c r="B206" s="21" t="s">
        <v>109</v>
      </c>
      <c r="C206" s="666"/>
      <c r="D206" s="68" t="s">
        <v>381</v>
      </c>
      <c r="E206" s="679"/>
      <c r="F206" s="529">
        <f>VLOOKUP(D206,'Aug 2012 Revenue'!D:T,17,FALSE)</f>
        <v>0</v>
      </c>
      <c r="G206" s="680"/>
      <c r="H206" s="680"/>
      <c r="I206" s="755"/>
      <c r="J206" s="682">
        <f t="shared" si="71"/>
        <v>0</v>
      </c>
      <c r="K206" s="683"/>
      <c r="L206" s="684"/>
      <c r="M206" s="753"/>
      <c r="N206" s="683">
        <v>0</v>
      </c>
      <c r="O206" s="686"/>
      <c r="P206" s="683">
        <v>0</v>
      </c>
      <c r="Q206" s="687">
        <f t="shared" si="51"/>
        <v>0</v>
      </c>
      <c r="R206" s="688">
        <v>0</v>
      </c>
      <c r="S206" s="693"/>
      <c r="T206" s="690">
        <f t="shared" si="52"/>
        <v>0</v>
      </c>
      <c r="U206" s="683"/>
      <c r="V206" s="474">
        <f t="shared" si="53"/>
        <v>0</v>
      </c>
      <c r="W206" s="474">
        <f t="shared" si="54"/>
        <v>0</v>
      </c>
      <c r="X206" s="475">
        <f t="shared" si="55"/>
        <v>0</v>
      </c>
      <c r="Y206" s="475">
        <v>0</v>
      </c>
      <c r="Z206" s="476">
        <v>0</v>
      </c>
      <c r="AA206" s="38">
        <f t="shared" si="78"/>
        <v>0</v>
      </c>
      <c r="AB206" s="692">
        <f t="shared" si="58"/>
        <v>0</v>
      </c>
      <c r="AC206" s="692">
        <f t="shared" si="59"/>
        <v>0</v>
      </c>
      <c r="AD206" s="692">
        <f t="shared" si="60"/>
        <v>0</v>
      </c>
      <c r="AE206" s="38"/>
      <c r="AF206" s="692">
        <f t="shared" si="61"/>
        <v>0</v>
      </c>
      <c r="AG206" s="692">
        <f t="shared" si="62"/>
        <v>0</v>
      </c>
      <c r="AH206" s="692">
        <f t="shared" si="63"/>
        <v>0</v>
      </c>
      <c r="AJ206" s="38">
        <f t="shared" si="64"/>
        <v>0</v>
      </c>
    </row>
    <row r="207" spans="1:36">
      <c r="A207" s="21" t="s">
        <v>97</v>
      </c>
      <c r="B207" s="21" t="s">
        <v>114</v>
      </c>
      <c r="C207" s="666"/>
      <c r="D207" s="68" t="s">
        <v>376</v>
      </c>
      <c r="E207" s="679"/>
      <c r="F207" s="529">
        <f>VLOOKUP(D207,'Aug 2012 Revenue'!D:T,17,FALSE)</f>
        <v>0</v>
      </c>
      <c r="G207" s="680"/>
      <c r="H207" s="680"/>
      <c r="I207" s="755"/>
      <c r="J207" s="682">
        <f t="shared" si="71"/>
        <v>0</v>
      </c>
      <c r="K207" s="683"/>
      <c r="L207" s="684"/>
      <c r="M207" s="753"/>
      <c r="N207" s="683">
        <v>0</v>
      </c>
      <c r="O207" s="686"/>
      <c r="P207" s="683">
        <v>0</v>
      </c>
      <c r="Q207" s="687">
        <f t="shared" ref="Q207:Q221" si="79">L207+M207</f>
        <v>0</v>
      </c>
      <c r="R207" s="688">
        <v>0</v>
      </c>
      <c r="S207" s="693"/>
      <c r="T207" s="690">
        <f t="shared" si="52"/>
        <v>0</v>
      </c>
      <c r="U207" s="683"/>
      <c r="V207" s="474">
        <f t="shared" si="53"/>
        <v>0</v>
      </c>
      <c r="W207" s="474">
        <f t="shared" si="54"/>
        <v>0</v>
      </c>
      <c r="X207" s="475">
        <f t="shared" si="55"/>
        <v>0</v>
      </c>
      <c r="Y207" s="475">
        <v>0</v>
      </c>
      <c r="Z207" s="476">
        <v>0</v>
      </c>
      <c r="AA207" s="38">
        <f t="shared" si="78"/>
        <v>0</v>
      </c>
      <c r="AB207" s="692">
        <f t="shared" si="58"/>
        <v>0</v>
      </c>
      <c r="AC207" s="692">
        <f t="shared" si="59"/>
        <v>0</v>
      </c>
      <c r="AD207" s="692">
        <f t="shared" si="60"/>
        <v>0</v>
      </c>
      <c r="AE207" s="38"/>
      <c r="AF207" s="692">
        <f t="shared" si="61"/>
        <v>0</v>
      </c>
      <c r="AG207" s="692">
        <f t="shared" si="62"/>
        <v>0</v>
      </c>
      <c r="AH207" s="692">
        <f t="shared" si="63"/>
        <v>0</v>
      </c>
      <c r="AJ207" s="38">
        <f t="shared" si="64"/>
        <v>0</v>
      </c>
    </row>
    <row r="208" spans="1:36">
      <c r="A208" s="20"/>
      <c r="B208" s="20" t="s">
        <v>110</v>
      </c>
      <c r="C208" s="667"/>
      <c r="D208" s="68" t="s">
        <v>390</v>
      </c>
      <c r="E208" s="679"/>
      <c r="F208" s="529">
        <f>VLOOKUP(D208,'Aug 2012 Revenue'!D:T,17,FALSE)</f>
        <v>0</v>
      </c>
      <c r="G208" s="680"/>
      <c r="H208" s="680"/>
      <c r="I208" s="755"/>
      <c r="J208" s="682">
        <f t="shared" si="71"/>
        <v>0</v>
      </c>
      <c r="K208" s="683"/>
      <c r="L208" s="684"/>
      <c r="M208" s="753"/>
      <c r="N208" s="683">
        <v>0</v>
      </c>
      <c r="O208" s="686"/>
      <c r="P208" s="683">
        <v>0</v>
      </c>
      <c r="Q208" s="687">
        <f t="shared" si="79"/>
        <v>0</v>
      </c>
      <c r="R208" s="688">
        <v>0</v>
      </c>
      <c r="S208" s="693"/>
      <c r="T208" s="690">
        <f t="shared" si="52"/>
        <v>0</v>
      </c>
      <c r="U208" s="683"/>
      <c r="V208" s="474">
        <f t="shared" si="53"/>
        <v>0</v>
      </c>
      <c r="W208" s="474">
        <f t="shared" si="54"/>
        <v>0</v>
      </c>
      <c r="X208" s="475">
        <f t="shared" si="55"/>
        <v>0</v>
      </c>
      <c r="Y208" s="475">
        <v>0</v>
      </c>
      <c r="Z208" s="476">
        <v>0</v>
      </c>
      <c r="AA208" s="38">
        <f t="shared" si="78"/>
        <v>0</v>
      </c>
      <c r="AB208" s="692">
        <f t="shared" si="58"/>
        <v>0</v>
      </c>
      <c r="AC208" s="692">
        <f t="shared" si="59"/>
        <v>0</v>
      </c>
      <c r="AD208" s="692">
        <f t="shared" si="60"/>
        <v>0</v>
      </c>
      <c r="AE208" s="38"/>
      <c r="AF208" s="692">
        <f t="shared" si="61"/>
        <v>0</v>
      </c>
      <c r="AG208" s="692">
        <f t="shared" si="62"/>
        <v>0</v>
      </c>
      <c r="AH208" s="692">
        <f t="shared" si="63"/>
        <v>0</v>
      </c>
      <c r="AJ208" s="38">
        <f t="shared" si="64"/>
        <v>0</v>
      </c>
    </row>
    <row r="209" spans="1:36">
      <c r="A209" s="20"/>
      <c r="B209" s="20" t="s">
        <v>110</v>
      </c>
      <c r="C209" s="667" t="s">
        <v>581</v>
      </c>
      <c r="D209" s="123" t="s">
        <v>166</v>
      </c>
      <c r="E209" s="679"/>
      <c r="F209" s="529">
        <f>VLOOKUP(D209,'Aug 2012 Revenue'!D:T,17,FALSE)</f>
        <v>0</v>
      </c>
      <c r="G209" s="680"/>
      <c r="H209" s="680"/>
      <c r="I209" s="755"/>
      <c r="J209" s="682">
        <f t="shared" si="71"/>
        <v>0</v>
      </c>
      <c r="K209" s="683"/>
      <c r="L209" s="684"/>
      <c r="M209" s="753"/>
      <c r="N209" s="683">
        <v>0</v>
      </c>
      <c r="O209" s="686"/>
      <c r="P209" s="683">
        <v>0</v>
      </c>
      <c r="Q209" s="687">
        <f t="shared" si="79"/>
        <v>0</v>
      </c>
      <c r="R209" s="688">
        <v>0</v>
      </c>
      <c r="S209" s="693"/>
      <c r="T209" s="690">
        <f t="shared" si="52"/>
        <v>0</v>
      </c>
      <c r="U209" s="683"/>
      <c r="V209" s="474">
        <f t="shared" si="53"/>
        <v>0</v>
      </c>
      <c r="W209" s="474">
        <f t="shared" si="54"/>
        <v>0</v>
      </c>
      <c r="X209" s="475">
        <f t="shared" si="55"/>
        <v>0</v>
      </c>
      <c r="Y209" s="475">
        <v>0</v>
      </c>
      <c r="Z209" s="476">
        <v>0</v>
      </c>
      <c r="AA209" s="38">
        <f t="shared" si="78"/>
        <v>0</v>
      </c>
      <c r="AB209" s="692">
        <f t="shared" si="58"/>
        <v>0</v>
      </c>
      <c r="AC209" s="692">
        <f t="shared" si="59"/>
        <v>0</v>
      </c>
      <c r="AD209" s="692">
        <f t="shared" si="60"/>
        <v>0</v>
      </c>
      <c r="AE209" s="38"/>
      <c r="AF209" s="692">
        <f t="shared" si="61"/>
        <v>0</v>
      </c>
      <c r="AG209" s="692">
        <f t="shared" si="62"/>
        <v>0</v>
      </c>
      <c r="AH209" s="692">
        <f t="shared" si="63"/>
        <v>0</v>
      </c>
      <c r="AJ209" s="38">
        <f t="shared" si="64"/>
        <v>0</v>
      </c>
    </row>
    <row r="210" spans="1:36">
      <c r="A210" s="20"/>
      <c r="B210" s="20" t="s">
        <v>109</v>
      </c>
      <c r="C210" s="667" t="s">
        <v>581</v>
      </c>
      <c r="D210" s="123" t="s">
        <v>165</v>
      </c>
      <c r="E210" s="679"/>
      <c r="F210" s="529">
        <f>VLOOKUP(D210,'Aug 2012 Revenue'!D:T,17,FALSE)</f>
        <v>0</v>
      </c>
      <c r="G210" s="680"/>
      <c r="H210" s="680"/>
      <c r="I210" s="755"/>
      <c r="J210" s="682">
        <f t="shared" si="71"/>
        <v>0</v>
      </c>
      <c r="K210" s="683"/>
      <c r="L210" s="684"/>
      <c r="M210" s="753"/>
      <c r="N210" s="683">
        <v>0</v>
      </c>
      <c r="O210" s="686"/>
      <c r="P210" s="683">
        <v>0</v>
      </c>
      <c r="Q210" s="687">
        <f t="shared" si="79"/>
        <v>0</v>
      </c>
      <c r="R210" s="688">
        <v>0</v>
      </c>
      <c r="S210" s="693"/>
      <c r="T210" s="690">
        <f t="shared" ref="T210:T221" si="80">IF(R210="","",R210-Q210)</f>
        <v>0</v>
      </c>
      <c r="U210" s="683"/>
      <c r="V210" s="474">
        <f t="shared" si="53"/>
        <v>0</v>
      </c>
      <c r="W210" s="474">
        <f t="shared" si="54"/>
        <v>0</v>
      </c>
      <c r="X210" s="475">
        <f t="shared" si="55"/>
        <v>0</v>
      </c>
      <c r="Y210" s="475">
        <v>0</v>
      </c>
      <c r="Z210" s="476">
        <v>0</v>
      </c>
      <c r="AA210" s="38">
        <f t="shared" si="78"/>
        <v>0</v>
      </c>
      <c r="AB210" s="692">
        <f t="shared" si="58"/>
        <v>0</v>
      </c>
      <c r="AC210" s="692">
        <f t="shared" si="59"/>
        <v>0</v>
      </c>
      <c r="AD210" s="692">
        <f t="shared" si="60"/>
        <v>0</v>
      </c>
      <c r="AE210" s="38"/>
      <c r="AF210" s="692">
        <f t="shared" si="61"/>
        <v>0</v>
      </c>
      <c r="AG210" s="692">
        <f t="shared" si="62"/>
        <v>0</v>
      </c>
      <c r="AH210" s="692">
        <f t="shared" si="63"/>
        <v>0</v>
      </c>
      <c r="AJ210" s="38">
        <f t="shared" si="64"/>
        <v>0</v>
      </c>
    </row>
    <row r="211" spans="1:36">
      <c r="A211" s="20"/>
      <c r="B211" s="20" t="s">
        <v>109</v>
      </c>
      <c r="C211" s="667"/>
      <c r="D211" s="123" t="s">
        <v>310</v>
      </c>
      <c r="E211" s="679"/>
      <c r="F211" s="529">
        <f>VLOOKUP(D211,'Aug 2012 Revenue'!D:T,17,FALSE)</f>
        <v>0</v>
      </c>
      <c r="G211" s="680"/>
      <c r="H211" s="680"/>
      <c r="I211" s="755"/>
      <c r="J211" s="682">
        <f t="shared" si="71"/>
        <v>0</v>
      </c>
      <c r="K211" s="683"/>
      <c r="L211" s="684"/>
      <c r="M211" s="753"/>
      <c r="N211" s="683">
        <v>0</v>
      </c>
      <c r="O211" s="686"/>
      <c r="P211" s="683">
        <v>0</v>
      </c>
      <c r="Q211" s="687">
        <f t="shared" si="79"/>
        <v>0</v>
      </c>
      <c r="R211" s="688">
        <v>0</v>
      </c>
      <c r="S211" s="693"/>
      <c r="T211" s="690">
        <f t="shared" si="80"/>
        <v>0</v>
      </c>
      <c r="U211" s="683"/>
      <c r="V211" s="474">
        <f t="shared" ref="V211:V221" si="81">IF(B211="D",Q211,0)</f>
        <v>0</v>
      </c>
      <c r="W211" s="474">
        <f t="shared" ref="W211:W221" si="82">IF(B211="M",Q211,0)</f>
        <v>0</v>
      </c>
      <c r="X211" s="475">
        <f t="shared" ref="X211:X221" si="83">IF(B211="V",Q211,0)</f>
        <v>0</v>
      </c>
      <c r="Y211" s="475">
        <v>0</v>
      </c>
      <c r="Z211" s="476">
        <v>0</v>
      </c>
      <c r="AA211" s="38">
        <f t="shared" si="78"/>
        <v>0</v>
      </c>
      <c r="AB211" s="692">
        <f t="shared" ref="AB211:AB221" si="84">IF(B211="D",J211,0)</f>
        <v>0</v>
      </c>
      <c r="AC211" s="692">
        <f t="shared" ref="AC211:AC221" si="85">IF(B211="M",J211,0)</f>
        <v>0</v>
      </c>
      <c r="AD211" s="692">
        <f t="shared" ref="AD211:AD221" si="86">IF(B211="V",J211,0)</f>
        <v>0</v>
      </c>
      <c r="AE211" s="38"/>
      <c r="AF211" s="692">
        <f t="shared" ref="AF211:AF221" si="87">IF(B211="D",Q211,0)</f>
        <v>0</v>
      </c>
      <c r="AG211" s="692">
        <f t="shared" ref="AG211:AG221" si="88">IF(B211="M",Q211,0)</f>
        <v>0</v>
      </c>
      <c r="AH211" s="692">
        <f t="shared" ref="AH211:AH221" si="89">IF(B211="V",Q211,0)</f>
        <v>0</v>
      </c>
      <c r="AJ211" s="38">
        <f t="shared" ref="AJ211:AJ221" si="90">SUM(AB211:AH211)</f>
        <v>0</v>
      </c>
    </row>
    <row r="212" spans="1:36">
      <c r="A212" s="20"/>
      <c r="B212" s="20" t="s">
        <v>109</v>
      </c>
      <c r="C212" s="667"/>
      <c r="D212" s="123" t="s">
        <v>441</v>
      </c>
      <c r="E212" s="679"/>
      <c r="F212" s="529">
        <f>VLOOKUP(D212,'Aug 2012 Revenue'!D:T,17,FALSE)</f>
        <v>0</v>
      </c>
      <c r="G212" s="680"/>
      <c r="H212" s="680"/>
      <c r="I212" s="755"/>
      <c r="J212" s="682">
        <f t="shared" si="71"/>
        <v>0</v>
      </c>
      <c r="K212" s="683"/>
      <c r="L212" s="684"/>
      <c r="M212" s="753"/>
      <c r="N212" s="683">
        <v>0</v>
      </c>
      <c r="O212" s="686"/>
      <c r="P212" s="683">
        <v>0</v>
      </c>
      <c r="Q212" s="687">
        <f t="shared" si="79"/>
        <v>0</v>
      </c>
      <c r="R212" s="688">
        <v>0</v>
      </c>
      <c r="S212" s="693"/>
      <c r="T212" s="690">
        <f t="shared" si="80"/>
        <v>0</v>
      </c>
      <c r="U212" s="683"/>
      <c r="V212" s="474">
        <f t="shared" si="81"/>
        <v>0</v>
      </c>
      <c r="W212" s="474">
        <f t="shared" si="82"/>
        <v>0</v>
      </c>
      <c r="X212" s="475">
        <f t="shared" si="83"/>
        <v>0</v>
      </c>
      <c r="Y212" s="475">
        <v>0</v>
      </c>
      <c r="Z212" s="476">
        <v>0</v>
      </c>
      <c r="AA212" s="38">
        <f t="shared" si="78"/>
        <v>0</v>
      </c>
      <c r="AB212" s="692">
        <f t="shared" si="84"/>
        <v>0</v>
      </c>
      <c r="AC212" s="692">
        <f t="shared" si="85"/>
        <v>0</v>
      </c>
      <c r="AD212" s="692">
        <f t="shared" si="86"/>
        <v>0</v>
      </c>
      <c r="AE212" s="38"/>
      <c r="AF212" s="692">
        <f t="shared" si="87"/>
        <v>0</v>
      </c>
      <c r="AG212" s="692">
        <f t="shared" si="88"/>
        <v>0</v>
      </c>
      <c r="AH212" s="692">
        <f t="shared" si="89"/>
        <v>0</v>
      </c>
      <c r="AJ212" s="38">
        <f t="shared" si="90"/>
        <v>0</v>
      </c>
    </row>
    <row r="213" spans="1:36">
      <c r="A213" s="20"/>
      <c r="B213" s="20" t="s">
        <v>109</v>
      </c>
      <c r="C213" s="667"/>
      <c r="D213" s="68" t="s">
        <v>121</v>
      </c>
      <c r="E213" s="679"/>
      <c r="F213" s="529">
        <f>VLOOKUP(D213,'Aug 2012 Revenue'!D:T,17,FALSE)</f>
        <v>0</v>
      </c>
      <c r="G213" s="680"/>
      <c r="H213" s="680"/>
      <c r="I213" s="755"/>
      <c r="J213" s="682">
        <f t="shared" si="71"/>
        <v>0</v>
      </c>
      <c r="K213" s="683"/>
      <c r="L213" s="684"/>
      <c r="M213" s="753"/>
      <c r="N213" s="683">
        <v>0</v>
      </c>
      <c r="O213" s="686"/>
      <c r="P213" s="683">
        <v>0</v>
      </c>
      <c r="Q213" s="687">
        <f t="shared" si="79"/>
        <v>0</v>
      </c>
      <c r="R213" s="688">
        <v>0</v>
      </c>
      <c r="S213" s="693"/>
      <c r="T213" s="690">
        <f t="shared" si="80"/>
        <v>0</v>
      </c>
      <c r="U213" s="683"/>
      <c r="V213" s="474">
        <f t="shared" si="81"/>
        <v>0</v>
      </c>
      <c r="W213" s="474">
        <f t="shared" si="82"/>
        <v>0</v>
      </c>
      <c r="X213" s="475">
        <f t="shared" si="83"/>
        <v>0</v>
      </c>
      <c r="Y213" s="475">
        <v>0</v>
      </c>
      <c r="Z213" s="476">
        <v>0</v>
      </c>
      <c r="AA213" s="38">
        <f t="shared" si="78"/>
        <v>0</v>
      </c>
      <c r="AB213" s="692">
        <f t="shared" si="84"/>
        <v>0</v>
      </c>
      <c r="AC213" s="692">
        <f t="shared" si="85"/>
        <v>0</v>
      </c>
      <c r="AD213" s="692">
        <f t="shared" si="86"/>
        <v>0</v>
      </c>
      <c r="AE213" s="38"/>
      <c r="AF213" s="692">
        <f t="shared" si="87"/>
        <v>0</v>
      </c>
      <c r="AG213" s="692">
        <f t="shared" si="88"/>
        <v>0</v>
      </c>
      <c r="AH213" s="692">
        <f t="shared" si="89"/>
        <v>0</v>
      </c>
      <c r="AJ213" s="38">
        <f t="shared" si="90"/>
        <v>0</v>
      </c>
    </row>
    <row r="214" spans="1:36">
      <c r="A214" s="20"/>
      <c r="B214" s="20" t="s">
        <v>110</v>
      </c>
      <c r="C214" s="667"/>
      <c r="D214" s="68" t="s">
        <v>168</v>
      </c>
      <c r="E214" s="679"/>
      <c r="F214" s="529">
        <f>VLOOKUP(D214,'Aug 2012 Revenue'!D:T,17,FALSE)</f>
        <v>0</v>
      </c>
      <c r="G214" s="680"/>
      <c r="H214" s="680"/>
      <c r="I214" s="755"/>
      <c r="J214" s="682">
        <f t="shared" si="71"/>
        <v>0</v>
      </c>
      <c r="K214" s="683"/>
      <c r="L214" s="684"/>
      <c r="M214" s="753"/>
      <c r="N214" s="683">
        <v>0</v>
      </c>
      <c r="O214" s="686"/>
      <c r="P214" s="683">
        <v>0</v>
      </c>
      <c r="Q214" s="687">
        <f t="shared" si="79"/>
        <v>0</v>
      </c>
      <c r="R214" s="688">
        <v>0</v>
      </c>
      <c r="S214" s="693"/>
      <c r="T214" s="690">
        <f t="shared" si="80"/>
        <v>0</v>
      </c>
      <c r="U214" s="683"/>
      <c r="V214" s="474">
        <f t="shared" si="81"/>
        <v>0</v>
      </c>
      <c r="W214" s="474">
        <f t="shared" si="82"/>
        <v>0</v>
      </c>
      <c r="X214" s="475">
        <f t="shared" si="83"/>
        <v>0</v>
      </c>
      <c r="Y214" s="475">
        <v>0</v>
      </c>
      <c r="Z214" s="476">
        <v>0</v>
      </c>
      <c r="AA214" s="38">
        <f t="shared" si="78"/>
        <v>0</v>
      </c>
      <c r="AB214" s="692">
        <f t="shared" si="84"/>
        <v>0</v>
      </c>
      <c r="AC214" s="692">
        <f t="shared" si="85"/>
        <v>0</v>
      </c>
      <c r="AD214" s="692">
        <f t="shared" si="86"/>
        <v>0</v>
      </c>
      <c r="AE214" s="38"/>
      <c r="AF214" s="692">
        <f t="shared" si="87"/>
        <v>0</v>
      </c>
      <c r="AG214" s="692">
        <f t="shared" si="88"/>
        <v>0</v>
      </c>
      <c r="AH214" s="692">
        <f t="shared" si="89"/>
        <v>0</v>
      </c>
      <c r="AJ214" s="38">
        <f t="shared" si="90"/>
        <v>0</v>
      </c>
    </row>
    <row r="215" spans="1:36">
      <c r="A215" s="20"/>
      <c r="B215" s="20" t="s">
        <v>109</v>
      </c>
      <c r="C215" s="667" t="s">
        <v>582</v>
      </c>
      <c r="D215" s="68" t="s">
        <v>167</v>
      </c>
      <c r="E215" s="679"/>
      <c r="F215" s="529">
        <f>VLOOKUP(D215,'Aug 2012 Revenue'!D:T,17,FALSE)</f>
        <v>0</v>
      </c>
      <c r="G215" s="680"/>
      <c r="H215" s="680"/>
      <c r="I215" s="755"/>
      <c r="J215" s="682">
        <f t="shared" si="71"/>
        <v>0</v>
      </c>
      <c r="K215" s="683"/>
      <c r="L215" s="684"/>
      <c r="M215" s="753"/>
      <c r="N215" s="683">
        <v>0</v>
      </c>
      <c r="O215" s="686"/>
      <c r="P215" s="683">
        <v>0</v>
      </c>
      <c r="Q215" s="687">
        <f t="shared" si="79"/>
        <v>0</v>
      </c>
      <c r="R215" s="688">
        <v>0</v>
      </c>
      <c r="S215" s="693"/>
      <c r="T215" s="690">
        <f t="shared" si="80"/>
        <v>0</v>
      </c>
      <c r="U215" s="683"/>
      <c r="V215" s="474">
        <f t="shared" si="81"/>
        <v>0</v>
      </c>
      <c r="W215" s="474">
        <f t="shared" si="82"/>
        <v>0</v>
      </c>
      <c r="X215" s="475">
        <f t="shared" si="83"/>
        <v>0</v>
      </c>
      <c r="Y215" s="475">
        <v>0</v>
      </c>
      <c r="Z215" s="476">
        <v>0</v>
      </c>
      <c r="AA215" s="38">
        <f t="shared" si="78"/>
        <v>0</v>
      </c>
      <c r="AB215" s="692">
        <f t="shared" si="84"/>
        <v>0</v>
      </c>
      <c r="AC215" s="692">
        <f t="shared" si="85"/>
        <v>0</v>
      </c>
      <c r="AD215" s="692">
        <f t="shared" si="86"/>
        <v>0</v>
      </c>
      <c r="AE215" s="38"/>
      <c r="AF215" s="692">
        <f t="shared" si="87"/>
        <v>0</v>
      </c>
      <c r="AG215" s="692">
        <f t="shared" si="88"/>
        <v>0</v>
      </c>
      <c r="AH215" s="692">
        <f t="shared" si="89"/>
        <v>0</v>
      </c>
      <c r="AJ215" s="38">
        <f t="shared" si="90"/>
        <v>0</v>
      </c>
    </row>
    <row r="216" spans="1:36">
      <c r="A216" s="20" t="s">
        <v>218</v>
      </c>
      <c r="B216" s="20" t="s">
        <v>110</v>
      </c>
      <c r="C216" s="667"/>
      <c r="D216" s="68" t="s">
        <v>60</v>
      </c>
      <c r="E216" s="679"/>
      <c r="F216" s="529">
        <f>VLOOKUP(D216,'Aug 2012 Revenue'!D:T,17,FALSE)</f>
        <v>-5000</v>
      </c>
      <c r="G216" s="680"/>
      <c r="H216" s="680"/>
      <c r="I216" s="755"/>
      <c r="J216" s="682">
        <f t="shared" si="71"/>
        <v>-5000</v>
      </c>
      <c r="K216" s="683"/>
      <c r="L216" s="684"/>
      <c r="M216" s="753">
        <v>8000</v>
      </c>
      <c r="N216" s="683">
        <v>0</v>
      </c>
      <c r="O216" s="686"/>
      <c r="P216" s="683">
        <v>0</v>
      </c>
      <c r="Q216" s="687">
        <f t="shared" si="79"/>
        <v>8000</v>
      </c>
      <c r="R216" s="688">
        <v>0</v>
      </c>
      <c r="S216" s="693"/>
      <c r="T216" s="690">
        <f t="shared" si="80"/>
        <v>-8000</v>
      </c>
      <c r="U216" s="697"/>
      <c r="V216" s="474">
        <f t="shared" si="81"/>
        <v>8000</v>
      </c>
      <c r="W216" s="474">
        <f t="shared" si="82"/>
        <v>0</v>
      </c>
      <c r="X216" s="475">
        <f t="shared" si="83"/>
        <v>0</v>
      </c>
      <c r="Y216" s="475">
        <v>0</v>
      </c>
      <c r="Z216" s="476">
        <v>0</v>
      </c>
      <c r="AA216" s="38">
        <f t="shared" si="78"/>
        <v>0</v>
      </c>
      <c r="AB216" s="692">
        <f t="shared" si="84"/>
        <v>-5000</v>
      </c>
      <c r="AC216" s="692">
        <f t="shared" si="85"/>
        <v>0</v>
      </c>
      <c r="AD216" s="692">
        <f t="shared" si="86"/>
        <v>0</v>
      </c>
      <c r="AE216" s="38"/>
      <c r="AF216" s="692">
        <f t="shared" si="87"/>
        <v>8000</v>
      </c>
      <c r="AG216" s="692">
        <f t="shared" si="88"/>
        <v>0</v>
      </c>
      <c r="AH216" s="692">
        <f t="shared" si="89"/>
        <v>0</v>
      </c>
      <c r="AJ216" s="38">
        <f t="shared" si="90"/>
        <v>3000</v>
      </c>
    </row>
    <row r="217" spans="1:36">
      <c r="A217" s="20"/>
      <c r="B217" s="20" t="s">
        <v>110</v>
      </c>
      <c r="C217" s="667" t="s">
        <v>583</v>
      </c>
      <c r="D217" s="68" t="s">
        <v>169</v>
      </c>
      <c r="E217" s="679"/>
      <c r="F217" s="529">
        <f>VLOOKUP(D217,'Aug 2012 Revenue'!D:T,17,FALSE)</f>
        <v>0</v>
      </c>
      <c r="G217" s="680"/>
      <c r="H217" s="680"/>
      <c r="I217" s="755"/>
      <c r="J217" s="682">
        <f t="shared" si="71"/>
        <v>0</v>
      </c>
      <c r="K217" s="683"/>
      <c r="L217" s="684"/>
      <c r="M217" s="753"/>
      <c r="N217" s="683">
        <v>0</v>
      </c>
      <c r="O217" s="686"/>
      <c r="P217" s="683">
        <v>0</v>
      </c>
      <c r="Q217" s="687">
        <f t="shared" si="79"/>
        <v>0</v>
      </c>
      <c r="R217" s="688">
        <v>192.27</v>
      </c>
      <c r="S217" s="693"/>
      <c r="T217" s="690">
        <f t="shared" si="80"/>
        <v>192.27</v>
      </c>
      <c r="U217" s="683"/>
      <c r="V217" s="474">
        <f t="shared" si="81"/>
        <v>0</v>
      </c>
      <c r="W217" s="474">
        <f t="shared" si="82"/>
        <v>0</v>
      </c>
      <c r="X217" s="475">
        <f t="shared" si="83"/>
        <v>0</v>
      </c>
      <c r="Y217" s="475">
        <v>0</v>
      </c>
      <c r="Z217" s="476">
        <v>0</v>
      </c>
      <c r="AA217" s="38">
        <f t="shared" si="78"/>
        <v>0</v>
      </c>
      <c r="AB217" s="692">
        <f t="shared" si="84"/>
        <v>0</v>
      </c>
      <c r="AC217" s="692">
        <f t="shared" si="85"/>
        <v>0</v>
      </c>
      <c r="AD217" s="692">
        <f t="shared" si="86"/>
        <v>0</v>
      </c>
      <c r="AE217" s="38"/>
      <c r="AF217" s="692">
        <f t="shared" si="87"/>
        <v>0</v>
      </c>
      <c r="AG217" s="692">
        <f t="shared" si="88"/>
        <v>0</v>
      </c>
      <c r="AH217" s="692">
        <f t="shared" si="89"/>
        <v>0</v>
      </c>
      <c r="AJ217" s="38">
        <f t="shared" si="90"/>
        <v>0</v>
      </c>
    </row>
    <row r="218" spans="1:36">
      <c r="A218" s="21"/>
      <c r="B218" s="21" t="s">
        <v>110</v>
      </c>
      <c r="C218" s="666"/>
      <c r="D218" s="68" t="s">
        <v>590</v>
      </c>
      <c r="E218" s="679"/>
      <c r="F218" s="529">
        <f>VLOOKUP(D218,'Aug 2012 Revenue'!D:T,17,FALSE)</f>
        <v>0</v>
      </c>
      <c r="G218" s="680"/>
      <c r="H218" s="680"/>
      <c r="I218" s="755"/>
      <c r="J218" s="682">
        <f t="shared" si="71"/>
        <v>0</v>
      </c>
      <c r="K218" s="683"/>
      <c r="L218" s="684"/>
      <c r="M218" s="753"/>
      <c r="N218" s="683">
        <v>0</v>
      </c>
      <c r="O218" s="686"/>
      <c r="P218" s="683">
        <v>0</v>
      </c>
      <c r="Q218" s="687">
        <f t="shared" si="79"/>
        <v>0</v>
      </c>
      <c r="R218" s="688">
        <v>0</v>
      </c>
      <c r="S218" s="693"/>
      <c r="T218" s="690">
        <f t="shared" si="80"/>
        <v>0</v>
      </c>
      <c r="U218" s="683"/>
      <c r="V218" s="474">
        <f t="shared" si="81"/>
        <v>0</v>
      </c>
      <c r="W218" s="474">
        <f t="shared" si="82"/>
        <v>0</v>
      </c>
      <c r="X218" s="475">
        <f t="shared" si="83"/>
        <v>0</v>
      </c>
      <c r="Y218" s="475">
        <v>0</v>
      </c>
      <c r="Z218" s="476">
        <v>0</v>
      </c>
      <c r="AA218" s="38">
        <f t="shared" si="78"/>
        <v>0</v>
      </c>
      <c r="AB218" s="692">
        <f t="shared" si="84"/>
        <v>0</v>
      </c>
      <c r="AC218" s="692">
        <f t="shared" si="85"/>
        <v>0</v>
      </c>
      <c r="AD218" s="692">
        <f t="shared" si="86"/>
        <v>0</v>
      </c>
      <c r="AE218" s="38"/>
      <c r="AF218" s="692">
        <f t="shared" si="87"/>
        <v>0</v>
      </c>
      <c r="AG218" s="692">
        <f t="shared" si="88"/>
        <v>0</v>
      </c>
      <c r="AH218" s="692">
        <f t="shared" si="89"/>
        <v>0</v>
      </c>
      <c r="AJ218" s="38">
        <f t="shared" si="90"/>
        <v>0</v>
      </c>
    </row>
    <row r="219" spans="1:36">
      <c r="A219" s="21"/>
      <c r="B219" s="21" t="s">
        <v>114</v>
      </c>
      <c r="C219" s="666"/>
      <c r="D219" s="68" t="s">
        <v>591</v>
      </c>
      <c r="E219" s="679"/>
      <c r="F219" s="529">
        <f>VLOOKUP(D219,'Aug 2012 Revenue'!D:T,17,FALSE)</f>
        <v>2604.33</v>
      </c>
      <c r="G219" s="680"/>
      <c r="H219" s="680"/>
      <c r="I219" s="755"/>
      <c r="J219" s="682">
        <f t="shared" si="71"/>
        <v>2604.33</v>
      </c>
      <c r="K219" s="683"/>
      <c r="L219" s="684"/>
      <c r="M219" s="753"/>
      <c r="N219" s="683">
        <v>0</v>
      </c>
      <c r="O219" s="686"/>
      <c r="P219" s="683">
        <v>0</v>
      </c>
      <c r="Q219" s="687">
        <f t="shared" si="79"/>
        <v>0</v>
      </c>
      <c r="R219" s="688">
        <f>664.03+370.19+261.85+1290.5</f>
        <v>2586.5700000000002</v>
      </c>
      <c r="S219" s="693"/>
      <c r="T219" s="690">
        <f t="shared" si="80"/>
        <v>2586.5700000000002</v>
      </c>
      <c r="U219" s="683"/>
      <c r="V219" s="474">
        <f t="shared" si="81"/>
        <v>0</v>
      </c>
      <c r="W219" s="474">
        <f t="shared" si="82"/>
        <v>0</v>
      </c>
      <c r="X219" s="475">
        <f t="shared" si="83"/>
        <v>0</v>
      </c>
      <c r="Y219" s="475">
        <v>0</v>
      </c>
      <c r="Z219" s="476">
        <v>0</v>
      </c>
      <c r="AA219" s="38">
        <f t="shared" si="78"/>
        <v>0</v>
      </c>
      <c r="AB219" s="692">
        <f t="shared" si="84"/>
        <v>0</v>
      </c>
      <c r="AC219" s="692">
        <f t="shared" si="85"/>
        <v>0</v>
      </c>
      <c r="AD219" s="692">
        <f t="shared" si="86"/>
        <v>2604.33</v>
      </c>
      <c r="AE219" s="38"/>
      <c r="AF219" s="692">
        <f t="shared" si="87"/>
        <v>0</v>
      </c>
      <c r="AG219" s="692">
        <f t="shared" si="88"/>
        <v>0</v>
      </c>
      <c r="AH219" s="692">
        <f t="shared" si="89"/>
        <v>0</v>
      </c>
      <c r="AJ219" s="38">
        <f t="shared" si="90"/>
        <v>2604.33</v>
      </c>
    </row>
    <row r="220" spans="1:36">
      <c r="A220" s="21"/>
      <c r="B220" s="21" t="s">
        <v>114</v>
      </c>
      <c r="C220" s="672"/>
      <c r="D220" s="519" t="s">
        <v>433</v>
      </c>
      <c r="E220" s="679"/>
      <c r="F220" s="529">
        <f>VLOOKUP(D220,'Aug 2012 Revenue'!D:T,17,FALSE)</f>
        <v>0</v>
      </c>
      <c r="G220" s="680"/>
      <c r="H220" s="680"/>
      <c r="I220" s="755"/>
      <c r="J220" s="682">
        <f t="shared" si="71"/>
        <v>0</v>
      </c>
      <c r="K220" s="683"/>
      <c r="L220" s="684"/>
      <c r="M220" s="753"/>
      <c r="N220" s="683">
        <v>0</v>
      </c>
      <c r="O220" s="686"/>
      <c r="P220" s="683">
        <v>0</v>
      </c>
      <c r="Q220" s="687">
        <f t="shared" si="79"/>
        <v>0</v>
      </c>
      <c r="R220" s="688">
        <v>0</v>
      </c>
      <c r="S220" s="693"/>
      <c r="T220" s="690">
        <f t="shared" si="80"/>
        <v>0</v>
      </c>
      <c r="U220" s="683"/>
      <c r="V220" s="474">
        <f t="shared" si="81"/>
        <v>0</v>
      </c>
      <c r="W220" s="474">
        <f t="shared" si="82"/>
        <v>0</v>
      </c>
      <c r="X220" s="475">
        <f t="shared" si="83"/>
        <v>0</v>
      </c>
      <c r="Y220" s="475">
        <v>0</v>
      </c>
      <c r="Z220" s="476">
        <v>0</v>
      </c>
      <c r="AA220" s="38">
        <f t="shared" si="78"/>
        <v>0</v>
      </c>
      <c r="AB220" s="692">
        <f t="shared" si="84"/>
        <v>0</v>
      </c>
      <c r="AC220" s="692">
        <f t="shared" si="85"/>
        <v>0</v>
      </c>
      <c r="AD220" s="692">
        <f t="shared" si="86"/>
        <v>0</v>
      </c>
      <c r="AE220" s="38"/>
      <c r="AF220" s="692">
        <f t="shared" si="87"/>
        <v>0</v>
      </c>
      <c r="AG220" s="692">
        <f t="shared" si="88"/>
        <v>0</v>
      </c>
      <c r="AH220" s="692">
        <f t="shared" si="89"/>
        <v>0</v>
      </c>
      <c r="AJ220" s="38">
        <f t="shared" si="90"/>
        <v>0</v>
      </c>
    </row>
    <row r="221" spans="1:36" s="146" customFormat="1" ht="13" thickBot="1">
      <c r="A221" s="21"/>
      <c r="B221" s="21" t="s">
        <v>110</v>
      </c>
      <c r="C221" s="666"/>
      <c r="D221" s="68" t="s">
        <v>593</v>
      </c>
      <c r="E221" s="679"/>
      <c r="F221" s="529">
        <f>VLOOKUP(D221,'Aug 2012 Revenue'!D:T,17,FALSE)</f>
        <v>0</v>
      </c>
      <c r="G221" s="680"/>
      <c r="H221" s="680"/>
      <c r="I221" s="755"/>
      <c r="J221" s="682">
        <f t="shared" si="71"/>
        <v>0</v>
      </c>
      <c r="K221" s="683"/>
      <c r="L221" s="684"/>
      <c r="M221" s="753"/>
      <c r="N221" s="683">
        <v>0</v>
      </c>
      <c r="O221" s="686"/>
      <c r="P221" s="683">
        <v>0</v>
      </c>
      <c r="Q221" s="687">
        <f t="shared" si="79"/>
        <v>0</v>
      </c>
      <c r="R221" s="688">
        <v>0</v>
      </c>
      <c r="S221" s="693"/>
      <c r="T221" s="690">
        <f t="shared" si="80"/>
        <v>0</v>
      </c>
      <c r="U221" s="683"/>
      <c r="V221" s="474">
        <f t="shared" si="81"/>
        <v>0</v>
      </c>
      <c r="W221" s="474">
        <f t="shared" si="82"/>
        <v>0</v>
      </c>
      <c r="X221" s="475">
        <f t="shared" si="83"/>
        <v>0</v>
      </c>
      <c r="Y221" s="475">
        <v>0</v>
      </c>
      <c r="Z221" s="476">
        <v>0</v>
      </c>
      <c r="AA221" s="38">
        <f t="shared" si="78"/>
        <v>0</v>
      </c>
      <c r="AB221" s="692">
        <f t="shared" si="84"/>
        <v>0</v>
      </c>
      <c r="AC221" s="692">
        <f t="shared" si="85"/>
        <v>0</v>
      </c>
      <c r="AD221" s="692">
        <f t="shared" si="86"/>
        <v>0</v>
      </c>
      <c r="AE221" s="38"/>
      <c r="AF221" s="692">
        <f t="shared" si="87"/>
        <v>0</v>
      </c>
      <c r="AG221" s="692">
        <f t="shared" si="88"/>
        <v>0</v>
      </c>
      <c r="AH221" s="692">
        <f t="shared" si="89"/>
        <v>0</v>
      </c>
      <c r="AJ221" s="38">
        <f t="shared" si="90"/>
        <v>0</v>
      </c>
    </row>
    <row r="222" spans="1:36" ht="13" thickBot="1">
      <c r="A222" s="107"/>
      <c r="B222" s="108"/>
      <c r="C222" s="673"/>
      <c r="D222" s="71" t="s">
        <v>86</v>
      </c>
      <c r="E222" s="454">
        <f t="shared" ref="E222:J222" si="91">SUM(E16:E221)</f>
        <v>254644.07</v>
      </c>
      <c r="F222" s="454" t="e">
        <f t="shared" si="91"/>
        <v>#N/A</v>
      </c>
      <c r="G222" s="454">
        <f t="shared" si="91"/>
        <v>0</v>
      </c>
      <c r="H222" s="454">
        <f t="shared" si="91"/>
        <v>0</v>
      </c>
      <c r="I222" s="454">
        <f t="shared" si="91"/>
        <v>4296656.1199999992</v>
      </c>
      <c r="J222" s="454" t="e">
        <f t="shared" si="91"/>
        <v>#N/A</v>
      </c>
      <c r="K222" s="454"/>
      <c r="L222" s="454">
        <f>SUM(L16:L221)</f>
        <v>383008.16000000003</v>
      </c>
      <c r="M222" s="454">
        <f>SUM(M16:M221)</f>
        <v>2818500</v>
      </c>
      <c r="N222" s="454">
        <f>SUM(N16:N221)</f>
        <v>0</v>
      </c>
      <c r="O222" s="100">
        <f>SUM(O16:O221)</f>
        <v>0</v>
      </c>
      <c r="P222" s="157">
        <f>SUM(P17:P221)</f>
        <v>0</v>
      </c>
      <c r="Q222" s="100">
        <f>SUM(Q16:Q221)</f>
        <v>3201508.16</v>
      </c>
      <c r="R222" s="100">
        <f>SUM(R16:R221)</f>
        <v>2769026.9514920004</v>
      </c>
      <c r="S222" s="708"/>
      <c r="T222" s="100">
        <f>SUM(T16:T221)</f>
        <v>-432481.20850800007</v>
      </c>
      <c r="U222" s="683"/>
      <c r="V222" s="314">
        <f>SUM(V16:V221)</f>
        <v>2748672.7</v>
      </c>
      <c r="W222" s="314">
        <f>SUM(W16:W221)</f>
        <v>378000</v>
      </c>
      <c r="X222" s="314">
        <f>SUM(X16:X221)</f>
        <v>74835.460000000006</v>
      </c>
      <c r="Y222" s="314">
        <f>SUM(Y16:Y221)</f>
        <v>0</v>
      </c>
      <c r="Z222" s="314">
        <f>SUM(Z16:Z221)</f>
        <v>0</v>
      </c>
      <c r="AA222" s="38"/>
      <c r="AB222" s="314">
        <f>SUM(AB16:AB221)</f>
        <v>3982925.1099999989</v>
      </c>
      <c r="AC222" s="314" t="e">
        <f>SUM(AC16:AC221)</f>
        <v>#N/A</v>
      </c>
      <c r="AD222" s="314">
        <f>SUM(AD16:AD221)</f>
        <v>-11588.180000000002</v>
      </c>
      <c r="AE222" s="38"/>
      <c r="AF222" s="314">
        <f>SUM(AF16:AF221)</f>
        <v>2748672.7</v>
      </c>
      <c r="AG222" s="314">
        <f>SUM(AG16:AG221)</f>
        <v>378000</v>
      </c>
      <c r="AH222" s="314">
        <f>SUM(AH16:AH221)</f>
        <v>74835.460000000006</v>
      </c>
    </row>
    <row r="223" spans="1:36" ht="13" thickBot="1">
      <c r="A223" s="65"/>
      <c r="B223" s="65"/>
      <c r="C223" s="674"/>
      <c r="D223" s="141"/>
      <c r="E223" s="709" t="s">
        <v>293</v>
      </c>
      <c r="F223" s="160" t="e">
        <f>F222+E222</f>
        <v>#N/A</v>
      </c>
      <c r="G223" s="153"/>
      <c r="H223" s="153" t="s">
        <v>225</v>
      </c>
      <c r="I223" s="153">
        <f>I222+H222+G222</f>
        <v>4296656.1199999992</v>
      </c>
      <c r="J223" s="323"/>
      <c r="K223" s="153"/>
      <c r="L223" s="153" t="s">
        <v>296</v>
      </c>
      <c r="M223" s="100">
        <f>M222+L222</f>
        <v>3201508.16</v>
      </c>
      <c r="N223" s="153"/>
      <c r="O223" s="641"/>
      <c r="P223" s="153"/>
      <c r="Q223" s="153"/>
      <c r="R223" s="153"/>
      <c r="S223" s="153"/>
      <c r="T223" s="153"/>
      <c r="U223" s="153"/>
      <c r="V223" s="139"/>
      <c r="W223" s="139"/>
      <c r="X223" s="139"/>
      <c r="Y223" s="139"/>
      <c r="Z223" s="104"/>
      <c r="AA223" s="38"/>
      <c r="AB223" s="711"/>
      <c r="AC223" s="711"/>
      <c r="AD223" s="711"/>
      <c r="AE223" s="38"/>
      <c r="AF223" s="38"/>
      <c r="AG223" s="38"/>
      <c r="AH223" s="38"/>
    </row>
    <row r="224" spans="1:36" ht="13" thickBot="1">
      <c r="A224" s="65"/>
      <c r="B224" s="65"/>
      <c r="C224" s="674"/>
      <c r="E224" s="159"/>
      <c r="F224" s="153"/>
      <c r="G224" s="153"/>
      <c r="H224" s="153"/>
      <c r="I224" s="153"/>
      <c r="J224" s="153"/>
      <c r="K224" s="153"/>
      <c r="L224" s="153"/>
      <c r="M224" s="710"/>
      <c r="N224" s="153"/>
      <c r="O224" s="153"/>
      <c r="P224" s="153"/>
      <c r="Q224" s="153"/>
      <c r="R224" s="153"/>
      <c r="S224" s="153"/>
      <c r="T224" s="153"/>
      <c r="U224" s="153"/>
      <c r="V224" s="331" t="s">
        <v>345</v>
      </c>
      <c r="W224" s="139"/>
      <c r="X224" s="139"/>
      <c r="Y224" s="139"/>
      <c r="Z224" s="104"/>
      <c r="AA224" s="164" t="s">
        <v>633</v>
      </c>
      <c r="AB224" s="139">
        <v>-20000</v>
      </c>
      <c r="AC224" s="139"/>
      <c r="AD224" s="139">
        <f>-SUM(AB224)</f>
        <v>20000</v>
      </c>
      <c r="AE224" s="38"/>
      <c r="AF224" s="711"/>
      <c r="AG224" s="711"/>
      <c r="AH224" s="711"/>
    </row>
    <row r="225" spans="4:36" ht="17" thickTop="1" thickBot="1">
      <c r="E225" s="712"/>
      <c r="F225" s="713"/>
      <c r="G225" s="714"/>
      <c r="H225" s="715"/>
      <c r="I225" s="715"/>
      <c r="J225" s="164"/>
      <c r="K225" s="169"/>
      <c r="L225" s="233"/>
      <c r="M225" s="233"/>
      <c r="N225" s="38"/>
      <c r="O225" s="642"/>
      <c r="P225" s="139"/>
      <c r="Q225" s="139"/>
      <c r="R225" s="33"/>
      <c r="S225" s="33"/>
      <c r="T225" s="33"/>
      <c r="U225" s="169"/>
      <c r="V225" s="332"/>
      <c r="W225" s="333"/>
      <c r="X225" s="491"/>
      <c r="Y225" s="491"/>
      <c r="Z225" s="334"/>
      <c r="AA225" s="164" t="s">
        <v>634</v>
      </c>
      <c r="AB225" s="139">
        <v>-122550.8</v>
      </c>
      <c r="AC225" s="139"/>
      <c r="AD225" s="139">
        <f>-SUM(AB225)</f>
        <v>122550.8</v>
      </c>
      <c r="AE225" s="38"/>
      <c r="AF225" s="38"/>
      <c r="AG225" s="38"/>
      <c r="AH225" s="38"/>
    </row>
    <row r="226" spans="4:36" ht="17" thickBot="1">
      <c r="E226" s="712"/>
      <c r="F226" s="713"/>
      <c r="G226" s="714"/>
      <c r="H226" s="715"/>
      <c r="J226" s="79" t="e">
        <f>J222</f>
        <v>#N/A</v>
      </c>
      <c r="K226" s="715" t="s">
        <v>849</v>
      </c>
      <c r="L226" s="169"/>
      <c r="M226" s="493"/>
      <c r="N226" s="38"/>
      <c r="O226" s="80"/>
      <c r="P226" s="104"/>
      <c r="Q226" s="139"/>
      <c r="R226" s="33"/>
      <c r="S226" s="33"/>
      <c r="T226" s="33"/>
      <c r="U226" s="169"/>
      <c r="V226" s="487"/>
      <c r="W226" s="488"/>
      <c r="X226" s="492" t="s">
        <v>399</v>
      </c>
      <c r="Y226" s="492" t="s">
        <v>400</v>
      </c>
      <c r="Z226" s="488"/>
      <c r="AA226" s="717" t="s">
        <v>475</v>
      </c>
      <c r="AB226" s="718">
        <f>SUM(AB222:AB225)</f>
        <v>3840374.3099999991</v>
      </c>
      <c r="AC226" s="718" t="e">
        <f>AC222</f>
        <v>#N/A</v>
      </c>
      <c r="AD226" s="718">
        <f>SUM(AD222:AD225)</f>
        <v>130962.62</v>
      </c>
      <c r="AE226" s="718"/>
      <c r="AF226" s="718">
        <f>AF222</f>
        <v>2748672.7</v>
      </c>
      <c r="AG226" s="718">
        <f>AG222</f>
        <v>378000</v>
      </c>
      <c r="AH226" s="719">
        <f>AH222</f>
        <v>74835.460000000006</v>
      </c>
      <c r="AJ226" s="38" t="e">
        <f>SUM(AJ17:AJ225)</f>
        <v>#N/A</v>
      </c>
    </row>
    <row r="227" spans="4:36" ht="15" thickBot="1">
      <c r="D227" s="143"/>
      <c r="E227" s="759"/>
      <c r="F227" s="713"/>
      <c r="G227" s="714"/>
      <c r="H227" s="720"/>
      <c r="J227" s="750"/>
      <c r="K227" s="757" t="s">
        <v>251</v>
      </c>
      <c r="L227" s="722"/>
      <c r="M227" s="642"/>
      <c r="N227" s="33"/>
      <c r="O227" s="80"/>
      <c r="P227" s="104"/>
      <c r="Q227" s="139"/>
      <c r="R227" s="33"/>
      <c r="S227" s="33"/>
      <c r="T227" s="33"/>
      <c r="U227" s="169"/>
      <c r="V227" s="158" t="s">
        <v>609</v>
      </c>
      <c r="W227" s="104" t="s">
        <v>352</v>
      </c>
      <c r="X227" s="104">
        <f>V222+W222+X222</f>
        <v>3201508.16</v>
      </c>
      <c r="Y227" s="104"/>
      <c r="Z227" s="136"/>
      <c r="AA227" s="723"/>
      <c r="AB227" s="38"/>
      <c r="AC227" s="38"/>
      <c r="AD227" s="38"/>
      <c r="AE227" s="38"/>
      <c r="AF227" s="38"/>
      <c r="AG227" s="38"/>
      <c r="AH227" s="38"/>
    </row>
    <row r="228" spans="4:36" ht="15" thickTop="1">
      <c r="D228" s="143"/>
      <c r="E228" s="712"/>
      <c r="F228" s="713"/>
      <c r="G228" s="714"/>
      <c r="H228" s="714" t="s">
        <v>249</v>
      </c>
      <c r="J228" s="173" t="e">
        <f>J227+J226</f>
        <v>#N/A</v>
      </c>
      <c r="K228" s="714" t="s">
        <v>454</v>
      </c>
      <c r="L228" s="722"/>
      <c r="M228" s="80"/>
      <c r="N228" s="104"/>
      <c r="O228" s="173"/>
      <c r="P228" s="104"/>
      <c r="Q228" s="139"/>
      <c r="R228" s="139"/>
      <c r="S228" s="139"/>
      <c r="T228" s="139"/>
      <c r="U228" s="169"/>
      <c r="V228" s="158"/>
      <c r="W228" s="104"/>
      <c r="X228" s="104"/>
      <c r="Y228" s="104"/>
      <c r="Z228" s="136"/>
      <c r="AA228" s="723"/>
      <c r="AB228" s="38"/>
      <c r="AC228" s="38"/>
      <c r="AD228" s="38" t="s">
        <v>86</v>
      </c>
      <c r="AE228" s="38"/>
      <c r="AF228" s="233">
        <f>SUM(AB226+AF226)</f>
        <v>6589047.0099999998</v>
      </c>
      <c r="AG228" s="233" t="e">
        <f t="shared" ref="AG228:AH228" si="92">SUM(AC226+AG226)</f>
        <v>#N/A</v>
      </c>
      <c r="AH228" s="233">
        <f t="shared" si="92"/>
        <v>205798.08000000002</v>
      </c>
    </row>
    <row r="229" spans="4:36" ht="14">
      <c r="D229" s="143"/>
      <c r="E229" s="712"/>
      <c r="F229" s="713"/>
      <c r="G229" s="714"/>
      <c r="H229" s="714"/>
      <c r="J229" s="80"/>
      <c r="K229" s="714"/>
      <c r="L229" s="722"/>
      <c r="M229" s="104"/>
      <c r="N229" s="38"/>
      <c r="O229" s="139"/>
      <c r="P229" s="104"/>
      <c r="Q229" s="139"/>
      <c r="R229" s="139"/>
      <c r="S229" s="139"/>
      <c r="T229" s="139"/>
      <c r="U229" s="169"/>
      <c r="V229" s="158" t="s">
        <v>600</v>
      </c>
      <c r="W229" s="104" t="s">
        <v>355</v>
      </c>
      <c r="X229" s="104"/>
      <c r="Y229" s="104">
        <f>V222</f>
        <v>2748672.7</v>
      </c>
      <c r="Z229" s="136"/>
      <c r="AA229" s="38"/>
      <c r="AB229" s="752"/>
      <c r="AC229" s="38"/>
      <c r="AD229" s="38"/>
      <c r="AE229" s="38"/>
      <c r="AF229" s="233"/>
      <c r="AG229" s="233"/>
      <c r="AH229" s="233"/>
    </row>
    <row r="230" spans="4:36" ht="15" thickBot="1">
      <c r="D230" s="143" t="s">
        <v>823</v>
      </c>
      <c r="E230" s="712"/>
      <c r="F230" s="713"/>
      <c r="G230" s="714"/>
      <c r="H230" s="714"/>
      <c r="J230" s="661">
        <f>M223</f>
        <v>3201508.16</v>
      </c>
      <c r="K230" s="714" t="s">
        <v>850</v>
      </c>
      <c r="L230" s="645"/>
      <c r="M230" s="173"/>
      <c r="N230" s="38"/>
      <c r="O230" s="139"/>
      <c r="P230" s="104"/>
      <c r="Q230" s="139"/>
      <c r="R230" s="726"/>
      <c r="S230" s="139"/>
      <c r="T230" s="727"/>
      <c r="U230" s="169"/>
      <c r="V230" s="158"/>
      <c r="W230" s="104" t="s">
        <v>356</v>
      </c>
      <c r="X230" s="104"/>
      <c r="Y230" s="104">
        <f>Y222</f>
        <v>0</v>
      </c>
      <c r="Z230" s="136"/>
      <c r="AA230" s="38"/>
      <c r="AB230" s="38"/>
      <c r="AC230" s="38"/>
      <c r="AD230" s="38"/>
      <c r="AE230" s="38"/>
      <c r="AG230" s="233" t="e">
        <f>SUM(AF228:AH228)</f>
        <v>#N/A</v>
      </c>
      <c r="AH230" s="233"/>
    </row>
    <row r="231" spans="4:36" ht="16" thickTop="1" thickBot="1">
      <c r="D231" s="143"/>
      <c r="E231" s="712"/>
      <c r="F231" s="713"/>
      <c r="G231" s="714"/>
      <c r="H231" s="714"/>
      <c r="J231" s="173">
        <v>0</v>
      </c>
      <c r="K231" s="714"/>
      <c r="L231" s="722"/>
      <c r="M231" s="173"/>
      <c r="N231" s="38"/>
      <c r="O231" s="33"/>
      <c r="P231" s="38"/>
      <c r="Q231" s="139"/>
      <c r="R231" s="139"/>
      <c r="S231" s="139"/>
      <c r="T231" s="139"/>
      <c r="U231" s="169"/>
      <c r="V231" s="158"/>
      <c r="W231" s="104"/>
      <c r="X231" s="104"/>
      <c r="Y231" s="104"/>
      <c r="Z231" s="136"/>
      <c r="AA231" s="38"/>
      <c r="AB231" s="38"/>
      <c r="AC231" s="38"/>
      <c r="AD231" s="38"/>
      <c r="AE231" s="38"/>
    </row>
    <row r="232" spans="4:36" ht="15" thickBot="1">
      <c r="E232" s="712"/>
      <c r="F232" s="713"/>
      <c r="G232" s="714"/>
      <c r="H232" s="714"/>
      <c r="J232" s="754" t="e">
        <f>J226+J230</f>
        <v>#N/A</v>
      </c>
      <c r="K232" s="714" t="s">
        <v>851</v>
      </c>
      <c r="L232" s="722"/>
      <c r="M232" s="173"/>
      <c r="N232" s="38"/>
      <c r="O232" s="33"/>
      <c r="P232" s="38"/>
      <c r="Q232" s="139"/>
      <c r="R232" s="139"/>
      <c r="S232" s="139"/>
      <c r="T232" s="139"/>
      <c r="U232" s="169"/>
      <c r="V232" s="158" t="s">
        <v>601</v>
      </c>
      <c r="W232" s="104" t="s">
        <v>357</v>
      </c>
      <c r="X232" s="104"/>
      <c r="Y232" s="104">
        <f>W222</f>
        <v>378000</v>
      </c>
      <c r="Z232" s="136"/>
      <c r="AA232" s="38"/>
      <c r="AB232" s="38"/>
      <c r="AC232" s="38"/>
      <c r="AD232" s="38"/>
      <c r="AE232" s="38"/>
      <c r="AF232" s="796" t="s">
        <v>857</v>
      </c>
      <c r="AG232" s="38" t="e">
        <f>AG230-AH228</f>
        <v>#N/A</v>
      </c>
      <c r="AH232" s="38"/>
    </row>
    <row r="233" spans="4:36">
      <c r="E233" s="712"/>
      <c r="F233" s="713"/>
      <c r="G233" s="714"/>
      <c r="H233" s="714"/>
      <c r="J233" s="637"/>
      <c r="K233" s="714"/>
      <c r="L233" s="173"/>
      <c r="M233" s="731"/>
      <c r="N233" s="38"/>
      <c r="O233" s="33"/>
      <c r="P233" s="38"/>
      <c r="Q233" s="139"/>
      <c r="R233" s="139"/>
      <c r="S233" s="139"/>
      <c r="T233" s="139"/>
      <c r="U233" s="169"/>
      <c r="V233" s="415"/>
      <c r="W233" s="104" t="s">
        <v>358</v>
      </c>
      <c r="X233" s="104"/>
      <c r="Y233" s="104">
        <f>Z222</f>
        <v>0</v>
      </c>
      <c r="Z233" s="136"/>
      <c r="AA233" s="38"/>
      <c r="AB233" s="38"/>
      <c r="AC233" s="38"/>
      <c r="AD233" s="38"/>
      <c r="AE233" s="38"/>
      <c r="AF233" s="38"/>
      <c r="AG233" s="38"/>
      <c r="AH233" s="38"/>
    </row>
    <row r="234" spans="4:36">
      <c r="E234" s="712"/>
      <c r="F234" s="713"/>
      <c r="G234" s="714"/>
      <c r="H234" s="714"/>
      <c r="J234" s="658" t="e">
        <f>SUM(AB226:AH226)</f>
        <v>#N/A</v>
      </c>
      <c r="K234" s="714" t="s">
        <v>518</v>
      </c>
      <c r="L234" s="732"/>
      <c r="M234" s="637"/>
      <c r="N234" s="38"/>
      <c r="O234" s="33"/>
      <c r="P234" s="38"/>
      <c r="Q234" s="139"/>
      <c r="R234" s="139"/>
      <c r="S234" s="139"/>
      <c r="T234" s="139"/>
      <c r="U234" s="169"/>
      <c r="V234" s="415"/>
      <c r="W234" s="104"/>
      <c r="X234" s="104"/>
      <c r="Y234" s="104"/>
      <c r="Z234" s="136"/>
      <c r="AA234" s="38"/>
      <c r="AB234" s="38"/>
      <c r="AC234" s="38"/>
      <c r="AD234" s="38"/>
      <c r="AE234" s="38"/>
      <c r="AF234" s="38"/>
      <c r="AG234" s="38"/>
      <c r="AH234" s="38"/>
    </row>
    <row r="235" spans="4:36" ht="13" thickBot="1">
      <c r="E235" s="712"/>
      <c r="F235" s="713"/>
      <c r="G235" s="714"/>
      <c r="H235" s="714"/>
      <c r="J235" s="169"/>
      <c r="K235" s="714" t="s">
        <v>454</v>
      </c>
      <c r="L235" s="733"/>
      <c r="M235" s="795"/>
      <c r="N235" s="38"/>
      <c r="O235" s="33"/>
      <c r="P235" s="38"/>
      <c r="Q235" s="139"/>
      <c r="R235" s="139"/>
      <c r="S235" s="139"/>
      <c r="T235" s="139"/>
      <c r="U235" s="169"/>
      <c r="V235" s="158" t="s">
        <v>602</v>
      </c>
      <c r="W235" s="488" t="s">
        <v>359</v>
      </c>
      <c r="X235" s="488"/>
      <c r="Y235" s="488">
        <f>X222</f>
        <v>74835.460000000006</v>
      </c>
      <c r="Z235" s="414"/>
      <c r="AA235" s="38"/>
      <c r="AB235" s="38"/>
      <c r="AC235" s="38"/>
      <c r="AD235" s="38"/>
      <c r="AE235" s="38"/>
      <c r="AF235" s="38"/>
      <c r="AG235" s="38"/>
      <c r="AH235" s="38"/>
    </row>
    <row r="236" spans="4:36" ht="15" thickBot="1">
      <c r="E236" s="712"/>
      <c r="F236" s="713"/>
      <c r="G236" s="714"/>
      <c r="H236" s="714"/>
      <c r="J236" s="736"/>
      <c r="K236" s="714" t="s">
        <v>519</v>
      </c>
      <c r="L236" s="169"/>
      <c r="M236" s="169"/>
      <c r="N236" s="38"/>
      <c r="O236" s="33"/>
      <c r="P236" s="38"/>
      <c r="Q236" s="33"/>
      <c r="R236" s="33"/>
      <c r="S236" s="33"/>
      <c r="T236" s="33"/>
      <c r="U236" s="169"/>
      <c r="V236" s="416"/>
      <c r="W236" s="104"/>
      <c r="X236" s="80">
        <f>SUM(X227:X235)</f>
        <v>3201508.16</v>
      </c>
      <c r="Y236" s="80">
        <f>SUM(Y227:Y235)</f>
        <v>3201508.16</v>
      </c>
      <c r="Z236" s="136"/>
      <c r="AA236" s="38"/>
      <c r="AB236" s="38"/>
      <c r="AC236" s="38"/>
      <c r="AD236" s="38"/>
      <c r="AE236" s="38"/>
      <c r="AF236" s="38"/>
      <c r="AG236" s="38"/>
      <c r="AH236" s="38"/>
    </row>
    <row r="237" spans="4:36">
      <c r="E237" s="712"/>
      <c r="F237" s="713"/>
      <c r="G237" s="714"/>
      <c r="H237" s="714"/>
      <c r="I237" s="714"/>
      <c r="J237" s="169"/>
      <c r="K237" s="169"/>
      <c r="L237" s="169"/>
      <c r="M237" s="169"/>
      <c r="N237" s="38"/>
      <c r="O237" s="33"/>
      <c r="P237" s="38"/>
      <c r="Q237" s="33"/>
      <c r="R237" s="33"/>
      <c r="S237" s="33"/>
      <c r="T237" s="33"/>
      <c r="U237" s="169"/>
      <c r="V237" s="416"/>
      <c r="W237" s="104"/>
      <c r="X237" s="104"/>
      <c r="Y237" s="104"/>
      <c r="Z237" s="136"/>
      <c r="AA237" s="38"/>
      <c r="AB237" s="38"/>
      <c r="AC237" s="38"/>
      <c r="AD237" s="38"/>
      <c r="AE237" s="38"/>
      <c r="AF237" s="38"/>
      <c r="AG237" s="38"/>
      <c r="AH237" s="38"/>
    </row>
    <row r="238" spans="4:36" ht="13" thickBot="1">
      <c r="E238" s="712"/>
      <c r="F238" s="713"/>
      <c r="G238" s="714"/>
      <c r="H238" s="714"/>
      <c r="I238" s="714"/>
      <c r="J238" s="169"/>
      <c r="K238" s="169"/>
      <c r="L238" s="169"/>
      <c r="M238" s="169"/>
      <c r="N238" s="38"/>
      <c r="O238" s="33"/>
      <c r="P238" s="38"/>
      <c r="Q238" s="33"/>
      <c r="R238" s="33"/>
      <c r="S238" s="33"/>
      <c r="T238" s="33"/>
      <c r="U238" s="169"/>
      <c r="V238" s="330"/>
      <c r="W238" s="279"/>
      <c r="X238" s="279"/>
      <c r="Y238" s="279"/>
      <c r="Z238" s="280"/>
      <c r="AA238" s="38"/>
      <c r="AB238" s="38"/>
      <c r="AC238" s="38"/>
      <c r="AD238" s="38"/>
      <c r="AE238" s="38"/>
      <c r="AF238" s="38"/>
      <c r="AG238" s="38"/>
      <c r="AH238" s="38"/>
    </row>
    <row r="239" spans="4:36">
      <c r="E239" s="712"/>
      <c r="F239" s="713"/>
      <c r="G239" s="714"/>
      <c r="H239" s="714"/>
      <c r="I239" s="714"/>
      <c r="J239" s="169"/>
      <c r="K239" s="169"/>
      <c r="L239" s="169"/>
      <c r="M239" s="169"/>
      <c r="N239" s="38"/>
      <c r="O239" s="33"/>
      <c r="P239" s="38"/>
      <c r="Q239" s="33"/>
      <c r="R239" s="33"/>
      <c r="S239" s="33"/>
      <c r="T239" s="33"/>
      <c r="U239" s="169"/>
      <c r="V239" s="104"/>
      <c r="W239" s="104"/>
      <c r="X239" s="104"/>
      <c r="Y239" s="104"/>
      <c r="Z239" s="104"/>
      <c r="AA239" s="38"/>
      <c r="AB239" s="38"/>
      <c r="AC239" s="38"/>
      <c r="AD239" s="38"/>
      <c r="AE239" s="38"/>
      <c r="AF239" s="38"/>
      <c r="AG239" s="38"/>
      <c r="AH239" s="38"/>
    </row>
    <row r="240" spans="4:36">
      <c r="E240" s="712"/>
      <c r="F240" s="713"/>
      <c r="G240" s="714"/>
      <c r="H240" s="714"/>
      <c r="I240" s="714"/>
      <c r="J240" s="169"/>
      <c r="K240" s="169"/>
      <c r="L240" s="169"/>
      <c r="M240" s="169"/>
      <c r="N240" s="38"/>
      <c r="O240" s="33"/>
      <c r="P240" s="38"/>
      <c r="Q240" s="33"/>
      <c r="R240" s="33"/>
      <c r="S240" s="33"/>
      <c r="T240" s="33"/>
      <c r="U240" s="169"/>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AA241" s="38"/>
      <c r="AB241" s="38"/>
      <c r="AC241" s="38"/>
      <c r="AD241" s="38"/>
      <c r="AE241" s="38"/>
      <c r="AF241" s="38"/>
      <c r="AG241" s="38"/>
      <c r="AH241" s="38"/>
    </row>
    <row r="242" spans="5:34">
      <c r="E242" s="712"/>
      <c r="F242" s="713"/>
      <c r="G242" s="714"/>
      <c r="H242" s="714"/>
      <c r="I242" s="714"/>
      <c r="J242" s="169"/>
      <c r="K242" s="169"/>
      <c r="L242" s="169"/>
      <c r="M242" s="169"/>
      <c r="N242" s="38"/>
      <c r="O242" s="33"/>
      <c r="P242" s="38"/>
      <c r="Q242" s="33"/>
      <c r="R242" s="33"/>
      <c r="S242" s="33"/>
      <c r="T242" s="33"/>
      <c r="U242" s="169"/>
      <c r="AA242" s="38"/>
      <c r="AB242" s="38"/>
      <c r="AC242" s="38"/>
      <c r="AD242" s="38"/>
      <c r="AE242" s="38"/>
      <c r="AF242" s="38"/>
      <c r="AG242" s="38"/>
      <c r="AH242" s="38"/>
    </row>
    <row r="243" spans="5:34">
      <c r="E243" s="712"/>
      <c r="F243" s="713"/>
      <c r="G243" s="714"/>
      <c r="H243" s="714"/>
      <c r="I243" s="714"/>
      <c r="J243" s="169"/>
      <c r="K243" s="169"/>
      <c r="L243" s="169"/>
      <c r="M243" s="169"/>
      <c r="N243" s="38"/>
      <c r="O243" s="33"/>
      <c r="P243" s="38"/>
      <c r="Q243" s="33"/>
      <c r="R243" s="33"/>
      <c r="S243" s="33"/>
      <c r="T243" s="33"/>
      <c r="U243" s="169"/>
      <c r="AA243" s="38"/>
      <c r="AB243" s="38"/>
      <c r="AC243" s="38"/>
      <c r="AD243" s="38"/>
      <c r="AE243" s="38"/>
      <c r="AF243" s="38"/>
      <c r="AG243" s="38"/>
      <c r="AH243" s="38"/>
    </row>
    <row r="244" spans="5:34">
      <c r="E244" s="712"/>
      <c r="F244" s="713"/>
      <c r="G244" s="714"/>
      <c r="H244" s="714"/>
      <c r="I244" s="714"/>
      <c r="J244" s="169"/>
      <c r="K244" s="169"/>
      <c r="L244" s="169"/>
      <c r="M244" s="169"/>
      <c r="N244" s="38"/>
      <c r="O244" s="33"/>
      <c r="P244" s="38"/>
      <c r="Q244" s="33"/>
      <c r="R244" s="33"/>
      <c r="S244" s="33"/>
      <c r="T244" s="33"/>
      <c r="U244" s="169"/>
      <c r="AA244" s="38"/>
      <c r="AB244" s="38"/>
      <c r="AC244" s="38"/>
      <c r="AD244" s="38"/>
      <c r="AE244" s="38"/>
      <c r="AF244" s="38"/>
      <c r="AG244" s="38"/>
      <c r="AH244" s="38"/>
    </row>
    <row r="245" spans="5:34">
      <c r="E245" s="712"/>
      <c r="F245" s="713"/>
      <c r="G245" s="714"/>
      <c r="H245" s="714"/>
      <c r="I245" s="714"/>
      <c r="J245" s="169"/>
      <c r="K245" s="169"/>
      <c r="L245" s="169"/>
      <c r="M245" s="169"/>
      <c r="N245" s="38"/>
      <c r="O245" s="33"/>
      <c r="P245" s="38"/>
      <c r="Q245" s="33"/>
      <c r="R245" s="33"/>
      <c r="S245" s="33"/>
      <c r="T245" s="33"/>
      <c r="U245" s="169"/>
      <c r="AA245" s="38"/>
      <c r="AB245" s="38"/>
      <c r="AC245" s="38"/>
      <c r="AD245" s="38"/>
      <c r="AE245" s="38"/>
      <c r="AF245" s="38"/>
      <c r="AG245" s="38"/>
      <c r="AH245" s="38"/>
    </row>
  </sheetData>
  <customSheetViews>
    <customSheetView guid="{86CCC894-C193-4761-8385-3C374FD67B70}" showPageBreaks="1" hiddenColumns="1" topLeftCell="A142">
      <selection activeCell="D157" sqref="D157"/>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44"/>
  <sheetViews>
    <sheetView topLeftCell="D166" workbookViewId="0">
      <selection activeCell="R180" sqref="R180:R181"/>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7.3984375" style="146" customWidth="1"/>
    <col min="16" max="16" width="1.796875" style="16" customWidth="1"/>
    <col min="17" max="18" width="15.3984375" style="146" customWidth="1"/>
    <col min="19" max="19" width="1.796875" style="146" customWidth="1"/>
    <col min="20" max="20" width="15.3984375" style="146" customWidth="1"/>
    <col min="21" max="21" width="1.796875" style="24" customWidth="1"/>
    <col min="22" max="26" width="15.3984375" style="38" customWidth="1"/>
    <col min="27" max="27" width="15.3984375" style="16" customWidth="1"/>
    <col min="28" max="29" width="15.3984375" style="559" customWidth="1"/>
    <col min="30" max="30" width="15.796875" style="559" customWidth="1"/>
    <col min="31" max="31" width="2.3984375" style="559" customWidth="1"/>
    <col min="32" max="33" width="14.796875" style="559" bestFit="1" customWidth="1"/>
    <col min="34" max="34" width="14.19921875" style="559" customWidth="1"/>
    <col min="35" max="16384" width="9.3984375" style="16"/>
  </cols>
  <sheetData>
    <row r="1" spans="1:34">
      <c r="D1" s="147" t="s">
        <v>71</v>
      </c>
      <c r="F1" s="29"/>
      <c r="G1" s="162"/>
      <c r="H1" s="163"/>
      <c r="I1" s="163"/>
      <c r="J1" s="169"/>
      <c r="K1" s="169"/>
      <c r="L1" s="169"/>
      <c r="M1" s="169"/>
      <c r="N1" s="169"/>
      <c r="U1" s="40"/>
    </row>
    <row r="2" spans="1:34">
      <c r="D2" s="147" t="s">
        <v>72</v>
      </c>
      <c r="F2" s="29"/>
      <c r="G2" s="162"/>
      <c r="H2" s="163"/>
      <c r="I2" s="163"/>
      <c r="J2" s="169"/>
      <c r="K2" s="169"/>
      <c r="L2" s="169"/>
      <c r="M2" s="169"/>
      <c r="N2" s="169"/>
      <c r="U2" s="40"/>
    </row>
    <row r="3" spans="1:34">
      <c r="D3" s="147" t="s">
        <v>838</v>
      </c>
      <c r="F3" s="29"/>
      <c r="G3" s="18"/>
      <c r="H3" s="168"/>
      <c r="I3" s="168"/>
      <c r="J3" s="169"/>
      <c r="K3" s="169"/>
      <c r="L3" s="169"/>
      <c r="M3" s="169"/>
      <c r="N3" s="169"/>
    </row>
    <row r="4" spans="1:34">
      <c r="D4" s="148"/>
      <c r="G4" s="164"/>
      <c r="H4" s="168"/>
      <c r="I4" s="168"/>
      <c r="J4" s="169"/>
      <c r="K4" s="169"/>
      <c r="L4" s="169"/>
      <c r="M4" s="169"/>
      <c r="N4" s="169"/>
    </row>
    <row r="5" spans="1:34" ht="13"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3" thickBot="1">
      <c r="B12" s="469"/>
      <c r="C12" s="670"/>
      <c r="D12" s="470" t="s">
        <v>103</v>
      </c>
      <c r="E12" s="471" t="s">
        <v>101</v>
      </c>
      <c r="F12" s="29"/>
      <c r="G12" s="166"/>
      <c r="H12" s="150"/>
      <c r="I12" s="150"/>
      <c r="J12" s="76"/>
    </row>
    <row r="13" spans="1:34" ht="13" thickBot="1">
      <c r="A13" s="152"/>
      <c r="B13" s="152"/>
      <c r="C13" s="67"/>
      <c r="D13" s="54"/>
      <c r="E13" s="34"/>
      <c r="G13" s="167"/>
      <c r="H13" s="49"/>
      <c r="I13" s="49"/>
      <c r="J13" s="50"/>
      <c r="K13" s="50"/>
      <c r="L13" s="50"/>
      <c r="M13" s="745"/>
      <c r="N13" s="146"/>
      <c r="P13" s="146"/>
      <c r="U13" s="50"/>
      <c r="V13" s="33"/>
      <c r="W13" s="33"/>
      <c r="X13" s="33"/>
      <c r="Y13" s="33"/>
    </row>
    <row r="14" spans="1:34" ht="13" thickBot="1">
      <c r="D14" s="526"/>
      <c r="E14" s="582" t="s">
        <v>834</v>
      </c>
      <c r="F14" s="583" t="s">
        <v>366</v>
      </c>
      <c r="G14" s="96"/>
      <c r="H14" s="96"/>
      <c r="I14" s="96"/>
      <c r="J14" s="96" t="s">
        <v>367</v>
      </c>
      <c r="K14" s="581"/>
      <c r="L14" s="96" t="s">
        <v>367</v>
      </c>
      <c r="M14" s="96" t="s">
        <v>367</v>
      </c>
      <c r="N14" s="93"/>
      <c r="O14" s="96"/>
      <c r="P14" s="93"/>
      <c r="Q14" s="13"/>
      <c r="R14" s="96"/>
      <c r="S14" s="101"/>
      <c r="T14" s="96"/>
      <c r="U14" s="93"/>
      <c r="V14" s="96"/>
      <c r="W14" s="96"/>
      <c r="X14" s="304"/>
      <c r="Y14" s="304"/>
      <c r="Z14" s="304"/>
      <c r="AC14" s="560" t="s">
        <v>266</v>
      </c>
      <c r="AG14" s="561" t="s">
        <v>267</v>
      </c>
    </row>
    <row r="15" spans="1:34" ht="13" thickBot="1">
      <c r="A15" s="22" t="s">
        <v>95</v>
      </c>
      <c r="B15" s="22" t="s">
        <v>100</v>
      </c>
      <c r="C15" s="36" t="s">
        <v>522</v>
      </c>
      <c r="D15" s="36" t="s">
        <v>67</v>
      </c>
      <c r="E15" s="450" t="s">
        <v>230</v>
      </c>
      <c r="F15" s="528" t="s">
        <v>229</v>
      </c>
      <c r="G15" s="176" t="s">
        <v>288</v>
      </c>
      <c r="H15" s="545" t="s">
        <v>289</v>
      </c>
      <c r="I15" s="758" t="s">
        <v>367</v>
      </c>
      <c r="J15" s="313" t="s">
        <v>105</v>
      </c>
      <c r="K15" s="93"/>
      <c r="L15" s="94" t="s">
        <v>104</v>
      </c>
      <c r="M15" s="95" t="s">
        <v>106</v>
      </c>
      <c r="N15" s="102"/>
      <c r="O15" s="427" t="s">
        <v>839</v>
      </c>
      <c r="P15" s="102"/>
      <c r="Q15" s="313" t="s">
        <v>835</v>
      </c>
      <c r="R15" s="156" t="s">
        <v>837</v>
      </c>
      <c r="S15" s="149"/>
      <c r="T15" s="327" t="s">
        <v>836</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VLOOKUP(D16,'July 2012 DMV Revenue'!D:T,17,FALSE)</f>
        <v>0</v>
      </c>
      <c r="G16" s="680"/>
      <c r="H16" s="680"/>
      <c r="I16" s="755"/>
      <c r="J16" s="682">
        <f t="shared" ref="J16:J78" si="0">SUM(E16:I16)</f>
        <v>0</v>
      </c>
      <c r="K16" s="683"/>
      <c r="L16" s="684"/>
      <c r="M16" s="753"/>
      <c r="N16" s="683">
        <v>0</v>
      </c>
      <c r="O16" s="686"/>
      <c r="P16" s="683">
        <v>0</v>
      </c>
      <c r="Q16" s="687">
        <f t="shared" ref="Q16:Q140" si="1">L16+M16</f>
        <v>0</v>
      </c>
      <c r="R16" s="688">
        <v>0</v>
      </c>
      <c r="S16" s="689"/>
      <c r="T16" s="690">
        <f t="shared" ref="T16:T78" si="2">IF(R16="","",R16-Q16)</f>
        <v>0</v>
      </c>
      <c r="U16" s="691"/>
      <c r="V16" s="474">
        <f t="shared" ref="V16:V78" si="3">IF(B16="D",Q16,0)</f>
        <v>0</v>
      </c>
      <c r="W16" s="474">
        <f t="shared" ref="W16:W78" si="4">IF(B16="M",Q16,0)</f>
        <v>0</v>
      </c>
      <c r="X16" s="475">
        <f t="shared" ref="X16:X78" si="5">IF(B16="V",Q16,0)</f>
        <v>0</v>
      </c>
      <c r="Y16" s="475">
        <v>0</v>
      </c>
      <c r="Z16" s="476">
        <v>0</v>
      </c>
      <c r="AA16" s="38">
        <f t="shared" ref="AA16:AA78" si="6">(L16+M16)-(V16+W16+X16+Y16+Z16)</f>
        <v>0</v>
      </c>
      <c r="AB16" s="692">
        <f t="shared" ref="AB16:AB76" si="7">IF(B16="D",J16,0)</f>
        <v>0</v>
      </c>
      <c r="AC16" s="692">
        <f t="shared" ref="AC16:AC76" si="8">IF(B16="M",J16,0)</f>
        <v>0</v>
      </c>
      <c r="AD16" s="692">
        <f t="shared" ref="AD16:AD76" si="9">IF(B16="V",J16,0)</f>
        <v>0</v>
      </c>
      <c r="AE16" s="38"/>
      <c r="AF16" s="692">
        <f t="shared" ref="AF16:AF76" si="10">IF(B16="D",Q16,0)</f>
        <v>0</v>
      </c>
      <c r="AG16" s="692">
        <f t="shared" ref="AG16:AG76" si="11">IF(B16="M",Q16,0)</f>
        <v>0</v>
      </c>
      <c r="AH16" s="692">
        <f t="shared" ref="AH16:AH76" si="12">IF(B16="V",Q16,0)</f>
        <v>0</v>
      </c>
    </row>
    <row r="17" spans="1:34">
      <c r="A17" s="20" t="s">
        <v>109</v>
      </c>
      <c r="B17" s="20" t="s">
        <v>110</v>
      </c>
      <c r="C17" s="671" t="s">
        <v>523</v>
      </c>
      <c r="D17" s="123" t="s">
        <v>317</v>
      </c>
      <c r="E17" s="679"/>
      <c r="F17" s="529">
        <f>VLOOKUP(D17,'July 2012 DMV Revenue'!D:T,17,FALSE)</f>
        <v>-287.54999999999927</v>
      </c>
      <c r="G17" s="680"/>
      <c r="H17" s="680"/>
      <c r="I17" s="755"/>
      <c r="J17" s="682">
        <f t="shared" si="0"/>
        <v>-287.54999999999927</v>
      </c>
      <c r="K17" s="683"/>
      <c r="L17" s="684"/>
      <c r="M17" s="753">
        <v>10000</v>
      </c>
      <c r="N17" s="683">
        <v>0</v>
      </c>
      <c r="O17" s="686"/>
      <c r="P17" s="683">
        <v>0</v>
      </c>
      <c r="Q17" s="687">
        <f t="shared" si="1"/>
        <v>10000</v>
      </c>
      <c r="R17" s="688">
        <f>7196.85+2302.48</f>
        <v>9499.33</v>
      </c>
      <c r="S17" s="693"/>
      <c r="T17" s="690">
        <f t="shared" si="2"/>
        <v>-500.67000000000007</v>
      </c>
      <c r="U17" s="683"/>
      <c r="V17" s="474">
        <f t="shared" si="3"/>
        <v>10000</v>
      </c>
      <c r="W17" s="474">
        <f t="shared" si="4"/>
        <v>0</v>
      </c>
      <c r="X17" s="475">
        <f t="shared" si="5"/>
        <v>0</v>
      </c>
      <c r="Y17" s="475">
        <v>0</v>
      </c>
      <c r="Z17" s="476">
        <v>0</v>
      </c>
      <c r="AA17" s="38">
        <f t="shared" si="6"/>
        <v>0</v>
      </c>
      <c r="AB17" s="692">
        <f t="shared" si="7"/>
        <v>-287.54999999999927</v>
      </c>
      <c r="AC17" s="692">
        <f t="shared" si="8"/>
        <v>0</v>
      </c>
      <c r="AD17" s="692">
        <f t="shared" si="9"/>
        <v>0</v>
      </c>
      <c r="AE17" s="38"/>
      <c r="AF17" s="692">
        <f t="shared" si="10"/>
        <v>10000</v>
      </c>
      <c r="AG17" s="692">
        <f t="shared" si="11"/>
        <v>0</v>
      </c>
      <c r="AH17" s="692">
        <f t="shared" si="12"/>
        <v>0</v>
      </c>
    </row>
    <row r="18" spans="1:34">
      <c r="A18" s="20" t="s">
        <v>109</v>
      </c>
      <c r="B18" s="20" t="s">
        <v>109</v>
      </c>
      <c r="C18" s="671" t="s">
        <v>523</v>
      </c>
      <c r="D18" s="68" t="s">
        <v>393</v>
      </c>
      <c r="E18" s="679"/>
      <c r="F18" s="529">
        <f>VLOOKUP(D18,'July 2012 DMV Revenue'!D:T,17,FALSE)</f>
        <v>-1324.0299999999988</v>
      </c>
      <c r="G18" s="680"/>
      <c r="H18" s="680"/>
      <c r="I18" s="755"/>
      <c r="J18" s="682">
        <f t="shared" si="0"/>
        <v>-1324.0299999999988</v>
      </c>
      <c r="K18" s="683"/>
      <c r="L18" s="684"/>
      <c r="M18" s="753">
        <v>30000</v>
      </c>
      <c r="N18" s="683">
        <v>0</v>
      </c>
      <c r="O18" s="686"/>
      <c r="P18" s="683">
        <v>0</v>
      </c>
      <c r="Q18" s="687">
        <f t="shared" si="1"/>
        <v>30000</v>
      </c>
      <c r="R18" s="688">
        <v>37882.559999999998</v>
      </c>
      <c r="S18" s="693"/>
      <c r="T18" s="690">
        <f t="shared" si="2"/>
        <v>7882.5599999999977</v>
      </c>
      <c r="U18" s="683"/>
      <c r="V18" s="474">
        <f t="shared" si="3"/>
        <v>0</v>
      </c>
      <c r="W18" s="474">
        <f t="shared" si="4"/>
        <v>30000</v>
      </c>
      <c r="X18" s="475">
        <f t="shared" si="5"/>
        <v>0</v>
      </c>
      <c r="Y18" s="475">
        <v>0</v>
      </c>
      <c r="Z18" s="476">
        <v>0</v>
      </c>
      <c r="AA18" s="38">
        <f t="shared" si="6"/>
        <v>0</v>
      </c>
      <c r="AB18" s="692">
        <f t="shared" si="7"/>
        <v>0</v>
      </c>
      <c r="AC18" s="692">
        <f t="shared" si="8"/>
        <v>-1324.0299999999988</v>
      </c>
      <c r="AD18" s="692">
        <f t="shared" si="9"/>
        <v>0</v>
      </c>
      <c r="AE18" s="38"/>
      <c r="AF18" s="692">
        <f t="shared" si="10"/>
        <v>0</v>
      </c>
      <c r="AG18" s="692">
        <f t="shared" si="11"/>
        <v>30000</v>
      </c>
      <c r="AH18" s="692">
        <f t="shared" si="12"/>
        <v>0</v>
      </c>
    </row>
    <row r="19" spans="1:34">
      <c r="A19" s="20" t="s">
        <v>109</v>
      </c>
      <c r="B19" s="20" t="s">
        <v>109</v>
      </c>
      <c r="C19" s="671" t="s">
        <v>523</v>
      </c>
      <c r="D19" s="68" t="s">
        <v>129</v>
      </c>
      <c r="E19" s="679"/>
      <c r="F19" s="529">
        <f>VLOOKUP(D19,'July 2012 DMV Revenue'!D:T,17,FALSE)</f>
        <v>50.38</v>
      </c>
      <c r="G19" s="680"/>
      <c r="H19" s="680"/>
      <c r="I19" s="755"/>
      <c r="J19" s="682">
        <f t="shared" si="0"/>
        <v>50.38</v>
      </c>
      <c r="K19" s="683"/>
      <c r="L19" s="684"/>
      <c r="M19" s="753"/>
      <c r="N19" s="683">
        <v>0</v>
      </c>
      <c r="O19" s="686"/>
      <c r="P19" s="683">
        <v>0</v>
      </c>
      <c r="Q19" s="687">
        <f t="shared" si="1"/>
        <v>0</v>
      </c>
      <c r="R19" s="688">
        <v>10.63</v>
      </c>
      <c r="S19" s="693"/>
      <c r="T19" s="690">
        <f t="shared" si="2"/>
        <v>10.63</v>
      </c>
      <c r="U19" s="683"/>
      <c r="V19" s="474">
        <f t="shared" si="3"/>
        <v>0</v>
      </c>
      <c r="W19" s="474">
        <f t="shared" si="4"/>
        <v>0</v>
      </c>
      <c r="X19" s="475">
        <f t="shared" si="5"/>
        <v>0</v>
      </c>
      <c r="Y19" s="475">
        <v>0</v>
      </c>
      <c r="Z19" s="476">
        <v>0</v>
      </c>
      <c r="AA19" s="38">
        <f t="shared" si="6"/>
        <v>0</v>
      </c>
      <c r="AB19" s="692">
        <f t="shared" si="7"/>
        <v>0</v>
      </c>
      <c r="AC19" s="692">
        <f t="shared" si="8"/>
        <v>50.38</v>
      </c>
      <c r="AD19" s="692">
        <f t="shared" si="9"/>
        <v>0</v>
      </c>
      <c r="AE19" s="38"/>
      <c r="AF19" s="692">
        <f t="shared" si="10"/>
        <v>0</v>
      </c>
      <c r="AG19" s="692">
        <f t="shared" si="11"/>
        <v>0</v>
      </c>
      <c r="AH19" s="692">
        <f t="shared" si="12"/>
        <v>0</v>
      </c>
    </row>
    <row r="20" spans="1:34">
      <c r="A20" s="20"/>
      <c r="B20" s="20" t="s">
        <v>110</v>
      </c>
      <c r="C20" s="667" t="s">
        <v>524</v>
      </c>
      <c r="D20" s="123" t="s">
        <v>380</v>
      </c>
      <c r="E20" s="679"/>
      <c r="F20" s="529">
        <f>VLOOKUP(D20,'July 2012 DMV Revenue'!D:T,17,FALSE)</f>
        <v>0</v>
      </c>
      <c r="G20" s="680"/>
      <c r="H20" s="680"/>
      <c r="I20" s="755"/>
      <c r="J20" s="682">
        <f t="shared" si="0"/>
        <v>0</v>
      </c>
      <c r="K20" s="683"/>
      <c r="L20" s="684"/>
      <c r="M20" s="753">
        <v>4000</v>
      </c>
      <c r="N20" s="683">
        <v>0</v>
      </c>
      <c r="O20" s="686"/>
      <c r="P20" s="683">
        <v>0</v>
      </c>
      <c r="Q20" s="687">
        <f t="shared" si="1"/>
        <v>4000</v>
      </c>
      <c r="R20" s="688">
        <v>3840.96</v>
      </c>
      <c r="S20" s="693"/>
      <c r="T20" s="690">
        <f t="shared" si="2"/>
        <v>-159.03999999999996</v>
      </c>
      <c r="U20" s="683"/>
      <c r="V20" s="474">
        <f t="shared" si="3"/>
        <v>4000</v>
      </c>
      <c r="W20" s="474">
        <f t="shared" si="4"/>
        <v>0</v>
      </c>
      <c r="X20" s="475">
        <f t="shared" si="5"/>
        <v>0</v>
      </c>
      <c r="Y20" s="475">
        <v>0</v>
      </c>
      <c r="Z20" s="476">
        <v>0</v>
      </c>
      <c r="AA20" s="38">
        <f t="shared" si="6"/>
        <v>0</v>
      </c>
      <c r="AB20" s="692">
        <f t="shared" si="7"/>
        <v>0</v>
      </c>
      <c r="AC20" s="692">
        <f t="shared" si="8"/>
        <v>0</v>
      </c>
      <c r="AD20" s="692">
        <f t="shared" si="9"/>
        <v>0</v>
      </c>
      <c r="AE20" s="38"/>
      <c r="AF20" s="692">
        <f t="shared" si="10"/>
        <v>4000</v>
      </c>
      <c r="AG20" s="692">
        <f t="shared" si="11"/>
        <v>0</v>
      </c>
      <c r="AH20" s="692">
        <f t="shared" si="12"/>
        <v>0</v>
      </c>
    </row>
    <row r="21" spans="1:34">
      <c r="A21" s="20"/>
      <c r="B21" s="20" t="s">
        <v>110</v>
      </c>
      <c r="C21" s="667" t="s">
        <v>524</v>
      </c>
      <c r="D21" s="123" t="s">
        <v>132</v>
      </c>
      <c r="E21" s="679"/>
      <c r="F21" s="529">
        <f>VLOOKUP(D21,'July 2012 DMV Revenue'!D:T,17,FALSE)</f>
        <v>0</v>
      </c>
      <c r="G21" s="680"/>
      <c r="H21" s="680"/>
      <c r="I21" s="755"/>
      <c r="J21" s="682">
        <f t="shared" si="0"/>
        <v>0</v>
      </c>
      <c r="K21" s="683"/>
      <c r="L21" s="684"/>
      <c r="M21" s="753">
        <v>5000</v>
      </c>
      <c r="N21" s="683">
        <v>0</v>
      </c>
      <c r="O21" s="686"/>
      <c r="P21" s="683">
        <v>0</v>
      </c>
      <c r="Q21" s="687">
        <f t="shared" si="1"/>
        <v>5000</v>
      </c>
      <c r="R21" s="688">
        <v>5005.29</v>
      </c>
      <c r="S21" s="693"/>
      <c r="T21" s="690">
        <f t="shared" si="2"/>
        <v>5.2899999999999636</v>
      </c>
      <c r="U21" s="683"/>
      <c r="V21" s="474">
        <f t="shared" si="3"/>
        <v>5000</v>
      </c>
      <c r="W21" s="474">
        <f t="shared" si="4"/>
        <v>0</v>
      </c>
      <c r="X21" s="475">
        <f t="shared" si="5"/>
        <v>0</v>
      </c>
      <c r="Y21" s="475">
        <v>0</v>
      </c>
      <c r="Z21" s="476">
        <v>0</v>
      </c>
      <c r="AA21" s="38">
        <f t="shared" si="6"/>
        <v>0</v>
      </c>
      <c r="AB21" s="692">
        <f t="shared" si="7"/>
        <v>0</v>
      </c>
      <c r="AC21" s="692">
        <f t="shared" si="8"/>
        <v>0</v>
      </c>
      <c r="AD21" s="692">
        <f t="shared" si="9"/>
        <v>0</v>
      </c>
      <c r="AE21" s="38"/>
      <c r="AF21" s="692">
        <f t="shared" si="10"/>
        <v>5000</v>
      </c>
      <c r="AG21" s="692">
        <f t="shared" si="11"/>
        <v>0</v>
      </c>
      <c r="AH21" s="692">
        <f t="shared" si="12"/>
        <v>0</v>
      </c>
    </row>
    <row r="22" spans="1:34">
      <c r="A22" s="20"/>
      <c r="B22" s="20" t="s">
        <v>110</v>
      </c>
      <c r="C22" s="667" t="s">
        <v>524</v>
      </c>
      <c r="D22" s="123" t="s">
        <v>133</v>
      </c>
      <c r="E22" s="679"/>
      <c r="F22" s="529">
        <f>VLOOKUP(D22,'July 2012 DMV Revenue'!D:T,17,FALSE)</f>
        <v>0</v>
      </c>
      <c r="G22" s="680"/>
      <c r="H22" s="680"/>
      <c r="I22" s="755"/>
      <c r="J22" s="682">
        <f t="shared" si="0"/>
        <v>0</v>
      </c>
      <c r="K22" s="683"/>
      <c r="L22" s="684"/>
      <c r="M22" s="753">
        <v>5000</v>
      </c>
      <c r="N22" s="683">
        <v>0</v>
      </c>
      <c r="O22" s="686"/>
      <c r="P22" s="683">
        <v>0</v>
      </c>
      <c r="Q22" s="687">
        <f t="shared" si="1"/>
        <v>5000</v>
      </c>
      <c r="R22" s="688">
        <v>6330.2</v>
      </c>
      <c r="S22" s="693"/>
      <c r="T22" s="690">
        <f t="shared" si="2"/>
        <v>1330.1999999999998</v>
      </c>
      <c r="U22" s="683"/>
      <c r="V22" s="474">
        <f t="shared" si="3"/>
        <v>5000</v>
      </c>
      <c r="W22" s="474">
        <f t="shared" si="4"/>
        <v>0</v>
      </c>
      <c r="X22" s="475">
        <f t="shared" si="5"/>
        <v>0</v>
      </c>
      <c r="Y22" s="475">
        <v>0</v>
      </c>
      <c r="Z22" s="476">
        <v>0</v>
      </c>
      <c r="AA22" s="38">
        <f t="shared" si="6"/>
        <v>0</v>
      </c>
      <c r="AB22" s="692">
        <f t="shared" si="7"/>
        <v>0</v>
      </c>
      <c r="AC22" s="692">
        <f t="shared" si="8"/>
        <v>0</v>
      </c>
      <c r="AD22" s="692">
        <f t="shared" si="9"/>
        <v>0</v>
      </c>
      <c r="AE22" s="38"/>
      <c r="AF22" s="692">
        <f t="shared" si="10"/>
        <v>5000</v>
      </c>
      <c r="AG22" s="692">
        <f t="shared" si="11"/>
        <v>0</v>
      </c>
      <c r="AH22" s="692">
        <f t="shared" si="12"/>
        <v>0</v>
      </c>
    </row>
    <row r="23" spans="1:34" s="232" customFormat="1">
      <c r="A23" s="283" t="s">
        <v>211</v>
      </c>
      <c r="B23" s="283" t="s">
        <v>109</v>
      </c>
      <c r="C23" s="667" t="s">
        <v>525</v>
      </c>
      <c r="D23" s="123" t="s">
        <v>419</v>
      </c>
      <c r="E23" s="679"/>
      <c r="F23" s="529">
        <f>VLOOKUP(D23,'July 2012 DMV Revenue'!D:T,17,FALSE)</f>
        <v>-16477.96</v>
      </c>
      <c r="G23" s="680"/>
      <c r="H23" s="680"/>
      <c r="I23" s="755"/>
      <c r="J23" s="682">
        <f t="shared" si="0"/>
        <v>-16477.96</v>
      </c>
      <c r="K23" s="683"/>
      <c r="L23" s="684"/>
      <c r="M23" s="753">
        <v>22000</v>
      </c>
      <c r="N23" s="683">
        <v>0</v>
      </c>
      <c r="O23" s="686"/>
      <c r="P23" s="683">
        <v>0</v>
      </c>
      <c r="Q23" s="687">
        <f t="shared" si="1"/>
        <v>22000</v>
      </c>
      <c r="R23" s="688">
        <v>0</v>
      </c>
      <c r="S23" s="693"/>
      <c r="T23" s="690">
        <f t="shared" si="2"/>
        <v>-22000</v>
      </c>
      <c r="U23" s="683"/>
      <c r="V23" s="474">
        <f t="shared" si="3"/>
        <v>0</v>
      </c>
      <c r="W23" s="474">
        <f t="shared" si="4"/>
        <v>22000</v>
      </c>
      <c r="X23" s="475">
        <f t="shared" si="5"/>
        <v>0</v>
      </c>
      <c r="Y23" s="475">
        <v>0</v>
      </c>
      <c r="Z23" s="476">
        <v>0</v>
      </c>
      <c r="AA23" s="38">
        <f t="shared" si="6"/>
        <v>0</v>
      </c>
      <c r="AB23" s="692">
        <f t="shared" si="7"/>
        <v>0</v>
      </c>
      <c r="AC23" s="692">
        <f t="shared" si="8"/>
        <v>-16477.96</v>
      </c>
      <c r="AD23" s="692">
        <f t="shared" si="9"/>
        <v>0</v>
      </c>
      <c r="AE23" s="38"/>
      <c r="AF23" s="692">
        <f t="shared" si="10"/>
        <v>0</v>
      </c>
      <c r="AG23" s="692">
        <f t="shared" si="11"/>
        <v>22000</v>
      </c>
      <c r="AH23" s="692">
        <f t="shared" si="12"/>
        <v>0</v>
      </c>
    </row>
    <row r="24" spans="1:34" s="232" customFormat="1">
      <c r="A24" s="283"/>
      <c r="B24" s="283" t="s">
        <v>109</v>
      </c>
      <c r="C24" s="667" t="s">
        <v>525</v>
      </c>
      <c r="D24" s="413" t="s">
        <v>420</v>
      </c>
      <c r="E24" s="679"/>
      <c r="F24" s="529">
        <f>VLOOKUP(D24,'July 2012 DMV Revenue'!D:T,17,FALSE)</f>
        <v>320.44</v>
      </c>
      <c r="G24" s="680"/>
      <c r="H24" s="680"/>
      <c r="I24" s="755"/>
      <c r="J24" s="682">
        <f t="shared" si="0"/>
        <v>320.44</v>
      </c>
      <c r="K24" s="683"/>
      <c r="L24" s="684"/>
      <c r="M24" s="753"/>
      <c r="N24" s="683">
        <v>0</v>
      </c>
      <c r="O24" s="686"/>
      <c r="P24" s="683">
        <v>0</v>
      </c>
      <c r="Q24" s="687">
        <f t="shared" si="1"/>
        <v>0</v>
      </c>
      <c r="R24" s="688">
        <v>0</v>
      </c>
      <c r="S24" s="693"/>
      <c r="T24" s="690">
        <f t="shared" si="2"/>
        <v>0</v>
      </c>
      <c r="U24" s="683"/>
      <c r="V24" s="474">
        <f t="shared" si="3"/>
        <v>0</v>
      </c>
      <c r="W24" s="474">
        <f t="shared" si="4"/>
        <v>0</v>
      </c>
      <c r="X24" s="475">
        <f t="shared" si="5"/>
        <v>0</v>
      </c>
      <c r="Y24" s="475">
        <v>0</v>
      </c>
      <c r="Z24" s="476">
        <v>0</v>
      </c>
      <c r="AA24" s="38">
        <f t="shared" si="6"/>
        <v>0</v>
      </c>
      <c r="AB24" s="692">
        <f t="shared" si="7"/>
        <v>0</v>
      </c>
      <c r="AC24" s="692">
        <f t="shared" si="8"/>
        <v>320.44</v>
      </c>
      <c r="AD24" s="692">
        <f t="shared" si="9"/>
        <v>0</v>
      </c>
      <c r="AE24" s="38"/>
      <c r="AF24" s="692">
        <f t="shared" si="10"/>
        <v>0</v>
      </c>
      <c r="AG24" s="692">
        <f t="shared" si="11"/>
        <v>0</v>
      </c>
      <c r="AH24" s="692">
        <f t="shared" si="12"/>
        <v>0</v>
      </c>
    </row>
    <row r="25" spans="1:34" s="232" customFormat="1">
      <c r="A25" s="283"/>
      <c r="B25" s="283" t="s">
        <v>109</v>
      </c>
      <c r="C25" s="667" t="s">
        <v>525</v>
      </c>
      <c r="D25" s="413" t="s">
        <v>421</v>
      </c>
      <c r="E25" s="679"/>
      <c r="F25" s="529">
        <f>VLOOKUP(D25,'July 2012 DMV Revenue'!D:T,17,FALSE)</f>
        <v>105.25</v>
      </c>
      <c r="G25" s="680"/>
      <c r="H25" s="680"/>
      <c r="I25" s="755"/>
      <c r="J25" s="682">
        <f t="shared" si="0"/>
        <v>105.25</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0</v>
      </c>
      <c r="AC25" s="692">
        <f t="shared" si="8"/>
        <v>105.25</v>
      </c>
      <c r="AD25" s="692">
        <f t="shared" si="9"/>
        <v>0</v>
      </c>
      <c r="AE25" s="38"/>
      <c r="AF25" s="692">
        <f t="shared" si="10"/>
        <v>0</v>
      </c>
      <c r="AG25" s="692">
        <f t="shared" si="11"/>
        <v>0</v>
      </c>
      <c r="AH25" s="692">
        <f t="shared" si="12"/>
        <v>0</v>
      </c>
    </row>
    <row r="26" spans="1:34">
      <c r="A26" s="20"/>
      <c r="B26" s="20" t="s">
        <v>110</v>
      </c>
      <c r="C26" s="667"/>
      <c r="D26" s="68" t="s">
        <v>191</v>
      </c>
      <c r="E26" s="679">
        <v>82.88</v>
      </c>
      <c r="F26" s="529">
        <f>VLOOKUP(D26,'July 2012 DMV Revenue'!D:T,17,FALSE)</f>
        <v>0</v>
      </c>
      <c r="G26" s="680"/>
      <c r="H26" s="680"/>
      <c r="I26" s="770">
        <v>106.86</v>
      </c>
      <c r="J26" s="682">
        <f t="shared" si="0"/>
        <v>189.74</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7"/>
        <v>189.74</v>
      </c>
      <c r="AC26" s="692">
        <f t="shared" si="8"/>
        <v>0</v>
      </c>
      <c r="AD26" s="692">
        <f t="shared" si="9"/>
        <v>0</v>
      </c>
      <c r="AE26" s="38"/>
      <c r="AF26" s="692">
        <f t="shared" si="10"/>
        <v>0</v>
      </c>
      <c r="AG26" s="692">
        <f t="shared" si="11"/>
        <v>0</v>
      </c>
      <c r="AH26" s="692">
        <f t="shared" si="12"/>
        <v>0</v>
      </c>
    </row>
    <row r="27" spans="1:34">
      <c r="A27" s="20"/>
      <c r="B27" s="20" t="s">
        <v>110</v>
      </c>
      <c r="C27" s="667"/>
      <c r="D27" s="68" t="s">
        <v>589</v>
      </c>
      <c r="E27" s="679"/>
      <c r="F27" s="529">
        <f>VLOOKUP(D27,'July 2012 DMV Revenue'!D:T,17,FALSE)</f>
        <v>-5000</v>
      </c>
      <c r="G27" s="680"/>
      <c r="H27" s="680"/>
      <c r="I27" s="755"/>
      <c r="J27" s="682">
        <f t="shared" si="0"/>
        <v>-5000</v>
      </c>
      <c r="K27" s="683"/>
      <c r="L27" s="684"/>
      <c r="M27" s="753">
        <v>10000</v>
      </c>
      <c r="N27" s="683">
        <v>0</v>
      </c>
      <c r="O27" s="686"/>
      <c r="P27" s="683">
        <v>0</v>
      </c>
      <c r="Q27" s="687">
        <f t="shared" si="1"/>
        <v>10000</v>
      </c>
      <c r="R27" s="688">
        <v>0</v>
      </c>
      <c r="S27" s="693"/>
      <c r="T27" s="690">
        <f t="shared" si="2"/>
        <v>-10000</v>
      </c>
      <c r="U27" s="683"/>
      <c r="V27" s="474">
        <f t="shared" si="3"/>
        <v>10000</v>
      </c>
      <c r="W27" s="474">
        <f t="shared" si="4"/>
        <v>0</v>
      </c>
      <c r="X27" s="475">
        <f t="shared" si="5"/>
        <v>0</v>
      </c>
      <c r="Y27" s="475">
        <v>0</v>
      </c>
      <c r="Z27" s="476">
        <v>0</v>
      </c>
      <c r="AA27" s="38">
        <f t="shared" si="6"/>
        <v>0</v>
      </c>
      <c r="AB27" s="692">
        <f t="shared" si="7"/>
        <v>-5000</v>
      </c>
      <c r="AC27" s="692">
        <f t="shared" si="8"/>
        <v>0</v>
      </c>
      <c r="AD27" s="692">
        <f t="shared" si="9"/>
        <v>0</v>
      </c>
      <c r="AE27" s="38"/>
      <c r="AF27" s="692">
        <f t="shared" si="10"/>
        <v>10000</v>
      </c>
      <c r="AG27" s="692">
        <f t="shared" si="11"/>
        <v>0</v>
      </c>
      <c r="AH27" s="692">
        <f t="shared" si="12"/>
        <v>0</v>
      </c>
    </row>
    <row r="28" spans="1:34">
      <c r="A28" s="20"/>
      <c r="B28" s="20" t="s">
        <v>110</v>
      </c>
      <c r="C28" s="667"/>
      <c r="D28" s="68" t="s">
        <v>829</v>
      </c>
      <c r="E28" s="679"/>
      <c r="F28" s="529">
        <f>VLOOKUP(D28,'July 2012 DMV Revenue'!D:T,17,FALSE)</f>
        <v>0</v>
      </c>
      <c r="G28" s="680"/>
      <c r="H28" s="680"/>
      <c r="I28" s="755"/>
      <c r="J28" s="682">
        <f t="shared" ref="J28" si="13">SUM(E28:I28)</f>
        <v>0</v>
      </c>
      <c r="K28" s="683"/>
      <c r="L28" s="684"/>
      <c r="M28" s="753"/>
      <c r="N28" s="683">
        <v>0</v>
      </c>
      <c r="O28" s="686"/>
      <c r="P28" s="683">
        <v>0</v>
      </c>
      <c r="Q28" s="687">
        <f t="shared" si="1"/>
        <v>0</v>
      </c>
      <c r="R28" s="688">
        <v>0</v>
      </c>
      <c r="S28" s="693"/>
      <c r="T28" s="690">
        <f t="shared" si="2"/>
        <v>0</v>
      </c>
      <c r="U28" s="683"/>
      <c r="V28" s="474">
        <f t="shared" si="3"/>
        <v>0</v>
      </c>
      <c r="W28" s="474">
        <f t="shared" si="4"/>
        <v>0</v>
      </c>
      <c r="X28" s="475">
        <f t="shared" si="5"/>
        <v>0</v>
      </c>
      <c r="Y28" s="475">
        <v>0</v>
      </c>
      <c r="Z28" s="476">
        <v>0</v>
      </c>
      <c r="AA28" s="38">
        <f t="shared" si="6"/>
        <v>0</v>
      </c>
      <c r="AB28" s="692">
        <f t="shared" si="7"/>
        <v>0</v>
      </c>
      <c r="AC28" s="692">
        <f t="shared" si="8"/>
        <v>0</v>
      </c>
      <c r="AD28" s="692">
        <f t="shared" si="9"/>
        <v>0</v>
      </c>
      <c r="AE28" s="38"/>
      <c r="AF28" s="692">
        <f t="shared" si="10"/>
        <v>0</v>
      </c>
      <c r="AG28" s="692">
        <f t="shared" si="11"/>
        <v>0</v>
      </c>
      <c r="AH28" s="692">
        <f t="shared" si="12"/>
        <v>0</v>
      </c>
    </row>
    <row r="29" spans="1:34">
      <c r="A29" s="20"/>
      <c r="B29" s="20" t="s">
        <v>109</v>
      </c>
      <c r="C29" s="667" t="s">
        <v>526</v>
      </c>
      <c r="D29" s="68" t="s">
        <v>385</v>
      </c>
      <c r="E29" s="679"/>
      <c r="F29" s="529">
        <f>VLOOKUP(D29,'July 2012 DMV Revenue'!D:T,17,FALSE)</f>
        <v>0</v>
      </c>
      <c r="G29" s="680"/>
      <c r="H29" s="680"/>
      <c r="I29" s="755"/>
      <c r="J29" s="682">
        <f t="shared" si="0"/>
        <v>0</v>
      </c>
      <c r="K29" s="683"/>
      <c r="L29" s="684"/>
      <c r="M29" s="753"/>
      <c r="N29" s="683">
        <v>0</v>
      </c>
      <c r="O29" s="686"/>
      <c r="P29" s="683">
        <v>0</v>
      </c>
      <c r="Q29" s="687">
        <f t="shared" si="1"/>
        <v>0</v>
      </c>
      <c r="R29" s="688">
        <v>0</v>
      </c>
      <c r="S29" s="693"/>
      <c r="T29" s="690">
        <f t="shared" si="2"/>
        <v>0</v>
      </c>
      <c r="U29" s="691"/>
      <c r="V29" s="474">
        <f t="shared" si="3"/>
        <v>0</v>
      </c>
      <c r="W29" s="474">
        <f t="shared" si="4"/>
        <v>0</v>
      </c>
      <c r="X29" s="475">
        <f t="shared" si="5"/>
        <v>0</v>
      </c>
      <c r="Y29" s="475">
        <v>0</v>
      </c>
      <c r="Z29" s="476">
        <v>0</v>
      </c>
      <c r="AA29" s="38">
        <f t="shared" si="6"/>
        <v>0</v>
      </c>
      <c r="AB29" s="692">
        <f t="shared" si="7"/>
        <v>0</v>
      </c>
      <c r="AC29" s="692">
        <f t="shared" si="8"/>
        <v>0</v>
      </c>
      <c r="AD29" s="692">
        <f t="shared" si="9"/>
        <v>0</v>
      </c>
      <c r="AE29" s="38"/>
      <c r="AF29" s="692">
        <f t="shared" si="10"/>
        <v>0</v>
      </c>
      <c r="AG29" s="692">
        <f t="shared" si="11"/>
        <v>0</v>
      </c>
      <c r="AH29" s="692">
        <f t="shared" si="12"/>
        <v>0</v>
      </c>
    </row>
    <row r="30" spans="1:34" s="232" customFormat="1">
      <c r="A30" s="283"/>
      <c r="B30" s="283" t="s">
        <v>110</v>
      </c>
      <c r="C30" s="667" t="s">
        <v>527</v>
      </c>
      <c r="D30" s="123" t="s">
        <v>401</v>
      </c>
      <c r="E30" s="679"/>
      <c r="F30" s="529">
        <f>VLOOKUP(D30,'July 2012 DMV Revenue'!D:T,17,FALSE)</f>
        <v>32508.599999999977</v>
      </c>
      <c r="G30" s="680"/>
      <c r="H30" s="680"/>
      <c r="I30" s="755"/>
      <c r="J30" s="682">
        <f t="shared" si="0"/>
        <v>32508.599999999977</v>
      </c>
      <c r="K30" s="683"/>
      <c r="L30" s="684"/>
      <c r="M30" s="753">
        <v>425000</v>
      </c>
      <c r="N30" s="683">
        <v>0</v>
      </c>
      <c r="O30" s="686"/>
      <c r="P30" s="683">
        <v>0</v>
      </c>
      <c r="Q30" s="687">
        <f t="shared" si="1"/>
        <v>425000</v>
      </c>
      <c r="R30" s="688">
        <v>360800.5</v>
      </c>
      <c r="S30" s="693"/>
      <c r="T30" s="690">
        <f t="shared" si="2"/>
        <v>-64199.5</v>
      </c>
      <c r="U30" s="683"/>
      <c r="V30" s="474">
        <f t="shared" si="3"/>
        <v>425000</v>
      </c>
      <c r="W30" s="474">
        <f t="shared" si="4"/>
        <v>0</v>
      </c>
      <c r="X30" s="475">
        <f t="shared" si="5"/>
        <v>0</v>
      </c>
      <c r="Y30" s="475">
        <v>0</v>
      </c>
      <c r="Z30" s="476">
        <v>0</v>
      </c>
      <c r="AA30" s="38">
        <f t="shared" si="6"/>
        <v>0</v>
      </c>
      <c r="AB30" s="692">
        <f t="shared" si="7"/>
        <v>32508.599999999977</v>
      </c>
      <c r="AC30" s="692">
        <f t="shared" si="8"/>
        <v>0</v>
      </c>
      <c r="AD30" s="692">
        <f t="shared" si="9"/>
        <v>0</v>
      </c>
      <c r="AE30" s="38"/>
      <c r="AF30" s="692">
        <f t="shared" si="10"/>
        <v>425000</v>
      </c>
      <c r="AG30" s="692">
        <f t="shared" si="11"/>
        <v>0</v>
      </c>
      <c r="AH30" s="692">
        <f t="shared" si="12"/>
        <v>0</v>
      </c>
    </row>
    <row r="31" spans="1:34" s="232" customFormat="1">
      <c r="A31" s="283"/>
      <c r="B31" s="283" t="s">
        <v>110</v>
      </c>
      <c r="C31" s="667" t="s">
        <v>528</v>
      </c>
      <c r="D31" s="123" t="s">
        <v>403</v>
      </c>
      <c r="E31" s="679"/>
      <c r="F31" s="529">
        <f>VLOOKUP(D31,'July 2012 DMV Revenue'!D:T,17,FALSE)</f>
        <v>-8615.760000000002</v>
      </c>
      <c r="G31" s="680"/>
      <c r="H31" s="680"/>
      <c r="I31" s="755"/>
      <c r="J31" s="682">
        <f t="shared" si="0"/>
        <v>-8615.760000000002</v>
      </c>
      <c r="K31" s="683"/>
      <c r="L31" s="684"/>
      <c r="M31" s="753">
        <v>55000</v>
      </c>
      <c r="N31" s="683">
        <v>0</v>
      </c>
      <c r="O31" s="686"/>
      <c r="P31" s="683">
        <v>0</v>
      </c>
      <c r="Q31" s="687">
        <f t="shared" si="1"/>
        <v>55000</v>
      </c>
      <c r="R31" s="688">
        <v>47534.62</v>
      </c>
      <c r="S31" s="693"/>
      <c r="T31" s="690">
        <f t="shared" si="2"/>
        <v>-7465.3799999999974</v>
      </c>
      <c r="U31" s="683"/>
      <c r="V31" s="474">
        <f t="shared" si="3"/>
        <v>55000</v>
      </c>
      <c r="W31" s="474">
        <f t="shared" si="4"/>
        <v>0</v>
      </c>
      <c r="X31" s="475">
        <f t="shared" si="5"/>
        <v>0</v>
      </c>
      <c r="Y31" s="475">
        <v>0</v>
      </c>
      <c r="Z31" s="476">
        <v>0</v>
      </c>
      <c r="AA31" s="38">
        <f t="shared" si="6"/>
        <v>0</v>
      </c>
      <c r="AB31" s="692">
        <f t="shared" si="7"/>
        <v>-8615.760000000002</v>
      </c>
      <c r="AC31" s="692">
        <f t="shared" si="8"/>
        <v>0</v>
      </c>
      <c r="AD31" s="692">
        <f t="shared" si="9"/>
        <v>0</v>
      </c>
      <c r="AE31" s="38"/>
      <c r="AF31" s="692">
        <f t="shared" si="10"/>
        <v>55000</v>
      </c>
      <c r="AG31" s="692">
        <f t="shared" si="11"/>
        <v>0</v>
      </c>
      <c r="AH31" s="692">
        <f t="shared" si="12"/>
        <v>0</v>
      </c>
    </row>
    <row r="32" spans="1:34" s="232" customFormat="1">
      <c r="A32" s="283"/>
      <c r="B32" s="283" t="s">
        <v>110</v>
      </c>
      <c r="C32" s="667" t="s">
        <v>528</v>
      </c>
      <c r="D32" s="123" t="s">
        <v>404</v>
      </c>
      <c r="E32" s="679"/>
      <c r="F32" s="529">
        <f>VLOOKUP(D32,'July 2012 DMV Revenue'!D:T,17,FALSE)</f>
        <v>-324.75999999999476</v>
      </c>
      <c r="G32" s="680"/>
      <c r="H32" s="680"/>
      <c r="I32" s="755"/>
      <c r="J32" s="682">
        <f t="shared" si="0"/>
        <v>-324.75999999999476</v>
      </c>
      <c r="K32" s="683"/>
      <c r="L32" s="684"/>
      <c r="M32" s="753">
        <v>70000</v>
      </c>
      <c r="N32" s="683">
        <v>0</v>
      </c>
      <c r="O32" s="686"/>
      <c r="P32" s="683">
        <v>0</v>
      </c>
      <c r="Q32" s="687">
        <f t="shared" si="1"/>
        <v>70000</v>
      </c>
      <c r="R32" s="688">
        <v>67729.58</v>
      </c>
      <c r="S32" s="693"/>
      <c r="T32" s="690">
        <f t="shared" si="2"/>
        <v>-2270.4199999999983</v>
      </c>
      <c r="U32" s="683"/>
      <c r="V32" s="474">
        <f t="shared" si="3"/>
        <v>70000</v>
      </c>
      <c r="W32" s="474">
        <f t="shared" si="4"/>
        <v>0</v>
      </c>
      <c r="X32" s="475">
        <f t="shared" si="5"/>
        <v>0</v>
      </c>
      <c r="Y32" s="475">
        <v>0</v>
      </c>
      <c r="Z32" s="476">
        <v>0</v>
      </c>
      <c r="AA32" s="38">
        <f t="shared" si="6"/>
        <v>0</v>
      </c>
      <c r="AB32" s="692">
        <f t="shared" si="7"/>
        <v>-324.75999999999476</v>
      </c>
      <c r="AC32" s="692">
        <f t="shared" si="8"/>
        <v>0</v>
      </c>
      <c r="AD32" s="692">
        <f t="shared" si="9"/>
        <v>0</v>
      </c>
      <c r="AE32" s="38"/>
      <c r="AF32" s="692">
        <f t="shared" si="10"/>
        <v>70000</v>
      </c>
      <c r="AG32" s="692">
        <f t="shared" si="11"/>
        <v>0</v>
      </c>
      <c r="AH32" s="692">
        <f t="shared" si="12"/>
        <v>0</v>
      </c>
    </row>
    <row r="33" spans="1:34" s="232" customFormat="1">
      <c r="A33" s="283"/>
      <c r="B33" s="283" t="s">
        <v>110</v>
      </c>
      <c r="C33" s="667" t="s">
        <v>528</v>
      </c>
      <c r="D33" s="123" t="s">
        <v>405</v>
      </c>
      <c r="E33" s="679"/>
      <c r="F33" s="529">
        <f>VLOOKUP(D33,'July 2012 DMV Revenue'!D:T,17,FALSE)</f>
        <v>-1365.5900000000001</v>
      </c>
      <c r="G33" s="680"/>
      <c r="H33" s="680"/>
      <c r="I33" s="755"/>
      <c r="J33" s="682">
        <f t="shared" si="0"/>
        <v>-1365.5900000000001</v>
      </c>
      <c r="K33" s="683"/>
      <c r="L33" s="684"/>
      <c r="M33" s="753">
        <v>15000</v>
      </c>
      <c r="N33" s="683">
        <v>0</v>
      </c>
      <c r="O33" s="686"/>
      <c r="P33" s="683">
        <v>0</v>
      </c>
      <c r="Q33" s="687">
        <f t="shared" si="1"/>
        <v>15000</v>
      </c>
      <c r="R33" s="688">
        <v>12335.86</v>
      </c>
      <c r="S33" s="693"/>
      <c r="T33" s="690">
        <f t="shared" si="2"/>
        <v>-2664.1399999999994</v>
      </c>
      <c r="U33" s="683"/>
      <c r="V33" s="474">
        <f t="shared" si="3"/>
        <v>15000</v>
      </c>
      <c r="W33" s="474">
        <f t="shared" si="4"/>
        <v>0</v>
      </c>
      <c r="X33" s="475">
        <f t="shared" si="5"/>
        <v>0</v>
      </c>
      <c r="Y33" s="475">
        <v>0</v>
      </c>
      <c r="Z33" s="476">
        <v>0</v>
      </c>
      <c r="AA33" s="38">
        <f t="shared" si="6"/>
        <v>0</v>
      </c>
      <c r="AB33" s="692">
        <f t="shared" si="7"/>
        <v>-1365.5900000000001</v>
      </c>
      <c r="AC33" s="692">
        <f t="shared" si="8"/>
        <v>0</v>
      </c>
      <c r="AD33" s="692">
        <f t="shared" si="9"/>
        <v>0</v>
      </c>
      <c r="AE33" s="38"/>
      <c r="AF33" s="692">
        <f t="shared" si="10"/>
        <v>15000</v>
      </c>
      <c r="AG33" s="692">
        <f t="shared" si="11"/>
        <v>0</v>
      </c>
      <c r="AH33" s="692">
        <f t="shared" si="12"/>
        <v>0</v>
      </c>
    </row>
    <row r="34" spans="1:34" s="232" customFormat="1">
      <c r="A34" s="283"/>
      <c r="B34" s="283" t="s">
        <v>110</v>
      </c>
      <c r="C34" s="667" t="s">
        <v>528</v>
      </c>
      <c r="D34" s="123" t="s">
        <v>406</v>
      </c>
      <c r="E34" s="679" t="s">
        <v>309</v>
      </c>
      <c r="F34" s="529">
        <f>VLOOKUP(D34,'July 2012 DMV Revenue'!D:T,17,FALSE)</f>
        <v>-271.02999999999975</v>
      </c>
      <c r="G34" s="680"/>
      <c r="H34" s="680"/>
      <c r="I34" s="755"/>
      <c r="J34" s="682">
        <f t="shared" si="0"/>
        <v>-271.02999999999975</v>
      </c>
      <c r="K34" s="683"/>
      <c r="L34" s="684"/>
      <c r="M34" s="753">
        <v>5000</v>
      </c>
      <c r="N34" s="683">
        <v>0</v>
      </c>
      <c r="O34" s="686"/>
      <c r="P34" s="683">
        <v>0</v>
      </c>
      <c r="Q34" s="687">
        <f t="shared" si="1"/>
        <v>5000</v>
      </c>
      <c r="R34" s="688">
        <v>4692.47</v>
      </c>
      <c r="S34" s="693"/>
      <c r="T34" s="690">
        <f t="shared" si="2"/>
        <v>-307.52999999999975</v>
      </c>
      <c r="U34" s="683"/>
      <c r="V34" s="474">
        <f t="shared" si="3"/>
        <v>5000</v>
      </c>
      <c r="W34" s="474">
        <f t="shared" si="4"/>
        <v>0</v>
      </c>
      <c r="X34" s="475">
        <f t="shared" si="5"/>
        <v>0</v>
      </c>
      <c r="Y34" s="475">
        <v>0</v>
      </c>
      <c r="Z34" s="476">
        <v>0</v>
      </c>
      <c r="AA34" s="38">
        <f t="shared" si="6"/>
        <v>0</v>
      </c>
      <c r="AB34" s="692">
        <f t="shared" si="7"/>
        <v>-271.02999999999975</v>
      </c>
      <c r="AC34" s="692">
        <f t="shared" si="8"/>
        <v>0</v>
      </c>
      <c r="AD34" s="692">
        <f t="shared" si="9"/>
        <v>0</v>
      </c>
      <c r="AE34" s="38"/>
      <c r="AF34" s="692">
        <f t="shared" si="10"/>
        <v>5000</v>
      </c>
      <c r="AG34" s="692">
        <f t="shared" si="11"/>
        <v>0</v>
      </c>
      <c r="AH34" s="692">
        <f t="shared" si="12"/>
        <v>0</v>
      </c>
    </row>
    <row r="35" spans="1:34" s="232" customFormat="1">
      <c r="A35" s="283"/>
      <c r="B35" s="283" t="s">
        <v>110</v>
      </c>
      <c r="C35" s="667" t="s">
        <v>528</v>
      </c>
      <c r="D35" s="123" t="s">
        <v>407</v>
      </c>
      <c r="E35" s="679"/>
      <c r="F35" s="529">
        <f>VLOOKUP(D35,'July 2012 DMV Revenue'!D:T,17,FALSE)</f>
        <v>139.01000000000022</v>
      </c>
      <c r="G35" s="680"/>
      <c r="H35" s="680"/>
      <c r="I35" s="755"/>
      <c r="J35" s="682">
        <f t="shared" si="0"/>
        <v>139.01000000000022</v>
      </c>
      <c r="K35" s="683"/>
      <c r="L35" s="684"/>
      <c r="M35" s="753">
        <v>2000</v>
      </c>
      <c r="N35" s="683">
        <v>0</v>
      </c>
      <c r="O35" s="686"/>
      <c r="P35" s="683">
        <v>0</v>
      </c>
      <c r="Q35" s="687">
        <f t="shared" si="1"/>
        <v>2000</v>
      </c>
      <c r="R35" s="688">
        <v>2297.2199999999998</v>
      </c>
      <c r="S35" s="693"/>
      <c r="T35" s="690">
        <f t="shared" si="2"/>
        <v>297.2199999999998</v>
      </c>
      <c r="U35" s="683"/>
      <c r="V35" s="474">
        <f t="shared" si="3"/>
        <v>2000</v>
      </c>
      <c r="W35" s="474">
        <f t="shared" si="4"/>
        <v>0</v>
      </c>
      <c r="X35" s="475">
        <f t="shared" si="5"/>
        <v>0</v>
      </c>
      <c r="Y35" s="475">
        <v>0</v>
      </c>
      <c r="Z35" s="476">
        <v>0</v>
      </c>
      <c r="AA35" s="38">
        <f t="shared" si="6"/>
        <v>0</v>
      </c>
      <c r="AB35" s="692">
        <f t="shared" si="7"/>
        <v>139.01000000000022</v>
      </c>
      <c r="AC35" s="692">
        <f t="shared" si="8"/>
        <v>0</v>
      </c>
      <c r="AD35" s="692">
        <f t="shared" si="9"/>
        <v>0</v>
      </c>
      <c r="AE35" s="38"/>
      <c r="AF35" s="692">
        <f t="shared" si="10"/>
        <v>2000</v>
      </c>
      <c r="AG35" s="692">
        <f t="shared" si="11"/>
        <v>0</v>
      </c>
      <c r="AH35" s="692">
        <f t="shared" si="12"/>
        <v>0</v>
      </c>
    </row>
    <row r="36" spans="1:34" s="232" customFormat="1">
      <c r="A36" s="283"/>
      <c r="B36" s="283" t="s">
        <v>110</v>
      </c>
      <c r="C36" s="667" t="s">
        <v>528</v>
      </c>
      <c r="D36" s="123" t="s">
        <v>820</v>
      </c>
      <c r="E36" s="679"/>
      <c r="F36" s="529">
        <f>VLOOKUP(D36,'July 2012 DMV Revenue'!D:T,17,FALSE)</f>
        <v>-24000</v>
      </c>
      <c r="G36" s="680"/>
      <c r="H36" s="680"/>
      <c r="I36" s="755"/>
      <c r="J36" s="682">
        <f t="shared" si="0"/>
        <v>-24000</v>
      </c>
      <c r="K36" s="683"/>
      <c r="L36" s="684"/>
      <c r="M36" s="753">
        <v>36000</v>
      </c>
      <c r="N36" s="683">
        <v>0</v>
      </c>
      <c r="O36" s="686"/>
      <c r="P36" s="683">
        <v>0</v>
      </c>
      <c r="Q36" s="687">
        <f t="shared" si="1"/>
        <v>36000</v>
      </c>
      <c r="R36" s="688">
        <v>0</v>
      </c>
      <c r="S36" s="693"/>
      <c r="T36" s="690">
        <f t="shared" si="2"/>
        <v>-36000</v>
      </c>
      <c r="U36" s="683"/>
      <c r="V36" s="474">
        <f t="shared" si="3"/>
        <v>36000</v>
      </c>
      <c r="W36" s="474">
        <f t="shared" si="4"/>
        <v>0</v>
      </c>
      <c r="X36" s="475">
        <f t="shared" si="5"/>
        <v>0</v>
      </c>
      <c r="Y36" s="475">
        <v>0</v>
      </c>
      <c r="Z36" s="476">
        <v>0</v>
      </c>
      <c r="AA36" s="38">
        <f t="shared" si="6"/>
        <v>0</v>
      </c>
      <c r="AB36" s="692">
        <f t="shared" si="7"/>
        <v>-24000</v>
      </c>
      <c r="AC36" s="692">
        <f t="shared" si="8"/>
        <v>0</v>
      </c>
      <c r="AD36" s="692">
        <f t="shared" si="9"/>
        <v>0</v>
      </c>
      <c r="AE36" s="38"/>
      <c r="AF36" s="692">
        <f t="shared" si="10"/>
        <v>36000</v>
      </c>
      <c r="AG36" s="692">
        <f t="shared" si="11"/>
        <v>0</v>
      </c>
      <c r="AH36" s="692">
        <f t="shared" si="12"/>
        <v>0</v>
      </c>
    </row>
    <row r="37" spans="1:34" s="232" customFormat="1">
      <c r="A37" s="283"/>
      <c r="B37" s="283" t="s">
        <v>110</v>
      </c>
      <c r="C37" s="667" t="s">
        <v>527</v>
      </c>
      <c r="D37" s="123" t="s">
        <v>460</v>
      </c>
      <c r="E37" s="679"/>
      <c r="F37" s="529">
        <f>VLOOKUP(D37,'July 2012 DMV Revenue'!D:T,17,FALSE)</f>
        <v>0</v>
      </c>
      <c r="G37" s="680"/>
      <c r="H37" s="680"/>
      <c r="I37" s="770">
        <v>36826.58</v>
      </c>
      <c r="J37" s="682">
        <f t="shared" si="0"/>
        <v>36826.58</v>
      </c>
      <c r="K37" s="683"/>
      <c r="L37" s="684"/>
      <c r="M37" s="753"/>
      <c r="N37" s="683">
        <v>0</v>
      </c>
      <c r="O37" s="686"/>
      <c r="P37" s="683">
        <v>0</v>
      </c>
      <c r="Q37" s="687">
        <f t="shared" si="1"/>
        <v>0</v>
      </c>
      <c r="R37" s="688">
        <v>0</v>
      </c>
      <c r="S37" s="693"/>
      <c r="T37" s="690">
        <f t="shared" si="2"/>
        <v>0</v>
      </c>
      <c r="U37" s="683"/>
      <c r="V37" s="474">
        <f t="shared" si="3"/>
        <v>0</v>
      </c>
      <c r="W37" s="474">
        <f t="shared" si="4"/>
        <v>0</v>
      </c>
      <c r="X37" s="475">
        <f t="shared" si="5"/>
        <v>0</v>
      </c>
      <c r="Y37" s="475">
        <v>0</v>
      </c>
      <c r="Z37" s="476">
        <v>0</v>
      </c>
      <c r="AA37" s="38">
        <f t="shared" si="6"/>
        <v>0</v>
      </c>
      <c r="AB37" s="692">
        <f t="shared" si="7"/>
        <v>36826.58</v>
      </c>
      <c r="AC37" s="692">
        <f t="shared" si="8"/>
        <v>0</v>
      </c>
      <c r="AD37" s="692">
        <f t="shared" si="9"/>
        <v>0</v>
      </c>
      <c r="AE37" s="38"/>
      <c r="AF37" s="692">
        <f t="shared" si="10"/>
        <v>0</v>
      </c>
      <c r="AG37" s="692">
        <f t="shared" si="11"/>
        <v>0</v>
      </c>
      <c r="AH37" s="692">
        <f t="shared" si="12"/>
        <v>0</v>
      </c>
    </row>
    <row r="38" spans="1:34" s="232" customFormat="1">
      <c r="A38" s="283"/>
      <c r="B38" s="283" t="s">
        <v>110</v>
      </c>
      <c r="C38" s="676" t="s">
        <v>528</v>
      </c>
      <c r="D38" s="123" t="s">
        <v>623</v>
      </c>
      <c r="E38" s="679"/>
      <c r="F38" s="529">
        <f>VLOOKUP(D38,'July 2012 DMV Revenue'!D:T,17,FALSE)</f>
        <v>0</v>
      </c>
      <c r="G38" s="680"/>
      <c r="H38" s="680"/>
      <c r="I38" s="770">
        <v>10341.69</v>
      </c>
      <c r="J38" s="682">
        <f t="shared" si="0"/>
        <v>10341.69</v>
      </c>
      <c r="K38" s="683"/>
      <c r="L38" s="684"/>
      <c r="M38" s="753"/>
      <c r="N38" s="683">
        <v>0</v>
      </c>
      <c r="O38" s="686"/>
      <c r="P38" s="683">
        <v>0</v>
      </c>
      <c r="Q38" s="687">
        <f t="shared" si="1"/>
        <v>0</v>
      </c>
      <c r="R38" s="688">
        <v>0</v>
      </c>
      <c r="S38" s="693"/>
      <c r="T38" s="690">
        <f t="shared" si="2"/>
        <v>0</v>
      </c>
      <c r="U38" s="683"/>
      <c r="V38" s="474">
        <f t="shared" si="3"/>
        <v>0</v>
      </c>
      <c r="W38" s="474">
        <f t="shared" si="4"/>
        <v>0</v>
      </c>
      <c r="X38" s="475">
        <f t="shared" si="5"/>
        <v>0</v>
      </c>
      <c r="Y38" s="475">
        <v>0</v>
      </c>
      <c r="Z38" s="476">
        <v>0</v>
      </c>
      <c r="AA38" s="38">
        <f t="shared" si="6"/>
        <v>0</v>
      </c>
      <c r="AB38" s="692">
        <f t="shared" si="7"/>
        <v>10341.69</v>
      </c>
      <c r="AC38" s="692">
        <f t="shared" si="8"/>
        <v>0</v>
      </c>
      <c r="AD38" s="692">
        <f t="shared" si="9"/>
        <v>0</v>
      </c>
      <c r="AE38" s="38"/>
      <c r="AF38" s="692">
        <f t="shared" si="10"/>
        <v>0</v>
      </c>
      <c r="AG38" s="692">
        <f t="shared" si="11"/>
        <v>0</v>
      </c>
      <c r="AH38" s="692">
        <f t="shared" si="12"/>
        <v>0</v>
      </c>
    </row>
    <row r="39" spans="1:34" s="232" customFormat="1">
      <c r="A39" s="403"/>
      <c r="B39" s="403" t="s">
        <v>114</v>
      </c>
      <c r="C39" s="666" t="s">
        <v>529</v>
      </c>
      <c r="D39" s="123" t="s">
        <v>108</v>
      </c>
      <c r="E39" s="679"/>
      <c r="F39" s="529">
        <f>VLOOKUP(D39,'July 2012 DMV Revenue'!D:T,17,FALSE)</f>
        <v>5035.12</v>
      </c>
      <c r="G39" s="680"/>
      <c r="H39" s="680"/>
      <c r="I39" s="755"/>
      <c r="J39" s="682">
        <f t="shared" si="0"/>
        <v>5035.12</v>
      </c>
      <c r="K39" s="683"/>
      <c r="L39" s="684"/>
      <c r="M39" s="753">
        <v>5000</v>
      </c>
      <c r="N39" s="683">
        <v>0</v>
      </c>
      <c r="O39" s="686"/>
      <c r="P39" s="683">
        <v>0</v>
      </c>
      <c r="Q39" s="687">
        <f t="shared" si="1"/>
        <v>5000</v>
      </c>
      <c r="R39" s="688">
        <v>4998.46</v>
      </c>
      <c r="S39" s="693"/>
      <c r="T39" s="690">
        <f t="shared" si="2"/>
        <v>-1.5399999999999636</v>
      </c>
      <c r="U39" s="683"/>
      <c r="V39" s="474">
        <f t="shared" si="3"/>
        <v>0</v>
      </c>
      <c r="W39" s="474">
        <f t="shared" si="4"/>
        <v>0</v>
      </c>
      <c r="X39" s="475">
        <f t="shared" si="5"/>
        <v>5000</v>
      </c>
      <c r="Y39" s="475">
        <v>0</v>
      </c>
      <c r="Z39" s="476">
        <v>0</v>
      </c>
      <c r="AA39" s="38">
        <f t="shared" si="6"/>
        <v>0</v>
      </c>
      <c r="AB39" s="692">
        <f t="shared" si="7"/>
        <v>0</v>
      </c>
      <c r="AC39" s="692">
        <f t="shared" si="8"/>
        <v>0</v>
      </c>
      <c r="AD39" s="692">
        <f t="shared" si="9"/>
        <v>5035.12</v>
      </c>
      <c r="AE39" s="38"/>
      <c r="AF39" s="692">
        <f t="shared" si="10"/>
        <v>0</v>
      </c>
      <c r="AG39" s="692">
        <f t="shared" si="11"/>
        <v>0</v>
      </c>
      <c r="AH39" s="692">
        <f t="shared" si="12"/>
        <v>5000</v>
      </c>
    </row>
    <row r="40" spans="1:34">
      <c r="A40" s="21"/>
      <c r="B40" s="21" t="s">
        <v>110</v>
      </c>
      <c r="C40" s="666"/>
      <c r="D40" s="68" t="s">
        <v>234</v>
      </c>
      <c r="E40" s="679">
        <v>6643.46</v>
      </c>
      <c r="F40" s="529">
        <f>VLOOKUP(D40,'July 2012 DMV Revenue'!D:T,17,FALSE)</f>
        <v>0</v>
      </c>
      <c r="G40" s="680"/>
      <c r="H40" s="680"/>
      <c r="I40" s="755"/>
      <c r="J40" s="682">
        <f t="shared" si="0"/>
        <v>6643.46</v>
      </c>
      <c r="K40" s="683"/>
      <c r="L40" s="684"/>
      <c r="M40" s="753"/>
      <c r="N40" s="683">
        <v>0</v>
      </c>
      <c r="O40" s="686"/>
      <c r="P40" s="683">
        <v>0</v>
      </c>
      <c r="Q40" s="687">
        <f t="shared" si="1"/>
        <v>0</v>
      </c>
      <c r="R40" s="688">
        <v>0</v>
      </c>
      <c r="S40" s="693"/>
      <c r="T40" s="690"/>
      <c r="U40" s="683"/>
      <c r="V40" s="474">
        <f t="shared" si="3"/>
        <v>0</v>
      </c>
      <c r="W40" s="474">
        <f t="shared" si="4"/>
        <v>0</v>
      </c>
      <c r="X40" s="475">
        <f t="shared" si="5"/>
        <v>0</v>
      </c>
      <c r="Y40" s="475">
        <v>0</v>
      </c>
      <c r="Z40" s="476">
        <v>0</v>
      </c>
      <c r="AA40" s="38">
        <f t="shared" si="6"/>
        <v>0</v>
      </c>
      <c r="AB40" s="692">
        <f t="shared" si="7"/>
        <v>6643.46</v>
      </c>
      <c r="AC40" s="692">
        <f t="shared" si="8"/>
        <v>0</v>
      </c>
      <c r="AD40" s="692">
        <f t="shared" si="9"/>
        <v>0</v>
      </c>
      <c r="AE40" s="38"/>
      <c r="AF40" s="692">
        <f t="shared" si="10"/>
        <v>0</v>
      </c>
      <c r="AG40" s="692">
        <f t="shared" si="11"/>
        <v>0</v>
      </c>
      <c r="AH40" s="692">
        <f t="shared" si="12"/>
        <v>0</v>
      </c>
    </row>
    <row r="41" spans="1:34">
      <c r="A41" s="20"/>
      <c r="B41" s="20" t="s">
        <v>109</v>
      </c>
      <c r="C41" s="667"/>
      <c r="D41" s="68" t="s">
        <v>598</v>
      </c>
      <c r="E41" s="679"/>
      <c r="F41" s="529">
        <f>VLOOKUP(D41,'July 2012 DMV Revenue'!D:T,17,FALSE)</f>
        <v>0</v>
      </c>
      <c r="G41" s="680"/>
      <c r="H41" s="680"/>
      <c r="I41" s="755"/>
      <c r="J41" s="682">
        <f t="shared" si="0"/>
        <v>0</v>
      </c>
      <c r="K41" s="683"/>
      <c r="L41" s="684"/>
      <c r="M41" s="753"/>
      <c r="N41" s="683">
        <v>0</v>
      </c>
      <c r="O41" s="686"/>
      <c r="P41" s="683">
        <v>0</v>
      </c>
      <c r="Q41" s="687">
        <f t="shared" si="1"/>
        <v>0</v>
      </c>
      <c r="R41" s="688">
        <v>0</v>
      </c>
      <c r="S41" s="693"/>
      <c r="T41" s="690">
        <f t="shared" si="2"/>
        <v>0</v>
      </c>
      <c r="U41" s="683"/>
      <c r="V41" s="474">
        <f t="shared" si="3"/>
        <v>0</v>
      </c>
      <c r="W41" s="474">
        <f t="shared" si="4"/>
        <v>0</v>
      </c>
      <c r="X41" s="475">
        <f t="shared" si="5"/>
        <v>0</v>
      </c>
      <c r="Y41" s="475">
        <v>0</v>
      </c>
      <c r="Z41" s="476">
        <v>0</v>
      </c>
      <c r="AA41" s="38">
        <f t="shared" si="6"/>
        <v>0</v>
      </c>
      <c r="AB41" s="692">
        <f t="shared" si="7"/>
        <v>0</v>
      </c>
      <c r="AC41" s="692">
        <f t="shared" si="8"/>
        <v>0</v>
      </c>
      <c r="AD41" s="692">
        <f t="shared" si="9"/>
        <v>0</v>
      </c>
      <c r="AE41" s="38"/>
      <c r="AF41" s="692">
        <f t="shared" si="10"/>
        <v>0</v>
      </c>
      <c r="AG41" s="692">
        <f t="shared" si="11"/>
        <v>0</v>
      </c>
      <c r="AH41" s="692">
        <f t="shared" si="12"/>
        <v>0</v>
      </c>
    </row>
    <row r="42" spans="1:34">
      <c r="A42" s="20"/>
      <c r="B42" s="20" t="s">
        <v>110</v>
      </c>
      <c r="C42" s="667"/>
      <c r="D42" s="68" t="s">
        <v>311</v>
      </c>
      <c r="E42" s="679"/>
      <c r="F42" s="529">
        <f>VLOOKUP(D42,'July 2012 DMV Revenue'!D:T,17,FALSE)</f>
        <v>0</v>
      </c>
      <c r="G42" s="680"/>
      <c r="H42" s="680"/>
      <c r="I42" s="755"/>
      <c r="J42" s="682">
        <f t="shared" si="0"/>
        <v>0</v>
      </c>
      <c r="K42" s="683"/>
      <c r="L42" s="684"/>
      <c r="M42" s="753"/>
      <c r="N42" s="683">
        <v>0</v>
      </c>
      <c r="O42" s="686"/>
      <c r="P42" s="683">
        <v>0</v>
      </c>
      <c r="Q42" s="687">
        <f t="shared" si="1"/>
        <v>0</v>
      </c>
      <c r="R42" s="688">
        <v>0</v>
      </c>
      <c r="S42" s="693"/>
      <c r="T42" s="690">
        <f t="shared" si="2"/>
        <v>0</v>
      </c>
      <c r="U42" s="683"/>
      <c r="V42" s="474">
        <f t="shared" si="3"/>
        <v>0</v>
      </c>
      <c r="W42" s="474">
        <f t="shared" si="4"/>
        <v>0</v>
      </c>
      <c r="X42" s="475">
        <f t="shared" si="5"/>
        <v>0</v>
      </c>
      <c r="Y42" s="475">
        <v>0</v>
      </c>
      <c r="Z42" s="476">
        <v>0</v>
      </c>
      <c r="AA42" s="38">
        <f t="shared" si="6"/>
        <v>0</v>
      </c>
      <c r="AB42" s="692">
        <f t="shared" si="7"/>
        <v>0</v>
      </c>
      <c r="AC42" s="692">
        <f t="shared" si="8"/>
        <v>0</v>
      </c>
      <c r="AD42" s="692">
        <f t="shared" si="9"/>
        <v>0</v>
      </c>
      <c r="AE42" s="38"/>
      <c r="AF42" s="692">
        <f t="shared" si="10"/>
        <v>0</v>
      </c>
      <c r="AG42" s="692">
        <f t="shared" si="11"/>
        <v>0</v>
      </c>
      <c r="AH42" s="692">
        <f t="shared" si="12"/>
        <v>0</v>
      </c>
    </row>
    <row r="43" spans="1:34">
      <c r="A43" s="20"/>
      <c r="B43" s="20" t="s">
        <v>110</v>
      </c>
      <c r="C43" s="667"/>
      <c r="D43" s="68" t="s">
        <v>451</v>
      </c>
      <c r="E43" s="679"/>
      <c r="F43" s="529">
        <f>VLOOKUP(D43,'July 2012 DMV Revenue'!D:T,17,FALSE)</f>
        <v>-20000</v>
      </c>
      <c r="G43" s="680"/>
      <c r="H43" s="680"/>
      <c r="I43" s="755"/>
      <c r="J43" s="682">
        <f t="shared" si="0"/>
        <v>-20000</v>
      </c>
      <c r="K43" s="683"/>
      <c r="L43" s="684"/>
      <c r="M43" s="753">
        <v>25000</v>
      </c>
      <c r="N43" s="683">
        <v>0</v>
      </c>
      <c r="O43" s="686"/>
      <c r="P43" s="683">
        <v>0</v>
      </c>
      <c r="Q43" s="687">
        <f t="shared" si="1"/>
        <v>25000</v>
      </c>
      <c r="R43" s="688">
        <v>0</v>
      </c>
      <c r="S43" s="693"/>
      <c r="T43" s="690">
        <f t="shared" si="2"/>
        <v>-25000</v>
      </c>
      <c r="U43" s="683"/>
      <c r="V43" s="474">
        <f t="shared" si="3"/>
        <v>25000</v>
      </c>
      <c r="W43" s="474">
        <f t="shared" si="4"/>
        <v>0</v>
      </c>
      <c r="X43" s="475">
        <f t="shared" si="5"/>
        <v>0</v>
      </c>
      <c r="Y43" s="475">
        <v>0</v>
      </c>
      <c r="Z43" s="476">
        <v>0</v>
      </c>
      <c r="AA43" s="38">
        <f t="shared" si="6"/>
        <v>0</v>
      </c>
      <c r="AB43" s="692">
        <f t="shared" si="7"/>
        <v>-20000</v>
      </c>
      <c r="AC43" s="692">
        <f t="shared" si="8"/>
        <v>0</v>
      </c>
      <c r="AD43" s="692">
        <f t="shared" si="9"/>
        <v>0</v>
      </c>
      <c r="AE43" s="38"/>
      <c r="AF43" s="692">
        <f t="shared" si="10"/>
        <v>25000</v>
      </c>
      <c r="AG43" s="692">
        <f t="shared" si="11"/>
        <v>0</v>
      </c>
      <c r="AH43" s="692">
        <f t="shared" si="12"/>
        <v>0</v>
      </c>
    </row>
    <row r="44" spans="1:34">
      <c r="A44" s="20"/>
      <c r="B44" s="20" t="s">
        <v>109</v>
      </c>
      <c r="C44" s="667"/>
      <c r="D44" s="68" t="s">
        <v>469</v>
      </c>
      <c r="E44" s="679"/>
      <c r="F44" s="529">
        <f>VLOOKUP(D44,'July 2012 DMV Revenue'!D:T,17,FALSE)</f>
        <v>0</v>
      </c>
      <c r="G44" s="680"/>
      <c r="H44" s="680"/>
      <c r="I44" s="755"/>
      <c r="J44" s="682">
        <f t="shared" si="0"/>
        <v>0</v>
      </c>
      <c r="K44" s="683"/>
      <c r="L44" s="684"/>
      <c r="M44" s="753"/>
      <c r="N44" s="683">
        <v>0</v>
      </c>
      <c r="O44" s="686"/>
      <c r="P44" s="683">
        <v>0</v>
      </c>
      <c r="Q44" s="687">
        <f t="shared" si="1"/>
        <v>0</v>
      </c>
      <c r="R44" s="688">
        <v>4068.61</v>
      </c>
      <c r="S44" s="693"/>
      <c r="T44" s="690">
        <f t="shared" si="2"/>
        <v>4068.61</v>
      </c>
      <c r="U44" s="683"/>
      <c r="V44" s="474">
        <f t="shared" si="3"/>
        <v>0</v>
      </c>
      <c r="W44" s="474">
        <f t="shared" si="4"/>
        <v>0</v>
      </c>
      <c r="X44" s="475">
        <f t="shared" si="5"/>
        <v>0</v>
      </c>
      <c r="Y44" s="475">
        <v>0</v>
      </c>
      <c r="Z44" s="476">
        <v>0</v>
      </c>
      <c r="AA44" s="38">
        <f t="shared" si="6"/>
        <v>0</v>
      </c>
      <c r="AB44" s="692">
        <f t="shared" si="7"/>
        <v>0</v>
      </c>
      <c r="AC44" s="692">
        <f t="shared" si="8"/>
        <v>0</v>
      </c>
      <c r="AD44" s="692">
        <f t="shared" si="9"/>
        <v>0</v>
      </c>
      <c r="AE44" s="38"/>
      <c r="AF44" s="692">
        <f t="shared" si="10"/>
        <v>0</v>
      </c>
      <c r="AG44" s="692">
        <f t="shared" si="11"/>
        <v>0</v>
      </c>
      <c r="AH44" s="692">
        <f t="shared" si="12"/>
        <v>0</v>
      </c>
    </row>
    <row r="45" spans="1:34">
      <c r="A45" s="20"/>
      <c r="B45" s="20" t="s">
        <v>110</v>
      </c>
      <c r="C45" s="667" t="s">
        <v>530</v>
      </c>
      <c r="D45" s="68" t="s">
        <v>69</v>
      </c>
      <c r="E45" s="679"/>
      <c r="F45" s="529">
        <f>VLOOKUP(D45,'July 2012 DMV Revenue'!D:T,17,FALSE)</f>
        <v>2293.41</v>
      </c>
      <c r="G45" s="680"/>
      <c r="H45" s="680"/>
      <c r="I45" s="755"/>
      <c r="J45" s="682">
        <f t="shared" si="0"/>
        <v>2293.41</v>
      </c>
      <c r="K45" s="683"/>
      <c r="L45" s="684"/>
      <c r="M45" s="753"/>
      <c r="N45" s="683">
        <v>0</v>
      </c>
      <c r="O45" s="686"/>
      <c r="P45" s="683">
        <v>0</v>
      </c>
      <c r="Q45" s="687">
        <f t="shared" si="1"/>
        <v>0</v>
      </c>
      <c r="R45" s="688">
        <v>0</v>
      </c>
      <c r="S45" s="693"/>
      <c r="T45" s="690">
        <f t="shared" si="2"/>
        <v>0</v>
      </c>
      <c r="U45" s="683"/>
      <c r="V45" s="474">
        <f t="shared" si="3"/>
        <v>0</v>
      </c>
      <c r="W45" s="474">
        <f t="shared" si="4"/>
        <v>0</v>
      </c>
      <c r="X45" s="475">
        <f t="shared" si="5"/>
        <v>0</v>
      </c>
      <c r="Y45" s="475">
        <v>0</v>
      </c>
      <c r="Z45" s="476">
        <v>0</v>
      </c>
      <c r="AA45" s="38">
        <f t="shared" si="6"/>
        <v>0</v>
      </c>
      <c r="AB45" s="692">
        <f t="shared" si="7"/>
        <v>2293.41</v>
      </c>
      <c r="AC45" s="692">
        <f t="shared" si="8"/>
        <v>0</v>
      </c>
      <c r="AD45" s="692">
        <f t="shared" si="9"/>
        <v>0</v>
      </c>
      <c r="AE45" s="38"/>
      <c r="AF45" s="692">
        <f t="shared" si="10"/>
        <v>0</v>
      </c>
      <c r="AG45" s="692">
        <f t="shared" si="11"/>
        <v>0</v>
      </c>
      <c r="AH45" s="692">
        <f t="shared" si="12"/>
        <v>0</v>
      </c>
    </row>
    <row r="46" spans="1:34">
      <c r="A46" s="20"/>
      <c r="B46" s="20" t="s">
        <v>110</v>
      </c>
      <c r="C46" s="667" t="s">
        <v>531</v>
      </c>
      <c r="D46" s="68" t="s">
        <v>237</v>
      </c>
      <c r="E46" s="679"/>
      <c r="F46" s="529">
        <f>VLOOKUP(D46,'July 2012 DMV Revenue'!D:T,17,FALSE)</f>
        <v>318.18000000000029</v>
      </c>
      <c r="G46" s="680"/>
      <c r="H46" s="680"/>
      <c r="I46" s="755"/>
      <c r="J46" s="682">
        <f t="shared" si="0"/>
        <v>318.18000000000029</v>
      </c>
      <c r="K46" s="683"/>
      <c r="L46" s="684"/>
      <c r="M46" s="753"/>
      <c r="N46" s="683">
        <v>0</v>
      </c>
      <c r="O46" s="686"/>
      <c r="P46" s="683">
        <v>0</v>
      </c>
      <c r="Q46" s="687">
        <f t="shared" si="1"/>
        <v>0</v>
      </c>
      <c r="R46" s="688">
        <v>13041.22</v>
      </c>
      <c r="S46" s="693"/>
      <c r="T46" s="690">
        <f t="shared" si="2"/>
        <v>13041.22</v>
      </c>
      <c r="U46" s="683"/>
      <c r="V46" s="474">
        <f t="shared" si="3"/>
        <v>0</v>
      </c>
      <c r="W46" s="474">
        <f t="shared" si="4"/>
        <v>0</v>
      </c>
      <c r="X46" s="475">
        <f t="shared" si="5"/>
        <v>0</v>
      </c>
      <c r="Y46" s="475">
        <v>0</v>
      </c>
      <c r="Z46" s="476">
        <v>0</v>
      </c>
      <c r="AA46" s="38">
        <f t="shared" si="6"/>
        <v>0</v>
      </c>
      <c r="AB46" s="692">
        <f t="shared" si="7"/>
        <v>318.18000000000029</v>
      </c>
      <c r="AC46" s="692">
        <f t="shared" si="8"/>
        <v>0</v>
      </c>
      <c r="AD46" s="692">
        <f t="shared" si="9"/>
        <v>0</v>
      </c>
      <c r="AE46" s="38"/>
      <c r="AF46" s="692">
        <f t="shared" si="10"/>
        <v>0</v>
      </c>
      <c r="AG46" s="692">
        <f t="shared" si="11"/>
        <v>0</v>
      </c>
      <c r="AH46" s="692">
        <f t="shared" si="12"/>
        <v>0</v>
      </c>
    </row>
    <row r="47" spans="1:34">
      <c r="A47" s="20" t="s">
        <v>211</v>
      </c>
      <c r="B47" s="20" t="s">
        <v>110</v>
      </c>
      <c r="C47" s="667" t="s">
        <v>532</v>
      </c>
      <c r="D47" s="68" t="s">
        <v>7</v>
      </c>
      <c r="E47" s="679"/>
      <c r="F47" s="529">
        <f>VLOOKUP(D47,'July 2012 DMV Revenue'!D:T,17,FALSE)</f>
        <v>-13000</v>
      </c>
      <c r="G47" s="680"/>
      <c r="H47" s="680"/>
      <c r="I47" s="755"/>
      <c r="J47" s="682">
        <f t="shared" si="0"/>
        <v>-13000</v>
      </c>
      <c r="K47" s="683"/>
      <c r="L47" s="684"/>
      <c r="M47" s="753">
        <v>26000</v>
      </c>
      <c r="N47" s="683">
        <v>0</v>
      </c>
      <c r="O47" s="686"/>
      <c r="P47" s="683">
        <v>0</v>
      </c>
      <c r="Q47" s="687">
        <f t="shared" si="1"/>
        <v>26000</v>
      </c>
      <c r="R47" s="688">
        <v>0</v>
      </c>
      <c r="S47" s="693"/>
      <c r="T47" s="690">
        <f t="shared" si="2"/>
        <v>-26000</v>
      </c>
      <c r="U47" s="697"/>
      <c r="V47" s="474">
        <f t="shared" si="3"/>
        <v>26000</v>
      </c>
      <c r="W47" s="474">
        <f t="shared" si="4"/>
        <v>0</v>
      </c>
      <c r="X47" s="475">
        <f t="shared" si="5"/>
        <v>0</v>
      </c>
      <c r="Y47" s="475">
        <v>0</v>
      </c>
      <c r="Z47" s="476">
        <v>0</v>
      </c>
      <c r="AA47" s="38">
        <f t="shared" si="6"/>
        <v>0</v>
      </c>
      <c r="AB47" s="692">
        <f t="shared" si="7"/>
        <v>-13000</v>
      </c>
      <c r="AC47" s="692">
        <f t="shared" si="8"/>
        <v>0</v>
      </c>
      <c r="AD47" s="692">
        <f t="shared" si="9"/>
        <v>0</v>
      </c>
      <c r="AE47" s="38"/>
      <c r="AF47" s="692">
        <f t="shared" si="10"/>
        <v>26000</v>
      </c>
      <c r="AG47" s="692">
        <f t="shared" si="11"/>
        <v>0</v>
      </c>
      <c r="AH47" s="692">
        <f t="shared" si="12"/>
        <v>0</v>
      </c>
    </row>
    <row r="48" spans="1:34" s="232" customFormat="1">
      <c r="A48" s="283" t="s">
        <v>97</v>
      </c>
      <c r="B48" s="283" t="s">
        <v>109</v>
      </c>
      <c r="C48" s="667" t="s">
        <v>533</v>
      </c>
      <c r="D48" s="123" t="s">
        <v>415</v>
      </c>
      <c r="E48" s="679"/>
      <c r="F48" s="529">
        <f>VLOOKUP(D48,'July 2012 DMV Revenue'!D:T,17,FALSE)</f>
        <v>0</v>
      </c>
      <c r="G48" s="680"/>
      <c r="H48" s="680"/>
      <c r="I48" s="755"/>
      <c r="J48" s="682">
        <f t="shared" si="0"/>
        <v>0</v>
      </c>
      <c r="K48" s="683"/>
      <c r="L48" s="684"/>
      <c r="M48" s="753"/>
      <c r="N48" s="683">
        <v>0</v>
      </c>
      <c r="O48" s="686"/>
      <c r="P48" s="683">
        <v>0</v>
      </c>
      <c r="Q48" s="687">
        <f t="shared" si="1"/>
        <v>0</v>
      </c>
      <c r="R48" s="688">
        <v>0</v>
      </c>
      <c r="S48" s="693"/>
      <c r="T48" s="690">
        <f t="shared" si="2"/>
        <v>0</v>
      </c>
      <c r="U48" s="683"/>
      <c r="V48" s="474">
        <f t="shared" si="3"/>
        <v>0</v>
      </c>
      <c r="W48" s="474">
        <f t="shared" si="4"/>
        <v>0</v>
      </c>
      <c r="X48" s="475">
        <f t="shared" si="5"/>
        <v>0</v>
      </c>
      <c r="Y48" s="475">
        <v>0</v>
      </c>
      <c r="Z48" s="476">
        <v>0</v>
      </c>
      <c r="AA48" s="38">
        <f t="shared" si="6"/>
        <v>0</v>
      </c>
      <c r="AB48" s="692">
        <f t="shared" si="7"/>
        <v>0</v>
      </c>
      <c r="AC48" s="692">
        <f t="shared" si="8"/>
        <v>0</v>
      </c>
      <c r="AD48" s="692">
        <f t="shared" si="9"/>
        <v>0</v>
      </c>
      <c r="AE48" s="38"/>
      <c r="AF48" s="692">
        <f t="shared" si="10"/>
        <v>0</v>
      </c>
      <c r="AG48" s="692">
        <f t="shared" si="11"/>
        <v>0</v>
      </c>
      <c r="AH48" s="692">
        <f t="shared" si="12"/>
        <v>0</v>
      </c>
    </row>
    <row r="49" spans="1:34" s="232" customFormat="1">
      <c r="A49" s="283"/>
      <c r="B49" s="283" t="s">
        <v>109</v>
      </c>
      <c r="C49" s="667" t="s">
        <v>533</v>
      </c>
      <c r="D49" s="123" t="s">
        <v>416</v>
      </c>
      <c r="E49" s="679"/>
      <c r="F49" s="529">
        <f>VLOOKUP(D49,'July 2012 DMV Revenue'!D:T,17,FALSE)</f>
        <v>0</v>
      </c>
      <c r="G49" s="680"/>
      <c r="H49" s="680"/>
      <c r="I49" s="755"/>
      <c r="J49" s="682">
        <f t="shared" si="0"/>
        <v>0</v>
      </c>
      <c r="K49" s="683"/>
      <c r="L49" s="684"/>
      <c r="M49" s="753"/>
      <c r="N49" s="683">
        <v>0</v>
      </c>
      <c r="O49" s="686"/>
      <c r="P49" s="683">
        <v>0</v>
      </c>
      <c r="Q49" s="687">
        <f t="shared" si="1"/>
        <v>0</v>
      </c>
      <c r="R49" s="688">
        <v>0</v>
      </c>
      <c r="S49" s="693"/>
      <c r="T49" s="690">
        <f t="shared" si="2"/>
        <v>0</v>
      </c>
      <c r="U49" s="683"/>
      <c r="V49" s="474">
        <f t="shared" si="3"/>
        <v>0</v>
      </c>
      <c r="W49" s="474">
        <f t="shared" si="4"/>
        <v>0</v>
      </c>
      <c r="X49" s="475">
        <f t="shared" si="5"/>
        <v>0</v>
      </c>
      <c r="Y49" s="475">
        <v>0</v>
      </c>
      <c r="Z49" s="476">
        <v>0</v>
      </c>
      <c r="AA49" s="38">
        <f t="shared" si="6"/>
        <v>0</v>
      </c>
      <c r="AB49" s="692">
        <f t="shared" si="7"/>
        <v>0</v>
      </c>
      <c r="AC49" s="692">
        <f t="shared" si="8"/>
        <v>0</v>
      </c>
      <c r="AD49" s="692">
        <f t="shared" si="9"/>
        <v>0</v>
      </c>
      <c r="AE49" s="38"/>
      <c r="AF49" s="692">
        <f t="shared" si="10"/>
        <v>0</v>
      </c>
      <c r="AG49" s="692">
        <f t="shared" si="11"/>
        <v>0</v>
      </c>
      <c r="AH49" s="692">
        <f t="shared" si="12"/>
        <v>0</v>
      </c>
    </row>
    <row r="50" spans="1:34" s="232" customFormat="1">
      <c r="A50" s="283"/>
      <c r="B50" s="283" t="s">
        <v>109</v>
      </c>
      <c r="C50" s="667" t="s">
        <v>533</v>
      </c>
      <c r="D50" s="123" t="s">
        <v>417</v>
      </c>
      <c r="E50" s="679"/>
      <c r="F50" s="529">
        <f>VLOOKUP(D50,'July 2012 DMV Revenue'!D:T,17,FALSE)</f>
        <v>0</v>
      </c>
      <c r="G50" s="680"/>
      <c r="H50" s="680"/>
      <c r="I50" s="755"/>
      <c r="J50" s="682">
        <f t="shared" si="0"/>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7"/>
        <v>0</v>
      </c>
      <c r="AC50" s="692">
        <f t="shared" si="8"/>
        <v>0</v>
      </c>
      <c r="AD50" s="692">
        <f t="shared" si="9"/>
        <v>0</v>
      </c>
      <c r="AE50" s="38"/>
      <c r="AF50" s="692">
        <f t="shared" si="10"/>
        <v>0</v>
      </c>
      <c r="AG50" s="692">
        <f t="shared" si="11"/>
        <v>0</v>
      </c>
      <c r="AH50" s="692">
        <f t="shared" si="12"/>
        <v>0</v>
      </c>
    </row>
    <row r="51" spans="1:34" s="232" customFormat="1">
      <c r="A51" s="283"/>
      <c r="B51" s="283" t="s">
        <v>109</v>
      </c>
      <c r="C51" s="667" t="s">
        <v>533</v>
      </c>
      <c r="D51" s="123" t="s">
        <v>418</v>
      </c>
      <c r="E51" s="679"/>
      <c r="F51" s="529">
        <f>VLOOKUP(D51,'July 2012 DMV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row>
    <row r="52" spans="1:34">
      <c r="A52" s="20" t="s">
        <v>211</v>
      </c>
      <c r="B52" s="20" t="s">
        <v>109</v>
      </c>
      <c r="C52" s="667" t="s">
        <v>534</v>
      </c>
      <c r="D52" s="68" t="s">
        <v>9</v>
      </c>
      <c r="E52" s="679"/>
      <c r="F52" s="529">
        <f>VLOOKUP(D52,'July 2012 DMV Revenue'!D:T,17,FALSE)</f>
        <v>-18000</v>
      </c>
      <c r="G52" s="680"/>
      <c r="H52" s="680"/>
      <c r="I52" s="755"/>
      <c r="J52" s="682">
        <f t="shared" si="0"/>
        <v>-18000</v>
      </c>
      <c r="K52" s="683"/>
      <c r="L52" s="684"/>
      <c r="M52" s="753">
        <v>20000</v>
      </c>
      <c r="N52" s="683">
        <v>0</v>
      </c>
      <c r="O52" s="686"/>
      <c r="P52" s="683">
        <v>0</v>
      </c>
      <c r="Q52" s="687">
        <f t="shared" si="1"/>
        <v>20000</v>
      </c>
      <c r="R52" s="688">
        <v>4211.54</v>
      </c>
      <c r="S52" s="693"/>
      <c r="T52" s="690">
        <f t="shared" si="2"/>
        <v>-15788.46</v>
      </c>
      <c r="U52" s="697"/>
      <c r="V52" s="474">
        <f t="shared" si="3"/>
        <v>0</v>
      </c>
      <c r="W52" s="474">
        <f t="shared" si="4"/>
        <v>20000</v>
      </c>
      <c r="X52" s="475">
        <f t="shared" si="5"/>
        <v>0</v>
      </c>
      <c r="Y52" s="475">
        <v>0</v>
      </c>
      <c r="Z52" s="476">
        <v>0</v>
      </c>
      <c r="AA52" s="38">
        <f t="shared" si="6"/>
        <v>0</v>
      </c>
      <c r="AB52" s="692">
        <f t="shared" si="7"/>
        <v>0</v>
      </c>
      <c r="AC52" s="692">
        <f t="shared" si="8"/>
        <v>-18000</v>
      </c>
      <c r="AD52" s="692">
        <f t="shared" si="9"/>
        <v>0</v>
      </c>
      <c r="AE52" s="38"/>
      <c r="AF52" s="692">
        <f t="shared" si="10"/>
        <v>0</v>
      </c>
      <c r="AG52" s="692">
        <f t="shared" si="11"/>
        <v>20000</v>
      </c>
      <c r="AH52" s="692">
        <f t="shared" si="12"/>
        <v>0</v>
      </c>
    </row>
    <row r="53" spans="1:34">
      <c r="A53" s="20" t="s">
        <v>211</v>
      </c>
      <c r="B53" s="20" t="s">
        <v>114</v>
      </c>
      <c r="C53" s="667"/>
      <c r="D53" s="68" t="s">
        <v>487</v>
      </c>
      <c r="E53" s="679"/>
      <c r="F53" s="529">
        <f>VLOOKUP(D53,'July 2012 DMV Revenue'!D:T,17,FALSE)</f>
        <v>0</v>
      </c>
      <c r="G53" s="680"/>
      <c r="H53" s="680"/>
      <c r="I53" s="755"/>
      <c r="J53" s="682">
        <f t="shared" si="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7"/>
        <v>0</v>
      </c>
      <c r="AC53" s="692">
        <f t="shared" si="8"/>
        <v>0</v>
      </c>
      <c r="AD53" s="692">
        <f t="shared" si="9"/>
        <v>0</v>
      </c>
      <c r="AE53" s="38"/>
      <c r="AF53" s="692">
        <f t="shared" si="10"/>
        <v>0</v>
      </c>
      <c r="AG53" s="692">
        <f t="shared" si="11"/>
        <v>0</v>
      </c>
      <c r="AH53" s="692">
        <f t="shared" si="12"/>
        <v>0</v>
      </c>
    </row>
    <row r="54" spans="1:34">
      <c r="A54" s="20"/>
      <c r="B54" s="20" t="s">
        <v>109</v>
      </c>
      <c r="C54" s="667"/>
      <c r="D54" s="68" t="s">
        <v>830</v>
      </c>
      <c r="E54" s="679"/>
      <c r="F54" s="529">
        <f>VLOOKUP(D54,'July 2012 DMV Revenue'!D:T,17,FALSE)</f>
        <v>0</v>
      </c>
      <c r="G54" s="680"/>
      <c r="H54" s="680"/>
      <c r="I54" s="770">
        <v>20577.23</v>
      </c>
      <c r="J54" s="682">
        <f t="shared" si="0"/>
        <v>20577.23</v>
      </c>
      <c r="K54" s="683"/>
      <c r="L54" s="684"/>
      <c r="M54" s="753"/>
      <c r="N54" s="683">
        <v>0</v>
      </c>
      <c r="O54" s="686"/>
      <c r="P54" s="683">
        <v>0</v>
      </c>
      <c r="Q54" s="687">
        <f t="shared" si="1"/>
        <v>0</v>
      </c>
      <c r="R54" s="688">
        <v>0</v>
      </c>
      <c r="S54" s="693"/>
      <c r="T54" s="690">
        <f t="shared" si="2"/>
        <v>0</v>
      </c>
      <c r="U54" s="683"/>
      <c r="V54" s="474">
        <f t="shared" si="3"/>
        <v>0</v>
      </c>
      <c r="W54" s="474">
        <f t="shared" si="4"/>
        <v>0</v>
      </c>
      <c r="X54" s="475">
        <f t="shared" si="5"/>
        <v>0</v>
      </c>
      <c r="Y54" s="475">
        <v>0</v>
      </c>
      <c r="Z54" s="476">
        <v>0</v>
      </c>
      <c r="AA54" s="38">
        <f t="shared" si="6"/>
        <v>0</v>
      </c>
      <c r="AB54" s="692">
        <f t="shared" si="7"/>
        <v>0</v>
      </c>
      <c r="AC54" s="692">
        <f t="shared" si="8"/>
        <v>20577.23</v>
      </c>
      <c r="AD54" s="692">
        <f t="shared" si="9"/>
        <v>0</v>
      </c>
      <c r="AE54" s="38"/>
      <c r="AF54" s="692">
        <f t="shared" si="10"/>
        <v>0</v>
      </c>
      <c r="AG54" s="692">
        <f t="shared" si="11"/>
        <v>0</v>
      </c>
      <c r="AH54" s="692">
        <f t="shared" si="12"/>
        <v>0</v>
      </c>
    </row>
    <row r="55" spans="1:34">
      <c r="A55" s="20"/>
      <c r="B55" s="20" t="s">
        <v>109</v>
      </c>
      <c r="C55" s="667"/>
      <c r="D55" s="68" t="s">
        <v>374</v>
      </c>
      <c r="E55" s="679"/>
      <c r="F55" s="529">
        <f>VLOOKUP(D55,'July 2012 DMV Revenue'!D:T,17,FALSE)</f>
        <v>0</v>
      </c>
      <c r="G55" s="680"/>
      <c r="H55" s="680"/>
      <c r="I55" s="755"/>
      <c r="J55" s="682">
        <f t="shared" si="0"/>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7"/>
        <v>0</v>
      </c>
      <c r="AC55" s="692">
        <f t="shared" si="8"/>
        <v>0</v>
      </c>
      <c r="AD55" s="692">
        <f t="shared" si="9"/>
        <v>0</v>
      </c>
      <c r="AE55" s="38"/>
      <c r="AF55" s="692">
        <f t="shared" si="10"/>
        <v>0</v>
      </c>
      <c r="AG55" s="692">
        <f t="shared" si="11"/>
        <v>0</v>
      </c>
      <c r="AH55" s="692">
        <f t="shared" si="12"/>
        <v>0</v>
      </c>
    </row>
    <row r="56" spans="1:34">
      <c r="A56" s="20"/>
      <c r="B56" s="20" t="s">
        <v>110</v>
      </c>
      <c r="C56" s="667"/>
      <c r="D56" s="68" t="s">
        <v>502</v>
      </c>
      <c r="E56" s="679"/>
      <c r="F56" s="529">
        <v>0</v>
      </c>
      <c r="G56" s="680"/>
      <c r="H56" s="680"/>
      <c r="I56" s="755"/>
      <c r="J56" s="682">
        <f t="shared" ref="J56" si="14">SUM(E56:I56)</f>
        <v>0</v>
      </c>
      <c r="K56" s="683"/>
      <c r="L56" s="684"/>
      <c r="M56" s="753"/>
      <c r="N56" s="683">
        <v>0</v>
      </c>
      <c r="O56" s="686"/>
      <c r="P56" s="683">
        <v>0</v>
      </c>
      <c r="Q56" s="687">
        <f t="shared" ref="Q56" si="15">L56+M56</f>
        <v>0</v>
      </c>
      <c r="R56" s="688">
        <v>0</v>
      </c>
      <c r="S56" s="693"/>
      <c r="T56" s="690">
        <f t="shared" ref="T56" si="16">IF(R56="","",R56-Q56)</f>
        <v>0</v>
      </c>
      <c r="U56" s="683"/>
      <c r="V56" s="474">
        <f t="shared" ref="V56" si="17">IF(B56="D",Q56,0)</f>
        <v>0</v>
      </c>
      <c r="W56" s="474">
        <f t="shared" ref="W56" si="18">IF(B56="M",Q56,0)</f>
        <v>0</v>
      </c>
      <c r="X56" s="475">
        <f t="shared" ref="X56" si="19">IF(B56="V",Q56,0)</f>
        <v>0</v>
      </c>
      <c r="Y56" s="475">
        <v>0</v>
      </c>
      <c r="Z56" s="476">
        <v>0</v>
      </c>
      <c r="AA56" s="38">
        <f t="shared" ref="AA56" si="20">(L56+M56)-(V56+W56+X56+Y56+Z56)</f>
        <v>0</v>
      </c>
      <c r="AB56" s="692">
        <f t="shared" ref="AB56" si="21">IF(B56="D",J56,0)</f>
        <v>0</v>
      </c>
      <c r="AC56" s="692">
        <f t="shared" ref="AC56" si="22">IF(B56="M",J56,0)</f>
        <v>0</v>
      </c>
      <c r="AD56" s="692">
        <f t="shared" ref="AD56" si="23">IF(B56="V",J56,0)</f>
        <v>0</v>
      </c>
      <c r="AE56" s="38"/>
      <c r="AF56" s="692">
        <f t="shared" ref="AF56" si="24">IF(B56="D",Q56,0)</f>
        <v>0</v>
      </c>
      <c r="AG56" s="692">
        <f t="shared" ref="AG56" si="25">IF(B56="M",Q56,0)</f>
        <v>0</v>
      </c>
      <c r="AH56" s="692">
        <f t="shared" ref="AH56" si="26">IF(B56="V",Q56,0)</f>
        <v>0</v>
      </c>
    </row>
    <row r="57" spans="1:34">
      <c r="A57" s="21"/>
      <c r="B57" s="21" t="s">
        <v>110</v>
      </c>
      <c r="C57" s="666" t="s">
        <v>535</v>
      </c>
      <c r="D57" s="123" t="s">
        <v>517</v>
      </c>
      <c r="E57" s="679"/>
      <c r="F57" s="529">
        <f>VLOOKUP(D57,'July 2012 DMV Revenue'!D:T,17,FALSE)</f>
        <v>-76955.289999999994</v>
      </c>
      <c r="G57" s="680"/>
      <c r="H57" s="680"/>
      <c r="I57" s="755"/>
      <c r="J57" s="682">
        <f t="shared" si="0"/>
        <v>-76955.289999999994</v>
      </c>
      <c r="K57" s="683"/>
      <c r="L57" s="684"/>
      <c r="M57" s="753">
        <v>90000</v>
      </c>
      <c r="N57" s="683">
        <v>0</v>
      </c>
      <c r="O57" s="686"/>
      <c r="P57" s="683">
        <v>0</v>
      </c>
      <c r="Q57" s="687">
        <f t="shared" si="1"/>
        <v>90000</v>
      </c>
      <c r="R57" s="688">
        <v>0</v>
      </c>
      <c r="S57" s="693"/>
      <c r="T57" s="690">
        <f t="shared" si="2"/>
        <v>-90000</v>
      </c>
      <c r="U57" s="697"/>
      <c r="V57" s="474">
        <f t="shared" si="3"/>
        <v>90000</v>
      </c>
      <c r="W57" s="474">
        <f t="shared" si="4"/>
        <v>0</v>
      </c>
      <c r="X57" s="475">
        <f t="shared" si="5"/>
        <v>0</v>
      </c>
      <c r="Y57" s="475">
        <v>0</v>
      </c>
      <c r="Z57" s="476">
        <v>0</v>
      </c>
      <c r="AA57" s="38">
        <f t="shared" si="6"/>
        <v>0</v>
      </c>
      <c r="AB57" s="692">
        <f t="shared" si="7"/>
        <v>-76955.289999999994</v>
      </c>
      <c r="AC57" s="692">
        <f t="shared" si="8"/>
        <v>0</v>
      </c>
      <c r="AD57" s="692">
        <f t="shared" si="9"/>
        <v>0</v>
      </c>
      <c r="AE57" s="38"/>
      <c r="AF57" s="692">
        <f t="shared" si="10"/>
        <v>90000</v>
      </c>
      <c r="AG57" s="692">
        <f t="shared" si="11"/>
        <v>0</v>
      </c>
      <c r="AH57" s="692">
        <f t="shared" si="12"/>
        <v>0</v>
      </c>
    </row>
    <row r="58" spans="1:34">
      <c r="A58" s="21"/>
      <c r="B58" s="21" t="s">
        <v>110</v>
      </c>
      <c r="C58" s="666" t="s">
        <v>535</v>
      </c>
      <c r="D58" s="123" t="s">
        <v>437</v>
      </c>
      <c r="E58" s="679"/>
      <c r="F58" s="529">
        <f>VLOOKUP(D58,'July 2012 DMV Revenue'!D:T,17,FALSE)</f>
        <v>8087.64</v>
      </c>
      <c r="G58" s="680"/>
      <c r="H58" s="680"/>
      <c r="I58" s="755"/>
      <c r="J58" s="682">
        <f t="shared" si="0"/>
        <v>8087.64</v>
      </c>
      <c r="K58" s="683"/>
      <c r="L58" s="684"/>
      <c r="M58" s="753"/>
      <c r="N58" s="683">
        <v>0</v>
      </c>
      <c r="O58" s="686"/>
      <c r="P58" s="683">
        <v>0</v>
      </c>
      <c r="Q58" s="687">
        <f t="shared" si="1"/>
        <v>0</v>
      </c>
      <c r="R58" s="688">
        <v>0</v>
      </c>
      <c r="S58" s="693"/>
      <c r="T58" s="690">
        <f t="shared" si="2"/>
        <v>0</v>
      </c>
      <c r="U58" s="697"/>
      <c r="V58" s="474">
        <f t="shared" si="3"/>
        <v>0</v>
      </c>
      <c r="W58" s="474">
        <f t="shared" si="4"/>
        <v>0</v>
      </c>
      <c r="X58" s="475">
        <f t="shared" si="5"/>
        <v>0</v>
      </c>
      <c r="Y58" s="475">
        <v>0</v>
      </c>
      <c r="Z58" s="476">
        <v>0</v>
      </c>
      <c r="AA58" s="38">
        <f t="shared" si="6"/>
        <v>0</v>
      </c>
      <c r="AB58" s="692">
        <f t="shared" si="7"/>
        <v>8087.64</v>
      </c>
      <c r="AC58" s="692">
        <f t="shared" si="8"/>
        <v>0</v>
      </c>
      <c r="AD58" s="692">
        <f t="shared" si="9"/>
        <v>0</v>
      </c>
      <c r="AE58" s="38"/>
      <c r="AF58" s="692">
        <f t="shared" si="10"/>
        <v>0</v>
      </c>
      <c r="AG58" s="692">
        <f t="shared" si="11"/>
        <v>0</v>
      </c>
      <c r="AH58" s="692">
        <f t="shared" si="12"/>
        <v>0</v>
      </c>
    </row>
    <row r="59" spans="1:34">
      <c r="A59" s="21"/>
      <c r="B59" s="21" t="s">
        <v>110</v>
      </c>
      <c r="C59" s="666" t="s">
        <v>535</v>
      </c>
      <c r="D59" s="123" t="s">
        <v>436</v>
      </c>
      <c r="E59" s="679"/>
      <c r="F59" s="529">
        <f>VLOOKUP(D59,'July 2012 DMV Revenue'!D:T,17,FALSE)</f>
        <v>15451.96</v>
      </c>
      <c r="G59" s="680"/>
      <c r="H59" s="680"/>
      <c r="I59" s="755"/>
      <c r="J59" s="682">
        <f t="shared" si="0"/>
        <v>15451.96</v>
      </c>
      <c r="K59" s="683"/>
      <c r="L59" s="684"/>
      <c r="M59" s="753"/>
      <c r="N59" s="683">
        <v>0</v>
      </c>
      <c r="O59" s="686"/>
      <c r="P59" s="683">
        <v>0</v>
      </c>
      <c r="Q59" s="687">
        <f t="shared" si="1"/>
        <v>0</v>
      </c>
      <c r="R59" s="688">
        <v>0</v>
      </c>
      <c r="S59" s="693"/>
      <c r="T59" s="690">
        <f t="shared" si="2"/>
        <v>0</v>
      </c>
      <c r="U59" s="697"/>
      <c r="V59" s="474">
        <f t="shared" si="3"/>
        <v>0</v>
      </c>
      <c r="W59" s="474">
        <f t="shared" si="4"/>
        <v>0</v>
      </c>
      <c r="X59" s="475">
        <f t="shared" si="5"/>
        <v>0</v>
      </c>
      <c r="Y59" s="475">
        <v>0</v>
      </c>
      <c r="Z59" s="476">
        <v>0</v>
      </c>
      <c r="AA59" s="38">
        <f t="shared" si="6"/>
        <v>0</v>
      </c>
      <c r="AB59" s="692">
        <f t="shared" si="7"/>
        <v>15451.96</v>
      </c>
      <c r="AC59" s="692">
        <f t="shared" si="8"/>
        <v>0</v>
      </c>
      <c r="AD59" s="692">
        <f t="shared" si="9"/>
        <v>0</v>
      </c>
      <c r="AE59" s="38"/>
      <c r="AF59" s="692">
        <f t="shared" si="10"/>
        <v>0</v>
      </c>
      <c r="AG59" s="692">
        <f t="shared" si="11"/>
        <v>0</v>
      </c>
      <c r="AH59" s="692">
        <f t="shared" si="12"/>
        <v>0</v>
      </c>
    </row>
    <row r="60" spans="1:34">
      <c r="A60" s="21"/>
      <c r="B60" s="21" t="s">
        <v>110</v>
      </c>
      <c r="C60" s="666" t="s">
        <v>535</v>
      </c>
      <c r="D60" s="123" t="s">
        <v>391</v>
      </c>
      <c r="E60" s="679"/>
      <c r="F60" s="529">
        <f>VLOOKUP(D60,'July 2012 DMV Revenue'!D:T,17,FALSE)</f>
        <v>3281.52</v>
      </c>
      <c r="G60" s="680"/>
      <c r="H60" s="680"/>
      <c r="I60" s="755"/>
      <c r="J60" s="682">
        <f t="shared" si="0"/>
        <v>3281.52</v>
      </c>
      <c r="K60" s="683"/>
      <c r="L60" s="684"/>
      <c r="M60" s="753"/>
      <c r="N60" s="683">
        <v>0</v>
      </c>
      <c r="O60" s="686"/>
      <c r="P60" s="683">
        <v>0</v>
      </c>
      <c r="Q60" s="687">
        <f t="shared" si="1"/>
        <v>0</v>
      </c>
      <c r="R60" s="688">
        <v>0</v>
      </c>
      <c r="S60" s="693"/>
      <c r="T60" s="690">
        <f t="shared" si="2"/>
        <v>0</v>
      </c>
      <c r="U60" s="697"/>
      <c r="V60" s="474">
        <f t="shared" si="3"/>
        <v>0</v>
      </c>
      <c r="W60" s="474">
        <f t="shared" si="4"/>
        <v>0</v>
      </c>
      <c r="X60" s="475">
        <f t="shared" si="5"/>
        <v>0</v>
      </c>
      <c r="Y60" s="475">
        <v>0</v>
      </c>
      <c r="Z60" s="476">
        <v>0</v>
      </c>
      <c r="AA60" s="38">
        <f t="shared" si="6"/>
        <v>0</v>
      </c>
      <c r="AB60" s="692">
        <f t="shared" si="7"/>
        <v>3281.52</v>
      </c>
      <c r="AC60" s="692">
        <f t="shared" si="8"/>
        <v>0</v>
      </c>
      <c r="AD60" s="692">
        <f t="shared" si="9"/>
        <v>0</v>
      </c>
      <c r="AE60" s="38"/>
      <c r="AF60" s="692">
        <f t="shared" si="10"/>
        <v>0</v>
      </c>
      <c r="AG60" s="692">
        <f t="shared" si="11"/>
        <v>0</v>
      </c>
      <c r="AH60" s="692">
        <f t="shared" si="12"/>
        <v>0</v>
      </c>
    </row>
    <row r="61" spans="1:34">
      <c r="A61" s="21"/>
      <c r="B61" s="21" t="s">
        <v>110</v>
      </c>
      <c r="C61" s="666" t="s">
        <v>535</v>
      </c>
      <c r="D61" s="123" t="s">
        <v>392</v>
      </c>
      <c r="E61" s="679"/>
      <c r="F61" s="529">
        <f>VLOOKUP(D61,'July 2012 DMV Revenue'!D:T,17,FALSE)</f>
        <v>55680.01</v>
      </c>
      <c r="G61" s="680"/>
      <c r="H61" s="680"/>
      <c r="I61" s="755"/>
      <c r="J61" s="682">
        <f t="shared" si="0"/>
        <v>55680.01</v>
      </c>
      <c r="K61" s="683"/>
      <c r="L61" s="684"/>
      <c r="M61" s="753"/>
      <c r="N61" s="683">
        <v>0</v>
      </c>
      <c r="O61" s="686"/>
      <c r="P61" s="683">
        <v>0</v>
      </c>
      <c r="Q61" s="687">
        <f t="shared" si="1"/>
        <v>0</v>
      </c>
      <c r="R61" s="688">
        <v>0</v>
      </c>
      <c r="S61" s="693"/>
      <c r="T61" s="690">
        <f t="shared" si="2"/>
        <v>0</v>
      </c>
      <c r="U61" s="697"/>
      <c r="V61" s="474">
        <f t="shared" si="3"/>
        <v>0</v>
      </c>
      <c r="W61" s="474">
        <f t="shared" si="4"/>
        <v>0</v>
      </c>
      <c r="X61" s="475">
        <f t="shared" si="5"/>
        <v>0</v>
      </c>
      <c r="Y61" s="475">
        <v>0</v>
      </c>
      <c r="Z61" s="476">
        <v>0</v>
      </c>
      <c r="AA61" s="38">
        <f t="shared" si="6"/>
        <v>0</v>
      </c>
      <c r="AB61" s="692">
        <f t="shared" si="7"/>
        <v>55680.01</v>
      </c>
      <c r="AC61" s="692">
        <f t="shared" si="8"/>
        <v>0</v>
      </c>
      <c r="AD61" s="692">
        <f t="shared" si="9"/>
        <v>0</v>
      </c>
      <c r="AE61" s="38"/>
      <c r="AF61" s="692">
        <f t="shared" si="10"/>
        <v>0</v>
      </c>
      <c r="AG61" s="692">
        <f t="shared" si="11"/>
        <v>0</v>
      </c>
      <c r="AH61" s="692">
        <f t="shared" si="12"/>
        <v>0</v>
      </c>
    </row>
    <row r="62" spans="1:34">
      <c r="A62" s="21"/>
      <c r="B62" s="21" t="s">
        <v>110</v>
      </c>
      <c r="C62" s="666" t="s">
        <v>535</v>
      </c>
      <c r="D62" s="123" t="s">
        <v>483</v>
      </c>
      <c r="E62" s="679"/>
      <c r="F62" s="529">
        <f>VLOOKUP(D62,'July 2012 DMV Revenue'!D:T,17,FALSE)</f>
        <v>4945.88</v>
      </c>
      <c r="G62" s="680"/>
      <c r="H62" s="680"/>
      <c r="I62" s="755"/>
      <c r="J62" s="682">
        <f t="shared" si="0"/>
        <v>4945.88</v>
      </c>
      <c r="K62" s="683"/>
      <c r="L62" s="684"/>
      <c r="M62" s="753"/>
      <c r="N62" s="683"/>
      <c r="O62" s="686"/>
      <c r="P62" s="683"/>
      <c r="Q62" s="687">
        <f t="shared" si="1"/>
        <v>0</v>
      </c>
      <c r="R62" s="688">
        <v>0</v>
      </c>
      <c r="S62" s="693"/>
      <c r="T62" s="690">
        <f t="shared" si="2"/>
        <v>0</v>
      </c>
      <c r="U62" s="697"/>
      <c r="V62" s="474">
        <f t="shared" si="3"/>
        <v>0</v>
      </c>
      <c r="W62" s="474">
        <f t="shared" si="4"/>
        <v>0</v>
      </c>
      <c r="X62" s="475">
        <f t="shared" si="5"/>
        <v>0</v>
      </c>
      <c r="Y62" s="475">
        <v>0</v>
      </c>
      <c r="Z62" s="476">
        <v>0</v>
      </c>
      <c r="AA62" s="38">
        <f t="shared" si="6"/>
        <v>0</v>
      </c>
      <c r="AB62" s="692">
        <f t="shared" si="7"/>
        <v>4945.88</v>
      </c>
      <c r="AC62" s="692">
        <f t="shared" si="8"/>
        <v>0</v>
      </c>
      <c r="AD62" s="692">
        <f t="shared" si="9"/>
        <v>0</v>
      </c>
      <c r="AE62" s="38"/>
      <c r="AF62" s="692">
        <f t="shared" si="10"/>
        <v>0</v>
      </c>
      <c r="AG62" s="692">
        <f t="shared" si="11"/>
        <v>0</v>
      </c>
      <c r="AH62" s="692">
        <f t="shared" si="12"/>
        <v>0</v>
      </c>
    </row>
    <row r="63" spans="1:34">
      <c r="A63" s="21"/>
      <c r="B63" s="21" t="s">
        <v>110</v>
      </c>
      <c r="C63" s="666"/>
      <c r="D63" s="373" t="s">
        <v>587</v>
      </c>
      <c r="E63" s="679"/>
      <c r="F63" s="529">
        <f>VLOOKUP(D63,'July 2012 DMV Revenue'!D:T,17,FALSE)</f>
        <v>0</v>
      </c>
      <c r="G63" s="680"/>
      <c r="H63" s="680"/>
      <c r="I63" s="755"/>
      <c r="J63" s="682">
        <f t="shared" si="0"/>
        <v>0</v>
      </c>
      <c r="K63" s="683"/>
      <c r="L63" s="684"/>
      <c r="M63" s="753"/>
      <c r="N63" s="683"/>
      <c r="O63" s="686"/>
      <c r="P63" s="683"/>
      <c r="Q63" s="687">
        <f t="shared" si="1"/>
        <v>0</v>
      </c>
      <c r="R63" s="688">
        <v>0</v>
      </c>
      <c r="S63" s="693"/>
      <c r="T63" s="690"/>
      <c r="U63" s="697"/>
      <c r="V63" s="474">
        <f t="shared" si="3"/>
        <v>0</v>
      </c>
      <c r="W63" s="474">
        <f t="shared" si="4"/>
        <v>0</v>
      </c>
      <c r="X63" s="475">
        <f t="shared" si="5"/>
        <v>0</v>
      </c>
      <c r="Y63" s="475">
        <v>0</v>
      </c>
      <c r="Z63" s="476">
        <v>0</v>
      </c>
      <c r="AA63" s="38">
        <f t="shared" si="6"/>
        <v>0</v>
      </c>
      <c r="AB63" s="692">
        <f t="shared" si="7"/>
        <v>0</v>
      </c>
      <c r="AC63" s="692">
        <f t="shared" si="8"/>
        <v>0</v>
      </c>
      <c r="AD63" s="692">
        <f t="shared" si="9"/>
        <v>0</v>
      </c>
      <c r="AE63" s="38"/>
      <c r="AF63" s="692">
        <f t="shared" si="10"/>
        <v>0</v>
      </c>
      <c r="AG63" s="692">
        <f t="shared" si="11"/>
        <v>0</v>
      </c>
      <c r="AH63" s="692">
        <f t="shared" si="12"/>
        <v>0</v>
      </c>
    </row>
    <row r="64" spans="1:34">
      <c r="A64" s="20"/>
      <c r="B64" s="20" t="s">
        <v>110</v>
      </c>
      <c r="C64" s="667" t="s">
        <v>536</v>
      </c>
      <c r="D64" s="68" t="s">
        <v>450</v>
      </c>
      <c r="E64" s="679"/>
      <c r="F64" s="529">
        <f>VLOOKUP(D64,'July 2012 DMV Revenue'!D:T,17,FALSE)</f>
        <v>0</v>
      </c>
      <c r="G64" s="680"/>
      <c r="H64" s="680"/>
      <c r="I64" s="755"/>
      <c r="J64" s="682">
        <f t="shared" si="0"/>
        <v>0</v>
      </c>
      <c r="K64" s="683"/>
      <c r="L64" s="684"/>
      <c r="M64" s="753"/>
      <c r="N64" s="683">
        <v>0</v>
      </c>
      <c r="O64" s="686"/>
      <c r="P64" s="683">
        <v>0</v>
      </c>
      <c r="Q64" s="687">
        <f t="shared" si="1"/>
        <v>0</v>
      </c>
      <c r="R64" s="688">
        <v>525.24</v>
      </c>
      <c r="S64" s="693"/>
      <c r="T64" s="690">
        <f t="shared" si="2"/>
        <v>525.24</v>
      </c>
      <c r="U64" s="683"/>
      <c r="V64" s="474">
        <f t="shared" si="3"/>
        <v>0</v>
      </c>
      <c r="W64" s="474">
        <f t="shared" si="4"/>
        <v>0</v>
      </c>
      <c r="X64" s="475">
        <f t="shared" si="5"/>
        <v>0</v>
      </c>
      <c r="Y64" s="475">
        <v>0</v>
      </c>
      <c r="Z64" s="476">
        <v>0</v>
      </c>
      <c r="AA64" s="38">
        <f t="shared" si="6"/>
        <v>0</v>
      </c>
      <c r="AB64" s="692">
        <f t="shared" si="7"/>
        <v>0</v>
      </c>
      <c r="AC64" s="692">
        <f t="shared" si="8"/>
        <v>0</v>
      </c>
      <c r="AD64" s="692">
        <f t="shared" si="9"/>
        <v>0</v>
      </c>
      <c r="AE64" s="38"/>
      <c r="AF64" s="692">
        <f t="shared" si="10"/>
        <v>0</v>
      </c>
      <c r="AG64" s="692">
        <f t="shared" si="11"/>
        <v>0</v>
      </c>
      <c r="AH64" s="692">
        <f t="shared" si="12"/>
        <v>0</v>
      </c>
    </row>
    <row r="65" spans="1:34">
      <c r="A65" s="21" t="s">
        <v>109</v>
      </c>
      <c r="B65" s="21" t="s">
        <v>110</v>
      </c>
      <c r="C65" s="666"/>
      <c r="D65" s="68" t="s">
        <v>438</v>
      </c>
      <c r="E65" s="679"/>
      <c r="F65" s="529">
        <f>VLOOKUP(D65,'July 2012 DMV Revenue'!D:T,17,FALSE)</f>
        <v>0</v>
      </c>
      <c r="G65" s="680"/>
      <c r="H65" s="680"/>
      <c r="I65" s="755"/>
      <c r="J65" s="682">
        <f t="shared" si="0"/>
        <v>0</v>
      </c>
      <c r="K65" s="683"/>
      <c r="L65" s="684"/>
      <c r="M65" s="753"/>
      <c r="N65" s="683">
        <v>0</v>
      </c>
      <c r="O65" s="686"/>
      <c r="P65" s="683">
        <v>0</v>
      </c>
      <c r="Q65" s="687">
        <f t="shared" si="1"/>
        <v>0</v>
      </c>
      <c r="R65" s="688">
        <v>0</v>
      </c>
      <c r="S65" s="693"/>
      <c r="T65" s="690">
        <f t="shared" si="2"/>
        <v>0</v>
      </c>
      <c r="U65" s="697"/>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row>
    <row r="66" spans="1:34">
      <c r="A66" s="21"/>
      <c r="B66" s="21" t="s">
        <v>110</v>
      </c>
      <c r="C66" s="666"/>
      <c r="D66" s="68" t="s">
        <v>628</v>
      </c>
      <c r="E66" s="679">
        <v>633.22</v>
      </c>
      <c r="F66" s="529">
        <f>VLOOKUP(D66,'July 2012 DMV Revenue'!D:T,17,FALSE)</f>
        <v>0</v>
      </c>
      <c r="G66" s="680"/>
      <c r="H66" s="680"/>
      <c r="I66" s="755"/>
      <c r="J66" s="682">
        <f t="shared" ref="J66" si="27">SUM(E66:I66)</f>
        <v>633.22</v>
      </c>
      <c r="K66" s="683"/>
      <c r="L66" s="684"/>
      <c r="M66" s="753"/>
      <c r="N66" s="683">
        <v>0</v>
      </c>
      <c r="O66" s="686"/>
      <c r="P66" s="683">
        <v>0</v>
      </c>
      <c r="Q66" s="687">
        <f t="shared" ref="Q66" si="28">L66+M66</f>
        <v>0</v>
      </c>
      <c r="R66" s="688">
        <v>0</v>
      </c>
      <c r="S66" s="693"/>
      <c r="T66" s="690">
        <f t="shared" ref="T66" si="29">IF(R66="","",R66-Q66)</f>
        <v>0</v>
      </c>
      <c r="U66" s="697"/>
      <c r="V66" s="474">
        <f t="shared" ref="V66" si="30">IF(B66="D",Q66,0)</f>
        <v>0</v>
      </c>
      <c r="W66" s="474">
        <f t="shared" ref="W66" si="31">IF(B66="M",Q66,0)</f>
        <v>0</v>
      </c>
      <c r="X66" s="475">
        <f t="shared" ref="X66" si="32">IF(B66="V",Q66,0)</f>
        <v>0</v>
      </c>
      <c r="Y66" s="475">
        <v>0</v>
      </c>
      <c r="Z66" s="476">
        <v>0</v>
      </c>
      <c r="AA66" s="38">
        <f t="shared" ref="AA66" si="33">(L66+M66)-(V66+W66+X66+Y66+Z66)</f>
        <v>0</v>
      </c>
      <c r="AB66" s="692">
        <f t="shared" ref="AB66" si="34">IF(B66="D",J66,0)</f>
        <v>633.22</v>
      </c>
      <c r="AC66" s="692">
        <f t="shared" ref="AC66" si="35">IF(B66="M",J66,0)</f>
        <v>0</v>
      </c>
      <c r="AD66" s="692">
        <f t="shared" ref="AD66" si="36">IF(B66="V",J66,0)</f>
        <v>0</v>
      </c>
      <c r="AE66" s="38"/>
      <c r="AF66" s="692">
        <f t="shared" ref="AF66" si="37">IF(B66="D",Q66,0)</f>
        <v>0</v>
      </c>
      <c r="AG66" s="692">
        <f t="shared" ref="AG66" si="38">IF(B66="M",Q66,0)</f>
        <v>0</v>
      </c>
      <c r="AH66" s="692">
        <f t="shared" ref="AH66" si="39">IF(B66="V",Q66,0)</f>
        <v>0</v>
      </c>
    </row>
    <row r="67" spans="1:34">
      <c r="A67" s="21"/>
      <c r="B67" s="21" t="s">
        <v>110</v>
      </c>
      <c r="C67" s="666" t="s">
        <v>537</v>
      </c>
      <c r="D67" s="68" t="s">
        <v>12</v>
      </c>
      <c r="E67" s="679"/>
      <c r="F67" s="529">
        <f>VLOOKUP(D67,'July 2012 DMV Revenue'!D:T,17,FALSE)</f>
        <v>0</v>
      </c>
      <c r="G67" s="680"/>
      <c r="H67" s="680"/>
      <c r="I67" s="755"/>
      <c r="J67" s="682">
        <f t="shared" si="0"/>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7"/>
        <v>0</v>
      </c>
      <c r="AC67" s="692">
        <f t="shared" si="8"/>
        <v>0</v>
      </c>
      <c r="AD67" s="692">
        <f t="shared" si="9"/>
        <v>0</v>
      </c>
      <c r="AE67" s="38"/>
      <c r="AF67" s="692">
        <f t="shared" si="10"/>
        <v>0</v>
      </c>
      <c r="AG67" s="692">
        <f t="shared" si="11"/>
        <v>0</v>
      </c>
      <c r="AH67" s="692">
        <f t="shared" si="12"/>
        <v>0</v>
      </c>
    </row>
    <row r="68" spans="1:34" s="232" customFormat="1">
      <c r="A68" s="283" t="s">
        <v>211</v>
      </c>
      <c r="B68" s="283" t="s">
        <v>110</v>
      </c>
      <c r="C68" s="667" t="s">
        <v>538</v>
      </c>
      <c r="D68" s="123" t="s">
        <v>170</v>
      </c>
      <c r="E68" s="679"/>
      <c r="F68" s="529">
        <f>VLOOKUP(D68,'July 2012 DMV Revenue'!D:T,17,FALSE)</f>
        <v>-100000</v>
      </c>
      <c r="G68" s="680"/>
      <c r="H68" s="680"/>
      <c r="I68" s="755"/>
      <c r="J68" s="682">
        <f t="shared" si="0"/>
        <v>-100000</v>
      </c>
      <c r="K68" s="683"/>
      <c r="L68" s="684"/>
      <c r="M68" s="753">
        <v>200000</v>
      </c>
      <c r="N68" s="683">
        <v>0</v>
      </c>
      <c r="O68" s="686"/>
      <c r="P68" s="683">
        <v>0</v>
      </c>
      <c r="Q68" s="687">
        <f t="shared" si="1"/>
        <v>200000</v>
      </c>
      <c r="R68" s="688">
        <v>0</v>
      </c>
      <c r="S68" s="693"/>
      <c r="T68" s="690">
        <f t="shared" si="2"/>
        <v>-200000</v>
      </c>
      <c r="U68" s="683"/>
      <c r="V68" s="474">
        <f t="shared" si="3"/>
        <v>200000</v>
      </c>
      <c r="W68" s="474">
        <f t="shared" si="4"/>
        <v>0</v>
      </c>
      <c r="X68" s="475">
        <f t="shared" si="5"/>
        <v>0</v>
      </c>
      <c r="Y68" s="475">
        <v>0</v>
      </c>
      <c r="Z68" s="476">
        <v>0</v>
      </c>
      <c r="AA68" s="38">
        <f t="shared" si="6"/>
        <v>0</v>
      </c>
      <c r="AB68" s="692">
        <f t="shared" si="7"/>
        <v>-100000</v>
      </c>
      <c r="AC68" s="692">
        <f t="shared" si="8"/>
        <v>0</v>
      </c>
      <c r="AD68" s="692">
        <f t="shared" si="9"/>
        <v>0</v>
      </c>
      <c r="AE68" s="38"/>
      <c r="AF68" s="692">
        <f t="shared" si="10"/>
        <v>200000</v>
      </c>
      <c r="AG68" s="692">
        <f t="shared" si="11"/>
        <v>0</v>
      </c>
      <c r="AH68" s="692">
        <f t="shared" si="12"/>
        <v>0</v>
      </c>
    </row>
    <row r="69" spans="1:34" s="232" customFormat="1">
      <c r="A69" s="283" t="s">
        <v>211</v>
      </c>
      <c r="B69" s="283" t="s">
        <v>110</v>
      </c>
      <c r="C69" s="667" t="s">
        <v>538</v>
      </c>
      <c r="D69" s="123" t="s">
        <v>171</v>
      </c>
      <c r="E69" s="679"/>
      <c r="F69" s="529">
        <f>VLOOKUP(D69,'July 2012 DMV Revenue'!D:T,17,FALSE)</f>
        <v>0</v>
      </c>
      <c r="G69" s="680"/>
      <c r="H69" s="680"/>
      <c r="I69" s="755"/>
      <c r="J69" s="682">
        <f t="shared" si="0"/>
        <v>0</v>
      </c>
      <c r="K69" s="683"/>
      <c r="L69" s="684"/>
      <c r="M69" s="753"/>
      <c r="N69" s="683">
        <v>0</v>
      </c>
      <c r="O69" s="686"/>
      <c r="P69" s="683">
        <v>0</v>
      </c>
      <c r="Q69" s="687">
        <f t="shared" si="1"/>
        <v>0</v>
      </c>
      <c r="R69" s="688">
        <v>0</v>
      </c>
      <c r="S69" s="693"/>
      <c r="T69" s="690">
        <f t="shared" si="2"/>
        <v>0</v>
      </c>
      <c r="U69" s="683"/>
      <c r="V69" s="474">
        <f t="shared" si="3"/>
        <v>0</v>
      </c>
      <c r="W69" s="474">
        <f t="shared" si="4"/>
        <v>0</v>
      </c>
      <c r="X69" s="475">
        <f t="shared" si="5"/>
        <v>0</v>
      </c>
      <c r="Y69" s="475">
        <v>0</v>
      </c>
      <c r="Z69" s="476">
        <v>0</v>
      </c>
      <c r="AA69" s="38">
        <f t="shared" si="6"/>
        <v>0</v>
      </c>
      <c r="AB69" s="692">
        <f t="shared" si="7"/>
        <v>0</v>
      </c>
      <c r="AC69" s="692">
        <f t="shared" si="8"/>
        <v>0</v>
      </c>
      <c r="AD69" s="692">
        <f t="shared" si="9"/>
        <v>0</v>
      </c>
      <c r="AE69" s="38"/>
      <c r="AF69" s="692">
        <f t="shared" si="10"/>
        <v>0</v>
      </c>
      <c r="AG69" s="692">
        <f t="shared" si="11"/>
        <v>0</v>
      </c>
      <c r="AH69" s="692">
        <f t="shared" si="12"/>
        <v>0</v>
      </c>
    </row>
    <row r="70" spans="1:34" s="232" customFormat="1">
      <c r="A70" s="283" t="s">
        <v>211</v>
      </c>
      <c r="B70" s="283" t="s">
        <v>110</v>
      </c>
      <c r="C70" s="667" t="s">
        <v>538</v>
      </c>
      <c r="D70" s="123" t="s">
        <v>13</v>
      </c>
      <c r="E70" s="679"/>
      <c r="F70" s="529">
        <f>VLOOKUP(D70,'July 2012 DMV Revenue'!D:T,17,FALSE)</f>
        <v>0</v>
      </c>
      <c r="G70" s="680"/>
      <c r="H70" s="680"/>
      <c r="I70" s="755"/>
      <c r="J70" s="682">
        <f t="shared" si="0"/>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row>
    <row r="71" spans="1:34" s="232" customFormat="1">
      <c r="A71" s="283" t="s">
        <v>211</v>
      </c>
      <c r="B71" s="283" t="s">
        <v>110</v>
      </c>
      <c r="C71" s="667" t="s">
        <v>538</v>
      </c>
      <c r="D71" s="123" t="s">
        <v>172</v>
      </c>
      <c r="E71" s="679"/>
      <c r="F71" s="529">
        <f>VLOOKUP(D71,'July 2012 DMV Revenue'!D:T,17,FALSE)</f>
        <v>0</v>
      </c>
      <c r="G71" s="680"/>
      <c r="H71" s="680"/>
      <c r="I71" s="755"/>
      <c r="J71" s="682">
        <f t="shared" si="0"/>
        <v>0</v>
      </c>
      <c r="K71" s="683"/>
      <c r="L71" s="684"/>
      <c r="M71" s="753"/>
      <c r="N71" s="683">
        <v>0</v>
      </c>
      <c r="O71" s="686"/>
      <c r="P71" s="683">
        <v>0</v>
      </c>
      <c r="Q71" s="687">
        <f t="shared" si="1"/>
        <v>0</v>
      </c>
      <c r="R71" s="688">
        <v>0</v>
      </c>
      <c r="S71" s="693"/>
      <c r="T71" s="690">
        <f t="shared" si="2"/>
        <v>0</v>
      </c>
      <c r="U71" s="683"/>
      <c r="V71" s="474">
        <f t="shared" si="3"/>
        <v>0</v>
      </c>
      <c r="W71" s="474">
        <f t="shared" si="4"/>
        <v>0</v>
      </c>
      <c r="X71" s="475">
        <f t="shared" si="5"/>
        <v>0</v>
      </c>
      <c r="Y71" s="475">
        <v>0</v>
      </c>
      <c r="Z71" s="476">
        <v>0</v>
      </c>
      <c r="AA71" s="38">
        <f t="shared" si="6"/>
        <v>0</v>
      </c>
      <c r="AB71" s="692">
        <f t="shared" si="7"/>
        <v>0</v>
      </c>
      <c r="AC71" s="692">
        <f t="shared" si="8"/>
        <v>0</v>
      </c>
      <c r="AD71" s="692">
        <f t="shared" si="9"/>
        <v>0</v>
      </c>
      <c r="AE71" s="38"/>
      <c r="AF71" s="692">
        <f t="shared" si="10"/>
        <v>0</v>
      </c>
      <c r="AG71" s="692">
        <f t="shared" si="11"/>
        <v>0</v>
      </c>
      <c r="AH71" s="692">
        <f t="shared" si="12"/>
        <v>0</v>
      </c>
    </row>
    <row r="72" spans="1:34" s="232" customFormat="1">
      <c r="A72" s="283" t="s">
        <v>211</v>
      </c>
      <c r="B72" s="283" t="s">
        <v>110</v>
      </c>
      <c r="C72" s="667" t="s">
        <v>538</v>
      </c>
      <c r="D72" s="123" t="s">
        <v>173</v>
      </c>
      <c r="E72" s="679"/>
      <c r="F72" s="529">
        <f>VLOOKUP(D72,'July 2012 DMV Revenue'!D:T,17,FALSE)</f>
        <v>0</v>
      </c>
      <c r="G72" s="680"/>
      <c r="H72" s="680"/>
      <c r="I72" s="755"/>
      <c r="J72" s="682">
        <f t="shared" si="0"/>
        <v>0</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7"/>
        <v>0</v>
      </c>
      <c r="AC72" s="692">
        <f t="shared" si="8"/>
        <v>0</v>
      </c>
      <c r="AD72" s="692">
        <f t="shared" si="9"/>
        <v>0</v>
      </c>
      <c r="AE72" s="38"/>
      <c r="AF72" s="692">
        <f t="shared" si="10"/>
        <v>0</v>
      </c>
      <c r="AG72" s="692">
        <f t="shared" si="11"/>
        <v>0</v>
      </c>
      <c r="AH72" s="692">
        <f t="shared" si="12"/>
        <v>0</v>
      </c>
    </row>
    <row r="73" spans="1:34" s="232" customFormat="1">
      <c r="A73" s="283" t="s">
        <v>211</v>
      </c>
      <c r="B73" s="283" t="s">
        <v>110</v>
      </c>
      <c r="C73" s="667" t="s">
        <v>538</v>
      </c>
      <c r="D73" s="123" t="s">
        <v>174</v>
      </c>
      <c r="E73" s="679"/>
      <c r="F73" s="529">
        <f>VLOOKUP(D73,'July 2012 DMV Revenue'!D:T,17,FALSE)</f>
        <v>0</v>
      </c>
      <c r="G73" s="680"/>
      <c r="H73" s="680"/>
      <c r="I73" s="755"/>
      <c r="J73" s="682">
        <f t="shared" si="0"/>
        <v>0</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8"/>
        <v>0</v>
      </c>
      <c r="AD73" s="692">
        <f t="shared" si="9"/>
        <v>0</v>
      </c>
      <c r="AE73" s="38"/>
      <c r="AF73" s="692">
        <f t="shared" si="10"/>
        <v>0</v>
      </c>
      <c r="AG73" s="692">
        <f t="shared" si="11"/>
        <v>0</v>
      </c>
      <c r="AH73" s="692">
        <f t="shared" si="12"/>
        <v>0</v>
      </c>
    </row>
    <row r="74" spans="1:34" s="232" customFormat="1">
      <c r="A74" s="283"/>
      <c r="B74" s="283" t="s">
        <v>109</v>
      </c>
      <c r="C74" s="794"/>
      <c r="D74" s="351" t="s">
        <v>14</v>
      </c>
      <c r="E74" s="679">
        <v>143.66</v>
      </c>
      <c r="F74" s="529">
        <f>VLOOKUP(D74,'July 2012 DMV Revenue'!D:T,17,FALSE)</f>
        <v>0</v>
      </c>
      <c r="G74" s="680"/>
      <c r="H74" s="680"/>
      <c r="I74" s="755"/>
      <c r="J74" s="682">
        <f t="shared" si="0"/>
        <v>143.66</v>
      </c>
      <c r="K74" s="683"/>
      <c r="L74" s="684"/>
      <c r="M74" s="753"/>
      <c r="N74" s="683">
        <v>0</v>
      </c>
      <c r="O74" s="686"/>
      <c r="P74" s="683">
        <v>0</v>
      </c>
      <c r="Q74" s="687">
        <f t="shared" ref="Q74" si="40">L74+M74</f>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143.66</v>
      </c>
      <c r="AD74" s="692">
        <f t="shared" si="9"/>
        <v>0</v>
      </c>
      <c r="AE74" s="38"/>
      <c r="AF74" s="692">
        <f t="shared" si="10"/>
        <v>0</v>
      </c>
      <c r="AG74" s="692">
        <f t="shared" si="11"/>
        <v>0</v>
      </c>
      <c r="AH74" s="692">
        <f t="shared" si="12"/>
        <v>0</v>
      </c>
    </row>
    <row r="75" spans="1:34">
      <c r="A75" s="20"/>
      <c r="B75" s="20" t="s">
        <v>110</v>
      </c>
      <c r="C75" s="667"/>
      <c r="D75" s="68" t="s">
        <v>15</v>
      </c>
      <c r="E75" s="679"/>
      <c r="F75" s="529">
        <f>VLOOKUP(D75,'July 2012 DMV Revenue'!D:T,17,FALSE)</f>
        <v>0</v>
      </c>
      <c r="G75" s="680"/>
      <c r="H75" s="680"/>
      <c r="I75" s="770">
        <v>7332.98</v>
      </c>
      <c r="J75" s="682">
        <f t="shared" si="0"/>
        <v>7332.98</v>
      </c>
      <c r="K75" s="683"/>
      <c r="L75" s="684"/>
      <c r="M75" s="753"/>
      <c r="N75" s="683">
        <v>0</v>
      </c>
      <c r="O75" s="686"/>
      <c r="P75" s="683">
        <v>0</v>
      </c>
      <c r="Q75" s="687">
        <f t="shared" si="1"/>
        <v>0</v>
      </c>
      <c r="R75" s="688">
        <v>0</v>
      </c>
      <c r="S75" s="693"/>
      <c r="T75" s="690">
        <f t="shared" si="2"/>
        <v>0</v>
      </c>
      <c r="U75" s="683"/>
      <c r="V75" s="474">
        <f t="shared" si="3"/>
        <v>0</v>
      </c>
      <c r="W75" s="474">
        <f t="shared" si="4"/>
        <v>0</v>
      </c>
      <c r="X75" s="475">
        <f t="shared" si="5"/>
        <v>0</v>
      </c>
      <c r="Y75" s="475">
        <v>0</v>
      </c>
      <c r="Z75" s="476">
        <v>0</v>
      </c>
      <c r="AA75" s="38">
        <f t="shared" si="6"/>
        <v>0</v>
      </c>
      <c r="AB75" s="692">
        <f t="shared" si="7"/>
        <v>7332.98</v>
      </c>
      <c r="AC75" s="692">
        <f t="shared" si="8"/>
        <v>0</v>
      </c>
      <c r="AD75" s="692">
        <f t="shared" si="9"/>
        <v>0</v>
      </c>
      <c r="AE75" s="38"/>
      <c r="AF75" s="692">
        <f t="shared" si="10"/>
        <v>0</v>
      </c>
      <c r="AG75" s="692">
        <f t="shared" si="11"/>
        <v>0</v>
      </c>
      <c r="AH75" s="692">
        <f t="shared" si="12"/>
        <v>0</v>
      </c>
    </row>
    <row r="76" spans="1:34">
      <c r="A76" s="20"/>
      <c r="B76" s="20" t="s">
        <v>110</v>
      </c>
      <c r="C76" s="667"/>
      <c r="D76" s="68" t="s">
        <v>646</v>
      </c>
      <c r="E76" s="679"/>
      <c r="F76" s="529">
        <f>VLOOKUP(D76,'July 2012 DMV Revenue'!D:T,17,FALSE)</f>
        <v>792</v>
      </c>
      <c r="G76" s="680"/>
      <c r="H76" s="680"/>
      <c r="I76" s="755"/>
      <c r="J76" s="682">
        <f t="shared" si="0"/>
        <v>792</v>
      </c>
      <c r="K76" s="683"/>
      <c r="L76" s="684"/>
      <c r="M76" s="753"/>
      <c r="N76" s="683">
        <v>0</v>
      </c>
      <c r="O76" s="686"/>
      <c r="P76" s="683">
        <v>0</v>
      </c>
      <c r="Q76" s="687">
        <f t="shared" si="1"/>
        <v>0</v>
      </c>
      <c r="R76" s="688">
        <v>346.93</v>
      </c>
      <c r="S76" s="693"/>
      <c r="T76" s="690">
        <f t="shared" si="2"/>
        <v>346.93</v>
      </c>
      <c r="U76" s="683"/>
      <c r="V76" s="474">
        <f t="shared" si="3"/>
        <v>0</v>
      </c>
      <c r="W76" s="474">
        <f t="shared" si="4"/>
        <v>0</v>
      </c>
      <c r="X76" s="475">
        <f t="shared" si="5"/>
        <v>0</v>
      </c>
      <c r="Y76" s="475">
        <v>0</v>
      </c>
      <c r="Z76" s="476">
        <v>0</v>
      </c>
      <c r="AA76" s="38">
        <f t="shared" si="6"/>
        <v>0</v>
      </c>
      <c r="AB76" s="692">
        <f t="shared" si="7"/>
        <v>792</v>
      </c>
      <c r="AC76" s="692">
        <f t="shared" si="8"/>
        <v>0</v>
      </c>
      <c r="AD76" s="692">
        <f t="shared" si="9"/>
        <v>0</v>
      </c>
      <c r="AE76" s="38"/>
      <c r="AF76" s="692">
        <f t="shared" si="10"/>
        <v>0</v>
      </c>
      <c r="AG76" s="692">
        <f t="shared" si="11"/>
        <v>0</v>
      </c>
      <c r="AH76" s="692">
        <f t="shared" si="12"/>
        <v>0</v>
      </c>
    </row>
    <row r="77" spans="1:34">
      <c r="A77" s="20" t="s">
        <v>109</v>
      </c>
      <c r="B77" s="20" t="s">
        <v>109</v>
      </c>
      <c r="C77" s="667" t="s">
        <v>539</v>
      </c>
      <c r="D77" s="68" t="s">
        <v>510</v>
      </c>
      <c r="E77" s="679">
        <f>957.78+802.8</f>
        <v>1760.58</v>
      </c>
      <c r="F77" s="529">
        <f>VLOOKUP(D77,'July 2012 DMV Revenue'!D:T,17,FALSE)</f>
        <v>0</v>
      </c>
      <c r="G77" s="680"/>
      <c r="H77" s="680"/>
      <c r="I77" s="755"/>
      <c r="J77" s="682">
        <f t="shared" si="0"/>
        <v>1760.58</v>
      </c>
      <c r="K77" s="683"/>
      <c r="L77" s="684"/>
      <c r="M77" s="753"/>
      <c r="N77" s="683">
        <v>0</v>
      </c>
      <c r="O77" s="686"/>
      <c r="P77" s="683">
        <v>0</v>
      </c>
      <c r="Q77" s="687">
        <f t="shared" si="1"/>
        <v>0</v>
      </c>
      <c r="R77" s="688">
        <v>0</v>
      </c>
      <c r="S77" s="693"/>
      <c r="T77" s="690">
        <f t="shared" si="2"/>
        <v>0</v>
      </c>
      <c r="U77" s="683"/>
      <c r="V77" s="474">
        <f t="shared" si="3"/>
        <v>0</v>
      </c>
      <c r="W77" s="474">
        <f t="shared" si="4"/>
        <v>0</v>
      </c>
      <c r="X77" s="475">
        <f t="shared" si="5"/>
        <v>0</v>
      </c>
      <c r="Y77" s="475">
        <v>0</v>
      </c>
      <c r="Z77" s="476">
        <v>0</v>
      </c>
      <c r="AA77" s="38">
        <f t="shared" si="6"/>
        <v>0</v>
      </c>
      <c r="AB77" s="692">
        <f t="shared" ref="AB77:AB136" si="41">IF(B77="D",J77,0)</f>
        <v>0</v>
      </c>
      <c r="AC77" s="692">
        <f t="shared" ref="AC77:AC136" si="42">IF(B77="M",J77,0)</f>
        <v>1760.58</v>
      </c>
      <c r="AD77" s="692">
        <f t="shared" ref="AD77:AD136" si="43">IF(B77="V",J77,0)</f>
        <v>0</v>
      </c>
      <c r="AE77" s="38"/>
      <c r="AF77" s="692">
        <f t="shared" ref="AF77:AF136" si="44">IF(B77="D",Q77,0)</f>
        <v>0</v>
      </c>
      <c r="AG77" s="692">
        <f t="shared" ref="AG77:AG136" si="45">IF(B77="M",Q77,0)</f>
        <v>0</v>
      </c>
      <c r="AH77" s="692">
        <f t="shared" ref="AH77:AH136" si="46">IF(B77="V",Q77,0)</f>
        <v>0</v>
      </c>
    </row>
    <row r="78" spans="1:34">
      <c r="A78" s="20"/>
      <c r="B78" s="20" t="s">
        <v>109</v>
      </c>
      <c r="C78" s="667"/>
      <c r="D78" s="68" t="s">
        <v>16</v>
      </c>
      <c r="E78" s="679">
        <v>51.45</v>
      </c>
      <c r="F78" s="529">
        <f>VLOOKUP(D78,'July 2012 DMV Revenue'!D:T,17,FALSE)</f>
        <v>57.77</v>
      </c>
      <c r="G78" s="680"/>
      <c r="H78" s="680"/>
      <c r="I78" s="755"/>
      <c r="J78" s="682">
        <f t="shared" si="0"/>
        <v>109.22</v>
      </c>
      <c r="K78" s="683"/>
      <c r="L78" s="684"/>
      <c r="M78" s="753"/>
      <c r="N78" s="683">
        <v>0</v>
      </c>
      <c r="O78" s="686"/>
      <c r="P78" s="683">
        <v>0</v>
      </c>
      <c r="Q78" s="687">
        <f t="shared" si="1"/>
        <v>0</v>
      </c>
      <c r="R78" s="688">
        <v>37.31</v>
      </c>
      <c r="S78" s="693"/>
      <c r="T78" s="690">
        <f t="shared" si="2"/>
        <v>37.31</v>
      </c>
      <c r="U78" s="683"/>
      <c r="V78" s="474">
        <f t="shared" si="3"/>
        <v>0</v>
      </c>
      <c r="W78" s="474">
        <f t="shared" si="4"/>
        <v>0</v>
      </c>
      <c r="X78" s="475">
        <f t="shared" si="5"/>
        <v>0</v>
      </c>
      <c r="Y78" s="475">
        <v>0</v>
      </c>
      <c r="Z78" s="476">
        <v>0</v>
      </c>
      <c r="AA78" s="38">
        <f t="shared" si="6"/>
        <v>0</v>
      </c>
      <c r="AB78" s="692">
        <f t="shared" si="41"/>
        <v>0</v>
      </c>
      <c r="AC78" s="692">
        <f t="shared" si="42"/>
        <v>109.22</v>
      </c>
      <c r="AD78" s="692">
        <f t="shared" si="43"/>
        <v>0</v>
      </c>
      <c r="AE78" s="38"/>
      <c r="AF78" s="692">
        <f t="shared" si="44"/>
        <v>0</v>
      </c>
      <c r="AG78" s="692">
        <f t="shared" si="45"/>
        <v>0</v>
      </c>
      <c r="AH78" s="692">
        <f t="shared" si="46"/>
        <v>0</v>
      </c>
    </row>
    <row r="79" spans="1:34">
      <c r="A79" s="20"/>
      <c r="B79" s="20" t="s">
        <v>110</v>
      </c>
      <c r="C79" s="667"/>
      <c r="D79" s="68" t="s">
        <v>597</v>
      </c>
      <c r="E79" s="679"/>
      <c r="F79" s="529">
        <f>VLOOKUP(D79,'July 2012 DMV Revenue'!D:T,17,FALSE)</f>
        <v>-6937.4199999999983</v>
      </c>
      <c r="G79" s="680"/>
      <c r="H79" s="680"/>
      <c r="I79" s="755"/>
      <c r="J79" s="682">
        <f t="shared" ref="J79:J134" si="47">SUM(E79:I79)</f>
        <v>-6937.4199999999983</v>
      </c>
      <c r="K79" s="683"/>
      <c r="L79" s="684"/>
      <c r="M79" s="753">
        <v>75000</v>
      </c>
      <c r="N79" s="683">
        <v>0</v>
      </c>
      <c r="O79" s="686"/>
      <c r="P79" s="683">
        <v>0</v>
      </c>
      <c r="Q79" s="687">
        <f t="shared" si="1"/>
        <v>75000</v>
      </c>
      <c r="R79" s="688">
        <v>78823.73</v>
      </c>
      <c r="S79" s="693"/>
      <c r="T79" s="690">
        <f t="shared" ref="T79:T142" si="48">IF(R79="","",R79-Q79)</f>
        <v>3823.7299999999959</v>
      </c>
      <c r="U79" s="683"/>
      <c r="V79" s="474">
        <f t="shared" ref="V79:V140" si="49">IF(B79="D",Q79,0)</f>
        <v>75000</v>
      </c>
      <c r="W79" s="474">
        <f t="shared" ref="W79:W140" si="50">IF(B79="M",Q79,0)</f>
        <v>0</v>
      </c>
      <c r="X79" s="475">
        <f t="shared" ref="X79:X140" si="51">IF(B79="V",Q79,0)</f>
        <v>0</v>
      </c>
      <c r="Y79" s="475">
        <v>0</v>
      </c>
      <c r="Z79" s="476">
        <v>0</v>
      </c>
      <c r="AA79" s="38">
        <f t="shared" ref="AA79:AA140" si="52">(L79+M79)-(V79+W79+X79+Y79+Z79)</f>
        <v>0</v>
      </c>
      <c r="AB79" s="692">
        <f t="shared" si="41"/>
        <v>-6937.4199999999983</v>
      </c>
      <c r="AC79" s="692">
        <f t="shared" si="42"/>
        <v>0</v>
      </c>
      <c r="AD79" s="692">
        <f t="shared" si="43"/>
        <v>0</v>
      </c>
      <c r="AE79" s="38"/>
      <c r="AF79" s="692">
        <f t="shared" si="44"/>
        <v>75000</v>
      </c>
      <c r="AG79" s="692">
        <f t="shared" si="45"/>
        <v>0</v>
      </c>
      <c r="AH79" s="692">
        <f t="shared" si="46"/>
        <v>0</v>
      </c>
    </row>
    <row r="80" spans="1:34" s="232" customFormat="1">
      <c r="A80" s="283"/>
      <c r="B80" s="283" t="s">
        <v>109</v>
      </c>
      <c r="C80" s="667" t="s">
        <v>540</v>
      </c>
      <c r="D80" s="373" t="s">
        <v>410</v>
      </c>
      <c r="E80" s="679"/>
      <c r="F80" s="529">
        <f>VLOOKUP(D80,'July 2012 DMV Revenue'!D:T,17,FALSE)</f>
        <v>0</v>
      </c>
      <c r="G80" s="680"/>
      <c r="H80" s="680"/>
      <c r="I80" s="755"/>
      <c r="J80" s="682">
        <f t="shared" si="47"/>
        <v>0</v>
      </c>
      <c r="K80" s="683"/>
      <c r="L80" s="684"/>
      <c r="M80" s="753"/>
      <c r="N80" s="683">
        <v>0</v>
      </c>
      <c r="O80" s="686"/>
      <c r="P80" s="683">
        <v>0</v>
      </c>
      <c r="Q80" s="687">
        <f t="shared" si="1"/>
        <v>0</v>
      </c>
      <c r="R80" s="688">
        <v>2965.31</v>
      </c>
      <c r="S80" s="693"/>
      <c r="T80" s="690">
        <f t="shared" si="48"/>
        <v>2965.31</v>
      </c>
      <c r="U80" s="683"/>
      <c r="V80" s="474">
        <f t="shared" si="49"/>
        <v>0</v>
      </c>
      <c r="W80" s="474">
        <f t="shared" si="50"/>
        <v>0</v>
      </c>
      <c r="X80" s="475">
        <f t="shared" si="51"/>
        <v>0</v>
      </c>
      <c r="Y80" s="475">
        <v>0</v>
      </c>
      <c r="Z80" s="476">
        <v>0</v>
      </c>
      <c r="AA80" s="38">
        <f t="shared" si="52"/>
        <v>0</v>
      </c>
      <c r="AB80" s="692">
        <f t="shared" si="41"/>
        <v>0</v>
      </c>
      <c r="AC80" s="692">
        <f t="shared" si="42"/>
        <v>0</v>
      </c>
      <c r="AD80" s="692">
        <f t="shared" si="43"/>
        <v>0</v>
      </c>
      <c r="AE80" s="38"/>
      <c r="AF80" s="692">
        <f t="shared" si="44"/>
        <v>0</v>
      </c>
      <c r="AG80" s="692">
        <f t="shared" si="45"/>
        <v>0</v>
      </c>
      <c r="AH80" s="692">
        <f t="shared" si="46"/>
        <v>0</v>
      </c>
    </row>
    <row r="81" spans="1:34" s="232" customFormat="1">
      <c r="A81" s="283"/>
      <c r="B81" s="283" t="s">
        <v>109</v>
      </c>
      <c r="C81" s="667" t="s">
        <v>540</v>
      </c>
      <c r="D81" s="373" t="s">
        <v>413</v>
      </c>
      <c r="E81" s="679"/>
      <c r="F81" s="529">
        <f>VLOOKUP(D81,'July 2012 DMV Revenue'!D:T,17,FALSE)</f>
        <v>0</v>
      </c>
      <c r="G81" s="680"/>
      <c r="H81" s="680"/>
      <c r="I81" s="755"/>
      <c r="J81" s="682">
        <f t="shared" si="47"/>
        <v>0</v>
      </c>
      <c r="K81" s="683"/>
      <c r="L81" s="684"/>
      <c r="M81" s="753"/>
      <c r="N81" s="683">
        <v>0</v>
      </c>
      <c r="O81" s="686"/>
      <c r="P81" s="683">
        <v>0</v>
      </c>
      <c r="Q81" s="687">
        <f t="shared" si="1"/>
        <v>0</v>
      </c>
      <c r="R81" s="688">
        <v>0</v>
      </c>
      <c r="S81" s="693"/>
      <c r="T81" s="690">
        <f t="shared" si="48"/>
        <v>0</v>
      </c>
      <c r="U81" s="683"/>
      <c r="V81" s="474">
        <f t="shared" si="49"/>
        <v>0</v>
      </c>
      <c r="W81" s="474">
        <f t="shared" si="50"/>
        <v>0</v>
      </c>
      <c r="X81" s="475">
        <f t="shared" si="51"/>
        <v>0</v>
      </c>
      <c r="Y81" s="475">
        <v>0</v>
      </c>
      <c r="Z81" s="476">
        <v>0</v>
      </c>
      <c r="AA81" s="38">
        <f t="shared" si="52"/>
        <v>0</v>
      </c>
      <c r="AB81" s="692">
        <f t="shared" si="41"/>
        <v>0</v>
      </c>
      <c r="AC81" s="692">
        <f t="shared" si="42"/>
        <v>0</v>
      </c>
      <c r="AD81" s="692">
        <f t="shared" si="43"/>
        <v>0</v>
      </c>
      <c r="AE81" s="38"/>
      <c r="AF81" s="692">
        <f t="shared" si="44"/>
        <v>0</v>
      </c>
      <c r="AG81" s="692">
        <f t="shared" si="45"/>
        <v>0</v>
      </c>
      <c r="AH81" s="692">
        <f t="shared" si="46"/>
        <v>0</v>
      </c>
    </row>
    <row r="82" spans="1:34" s="232" customFormat="1">
      <c r="A82" s="283"/>
      <c r="B82" s="283" t="s">
        <v>109</v>
      </c>
      <c r="C82" s="667" t="s">
        <v>540</v>
      </c>
      <c r="D82" s="373" t="s">
        <v>620</v>
      </c>
      <c r="E82" s="679"/>
      <c r="F82" s="529">
        <f>VLOOKUP(D82,'July 2012 DMV Revenue'!D:T,17,FALSE)</f>
        <v>0</v>
      </c>
      <c r="G82" s="680"/>
      <c r="H82" s="680"/>
      <c r="I82" s="755"/>
      <c r="J82" s="682">
        <f t="shared" si="47"/>
        <v>0</v>
      </c>
      <c r="K82" s="683"/>
      <c r="L82" s="684"/>
      <c r="M82" s="753"/>
      <c r="N82" s="683">
        <v>0</v>
      </c>
      <c r="O82" s="686"/>
      <c r="P82" s="683">
        <v>0</v>
      </c>
      <c r="Q82" s="687">
        <f t="shared" si="1"/>
        <v>0</v>
      </c>
      <c r="R82" s="688">
        <v>0</v>
      </c>
      <c r="S82" s="693"/>
      <c r="T82" s="690">
        <f t="shared" si="48"/>
        <v>0</v>
      </c>
      <c r="U82" s="683"/>
      <c r="V82" s="474">
        <f t="shared" si="49"/>
        <v>0</v>
      </c>
      <c r="W82" s="474">
        <f t="shared" si="50"/>
        <v>0</v>
      </c>
      <c r="X82" s="475">
        <f t="shared" si="51"/>
        <v>0</v>
      </c>
      <c r="Y82" s="475">
        <v>0</v>
      </c>
      <c r="Z82" s="476">
        <v>0</v>
      </c>
      <c r="AA82" s="38">
        <f t="shared" si="52"/>
        <v>0</v>
      </c>
      <c r="AB82" s="692">
        <f t="shared" si="41"/>
        <v>0</v>
      </c>
      <c r="AC82" s="692">
        <f t="shared" si="42"/>
        <v>0</v>
      </c>
      <c r="AD82" s="692">
        <f t="shared" si="43"/>
        <v>0</v>
      </c>
      <c r="AE82" s="38"/>
      <c r="AF82" s="692">
        <f t="shared" si="44"/>
        <v>0</v>
      </c>
      <c r="AG82" s="692">
        <f t="shared" si="45"/>
        <v>0</v>
      </c>
      <c r="AH82" s="692">
        <f t="shared" si="46"/>
        <v>0</v>
      </c>
    </row>
    <row r="83" spans="1:34">
      <c r="A83" s="20"/>
      <c r="B83" s="20" t="s">
        <v>110</v>
      </c>
      <c r="C83" s="667" t="s">
        <v>541</v>
      </c>
      <c r="D83" s="351" t="s">
        <v>507</v>
      </c>
      <c r="E83" s="679"/>
      <c r="F83" s="529">
        <f>VLOOKUP(D83,'July 2012 DMV Revenue'!D:T,17,FALSE)</f>
        <v>263.24</v>
      </c>
      <c r="G83" s="680"/>
      <c r="H83" s="680"/>
      <c r="I83" s="755"/>
      <c r="J83" s="682">
        <f t="shared" si="47"/>
        <v>263.24</v>
      </c>
      <c r="K83" s="683"/>
      <c r="L83" s="684"/>
      <c r="M83" s="753"/>
      <c r="N83" s="683">
        <v>0</v>
      </c>
      <c r="O83" s="686"/>
      <c r="P83" s="683">
        <v>0</v>
      </c>
      <c r="Q83" s="687">
        <f t="shared" si="1"/>
        <v>0</v>
      </c>
      <c r="R83" s="688">
        <v>0</v>
      </c>
      <c r="S83" s="693"/>
      <c r="T83" s="690">
        <f t="shared" si="48"/>
        <v>0</v>
      </c>
      <c r="U83" s="683"/>
      <c r="V83" s="474">
        <f t="shared" si="49"/>
        <v>0</v>
      </c>
      <c r="W83" s="474">
        <f t="shared" si="50"/>
        <v>0</v>
      </c>
      <c r="X83" s="475">
        <f t="shared" si="51"/>
        <v>0</v>
      </c>
      <c r="Y83" s="475">
        <v>0</v>
      </c>
      <c r="Z83" s="476">
        <v>0</v>
      </c>
      <c r="AA83" s="38">
        <f t="shared" si="52"/>
        <v>0</v>
      </c>
      <c r="AB83" s="692">
        <f t="shared" si="41"/>
        <v>263.24</v>
      </c>
      <c r="AC83" s="692">
        <f t="shared" si="42"/>
        <v>0</v>
      </c>
      <c r="AD83" s="692">
        <f t="shared" si="43"/>
        <v>0</v>
      </c>
      <c r="AE83" s="38"/>
      <c r="AF83" s="692">
        <f t="shared" si="44"/>
        <v>0</v>
      </c>
      <c r="AG83" s="692">
        <f t="shared" si="45"/>
        <v>0</v>
      </c>
      <c r="AH83" s="692">
        <f t="shared" si="46"/>
        <v>0</v>
      </c>
    </row>
    <row r="84" spans="1:34">
      <c r="A84" s="20"/>
      <c r="B84" s="20" t="s">
        <v>110</v>
      </c>
      <c r="C84" s="667" t="s">
        <v>541</v>
      </c>
      <c r="D84" s="351" t="s">
        <v>506</v>
      </c>
      <c r="E84" s="679"/>
      <c r="F84" s="529">
        <f>VLOOKUP(D84,'July 2012 DMV Revenue'!D:T,17,FALSE)</f>
        <v>151.09</v>
      </c>
      <c r="G84" s="680"/>
      <c r="H84" s="680"/>
      <c r="I84" s="755"/>
      <c r="J84" s="682">
        <f t="shared" si="47"/>
        <v>151.09</v>
      </c>
      <c r="K84" s="683"/>
      <c r="L84" s="684"/>
      <c r="M84" s="753"/>
      <c r="N84" s="683">
        <v>0</v>
      </c>
      <c r="O84" s="686"/>
      <c r="P84" s="683">
        <v>0</v>
      </c>
      <c r="Q84" s="687">
        <f t="shared" si="1"/>
        <v>0</v>
      </c>
      <c r="R84" s="688">
        <v>0</v>
      </c>
      <c r="S84" s="693"/>
      <c r="T84" s="690">
        <f t="shared" si="48"/>
        <v>0</v>
      </c>
      <c r="U84" s="683"/>
      <c r="V84" s="474">
        <f t="shared" si="49"/>
        <v>0</v>
      </c>
      <c r="W84" s="474">
        <f t="shared" si="50"/>
        <v>0</v>
      </c>
      <c r="X84" s="475">
        <f t="shared" si="51"/>
        <v>0</v>
      </c>
      <c r="Y84" s="475">
        <v>0</v>
      </c>
      <c r="Z84" s="476">
        <v>0</v>
      </c>
      <c r="AA84" s="38">
        <f t="shared" si="52"/>
        <v>0</v>
      </c>
      <c r="AB84" s="692">
        <f t="shared" si="41"/>
        <v>151.09</v>
      </c>
      <c r="AC84" s="692">
        <f t="shared" si="42"/>
        <v>0</v>
      </c>
      <c r="AD84" s="692">
        <f t="shared" si="43"/>
        <v>0</v>
      </c>
      <c r="AE84" s="38"/>
      <c r="AF84" s="692">
        <f t="shared" si="44"/>
        <v>0</v>
      </c>
      <c r="AG84" s="692">
        <f t="shared" si="45"/>
        <v>0</v>
      </c>
      <c r="AH84" s="692">
        <f t="shared" si="46"/>
        <v>0</v>
      </c>
    </row>
    <row r="85" spans="1:34">
      <c r="A85" s="20"/>
      <c r="B85" s="20" t="s">
        <v>110</v>
      </c>
      <c r="C85" s="667" t="s">
        <v>542</v>
      </c>
      <c r="D85" s="68" t="s">
        <v>305</v>
      </c>
      <c r="E85" s="679">
        <v>327.2</v>
      </c>
      <c r="F85" s="529">
        <f>VLOOKUP(D85,'July 2012 DMV Revenue'!D:T,17,FALSE)</f>
        <v>594.27</v>
      </c>
      <c r="G85" s="680"/>
      <c r="H85" s="680"/>
      <c r="I85" s="755"/>
      <c r="J85" s="682">
        <f t="shared" si="47"/>
        <v>921.47</v>
      </c>
      <c r="K85" s="683"/>
      <c r="L85" s="684"/>
      <c r="M85" s="753"/>
      <c r="N85" s="683">
        <v>0</v>
      </c>
      <c r="O85" s="686"/>
      <c r="P85" s="683">
        <v>0</v>
      </c>
      <c r="Q85" s="687">
        <f t="shared" si="1"/>
        <v>0</v>
      </c>
      <c r="R85" s="688">
        <v>0</v>
      </c>
      <c r="S85" s="693"/>
      <c r="T85" s="690">
        <f t="shared" si="48"/>
        <v>0</v>
      </c>
      <c r="U85" s="683"/>
      <c r="V85" s="474">
        <f t="shared" si="49"/>
        <v>0</v>
      </c>
      <c r="W85" s="474">
        <f t="shared" si="50"/>
        <v>0</v>
      </c>
      <c r="X85" s="475">
        <f t="shared" si="51"/>
        <v>0</v>
      </c>
      <c r="Y85" s="475">
        <v>0</v>
      </c>
      <c r="Z85" s="476">
        <v>0</v>
      </c>
      <c r="AA85" s="38">
        <f t="shared" si="52"/>
        <v>0</v>
      </c>
      <c r="AB85" s="692">
        <f t="shared" si="41"/>
        <v>921.47</v>
      </c>
      <c r="AC85" s="692">
        <f t="shared" si="42"/>
        <v>0</v>
      </c>
      <c r="AD85" s="692">
        <f t="shared" si="43"/>
        <v>0</v>
      </c>
      <c r="AE85" s="38"/>
      <c r="AF85" s="692">
        <f t="shared" si="44"/>
        <v>0</v>
      </c>
      <c r="AG85" s="692">
        <f t="shared" si="45"/>
        <v>0</v>
      </c>
      <c r="AH85" s="692">
        <f t="shared" si="46"/>
        <v>0</v>
      </c>
    </row>
    <row r="86" spans="1:34">
      <c r="A86" s="20"/>
      <c r="B86" s="20" t="s">
        <v>110</v>
      </c>
      <c r="C86" s="667" t="s">
        <v>543</v>
      </c>
      <c r="D86" s="68" t="s">
        <v>199</v>
      </c>
      <c r="E86" s="679">
        <v>-373.1</v>
      </c>
      <c r="F86" s="529">
        <f>VLOOKUP(D86,'July 2012 DMV Revenue'!D:T,17,FALSE)</f>
        <v>286.39999999999998</v>
      </c>
      <c r="G86" s="680"/>
      <c r="H86" s="680"/>
      <c r="I86" s="755"/>
      <c r="J86" s="682">
        <f t="shared" si="47"/>
        <v>-86.700000000000045</v>
      </c>
      <c r="K86" s="683"/>
      <c r="L86" s="684"/>
      <c r="M86" s="753"/>
      <c r="N86" s="683">
        <v>0</v>
      </c>
      <c r="O86" s="686"/>
      <c r="P86" s="683">
        <v>0</v>
      </c>
      <c r="Q86" s="687">
        <f t="shared" si="1"/>
        <v>0</v>
      </c>
      <c r="R86" s="688">
        <v>0</v>
      </c>
      <c r="S86" s="693"/>
      <c r="T86" s="690">
        <f t="shared" si="48"/>
        <v>0</v>
      </c>
      <c r="U86" s="683"/>
      <c r="V86" s="474">
        <f t="shared" si="49"/>
        <v>0</v>
      </c>
      <c r="W86" s="474">
        <f t="shared" si="50"/>
        <v>0</v>
      </c>
      <c r="X86" s="475">
        <f t="shared" si="51"/>
        <v>0</v>
      </c>
      <c r="Y86" s="475">
        <v>0</v>
      </c>
      <c r="Z86" s="476">
        <v>0</v>
      </c>
      <c r="AA86" s="38">
        <f t="shared" si="52"/>
        <v>0</v>
      </c>
      <c r="AB86" s="692">
        <f t="shared" si="41"/>
        <v>-86.700000000000045</v>
      </c>
      <c r="AC86" s="692">
        <f t="shared" si="42"/>
        <v>0</v>
      </c>
      <c r="AD86" s="692">
        <f t="shared" si="43"/>
        <v>0</v>
      </c>
      <c r="AE86" s="38"/>
      <c r="AF86" s="692">
        <f t="shared" si="44"/>
        <v>0</v>
      </c>
      <c r="AG86" s="692">
        <f t="shared" si="45"/>
        <v>0</v>
      </c>
      <c r="AH86" s="692">
        <f t="shared" si="46"/>
        <v>0</v>
      </c>
    </row>
    <row r="87" spans="1:34">
      <c r="A87" s="20"/>
      <c r="B87" s="20" t="s">
        <v>110</v>
      </c>
      <c r="C87" s="667" t="s">
        <v>543</v>
      </c>
      <c r="D87" s="68" t="s">
        <v>200</v>
      </c>
      <c r="E87" s="679">
        <v>-237.84</v>
      </c>
      <c r="F87" s="529">
        <f>VLOOKUP(D87,'July 2012 DMV Revenue'!D:T,17,FALSE)</f>
        <v>45.5</v>
      </c>
      <c r="G87" s="680"/>
      <c r="H87" s="680"/>
      <c r="I87" s="755"/>
      <c r="J87" s="682">
        <f t="shared" si="47"/>
        <v>-192.34</v>
      </c>
      <c r="K87" s="683"/>
      <c r="L87" s="684"/>
      <c r="M87" s="753"/>
      <c r="N87" s="683">
        <v>0</v>
      </c>
      <c r="O87" s="686"/>
      <c r="P87" s="683">
        <v>0</v>
      </c>
      <c r="Q87" s="687">
        <f t="shared" si="1"/>
        <v>0</v>
      </c>
      <c r="R87" s="688">
        <v>0</v>
      </c>
      <c r="S87" s="693"/>
      <c r="T87" s="690">
        <f t="shared" si="48"/>
        <v>0</v>
      </c>
      <c r="U87" s="683"/>
      <c r="V87" s="474">
        <f t="shared" si="49"/>
        <v>0</v>
      </c>
      <c r="W87" s="474">
        <f t="shared" si="50"/>
        <v>0</v>
      </c>
      <c r="X87" s="475">
        <f t="shared" si="51"/>
        <v>0</v>
      </c>
      <c r="Y87" s="475">
        <v>0</v>
      </c>
      <c r="Z87" s="476">
        <v>0</v>
      </c>
      <c r="AA87" s="38">
        <f t="shared" si="52"/>
        <v>0</v>
      </c>
      <c r="AB87" s="692">
        <f t="shared" si="41"/>
        <v>-192.34</v>
      </c>
      <c r="AC87" s="692">
        <f t="shared" si="42"/>
        <v>0</v>
      </c>
      <c r="AD87" s="692">
        <f t="shared" si="43"/>
        <v>0</v>
      </c>
      <c r="AE87" s="38"/>
      <c r="AF87" s="692">
        <f t="shared" si="44"/>
        <v>0</v>
      </c>
      <c r="AG87" s="692">
        <f t="shared" si="45"/>
        <v>0</v>
      </c>
      <c r="AH87" s="692">
        <f t="shared" si="46"/>
        <v>0</v>
      </c>
    </row>
    <row r="88" spans="1:34">
      <c r="A88" s="20"/>
      <c r="B88" s="20" t="s">
        <v>110</v>
      </c>
      <c r="C88" s="667" t="s">
        <v>543</v>
      </c>
      <c r="D88" s="68" t="s">
        <v>201</v>
      </c>
      <c r="E88" s="679">
        <v>-22.67</v>
      </c>
      <c r="F88" s="529">
        <f>VLOOKUP(D88,'July 2012 DMV Revenue'!D:T,17,FALSE)</f>
        <v>32.1</v>
      </c>
      <c r="G88" s="680"/>
      <c r="H88" s="680"/>
      <c r="I88" s="755"/>
      <c r="J88" s="682">
        <f t="shared" si="47"/>
        <v>9.43</v>
      </c>
      <c r="K88" s="683"/>
      <c r="L88" s="684"/>
      <c r="M88" s="753"/>
      <c r="N88" s="683">
        <v>0</v>
      </c>
      <c r="O88" s="686"/>
      <c r="P88" s="683">
        <v>0</v>
      </c>
      <c r="Q88" s="687">
        <f t="shared" si="1"/>
        <v>0</v>
      </c>
      <c r="R88" s="688">
        <v>0</v>
      </c>
      <c r="S88" s="693"/>
      <c r="T88" s="690">
        <f t="shared" si="48"/>
        <v>0</v>
      </c>
      <c r="U88" s="683"/>
      <c r="V88" s="474">
        <f t="shared" si="49"/>
        <v>0</v>
      </c>
      <c r="W88" s="474">
        <f t="shared" si="50"/>
        <v>0</v>
      </c>
      <c r="X88" s="475">
        <f t="shared" si="51"/>
        <v>0</v>
      </c>
      <c r="Y88" s="475">
        <v>0</v>
      </c>
      <c r="Z88" s="476">
        <v>0</v>
      </c>
      <c r="AA88" s="38">
        <f t="shared" si="52"/>
        <v>0</v>
      </c>
      <c r="AB88" s="692">
        <f t="shared" si="41"/>
        <v>9.43</v>
      </c>
      <c r="AC88" s="692">
        <f t="shared" si="42"/>
        <v>0</v>
      </c>
      <c r="AD88" s="692">
        <f t="shared" si="43"/>
        <v>0</v>
      </c>
      <c r="AE88" s="38"/>
      <c r="AF88" s="692">
        <f t="shared" si="44"/>
        <v>0</v>
      </c>
      <c r="AG88" s="692">
        <f t="shared" si="45"/>
        <v>0</v>
      </c>
      <c r="AH88" s="692">
        <f t="shared" si="46"/>
        <v>0</v>
      </c>
    </row>
    <row r="89" spans="1:34">
      <c r="A89" s="20" t="s">
        <v>97</v>
      </c>
      <c r="B89" s="20" t="s">
        <v>114</v>
      </c>
      <c r="C89" s="667"/>
      <c r="D89" s="68" t="s">
        <v>387</v>
      </c>
      <c r="E89" s="679">
        <f>4904.56+10117.96+18470.11</f>
        <v>33492.630000000005</v>
      </c>
      <c r="F89" s="529">
        <f>VLOOKUP(D89,'July 2012 DMV Revenue'!D:T,17,FALSE)</f>
        <v>-18084.400000000001</v>
      </c>
      <c r="G89" s="680"/>
      <c r="H89" s="680"/>
      <c r="I89" s="755"/>
      <c r="J89" s="682">
        <f t="shared" si="47"/>
        <v>15408.230000000003</v>
      </c>
      <c r="K89" s="683"/>
      <c r="L89" s="684"/>
      <c r="M89" s="753">
        <v>10000</v>
      </c>
      <c r="N89" s="683">
        <v>0</v>
      </c>
      <c r="O89" s="686"/>
      <c r="P89" s="683">
        <v>0</v>
      </c>
      <c r="Q89" s="687">
        <f t="shared" si="1"/>
        <v>10000</v>
      </c>
      <c r="R89" s="688">
        <v>13408.72</v>
      </c>
      <c r="S89" s="693"/>
      <c r="T89" s="690">
        <f t="shared" si="48"/>
        <v>3408.7199999999993</v>
      </c>
      <c r="U89" s="683"/>
      <c r="V89" s="474">
        <f t="shared" si="49"/>
        <v>0</v>
      </c>
      <c r="W89" s="474">
        <f t="shared" si="50"/>
        <v>0</v>
      </c>
      <c r="X89" s="475">
        <f t="shared" si="51"/>
        <v>10000</v>
      </c>
      <c r="Y89" s="475">
        <v>0</v>
      </c>
      <c r="Z89" s="476">
        <v>0</v>
      </c>
      <c r="AA89" s="38">
        <f t="shared" si="52"/>
        <v>0</v>
      </c>
      <c r="AB89" s="692">
        <f t="shared" si="41"/>
        <v>0</v>
      </c>
      <c r="AC89" s="692">
        <f t="shared" si="42"/>
        <v>0</v>
      </c>
      <c r="AD89" s="692">
        <f t="shared" si="43"/>
        <v>15408.230000000003</v>
      </c>
      <c r="AE89" s="38"/>
      <c r="AF89" s="692">
        <f t="shared" si="44"/>
        <v>0</v>
      </c>
      <c r="AG89" s="692">
        <f t="shared" si="45"/>
        <v>0</v>
      </c>
      <c r="AH89" s="692">
        <f t="shared" si="46"/>
        <v>10000</v>
      </c>
    </row>
    <row r="90" spans="1:34">
      <c r="A90" s="20" t="s">
        <v>97</v>
      </c>
      <c r="B90" s="20" t="s">
        <v>114</v>
      </c>
      <c r="C90" s="667"/>
      <c r="D90" s="68" t="s">
        <v>482</v>
      </c>
      <c r="E90" s="679"/>
      <c r="F90" s="529">
        <f>VLOOKUP(D90,'July 2012 DMV Revenue'!D:T,17,FALSE)</f>
        <v>0</v>
      </c>
      <c r="G90" s="680"/>
      <c r="H90" s="680"/>
      <c r="I90" s="755"/>
      <c r="J90" s="682">
        <f t="shared" si="47"/>
        <v>0</v>
      </c>
      <c r="K90" s="683"/>
      <c r="L90" s="684"/>
      <c r="M90" s="753"/>
      <c r="N90" s="683"/>
      <c r="O90" s="686"/>
      <c r="P90" s="683"/>
      <c r="Q90" s="687">
        <f t="shared" si="1"/>
        <v>0</v>
      </c>
      <c r="R90" s="688">
        <v>0</v>
      </c>
      <c r="S90" s="693"/>
      <c r="T90" s="690">
        <f t="shared" si="48"/>
        <v>0</v>
      </c>
      <c r="U90" s="683"/>
      <c r="V90" s="474">
        <f t="shared" si="49"/>
        <v>0</v>
      </c>
      <c r="W90" s="474">
        <f t="shared" si="50"/>
        <v>0</v>
      </c>
      <c r="X90" s="475">
        <f t="shared" si="51"/>
        <v>0</v>
      </c>
      <c r="Y90" s="475">
        <v>0</v>
      </c>
      <c r="Z90" s="476">
        <v>0</v>
      </c>
      <c r="AA90" s="38">
        <f t="shared" si="52"/>
        <v>0</v>
      </c>
      <c r="AB90" s="692">
        <f t="shared" si="41"/>
        <v>0</v>
      </c>
      <c r="AC90" s="692">
        <f t="shared" si="42"/>
        <v>0</v>
      </c>
      <c r="AD90" s="692">
        <f t="shared" si="43"/>
        <v>0</v>
      </c>
      <c r="AE90" s="38"/>
      <c r="AF90" s="692">
        <f t="shared" si="44"/>
        <v>0</v>
      </c>
      <c r="AG90" s="692">
        <f t="shared" si="45"/>
        <v>0</v>
      </c>
      <c r="AH90" s="692">
        <f t="shared" si="46"/>
        <v>0</v>
      </c>
    </row>
    <row r="91" spans="1:34">
      <c r="A91" s="20" t="s">
        <v>109</v>
      </c>
      <c r="B91" s="20" t="s">
        <v>109</v>
      </c>
      <c r="C91" s="667" t="s">
        <v>544</v>
      </c>
      <c r="D91" s="68" t="s">
        <v>383</v>
      </c>
      <c r="E91" s="679"/>
      <c r="F91" s="529">
        <f>VLOOKUP(D91,'July 2012 DMV Revenue'!D:T,17,FALSE)</f>
        <v>0</v>
      </c>
      <c r="G91" s="680"/>
      <c r="H91" s="680"/>
      <c r="I91" s="755"/>
      <c r="J91" s="682">
        <f t="shared" si="47"/>
        <v>0</v>
      </c>
      <c r="K91" s="683"/>
      <c r="L91" s="684"/>
      <c r="M91" s="753"/>
      <c r="N91" s="683">
        <v>0</v>
      </c>
      <c r="O91" s="686"/>
      <c r="P91" s="683">
        <v>0</v>
      </c>
      <c r="Q91" s="687">
        <f t="shared" si="1"/>
        <v>0</v>
      </c>
      <c r="R91" s="688">
        <v>397.76</v>
      </c>
      <c r="S91" s="693"/>
      <c r="T91" s="690">
        <f t="shared" si="48"/>
        <v>397.76</v>
      </c>
      <c r="U91" s="683"/>
      <c r="V91" s="474">
        <f t="shared" si="49"/>
        <v>0</v>
      </c>
      <c r="W91" s="474">
        <f t="shared" si="50"/>
        <v>0</v>
      </c>
      <c r="X91" s="475">
        <f t="shared" si="51"/>
        <v>0</v>
      </c>
      <c r="Y91" s="475">
        <v>0</v>
      </c>
      <c r="Z91" s="476">
        <v>0</v>
      </c>
      <c r="AA91" s="38">
        <f t="shared" si="52"/>
        <v>0</v>
      </c>
      <c r="AB91" s="692">
        <f t="shared" si="41"/>
        <v>0</v>
      </c>
      <c r="AC91" s="692">
        <f t="shared" si="42"/>
        <v>0</v>
      </c>
      <c r="AD91" s="692">
        <f t="shared" si="43"/>
        <v>0</v>
      </c>
      <c r="AE91" s="38"/>
      <c r="AF91" s="692">
        <f t="shared" si="44"/>
        <v>0</v>
      </c>
      <c r="AG91" s="692">
        <f t="shared" si="45"/>
        <v>0</v>
      </c>
      <c r="AH91" s="692">
        <f t="shared" si="46"/>
        <v>0</v>
      </c>
    </row>
    <row r="92" spans="1:34">
      <c r="A92" s="21" t="s">
        <v>211</v>
      </c>
      <c r="B92" s="21" t="s">
        <v>109</v>
      </c>
      <c r="C92" s="666" t="s">
        <v>545</v>
      </c>
      <c r="D92" s="68" t="s">
        <v>181</v>
      </c>
      <c r="E92" s="679"/>
      <c r="F92" s="529">
        <f>VLOOKUP(D92,'July 2012 DMV Revenue'!D:T,17,FALSE)</f>
        <v>-10000</v>
      </c>
      <c r="G92" s="680"/>
      <c r="H92" s="680"/>
      <c r="I92" s="755"/>
      <c r="J92" s="682">
        <f t="shared" si="47"/>
        <v>-10000</v>
      </c>
      <c r="K92" s="683"/>
      <c r="L92" s="684"/>
      <c r="M92" s="753">
        <v>12000</v>
      </c>
      <c r="N92" s="683">
        <v>0</v>
      </c>
      <c r="O92" s="686"/>
      <c r="P92" s="683">
        <v>0</v>
      </c>
      <c r="Q92" s="687">
        <f t="shared" si="1"/>
        <v>12000</v>
      </c>
      <c r="R92" s="688">
        <v>0</v>
      </c>
      <c r="S92" s="693"/>
      <c r="T92" s="690">
        <f t="shared" si="48"/>
        <v>-12000</v>
      </c>
      <c r="U92" s="683"/>
      <c r="V92" s="474">
        <f t="shared" si="49"/>
        <v>0</v>
      </c>
      <c r="W92" s="474">
        <f t="shared" si="50"/>
        <v>12000</v>
      </c>
      <c r="X92" s="475">
        <f t="shared" si="51"/>
        <v>0</v>
      </c>
      <c r="Y92" s="475">
        <v>0</v>
      </c>
      <c r="Z92" s="476">
        <v>0</v>
      </c>
      <c r="AA92" s="38">
        <f t="shared" si="52"/>
        <v>0</v>
      </c>
      <c r="AB92" s="692">
        <f t="shared" si="41"/>
        <v>0</v>
      </c>
      <c r="AC92" s="692">
        <f t="shared" si="42"/>
        <v>-10000</v>
      </c>
      <c r="AD92" s="692">
        <f t="shared" si="43"/>
        <v>0</v>
      </c>
      <c r="AE92" s="38"/>
      <c r="AF92" s="692">
        <f t="shared" si="44"/>
        <v>0</v>
      </c>
      <c r="AG92" s="692">
        <f t="shared" si="45"/>
        <v>12000</v>
      </c>
      <c r="AH92" s="692">
        <f t="shared" si="46"/>
        <v>0</v>
      </c>
    </row>
    <row r="93" spans="1:34">
      <c r="A93" s="21" t="s">
        <v>211</v>
      </c>
      <c r="B93" s="21" t="s">
        <v>110</v>
      </c>
      <c r="C93" s="666"/>
      <c r="D93" s="68" t="s">
        <v>504</v>
      </c>
      <c r="E93" s="679"/>
      <c r="F93" s="529">
        <f>VLOOKUP(D93,'July 2012 DMV Revenue'!D:T,17,FALSE)</f>
        <v>0</v>
      </c>
      <c r="G93" s="680"/>
      <c r="H93" s="680"/>
      <c r="I93" s="755"/>
      <c r="J93" s="682">
        <f t="shared" si="47"/>
        <v>0</v>
      </c>
      <c r="K93" s="683"/>
      <c r="L93" s="684"/>
      <c r="M93" s="753"/>
      <c r="N93" s="683">
        <v>0</v>
      </c>
      <c r="O93" s="686"/>
      <c r="P93" s="683">
        <v>0</v>
      </c>
      <c r="Q93" s="687">
        <f t="shared" si="1"/>
        <v>0</v>
      </c>
      <c r="R93" s="688">
        <v>0</v>
      </c>
      <c r="S93" s="693"/>
      <c r="T93" s="690">
        <f t="shared" si="48"/>
        <v>0</v>
      </c>
      <c r="U93" s="683"/>
      <c r="V93" s="474">
        <f t="shared" si="49"/>
        <v>0</v>
      </c>
      <c r="W93" s="474">
        <f t="shared" si="50"/>
        <v>0</v>
      </c>
      <c r="X93" s="475">
        <f t="shared" si="51"/>
        <v>0</v>
      </c>
      <c r="Y93" s="475">
        <v>0</v>
      </c>
      <c r="Z93" s="476">
        <v>0</v>
      </c>
      <c r="AA93" s="38">
        <f t="shared" si="52"/>
        <v>0</v>
      </c>
      <c r="AB93" s="692">
        <f t="shared" si="41"/>
        <v>0</v>
      </c>
      <c r="AC93" s="692">
        <f t="shared" si="42"/>
        <v>0</v>
      </c>
      <c r="AD93" s="692">
        <f t="shared" si="43"/>
        <v>0</v>
      </c>
      <c r="AE93" s="38"/>
      <c r="AF93" s="692">
        <f t="shared" si="44"/>
        <v>0</v>
      </c>
      <c r="AG93" s="692">
        <f t="shared" si="45"/>
        <v>0</v>
      </c>
      <c r="AH93" s="692">
        <f t="shared" si="46"/>
        <v>0</v>
      </c>
    </row>
    <row r="94" spans="1:34">
      <c r="A94" s="20" t="s">
        <v>211</v>
      </c>
      <c r="B94" s="20" t="s">
        <v>109</v>
      </c>
      <c r="C94" s="667" t="s">
        <v>546</v>
      </c>
      <c r="D94" s="68" t="s">
        <v>142</v>
      </c>
      <c r="E94" s="679"/>
      <c r="F94" s="529">
        <f>VLOOKUP(D94,'July 2012 DMV Revenue'!D:T,17,FALSE)</f>
        <v>0</v>
      </c>
      <c r="G94" s="680"/>
      <c r="H94" s="680"/>
      <c r="I94" s="755"/>
      <c r="J94" s="682">
        <f t="shared" si="47"/>
        <v>0</v>
      </c>
      <c r="K94" s="683"/>
      <c r="L94" s="684"/>
      <c r="M94" s="753"/>
      <c r="N94" s="683">
        <v>0</v>
      </c>
      <c r="O94" s="686"/>
      <c r="P94" s="683">
        <v>0</v>
      </c>
      <c r="Q94" s="687">
        <f t="shared" si="1"/>
        <v>0</v>
      </c>
      <c r="R94" s="688">
        <v>0</v>
      </c>
      <c r="S94" s="693"/>
      <c r="T94" s="690">
        <f t="shared" si="48"/>
        <v>0</v>
      </c>
      <c r="U94" s="697"/>
      <c r="V94" s="474">
        <f t="shared" si="49"/>
        <v>0</v>
      </c>
      <c r="W94" s="474">
        <f t="shared" si="50"/>
        <v>0</v>
      </c>
      <c r="X94" s="475">
        <f t="shared" si="51"/>
        <v>0</v>
      </c>
      <c r="Y94" s="475">
        <v>0</v>
      </c>
      <c r="Z94" s="476">
        <v>0</v>
      </c>
      <c r="AA94" s="38">
        <f t="shared" si="52"/>
        <v>0</v>
      </c>
      <c r="AB94" s="692">
        <f t="shared" si="41"/>
        <v>0</v>
      </c>
      <c r="AC94" s="692">
        <f t="shared" si="42"/>
        <v>0</v>
      </c>
      <c r="AD94" s="692">
        <f t="shared" si="43"/>
        <v>0</v>
      </c>
      <c r="AE94" s="38"/>
      <c r="AF94" s="692">
        <f t="shared" si="44"/>
        <v>0</v>
      </c>
      <c r="AG94" s="692">
        <f t="shared" si="45"/>
        <v>0</v>
      </c>
      <c r="AH94" s="692">
        <f t="shared" si="46"/>
        <v>0</v>
      </c>
    </row>
    <row r="95" spans="1:34">
      <c r="A95" s="20" t="s">
        <v>211</v>
      </c>
      <c r="B95" s="20" t="s">
        <v>109</v>
      </c>
      <c r="C95" s="667" t="s">
        <v>546</v>
      </c>
      <c r="D95" s="68" t="s">
        <v>143</v>
      </c>
      <c r="E95" s="679"/>
      <c r="F95" s="529">
        <f>VLOOKUP(D95,'July 2012 DMV Revenue'!D:T,17,FALSE)</f>
        <v>0</v>
      </c>
      <c r="G95" s="680"/>
      <c r="H95" s="680"/>
      <c r="I95" s="755"/>
      <c r="J95" s="682">
        <f t="shared" si="47"/>
        <v>0</v>
      </c>
      <c r="K95" s="683"/>
      <c r="L95" s="684"/>
      <c r="M95" s="753"/>
      <c r="N95" s="683">
        <v>0</v>
      </c>
      <c r="O95" s="686"/>
      <c r="P95" s="683">
        <v>0</v>
      </c>
      <c r="Q95" s="687">
        <f t="shared" si="1"/>
        <v>0</v>
      </c>
      <c r="R95" s="688">
        <v>0</v>
      </c>
      <c r="S95" s="693"/>
      <c r="T95" s="690">
        <f t="shared" si="48"/>
        <v>0</v>
      </c>
      <c r="U95" s="697"/>
      <c r="V95" s="474">
        <f t="shared" si="49"/>
        <v>0</v>
      </c>
      <c r="W95" s="474">
        <f t="shared" si="50"/>
        <v>0</v>
      </c>
      <c r="X95" s="475">
        <f t="shared" si="51"/>
        <v>0</v>
      </c>
      <c r="Y95" s="475">
        <v>0</v>
      </c>
      <c r="Z95" s="476">
        <v>0</v>
      </c>
      <c r="AA95" s="38">
        <f t="shared" si="52"/>
        <v>0</v>
      </c>
      <c r="AB95" s="692">
        <f t="shared" si="41"/>
        <v>0</v>
      </c>
      <c r="AC95" s="692">
        <f t="shared" si="42"/>
        <v>0</v>
      </c>
      <c r="AD95" s="692">
        <f t="shared" si="43"/>
        <v>0</v>
      </c>
      <c r="AE95" s="38"/>
      <c r="AF95" s="692">
        <f t="shared" si="44"/>
        <v>0</v>
      </c>
      <c r="AG95" s="692">
        <f t="shared" si="45"/>
        <v>0</v>
      </c>
      <c r="AH95" s="692">
        <f t="shared" si="46"/>
        <v>0</v>
      </c>
    </row>
    <row r="96" spans="1:34">
      <c r="A96" s="20" t="s">
        <v>109</v>
      </c>
      <c r="B96" s="20" t="s">
        <v>109</v>
      </c>
      <c r="C96" s="667"/>
      <c r="D96" s="68" t="s">
        <v>498</v>
      </c>
      <c r="E96" s="679"/>
      <c r="F96" s="529">
        <f>VLOOKUP(D96,'July 2012 DMV Revenue'!D:T,17,FALSE)</f>
        <v>0</v>
      </c>
      <c r="G96" s="680"/>
      <c r="H96" s="680"/>
      <c r="I96" s="755"/>
      <c r="J96" s="682">
        <f t="shared" si="47"/>
        <v>0</v>
      </c>
      <c r="K96" s="683"/>
      <c r="L96" s="684"/>
      <c r="M96" s="753"/>
      <c r="N96" s="683">
        <v>0</v>
      </c>
      <c r="O96" s="686"/>
      <c r="P96" s="683">
        <v>0</v>
      </c>
      <c r="Q96" s="687">
        <f t="shared" si="1"/>
        <v>0</v>
      </c>
      <c r="R96" s="688">
        <v>0</v>
      </c>
      <c r="S96" s="693"/>
      <c r="T96" s="690">
        <f t="shared" si="48"/>
        <v>0</v>
      </c>
      <c r="U96" s="683"/>
      <c r="V96" s="474">
        <f t="shared" si="49"/>
        <v>0</v>
      </c>
      <c r="W96" s="474">
        <f t="shared" si="50"/>
        <v>0</v>
      </c>
      <c r="X96" s="475">
        <f t="shared" si="51"/>
        <v>0</v>
      </c>
      <c r="Y96" s="475">
        <v>0</v>
      </c>
      <c r="Z96" s="476">
        <v>0</v>
      </c>
      <c r="AA96" s="38">
        <f t="shared" si="52"/>
        <v>0</v>
      </c>
      <c r="AB96" s="692">
        <f t="shared" si="41"/>
        <v>0</v>
      </c>
      <c r="AC96" s="692">
        <f t="shared" si="42"/>
        <v>0</v>
      </c>
      <c r="AD96" s="692">
        <f t="shared" si="43"/>
        <v>0</v>
      </c>
      <c r="AE96" s="38"/>
      <c r="AF96" s="692">
        <f t="shared" si="44"/>
        <v>0</v>
      </c>
      <c r="AG96" s="692">
        <f t="shared" si="45"/>
        <v>0</v>
      </c>
      <c r="AH96" s="692">
        <f t="shared" si="46"/>
        <v>0</v>
      </c>
    </row>
    <row r="97" spans="1:34">
      <c r="A97" s="21"/>
      <c r="B97" s="21" t="s">
        <v>110</v>
      </c>
      <c r="C97" s="666"/>
      <c r="D97" s="68" t="s">
        <v>20</v>
      </c>
      <c r="E97" s="679"/>
      <c r="F97" s="529">
        <f>VLOOKUP(D97,'July 2012 DMV Revenue'!D:T,17,FALSE)</f>
        <v>0</v>
      </c>
      <c r="G97" s="680"/>
      <c r="H97" s="680"/>
      <c r="I97" s="755"/>
      <c r="J97" s="682">
        <f t="shared" si="47"/>
        <v>0</v>
      </c>
      <c r="K97" s="683"/>
      <c r="L97" s="684"/>
      <c r="M97" s="753"/>
      <c r="N97" s="683">
        <v>0</v>
      </c>
      <c r="O97" s="686"/>
      <c r="P97" s="683">
        <v>0</v>
      </c>
      <c r="Q97" s="687">
        <f t="shared" si="1"/>
        <v>0</v>
      </c>
      <c r="R97" s="688">
        <v>0</v>
      </c>
      <c r="S97" s="693"/>
      <c r="T97" s="690">
        <f t="shared" si="48"/>
        <v>0</v>
      </c>
      <c r="U97" s="683"/>
      <c r="V97" s="474">
        <f t="shared" si="49"/>
        <v>0</v>
      </c>
      <c r="W97" s="474">
        <f t="shared" si="50"/>
        <v>0</v>
      </c>
      <c r="X97" s="475">
        <f t="shared" si="51"/>
        <v>0</v>
      </c>
      <c r="Y97" s="475">
        <v>0</v>
      </c>
      <c r="Z97" s="476">
        <v>0</v>
      </c>
      <c r="AA97" s="38">
        <f t="shared" si="52"/>
        <v>0</v>
      </c>
      <c r="AB97" s="692">
        <f t="shared" si="41"/>
        <v>0</v>
      </c>
      <c r="AC97" s="692">
        <f t="shared" si="42"/>
        <v>0</v>
      </c>
      <c r="AD97" s="692">
        <f t="shared" si="43"/>
        <v>0</v>
      </c>
      <c r="AE97" s="38"/>
      <c r="AF97" s="692">
        <f t="shared" si="44"/>
        <v>0</v>
      </c>
      <c r="AG97" s="692">
        <f t="shared" si="45"/>
        <v>0</v>
      </c>
      <c r="AH97" s="692">
        <f t="shared" si="46"/>
        <v>0</v>
      </c>
    </row>
    <row r="98" spans="1:34">
      <c r="A98" s="21"/>
      <c r="B98" s="21" t="s">
        <v>110</v>
      </c>
      <c r="C98" s="666" t="s">
        <v>547</v>
      </c>
      <c r="D98" s="68" t="s">
        <v>203</v>
      </c>
      <c r="E98" s="679"/>
      <c r="F98" s="529">
        <f>VLOOKUP(D98,'July 2012 DMV Revenue'!D:T,17,FALSE)</f>
        <v>0</v>
      </c>
      <c r="G98" s="680"/>
      <c r="H98" s="680"/>
      <c r="I98" s="755"/>
      <c r="J98" s="682">
        <f t="shared" si="47"/>
        <v>0</v>
      </c>
      <c r="K98" s="683"/>
      <c r="L98" s="684"/>
      <c r="M98" s="753"/>
      <c r="N98" s="683">
        <v>0</v>
      </c>
      <c r="O98" s="686"/>
      <c r="P98" s="683">
        <v>0</v>
      </c>
      <c r="Q98" s="687">
        <f t="shared" si="1"/>
        <v>0</v>
      </c>
      <c r="R98" s="688">
        <v>0</v>
      </c>
      <c r="S98" s="693"/>
      <c r="T98" s="690">
        <f t="shared" si="48"/>
        <v>0</v>
      </c>
      <c r="U98" s="683"/>
      <c r="V98" s="474">
        <f t="shared" si="49"/>
        <v>0</v>
      </c>
      <c r="W98" s="474">
        <f t="shared" si="50"/>
        <v>0</v>
      </c>
      <c r="X98" s="475">
        <f t="shared" si="51"/>
        <v>0</v>
      </c>
      <c r="Y98" s="475">
        <v>0</v>
      </c>
      <c r="Z98" s="476">
        <v>0</v>
      </c>
      <c r="AA98" s="38">
        <f t="shared" si="52"/>
        <v>0</v>
      </c>
      <c r="AB98" s="692">
        <f t="shared" si="41"/>
        <v>0</v>
      </c>
      <c r="AC98" s="692">
        <f t="shared" si="42"/>
        <v>0</v>
      </c>
      <c r="AD98" s="692">
        <f t="shared" si="43"/>
        <v>0</v>
      </c>
      <c r="AE98" s="38"/>
      <c r="AF98" s="692">
        <f t="shared" si="44"/>
        <v>0</v>
      </c>
      <c r="AG98" s="692">
        <f t="shared" si="45"/>
        <v>0</v>
      </c>
      <c r="AH98" s="692">
        <f t="shared" si="46"/>
        <v>0</v>
      </c>
    </row>
    <row r="99" spans="1:34">
      <c r="A99" s="21"/>
      <c r="B99" s="21" t="s">
        <v>110</v>
      </c>
      <c r="C99" s="666" t="s">
        <v>547</v>
      </c>
      <c r="D99" s="68" t="s">
        <v>202</v>
      </c>
      <c r="E99" s="679"/>
      <c r="F99" s="529">
        <f>VLOOKUP(D99,'July 2012 DMV Revenue'!D:T,17,FALSE)</f>
        <v>0</v>
      </c>
      <c r="G99" s="680"/>
      <c r="H99" s="680"/>
      <c r="I99" s="755"/>
      <c r="J99" s="682">
        <f t="shared" si="47"/>
        <v>0</v>
      </c>
      <c r="K99" s="683"/>
      <c r="L99" s="684"/>
      <c r="M99" s="753"/>
      <c r="N99" s="683">
        <v>0</v>
      </c>
      <c r="O99" s="686"/>
      <c r="P99" s="683">
        <v>0</v>
      </c>
      <c r="Q99" s="687">
        <f t="shared" si="1"/>
        <v>0</v>
      </c>
      <c r="R99" s="688">
        <v>0</v>
      </c>
      <c r="S99" s="693"/>
      <c r="T99" s="690">
        <f t="shared" si="48"/>
        <v>0</v>
      </c>
      <c r="U99" s="683"/>
      <c r="V99" s="474">
        <f t="shared" si="49"/>
        <v>0</v>
      </c>
      <c r="W99" s="474">
        <f t="shared" si="50"/>
        <v>0</v>
      </c>
      <c r="X99" s="475">
        <f t="shared" si="51"/>
        <v>0</v>
      </c>
      <c r="Y99" s="475">
        <v>0</v>
      </c>
      <c r="Z99" s="476">
        <v>0</v>
      </c>
      <c r="AA99" s="38">
        <f t="shared" si="52"/>
        <v>0</v>
      </c>
      <c r="AB99" s="692">
        <f t="shared" si="41"/>
        <v>0</v>
      </c>
      <c r="AC99" s="692">
        <f t="shared" si="42"/>
        <v>0</v>
      </c>
      <c r="AD99" s="692">
        <f t="shared" si="43"/>
        <v>0</v>
      </c>
      <c r="AE99" s="38"/>
      <c r="AF99" s="692">
        <f t="shared" si="44"/>
        <v>0</v>
      </c>
      <c r="AG99" s="692">
        <f t="shared" si="45"/>
        <v>0</v>
      </c>
      <c r="AH99" s="692">
        <f t="shared" si="46"/>
        <v>0</v>
      </c>
    </row>
    <row r="100" spans="1:34">
      <c r="A100" s="20" t="s">
        <v>211</v>
      </c>
      <c r="B100" s="20" t="s">
        <v>110</v>
      </c>
      <c r="C100" s="667"/>
      <c r="D100" s="373" t="s">
        <v>466</v>
      </c>
      <c r="E100" s="679"/>
      <c r="F100" s="529">
        <f>VLOOKUP(D100,'July 2012 DMV Revenue'!D:T,17,FALSE)</f>
        <v>0</v>
      </c>
      <c r="G100" s="680"/>
      <c r="H100" s="680"/>
      <c r="I100" s="770">
        <v>1187.1300000000001</v>
      </c>
      <c r="J100" s="682">
        <f t="shared" si="47"/>
        <v>1187.1300000000001</v>
      </c>
      <c r="K100" s="683"/>
      <c r="L100" s="684"/>
      <c r="M100" s="753"/>
      <c r="N100" s="683">
        <v>0</v>
      </c>
      <c r="O100" s="686"/>
      <c r="P100" s="683">
        <v>0</v>
      </c>
      <c r="Q100" s="687">
        <f t="shared" si="1"/>
        <v>0</v>
      </c>
      <c r="R100" s="688">
        <v>0</v>
      </c>
      <c r="S100" s="693"/>
      <c r="T100" s="690">
        <f t="shared" si="48"/>
        <v>0</v>
      </c>
      <c r="U100" s="683"/>
      <c r="V100" s="474">
        <f t="shared" si="49"/>
        <v>0</v>
      </c>
      <c r="W100" s="474">
        <f t="shared" si="50"/>
        <v>0</v>
      </c>
      <c r="X100" s="475">
        <f t="shared" si="51"/>
        <v>0</v>
      </c>
      <c r="Y100" s="475">
        <v>0</v>
      </c>
      <c r="Z100" s="476">
        <v>0</v>
      </c>
      <c r="AA100" s="38">
        <f t="shared" si="52"/>
        <v>0</v>
      </c>
      <c r="AB100" s="692">
        <f t="shared" si="41"/>
        <v>1187.1300000000001</v>
      </c>
      <c r="AC100" s="692">
        <f t="shared" si="42"/>
        <v>0</v>
      </c>
      <c r="AD100" s="692">
        <f t="shared" si="43"/>
        <v>0</v>
      </c>
      <c r="AE100" s="38"/>
      <c r="AF100" s="692">
        <f t="shared" si="44"/>
        <v>0</v>
      </c>
      <c r="AG100" s="692">
        <f t="shared" si="45"/>
        <v>0</v>
      </c>
      <c r="AH100" s="692">
        <f t="shared" si="46"/>
        <v>0</v>
      </c>
    </row>
    <row r="101" spans="1:34">
      <c r="A101" s="20"/>
      <c r="B101" s="20" t="s">
        <v>110</v>
      </c>
      <c r="C101" s="667"/>
      <c r="D101" s="373" t="s">
        <v>627</v>
      </c>
      <c r="E101" s="679"/>
      <c r="F101" s="529">
        <f>VLOOKUP(D101,'July 2012 DMV Revenue'!D:T,17,FALSE)</f>
        <v>0</v>
      </c>
      <c r="G101" s="680"/>
      <c r="H101" s="680"/>
      <c r="I101" s="755"/>
      <c r="J101" s="682">
        <f t="shared" si="47"/>
        <v>0</v>
      </c>
      <c r="K101" s="683"/>
      <c r="L101" s="684"/>
      <c r="M101" s="753"/>
      <c r="N101" s="683">
        <v>0</v>
      </c>
      <c r="O101" s="686"/>
      <c r="P101" s="683">
        <v>0</v>
      </c>
      <c r="Q101" s="687">
        <f t="shared" si="1"/>
        <v>0</v>
      </c>
      <c r="R101" s="688">
        <v>179.37</v>
      </c>
      <c r="S101" s="693"/>
      <c r="T101" s="690">
        <f t="shared" si="48"/>
        <v>179.37</v>
      </c>
      <c r="U101" s="683"/>
      <c r="V101" s="474">
        <f t="shared" si="49"/>
        <v>0</v>
      </c>
      <c r="W101" s="474">
        <f t="shared" si="50"/>
        <v>0</v>
      </c>
      <c r="X101" s="475">
        <f t="shared" si="51"/>
        <v>0</v>
      </c>
      <c r="Y101" s="475">
        <v>0</v>
      </c>
      <c r="Z101" s="476">
        <v>0</v>
      </c>
      <c r="AA101" s="38">
        <f t="shared" si="52"/>
        <v>0</v>
      </c>
      <c r="AB101" s="692">
        <f t="shared" si="41"/>
        <v>0</v>
      </c>
      <c r="AC101" s="692">
        <f t="shared" si="42"/>
        <v>0</v>
      </c>
      <c r="AD101" s="692">
        <f t="shared" si="43"/>
        <v>0</v>
      </c>
      <c r="AE101" s="38"/>
      <c r="AF101" s="692">
        <f t="shared" si="44"/>
        <v>0</v>
      </c>
      <c r="AG101" s="692">
        <f t="shared" si="45"/>
        <v>0</v>
      </c>
      <c r="AH101" s="692">
        <f t="shared" si="46"/>
        <v>0</v>
      </c>
    </row>
    <row r="102" spans="1:34" s="232" customFormat="1">
      <c r="A102" s="283"/>
      <c r="B102" s="283" t="s">
        <v>110</v>
      </c>
      <c r="C102" s="667"/>
      <c r="D102" s="123" t="s">
        <v>386</v>
      </c>
      <c r="E102" s="679"/>
      <c r="F102" s="529">
        <f>VLOOKUP(D102,'July 2012 DMV Revenue'!D:T,17,FALSE)</f>
        <v>0</v>
      </c>
      <c r="G102" s="680"/>
      <c r="H102" s="680"/>
      <c r="I102" s="770">
        <v>2141578.2799999998</v>
      </c>
      <c r="J102" s="682">
        <f t="shared" si="47"/>
        <v>2141578.2799999998</v>
      </c>
      <c r="K102" s="683"/>
      <c r="L102" s="684"/>
      <c r="M102" s="753"/>
      <c r="N102" s="683">
        <v>0</v>
      </c>
      <c r="O102" s="686"/>
      <c r="P102" s="683">
        <v>0</v>
      </c>
      <c r="Q102" s="687">
        <f t="shared" si="1"/>
        <v>0</v>
      </c>
      <c r="R102" s="688">
        <v>0</v>
      </c>
      <c r="S102" s="693"/>
      <c r="T102" s="690">
        <f t="shared" si="48"/>
        <v>0</v>
      </c>
      <c r="U102" s="683"/>
      <c r="V102" s="474">
        <f t="shared" si="49"/>
        <v>0</v>
      </c>
      <c r="W102" s="474">
        <f t="shared" si="50"/>
        <v>0</v>
      </c>
      <c r="X102" s="475">
        <f t="shared" si="51"/>
        <v>0</v>
      </c>
      <c r="Y102" s="475">
        <v>0</v>
      </c>
      <c r="Z102" s="476">
        <v>0</v>
      </c>
      <c r="AA102" s="38">
        <f t="shared" si="52"/>
        <v>0</v>
      </c>
      <c r="AB102" s="692">
        <f t="shared" si="41"/>
        <v>2141578.2799999998</v>
      </c>
      <c r="AC102" s="692">
        <f t="shared" si="42"/>
        <v>0</v>
      </c>
      <c r="AD102" s="692">
        <f t="shared" si="43"/>
        <v>0</v>
      </c>
      <c r="AE102" s="38"/>
      <c r="AF102" s="692">
        <f t="shared" si="44"/>
        <v>0</v>
      </c>
      <c r="AG102" s="692">
        <f t="shared" si="45"/>
        <v>0</v>
      </c>
      <c r="AH102" s="692">
        <f t="shared" si="46"/>
        <v>0</v>
      </c>
    </row>
    <row r="103" spans="1:34" s="232" customFormat="1">
      <c r="A103" s="283"/>
      <c r="B103" s="283" t="s">
        <v>110</v>
      </c>
      <c r="C103" s="667"/>
      <c r="D103" s="123" t="s">
        <v>331</v>
      </c>
      <c r="E103" s="679"/>
      <c r="F103" s="529">
        <f>VLOOKUP(D103,'July 2012 DMV Revenue'!D:T,17,FALSE)</f>
        <v>0</v>
      </c>
      <c r="G103" s="680"/>
      <c r="H103" s="680"/>
      <c r="I103" s="770">
        <v>20476.990000000002</v>
      </c>
      <c r="J103" s="682">
        <f t="shared" si="47"/>
        <v>20476.990000000002</v>
      </c>
      <c r="K103" s="683"/>
      <c r="L103" s="684"/>
      <c r="M103" s="753"/>
      <c r="N103" s="683">
        <v>0</v>
      </c>
      <c r="O103" s="686"/>
      <c r="P103" s="683">
        <v>0</v>
      </c>
      <c r="Q103" s="687">
        <f t="shared" si="1"/>
        <v>0</v>
      </c>
      <c r="R103" s="688">
        <v>0</v>
      </c>
      <c r="S103" s="693"/>
      <c r="T103" s="690">
        <f t="shared" si="48"/>
        <v>0</v>
      </c>
      <c r="U103" s="683"/>
      <c r="V103" s="474">
        <f t="shared" si="49"/>
        <v>0</v>
      </c>
      <c r="W103" s="474">
        <f t="shared" si="50"/>
        <v>0</v>
      </c>
      <c r="X103" s="475">
        <f t="shared" si="51"/>
        <v>0</v>
      </c>
      <c r="Y103" s="475">
        <v>0</v>
      </c>
      <c r="Z103" s="476">
        <v>0</v>
      </c>
      <c r="AA103" s="38">
        <f t="shared" si="52"/>
        <v>0</v>
      </c>
      <c r="AB103" s="692">
        <f t="shared" si="41"/>
        <v>20476.990000000002</v>
      </c>
      <c r="AC103" s="692">
        <f t="shared" si="42"/>
        <v>0</v>
      </c>
      <c r="AD103" s="692">
        <f t="shared" si="43"/>
        <v>0</v>
      </c>
      <c r="AE103" s="38"/>
      <c r="AF103" s="692">
        <f t="shared" si="44"/>
        <v>0</v>
      </c>
      <c r="AG103" s="692">
        <f t="shared" si="45"/>
        <v>0</v>
      </c>
      <c r="AH103" s="692">
        <f t="shared" si="46"/>
        <v>0</v>
      </c>
    </row>
    <row r="104" spans="1:34" s="232" customFormat="1">
      <c r="A104" s="283"/>
      <c r="B104" s="283" t="s">
        <v>110</v>
      </c>
      <c r="C104" s="667"/>
      <c r="D104" s="413" t="s">
        <v>332</v>
      </c>
      <c r="E104" s="679"/>
      <c r="F104" s="529">
        <f>VLOOKUP(D104,'July 2012 DMV Revenue'!D:T,17,FALSE)</f>
        <v>0</v>
      </c>
      <c r="G104" s="680"/>
      <c r="H104" s="680"/>
      <c r="I104" s="770">
        <f>1066310.69+11313.71</f>
        <v>1077624.3999999999</v>
      </c>
      <c r="J104" s="682">
        <f t="shared" si="47"/>
        <v>1077624.3999999999</v>
      </c>
      <c r="K104" s="683"/>
      <c r="L104" s="684"/>
      <c r="M104" s="753"/>
      <c r="N104" s="683">
        <v>0</v>
      </c>
      <c r="O104" s="686"/>
      <c r="P104" s="683">
        <v>0</v>
      </c>
      <c r="Q104" s="687">
        <f t="shared" si="1"/>
        <v>0</v>
      </c>
      <c r="R104" s="688">
        <v>0</v>
      </c>
      <c r="S104" s="693"/>
      <c r="T104" s="690">
        <f t="shared" si="48"/>
        <v>0</v>
      </c>
      <c r="U104" s="683"/>
      <c r="V104" s="474">
        <f t="shared" si="49"/>
        <v>0</v>
      </c>
      <c r="W104" s="474">
        <f t="shared" si="50"/>
        <v>0</v>
      </c>
      <c r="X104" s="475">
        <f t="shared" si="51"/>
        <v>0</v>
      </c>
      <c r="Y104" s="475">
        <v>0</v>
      </c>
      <c r="Z104" s="476">
        <v>0</v>
      </c>
      <c r="AA104" s="38">
        <f t="shared" si="52"/>
        <v>0</v>
      </c>
      <c r="AB104" s="692">
        <f t="shared" si="41"/>
        <v>1077624.3999999999</v>
      </c>
      <c r="AC104" s="692">
        <f t="shared" si="42"/>
        <v>0</v>
      </c>
      <c r="AD104" s="692">
        <f t="shared" si="43"/>
        <v>0</v>
      </c>
      <c r="AE104" s="38"/>
      <c r="AF104" s="692">
        <f t="shared" si="44"/>
        <v>0</v>
      </c>
      <c r="AG104" s="692">
        <f t="shared" si="45"/>
        <v>0</v>
      </c>
      <c r="AH104" s="692">
        <f t="shared" si="46"/>
        <v>0</v>
      </c>
    </row>
    <row r="105" spans="1:34" s="232" customFormat="1">
      <c r="A105" s="283"/>
      <c r="B105" s="283" t="s">
        <v>110</v>
      </c>
      <c r="C105" s="667"/>
      <c r="D105" s="123" t="s">
        <v>333</v>
      </c>
      <c r="E105" s="679"/>
      <c r="F105" s="529">
        <f>VLOOKUP(D105,'July 2012 DMV Revenue'!D:T,17,FALSE)</f>
        <v>0</v>
      </c>
      <c r="G105" s="680"/>
      <c r="H105" s="680"/>
      <c r="I105" s="770">
        <v>876.24</v>
      </c>
      <c r="J105" s="682">
        <f t="shared" si="47"/>
        <v>876.24</v>
      </c>
      <c r="K105" s="683"/>
      <c r="L105" s="684"/>
      <c r="M105" s="753"/>
      <c r="N105" s="683">
        <v>0</v>
      </c>
      <c r="O105" s="686"/>
      <c r="P105" s="683">
        <v>0</v>
      </c>
      <c r="Q105" s="687">
        <f t="shared" si="1"/>
        <v>0</v>
      </c>
      <c r="R105" s="688">
        <v>0</v>
      </c>
      <c r="S105" s="693"/>
      <c r="T105" s="690">
        <f t="shared" si="48"/>
        <v>0</v>
      </c>
      <c r="U105" s="683"/>
      <c r="V105" s="474">
        <f t="shared" si="49"/>
        <v>0</v>
      </c>
      <c r="W105" s="474">
        <f t="shared" si="50"/>
        <v>0</v>
      </c>
      <c r="X105" s="475">
        <f t="shared" si="51"/>
        <v>0</v>
      </c>
      <c r="Y105" s="475">
        <v>0</v>
      </c>
      <c r="Z105" s="476">
        <v>0</v>
      </c>
      <c r="AA105" s="38">
        <f t="shared" si="52"/>
        <v>0</v>
      </c>
      <c r="AB105" s="692">
        <f t="shared" si="41"/>
        <v>876.24</v>
      </c>
      <c r="AC105" s="692">
        <f t="shared" si="42"/>
        <v>0</v>
      </c>
      <c r="AD105" s="692">
        <f t="shared" si="43"/>
        <v>0</v>
      </c>
      <c r="AE105" s="38"/>
      <c r="AF105" s="692">
        <f t="shared" si="44"/>
        <v>0</v>
      </c>
      <c r="AG105" s="692">
        <f t="shared" si="45"/>
        <v>0</v>
      </c>
      <c r="AH105" s="692">
        <f t="shared" si="46"/>
        <v>0</v>
      </c>
    </row>
    <row r="106" spans="1:34" s="232" customFormat="1">
      <c r="A106" s="283"/>
      <c r="B106" s="283" t="s">
        <v>110</v>
      </c>
      <c r="C106" s="667"/>
      <c r="D106" s="123" t="s">
        <v>334</v>
      </c>
      <c r="E106" s="679"/>
      <c r="F106" s="529">
        <f>VLOOKUP(D106,'July 2012 DMV Revenue'!D:T,17,FALSE)</f>
        <v>0</v>
      </c>
      <c r="G106" s="680"/>
      <c r="H106" s="680"/>
      <c r="I106" s="770">
        <v>252001.78</v>
      </c>
      <c r="J106" s="682">
        <f t="shared" si="47"/>
        <v>252001.78</v>
      </c>
      <c r="K106" s="683"/>
      <c r="L106" s="684"/>
      <c r="M106" s="753"/>
      <c r="N106" s="683">
        <v>0</v>
      </c>
      <c r="O106" s="686"/>
      <c r="P106" s="683">
        <v>0</v>
      </c>
      <c r="Q106" s="687">
        <f t="shared" si="1"/>
        <v>0</v>
      </c>
      <c r="R106" s="688">
        <v>0</v>
      </c>
      <c r="S106" s="693"/>
      <c r="T106" s="690">
        <f t="shared" si="48"/>
        <v>0</v>
      </c>
      <c r="U106" s="683"/>
      <c r="V106" s="474">
        <f t="shared" si="49"/>
        <v>0</v>
      </c>
      <c r="W106" s="474">
        <f t="shared" si="50"/>
        <v>0</v>
      </c>
      <c r="X106" s="475">
        <f t="shared" si="51"/>
        <v>0</v>
      </c>
      <c r="Y106" s="475">
        <v>0</v>
      </c>
      <c r="Z106" s="476">
        <v>0</v>
      </c>
      <c r="AA106" s="38">
        <f t="shared" si="52"/>
        <v>0</v>
      </c>
      <c r="AB106" s="692">
        <f t="shared" si="41"/>
        <v>252001.78</v>
      </c>
      <c r="AC106" s="692">
        <f t="shared" si="42"/>
        <v>0</v>
      </c>
      <c r="AD106" s="692">
        <f t="shared" si="43"/>
        <v>0</v>
      </c>
      <c r="AE106" s="38"/>
      <c r="AF106" s="692">
        <f t="shared" si="44"/>
        <v>0</v>
      </c>
      <c r="AG106" s="692">
        <f t="shared" si="45"/>
        <v>0</v>
      </c>
      <c r="AH106" s="692">
        <f t="shared" si="46"/>
        <v>0</v>
      </c>
    </row>
    <row r="107" spans="1:34" s="232" customFormat="1">
      <c r="A107" s="283"/>
      <c r="B107" s="283" t="s">
        <v>110</v>
      </c>
      <c r="C107" s="667"/>
      <c r="D107" s="123" t="s">
        <v>335</v>
      </c>
      <c r="E107" s="679"/>
      <c r="F107" s="529">
        <f>VLOOKUP(D107,'July 2012 DMV Revenue'!D:T,17,FALSE)</f>
        <v>0</v>
      </c>
      <c r="G107" s="680"/>
      <c r="H107" s="680"/>
      <c r="I107" s="770">
        <v>586.45000000000005</v>
      </c>
      <c r="J107" s="682">
        <f t="shared" si="47"/>
        <v>586.45000000000005</v>
      </c>
      <c r="K107" s="683"/>
      <c r="L107" s="684"/>
      <c r="M107" s="753"/>
      <c r="N107" s="683">
        <v>0</v>
      </c>
      <c r="O107" s="686"/>
      <c r="P107" s="683">
        <v>0</v>
      </c>
      <c r="Q107" s="687">
        <f t="shared" si="1"/>
        <v>0</v>
      </c>
      <c r="R107" s="688">
        <v>0</v>
      </c>
      <c r="S107" s="693"/>
      <c r="T107" s="690">
        <f t="shared" si="48"/>
        <v>0</v>
      </c>
      <c r="U107" s="683"/>
      <c r="V107" s="474">
        <f t="shared" si="49"/>
        <v>0</v>
      </c>
      <c r="W107" s="474">
        <f t="shared" si="50"/>
        <v>0</v>
      </c>
      <c r="X107" s="475">
        <f t="shared" si="51"/>
        <v>0</v>
      </c>
      <c r="Y107" s="475">
        <v>0</v>
      </c>
      <c r="Z107" s="476">
        <v>0</v>
      </c>
      <c r="AA107" s="38">
        <f t="shared" si="52"/>
        <v>0</v>
      </c>
      <c r="AB107" s="692">
        <f t="shared" si="41"/>
        <v>586.45000000000005</v>
      </c>
      <c r="AC107" s="692">
        <f t="shared" si="42"/>
        <v>0</v>
      </c>
      <c r="AD107" s="692">
        <f t="shared" si="43"/>
        <v>0</v>
      </c>
      <c r="AE107" s="38"/>
      <c r="AF107" s="692">
        <f t="shared" si="44"/>
        <v>0</v>
      </c>
      <c r="AG107" s="692">
        <f t="shared" si="45"/>
        <v>0</v>
      </c>
      <c r="AH107" s="692">
        <f t="shared" si="46"/>
        <v>0</v>
      </c>
    </row>
    <row r="108" spans="1:34" s="232" customFormat="1">
      <c r="A108" s="283"/>
      <c r="B108" s="283" t="s">
        <v>110</v>
      </c>
      <c r="C108" s="667"/>
      <c r="D108" s="123" t="s">
        <v>336</v>
      </c>
      <c r="E108" s="679"/>
      <c r="F108" s="529">
        <f>VLOOKUP(D108,'July 2012 DMV Revenue'!D:T,17,FALSE)</f>
        <v>0</v>
      </c>
      <c r="G108" s="680"/>
      <c r="H108" s="680"/>
      <c r="I108" s="770">
        <v>331404.56</v>
      </c>
      <c r="J108" s="682">
        <f t="shared" si="47"/>
        <v>331404.56</v>
      </c>
      <c r="K108" s="683"/>
      <c r="L108" s="684"/>
      <c r="M108" s="753"/>
      <c r="N108" s="683">
        <v>0</v>
      </c>
      <c r="O108" s="686"/>
      <c r="P108" s="683">
        <v>0</v>
      </c>
      <c r="Q108" s="687">
        <f t="shared" si="1"/>
        <v>0</v>
      </c>
      <c r="R108" s="688">
        <v>0</v>
      </c>
      <c r="S108" s="693"/>
      <c r="T108" s="690">
        <f t="shared" si="48"/>
        <v>0</v>
      </c>
      <c r="U108" s="683"/>
      <c r="V108" s="474">
        <f t="shared" si="49"/>
        <v>0</v>
      </c>
      <c r="W108" s="474">
        <f t="shared" si="50"/>
        <v>0</v>
      </c>
      <c r="X108" s="475">
        <f t="shared" si="51"/>
        <v>0</v>
      </c>
      <c r="Y108" s="475">
        <v>0</v>
      </c>
      <c r="Z108" s="476">
        <v>0</v>
      </c>
      <c r="AA108" s="38">
        <f t="shared" si="52"/>
        <v>0</v>
      </c>
      <c r="AB108" s="692">
        <f t="shared" si="41"/>
        <v>331404.56</v>
      </c>
      <c r="AC108" s="692">
        <f t="shared" si="42"/>
        <v>0</v>
      </c>
      <c r="AD108" s="692">
        <f t="shared" si="43"/>
        <v>0</v>
      </c>
      <c r="AE108" s="38"/>
      <c r="AF108" s="692">
        <f t="shared" si="44"/>
        <v>0</v>
      </c>
      <c r="AG108" s="692">
        <f t="shared" si="45"/>
        <v>0</v>
      </c>
      <c r="AH108" s="692">
        <f t="shared" si="46"/>
        <v>0</v>
      </c>
    </row>
    <row r="109" spans="1:34" s="232" customFormat="1">
      <c r="A109" s="283"/>
      <c r="B109" s="283" t="s">
        <v>110</v>
      </c>
      <c r="C109" s="667"/>
      <c r="D109" s="123" t="s">
        <v>337</v>
      </c>
      <c r="E109" s="679"/>
      <c r="F109" s="529">
        <f>VLOOKUP(D109,'July 2012 DMV Revenue'!D:T,17,FALSE)</f>
        <v>0</v>
      </c>
      <c r="G109" s="680"/>
      <c r="H109" s="680"/>
      <c r="I109" s="770">
        <v>850.82</v>
      </c>
      <c r="J109" s="682">
        <f t="shared" si="47"/>
        <v>850.82</v>
      </c>
      <c r="K109" s="683"/>
      <c r="L109" s="684"/>
      <c r="M109" s="753"/>
      <c r="N109" s="683">
        <v>0</v>
      </c>
      <c r="O109" s="686"/>
      <c r="P109" s="683">
        <v>0</v>
      </c>
      <c r="Q109" s="687">
        <f t="shared" si="1"/>
        <v>0</v>
      </c>
      <c r="R109" s="688">
        <v>0</v>
      </c>
      <c r="S109" s="693"/>
      <c r="T109" s="690">
        <f t="shared" si="48"/>
        <v>0</v>
      </c>
      <c r="U109" s="683"/>
      <c r="V109" s="474">
        <f t="shared" si="49"/>
        <v>0</v>
      </c>
      <c r="W109" s="474">
        <f t="shared" si="50"/>
        <v>0</v>
      </c>
      <c r="X109" s="475">
        <f t="shared" si="51"/>
        <v>0</v>
      </c>
      <c r="Y109" s="475">
        <v>0</v>
      </c>
      <c r="Z109" s="476">
        <v>0</v>
      </c>
      <c r="AA109" s="38">
        <f t="shared" si="52"/>
        <v>0</v>
      </c>
      <c r="AB109" s="692">
        <f t="shared" si="41"/>
        <v>850.82</v>
      </c>
      <c r="AC109" s="692">
        <f t="shared" si="42"/>
        <v>0</v>
      </c>
      <c r="AD109" s="692">
        <f t="shared" si="43"/>
        <v>0</v>
      </c>
      <c r="AE109" s="38"/>
      <c r="AF109" s="692">
        <f t="shared" si="44"/>
        <v>0</v>
      </c>
      <c r="AG109" s="692">
        <f t="shared" si="45"/>
        <v>0</v>
      </c>
      <c r="AH109" s="692">
        <f t="shared" si="46"/>
        <v>0</v>
      </c>
    </row>
    <row r="110" spans="1:34" s="232" customFormat="1">
      <c r="A110" s="283"/>
      <c r="B110" s="283" t="s">
        <v>110</v>
      </c>
      <c r="C110" s="667"/>
      <c r="D110" s="123" t="s">
        <v>338</v>
      </c>
      <c r="E110" s="679"/>
      <c r="F110" s="529">
        <f>VLOOKUP(D110,'July 2012 DMV Revenue'!D:T,17,FALSE)</f>
        <v>0</v>
      </c>
      <c r="G110" s="680"/>
      <c r="H110" s="680"/>
      <c r="I110" s="770">
        <v>86054.88</v>
      </c>
      <c r="J110" s="682">
        <f t="shared" si="47"/>
        <v>86054.88</v>
      </c>
      <c r="K110" s="683"/>
      <c r="L110" s="684"/>
      <c r="M110" s="753"/>
      <c r="N110" s="683">
        <v>0</v>
      </c>
      <c r="O110" s="686"/>
      <c r="P110" s="683">
        <v>0</v>
      </c>
      <c r="Q110" s="687">
        <f t="shared" si="1"/>
        <v>0</v>
      </c>
      <c r="R110" s="688">
        <v>0</v>
      </c>
      <c r="S110" s="693"/>
      <c r="T110" s="690">
        <f t="shared" si="48"/>
        <v>0</v>
      </c>
      <c r="U110" s="683"/>
      <c r="V110" s="474">
        <f t="shared" si="49"/>
        <v>0</v>
      </c>
      <c r="W110" s="474">
        <f t="shared" si="50"/>
        <v>0</v>
      </c>
      <c r="X110" s="475">
        <f t="shared" si="51"/>
        <v>0</v>
      </c>
      <c r="Y110" s="475">
        <v>0</v>
      </c>
      <c r="Z110" s="476">
        <v>0</v>
      </c>
      <c r="AA110" s="38">
        <f t="shared" si="52"/>
        <v>0</v>
      </c>
      <c r="AB110" s="692">
        <f t="shared" si="41"/>
        <v>86054.88</v>
      </c>
      <c r="AC110" s="692">
        <f t="shared" si="42"/>
        <v>0</v>
      </c>
      <c r="AD110" s="692">
        <f t="shared" si="43"/>
        <v>0</v>
      </c>
      <c r="AE110" s="38"/>
      <c r="AF110" s="692">
        <f t="shared" si="44"/>
        <v>0</v>
      </c>
      <c r="AG110" s="692">
        <f t="shared" si="45"/>
        <v>0</v>
      </c>
      <c r="AH110" s="692">
        <f t="shared" si="46"/>
        <v>0</v>
      </c>
    </row>
    <row r="111" spans="1:34" s="232" customFormat="1">
      <c r="A111" s="283"/>
      <c r="B111" s="283" t="s">
        <v>110</v>
      </c>
      <c r="C111" s="667"/>
      <c r="D111" s="123" t="s">
        <v>339</v>
      </c>
      <c r="E111" s="679"/>
      <c r="F111" s="529">
        <f>VLOOKUP(D111,'July 2012 DMV Revenue'!D:T,17,FALSE)</f>
        <v>0</v>
      </c>
      <c r="G111" s="680"/>
      <c r="H111" s="680"/>
      <c r="I111" s="770">
        <v>85090.15</v>
      </c>
      <c r="J111" s="682">
        <f t="shared" si="47"/>
        <v>85090.15</v>
      </c>
      <c r="K111" s="683"/>
      <c r="L111" s="684"/>
      <c r="M111" s="753"/>
      <c r="N111" s="683">
        <v>0</v>
      </c>
      <c r="O111" s="686"/>
      <c r="P111" s="683">
        <v>0</v>
      </c>
      <c r="Q111" s="687">
        <f t="shared" si="1"/>
        <v>0</v>
      </c>
      <c r="R111" s="688">
        <v>0</v>
      </c>
      <c r="S111" s="693"/>
      <c r="T111" s="690">
        <f t="shared" si="48"/>
        <v>0</v>
      </c>
      <c r="U111" s="683"/>
      <c r="V111" s="474">
        <f t="shared" si="49"/>
        <v>0</v>
      </c>
      <c r="W111" s="474">
        <f t="shared" si="50"/>
        <v>0</v>
      </c>
      <c r="X111" s="475">
        <f t="shared" si="51"/>
        <v>0</v>
      </c>
      <c r="Y111" s="475">
        <v>0</v>
      </c>
      <c r="Z111" s="476">
        <v>0</v>
      </c>
      <c r="AA111" s="38">
        <f t="shared" si="52"/>
        <v>0</v>
      </c>
      <c r="AB111" s="692">
        <f t="shared" si="41"/>
        <v>85090.15</v>
      </c>
      <c r="AC111" s="692">
        <f t="shared" si="42"/>
        <v>0</v>
      </c>
      <c r="AD111" s="692">
        <f t="shared" si="43"/>
        <v>0</v>
      </c>
      <c r="AE111" s="38"/>
      <c r="AF111" s="692">
        <f t="shared" si="44"/>
        <v>0</v>
      </c>
      <c r="AG111" s="692">
        <f t="shared" si="45"/>
        <v>0</v>
      </c>
      <c r="AH111" s="692">
        <f t="shared" si="46"/>
        <v>0</v>
      </c>
    </row>
    <row r="112" spans="1:34" s="232" customFormat="1">
      <c r="A112" s="283"/>
      <c r="B112" s="283" t="s">
        <v>110</v>
      </c>
      <c r="C112" s="667"/>
      <c r="D112" s="123" t="s">
        <v>340</v>
      </c>
      <c r="E112" s="679"/>
      <c r="F112" s="529">
        <f>VLOOKUP(D112,'July 2012 DMV Revenue'!D:T,17,FALSE)</f>
        <v>0</v>
      </c>
      <c r="G112" s="680"/>
      <c r="H112" s="680"/>
      <c r="I112" s="770">
        <v>84.73</v>
      </c>
      <c r="J112" s="682">
        <f t="shared" si="47"/>
        <v>84.73</v>
      </c>
      <c r="K112" s="683"/>
      <c r="L112" s="684"/>
      <c r="M112" s="753"/>
      <c r="N112" s="683">
        <v>0</v>
      </c>
      <c r="O112" s="686"/>
      <c r="P112" s="683">
        <v>0</v>
      </c>
      <c r="Q112" s="687">
        <f t="shared" si="1"/>
        <v>0</v>
      </c>
      <c r="R112" s="688">
        <v>0</v>
      </c>
      <c r="S112" s="693"/>
      <c r="T112" s="690">
        <f t="shared" si="48"/>
        <v>0</v>
      </c>
      <c r="U112" s="683"/>
      <c r="V112" s="474">
        <f t="shared" si="49"/>
        <v>0</v>
      </c>
      <c r="W112" s="474">
        <f t="shared" si="50"/>
        <v>0</v>
      </c>
      <c r="X112" s="475">
        <f t="shared" si="51"/>
        <v>0</v>
      </c>
      <c r="Y112" s="475">
        <v>0</v>
      </c>
      <c r="Z112" s="476">
        <v>0</v>
      </c>
      <c r="AA112" s="38">
        <f t="shared" si="52"/>
        <v>0</v>
      </c>
      <c r="AB112" s="692">
        <f t="shared" si="41"/>
        <v>84.73</v>
      </c>
      <c r="AC112" s="692">
        <f t="shared" si="42"/>
        <v>0</v>
      </c>
      <c r="AD112" s="692">
        <f t="shared" si="43"/>
        <v>0</v>
      </c>
      <c r="AE112" s="38"/>
      <c r="AF112" s="692">
        <f t="shared" si="44"/>
        <v>0</v>
      </c>
      <c r="AG112" s="692">
        <f t="shared" si="45"/>
        <v>0</v>
      </c>
      <c r="AH112" s="692">
        <f t="shared" si="46"/>
        <v>0</v>
      </c>
    </row>
    <row r="113" spans="1:34" s="232" customFormat="1">
      <c r="A113" s="283"/>
      <c r="B113" s="283" t="s">
        <v>110</v>
      </c>
      <c r="C113" s="667"/>
      <c r="D113" s="123" t="s">
        <v>439</v>
      </c>
      <c r="E113" s="679"/>
      <c r="F113" s="529">
        <f>VLOOKUP(D113,'July 2012 DMV Revenue'!D:T,17,FALSE)</f>
        <v>0</v>
      </c>
      <c r="G113" s="680"/>
      <c r="H113" s="680"/>
      <c r="I113" s="770">
        <v>1546.46</v>
      </c>
      <c r="J113" s="682">
        <f t="shared" si="47"/>
        <v>1546.46</v>
      </c>
      <c r="K113" s="683"/>
      <c r="L113" s="684"/>
      <c r="M113" s="753"/>
      <c r="N113" s="683">
        <v>0</v>
      </c>
      <c r="O113" s="686"/>
      <c r="P113" s="683">
        <v>0</v>
      </c>
      <c r="Q113" s="687">
        <f t="shared" si="1"/>
        <v>0</v>
      </c>
      <c r="R113" s="688">
        <v>0</v>
      </c>
      <c r="S113" s="693"/>
      <c r="T113" s="690">
        <f t="shared" si="48"/>
        <v>0</v>
      </c>
      <c r="U113" s="683"/>
      <c r="V113" s="474">
        <f t="shared" si="49"/>
        <v>0</v>
      </c>
      <c r="W113" s="474">
        <f t="shared" si="50"/>
        <v>0</v>
      </c>
      <c r="X113" s="475">
        <f t="shared" si="51"/>
        <v>0</v>
      </c>
      <c r="Y113" s="475">
        <v>0</v>
      </c>
      <c r="Z113" s="476">
        <v>0</v>
      </c>
      <c r="AA113" s="38">
        <f t="shared" si="52"/>
        <v>0</v>
      </c>
      <c r="AB113" s="692">
        <f t="shared" si="41"/>
        <v>1546.46</v>
      </c>
      <c r="AC113" s="692">
        <f t="shared" si="42"/>
        <v>0</v>
      </c>
      <c r="AD113" s="692">
        <f t="shared" si="43"/>
        <v>0</v>
      </c>
      <c r="AE113" s="38"/>
      <c r="AF113" s="692">
        <f t="shared" si="44"/>
        <v>0</v>
      </c>
      <c r="AG113" s="692">
        <f t="shared" si="45"/>
        <v>0</v>
      </c>
      <c r="AH113" s="692">
        <f t="shared" si="46"/>
        <v>0</v>
      </c>
    </row>
    <row r="114" spans="1:34" s="232" customFormat="1">
      <c r="A114" s="283"/>
      <c r="B114" s="283" t="s">
        <v>110</v>
      </c>
      <c r="C114" s="667"/>
      <c r="D114" s="123" t="s">
        <v>592</v>
      </c>
      <c r="E114" s="679"/>
      <c r="F114" s="529">
        <f>VLOOKUP(D114,'July 2012 DMV Revenue'!D:T,17,FALSE)</f>
        <v>0</v>
      </c>
      <c r="G114" s="680"/>
      <c r="H114" s="680"/>
      <c r="I114" s="770">
        <v>1022.92</v>
      </c>
      <c r="J114" s="682">
        <f t="shared" si="47"/>
        <v>1022.92</v>
      </c>
      <c r="K114" s="683"/>
      <c r="L114" s="684"/>
      <c r="M114" s="753"/>
      <c r="N114" s="683">
        <v>0</v>
      </c>
      <c r="O114" s="686"/>
      <c r="P114" s="683">
        <v>0</v>
      </c>
      <c r="Q114" s="687">
        <f t="shared" si="1"/>
        <v>0</v>
      </c>
      <c r="R114" s="688">
        <v>0</v>
      </c>
      <c r="S114" s="693"/>
      <c r="T114" s="690">
        <f t="shared" si="48"/>
        <v>0</v>
      </c>
      <c r="U114" s="683"/>
      <c r="V114" s="474">
        <f t="shared" si="49"/>
        <v>0</v>
      </c>
      <c r="W114" s="474">
        <f t="shared" si="50"/>
        <v>0</v>
      </c>
      <c r="X114" s="475">
        <f t="shared" si="51"/>
        <v>0</v>
      </c>
      <c r="Y114" s="475">
        <v>0</v>
      </c>
      <c r="Z114" s="476">
        <v>0</v>
      </c>
      <c r="AA114" s="38">
        <f t="shared" si="52"/>
        <v>0</v>
      </c>
      <c r="AB114" s="692">
        <f t="shared" si="41"/>
        <v>1022.92</v>
      </c>
      <c r="AC114" s="692">
        <f t="shared" si="42"/>
        <v>0</v>
      </c>
      <c r="AD114" s="692">
        <f t="shared" si="43"/>
        <v>0</v>
      </c>
      <c r="AE114" s="38"/>
      <c r="AF114" s="692">
        <f t="shared" si="44"/>
        <v>0</v>
      </c>
      <c r="AG114" s="692">
        <f t="shared" si="45"/>
        <v>0</v>
      </c>
      <c r="AH114" s="692">
        <f t="shared" si="46"/>
        <v>0</v>
      </c>
    </row>
    <row r="115" spans="1:34" s="232" customFormat="1">
      <c r="A115" s="283"/>
      <c r="B115" s="283" t="s">
        <v>110</v>
      </c>
      <c r="C115" s="667"/>
      <c r="D115" s="123" t="s">
        <v>512</v>
      </c>
      <c r="E115" s="679"/>
      <c r="F115" s="529">
        <f>VLOOKUP(D115,'July 2012 DMV Revenue'!D:T,17,FALSE)</f>
        <v>0</v>
      </c>
      <c r="G115" s="680"/>
      <c r="H115" s="680"/>
      <c r="I115" s="770">
        <f>16874.36+2850.24+1130.38+5584.54+329.18+124.15</f>
        <v>26892.850000000002</v>
      </c>
      <c r="J115" s="682">
        <f>SUM(E115:I115)</f>
        <v>26892.850000000002</v>
      </c>
      <c r="K115" s="683"/>
      <c r="L115" s="684"/>
      <c r="M115" s="753"/>
      <c r="N115" s="683">
        <v>0</v>
      </c>
      <c r="O115" s="686"/>
      <c r="P115" s="683"/>
      <c r="Q115" s="687">
        <f t="shared" si="1"/>
        <v>0</v>
      </c>
      <c r="R115" s="688">
        <v>0</v>
      </c>
      <c r="S115" s="693"/>
      <c r="T115" s="690">
        <f t="shared" si="48"/>
        <v>0</v>
      </c>
      <c r="U115" s="683"/>
      <c r="V115" s="474">
        <f t="shared" si="49"/>
        <v>0</v>
      </c>
      <c r="W115" s="474">
        <f t="shared" si="50"/>
        <v>0</v>
      </c>
      <c r="X115" s="475">
        <f t="shared" si="51"/>
        <v>0</v>
      </c>
      <c r="Y115" s="475">
        <v>0</v>
      </c>
      <c r="Z115" s="476">
        <v>0</v>
      </c>
      <c r="AA115" s="38">
        <f t="shared" si="52"/>
        <v>0</v>
      </c>
      <c r="AB115" s="692">
        <f t="shared" si="41"/>
        <v>26892.850000000002</v>
      </c>
      <c r="AC115" s="692">
        <f t="shared" si="42"/>
        <v>0</v>
      </c>
      <c r="AD115" s="692">
        <f t="shared" si="43"/>
        <v>0</v>
      </c>
      <c r="AE115" s="38"/>
      <c r="AF115" s="692">
        <f t="shared" si="44"/>
        <v>0</v>
      </c>
      <c r="AG115" s="692">
        <f t="shared" si="45"/>
        <v>0</v>
      </c>
      <c r="AH115" s="692">
        <f t="shared" si="46"/>
        <v>0</v>
      </c>
    </row>
    <row r="116" spans="1:34" s="24" customFormat="1">
      <c r="A116" s="32"/>
      <c r="B116" s="32" t="s">
        <v>110</v>
      </c>
      <c r="C116" s="667"/>
      <c r="D116" s="68" t="s">
        <v>588</v>
      </c>
      <c r="E116" s="679"/>
      <c r="F116" s="529">
        <f>VLOOKUP(D116,'July 2012 DMV Revenue'!D:T,17,FALSE)</f>
        <v>0</v>
      </c>
      <c r="G116" s="680"/>
      <c r="H116" s="680"/>
      <c r="I116" s="755"/>
      <c r="J116" s="682">
        <f t="shared" ref="J116" si="53">SUM(E116:I116)</f>
        <v>0</v>
      </c>
      <c r="K116" s="683"/>
      <c r="L116" s="684"/>
      <c r="M116" s="753"/>
      <c r="N116" s="698"/>
      <c r="O116" s="699"/>
      <c r="P116" s="698"/>
      <c r="Q116" s="687">
        <f t="shared" si="1"/>
        <v>0</v>
      </c>
      <c r="R116" s="688">
        <v>0</v>
      </c>
      <c r="S116" s="693"/>
      <c r="T116" s="690">
        <f t="shared" si="48"/>
        <v>0</v>
      </c>
      <c r="U116" s="683"/>
      <c r="V116" s="474">
        <f t="shared" si="49"/>
        <v>0</v>
      </c>
      <c r="W116" s="474">
        <f t="shared" si="50"/>
        <v>0</v>
      </c>
      <c r="X116" s="475">
        <f t="shared" si="51"/>
        <v>0</v>
      </c>
      <c r="Y116" s="475">
        <v>0</v>
      </c>
      <c r="Z116" s="476">
        <v>0</v>
      </c>
      <c r="AA116" s="38">
        <f t="shared" si="52"/>
        <v>0</v>
      </c>
      <c r="AB116" s="692">
        <f t="shared" si="41"/>
        <v>0</v>
      </c>
      <c r="AC116" s="692">
        <f t="shared" si="42"/>
        <v>0</v>
      </c>
      <c r="AD116" s="692">
        <f t="shared" si="43"/>
        <v>0</v>
      </c>
      <c r="AE116" s="38"/>
      <c r="AF116" s="692">
        <f t="shared" si="44"/>
        <v>0</v>
      </c>
      <c r="AG116" s="692">
        <f t="shared" si="45"/>
        <v>0</v>
      </c>
      <c r="AH116" s="692">
        <f t="shared" si="46"/>
        <v>0</v>
      </c>
    </row>
    <row r="117" spans="1:34">
      <c r="A117" s="21"/>
      <c r="B117" s="21" t="s">
        <v>109</v>
      </c>
      <c r="C117" s="666" t="s">
        <v>548</v>
      </c>
      <c r="D117" s="68" t="s">
        <v>461</v>
      </c>
      <c r="E117" s="679"/>
      <c r="F117" s="529">
        <f>VLOOKUP(D117,'July 2012 DMV Revenue'!D:T,17,FALSE)</f>
        <v>3058.69</v>
      </c>
      <c r="G117" s="680"/>
      <c r="H117" s="680"/>
      <c r="I117" s="755"/>
      <c r="J117" s="682">
        <f t="shared" si="47"/>
        <v>3058.69</v>
      </c>
      <c r="K117" s="683"/>
      <c r="L117" s="684"/>
      <c r="M117" s="753"/>
      <c r="N117" s="683">
        <v>0</v>
      </c>
      <c r="O117" s="686"/>
      <c r="P117" s="683">
        <v>0</v>
      </c>
      <c r="Q117" s="687">
        <f t="shared" si="1"/>
        <v>0</v>
      </c>
      <c r="R117" s="688">
        <v>2950.28</v>
      </c>
      <c r="S117" s="693"/>
      <c r="T117" s="690">
        <f t="shared" si="48"/>
        <v>2950.28</v>
      </c>
      <c r="U117" s="683"/>
      <c r="V117" s="474">
        <f t="shared" si="49"/>
        <v>0</v>
      </c>
      <c r="W117" s="474">
        <f t="shared" si="50"/>
        <v>0</v>
      </c>
      <c r="X117" s="475">
        <f t="shared" si="51"/>
        <v>0</v>
      </c>
      <c r="Y117" s="475">
        <v>0</v>
      </c>
      <c r="Z117" s="476">
        <v>0</v>
      </c>
      <c r="AA117" s="38">
        <f t="shared" si="52"/>
        <v>0</v>
      </c>
      <c r="AB117" s="692">
        <f t="shared" si="41"/>
        <v>0</v>
      </c>
      <c r="AC117" s="692">
        <f t="shared" si="42"/>
        <v>3058.69</v>
      </c>
      <c r="AD117" s="692">
        <f t="shared" si="43"/>
        <v>0</v>
      </c>
      <c r="AE117" s="38"/>
      <c r="AF117" s="692">
        <f t="shared" si="44"/>
        <v>0</v>
      </c>
      <c r="AG117" s="692">
        <f t="shared" si="45"/>
        <v>0</v>
      </c>
      <c r="AH117" s="692">
        <f t="shared" si="46"/>
        <v>0</v>
      </c>
    </row>
    <row r="118" spans="1:34">
      <c r="A118" s="20"/>
      <c r="B118" s="20" t="s">
        <v>109</v>
      </c>
      <c r="C118" s="667" t="s">
        <v>549</v>
      </c>
      <c r="D118" s="68" t="s">
        <v>22</v>
      </c>
      <c r="E118" s="679"/>
      <c r="F118" s="529">
        <f>VLOOKUP(D118,'July 2012 DMV Revenue'!D:T,17,FALSE)</f>
        <v>0</v>
      </c>
      <c r="G118" s="680"/>
      <c r="H118" s="680"/>
      <c r="I118" s="755"/>
      <c r="J118" s="682">
        <f t="shared" si="47"/>
        <v>0</v>
      </c>
      <c r="K118" s="683"/>
      <c r="L118" s="684"/>
      <c r="M118" s="753"/>
      <c r="N118" s="683">
        <v>0</v>
      </c>
      <c r="O118" s="686"/>
      <c r="P118" s="683">
        <v>0</v>
      </c>
      <c r="Q118" s="687">
        <f t="shared" si="1"/>
        <v>0</v>
      </c>
      <c r="R118" s="688">
        <v>0</v>
      </c>
      <c r="S118" s="693"/>
      <c r="T118" s="690">
        <f t="shared" si="48"/>
        <v>0</v>
      </c>
      <c r="U118" s="683"/>
      <c r="V118" s="474">
        <f t="shared" si="49"/>
        <v>0</v>
      </c>
      <c r="W118" s="474">
        <f t="shared" si="50"/>
        <v>0</v>
      </c>
      <c r="X118" s="475">
        <f t="shared" si="51"/>
        <v>0</v>
      </c>
      <c r="Y118" s="475">
        <v>0</v>
      </c>
      <c r="Z118" s="476">
        <v>0</v>
      </c>
      <c r="AA118" s="38">
        <f t="shared" si="52"/>
        <v>0</v>
      </c>
      <c r="AB118" s="692">
        <f t="shared" si="41"/>
        <v>0</v>
      </c>
      <c r="AC118" s="692">
        <f t="shared" si="42"/>
        <v>0</v>
      </c>
      <c r="AD118" s="692">
        <f t="shared" si="43"/>
        <v>0</v>
      </c>
      <c r="AE118" s="38"/>
      <c r="AF118" s="692">
        <f t="shared" si="44"/>
        <v>0</v>
      </c>
      <c r="AG118" s="692">
        <f t="shared" si="45"/>
        <v>0</v>
      </c>
      <c r="AH118" s="692">
        <f t="shared" si="46"/>
        <v>0</v>
      </c>
    </row>
    <row r="119" spans="1:34">
      <c r="A119" s="20"/>
      <c r="B119" s="20" t="s">
        <v>110</v>
      </c>
      <c r="C119" s="667"/>
      <c r="D119" s="68" t="s">
        <v>24</v>
      </c>
      <c r="E119" s="679"/>
      <c r="F119" s="529">
        <f>VLOOKUP(D119,'July 2012 DMV Revenue'!D:T,17,FALSE)</f>
        <v>0</v>
      </c>
      <c r="G119" s="680"/>
      <c r="H119" s="680"/>
      <c r="I119" s="755"/>
      <c r="J119" s="682">
        <f t="shared" si="47"/>
        <v>0</v>
      </c>
      <c r="K119" s="683"/>
      <c r="L119" s="684"/>
      <c r="M119" s="753"/>
      <c r="N119" s="683">
        <v>0</v>
      </c>
      <c r="O119" s="686"/>
      <c r="P119" s="683">
        <v>0</v>
      </c>
      <c r="Q119" s="687">
        <f t="shared" si="1"/>
        <v>0</v>
      </c>
      <c r="R119" s="688">
        <v>3826.38</v>
      </c>
      <c r="S119" s="693"/>
      <c r="T119" s="690">
        <f t="shared" si="48"/>
        <v>3826.38</v>
      </c>
      <c r="U119" s="683"/>
      <c r="V119" s="474">
        <f t="shared" si="49"/>
        <v>0</v>
      </c>
      <c r="W119" s="474">
        <f t="shared" si="50"/>
        <v>0</v>
      </c>
      <c r="X119" s="475">
        <f t="shared" si="51"/>
        <v>0</v>
      </c>
      <c r="Y119" s="475">
        <v>0</v>
      </c>
      <c r="Z119" s="476">
        <v>0</v>
      </c>
      <c r="AA119" s="38">
        <f t="shared" si="52"/>
        <v>0</v>
      </c>
      <c r="AB119" s="692">
        <f t="shared" si="41"/>
        <v>0</v>
      </c>
      <c r="AC119" s="692">
        <f t="shared" si="42"/>
        <v>0</v>
      </c>
      <c r="AD119" s="692">
        <f t="shared" si="43"/>
        <v>0</v>
      </c>
      <c r="AE119" s="38"/>
      <c r="AF119" s="692">
        <f t="shared" si="44"/>
        <v>0</v>
      </c>
      <c r="AG119" s="692">
        <f t="shared" si="45"/>
        <v>0</v>
      </c>
      <c r="AH119" s="692">
        <f t="shared" si="46"/>
        <v>0</v>
      </c>
    </row>
    <row r="120" spans="1:34">
      <c r="A120" s="21"/>
      <c r="B120" s="21" t="s">
        <v>110</v>
      </c>
      <c r="C120" s="666" t="s">
        <v>550</v>
      </c>
      <c r="D120" s="68" t="s">
        <v>282</v>
      </c>
      <c r="E120" s="679"/>
      <c r="F120" s="529">
        <f>VLOOKUP(D120,'July 2012 DMV Revenue'!D:T,17,FALSE)</f>
        <v>-285.68000000000029</v>
      </c>
      <c r="G120" s="680"/>
      <c r="H120" s="680"/>
      <c r="I120" s="755"/>
      <c r="J120" s="682">
        <f t="shared" si="47"/>
        <v>-285.68000000000029</v>
      </c>
      <c r="K120" s="683"/>
      <c r="L120" s="684"/>
      <c r="M120" s="753">
        <v>25000</v>
      </c>
      <c r="N120" s="683">
        <v>0</v>
      </c>
      <c r="O120" s="686"/>
      <c r="P120" s="683">
        <v>0</v>
      </c>
      <c r="Q120" s="687">
        <f t="shared" si="1"/>
        <v>25000</v>
      </c>
      <c r="R120" s="688">
        <v>24592.11</v>
      </c>
      <c r="S120" s="693"/>
      <c r="T120" s="690">
        <f t="shared" si="48"/>
        <v>-407.88999999999942</v>
      </c>
      <c r="U120" s="683"/>
      <c r="V120" s="474">
        <f t="shared" si="49"/>
        <v>25000</v>
      </c>
      <c r="W120" s="474">
        <f t="shared" si="50"/>
        <v>0</v>
      </c>
      <c r="X120" s="475">
        <f t="shared" si="51"/>
        <v>0</v>
      </c>
      <c r="Y120" s="475">
        <v>0</v>
      </c>
      <c r="Z120" s="476">
        <v>0</v>
      </c>
      <c r="AA120" s="38">
        <f t="shared" si="52"/>
        <v>0</v>
      </c>
      <c r="AB120" s="692">
        <f t="shared" si="41"/>
        <v>-285.68000000000029</v>
      </c>
      <c r="AC120" s="692">
        <f t="shared" si="42"/>
        <v>0</v>
      </c>
      <c r="AD120" s="692">
        <f t="shared" si="43"/>
        <v>0</v>
      </c>
      <c r="AE120" s="38"/>
      <c r="AF120" s="692">
        <f t="shared" si="44"/>
        <v>25000</v>
      </c>
      <c r="AG120" s="692">
        <f t="shared" si="45"/>
        <v>0</v>
      </c>
      <c r="AH120" s="692">
        <f t="shared" si="46"/>
        <v>0</v>
      </c>
    </row>
    <row r="121" spans="1:34">
      <c r="A121" s="21"/>
      <c r="B121" s="21" t="s">
        <v>109</v>
      </c>
      <c r="C121" s="666" t="s">
        <v>551</v>
      </c>
      <c r="D121" s="68" t="s">
        <v>499</v>
      </c>
      <c r="E121" s="679"/>
      <c r="F121" s="529">
        <f>VLOOKUP(D121,'July 2012 DMV Revenue'!D:T,17,FALSE)</f>
        <v>0</v>
      </c>
      <c r="G121" s="680"/>
      <c r="H121" s="680"/>
      <c r="I121" s="755"/>
      <c r="J121" s="682">
        <f t="shared" si="47"/>
        <v>0</v>
      </c>
      <c r="K121" s="683"/>
      <c r="L121" s="684"/>
      <c r="M121" s="753"/>
      <c r="N121" s="683">
        <v>0</v>
      </c>
      <c r="O121" s="686"/>
      <c r="P121" s="683">
        <v>0</v>
      </c>
      <c r="Q121" s="687">
        <f t="shared" si="1"/>
        <v>0</v>
      </c>
      <c r="R121" s="688">
        <v>0</v>
      </c>
      <c r="S121" s="693"/>
      <c r="T121" s="690">
        <f t="shared" si="48"/>
        <v>0</v>
      </c>
      <c r="U121" s="683"/>
      <c r="V121" s="474">
        <f t="shared" si="49"/>
        <v>0</v>
      </c>
      <c r="W121" s="474">
        <f t="shared" si="50"/>
        <v>0</v>
      </c>
      <c r="X121" s="475">
        <f t="shared" si="51"/>
        <v>0</v>
      </c>
      <c r="Y121" s="475">
        <v>0</v>
      </c>
      <c r="Z121" s="476">
        <v>0</v>
      </c>
      <c r="AA121" s="38">
        <f t="shared" si="52"/>
        <v>0</v>
      </c>
      <c r="AB121" s="692">
        <f t="shared" si="41"/>
        <v>0</v>
      </c>
      <c r="AC121" s="692">
        <f t="shared" si="42"/>
        <v>0</v>
      </c>
      <c r="AD121" s="692">
        <f t="shared" si="43"/>
        <v>0</v>
      </c>
      <c r="AE121" s="38"/>
      <c r="AF121" s="692">
        <f t="shared" si="44"/>
        <v>0</v>
      </c>
      <c r="AG121" s="692">
        <f t="shared" si="45"/>
        <v>0</v>
      </c>
      <c r="AH121" s="692">
        <f t="shared" si="46"/>
        <v>0</v>
      </c>
    </row>
    <row r="122" spans="1:34">
      <c r="A122" s="21"/>
      <c r="B122" s="21" t="s">
        <v>110</v>
      </c>
      <c r="C122" s="666"/>
      <c r="D122" s="68" t="s">
        <v>28</v>
      </c>
      <c r="E122" s="679"/>
      <c r="F122" s="529">
        <f>VLOOKUP(D122,'July 2012 DMV Revenue'!D:T,17,FALSE)</f>
        <v>0</v>
      </c>
      <c r="G122" s="680"/>
      <c r="H122" s="680"/>
      <c r="I122" s="770">
        <v>1171.0999999999999</v>
      </c>
      <c r="J122" s="682">
        <f t="shared" si="47"/>
        <v>1171.0999999999999</v>
      </c>
      <c r="K122" s="683"/>
      <c r="L122" s="684"/>
      <c r="M122" s="753"/>
      <c r="N122" s="683">
        <v>0</v>
      </c>
      <c r="O122" s="686"/>
      <c r="P122" s="683">
        <v>0</v>
      </c>
      <c r="Q122" s="687">
        <f t="shared" si="1"/>
        <v>0</v>
      </c>
      <c r="R122" s="688">
        <v>0</v>
      </c>
      <c r="S122" s="693"/>
      <c r="T122" s="690">
        <f t="shared" si="48"/>
        <v>0</v>
      </c>
      <c r="U122" s="683"/>
      <c r="V122" s="474">
        <f t="shared" si="49"/>
        <v>0</v>
      </c>
      <c r="W122" s="474">
        <f t="shared" si="50"/>
        <v>0</v>
      </c>
      <c r="X122" s="475">
        <f t="shared" si="51"/>
        <v>0</v>
      </c>
      <c r="Y122" s="475">
        <v>0</v>
      </c>
      <c r="Z122" s="476">
        <v>0</v>
      </c>
      <c r="AA122" s="38">
        <f t="shared" si="52"/>
        <v>0</v>
      </c>
      <c r="AB122" s="692">
        <f t="shared" si="41"/>
        <v>1171.0999999999999</v>
      </c>
      <c r="AC122" s="692">
        <f t="shared" si="42"/>
        <v>0</v>
      </c>
      <c r="AD122" s="692">
        <f t="shared" si="43"/>
        <v>0</v>
      </c>
      <c r="AE122" s="38"/>
      <c r="AF122" s="692">
        <f t="shared" si="44"/>
        <v>0</v>
      </c>
      <c r="AG122" s="692">
        <f t="shared" si="45"/>
        <v>0</v>
      </c>
      <c r="AH122" s="692">
        <f t="shared" si="46"/>
        <v>0</v>
      </c>
    </row>
    <row r="123" spans="1:34">
      <c r="A123" s="21"/>
      <c r="B123" s="21" t="s">
        <v>114</v>
      </c>
      <c r="C123" s="666" t="s">
        <v>552</v>
      </c>
      <c r="D123" s="68" t="s">
        <v>513</v>
      </c>
      <c r="E123" s="679">
        <f>2967.7+2809.8</f>
        <v>5777.5</v>
      </c>
      <c r="F123" s="529">
        <f>VLOOKUP(D123,'July 2012 DMV Revenue'!D:T,17,FALSE)</f>
        <v>0</v>
      </c>
      <c r="G123" s="680"/>
      <c r="H123" s="680"/>
      <c r="I123" s="755"/>
      <c r="J123" s="682">
        <f>SUM(E123:I123)</f>
        <v>5777.5</v>
      </c>
      <c r="K123" s="683"/>
      <c r="L123" s="684"/>
      <c r="M123" s="753"/>
      <c r="N123" s="683">
        <v>0</v>
      </c>
      <c r="O123" s="686"/>
      <c r="P123" s="683">
        <v>0</v>
      </c>
      <c r="Q123" s="687">
        <f>L123+M123</f>
        <v>0</v>
      </c>
      <c r="R123" s="688">
        <v>0</v>
      </c>
      <c r="S123" s="693"/>
      <c r="T123" s="690">
        <f t="shared" si="48"/>
        <v>0</v>
      </c>
      <c r="U123" s="683"/>
      <c r="V123" s="474">
        <f t="shared" si="49"/>
        <v>0</v>
      </c>
      <c r="W123" s="474">
        <f t="shared" si="50"/>
        <v>0</v>
      </c>
      <c r="X123" s="475">
        <f t="shared" si="51"/>
        <v>0</v>
      </c>
      <c r="Y123" s="475">
        <v>0</v>
      </c>
      <c r="Z123" s="476">
        <v>0</v>
      </c>
      <c r="AA123" s="38">
        <f t="shared" si="52"/>
        <v>0</v>
      </c>
      <c r="AB123" s="692">
        <f t="shared" si="41"/>
        <v>0</v>
      </c>
      <c r="AC123" s="692">
        <f t="shared" si="42"/>
        <v>0</v>
      </c>
      <c r="AD123" s="692">
        <f t="shared" si="43"/>
        <v>5777.5</v>
      </c>
      <c r="AE123" s="38"/>
      <c r="AF123" s="692">
        <f t="shared" si="44"/>
        <v>0</v>
      </c>
      <c r="AG123" s="692">
        <f t="shared" si="45"/>
        <v>0</v>
      </c>
      <c r="AH123" s="692">
        <f t="shared" si="46"/>
        <v>0</v>
      </c>
    </row>
    <row r="124" spans="1:34">
      <c r="A124" s="21"/>
      <c r="B124" s="21" t="s">
        <v>109</v>
      </c>
      <c r="C124" s="666" t="s">
        <v>553</v>
      </c>
      <c r="D124" s="68" t="s">
        <v>308</v>
      </c>
      <c r="E124" s="679"/>
      <c r="F124" s="529">
        <f>VLOOKUP(D124,'July 2012 DMV Revenue'!D:T,17,FALSE)</f>
        <v>0</v>
      </c>
      <c r="G124" s="680"/>
      <c r="H124" s="680"/>
      <c r="I124" s="755"/>
      <c r="J124" s="682">
        <f t="shared" si="47"/>
        <v>0</v>
      </c>
      <c r="K124" s="683"/>
      <c r="L124" s="684"/>
      <c r="M124" s="753"/>
      <c r="N124" s="683">
        <v>0</v>
      </c>
      <c r="O124" s="686"/>
      <c r="P124" s="683">
        <v>0</v>
      </c>
      <c r="Q124" s="687">
        <f t="shared" si="1"/>
        <v>0</v>
      </c>
      <c r="R124" s="688">
        <v>0</v>
      </c>
      <c r="S124" s="693"/>
      <c r="T124" s="690">
        <f t="shared" si="48"/>
        <v>0</v>
      </c>
      <c r="U124" s="683"/>
      <c r="V124" s="474">
        <f t="shared" si="49"/>
        <v>0</v>
      </c>
      <c r="W124" s="474">
        <f t="shared" si="50"/>
        <v>0</v>
      </c>
      <c r="X124" s="475">
        <f t="shared" si="51"/>
        <v>0</v>
      </c>
      <c r="Y124" s="475">
        <v>0</v>
      </c>
      <c r="Z124" s="476">
        <v>0</v>
      </c>
      <c r="AA124" s="38">
        <f t="shared" si="52"/>
        <v>0</v>
      </c>
      <c r="AB124" s="692">
        <f t="shared" si="41"/>
        <v>0</v>
      </c>
      <c r="AC124" s="692">
        <f t="shared" si="42"/>
        <v>0</v>
      </c>
      <c r="AD124" s="692">
        <f t="shared" si="43"/>
        <v>0</v>
      </c>
      <c r="AE124" s="38"/>
      <c r="AF124" s="692">
        <f t="shared" si="44"/>
        <v>0</v>
      </c>
      <c r="AG124" s="692">
        <f t="shared" si="45"/>
        <v>0</v>
      </c>
      <c r="AH124" s="692">
        <f t="shared" si="46"/>
        <v>0</v>
      </c>
    </row>
    <row r="125" spans="1:34" s="232" customFormat="1">
      <c r="A125" s="283" t="s">
        <v>211</v>
      </c>
      <c r="B125" s="283" t="s">
        <v>109</v>
      </c>
      <c r="C125" s="667" t="s">
        <v>554</v>
      </c>
      <c r="D125" s="123" t="s">
        <v>389</v>
      </c>
      <c r="E125" s="679">
        <f>31905.96+4.73</f>
        <v>31910.69</v>
      </c>
      <c r="F125" s="529">
        <f>VLOOKUP(D125,'July 2012 DMV Revenue'!D:T,17,FALSE)</f>
        <v>-60000</v>
      </c>
      <c r="G125" s="680"/>
      <c r="H125" s="680"/>
      <c r="I125" s="755"/>
      <c r="J125" s="682">
        <f t="shared" si="47"/>
        <v>-28089.31</v>
      </c>
      <c r="K125" s="683"/>
      <c r="L125" s="684"/>
      <c r="M125" s="753"/>
      <c r="N125" s="683">
        <v>0</v>
      </c>
      <c r="O125" s="686"/>
      <c r="P125" s="683">
        <v>0</v>
      </c>
      <c r="Q125" s="687">
        <f t="shared" si="1"/>
        <v>0</v>
      </c>
      <c r="R125" s="688">
        <v>0</v>
      </c>
      <c r="S125" s="693"/>
      <c r="T125" s="690">
        <f t="shared" si="48"/>
        <v>0</v>
      </c>
      <c r="U125" s="683"/>
      <c r="V125" s="474">
        <f t="shared" si="49"/>
        <v>0</v>
      </c>
      <c r="W125" s="474">
        <f t="shared" si="50"/>
        <v>0</v>
      </c>
      <c r="X125" s="475">
        <f t="shared" si="51"/>
        <v>0</v>
      </c>
      <c r="Y125" s="475">
        <v>0</v>
      </c>
      <c r="Z125" s="476">
        <v>0</v>
      </c>
      <c r="AA125" s="38">
        <f t="shared" si="52"/>
        <v>0</v>
      </c>
      <c r="AB125" s="692">
        <f t="shared" si="41"/>
        <v>0</v>
      </c>
      <c r="AC125" s="692">
        <f t="shared" si="42"/>
        <v>-28089.31</v>
      </c>
      <c r="AD125" s="692">
        <f t="shared" si="43"/>
        <v>0</v>
      </c>
      <c r="AE125" s="38"/>
      <c r="AF125" s="692">
        <f t="shared" si="44"/>
        <v>0</v>
      </c>
      <c r="AG125" s="692">
        <f t="shared" si="45"/>
        <v>0</v>
      </c>
      <c r="AH125" s="692">
        <f t="shared" si="46"/>
        <v>0</v>
      </c>
    </row>
    <row r="126" spans="1:34" s="232" customFormat="1">
      <c r="A126" s="283"/>
      <c r="B126" s="283" t="s">
        <v>110</v>
      </c>
      <c r="C126" s="667"/>
      <c r="D126" s="123" t="s">
        <v>807</v>
      </c>
      <c r="E126" s="679">
        <f>1572.54+1323.67</f>
        <v>2896.21</v>
      </c>
      <c r="F126" s="529">
        <f>VLOOKUP(D126,'July 2012 DMV Revenue'!D:T,17,FALSE)</f>
        <v>-1597.1</v>
      </c>
      <c r="G126" s="680"/>
      <c r="H126" s="680"/>
      <c r="I126" s="755"/>
      <c r="J126" s="682">
        <f>SUM(E126:I126)</f>
        <v>1299.1100000000001</v>
      </c>
      <c r="K126" s="683"/>
      <c r="L126" s="684"/>
      <c r="M126" s="753"/>
      <c r="N126" s="683">
        <v>0</v>
      </c>
      <c r="O126" s="686"/>
      <c r="P126" s="683">
        <v>0</v>
      </c>
      <c r="Q126" s="687">
        <f t="shared" si="1"/>
        <v>0</v>
      </c>
      <c r="R126" s="688">
        <v>1303.8</v>
      </c>
      <c r="S126" s="693"/>
      <c r="T126" s="690">
        <f t="shared" si="48"/>
        <v>1303.8</v>
      </c>
      <c r="U126" s="683"/>
      <c r="V126" s="474">
        <f t="shared" si="49"/>
        <v>0</v>
      </c>
      <c r="W126" s="474">
        <f t="shared" si="50"/>
        <v>0</v>
      </c>
      <c r="X126" s="475">
        <f t="shared" si="51"/>
        <v>0</v>
      </c>
      <c r="Y126" s="475">
        <v>0</v>
      </c>
      <c r="Z126" s="476">
        <v>0</v>
      </c>
      <c r="AA126" s="38">
        <f t="shared" si="52"/>
        <v>0</v>
      </c>
      <c r="AB126" s="692">
        <f t="shared" si="41"/>
        <v>1299.1100000000001</v>
      </c>
      <c r="AC126" s="692">
        <f t="shared" si="42"/>
        <v>0</v>
      </c>
      <c r="AD126" s="692">
        <f t="shared" si="43"/>
        <v>0</v>
      </c>
      <c r="AE126" s="38"/>
      <c r="AF126" s="692">
        <f t="shared" si="44"/>
        <v>0</v>
      </c>
      <c r="AG126" s="692">
        <f t="shared" si="45"/>
        <v>0</v>
      </c>
      <c r="AH126" s="692">
        <f t="shared" si="46"/>
        <v>0</v>
      </c>
    </row>
    <row r="127" spans="1:34" s="232" customFormat="1">
      <c r="A127" s="283"/>
      <c r="B127" s="283" t="s">
        <v>109</v>
      </c>
      <c r="C127" s="667"/>
      <c r="D127" s="123" t="s">
        <v>808</v>
      </c>
      <c r="E127" s="679">
        <f>9197.23+965.2+8780.83+1058.83</f>
        <v>20002.090000000004</v>
      </c>
      <c r="F127" s="529">
        <f>VLOOKUP(D127,'July 2012 DMV Revenue'!D:T,17,FALSE)</f>
        <v>-15680.81</v>
      </c>
      <c r="G127" s="680"/>
      <c r="H127" s="680"/>
      <c r="I127" s="755"/>
      <c r="J127" s="682">
        <f>SUM(E127:I127)</f>
        <v>4321.2800000000043</v>
      </c>
      <c r="K127" s="683"/>
      <c r="L127" s="684"/>
      <c r="M127" s="753">
        <v>10000</v>
      </c>
      <c r="N127" s="683">
        <v>0</v>
      </c>
      <c r="O127" s="686"/>
      <c r="P127" s="683">
        <v>0</v>
      </c>
      <c r="Q127" s="687">
        <f t="shared" si="1"/>
        <v>10000</v>
      </c>
      <c r="R127" s="688">
        <f>10625.38+1232.22</f>
        <v>11857.599999999999</v>
      </c>
      <c r="S127" s="693"/>
      <c r="T127" s="690">
        <f t="shared" si="48"/>
        <v>1857.5999999999985</v>
      </c>
      <c r="U127" s="683"/>
      <c r="V127" s="474">
        <f t="shared" si="49"/>
        <v>0</v>
      </c>
      <c r="W127" s="474">
        <f t="shared" si="50"/>
        <v>10000</v>
      </c>
      <c r="X127" s="475">
        <f t="shared" si="51"/>
        <v>0</v>
      </c>
      <c r="Y127" s="475">
        <v>0</v>
      </c>
      <c r="Z127" s="476">
        <v>0</v>
      </c>
      <c r="AA127" s="38">
        <f t="shared" si="52"/>
        <v>0</v>
      </c>
      <c r="AB127" s="692">
        <f t="shared" si="41"/>
        <v>0</v>
      </c>
      <c r="AC127" s="692">
        <f t="shared" si="42"/>
        <v>4321.2800000000043</v>
      </c>
      <c r="AD127" s="692">
        <f t="shared" si="43"/>
        <v>0</v>
      </c>
      <c r="AE127" s="38"/>
      <c r="AF127" s="692">
        <f t="shared" si="44"/>
        <v>0</v>
      </c>
      <c r="AG127" s="692">
        <f t="shared" si="45"/>
        <v>10000</v>
      </c>
      <c r="AH127" s="692">
        <f t="shared" si="46"/>
        <v>0</v>
      </c>
    </row>
    <row r="128" spans="1:34" s="232" customFormat="1">
      <c r="A128" s="283"/>
      <c r="B128" s="283" t="s">
        <v>110</v>
      </c>
      <c r="C128" s="667"/>
      <c r="D128" s="68" t="s">
        <v>488</v>
      </c>
      <c r="E128" s="679"/>
      <c r="F128" s="529">
        <f>VLOOKUP(D128,'July 2012 DMV Revenue'!D:T,17,FALSE)</f>
        <v>0</v>
      </c>
      <c r="G128" s="680"/>
      <c r="H128" s="680"/>
      <c r="I128" s="755"/>
      <c r="J128" s="682">
        <f t="shared" si="47"/>
        <v>0</v>
      </c>
      <c r="K128" s="683"/>
      <c r="L128" s="684"/>
      <c r="M128" s="753"/>
      <c r="N128" s="683">
        <v>0</v>
      </c>
      <c r="O128" s="686"/>
      <c r="P128" s="683">
        <v>0</v>
      </c>
      <c r="Q128" s="687">
        <f t="shared" si="1"/>
        <v>0</v>
      </c>
      <c r="R128" s="688">
        <v>0</v>
      </c>
      <c r="S128" s="693"/>
      <c r="T128" s="690">
        <f t="shared" si="48"/>
        <v>0</v>
      </c>
      <c r="U128" s="683"/>
      <c r="V128" s="474">
        <f t="shared" si="49"/>
        <v>0</v>
      </c>
      <c r="W128" s="474">
        <f t="shared" si="50"/>
        <v>0</v>
      </c>
      <c r="X128" s="475">
        <f t="shared" si="51"/>
        <v>0</v>
      </c>
      <c r="Y128" s="475">
        <v>0</v>
      </c>
      <c r="Z128" s="476">
        <v>0</v>
      </c>
      <c r="AA128" s="38">
        <f t="shared" si="52"/>
        <v>0</v>
      </c>
      <c r="AB128" s="692">
        <f t="shared" si="41"/>
        <v>0</v>
      </c>
      <c r="AC128" s="692">
        <f t="shared" si="42"/>
        <v>0</v>
      </c>
      <c r="AD128" s="692">
        <f t="shared" si="43"/>
        <v>0</v>
      </c>
      <c r="AE128" s="38"/>
      <c r="AF128" s="692">
        <f t="shared" si="44"/>
        <v>0</v>
      </c>
      <c r="AG128" s="692">
        <f t="shared" si="45"/>
        <v>0</v>
      </c>
      <c r="AH128" s="692">
        <f t="shared" si="46"/>
        <v>0</v>
      </c>
    </row>
    <row r="129" spans="1:34" s="232" customFormat="1">
      <c r="A129" s="283"/>
      <c r="B129" s="283" t="s">
        <v>110</v>
      </c>
      <c r="C129" s="667" t="s">
        <v>555</v>
      </c>
      <c r="D129" s="123" t="s">
        <v>192</v>
      </c>
      <c r="E129" s="679"/>
      <c r="F129" s="529">
        <f>VLOOKUP(D129,'July 2012 DMV Revenue'!D:T,17,FALSE)</f>
        <v>0</v>
      </c>
      <c r="G129" s="680"/>
      <c r="H129" s="680"/>
      <c r="I129" s="770">
        <v>3166.51</v>
      </c>
      <c r="J129" s="682">
        <f t="shared" si="47"/>
        <v>3166.51</v>
      </c>
      <c r="K129" s="683"/>
      <c r="L129" s="684"/>
      <c r="M129" s="753"/>
      <c r="N129" s="683">
        <v>0</v>
      </c>
      <c r="O129" s="686"/>
      <c r="P129" s="683">
        <v>0</v>
      </c>
      <c r="Q129" s="687">
        <f t="shared" si="1"/>
        <v>0</v>
      </c>
      <c r="R129" s="688">
        <v>0</v>
      </c>
      <c r="S129" s="693"/>
      <c r="T129" s="690">
        <f t="shared" si="48"/>
        <v>0</v>
      </c>
      <c r="U129" s="683"/>
      <c r="V129" s="474">
        <f t="shared" si="49"/>
        <v>0</v>
      </c>
      <c r="W129" s="474">
        <f t="shared" si="50"/>
        <v>0</v>
      </c>
      <c r="X129" s="475">
        <f t="shared" si="51"/>
        <v>0</v>
      </c>
      <c r="Y129" s="475">
        <v>0</v>
      </c>
      <c r="Z129" s="476">
        <v>0</v>
      </c>
      <c r="AA129" s="38">
        <f t="shared" si="52"/>
        <v>0</v>
      </c>
      <c r="AB129" s="692">
        <f t="shared" si="41"/>
        <v>3166.51</v>
      </c>
      <c r="AC129" s="692">
        <f t="shared" si="42"/>
        <v>0</v>
      </c>
      <c r="AD129" s="692">
        <f t="shared" si="43"/>
        <v>0</v>
      </c>
      <c r="AE129" s="38"/>
      <c r="AF129" s="692">
        <f t="shared" si="44"/>
        <v>0</v>
      </c>
      <c r="AG129" s="692">
        <f t="shared" si="45"/>
        <v>0</v>
      </c>
      <c r="AH129" s="692">
        <f t="shared" si="46"/>
        <v>0</v>
      </c>
    </row>
    <row r="130" spans="1:34" s="232" customFormat="1">
      <c r="A130" s="283"/>
      <c r="B130" s="283" t="s">
        <v>110</v>
      </c>
      <c r="C130" s="667" t="s">
        <v>555</v>
      </c>
      <c r="D130" s="123" t="s">
        <v>193</v>
      </c>
      <c r="E130" s="679"/>
      <c r="F130" s="529">
        <f>VLOOKUP(D130,'July 2012 DMV Revenue'!D:T,17,FALSE)</f>
        <v>0</v>
      </c>
      <c r="G130" s="680"/>
      <c r="H130" s="680"/>
      <c r="I130" s="770">
        <v>317.19</v>
      </c>
      <c r="J130" s="682">
        <f t="shared" si="47"/>
        <v>317.19</v>
      </c>
      <c r="K130" s="683"/>
      <c r="L130" s="684"/>
      <c r="M130" s="753"/>
      <c r="N130" s="683">
        <v>0</v>
      </c>
      <c r="O130" s="686"/>
      <c r="P130" s="683">
        <v>0</v>
      </c>
      <c r="Q130" s="687">
        <f t="shared" si="1"/>
        <v>0</v>
      </c>
      <c r="R130" s="688">
        <v>0</v>
      </c>
      <c r="S130" s="693"/>
      <c r="T130" s="690">
        <f t="shared" si="48"/>
        <v>0</v>
      </c>
      <c r="U130" s="683"/>
      <c r="V130" s="474">
        <f t="shared" si="49"/>
        <v>0</v>
      </c>
      <c r="W130" s="474">
        <f t="shared" si="50"/>
        <v>0</v>
      </c>
      <c r="X130" s="475">
        <f t="shared" si="51"/>
        <v>0</v>
      </c>
      <c r="Y130" s="475">
        <v>0</v>
      </c>
      <c r="Z130" s="476">
        <v>0</v>
      </c>
      <c r="AA130" s="38">
        <f t="shared" si="52"/>
        <v>0</v>
      </c>
      <c r="AB130" s="692">
        <f t="shared" si="41"/>
        <v>317.19</v>
      </c>
      <c r="AC130" s="692">
        <f t="shared" si="42"/>
        <v>0</v>
      </c>
      <c r="AD130" s="692">
        <f t="shared" si="43"/>
        <v>0</v>
      </c>
      <c r="AE130" s="38"/>
      <c r="AF130" s="692">
        <f t="shared" si="44"/>
        <v>0</v>
      </c>
      <c r="AG130" s="692">
        <f t="shared" si="45"/>
        <v>0</v>
      </c>
      <c r="AH130" s="692">
        <f t="shared" si="46"/>
        <v>0</v>
      </c>
    </row>
    <row r="131" spans="1:34" s="232" customFormat="1">
      <c r="A131" s="283"/>
      <c r="B131" s="283" t="s">
        <v>110</v>
      </c>
      <c r="C131" s="667" t="s">
        <v>555</v>
      </c>
      <c r="D131" s="123" t="s">
        <v>194</v>
      </c>
      <c r="E131" s="679"/>
      <c r="F131" s="529">
        <f>VLOOKUP(D131,'July 2012 DMV Revenue'!D:T,17,FALSE)</f>
        <v>0</v>
      </c>
      <c r="G131" s="680"/>
      <c r="H131" s="680"/>
      <c r="I131" s="770">
        <v>64</v>
      </c>
      <c r="J131" s="682">
        <f t="shared" si="47"/>
        <v>64</v>
      </c>
      <c r="K131" s="683"/>
      <c r="L131" s="684"/>
      <c r="M131" s="753"/>
      <c r="N131" s="683">
        <v>0</v>
      </c>
      <c r="O131" s="686"/>
      <c r="P131" s="683">
        <v>0</v>
      </c>
      <c r="Q131" s="687">
        <f t="shared" si="1"/>
        <v>0</v>
      </c>
      <c r="R131" s="688">
        <v>0</v>
      </c>
      <c r="S131" s="693"/>
      <c r="T131" s="690">
        <f t="shared" si="48"/>
        <v>0</v>
      </c>
      <c r="U131" s="683"/>
      <c r="V131" s="474">
        <f t="shared" si="49"/>
        <v>0</v>
      </c>
      <c r="W131" s="474">
        <f t="shared" si="50"/>
        <v>0</v>
      </c>
      <c r="X131" s="475">
        <f t="shared" si="51"/>
        <v>0</v>
      </c>
      <c r="Y131" s="475">
        <v>0</v>
      </c>
      <c r="Z131" s="476">
        <v>0</v>
      </c>
      <c r="AA131" s="38">
        <f t="shared" si="52"/>
        <v>0</v>
      </c>
      <c r="AB131" s="692">
        <f t="shared" si="41"/>
        <v>64</v>
      </c>
      <c r="AC131" s="692">
        <f t="shared" si="42"/>
        <v>0</v>
      </c>
      <c r="AD131" s="692">
        <f t="shared" si="43"/>
        <v>0</v>
      </c>
      <c r="AE131" s="38"/>
      <c r="AF131" s="692">
        <f t="shared" si="44"/>
        <v>0</v>
      </c>
      <c r="AG131" s="692">
        <f t="shared" si="45"/>
        <v>0</v>
      </c>
      <c r="AH131" s="692">
        <f t="shared" si="46"/>
        <v>0</v>
      </c>
    </row>
    <row r="132" spans="1:34" s="232" customFormat="1">
      <c r="A132" s="283"/>
      <c r="B132" s="283" t="s">
        <v>110</v>
      </c>
      <c r="C132" s="667" t="s">
        <v>555</v>
      </c>
      <c r="D132" s="123" t="s">
        <v>195</v>
      </c>
      <c r="E132" s="679"/>
      <c r="F132" s="529">
        <f>VLOOKUP(D132,'July 2012 DMV Revenue'!D:T,17,FALSE)</f>
        <v>0</v>
      </c>
      <c r="G132" s="680"/>
      <c r="H132" s="680"/>
      <c r="I132" s="770">
        <v>14.68</v>
      </c>
      <c r="J132" s="682">
        <f t="shared" si="47"/>
        <v>14.68</v>
      </c>
      <c r="K132" s="683"/>
      <c r="L132" s="684"/>
      <c r="M132" s="753"/>
      <c r="N132" s="683">
        <v>0</v>
      </c>
      <c r="O132" s="686"/>
      <c r="P132" s="683">
        <v>0</v>
      </c>
      <c r="Q132" s="687">
        <f t="shared" si="1"/>
        <v>0</v>
      </c>
      <c r="R132" s="688">
        <v>0</v>
      </c>
      <c r="S132" s="693"/>
      <c r="T132" s="690">
        <f t="shared" si="48"/>
        <v>0</v>
      </c>
      <c r="U132" s="683"/>
      <c r="V132" s="474">
        <f t="shared" si="49"/>
        <v>0</v>
      </c>
      <c r="W132" s="474">
        <f t="shared" si="50"/>
        <v>0</v>
      </c>
      <c r="X132" s="475">
        <f t="shared" si="51"/>
        <v>0</v>
      </c>
      <c r="Y132" s="475">
        <v>0</v>
      </c>
      <c r="Z132" s="476">
        <v>0</v>
      </c>
      <c r="AA132" s="38">
        <f t="shared" si="52"/>
        <v>0</v>
      </c>
      <c r="AB132" s="692">
        <f t="shared" si="41"/>
        <v>14.68</v>
      </c>
      <c r="AC132" s="692">
        <f t="shared" si="42"/>
        <v>0</v>
      </c>
      <c r="AD132" s="692">
        <f t="shared" si="43"/>
        <v>0</v>
      </c>
      <c r="AE132" s="38"/>
      <c r="AF132" s="692">
        <f t="shared" si="44"/>
        <v>0</v>
      </c>
      <c r="AG132" s="692">
        <f t="shared" si="45"/>
        <v>0</v>
      </c>
      <c r="AH132" s="692">
        <f t="shared" si="46"/>
        <v>0</v>
      </c>
    </row>
    <row r="133" spans="1:34" s="232" customFormat="1">
      <c r="A133" s="283"/>
      <c r="B133" s="283" t="s">
        <v>110</v>
      </c>
      <c r="C133" s="667" t="s">
        <v>555</v>
      </c>
      <c r="D133" s="123" t="s">
        <v>196</v>
      </c>
      <c r="E133" s="679"/>
      <c r="F133" s="529">
        <f>VLOOKUP(D133,'July 2012 DMV Revenue'!D:T,17,FALSE)</f>
        <v>0</v>
      </c>
      <c r="G133" s="680"/>
      <c r="H133" s="680"/>
      <c r="I133" s="770">
        <v>66.25</v>
      </c>
      <c r="J133" s="682">
        <f t="shared" si="47"/>
        <v>66.25</v>
      </c>
      <c r="K133" s="683"/>
      <c r="L133" s="684"/>
      <c r="M133" s="753"/>
      <c r="N133" s="683">
        <v>0</v>
      </c>
      <c r="O133" s="686"/>
      <c r="P133" s="683">
        <v>0</v>
      </c>
      <c r="Q133" s="687">
        <f t="shared" si="1"/>
        <v>0</v>
      </c>
      <c r="R133" s="688">
        <v>0</v>
      </c>
      <c r="S133" s="693"/>
      <c r="T133" s="690">
        <f t="shared" si="48"/>
        <v>0</v>
      </c>
      <c r="U133" s="683"/>
      <c r="V133" s="474">
        <f t="shared" si="49"/>
        <v>0</v>
      </c>
      <c r="W133" s="474">
        <f t="shared" si="50"/>
        <v>0</v>
      </c>
      <c r="X133" s="475">
        <f t="shared" si="51"/>
        <v>0</v>
      </c>
      <c r="Y133" s="475">
        <v>0</v>
      </c>
      <c r="Z133" s="476">
        <v>0</v>
      </c>
      <c r="AA133" s="38">
        <f t="shared" si="52"/>
        <v>0</v>
      </c>
      <c r="AB133" s="692">
        <f t="shared" si="41"/>
        <v>66.25</v>
      </c>
      <c r="AC133" s="692">
        <f t="shared" si="42"/>
        <v>0</v>
      </c>
      <c r="AD133" s="692">
        <f t="shared" si="43"/>
        <v>0</v>
      </c>
      <c r="AE133" s="38"/>
      <c r="AF133" s="692">
        <f t="shared" si="44"/>
        <v>0</v>
      </c>
      <c r="AG133" s="692">
        <f t="shared" si="45"/>
        <v>0</v>
      </c>
      <c r="AH133" s="692">
        <f t="shared" si="46"/>
        <v>0</v>
      </c>
    </row>
    <row r="134" spans="1:34" s="232" customFormat="1">
      <c r="A134" s="283"/>
      <c r="B134" s="283" t="s">
        <v>110</v>
      </c>
      <c r="C134" s="667" t="s">
        <v>555</v>
      </c>
      <c r="D134" s="123" t="s">
        <v>197</v>
      </c>
      <c r="E134" s="679"/>
      <c r="F134" s="529">
        <f>VLOOKUP(D134,'July 2012 DMV Revenue'!D:T,17,FALSE)</f>
        <v>0</v>
      </c>
      <c r="G134" s="680"/>
      <c r="H134" s="680"/>
      <c r="I134" s="770">
        <v>2.0099999999999998</v>
      </c>
      <c r="J134" s="682">
        <f t="shared" si="47"/>
        <v>2.0099999999999998</v>
      </c>
      <c r="K134" s="683"/>
      <c r="L134" s="684"/>
      <c r="M134" s="753"/>
      <c r="N134" s="683">
        <v>0</v>
      </c>
      <c r="O134" s="686"/>
      <c r="P134" s="683">
        <v>0</v>
      </c>
      <c r="Q134" s="687">
        <f t="shared" si="1"/>
        <v>0</v>
      </c>
      <c r="R134" s="688">
        <v>0</v>
      </c>
      <c r="S134" s="693"/>
      <c r="T134" s="690">
        <f t="shared" si="48"/>
        <v>0</v>
      </c>
      <c r="U134" s="683"/>
      <c r="V134" s="474">
        <f t="shared" si="49"/>
        <v>0</v>
      </c>
      <c r="W134" s="474">
        <f t="shared" si="50"/>
        <v>0</v>
      </c>
      <c r="X134" s="475">
        <f t="shared" si="51"/>
        <v>0</v>
      </c>
      <c r="Y134" s="475">
        <v>0</v>
      </c>
      <c r="Z134" s="476">
        <v>0</v>
      </c>
      <c r="AA134" s="38">
        <f t="shared" si="52"/>
        <v>0</v>
      </c>
      <c r="AB134" s="692">
        <f t="shared" si="41"/>
        <v>2.0099999999999998</v>
      </c>
      <c r="AC134" s="692">
        <f t="shared" si="42"/>
        <v>0</v>
      </c>
      <c r="AD134" s="692">
        <f t="shared" si="43"/>
        <v>0</v>
      </c>
      <c r="AE134" s="38"/>
      <c r="AF134" s="692">
        <f t="shared" si="44"/>
        <v>0</v>
      </c>
      <c r="AG134" s="692">
        <f t="shared" si="45"/>
        <v>0</v>
      </c>
      <c r="AH134" s="692">
        <f t="shared" si="46"/>
        <v>0</v>
      </c>
    </row>
    <row r="135" spans="1:34" s="232" customFormat="1">
      <c r="A135" s="283"/>
      <c r="B135" s="283" t="s">
        <v>110</v>
      </c>
      <c r="C135" s="667" t="s">
        <v>555</v>
      </c>
      <c r="D135" s="123" t="s">
        <v>440</v>
      </c>
      <c r="E135" s="679"/>
      <c r="F135" s="529">
        <f>VLOOKUP(D135,'July 2012 DMV Revenue'!D:T,17,FALSE)</f>
        <v>0</v>
      </c>
      <c r="G135" s="680"/>
      <c r="H135" s="680"/>
      <c r="I135" s="770">
        <f>1063.91+174.3+238.81</f>
        <v>1477.02</v>
      </c>
      <c r="J135" s="682">
        <f t="shared" ref="J135:J184" si="54">SUM(E135:I135)</f>
        <v>1477.02</v>
      </c>
      <c r="K135" s="683"/>
      <c r="L135" s="684"/>
      <c r="M135" s="753"/>
      <c r="N135" s="683">
        <v>0</v>
      </c>
      <c r="O135" s="686"/>
      <c r="P135" s="683">
        <v>0</v>
      </c>
      <c r="Q135" s="687">
        <f t="shared" si="1"/>
        <v>0</v>
      </c>
      <c r="R135" s="688">
        <v>0</v>
      </c>
      <c r="S135" s="693"/>
      <c r="T135" s="690">
        <f t="shared" si="48"/>
        <v>0</v>
      </c>
      <c r="U135" s="683"/>
      <c r="V135" s="474">
        <f t="shared" si="49"/>
        <v>0</v>
      </c>
      <c r="W135" s="474">
        <f t="shared" si="50"/>
        <v>0</v>
      </c>
      <c r="X135" s="475">
        <f t="shared" si="51"/>
        <v>0</v>
      </c>
      <c r="Y135" s="475">
        <v>0</v>
      </c>
      <c r="Z135" s="476">
        <v>0</v>
      </c>
      <c r="AA135" s="38">
        <f t="shared" si="52"/>
        <v>0</v>
      </c>
      <c r="AB135" s="692">
        <f t="shared" si="41"/>
        <v>1477.02</v>
      </c>
      <c r="AC135" s="692">
        <f t="shared" si="42"/>
        <v>0</v>
      </c>
      <c r="AD135" s="692">
        <f t="shared" si="43"/>
        <v>0</v>
      </c>
      <c r="AE135" s="38"/>
      <c r="AF135" s="692">
        <f t="shared" si="44"/>
        <v>0</v>
      </c>
      <c r="AG135" s="692">
        <f t="shared" si="45"/>
        <v>0</v>
      </c>
      <c r="AH135" s="692">
        <f t="shared" si="46"/>
        <v>0</v>
      </c>
    </row>
    <row r="136" spans="1:34" s="232" customFormat="1">
      <c r="A136" s="283"/>
      <c r="B136" s="283" t="s">
        <v>110</v>
      </c>
      <c r="C136" s="667" t="s">
        <v>555</v>
      </c>
      <c r="D136" s="123" t="s">
        <v>481</v>
      </c>
      <c r="E136" s="679"/>
      <c r="F136" s="529">
        <f>VLOOKUP(D136,'July 2012 DMV Revenue'!D:T,17,FALSE)</f>
        <v>0</v>
      </c>
      <c r="G136" s="680"/>
      <c r="H136" s="680"/>
      <c r="I136" s="770">
        <v>423.36</v>
      </c>
      <c r="J136" s="682">
        <f t="shared" si="54"/>
        <v>423.36</v>
      </c>
      <c r="K136" s="683"/>
      <c r="L136" s="684"/>
      <c r="M136" s="753"/>
      <c r="N136" s="683">
        <v>0</v>
      </c>
      <c r="O136" s="686"/>
      <c r="P136" s="683">
        <v>0</v>
      </c>
      <c r="Q136" s="687">
        <f t="shared" si="1"/>
        <v>0</v>
      </c>
      <c r="R136" s="688">
        <v>0</v>
      </c>
      <c r="S136" s="693"/>
      <c r="T136" s="690">
        <f t="shared" si="48"/>
        <v>0</v>
      </c>
      <c r="U136" s="683"/>
      <c r="V136" s="474">
        <f t="shared" si="49"/>
        <v>0</v>
      </c>
      <c r="W136" s="474">
        <f t="shared" si="50"/>
        <v>0</v>
      </c>
      <c r="X136" s="475">
        <f t="shared" si="51"/>
        <v>0</v>
      </c>
      <c r="Y136" s="475">
        <v>0</v>
      </c>
      <c r="Z136" s="476">
        <v>0</v>
      </c>
      <c r="AA136" s="38">
        <f t="shared" si="52"/>
        <v>0</v>
      </c>
      <c r="AB136" s="692">
        <f t="shared" si="41"/>
        <v>423.36</v>
      </c>
      <c r="AC136" s="692">
        <f t="shared" si="42"/>
        <v>0</v>
      </c>
      <c r="AD136" s="692">
        <f t="shared" si="43"/>
        <v>0</v>
      </c>
      <c r="AE136" s="38"/>
      <c r="AF136" s="692">
        <f t="shared" si="44"/>
        <v>0</v>
      </c>
      <c r="AG136" s="692">
        <f t="shared" si="45"/>
        <v>0</v>
      </c>
      <c r="AH136" s="692">
        <f t="shared" si="46"/>
        <v>0</v>
      </c>
    </row>
    <row r="137" spans="1:34" s="232" customFormat="1">
      <c r="A137" s="283"/>
      <c r="B137" s="283" t="s">
        <v>109</v>
      </c>
      <c r="C137" s="667" t="s">
        <v>555</v>
      </c>
      <c r="D137" s="123" t="s">
        <v>248</v>
      </c>
      <c r="E137" s="679"/>
      <c r="F137" s="529">
        <f>VLOOKUP(D137,'July 2012 DMV Revenue'!D:T,17,FALSE)</f>
        <v>0</v>
      </c>
      <c r="G137" s="680"/>
      <c r="H137" s="680"/>
      <c r="I137" s="755"/>
      <c r="J137" s="682">
        <f t="shared" si="54"/>
        <v>0</v>
      </c>
      <c r="K137" s="683"/>
      <c r="L137" s="684"/>
      <c r="M137" s="753"/>
      <c r="N137" s="683">
        <v>0</v>
      </c>
      <c r="O137" s="686"/>
      <c r="P137" s="683">
        <v>0</v>
      </c>
      <c r="Q137" s="687">
        <f t="shared" si="1"/>
        <v>0</v>
      </c>
      <c r="R137" s="688">
        <v>0</v>
      </c>
      <c r="S137" s="693"/>
      <c r="T137" s="690">
        <f t="shared" si="48"/>
        <v>0</v>
      </c>
      <c r="U137" s="683"/>
      <c r="V137" s="474">
        <f t="shared" si="49"/>
        <v>0</v>
      </c>
      <c r="W137" s="474">
        <f t="shared" si="50"/>
        <v>0</v>
      </c>
      <c r="X137" s="475">
        <f t="shared" si="51"/>
        <v>0</v>
      </c>
      <c r="Y137" s="475">
        <v>0</v>
      </c>
      <c r="Z137" s="476">
        <v>0</v>
      </c>
      <c r="AA137" s="38">
        <f t="shared" si="52"/>
        <v>0</v>
      </c>
      <c r="AB137" s="692">
        <f t="shared" ref="AB137:AB184" si="55">IF(B137="D",J137,0)</f>
        <v>0</v>
      </c>
      <c r="AC137" s="692">
        <f t="shared" ref="AC137:AC184" si="56">IF(B137="M",J137,0)</f>
        <v>0</v>
      </c>
      <c r="AD137" s="692">
        <f t="shared" ref="AD137:AD184" si="57">IF(B137="V",J137,0)</f>
        <v>0</v>
      </c>
      <c r="AE137" s="38"/>
      <c r="AF137" s="692">
        <f t="shared" ref="AF137:AF184" si="58">IF(B137="D",Q137,0)</f>
        <v>0</v>
      </c>
      <c r="AG137" s="692">
        <f t="shared" ref="AG137:AG184" si="59">IF(B137="M",Q137,0)</f>
        <v>0</v>
      </c>
      <c r="AH137" s="692">
        <f t="shared" ref="AH137:AH184" si="60">IF(B137="V",Q137,0)</f>
        <v>0</v>
      </c>
    </row>
    <row r="138" spans="1:34" s="232" customFormat="1">
      <c r="A138" s="283"/>
      <c r="B138" s="20" t="s">
        <v>109</v>
      </c>
      <c r="C138" s="667"/>
      <c r="D138" s="68" t="s">
        <v>465</v>
      </c>
      <c r="E138" s="679"/>
      <c r="F138" s="529">
        <f>VLOOKUP(D138,'July 2012 DMV Revenue'!D:T,17,FALSE)</f>
        <v>-10000</v>
      </c>
      <c r="G138" s="680"/>
      <c r="H138" s="680"/>
      <c r="I138" s="755"/>
      <c r="J138" s="682">
        <f t="shared" si="54"/>
        <v>-10000</v>
      </c>
      <c r="K138" s="683"/>
      <c r="L138" s="684"/>
      <c r="M138" s="753">
        <v>15000</v>
      </c>
      <c r="N138" s="683">
        <v>0</v>
      </c>
      <c r="O138" s="686"/>
      <c r="P138" s="683">
        <v>0</v>
      </c>
      <c r="Q138" s="687">
        <f t="shared" si="1"/>
        <v>15000</v>
      </c>
      <c r="R138" s="688">
        <v>0</v>
      </c>
      <c r="S138" s="693"/>
      <c r="T138" s="690">
        <f t="shared" si="48"/>
        <v>-15000</v>
      </c>
      <c r="U138" s="683"/>
      <c r="V138" s="474">
        <f t="shared" si="49"/>
        <v>0</v>
      </c>
      <c r="W138" s="474">
        <f t="shared" si="50"/>
        <v>15000</v>
      </c>
      <c r="X138" s="475">
        <f t="shared" si="51"/>
        <v>0</v>
      </c>
      <c r="Y138" s="475">
        <v>0</v>
      </c>
      <c r="Z138" s="476">
        <v>0</v>
      </c>
      <c r="AA138" s="38">
        <f t="shared" si="52"/>
        <v>0</v>
      </c>
      <c r="AB138" s="692">
        <f t="shared" si="55"/>
        <v>0</v>
      </c>
      <c r="AC138" s="692">
        <f t="shared" si="56"/>
        <v>-10000</v>
      </c>
      <c r="AD138" s="692">
        <f t="shared" si="57"/>
        <v>0</v>
      </c>
      <c r="AE138" s="38"/>
      <c r="AF138" s="692">
        <f t="shared" si="58"/>
        <v>0</v>
      </c>
      <c r="AG138" s="692">
        <f t="shared" si="59"/>
        <v>15000</v>
      </c>
      <c r="AH138" s="692">
        <f t="shared" si="60"/>
        <v>0</v>
      </c>
    </row>
    <row r="139" spans="1:34">
      <c r="A139" s="21"/>
      <c r="B139" s="21" t="s">
        <v>110</v>
      </c>
      <c r="C139" s="666" t="s">
        <v>556</v>
      </c>
      <c r="D139" s="68" t="s">
        <v>261</v>
      </c>
      <c r="E139" s="679"/>
      <c r="F139" s="529">
        <f>VLOOKUP(D139,'July 2012 DMV Revenue'!D:T,17,FALSE)</f>
        <v>-4232.9900000000052</v>
      </c>
      <c r="G139" s="680"/>
      <c r="H139" s="680"/>
      <c r="I139" s="755"/>
      <c r="J139" s="682">
        <f t="shared" si="54"/>
        <v>-4232.9900000000052</v>
      </c>
      <c r="K139" s="683"/>
      <c r="L139" s="684"/>
      <c r="M139" s="753">
        <v>85000</v>
      </c>
      <c r="N139" s="683">
        <v>0</v>
      </c>
      <c r="O139" s="686"/>
      <c r="P139" s="683">
        <v>0</v>
      </c>
      <c r="Q139" s="687">
        <f t="shared" si="1"/>
        <v>85000</v>
      </c>
      <c r="R139" s="688">
        <f>100571.84-R140</f>
        <v>91195</v>
      </c>
      <c r="S139" s="693"/>
      <c r="T139" s="690">
        <f t="shared" si="48"/>
        <v>6195</v>
      </c>
      <c r="U139" s="683"/>
      <c r="V139" s="474">
        <f t="shared" si="49"/>
        <v>85000</v>
      </c>
      <c r="W139" s="474">
        <f t="shared" si="50"/>
        <v>0</v>
      </c>
      <c r="X139" s="475">
        <f t="shared" si="51"/>
        <v>0</v>
      </c>
      <c r="Y139" s="475">
        <v>0</v>
      </c>
      <c r="Z139" s="476">
        <v>0</v>
      </c>
      <c r="AA139" s="38">
        <f t="shared" si="52"/>
        <v>0</v>
      </c>
      <c r="AB139" s="692">
        <f t="shared" si="55"/>
        <v>-4232.9900000000052</v>
      </c>
      <c r="AC139" s="692">
        <f t="shared" si="56"/>
        <v>0</v>
      </c>
      <c r="AD139" s="692">
        <f t="shared" si="57"/>
        <v>0</v>
      </c>
      <c r="AE139" s="38"/>
      <c r="AF139" s="692">
        <f t="shared" si="58"/>
        <v>85000</v>
      </c>
      <c r="AG139" s="692">
        <f t="shared" si="59"/>
        <v>0</v>
      </c>
      <c r="AH139" s="692">
        <f t="shared" si="60"/>
        <v>0</v>
      </c>
    </row>
    <row r="140" spans="1:34" s="269" customFormat="1">
      <c r="A140" s="21"/>
      <c r="B140" s="21" t="s">
        <v>110</v>
      </c>
      <c r="C140" s="666" t="s">
        <v>556</v>
      </c>
      <c r="D140" s="68" t="s">
        <v>262</v>
      </c>
      <c r="E140" s="679"/>
      <c r="F140" s="529">
        <f>VLOOKUP(D140,'July 2012 DMV Revenue'!D:T,17,FALSE)</f>
        <v>-211.80999999999949</v>
      </c>
      <c r="G140" s="680"/>
      <c r="H140" s="680"/>
      <c r="I140" s="755"/>
      <c r="J140" s="682">
        <f t="shared" si="54"/>
        <v>-211.80999999999949</v>
      </c>
      <c r="K140" s="683"/>
      <c r="L140" s="684"/>
      <c r="M140" s="753">
        <v>10000</v>
      </c>
      <c r="N140" s="683">
        <v>0</v>
      </c>
      <c r="O140" s="686"/>
      <c r="P140" s="683">
        <v>0</v>
      </c>
      <c r="Q140" s="687">
        <f t="shared" si="1"/>
        <v>10000</v>
      </c>
      <c r="R140" s="688">
        <v>9376.84</v>
      </c>
      <c r="S140" s="693"/>
      <c r="T140" s="690">
        <f t="shared" si="48"/>
        <v>-623.15999999999985</v>
      </c>
      <c r="U140" s="683"/>
      <c r="V140" s="474">
        <f t="shared" si="49"/>
        <v>10000</v>
      </c>
      <c r="W140" s="474">
        <f t="shared" si="50"/>
        <v>0</v>
      </c>
      <c r="X140" s="475">
        <f t="shared" si="51"/>
        <v>0</v>
      </c>
      <c r="Y140" s="475">
        <v>0</v>
      </c>
      <c r="Z140" s="476">
        <v>0</v>
      </c>
      <c r="AA140" s="38">
        <f t="shared" si="52"/>
        <v>0</v>
      </c>
      <c r="AB140" s="692">
        <f t="shared" si="55"/>
        <v>-211.80999999999949</v>
      </c>
      <c r="AC140" s="692">
        <f t="shared" si="56"/>
        <v>0</v>
      </c>
      <c r="AD140" s="692">
        <f t="shared" si="57"/>
        <v>0</v>
      </c>
      <c r="AE140" s="38"/>
      <c r="AF140" s="692">
        <f t="shared" si="58"/>
        <v>10000</v>
      </c>
      <c r="AG140" s="692">
        <f t="shared" si="59"/>
        <v>0</v>
      </c>
      <c r="AH140" s="692">
        <f t="shared" si="60"/>
        <v>0</v>
      </c>
    </row>
    <row r="141" spans="1:34" s="269" customFormat="1">
      <c r="A141" s="21"/>
      <c r="B141" s="21" t="s">
        <v>114</v>
      </c>
      <c r="C141" s="675" t="s">
        <v>619</v>
      </c>
      <c r="D141" s="68" t="s">
        <v>626</v>
      </c>
      <c r="E141" s="679"/>
      <c r="F141" s="529">
        <f>VLOOKUP(D141,'July 2012 DMV Revenue'!D:T,17,FALSE)</f>
        <v>4598.95</v>
      </c>
      <c r="G141" s="680"/>
      <c r="H141" s="680"/>
      <c r="I141" s="770">
        <v>4832.9399999999996</v>
      </c>
      <c r="J141" s="682">
        <f t="shared" ref="J141" si="61">SUM(E141:I141)</f>
        <v>9431.89</v>
      </c>
      <c r="K141" s="683"/>
      <c r="L141" s="684"/>
      <c r="M141" s="753"/>
      <c r="N141" s="683">
        <v>0</v>
      </c>
      <c r="O141" s="686"/>
      <c r="P141" s="683">
        <v>0</v>
      </c>
      <c r="Q141" s="687">
        <f t="shared" ref="Q141:Q187" si="62">L141+M141</f>
        <v>0</v>
      </c>
      <c r="R141" s="688">
        <v>0</v>
      </c>
      <c r="S141" s="693"/>
      <c r="T141" s="690">
        <f t="shared" si="48"/>
        <v>0</v>
      </c>
      <c r="U141" s="683"/>
      <c r="V141" s="474">
        <f t="shared" ref="V141:V187" si="63">IF(B141="D",Q141,0)</f>
        <v>0</v>
      </c>
      <c r="W141" s="474">
        <f t="shared" ref="W141:W187" si="64">IF(B141="M",Q141,0)</f>
        <v>0</v>
      </c>
      <c r="X141" s="475">
        <f t="shared" ref="X141:X187" si="65">IF(B141="V",Q141,0)</f>
        <v>0</v>
      </c>
      <c r="Y141" s="475">
        <v>0</v>
      </c>
      <c r="Z141" s="476">
        <v>0</v>
      </c>
      <c r="AA141" s="38">
        <f t="shared" ref="AA141:AA187" si="66">(L141+M141)-(V141+W141+X141+Y141+Z141)</f>
        <v>0</v>
      </c>
      <c r="AB141" s="692">
        <f t="shared" si="55"/>
        <v>0</v>
      </c>
      <c r="AC141" s="692">
        <f t="shared" si="56"/>
        <v>0</v>
      </c>
      <c r="AD141" s="692">
        <f t="shared" si="57"/>
        <v>9431.89</v>
      </c>
      <c r="AE141" s="38"/>
      <c r="AF141" s="692">
        <f t="shared" si="58"/>
        <v>0</v>
      </c>
      <c r="AG141" s="692">
        <f t="shared" si="59"/>
        <v>0</v>
      </c>
      <c r="AH141" s="692">
        <f t="shared" si="60"/>
        <v>0</v>
      </c>
    </row>
    <row r="142" spans="1:34">
      <c r="A142" s="21"/>
      <c r="B142" s="21" t="s">
        <v>109</v>
      </c>
      <c r="C142" s="666"/>
      <c r="D142" s="68" t="s">
        <v>396</v>
      </c>
      <c r="E142" s="679"/>
      <c r="F142" s="529">
        <f>VLOOKUP(D142,'July 2012 DMV Revenue'!D:T,17,FALSE)</f>
        <v>0</v>
      </c>
      <c r="G142" s="680"/>
      <c r="H142" s="680"/>
      <c r="I142" s="755"/>
      <c r="J142" s="682">
        <f t="shared" si="54"/>
        <v>0</v>
      </c>
      <c r="K142" s="683"/>
      <c r="L142" s="684"/>
      <c r="M142" s="753"/>
      <c r="N142" s="683">
        <v>0</v>
      </c>
      <c r="O142" s="686"/>
      <c r="P142" s="683">
        <v>0</v>
      </c>
      <c r="Q142" s="687">
        <f t="shared" si="62"/>
        <v>0</v>
      </c>
      <c r="R142" s="688">
        <v>14.29</v>
      </c>
      <c r="S142" s="693"/>
      <c r="T142" s="690">
        <f t="shared" si="48"/>
        <v>14.29</v>
      </c>
      <c r="U142" s="683"/>
      <c r="V142" s="474">
        <f t="shared" si="63"/>
        <v>0</v>
      </c>
      <c r="W142" s="474">
        <f t="shared" si="64"/>
        <v>0</v>
      </c>
      <c r="X142" s="475">
        <f t="shared" si="65"/>
        <v>0</v>
      </c>
      <c r="Y142" s="475">
        <v>0</v>
      </c>
      <c r="Z142" s="476">
        <v>0</v>
      </c>
      <c r="AA142" s="38">
        <f t="shared" si="66"/>
        <v>0</v>
      </c>
      <c r="AB142" s="692">
        <f t="shared" si="55"/>
        <v>0</v>
      </c>
      <c r="AC142" s="692">
        <f t="shared" si="56"/>
        <v>0</v>
      </c>
      <c r="AD142" s="692">
        <f t="shared" si="57"/>
        <v>0</v>
      </c>
      <c r="AE142" s="38"/>
      <c r="AF142" s="692">
        <f t="shared" si="58"/>
        <v>0</v>
      </c>
      <c r="AG142" s="692">
        <f t="shared" si="59"/>
        <v>0</v>
      </c>
      <c r="AH142" s="692">
        <f t="shared" si="60"/>
        <v>0</v>
      </c>
    </row>
    <row r="143" spans="1:34">
      <c r="A143" s="20"/>
      <c r="B143" s="20" t="s">
        <v>109</v>
      </c>
      <c r="C143" s="667" t="s">
        <v>557</v>
      </c>
      <c r="D143" s="68" t="s">
        <v>32</v>
      </c>
      <c r="E143" s="679">
        <f>823.66+679.94+95.21+2.28+4.99</f>
        <v>1606.08</v>
      </c>
      <c r="F143" s="529">
        <f>VLOOKUP(D143,'July 2012 DMV Revenue'!D:T,17,FALSE)</f>
        <v>0</v>
      </c>
      <c r="G143" s="680"/>
      <c r="H143" s="680"/>
      <c r="I143" s="755"/>
      <c r="J143" s="682">
        <f t="shared" si="54"/>
        <v>1606.08</v>
      </c>
      <c r="K143" s="683"/>
      <c r="L143" s="684"/>
      <c r="M143" s="753"/>
      <c r="N143" s="683">
        <v>0</v>
      </c>
      <c r="O143" s="686"/>
      <c r="P143" s="683">
        <v>0</v>
      </c>
      <c r="Q143" s="687">
        <f t="shared" si="62"/>
        <v>0</v>
      </c>
      <c r="R143" s="688">
        <f>59.81+2.14</f>
        <v>61.95</v>
      </c>
      <c r="S143" s="693"/>
      <c r="T143" s="690">
        <f t="shared" ref="T143:T201" si="67">IF(R143="","",R143-Q143)</f>
        <v>61.95</v>
      </c>
      <c r="U143" s="683"/>
      <c r="V143" s="474">
        <f t="shared" si="63"/>
        <v>0</v>
      </c>
      <c r="W143" s="474">
        <f t="shared" si="64"/>
        <v>0</v>
      </c>
      <c r="X143" s="475">
        <f t="shared" si="65"/>
        <v>0</v>
      </c>
      <c r="Y143" s="475">
        <v>0</v>
      </c>
      <c r="Z143" s="476">
        <v>0</v>
      </c>
      <c r="AA143" s="38">
        <f t="shared" si="66"/>
        <v>0</v>
      </c>
      <c r="AB143" s="692">
        <f t="shared" si="55"/>
        <v>0</v>
      </c>
      <c r="AC143" s="692">
        <f t="shared" si="56"/>
        <v>1606.08</v>
      </c>
      <c r="AD143" s="692">
        <f t="shared" si="57"/>
        <v>0</v>
      </c>
      <c r="AE143" s="38"/>
      <c r="AF143" s="692">
        <f t="shared" si="58"/>
        <v>0</v>
      </c>
      <c r="AG143" s="692">
        <f t="shared" si="59"/>
        <v>0</v>
      </c>
      <c r="AH143" s="692">
        <f t="shared" si="60"/>
        <v>0</v>
      </c>
    </row>
    <row r="144" spans="1:34">
      <c r="A144" s="21"/>
      <c r="B144" s="21" t="s">
        <v>110</v>
      </c>
      <c r="C144" s="666"/>
      <c r="D144" s="68" t="s">
        <v>448</v>
      </c>
      <c r="E144" s="679"/>
      <c r="F144" s="529">
        <f>VLOOKUP(D144,'July 2012 DMV Revenue'!D:T,17,FALSE)</f>
        <v>1018.54</v>
      </c>
      <c r="G144" s="680"/>
      <c r="H144" s="680"/>
      <c r="I144" s="755"/>
      <c r="J144" s="682">
        <f t="shared" si="54"/>
        <v>1018.54</v>
      </c>
      <c r="K144" s="683"/>
      <c r="L144" s="684"/>
      <c r="M144" s="753"/>
      <c r="N144" s="683">
        <v>0</v>
      </c>
      <c r="O144" s="686"/>
      <c r="P144" s="683">
        <v>0</v>
      </c>
      <c r="Q144" s="687">
        <f t="shared" si="62"/>
        <v>0</v>
      </c>
      <c r="R144" s="688">
        <v>0</v>
      </c>
      <c r="S144" s="693"/>
      <c r="T144" s="690">
        <f t="shared" si="67"/>
        <v>0</v>
      </c>
      <c r="U144" s="683"/>
      <c r="V144" s="474">
        <f t="shared" si="63"/>
        <v>0</v>
      </c>
      <c r="W144" s="474">
        <f t="shared" si="64"/>
        <v>0</v>
      </c>
      <c r="X144" s="475">
        <f t="shared" si="65"/>
        <v>0</v>
      </c>
      <c r="Y144" s="475">
        <v>0</v>
      </c>
      <c r="Z144" s="476">
        <v>0</v>
      </c>
      <c r="AA144" s="38">
        <f t="shared" si="66"/>
        <v>0</v>
      </c>
      <c r="AB144" s="692">
        <f t="shared" si="55"/>
        <v>1018.54</v>
      </c>
      <c r="AC144" s="692">
        <f t="shared" si="56"/>
        <v>0</v>
      </c>
      <c r="AD144" s="692">
        <f t="shared" si="57"/>
        <v>0</v>
      </c>
      <c r="AE144" s="38"/>
      <c r="AF144" s="692">
        <f t="shared" si="58"/>
        <v>0</v>
      </c>
      <c r="AG144" s="692">
        <f t="shared" si="59"/>
        <v>0</v>
      </c>
      <c r="AH144" s="692">
        <f t="shared" si="60"/>
        <v>0</v>
      </c>
    </row>
    <row r="145" spans="1:34">
      <c r="A145" s="21"/>
      <c r="B145" s="21" t="s">
        <v>110</v>
      </c>
      <c r="C145" s="666" t="s">
        <v>558</v>
      </c>
      <c r="D145" s="68" t="s">
        <v>122</v>
      </c>
      <c r="E145" s="679"/>
      <c r="F145" s="529">
        <f>VLOOKUP(D145,'July 2012 DMV Revenue'!D:T,17,FALSE)</f>
        <v>-15000</v>
      </c>
      <c r="G145" s="680"/>
      <c r="H145" s="680"/>
      <c r="I145" s="755"/>
      <c r="J145" s="682">
        <f t="shared" si="54"/>
        <v>-15000</v>
      </c>
      <c r="K145" s="683"/>
      <c r="L145" s="684"/>
      <c r="M145" s="753">
        <v>18000</v>
      </c>
      <c r="N145" s="683">
        <v>0</v>
      </c>
      <c r="O145" s="686"/>
      <c r="P145" s="683">
        <v>0</v>
      </c>
      <c r="Q145" s="687">
        <f t="shared" si="62"/>
        <v>18000</v>
      </c>
      <c r="R145" s="688">
        <v>0</v>
      </c>
      <c r="S145" s="693"/>
      <c r="T145" s="690">
        <f t="shared" si="67"/>
        <v>-18000</v>
      </c>
      <c r="U145" s="683"/>
      <c r="V145" s="474">
        <f t="shared" si="63"/>
        <v>18000</v>
      </c>
      <c r="W145" s="474">
        <f t="shared" si="64"/>
        <v>0</v>
      </c>
      <c r="X145" s="475">
        <f t="shared" si="65"/>
        <v>0</v>
      </c>
      <c r="Y145" s="475">
        <v>0</v>
      </c>
      <c r="Z145" s="476">
        <v>0</v>
      </c>
      <c r="AA145" s="38">
        <f t="shared" si="66"/>
        <v>0</v>
      </c>
      <c r="AB145" s="692">
        <f t="shared" si="55"/>
        <v>-15000</v>
      </c>
      <c r="AC145" s="692">
        <f t="shared" si="56"/>
        <v>0</v>
      </c>
      <c r="AD145" s="692">
        <f t="shared" si="57"/>
        <v>0</v>
      </c>
      <c r="AE145" s="38"/>
      <c r="AF145" s="692">
        <f t="shared" si="58"/>
        <v>18000</v>
      </c>
      <c r="AG145" s="692">
        <f t="shared" si="59"/>
        <v>0</v>
      </c>
      <c r="AH145" s="692">
        <f t="shared" si="60"/>
        <v>0</v>
      </c>
    </row>
    <row r="146" spans="1:34">
      <c r="A146" s="21"/>
      <c r="B146" s="21" t="s">
        <v>114</v>
      </c>
      <c r="C146" s="666" t="s">
        <v>558</v>
      </c>
      <c r="D146" s="68" t="s">
        <v>629</v>
      </c>
      <c r="E146" s="679"/>
      <c r="F146" s="529">
        <f>VLOOKUP(D146,'July 2012 DMV Revenue'!D:T,17,FALSE)</f>
        <v>0</v>
      </c>
      <c r="G146" s="680"/>
      <c r="H146" s="680"/>
      <c r="I146" s="755"/>
      <c r="J146" s="682">
        <f t="shared" ref="J146" si="68">SUM(E146:I146)</f>
        <v>0</v>
      </c>
      <c r="K146" s="683"/>
      <c r="L146" s="684"/>
      <c r="M146" s="753"/>
      <c r="N146" s="683">
        <v>0</v>
      </c>
      <c r="O146" s="686"/>
      <c r="P146" s="683">
        <v>0</v>
      </c>
      <c r="Q146" s="687">
        <f t="shared" si="62"/>
        <v>0</v>
      </c>
      <c r="R146" s="688">
        <v>0</v>
      </c>
      <c r="S146" s="693"/>
      <c r="T146" s="690">
        <f t="shared" si="67"/>
        <v>0</v>
      </c>
      <c r="U146" s="683"/>
      <c r="V146" s="474">
        <f t="shared" si="63"/>
        <v>0</v>
      </c>
      <c r="W146" s="474">
        <f t="shared" si="64"/>
        <v>0</v>
      </c>
      <c r="X146" s="475">
        <f t="shared" si="65"/>
        <v>0</v>
      </c>
      <c r="Y146" s="475">
        <v>0</v>
      </c>
      <c r="Z146" s="476">
        <v>0</v>
      </c>
      <c r="AA146" s="38">
        <f t="shared" si="66"/>
        <v>0</v>
      </c>
      <c r="AB146" s="692">
        <f t="shared" si="55"/>
        <v>0</v>
      </c>
      <c r="AC146" s="692">
        <f t="shared" si="56"/>
        <v>0</v>
      </c>
      <c r="AD146" s="692">
        <f t="shared" si="57"/>
        <v>0</v>
      </c>
      <c r="AE146" s="38"/>
      <c r="AF146" s="692">
        <f t="shared" si="58"/>
        <v>0</v>
      </c>
      <c r="AG146" s="692">
        <f t="shared" si="59"/>
        <v>0</v>
      </c>
      <c r="AH146" s="692">
        <f t="shared" si="60"/>
        <v>0</v>
      </c>
    </row>
    <row r="147" spans="1:34">
      <c r="A147" s="21"/>
      <c r="B147" s="21" t="s">
        <v>109</v>
      </c>
      <c r="C147" s="666" t="s">
        <v>559</v>
      </c>
      <c r="D147" s="68" t="s">
        <v>33</v>
      </c>
      <c r="E147" s="679">
        <f>4618.8+4310</f>
        <v>8928.7999999999993</v>
      </c>
      <c r="F147" s="529">
        <f>VLOOKUP(D147,'July 2012 DMV Revenue'!D:T,17,FALSE)</f>
        <v>-10523.5</v>
      </c>
      <c r="G147" s="680"/>
      <c r="H147" s="680"/>
      <c r="I147" s="755"/>
      <c r="J147" s="682">
        <f t="shared" si="54"/>
        <v>-1594.7000000000007</v>
      </c>
      <c r="K147" s="683"/>
      <c r="L147" s="684"/>
      <c r="M147" s="753">
        <v>5000</v>
      </c>
      <c r="N147" s="683">
        <v>0</v>
      </c>
      <c r="O147" s="686"/>
      <c r="P147" s="683">
        <v>0</v>
      </c>
      <c r="Q147" s="687">
        <f t="shared" si="62"/>
        <v>5000</v>
      </c>
      <c r="R147" s="688">
        <v>3934.7</v>
      </c>
      <c r="S147" s="693"/>
      <c r="T147" s="690">
        <f t="shared" si="67"/>
        <v>-1065.3000000000002</v>
      </c>
      <c r="U147" s="683"/>
      <c r="V147" s="474">
        <f t="shared" si="63"/>
        <v>0</v>
      </c>
      <c r="W147" s="474">
        <f t="shared" si="64"/>
        <v>5000</v>
      </c>
      <c r="X147" s="475">
        <f t="shared" si="65"/>
        <v>0</v>
      </c>
      <c r="Y147" s="475">
        <v>0</v>
      </c>
      <c r="Z147" s="476">
        <v>0</v>
      </c>
      <c r="AA147" s="38">
        <f t="shared" si="66"/>
        <v>0</v>
      </c>
      <c r="AB147" s="692">
        <f t="shared" si="55"/>
        <v>0</v>
      </c>
      <c r="AC147" s="692">
        <f t="shared" si="56"/>
        <v>-1594.7000000000007</v>
      </c>
      <c r="AD147" s="692">
        <f t="shared" si="57"/>
        <v>0</v>
      </c>
      <c r="AE147" s="38"/>
      <c r="AF147" s="692">
        <f t="shared" si="58"/>
        <v>0</v>
      </c>
      <c r="AG147" s="692">
        <f t="shared" si="59"/>
        <v>5000</v>
      </c>
      <c r="AH147" s="692">
        <f t="shared" si="60"/>
        <v>0</v>
      </c>
    </row>
    <row r="148" spans="1:34">
      <c r="A148" s="21"/>
      <c r="B148" s="21" t="s">
        <v>109</v>
      </c>
      <c r="C148" s="666" t="s">
        <v>560</v>
      </c>
      <c r="D148" s="68" t="s">
        <v>379</v>
      </c>
      <c r="E148" s="679"/>
      <c r="F148" s="529">
        <f>VLOOKUP(D148,'July 2012 DMV Revenue'!D:T,17,FALSE)</f>
        <v>132.56</v>
      </c>
      <c r="G148" s="680"/>
      <c r="H148" s="680"/>
      <c r="I148" s="755"/>
      <c r="J148" s="682">
        <f t="shared" si="54"/>
        <v>132.56</v>
      </c>
      <c r="K148" s="683"/>
      <c r="L148" s="684"/>
      <c r="M148" s="753"/>
      <c r="N148" s="683">
        <v>0</v>
      </c>
      <c r="O148" s="686"/>
      <c r="P148" s="683">
        <v>0</v>
      </c>
      <c r="Q148" s="687">
        <f t="shared" si="62"/>
        <v>0</v>
      </c>
      <c r="R148" s="688">
        <v>119.15</v>
      </c>
      <c r="S148" s="693"/>
      <c r="T148" s="690">
        <f t="shared" si="67"/>
        <v>119.15</v>
      </c>
      <c r="U148" s="683"/>
      <c r="V148" s="474">
        <f t="shared" si="63"/>
        <v>0</v>
      </c>
      <c r="W148" s="474">
        <f t="shared" si="64"/>
        <v>0</v>
      </c>
      <c r="X148" s="475">
        <f t="shared" si="65"/>
        <v>0</v>
      </c>
      <c r="Y148" s="475">
        <v>0</v>
      </c>
      <c r="Z148" s="476">
        <v>0</v>
      </c>
      <c r="AA148" s="38">
        <f t="shared" si="66"/>
        <v>0</v>
      </c>
      <c r="AB148" s="692">
        <f t="shared" si="55"/>
        <v>0</v>
      </c>
      <c r="AC148" s="692">
        <f t="shared" si="56"/>
        <v>132.56</v>
      </c>
      <c r="AD148" s="692">
        <f t="shared" si="57"/>
        <v>0</v>
      </c>
      <c r="AE148" s="38"/>
      <c r="AF148" s="692">
        <f t="shared" si="58"/>
        <v>0</v>
      </c>
      <c r="AG148" s="692">
        <f t="shared" si="59"/>
        <v>0</v>
      </c>
      <c r="AH148" s="692">
        <f t="shared" si="60"/>
        <v>0</v>
      </c>
    </row>
    <row r="149" spans="1:34" s="232" customFormat="1">
      <c r="A149" s="283"/>
      <c r="B149" s="283" t="s">
        <v>114</v>
      </c>
      <c r="C149" s="667"/>
      <c r="D149" s="500" t="s">
        <v>408</v>
      </c>
      <c r="E149" s="679"/>
      <c r="F149" s="529">
        <f>VLOOKUP(D149,'July 2012 DMV Revenue'!D:T,17,FALSE)</f>
        <v>-18175</v>
      </c>
      <c r="G149" s="680"/>
      <c r="H149" s="680"/>
      <c r="I149" s="755"/>
      <c r="J149" s="682">
        <f t="shared" si="54"/>
        <v>-18175</v>
      </c>
      <c r="K149" s="683"/>
      <c r="L149" s="684"/>
      <c r="M149" s="753">
        <v>27262.5</v>
      </c>
      <c r="N149" s="683">
        <v>0</v>
      </c>
      <c r="O149" s="686"/>
      <c r="P149" s="683">
        <v>0</v>
      </c>
      <c r="Q149" s="687">
        <f t="shared" si="62"/>
        <v>27262.5</v>
      </c>
      <c r="R149" s="688">
        <v>9087.5</v>
      </c>
      <c r="S149" s="693"/>
      <c r="T149" s="690">
        <f t="shared" si="67"/>
        <v>-18175</v>
      </c>
      <c r="U149" s="683"/>
      <c r="V149" s="474">
        <f t="shared" si="63"/>
        <v>0</v>
      </c>
      <c r="W149" s="474">
        <f t="shared" si="64"/>
        <v>0</v>
      </c>
      <c r="X149" s="475">
        <f t="shared" si="65"/>
        <v>27262.5</v>
      </c>
      <c r="Y149" s="475">
        <v>0</v>
      </c>
      <c r="Z149" s="476">
        <v>0</v>
      </c>
      <c r="AA149" s="38">
        <f t="shared" si="66"/>
        <v>0</v>
      </c>
      <c r="AB149" s="692">
        <f t="shared" si="55"/>
        <v>0</v>
      </c>
      <c r="AC149" s="692">
        <f t="shared" si="56"/>
        <v>0</v>
      </c>
      <c r="AD149" s="692">
        <f t="shared" si="57"/>
        <v>-18175</v>
      </c>
      <c r="AE149" s="38"/>
      <c r="AF149" s="692">
        <f t="shared" si="58"/>
        <v>0</v>
      </c>
      <c r="AG149" s="692">
        <f t="shared" si="59"/>
        <v>0</v>
      </c>
      <c r="AH149" s="692">
        <f t="shared" si="60"/>
        <v>27262.5</v>
      </c>
    </row>
    <row r="150" spans="1:34" s="232" customFormat="1">
      <c r="A150" s="283"/>
      <c r="B150" s="283" t="s">
        <v>110</v>
      </c>
      <c r="C150" s="667"/>
      <c r="D150" s="567" t="s">
        <v>445</v>
      </c>
      <c r="E150" s="679"/>
      <c r="F150" s="529">
        <f>VLOOKUP(D150,'July 2012 DMV Revenue'!D:T,17,FALSE)</f>
        <v>0</v>
      </c>
      <c r="G150" s="680"/>
      <c r="H150" s="680"/>
      <c r="I150" s="755"/>
      <c r="J150" s="682">
        <f t="shared" si="54"/>
        <v>0</v>
      </c>
      <c r="K150" s="683"/>
      <c r="L150" s="684"/>
      <c r="M150" s="753"/>
      <c r="N150" s="683">
        <v>0</v>
      </c>
      <c r="O150" s="686"/>
      <c r="P150" s="683">
        <v>0</v>
      </c>
      <c r="Q150" s="687">
        <f t="shared" si="62"/>
        <v>0</v>
      </c>
      <c r="R150" s="688">
        <v>0</v>
      </c>
      <c r="S150" s="693"/>
      <c r="T150" s="690">
        <f t="shared" si="67"/>
        <v>0</v>
      </c>
      <c r="U150" s="683"/>
      <c r="V150" s="474">
        <f t="shared" si="63"/>
        <v>0</v>
      </c>
      <c r="W150" s="474">
        <f t="shared" si="64"/>
        <v>0</v>
      </c>
      <c r="X150" s="475">
        <f t="shared" si="65"/>
        <v>0</v>
      </c>
      <c r="Y150" s="475">
        <v>0</v>
      </c>
      <c r="Z150" s="476">
        <v>0</v>
      </c>
      <c r="AA150" s="38">
        <f t="shared" si="66"/>
        <v>0</v>
      </c>
      <c r="AB150" s="692">
        <f t="shared" si="55"/>
        <v>0</v>
      </c>
      <c r="AC150" s="692">
        <f t="shared" si="56"/>
        <v>0</v>
      </c>
      <c r="AD150" s="692">
        <f t="shared" si="57"/>
        <v>0</v>
      </c>
      <c r="AE150" s="38"/>
      <c r="AF150" s="692">
        <f t="shared" si="58"/>
        <v>0</v>
      </c>
      <c r="AG150" s="692">
        <f t="shared" si="59"/>
        <v>0</v>
      </c>
      <c r="AH150" s="692">
        <f t="shared" si="60"/>
        <v>0</v>
      </c>
    </row>
    <row r="151" spans="1:34" s="232" customFormat="1">
      <c r="A151" s="283"/>
      <c r="B151" s="283" t="s">
        <v>109</v>
      </c>
      <c r="C151" s="667" t="s">
        <v>562</v>
      </c>
      <c r="D151" s="567" t="s">
        <v>480</v>
      </c>
      <c r="E151" s="679"/>
      <c r="F151" s="529">
        <f>VLOOKUP(D151,'July 2012 DMV Revenue'!D:T,17,FALSE)</f>
        <v>-10794.1</v>
      </c>
      <c r="G151" s="680"/>
      <c r="H151" s="680"/>
      <c r="I151" s="770">
        <v>10677.48</v>
      </c>
      <c r="J151" s="682">
        <f t="shared" si="54"/>
        <v>-116.6200000000008</v>
      </c>
      <c r="K151" s="683"/>
      <c r="L151" s="684"/>
      <c r="M151" s="753"/>
      <c r="N151" s="683">
        <v>0</v>
      </c>
      <c r="O151" s="686"/>
      <c r="P151" s="683">
        <v>0</v>
      </c>
      <c r="Q151" s="687">
        <f t="shared" si="62"/>
        <v>0</v>
      </c>
      <c r="R151" s="688">
        <v>0</v>
      </c>
      <c r="S151" s="693"/>
      <c r="T151" s="690">
        <f t="shared" si="67"/>
        <v>0</v>
      </c>
      <c r="U151" s="683"/>
      <c r="V151" s="474">
        <f t="shared" si="63"/>
        <v>0</v>
      </c>
      <c r="W151" s="474">
        <f t="shared" si="64"/>
        <v>0</v>
      </c>
      <c r="X151" s="475">
        <f t="shared" si="65"/>
        <v>0</v>
      </c>
      <c r="Y151" s="475">
        <v>0</v>
      </c>
      <c r="Z151" s="476">
        <v>0</v>
      </c>
      <c r="AA151" s="38">
        <f t="shared" si="66"/>
        <v>0</v>
      </c>
      <c r="AB151" s="692">
        <f t="shared" si="55"/>
        <v>0</v>
      </c>
      <c r="AC151" s="692">
        <f t="shared" si="56"/>
        <v>-116.6200000000008</v>
      </c>
      <c r="AD151" s="692">
        <f t="shared" si="57"/>
        <v>0</v>
      </c>
      <c r="AE151" s="38"/>
      <c r="AF151" s="692">
        <f t="shared" si="58"/>
        <v>0</v>
      </c>
      <c r="AG151" s="692">
        <f t="shared" si="59"/>
        <v>0</v>
      </c>
      <c r="AH151" s="692">
        <f t="shared" si="60"/>
        <v>0</v>
      </c>
    </row>
    <row r="152" spans="1:34" s="232" customFormat="1">
      <c r="A152" s="403"/>
      <c r="B152" s="403" t="s">
        <v>109</v>
      </c>
      <c r="C152" s="666" t="s">
        <v>563</v>
      </c>
      <c r="D152" s="123" t="s">
        <v>327</v>
      </c>
      <c r="E152" s="679"/>
      <c r="F152" s="529">
        <f>VLOOKUP(D152,'July 2012 DMV Revenue'!D:T,17,FALSE)</f>
        <v>0</v>
      </c>
      <c r="G152" s="680"/>
      <c r="H152" s="680"/>
      <c r="I152" s="770">
        <v>115866.18</v>
      </c>
      <c r="J152" s="682">
        <f t="shared" si="54"/>
        <v>115866.18</v>
      </c>
      <c r="K152" s="683"/>
      <c r="L152" s="684"/>
      <c r="M152" s="753"/>
      <c r="N152" s="683">
        <v>0</v>
      </c>
      <c r="O152" s="686"/>
      <c r="P152" s="683">
        <v>0</v>
      </c>
      <c r="Q152" s="687">
        <f t="shared" si="62"/>
        <v>0</v>
      </c>
      <c r="R152" s="688">
        <v>0</v>
      </c>
      <c r="S152" s="693"/>
      <c r="T152" s="690">
        <f t="shared" si="67"/>
        <v>0</v>
      </c>
      <c r="U152" s="683"/>
      <c r="V152" s="474">
        <f t="shared" si="63"/>
        <v>0</v>
      </c>
      <c r="W152" s="474">
        <f t="shared" si="64"/>
        <v>0</v>
      </c>
      <c r="X152" s="475">
        <f t="shared" si="65"/>
        <v>0</v>
      </c>
      <c r="Y152" s="475">
        <v>0</v>
      </c>
      <c r="Z152" s="476">
        <v>0</v>
      </c>
      <c r="AA152" s="38">
        <f t="shared" si="66"/>
        <v>0</v>
      </c>
      <c r="AB152" s="692">
        <f t="shared" si="55"/>
        <v>0</v>
      </c>
      <c r="AC152" s="692">
        <f t="shared" si="56"/>
        <v>115866.18</v>
      </c>
      <c r="AD152" s="692">
        <f t="shared" si="57"/>
        <v>0</v>
      </c>
      <c r="AE152" s="38"/>
      <c r="AF152" s="692">
        <f t="shared" si="58"/>
        <v>0</v>
      </c>
      <c r="AG152" s="692">
        <f t="shared" si="59"/>
        <v>0</v>
      </c>
      <c r="AH152" s="692">
        <f t="shared" si="60"/>
        <v>0</v>
      </c>
    </row>
    <row r="153" spans="1:34" s="232" customFormat="1">
      <c r="A153" s="403"/>
      <c r="B153" s="403" t="s">
        <v>110</v>
      </c>
      <c r="C153" s="666" t="s">
        <v>563</v>
      </c>
      <c r="D153" s="123" t="s">
        <v>637</v>
      </c>
      <c r="E153" s="679"/>
      <c r="F153" s="529">
        <f>VLOOKUP(D153,'July 2012 DMV Revenue'!D:T,17,FALSE)</f>
        <v>0</v>
      </c>
      <c r="G153" s="680"/>
      <c r="H153" s="680"/>
      <c r="I153" s="755"/>
      <c r="J153" s="682">
        <f t="shared" si="54"/>
        <v>0</v>
      </c>
      <c r="K153" s="683"/>
      <c r="L153" s="684"/>
      <c r="M153" s="753"/>
      <c r="N153" s="683">
        <v>0</v>
      </c>
      <c r="O153" s="686"/>
      <c r="P153" s="683">
        <v>0</v>
      </c>
      <c r="Q153" s="687">
        <f t="shared" si="62"/>
        <v>0</v>
      </c>
      <c r="R153" s="688">
        <v>0</v>
      </c>
      <c r="S153" s="693"/>
      <c r="T153" s="690">
        <f t="shared" si="67"/>
        <v>0</v>
      </c>
      <c r="U153" s="683"/>
      <c r="V153" s="474">
        <f t="shared" si="63"/>
        <v>0</v>
      </c>
      <c r="W153" s="474">
        <f t="shared" si="64"/>
        <v>0</v>
      </c>
      <c r="X153" s="475">
        <f t="shared" si="65"/>
        <v>0</v>
      </c>
      <c r="Y153" s="475">
        <v>0</v>
      </c>
      <c r="Z153" s="476">
        <v>0</v>
      </c>
      <c r="AA153" s="38">
        <f t="shared" si="66"/>
        <v>0</v>
      </c>
      <c r="AB153" s="692">
        <f t="shared" si="55"/>
        <v>0</v>
      </c>
      <c r="AC153" s="692">
        <f t="shared" si="56"/>
        <v>0</v>
      </c>
      <c r="AD153" s="692">
        <f t="shared" si="57"/>
        <v>0</v>
      </c>
      <c r="AE153" s="38"/>
      <c r="AF153" s="692">
        <f t="shared" si="58"/>
        <v>0</v>
      </c>
      <c r="AG153" s="692">
        <f t="shared" si="59"/>
        <v>0</v>
      </c>
      <c r="AH153" s="692">
        <f t="shared" si="60"/>
        <v>0</v>
      </c>
    </row>
    <row r="154" spans="1:34">
      <c r="A154" s="21" t="s">
        <v>212</v>
      </c>
      <c r="B154" s="21" t="s">
        <v>110</v>
      </c>
      <c r="C154" s="666"/>
      <c r="D154" s="68" t="s">
        <v>232</v>
      </c>
      <c r="E154" s="679"/>
      <c r="F154" s="529">
        <f>VLOOKUP(D154,'July 2012 DMV Revenue'!D:T,17,FALSE)</f>
        <v>0</v>
      </c>
      <c r="G154" s="680"/>
      <c r="H154" s="680"/>
      <c r="I154" s="755"/>
      <c r="J154" s="682">
        <f t="shared" si="54"/>
        <v>0</v>
      </c>
      <c r="K154" s="683"/>
      <c r="L154" s="684"/>
      <c r="M154" s="753"/>
      <c r="N154" s="683">
        <v>0</v>
      </c>
      <c r="O154" s="686"/>
      <c r="P154" s="683">
        <v>0</v>
      </c>
      <c r="Q154" s="687">
        <f t="shared" si="62"/>
        <v>0</v>
      </c>
      <c r="R154" s="688">
        <v>0</v>
      </c>
      <c r="S154" s="693"/>
      <c r="T154" s="690">
        <f t="shared" si="67"/>
        <v>0</v>
      </c>
      <c r="U154" s="683"/>
      <c r="V154" s="474">
        <f t="shared" si="63"/>
        <v>0</v>
      </c>
      <c r="W154" s="474">
        <f t="shared" si="64"/>
        <v>0</v>
      </c>
      <c r="X154" s="475">
        <f t="shared" si="65"/>
        <v>0</v>
      </c>
      <c r="Y154" s="475">
        <v>0</v>
      </c>
      <c r="Z154" s="476">
        <v>0</v>
      </c>
      <c r="AA154" s="38">
        <f t="shared" si="66"/>
        <v>0</v>
      </c>
      <c r="AB154" s="692">
        <f t="shared" si="55"/>
        <v>0</v>
      </c>
      <c r="AC154" s="692">
        <f t="shared" si="56"/>
        <v>0</v>
      </c>
      <c r="AD154" s="692">
        <f t="shared" si="57"/>
        <v>0</v>
      </c>
      <c r="AE154" s="38"/>
      <c r="AF154" s="692">
        <f t="shared" si="58"/>
        <v>0</v>
      </c>
      <c r="AG154" s="692">
        <f t="shared" si="59"/>
        <v>0</v>
      </c>
      <c r="AH154" s="692">
        <f t="shared" si="60"/>
        <v>0</v>
      </c>
    </row>
    <row r="155" spans="1:34">
      <c r="A155" s="21"/>
      <c r="B155" s="21" t="s">
        <v>109</v>
      </c>
      <c r="C155" s="666" t="s">
        <v>564</v>
      </c>
      <c r="D155" s="68" t="s">
        <v>306</v>
      </c>
      <c r="E155" s="679"/>
      <c r="F155" s="529">
        <f>VLOOKUP(D155,'July 2012 DMV Revenue'!D:T,17,FALSE)</f>
        <v>0</v>
      </c>
      <c r="G155" s="680"/>
      <c r="H155" s="680"/>
      <c r="I155" s="755"/>
      <c r="J155" s="682">
        <f t="shared" si="54"/>
        <v>0</v>
      </c>
      <c r="K155" s="683"/>
      <c r="L155" s="684"/>
      <c r="M155" s="753"/>
      <c r="N155" s="683">
        <v>0</v>
      </c>
      <c r="O155" s="686"/>
      <c r="P155" s="683">
        <v>0</v>
      </c>
      <c r="Q155" s="687">
        <f t="shared" si="62"/>
        <v>0</v>
      </c>
      <c r="R155" s="688">
        <v>0</v>
      </c>
      <c r="S155" s="693"/>
      <c r="T155" s="690">
        <f t="shared" si="67"/>
        <v>0</v>
      </c>
      <c r="U155" s="683"/>
      <c r="V155" s="474">
        <f t="shared" si="63"/>
        <v>0</v>
      </c>
      <c r="W155" s="474">
        <f t="shared" si="64"/>
        <v>0</v>
      </c>
      <c r="X155" s="475">
        <f t="shared" si="65"/>
        <v>0</v>
      </c>
      <c r="Y155" s="475">
        <v>0</v>
      </c>
      <c r="Z155" s="476">
        <v>0</v>
      </c>
      <c r="AA155" s="38">
        <f t="shared" si="66"/>
        <v>0</v>
      </c>
      <c r="AB155" s="692">
        <f t="shared" si="55"/>
        <v>0</v>
      </c>
      <c r="AC155" s="692">
        <f t="shared" si="56"/>
        <v>0</v>
      </c>
      <c r="AD155" s="692">
        <f t="shared" si="57"/>
        <v>0</v>
      </c>
      <c r="AE155" s="38"/>
      <c r="AF155" s="692">
        <f t="shared" si="58"/>
        <v>0</v>
      </c>
      <c r="AG155" s="692">
        <f t="shared" si="59"/>
        <v>0</v>
      </c>
      <c r="AH155" s="692">
        <f t="shared" si="60"/>
        <v>0</v>
      </c>
    </row>
    <row r="156" spans="1:34">
      <c r="A156" s="21"/>
      <c r="B156" s="21" t="s">
        <v>109</v>
      </c>
      <c r="C156" s="666" t="s">
        <v>564</v>
      </c>
      <c r="D156" s="68" t="s">
        <v>307</v>
      </c>
      <c r="E156" s="679"/>
      <c r="F156" s="529">
        <f>VLOOKUP(D156,'July 2012 DMV Revenue'!D:T,17,FALSE)</f>
        <v>0</v>
      </c>
      <c r="G156" s="680"/>
      <c r="H156" s="680"/>
      <c r="I156" s="755"/>
      <c r="J156" s="682">
        <f t="shared" si="54"/>
        <v>0</v>
      </c>
      <c r="K156" s="683"/>
      <c r="L156" s="684"/>
      <c r="M156" s="753"/>
      <c r="N156" s="683">
        <v>0</v>
      </c>
      <c r="O156" s="686"/>
      <c r="P156" s="683">
        <v>0</v>
      </c>
      <c r="Q156" s="687">
        <f t="shared" si="62"/>
        <v>0</v>
      </c>
      <c r="R156" s="688">
        <v>0</v>
      </c>
      <c r="S156" s="693"/>
      <c r="T156" s="690">
        <f t="shared" si="67"/>
        <v>0</v>
      </c>
      <c r="U156" s="683"/>
      <c r="V156" s="474">
        <f t="shared" si="63"/>
        <v>0</v>
      </c>
      <c r="W156" s="474">
        <f t="shared" si="64"/>
        <v>0</v>
      </c>
      <c r="X156" s="475">
        <f t="shared" si="65"/>
        <v>0</v>
      </c>
      <c r="Y156" s="475">
        <v>0</v>
      </c>
      <c r="Z156" s="476">
        <v>0</v>
      </c>
      <c r="AA156" s="38">
        <f t="shared" si="66"/>
        <v>0</v>
      </c>
      <c r="AB156" s="692">
        <f t="shared" si="55"/>
        <v>0</v>
      </c>
      <c r="AC156" s="692">
        <f t="shared" si="56"/>
        <v>0</v>
      </c>
      <c r="AD156" s="692">
        <f t="shared" si="57"/>
        <v>0</v>
      </c>
      <c r="AE156" s="38"/>
      <c r="AF156" s="692">
        <f t="shared" si="58"/>
        <v>0</v>
      </c>
      <c r="AG156" s="692">
        <f t="shared" si="59"/>
        <v>0</v>
      </c>
      <c r="AH156" s="692">
        <f t="shared" si="60"/>
        <v>0</v>
      </c>
    </row>
    <row r="157" spans="1:34">
      <c r="A157" s="21"/>
      <c r="B157" s="21" t="s">
        <v>109</v>
      </c>
      <c r="C157" s="666" t="s">
        <v>565</v>
      </c>
      <c r="D157" s="68" t="s">
        <v>485</v>
      </c>
      <c r="E157" s="679">
        <f>10521.41+5180.79+5560.71+2059.23+473.33+31927.11+1211.7+865.99+1170.35+77.25+2875.22+589.26+5768.35+189.62+198.04</f>
        <v>68668.359999999986</v>
      </c>
      <c r="F157" s="529">
        <f>VLOOKUP(D157,'July 2012 DMV Revenue'!D:T,17,FALSE)</f>
        <v>-120000</v>
      </c>
      <c r="G157" s="680"/>
      <c r="H157" s="680"/>
      <c r="I157" s="755"/>
      <c r="J157" s="682">
        <f t="shared" si="54"/>
        <v>-51331.640000000014</v>
      </c>
      <c r="K157" s="683"/>
      <c r="L157" s="684"/>
      <c r="M157" s="753">
        <v>46000</v>
      </c>
      <c r="N157" s="683"/>
      <c r="O157" s="686"/>
      <c r="P157" s="683"/>
      <c r="Q157" s="687">
        <f t="shared" si="62"/>
        <v>46000</v>
      </c>
      <c r="R157" s="688">
        <v>0</v>
      </c>
      <c r="S157" s="693"/>
      <c r="T157" s="690">
        <f t="shared" si="67"/>
        <v>-46000</v>
      </c>
      <c r="U157" s="683"/>
      <c r="V157" s="474">
        <f t="shared" si="63"/>
        <v>0</v>
      </c>
      <c r="W157" s="474">
        <f t="shared" si="64"/>
        <v>46000</v>
      </c>
      <c r="X157" s="475">
        <f t="shared" si="65"/>
        <v>0</v>
      </c>
      <c r="Y157" s="475">
        <v>0</v>
      </c>
      <c r="Z157" s="476">
        <v>0</v>
      </c>
      <c r="AA157" s="38">
        <f t="shared" si="66"/>
        <v>0</v>
      </c>
      <c r="AB157" s="692">
        <f t="shared" si="55"/>
        <v>0</v>
      </c>
      <c r="AC157" s="692">
        <f t="shared" si="56"/>
        <v>-51331.640000000014</v>
      </c>
      <c r="AD157" s="692">
        <f t="shared" si="57"/>
        <v>0</v>
      </c>
      <c r="AE157" s="38"/>
      <c r="AF157" s="692">
        <f t="shared" si="58"/>
        <v>0</v>
      </c>
      <c r="AG157" s="692">
        <f t="shared" si="59"/>
        <v>46000</v>
      </c>
      <c r="AH157" s="692">
        <f t="shared" si="60"/>
        <v>0</v>
      </c>
    </row>
    <row r="158" spans="1:34" s="232" customFormat="1">
      <c r="A158" s="403"/>
      <c r="B158" s="403" t="s">
        <v>109</v>
      </c>
      <c r="C158" s="666"/>
      <c r="D158" s="123" t="s">
        <v>220</v>
      </c>
      <c r="E158" s="679"/>
      <c r="F158" s="529">
        <f>VLOOKUP(D158,'July 2012 DMV Revenue'!D:T,17,FALSE)</f>
        <v>0</v>
      </c>
      <c r="G158" s="680"/>
      <c r="H158" s="680"/>
      <c r="I158" s="755"/>
      <c r="J158" s="682">
        <f t="shared" si="54"/>
        <v>0</v>
      </c>
      <c r="K158" s="683"/>
      <c r="L158" s="684"/>
      <c r="M158" s="753"/>
      <c r="N158" s="683">
        <v>0</v>
      </c>
      <c r="O158" s="686"/>
      <c r="P158" s="683">
        <v>0</v>
      </c>
      <c r="Q158" s="687">
        <f t="shared" si="62"/>
        <v>0</v>
      </c>
      <c r="R158" s="688">
        <v>0</v>
      </c>
      <c r="S158" s="693"/>
      <c r="T158" s="690">
        <f t="shared" si="67"/>
        <v>0</v>
      </c>
      <c r="U158" s="683"/>
      <c r="V158" s="474">
        <f t="shared" si="63"/>
        <v>0</v>
      </c>
      <c r="W158" s="474">
        <f t="shared" si="64"/>
        <v>0</v>
      </c>
      <c r="X158" s="475">
        <f t="shared" si="65"/>
        <v>0</v>
      </c>
      <c r="Y158" s="475">
        <v>0</v>
      </c>
      <c r="Z158" s="476">
        <v>0</v>
      </c>
      <c r="AA158" s="38">
        <f t="shared" si="66"/>
        <v>0</v>
      </c>
      <c r="AB158" s="692">
        <f t="shared" si="55"/>
        <v>0</v>
      </c>
      <c r="AC158" s="692">
        <f t="shared" si="56"/>
        <v>0</v>
      </c>
      <c r="AD158" s="692">
        <f t="shared" si="57"/>
        <v>0</v>
      </c>
      <c r="AE158" s="38"/>
      <c r="AF158" s="692">
        <f t="shared" si="58"/>
        <v>0</v>
      </c>
      <c r="AG158" s="692">
        <f t="shared" si="59"/>
        <v>0</v>
      </c>
      <c r="AH158" s="692">
        <f t="shared" si="60"/>
        <v>0</v>
      </c>
    </row>
    <row r="159" spans="1:34" s="24" customFormat="1">
      <c r="A159" s="472"/>
      <c r="B159" s="21" t="s">
        <v>109</v>
      </c>
      <c r="C159" s="666"/>
      <c r="D159" s="68" t="s">
        <v>505</v>
      </c>
      <c r="E159" s="679"/>
      <c r="F159" s="529">
        <f>VLOOKUP(D159,'July 2012 DMV Revenue'!D:T,17,FALSE)</f>
        <v>0</v>
      </c>
      <c r="G159" s="680"/>
      <c r="H159" s="680"/>
      <c r="I159" s="755"/>
      <c r="J159" s="703">
        <f t="shared" ref="J159" si="69">SUM(E159:I159)</f>
        <v>0</v>
      </c>
      <c r="K159" s="698"/>
      <c r="L159" s="684"/>
      <c r="M159" s="753">
        <v>6500</v>
      </c>
      <c r="N159" s="698">
        <v>0</v>
      </c>
      <c r="O159" s="686"/>
      <c r="P159" s="698">
        <v>0</v>
      </c>
      <c r="Q159" s="700">
        <f t="shared" si="62"/>
        <v>6500</v>
      </c>
      <c r="R159" s="688">
        <v>6681.6</v>
      </c>
      <c r="S159" s="701"/>
      <c r="T159" s="690">
        <f t="shared" si="67"/>
        <v>181.60000000000036</v>
      </c>
      <c r="U159" s="698"/>
      <c r="V159" s="474">
        <f t="shared" si="63"/>
        <v>0</v>
      </c>
      <c r="W159" s="474">
        <f t="shared" si="64"/>
        <v>6500</v>
      </c>
      <c r="X159" s="475">
        <f t="shared" si="65"/>
        <v>0</v>
      </c>
      <c r="Y159" s="475">
        <v>0</v>
      </c>
      <c r="Z159" s="476">
        <v>0</v>
      </c>
      <c r="AA159" s="38">
        <f t="shared" si="66"/>
        <v>0</v>
      </c>
      <c r="AB159" s="692">
        <f t="shared" si="55"/>
        <v>0</v>
      </c>
      <c r="AC159" s="692">
        <f t="shared" si="56"/>
        <v>0</v>
      </c>
      <c r="AD159" s="692">
        <f t="shared" si="57"/>
        <v>0</v>
      </c>
      <c r="AE159" s="38"/>
      <c r="AF159" s="692">
        <f t="shared" si="58"/>
        <v>0</v>
      </c>
      <c r="AG159" s="692">
        <f t="shared" si="59"/>
        <v>6500</v>
      </c>
      <c r="AH159" s="692">
        <f t="shared" si="60"/>
        <v>0</v>
      </c>
    </row>
    <row r="160" spans="1:34">
      <c r="A160" s="21"/>
      <c r="B160" s="21" t="s">
        <v>110</v>
      </c>
      <c r="C160" s="666"/>
      <c r="D160" s="68" t="s">
        <v>185</v>
      </c>
      <c r="E160" s="679">
        <v>30.8</v>
      </c>
      <c r="F160" s="529">
        <f>VLOOKUP(D160,'July 2012 DMV Revenue'!D:T,17,FALSE)</f>
        <v>35.700000000000003</v>
      </c>
      <c r="G160" s="680"/>
      <c r="H160" s="680"/>
      <c r="I160" s="755"/>
      <c r="J160" s="682">
        <f t="shared" si="54"/>
        <v>66.5</v>
      </c>
      <c r="K160" s="683"/>
      <c r="L160" s="684"/>
      <c r="M160" s="753"/>
      <c r="N160" s="683">
        <v>0</v>
      </c>
      <c r="O160" s="686"/>
      <c r="P160" s="683">
        <v>0</v>
      </c>
      <c r="Q160" s="687">
        <f t="shared" si="62"/>
        <v>0</v>
      </c>
      <c r="R160" s="688">
        <v>0</v>
      </c>
      <c r="S160" s="693"/>
      <c r="T160" s="690">
        <f t="shared" si="67"/>
        <v>0</v>
      </c>
      <c r="U160" s="683"/>
      <c r="V160" s="474">
        <f t="shared" si="63"/>
        <v>0</v>
      </c>
      <c r="W160" s="474">
        <f t="shared" si="64"/>
        <v>0</v>
      </c>
      <c r="X160" s="475">
        <f t="shared" si="65"/>
        <v>0</v>
      </c>
      <c r="Y160" s="475">
        <v>0</v>
      </c>
      <c r="Z160" s="476">
        <v>0</v>
      </c>
      <c r="AA160" s="38">
        <f t="shared" si="66"/>
        <v>0</v>
      </c>
      <c r="AB160" s="692">
        <f t="shared" si="55"/>
        <v>66.5</v>
      </c>
      <c r="AC160" s="692">
        <f t="shared" si="56"/>
        <v>0</v>
      </c>
      <c r="AD160" s="692">
        <f t="shared" si="57"/>
        <v>0</v>
      </c>
      <c r="AE160" s="38"/>
      <c r="AF160" s="692">
        <f t="shared" si="58"/>
        <v>0</v>
      </c>
      <c r="AG160" s="692">
        <f t="shared" si="59"/>
        <v>0</v>
      </c>
      <c r="AH160" s="692">
        <f t="shared" si="60"/>
        <v>0</v>
      </c>
    </row>
    <row r="161" spans="1:34">
      <c r="A161" s="21"/>
      <c r="B161" s="21" t="s">
        <v>110</v>
      </c>
      <c r="C161" s="666"/>
      <c r="D161" s="68" t="s">
        <v>186</v>
      </c>
      <c r="E161" s="679">
        <v>44.93</v>
      </c>
      <c r="F161" s="529">
        <f>VLOOKUP(D161,'July 2012 DMV Revenue'!D:T,17,FALSE)</f>
        <v>72.61</v>
      </c>
      <c r="G161" s="680"/>
      <c r="H161" s="680"/>
      <c r="I161" s="755"/>
      <c r="J161" s="682">
        <f t="shared" si="54"/>
        <v>117.53999999999999</v>
      </c>
      <c r="K161" s="683"/>
      <c r="L161" s="684"/>
      <c r="M161" s="753"/>
      <c r="N161" s="683">
        <v>0</v>
      </c>
      <c r="O161" s="686"/>
      <c r="P161" s="683">
        <v>0</v>
      </c>
      <c r="Q161" s="687">
        <f t="shared" si="62"/>
        <v>0</v>
      </c>
      <c r="R161" s="688">
        <v>0</v>
      </c>
      <c r="S161" s="693"/>
      <c r="T161" s="690">
        <f t="shared" si="67"/>
        <v>0</v>
      </c>
      <c r="U161" s="683"/>
      <c r="V161" s="474">
        <f t="shared" si="63"/>
        <v>0</v>
      </c>
      <c r="W161" s="474">
        <f t="shared" si="64"/>
        <v>0</v>
      </c>
      <c r="X161" s="475">
        <f t="shared" si="65"/>
        <v>0</v>
      </c>
      <c r="Y161" s="475">
        <v>0</v>
      </c>
      <c r="Z161" s="476">
        <v>0</v>
      </c>
      <c r="AA161" s="38">
        <f t="shared" si="66"/>
        <v>0</v>
      </c>
      <c r="AB161" s="692">
        <f t="shared" si="55"/>
        <v>117.53999999999999</v>
      </c>
      <c r="AC161" s="692">
        <f t="shared" si="56"/>
        <v>0</v>
      </c>
      <c r="AD161" s="692">
        <f t="shared" si="57"/>
        <v>0</v>
      </c>
      <c r="AE161" s="38"/>
      <c r="AF161" s="692">
        <f t="shared" si="58"/>
        <v>0</v>
      </c>
      <c r="AG161" s="692">
        <f t="shared" si="59"/>
        <v>0</v>
      </c>
      <c r="AH161" s="692">
        <f t="shared" si="60"/>
        <v>0</v>
      </c>
    </row>
    <row r="162" spans="1:34">
      <c r="A162" s="21"/>
      <c r="B162" s="21" t="s">
        <v>110</v>
      </c>
      <c r="C162" s="666"/>
      <c r="D162" s="68" t="s">
        <v>449</v>
      </c>
      <c r="E162" s="679"/>
      <c r="F162" s="529">
        <f>VLOOKUP(D162,'July 2012 DMV Revenue'!D:T,17,FALSE)</f>
        <v>0</v>
      </c>
      <c r="G162" s="680"/>
      <c r="H162" s="680"/>
      <c r="I162" s="755"/>
      <c r="J162" s="682">
        <f t="shared" si="54"/>
        <v>0</v>
      </c>
      <c r="K162" s="683"/>
      <c r="L162" s="684"/>
      <c r="M162" s="753"/>
      <c r="N162" s="683">
        <v>0</v>
      </c>
      <c r="O162" s="686"/>
      <c r="P162" s="683">
        <v>0</v>
      </c>
      <c r="Q162" s="687">
        <f t="shared" si="62"/>
        <v>0</v>
      </c>
      <c r="R162" s="688">
        <v>0</v>
      </c>
      <c r="S162" s="693"/>
      <c r="T162" s="690">
        <f t="shared" si="67"/>
        <v>0</v>
      </c>
      <c r="U162" s="683"/>
      <c r="V162" s="474">
        <f t="shared" si="63"/>
        <v>0</v>
      </c>
      <c r="W162" s="474">
        <f t="shared" si="64"/>
        <v>0</v>
      </c>
      <c r="X162" s="475">
        <f t="shared" si="65"/>
        <v>0</v>
      </c>
      <c r="Y162" s="475">
        <v>0</v>
      </c>
      <c r="Z162" s="476">
        <v>0</v>
      </c>
      <c r="AA162" s="38">
        <f t="shared" si="66"/>
        <v>0</v>
      </c>
      <c r="AB162" s="692">
        <f t="shared" si="55"/>
        <v>0</v>
      </c>
      <c r="AC162" s="692">
        <f t="shared" si="56"/>
        <v>0</v>
      </c>
      <c r="AD162" s="692">
        <f t="shared" si="57"/>
        <v>0</v>
      </c>
      <c r="AE162" s="38"/>
      <c r="AF162" s="692">
        <f t="shared" si="58"/>
        <v>0</v>
      </c>
      <c r="AG162" s="692">
        <f t="shared" si="59"/>
        <v>0</v>
      </c>
      <c r="AH162" s="692">
        <f t="shared" si="60"/>
        <v>0</v>
      </c>
    </row>
    <row r="163" spans="1:34">
      <c r="A163" s="21"/>
      <c r="B163" s="21" t="s">
        <v>110</v>
      </c>
      <c r="C163" s="666" t="s">
        <v>566</v>
      </c>
      <c r="D163" s="68" t="s">
        <v>39</v>
      </c>
      <c r="E163" s="679"/>
      <c r="F163" s="529">
        <f>VLOOKUP(D163,'July 2012 DMV Revenue'!D:T,17,FALSE)</f>
        <v>0</v>
      </c>
      <c r="G163" s="680"/>
      <c r="H163" s="680"/>
      <c r="I163" s="755"/>
      <c r="J163" s="682">
        <f t="shared" si="54"/>
        <v>0</v>
      </c>
      <c r="K163" s="683"/>
      <c r="L163" s="684"/>
      <c r="M163" s="753"/>
      <c r="N163" s="683">
        <v>0</v>
      </c>
      <c r="O163" s="686"/>
      <c r="P163" s="683">
        <v>0</v>
      </c>
      <c r="Q163" s="687">
        <f t="shared" si="62"/>
        <v>0</v>
      </c>
      <c r="R163" s="688">
        <v>1214.1600000000001</v>
      </c>
      <c r="S163" s="693"/>
      <c r="T163" s="690">
        <f t="shared" si="67"/>
        <v>1214.1600000000001</v>
      </c>
      <c r="U163" s="683"/>
      <c r="V163" s="474">
        <f t="shared" si="63"/>
        <v>0</v>
      </c>
      <c r="W163" s="474">
        <f t="shared" si="64"/>
        <v>0</v>
      </c>
      <c r="X163" s="475">
        <f t="shared" si="65"/>
        <v>0</v>
      </c>
      <c r="Y163" s="475">
        <v>0</v>
      </c>
      <c r="Z163" s="476">
        <v>0</v>
      </c>
      <c r="AA163" s="38">
        <f t="shared" si="66"/>
        <v>0</v>
      </c>
      <c r="AB163" s="692">
        <f t="shared" si="55"/>
        <v>0</v>
      </c>
      <c r="AC163" s="692">
        <f t="shared" si="56"/>
        <v>0</v>
      </c>
      <c r="AD163" s="692">
        <f t="shared" si="57"/>
        <v>0</v>
      </c>
      <c r="AE163" s="38"/>
      <c r="AF163" s="692">
        <f t="shared" si="58"/>
        <v>0</v>
      </c>
      <c r="AG163" s="692">
        <f t="shared" si="59"/>
        <v>0</v>
      </c>
      <c r="AH163" s="692">
        <f t="shared" si="60"/>
        <v>0</v>
      </c>
    </row>
    <row r="164" spans="1:34">
      <c r="A164" s="21"/>
      <c r="B164" s="21" t="s">
        <v>110</v>
      </c>
      <c r="C164" s="666" t="s">
        <v>567</v>
      </c>
      <c r="D164" s="68" t="s">
        <v>435</v>
      </c>
      <c r="E164" s="679">
        <v>18731.580000000002</v>
      </c>
      <c r="F164" s="529">
        <f>VLOOKUP(D164,'July 2012 DMV Revenue'!D:T,17,FALSE)</f>
        <v>-30000</v>
      </c>
      <c r="G164" s="680"/>
      <c r="H164" s="680"/>
      <c r="I164" s="755"/>
      <c r="J164" s="682">
        <f t="shared" si="54"/>
        <v>-11268.419999999998</v>
      </c>
      <c r="K164" s="683"/>
      <c r="L164" s="684"/>
      <c r="M164" s="753">
        <v>25000</v>
      </c>
      <c r="N164" s="683">
        <v>0</v>
      </c>
      <c r="O164" s="686"/>
      <c r="P164" s="683">
        <v>0</v>
      </c>
      <c r="Q164" s="687">
        <f t="shared" si="62"/>
        <v>25000</v>
      </c>
      <c r="R164" s="688">
        <v>21477.4</v>
      </c>
      <c r="S164" s="693"/>
      <c r="T164" s="690">
        <f t="shared" si="67"/>
        <v>-3522.5999999999985</v>
      </c>
      <c r="U164" s="683"/>
      <c r="V164" s="474">
        <f t="shared" si="63"/>
        <v>25000</v>
      </c>
      <c r="W164" s="474">
        <f t="shared" si="64"/>
        <v>0</v>
      </c>
      <c r="X164" s="475">
        <f t="shared" si="65"/>
        <v>0</v>
      </c>
      <c r="Y164" s="475">
        <v>0</v>
      </c>
      <c r="Z164" s="476">
        <v>0</v>
      </c>
      <c r="AA164" s="38">
        <f t="shared" si="66"/>
        <v>0</v>
      </c>
      <c r="AB164" s="692">
        <f t="shared" si="55"/>
        <v>-11268.419999999998</v>
      </c>
      <c r="AC164" s="692">
        <f t="shared" si="56"/>
        <v>0</v>
      </c>
      <c r="AD164" s="692">
        <f t="shared" si="57"/>
        <v>0</v>
      </c>
      <c r="AE164" s="38"/>
      <c r="AF164" s="692">
        <f t="shared" si="58"/>
        <v>25000</v>
      </c>
      <c r="AG164" s="692">
        <f t="shared" si="59"/>
        <v>0</v>
      </c>
      <c r="AH164" s="692">
        <f t="shared" si="60"/>
        <v>0</v>
      </c>
    </row>
    <row r="165" spans="1:34">
      <c r="A165" s="21"/>
      <c r="B165" s="21" t="s">
        <v>110</v>
      </c>
      <c r="C165" s="675" t="s">
        <v>584</v>
      </c>
      <c r="D165" s="68" t="s">
        <v>99</v>
      </c>
      <c r="E165" s="679"/>
      <c r="F165" s="529">
        <f>VLOOKUP(D165,'July 2012 DMV Revenue'!D:T,17,FALSE)</f>
        <v>-30000</v>
      </c>
      <c r="G165" s="680"/>
      <c r="H165" s="680"/>
      <c r="I165" s="755"/>
      <c r="J165" s="682">
        <f t="shared" si="54"/>
        <v>-30000</v>
      </c>
      <c r="K165" s="683"/>
      <c r="L165" s="684"/>
      <c r="M165" s="753">
        <v>45000</v>
      </c>
      <c r="N165" s="683">
        <v>0</v>
      </c>
      <c r="O165" s="686"/>
      <c r="P165" s="683">
        <v>0</v>
      </c>
      <c r="Q165" s="687">
        <f t="shared" si="62"/>
        <v>45000</v>
      </c>
      <c r="R165" s="688">
        <v>19914.71</v>
      </c>
      <c r="S165" s="693"/>
      <c r="T165" s="690">
        <f t="shared" si="67"/>
        <v>-25085.29</v>
      </c>
      <c r="U165" s="683"/>
      <c r="V165" s="474">
        <f t="shared" si="63"/>
        <v>45000</v>
      </c>
      <c r="W165" s="474">
        <f t="shared" si="64"/>
        <v>0</v>
      </c>
      <c r="X165" s="475">
        <f t="shared" si="65"/>
        <v>0</v>
      </c>
      <c r="Y165" s="475">
        <v>0</v>
      </c>
      <c r="Z165" s="476">
        <v>0</v>
      </c>
      <c r="AA165" s="38">
        <f t="shared" si="66"/>
        <v>0</v>
      </c>
      <c r="AB165" s="692">
        <f t="shared" si="55"/>
        <v>-30000</v>
      </c>
      <c r="AC165" s="692">
        <f t="shared" si="56"/>
        <v>0</v>
      </c>
      <c r="AD165" s="692">
        <f t="shared" si="57"/>
        <v>0</v>
      </c>
      <c r="AE165" s="38"/>
      <c r="AF165" s="692">
        <f t="shared" si="58"/>
        <v>45000</v>
      </c>
      <c r="AG165" s="692">
        <f t="shared" si="59"/>
        <v>0</v>
      </c>
      <c r="AH165" s="692">
        <f t="shared" si="60"/>
        <v>0</v>
      </c>
    </row>
    <row r="166" spans="1:34" s="232" customFormat="1">
      <c r="A166" s="403"/>
      <c r="B166" s="403" t="s">
        <v>110</v>
      </c>
      <c r="C166" s="666"/>
      <c r="D166" s="123" t="s">
        <v>378</v>
      </c>
      <c r="E166" s="679"/>
      <c r="F166" s="529">
        <f>VLOOKUP(D166,'July 2012 DMV Revenue'!D:T,17,FALSE)</f>
        <v>0</v>
      </c>
      <c r="G166" s="680"/>
      <c r="H166" s="680"/>
      <c r="I166" s="755"/>
      <c r="J166" s="682">
        <f t="shared" si="54"/>
        <v>0</v>
      </c>
      <c r="K166" s="683"/>
      <c r="L166" s="684"/>
      <c r="M166" s="753"/>
      <c r="N166" s="683">
        <v>0</v>
      </c>
      <c r="O166" s="686"/>
      <c r="P166" s="683">
        <v>0</v>
      </c>
      <c r="Q166" s="687">
        <f t="shared" si="62"/>
        <v>0</v>
      </c>
      <c r="R166" s="688">
        <v>0</v>
      </c>
      <c r="S166" s="693"/>
      <c r="T166" s="690">
        <f t="shared" si="67"/>
        <v>0</v>
      </c>
      <c r="U166" s="683"/>
      <c r="V166" s="474">
        <f t="shared" si="63"/>
        <v>0</v>
      </c>
      <c r="W166" s="474">
        <f t="shared" si="64"/>
        <v>0</v>
      </c>
      <c r="X166" s="475">
        <f t="shared" si="65"/>
        <v>0</v>
      </c>
      <c r="Y166" s="475">
        <v>0</v>
      </c>
      <c r="Z166" s="476">
        <v>0</v>
      </c>
      <c r="AA166" s="38">
        <f t="shared" si="66"/>
        <v>0</v>
      </c>
      <c r="AB166" s="692">
        <f t="shared" si="55"/>
        <v>0</v>
      </c>
      <c r="AC166" s="692">
        <f t="shared" si="56"/>
        <v>0</v>
      </c>
      <c r="AD166" s="692">
        <f t="shared" si="57"/>
        <v>0</v>
      </c>
      <c r="AE166" s="38"/>
      <c r="AF166" s="692">
        <f t="shared" si="58"/>
        <v>0</v>
      </c>
      <c r="AG166" s="692">
        <f t="shared" si="59"/>
        <v>0</v>
      </c>
      <c r="AH166" s="692">
        <f t="shared" si="60"/>
        <v>0</v>
      </c>
    </row>
    <row r="167" spans="1:34" s="232" customFormat="1">
      <c r="A167" s="403"/>
      <c r="B167" s="403" t="s">
        <v>110</v>
      </c>
      <c r="C167" s="666" t="s">
        <v>568</v>
      </c>
      <c r="D167" s="123" t="s">
        <v>303</v>
      </c>
      <c r="E167" s="679">
        <f>92209.88+95581.4+84848.63</f>
        <v>272639.91000000003</v>
      </c>
      <c r="F167" s="529">
        <f>VLOOKUP(D167,'July 2012 DMV Revenue'!D:T,17,FALSE)</f>
        <v>-317911.87</v>
      </c>
      <c r="G167" s="680"/>
      <c r="H167" s="680"/>
      <c r="I167" s="755"/>
      <c r="J167" s="682">
        <f t="shared" si="54"/>
        <v>-45271.959999999963</v>
      </c>
      <c r="K167" s="683"/>
      <c r="L167" s="684"/>
      <c r="M167" s="753">
        <v>80000</v>
      </c>
      <c r="N167" s="683">
        <v>0</v>
      </c>
      <c r="O167" s="686"/>
      <c r="P167" s="683">
        <v>0</v>
      </c>
      <c r="Q167" s="687">
        <f t="shared" si="62"/>
        <v>80000</v>
      </c>
      <c r="R167" s="688">
        <f>77330.68+9535.75</f>
        <v>86866.43</v>
      </c>
      <c r="S167" s="693"/>
      <c r="T167" s="690">
        <f t="shared" si="67"/>
        <v>6866.429999999993</v>
      </c>
      <c r="U167" s="683"/>
      <c r="V167" s="474">
        <f t="shared" si="63"/>
        <v>80000</v>
      </c>
      <c r="W167" s="474">
        <f t="shared" si="64"/>
        <v>0</v>
      </c>
      <c r="X167" s="475">
        <f t="shared" si="65"/>
        <v>0</v>
      </c>
      <c r="Y167" s="475">
        <v>0</v>
      </c>
      <c r="Z167" s="476">
        <v>0</v>
      </c>
      <c r="AA167" s="38">
        <f t="shared" si="66"/>
        <v>0</v>
      </c>
      <c r="AB167" s="692">
        <f t="shared" si="55"/>
        <v>-45271.959999999963</v>
      </c>
      <c r="AC167" s="692">
        <f t="shared" si="56"/>
        <v>0</v>
      </c>
      <c r="AD167" s="692">
        <f t="shared" si="57"/>
        <v>0</v>
      </c>
      <c r="AE167" s="38"/>
      <c r="AF167" s="692">
        <f t="shared" si="58"/>
        <v>80000</v>
      </c>
      <c r="AG167" s="692">
        <f t="shared" si="59"/>
        <v>0</v>
      </c>
      <c r="AH167" s="692">
        <f t="shared" si="60"/>
        <v>0</v>
      </c>
    </row>
    <row r="168" spans="1:34" s="232" customFormat="1">
      <c r="A168" s="403"/>
      <c r="B168" s="403" t="s">
        <v>110</v>
      </c>
      <c r="C168" s="666"/>
      <c r="D168" s="123" t="s">
        <v>856</v>
      </c>
      <c r="E168" s="679"/>
      <c r="F168" s="529">
        <v>0</v>
      </c>
      <c r="G168" s="680"/>
      <c r="H168" s="680"/>
      <c r="I168" s="755"/>
      <c r="J168" s="682">
        <f t="shared" si="54"/>
        <v>0</v>
      </c>
      <c r="K168" s="683"/>
      <c r="L168" s="684"/>
      <c r="M168" s="753"/>
      <c r="N168" s="683">
        <v>0</v>
      </c>
      <c r="O168" s="686"/>
      <c r="P168" s="683">
        <v>0</v>
      </c>
      <c r="Q168" s="687">
        <f t="shared" si="62"/>
        <v>0</v>
      </c>
      <c r="R168" s="688">
        <f>6277.46+5307.46</f>
        <v>11584.92</v>
      </c>
      <c r="S168" s="693"/>
      <c r="T168" s="690">
        <f t="shared" si="67"/>
        <v>11584.92</v>
      </c>
      <c r="U168" s="683"/>
      <c r="V168" s="474">
        <f t="shared" si="63"/>
        <v>0</v>
      </c>
      <c r="W168" s="474">
        <f t="shared" si="64"/>
        <v>0</v>
      </c>
      <c r="X168" s="475">
        <f t="shared" si="65"/>
        <v>0</v>
      </c>
      <c r="Y168" s="475">
        <v>0</v>
      </c>
      <c r="Z168" s="476">
        <v>0</v>
      </c>
      <c r="AA168" s="38">
        <f t="shared" si="66"/>
        <v>0</v>
      </c>
      <c r="AB168" s="692">
        <f t="shared" si="55"/>
        <v>0</v>
      </c>
      <c r="AC168" s="692">
        <f t="shared" si="56"/>
        <v>0</v>
      </c>
      <c r="AD168" s="692">
        <f t="shared" si="57"/>
        <v>0</v>
      </c>
      <c r="AE168" s="38"/>
      <c r="AF168" s="692">
        <f t="shared" si="58"/>
        <v>0</v>
      </c>
      <c r="AG168" s="692">
        <f t="shared" si="59"/>
        <v>0</v>
      </c>
      <c r="AH168" s="692">
        <f t="shared" si="60"/>
        <v>0</v>
      </c>
    </row>
    <row r="169" spans="1:34" s="232" customFormat="1">
      <c r="A169" s="403"/>
      <c r="B169" s="403" t="s">
        <v>109</v>
      </c>
      <c r="C169" s="666" t="s">
        <v>569</v>
      </c>
      <c r="D169" s="123" t="s">
        <v>468</v>
      </c>
      <c r="E169" s="679">
        <v>27451.82</v>
      </c>
      <c r="F169" s="529">
        <f>VLOOKUP(D169,'July 2012 DMV Revenue'!D:T,17,FALSE)</f>
        <v>-32112.34</v>
      </c>
      <c r="G169" s="680"/>
      <c r="H169" s="680"/>
      <c r="I169" s="755"/>
      <c r="J169" s="682">
        <f t="shared" si="54"/>
        <v>-4660.5200000000004</v>
      </c>
      <c r="K169" s="683"/>
      <c r="L169" s="684"/>
      <c r="M169" s="753">
        <v>30000</v>
      </c>
      <c r="N169" s="683">
        <v>0</v>
      </c>
      <c r="O169" s="686"/>
      <c r="P169" s="683">
        <v>0</v>
      </c>
      <c r="Q169" s="687">
        <f t="shared" si="62"/>
        <v>30000</v>
      </c>
      <c r="R169" s="688">
        <v>26518.080000000002</v>
      </c>
      <c r="S169" s="693"/>
      <c r="T169" s="690">
        <f t="shared" si="67"/>
        <v>-3481.9199999999983</v>
      </c>
      <c r="U169" s="683"/>
      <c r="V169" s="474">
        <f t="shared" si="63"/>
        <v>0</v>
      </c>
      <c r="W169" s="474">
        <f t="shared" si="64"/>
        <v>30000</v>
      </c>
      <c r="X169" s="475">
        <f t="shared" si="65"/>
        <v>0</v>
      </c>
      <c r="Y169" s="475">
        <v>0</v>
      </c>
      <c r="Z169" s="476">
        <v>0</v>
      </c>
      <c r="AA169" s="38">
        <f t="shared" si="66"/>
        <v>0</v>
      </c>
      <c r="AB169" s="692">
        <f t="shared" si="55"/>
        <v>0</v>
      </c>
      <c r="AC169" s="692">
        <f t="shared" si="56"/>
        <v>-4660.5200000000004</v>
      </c>
      <c r="AD169" s="692">
        <f t="shared" si="57"/>
        <v>0</v>
      </c>
      <c r="AE169" s="38"/>
      <c r="AF169" s="692">
        <f t="shared" si="58"/>
        <v>0</v>
      </c>
      <c r="AG169" s="692">
        <f t="shared" si="59"/>
        <v>30000</v>
      </c>
      <c r="AH169" s="692">
        <f t="shared" si="60"/>
        <v>0</v>
      </c>
    </row>
    <row r="170" spans="1:34">
      <c r="A170" s="20"/>
      <c r="B170" s="20" t="s">
        <v>110</v>
      </c>
      <c r="C170" s="676" t="s">
        <v>844</v>
      </c>
      <c r="D170" s="68" t="s">
        <v>845</v>
      </c>
      <c r="E170" s="679">
        <v>1361</v>
      </c>
      <c r="F170" s="529">
        <f>VLOOKUP(D170,'July 2012 DMV Revenue'!D:T,17,FALSE)</f>
        <v>0</v>
      </c>
      <c r="G170" s="680"/>
      <c r="H170" s="680"/>
      <c r="I170" s="755"/>
      <c r="J170" s="682">
        <f t="shared" ref="J170" si="70">SUM(E170:I170)</f>
        <v>1361</v>
      </c>
      <c r="K170" s="683"/>
      <c r="L170" s="684"/>
      <c r="M170" s="753"/>
      <c r="N170" s="683">
        <v>0</v>
      </c>
      <c r="O170" s="686"/>
      <c r="P170" s="683">
        <v>0</v>
      </c>
      <c r="Q170" s="687">
        <f t="shared" si="62"/>
        <v>0</v>
      </c>
      <c r="R170" s="688">
        <v>0</v>
      </c>
      <c r="S170" s="693"/>
      <c r="T170" s="690">
        <f t="shared" si="67"/>
        <v>0</v>
      </c>
      <c r="U170" s="683"/>
      <c r="V170" s="474">
        <f t="shared" si="63"/>
        <v>0</v>
      </c>
      <c r="W170" s="474">
        <f t="shared" si="64"/>
        <v>0</v>
      </c>
      <c r="X170" s="475">
        <f t="shared" si="65"/>
        <v>0</v>
      </c>
      <c r="Y170" s="475">
        <v>0</v>
      </c>
      <c r="Z170" s="476">
        <v>0</v>
      </c>
      <c r="AA170" s="38">
        <f t="shared" si="66"/>
        <v>0</v>
      </c>
      <c r="AB170" s="692">
        <f t="shared" si="55"/>
        <v>1361</v>
      </c>
      <c r="AC170" s="692">
        <f t="shared" si="56"/>
        <v>0</v>
      </c>
      <c r="AD170" s="692">
        <f t="shared" si="57"/>
        <v>0</v>
      </c>
      <c r="AE170" s="38"/>
      <c r="AF170" s="692">
        <f t="shared" si="58"/>
        <v>0</v>
      </c>
      <c r="AG170" s="692">
        <f t="shared" si="59"/>
        <v>0</v>
      </c>
      <c r="AH170" s="692">
        <f t="shared" si="60"/>
        <v>0</v>
      </c>
    </row>
    <row r="171" spans="1:34">
      <c r="A171" s="20"/>
      <c r="B171" s="20" t="s">
        <v>109</v>
      </c>
      <c r="C171" s="667" t="s">
        <v>570</v>
      </c>
      <c r="D171" s="68" t="s">
        <v>41</v>
      </c>
      <c r="E171" s="679"/>
      <c r="F171" s="529">
        <f>VLOOKUP(D171,'July 2012 DMV Revenue'!D:T,17,FALSE)</f>
        <v>0</v>
      </c>
      <c r="G171" s="680"/>
      <c r="H171" s="680"/>
      <c r="I171" s="755"/>
      <c r="J171" s="682">
        <f t="shared" si="54"/>
        <v>0</v>
      </c>
      <c r="K171" s="683"/>
      <c r="L171" s="684"/>
      <c r="M171" s="753"/>
      <c r="N171" s="683">
        <v>0</v>
      </c>
      <c r="O171" s="686"/>
      <c r="P171" s="683">
        <v>0</v>
      </c>
      <c r="Q171" s="687">
        <f t="shared" si="62"/>
        <v>0</v>
      </c>
      <c r="R171" s="688">
        <v>0</v>
      </c>
      <c r="S171" s="693"/>
      <c r="T171" s="690">
        <f t="shared" si="67"/>
        <v>0</v>
      </c>
      <c r="U171" s="683"/>
      <c r="V171" s="474">
        <f t="shared" si="63"/>
        <v>0</v>
      </c>
      <c r="W171" s="474">
        <f t="shared" si="64"/>
        <v>0</v>
      </c>
      <c r="X171" s="475">
        <f t="shared" si="65"/>
        <v>0</v>
      </c>
      <c r="Y171" s="475">
        <v>0</v>
      </c>
      <c r="Z171" s="476">
        <v>0</v>
      </c>
      <c r="AA171" s="38">
        <f t="shared" si="66"/>
        <v>0</v>
      </c>
      <c r="AB171" s="692">
        <f t="shared" si="55"/>
        <v>0</v>
      </c>
      <c r="AC171" s="692">
        <f t="shared" si="56"/>
        <v>0</v>
      </c>
      <c r="AD171" s="692">
        <f t="shared" si="57"/>
        <v>0</v>
      </c>
      <c r="AE171" s="38"/>
      <c r="AF171" s="692">
        <f t="shared" si="58"/>
        <v>0</v>
      </c>
      <c r="AG171" s="692">
        <f t="shared" si="59"/>
        <v>0</v>
      </c>
      <c r="AH171" s="692">
        <f t="shared" si="60"/>
        <v>0</v>
      </c>
    </row>
    <row r="172" spans="1:34">
      <c r="A172" s="20"/>
      <c r="B172" s="20" t="s">
        <v>109</v>
      </c>
      <c r="C172" s="667" t="s">
        <v>570</v>
      </c>
      <c r="D172" s="68" t="s">
        <v>221</v>
      </c>
      <c r="E172" s="679"/>
      <c r="F172" s="529">
        <f>VLOOKUP(D172,'July 2012 DMV Revenue'!D:T,17,FALSE)</f>
        <v>0</v>
      </c>
      <c r="G172" s="680"/>
      <c r="H172" s="680"/>
      <c r="I172" s="755"/>
      <c r="J172" s="682">
        <f t="shared" si="54"/>
        <v>0</v>
      </c>
      <c r="K172" s="683"/>
      <c r="L172" s="684"/>
      <c r="M172" s="753"/>
      <c r="N172" s="683">
        <v>0</v>
      </c>
      <c r="O172" s="686"/>
      <c r="P172" s="683">
        <v>0</v>
      </c>
      <c r="Q172" s="687">
        <f t="shared" si="62"/>
        <v>0</v>
      </c>
      <c r="R172" s="688">
        <v>0</v>
      </c>
      <c r="S172" s="693"/>
      <c r="T172" s="690">
        <f t="shared" si="67"/>
        <v>0</v>
      </c>
      <c r="U172" s="683"/>
      <c r="V172" s="474">
        <f t="shared" si="63"/>
        <v>0</v>
      </c>
      <c r="W172" s="474">
        <f t="shared" si="64"/>
        <v>0</v>
      </c>
      <c r="X172" s="475">
        <f t="shared" si="65"/>
        <v>0</v>
      </c>
      <c r="Y172" s="475">
        <v>0</v>
      </c>
      <c r="Z172" s="476">
        <v>0</v>
      </c>
      <c r="AA172" s="38">
        <f t="shared" si="66"/>
        <v>0</v>
      </c>
      <c r="AB172" s="692">
        <f t="shared" si="55"/>
        <v>0</v>
      </c>
      <c r="AC172" s="692">
        <f t="shared" si="56"/>
        <v>0</v>
      </c>
      <c r="AD172" s="692">
        <f t="shared" si="57"/>
        <v>0</v>
      </c>
      <c r="AE172" s="38"/>
      <c r="AF172" s="692">
        <f t="shared" si="58"/>
        <v>0</v>
      </c>
      <c r="AG172" s="692">
        <f t="shared" si="59"/>
        <v>0</v>
      </c>
      <c r="AH172" s="692">
        <f t="shared" si="60"/>
        <v>0</v>
      </c>
    </row>
    <row r="173" spans="1:34">
      <c r="A173" s="21"/>
      <c r="B173" s="21" t="s">
        <v>110</v>
      </c>
      <c r="C173" s="666"/>
      <c r="D173" s="68" t="s">
        <v>43</v>
      </c>
      <c r="E173" s="679"/>
      <c r="F173" s="529">
        <f>VLOOKUP(D173,'July 2012 DMV Revenue'!D:T,17,FALSE)</f>
        <v>0</v>
      </c>
      <c r="G173" s="680"/>
      <c r="H173" s="680"/>
      <c r="I173" s="755"/>
      <c r="J173" s="682">
        <f t="shared" si="54"/>
        <v>0</v>
      </c>
      <c r="K173" s="683"/>
      <c r="L173" s="684"/>
      <c r="M173" s="753"/>
      <c r="N173" s="683">
        <v>0</v>
      </c>
      <c r="O173" s="686"/>
      <c r="P173" s="683">
        <v>0</v>
      </c>
      <c r="Q173" s="687">
        <f t="shared" si="62"/>
        <v>0</v>
      </c>
      <c r="R173" s="688">
        <v>354.93</v>
      </c>
      <c r="S173" s="693"/>
      <c r="T173" s="690">
        <f t="shared" si="67"/>
        <v>354.93</v>
      </c>
      <c r="U173" s="683"/>
      <c r="V173" s="474">
        <f t="shared" si="63"/>
        <v>0</v>
      </c>
      <c r="W173" s="474">
        <f t="shared" si="64"/>
        <v>0</v>
      </c>
      <c r="X173" s="475">
        <f t="shared" si="65"/>
        <v>0</v>
      </c>
      <c r="Y173" s="475">
        <v>0</v>
      </c>
      <c r="Z173" s="476">
        <v>0</v>
      </c>
      <c r="AA173" s="38">
        <f t="shared" si="66"/>
        <v>0</v>
      </c>
      <c r="AB173" s="692">
        <f t="shared" si="55"/>
        <v>0</v>
      </c>
      <c r="AC173" s="692">
        <f t="shared" si="56"/>
        <v>0</v>
      </c>
      <c r="AD173" s="692">
        <f t="shared" si="57"/>
        <v>0</v>
      </c>
      <c r="AE173" s="38"/>
      <c r="AF173" s="692">
        <f t="shared" si="58"/>
        <v>0</v>
      </c>
      <c r="AG173" s="692">
        <f t="shared" si="59"/>
        <v>0</v>
      </c>
      <c r="AH173" s="692">
        <f t="shared" si="60"/>
        <v>0</v>
      </c>
    </row>
    <row r="174" spans="1:34">
      <c r="A174" s="21"/>
      <c r="B174" s="21" t="s">
        <v>109</v>
      </c>
      <c r="C174" s="666" t="s">
        <v>571</v>
      </c>
      <c r="D174" s="68" t="s">
        <v>44</v>
      </c>
      <c r="E174" s="679"/>
      <c r="F174" s="529">
        <f>VLOOKUP(D174,'July 2012 DMV Revenue'!D:T,17,FALSE)</f>
        <v>0</v>
      </c>
      <c r="G174" s="680"/>
      <c r="H174" s="680"/>
      <c r="I174" s="770">
        <v>3192</v>
      </c>
      <c r="J174" s="682">
        <f t="shared" si="54"/>
        <v>3192</v>
      </c>
      <c r="K174" s="683"/>
      <c r="L174" s="684"/>
      <c r="M174" s="753"/>
      <c r="N174" s="683">
        <v>0</v>
      </c>
      <c r="O174" s="686"/>
      <c r="P174" s="683">
        <v>0</v>
      </c>
      <c r="Q174" s="687">
        <f t="shared" si="62"/>
        <v>0</v>
      </c>
      <c r="R174" s="688">
        <v>0</v>
      </c>
      <c r="S174" s="693"/>
      <c r="T174" s="690">
        <f t="shared" si="67"/>
        <v>0</v>
      </c>
      <c r="U174" s="683"/>
      <c r="V174" s="474">
        <f t="shared" si="63"/>
        <v>0</v>
      </c>
      <c r="W174" s="474">
        <f t="shared" si="64"/>
        <v>0</v>
      </c>
      <c r="X174" s="475">
        <f t="shared" si="65"/>
        <v>0</v>
      </c>
      <c r="Y174" s="475">
        <v>0</v>
      </c>
      <c r="Z174" s="476">
        <v>0</v>
      </c>
      <c r="AA174" s="38">
        <f t="shared" si="66"/>
        <v>0</v>
      </c>
      <c r="AB174" s="692">
        <f t="shared" si="55"/>
        <v>0</v>
      </c>
      <c r="AC174" s="692">
        <f t="shared" si="56"/>
        <v>3192</v>
      </c>
      <c r="AD174" s="692">
        <f t="shared" si="57"/>
        <v>0</v>
      </c>
      <c r="AE174" s="38"/>
      <c r="AF174" s="692">
        <f t="shared" si="58"/>
        <v>0</v>
      </c>
      <c r="AG174" s="692">
        <f t="shared" si="59"/>
        <v>0</v>
      </c>
      <c r="AH174" s="692">
        <f t="shared" si="60"/>
        <v>0</v>
      </c>
    </row>
    <row r="175" spans="1:34">
      <c r="A175" s="21"/>
      <c r="B175" s="21" t="s">
        <v>114</v>
      </c>
      <c r="C175" s="666" t="s">
        <v>571</v>
      </c>
      <c r="D175" s="68" t="s">
        <v>44</v>
      </c>
      <c r="E175" s="679"/>
      <c r="F175" s="529">
        <f>VLOOKUP(D175,'July 2012 DMV Revenue'!D:T,17,FALSE)</f>
        <v>0</v>
      </c>
      <c r="G175" s="680"/>
      <c r="H175" s="680"/>
      <c r="I175" s="770">
        <v>96.3</v>
      </c>
      <c r="J175" s="682">
        <f t="shared" ref="J175" si="71">SUM(E175:I175)</f>
        <v>96.3</v>
      </c>
      <c r="K175" s="683"/>
      <c r="L175" s="684"/>
      <c r="M175" s="753"/>
      <c r="N175" s="683">
        <v>0</v>
      </c>
      <c r="O175" s="686"/>
      <c r="P175" s="683">
        <v>0</v>
      </c>
      <c r="Q175" s="687">
        <f t="shared" si="62"/>
        <v>0</v>
      </c>
      <c r="R175" s="688">
        <v>0</v>
      </c>
      <c r="S175" s="693"/>
      <c r="T175" s="690">
        <f t="shared" si="67"/>
        <v>0</v>
      </c>
      <c r="U175" s="683"/>
      <c r="V175" s="474">
        <f t="shared" si="63"/>
        <v>0</v>
      </c>
      <c r="W175" s="474">
        <f t="shared" si="64"/>
        <v>0</v>
      </c>
      <c r="X175" s="475">
        <f t="shared" si="65"/>
        <v>0</v>
      </c>
      <c r="Y175" s="475">
        <v>0</v>
      </c>
      <c r="Z175" s="476">
        <v>0</v>
      </c>
      <c r="AA175" s="38">
        <f t="shared" si="66"/>
        <v>0</v>
      </c>
      <c r="AB175" s="692">
        <f t="shared" si="55"/>
        <v>0</v>
      </c>
      <c r="AC175" s="692">
        <f t="shared" si="56"/>
        <v>0</v>
      </c>
      <c r="AD175" s="692">
        <f t="shared" si="57"/>
        <v>96.3</v>
      </c>
      <c r="AE175" s="38"/>
      <c r="AF175" s="692">
        <f t="shared" si="58"/>
        <v>0</v>
      </c>
      <c r="AG175" s="692">
        <f t="shared" si="59"/>
        <v>0</v>
      </c>
      <c r="AH175" s="692">
        <f t="shared" si="60"/>
        <v>0</v>
      </c>
    </row>
    <row r="176" spans="1:34">
      <c r="A176" s="21"/>
      <c r="B176" s="21" t="s">
        <v>110</v>
      </c>
      <c r="C176" s="666" t="s">
        <v>572</v>
      </c>
      <c r="D176" s="68" t="s">
        <v>388</v>
      </c>
      <c r="E176" s="679"/>
      <c r="F176" s="529">
        <f>VLOOKUP(D176,'July 2012 DMV Revenue'!D:T,17,FALSE)</f>
        <v>0</v>
      </c>
      <c r="G176" s="680"/>
      <c r="H176" s="680"/>
      <c r="I176" s="755"/>
      <c r="J176" s="682">
        <f t="shared" si="54"/>
        <v>0</v>
      </c>
      <c r="K176" s="683"/>
      <c r="L176" s="684"/>
      <c r="M176" s="753">
        <v>11000</v>
      </c>
      <c r="N176" s="683">
        <v>0</v>
      </c>
      <c r="O176" s="686"/>
      <c r="P176" s="683">
        <v>0</v>
      </c>
      <c r="Q176" s="687">
        <f t="shared" si="62"/>
        <v>11000</v>
      </c>
      <c r="R176" s="688">
        <v>0</v>
      </c>
      <c r="S176" s="693"/>
      <c r="T176" s="690">
        <f t="shared" si="67"/>
        <v>-11000</v>
      </c>
      <c r="U176" s="683"/>
      <c r="V176" s="474">
        <f t="shared" si="63"/>
        <v>11000</v>
      </c>
      <c r="W176" s="474">
        <f t="shared" si="64"/>
        <v>0</v>
      </c>
      <c r="X176" s="475">
        <f t="shared" si="65"/>
        <v>0</v>
      </c>
      <c r="Y176" s="475">
        <v>0</v>
      </c>
      <c r="Z176" s="476">
        <v>0</v>
      </c>
      <c r="AA176" s="38">
        <f t="shared" si="66"/>
        <v>0</v>
      </c>
      <c r="AB176" s="692">
        <f t="shared" si="55"/>
        <v>0</v>
      </c>
      <c r="AC176" s="692">
        <f t="shared" si="56"/>
        <v>0</v>
      </c>
      <c r="AD176" s="692">
        <f t="shared" si="57"/>
        <v>0</v>
      </c>
      <c r="AE176" s="38"/>
      <c r="AF176" s="692">
        <f t="shared" si="58"/>
        <v>11000</v>
      </c>
      <c r="AG176" s="692">
        <f t="shared" si="59"/>
        <v>0</v>
      </c>
      <c r="AH176" s="692">
        <f t="shared" si="60"/>
        <v>0</v>
      </c>
    </row>
    <row r="177" spans="1:34">
      <c r="A177" s="20"/>
      <c r="B177" s="20" t="s">
        <v>109</v>
      </c>
      <c r="C177" s="667"/>
      <c r="D177" s="68" t="s">
        <v>842</v>
      </c>
      <c r="E177" s="679">
        <f>3099.68+16066.95+8403.24+8453.11+8294.02+7880.56+8172.89+8951.97+8136.95</f>
        <v>77459.37</v>
      </c>
      <c r="F177" s="529">
        <f>VLOOKUP(D177,'July 2012 DMV Revenue'!D:T,17,FALSE)</f>
        <v>11199.31</v>
      </c>
      <c r="G177" s="680"/>
      <c r="H177" s="680"/>
      <c r="I177" s="755"/>
      <c r="J177" s="682">
        <f t="shared" ref="J177" si="72">SUM(E177:I177)</f>
        <v>88658.68</v>
      </c>
      <c r="K177" s="683"/>
      <c r="L177" s="684"/>
      <c r="M177" s="753">
        <v>10000</v>
      </c>
      <c r="N177" s="683">
        <v>0</v>
      </c>
      <c r="O177" s="686"/>
      <c r="P177" s="683">
        <v>0</v>
      </c>
      <c r="Q177" s="687">
        <f t="shared" ref="Q177" si="73">L177+M177</f>
        <v>10000</v>
      </c>
      <c r="R177" s="688">
        <v>0</v>
      </c>
      <c r="S177" s="693"/>
      <c r="T177" s="690">
        <f t="shared" si="67"/>
        <v>-10000</v>
      </c>
      <c r="U177" s="683"/>
      <c r="V177" s="474">
        <f t="shared" ref="V177" si="74">IF(B177="D",Q177,0)</f>
        <v>0</v>
      </c>
      <c r="W177" s="474">
        <f t="shared" ref="W177" si="75">IF(B177="M",Q177,0)</f>
        <v>10000</v>
      </c>
      <c r="X177" s="475">
        <f t="shared" ref="X177" si="76">IF(B177="V",Q177,0)</f>
        <v>0</v>
      </c>
      <c r="Y177" s="475">
        <v>0</v>
      </c>
      <c r="Z177" s="476">
        <v>0</v>
      </c>
      <c r="AA177" s="38">
        <f t="shared" ref="AA177" si="77">(L177+M177)-(V177+W177+X177+Y177+Z177)</f>
        <v>0</v>
      </c>
      <c r="AB177" s="692">
        <f t="shared" ref="AB177" si="78">IF(B177="D",J177,0)</f>
        <v>0</v>
      </c>
      <c r="AC177" s="692">
        <f t="shared" ref="AC177" si="79">IF(B177="M",J177,0)</f>
        <v>88658.68</v>
      </c>
      <c r="AD177" s="692">
        <f t="shared" ref="AD177" si="80">IF(B177="V",J177,0)</f>
        <v>0</v>
      </c>
      <c r="AE177" s="38"/>
      <c r="AF177" s="692">
        <f t="shared" ref="AF177" si="81">IF(B177="D",Q177,0)</f>
        <v>0</v>
      </c>
      <c r="AG177" s="692">
        <f t="shared" ref="AG177" si="82">IF(B177="M",Q177,0)</f>
        <v>10000</v>
      </c>
      <c r="AH177" s="692">
        <f t="shared" ref="AH177" si="83">IF(B177="V",Q177,0)</f>
        <v>0</v>
      </c>
    </row>
    <row r="178" spans="1:34">
      <c r="A178" s="21"/>
      <c r="B178" s="21" t="s">
        <v>110</v>
      </c>
      <c r="C178" s="666"/>
      <c r="D178" s="68" t="s">
        <v>45</v>
      </c>
      <c r="E178" s="679"/>
      <c r="F178" s="529">
        <f>VLOOKUP(D178,'July 2012 DMV Revenue'!D:T,17,FALSE)</f>
        <v>-12000</v>
      </c>
      <c r="G178" s="680"/>
      <c r="H178" s="680"/>
      <c r="I178" s="755"/>
      <c r="J178" s="682">
        <f t="shared" si="54"/>
        <v>-12000</v>
      </c>
      <c r="K178" s="683"/>
      <c r="L178" s="684"/>
      <c r="M178" s="753">
        <v>24000</v>
      </c>
      <c r="N178" s="683">
        <v>0</v>
      </c>
      <c r="O178" s="686"/>
      <c r="P178" s="683">
        <v>0</v>
      </c>
      <c r="Q178" s="687">
        <f t="shared" si="62"/>
        <v>24000</v>
      </c>
      <c r="R178" s="688">
        <f>14281.12+684.08</f>
        <v>14965.2</v>
      </c>
      <c r="S178" s="693"/>
      <c r="T178" s="690">
        <f t="shared" si="67"/>
        <v>-9034.7999999999993</v>
      </c>
      <c r="U178" s="683"/>
      <c r="V178" s="474">
        <f t="shared" si="63"/>
        <v>24000</v>
      </c>
      <c r="W178" s="474">
        <f t="shared" si="64"/>
        <v>0</v>
      </c>
      <c r="X178" s="475">
        <f t="shared" si="65"/>
        <v>0</v>
      </c>
      <c r="Y178" s="475">
        <v>0</v>
      </c>
      <c r="Z178" s="476">
        <v>0</v>
      </c>
      <c r="AA178" s="38">
        <f t="shared" si="66"/>
        <v>0</v>
      </c>
      <c r="AB178" s="692">
        <f t="shared" si="55"/>
        <v>-12000</v>
      </c>
      <c r="AC178" s="692">
        <f t="shared" si="56"/>
        <v>0</v>
      </c>
      <c r="AD178" s="692">
        <f t="shared" si="57"/>
        <v>0</v>
      </c>
      <c r="AE178" s="38"/>
      <c r="AF178" s="692">
        <f t="shared" si="58"/>
        <v>24000</v>
      </c>
      <c r="AG178" s="692">
        <f t="shared" si="59"/>
        <v>0</v>
      </c>
      <c r="AH178" s="692">
        <f t="shared" si="60"/>
        <v>0</v>
      </c>
    </row>
    <row r="179" spans="1:34">
      <c r="A179" s="20" t="s">
        <v>211</v>
      </c>
      <c r="B179" s="20" t="s">
        <v>110</v>
      </c>
      <c r="C179" s="667"/>
      <c r="D179" s="68" t="s">
        <v>503</v>
      </c>
      <c r="E179" s="679">
        <v>6</v>
      </c>
      <c r="F179" s="529">
        <f>VLOOKUP(D179,'July 2012 DMV Revenue'!D:T,17,FALSE)</f>
        <v>0</v>
      </c>
      <c r="G179" s="680"/>
      <c r="H179" s="680"/>
      <c r="I179" s="755"/>
      <c r="J179" s="682">
        <f t="shared" ref="J179" si="84">SUM(E179:I179)</f>
        <v>6</v>
      </c>
      <c r="K179" s="683"/>
      <c r="L179" s="684"/>
      <c r="M179" s="753"/>
      <c r="N179" s="683">
        <v>0</v>
      </c>
      <c r="O179" s="686"/>
      <c r="P179" s="683">
        <v>0</v>
      </c>
      <c r="Q179" s="687">
        <f t="shared" si="62"/>
        <v>0</v>
      </c>
      <c r="R179" s="688">
        <v>0</v>
      </c>
      <c r="S179" s="693"/>
      <c r="T179" s="690">
        <f t="shared" si="67"/>
        <v>0</v>
      </c>
      <c r="U179" s="697"/>
      <c r="V179" s="474">
        <f t="shared" si="63"/>
        <v>0</v>
      </c>
      <c r="W179" s="474">
        <f t="shared" si="64"/>
        <v>0</v>
      </c>
      <c r="X179" s="475">
        <f t="shared" si="65"/>
        <v>0</v>
      </c>
      <c r="Y179" s="475">
        <v>0</v>
      </c>
      <c r="Z179" s="476">
        <v>0</v>
      </c>
      <c r="AA179" s="38">
        <f t="shared" si="66"/>
        <v>0</v>
      </c>
      <c r="AB179" s="692">
        <f t="shared" si="55"/>
        <v>6</v>
      </c>
      <c r="AC179" s="692">
        <f t="shared" si="56"/>
        <v>0</v>
      </c>
      <c r="AD179" s="692">
        <f t="shared" si="57"/>
        <v>0</v>
      </c>
      <c r="AE179" s="38"/>
      <c r="AF179" s="692">
        <f t="shared" si="58"/>
        <v>0</v>
      </c>
      <c r="AG179" s="692">
        <f t="shared" si="59"/>
        <v>0</v>
      </c>
      <c r="AH179" s="692">
        <f t="shared" si="60"/>
        <v>0</v>
      </c>
    </row>
    <row r="180" spans="1:34">
      <c r="A180" s="20"/>
      <c r="B180" s="20" t="s">
        <v>110</v>
      </c>
      <c r="C180" s="667" t="s">
        <v>573</v>
      </c>
      <c r="D180" s="68" t="s">
        <v>102</v>
      </c>
      <c r="E180" s="679">
        <v>-11463.57</v>
      </c>
      <c r="F180" s="529">
        <f>VLOOKUP(D180,'July 2012 DMV Revenue'!D:T,17,FALSE)</f>
        <v>-32499.270000000019</v>
      </c>
      <c r="G180" s="680"/>
      <c r="H180" s="680"/>
      <c r="I180" s="755"/>
      <c r="J180" s="682">
        <f t="shared" si="54"/>
        <v>-43962.840000000018</v>
      </c>
      <c r="K180" s="683"/>
      <c r="L180" s="684"/>
      <c r="M180" s="753">
        <v>800000</v>
      </c>
      <c r="N180" s="683">
        <v>0</v>
      </c>
      <c r="O180" s="686"/>
      <c r="P180" s="683">
        <v>0</v>
      </c>
      <c r="Q180" s="687">
        <f t="shared" si="62"/>
        <v>800000</v>
      </c>
      <c r="R180" s="688">
        <f>840515.85+16146.07</f>
        <v>856661.91999999993</v>
      </c>
      <c r="S180" s="693"/>
      <c r="T180" s="690">
        <f t="shared" si="67"/>
        <v>56661.919999999925</v>
      </c>
      <c r="U180" s="697"/>
      <c r="V180" s="474">
        <f t="shared" si="63"/>
        <v>800000</v>
      </c>
      <c r="W180" s="474">
        <f t="shared" si="64"/>
        <v>0</v>
      </c>
      <c r="X180" s="475">
        <f t="shared" si="65"/>
        <v>0</v>
      </c>
      <c r="Y180" s="475">
        <v>0</v>
      </c>
      <c r="Z180" s="476">
        <v>0</v>
      </c>
      <c r="AA180" s="38">
        <f t="shared" si="66"/>
        <v>0</v>
      </c>
      <c r="AB180" s="692">
        <f t="shared" si="55"/>
        <v>-43962.840000000018</v>
      </c>
      <c r="AC180" s="692">
        <f t="shared" si="56"/>
        <v>0</v>
      </c>
      <c r="AD180" s="692">
        <f t="shared" si="57"/>
        <v>0</v>
      </c>
      <c r="AE180" s="38"/>
      <c r="AF180" s="692">
        <f t="shared" si="58"/>
        <v>800000</v>
      </c>
      <c r="AG180" s="692">
        <f t="shared" si="59"/>
        <v>0</v>
      </c>
      <c r="AH180" s="692">
        <f t="shared" si="60"/>
        <v>0</v>
      </c>
    </row>
    <row r="181" spans="1:34">
      <c r="A181" s="20"/>
      <c r="B181" s="20" t="s">
        <v>110</v>
      </c>
      <c r="C181" s="667" t="s">
        <v>573</v>
      </c>
      <c r="D181" s="68" t="s">
        <v>511</v>
      </c>
      <c r="E181" s="679">
        <v>68431.14</v>
      </c>
      <c r="F181" s="529">
        <f>VLOOKUP(D181,'July 2012 DMV Revenue'!D:T,17,FALSE)</f>
        <v>-50000</v>
      </c>
      <c r="G181" s="680"/>
      <c r="H181" s="680"/>
      <c r="I181" s="755"/>
      <c r="J181" s="682">
        <f t="shared" ref="J181" si="85">SUM(E181:I181)</f>
        <v>18431.14</v>
      </c>
      <c r="K181" s="683"/>
      <c r="L181" s="684"/>
      <c r="M181" s="753">
        <v>23000</v>
      </c>
      <c r="N181" s="683">
        <v>0</v>
      </c>
      <c r="O181" s="686"/>
      <c r="P181" s="683">
        <v>0</v>
      </c>
      <c r="Q181" s="687">
        <f t="shared" si="62"/>
        <v>23000</v>
      </c>
      <c r="R181" s="688">
        <v>24654.28</v>
      </c>
      <c r="S181" s="693"/>
      <c r="T181" s="690">
        <f t="shared" si="67"/>
        <v>1654.2799999999988</v>
      </c>
      <c r="U181" s="697"/>
      <c r="V181" s="474">
        <f t="shared" si="63"/>
        <v>23000</v>
      </c>
      <c r="W181" s="474">
        <f t="shared" si="64"/>
        <v>0</v>
      </c>
      <c r="X181" s="475">
        <f t="shared" si="65"/>
        <v>0</v>
      </c>
      <c r="Y181" s="475">
        <v>0</v>
      </c>
      <c r="Z181" s="476">
        <v>0</v>
      </c>
      <c r="AA181" s="38">
        <f t="shared" si="66"/>
        <v>0</v>
      </c>
      <c r="AB181" s="692">
        <f t="shared" si="55"/>
        <v>18431.14</v>
      </c>
      <c r="AC181" s="692">
        <f t="shared" si="56"/>
        <v>0</v>
      </c>
      <c r="AD181" s="692">
        <f t="shared" si="57"/>
        <v>0</v>
      </c>
      <c r="AE181" s="38"/>
      <c r="AF181" s="692">
        <f t="shared" si="58"/>
        <v>23000</v>
      </c>
      <c r="AG181" s="692">
        <f t="shared" si="59"/>
        <v>0</v>
      </c>
      <c r="AH181" s="692">
        <f t="shared" si="60"/>
        <v>0</v>
      </c>
    </row>
    <row r="182" spans="1:34">
      <c r="A182" s="21"/>
      <c r="B182" s="21" t="s">
        <v>110</v>
      </c>
      <c r="C182" s="666"/>
      <c r="D182" s="68" t="s">
        <v>50</v>
      </c>
      <c r="E182" s="679"/>
      <c r="F182" s="529">
        <f>VLOOKUP(D182,'July 2012 DMV Revenue'!D:T,17,FALSE)</f>
        <v>1215.68</v>
      </c>
      <c r="G182" s="680"/>
      <c r="H182" s="680"/>
      <c r="I182" s="770">
        <v>1008.02</v>
      </c>
      <c r="J182" s="682">
        <f t="shared" si="54"/>
        <v>2223.6999999999998</v>
      </c>
      <c r="K182" s="683"/>
      <c r="L182" s="684"/>
      <c r="M182" s="753"/>
      <c r="N182" s="683">
        <v>0</v>
      </c>
      <c r="O182" s="686"/>
      <c r="P182" s="683">
        <v>0</v>
      </c>
      <c r="Q182" s="687">
        <f t="shared" si="62"/>
        <v>0</v>
      </c>
      <c r="R182" s="688">
        <v>0</v>
      </c>
      <c r="S182" s="693"/>
      <c r="T182" s="690">
        <f t="shared" si="67"/>
        <v>0</v>
      </c>
      <c r="U182" s="683"/>
      <c r="V182" s="474">
        <f t="shared" si="63"/>
        <v>0</v>
      </c>
      <c r="W182" s="474">
        <f t="shared" si="64"/>
        <v>0</v>
      </c>
      <c r="X182" s="475">
        <f t="shared" si="65"/>
        <v>0</v>
      </c>
      <c r="Y182" s="475">
        <v>0</v>
      </c>
      <c r="Z182" s="476">
        <v>0</v>
      </c>
      <c r="AA182" s="38">
        <f t="shared" si="66"/>
        <v>0</v>
      </c>
      <c r="AB182" s="692">
        <f t="shared" si="55"/>
        <v>2223.6999999999998</v>
      </c>
      <c r="AC182" s="692">
        <f t="shared" si="56"/>
        <v>0</v>
      </c>
      <c r="AD182" s="692">
        <f t="shared" si="57"/>
        <v>0</v>
      </c>
      <c r="AE182" s="38"/>
      <c r="AF182" s="692">
        <f t="shared" si="58"/>
        <v>0</v>
      </c>
      <c r="AG182" s="692">
        <f t="shared" si="59"/>
        <v>0</v>
      </c>
      <c r="AH182" s="692">
        <f t="shared" si="60"/>
        <v>0</v>
      </c>
    </row>
    <row r="183" spans="1:34">
      <c r="A183" s="21"/>
      <c r="B183" s="21" t="s">
        <v>109</v>
      </c>
      <c r="C183" s="666"/>
      <c r="D183" s="68" t="s">
        <v>51</v>
      </c>
      <c r="E183" s="679"/>
      <c r="F183" s="529">
        <f>VLOOKUP(D183,'July 2012 DMV Revenue'!D:T,17,FALSE)</f>
        <v>0</v>
      </c>
      <c r="G183" s="680"/>
      <c r="H183" s="680"/>
      <c r="I183" s="755"/>
      <c r="J183" s="682">
        <f t="shared" si="54"/>
        <v>0</v>
      </c>
      <c r="K183" s="683"/>
      <c r="L183" s="684"/>
      <c r="M183" s="753"/>
      <c r="N183" s="683">
        <v>0</v>
      </c>
      <c r="O183" s="686"/>
      <c r="P183" s="683">
        <v>0</v>
      </c>
      <c r="Q183" s="687">
        <f t="shared" si="62"/>
        <v>0</v>
      </c>
      <c r="R183" s="688">
        <v>0</v>
      </c>
      <c r="S183" s="693"/>
      <c r="T183" s="690">
        <f t="shared" si="67"/>
        <v>0</v>
      </c>
      <c r="U183" s="683"/>
      <c r="V183" s="474">
        <f t="shared" si="63"/>
        <v>0</v>
      </c>
      <c r="W183" s="474">
        <f t="shared" si="64"/>
        <v>0</v>
      </c>
      <c r="X183" s="475">
        <f t="shared" si="65"/>
        <v>0</v>
      </c>
      <c r="Y183" s="475">
        <v>0</v>
      </c>
      <c r="Z183" s="476">
        <v>0</v>
      </c>
      <c r="AA183" s="38">
        <f t="shared" si="66"/>
        <v>0</v>
      </c>
      <c r="AB183" s="692">
        <f t="shared" si="55"/>
        <v>0</v>
      </c>
      <c r="AC183" s="692">
        <f t="shared" si="56"/>
        <v>0</v>
      </c>
      <c r="AD183" s="692">
        <f t="shared" si="57"/>
        <v>0</v>
      </c>
      <c r="AE183" s="38"/>
      <c r="AF183" s="692">
        <f t="shared" si="58"/>
        <v>0</v>
      </c>
      <c r="AG183" s="692">
        <f t="shared" si="59"/>
        <v>0</v>
      </c>
      <c r="AH183" s="692">
        <f t="shared" si="60"/>
        <v>0</v>
      </c>
    </row>
    <row r="184" spans="1:34">
      <c r="A184" s="21"/>
      <c r="B184" s="21" t="s">
        <v>109</v>
      </c>
      <c r="C184" s="666"/>
      <c r="D184" s="68" t="s">
        <v>107</v>
      </c>
      <c r="E184" s="679">
        <v>301.70999999999998</v>
      </c>
      <c r="F184" s="529">
        <f>VLOOKUP(D184,'July 2012 DMV Revenue'!D:T,17,FALSE)</f>
        <v>273.56</v>
      </c>
      <c r="G184" s="680"/>
      <c r="H184" s="680"/>
      <c r="I184" s="755"/>
      <c r="J184" s="682">
        <f t="shared" si="54"/>
        <v>575.27</v>
      </c>
      <c r="K184" s="683"/>
      <c r="L184" s="684"/>
      <c r="M184" s="753"/>
      <c r="N184" s="683">
        <v>0</v>
      </c>
      <c r="O184" s="686"/>
      <c r="P184" s="683">
        <v>0</v>
      </c>
      <c r="Q184" s="687">
        <f t="shared" si="62"/>
        <v>0</v>
      </c>
      <c r="R184" s="688">
        <v>0</v>
      </c>
      <c r="S184" s="693"/>
      <c r="T184" s="690">
        <f t="shared" si="67"/>
        <v>0</v>
      </c>
      <c r="U184" s="683"/>
      <c r="V184" s="474">
        <f t="shared" si="63"/>
        <v>0</v>
      </c>
      <c r="W184" s="474">
        <f t="shared" si="64"/>
        <v>0</v>
      </c>
      <c r="X184" s="475">
        <f t="shared" si="65"/>
        <v>0</v>
      </c>
      <c r="Y184" s="475">
        <v>0</v>
      </c>
      <c r="Z184" s="476">
        <v>0</v>
      </c>
      <c r="AA184" s="38">
        <f t="shared" si="66"/>
        <v>0</v>
      </c>
      <c r="AB184" s="692">
        <f t="shared" si="55"/>
        <v>0</v>
      </c>
      <c r="AC184" s="692">
        <f t="shared" si="56"/>
        <v>575.27</v>
      </c>
      <c r="AD184" s="692">
        <f t="shared" si="57"/>
        <v>0</v>
      </c>
      <c r="AE184" s="38"/>
      <c r="AF184" s="692">
        <f t="shared" si="58"/>
        <v>0</v>
      </c>
      <c r="AG184" s="692">
        <f t="shared" si="59"/>
        <v>0</v>
      </c>
      <c r="AH184" s="692">
        <f t="shared" si="60"/>
        <v>0</v>
      </c>
    </row>
    <row r="185" spans="1:34">
      <c r="A185" s="21"/>
      <c r="B185" s="21" t="s">
        <v>109</v>
      </c>
      <c r="C185" s="666"/>
      <c r="D185" s="68" t="s">
        <v>467</v>
      </c>
      <c r="E185" s="679"/>
      <c r="F185" s="529">
        <f>VLOOKUP(D185,'July 2012 DMV Revenue'!D:T,17,FALSE)</f>
        <v>0</v>
      </c>
      <c r="G185" s="680"/>
      <c r="H185" s="680"/>
      <c r="I185" s="755"/>
      <c r="J185" s="682">
        <f t="shared" ref="J185:J220" si="86">SUM(E185:I185)</f>
        <v>0</v>
      </c>
      <c r="K185" s="683"/>
      <c r="L185" s="684"/>
      <c r="M185" s="753"/>
      <c r="N185" s="683">
        <v>0</v>
      </c>
      <c r="O185" s="686"/>
      <c r="P185" s="683">
        <v>0</v>
      </c>
      <c r="Q185" s="687">
        <f t="shared" si="62"/>
        <v>0</v>
      </c>
      <c r="R185" s="688">
        <v>0</v>
      </c>
      <c r="S185" s="693"/>
      <c r="T185" s="690">
        <f t="shared" si="67"/>
        <v>0</v>
      </c>
      <c r="U185" s="683"/>
      <c r="V185" s="474">
        <f t="shared" si="63"/>
        <v>0</v>
      </c>
      <c r="W185" s="474">
        <f t="shared" si="64"/>
        <v>0</v>
      </c>
      <c r="X185" s="475">
        <f t="shared" si="65"/>
        <v>0</v>
      </c>
      <c r="Y185" s="475">
        <v>0</v>
      </c>
      <c r="Z185" s="476">
        <v>0</v>
      </c>
      <c r="AA185" s="38">
        <f t="shared" si="66"/>
        <v>0</v>
      </c>
      <c r="AB185" s="692">
        <f t="shared" ref="AB185:AB220" si="87">IF(B185="D",J185,0)</f>
        <v>0</v>
      </c>
      <c r="AC185" s="692">
        <f t="shared" ref="AC185:AC220" si="88">IF(B185="M",J185,0)</f>
        <v>0</v>
      </c>
      <c r="AD185" s="692">
        <f t="shared" ref="AD185:AD220" si="89">IF(B185="V",J185,0)</f>
        <v>0</v>
      </c>
      <c r="AE185" s="38"/>
      <c r="AF185" s="692">
        <f t="shared" ref="AF185:AF220" si="90">IF(B185="D",Q185,0)</f>
        <v>0</v>
      </c>
      <c r="AG185" s="692">
        <f t="shared" ref="AG185:AG220" si="91">IF(B185="M",Q185,0)</f>
        <v>0</v>
      </c>
      <c r="AH185" s="692">
        <f t="shared" ref="AH185:AH220" si="92">IF(B185="V",Q185,0)</f>
        <v>0</v>
      </c>
    </row>
    <row r="186" spans="1:34">
      <c r="A186" s="21"/>
      <c r="B186" s="21" t="s">
        <v>109</v>
      </c>
      <c r="C186" s="666" t="s">
        <v>575</v>
      </c>
      <c r="D186" s="68" t="s">
        <v>54</v>
      </c>
      <c r="E186" s="679"/>
      <c r="F186" s="529">
        <f>VLOOKUP(D186,'July 2012 DMV Revenue'!D:T,17,FALSE)</f>
        <v>0</v>
      </c>
      <c r="G186" s="680"/>
      <c r="H186" s="680"/>
      <c r="I186" s="755"/>
      <c r="J186" s="682">
        <f t="shared" si="86"/>
        <v>0</v>
      </c>
      <c r="K186" s="683"/>
      <c r="L186" s="684"/>
      <c r="M186" s="753"/>
      <c r="N186" s="683">
        <v>0</v>
      </c>
      <c r="O186" s="686"/>
      <c r="P186" s="683">
        <v>0</v>
      </c>
      <c r="Q186" s="687">
        <f t="shared" si="62"/>
        <v>0</v>
      </c>
      <c r="R186" s="688">
        <v>0</v>
      </c>
      <c r="S186" s="693"/>
      <c r="T186" s="690">
        <f t="shared" si="67"/>
        <v>0</v>
      </c>
      <c r="U186" s="683"/>
      <c r="V186" s="474">
        <f t="shared" si="63"/>
        <v>0</v>
      </c>
      <c r="W186" s="474">
        <f t="shared" si="64"/>
        <v>0</v>
      </c>
      <c r="X186" s="475">
        <f t="shared" si="65"/>
        <v>0</v>
      </c>
      <c r="Y186" s="475">
        <v>0</v>
      </c>
      <c r="Z186" s="476">
        <v>0</v>
      </c>
      <c r="AA186" s="38">
        <f t="shared" si="66"/>
        <v>0</v>
      </c>
      <c r="AB186" s="692">
        <f t="shared" si="87"/>
        <v>0</v>
      </c>
      <c r="AC186" s="692">
        <f t="shared" si="88"/>
        <v>0</v>
      </c>
      <c r="AD186" s="692">
        <f t="shared" si="89"/>
        <v>0</v>
      </c>
      <c r="AE186" s="38"/>
      <c r="AF186" s="692">
        <f t="shared" si="90"/>
        <v>0</v>
      </c>
      <c r="AG186" s="692">
        <f t="shared" si="91"/>
        <v>0</v>
      </c>
      <c r="AH186" s="692">
        <f t="shared" si="92"/>
        <v>0</v>
      </c>
    </row>
    <row r="187" spans="1:34">
      <c r="A187" s="20"/>
      <c r="B187" s="20" t="s">
        <v>110</v>
      </c>
      <c r="C187" s="667" t="s">
        <v>576</v>
      </c>
      <c r="D187" s="68" t="s">
        <v>394</v>
      </c>
      <c r="E187" s="679">
        <v>-165.16</v>
      </c>
      <c r="F187" s="529">
        <f>VLOOKUP(D187,'July 2012 DMV Revenue'!D:T,17,FALSE)</f>
        <v>0</v>
      </c>
      <c r="G187" s="680"/>
      <c r="H187" s="680"/>
      <c r="I187" s="755"/>
      <c r="J187" s="682">
        <f t="shared" si="86"/>
        <v>-165.16</v>
      </c>
      <c r="K187" s="683"/>
      <c r="L187" s="684"/>
      <c r="M187" s="753"/>
      <c r="N187" s="683">
        <v>0</v>
      </c>
      <c r="O187" s="686"/>
      <c r="P187" s="683">
        <v>0</v>
      </c>
      <c r="Q187" s="687">
        <f t="shared" si="62"/>
        <v>0</v>
      </c>
      <c r="R187" s="688">
        <v>0</v>
      </c>
      <c r="S187" s="693"/>
      <c r="T187" s="690">
        <f t="shared" si="67"/>
        <v>0</v>
      </c>
      <c r="U187" s="683"/>
      <c r="V187" s="474">
        <f t="shared" si="63"/>
        <v>0</v>
      </c>
      <c r="W187" s="474">
        <f t="shared" si="64"/>
        <v>0</v>
      </c>
      <c r="X187" s="475">
        <f t="shared" si="65"/>
        <v>0</v>
      </c>
      <c r="Y187" s="475">
        <v>0</v>
      </c>
      <c r="Z187" s="476">
        <v>0</v>
      </c>
      <c r="AA187" s="38">
        <f t="shared" si="66"/>
        <v>0</v>
      </c>
      <c r="AB187" s="692">
        <f t="shared" si="87"/>
        <v>-165.16</v>
      </c>
      <c r="AC187" s="692">
        <f t="shared" si="88"/>
        <v>0</v>
      </c>
      <c r="AD187" s="692">
        <f t="shared" si="89"/>
        <v>0</v>
      </c>
      <c r="AE187" s="38"/>
      <c r="AF187" s="692">
        <f t="shared" si="90"/>
        <v>0</v>
      </c>
      <c r="AG187" s="692">
        <f t="shared" si="91"/>
        <v>0</v>
      </c>
      <c r="AH187" s="692">
        <f t="shared" si="92"/>
        <v>0</v>
      </c>
    </row>
    <row r="188" spans="1:34">
      <c r="A188" s="20"/>
      <c r="B188" s="20" t="s">
        <v>110</v>
      </c>
      <c r="C188" s="667"/>
      <c r="D188" s="68" t="s">
        <v>55</v>
      </c>
      <c r="E188" s="679">
        <f>616.27+496.07</f>
        <v>1112.3399999999999</v>
      </c>
      <c r="F188" s="529">
        <f>VLOOKUP(D188,'July 2012 DMV Revenue'!D:T,17,FALSE)</f>
        <v>0</v>
      </c>
      <c r="G188" s="680"/>
      <c r="H188" s="680"/>
      <c r="I188" s="770">
        <v>706.17</v>
      </c>
      <c r="J188" s="682">
        <f t="shared" si="86"/>
        <v>1818.5099999999998</v>
      </c>
      <c r="K188" s="683"/>
      <c r="L188" s="684"/>
      <c r="M188" s="753"/>
      <c r="N188" s="683">
        <v>0</v>
      </c>
      <c r="O188" s="686"/>
      <c r="P188" s="683">
        <v>0</v>
      </c>
      <c r="Q188" s="687">
        <f t="shared" ref="Q188:Q220" si="93">L188+M188</f>
        <v>0</v>
      </c>
      <c r="R188" s="688">
        <v>0</v>
      </c>
      <c r="S188" s="693"/>
      <c r="T188" s="690">
        <f t="shared" si="67"/>
        <v>0</v>
      </c>
      <c r="U188" s="683"/>
      <c r="V188" s="474">
        <f t="shared" ref="V188:V220" si="94">IF(B188="D",Q188,0)</f>
        <v>0</v>
      </c>
      <c r="W188" s="474">
        <f t="shared" ref="W188:W220" si="95">IF(B188="M",Q188,0)</f>
        <v>0</v>
      </c>
      <c r="X188" s="475">
        <f t="shared" ref="X188:X220" si="96">IF(B188="V",Q188,0)</f>
        <v>0</v>
      </c>
      <c r="Y188" s="475">
        <v>0</v>
      </c>
      <c r="Z188" s="476">
        <v>0</v>
      </c>
      <c r="AA188" s="38">
        <f t="shared" ref="AA188:AA220" si="97">(L188+M188)-(V188+W188+X188+Y188+Z188)</f>
        <v>0</v>
      </c>
      <c r="AB188" s="692">
        <f t="shared" si="87"/>
        <v>1818.5099999999998</v>
      </c>
      <c r="AC188" s="692">
        <f t="shared" si="88"/>
        <v>0</v>
      </c>
      <c r="AD188" s="692">
        <f t="shared" si="89"/>
        <v>0</v>
      </c>
      <c r="AE188" s="38"/>
      <c r="AF188" s="692">
        <f t="shared" si="90"/>
        <v>0</v>
      </c>
      <c r="AG188" s="692">
        <f t="shared" si="91"/>
        <v>0</v>
      </c>
      <c r="AH188" s="692">
        <f t="shared" si="92"/>
        <v>0</v>
      </c>
    </row>
    <row r="189" spans="1:34">
      <c r="A189" s="20"/>
      <c r="B189" s="20" t="s">
        <v>110</v>
      </c>
      <c r="C189" s="676" t="s">
        <v>854</v>
      </c>
      <c r="D189" s="68" t="s">
        <v>855</v>
      </c>
      <c r="E189" s="679"/>
      <c r="F189" s="529"/>
      <c r="G189" s="680"/>
      <c r="H189" s="680"/>
      <c r="I189" s="755"/>
      <c r="J189" s="682">
        <f t="shared" ref="J189" si="98">SUM(E189:I189)</f>
        <v>0</v>
      </c>
      <c r="K189" s="683"/>
      <c r="L189" s="684"/>
      <c r="M189" s="753"/>
      <c r="N189" s="683">
        <v>0</v>
      </c>
      <c r="O189" s="686"/>
      <c r="P189" s="683">
        <v>0</v>
      </c>
      <c r="Q189" s="687">
        <f t="shared" si="93"/>
        <v>0</v>
      </c>
      <c r="R189" s="688">
        <v>793.06</v>
      </c>
      <c r="S189" s="693"/>
      <c r="T189" s="690">
        <f t="shared" ref="T189" si="99">IF(R189="","",R189-Q189)</f>
        <v>793.06</v>
      </c>
      <c r="U189" s="683"/>
      <c r="V189" s="474">
        <f t="shared" si="94"/>
        <v>0</v>
      </c>
      <c r="W189" s="474">
        <f t="shared" si="95"/>
        <v>0</v>
      </c>
      <c r="X189" s="475">
        <f t="shared" si="96"/>
        <v>0</v>
      </c>
      <c r="Y189" s="475">
        <v>0</v>
      </c>
      <c r="Z189" s="476">
        <v>0</v>
      </c>
      <c r="AA189" s="38">
        <f t="shared" si="97"/>
        <v>0</v>
      </c>
      <c r="AB189" s="692">
        <f t="shared" ref="AB189" si="100">IF(B189="D",J189,0)</f>
        <v>0</v>
      </c>
      <c r="AC189" s="692">
        <f t="shared" ref="AC189" si="101">IF(B189="M",J189,0)</f>
        <v>0</v>
      </c>
      <c r="AD189" s="692">
        <f t="shared" ref="AD189" si="102">IF(B189="V",J189,0)</f>
        <v>0</v>
      </c>
      <c r="AE189" s="38"/>
      <c r="AF189" s="692">
        <f t="shared" ref="AF189" si="103">IF(B189="D",Q189,0)</f>
        <v>0</v>
      </c>
      <c r="AG189" s="692">
        <f t="shared" ref="AG189" si="104">IF(B189="M",Q189,0)</f>
        <v>0</v>
      </c>
      <c r="AH189" s="692">
        <f t="shared" ref="AH189" si="105">IF(B189="V",Q189,0)</f>
        <v>0</v>
      </c>
    </row>
    <row r="190" spans="1:34">
      <c r="A190" s="20"/>
      <c r="B190" s="20" t="s">
        <v>109</v>
      </c>
      <c r="C190" s="667" t="s">
        <v>577</v>
      </c>
      <c r="D190" s="68" t="s">
        <v>159</v>
      </c>
      <c r="E190" s="679"/>
      <c r="F190" s="529">
        <f>VLOOKUP(D190,'July 2012 DMV Revenue'!D:T,17,FALSE)</f>
        <v>0</v>
      </c>
      <c r="G190" s="680"/>
      <c r="H190" s="680"/>
      <c r="I190" s="688">
        <v>23130.3</v>
      </c>
      <c r="J190" s="682">
        <f t="shared" si="86"/>
        <v>23130.3</v>
      </c>
      <c r="K190" s="683"/>
      <c r="L190" s="684"/>
      <c r="M190" s="753"/>
      <c r="N190" s="683">
        <v>0</v>
      </c>
      <c r="O190" s="686"/>
      <c r="P190" s="683">
        <v>0</v>
      </c>
      <c r="Q190" s="687">
        <f t="shared" si="93"/>
        <v>0</v>
      </c>
      <c r="R190" s="688">
        <v>0</v>
      </c>
      <c r="S190" s="693"/>
      <c r="T190" s="690">
        <f t="shared" si="67"/>
        <v>0</v>
      </c>
      <c r="U190" s="683"/>
      <c r="V190" s="474">
        <f t="shared" si="94"/>
        <v>0</v>
      </c>
      <c r="W190" s="474">
        <f t="shared" si="95"/>
        <v>0</v>
      </c>
      <c r="X190" s="475">
        <f t="shared" si="96"/>
        <v>0</v>
      </c>
      <c r="Y190" s="475">
        <v>0</v>
      </c>
      <c r="Z190" s="476">
        <v>0</v>
      </c>
      <c r="AA190" s="38">
        <f t="shared" si="97"/>
        <v>0</v>
      </c>
      <c r="AB190" s="692">
        <f t="shared" si="87"/>
        <v>0</v>
      </c>
      <c r="AC190" s="692">
        <f t="shared" si="88"/>
        <v>23130.3</v>
      </c>
      <c r="AD190" s="692">
        <f t="shared" si="89"/>
        <v>0</v>
      </c>
      <c r="AE190" s="38"/>
      <c r="AF190" s="692">
        <f t="shared" si="90"/>
        <v>0</v>
      </c>
      <c r="AG190" s="692">
        <f t="shared" si="91"/>
        <v>0</v>
      </c>
      <c r="AH190" s="692">
        <f t="shared" si="92"/>
        <v>0</v>
      </c>
    </row>
    <row r="191" spans="1:34">
      <c r="A191" s="20"/>
      <c r="B191" s="20" t="s">
        <v>109</v>
      </c>
      <c r="C191" s="667" t="s">
        <v>577</v>
      </c>
      <c r="D191" s="68" t="s">
        <v>160</v>
      </c>
      <c r="E191" s="679"/>
      <c r="F191" s="529">
        <f>VLOOKUP(D191,'July 2012 DMV Revenue'!D:T,17,FALSE)</f>
        <v>0</v>
      </c>
      <c r="G191" s="680"/>
      <c r="H191" s="680"/>
      <c r="I191" s="688">
        <v>14061.14</v>
      </c>
      <c r="J191" s="682">
        <f t="shared" si="86"/>
        <v>14061.14</v>
      </c>
      <c r="K191" s="683"/>
      <c r="L191" s="684"/>
      <c r="M191" s="753"/>
      <c r="N191" s="683">
        <v>0</v>
      </c>
      <c r="O191" s="686"/>
      <c r="P191" s="683">
        <v>0</v>
      </c>
      <c r="Q191" s="687">
        <f t="shared" si="93"/>
        <v>0</v>
      </c>
      <c r="R191" s="688">
        <v>0</v>
      </c>
      <c r="S191" s="693"/>
      <c r="T191" s="690">
        <f t="shared" si="67"/>
        <v>0</v>
      </c>
      <c r="U191" s="683"/>
      <c r="V191" s="474">
        <f t="shared" si="94"/>
        <v>0</v>
      </c>
      <c r="W191" s="474">
        <f t="shared" si="95"/>
        <v>0</v>
      </c>
      <c r="X191" s="475">
        <f t="shared" si="96"/>
        <v>0</v>
      </c>
      <c r="Y191" s="475">
        <v>0</v>
      </c>
      <c r="Z191" s="476">
        <v>0</v>
      </c>
      <c r="AA191" s="38">
        <f t="shared" si="97"/>
        <v>0</v>
      </c>
      <c r="AB191" s="692">
        <f t="shared" si="87"/>
        <v>0</v>
      </c>
      <c r="AC191" s="692">
        <f t="shared" si="88"/>
        <v>14061.14</v>
      </c>
      <c r="AD191" s="692">
        <f t="shared" si="89"/>
        <v>0</v>
      </c>
      <c r="AE191" s="38"/>
      <c r="AF191" s="692">
        <f t="shared" si="90"/>
        <v>0</v>
      </c>
      <c r="AG191" s="692">
        <f t="shared" si="91"/>
        <v>0</v>
      </c>
      <c r="AH191" s="692">
        <f t="shared" si="92"/>
        <v>0</v>
      </c>
    </row>
    <row r="192" spans="1:34">
      <c r="A192" s="21"/>
      <c r="B192" s="21" t="s">
        <v>109</v>
      </c>
      <c r="C192" s="667" t="s">
        <v>577</v>
      </c>
      <c r="D192" s="68" t="s">
        <v>161</v>
      </c>
      <c r="E192" s="679"/>
      <c r="F192" s="529">
        <f>VLOOKUP(D192,'July 2012 DMV Revenue'!D:T,17,FALSE)</f>
        <v>0</v>
      </c>
      <c r="G192" s="680"/>
      <c r="H192" s="680"/>
      <c r="I192" s="770">
        <v>4853.07</v>
      </c>
      <c r="J192" s="682">
        <f t="shared" si="86"/>
        <v>4853.07</v>
      </c>
      <c r="K192" s="683"/>
      <c r="L192" s="684"/>
      <c r="M192" s="753"/>
      <c r="N192" s="683">
        <v>0</v>
      </c>
      <c r="O192" s="686"/>
      <c r="P192" s="683">
        <v>0</v>
      </c>
      <c r="Q192" s="687">
        <f t="shared" si="93"/>
        <v>0</v>
      </c>
      <c r="R192" s="688">
        <v>0</v>
      </c>
      <c r="S192" s="693"/>
      <c r="T192" s="690">
        <f t="shared" si="67"/>
        <v>0</v>
      </c>
      <c r="U192" s="683"/>
      <c r="V192" s="474">
        <f t="shared" si="94"/>
        <v>0</v>
      </c>
      <c r="W192" s="474">
        <f t="shared" si="95"/>
        <v>0</v>
      </c>
      <c r="X192" s="475">
        <f t="shared" si="96"/>
        <v>0</v>
      </c>
      <c r="Y192" s="475">
        <v>0</v>
      </c>
      <c r="Z192" s="476">
        <v>0</v>
      </c>
      <c r="AA192" s="38">
        <f t="shared" si="97"/>
        <v>0</v>
      </c>
      <c r="AB192" s="692">
        <f t="shared" si="87"/>
        <v>0</v>
      </c>
      <c r="AC192" s="692">
        <f t="shared" si="88"/>
        <v>4853.07</v>
      </c>
      <c r="AD192" s="692">
        <f t="shared" si="89"/>
        <v>0</v>
      </c>
      <c r="AE192" s="38"/>
      <c r="AF192" s="692">
        <f t="shared" si="90"/>
        <v>0</v>
      </c>
      <c r="AG192" s="692">
        <f t="shared" si="91"/>
        <v>0</v>
      </c>
      <c r="AH192" s="692">
        <f t="shared" si="92"/>
        <v>0</v>
      </c>
    </row>
    <row r="193" spans="1:34">
      <c r="A193" s="21"/>
      <c r="B193" s="21" t="s">
        <v>109</v>
      </c>
      <c r="C193" s="667" t="s">
        <v>577</v>
      </c>
      <c r="D193" s="68" t="s">
        <v>162</v>
      </c>
      <c r="E193" s="679"/>
      <c r="F193" s="529">
        <f>VLOOKUP(D193,'July 2012 DMV Revenue'!D:T,17,FALSE)</f>
        <v>0</v>
      </c>
      <c r="G193" s="680"/>
      <c r="H193" s="680"/>
      <c r="I193" s="770">
        <v>43.33</v>
      </c>
      <c r="J193" s="682">
        <f t="shared" si="86"/>
        <v>43.33</v>
      </c>
      <c r="K193" s="683"/>
      <c r="L193" s="684"/>
      <c r="M193" s="753"/>
      <c r="N193" s="683">
        <v>0</v>
      </c>
      <c r="O193" s="686"/>
      <c r="P193" s="683">
        <v>0</v>
      </c>
      <c r="Q193" s="687">
        <f t="shared" si="93"/>
        <v>0</v>
      </c>
      <c r="R193" s="688">
        <v>0</v>
      </c>
      <c r="S193" s="693"/>
      <c r="T193" s="690">
        <f t="shared" si="67"/>
        <v>0</v>
      </c>
      <c r="U193" s="683"/>
      <c r="V193" s="474">
        <f t="shared" si="94"/>
        <v>0</v>
      </c>
      <c r="W193" s="474">
        <f t="shared" si="95"/>
        <v>0</v>
      </c>
      <c r="X193" s="475">
        <f t="shared" si="96"/>
        <v>0</v>
      </c>
      <c r="Y193" s="475">
        <v>0</v>
      </c>
      <c r="Z193" s="476">
        <v>0</v>
      </c>
      <c r="AA193" s="38">
        <f t="shared" si="97"/>
        <v>0</v>
      </c>
      <c r="AB193" s="692">
        <f t="shared" si="87"/>
        <v>0</v>
      </c>
      <c r="AC193" s="692">
        <f t="shared" si="88"/>
        <v>43.33</v>
      </c>
      <c r="AD193" s="692">
        <f t="shared" si="89"/>
        <v>0</v>
      </c>
      <c r="AE193" s="38"/>
      <c r="AF193" s="692">
        <f t="shared" si="90"/>
        <v>0</v>
      </c>
      <c r="AG193" s="692">
        <f t="shared" si="91"/>
        <v>0</v>
      </c>
      <c r="AH193" s="692">
        <f t="shared" si="92"/>
        <v>0</v>
      </c>
    </row>
    <row r="194" spans="1:34">
      <c r="A194" s="21"/>
      <c r="B194" s="21" t="s">
        <v>109</v>
      </c>
      <c r="C194" s="666"/>
      <c r="D194" s="68" t="s">
        <v>163</v>
      </c>
      <c r="E194" s="679"/>
      <c r="F194" s="529">
        <f>VLOOKUP(D194,'July 2012 DMV Revenue'!D:T,17,FALSE)</f>
        <v>0</v>
      </c>
      <c r="G194" s="680"/>
      <c r="H194" s="680"/>
      <c r="I194" s="755"/>
      <c r="J194" s="682">
        <f t="shared" si="86"/>
        <v>0</v>
      </c>
      <c r="K194" s="683"/>
      <c r="L194" s="684"/>
      <c r="M194" s="753"/>
      <c r="N194" s="683">
        <v>0</v>
      </c>
      <c r="O194" s="686"/>
      <c r="P194" s="683">
        <v>0</v>
      </c>
      <c r="Q194" s="687">
        <f t="shared" si="93"/>
        <v>0</v>
      </c>
      <c r="R194" s="688">
        <v>0</v>
      </c>
      <c r="S194" s="704"/>
      <c r="T194" s="690">
        <f t="shared" si="67"/>
        <v>0</v>
      </c>
      <c r="U194" s="705"/>
      <c r="V194" s="474">
        <f t="shared" si="94"/>
        <v>0</v>
      </c>
      <c r="W194" s="474">
        <f t="shared" si="95"/>
        <v>0</v>
      </c>
      <c r="X194" s="475">
        <f t="shared" si="96"/>
        <v>0</v>
      </c>
      <c r="Y194" s="475">
        <v>0</v>
      </c>
      <c r="Z194" s="476">
        <v>0</v>
      </c>
      <c r="AA194" s="38">
        <f t="shared" si="97"/>
        <v>0</v>
      </c>
      <c r="AB194" s="692">
        <f t="shared" si="87"/>
        <v>0</v>
      </c>
      <c r="AC194" s="692">
        <f t="shared" si="88"/>
        <v>0</v>
      </c>
      <c r="AD194" s="692">
        <f t="shared" si="89"/>
        <v>0</v>
      </c>
      <c r="AE194" s="38"/>
      <c r="AF194" s="692">
        <f t="shared" si="90"/>
        <v>0</v>
      </c>
      <c r="AG194" s="692">
        <f t="shared" si="91"/>
        <v>0</v>
      </c>
      <c r="AH194" s="692">
        <f t="shared" si="92"/>
        <v>0</v>
      </c>
    </row>
    <row r="195" spans="1:34">
      <c r="A195" s="21"/>
      <c r="B195" s="21" t="s">
        <v>109</v>
      </c>
      <c r="C195" s="666"/>
      <c r="D195" s="412" t="s">
        <v>164</v>
      </c>
      <c r="E195" s="679"/>
      <c r="F195" s="529">
        <f>VLOOKUP(D195,'July 2012 DMV Revenue'!D:T,17,FALSE)</f>
        <v>0</v>
      </c>
      <c r="G195" s="680"/>
      <c r="H195" s="680"/>
      <c r="I195" s="755"/>
      <c r="J195" s="682">
        <f t="shared" si="86"/>
        <v>0</v>
      </c>
      <c r="K195" s="683"/>
      <c r="L195" s="684"/>
      <c r="M195" s="753"/>
      <c r="N195" s="683">
        <v>0</v>
      </c>
      <c r="O195" s="686"/>
      <c r="P195" s="683">
        <v>0</v>
      </c>
      <c r="Q195" s="687">
        <f t="shared" si="93"/>
        <v>0</v>
      </c>
      <c r="R195" s="688">
        <v>0</v>
      </c>
      <c r="S195" s="704"/>
      <c r="T195" s="690">
        <f t="shared" si="67"/>
        <v>0</v>
      </c>
      <c r="U195" s="705"/>
      <c r="V195" s="474">
        <f t="shared" si="94"/>
        <v>0</v>
      </c>
      <c r="W195" s="474">
        <f t="shared" si="95"/>
        <v>0</v>
      </c>
      <c r="X195" s="475">
        <f t="shared" si="96"/>
        <v>0</v>
      </c>
      <c r="Y195" s="475">
        <v>0</v>
      </c>
      <c r="Z195" s="476">
        <v>0</v>
      </c>
      <c r="AA195" s="38">
        <f t="shared" si="97"/>
        <v>0</v>
      </c>
      <c r="AB195" s="692">
        <f t="shared" si="87"/>
        <v>0</v>
      </c>
      <c r="AC195" s="692">
        <f t="shared" si="88"/>
        <v>0</v>
      </c>
      <c r="AD195" s="692">
        <f t="shared" si="89"/>
        <v>0</v>
      </c>
      <c r="AE195" s="38"/>
      <c r="AF195" s="692">
        <f t="shared" si="90"/>
        <v>0</v>
      </c>
      <c r="AG195" s="692">
        <f t="shared" si="91"/>
        <v>0</v>
      </c>
      <c r="AH195" s="692">
        <f t="shared" si="92"/>
        <v>0</v>
      </c>
    </row>
    <row r="196" spans="1:34">
      <c r="A196" s="21" t="s">
        <v>109</v>
      </c>
      <c r="B196" s="21" t="s">
        <v>114</v>
      </c>
      <c r="C196" s="666" t="s">
        <v>578</v>
      </c>
      <c r="D196" s="412" t="s">
        <v>318</v>
      </c>
      <c r="E196" s="679">
        <v>31270</v>
      </c>
      <c r="F196" s="529">
        <f>VLOOKUP(D196,'July 2012 DMV Revenue'!D:T,17,FALSE)</f>
        <v>-65000</v>
      </c>
      <c r="G196" s="680"/>
      <c r="H196" s="680"/>
      <c r="I196" s="755"/>
      <c r="J196" s="682">
        <f t="shared" si="86"/>
        <v>-33730</v>
      </c>
      <c r="K196" s="683"/>
      <c r="L196" s="684"/>
      <c r="M196" s="753">
        <v>65000</v>
      </c>
      <c r="N196" s="683">
        <v>0</v>
      </c>
      <c r="O196" s="686"/>
      <c r="P196" s="683">
        <v>0</v>
      </c>
      <c r="Q196" s="687">
        <f t="shared" si="93"/>
        <v>65000</v>
      </c>
      <c r="R196" s="688">
        <v>0</v>
      </c>
      <c r="S196" s="704"/>
      <c r="T196" s="690">
        <f t="shared" si="67"/>
        <v>-65000</v>
      </c>
      <c r="U196" s="683"/>
      <c r="V196" s="474">
        <f t="shared" si="94"/>
        <v>0</v>
      </c>
      <c r="W196" s="474">
        <f t="shared" si="95"/>
        <v>0</v>
      </c>
      <c r="X196" s="475">
        <f t="shared" si="96"/>
        <v>65000</v>
      </c>
      <c r="Y196" s="475">
        <v>0</v>
      </c>
      <c r="Z196" s="476">
        <v>0</v>
      </c>
      <c r="AA196" s="38">
        <f t="shared" si="97"/>
        <v>0</v>
      </c>
      <c r="AB196" s="692">
        <f t="shared" si="87"/>
        <v>0</v>
      </c>
      <c r="AC196" s="692">
        <f t="shared" si="88"/>
        <v>0</v>
      </c>
      <c r="AD196" s="692">
        <f t="shared" si="89"/>
        <v>-33730</v>
      </c>
      <c r="AE196" s="38"/>
      <c r="AF196" s="692">
        <f t="shared" si="90"/>
        <v>0</v>
      </c>
      <c r="AG196" s="692">
        <f t="shared" si="91"/>
        <v>0</v>
      </c>
      <c r="AH196" s="692">
        <f t="shared" si="92"/>
        <v>65000</v>
      </c>
    </row>
    <row r="197" spans="1:34">
      <c r="A197" s="20" t="s">
        <v>211</v>
      </c>
      <c r="B197" s="20" t="s">
        <v>109</v>
      </c>
      <c r="C197" s="667"/>
      <c r="D197" s="68" t="s">
        <v>57</v>
      </c>
      <c r="E197" s="679"/>
      <c r="F197" s="529">
        <f>VLOOKUP(D197,'July 2012 DMV Revenue'!D:T,17,FALSE)</f>
        <v>482.85</v>
      </c>
      <c r="G197" s="680"/>
      <c r="H197" s="680"/>
      <c r="I197" s="755"/>
      <c r="J197" s="682">
        <f t="shared" si="86"/>
        <v>482.85</v>
      </c>
      <c r="K197" s="683"/>
      <c r="L197" s="684"/>
      <c r="M197" s="753"/>
      <c r="N197" s="683">
        <v>0</v>
      </c>
      <c r="O197" s="686"/>
      <c r="P197" s="683">
        <v>0</v>
      </c>
      <c r="Q197" s="687">
        <f t="shared" si="93"/>
        <v>0</v>
      </c>
      <c r="R197" s="688">
        <v>0</v>
      </c>
      <c r="S197" s="693"/>
      <c r="T197" s="690">
        <f t="shared" si="67"/>
        <v>0</v>
      </c>
      <c r="U197" s="683"/>
      <c r="V197" s="474">
        <f t="shared" si="94"/>
        <v>0</v>
      </c>
      <c r="W197" s="474">
        <f t="shared" si="95"/>
        <v>0</v>
      </c>
      <c r="X197" s="475">
        <f t="shared" si="96"/>
        <v>0</v>
      </c>
      <c r="Y197" s="475">
        <v>0</v>
      </c>
      <c r="Z197" s="476">
        <v>0</v>
      </c>
      <c r="AA197" s="38">
        <f t="shared" si="97"/>
        <v>0</v>
      </c>
      <c r="AB197" s="692">
        <v>0.09</v>
      </c>
      <c r="AC197" s="692">
        <f>IF(B197="M",J197,0)-AB197</f>
        <v>482.76000000000005</v>
      </c>
      <c r="AD197" s="692">
        <f t="shared" si="89"/>
        <v>0</v>
      </c>
      <c r="AE197" s="38"/>
      <c r="AF197" s="692">
        <f t="shared" si="90"/>
        <v>0</v>
      </c>
      <c r="AG197" s="692">
        <f t="shared" si="91"/>
        <v>0</v>
      </c>
      <c r="AH197" s="692">
        <f t="shared" si="92"/>
        <v>0</v>
      </c>
    </row>
    <row r="198" spans="1:34">
      <c r="A198" s="20"/>
      <c r="B198" s="20" t="s">
        <v>114</v>
      </c>
      <c r="C198" s="676" t="s">
        <v>621</v>
      </c>
      <c r="D198" s="68" t="s">
        <v>622</v>
      </c>
      <c r="E198" s="679"/>
      <c r="F198" s="529">
        <f>VLOOKUP(D198,'July 2012 DMV Revenue'!D:T,17,FALSE)</f>
        <v>0</v>
      </c>
      <c r="G198" s="680"/>
      <c r="H198" s="680"/>
      <c r="I198" s="755"/>
      <c r="J198" s="682">
        <f t="shared" si="86"/>
        <v>0</v>
      </c>
      <c r="K198" s="683"/>
      <c r="L198" s="684"/>
      <c r="M198" s="753"/>
      <c r="N198" s="683">
        <v>0</v>
      </c>
      <c r="O198" s="686"/>
      <c r="P198" s="683">
        <v>0</v>
      </c>
      <c r="Q198" s="687">
        <f t="shared" si="93"/>
        <v>0</v>
      </c>
      <c r="R198" s="688">
        <v>0</v>
      </c>
      <c r="S198" s="704"/>
      <c r="T198" s="690">
        <f t="shared" si="67"/>
        <v>0</v>
      </c>
      <c r="U198" s="683"/>
      <c r="V198" s="474">
        <f t="shared" si="94"/>
        <v>0</v>
      </c>
      <c r="W198" s="474">
        <f t="shared" si="95"/>
        <v>0</v>
      </c>
      <c r="X198" s="475">
        <f t="shared" si="96"/>
        <v>0</v>
      </c>
      <c r="Y198" s="475">
        <v>0</v>
      </c>
      <c r="Z198" s="476">
        <v>0</v>
      </c>
      <c r="AA198" s="38">
        <f t="shared" si="97"/>
        <v>0</v>
      </c>
      <c r="AB198" s="692">
        <f t="shared" si="87"/>
        <v>0</v>
      </c>
      <c r="AC198" s="692">
        <f t="shared" si="88"/>
        <v>0</v>
      </c>
      <c r="AD198" s="692">
        <f t="shared" si="89"/>
        <v>0</v>
      </c>
      <c r="AE198" s="38"/>
      <c r="AF198" s="692">
        <f t="shared" si="90"/>
        <v>0</v>
      </c>
      <c r="AG198" s="692">
        <f t="shared" si="91"/>
        <v>0</v>
      </c>
      <c r="AH198" s="692">
        <f t="shared" si="92"/>
        <v>0</v>
      </c>
    </row>
    <row r="199" spans="1:34">
      <c r="A199" s="20"/>
      <c r="B199" s="20" t="s">
        <v>110</v>
      </c>
      <c r="C199" s="667"/>
      <c r="D199" s="68" t="s">
        <v>497</v>
      </c>
      <c r="E199" s="679">
        <v>613.01</v>
      </c>
      <c r="F199" s="529">
        <f>VLOOKUP(D199,'July 2012 DMV Revenue'!D:T,17,FALSE)</f>
        <v>0</v>
      </c>
      <c r="G199" s="680"/>
      <c r="H199" s="680"/>
      <c r="I199" s="755"/>
      <c r="J199" s="682">
        <f t="shared" si="86"/>
        <v>613.01</v>
      </c>
      <c r="K199" s="683"/>
      <c r="L199" s="684"/>
      <c r="M199" s="753"/>
      <c r="N199" s="683">
        <v>0</v>
      </c>
      <c r="O199" s="686"/>
      <c r="P199" s="683">
        <v>0</v>
      </c>
      <c r="Q199" s="687">
        <f t="shared" si="93"/>
        <v>0</v>
      </c>
      <c r="R199" s="688">
        <v>210.53</v>
      </c>
      <c r="S199" s="693"/>
      <c r="T199" s="690">
        <f t="shared" si="67"/>
        <v>210.53</v>
      </c>
      <c r="U199" s="683"/>
      <c r="V199" s="474">
        <f t="shared" si="94"/>
        <v>0</v>
      </c>
      <c r="W199" s="474">
        <f t="shared" si="95"/>
        <v>0</v>
      </c>
      <c r="X199" s="475">
        <f t="shared" si="96"/>
        <v>0</v>
      </c>
      <c r="Y199" s="475">
        <v>0</v>
      </c>
      <c r="Z199" s="476">
        <v>0</v>
      </c>
      <c r="AA199" s="38">
        <f t="shared" si="97"/>
        <v>0</v>
      </c>
      <c r="AB199" s="692">
        <f t="shared" si="87"/>
        <v>613.01</v>
      </c>
      <c r="AC199" s="692">
        <f t="shared" si="88"/>
        <v>0</v>
      </c>
      <c r="AD199" s="692">
        <f t="shared" si="89"/>
        <v>0</v>
      </c>
      <c r="AE199" s="38"/>
      <c r="AF199" s="692">
        <f t="shared" si="90"/>
        <v>0</v>
      </c>
      <c r="AG199" s="692">
        <f t="shared" si="91"/>
        <v>0</v>
      </c>
      <c r="AH199" s="692">
        <f t="shared" si="92"/>
        <v>0</v>
      </c>
    </row>
    <row r="200" spans="1:34">
      <c r="A200" s="20"/>
      <c r="B200" s="20" t="s">
        <v>110</v>
      </c>
      <c r="C200" s="667"/>
      <c r="D200" s="68" t="s">
        <v>509</v>
      </c>
      <c r="E200" s="679"/>
      <c r="F200" s="529">
        <f>VLOOKUP(D200,'July 2012 DMV Revenue'!D:T,17,FALSE)</f>
        <v>-10000</v>
      </c>
      <c r="G200" s="680"/>
      <c r="H200" s="680"/>
      <c r="I200" s="755"/>
      <c r="J200" s="682">
        <f t="shared" si="86"/>
        <v>-10000</v>
      </c>
      <c r="K200" s="683"/>
      <c r="L200" s="684"/>
      <c r="M200" s="753">
        <v>20000</v>
      </c>
      <c r="N200" s="683"/>
      <c r="O200" s="686"/>
      <c r="P200" s="683"/>
      <c r="Q200" s="687">
        <f t="shared" si="93"/>
        <v>20000</v>
      </c>
      <c r="R200" s="688">
        <v>9798.91</v>
      </c>
      <c r="S200" s="693"/>
      <c r="T200" s="690">
        <f t="shared" si="67"/>
        <v>-10201.09</v>
      </c>
      <c r="U200" s="683"/>
      <c r="V200" s="474">
        <f t="shared" si="94"/>
        <v>20000</v>
      </c>
      <c r="W200" s="474">
        <f t="shared" si="95"/>
        <v>0</v>
      </c>
      <c r="X200" s="475">
        <f t="shared" si="96"/>
        <v>0</v>
      </c>
      <c r="Y200" s="475">
        <v>0</v>
      </c>
      <c r="Z200" s="476">
        <v>0</v>
      </c>
      <c r="AA200" s="38">
        <f t="shared" si="97"/>
        <v>0</v>
      </c>
      <c r="AB200" s="692">
        <f t="shared" si="87"/>
        <v>-10000</v>
      </c>
      <c r="AC200" s="692">
        <f t="shared" si="88"/>
        <v>0</v>
      </c>
      <c r="AD200" s="692">
        <f t="shared" si="89"/>
        <v>0</v>
      </c>
      <c r="AE200" s="38"/>
      <c r="AF200" s="692">
        <f t="shared" si="90"/>
        <v>20000</v>
      </c>
      <c r="AG200" s="692">
        <f t="shared" si="91"/>
        <v>0</v>
      </c>
      <c r="AH200" s="692">
        <f t="shared" si="92"/>
        <v>0</v>
      </c>
    </row>
    <row r="201" spans="1:34" s="627" customFormat="1">
      <c r="A201" s="610"/>
      <c r="B201" s="610" t="s">
        <v>110</v>
      </c>
      <c r="C201" s="667" t="s">
        <v>580</v>
      </c>
      <c r="D201" s="612" t="s">
        <v>476</v>
      </c>
      <c r="E201" s="679"/>
      <c r="F201" s="529">
        <f>VLOOKUP(D201,'July 2012 DMV Revenue'!D:T,17,FALSE)</f>
        <v>0</v>
      </c>
      <c r="G201" s="680"/>
      <c r="H201" s="680"/>
      <c r="I201" s="755"/>
      <c r="J201" s="682">
        <f t="shared" si="86"/>
        <v>0</v>
      </c>
      <c r="K201" s="683"/>
      <c r="L201" s="684"/>
      <c r="M201" s="753"/>
      <c r="N201" s="683">
        <v>0</v>
      </c>
      <c r="O201" s="686"/>
      <c r="P201" s="683">
        <v>0</v>
      </c>
      <c r="Q201" s="687">
        <f t="shared" si="93"/>
        <v>0</v>
      </c>
      <c r="R201" s="688">
        <v>0</v>
      </c>
      <c r="S201" s="706"/>
      <c r="T201" s="690">
        <f t="shared" si="67"/>
        <v>0</v>
      </c>
      <c r="U201" s="707"/>
      <c r="V201" s="474">
        <f t="shared" si="94"/>
        <v>0</v>
      </c>
      <c r="W201" s="474">
        <f t="shared" si="95"/>
        <v>0</v>
      </c>
      <c r="X201" s="475">
        <f t="shared" si="96"/>
        <v>0</v>
      </c>
      <c r="Y201" s="475">
        <v>0</v>
      </c>
      <c r="Z201" s="476">
        <v>0</v>
      </c>
      <c r="AA201" s="38">
        <f t="shared" si="97"/>
        <v>0</v>
      </c>
      <c r="AB201" s="692">
        <f t="shared" si="87"/>
        <v>0</v>
      </c>
      <c r="AC201" s="692">
        <f t="shared" si="88"/>
        <v>0</v>
      </c>
      <c r="AD201" s="692">
        <f t="shared" si="89"/>
        <v>0</v>
      </c>
      <c r="AE201" s="38"/>
      <c r="AF201" s="692">
        <f t="shared" si="90"/>
        <v>0</v>
      </c>
      <c r="AG201" s="692">
        <f t="shared" si="91"/>
        <v>0</v>
      </c>
      <c r="AH201" s="692">
        <f t="shared" si="92"/>
        <v>0</v>
      </c>
    </row>
    <row r="202" spans="1:34" s="232" customFormat="1">
      <c r="A202" s="283"/>
      <c r="B202" s="283" t="s">
        <v>114</v>
      </c>
      <c r="C202" s="667" t="s">
        <v>580</v>
      </c>
      <c r="D202" s="123" t="s">
        <v>371</v>
      </c>
      <c r="E202" s="679"/>
      <c r="F202" s="529">
        <f>VLOOKUP(D202,'July 2012 DMV Revenue'!D:T,17,FALSE)</f>
        <v>605.50999999999976</v>
      </c>
      <c r="G202" s="680"/>
      <c r="H202" s="680"/>
      <c r="I202" s="755"/>
      <c r="J202" s="682">
        <f t="shared" si="86"/>
        <v>605.50999999999976</v>
      </c>
      <c r="K202" s="683"/>
      <c r="L202" s="684"/>
      <c r="M202" s="753">
        <v>2395.73</v>
      </c>
      <c r="N202" s="683">
        <v>0</v>
      </c>
      <c r="O202" s="686"/>
      <c r="P202" s="683">
        <v>0</v>
      </c>
      <c r="Q202" s="687">
        <f t="shared" si="93"/>
        <v>2395.73</v>
      </c>
      <c r="R202" s="688">
        <f>439.4+2395.73</f>
        <v>2835.13</v>
      </c>
      <c r="S202" s="693"/>
      <c r="T202" s="690">
        <f t="shared" ref="T202:T220" si="106">IF(R202="","",R202-Q202)</f>
        <v>439.40000000000009</v>
      </c>
      <c r="U202" s="683"/>
      <c r="V202" s="474">
        <f t="shared" si="94"/>
        <v>0</v>
      </c>
      <c r="W202" s="474">
        <f t="shared" si="95"/>
        <v>0</v>
      </c>
      <c r="X202" s="475">
        <f t="shared" si="96"/>
        <v>2395.73</v>
      </c>
      <c r="Y202" s="475">
        <v>0</v>
      </c>
      <c r="Z202" s="476">
        <v>0</v>
      </c>
      <c r="AA202" s="38">
        <f t="shared" si="97"/>
        <v>0</v>
      </c>
      <c r="AB202" s="692">
        <f t="shared" si="87"/>
        <v>0</v>
      </c>
      <c r="AC202" s="692">
        <f t="shared" si="88"/>
        <v>0</v>
      </c>
      <c r="AD202" s="692">
        <f t="shared" si="89"/>
        <v>605.50999999999976</v>
      </c>
      <c r="AE202" s="38"/>
      <c r="AF202" s="692">
        <f t="shared" si="90"/>
        <v>0</v>
      </c>
      <c r="AG202" s="692">
        <f t="shared" si="91"/>
        <v>0</v>
      </c>
      <c r="AH202" s="692">
        <f t="shared" si="92"/>
        <v>2395.73</v>
      </c>
    </row>
    <row r="203" spans="1:34" s="232" customFormat="1">
      <c r="A203" s="283"/>
      <c r="B203" s="283" t="s">
        <v>110</v>
      </c>
      <c r="C203" s="667" t="s">
        <v>580</v>
      </c>
      <c r="D203" s="123" t="s">
        <v>422</v>
      </c>
      <c r="E203" s="679"/>
      <c r="F203" s="529">
        <f>VLOOKUP(D203,'July 2012 DMV Revenue'!D:T,17,FALSE)</f>
        <v>0.67000000004190952</v>
      </c>
      <c r="G203" s="680"/>
      <c r="H203" s="680"/>
      <c r="I203" s="755"/>
      <c r="J203" s="682">
        <f t="shared" si="86"/>
        <v>0.67000000004190952</v>
      </c>
      <c r="K203" s="683"/>
      <c r="L203" s="684"/>
      <c r="M203" s="753">
        <v>347265.7</v>
      </c>
      <c r="N203" s="683">
        <v>0</v>
      </c>
      <c r="O203" s="686"/>
      <c r="P203" s="683">
        <v>0</v>
      </c>
      <c r="Q203" s="687">
        <f t="shared" si="93"/>
        <v>347265.7</v>
      </c>
      <c r="R203" s="688">
        <v>347266.03</v>
      </c>
      <c r="S203" s="693"/>
      <c r="T203" s="690">
        <f t="shared" si="106"/>
        <v>0.33000000001629815</v>
      </c>
      <c r="U203" s="683"/>
      <c r="V203" s="474">
        <f t="shared" si="94"/>
        <v>347265.7</v>
      </c>
      <c r="W203" s="474">
        <f t="shared" si="95"/>
        <v>0</v>
      </c>
      <c r="X203" s="475">
        <f t="shared" si="96"/>
        <v>0</v>
      </c>
      <c r="Y203" s="475">
        <v>0</v>
      </c>
      <c r="Z203" s="476">
        <v>0</v>
      </c>
      <c r="AA203" s="38">
        <f t="shared" si="97"/>
        <v>0</v>
      </c>
      <c r="AB203" s="692">
        <f t="shared" si="87"/>
        <v>0.67000000004190952</v>
      </c>
      <c r="AC203" s="692">
        <f t="shared" si="88"/>
        <v>0</v>
      </c>
      <c r="AD203" s="692">
        <f t="shared" si="89"/>
        <v>0</v>
      </c>
      <c r="AE203" s="38"/>
      <c r="AF203" s="692">
        <f t="shared" si="90"/>
        <v>347265.7</v>
      </c>
      <c r="AG203" s="692">
        <f t="shared" si="91"/>
        <v>0</v>
      </c>
      <c r="AH203" s="692">
        <f t="shared" si="92"/>
        <v>0</v>
      </c>
    </row>
    <row r="204" spans="1:34" s="232" customFormat="1">
      <c r="A204" s="283"/>
      <c r="B204" s="283" t="s">
        <v>110</v>
      </c>
      <c r="C204" s="667" t="s">
        <v>580</v>
      </c>
      <c r="D204" s="123" t="s">
        <v>442</v>
      </c>
      <c r="E204" s="679"/>
      <c r="F204" s="529">
        <f>VLOOKUP(D204,'July 2012 DMV Revenue'!D:T,17,FALSE)</f>
        <v>0</v>
      </c>
      <c r="G204" s="680"/>
      <c r="H204" s="680"/>
      <c r="I204" s="755"/>
      <c r="J204" s="682">
        <f t="shared" si="86"/>
        <v>0</v>
      </c>
      <c r="K204" s="683"/>
      <c r="L204" s="684"/>
      <c r="M204" s="753"/>
      <c r="N204" s="683">
        <v>0</v>
      </c>
      <c r="O204" s="686"/>
      <c r="P204" s="683">
        <v>0</v>
      </c>
      <c r="Q204" s="687">
        <f t="shared" si="93"/>
        <v>0</v>
      </c>
      <c r="R204" s="688">
        <v>0</v>
      </c>
      <c r="S204" s="693"/>
      <c r="T204" s="690">
        <f t="shared" si="106"/>
        <v>0</v>
      </c>
      <c r="U204" s="683"/>
      <c r="V204" s="474">
        <f t="shared" si="94"/>
        <v>0</v>
      </c>
      <c r="W204" s="474">
        <f t="shared" si="95"/>
        <v>0</v>
      </c>
      <c r="X204" s="475">
        <f t="shared" si="96"/>
        <v>0</v>
      </c>
      <c r="Y204" s="475">
        <v>0</v>
      </c>
      <c r="Z204" s="476">
        <v>0</v>
      </c>
      <c r="AA204" s="38">
        <f t="shared" si="97"/>
        <v>0</v>
      </c>
      <c r="AB204" s="692">
        <f t="shared" si="87"/>
        <v>0</v>
      </c>
      <c r="AC204" s="692">
        <f t="shared" si="88"/>
        <v>0</v>
      </c>
      <c r="AD204" s="692">
        <f t="shared" si="89"/>
        <v>0</v>
      </c>
      <c r="AE204" s="38"/>
      <c r="AF204" s="692">
        <f t="shared" si="90"/>
        <v>0</v>
      </c>
      <c r="AG204" s="692">
        <f t="shared" si="91"/>
        <v>0</v>
      </c>
      <c r="AH204" s="692">
        <f t="shared" si="92"/>
        <v>0</v>
      </c>
    </row>
    <row r="205" spans="1:34">
      <c r="A205" s="21" t="s">
        <v>97</v>
      </c>
      <c r="B205" s="21" t="s">
        <v>109</v>
      </c>
      <c r="C205" s="666"/>
      <c r="D205" s="68" t="s">
        <v>381</v>
      </c>
      <c r="E205" s="679"/>
      <c r="F205" s="529">
        <f>VLOOKUP(D205,'July 2012 DMV Revenue'!D:T,17,FALSE)</f>
        <v>0</v>
      </c>
      <c r="G205" s="680"/>
      <c r="H205" s="680"/>
      <c r="I205" s="755"/>
      <c r="J205" s="682">
        <f t="shared" si="86"/>
        <v>0</v>
      </c>
      <c r="K205" s="683"/>
      <c r="L205" s="684"/>
      <c r="M205" s="753"/>
      <c r="N205" s="683">
        <v>0</v>
      </c>
      <c r="O205" s="686"/>
      <c r="P205" s="683">
        <v>0</v>
      </c>
      <c r="Q205" s="687">
        <f t="shared" si="93"/>
        <v>0</v>
      </c>
      <c r="R205" s="688">
        <v>0</v>
      </c>
      <c r="S205" s="693"/>
      <c r="T205" s="690">
        <f t="shared" si="106"/>
        <v>0</v>
      </c>
      <c r="U205" s="683"/>
      <c r="V205" s="474">
        <f t="shared" si="94"/>
        <v>0</v>
      </c>
      <c r="W205" s="474">
        <f t="shared" si="95"/>
        <v>0</v>
      </c>
      <c r="X205" s="475">
        <f t="shared" si="96"/>
        <v>0</v>
      </c>
      <c r="Y205" s="475">
        <v>0</v>
      </c>
      <c r="Z205" s="476">
        <v>0</v>
      </c>
      <c r="AA205" s="38">
        <f t="shared" si="97"/>
        <v>0</v>
      </c>
      <c r="AB205" s="692">
        <f t="shared" si="87"/>
        <v>0</v>
      </c>
      <c r="AC205" s="692">
        <f t="shared" si="88"/>
        <v>0</v>
      </c>
      <c r="AD205" s="692">
        <f t="shared" si="89"/>
        <v>0</v>
      </c>
      <c r="AE205" s="38"/>
      <c r="AF205" s="692">
        <f t="shared" si="90"/>
        <v>0</v>
      </c>
      <c r="AG205" s="692">
        <f t="shared" si="91"/>
        <v>0</v>
      </c>
      <c r="AH205" s="692">
        <f t="shared" si="92"/>
        <v>0</v>
      </c>
    </row>
    <row r="206" spans="1:34">
      <c r="A206" s="21" t="s">
        <v>97</v>
      </c>
      <c r="B206" s="21" t="s">
        <v>114</v>
      </c>
      <c r="C206" s="666"/>
      <c r="D206" s="68" t="s">
        <v>376</v>
      </c>
      <c r="E206" s="679"/>
      <c r="F206" s="529">
        <f>VLOOKUP(D206,'July 2012 DMV Revenue'!D:T,17,FALSE)</f>
        <v>0</v>
      </c>
      <c r="G206" s="680"/>
      <c r="H206" s="680"/>
      <c r="I206" s="755"/>
      <c r="J206" s="682">
        <f t="shared" si="86"/>
        <v>0</v>
      </c>
      <c r="K206" s="683"/>
      <c r="L206" s="684"/>
      <c r="M206" s="753"/>
      <c r="N206" s="683">
        <v>0</v>
      </c>
      <c r="O206" s="686"/>
      <c r="P206" s="683">
        <v>0</v>
      </c>
      <c r="Q206" s="687">
        <f t="shared" si="93"/>
        <v>0</v>
      </c>
      <c r="R206" s="688">
        <v>0</v>
      </c>
      <c r="S206" s="693"/>
      <c r="T206" s="690">
        <f t="shared" si="106"/>
        <v>0</v>
      </c>
      <c r="U206" s="683"/>
      <c r="V206" s="474">
        <f t="shared" si="94"/>
        <v>0</v>
      </c>
      <c r="W206" s="474">
        <f t="shared" si="95"/>
        <v>0</v>
      </c>
      <c r="X206" s="475">
        <f t="shared" si="96"/>
        <v>0</v>
      </c>
      <c r="Y206" s="475">
        <v>0</v>
      </c>
      <c r="Z206" s="476">
        <v>0</v>
      </c>
      <c r="AA206" s="38">
        <f t="shared" si="97"/>
        <v>0</v>
      </c>
      <c r="AB206" s="692">
        <f t="shared" si="87"/>
        <v>0</v>
      </c>
      <c r="AC206" s="692">
        <f t="shared" si="88"/>
        <v>0</v>
      </c>
      <c r="AD206" s="692">
        <f t="shared" si="89"/>
        <v>0</v>
      </c>
      <c r="AE206" s="38"/>
      <c r="AF206" s="692">
        <f t="shared" si="90"/>
        <v>0</v>
      </c>
      <c r="AG206" s="692">
        <f t="shared" si="91"/>
        <v>0</v>
      </c>
      <c r="AH206" s="692">
        <f t="shared" si="92"/>
        <v>0</v>
      </c>
    </row>
    <row r="207" spans="1:34">
      <c r="A207" s="20"/>
      <c r="B207" s="20" t="s">
        <v>110</v>
      </c>
      <c r="C207" s="667"/>
      <c r="D207" s="68" t="s">
        <v>390</v>
      </c>
      <c r="E207" s="679">
        <v>262.06</v>
      </c>
      <c r="F207" s="529">
        <f>VLOOKUP(D207,'July 2012 DMV Revenue'!D:T,17,FALSE)</f>
        <v>0</v>
      </c>
      <c r="G207" s="680"/>
      <c r="H207" s="680"/>
      <c r="I207" s="755"/>
      <c r="J207" s="682">
        <f t="shared" si="86"/>
        <v>262.06</v>
      </c>
      <c r="K207" s="683"/>
      <c r="L207" s="684"/>
      <c r="M207" s="753"/>
      <c r="N207" s="683">
        <v>0</v>
      </c>
      <c r="O207" s="686"/>
      <c r="P207" s="683">
        <v>0</v>
      </c>
      <c r="Q207" s="687">
        <f t="shared" si="93"/>
        <v>0</v>
      </c>
      <c r="R207" s="688">
        <v>0</v>
      </c>
      <c r="S207" s="693"/>
      <c r="T207" s="690">
        <f t="shared" si="106"/>
        <v>0</v>
      </c>
      <c r="U207" s="683"/>
      <c r="V207" s="474">
        <f t="shared" si="94"/>
        <v>0</v>
      </c>
      <c r="W207" s="474">
        <f t="shared" si="95"/>
        <v>0</v>
      </c>
      <c r="X207" s="475">
        <f t="shared" si="96"/>
        <v>0</v>
      </c>
      <c r="Y207" s="475">
        <v>0</v>
      </c>
      <c r="Z207" s="476">
        <v>0</v>
      </c>
      <c r="AA207" s="38">
        <f t="shared" si="97"/>
        <v>0</v>
      </c>
      <c r="AB207" s="692">
        <f t="shared" si="87"/>
        <v>262.06</v>
      </c>
      <c r="AC207" s="692">
        <f t="shared" si="88"/>
        <v>0</v>
      </c>
      <c r="AD207" s="692">
        <f t="shared" si="89"/>
        <v>0</v>
      </c>
      <c r="AE207" s="38"/>
      <c r="AF207" s="692">
        <f t="shared" si="90"/>
        <v>0</v>
      </c>
      <c r="AG207" s="692">
        <f t="shared" si="91"/>
        <v>0</v>
      </c>
      <c r="AH207" s="692">
        <f t="shared" si="92"/>
        <v>0</v>
      </c>
    </row>
    <row r="208" spans="1:34">
      <c r="A208" s="20"/>
      <c r="B208" s="20" t="s">
        <v>110</v>
      </c>
      <c r="C208" s="667" t="s">
        <v>581</v>
      </c>
      <c r="D208" s="123" t="s">
        <v>166</v>
      </c>
      <c r="E208" s="679"/>
      <c r="F208" s="529">
        <f>VLOOKUP(D208,'July 2012 DMV Revenue'!D:T,17,FALSE)</f>
        <v>0</v>
      </c>
      <c r="G208" s="680"/>
      <c r="H208" s="680"/>
      <c r="I208" s="755"/>
      <c r="J208" s="682">
        <f t="shared" si="86"/>
        <v>0</v>
      </c>
      <c r="K208" s="683"/>
      <c r="L208" s="684"/>
      <c r="M208" s="753"/>
      <c r="N208" s="683">
        <v>0</v>
      </c>
      <c r="O208" s="686"/>
      <c r="P208" s="683">
        <v>0</v>
      </c>
      <c r="Q208" s="687">
        <f t="shared" si="93"/>
        <v>0</v>
      </c>
      <c r="R208" s="688">
        <v>0</v>
      </c>
      <c r="S208" s="693"/>
      <c r="T208" s="690">
        <f t="shared" si="106"/>
        <v>0</v>
      </c>
      <c r="U208" s="683"/>
      <c r="V208" s="474">
        <f t="shared" si="94"/>
        <v>0</v>
      </c>
      <c r="W208" s="474">
        <f t="shared" si="95"/>
        <v>0</v>
      </c>
      <c r="X208" s="475">
        <f t="shared" si="96"/>
        <v>0</v>
      </c>
      <c r="Y208" s="475">
        <v>0</v>
      </c>
      <c r="Z208" s="476">
        <v>0</v>
      </c>
      <c r="AA208" s="38">
        <f t="shared" si="97"/>
        <v>0</v>
      </c>
      <c r="AB208" s="692">
        <f t="shared" si="87"/>
        <v>0</v>
      </c>
      <c r="AC208" s="692">
        <f t="shared" si="88"/>
        <v>0</v>
      </c>
      <c r="AD208" s="692">
        <f t="shared" si="89"/>
        <v>0</v>
      </c>
      <c r="AE208" s="38"/>
      <c r="AF208" s="692">
        <f t="shared" si="90"/>
        <v>0</v>
      </c>
      <c r="AG208" s="692">
        <f t="shared" si="91"/>
        <v>0</v>
      </c>
      <c r="AH208" s="692">
        <f t="shared" si="92"/>
        <v>0</v>
      </c>
    </row>
    <row r="209" spans="1:34">
      <c r="A209" s="20"/>
      <c r="B209" s="20" t="s">
        <v>109</v>
      </c>
      <c r="C209" s="667" t="s">
        <v>581</v>
      </c>
      <c r="D209" s="123" t="s">
        <v>165</v>
      </c>
      <c r="E209" s="679"/>
      <c r="F209" s="529">
        <f>VLOOKUP(D209,'July 2012 DMV Revenue'!D:T,17,FALSE)</f>
        <v>0</v>
      </c>
      <c r="G209" s="680"/>
      <c r="H209" s="680"/>
      <c r="I209" s="755"/>
      <c r="J209" s="682">
        <f t="shared" si="86"/>
        <v>0</v>
      </c>
      <c r="K209" s="683"/>
      <c r="L209" s="684"/>
      <c r="M209" s="753"/>
      <c r="N209" s="683">
        <v>0</v>
      </c>
      <c r="O209" s="686"/>
      <c r="P209" s="683">
        <v>0</v>
      </c>
      <c r="Q209" s="687">
        <f t="shared" si="93"/>
        <v>0</v>
      </c>
      <c r="R209" s="688">
        <v>0</v>
      </c>
      <c r="S209" s="693"/>
      <c r="T209" s="690">
        <f t="shared" si="106"/>
        <v>0</v>
      </c>
      <c r="U209" s="683"/>
      <c r="V209" s="474">
        <f t="shared" si="94"/>
        <v>0</v>
      </c>
      <c r="W209" s="474">
        <f t="shared" si="95"/>
        <v>0</v>
      </c>
      <c r="X209" s="475">
        <f t="shared" si="96"/>
        <v>0</v>
      </c>
      <c r="Y209" s="475">
        <v>0</v>
      </c>
      <c r="Z209" s="476">
        <v>0</v>
      </c>
      <c r="AA209" s="38">
        <f t="shared" si="97"/>
        <v>0</v>
      </c>
      <c r="AB209" s="692">
        <f t="shared" si="87"/>
        <v>0</v>
      </c>
      <c r="AC209" s="692">
        <f t="shared" si="88"/>
        <v>0</v>
      </c>
      <c r="AD209" s="692">
        <f t="shared" si="89"/>
        <v>0</v>
      </c>
      <c r="AE209" s="38"/>
      <c r="AF209" s="692">
        <f t="shared" si="90"/>
        <v>0</v>
      </c>
      <c r="AG209" s="692">
        <f t="shared" si="91"/>
        <v>0</v>
      </c>
      <c r="AH209" s="692">
        <f t="shared" si="92"/>
        <v>0</v>
      </c>
    </row>
    <row r="210" spans="1:34">
      <c r="A210" s="20"/>
      <c r="B210" s="20" t="s">
        <v>109</v>
      </c>
      <c r="C210" s="667"/>
      <c r="D210" s="123" t="s">
        <v>310</v>
      </c>
      <c r="E210" s="679"/>
      <c r="F210" s="529">
        <f>VLOOKUP(D210,'July 2012 DMV Revenue'!D:T,17,FALSE)</f>
        <v>0</v>
      </c>
      <c r="G210" s="680"/>
      <c r="H210" s="680"/>
      <c r="I210" s="755"/>
      <c r="J210" s="682">
        <f t="shared" si="86"/>
        <v>0</v>
      </c>
      <c r="K210" s="683"/>
      <c r="L210" s="684"/>
      <c r="M210" s="753"/>
      <c r="N210" s="683">
        <v>0</v>
      </c>
      <c r="O210" s="686"/>
      <c r="P210" s="683">
        <v>0</v>
      </c>
      <c r="Q210" s="687">
        <f t="shared" si="93"/>
        <v>0</v>
      </c>
      <c r="R210" s="688">
        <v>0</v>
      </c>
      <c r="S210" s="693"/>
      <c r="T210" s="690">
        <f t="shared" si="106"/>
        <v>0</v>
      </c>
      <c r="U210" s="683"/>
      <c r="V210" s="474">
        <f t="shared" si="94"/>
        <v>0</v>
      </c>
      <c r="W210" s="474">
        <f t="shared" si="95"/>
        <v>0</v>
      </c>
      <c r="X210" s="475">
        <f t="shared" si="96"/>
        <v>0</v>
      </c>
      <c r="Y210" s="475">
        <v>0</v>
      </c>
      <c r="Z210" s="476">
        <v>0</v>
      </c>
      <c r="AA210" s="38">
        <f t="shared" si="97"/>
        <v>0</v>
      </c>
      <c r="AB210" s="692">
        <f t="shared" si="87"/>
        <v>0</v>
      </c>
      <c r="AC210" s="692">
        <f t="shared" si="88"/>
        <v>0</v>
      </c>
      <c r="AD210" s="692">
        <f t="shared" si="89"/>
        <v>0</v>
      </c>
      <c r="AE210" s="38"/>
      <c r="AF210" s="692">
        <f t="shared" si="90"/>
        <v>0</v>
      </c>
      <c r="AG210" s="692">
        <f t="shared" si="91"/>
        <v>0</v>
      </c>
      <c r="AH210" s="692">
        <f t="shared" si="92"/>
        <v>0</v>
      </c>
    </row>
    <row r="211" spans="1:34">
      <c r="A211" s="20"/>
      <c r="B211" s="20" t="s">
        <v>109</v>
      </c>
      <c r="C211" s="667"/>
      <c r="D211" s="123" t="s">
        <v>441</v>
      </c>
      <c r="E211" s="679"/>
      <c r="F211" s="529">
        <f>VLOOKUP(D211,'July 2012 DMV Revenue'!D:T,17,FALSE)</f>
        <v>0</v>
      </c>
      <c r="G211" s="680"/>
      <c r="H211" s="680"/>
      <c r="I211" s="755"/>
      <c r="J211" s="682">
        <f t="shared" si="86"/>
        <v>0</v>
      </c>
      <c r="K211" s="683"/>
      <c r="L211" s="684"/>
      <c r="M211" s="753"/>
      <c r="N211" s="683">
        <v>0</v>
      </c>
      <c r="O211" s="686"/>
      <c r="P211" s="683">
        <v>0</v>
      </c>
      <c r="Q211" s="687">
        <f t="shared" si="93"/>
        <v>0</v>
      </c>
      <c r="R211" s="688">
        <v>0</v>
      </c>
      <c r="S211" s="693"/>
      <c r="T211" s="690">
        <f t="shared" si="106"/>
        <v>0</v>
      </c>
      <c r="U211" s="683"/>
      <c r="V211" s="474">
        <f t="shared" si="94"/>
        <v>0</v>
      </c>
      <c r="W211" s="474">
        <f t="shared" si="95"/>
        <v>0</v>
      </c>
      <c r="X211" s="475">
        <f t="shared" si="96"/>
        <v>0</v>
      </c>
      <c r="Y211" s="475">
        <v>0</v>
      </c>
      <c r="Z211" s="476">
        <v>0</v>
      </c>
      <c r="AA211" s="38">
        <f t="shared" si="97"/>
        <v>0</v>
      </c>
      <c r="AB211" s="692">
        <f t="shared" si="87"/>
        <v>0</v>
      </c>
      <c r="AC211" s="692">
        <f t="shared" si="88"/>
        <v>0</v>
      </c>
      <c r="AD211" s="692">
        <f t="shared" si="89"/>
        <v>0</v>
      </c>
      <c r="AE211" s="38"/>
      <c r="AF211" s="692">
        <f t="shared" si="90"/>
        <v>0</v>
      </c>
      <c r="AG211" s="692">
        <f t="shared" si="91"/>
        <v>0</v>
      </c>
      <c r="AH211" s="692">
        <f t="shared" si="92"/>
        <v>0</v>
      </c>
    </row>
    <row r="212" spans="1:34">
      <c r="A212" s="20"/>
      <c r="B212" s="20" t="s">
        <v>109</v>
      </c>
      <c r="C212" s="667"/>
      <c r="D212" s="68" t="s">
        <v>121</v>
      </c>
      <c r="E212" s="679"/>
      <c r="F212" s="529">
        <f>VLOOKUP(D212,'July 2012 DMV Revenue'!D:T,17,FALSE)</f>
        <v>0</v>
      </c>
      <c r="G212" s="680"/>
      <c r="H212" s="680"/>
      <c r="I212" s="755"/>
      <c r="J212" s="682">
        <f t="shared" si="86"/>
        <v>0</v>
      </c>
      <c r="K212" s="683"/>
      <c r="L212" s="684"/>
      <c r="M212" s="753"/>
      <c r="N212" s="683">
        <v>0</v>
      </c>
      <c r="O212" s="686"/>
      <c r="P212" s="683">
        <v>0</v>
      </c>
      <c r="Q212" s="687">
        <f t="shared" si="93"/>
        <v>0</v>
      </c>
      <c r="R212" s="688">
        <v>0</v>
      </c>
      <c r="S212" s="693"/>
      <c r="T212" s="690">
        <f t="shared" si="106"/>
        <v>0</v>
      </c>
      <c r="U212" s="683"/>
      <c r="V212" s="474">
        <f t="shared" si="94"/>
        <v>0</v>
      </c>
      <c r="W212" s="474">
        <f t="shared" si="95"/>
        <v>0</v>
      </c>
      <c r="X212" s="475">
        <f t="shared" si="96"/>
        <v>0</v>
      </c>
      <c r="Y212" s="475">
        <v>0</v>
      </c>
      <c r="Z212" s="476">
        <v>0</v>
      </c>
      <c r="AA212" s="38">
        <f t="shared" si="97"/>
        <v>0</v>
      </c>
      <c r="AB212" s="692">
        <f t="shared" si="87"/>
        <v>0</v>
      </c>
      <c r="AC212" s="692">
        <f t="shared" si="88"/>
        <v>0</v>
      </c>
      <c r="AD212" s="692">
        <f t="shared" si="89"/>
        <v>0</v>
      </c>
      <c r="AE212" s="38"/>
      <c r="AF212" s="692">
        <f t="shared" si="90"/>
        <v>0</v>
      </c>
      <c r="AG212" s="692">
        <f t="shared" si="91"/>
        <v>0</v>
      </c>
      <c r="AH212" s="692">
        <f t="shared" si="92"/>
        <v>0</v>
      </c>
    </row>
    <row r="213" spans="1:34">
      <c r="A213" s="20"/>
      <c r="B213" s="20" t="s">
        <v>110</v>
      </c>
      <c r="C213" s="667"/>
      <c r="D213" s="68" t="s">
        <v>168</v>
      </c>
      <c r="E213" s="679"/>
      <c r="F213" s="529">
        <f>VLOOKUP(D213,'July 2012 DMV Revenue'!D:T,17,FALSE)</f>
        <v>0</v>
      </c>
      <c r="G213" s="680"/>
      <c r="H213" s="680"/>
      <c r="I213" s="755"/>
      <c r="J213" s="682">
        <f t="shared" si="86"/>
        <v>0</v>
      </c>
      <c r="K213" s="683"/>
      <c r="L213" s="684"/>
      <c r="M213" s="753"/>
      <c r="N213" s="683">
        <v>0</v>
      </c>
      <c r="O213" s="686"/>
      <c r="P213" s="683">
        <v>0</v>
      </c>
      <c r="Q213" s="687">
        <f t="shared" si="93"/>
        <v>0</v>
      </c>
      <c r="R213" s="688">
        <v>0</v>
      </c>
      <c r="S213" s="693"/>
      <c r="T213" s="690">
        <f t="shared" si="106"/>
        <v>0</v>
      </c>
      <c r="U213" s="683"/>
      <c r="V213" s="474">
        <f t="shared" si="94"/>
        <v>0</v>
      </c>
      <c r="W213" s="474">
        <f t="shared" si="95"/>
        <v>0</v>
      </c>
      <c r="X213" s="475">
        <f t="shared" si="96"/>
        <v>0</v>
      </c>
      <c r="Y213" s="475">
        <v>0</v>
      </c>
      <c r="Z213" s="476">
        <v>0</v>
      </c>
      <c r="AA213" s="38">
        <f t="shared" si="97"/>
        <v>0</v>
      </c>
      <c r="AB213" s="692">
        <f t="shared" si="87"/>
        <v>0</v>
      </c>
      <c r="AC213" s="692">
        <f t="shared" si="88"/>
        <v>0</v>
      </c>
      <c r="AD213" s="692">
        <f t="shared" si="89"/>
        <v>0</v>
      </c>
      <c r="AE213" s="38"/>
      <c r="AF213" s="692">
        <f t="shared" si="90"/>
        <v>0</v>
      </c>
      <c r="AG213" s="692">
        <f t="shared" si="91"/>
        <v>0</v>
      </c>
      <c r="AH213" s="692">
        <f t="shared" si="92"/>
        <v>0</v>
      </c>
    </row>
    <row r="214" spans="1:34">
      <c r="A214" s="20"/>
      <c r="B214" s="20" t="s">
        <v>109</v>
      </c>
      <c r="C214" s="667" t="s">
        <v>582</v>
      </c>
      <c r="D214" s="68" t="s">
        <v>167</v>
      </c>
      <c r="E214" s="679"/>
      <c r="F214" s="529">
        <f>VLOOKUP(D214,'July 2012 DMV Revenue'!D:T,17,FALSE)</f>
        <v>0</v>
      </c>
      <c r="G214" s="680"/>
      <c r="H214" s="680"/>
      <c r="I214" s="755"/>
      <c r="J214" s="682">
        <f t="shared" si="86"/>
        <v>0</v>
      </c>
      <c r="K214" s="683"/>
      <c r="L214" s="684"/>
      <c r="M214" s="753"/>
      <c r="N214" s="683">
        <v>0</v>
      </c>
      <c r="O214" s="686"/>
      <c r="P214" s="683">
        <v>0</v>
      </c>
      <c r="Q214" s="687">
        <f t="shared" si="93"/>
        <v>0</v>
      </c>
      <c r="R214" s="688">
        <v>0</v>
      </c>
      <c r="S214" s="693"/>
      <c r="T214" s="690">
        <f t="shared" si="106"/>
        <v>0</v>
      </c>
      <c r="U214" s="683"/>
      <c r="V214" s="474">
        <f t="shared" si="94"/>
        <v>0</v>
      </c>
      <c r="W214" s="474">
        <f t="shared" si="95"/>
        <v>0</v>
      </c>
      <c r="X214" s="475">
        <f t="shared" si="96"/>
        <v>0</v>
      </c>
      <c r="Y214" s="475">
        <v>0</v>
      </c>
      <c r="Z214" s="476">
        <v>0</v>
      </c>
      <c r="AA214" s="38">
        <f t="shared" si="97"/>
        <v>0</v>
      </c>
      <c r="AB214" s="692">
        <f t="shared" si="87"/>
        <v>0</v>
      </c>
      <c r="AC214" s="692">
        <f t="shared" si="88"/>
        <v>0</v>
      </c>
      <c r="AD214" s="692">
        <f t="shared" si="89"/>
        <v>0</v>
      </c>
      <c r="AE214" s="38"/>
      <c r="AF214" s="692">
        <f t="shared" si="90"/>
        <v>0</v>
      </c>
      <c r="AG214" s="692">
        <f t="shared" si="91"/>
        <v>0</v>
      </c>
      <c r="AH214" s="692">
        <f t="shared" si="92"/>
        <v>0</v>
      </c>
    </row>
    <row r="215" spans="1:34">
      <c r="A215" s="20" t="s">
        <v>218</v>
      </c>
      <c r="B215" s="20" t="s">
        <v>110</v>
      </c>
      <c r="C215" s="667"/>
      <c r="D215" s="68" t="s">
        <v>60</v>
      </c>
      <c r="E215" s="679">
        <f>3283.35+2701.9+2394.36</f>
        <v>8379.61</v>
      </c>
      <c r="F215" s="529">
        <f>VLOOKUP(D215,'July 2012 DMV Revenue'!D:T,17,FALSE)</f>
        <v>-10000</v>
      </c>
      <c r="G215" s="680"/>
      <c r="H215" s="680"/>
      <c r="I215" s="755"/>
      <c r="J215" s="682">
        <f t="shared" si="86"/>
        <v>-1620.3899999999994</v>
      </c>
      <c r="K215" s="683"/>
      <c r="L215" s="684"/>
      <c r="M215" s="753">
        <v>5000</v>
      </c>
      <c r="N215" s="683">
        <v>0</v>
      </c>
      <c r="O215" s="686"/>
      <c r="P215" s="683">
        <v>0</v>
      </c>
      <c r="Q215" s="687">
        <f t="shared" si="93"/>
        <v>5000</v>
      </c>
      <c r="R215" s="688">
        <v>0</v>
      </c>
      <c r="S215" s="693"/>
      <c r="T215" s="690">
        <f t="shared" si="106"/>
        <v>-5000</v>
      </c>
      <c r="U215" s="697"/>
      <c r="V215" s="474">
        <f t="shared" si="94"/>
        <v>5000</v>
      </c>
      <c r="W215" s="474">
        <f t="shared" si="95"/>
        <v>0</v>
      </c>
      <c r="X215" s="475">
        <f t="shared" si="96"/>
        <v>0</v>
      </c>
      <c r="Y215" s="475">
        <v>0</v>
      </c>
      <c r="Z215" s="476">
        <v>0</v>
      </c>
      <c r="AA215" s="38">
        <f t="shared" si="97"/>
        <v>0</v>
      </c>
      <c r="AB215" s="692">
        <f t="shared" si="87"/>
        <v>-1620.3899999999994</v>
      </c>
      <c r="AC215" s="692">
        <f t="shared" si="88"/>
        <v>0</v>
      </c>
      <c r="AD215" s="692">
        <f t="shared" si="89"/>
        <v>0</v>
      </c>
      <c r="AE215" s="38"/>
      <c r="AF215" s="692">
        <f t="shared" si="90"/>
        <v>5000</v>
      </c>
      <c r="AG215" s="692">
        <f t="shared" si="91"/>
        <v>0</v>
      </c>
      <c r="AH215" s="692">
        <f t="shared" si="92"/>
        <v>0</v>
      </c>
    </row>
    <row r="216" spans="1:34">
      <c r="A216" s="20"/>
      <c r="B216" s="20" t="s">
        <v>110</v>
      </c>
      <c r="C216" s="667" t="s">
        <v>583</v>
      </c>
      <c r="D216" s="68" t="s">
        <v>169</v>
      </c>
      <c r="E216" s="679"/>
      <c r="F216" s="529">
        <f>VLOOKUP(D216,'July 2012 DMV Revenue'!D:T,17,FALSE)</f>
        <v>243.63</v>
      </c>
      <c r="G216" s="680"/>
      <c r="H216" s="680"/>
      <c r="I216" s="755"/>
      <c r="J216" s="682">
        <f t="shared" si="86"/>
        <v>243.63</v>
      </c>
      <c r="K216" s="683"/>
      <c r="L216" s="684"/>
      <c r="M216" s="753"/>
      <c r="N216" s="683">
        <v>0</v>
      </c>
      <c r="O216" s="686"/>
      <c r="P216" s="683">
        <v>0</v>
      </c>
      <c r="Q216" s="687">
        <f t="shared" si="93"/>
        <v>0</v>
      </c>
      <c r="R216" s="688">
        <v>0</v>
      </c>
      <c r="S216" s="693"/>
      <c r="T216" s="690">
        <f t="shared" si="106"/>
        <v>0</v>
      </c>
      <c r="U216" s="683"/>
      <c r="V216" s="474">
        <f t="shared" si="94"/>
        <v>0</v>
      </c>
      <c r="W216" s="474">
        <f t="shared" si="95"/>
        <v>0</v>
      </c>
      <c r="X216" s="475">
        <f t="shared" si="96"/>
        <v>0</v>
      </c>
      <c r="Y216" s="475">
        <v>0</v>
      </c>
      <c r="Z216" s="476">
        <v>0</v>
      </c>
      <c r="AA216" s="38">
        <f t="shared" si="97"/>
        <v>0</v>
      </c>
      <c r="AB216" s="692">
        <f t="shared" si="87"/>
        <v>243.63</v>
      </c>
      <c r="AC216" s="692">
        <f t="shared" si="88"/>
        <v>0</v>
      </c>
      <c r="AD216" s="692">
        <v>2.0299999999999998</v>
      </c>
      <c r="AE216" s="38"/>
      <c r="AF216" s="692">
        <f t="shared" si="90"/>
        <v>0</v>
      </c>
      <c r="AG216" s="692">
        <f t="shared" si="91"/>
        <v>0</v>
      </c>
      <c r="AH216" s="692">
        <f t="shared" si="92"/>
        <v>0</v>
      </c>
    </row>
    <row r="217" spans="1:34">
      <c r="A217" s="21"/>
      <c r="B217" s="21" t="s">
        <v>110</v>
      </c>
      <c r="C217" s="666"/>
      <c r="D217" s="68" t="s">
        <v>590</v>
      </c>
      <c r="E217" s="679"/>
      <c r="F217" s="529">
        <f>VLOOKUP(D217,'July 2012 DMV Revenue'!D:T,17,FALSE)</f>
        <v>0</v>
      </c>
      <c r="G217" s="680"/>
      <c r="H217" s="680"/>
      <c r="I217" s="755"/>
      <c r="J217" s="682">
        <f t="shared" si="86"/>
        <v>0</v>
      </c>
      <c r="K217" s="683"/>
      <c r="L217" s="684"/>
      <c r="M217" s="753"/>
      <c r="N217" s="683">
        <v>0</v>
      </c>
      <c r="O217" s="686"/>
      <c r="P217" s="683">
        <v>0</v>
      </c>
      <c r="Q217" s="687">
        <f t="shared" si="93"/>
        <v>0</v>
      </c>
      <c r="R217" s="688">
        <v>0</v>
      </c>
      <c r="S217" s="693"/>
      <c r="T217" s="690">
        <f t="shared" si="106"/>
        <v>0</v>
      </c>
      <c r="U217" s="683"/>
      <c r="V217" s="474">
        <f t="shared" si="94"/>
        <v>0</v>
      </c>
      <c r="W217" s="474">
        <f t="shared" si="95"/>
        <v>0</v>
      </c>
      <c r="X217" s="475">
        <f t="shared" si="96"/>
        <v>0</v>
      </c>
      <c r="Y217" s="475">
        <v>0</v>
      </c>
      <c r="Z217" s="476">
        <v>0</v>
      </c>
      <c r="AA217" s="38">
        <f t="shared" si="97"/>
        <v>0</v>
      </c>
      <c r="AB217" s="692">
        <v>-2.0299999999999998</v>
      </c>
      <c r="AC217" s="692">
        <f t="shared" si="88"/>
        <v>0</v>
      </c>
      <c r="AD217" s="692">
        <f t="shared" si="89"/>
        <v>0</v>
      </c>
      <c r="AE217" s="38"/>
      <c r="AF217" s="692">
        <f t="shared" si="90"/>
        <v>0</v>
      </c>
      <c r="AG217" s="692">
        <f t="shared" si="91"/>
        <v>0</v>
      </c>
      <c r="AH217" s="692">
        <f t="shared" si="92"/>
        <v>0</v>
      </c>
    </row>
    <row r="218" spans="1:34">
      <c r="A218" s="21"/>
      <c r="B218" s="21" t="s">
        <v>114</v>
      </c>
      <c r="C218" s="666"/>
      <c r="D218" s="68" t="s">
        <v>591</v>
      </c>
      <c r="E218" s="679">
        <f>568.86+332.56+1713.68</f>
        <v>2615.1000000000004</v>
      </c>
      <c r="F218" s="529">
        <f>VLOOKUP(D218,'July 2012 DMV Revenue'!D:T,17,FALSE)</f>
        <v>2529.44</v>
      </c>
      <c r="G218" s="680"/>
      <c r="H218" s="680"/>
      <c r="I218" s="755"/>
      <c r="J218" s="682">
        <f t="shared" si="86"/>
        <v>5144.5400000000009</v>
      </c>
      <c r="K218" s="683"/>
      <c r="L218" s="684"/>
      <c r="M218" s="753"/>
      <c r="N218" s="683">
        <v>0</v>
      </c>
      <c r="O218" s="686"/>
      <c r="P218" s="683">
        <v>0</v>
      </c>
      <c r="Q218" s="687">
        <f t="shared" si="93"/>
        <v>0</v>
      </c>
      <c r="R218" s="688">
        <f>535.71+1338.98+208.92+520.72</f>
        <v>2604.33</v>
      </c>
      <c r="S218" s="693"/>
      <c r="T218" s="690">
        <f t="shared" si="106"/>
        <v>2604.33</v>
      </c>
      <c r="U218" s="683"/>
      <c r="V218" s="474">
        <f t="shared" si="94"/>
        <v>0</v>
      </c>
      <c r="W218" s="474">
        <f t="shared" si="95"/>
        <v>0</v>
      </c>
      <c r="X218" s="475">
        <f t="shared" si="96"/>
        <v>0</v>
      </c>
      <c r="Y218" s="475">
        <v>0</v>
      </c>
      <c r="Z218" s="476">
        <v>0</v>
      </c>
      <c r="AA218" s="38">
        <f t="shared" si="97"/>
        <v>0</v>
      </c>
      <c r="AB218" s="692">
        <f t="shared" si="87"/>
        <v>0</v>
      </c>
      <c r="AC218" s="692">
        <f t="shared" si="88"/>
        <v>0</v>
      </c>
      <c r="AD218" s="692">
        <f t="shared" si="89"/>
        <v>5144.5400000000009</v>
      </c>
      <c r="AE218" s="38"/>
      <c r="AF218" s="692">
        <f t="shared" si="90"/>
        <v>0</v>
      </c>
      <c r="AG218" s="692">
        <f t="shared" si="91"/>
        <v>0</v>
      </c>
      <c r="AH218" s="692">
        <f t="shared" si="92"/>
        <v>0</v>
      </c>
    </row>
    <row r="219" spans="1:34">
      <c r="A219" s="21"/>
      <c r="B219" s="21" t="s">
        <v>114</v>
      </c>
      <c r="C219" s="672"/>
      <c r="D219" s="519" t="s">
        <v>433</v>
      </c>
      <c r="E219" s="679"/>
      <c r="F219" s="529">
        <f>VLOOKUP(D219,'July 2012 DMV Revenue'!D:T,17,FALSE)</f>
        <v>0</v>
      </c>
      <c r="G219" s="680"/>
      <c r="H219" s="680"/>
      <c r="I219" s="755"/>
      <c r="J219" s="682">
        <f t="shared" si="86"/>
        <v>0</v>
      </c>
      <c r="K219" s="683"/>
      <c r="L219" s="684"/>
      <c r="M219" s="753"/>
      <c r="N219" s="683">
        <v>0</v>
      </c>
      <c r="O219" s="686"/>
      <c r="P219" s="683">
        <v>0</v>
      </c>
      <c r="Q219" s="687">
        <f t="shared" si="93"/>
        <v>0</v>
      </c>
      <c r="R219" s="688">
        <v>0</v>
      </c>
      <c r="S219" s="693"/>
      <c r="T219" s="690">
        <f t="shared" si="106"/>
        <v>0</v>
      </c>
      <c r="U219" s="683"/>
      <c r="V219" s="474">
        <f t="shared" si="94"/>
        <v>0</v>
      </c>
      <c r="W219" s="474">
        <f t="shared" si="95"/>
        <v>0</v>
      </c>
      <c r="X219" s="475">
        <f t="shared" si="96"/>
        <v>0</v>
      </c>
      <c r="Y219" s="475">
        <v>0</v>
      </c>
      <c r="Z219" s="476">
        <v>0</v>
      </c>
      <c r="AA219" s="38">
        <f t="shared" si="97"/>
        <v>0</v>
      </c>
      <c r="AB219" s="692">
        <f t="shared" si="87"/>
        <v>0</v>
      </c>
      <c r="AC219" s="692">
        <f t="shared" si="88"/>
        <v>0</v>
      </c>
      <c r="AD219" s="692">
        <f t="shared" si="89"/>
        <v>0</v>
      </c>
      <c r="AE219" s="38"/>
      <c r="AF219" s="692">
        <f t="shared" si="90"/>
        <v>0</v>
      </c>
      <c r="AG219" s="692">
        <f t="shared" si="91"/>
        <v>0</v>
      </c>
      <c r="AH219" s="692">
        <f t="shared" si="92"/>
        <v>0</v>
      </c>
    </row>
    <row r="220" spans="1:34" s="146" customFormat="1" ht="13" thickBot="1">
      <c r="A220" s="21"/>
      <c r="B220" s="21" t="s">
        <v>110</v>
      </c>
      <c r="C220" s="666"/>
      <c r="D220" s="68" t="s">
        <v>593</v>
      </c>
      <c r="E220" s="679">
        <v>7.51</v>
      </c>
      <c r="F220" s="529">
        <f>VLOOKUP(D220,'July 2012 DMV Revenue'!D:T,17,FALSE)</f>
        <v>0</v>
      </c>
      <c r="G220" s="680"/>
      <c r="H220" s="680"/>
      <c r="I220" s="755"/>
      <c r="J220" s="682">
        <f t="shared" si="86"/>
        <v>7.51</v>
      </c>
      <c r="K220" s="683"/>
      <c r="L220" s="684"/>
      <c r="M220" s="753"/>
      <c r="N220" s="683">
        <v>0</v>
      </c>
      <c r="O220" s="686"/>
      <c r="P220" s="683">
        <v>0</v>
      </c>
      <c r="Q220" s="687">
        <f t="shared" si="93"/>
        <v>0</v>
      </c>
      <c r="R220" s="688">
        <v>0</v>
      </c>
      <c r="S220" s="693"/>
      <c r="T220" s="690">
        <f t="shared" si="106"/>
        <v>0</v>
      </c>
      <c r="U220" s="683"/>
      <c r="V220" s="474">
        <f t="shared" si="94"/>
        <v>0</v>
      </c>
      <c r="W220" s="474">
        <f t="shared" si="95"/>
        <v>0</v>
      </c>
      <c r="X220" s="475">
        <f t="shared" si="96"/>
        <v>0</v>
      </c>
      <c r="Y220" s="475">
        <v>0</v>
      </c>
      <c r="Z220" s="476">
        <v>0</v>
      </c>
      <c r="AA220" s="38">
        <f t="shared" si="97"/>
        <v>0</v>
      </c>
      <c r="AB220" s="692">
        <f t="shared" si="87"/>
        <v>7.51</v>
      </c>
      <c r="AC220" s="692">
        <f t="shared" si="88"/>
        <v>0</v>
      </c>
      <c r="AD220" s="692">
        <f t="shared" si="89"/>
        <v>0</v>
      </c>
      <c r="AE220" s="38"/>
      <c r="AF220" s="692">
        <f t="shared" si="90"/>
        <v>0</v>
      </c>
      <c r="AG220" s="692">
        <f t="shared" si="91"/>
        <v>0</v>
      </c>
      <c r="AH220" s="692">
        <f t="shared" si="92"/>
        <v>0</v>
      </c>
    </row>
    <row r="221" spans="1:34" ht="13" thickBot="1">
      <c r="A221" s="107"/>
      <c r="B221" s="108"/>
      <c r="C221" s="673"/>
      <c r="D221" s="71" t="s">
        <v>86</v>
      </c>
      <c r="E221" s="454">
        <f t="shared" ref="E221:J221" si="107">SUM(E16:E220)</f>
        <v>681380.3600000001</v>
      </c>
      <c r="F221" s="454">
        <f t="shared" si="107"/>
        <v>-1020760.7899999999</v>
      </c>
      <c r="G221" s="454">
        <f t="shared" si="107"/>
        <v>0</v>
      </c>
      <c r="H221" s="454">
        <f t="shared" si="107"/>
        <v>0</v>
      </c>
      <c r="I221" s="454">
        <f t="shared" si="107"/>
        <v>4287633.0299999984</v>
      </c>
      <c r="J221" s="454">
        <f t="shared" si="107"/>
        <v>3948252.5999999978</v>
      </c>
      <c r="K221" s="454"/>
      <c r="L221" s="454">
        <f>SUM(L16:L220)</f>
        <v>0</v>
      </c>
      <c r="M221" s="454">
        <f>SUM(M16:M220)</f>
        <v>2892423.93</v>
      </c>
      <c r="N221" s="454">
        <f>SUM(N16:N220)</f>
        <v>0</v>
      </c>
      <c r="O221" s="100">
        <f>SUM(O16:O220)</f>
        <v>0</v>
      </c>
      <c r="P221" s="157">
        <f>SUM(P17:P220)</f>
        <v>0</v>
      </c>
      <c r="Q221" s="100">
        <f>SUM(Q16:Q220)</f>
        <v>2892423.93</v>
      </c>
      <c r="R221" s="100">
        <f>SUM(R16:R220)</f>
        <v>2273684.6399999997</v>
      </c>
      <c r="S221" s="708"/>
      <c r="T221" s="100">
        <f>SUM(T16:T220)</f>
        <v>-618739.28999999992</v>
      </c>
      <c r="U221" s="683"/>
      <c r="V221" s="314">
        <f>SUM(V16:V220)</f>
        <v>2576265.7000000002</v>
      </c>
      <c r="W221" s="314">
        <f>SUM(W16:W220)</f>
        <v>206500</v>
      </c>
      <c r="X221" s="314">
        <f>SUM(X16:X220)</f>
        <v>109658.23</v>
      </c>
      <c r="Y221" s="314">
        <f>SUM(Y16:Y220)</f>
        <v>0</v>
      </c>
      <c r="Z221" s="314">
        <f>SUM(Z16:Z220)</f>
        <v>0</v>
      </c>
      <c r="AA221" s="38"/>
      <c r="AB221" s="314">
        <f>SUM(AB16:AB220)</f>
        <v>3817203.1599999983</v>
      </c>
      <c r="AC221" s="314">
        <f>SUM(AC16:AC220)</f>
        <v>141453.31999999998</v>
      </c>
      <c r="AD221" s="314">
        <f>SUM(AD16:AD220)</f>
        <v>-10403.879999999994</v>
      </c>
      <c r="AE221" s="38"/>
      <c r="AF221" s="314">
        <f>SUM(AF16:AF220)</f>
        <v>2576265.7000000002</v>
      </c>
      <c r="AG221" s="314">
        <f>SUM(AG16:AG220)</f>
        <v>206500</v>
      </c>
      <c r="AH221" s="314">
        <f>SUM(AH16:AH220)</f>
        <v>109658.23</v>
      </c>
    </row>
    <row r="222" spans="1:34" ht="13" thickBot="1">
      <c r="A222" s="65"/>
      <c r="B222" s="65"/>
      <c r="C222" s="674"/>
      <c r="D222" s="141"/>
      <c r="E222" s="709" t="s">
        <v>293</v>
      </c>
      <c r="F222" s="160">
        <f>F221+E221</f>
        <v>-339380.42999999982</v>
      </c>
      <c r="G222" s="153"/>
      <c r="H222" s="153" t="s">
        <v>225</v>
      </c>
      <c r="I222" s="153">
        <f>I221+H221+G221</f>
        <v>4287633.0299999984</v>
      </c>
      <c r="J222" s="323"/>
      <c r="K222" s="153"/>
      <c r="L222" s="153" t="s">
        <v>296</v>
      </c>
      <c r="M222" s="100">
        <f>M221+L221</f>
        <v>2892423.93</v>
      </c>
      <c r="N222" s="153"/>
      <c r="O222" s="641"/>
      <c r="P222" s="153"/>
      <c r="Q222" s="153"/>
      <c r="R222" s="153"/>
      <c r="S222" s="153"/>
      <c r="T222" s="153"/>
      <c r="U222" s="153"/>
      <c r="V222" s="139"/>
      <c r="W222" s="139"/>
      <c r="X222" s="139"/>
      <c r="Y222" s="139"/>
      <c r="Z222" s="104"/>
      <c r="AA222" s="38"/>
      <c r="AB222" s="711"/>
      <c r="AC222" s="711"/>
      <c r="AD222" s="711"/>
      <c r="AE222" s="38"/>
      <c r="AF222" s="38"/>
      <c r="AG222" s="38"/>
      <c r="AH222" s="38"/>
    </row>
    <row r="223" spans="1:34" ht="13" thickBot="1">
      <c r="A223" s="65"/>
      <c r="B223" s="65"/>
      <c r="C223" s="674"/>
      <c r="E223" s="159"/>
      <c r="F223" s="153"/>
      <c r="G223" s="153"/>
      <c r="H223" s="153"/>
      <c r="I223" s="153"/>
      <c r="J223" s="153"/>
      <c r="K223" s="153"/>
      <c r="L223" s="153"/>
      <c r="M223" s="710"/>
      <c r="N223" s="153"/>
      <c r="O223" s="153"/>
      <c r="P223" s="153"/>
      <c r="Q223" s="153"/>
      <c r="R223" s="153"/>
      <c r="S223" s="153"/>
      <c r="T223" s="153"/>
      <c r="U223" s="153"/>
      <c r="V223" s="331" t="s">
        <v>345</v>
      </c>
      <c r="W223" s="139"/>
      <c r="X223" s="139"/>
      <c r="Y223" s="139"/>
      <c r="Z223" s="104"/>
      <c r="AA223" s="164" t="s">
        <v>633</v>
      </c>
      <c r="AB223" s="139">
        <f>-24816.69-22447.62</f>
        <v>-47264.31</v>
      </c>
      <c r="AC223" s="139"/>
      <c r="AD223" s="139">
        <f>-SUM(AB223)</f>
        <v>47264.31</v>
      </c>
      <c r="AE223" s="38"/>
      <c r="AF223" s="711"/>
      <c r="AG223" s="711"/>
      <c r="AH223" s="711"/>
    </row>
    <row r="224" spans="1:34" ht="17" thickTop="1" thickBot="1">
      <c r="E224" s="712"/>
      <c r="F224" s="713"/>
      <c r="G224" s="714"/>
      <c r="H224" s="715"/>
      <c r="I224" s="715"/>
      <c r="J224" s="164"/>
      <c r="K224" s="169"/>
      <c r="L224" s="233"/>
      <c r="M224" s="233"/>
      <c r="N224" s="38"/>
      <c r="O224" s="642"/>
      <c r="P224" s="139"/>
      <c r="Q224" s="139"/>
      <c r="R224" s="33"/>
      <c r="S224" s="33"/>
      <c r="T224" s="33"/>
      <c r="U224" s="169"/>
      <c r="V224" s="332"/>
      <c r="W224" s="333"/>
      <c r="X224" s="491"/>
      <c r="Y224" s="491"/>
      <c r="Z224" s="334"/>
      <c r="AA224" s="164" t="s">
        <v>634</v>
      </c>
      <c r="AB224" s="139">
        <v>-80463.38</v>
      </c>
      <c r="AC224" s="139"/>
      <c r="AD224" s="139">
        <f>-SUM(AB224)</f>
        <v>80463.38</v>
      </c>
      <c r="AE224" s="38"/>
      <c r="AF224" s="38"/>
      <c r="AG224" s="38"/>
      <c r="AH224" s="38"/>
    </row>
    <row r="225" spans="4:34" ht="17" thickBot="1">
      <c r="E225" s="712"/>
      <c r="F225" s="713"/>
      <c r="G225" s="714"/>
      <c r="H225" s="715"/>
      <c r="J225" s="79">
        <f>J221</f>
        <v>3948252.5999999978</v>
      </c>
      <c r="K225" s="715" t="s">
        <v>840</v>
      </c>
      <c r="L225" s="169"/>
      <c r="M225" s="493"/>
      <c r="N225" s="38"/>
      <c r="O225" s="80"/>
      <c r="P225" s="104"/>
      <c r="Q225" s="139"/>
      <c r="R225" s="33"/>
      <c r="S225" s="33"/>
      <c r="T225" s="33"/>
      <c r="U225" s="169"/>
      <c r="V225" s="487"/>
      <c r="W225" s="488"/>
      <c r="X225" s="492" t="s">
        <v>399</v>
      </c>
      <c r="Y225" s="492" t="s">
        <v>400</v>
      </c>
      <c r="Z225" s="488"/>
      <c r="AA225" s="717" t="s">
        <v>475</v>
      </c>
      <c r="AB225" s="718">
        <f>SUM(AB221:AB224)</f>
        <v>3689475.4699999983</v>
      </c>
      <c r="AC225" s="718">
        <f>AC221</f>
        <v>141453.31999999998</v>
      </c>
      <c r="AD225" s="718">
        <f>SUM(AD221:AD224)</f>
        <v>117323.81000000001</v>
      </c>
      <c r="AE225" s="718"/>
      <c r="AF225" s="718">
        <f>AF221</f>
        <v>2576265.7000000002</v>
      </c>
      <c r="AG225" s="718">
        <f>AG221</f>
        <v>206500</v>
      </c>
      <c r="AH225" s="719">
        <f>AH221</f>
        <v>109658.23</v>
      </c>
    </row>
    <row r="226" spans="4:34" ht="15" thickBot="1">
      <c r="D226" s="143"/>
      <c r="E226" s="759"/>
      <c r="F226" s="713"/>
      <c r="G226" s="714"/>
      <c r="H226" s="720"/>
      <c r="J226" s="750">
        <v>0</v>
      </c>
      <c r="K226" s="757" t="s">
        <v>251</v>
      </c>
      <c r="L226" s="722"/>
      <c r="M226" s="642"/>
      <c r="N226" s="33"/>
      <c r="O226" s="80"/>
      <c r="P226" s="104"/>
      <c r="Q226" s="139"/>
      <c r="R226" s="33"/>
      <c r="S226" s="33"/>
      <c r="T226" s="33"/>
      <c r="U226" s="169"/>
      <c r="V226" s="158" t="s">
        <v>609</v>
      </c>
      <c r="W226" s="104" t="s">
        <v>352</v>
      </c>
      <c r="X226" s="104">
        <f>V221+W221+X221</f>
        <v>2892423.93</v>
      </c>
      <c r="Y226" s="104"/>
      <c r="Z226" s="136"/>
      <c r="AA226" s="723"/>
      <c r="AB226" s="38"/>
      <c r="AC226" s="38"/>
      <c r="AD226" s="38"/>
      <c r="AE226" s="38"/>
      <c r="AF226" s="38"/>
      <c r="AG226" s="38"/>
      <c r="AH226" s="38"/>
    </row>
    <row r="227" spans="4:34" ht="15" thickTop="1">
      <c r="D227" s="143"/>
      <c r="E227" s="712"/>
      <c r="F227" s="713"/>
      <c r="G227" s="714"/>
      <c r="H227" s="714" t="s">
        <v>249</v>
      </c>
      <c r="J227" s="173">
        <f>J226+J225</f>
        <v>3948252.5999999978</v>
      </c>
      <c r="K227" s="714" t="s">
        <v>454</v>
      </c>
      <c r="L227" s="722"/>
      <c r="M227" s="80"/>
      <c r="N227" s="104"/>
      <c r="O227" s="173"/>
      <c r="P227" s="104"/>
      <c r="Q227" s="139"/>
      <c r="R227" s="139"/>
      <c r="S227" s="139"/>
      <c r="T227" s="139"/>
      <c r="U227" s="169"/>
      <c r="V227" s="158"/>
      <c r="W227" s="104"/>
      <c r="X227" s="104"/>
      <c r="Y227" s="104"/>
      <c r="Z227" s="136"/>
      <c r="AA227" s="723"/>
      <c r="AB227" s="38"/>
      <c r="AC227" s="38"/>
      <c r="AD227" s="38" t="s">
        <v>86</v>
      </c>
      <c r="AE227" s="38"/>
      <c r="AF227" s="233">
        <f>SUM(AB225+AF225)</f>
        <v>6265741.1699999981</v>
      </c>
      <c r="AG227" s="233">
        <f t="shared" ref="AG227:AH227" si="108">SUM(AC225+AG225)</f>
        <v>347953.31999999995</v>
      </c>
      <c r="AH227" s="233">
        <f t="shared" si="108"/>
        <v>226982.04</v>
      </c>
    </row>
    <row r="228" spans="4:34" ht="14">
      <c r="D228" s="143"/>
      <c r="E228" s="712"/>
      <c r="F228" s="713"/>
      <c r="G228" s="714"/>
      <c r="H228" s="714"/>
      <c r="J228" s="80"/>
      <c r="K228" s="714"/>
      <c r="L228" s="722"/>
      <c r="M228" s="104"/>
      <c r="N228" s="38"/>
      <c r="O228" s="139"/>
      <c r="P228" s="104"/>
      <c r="Q228" s="139"/>
      <c r="R228" s="139"/>
      <c r="S228" s="139"/>
      <c r="T228" s="139"/>
      <c r="U228" s="169"/>
      <c r="V228" s="158" t="s">
        <v>600</v>
      </c>
      <c r="W228" s="104" t="s">
        <v>355</v>
      </c>
      <c r="X228" s="104"/>
      <c r="Y228" s="104">
        <f>V221</f>
        <v>2576265.7000000002</v>
      </c>
      <c r="Z228" s="136"/>
      <c r="AA228" s="38"/>
      <c r="AB228" s="752"/>
      <c r="AC228" s="38"/>
      <c r="AD228" s="38"/>
      <c r="AE228" s="38"/>
      <c r="AF228" s="233"/>
      <c r="AG228" s="233"/>
      <c r="AH228" s="233"/>
    </row>
    <row r="229" spans="4:34" ht="15" thickBot="1">
      <c r="D229" s="143" t="s">
        <v>823</v>
      </c>
      <c r="E229" s="712"/>
      <c r="F229" s="713"/>
      <c r="G229" s="714"/>
      <c r="H229" s="714"/>
      <c r="J229" s="661">
        <f>M222</f>
        <v>2892423.93</v>
      </c>
      <c r="K229" s="714" t="s">
        <v>841</v>
      </c>
      <c r="L229" s="645"/>
      <c r="M229" s="173"/>
      <c r="N229" s="38"/>
      <c r="O229" s="139"/>
      <c r="P229" s="104"/>
      <c r="Q229" s="139"/>
      <c r="R229" s="726"/>
      <c r="S229" s="139"/>
      <c r="T229" s="727"/>
      <c r="U229" s="169"/>
      <c r="V229" s="158"/>
      <c r="W229" s="104" t="s">
        <v>356</v>
      </c>
      <c r="X229" s="104"/>
      <c r="Y229" s="104">
        <f>Y221</f>
        <v>0</v>
      </c>
      <c r="Z229" s="136"/>
      <c r="AA229" s="38"/>
      <c r="AB229" s="38"/>
      <c r="AC229" s="38"/>
      <c r="AD229" s="38"/>
      <c r="AE229" s="38"/>
      <c r="AF229" s="233"/>
      <c r="AG229" s="233">
        <f>SUM(AF227:AH227)</f>
        <v>6840676.5299999984</v>
      </c>
      <c r="AH229" s="233"/>
    </row>
    <row r="230" spans="4:34" ht="16" thickTop="1" thickBot="1">
      <c r="D230" s="143"/>
      <c r="E230" s="712"/>
      <c r="F230" s="713"/>
      <c r="G230" s="714"/>
      <c r="H230" s="714"/>
      <c r="J230" s="173">
        <v>0</v>
      </c>
      <c r="K230" s="714"/>
      <c r="L230" s="722"/>
      <c r="M230" s="173"/>
      <c r="N230" s="38"/>
      <c r="O230" s="33"/>
      <c r="P230" s="38"/>
      <c r="Q230" s="139"/>
      <c r="R230" s="139"/>
      <c r="S230" s="139"/>
      <c r="T230" s="139"/>
      <c r="U230" s="169"/>
      <c r="V230" s="158"/>
      <c r="W230" s="104"/>
      <c r="X230" s="104"/>
      <c r="Y230" s="104"/>
      <c r="Z230" s="136"/>
      <c r="AA230" s="38"/>
      <c r="AB230" s="38"/>
      <c r="AC230" s="38"/>
      <c r="AD230" s="38"/>
      <c r="AE230" s="38"/>
    </row>
    <row r="231" spans="4:34" ht="15" thickBot="1">
      <c r="E231" s="712"/>
      <c r="F231" s="713"/>
      <c r="G231" s="714"/>
      <c r="H231" s="714"/>
      <c r="J231" s="754">
        <f>J225+J229</f>
        <v>6840676.5299999975</v>
      </c>
      <c r="K231" s="714" t="s">
        <v>833</v>
      </c>
      <c r="L231" s="722"/>
      <c r="M231" s="173"/>
      <c r="N231" s="38"/>
      <c r="O231" s="33"/>
      <c r="P231" s="38"/>
      <c r="Q231" s="139"/>
      <c r="R231" s="139"/>
      <c r="S231" s="139"/>
      <c r="T231" s="139"/>
      <c r="U231" s="169"/>
      <c r="V231" s="158" t="s">
        <v>601</v>
      </c>
      <c r="W231" s="104" t="s">
        <v>357</v>
      </c>
      <c r="X231" s="104"/>
      <c r="Y231" s="104">
        <f>W221</f>
        <v>206500</v>
      </c>
      <c r="Z231" s="136"/>
      <c r="AA231" s="38"/>
      <c r="AB231" s="38"/>
      <c r="AC231" s="38"/>
      <c r="AD231" s="38"/>
      <c r="AE231" s="38"/>
      <c r="AF231" s="38"/>
      <c r="AG231" s="38">
        <f>AG229-AH227</f>
        <v>6613694.4899999984</v>
      </c>
      <c r="AH231" s="38"/>
    </row>
    <row r="232" spans="4:34">
      <c r="E232" s="712"/>
      <c r="F232" s="713"/>
      <c r="G232" s="714"/>
      <c r="H232" s="714"/>
      <c r="J232" s="637"/>
      <c r="K232" s="714"/>
      <c r="L232" s="173"/>
      <c r="M232" s="731"/>
      <c r="N232" s="38"/>
      <c r="O232" s="33"/>
      <c r="P232" s="38"/>
      <c r="Q232" s="139"/>
      <c r="R232" s="139"/>
      <c r="S232" s="139"/>
      <c r="T232" s="139"/>
      <c r="U232" s="169"/>
      <c r="V232" s="415"/>
      <c r="W232" s="104" t="s">
        <v>358</v>
      </c>
      <c r="X232" s="104"/>
      <c r="Y232" s="104">
        <f>Z221</f>
        <v>0</v>
      </c>
      <c r="Z232" s="136"/>
      <c r="AA232" s="38"/>
      <c r="AB232" s="38"/>
      <c r="AC232" s="38"/>
      <c r="AD232" s="38"/>
      <c r="AE232" s="38"/>
      <c r="AF232" s="38"/>
      <c r="AG232" s="38"/>
      <c r="AH232" s="38"/>
    </row>
    <row r="233" spans="4:34">
      <c r="E233" s="712"/>
      <c r="F233" s="713"/>
      <c r="G233" s="714"/>
      <c r="H233" s="714"/>
      <c r="J233" s="658">
        <f>SUM(AB225:AH225)</f>
        <v>6840676.5299999993</v>
      </c>
      <c r="K233" s="714" t="s">
        <v>518</v>
      </c>
      <c r="L233" s="732"/>
      <c r="M233" s="637"/>
      <c r="N233" s="38"/>
      <c r="O233" s="33"/>
      <c r="P233" s="38"/>
      <c r="Q233" s="139"/>
      <c r="R233" s="139"/>
      <c r="S233" s="139"/>
      <c r="T233" s="139"/>
      <c r="U233" s="169"/>
      <c r="V233" s="415"/>
      <c r="W233" s="104"/>
      <c r="X233" s="104"/>
      <c r="Y233" s="104"/>
      <c r="Z233" s="136"/>
      <c r="AA233" s="38"/>
      <c r="AB233" s="38"/>
      <c r="AC233" s="38"/>
      <c r="AD233" s="38"/>
      <c r="AE233" s="38"/>
      <c r="AF233" s="38"/>
      <c r="AG233" s="38"/>
      <c r="AH233" s="38"/>
    </row>
    <row r="234" spans="4:34" ht="13" thickBot="1">
      <c r="E234" s="712"/>
      <c r="F234" s="713"/>
      <c r="G234" s="714"/>
      <c r="H234" s="714"/>
      <c r="J234" s="169"/>
      <c r="K234" s="714" t="s">
        <v>454</v>
      </c>
      <c r="L234" s="733"/>
      <c r="M234" s="795"/>
      <c r="N234" s="38"/>
      <c r="O234" s="33"/>
      <c r="P234" s="38"/>
      <c r="Q234" s="139"/>
      <c r="R234" s="139"/>
      <c r="S234" s="139"/>
      <c r="T234" s="139"/>
      <c r="U234" s="169"/>
      <c r="V234" s="158" t="s">
        <v>602</v>
      </c>
      <c r="W234" s="488" t="s">
        <v>359</v>
      </c>
      <c r="X234" s="488"/>
      <c r="Y234" s="488">
        <f>X221</f>
        <v>109658.23</v>
      </c>
      <c r="Z234" s="414"/>
      <c r="AA234" s="38"/>
      <c r="AB234" s="38"/>
      <c r="AC234" s="38"/>
      <c r="AD234" s="38"/>
      <c r="AE234" s="38"/>
      <c r="AF234" s="38"/>
      <c r="AG234" s="38"/>
      <c r="AH234" s="38"/>
    </row>
    <row r="235" spans="4:34" ht="15" thickBot="1">
      <c r="E235" s="712"/>
      <c r="F235" s="713"/>
      <c r="G235" s="714"/>
      <c r="H235" s="714"/>
      <c r="J235" s="736"/>
      <c r="K235" s="714" t="s">
        <v>519</v>
      </c>
      <c r="L235" s="169"/>
      <c r="M235" s="169"/>
      <c r="N235" s="38"/>
      <c r="O235" s="33"/>
      <c r="P235" s="38"/>
      <c r="Q235" s="33"/>
      <c r="R235" s="33"/>
      <c r="S235" s="33"/>
      <c r="T235" s="33"/>
      <c r="U235" s="169"/>
      <c r="V235" s="416"/>
      <c r="W235" s="104"/>
      <c r="X235" s="80">
        <f>SUM(X226:X234)</f>
        <v>2892423.93</v>
      </c>
      <c r="Y235" s="80">
        <f>SUM(Y226:Y234)</f>
        <v>2892423.93</v>
      </c>
      <c r="Z235" s="136"/>
      <c r="AA235" s="38"/>
      <c r="AB235" s="38"/>
      <c r="AC235" s="38"/>
      <c r="AD235" s="38"/>
      <c r="AE235" s="38"/>
      <c r="AF235" s="38"/>
      <c r="AG235" s="38"/>
      <c r="AH235" s="38"/>
    </row>
    <row r="236" spans="4:34">
      <c r="E236" s="712"/>
      <c r="F236" s="713"/>
      <c r="G236" s="714"/>
      <c r="H236" s="714"/>
      <c r="I236" s="714"/>
      <c r="J236" s="169"/>
      <c r="K236" s="169"/>
      <c r="L236" s="169"/>
      <c r="M236" s="169"/>
      <c r="N236" s="38"/>
      <c r="O236" s="33"/>
      <c r="P236" s="38"/>
      <c r="Q236" s="33"/>
      <c r="R236" s="33"/>
      <c r="S236" s="33"/>
      <c r="T236" s="33"/>
      <c r="U236" s="169"/>
      <c r="V236" s="416"/>
      <c r="W236" s="104"/>
      <c r="X236" s="104"/>
      <c r="Y236" s="104"/>
      <c r="Z236" s="136"/>
      <c r="AA236" s="38"/>
      <c r="AB236" s="38"/>
      <c r="AC236" s="38"/>
      <c r="AD236" s="38"/>
      <c r="AE236" s="38"/>
      <c r="AF236" s="38"/>
      <c r="AG236" s="38"/>
      <c r="AH236" s="38"/>
    </row>
    <row r="237" spans="4:34" ht="13" thickBot="1">
      <c r="E237" s="712"/>
      <c r="F237" s="713"/>
      <c r="G237" s="714"/>
      <c r="H237" s="714"/>
      <c r="I237" s="714"/>
      <c r="J237" s="169"/>
      <c r="K237" s="169"/>
      <c r="L237" s="169"/>
      <c r="M237" s="169"/>
      <c r="N237" s="38"/>
      <c r="O237" s="33"/>
      <c r="P237" s="38"/>
      <c r="Q237" s="33"/>
      <c r="R237" s="33"/>
      <c r="S237" s="33"/>
      <c r="T237" s="33"/>
      <c r="U237" s="169"/>
      <c r="V237" s="330"/>
      <c r="W237" s="279"/>
      <c r="X237" s="279"/>
      <c r="Y237" s="279"/>
      <c r="Z237" s="280"/>
      <c r="AA237" s="38"/>
      <c r="AB237" s="38"/>
      <c r="AC237" s="38"/>
      <c r="AD237" s="38"/>
      <c r="AE237" s="38"/>
      <c r="AF237" s="38"/>
      <c r="AG237" s="38"/>
      <c r="AH237" s="38"/>
    </row>
    <row r="238" spans="4:34">
      <c r="E238" s="712"/>
      <c r="F238" s="713"/>
      <c r="G238" s="714"/>
      <c r="H238" s="714"/>
      <c r="I238" s="714"/>
      <c r="J238" s="169"/>
      <c r="K238" s="169"/>
      <c r="L238" s="169"/>
      <c r="M238" s="169"/>
      <c r="N238" s="38"/>
      <c r="O238" s="33"/>
      <c r="P238" s="38"/>
      <c r="Q238" s="33"/>
      <c r="R238" s="33"/>
      <c r="S238" s="33"/>
      <c r="T238" s="33"/>
      <c r="U238" s="169"/>
      <c r="V238" s="104"/>
      <c r="W238" s="104"/>
      <c r="X238" s="104"/>
      <c r="Y238" s="104"/>
      <c r="Z238" s="104"/>
      <c r="AA238" s="38"/>
      <c r="AB238" s="38"/>
      <c r="AC238" s="38"/>
      <c r="AD238" s="38"/>
      <c r="AE238" s="38"/>
      <c r="AF238" s="38"/>
      <c r="AG238" s="38"/>
      <c r="AH238" s="38"/>
    </row>
    <row r="239" spans="4:34">
      <c r="E239" s="712"/>
      <c r="F239" s="713"/>
      <c r="G239" s="714"/>
      <c r="H239" s="714"/>
      <c r="I239" s="714"/>
      <c r="J239" s="169"/>
      <c r="K239" s="169"/>
      <c r="L239" s="169"/>
      <c r="M239" s="169"/>
      <c r="N239" s="38"/>
      <c r="O239" s="33"/>
      <c r="P239" s="38"/>
      <c r="Q239" s="33"/>
      <c r="R239" s="33"/>
      <c r="S239" s="33"/>
      <c r="T239" s="33"/>
      <c r="U239" s="169"/>
      <c r="AA239" s="38"/>
      <c r="AB239" s="38"/>
      <c r="AC239" s="38"/>
      <c r="AD239" s="38"/>
      <c r="AE239" s="38"/>
      <c r="AF239" s="38"/>
      <c r="AG239" s="38"/>
      <c r="AH239" s="38"/>
    </row>
    <row r="240" spans="4:34">
      <c r="E240" s="712"/>
      <c r="F240" s="713"/>
      <c r="G240" s="714"/>
      <c r="H240" s="714"/>
      <c r="I240" s="714"/>
      <c r="J240" s="169"/>
      <c r="K240" s="169"/>
      <c r="L240" s="169"/>
      <c r="M240" s="169"/>
      <c r="N240" s="38"/>
      <c r="O240" s="33"/>
      <c r="P240" s="38"/>
      <c r="Q240" s="33"/>
      <c r="R240" s="33"/>
      <c r="S240" s="33"/>
      <c r="T240" s="33"/>
      <c r="U240" s="169"/>
      <c r="AA240" s="38"/>
      <c r="AB240" s="38"/>
      <c r="AC240" s="38"/>
      <c r="AD240" s="38"/>
      <c r="AE240" s="38"/>
      <c r="AF240" s="38"/>
      <c r="AG240" s="38"/>
      <c r="AH240" s="38"/>
    </row>
    <row r="241" spans="5:34">
      <c r="E241" s="712"/>
      <c r="F241" s="713"/>
      <c r="G241" s="714"/>
      <c r="H241" s="714"/>
      <c r="I241" s="714"/>
      <c r="J241" s="169"/>
      <c r="K241" s="169"/>
      <c r="L241" s="169"/>
      <c r="M241" s="169"/>
      <c r="N241" s="38"/>
      <c r="O241" s="33"/>
      <c r="P241" s="38"/>
      <c r="Q241" s="33"/>
      <c r="R241" s="33"/>
      <c r="S241" s="33"/>
      <c r="T241" s="33"/>
      <c r="U241" s="169"/>
      <c r="AA241" s="38"/>
      <c r="AB241" s="38"/>
      <c r="AC241" s="38"/>
      <c r="AD241" s="38"/>
      <c r="AE241" s="38"/>
      <c r="AF241" s="38"/>
      <c r="AG241" s="38"/>
      <c r="AH241" s="38"/>
    </row>
    <row r="242" spans="5:34">
      <c r="E242" s="712"/>
      <c r="F242" s="713"/>
      <c r="G242" s="714"/>
      <c r="H242" s="714"/>
      <c r="I242" s="714"/>
      <c r="J242" s="169"/>
      <c r="K242" s="169"/>
      <c r="L242" s="169"/>
      <c r="M242" s="169"/>
      <c r="N242" s="38"/>
      <c r="O242" s="33"/>
      <c r="P242" s="38"/>
      <c r="Q242" s="33"/>
      <c r="R242" s="33"/>
      <c r="S242" s="33"/>
      <c r="T242" s="33"/>
      <c r="U242" s="169"/>
      <c r="AA242" s="38"/>
      <c r="AB242" s="38"/>
      <c r="AC242" s="38"/>
      <c r="AD242" s="38"/>
      <c r="AE242" s="38"/>
      <c r="AF242" s="38"/>
      <c r="AG242" s="38"/>
      <c r="AH242" s="38"/>
    </row>
    <row r="243" spans="5:34">
      <c r="E243" s="712"/>
      <c r="F243" s="713"/>
      <c r="G243" s="714"/>
      <c r="H243" s="714"/>
      <c r="I243" s="714"/>
      <c r="J243" s="169"/>
      <c r="K243" s="169"/>
      <c r="L243" s="169"/>
      <c r="M243" s="169"/>
      <c r="N243" s="38"/>
      <c r="O243" s="33"/>
      <c r="P243" s="38"/>
      <c r="Q243" s="33"/>
      <c r="R243" s="33"/>
      <c r="S243" s="33"/>
      <c r="T243" s="33"/>
      <c r="U243" s="169"/>
      <c r="AA243" s="38"/>
      <c r="AB243" s="38"/>
      <c r="AC243" s="38"/>
      <c r="AD243" s="38"/>
      <c r="AE243" s="38"/>
      <c r="AF243" s="38"/>
      <c r="AG243" s="38"/>
      <c r="AH243" s="38"/>
    </row>
    <row r="244" spans="5:34">
      <c r="E244" s="712"/>
      <c r="F244" s="713"/>
      <c r="G244" s="714"/>
      <c r="H244" s="714"/>
      <c r="I244" s="714"/>
      <c r="J244" s="169"/>
      <c r="K244" s="169"/>
      <c r="L244" s="169"/>
      <c r="M244" s="169"/>
      <c r="N244" s="38"/>
      <c r="O244" s="33"/>
      <c r="P244" s="38"/>
      <c r="Q244" s="33"/>
      <c r="R244" s="33"/>
      <c r="S244" s="33"/>
      <c r="T244" s="33"/>
      <c r="U244" s="169"/>
      <c r="AA244" s="38"/>
      <c r="AB244" s="38"/>
      <c r="AC244" s="38"/>
      <c r="AD244" s="38"/>
      <c r="AE244" s="38"/>
      <c r="AF244" s="38"/>
      <c r="AG244" s="38"/>
      <c r="AH244" s="38"/>
    </row>
  </sheetData>
  <customSheetViews>
    <customSheetView guid="{005F2F7B-A3A9-4755-A4DF-7CE06C365CC2}" hiddenColumns="1" topLeftCell="E217">
      <selection activeCell="Y232" sqref="Y232"/>
    </customSheetView>
    <customSheetView guid="{86CCC894-C193-4761-8385-3C374FD67B70}" showPageBreaks="1" hiddenColumns="1" topLeftCell="D190">
      <selection activeCell="J196" sqref="J196:M196"/>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79"/>
  <sheetViews>
    <sheetView topLeftCell="D188" workbookViewId="0">
      <selection activeCell="J225" sqref="J225:M225"/>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7.796875" style="146" customWidth="1"/>
    <col min="16" max="16" width="1.796875" style="16" customWidth="1"/>
    <col min="17" max="18" width="15.3984375" style="146" customWidth="1"/>
    <col min="19" max="19" width="1.796875" style="146" customWidth="1"/>
    <col min="20" max="20" width="15.3984375" style="146" customWidth="1"/>
    <col min="21" max="21" width="1.796875" style="24" customWidth="1"/>
    <col min="22" max="26" width="15.3984375" style="38" customWidth="1"/>
    <col min="27" max="27" width="15.3984375" style="16" customWidth="1"/>
    <col min="28" max="29" width="15.3984375" style="559" customWidth="1"/>
    <col min="30" max="30" width="15.796875" style="559" customWidth="1"/>
    <col min="31" max="31" width="2.3984375" style="559" customWidth="1"/>
    <col min="32" max="33" width="14.796875" style="559" bestFit="1" customWidth="1"/>
    <col min="34" max="34" width="14.19921875" style="559" customWidth="1"/>
    <col min="35" max="16384" width="9.3984375" style="16"/>
  </cols>
  <sheetData>
    <row r="1" spans="1:34">
      <c r="D1" s="147" t="s">
        <v>71</v>
      </c>
      <c r="F1" s="29"/>
      <c r="G1" s="162"/>
      <c r="H1" s="163"/>
      <c r="I1" s="163"/>
      <c r="J1" s="169"/>
      <c r="K1" s="169"/>
      <c r="L1" s="169"/>
      <c r="M1" s="169"/>
      <c r="N1" s="169"/>
      <c r="U1" s="40"/>
    </row>
    <row r="2" spans="1:34">
      <c r="D2" s="147" t="s">
        <v>72</v>
      </c>
      <c r="F2" s="29"/>
      <c r="G2" s="162"/>
      <c r="H2" s="163"/>
      <c r="I2" s="163"/>
      <c r="J2" s="169"/>
      <c r="K2" s="169"/>
      <c r="L2" s="169"/>
      <c r="M2" s="169"/>
      <c r="N2" s="169"/>
      <c r="U2" s="40"/>
    </row>
    <row r="3" spans="1:34">
      <c r="D3" s="147" t="s">
        <v>828</v>
      </c>
      <c r="F3" s="29"/>
      <c r="G3" s="18"/>
      <c r="H3" s="168"/>
      <c r="I3" s="168"/>
      <c r="J3" s="169"/>
      <c r="K3" s="169"/>
      <c r="L3" s="169"/>
      <c r="M3" s="169"/>
      <c r="N3" s="169"/>
    </row>
    <row r="4" spans="1:34">
      <c r="D4" s="148" t="s">
        <v>228</v>
      </c>
      <c r="G4" s="164"/>
      <c r="H4" s="168"/>
      <c r="I4" s="168"/>
      <c r="J4" s="169"/>
      <c r="K4" s="169"/>
      <c r="L4" s="169"/>
      <c r="M4" s="169"/>
      <c r="N4" s="169"/>
    </row>
    <row r="5" spans="1:34" ht="13"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3" thickBot="1">
      <c r="B12" s="469"/>
      <c r="C12" s="670"/>
      <c r="D12" s="470" t="s">
        <v>103</v>
      </c>
      <c r="E12" s="471" t="s">
        <v>101</v>
      </c>
      <c r="F12" s="29"/>
      <c r="G12" s="166"/>
      <c r="H12" s="150"/>
      <c r="I12" s="150"/>
      <c r="J12" s="76"/>
    </row>
    <row r="13" spans="1:34" ht="13" thickBot="1">
      <c r="A13" s="152"/>
      <c r="B13" s="152"/>
      <c r="C13" s="67"/>
      <c r="D13" s="54"/>
      <c r="E13" s="34"/>
      <c r="G13" s="167"/>
      <c r="H13" s="49"/>
      <c r="I13" s="49"/>
      <c r="J13" s="50"/>
      <c r="K13" s="50"/>
      <c r="L13" s="50"/>
      <c r="M13" s="745"/>
      <c r="N13" s="146"/>
      <c r="P13" s="146"/>
      <c r="U13" s="50"/>
      <c r="V13" s="33"/>
      <c r="W13" s="33"/>
      <c r="X13" s="33"/>
      <c r="Y13" s="33"/>
    </row>
    <row r="14" spans="1:34" ht="13" thickBot="1">
      <c r="D14" s="526"/>
      <c r="E14" s="582" t="s">
        <v>826</v>
      </c>
      <c r="F14" s="583" t="s">
        <v>290</v>
      </c>
      <c r="G14" s="96"/>
      <c r="H14" s="96"/>
      <c r="I14" s="96"/>
      <c r="J14" s="96" t="s">
        <v>366</v>
      </c>
      <c r="K14" s="581"/>
      <c r="L14" s="96" t="s">
        <v>366</v>
      </c>
      <c r="M14" s="96" t="s">
        <v>366</v>
      </c>
      <c r="N14" s="93"/>
      <c r="O14" s="96"/>
      <c r="P14" s="93"/>
      <c r="Q14" s="13"/>
      <c r="R14" s="96"/>
      <c r="S14" s="101"/>
      <c r="T14" s="96"/>
      <c r="U14" s="93"/>
      <c r="V14" s="96"/>
      <c r="W14" s="96"/>
      <c r="X14" s="304"/>
      <c r="Y14" s="304"/>
      <c r="Z14" s="304"/>
      <c r="AC14" s="560" t="s">
        <v>266</v>
      </c>
      <c r="AG14" s="561" t="s">
        <v>267</v>
      </c>
    </row>
    <row r="15" spans="1:34" ht="13" thickBot="1">
      <c r="A15" s="22" t="s">
        <v>95</v>
      </c>
      <c r="B15" s="22" t="s">
        <v>100</v>
      </c>
      <c r="C15" s="36" t="s">
        <v>522</v>
      </c>
      <c r="D15" s="36" t="s">
        <v>67</v>
      </c>
      <c r="E15" s="450" t="s">
        <v>230</v>
      </c>
      <c r="F15" s="528" t="s">
        <v>229</v>
      </c>
      <c r="G15" s="176" t="s">
        <v>288</v>
      </c>
      <c r="H15" s="545" t="s">
        <v>289</v>
      </c>
      <c r="I15" s="758" t="s">
        <v>366</v>
      </c>
      <c r="J15" s="313" t="s">
        <v>105</v>
      </c>
      <c r="K15" s="93"/>
      <c r="L15" s="94" t="s">
        <v>104</v>
      </c>
      <c r="M15" s="95" t="s">
        <v>106</v>
      </c>
      <c r="N15" s="102"/>
      <c r="O15" s="427" t="s">
        <v>372</v>
      </c>
      <c r="P15" s="102"/>
      <c r="Q15" s="313" t="s">
        <v>827</v>
      </c>
      <c r="R15" s="156" t="s">
        <v>641</v>
      </c>
      <c r="S15" s="149"/>
      <c r="T15" s="327" t="s">
        <v>812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VLOOKUP(D16,'June 2012 DMV Revenue'!D:T,17,FALSE)</f>
        <v>0</v>
      </c>
      <c r="G16" s="680"/>
      <c r="H16" s="680"/>
      <c r="I16" s="755"/>
      <c r="J16" s="682">
        <f t="shared" ref="J16:J83" si="0">SUM(E16:I16)</f>
        <v>0</v>
      </c>
      <c r="K16" s="683"/>
      <c r="L16" s="684"/>
      <c r="M16" s="753"/>
      <c r="N16" s="683">
        <v>0</v>
      </c>
      <c r="O16" s="686"/>
      <c r="P16" s="683">
        <v>0</v>
      </c>
      <c r="Q16" s="687">
        <f t="shared" ref="Q16:Q149" si="1">L16+M16</f>
        <v>0</v>
      </c>
      <c r="R16" s="688">
        <v>0</v>
      </c>
      <c r="S16" s="689"/>
      <c r="T16" s="690">
        <f t="shared" ref="T16:T83" si="2">IF(R16="","",R16-Q16)</f>
        <v>0</v>
      </c>
      <c r="U16" s="691"/>
      <c r="V16" s="474">
        <f t="shared" ref="V16:V83" si="3">IF(B16="D",Q16,0)</f>
        <v>0</v>
      </c>
      <c r="W16" s="474">
        <f t="shared" ref="W16:W83" si="4">IF(B16="M",Q16,0)</f>
        <v>0</v>
      </c>
      <c r="X16" s="475">
        <f t="shared" ref="X16:X83" si="5">IF(B16="V",Q16,0)</f>
        <v>0</v>
      </c>
      <c r="Y16" s="475">
        <v>0</v>
      </c>
      <c r="Z16" s="476">
        <v>0</v>
      </c>
      <c r="AA16" s="38">
        <f t="shared" ref="AA16:AA83" si="6">(L16+M16)-(V16+W16+X16+Y16+Z16)</f>
        <v>0</v>
      </c>
      <c r="AB16" s="692">
        <f t="shared" ref="AB16" si="7">IF(B16="D",J16,0)</f>
        <v>0</v>
      </c>
      <c r="AC16" s="692">
        <f t="shared" ref="AC16" si="8">IF(B16="M",J16,0)</f>
        <v>0</v>
      </c>
      <c r="AD16" s="692">
        <f t="shared" ref="AD16" si="9">IF(B16="V",J16,0)</f>
        <v>0</v>
      </c>
      <c r="AE16" s="38"/>
      <c r="AF16" s="692">
        <f t="shared" ref="AF16" si="10">IF(B16="D",Q16,0)</f>
        <v>0</v>
      </c>
      <c r="AG16" s="692">
        <f t="shared" ref="AG16" si="11">IF(B16="M",Q16,0)</f>
        <v>0</v>
      </c>
      <c r="AH16" s="692">
        <f t="shared" ref="AH16" si="12">IF(B16="V",Q16,0)</f>
        <v>0</v>
      </c>
    </row>
    <row r="17" spans="1:34">
      <c r="A17" s="20" t="s">
        <v>109</v>
      </c>
      <c r="B17" s="20" t="s">
        <v>110</v>
      </c>
      <c r="C17" s="671" t="s">
        <v>523</v>
      </c>
      <c r="D17" s="123" t="s">
        <v>317</v>
      </c>
      <c r="E17" s="679"/>
      <c r="F17" s="529">
        <f>VLOOKUP(D17,'June 2012 DMV Revenue'!D:T,17,FALSE)</f>
        <v>-1307.67</v>
      </c>
      <c r="G17" s="680"/>
      <c r="H17" s="680"/>
      <c r="I17" s="755"/>
      <c r="J17" s="682">
        <f t="shared" si="0"/>
        <v>-1307.67</v>
      </c>
      <c r="K17" s="683"/>
      <c r="L17" s="684"/>
      <c r="M17" s="753">
        <v>11000</v>
      </c>
      <c r="N17" s="683">
        <v>0</v>
      </c>
      <c r="O17" s="686"/>
      <c r="P17" s="683">
        <v>0</v>
      </c>
      <c r="Q17" s="687">
        <f t="shared" si="1"/>
        <v>11000</v>
      </c>
      <c r="R17" s="688">
        <f>7878.44+2834.01</f>
        <v>10712.45</v>
      </c>
      <c r="S17" s="693"/>
      <c r="T17" s="690">
        <f t="shared" si="2"/>
        <v>-287.54999999999927</v>
      </c>
      <c r="U17" s="683"/>
      <c r="V17" s="474">
        <f t="shared" si="3"/>
        <v>11000</v>
      </c>
      <c r="W17" s="474">
        <f t="shared" si="4"/>
        <v>0</v>
      </c>
      <c r="X17" s="475">
        <f t="shared" si="5"/>
        <v>0</v>
      </c>
      <c r="Y17" s="475">
        <v>0</v>
      </c>
      <c r="Z17" s="476">
        <v>0</v>
      </c>
      <c r="AA17" s="38">
        <f t="shared" si="6"/>
        <v>0</v>
      </c>
      <c r="AB17" s="692">
        <f t="shared" ref="AB17:AB81" si="13">IF(B17="D",J17,0)</f>
        <v>-1307.67</v>
      </c>
      <c r="AC17" s="692">
        <f t="shared" ref="AC17:AC81" si="14">IF(B17="M",J17,0)</f>
        <v>0</v>
      </c>
      <c r="AD17" s="692">
        <f t="shared" ref="AD17:AD81" si="15">IF(B17="V",J17,0)</f>
        <v>0</v>
      </c>
      <c r="AE17" s="38"/>
      <c r="AF17" s="692">
        <f t="shared" ref="AF17:AF81" si="16">IF(B17="D",Q17,0)</f>
        <v>11000</v>
      </c>
      <c r="AG17" s="692">
        <f t="shared" ref="AG17:AG81" si="17">IF(B17="M",Q17,0)</f>
        <v>0</v>
      </c>
      <c r="AH17" s="692">
        <f t="shared" ref="AH17:AH81" si="18">IF(B17="V",Q17,0)</f>
        <v>0</v>
      </c>
    </row>
    <row r="18" spans="1:34">
      <c r="A18" s="20" t="s">
        <v>109</v>
      </c>
      <c r="B18" s="20" t="s">
        <v>109</v>
      </c>
      <c r="C18" s="671" t="s">
        <v>523</v>
      </c>
      <c r="D18" s="68" t="s">
        <v>393</v>
      </c>
      <c r="E18" s="679"/>
      <c r="F18" s="529">
        <f>VLOOKUP(D18,'June 2012 DMV Revenue'!D:T,17,FALSE)</f>
        <v>-4157.07</v>
      </c>
      <c r="G18" s="680"/>
      <c r="H18" s="680"/>
      <c r="I18" s="755"/>
      <c r="J18" s="682">
        <f t="shared" si="0"/>
        <v>-4157.07</v>
      </c>
      <c r="K18" s="683"/>
      <c r="L18" s="684"/>
      <c r="M18" s="753">
        <v>32000</v>
      </c>
      <c r="N18" s="683">
        <v>0</v>
      </c>
      <c r="O18" s="686"/>
      <c r="P18" s="683">
        <v>0</v>
      </c>
      <c r="Q18" s="687">
        <f t="shared" si="1"/>
        <v>32000</v>
      </c>
      <c r="R18" s="688">
        <v>30675.97</v>
      </c>
      <c r="S18" s="693"/>
      <c r="T18" s="690">
        <f t="shared" si="2"/>
        <v>-1324.0299999999988</v>
      </c>
      <c r="U18" s="683"/>
      <c r="V18" s="474">
        <f t="shared" si="3"/>
        <v>0</v>
      </c>
      <c r="W18" s="474">
        <f t="shared" si="4"/>
        <v>32000</v>
      </c>
      <c r="X18" s="475">
        <f t="shared" si="5"/>
        <v>0</v>
      </c>
      <c r="Y18" s="475">
        <v>0</v>
      </c>
      <c r="Z18" s="476">
        <v>0</v>
      </c>
      <c r="AA18" s="38">
        <f t="shared" si="6"/>
        <v>0</v>
      </c>
      <c r="AB18" s="692">
        <f t="shared" si="13"/>
        <v>0</v>
      </c>
      <c r="AC18" s="692">
        <f t="shared" si="14"/>
        <v>-4157.07</v>
      </c>
      <c r="AD18" s="692">
        <f t="shared" si="15"/>
        <v>0</v>
      </c>
      <c r="AE18" s="38"/>
      <c r="AF18" s="692">
        <f t="shared" si="16"/>
        <v>0</v>
      </c>
      <c r="AG18" s="692">
        <f t="shared" si="17"/>
        <v>32000</v>
      </c>
      <c r="AH18" s="692">
        <f t="shared" si="18"/>
        <v>0</v>
      </c>
    </row>
    <row r="19" spans="1:34">
      <c r="A19" s="20" t="s">
        <v>109</v>
      </c>
      <c r="B19" s="20" t="s">
        <v>109</v>
      </c>
      <c r="C19" s="671" t="s">
        <v>523</v>
      </c>
      <c r="D19" s="68" t="s">
        <v>129</v>
      </c>
      <c r="E19" s="679"/>
      <c r="F19" s="529">
        <f>VLOOKUP(D19,'June 2012 DMV Revenue'!D:T,17,FALSE)</f>
        <v>28.35</v>
      </c>
      <c r="G19" s="680"/>
      <c r="H19" s="680"/>
      <c r="I19" s="755"/>
      <c r="J19" s="682">
        <f t="shared" si="0"/>
        <v>28.35</v>
      </c>
      <c r="K19" s="683"/>
      <c r="L19" s="684"/>
      <c r="M19" s="753"/>
      <c r="N19" s="683">
        <v>0</v>
      </c>
      <c r="O19" s="686"/>
      <c r="P19" s="683">
        <v>0</v>
      </c>
      <c r="Q19" s="687">
        <f t="shared" si="1"/>
        <v>0</v>
      </c>
      <c r="R19" s="688">
        <v>50.38</v>
      </c>
      <c r="S19" s="693"/>
      <c r="T19" s="690">
        <f t="shared" si="2"/>
        <v>50.38</v>
      </c>
      <c r="U19" s="683"/>
      <c r="V19" s="474">
        <f t="shared" si="3"/>
        <v>0</v>
      </c>
      <c r="W19" s="474">
        <f t="shared" si="4"/>
        <v>0</v>
      </c>
      <c r="X19" s="475">
        <f t="shared" si="5"/>
        <v>0</v>
      </c>
      <c r="Y19" s="475">
        <v>0</v>
      </c>
      <c r="Z19" s="476">
        <v>0</v>
      </c>
      <c r="AA19" s="38">
        <f t="shared" si="6"/>
        <v>0</v>
      </c>
      <c r="AB19" s="692">
        <f t="shared" si="13"/>
        <v>0</v>
      </c>
      <c r="AC19" s="692">
        <f t="shared" si="14"/>
        <v>28.35</v>
      </c>
      <c r="AD19" s="692">
        <f t="shared" si="15"/>
        <v>0</v>
      </c>
      <c r="AE19" s="38"/>
      <c r="AF19" s="692">
        <f t="shared" si="16"/>
        <v>0</v>
      </c>
      <c r="AG19" s="692">
        <f t="shared" si="17"/>
        <v>0</v>
      </c>
      <c r="AH19" s="692">
        <f t="shared" si="18"/>
        <v>0</v>
      </c>
    </row>
    <row r="20" spans="1:34">
      <c r="A20" s="20"/>
      <c r="B20" s="20" t="s">
        <v>110</v>
      </c>
      <c r="C20" s="667" t="s">
        <v>524</v>
      </c>
      <c r="D20" s="123" t="s">
        <v>380</v>
      </c>
      <c r="E20" s="679"/>
      <c r="F20" s="529">
        <f>VLOOKUP(D20,'June 2012 DMV Revenue'!D:T,17,FALSE)</f>
        <v>511.46000000000004</v>
      </c>
      <c r="G20" s="680"/>
      <c r="H20" s="680"/>
      <c r="I20" s="770">
        <v>3877.45</v>
      </c>
      <c r="J20" s="682">
        <f t="shared" si="0"/>
        <v>4388.91</v>
      </c>
      <c r="K20" s="683"/>
      <c r="L20" s="684"/>
      <c r="M20" s="753"/>
      <c r="N20" s="683">
        <v>0</v>
      </c>
      <c r="O20" s="686"/>
      <c r="P20" s="683">
        <v>0</v>
      </c>
      <c r="Q20" s="687">
        <f t="shared" si="1"/>
        <v>0</v>
      </c>
      <c r="R20" s="688">
        <v>0</v>
      </c>
      <c r="S20" s="693"/>
      <c r="T20" s="690">
        <f t="shared" si="2"/>
        <v>0</v>
      </c>
      <c r="U20" s="683"/>
      <c r="V20" s="474">
        <f t="shared" si="3"/>
        <v>0</v>
      </c>
      <c r="W20" s="474">
        <f t="shared" si="4"/>
        <v>0</v>
      </c>
      <c r="X20" s="475">
        <f t="shared" si="5"/>
        <v>0</v>
      </c>
      <c r="Y20" s="475">
        <v>0</v>
      </c>
      <c r="Z20" s="476">
        <v>0</v>
      </c>
      <c r="AA20" s="38">
        <f t="shared" si="6"/>
        <v>0</v>
      </c>
      <c r="AB20" s="692">
        <f t="shared" si="13"/>
        <v>4388.91</v>
      </c>
      <c r="AC20" s="692">
        <f t="shared" si="14"/>
        <v>0</v>
      </c>
      <c r="AD20" s="692">
        <f t="shared" si="15"/>
        <v>0</v>
      </c>
      <c r="AE20" s="38"/>
      <c r="AF20" s="692">
        <f t="shared" si="16"/>
        <v>0</v>
      </c>
      <c r="AG20" s="692">
        <f t="shared" si="17"/>
        <v>0</v>
      </c>
      <c r="AH20" s="692">
        <f t="shared" si="18"/>
        <v>0</v>
      </c>
    </row>
    <row r="21" spans="1:34">
      <c r="A21" s="20"/>
      <c r="B21" s="20" t="s">
        <v>110</v>
      </c>
      <c r="C21" s="667" t="s">
        <v>524</v>
      </c>
      <c r="D21" s="123" t="s">
        <v>132</v>
      </c>
      <c r="E21" s="679"/>
      <c r="F21" s="529">
        <f>VLOOKUP(D21,'June 2012 DMV Revenue'!D:T,17,FALSE)</f>
        <v>-358.19999999999982</v>
      </c>
      <c r="G21" s="680"/>
      <c r="H21" s="680"/>
      <c r="I21" s="770">
        <v>5236.57</v>
      </c>
      <c r="J21" s="682">
        <f t="shared" si="0"/>
        <v>4878.37</v>
      </c>
      <c r="K21" s="683"/>
      <c r="L21" s="684"/>
      <c r="M21" s="753"/>
      <c r="N21" s="683">
        <v>0</v>
      </c>
      <c r="O21" s="686"/>
      <c r="P21" s="683">
        <v>0</v>
      </c>
      <c r="Q21" s="687">
        <f t="shared" si="1"/>
        <v>0</v>
      </c>
      <c r="R21" s="688">
        <v>0</v>
      </c>
      <c r="S21" s="693"/>
      <c r="T21" s="690">
        <f t="shared" si="2"/>
        <v>0</v>
      </c>
      <c r="U21" s="683"/>
      <c r="V21" s="474">
        <f t="shared" si="3"/>
        <v>0</v>
      </c>
      <c r="W21" s="474">
        <f t="shared" si="4"/>
        <v>0</v>
      </c>
      <c r="X21" s="475">
        <f t="shared" si="5"/>
        <v>0</v>
      </c>
      <c r="Y21" s="475">
        <v>0</v>
      </c>
      <c r="Z21" s="476">
        <v>0</v>
      </c>
      <c r="AA21" s="38">
        <f t="shared" si="6"/>
        <v>0</v>
      </c>
      <c r="AB21" s="692">
        <f t="shared" si="13"/>
        <v>4878.37</v>
      </c>
      <c r="AC21" s="692">
        <f t="shared" si="14"/>
        <v>0</v>
      </c>
      <c r="AD21" s="692">
        <f t="shared" si="15"/>
        <v>0</v>
      </c>
      <c r="AE21" s="38"/>
      <c r="AF21" s="692">
        <f t="shared" si="16"/>
        <v>0</v>
      </c>
      <c r="AG21" s="692">
        <f t="shared" si="17"/>
        <v>0</v>
      </c>
      <c r="AH21" s="692">
        <f t="shared" si="18"/>
        <v>0</v>
      </c>
    </row>
    <row r="22" spans="1:34">
      <c r="A22" s="20"/>
      <c r="B22" s="20" t="s">
        <v>110</v>
      </c>
      <c r="C22" s="667" t="s">
        <v>524</v>
      </c>
      <c r="D22" s="123" t="s">
        <v>133</v>
      </c>
      <c r="E22" s="679"/>
      <c r="F22" s="529">
        <f>VLOOKUP(D22,'June 2012 DMV Revenue'!D:T,17,FALSE)</f>
        <v>90.5</v>
      </c>
      <c r="G22" s="680"/>
      <c r="H22" s="680"/>
      <c r="I22" s="770">
        <v>5011.3999999999996</v>
      </c>
      <c r="J22" s="682">
        <f t="shared" si="0"/>
        <v>5101.8999999999996</v>
      </c>
      <c r="K22" s="683"/>
      <c r="L22" s="684"/>
      <c r="M22" s="753"/>
      <c r="N22" s="683">
        <v>0</v>
      </c>
      <c r="O22" s="686"/>
      <c r="P22" s="683">
        <v>0</v>
      </c>
      <c r="Q22" s="687">
        <f t="shared" si="1"/>
        <v>0</v>
      </c>
      <c r="R22" s="688">
        <v>0</v>
      </c>
      <c r="S22" s="693"/>
      <c r="T22" s="690">
        <f t="shared" si="2"/>
        <v>0</v>
      </c>
      <c r="U22" s="683"/>
      <c r="V22" s="474">
        <f t="shared" si="3"/>
        <v>0</v>
      </c>
      <c r="W22" s="474">
        <f t="shared" si="4"/>
        <v>0</v>
      </c>
      <c r="X22" s="475">
        <f t="shared" si="5"/>
        <v>0</v>
      </c>
      <c r="Y22" s="475">
        <v>0</v>
      </c>
      <c r="Z22" s="476">
        <v>0</v>
      </c>
      <c r="AA22" s="38">
        <f t="shared" si="6"/>
        <v>0</v>
      </c>
      <c r="AB22" s="692">
        <f t="shared" si="13"/>
        <v>5101.8999999999996</v>
      </c>
      <c r="AC22" s="692">
        <f t="shared" si="14"/>
        <v>0</v>
      </c>
      <c r="AD22" s="692">
        <f t="shared" si="15"/>
        <v>0</v>
      </c>
      <c r="AE22" s="38"/>
      <c r="AF22" s="692">
        <f t="shared" si="16"/>
        <v>0</v>
      </c>
      <c r="AG22" s="692">
        <f t="shared" si="17"/>
        <v>0</v>
      </c>
      <c r="AH22" s="692">
        <f t="shared" si="18"/>
        <v>0</v>
      </c>
    </row>
    <row r="23" spans="1:34" s="232" customFormat="1">
      <c r="A23" s="283" t="s">
        <v>211</v>
      </c>
      <c r="B23" s="283" t="s">
        <v>109</v>
      </c>
      <c r="C23" s="667" t="s">
        <v>525</v>
      </c>
      <c r="D23" s="123" t="s">
        <v>419</v>
      </c>
      <c r="E23" s="679"/>
      <c r="F23" s="529">
        <f>VLOOKUP(D23,'June 2012 DMV Revenue'!D:T,17,FALSE)</f>
        <v>-40000</v>
      </c>
      <c r="G23" s="680"/>
      <c r="H23" s="680"/>
      <c r="I23" s="755"/>
      <c r="J23" s="682">
        <f t="shared" si="0"/>
        <v>-40000</v>
      </c>
      <c r="K23" s="683"/>
      <c r="L23" s="684"/>
      <c r="M23" s="753">
        <v>50000</v>
      </c>
      <c r="N23" s="683">
        <v>0</v>
      </c>
      <c r="O23" s="686"/>
      <c r="P23" s="683">
        <v>0</v>
      </c>
      <c r="Q23" s="687">
        <f t="shared" si="1"/>
        <v>50000</v>
      </c>
      <c r="R23" s="688">
        <v>33522.04</v>
      </c>
      <c r="S23" s="693"/>
      <c r="T23" s="690">
        <f t="shared" si="2"/>
        <v>-16477.96</v>
      </c>
      <c r="U23" s="683"/>
      <c r="V23" s="474">
        <f t="shared" si="3"/>
        <v>0</v>
      </c>
      <c r="W23" s="474">
        <f t="shared" si="4"/>
        <v>50000</v>
      </c>
      <c r="X23" s="475">
        <f t="shared" si="5"/>
        <v>0</v>
      </c>
      <c r="Y23" s="475">
        <v>0</v>
      </c>
      <c r="Z23" s="476">
        <v>0</v>
      </c>
      <c r="AA23" s="38">
        <f t="shared" si="6"/>
        <v>0</v>
      </c>
      <c r="AB23" s="692">
        <f t="shared" si="13"/>
        <v>0</v>
      </c>
      <c r="AC23" s="692">
        <f t="shared" si="14"/>
        <v>-40000</v>
      </c>
      <c r="AD23" s="692">
        <f t="shared" si="15"/>
        <v>0</v>
      </c>
      <c r="AE23" s="38"/>
      <c r="AF23" s="692">
        <f t="shared" si="16"/>
        <v>0</v>
      </c>
      <c r="AG23" s="692">
        <f t="shared" si="17"/>
        <v>50000</v>
      </c>
      <c r="AH23" s="692">
        <f t="shared" si="18"/>
        <v>0</v>
      </c>
    </row>
    <row r="24" spans="1:34" s="232" customFormat="1">
      <c r="A24" s="283"/>
      <c r="B24" s="283" t="s">
        <v>109</v>
      </c>
      <c r="C24" s="667" t="s">
        <v>525</v>
      </c>
      <c r="D24" s="413" t="s">
        <v>420</v>
      </c>
      <c r="E24" s="679"/>
      <c r="F24" s="529">
        <f>VLOOKUP(D24,'June 2012 DMV Revenue'!D:T,17,FALSE)</f>
        <v>0</v>
      </c>
      <c r="G24" s="680"/>
      <c r="H24" s="680"/>
      <c r="I24" s="755"/>
      <c r="J24" s="682">
        <f t="shared" si="0"/>
        <v>0</v>
      </c>
      <c r="K24" s="683"/>
      <c r="L24" s="684"/>
      <c r="M24" s="753"/>
      <c r="N24" s="683">
        <v>0</v>
      </c>
      <c r="O24" s="686"/>
      <c r="P24" s="683">
        <v>0</v>
      </c>
      <c r="Q24" s="687">
        <f t="shared" si="1"/>
        <v>0</v>
      </c>
      <c r="R24" s="688">
        <v>320.44</v>
      </c>
      <c r="S24" s="693"/>
      <c r="T24" s="690">
        <f t="shared" si="2"/>
        <v>320.44</v>
      </c>
      <c r="U24" s="683"/>
      <c r="V24" s="474">
        <f t="shared" si="3"/>
        <v>0</v>
      </c>
      <c r="W24" s="474">
        <f t="shared" si="4"/>
        <v>0</v>
      </c>
      <c r="X24" s="475">
        <f t="shared" si="5"/>
        <v>0</v>
      </c>
      <c r="Y24" s="475">
        <v>0</v>
      </c>
      <c r="Z24" s="476">
        <v>0</v>
      </c>
      <c r="AA24" s="38">
        <f t="shared" si="6"/>
        <v>0</v>
      </c>
      <c r="AB24" s="692">
        <f t="shared" si="13"/>
        <v>0</v>
      </c>
      <c r="AC24" s="692">
        <f t="shared" si="14"/>
        <v>0</v>
      </c>
      <c r="AD24" s="692">
        <f t="shared" si="15"/>
        <v>0</v>
      </c>
      <c r="AE24" s="38"/>
      <c r="AF24" s="692">
        <f t="shared" si="16"/>
        <v>0</v>
      </c>
      <c r="AG24" s="692">
        <f t="shared" si="17"/>
        <v>0</v>
      </c>
      <c r="AH24" s="692">
        <f t="shared" si="18"/>
        <v>0</v>
      </c>
    </row>
    <row r="25" spans="1:34" s="232" customFormat="1">
      <c r="A25" s="283"/>
      <c r="B25" s="283" t="s">
        <v>109</v>
      </c>
      <c r="C25" s="667" t="s">
        <v>525</v>
      </c>
      <c r="D25" s="413" t="s">
        <v>421</v>
      </c>
      <c r="E25" s="679"/>
      <c r="F25" s="529">
        <f>VLOOKUP(D25,'June 2012 DMV Revenue'!D:T,17,FALSE)</f>
        <v>0</v>
      </c>
      <c r="G25" s="680"/>
      <c r="H25" s="680"/>
      <c r="I25" s="755"/>
      <c r="J25" s="682">
        <f t="shared" si="0"/>
        <v>0</v>
      </c>
      <c r="K25" s="683"/>
      <c r="L25" s="684"/>
      <c r="M25" s="753"/>
      <c r="N25" s="683">
        <v>0</v>
      </c>
      <c r="O25" s="686"/>
      <c r="P25" s="683">
        <v>0</v>
      </c>
      <c r="Q25" s="687">
        <f t="shared" si="1"/>
        <v>0</v>
      </c>
      <c r="R25" s="688">
        <v>105.25</v>
      </c>
      <c r="S25" s="693"/>
      <c r="T25" s="690">
        <f t="shared" si="2"/>
        <v>105.25</v>
      </c>
      <c r="U25" s="683"/>
      <c r="V25" s="474">
        <f t="shared" si="3"/>
        <v>0</v>
      </c>
      <c r="W25" s="474">
        <f t="shared" si="4"/>
        <v>0</v>
      </c>
      <c r="X25" s="475">
        <f t="shared" si="5"/>
        <v>0</v>
      </c>
      <c r="Y25" s="475">
        <v>0</v>
      </c>
      <c r="Z25" s="476">
        <v>0</v>
      </c>
      <c r="AA25" s="38">
        <f t="shared" si="6"/>
        <v>0</v>
      </c>
      <c r="AB25" s="692">
        <f t="shared" si="13"/>
        <v>0</v>
      </c>
      <c r="AC25" s="692">
        <f t="shared" si="14"/>
        <v>0</v>
      </c>
      <c r="AD25" s="692">
        <f t="shared" si="15"/>
        <v>0</v>
      </c>
      <c r="AE25" s="38"/>
      <c r="AF25" s="692">
        <f t="shared" si="16"/>
        <v>0</v>
      </c>
      <c r="AG25" s="692">
        <f t="shared" si="17"/>
        <v>0</v>
      </c>
      <c r="AH25" s="692">
        <f t="shared" si="18"/>
        <v>0</v>
      </c>
    </row>
    <row r="26" spans="1:34">
      <c r="A26" s="20"/>
      <c r="B26" s="20" t="s">
        <v>110</v>
      </c>
      <c r="C26" s="667"/>
      <c r="D26" s="68" t="s">
        <v>191</v>
      </c>
      <c r="E26" s="679"/>
      <c r="F26" s="529">
        <f>VLOOKUP(D26,'June 2012 DMV Revenue'!D:T,17,FALSE)</f>
        <v>0</v>
      </c>
      <c r="G26" s="680"/>
      <c r="H26" s="680"/>
      <c r="I26" s="770">
        <v>76.41</v>
      </c>
      <c r="J26" s="682">
        <f t="shared" si="0"/>
        <v>76.41</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13"/>
        <v>76.41</v>
      </c>
      <c r="AC26" s="692">
        <f t="shared" si="14"/>
        <v>0</v>
      </c>
      <c r="AD26" s="692">
        <f t="shared" si="15"/>
        <v>0</v>
      </c>
      <c r="AE26" s="38"/>
      <c r="AF26" s="692">
        <f t="shared" si="16"/>
        <v>0</v>
      </c>
      <c r="AG26" s="692">
        <f t="shared" si="17"/>
        <v>0</v>
      </c>
      <c r="AH26" s="692">
        <f t="shared" si="18"/>
        <v>0</v>
      </c>
    </row>
    <row r="27" spans="1:34">
      <c r="A27" s="20"/>
      <c r="B27" s="20" t="s">
        <v>110</v>
      </c>
      <c r="C27" s="667"/>
      <c r="D27" s="68" t="s">
        <v>589</v>
      </c>
      <c r="E27" s="679"/>
      <c r="F27" s="529">
        <f>VLOOKUP(D27,'June 2012 DMV Revenue'!D:T,17,FALSE)</f>
        <v>3670.4700000000012</v>
      </c>
      <c r="G27" s="680"/>
      <c r="H27" s="680"/>
      <c r="I27" s="755"/>
      <c r="J27" s="682">
        <f t="shared" si="0"/>
        <v>3670.4700000000012</v>
      </c>
      <c r="K27" s="683"/>
      <c r="L27" s="684"/>
      <c r="M27" s="753">
        <v>5000</v>
      </c>
      <c r="N27" s="683">
        <v>0</v>
      </c>
      <c r="O27" s="686"/>
      <c r="P27" s="683">
        <v>0</v>
      </c>
      <c r="Q27" s="687">
        <f t="shared" si="1"/>
        <v>5000</v>
      </c>
      <c r="R27" s="688">
        <v>0</v>
      </c>
      <c r="S27" s="693"/>
      <c r="T27" s="690">
        <f t="shared" si="2"/>
        <v>-5000</v>
      </c>
      <c r="U27" s="683"/>
      <c r="V27" s="474">
        <f t="shared" si="3"/>
        <v>5000</v>
      </c>
      <c r="W27" s="474">
        <f t="shared" si="4"/>
        <v>0</v>
      </c>
      <c r="X27" s="475">
        <f t="shared" si="5"/>
        <v>0</v>
      </c>
      <c r="Y27" s="475">
        <v>0</v>
      </c>
      <c r="Z27" s="476">
        <v>0</v>
      </c>
      <c r="AA27" s="38">
        <f t="shared" si="6"/>
        <v>0</v>
      </c>
      <c r="AB27" s="692">
        <f t="shared" si="13"/>
        <v>3670.4700000000012</v>
      </c>
      <c r="AC27" s="692">
        <f t="shared" si="14"/>
        <v>0</v>
      </c>
      <c r="AD27" s="692">
        <f t="shared" si="15"/>
        <v>0</v>
      </c>
      <c r="AE27" s="38"/>
      <c r="AF27" s="692">
        <f t="shared" si="16"/>
        <v>5000</v>
      </c>
      <c r="AG27" s="692">
        <f t="shared" si="17"/>
        <v>0</v>
      </c>
      <c r="AH27" s="692">
        <f t="shared" si="18"/>
        <v>0</v>
      </c>
    </row>
    <row r="28" spans="1:34">
      <c r="A28" s="20"/>
      <c r="B28" s="20" t="s">
        <v>110</v>
      </c>
      <c r="C28" s="667"/>
      <c r="D28" s="68" t="s">
        <v>829</v>
      </c>
      <c r="E28" s="679">
        <f>2935.9+2707.2+2424+2113.21</f>
        <v>10180.310000000001</v>
      </c>
      <c r="F28" s="529">
        <v>0</v>
      </c>
      <c r="G28" s="680"/>
      <c r="H28" s="680"/>
      <c r="I28" s="755"/>
      <c r="J28" s="682">
        <f t="shared" ref="J28" si="19">SUM(E28:I28)</f>
        <v>10180.310000000001</v>
      </c>
      <c r="K28" s="683"/>
      <c r="L28" s="684"/>
      <c r="M28" s="753"/>
      <c r="N28" s="683">
        <v>0</v>
      </c>
      <c r="O28" s="686"/>
      <c r="P28" s="683">
        <v>0</v>
      </c>
      <c r="Q28" s="687">
        <f t="shared" ref="Q28" si="20">L28+M28</f>
        <v>0</v>
      </c>
      <c r="R28" s="688">
        <v>0</v>
      </c>
      <c r="S28" s="693"/>
      <c r="T28" s="690">
        <f t="shared" ref="T28" si="21">IF(R28="","",R28-Q28)</f>
        <v>0</v>
      </c>
      <c r="U28" s="683"/>
      <c r="V28" s="474">
        <f t="shared" ref="V28" si="22">IF(B28="D",Q28,0)</f>
        <v>0</v>
      </c>
      <c r="W28" s="474">
        <f t="shared" ref="W28" si="23">IF(B28="M",Q28,0)</f>
        <v>0</v>
      </c>
      <c r="X28" s="475">
        <f t="shared" ref="X28" si="24">IF(B28="V",Q28,0)</f>
        <v>0</v>
      </c>
      <c r="Y28" s="475">
        <v>0</v>
      </c>
      <c r="Z28" s="476">
        <v>0</v>
      </c>
      <c r="AA28" s="38">
        <f t="shared" ref="AA28" si="25">(L28+M28)-(V28+W28+X28+Y28+Z28)</f>
        <v>0</v>
      </c>
      <c r="AB28" s="692">
        <f t="shared" si="13"/>
        <v>10180.310000000001</v>
      </c>
      <c r="AC28" s="692">
        <f t="shared" si="14"/>
        <v>0</v>
      </c>
      <c r="AD28" s="692">
        <f t="shared" si="15"/>
        <v>0</v>
      </c>
      <c r="AE28" s="38"/>
      <c r="AF28" s="692">
        <f t="shared" si="16"/>
        <v>0</v>
      </c>
      <c r="AG28" s="692">
        <f t="shared" si="17"/>
        <v>0</v>
      </c>
      <c r="AH28" s="692">
        <f t="shared" si="18"/>
        <v>0</v>
      </c>
    </row>
    <row r="29" spans="1:34">
      <c r="A29" s="20"/>
      <c r="B29" s="20" t="s">
        <v>109</v>
      </c>
      <c r="C29" s="667" t="s">
        <v>526</v>
      </c>
      <c r="D29" s="68" t="s">
        <v>385</v>
      </c>
      <c r="E29" s="679"/>
      <c r="F29" s="529">
        <f>VLOOKUP(D29,'June 2012 DMV Revenue'!D:T,17,FALSE)</f>
        <v>1727.19</v>
      </c>
      <c r="G29" s="680"/>
      <c r="H29" s="680"/>
      <c r="I29" s="755"/>
      <c r="J29" s="682">
        <f t="shared" si="0"/>
        <v>1727.19</v>
      </c>
      <c r="K29" s="683"/>
      <c r="L29" s="684"/>
      <c r="M29" s="753"/>
      <c r="N29" s="683">
        <v>0</v>
      </c>
      <c r="O29" s="686"/>
      <c r="P29" s="683">
        <v>0</v>
      </c>
      <c r="Q29" s="687">
        <f t="shared" si="1"/>
        <v>0</v>
      </c>
      <c r="R29" s="688">
        <v>0</v>
      </c>
      <c r="S29" s="693"/>
      <c r="T29" s="690">
        <f t="shared" si="2"/>
        <v>0</v>
      </c>
      <c r="U29" s="691"/>
      <c r="V29" s="474">
        <f t="shared" si="3"/>
        <v>0</v>
      </c>
      <c r="W29" s="474">
        <f t="shared" si="4"/>
        <v>0</v>
      </c>
      <c r="X29" s="475">
        <f t="shared" si="5"/>
        <v>0</v>
      </c>
      <c r="Y29" s="475">
        <v>0</v>
      </c>
      <c r="Z29" s="476">
        <v>0</v>
      </c>
      <c r="AA29" s="38">
        <f t="shared" si="6"/>
        <v>0</v>
      </c>
      <c r="AB29" s="692">
        <f t="shared" si="13"/>
        <v>0</v>
      </c>
      <c r="AC29" s="692">
        <f t="shared" si="14"/>
        <v>1727.19</v>
      </c>
      <c r="AD29" s="692">
        <f t="shared" si="15"/>
        <v>0</v>
      </c>
      <c r="AE29" s="38"/>
      <c r="AF29" s="692">
        <f t="shared" si="16"/>
        <v>0</v>
      </c>
      <c r="AG29" s="692">
        <f t="shared" si="17"/>
        <v>0</v>
      </c>
      <c r="AH29" s="692">
        <f t="shared" si="18"/>
        <v>0</v>
      </c>
    </row>
    <row r="30" spans="1:34" s="232" customFormat="1">
      <c r="A30" s="283"/>
      <c r="B30" s="283" t="s">
        <v>110</v>
      </c>
      <c r="C30" s="667" t="s">
        <v>527</v>
      </c>
      <c r="D30" s="123" t="s">
        <v>401</v>
      </c>
      <c r="E30" s="679"/>
      <c r="F30" s="529">
        <f>VLOOKUP(D30,'June 2012 DMV Revenue'!D:T,17,FALSE)</f>
        <v>48844.5</v>
      </c>
      <c r="G30" s="680"/>
      <c r="H30" s="680"/>
      <c r="I30" s="755"/>
      <c r="J30" s="682">
        <f t="shared" si="0"/>
        <v>48844.5</v>
      </c>
      <c r="K30" s="683"/>
      <c r="L30" s="684"/>
      <c r="M30" s="753">
        <v>400000</v>
      </c>
      <c r="N30" s="683">
        <v>0</v>
      </c>
      <c r="O30" s="686"/>
      <c r="P30" s="683">
        <v>0</v>
      </c>
      <c r="Q30" s="687">
        <f t="shared" si="1"/>
        <v>400000</v>
      </c>
      <c r="R30" s="688">
        <v>432508.6</v>
      </c>
      <c r="S30" s="693"/>
      <c r="T30" s="690">
        <f t="shared" si="2"/>
        <v>32508.599999999977</v>
      </c>
      <c r="U30" s="683"/>
      <c r="V30" s="474">
        <f t="shared" si="3"/>
        <v>400000</v>
      </c>
      <c r="W30" s="474">
        <f t="shared" si="4"/>
        <v>0</v>
      </c>
      <c r="X30" s="475">
        <f t="shared" si="5"/>
        <v>0</v>
      </c>
      <c r="Y30" s="475">
        <v>0</v>
      </c>
      <c r="Z30" s="476">
        <v>0</v>
      </c>
      <c r="AA30" s="38">
        <f t="shared" si="6"/>
        <v>0</v>
      </c>
      <c r="AB30" s="692">
        <f t="shared" si="13"/>
        <v>48844.5</v>
      </c>
      <c r="AC30" s="692">
        <f t="shared" si="14"/>
        <v>0</v>
      </c>
      <c r="AD30" s="692">
        <f t="shared" si="15"/>
        <v>0</v>
      </c>
      <c r="AE30" s="38"/>
      <c r="AF30" s="692">
        <f t="shared" si="16"/>
        <v>400000</v>
      </c>
      <c r="AG30" s="692">
        <f t="shared" si="17"/>
        <v>0</v>
      </c>
      <c r="AH30" s="692">
        <f t="shared" si="18"/>
        <v>0</v>
      </c>
    </row>
    <row r="31" spans="1:34" s="232" customFormat="1">
      <c r="A31" s="283"/>
      <c r="B31" s="283" t="s">
        <v>110</v>
      </c>
      <c r="C31" s="667" t="s">
        <v>528</v>
      </c>
      <c r="D31" s="123" t="s">
        <v>403</v>
      </c>
      <c r="E31" s="679"/>
      <c r="F31" s="529">
        <f>VLOOKUP(D31,'June 2012 DMV Revenue'!D:T,17,FALSE)</f>
        <v>5816.32</v>
      </c>
      <c r="G31" s="680"/>
      <c r="H31" s="680"/>
      <c r="I31" s="755"/>
      <c r="J31" s="682">
        <f t="shared" si="0"/>
        <v>5816.32</v>
      </c>
      <c r="K31" s="683"/>
      <c r="L31" s="684"/>
      <c r="M31" s="753">
        <v>60000</v>
      </c>
      <c r="N31" s="683">
        <v>0</v>
      </c>
      <c r="O31" s="686"/>
      <c r="P31" s="683">
        <v>0</v>
      </c>
      <c r="Q31" s="687">
        <f t="shared" si="1"/>
        <v>60000</v>
      </c>
      <c r="R31" s="688">
        <v>51384.24</v>
      </c>
      <c r="S31" s="693"/>
      <c r="T31" s="690">
        <f t="shared" si="2"/>
        <v>-8615.760000000002</v>
      </c>
      <c r="U31" s="683"/>
      <c r="V31" s="474">
        <f t="shared" si="3"/>
        <v>60000</v>
      </c>
      <c r="W31" s="474">
        <f t="shared" si="4"/>
        <v>0</v>
      </c>
      <c r="X31" s="475">
        <f t="shared" si="5"/>
        <v>0</v>
      </c>
      <c r="Y31" s="475">
        <v>0</v>
      </c>
      <c r="Z31" s="476">
        <v>0</v>
      </c>
      <c r="AA31" s="38">
        <f t="shared" si="6"/>
        <v>0</v>
      </c>
      <c r="AB31" s="692">
        <f t="shared" si="13"/>
        <v>5816.32</v>
      </c>
      <c r="AC31" s="692">
        <f t="shared" si="14"/>
        <v>0</v>
      </c>
      <c r="AD31" s="692">
        <f t="shared" si="15"/>
        <v>0</v>
      </c>
      <c r="AE31" s="38"/>
      <c r="AF31" s="692">
        <f t="shared" si="16"/>
        <v>60000</v>
      </c>
      <c r="AG31" s="692">
        <f t="shared" si="17"/>
        <v>0</v>
      </c>
      <c r="AH31" s="692">
        <f t="shared" si="18"/>
        <v>0</v>
      </c>
    </row>
    <row r="32" spans="1:34" s="232" customFormat="1">
      <c r="A32" s="283"/>
      <c r="B32" s="283" t="s">
        <v>110</v>
      </c>
      <c r="C32" s="667" t="s">
        <v>528</v>
      </c>
      <c r="D32" s="123" t="s">
        <v>404</v>
      </c>
      <c r="E32" s="679"/>
      <c r="F32" s="529">
        <f>VLOOKUP(D32,'June 2012 DMV Revenue'!D:T,17,FALSE)</f>
        <v>721.39999999999418</v>
      </c>
      <c r="G32" s="680"/>
      <c r="H32" s="680"/>
      <c r="I32" s="755"/>
      <c r="J32" s="682">
        <f t="shared" si="0"/>
        <v>721.39999999999418</v>
      </c>
      <c r="K32" s="683"/>
      <c r="L32" s="684"/>
      <c r="M32" s="753">
        <v>70000</v>
      </c>
      <c r="N32" s="683">
        <v>0</v>
      </c>
      <c r="O32" s="686"/>
      <c r="P32" s="683">
        <v>0</v>
      </c>
      <c r="Q32" s="687">
        <f t="shared" si="1"/>
        <v>70000</v>
      </c>
      <c r="R32" s="688">
        <v>69675.240000000005</v>
      </c>
      <c r="S32" s="693"/>
      <c r="T32" s="690">
        <f t="shared" si="2"/>
        <v>-324.75999999999476</v>
      </c>
      <c r="U32" s="683"/>
      <c r="V32" s="474">
        <f t="shared" si="3"/>
        <v>70000</v>
      </c>
      <c r="W32" s="474">
        <f t="shared" si="4"/>
        <v>0</v>
      </c>
      <c r="X32" s="475">
        <f t="shared" si="5"/>
        <v>0</v>
      </c>
      <c r="Y32" s="475">
        <v>0</v>
      </c>
      <c r="Z32" s="476">
        <v>0</v>
      </c>
      <c r="AA32" s="38">
        <f t="shared" si="6"/>
        <v>0</v>
      </c>
      <c r="AB32" s="692">
        <f t="shared" si="13"/>
        <v>721.39999999999418</v>
      </c>
      <c r="AC32" s="692">
        <f t="shared" si="14"/>
        <v>0</v>
      </c>
      <c r="AD32" s="692">
        <f t="shared" si="15"/>
        <v>0</v>
      </c>
      <c r="AE32" s="38"/>
      <c r="AF32" s="692">
        <f t="shared" si="16"/>
        <v>70000</v>
      </c>
      <c r="AG32" s="692">
        <f t="shared" si="17"/>
        <v>0</v>
      </c>
      <c r="AH32" s="692">
        <f t="shared" si="18"/>
        <v>0</v>
      </c>
    </row>
    <row r="33" spans="1:34" s="232" customFormat="1">
      <c r="A33" s="283"/>
      <c r="B33" s="283" t="s">
        <v>110</v>
      </c>
      <c r="C33" s="667" t="s">
        <v>528</v>
      </c>
      <c r="D33" s="123" t="s">
        <v>405</v>
      </c>
      <c r="E33" s="679"/>
      <c r="F33" s="529">
        <f>VLOOKUP(D33,'June 2012 DMV Revenue'!D:T,17,FALSE)</f>
        <v>-684.04999999999927</v>
      </c>
      <c r="G33" s="680"/>
      <c r="H33" s="680"/>
      <c r="I33" s="755"/>
      <c r="J33" s="682">
        <f t="shared" si="0"/>
        <v>-684.04999999999927</v>
      </c>
      <c r="K33" s="683"/>
      <c r="L33" s="684"/>
      <c r="M33" s="753">
        <v>15000</v>
      </c>
      <c r="N33" s="683">
        <v>0</v>
      </c>
      <c r="O33" s="686"/>
      <c r="P33" s="683">
        <v>0</v>
      </c>
      <c r="Q33" s="687">
        <f t="shared" si="1"/>
        <v>15000</v>
      </c>
      <c r="R33" s="688">
        <v>13634.41</v>
      </c>
      <c r="S33" s="693"/>
      <c r="T33" s="690">
        <f t="shared" si="2"/>
        <v>-1365.5900000000001</v>
      </c>
      <c r="U33" s="683"/>
      <c r="V33" s="474">
        <f t="shared" si="3"/>
        <v>15000</v>
      </c>
      <c r="W33" s="474">
        <f t="shared" si="4"/>
        <v>0</v>
      </c>
      <c r="X33" s="475">
        <f t="shared" si="5"/>
        <v>0</v>
      </c>
      <c r="Y33" s="475">
        <v>0</v>
      </c>
      <c r="Z33" s="476">
        <v>0</v>
      </c>
      <c r="AA33" s="38">
        <f t="shared" si="6"/>
        <v>0</v>
      </c>
      <c r="AB33" s="692">
        <f t="shared" si="13"/>
        <v>-684.04999999999927</v>
      </c>
      <c r="AC33" s="692">
        <f t="shared" si="14"/>
        <v>0</v>
      </c>
      <c r="AD33" s="692">
        <f t="shared" si="15"/>
        <v>0</v>
      </c>
      <c r="AE33" s="38"/>
      <c r="AF33" s="692">
        <f t="shared" si="16"/>
        <v>15000</v>
      </c>
      <c r="AG33" s="692">
        <f t="shared" si="17"/>
        <v>0</v>
      </c>
      <c r="AH33" s="692">
        <f t="shared" si="18"/>
        <v>0</v>
      </c>
    </row>
    <row r="34" spans="1:34" s="232" customFormat="1">
      <c r="A34" s="283"/>
      <c r="B34" s="283" t="s">
        <v>110</v>
      </c>
      <c r="C34" s="667" t="s">
        <v>528</v>
      </c>
      <c r="D34" s="123" t="s">
        <v>406</v>
      </c>
      <c r="E34" s="679"/>
      <c r="F34" s="529">
        <f>VLOOKUP(D34,'June 2012 DMV Revenue'!D:T,17,FALSE)</f>
        <v>382.85999999999967</v>
      </c>
      <c r="G34" s="680"/>
      <c r="H34" s="680"/>
      <c r="I34" s="755"/>
      <c r="J34" s="682">
        <f t="shared" si="0"/>
        <v>382.85999999999967</v>
      </c>
      <c r="K34" s="683"/>
      <c r="L34" s="684"/>
      <c r="M34" s="753">
        <v>5000</v>
      </c>
      <c r="N34" s="683">
        <v>0</v>
      </c>
      <c r="O34" s="686"/>
      <c r="P34" s="683">
        <v>0</v>
      </c>
      <c r="Q34" s="687">
        <f t="shared" si="1"/>
        <v>5000</v>
      </c>
      <c r="R34" s="688">
        <v>4728.97</v>
      </c>
      <c r="S34" s="693"/>
      <c r="T34" s="690">
        <f t="shared" si="2"/>
        <v>-271.02999999999975</v>
      </c>
      <c r="U34" s="683"/>
      <c r="V34" s="474">
        <f t="shared" si="3"/>
        <v>5000</v>
      </c>
      <c r="W34" s="474">
        <f t="shared" si="4"/>
        <v>0</v>
      </c>
      <c r="X34" s="475">
        <f t="shared" si="5"/>
        <v>0</v>
      </c>
      <c r="Y34" s="475">
        <v>0</v>
      </c>
      <c r="Z34" s="476">
        <v>0</v>
      </c>
      <c r="AA34" s="38">
        <f t="shared" si="6"/>
        <v>0</v>
      </c>
      <c r="AB34" s="692">
        <f t="shared" si="13"/>
        <v>382.85999999999967</v>
      </c>
      <c r="AC34" s="692">
        <f t="shared" si="14"/>
        <v>0</v>
      </c>
      <c r="AD34" s="692">
        <f t="shared" si="15"/>
        <v>0</v>
      </c>
      <c r="AE34" s="38"/>
      <c r="AF34" s="692">
        <f t="shared" si="16"/>
        <v>5000</v>
      </c>
      <c r="AG34" s="692">
        <f t="shared" si="17"/>
        <v>0</v>
      </c>
      <c r="AH34" s="692">
        <f t="shared" si="18"/>
        <v>0</v>
      </c>
    </row>
    <row r="35" spans="1:34" s="232" customFormat="1">
      <c r="A35" s="283"/>
      <c r="B35" s="283" t="s">
        <v>110</v>
      </c>
      <c r="C35" s="667" t="s">
        <v>528</v>
      </c>
      <c r="D35" s="123" t="s">
        <v>407</v>
      </c>
      <c r="E35" s="679"/>
      <c r="F35" s="529">
        <f>VLOOKUP(D35,'June 2012 DMV Revenue'!D:T,17,FALSE)</f>
        <v>5.3800000000001091</v>
      </c>
      <c r="G35" s="680"/>
      <c r="H35" s="680"/>
      <c r="I35" s="755"/>
      <c r="J35" s="682">
        <f t="shared" si="0"/>
        <v>5.3800000000001091</v>
      </c>
      <c r="K35" s="683"/>
      <c r="L35" s="684"/>
      <c r="M35" s="753">
        <v>2000</v>
      </c>
      <c r="N35" s="683">
        <v>0</v>
      </c>
      <c r="O35" s="686"/>
      <c r="P35" s="683">
        <v>0</v>
      </c>
      <c r="Q35" s="687">
        <f t="shared" si="1"/>
        <v>2000</v>
      </c>
      <c r="R35" s="688">
        <v>2139.0100000000002</v>
      </c>
      <c r="S35" s="693"/>
      <c r="T35" s="690">
        <f t="shared" si="2"/>
        <v>139.01000000000022</v>
      </c>
      <c r="U35" s="683"/>
      <c r="V35" s="474">
        <f t="shared" si="3"/>
        <v>2000</v>
      </c>
      <c r="W35" s="474">
        <f t="shared" si="4"/>
        <v>0</v>
      </c>
      <c r="X35" s="475">
        <f t="shared" si="5"/>
        <v>0</v>
      </c>
      <c r="Y35" s="475">
        <v>0</v>
      </c>
      <c r="Z35" s="476">
        <v>0</v>
      </c>
      <c r="AA35" s="38">
        <f t="shared" si="6"/>
        <v>0</v>
      </c>
      <c r="AB35" s="692">
        <f t="shared" si="13"/>
        <v>5.3800000000001091</v>
      </c>
      <c r="AC35" s="692">
        <f t="shared" si="14"/>
        <v>0</v>
      </c>
      <c r="AD35" s="692">
        <f t="shared" si="15"/>
        <v>0</v>
      </c>
      <c r="AE35" s="38"/>
      <c r="AF35" s="692">
        <f t="shared" si="16"/>
        <v>2000</v>
      </c>
      <c r="AG35" s="692">
        <f t="shared" si="17"/>
        <v>0</v>
      </c>
      <c r="AH35" s="692">
        <f t="shared" si="18"/>
        <v>0</v>
      </c>
    </row>
    <row r="36" spans="1:34" s="232" customFormat="1">
      <c r="A36" s="283"/>
      <c r="B36" s="283" t="s">
        <v>110</v>
      </c>
      <c r="C36" s="667" t="s">
        <v>528</v>
      </c>
      <c r="D36" s="123" t="s">
        <v>820</v>
      </c>
      <c r="E36" s="679">
        <v>12097.61</v>
      </c>
      <c r="F36" s="529">
        <f>VLOOKUP(D36,'June 2012 DMV Revenue'!D:T,17,FALSE)</f>
        <v>-24000</v>
      </c>
      <c r="G36" s="680"/>
      <c r="H36" s="680"/>
      <c r="I36" s="755"/>
      <c r="J36" s="682">
        <f t="shared" si="0"/>
        <v>-11902.39</v>
      </c>
      <c r="K36" s="683"/>
      <c r="L36" s="684"/>
      <c r="M36" s="753">
        <v>24000</v>
      </c>
      <c r="N36" s="683">
        <v>0</v>
      </c>
      <c r="O36" s="686"/>
      <c r="P36" s="683">
        <v>0</v>
      </c>
      <c r="Q36" s="687">
        <f t="shared" si="1"/>
        <v>24000</v>
      </c>
      <c r="R36" s="688">
        <v>0</v>
      </c>
      <c r="S36" s="693"/>
      <c r="T36" s="690">
        <f t="shared" si="2"/>
        <v>-24000</v>
      </c>
      <c r="U36" s="683"/>
      <c r="V36" s="474">
        <f t="shared" si="3"/>
        <v>24000</v>
      </c>
      <c r="W36" s="474">
        <f t="shared" si="4"/>
        <v>0</v>
      </c>
      <c r="X36" s="475">
        <f t="shared" si="5"/>
        <v>0</v>
      </c>
      <c r="Y36" s="475">
        <v>0</v>
      </c>
      <c r="Z36" s="476">
        <v>0</v>
      </c>
      <c r="AA36" s="38">
        <f t="shared" si="6"/>
        <v>0</v>
      </c>
      <c r="AB36" s="692">
        <f t="shared" si="13"/>
        <v>-11902.39</v>
      </c>
      <c r="AC36" s="692">
        <f t="shared" si="14"/>
        <v>0</v>
      </c>
      <c r="AD36" s="692">
        <f t="shared" si="15"/>
        <v>0</v>
      </c>
      <c r="AE36" s="38"/>
      <c r="AF36" s="692">
        <f t="shared" si="16"/>
        <v>24000</v>
      </c>
      <c r="AG36" s="692">
        <f t="shared" si="17"/>
        <v>0</v>
      </c>
      <c r="AH36" s="692">
        <f t="shared" si="18"/>
        <v>0</v>
      </c>
    </row>
    <row r="37" spans="1:34" s="232" customFormat="1">
      <c r="A37" s="283"/>
      <c r="B37" s="283" t="s">
        <v>110</v>
      </c>
      <c r="C37" s="667" t="s">
        <v>527</v>
      </c>
      <c r="D37" s="123" t="s">
        <v>460</v>
      </c>
      <c r="E37" s="679"/>
      <c r="F37" s="529">
        <f>VLOOKUP(D37,'June 2012 DMV Revenue'!D:T,17,FALSE)</f>
        <v>0</v>
      </c>
      <c r="G37" s="680"/>
      <c r="H37" s="680"/>
      <c r="I37" s="770">
        <v>36225.24</v>
      </c>
      <c r="J37" s="682">
        <f t="shared" si="0"/>
        <v>36225.24</v>
      </c>
      <c r="K37" s="683"/>
      <c r="L37" s="684"/>
      <c r="M37" s="753"/>
      <c r="N37" s="683">
        <v>0</v>
      </c>
      <c r="O37" s="686"/>
      <c r="P37" s="683">
        <v>0</v>
      </c>
      <c r="Q37" s="687">
        <f t="shared" si="1"/>
        <v>0</v>
      </c>
      <c r="R37" s="688">
        <v>0</v>
      </c>
      <c r="S37" s="693"/>
      <c r="T37" s="690">
        <f t="shared" si="2"/>
        <v>0</v>
      </c>
      <c r="U37" s="683"/>
      <c r="V37" s="474">
        <f t="shared" si="3"/>
        <v>0</v>
      </c>
      <c r="W37" s="474">
        <f t="shared" si="4"/>
        <v>0</v>
      </c>
      <c r="X37" s="475">
        <f t="shared" si="5"/>
        <v>0</v>
      </c>
      <c r="Y37" s="475">
        <v>0</v>
      </c>
      <c r="Z37" s="476">
        <v>0</v>
      </c>
      <c r="AA37" s="38">
        <f t="shared" si="6"/>
        <v>0</v>
      </c>
      <c r="AB37" s="692">
        <f t="shared" si="13"/>
        <v>36225.24</v>
      </c>
      <c r="AC37" s="692">
        <f t="shared" si="14"/>
        <v>0</v>
      </c>
      <c r="AD37" s="692">
        <f t="shared" si="15"/>
        <v>0</v>
      </c>
      <c r="AE37" s="38"/>
      <c r="AF37" s="692">
        <f t="shared" si="16"/>
        <v>0</v>
      </c>
      <c r="AG37" s="692">
        <f t="shared" si="17"/>
        <v>0</v>
      </c>
      <c r="AH37" s="692">
        <f t="shared" si="18"/>
        <v>0</v>
      </c>
    </row>
    <row r="38" spans="1:34" s="232" customFormat="1">
      <c r="A38" s="283"/>
      <c r="B38" s="283" t="s">
        <v>110</v>
      </c>
      <c r="C38" s="676" t="s">
        <v>528</v>
      </c>
      <c r="D38" s="123" t="s">
        <v>623</v>
      </c>
      <c r="E38" s="679"/>
      <c r="F38" s="529">
        <f>VLOOKUP(D38,'June 2012 DMV Revenue'!D:T,17,FALSE)</f>
        <v>0</v>
      </c>
      <c r="G38" s="680"/>
      <c r="H38" s="680"/>
      <c r="I38" s="770">
        <v>10887.24</v>
      </c>
      <c r="J38" s="682">
        <f t="shared" si="0"/>
        <v>10887.24</v>
      </c>
      <c r="K38" s="683"/>
      <c r="L38" s="684"/>
      <c r="M38" s="753"/>
      <c r="N38" s="683">
        <v>0</v>
      </c>
      <c r="O38" s="686"/>
      <c r="P38" s="683">
        <v>0</v>
      </c>
      <c r="Q38" s="687">
        <f t="shared" si="1"/>
        <v>0</v>
      </c>
      <c r="R38" s="688">
        <v>0</v>
      </c>
      <c r="S38" s="693"/>
      <c r="T38" s="690">
        <f t="shared" si="2"/>
        <v>0</v>
      </c>
      <c r="U38" s="683"/>
      <c r="V38" s="474">
        <f t="shared" si="3"/>
        <v>0</v>
      </c>
      <c r="W38" s="474">
        <f t="shared" si="4"/>
        <v>0</v>
      </c>
      <c r="X38" s="475">
        <f t="shared" si="5"/>
        <v>0</v>
      </c>
      <c r="Y38" s="475">
        <v>0</v>
      </c>
      <c r="Z38" s="476">
        <v>0</v>
      </c>
      <c r="AA38" s="38">
        <f t="shared" si="6"/>
        <v>0</v>
      </c>
      <c r="AB38" s="692">
        <f t="shared" si="13"/>
        <v>10887.24</v>
      </c>
      <c r="AC38" s="692">
        <f t="shared" si="14"/>
        <v>0</v>
      </c>
      <c r="AD38" s="692">
        <f t="shared" si="15"/>
        <v>0</v>
      </c>
      <c r="AE38" s="38"/>
      <c r="AF38" s="692">
        <f t="shared" si="16"/>
        <v>0</v>
      </c>
      <c r="AG38" s="692">
        <f t="shared" si="17"/>
        <v>0</v>
      </c>
      <c r="AH38" s="692">
        <f t="shared" si="18"/>
        <v>0</v>
      </c>
    </row>
    <row r="39" spans="1:34" s="232" customFormat="1">
      <c r="A39" s="403"/>
      <c r="B39" s="403" t="s">
        <v>114</v>
      </c>
      <c r="C39" s="666" t="s">
        <v>529</v>
      </c>
      <c r="D39" s="123" t="s">
        <v>108</v>
      </c>
      <c r="E39" s="679"/>
      <c r="F39" s="529">
        <f>VLOOKUP(D39,'June 2012 DMV Revenue'!D:T,17,FALSE)</f>
        <v>1973.81</v>
      </c>
      <c r="G39" s="680"/>
      <c r="H39" s="680"/>
      <c r="I39" s="755"/>
      <c r="J39" s="682">
        <f t="shared" si="0"/>
        <v>1973.81</v>
      </c>
      <c r="K39" s="683"/>
      <c r="L39" s="684"/>
      <c r="M39" s="753"/>
      <c r="N39" s="683">
        <v>0</v>
      </c>
      <c r="O39" s="686"/>
      <c r="P39" s="683">
        <v>0</v>
      </c>
      <c r="Q39" s="687">
        <f t="shared" si="1"/>
        <v>0</v>
      </c>
      <c r="R39" s="688">
        <v>5035.12</v>
      </c>
      <c r="S39" s="693"/>
      <c r="T39" s="690">
        <f t="shared" si="2"/>
        <v>5035.12</v>
      </c>
      <c r="U39" s="683"/>
      <c r="V39" s="474">
        <f t="shared" si="3"/>
        <v>0</v>
      </c>
      <c r="W39" s="474">
        <f t="shared" si="4"/>
        <v>0</v>
      </c>
      <c r="X39" s="475">
        <f t="shared" si="5"/>
        <v>0</v>
      </c>
      <c r="Y39" s="475">
        <v>0</v>
      </c>
      <c r="Z39" s="476">
        <v>0</v>
      </c>
      <c r="AA39" s="38">
        <f t="shared" si="6"/>
        <v>0</v>
      </c>
      <c r="AB39" s="692">
        <f t="shared" si="13"/>
        <v>0</v>
      </c>
      <c r="AC39" s="692">
        <f t="shared" si="14"/>
        <v>0</v>
      </c>
      <c r="AD39" s="692">
        <f t="shared" si="15"/>
        <v>1973.81</v>
      </c>
      <c r="AE39" s="38"/>
      <c r="AF39" s="692">
        <f t="shared" si="16"/>
        <v>0</v>
      </c>
      <c r="AG39" s="692">
        <f t="shared" si="17"/>
        <v>0</v>
      </c>
      <c r="AH39" s="692">
        <f t="shared" si="18"/>
        <v>0</v>
      </c>
    </row>
    <row r="40" spans="1:34">
      <c r="A40" s="21"/>
      <c r="B40" s="21" t="s">
        <v>110</v>
      </c>
      <c r="C40" s="666"/>
      <c r="D40" s="68" t="s">
        <v>234</v>
      </c>
      <c r="E40" s="679"/>
      <c r="F40" s="529">
        <f>VLOOKUP(D40,'June 2012 DMV Revenue'!D:T,17,FALSE)</f>
        <v>0</v>
      </c>
      <c r="G40" s="680"/>
      <c r="H40" s="680"/>
      <c r="I40" s="755"/>
      <c r="J40" s="682">
        <f t="shared" si="0"/>
        <v>0</v>
      </c>
      <c r="K40" s="683"/>
      <c r="L40" s="684"/>
      <c r="M40" s="753"/>
      <c r="N40" s="683">
        <v>0</v>
      </c>
      <c r="O40" s="686"/>
      <c r="P40" s="683">
        <v>0</v>
      </c>
      <c r="Q40" s="687">
        <f t="shared" si="1"/>
        <v>0</v>
      </c>
      <c r="R40" s="688">
        <v>0</v>
      </c>
      <c r="S40" s="693"/>
      <c r="T40" s="690"/>
      <c r="U40" s="683"/>
      <c r="V40" s="474">
        <f t="shared" si="3"/>
        <v>0</v>
      </c>
      <c r="W40" s="474">
        <f t="shared" si="4"/>
        <v>0</v>
      </c>
      <c r="X40" s="475">
        <f t="shared" si="5"/>
        <v>0</v>
      </c>
      <c r="Y40" s="475">
        <v>0</v>
      </c>
      <c r="Z40" s="476">
        <v>0</v>
      </c>
      <c r="AA40" s="38">
        <f t="shared" si="6"/>
        <v>0</v>
      </c>
      <c r="AB40" s="692">
        <f t="shared" si="13"/>
        <v>0</v>
      </c>
      <c r="AC40" s="692">
        <f t="shared" si="14"/>
        <v>0</v>
      </c>
      <c r="AD40" s="692">
        <f t="shared" si="15"/>
        <v>0</v>
      </c>
      <c r="AE40" s="38"/>
      <c r="AF40" s="692">
        <f t="shared" si="16"/>
        <v>0</v>
      </c>
      <c r="AG40" s="692">
        <f t="shared" si="17"/>
        <v>0</v>
      </c>
      <c r="AH40" s="692">
        <f t="shared" si="18"/>
        <v>0</v>
      </c>
    </row>
    <row r="41" spans="1:34">
      <c r="A41" s="21"/>
      <c r="B41" s="21" t="s">
        <v>110</v>
      </c>
      <c r="C41" s="666"/>
      <c r="D41" s="68" t="s">
        <v>649</v>
      </c>
      <c r="E41" s="679"/>
      <c r="F41" s="529">
        <f>VLOOKUP(D41,'June 2012 DMV Revenue'!D:T,17,FALSE)</f>
        <v>0</v>
      </c>
      <c r="G41" s="680"/>
      <c r="H41" s="680"/>
      <c r="I41" s="755"/>
      <c r="J41" s="682">
        <f t="shared" si="0"/>
        <v>0</v>
      </c>
      <c r="K41" s="683"/>
      <c r="L41" s="684"/>
      <c r="M41" s="753"/>
      <c r="N41" s="683">
        <v>0</v>
      </c>
      <c r="O41" s="686"/>
      <c r="P41" s="683">
        <v>0</v>
      </c>
      <c r="Q41" s="687">
        <f t="shared" si="1"/>
        <v>0</v>
      </c>
      <c r="R41" s="688">
        <v>0</v>
      </c>
      <c r="S41" s="693"/>
      <c r="T41" s="690">
        <f t="shared" si="2"/>
        <v>0</v>
      </c>
      <c r="U41" s="683"/>
      <c r="V41" s="474">
        <f t="shared" si="3"/>
        <v>0</v>
      </c>
      <c r="W41" s="474">
        <f t="shared" si="4"/>
        <v>0</v>
      </c>
      <c r="X41" s="475">
        <f t="shared" si="5"/>
        <v>0</v>
      </c>
      <c r="Y41" s="475">
        <v>0</v>
      </c>
      <c r="Z41" s="476">
        <v>0</v>
      </c>
      <c r="AA41" s="38">
        <f t="shared" si="6"/>
        <v>0</v>
      </c>
      <c r="AB41" s="692">
        <f t="shared" si="13"/>
        <v>0</v>
      </c>
      <c r="AC41" s="692">
        <f t="shared" si="14"/>
        <v>0</v>
      </c>
      <c r="AD41" s="692">
        <f t="shared" si="15"/>
        <v>0</v>
      </c>
      <c r="AE41" s="38"/>
      <c r="AF41" s="692">
        <f t="shared" si="16"/>
        <v>0</v>
      </c>
      <c r="AG41" s="692">
        <f t="shared" si="17"/>
        <v>0</v>
      </c>
      <c r="AH41" s="692">
        <f t="shared" si="18"/>
        <v>0</v>
      </c>
    </row>
    <row r="42" spans="1:34">
      <c r="A42" s="20"/>
      <c r="B42" s="20" t="s">
        <v>109</v>
      </c>
      <c r="C42" s="667"/>
      <c r="D42" s="68" t="s">
        <v>598</v>
      </c>
      <c r="E42" s="679">
        <v>1830.16</v>
      </c>
      <c r="F42" s="529">
        <f>VLOOKUP(D42,'June 2012 DMV Revenue'!D:T,17,FALSE)</f>
        <v>-2952.4</v>
      </c>
      <c r="G42" s="680"/>
      <c r="H42" s="680"/>
      <c r="I42" s="755"/>
      <c r="J42" s="682">
        <f t="shared" si="0"/>
        <v>-1122.24</v>
      </c>
      <c r="K42" s="683"/>
      <c r="L42" s="684"/>
      <c r="M42" s="753"/>
      <c r="N42" s="683">
        <v>0</v>
      </c>
      <c r="O42" s="686"/>
      <c r="P42" s="683">
        <v>0</v>
      </c>
      <c r="Q42" s="687">
        <f t="shared" si="1"/>
        <v>0</v>
      </c>
      <c r="R42" s="688">
        <v>0</v>
      </c>
      <c r="S42" s="693"/>
      <c r="T42" s="690">
        <f t="shared" si="2"/>
        <v>0</v>
      </c>
      <c r="U42" s="683"/>
      <c r="V42" s="474">
        <f t="shared" si="3"/>
        <v>0</v>
      </c>
      <c r="W42" s="474">
        <f t="shared" si="4"/>
        <v>0</v>
      </c>
      <c r="X42" s="475">
        <f t="shared" si="5"/>
        <v>0</v>
      </c>
      <c r="Y42" s="475">
        <v>0</v>
      </c>
      <c r="Z42" s="476">
        <v>0</v>
      </c>
      <c r="AA42" s="38">
        <f t="shared" si="6"/>
        <v>0</v>
      </c>
      <c r="AB42" s="692">
        <f t="shared" si="13"/>
        <v>0</v>
      </c>
      <c r="AC42" s="692">
        <f t="shared" si="14"/>
        <v>-1122.24</v>
      </c>
      <c r="AD42" s="692">
        <f t="shared" si="15"/>
        <v>0</v>
      </c>
      <c r="AE42" s="38"/>
      <c r="AF42" s="692">
        <f t="shared" si="16"/>
        <v>0</v>
      </c>
      <c r="AG42" s="692">
        <f t="shared" si="17"/>
        <v>0</v>
      </c>
      <c r="AH42" s="692">
        <f t="shared" si="18"/>
        <v>0</v>
      </c>
    </row>
    <row r="43" spans="1:34">
      <c r="A43" s="20"/>
      <c r="B43" s="20" t="s">
        <v>109</v>
      </c>
      <c r="C43" s="667"/>
      <c r="D43" s="68" t="s">
        <v>470</v>
      </c>
      <c r="E43" s="679"/>
      <c r="F43" s="529">
        <f>VLOOKUP(D43,'June 2012 DMV Revenue'!D:T,17,FALSE)</f>
        <v>0</v>
      </c>
      <c r="G43" s="680"/>
      <c r="H43" s="680"/>
      <c r="I43" s="755"/>
      <c r="J43" s="682">
        <f t="shared" si="0"/>
        <v>0</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13"/>
        <v>0</v>
      </c>
      <c r="AC43" s="692">
        <f t="shared" si="14"/>
        <v>0</v>
      </c>
      <c r="AD43" s="692">
        <f t="shared" si="15"/>
        <v>0</v>
      </c>
      <c r="AE43" s="38"/>
      <c r="AF43" s="692">
        <f t="shared" si="16"/>
        <v>0</v>
      </c>
      <c r="AG43" s="692">
        <f t="shared" si="17"/>
        <v>0</v>
      </c>
      <c r="AH43" s="692">
        <f t="shared" si="18"/>
        <v>0</v>
      </c>
    </row>
    <row r="44" spans="1:34">
      <c r="A44" s="20"/>
      <c r="B44" s="20" t="s">
        <v>110</v>
      </c>
      <c r="C44" s="667"/>
      <c r="D44" s="68" t="s">
        <v>311</v>
      </c>
      <c r="E44" s="679"/>
      <c r="F44" s="529">
        <f>VLOOKUP(D44,'June 2012 DMV Revenue'!D:T,17,FALSE)</f>
        <v>0</v>
      </c>
      <c r="G44" s="680"/>
      <c r="H44" s="680"/>
      <c r="I44" s="755"/>
      <c r="J44" s="682">
        <f t="shared" si="0"/>
        <v>0</v>
      </c>
      <c r="K44" s="683"/>
      <c r="L44" s="684"/>
      <c r="M44" s="753"/>
      <c r="N44" s="683">
        <v>0</v>
      </c>
      <c r="O44" s="686"/>
      <c r="P44" s="683">
        <v>0</v>
      </c>
      <c r="Q44" s="687">
        <f t="shared" si="1"/>
        <v>0</v>
      </c>
      <c r="R44" s="688">
        <v>0</v>
      </c>
      <c r="S44" s="693"/>
      <c r="T44" s="690">
        <f t="shared" si="2"/>
        <v>0</v>
      </c>
      <c r="U44" s="683"/>
      <c r="V44" s="474">
        <f t="shared" si="3"/>
        <v>0</v>
      </c>
      <c r="W44" s="474">
        <f t="shared" si="4"/>
        <v>0</v>
      </c>
      <c r="X44" s="475">
        <f t="shared" si="5"/>
        <v>0</v>
      </c>
      <c r="Y44" s="475">
        <v>0</v>
      </c>
      <c r="Z44" s="476">
        <v>0</v>
      </c>
      <c r="AA44" s="38">
        <f t="shared" si="6"/>
        <v>0</v>
      </c>
      <c r="AB44" s="692">
        <f t="shared" si="13"/>
        <v>0</v>
      </c>
      <c r="AC44" s="692">
        <f t="shared" si="14"/>
        <v>0</v>
      </c>
      <c r="AD44" s="692">
        <f t="shared" si="15"/>
        <v>0</v>
      </c>
      <c r="AE44" s="38"/>
      <c r="AF44" s="692">
        <f t="shared" si="16"/>
        <v>0</v>
      </c>
      <c r="AG44" s="692">
        <f t="shared" si="17"/>
        <v>0</v>
      </c>
      <c r="AH44" s="692">
        <f t="shared" si="18"/>
        <v>0</v>
      </c>
    </row>
    <row r="45" spans="1:34">
      <c r="A45" s="20"/>
      <c r="B45" s="20" t="s">
        <v>110</v>
      </c>
      <c r="C45" s="667"/>
      <c r="D45" s="68" t="s">
        <v>451</v>
      </c>
      <c r="E45" s="679"/>
      <c r="F45" s="529">
        <f>VLOOKUP(D45,'June 2012 DMV Revenue'!D:T,17,FALSE)</f>
        <v>-15000</v>
      </c>
      <c r="G45" s="680"/>
      <c r="H45" s="680"/>
      <c r="I45" s="755"/>
      <c r="J45" s="682">
        <f t="shared" si="0"/>
        <v>-15000</v>
      </c>
      <c r="K45" s="683"/>
      <c r="L45" s="684"/>
      <c r="M45" s="753">
        <v>20000</v>
      </c>
      <c r="N45" s="683">
        <v>0</v>
      </c>
      <c r="O45" s="686"/>
      <c r="P45" s="683">
        <v>0</v>
      </c>
      <c r="Q45" s="687">
        <f t="shared" si="1"/>
        <v>20000</v>
      </c>
      <c r="R45" s="688">
        <v>0</v>
      </c>
      <c r="S45" s="693"/>
      <c r="T45" s="690">
        <f t="shared" si="2"/>
        <v>-20000</v>
      </c>
      <c r="U45" s="683"/>
      <c r="V45" s="474">
        <f t="shared" si="3"/>
        <v>20000</v>
      </c>
      <c r="W45" s="474">
        <f t="shared" si="4"/>
        <v>0</v>
      </c>
      <c r="X45" s="475">
        <f t="shared" si="5"/>
        <v>0</v>
      </c>
      <c r="Y45" s="475">
        <v>0</v>
      </c>
      <c r="Z45" s="476">
        <v>0</v>
      </c>
      <c r="AA45" s="38">
        <f t="shared" si="6"/>
        <v>0</v>
      </c>
      <c r="AB45" s="692">
        <f t="shared" si="13"/>
        <v>-15000</v>
      </c>
      <c r="AC45" s="692">
        <f t="shared" si="14"/>
        <v>0</v>
      </c>
      <c r="AD45" s="692">
        <f t="shared" si="15"/>
        <v>0</v>
      </c>
      <c r="AE45" s="38"/>
      <c r="AF45" s="692">
        <f t="shared" si="16"/>
        <v>20000</v>
      </c>
      <c r="AG45" s="692">
        <f t="shared" si="17"/>
        <v>0</v>
      </c>
      <c r="AH45" s="692">
        <f t="shared" si="18"/>
        <v>0</v>
      </c>
    </row>
    <row r="46" spans="1:34">
      <c r="A46" s="20"/>
      <c r="B46" s="20" t="s">
        <v>109</v>
      </c>
      <c r="C46" s="667"/>
      <c r="D46" s="68" t="s">
        <v>469</v>
      </c>
      <c r="E46" s="679"/>
      <c r="F46" s="529">
        <f>VLOOKUP(D46,'June 2012 DMV Revenue'!D:T,17,FALSE)</f>
        <v>0</v>
      </c>
      <c r="G46" s="680"/>
      <c r="H46" s="680"/>
      <c r="I46" s="755"/>
      <c r="J46" s="682">
        <f t="shared" si="0"/>
        <v>0</v>
      </c>
      <c r="K46" s="683"/>
      <c r="L46" s="684"/>
      <c r="M46" s="753"/>
      <c r="N46" s="683">
        <v>0</v>
      </c>
      <c r="O46" s="686"/>
      <c r="P46" s="683">
        <v>0</v>
      </c>
      <c r="Q46" s="687">
        <f t="shared" si="1"/>
        <v>0</v>
      </c>
      <c r="R46" s="688">
        <v>0</v>
      </c>
      <c r="S46" s="693"/>
      <c r="T46" s="690">
        <f t="shared" si="2"/>
        <v>0</v>
      </c>
      <c r="U46" s="683"/>
      <c r="V46" s="474">
        <f t="shared" si="3"/>
        <v>0</v>
      </c>
      <c r="W46" s="474">
        <f t="shared" si="4"/>
        <v>0</v>
      </c>
      <c r="X46" s="475">
        <f t="shared" si="5"/>
        <v>0</v>
      </c>
      <c r="Y46" s="475">
        <v>0</v>
      </c>
      <c r="Z46" s="476">
        <v>0</v>
      </c>
      <c r="AA46" s="38">
        <f t="shared" si="6"/>
        <v>0</v>
      </c>
      <c r="AB46" s="692">
        <f t="shared" si="13"/>
        <v>0</v>
      </c>
      <c r="AC46" s="692">
        <f t="shared" si="14"/>
        <v>0</v>
      </c>
      <c r="AD46" s="692">
        <f t="shared" si="15"/>
        <v>0</v>
      </c>
      <c r="AE46" s="38"/>
      <c r="AF46" s="692">
        <f t="shared" si="16"/>
        <v>0</v>
      </c>
      <c r="AG46" s="692">
        <f t="shared" si="17"/>
        <v>0</v>
      </c>
      <c r="AH46" s="692">
        <f t="shared" si="18"/>
        <v>0</v>
      </c>
    </row>
    <row r="47" spans="1:34">
      <c r="A47" s="20"/>
      <c r="B47" s="20" t="s">
        <v>110</v>
      </c>
      <c r="C47" s="667" t="s">
        <v>530</v>
      </c>
      <c r="D47" s="68" t="s">
        <v>69</v>
      </c>
      <c r="E47" s="679"/>
      <c r="F47" s="529">
        <f>VLOOKUP(D47,'June 2012 DMV Revenue'!D:T,17,FALSE)</f>
        <v>2759.98</v>
      </c>
      <c r="G47" s="680"/>
      <c r="H47" s="680"/>
      <c r="I47" s="755"/>
      <c r="J47" s="682">
        <f t="shared" si="0"/>
        <v>2759.98</v>
      </c>
      <c r="K47" s="683"/>
      <c r="L47" s="684"/>
      <c r="M47" s="753"/>
      <c r="N47" s="683">
        <v>0</v>
      </c>
      <c r="O47" s="686"/>
      <c r="P47" s="683">
        <v>0</v>
      </c>
      <c r="Q47" s="687">
        <f t="shared" si="1"/>
        <v>0</v>
      </c>
      <c r="R47" s="688">
        <v>2293.41</v>
      </c>
      <c r="S47" s="693"/>
      <c r="T47" s="690">
        <f t="shared" si="2"/>
        <v>2293.41</v>
      </c>
      <c r="U47" s="683"/>
      <c r="V47" s="474">
        <f t="shared" si="3"/>
        <v>0</v>
      </c>
      <c r="W47" s="474">
        <f t="shared" si="4"/>
        <v>0</v>
      </c>
      <c r="X47" s="475">
        <f t="shared" si="5"/>
        <v>0</v>
      </c>
      <c r="Y47" s="475">
        <v>0</v>
      </c>
      <c r="Z47" s="476">
        <v>0</v>
      </c>
      <c r="AA47" s="38">
        <f t="shared" si="6"/>
        <v>0</v>
      </c>
      <c r="AB47" s="692">
        <f t="shared" si="13"/>
        <v>2759.98</v>
      </c>
      <c r="AC47" s="692">
        <f t="shared" si="14"/>
        <v>0</v>
      </c>
      <c r="AD47" s="692">
        <f t="shared" si="15"/>
        <v>0</v>
      </c>
      <c r="AE47" s="38"/>
      <c r="AF47" s="692">
        <f t="shared" si="16"/>
        <v>0</v>
      </c>
      <c r="AG47" s="692">
        <f t="shared" si="17"/>
        <v>0</v>
      </c>
      <c r="AH47" s="692">
        <f t="shared" si="18"/>
        <v>0</v>
      </c>
    </row>
    <row r="48" spans="1:34">
      <c r="A48" s="20"/>
      <c r="B48" s="20" t="s">
        <v>110</v>
      </c>
      <c r="C48" s="667" t="s">
        <v>531</v>
      </c>
      <c r="D48" s="68" t="s">
        <v>237</v>
      </c>
      <c r="E48" s="679"/>
      <c r="F48" s="529">
        <f>VLOOKUP(D48,'June 2012 DMV Revenue'!D:T,17,FALSE)</f>
        <v>534.11000000000058</v>
      </c>
      <c r="G48" s="680"/>
      <c r="H48" s="680"/>
      <c r="I48" s="755"/>
      <c r="J48" s="682">
        <f t="shared" si="0"/>
        <v>534.11000000000058</v>
      </c>
      <c r="K48" s="683"/>
      <c r="L48" s="684"/>
      <c r="M48" s="753">
        <v>15000</v>
      </c>
      <c r="N48" s="683">
        <v>0</v>
      </c>
      <c r="O48" s="686"/>
      <c r="P48" s="683">
        <v>0</v>
      </c>
      <c r="Q48" s="687">
        <f t="shared" si="1"/>
        <v>15000</v>
      </c>
      <c r="R48" s="688">
        <v>15318.18</v>
      </c>
      <c r="S48" s="693"/>
      <c r="T48" s="690">
        <f t="shared" si="2"/>
        <v>318.18000000000029</v>
      </c>
      <c r="U48" s="683"/>
      <c r="V48" s="474">
        <f t="shared" si="3"/>
        <v>15000</v>
      </c>
      <c r="W48" s="474">
        <f t="shared" si="4"/>
        <v>0</v>
      </c>
      <c r="X48" s="475">
        <f t="shared" si="5"/>
        <v>0</v>
      </c>
      <c r="Y48" s="475">
        <v>0</v>
      </c>
      <c r="Z48" s="476">
        <v>0</v>
      </c>
      <c r="AA48" s="38">
        <f t="shared" si="6"/>
        <v>0</v>
      </c>
      <c r="AB48" s="692">
        <f t="shared" si="13"/>
        <v>534.11000000000058</v>
      </c>
      <c r="AC48" s="692">
        <f t="shared" si="14"/>
        <v>0</v>
      </c>
      <c r="AD48" s="692">
        <f t="shared" si="15"/>
        <v>0</v>
      </c>
      <c r="AE48" s="38"/>
      <c r="AF48" s="692">
        <f t="shared" si="16"/>
        <v>15000</v>
      </c>
      <c r="AG48" s="692">
        <f t="shared" si="17"/>
        <v>0</v>
      </c>
      <c r="AH48" s="692">
        <f t="shared" si="18"/>
        <v>0</v>
      </c>
    </row>
    <row r="49" spans="1:34">
      <c r="A49" s="20" t="s">
        <v>211</v>
      </c>
      <c r="B49" s="20" t="s">
        <v>110</v>
      </c>
      <c r="C49" s="667" t="s">
        <v>532</v>
      </c>
      <c r="D49" s="68" t="s">
        <v>7</v>
      </c>
      <c r="E49" s="679"/>
      <c r="F49" s="529">
        <f>VLOOKUP(D49,'June 2012 DMV Revenue'!D:T,17,FALSE)</f>
        <v>38528.959999999999</v>
      </c>
      <c r="G49" s="680"/>
      <c r="H49" s="680"/>
      <c r="I49" s="755"/>
      <c r="J49" s="682">
        <f t="shared" si="0"/>
        <v>38528.959999999999</v>
      </c>
      <c r="K49" s="683"/>
      <c r="L49" s="684"/>
      <c r="M49" s="753">
        <v>13000</v>
      </c>
      <c r="N49" s="683">
        <v>0</v>
      </c>
      <c r="O49" s="686"/>
      <c r="P49" s="683">
        <v>0</v>
      </c>
      <c r="Q49" s="687">
        <f t="shared" si="1"/>
        <v>13000</v>
      </c>
      <c r="R49" s="688">
        <v>0</v>
      </c>
      <c r="S49" s="693"/>
      <c r="T49" s="690">
        <f t="shared" si="2"/>
        <v>-13000</v>
      </c>
      <c r="U49" s="697"/>
      <c r="V49" s="474">
        <f t="shared" si="3"/>
        <v>13000</v>
      </c>
      <c r="W49" s="474">
        <f t="shared" si="4"/>
        <v>0</v>
      </c>
      <c r="X49" s="475">
        <f t="shared" si="5"/>
        <v>0</v>
      </c>
      <c r="Y49" s="475">
        <v>0</v>
      </c>
      <c r="Z49" s="476">
        <v>0</v>
      </c>
      <c r="AA49" s="38">
        <f t="shared" si="6"/>
        <v>0</v>
      </c>
      <c r="AB49" s="692">
        <f t="shared" si="13"/>
        <v>38528.959999999999</v>
      </c>
      <c r="AC49" s="692">
        <f t="shared" si="14"/>
        <v>0</v>
      </c>
      <c r="AD49" s="692">
        <f t="shared" si="15"/>
        <v>0</v>
      </c>
      <c r="AE49" s="38"/>
      <c r="AF49" s="692">
        <f t="shared" si="16"/>
        <v>13000</v>
      </c>
      <c r="AG49" s="692">
        <f t="shared" si="17"/>
        <v>0</v>
      </c>
      <c r="AH49" s="692">
        <f t="shared" si="18"/>
        <v>0</v>
      </c>
    </row>
    <row r="50" spans="1:34" s="232" customFormat="1">
      <c r="A50" s="283" t="s">
        <v>97</v>
      </c>
      <c r="B50" s="283" t="s">
        <v>109</v>
      </c>
      <c r="C50" s="667" t="s">
        <v>533</v>
      </c>
      <c r="D50" s="123" t="s">
        <v>415</v>
      </c>
      <c r="E50" s="679"/>
      <c r="F50" s="529">
        <f>VLOOKUP(D50,'June 2012 DMV Revenue'!D:T,17,FALSE)</f>
        <v>0</v>
      </c>
      <c r="G50" s="680"/>
      <c r="H50" s="680"/>
      <c r="I50" s="755"/>
      <c r="J50" s="682">
        <f t="shared" si="0"/>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13"/>
        <v>0</v>
      </c>
      <c r="AC50" s="692">
        <f t="shared" si="14"/>
        <v>0</v>
      </c>
      <c r="AD50" s="692">
        <f t="shared" si="15"/>
        <v>0</v>
      </c>
      <c r="AE50" s="38"/>
      <c r="AF50" s="692">
        <f t="shared" si="16"/>
        <v>0</v>
      </c>
      <c r="AG50" s="692">
        <f t="shared" si="17"/>
        <v>0</v>
      </c>
      <c r="AH50" s="692">
        <f t="shared" si="18"/>
        <v>0</v>
      </c>
    </row>
    <row r="51" spans="1:34" s="232" customFormat="1">
      <c r="A51" s="283"/>
      <c r="B51" s="283" t="s">
        <v>109</v>
      </c>
      <c r="C51" s="667" t="s">
        <v>533</v>
      </c>
      <c r="D51" s="123" t="s">
        <v>416</v>
      </c>
      <c r="E51" s="679"/>
      <c r="F51" s="529">
        <f>VLOOKUP(D51,'June 2012 DMV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13"/>
        <v>0</v>
      </c>
      <c r="AC51" s="692">
        <f t="shared" si="14"/>
        <v>0</v>
      </c>
      <c r="AD51" s="692">
        <f t="shared" si="15"/>
        <v>0</v>
      </c>
      <c r="AE51" s="38"/>
      <c r="AF51" s="692">
        <f t="shared" si="16"/>
        <v>0</v>
      </c>
      <c r="AG51" s="692">
        <f t="shared" si="17"/>
        <v>0</v>
      </c>
      <c r="AH51" s="692">
        <f t="shared" si="18"/>
        <v>0</v>
      </c>
    </row>
    <row r="52" spans="1:34" s="232" customFormat="1">
      <c r="A52" s="283"/>
      <c r="B52" s="283" t="s">
        <v>109</v>
      </c>
      <c r="C52" s="667" t="s">
        <v>533</v>
      </c>
      <c r="D52" s="123" t="s">
        <v>417</v>
      </c>
      <c r="E52" s="679"/>
      <c r="F52" s="529">
        <f>VLOOKUP(D52,'June 2012 DMV Revenue'!D:T,17,FALSE)</f>
        <v>0</v>
      </c>
      <c r="G52" s="680"/>
      <c r="H52" s="680"/>
      <c r="I52" s="755"/>
      <c r="J52" s="682">
        <f t="shared" si="0"/>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13"/>
        <v>0</v>
      </c>
      <c r="AC52" s="692">
        <f t="shared" si="14"/>
        <v>0</v>
      </c>
      <c r="AD52" s="692">
        <f t="shared" si="15"/>
        <v>0</v>
      </c>
      <c r="AE52" s="38"/>
      <c r="AF52" s="692">
        <f t="shared" si="16"/>
        <v>0</v>
      </c>
      <c r="AG52" s="692">
        <f t="shared" si="17"/>
        <v>0</v>
      </c>
      <c r="AH52" s="692">
        <f t="shared" si="18"/>
        <v>0</v>
      </c>
    </row>
    <row r="53" spans="1:34" s="232" customFormat="1">
      <c r="A53" s="283"/>
      <c r="B53" s="283" t="s">
        <v>109</v>
      </c>
      <c r="C53" s="667" t="s">
        <v>533</v>
      </c>
      <c r="D53" s="123" t="s">
        <v>418</v>
      </c>
      <c r="E53" s="679"/>
      <c r="F53" s="529">
        <f>VLOOKUP(D53,'June 2012 DMV Revenue'!D:T,17,FALSE)</f>
        <v>0</v>
      </c>
      <c r="G53" s="680"/>
      <c r="H53" s="680"/>
      <c r="I53" s="755"/>
      <c r="J53" s="682">
        <f t="shared" si="0"/>
        <v>0</v>
      </c>
      <c r="K53" s="683"/>
      <c r="L53" s="684"/>
      <c r="M53" s="753"/>
      <c r="N53" s="683">
        <v>0</v>
      </c>
      <c r="O53" s="686"/>
      <c r="P53" s="683">
        <v>0</v>
      </c>
      <c r="Q53" s="687">
        <f t="shared" si="1"/>
        <v>0</v>
      </c>
      <c r="R53" s="688">
        <v>0</v>
      </c>
      <c r="S53" s="693"/>
      <c r="T53" s="690">
        <f t="shared" si="2"/>
        <v>0</v>
      </c>
      <c r="U53" s="683"/>
      <c r="V53" s="474">
        <f t="shared" si="3"/>
        <v>0</v>
      </c>
      <c r="W53" s="474">
        <f t="shared" si="4"/>
        <v>0</v>
      </c>
      <c r="X53" s="475">
        <f t="shared" si="5"/>
        <v>0</v>
      </c>
      <c r="Y53" s="475">
        <v>0</v>
      </c>
      <c r="Z53" s="476">
        <v>0</v>
      </c>
      <c r="AA53" s="38">
        <f t="shared" si="6"/>
        <v>0</v>
      </c>
      <c r="AB53" s="692">
        <f t="shared" si="13"/>
        <v>0</v>
      </c>
      <c r="AC53" s="692">
        <f t="shared" si="14"/>
        <v>0</v>
      </c>
      <c r="AD53" s="692">
        <f t="shared" si="15"/>
        <v>0</v>
      </c>
      <c r="AE53" s="38"/>
      <c r="AF53" s="692">
        <f t="shared" si="16"/>
        <v>0</v>
      </c>
      <c r="AG53" s="692">
        <f t="shared" si="17"/>
        <v>0</v>
      </c>
      <c r="AH53" s="692">
        <f t="shared" si="18"/>
        <v>0</v>
      </c>
    </row>
    <row r="54" spans="1:34">
      <c r="A54" s="20" t="s">
        <v>211</v>
      </c>
      <c r="B54" s="20" t="s">
        <v>109</v>
      </c>
      <c r="C54" s="667" t="s">
        <v>534</v>
      </c>
      <c r="D54" s="68" t="s">
        <v>9</v>
      </c>
      <c r="E54" s="679"/>
      <c r="F54" s="529">
        <f>VLOOKUP(D54,'June 2012 DMV Revenue'!D:T,17,FALSE)</f>
        <v>-15000</v>
      </c>
      <c r="G54" s="680"/>
      <c r="H54" s="680"/>
      <c r="I54" s="755"/>
      <c r="J54" s="682">
        <f t="shared" si="0"/>
        <v>-15000</v>
      </c>
      <c r="K54" s="683"/>
      <c r="L54" s="684"/>
      <c r="M54" s="753">
        <v>18000</v>
      </c>
      <c r="N54" s="683">
        <v>0</v>
      </c>
      <c r="O54" s="686"/>
      <c r="P54" s="683">
        <v>0</v>
      </c>
      <c r="Q54" s="687">
        <f t="shared" si="1"/>
        <v>18000</v>
      </c>
      <c r="R54" s="688">
        <v>0</v>
      </c>
      <c r="S54" s="693"/>
      <c r="T54" s="690">
        <f t="shared" si="2"/>
        <v>-18000</v>
      </c>
      <c r="U54" s="697"/>
      <c r="V54" s="474">
        <f t="shared" si="3"/>
        <v>0</v>
      </c>
      <c r="W54" s="474">
        <f t="shared" si="4"/>
        <v>18000</v>
      </c>
      <c r="X54" s="475">
        <f t="shared" si="5"/>
        <v>0</v>
      </c>
      <c r="Y54" s="475">
        <v>0</v>
      </c>
      <c r="Z54" s="476">
        <v>0</v>
      </c>
      <c r="AA54" s="38">
        <f t="shared" si="6"/>
        <v>0</v>
      </c>
      <c r="AB54" s="692">
        <f t="shared" si="13"/>
        <v>0</v>
      </c>
      <c r="AC54" s="692">
        <f t="shared" si="14"/>
        <v>-15000</v>
      </c>
      <c r="AD54" s="692">
        <f t="shared" si="15"/>
        <v>0</v>
      </c>
      <c r="AE54" s="38"/>
      <c r="AF54" s="692">
        <f t="shared" si="16"/>
        <v>0</v>
      </c>
      <c r="AG54" s="692">
        <f t="shared" si="17"/>
        <v>18000</v>
      </c>
      <c r="AH54" s="692">
        <f t="shared" si="18"/>
        <v>0</v>
      </c>
    </row>
    <row r="55" spans="1:34">
      <c r="A55" s="20" t="s">
        <v>211</v>
      </c>
      <c r="B55" s="20" t="s">
        <v>114</v>
      </c>
      <c r="C55" s="667"/>
      <c r="D55" s="68" t="s">
        <v>487</v>
      </c>
      <c r="E55" s="679"/>
      <c r="F55" s="529">
        <f>VLOOKUP(D55,'June 2012 DMV Revenue'!D:T,17,FALSE)</f>
        <v>0</v>
      </c>
      <c r="G55" s="680"/>
      <c r="H55" s="680"/>
      <c r="I55" s="755"/>
      <c r="J55" s="682">
        <f t="shared" si="0"/>
        <v>0</v>
      </c>
      <c r="K55" s="683"/>
      <c r="L55" s="684"/>
      <c r="M55" s="753"/>
      <c r="N55" s="683">
        <v>0</v>
      </c>
      <c r="O55" s="686"/>
      <c r="P55" s="683">
        <v>0</v>
      </c>
      <c r="Q55" s="687">
        <f t="shared" si="1"/>
        <v>0</v>
      </c>
      <c r="R55" s="688">
        <v>0</v>
      </c>
      <c r="S55" s="693"/>
      <c r="T55" s="690">
        <f t="shared" si="2"/>
        <v>0</v>
      </c>
      <c r="U55" s="683"/>
      <c r="V55" s="474">
        <f t="shared" si="3"/>
        <v>0</v>
      </c>
      <c r="W55" s="474">
        <f t="shared" si="4"/>
        <v>0</v>
      </c>
      <c r="X55" s="475">
        <f t="shared" si="5"/>
        <v>0</v>
      </c>
      <c r="Y55" s="475">
        <v>0</v>
      </c>
      <c r="Z55" s="476">
        <v>0</v>
      </c>
      <c r="AA55" s="38">
        <f t="shared" si="6"/>
        <v>0</v>
      </c>
      <c r="AB55" s="692">
        <f t="shared" si="13"/>
        <v>0</v>
      </c>
      <c r="AC55" s="692">
        <f t="shared" si="14"/>
        <v>0</v>
      </c>
      <c r="AD55" s="692">
        <f t="shared" si="15"/>
        <v>0</v>
      </c>
      <c r="AE55" s="38"/>
      <c r="AF55" s="692">
        <f t="shared" si="16"/>
        <v>0</v>
      </c>
      <c r="AG55" s="692">
        <f t="shared" si="17"/>
        <v>0</v>
      </c>
      <c r="AH55" s="692">
        <f t="shared" si="18"/>
        <v>0</v>
      </c>
    </row>
    <row r="56" spans="1:34">
      <c r="A56" s="20"/>
      <c r="B56" s="20" t="s">
        <v>109</v>
      </c>
      <c r="C56" s="667"/>
      <c r="D56" s="68" t="s">
        <v>830</v>
      </c>
      <c r="E56" s="679">
        <v>10.119999999999999</v>
      </c>
      <c r="F56" s="529">
        <f>VLOOKUP(D56,'June 2012 DMV Revenue'!D:T,17,FALSE)</f>
        <v>2396.04</v>
      </c>
      <c r="G56" s="680"/>
      <c r="H56" s="680"/>
      <c r="I56" s="770">
        <v>8874.2099999999991</v>
      </c>
      <c r="J56" s="682">
        <f t="shared" ref="J56" si="26">SUM(E56:I56)</f>
        <v>11280.369999999999</v>
      </c>
      <c r="K56" s="683"/>
      <c r="L56" s="684"/>
      <c r="M56" s="753"/>
      <c r="N56" s="683">
        <v>0</v>
      </c>
      <c r="O56" s="686"/>
      <c r="P56" s="683">
        <v>0</v>
      </c>
      <c r="Q56" s="687">
        <f t="shared" ref="Q56" si="27">L56+M56</f>
        <v>0</v>
      </c>
      <c r="R56" s="688">
        <v>0</v>
      </c>
      <c r="S56" s="693"/>
      <c r="T56" s="690">
        <f t="shared" ref="T56" si="28">IF(R56="","",R56-Q56)</f>
        <v>0</v>
      </c>
      <c r="U56" s="683"/>
      <c r="V56" s="474">
        <f t="shared" ref="V56" si="29">IF(B56="D",Q56,0)</f>
        <v>0</v>
      </c>
      <c r="W56" s="474">
        <f t="shared" ref="W56" si="30">IF(B56="M",Q56,0)</f>
        <v>0</v>
      </c>
      <c r="X56" s="475">
        <f t="shared" ref="X56" si="31">IF(B56="V",Q56,0)</f>
        <v>0</v>
      </c>
      <c r="Y56" s="475">
        <v>0</v>
      </c>
      <c r="Z56" s="476">
        <v>0</v>
      </c>
      <c r="AA56" s="38">
        <f t="shared" ref="AA56" si="32">(L56+M56)-(V56+W56+X56+Y56+Z56)</f>
        <v>0</v>
      </c>
      <c r="AB56" s="692">
        <f t="shared" si="13"/>
        <v>0</v>
      </c>
      <c r="AC56" s="692">
        <f t="shared" si="14"/>
        <v>11280.369999999999</v>
      </c>
      <c r="AD56" s="692">
        <f t="shared" si="15"/>
        <v>0</v>
      </c>
      <c r="AE56" s="38"/>
      <c r="AF56" s="692">
        <f t="shared" si="16"/>
        <v>0</v>
      </c>
      <c r="AG56" s="692">
        <f t="shared" si="17"/>
        <v>0</v>
      </c>
      <c r="AH56" s="692">
        <f t="shared" si="18"/>
        <v>0</v>
      </c>
    </row>
    <row r="57" spans="1:34">
      <c r="A57" s="20"/>
      <c r="B57" s="20" t="s">
        <v>109</v>
      </c>
      <c r="C57" s="667"/>
      <c r="D57" s="68" t="s">
        <v>373</v>
      </c>
      <c r="E57" s="679"/>
      <c r="F57" s="529">
        <f>VLOOKUP(D57,'June 2012 DMV Revenue'!D:T,17,FALSE)</f>
        <v>0</v>
      </c>
      <c r="G57" s="680"/>
      <c r="H57" s="680"/>
      <c r="I57" s="755"/>
      <c r="J57" s="682">
        <f t="shared" si="0"/>
        <v>0</v>
      </c>
      <c r="K57" s="683"/>
      <c r="L57" s="684"/>
      <c r="M57" s="753"/>
      <c r="N57" s="683">
        <v>0</v>
      </c>
      <c r="O57" s="686"/>
      <c r="P57" s="683">
        <v>0</v>
      </c>
      <c r="Q57" s="687">
        <f t="shared" si="1"/>
        <v>0</v>
      </c>
      <c r="R57" s="688">
        <v>0</v>
      </c>
      <c r="S57" s="693"/>
      <c r="T57" s="690">
        <f t="shared" si="2"/>
        <v>0</v>
      </c>
      <c r="U57" s="683"/>
      <c r="V57" s="474">
        <f t="shared" si="3"/>
        <v>0</v>
      </c>
      <c r="W57" s="474">
        <f t="shared" si="4"/>
        <v>0</v>
      </c>
      <c r="X57" s="475">
        <f t="shared" si="5"/>
        <v>0</v>
      </c>
      <c r="Y57" s="475">
        <v>0</v>
      </c>
      <c r="Z57" s="476">
        <v>0</v>
      </c>
      <c r="AA57" s="38">
        <f t="shared" si="6"/>
        <v>0</v>
      </c>
      <c r="AB57" s="692">
        <f t="shared" si="13"/>
        <v>0</v>
      </c>
      <c r="AC57" s="692">
        <f t="shared" si="14"/>
        <v>0</v>
      </c>
      <c r="AD57" s="692">
        <f t="shared" si="15"/>
        <v>0</v>
      </c>
      <c r="AE57" s="38"/>
      <c r="AF57" s="692">
        <f t="shared" si="16"/>
        <v>0</v>
      </c>
      <c r="AG57" s="692">
        <f t="shared" si="17"/>
        <v>0</v>
      </c>
      <c r="AH57" s="692">
        <f t="shared" si="18"/>
        <v>0</v>
      </c>
    </row>
    <row r="58" spans="1:34">
      <c r="A58" s="20"/>
      <c r="B58" s="20" t="s">
        <v>109</v>
      </c>
      <c r="C58" s="667"/>
      <c r="D58" s="68" t="s">
        <v>374</v>
      </c>
      <c r="E58" s="679"/>
      <c r="F58" s="529">
        <f>VLOOKUP(D58,'June 2012 DMV Revenue'!D:T,17,FALSE)</f>
        <v>0</v>
      </c>
      <c r="G58" s="680"/>
      <c r="H58" s="680"/>
      <c r="I58" s="755"/>
      <c r="J58" s="682">
        <f t="shared" si="0"/>
        <v>0</v>
      </c>
      <c r="K58" s="683"/>
      <c r="L58" s="684"/>
      <c r="M58" s="753"/>
      <c r="N58" s="683">
        <v>0</v>
      </c>
      <c r="O58" s="686"/>
      <c r="P58" s="683">
        <v>0</v>
      </c>
      <c r="Q58" s="687">
        <f t="shared" si="1"/>
        <v>0</v>
      </c>
      <c r="R58" s="688">
        <v>0</v>
      </c>
      <c r="S58" s="693"/>
      <c r="T58" s="690">
        <f t="shared" si="2"/>
        <v>0</v>
      </c>
      <c r="U58" s="683"/>
      <c r="V58" s="474">
        <f t="shared" si="3"/>
        <v>0</v>
      </c>
      <c r="W58" s="474">
        <f t="shared" si="4"/>
        <v>0</v>
      </c>
      <c r="X58" s="475">
        <f t="shared" si="5"/>
        <v>0</v>
      </c>
      <c r="Y58" s="475">
        <v>0</v>
      </c>
      <c r="Z58" s="476">
        <v>0</v>
      </c>
      <c r="AA58" s="38">
        <f t="shared" si="6"/>
        <v>0</v>
      </c>
      <c r="AB58" s="692">
        <f t="shared" si="13"/>
        <v>0</v>
      </c>
      <c r="AC58" s="692">
        <f t="shared" si="14"/>
        <v>0</v>
      </c>
      <c r="AD58" s="692">
        <f t="shared" si="15"/>
        <v>0</v>
      </c>
      <c r="AE58" s="38"/>
      <c r="AF58" s="692">
        <f t="shared" si="16"/>
        <v>0</v>
      </c>
      <c r="AG58" s="692">
        <f t="shared" si="17"/>
        <v>0</v>
      </c>
      <c r="AH58" s="692">
        <f t="shared" si="18"/>
        <v>0</v>
      </c>
    </row>
    <row r="59" spans="1:34">
      <c r="A59" s="20"/>
      <c r="B59" s="20" t="s">
        <v>109</v>
      </c>
      <c r="C59" s="667"/>
      <c r="D59" s="68" t="s">
        <v>375</v>
      </c>
      <c r="E59" s="679"/>
      <c r="F59" s="529">
        <f>VLOOKUP(D59,'June 2012 DMV Revenue'!D:T,17,FALSE)</f>
        <v>0</v>
      </c>
      <c r="G59" s="680"/>
      <c r="H59" s="680"/>
      <c r="I59" s="755"/>
      <c r="J59" s="682">
        <f t="shared" si="0"/>
        <v>0</v>
      </c>
      <c r="K59" s="683"/>
      <c r="L59" s="684"/>
      <c r="M59" s="753"/>
      <c r="N59" s="683">
        <v>0</v>
      </c>
      <c r="O59" s="686"/>
      <c r="P59" s="683">
        <v>0</v>
      </c>
      <c r="Q59" s="687">
        <f t="shared" si="1"/>
        <v>0</v>
      </c>
      <c r="R59" s="688">
        <v>0</v>
      </c>
      <c r="S59" s="693"/>
      <c r="T59" s="690">
        <f t="shared" si="2"/>
        <v>0</v>
      </c>
      <c r="U59" s="683"/>
      <c r="V59" s="474">
        <f t="shared" si="3"/>
        <v>0</v>
      </c>
      <c r="W59" s="474">
        <f t="shared" si="4"/>
        <v>0</v>
      </c>
      <c r="X59" s="475">
        <f t="shared" si="5"/>
        <v>0</v>
      </c>
      <c r="Y59" s="475">
        <v>0</v>
      </c>
      <c r="Z59" s="476">
        <v>0</v>
      </c>
      <c r="AA59" s="38">
        <f t="shared" si="6"/>
        <v>0</v>
      </c>
      <c r="AB59" s="692">
        <f t="shared" si="13"/>
        <v>0</v>
      </c>
      <c r="AC59" s="692">
        <f t="shared" si="14"/>
        <v>0</v>
      </c>
      <c r="AD59" s="692">
        <f t="shared" si="15"/>
        <v>0</v>
      </c>
      <c r="AE59" s="38"/>
      <c r="AF59" s="692">
        <f t="shared" si="16"/>
        <v>0</v>
      </c>
      <c r="AG59" s="692">
        <f t="shared" si="17"/>
        <v>0</v>
      </c>
      <c r="AH59" s="692">
        <f t="shared" si="18"/>
        <v>0</v>
      </c>
    </row>
    <row r="60" spans="1:34">
      <c r="A60" s="21"/>
      <c r="B60" s="21" t="s">
        <v>110</v>
      </c>
      <c r="C60" s="666" t="s">
        <v>535</v>
      </c>
      <c r="D60" s="123" t="s">
        <v>517</v>
      </c>
      <c r="E60" s="679"/>
      <c r="F60" s="529">
        <f>VLOOKUP(D60,'June 2012 DMV Revenue'!D:T,17,FALSE)</f>
        <v>-73859.759999999995</v>
      </c>
      <c r="G60" s="680"/>
      <c r="H60" s="680"/>
      <c r="I60" s="755"/>
      <c r="J60" s="682">
        <f t="shared" si="0"/>
        <v>-73859.759999999995</v>
      </c>
      <c r="K60" s="683"/>
      <c r="L60" s="684"/>
      <c r="M60" s="753">
        <v>85000</v>
      </c>
      <c r="N60" s="683">
        <v>0</v>
      </c>
      <c r="O60" s="686"/>
      <c r="P60" s="683">
        <v>0</v>
      </c>
      <c r="Q60" s="687">
        <f t="shared" si="1"/>
        <v>85000</v>
      </c>
      <c r="R60" s="688">
        <v>8044.71</v>
      </c>
      <c r="S60" s="693"/>
      <c r="T60" s="690">
        <f t="shared" si="2"/>
        <v>-76955.289999999994</v>
      </c>
      <c r="U60" s="697"/>
      <c r="V60" s="474">
        <f t="shared" si="3"/>
        <v>85000</v>
      </c>
      <c r="W60" s="474">
        <f t="shared" si="4"/>
        <v>0</v>
      </c>
      <c r="X60" s="475">
        <f t="shared" si="5"/>
        <v>0</v>
      </c>
      <c r="Y60" s="475">
        <v>0</v>
      </c>
      <c r="Z60" s="476">
        <v>0</v>
      </c>
      <c r="AA60" s="38">
        <f t="shared" si="6"/>
        <v>0</v>
      </c>
      <c r="AB60" s="692">
        <f t="shared" si="13"/>
        <v>-73859.759999999995</v>
      </c>
      <c r="AC60" s="692">
        <f t="shared" si="14"/>
        <v>0</v>
      </c>
      <c r="AD60" s="692">
        <f t="shared" si="15"/>
        <v>0</v>
      </c>
      <c r="AE60" s="38"/>
      <c r="AF60" s="692">
        <f t="shared" si="16"/>
        <v>85000</v>
      </c>
      <c r="AG60" s="692">
        <f t="shared" si="17"/>
        <v>0</v>
      </c>
      <c r="AH60" s="692">
        <f t="shared" si="18"/>
        <v>0</v>
      </c>
    </row>
    <row r="61" spans="1:34">
      <c r="A61" s="21"/>
      <c r="B61" s="21" t="s">
        <v>110</v>
      </c>
      <c r="C61" s="666" t="s">
        <v>535</v>
      </c>
      <c r="D61" s="123" t="s">
        <v>437</v>
      </c>
      <c r="E61" s="679"/>
      <c r="F61" s="529">
        <f>VLOOKUP(D61,'June 2012 DMV Revenue'!D:T,17,FALSE)</f>
        <v>7814.5</v>
      </c>
      <c r="G61" s="680"/>
      <c r="H61" s="680"/>
      <c r="I61" s="755"/>
      <c r="J61" s="682">
        <f t="shared" si="0"/>
        <v>7814.5</v>
      </c>
      <c r="K61" s="683"/>
      <c r="L61" s="684"/>
      <c r="M61" s="753"/>
      <c r="N61" s="683">
        <v>0</v>
      </c>
      <c r="O61" s="686"/>
      <c r="P61" s="683">
        <v>0</v>
      </c>
      <c r="Q61" s="687">
        <f t="shared" si="1"/>
        <v>0</v>
      </c>
      <c r="R61" s="688">
        <v>8087.64</v>
      </c>
      <c r="S61" s="693"/>
      <c r="T61" s="690">
        <f t="shared" si="2"/>
        <v>8087.64</v>
      </c>
      <c r="U61" s="697"/>
      <c r="V61" s="474">
        <f t="shared" si="3"/>
        <v>0</v>
      </c>
      <c r="W61" s="474">
        <f t="shared" si="4"/>
        <v>0</v>
      </c>
      <c r="X61" s="475">
        <f t="shared" si="5"/>
        <v>0</v>
      </c>
      <c r="Y61" s="475">
        <v>0</v>
      </c>
      <c r="Z61" s="476">
        <v>0</v>
      </c>
      <c r="AA61" s="38">
        <f t="shared" si="6"/>
        <v>0</v>
      </c>
      <c r="AB61" s="692">
        <f t="shared" si="13"/>
        <v>7814.5</v>
      </c>
      <c r="AC61" s="692">
        <f t="shared" si="14"/>
        <v>0</v>
      </c>
      <c r="AD61" s="692">
        <f t="shared" si="15"/>
        <v>0</v>
      </c>
      <c r="AE61" s="38"/>
      <c r="AF61" s="692">
        <f t="shared" si="16"/>
        <v>0</v>
      </c>
      <c r="AG61" s="692">
        <f t="shared" si="17"/>
        <v>0</v>
      </c>
      <c r="AH61" s="692">
        <f t="shared" si="18"/>
        <v>0</v>
      </c>
    </row>
    <row r="62" spans="1:34">
      <c r="A62" s="21"/>
      <c r="B62" s="21" t="s">
        <v>110</v>
      </c>
      <c r="C62" s="666" t="s">
        <v>535</v>
      </c>
      <c r="D62" s="123" t="s">
        <v>436</v>
      </c>
      <c r="E62" s="679"/>
      <c r="F62" s="529">
        <f>VLOOKUP(D62,'June 2012 DMV Revenue'!D:T,17,FALSE)</f>
        <v>13477.35</v>
      </c>
      <c r="G62" s="680"/>
      <c r="H62" s="680"/>
      <c r="I62" s="755"/>
      <c r="J62" s="682">
        <f t="shared" si="0"/>
        <v>13477.35</v>
      </c>
      <c r="K62" s="683"/>
      <c r="L62" s="684"/>
      <c r="M62" s="753"/>
      <c r="N62" s="683">
        <v>0</v>
      </c>
      <c r="O62" s="686"/>
      <c r="P62" s="683">
        <v>0</v>
      </c>
      <c r="Q62" s="687">
        <f t="shared" si="1"/>
        <v>0</v>
      </c>
      <c r="R62" s="688">
        <v>15451.96</v>
      </c>
      <c r="S62" s="693"/>
      <c r="T62" s="690">
        <f t="shared" si="2"/>
        <v>15451.96</v>
      </c>
      <c r="U62" s="697"/>
      <c r="V62" s="474">
        <f t="shared" si="3"/>
        <v>0</v>
      </c>
      <c r="W62" s="474">
        <f t="shared" si="4"/>
        <v>0</v>
      </c>
      <c r="X62" s="475">
        <f t="shared" si="5"/>
        <v>0</v>
      </c>
      <c r="Y62" s="475">
        <v>0</v>
      </c>
      <c r="Z62" s="476">
        <v>0</v>
      </c>
      <c r="AA62" s="38">
        <f t="shared" si="6"/>
        <v>0</v>
      </c>
      <c r="AB62" s="692">
        <f t="shared" si="13"/>
        <v>13477.35</v>
      </c>
      <c r="AC62" s="692">
        <f t="shared" si="14"/>
        <v>0</v>
      </c>
      <c r="AD62" s="692">
        <f t="shared" si="15"/>
        <v>0</v>
      </c>
      <c r="AE62" s="38"/>
      <c r="AF62" s="692">
        <f t="shared" si="16"/>
        <v>0</v>
      </c>
      <c r="AG62" s="692">
        <f t="shared" si="17"/>
        <v>0</v>
      </c>
      <c r="AH62" s="692">
        <f t="shared" si="18"/>
        <v>0</v>
      </c>
    </row>
    <row r="63" spans="1:34">
      <c r="A63" s="21"/>
      <c r="B63" s="21" t="s">
        <v>110</v>
      </c>
      <c r="C63" s="666" t="s">
        <v>535</v>
      </c>
      <c r="D63" s="123" t="s">
        <v>391</v>
      </c>
      <c r="E63" s="679"/>
      <c r="F63" s="529">
        <f>VLOOKUP(D63,'June 2012 DMV Revenue'!D:T,17,FALSE)</f>
        <v>3312.4300000000003</v>
      </c>
      <c r="G63" s="680"/>
      <c r="H63" s="680"/>
      <c r="I63" s="755"/>
      <c r="J63" s="682">
        <f t="shared" si="0"/>
        <v>3312.4300000000003</v>
      </c>
      <c r="K63" s="683"/>
      <c r="L63" s="684"/>
      <c r="M63" s="753"/>
      <c r="N63" s="683">
        <v>0</v>
      </c>
      <c r="O63" s="686"/>
      <c r="P63" s="683">
        <v>0</v>
      </c>
      <c r="Q63" s="687">
        <f t="shared" si="1"/>
        <v>0</v>
      </c>
      <c r="R63" s="688">
        <f>1749.04+1532.48</f>
        <v>3281.52</v>
      </c>
      <c r="S63" s="693"/>
      <c r="T63" s="690">
        <f t="shared" si="2"/>
        <v>3281.52</v>
      </c>
      <c r="U63" s="697"/>
      <c r="V63" s="474">
        <f t="shared" si="3"/>
        <v>0</v>
      </c>
      <c r="W63" s="474">
        <f t="shared" si="4"/>
        <v>0</v>
      </c>
      <c r="X63" s="475">
        <f t="shared" si="5"/>
        <v>0</v>
      </c>
      <c r="Y63" s="475">
        <v>0</v>
      </c>
      <c r="Z63" s="476">
        <v>0</v>
      </c>
      <c r="AA63" s="38">
        <f t="shared" si="6"/>
        <v>0</v>
      </c>
      <c r="AB63" s="692">
        <f t="shared" si="13"/>
        <v>3312.4300000000003</v>
      </c>
      <c r="AC63" s="692">
        <f t="shared" si="14"/>
        <v>0</v>
      </c>
      <c r="AD63" s="692">
        <f t="shared" si="15"/>
        <v>0</v>
      </c>
      <c r="AE63" s="38"/>
      <c r="AF63" s="692">
        <f t="shared" si="16"/>
        <v>0</v>
      </c>
      <c r="AG63" s="692">
        <f t="shared" si="17"/>
        <v>0</v>
      </c>
      <c r="AH63" s="692">
        <f t="shared" si="18"/>
        <v>0</v>
      </c>
    </row>
    <row r="64" spans="1:34">
      <c r="A64" s="21"/>
      <c r="B64" s="21" t="s">
        <v>110</v>
      </c>
      <c r="C64" s="666" t="s">
        <v>535</v>
      </c>
      <c r="D64" s="123" t="s">
        <v>392</v>
      </c>
      <c r="E64" s="679"/>
      <c r="F64" s="529">
        <f>VLOOKUP(D64,'June 2012 DMV Revenue'!D:T,17,FALSE)</f>
        <v>47445.98</v>
      </c>
      <c r="G64" s="680"/>
      <c r="H64" s="680"/>
      <c r="I64" s="755"/>
      <c r="J64" s="682">
        <f t="shared" si="0"/>
        <v>47445.98</v>
      </c>
      <c r="K64" s="683"/>
      <c r="L64" s="684"/>
      <c r="M64" s="753"/>
      <c r="N64" s="683">
        <v>0</v>
      </c>
      <c r="O64" s="686"/>
      <c r="P64" s="683">
        <v>0</v>
      </c>
      <c r="Q64" s="687">
        <f t="shared" si="1"/>
        <v>0</v>
      </c>
      <c r="R64" s="688">
        <f>55680.01</f>
        <v>55680.01</v>
      </c>
      <c r="S64" s="693"/>
      <c r="T64" s="690">
        <f t="shared" si="2"/>
        <v>55680.01</v>
      </c>
      <c r="U64" s="697"/>
      <c r="V64" s="474">
        <f t="shared" si="3"/>
        <v>0</v>
      </c>
      <c r="W64" s="474">
        <f t="shared" si="4"/>
        <v>0</v>
      </c>
      <c r="X64" s="475">
        <f t="shared" si="5"/>
        <v>0</v>
      </c>
      <c r="Y64" s="475">
        <v>0</v>
      </c>
      <c r="Z64" s="476">
        <v>0</v>
      </c>
      <c r="AA64" s="38">
        <f t="shared" si="6"/>
        <v>0</v>
      </c>
      <c r="AB64" s="692">
        <f t="shared" si="13"/>
        <v>47445.98</v>
      </c>
      <c r="AC64" s="692">
        <f t="shared" si="14"/>
        <v>0</v>
      </c>
      <c r="AD64" s="692">
        <f t="shared" si="15"/>
        <v>0</v>
      </c>
      <c r="AE64" s="38"/>
      <c r="AF64" s="692">
        <f t="shared" si="16"/>
        <v>0</v>
      </c>
      <c r="AG64" s="692">
        <f t="shared" si="17"/>
        <v>0</v>
      </c>
      <c r="AH64" s="692">
        <f t="shared" si="18"/>
        <v>0</v>
      </c>
    </row>
    <row r="65" spans="1:34">
      <c r="A65" s="21"/>
      <c r="B65" s="21" t="s">
        <v>110</v>
      </c>
      <c r="C65" s="666" t="s">
        <v>535</v>
      </c>
      <c r="D65" s="123" t="s">
        <v>483</v>
      </c>
      <c r="E65" s="679"/>
      <c r="F65" s="529">
        <f>VLOOKUP(D65,'June 2012 DMV Revenue'!D:T,17,FALSE)</f>
        <v>4468.32</v>
      </c>
      <c r="G65" s="680"/>
      <c r="H65" s="680"/>
      <c r="I65" s="755"/>
      <c r="J65" s="682">
        <f t="shared" si="0"/>
        <v>4468.32</v>
      </c>
      <c r="K65" s="683"/>
      <c r="L65" s="684"/>
      <c r="M65" s="753"/>
      <c r="N65" s="683"/>
      <c r="O65" s="686"/>
      <c r="P65" s="683"/>
      <c r="Q65" s="687">
        <f t="shared" si="1"/>
        <v>0</v>
      </c>
      <c r="R65" s="688">
        <f>195.33+4733.71+16.84</f>
        <v>4945.88</v>
      </c>
      <c r="S65" s="693"/>
      <c r="T65" s="690">
        <f t="shared" si="2"/>
        <v>4945.88</v>
      </c>
      <c r="U65" s="697"/>
      <c r="V65" s="474">
        <f t="shared" si="3"/>
        <v>0</v>
      </c>
      <c r="W65" s="474">
        <f t="shared" si="4"/>
        <v>0</v>
      </c>
      <c r="X65" s="475">
        <f t="shared" si="5"/>
        <v>0</v>
      </c>
      <c r="Y65" s="475">
        <v>0</v>
      </c>
      <c r="Z65" s="476">
        <v>0</v>
      </c>
      <c r="AA65" s="38">
        <f t="shared" si="6"/>
        <v>0</v>
      </c>
      <c r="AB65" s="692">
        <f t="shared" si="13"/>
        <v>4468.32</v>
      </c>
      <c r="AC65" s="692">
        <f t="shared" si="14"/>
        <v>0</v>
      </c>
      <c r="AD65" s="692">
        <f t="shared" si="15"/>
        <v>0</v>
      </c>
      <c r="AE65" s="38"/>
      <c r="AF65" s="692">
        <f t="shared" si="16"/>
        <v>0</v>
      </c>
      <c r="AG65" s="692">
        <f t="shared" si="17"/>
        <v>0</v>
      </c>
      <c r="AH65" s="692">
        <f t="shared" si="18"/>
        <v>0</v>
      </c>
    </row>
    <row r="66" spans="1:34">
      <c r="A66" s="21"/>
      <c r="B66" s="21" t="s">
        <v>110</v>
      </c>
      <c r="C66" s="666"/>
      <c r="D66" s="373" t="s">
        <v>587</v>
      </c>
      <c r="E66" s="679"/>
      <c r="F66" s="529">
        <f>VLOOKUP(D66,'June 2012 DMV Revenue'!D:T,17,FALSE)</f>
        <v>0</v>
      </c>
      <c r="G66" s="680"/>
      <c r="H66" s="680"/>
      <c r="I66" s="755"/>
      <c r="J66" s="682">
        <f t="shared" si="0"/>
        <v>0</v>
      </c>
      <c r="K66" s="683"/>
      <c r="L66" s="684"/>
      <c r="M66" s="753"/>
      <c r="N66" s="683"/>
      <c r="O66" s="686"/>
      <c r="P66" s="683"/>
      <c r="Q66" s="687">
        <f t="shared" si="1"/>
        <v>0</v>
      </c>
      <c r="R66" s="688">
        <v>0</v>
      </c>
      <c r="S66" s="693"/>
      <c r="T66" s="690"/>
      <c r="U66" s="697"/>
      <c r="V66" s="474">
        <f t="shared" si="3"/>
        <v>0</v>
      </c>
      <c r="W66" s="474">
        <f t="shared" si="4"/>
        <v>0</v>
      </c>
      <c r="X66" s="475">
        <f t="shared" si="5"/>
        <v>0</v>
      </c>
      <c r="Y66" s="475">
        <v>0</v>
      </c>
      <c r="Z66" s="476">
        <v>0</v>
      </c>
      <c r="AA66" s="38">
        <f t="shared" si="6"/>
        <v>0</v>
      </c>
      <c r="AB66" s="692">
        <f t="shared" si="13"/>
        <v>0</v>
      </c>
      <c r="AC66" s="692">
        <f t="shared" si="14"/>
        <v>0</v>
      </c>
      <c r="AD66" s="692">
        <f t="shared" si="15"/>
        <v>0</v>
      </c>
      <c r="AE66" s="38"/>
      <c r="AF66" s="692">
        <f t="shared" si="16"/>
        <v>0</v>
      </c>
      <c r="AG66" s="692">
        <f t="shared" si="17"/>
        <v>0</v>
      </c>
      <c r="AH66" s="692">
        <f t="shared" si="18"/>
        <v>0</v>
      </c>
    </row>
    <row r="67" spans="1:34">
      <c r="A67" s="20"/>
      <c r="B67" s="20" t="s">
        <v>110</v>
      </c>
      <c r="C67" s="667" t="s">
        <v>536</v>
      </c>
      <c r="D67" s="68" t="s">
        <v>450</v>
      </c>
      <c r="E67" s="679"/>
      <c r="F67" s="529">
        <f>VLOOKUP(D67,'June 2012 DMV Revenue'!D:T,17,FALSE)</f>
        <v>0</v>
      </c>
      <c r="G67" s="680"/>
      <c r="H67" s="680"/>
      <c r="I67" s="755"/>
      <c r="J67" s="682">
        <f t="shared" si="0"/>
        <v>0</v>
      </c>
      <c r="K67" s="683"/>
      <c r="L67" s="684"/>
      <c r="M67" s="753"/>
      <c r="N67" s="683">
        <v>0</v>
      </c>
      <c r="O67" s="686"/>
      <c r="P67" s="683">
        <v>0</v>
      </c>
      <c r="Q67" s="687">
        <f t="shared" si="1"/>
        <v>0</v>
      </c>
      <c r="R67" s="688">
        <v>0</v>
      </c>
      <c r="S67" s="693"/>
      <c r="T67" s="690">
        <f t="shared" si="2"/>
        <v>0</v>
      </c>
      <c r="U67" s="683"/>
      <c r="V67" s="474">
        <f t="shared" si="3"/>
        <v>0</v>
      </c>
      <c r="W67" s="474">
        <f t="shared" si="4"/>
        <v>0</v>
      </c>
      <c r="X67" s="475">
        <f t="shared" si="5"/>
        <v>0</v>
      </c>
      <c r="Y67" s="475">
        <v>0</v>
      </c>
      <c r="Z67" s="476">
        <v>0</v>
      </c>
      <c r="AA67" s="38">
        <f t="shared" si="6"/>
        <v>0</v>
      </c>
      <c r="AB67" s="692">
        <f t="shared" si="13"/>
        <v>0</v>
      </c>
      <c r="AC67" s="692">
        <f t="shared" si="14"/>
        <v>0</v>
      </c>
      <c r="AD67" s="692">
        <f t="shared" si="15"/>
        <v>0</v>
      </c>
      <c r="AE67" s="38"/>
      <c r="AF67" s="692">
        <f t="shared" si="16"/>
        <v>0</v>
      </c>
      <c r="AG67" s="692">
        <f t="shared" si="17"/>
        <v>0</v>
      </c>
      <c r="AH67" s="692">
        <f t="shared" si="18"/>
        <v>0</v>
      </c>
    </row>
    <row r="68" spans="1:34">
      <c r="A68" s="21" t="s">
        <v>109</v>
      </c>
      <c r="B68" s="21" t="s">
        <v>110</v>
      </c>
      <c r="C68" s="666"/>
      <c r="D68" s="68" t="s">
        <v>438</v>
      </c>
      <c r="E68" s="679"/>
      <c r="F68" s="529">
        <f>VLOOKUP(D68,'June 2012 DMV Revenue'!D:T,17,FALSE)</f>
        <v>0</v>
      </c>
      <c r="G68" s="680"/>
      <c r="H68" s="680"/>
      <c r="I68" s="755"/>
      <c r="J68" s="682">
        <f t="shared" si="0"/>
        <v>0</v>
      </c>
      <c r="K68" s="683"/>
      <c r="L68" s="684"/>
      <c r="M68" s="753"/>
      <c r="N68" s="683">
        <v>0</v>
      </c>
      <c r="O68" s="686"/>
      <c r="P68" s="683">
        <v>0</v>
      </c>
      <c r="Q68" s="687">
        <f t="shared" si="1"/>
        <v>0</v>
      </c>
      <c r="R68" s="688">
        <v>0</v>
      </c>
      <c r="S68" s="693"/>
      <c r="T68" s="690">
        <f t="shared" si="2"/>
        <v>0</v>
      </c>
      <c r="U68" s="697"/>
      <c r="V68" s="474">
        <f t="shared" si="3"/>
        <v>0</v>
      </c>
      <c r="W68" s="474">
        <f t="shared" si="4"/>
        <v>0</v>
      </c>
      <c r="X68" s="475">
        <f t="shared" si="5"/>
        <v>0</v>
      </c>
      <c r="Y68" s="475">
        <v>0</v>
      </c>
      <c r="Z68" s="476">
        <v>0</v>
      </c>
      <c r="AA68" s="38">
        <f t="shared" si="6"/>
        <v>0</v>
      </c>
      <c r="AB68" s="692">
        <f t="shared" si="13"/>
        <v>0</v>
      </c>
      <c r="AC68" s="692">
        <f t="shared" si="14"/>
        <v>0</v>
      </c>
      <c r="AD68" s="692">
        <f t="shared" si="15"/>
        <v>0</v>
      </c>
      <c r="AE68" s="38"/>
      <c r="AF68" s="692">
        <f t="shared" si="16"/>
        <v>0</v>
      </c>
      <c r="AG68" s="692">
        <f t="shared" si="17"/>
        <v>0</v>
      </c>
      <c r="AH68" s="692">
        <f t="shared" si="18"/>
        <v>0</v>
      </c>
    </row>
    <row r="69" spans="1:34">
      <c r="A69" s="21"/>
      <c r="B69" s="21"/>
      <c r="C69" s="666"/>
      <c r="D69" s="68" t="s">
        <v>628</v>
      </c>
      <c r="E69" s="679"/>
      <c r="F69" s="529"/>
      <c r="G69" s="680"/>
      <c r="H69" s="680"/>
      <c r="I69" s="755"/>
      <c r="J69" s="682"/>
      <c r="K69" s="683"/>
      <c r="L69" s="684"/>
      <c r="M69" s="753"/>
      <c r="N69" s="683"/>
      <c r="O69" s="686"/>
      <c r="P69" s="683"/>
      <c r="Q69" s="687"/>
      <c r="R69" s="688"/>
      <c r="S69" s="693"/>
      <c r="T69" s="690"/>
      <c r="U69" s="697"/>
      <c r="V69" s="474"/>
      <c r="W69" s="474"/>
      <c r="X69" s="475"/>
      <c r="Y69" s="475"/>
      <c r="Z69" s="476"/>
      <c r="AA69" s="38"/>
      <c r="AB69" s="692"/>
      <c r="AC69" s="692"/>
      <c r="AD69" s="692"/>
      <c r="AE69" s="38"/>
      <c r="AF69" s="692"/>
      <c r="AG69" s="692"/>
      <c r="AH69" s="692"/>
    </row>
    <row r="70" spans="1:34">
      <c r="A70" s="21"/>
      <c r="B70" s="21" t="s">
        <v>110</v>
      </c>
      <c r="C70" s="666" t="s">
        <v>537</v>
      </c>
      <c r="D70" s="68" t="s">
        <v>12</v>
      </c>
      <c r="E70" s="679"/>
      <c r="F70" s="529">
        <f>VLOOKUP(D70,'June 2012 DMV Revenue'!D:T,17,FALSE)</f>
        <v>0</v>
      </c>
      <c r="G70" s="680"/>
      <c r="H70" s="680"/>
      <c r="I70" s="755"/>
      <c r="J70" s="682">
        <f t="shared" si="0"/>
        <v>0</v>
      </c>
      <c r="K70" s="683"/>
      <c r="L70" s="684"/>
      <c r="M70" s="753"/>
      <c r="N70" s="683">
        <v>0</v>
      </c>
      <c r="O70" s="686"/>
      <c r="P70" s="683">
        <v>0</v>
      </c>
      <c r="Q70" s="687">
        <f t="shared" si="1"/>
        <v>0</v>
      </c>
      <c r="R70" s="688">
        <v>0</v>
      </c>
      <c r="S70" s="693"/>
      <c r="T70" s="690">
        <f t="shared" si="2"/>
        <v>0</v>
      </c>
      <c r="U70" s="683"/>
      <c r="V70" s="474">
        <f t="shared" si="3"/>
        <v>0</v>
      </c>
      <c r="W70" s="474">
        <f t="shared" si="4"/>
        <v>0</v>
      </c>
      <c r="X70" s="475">
        <f t="shared" si="5"/>
        <v>0</v>
      </c>
      <c r="Y70" s="475">
        <v>0</v>
      </c>
      <c r="Z70" s="476">
        <v>0</v>
      </c>
      <c r="AA70" s="38">
        <f t="shared" si="6"/>
        <v>0</v>
      </c>
      <c r="AB70" s="692">
        <f t="shared" si="13"/>
        <v>0</v>
      </c>
      <c r="AC70" s="692">
        <f t="shared" si="14"/>
        <v>0</v>
      </c>
      <c r="AD70" s="692">
        <f t="shared" si="15"/>
        <v>0</v>
      </c>
      <c r="AE70" s="38"/>
      <c r="AF70" s="692">
        <f t="shared" si="16"/>
        <v>0</v>
      </c>
      <c r="AG70" s="692">
        <f t="shared" si="17"/>
        <v>0</v>
      </c>
      <c r="AH70" s="692">
        <f t="shared" si="18"/>
        <v>0</v>
      </c>
    </row>
    <row r="71" spans="1:34" s="232" customFormat="1">
      <c r="A71" s="283" t="s">
        <v>211</v>
      </c>
      <c r="B71" s="283" t="s">
        <v>110</v>
      </c>
      <c r="C71" s="667" t="s">
        <v>538</v>
      </c>
      <c r="D71" s="123" t="s">
        <v>170</v>
      </c>
      <c r="E71" s="679"/>
      <c r="F71" s="529">
        <f>VLOOKUP(D71,'June 2012 DMV Revenue'!D:T,17,FALSE)</f>
        <v>-69407.079999999987</v>
      </c>
      <c r="G71" s="680"/>
      <c r="H71" s="680"/>
      <c r="I71" s="755"/>
      <c r="J71" s="682">
        <f t="shared" si="0"/>
        <v>-69407.079999999987</v>
      </c>
      <c r="K71" s="683"/>
      <c r="L71" s="684"/>
      <c r="M71" s="753">
        <v>100000</v>
      </c>
      <c r="N71" s="683">
        <v>0</v>
      </c>
      <c r="O71" s="686"/>
      <c r="P71" s="683">
        <v>0</v>
      </c>
      <c r="Q71" s="687">
        <f t="shared" si="1"/>
        <v>100000</v>
      </c>
      <c r="R71" s="688">
        <v>0</v>
      </c>
      <c r="S71" s="693"/>
      <c r="T71" s="690">
        <f t="shared" si="2"/>
        <v>-100000</v>
      </c>
      <c r="U71" s="683"/>
      <c r="V71" s="474">
        <f t="shared" si="3"/>
        <v>100000</v>
      </c>
      <c r="W71" s="474">
        <f t="shared" si="4"/>
        <v>0</v>
      </c>
      <c r="X71" s="475">
        <f t="shared" si="5"/>
        <v>0</v>
      </c>
      <c r="Y71" s="475">
        <v>0</v>
      </c>
      <c r="Z71" s="476">
        <v>0</v>
      </c>
      <c r="AA71" s="38">
        <f t="shared" si="6"/>
        <v>0</v>
      </c>
      <c r="AB71" s="692">
        <f t="shared" si="13"/>
        <v>-69407.079999999987</v>
      </c>
      <c r="AC71" s="692">
        <f t="shared" si="14"/>
        <v>0</v>
      </c>
      <c r="AD71" s="692">
        <f t="shared" si="15"/>
        <v>0</v>
      </c>
      <c r="AE71" s="38"/>
      <c r="AF71" s="692">
        <f t="shared" si="16"/>
        <v>100000</v>
      </c>
      <c r="AG71" s="692">
        <f t="shared" si="17"/>
        <v>0</v>
      </c>
      <c r="AH71" s="692">
        <f t="shared" si="18"/>
        <v>0</v>
      </c>
    </row>
    <row r="72" spans="1:34" s="232" customFormat="1">
      <c r="A72" s="283" t="s">
        <v>211</v>
      </c>
      <c r="B72" s="283" t="s">
        <v>110</v>
      </c>
      <c r="C72" s="667" t="s">
        <v>538</v>
      </c>
      <c r="D72" s="123" t="s">
        <v>171</v>
      </c>
      <c r="E72" s="679"/>
      <c r="F72" s="529">
        <f>VLOOKUP(D72,'June 2012 DMV Revenue'!D:T,17,FALSE)</f>
        <v>1041.6199999999999</v>
      </c>
      <c r="G72" s="680"/>
      <c r="H72" s="680"/>
      <c r="I72" s="755"/>
      <c r="J72" s="682">
        <f t="shared" si="0"/>
        <v>1041.6199999999999</v>
      </c>
      <c r="K72" s="683"/>
      <c r="L72" s="684"/>
      <c r="M72" s="753"/>
      <c r="N72" s="683">
        <v>0</v>
      </c>
      <c r="O72" s="686"/>
      <c r="P72" s="683">
        <v>0</v>
      </c>
      <c r="Q72" s="687">
        <f t="shared" si="1"/>
        <v>0</v>
      </c>
      <c r="R72" s="688">
        <v>0</v>
      </c>
      <c r="S72" s="693"/>
      <c r="T72" s="690">
        <f t="shared" si="2"/>
        <v>0</v>
      </c>
      <c r="U72" s="683"/>
      <c r="V72" s="474">
        <f t="shared" si="3"/>
        <v>0</v>
      </c>
      <c r="W72" s="474">
        <f t="shared" si="4"/>
        <v>0</v>
      </c>
      <c r="X72" s="475">
        <f t="shared" si="5"/>
        <v>0</v>
      </c>
      <c r="Y72" s="475">
        <v>0</v>
      </c>
      <c r="Z72" s="476">
        <v>0</v>
      </c>
      <c r="AA72" s="38">
        <f t="shared" si="6"/>
        <v>0</v>
      </c>
      <c r="AB72" s="692">
        <f t="shared" si="13"/>
        <v>1041.6199999999999</v>
      </c>
      <c r="AC72" s="692">
        <f t="shared" si="14"/>
        <v>0</v>
      </c>
      <c r="AD72" s="692">
        <f t="shared" si="15"/>
        <v>0</v>
      </c>
      <c r="AE72" s="38"/>
      <c r="AF72" s="692">
        <f t="shared" si="16"/>
        <v>0</v>
      </c>
      <c r="AG72" s="692">
        <f t="shared" si="17"/>
        <v>0</v>
      </c>
      <c r="AH72" s="692">
        <f t="shared" si="18"/>
        <v>0</v>
      </c>
    </row>
    <row r="73" spans="1:34" s="232" customFormat="1">
      <c r="A73" s="283" t="s">
        <v>211</v>
      </c>
      <c r="B73" s="283" t="s">
        <v>110</v>
      </c>
      <c r="C73" s="667" t="s">
        <v>538</v>
      </c>
      <c r="D73" s="123" t="s">
        <v>13</v>
      </c>
      <c r="E73" s="679"/>
      <c r="F73" s="529">
        <f>VLOOKUP(D73,'June 2012 DMV Revenue'!D:T,17,FALSE)</f>
        <v>23866.78</v>
      </c>
      <c r="G73" s="680"/>
      <c r="H73" s="680"/>
      <c r="I73" s="755"/>
      <c r="J73" s="682">
        <f t="shared" si="0"/>
        <v>23866.78</v>
      </c>
      <c r="K73" s="683"/>
      <c r="L73" s="684"/>
      <c r="M73" s="753"/>
      <c r="N73" s="683">
        <v>0</v>
      </c>
      <c r="O73" s="686"/>
      <c r="P73" s="683">
        <v>0</v>
      </c>
      <c r="Q73" s="687">
        <f t="shared" si="1"/>
        <v>0</v>
      </c>
      <c r="R73" s="688">
        <v>0</v>
      </c>
      <c r="S73" s="693"/>
      <c r="T73" s="690">
        <f t="shared" si="2"/>
        <v>0</v>
      </c>
      <c r="U73" s="683"/>
      <c r="V73" s="474">
        <f t="shared" si="3"/>
        <v>0</v>
      </c>
      <c r="W73" s="474">
        <f t="shared" si="4"/>
        <v>0</v>
      </c>
      <c r="X73" s="475">
        <f t="shared" si="5"/>
        <v>0</v>
      </c>
      <c r="Y73" s="475">
        <v>0</v>
      </c>
      <c r="Z73" s="476">
        <v>0</v>
      </c>
      <c r="AA73" s="38">
        <f t="shared" si="6"/>
        <v>0</v>
      </c>
      <c r="AB73" s="692">
        <f t="shared" si="13"/>
        <v>23866.78</v>
      </c>
      <c r="AC73" s="692">
        <f t="shared" si="14"/>
        <v>0</v>
      </c>
      <c r="AD73" s="692">
        <f t="shared" si="15"/>
        <v>0</v>
      </c>
      <c r="AE73" s="38"/>
      <c r="AF73" s="692">
        <f t="shared" si="16"/>
        <v>0</v>
      </c>
      <c r="AG73" s="692">
        <f t="shared" si="17"/>
        <v>0</v>
      </c>
      <c r="AH73" s="692">
        <f t="shared" si="18"/>
        <v>0</v>
      </c>
    </row>
    <row r="74" spans="1:34" s="232" customFormat="1">
      <c r="A74" s="283" t="s">
        <v>211</v>
      </c>
      <c r="B74" s="283" t="s">
        <v>110</v>
      </c>
      <c r="C74" s="667" t="s">
        <v>538</v>
      </c>
      <c r="D74" s="123" t="s">
        <v>172</v>
      </c>
      <c r="E74" s="679"/>
      <c r="F74" s="529">
        <f>VLOOKUP(D74,'June 2012 DMV Revenue'!D:T,17,FALSE)</f>
        <v>25.27</v>
      </c>
      <c r="G74" s="680"/>
      <c r="H74" s="680"/>
      <c r="I74" s="755"/>
      <c r="J74" s="682">
        <f t="shared" si="0"/>
        <v>25.27</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13"/>
        <v>25.27</v>
      </c>
      <c r="AC74" s="692">
        <f t="shared" si="14"/>
        <v>0</v>
      </c>
      <c r="AD74" s="692">
        <f t="shared" si="15"/>
        <v>0</v>
      </c>
      <c r="AE74" s="38"/>
      <c r="AF74" s="692">
        <f t="shared" si="16"/>
        <v>0</v>
      </c>
      <c r="AG74" s="692">
        <f t="shared" si="17"/>
        <v>0</v>
      </c>
      <c r="AH74" s="692">
        <f t="shared" si="18"/>
        <v>0</v>
      </c>
    </row>
    <row r="75" spans="1:34" s="232" customFormat="1">
      <c r="A75" s="283" t="s">
        <v>211</v>
      </c>
      <c r="B75" s="283" t="s">
        <v>110</v>
      </c>
      <c r="C75" s="667" t="s">
        <v>538</v>
      </c>
      <c r="D75" s="123" t="s">
        <v>173</v>
      </c>
      <c r="E75" s="679"/>
      <c r="F75" s="529">
        <f>VLOOKUP(D75,'June 2012 DMV Revenue'!D:T,17,FALSE)</f>
        <v>67614.81</v>
      </c>
      <c r="G75" s="680"/>
      <c r="H75" s="680"/>
      <c r="I75" s="755"/>
      <c r="J75" s="682">
        <f t="shared" si="0"/>
        <v>67614.81</v>
      </c>
      <c r="K75" s="683"/>
      <c r="L75" s="684"/>
      <c r="M75" s="753"/>
      <c r="N75" s="683">
        <v>0</v>
      </c>
      <c r="O75" s="686"/>
      <c r="P75" s="683">
        <v>0</v>
      </c>
      <c r="Q75" s="687">
        <f t="shared" si="1"/>
        <v>0</v>
      </c>
      <c r="R75" s="688">
        <v>0</v>
      </c>
      <c r="S75" s="693"/>
      <c r="T75" s="690">
        <f t="shared" si="2"/>
        <v>0</v>
      </c>
      <c r="U75" s="683"/>
      <c r="V75" s="474">
        <f t="shared" si="3"/>
        <v>0</v>
      </c>
      <c r="W75" s="474">
        <f t="shared" si="4"/>
        <v>0</v>
      </c>
      <c r="X75" s="475">
        <f t="shared" si="5"/>
        <v>0</v>
      </c>
      <c r="Y75" s="475">
        <v>0</v>
      </c>
      <c r="Z75" s="476">
        <v>0</v>
      </c>
      <c r="AA75" s="38">
        <f t="shared" si="6"/>
        <v>0</v>
      </c>
      <c r="AB75" s="692">
        <f t="shared" si="13"/>
        <v>67614.81</v>
      </c>
      <c r="AC75" s="692">
        <f t="shared" si="14"/>
        <v>0</v>
      </c>
      <c r="AD75" s="692">
        <f t="shared" si="15"/>
        <v>0</v>
      </c>
      <c r="AE75" s="38"/>
      <c r="AF75" s="692">
        <f t="shared" si="16"/>
        <v>0</v>
      </c>
      <c r="AG75" s="692">
        <f t="shared" si="17"/>
        <v>0</v>
      </c>
      <c r="AH75" s="692">
        <f t="shared" si="18"/>
        <v>0</v>
      </c>
    </row>
    <row r="76" spans="1:34" s="232" customFormat="1">
      <c r="A76" s="283" t="s">
        <v>211</v>
      </c>
      <c r="B76" s="283" t="s">
        <v>110</v>
      </c>
      <c r="C76" s="667" t="s">
        <v>538</v>
      </c>
      <c r="D76" s="123" t="s">
        <v>174</v>
      </c>
      <c r="E76" s="679"/>
      <c r="F76" s="529">
        <f>VLOOKUP(D76,'June 2012 DMV Revenue'!D:T,17,FALSE)</f>
        <v>0</v>
      </c>
      <c r="G76" s="680"/>
      <c r="H76" s="680"/>
      <c r="I76" s="755"/>
      <c r="J76" s="682">
        <f t="shared" si="0"/>
        <v>0</v>
      </c>
      <c r="K76" s="683"/>
      <c r="L76" s="684"/>
      <c r="M76" s="753"/>
      <c r="N76" s="683">
        <v>0</v>
      </c>
      <c r="O76" s="686"/>
      <c r="P76" s="683">
        <v>0</v>
      </c>
      <c r="Q76" s="687">
        <f t="shared" si="1"/>
        <v>0</v>
      </c>
      <c r="R76" s="688">
        <v>0</v>
      </c>
      <c r="S76" s="693"/>
      <c r="T76" s="690">
        <f t="shared" si="2"/>
        <v>0</v>
      </c>
      <c r="U76" s="683"/>
      <c r="V76" s="474">
        <f t="shared" si="3"/>
        <v>0</v>
      </c>
      <c r="W76" s="474">
        <f t="shared" si="4"/>
        <v>0</v>
      </c>
      <c r="X76" s="475">
        <f t="shared" si="5"/>
        <v>0</v>
      </c>
      <c r="Y76" s="475">
        <v>0</v>
      </c>
      <c r="Z76" s="476">
        <v>0</v>
      </c>
      <c r="AA76" s="38">
        <f t="shared" si="6"/>
        <v>0</v>
      </c>
      <c r="AB76" s="692">
        <f t="shared" si="13"/>
        <v>0</v>
      </c>
      <c r="AC76" s="692">
        <f t="shared" si="14"/>
        <v>0</v>
      </c>
      <c r="AD76" s="692">
        <f t="shared" si="15"/>
        <v>0</v>
      </c>
      <c r="AE76" s="38"/>
      <c r="AF76" s="692">
        <f t="shared" si="16"/>
        <v>0</v>
      </c>
      <c r="AG76" s="692">
        <f t="shared" si="17"/>
        <v>0</v>
      </c>
      <c r="AH76" s="692">
        <f t="shared" si="18"/>
        <v>0</v>
      </c>
    </row>
    <row r="77" spans="1:34">
      <c r="A77" s="21"/>
      <c r="B77" s="21" t="s">
        <v>109</v>
      </c>
      <c r="C77" s="666"/>
      <c r="D77" s="68" t="s">
        <v>94</v>
      </c>
      <c r="E77" s="679"/>
      <c r="F77" s="529">
        <f>VLOOKUP(D77,'June 2012 DMV Revenue'!D:T,17,FALSE)</f>
        <v>0</v>
      </c>
      <c r="G77" s="680"/>
      <c r="H77" s="680"/>
      <c r="I77" s="755"/>
      <c r="J77" s="682">
        <f t="shared" si="0"/>
        <v>0</v>
      </c>
      <c r="K77" s="683"/>
      <c r="L77" s="684"/>
      <c r="M77" s="753"/>
      <c r="N77" s="683">
        <v>0</v>
      </c>
      <c r="O77" s="686"/>
      <c r="P77" s="683">
        <v>0</v>
      </c>
      <c r="Q77" s="687">
        <f t="shared" si="1"/>
        <v>0</v>
      </c>
      <c r="R77" s="688">
        <v>0</v>
      </c>
      <c r="S77" s="693"/>
      <c r="T77" s="690">
        <f t="shared" si="2"/>
        <v>0</v>
      </c>
      <c r="U77" s="697"/>
      <c r="V77" s="474">
        <f t="shared" si="3"/>
        <v>0</v>
      </c>
      <c r="W77" s="474">
        <f t="shared" si="4"/>
        <v>0</v>
      </c>
      <c r="X77" s="475">
        <f t="shared" si="5"/>
        <v>0</v>
      </c>
      <c r="Y77" s="475">
        <v>0</v>
      </c>
      <c r="Z77" s="476">
        <v>0</v>
      </c>
      <c r="AA77" s="38">
        <f t="shared" si="6"/>
        <v>0</v>
      </c>
      <c r="AB77" s="692">
        <f t="shared" si="13"/>
        <v>0</v>
      </c>
      <c r="AC77" s="692">
        <f t="shared" si="14"/>
        <v>0</v>
      </c>
      <c r="AD77" s="692">
        <f t="shared" si="15"/>
        <v>0</v>
      </c>
      <c r="AE77" s="38"/>
      <c r="AF77" s="692">
        <f t="shared" si="16"/>
        <v>0</v>
      </c>
      <c r="AG77" s="692">
        <f t="shared" si="17"/>
        <v>0</v>
      </c>
      <c r="AH77" s="692">
        <f t="shared" si="18"/>
        <v>0</v>
      </c>
    </row>
    <row r="78" spans="1:34">
      <c r="A78" s="20" t="s">
        <v>211</v>
      </c>
      <c r="B78" s="20" t="s">
        <v>109</v>
      </c>
      <c r="C78" s="667"/>
      <c r="D78" s="68" t="s">
        <v>14</v>
      </c>
      <c r="E78" s="679"/>
      <c r="F78" s="529">
        <f>VLOOKUP(D78,'June 2012 DMV Revenue'!D:T,17,FALSE)</f>
        <v>0</v>
      </c>
      <c r="G78" s="680"/>
      <c r="H78" s="680"/>
      <c r="I78" s="755"/>
      <c r="J78" s="682">
        <f t="shared" si="0"/>
        <v>0</v>
      </c>
      <c r="K78" s="683"/>
      <c r="L78" s="684"/>
      <c r="M78" s="753"/>
      <c r="N78" s="683">
        <v>0</v>
      </c>
      <c r="O78" s="686"/>
      <c r="P78" s="683">
        <v>0</v>
      </c>
      <c r="Q78" s="687">
        <f t="shared" si="1"/>
        <v>0</v>
      </c>
      <c r="R78" s="688">
        <v>0</v>
      </c>
      <c r="S78" s="693"/>
      <c r="T78" s="690">
        <f t="shared" si="2"/>
        <v>0</v>
      </c>
      <c r="U78" s="683"/>
      <c r="V78" s="474">
        <f t="shared" si="3"/>
        <v>0</v>
      </c>
      <c r="W78" s="474">
        <f t="shared" si="4"/>
        <v>0</v>
      </c>
      <c r="X78" s="475">
        <f t="shared" si="5"/>
        <v>0</v>
      </c>
      <c r="Y78" s="475">
        <v>0</v>
      </c>
      <c r="Z78" s="476">
        <v>0</v>
      </c>
      <c r="AA78" s="38">
        <f t="shared" si="6"/>
        <v>0</v>
      </c>
      <c r="AB78" s="692">
        <f t="shared" si="13"/>
        <v>0</v>
      </c>
      <c r="AC78" s="692">
        <f t="shared" si="14"/>
        <v>0</v>
      </c>
      <c r="AD78" s="692">
        <f t="shared" si="15"/>
        <v>0</v>
      </c>
      <c r="AE78" s="38"/>
      <c r="AF78" s="692">
        <f t="shared" si="16"/>
        <v>0</v>
      </c>
      <c r="AG78" s="692">
        <f t="shared" si="17"/>
        <v>0</v>
      </c>
      <c r="AH78" s="692">
        <f t="shared" si="18"/>
        <v>0</v>
      </c>
    </row>
    <row r="79" spans="1:34">
      <c r="A79" s="20"/>
      <c r="B79" s="20" t="s">
        <v>110</v>
      </c>
      <c r="C79" s="667"/>
      <c r="D79" s="68" t="s">
        <v>15</v>
      </c>
      <c r="E79" s="679"/>
      <c r="F79" s="529">
        <f>VLOOKUP(D79,'June 2012 DMV Revenue'!D:T,17,FALSE)</f>
        <v>693.86000000000058</v>
      </c>
      <c r="G79" s="680"/>
      <c r="H79" s="680"/>
      <c r="I79" s="770">
        <v>8118.61</v>
      </c>
      <c r="J79" s="682">
        <f t="shared" si="0"/>
        <v>8812.4700000000012</v>
      </c>
      <c r="K79" s="683"/>
      <c r="L79" s="684"/>
      <c r="M79" s="753"/>
      <c r="N79" s="683">
        <v>0</v>
      </c>
      <c r="O79" s="686"/>
      <c r="P79" s="683">
        <v>0</v>
      </c>
      <c r="Q79" s="687">
        <f t="shared" si="1"/>
        <v>0</v>
      </c>
      <c r="R79" s="688">
        <v>0</v>
      </c>
      <c r="S79" s="693"/>
      <c r="T79" s="690">
        <f t="shared" si="2"/>
        <v>0</v>
      </c>
      <c r="U79" s="683"/>
      <c r="V79" s="474">
        <f t="shared" si="3"/>
        <v>0</v>
      </c>
      <c r="W79" s="474">
        <f t="shared" si="4"/>
        <v>0</v>
      </c>
      <c r="X79" s="475">
        <f t="shared" si="5"/>
        <v>0</v>
      </c>
      <c r="Y79" s="475">
        <v>0</v>
      </c>
      <c r="Z79" s="476">
        <v>0</v>
      </c>
      <c r="AA79" s="38">
        <f t="shared" si="6"/>
        <v>0</v>
      </c>
      <c r="AB79" s="692">
        <f t="shared" si="13"/>
        <v>8812.4700000000012</v>
      </c>
      <c r="AC79" s="692">
        <f t="shared" si="14"/>
        <v>0</v>
      </c>
      <c r="AD79" s="692">
        <f t="shared" si="15"/>
        <v>0</v>
      </c>
      <c r="AE79" s="38"/>
      <c r="AF79" s="692">
        <f t="shared" si="16"/>
        <v>0</v>
      </c>
      <c r="AG79" s="692">
        <f t="shared" si="17"/>
        <v>0</v>
      </c>
      <c r="AH79" s="692">
        <f t="shared" si="18"/>
        <v>0</v>
      </c>
    </row>
    <row r="80" spans="1:34">
      <c r="A80" s="20"/>
      <c r="B80" s="20" t="s">
        <v>110</v>
      </c>
      <c r="C80" s="667"/>
      <c r="D80" s="68" t="s">
        <v>646</v>
      </c>
      <c r="E80" s="679"/>
      <c r="F80" s="529">
        <f>VLOOKUP(D80,'June 2012 DMV Revenue'!D:T,17,FALSE)</f>
        <v>0</v>
      </c>
      <c r="G80" s="680"/>
      <c r="H80" s="680"/>
      <c r="I80" s="755"/>
      <c r="J80" s="682">
        <f t="shared" si="0"/>
        <v>0</v>
      </c>
      <c r="K80" s="683"/>
      <c r="L80" s="684"/>
      <c r="M80" s="753"/>
      <c r="N80" s="683">
        <v>0</v>
      </c>
      <c r="O80" s="686"/>
      <c r="P80" s="683">
        <v>0</v>
      </c>
      <c r="Q80" s="687">
        <f t="shared" si="1"/>
        <v>0</v>
      </c>
      <c r="R80" s="688">
        <v>792</v>
      </c>
      <c r="S80" s="693"/>
      <c r="T80" s="690">
        <f t="shared" si="2"/>
        <v>792</v>
      </c>
      <c r="U80" s="683"/>
      <c r="V80" s="474">
        <f t="shared" si="3"/>
        <v>0</v>
      </c>
      <c r="W80" s="474">
        <f t="shared" si="4"/>
        <v>0</v>
      </c>
      <c r="X80" s="475">
        <f t="shared" si="5"/>
        <v>0</v>
      </c>
      <c r="Y80" s="475">
        <v>0</v>
      </c>
      <c r="Z80" s="476">
        <v>0</v>
      </c>
      <c r="AA80" s="38">
        <f t="shared" si="6"/>
        <v>0</v>
      </c>
      <c r="AB80" s="692">
        <f t="shared" si="13"/>
        <v>0</v>
      </c>
      <c r="AC80" s="692">
        <f t="shared" si="14"/>
        <v>0</v>
      </c>
      <c r="AD80" s="692">
        <f t="shared" si="15"/>
        <v>0</v>
      </c>
      <c r="AE80" s="38"/>
      <c r="AF80" s="692">
        <f t="shared" si="16"/>
        <v>0</v>
      </c>
      <c r="AG80" s="692">
        <f t="shared" si="17"/>
        <v>0</v>
      </c>
      <c r="AH80" s="692">
        <f t="shared" si="18"/>
        <v>0</v>
      </c>
    </row>
    <row r="81" spans="1:34">
      <c r="A81" s="20" t="s">
        <v>109</v>
      </c>
      <c r="B81" s="20" t="s">
        <v>109</v>
      </c>
      <c r="C81" s="667" t="s">
        <v>539</v>
      </c>
      <c r="D81" s="68" t="s">
        <v>510</v>
      </c>
      <c r="E81" s="679">
        <f>781.87+1229.08</f>
        <v>2010.9499999999998</v>
      </c>
      <c r="F81" s="529">
        <f>VLOOKUP(D81,'June 2012 DMV Revenue'!D:T,17,FALSE)</f>
        <v>0</v>
      </c>
      <c r="G81" s="680"/>
      <c r="H81" s="680"/>
      <c r="I81" s="755"/>
      <c r="J81" s="682">
        <f t="shared" si="0"/>
        <v>2010.9499999999998</v>
      </c>
      <c r="K81" s="683"/>
      <c r="L81" s="684"/>
      <c r="M81" s="753"/>
      <c r="N81" s="683">
        <v>0</v>
      </c>
      <c r="O81" s="686"/>
      <c r="P81" s="683">
        <v>0</v>
      </c>
      <c r="Q81" s="687">
        <f t="shared" si="1"/>
        <v>0</v>
      </c>
      <c r="R81" s="688">
        <v>0</v>
      </c>
      <c r="S81" s="693"/>
      <c r="T81" s="690">
        <f t="shared" si="2"/>
        <v>0</v>
      </c>
      <c r="U81" s="683"/>
      <c r="V81" s="474">
        <f t="shared" si="3"/>
        <v>0</v>
      </c>
      <c r="W81" s="474">
        <f t="shared" si="4"/>
        <v>0</v>
      </c>
      <c r="X81" s="475">
        <f t="shared" si="5"/>
        <v>0</v>
      </c>
      <c r="Y81" s="475">
        <v>0</v>
      </c>
      <c r="Z81" s="476">
        <v>0</v>
      </c>
      <c r="AA81" s="38">
        <f t="shared" si="6"/>
        <v>0</v>
      </c>
      <c r="AB81" s="692">
        <f t="shared" si="13"/>
        <v>0</v>
      </c>
      <c r="AC81" s="692">
        <f t="shared" si="14"/>
        <v>2010.9499999999998</v>
      </c>
      <c r="AD81" s="692">
        <f t="shared" si="15"/>
        <v>0</v>
      </c>
      <c r="AE81" s="38"/>
      <c r="AF81" s="692">
        <f t="shared" si="16"/>
        <v>0</v>
      </c>
      <c r="AG81" s="692">
        <f t="shared" si="17"/>
        <v>0</v>
      </c>
      <c r="AH81" s="692">
        <f t="shared" si="18"/>
        <v>0</v>
      </c>
    </row>
    <row r="82" spans="1:34">
      <c r="A82" s="20"/>
      <c r="B82" s="20" t="s">
        <v>109</v>
      </c>
      <c r="C82" s="667"/>
      <c r="D82" s="68" t="s">
        <v>16</v>
      </c>
      <c r="E82" s="679">
        <f>1163.66+89.19+771.25</f>
        <v>2024.1000000000001</v>
      </c>
      <c r="F82" s="529">
        <f>VLOOKUP(D82,'June 2012 DMV Revenue'!D:T,17,FALSE)</f>
        <v>0</v>
      </c>
      <c r="G82" s="680"/>
      <c r="H82" s="680"/>
      <c r="I82" s="755"/>
      <c r="J82" s="682">
        <f t="shared" si="0"/>
        <v>2024.1000000000001</v>
      </c>
      <c r="K82" s="683"/>
      <c r="L82" s="684"/>
      <c r="M82" s="753"/>
      <c r="N82" s="683">
        <v>0</v>
      </c>
      <c r="O82" s="686"/>
      <c r="P82" s="683">
        <v>0</v>
      </c>
      <c r="Q82" s="687">
        <f t="shared" si="1"/>
        <v>0</v>
      </c>
      <c r="R82" s="688">
        <v>57.77</v>
      </c>
      <c r="S82" s="693"/>
      <c r="T82" s="690">
        <f t="shared" si="2"/>
        <v>57.77</v>
      </c>
      <c r="U82" s="683"/>
      <c r="V82" s="474">
        <f t="shared" si="3"/>
        <v>0</v>
      </c>
      <c r="W82" s="474">
        <f t="shared" si="4"/>
        <v>0</v>
      </c>
      <c r="X82" s="475">
        <f t="shared" si="5"/>
        <v>0</v>
      </c>
      <c r="Y82" s="475">
        <v>0</v>
      </c>
      <c r="Z82" s="476">
        <v>0</v>
      </c>
      <c r="AA82" s="38">
        <f t="shared" si="6"/>
        <v>0</v>
      </c>
      <c r="AB82" s="692">
        <f t="shared" ref="AB82:AB145" si="33">IF(B82="D",J82,0)</f>
        <v>0</v>
      </c>
      <c r="AC82" s="692">
        <f t="shared" ref="AC82:AC145" si="34">IF(B82="M",J82,0)</f>
        <v>2024.1000000000001</v>
      </c>
      <c r="AD82" s="692">
        <f t="shared" ref="AD82:AD145" si="35">IF(B82="V",J82,0)</f>
        <v>0</v>
      </c>
      <c r="AE82" s="38"/>
      <c r="AF82" s="692">
        <f t="shared" ref="AF82:AF145" si="36">IF(B82="D",Q82,0)</f>
        <v>0</v>
      </c>
      <c r="AG82" s="692">
        <f t="shared" ref="AG82:AG145" si="37">IF(B82="M",Q82,0)</f>
        <v>0</v>
      </c>
      <c r="AH82" s="692">
        <f t="shared" ref="AH82:AH145" si="38">IF(B82="V",Q82,0)</f>
        <v>0</v>
      </c>
    </row>
    <row r="83" spans="1:34">
      <c r="A83" s="20"/>
      <c r="B83" s="20" t="s">
        <v>109</v>
      </c>
      <c r="C83" s="667"/>
      <c r="D83" s="68" t="s">
        <v>208</v>
      </c>
      <c r="E83" s="679"/>
      <c r="F83" s="529">
        <f>VLOOKUP(D83,'June 2012 DMV Revenue'!D:T,17,FALSE)</f>
        <v>0</v>
      </c>
      <c r="G83" s="680"/>
      <c r="H83" s="680"/>
      <c r="I83" s="755"/>
      <c r="J83" s="682">
        <f t="shared" si="0"/>
        <v>0</v>
      </c>
      <c r="K83" s="683"/>
      <c r="L83" s="684"/>
      <c r="M83" s="753"/>
      <c r="N83" s="683">
        <v>0</v>
      </c>
      <c r="O83" s="686"/>
      <c r="P83" s="683">
        <v>0</v>
      </c>
      <c r="Q83" s="687">
        <f t="shared" si="1"/>
        <v>0</v>
      </c>
      <c r="R83" s="688">
        <v>0</v>
      </c>
      <c r="S83" s="693"/>
      <c r="T83" s="690">
        <f t="shared" si="2"/>
        <v>0</v>
      </c>
      <c r="U83" s="683"/>
      <c r="V83" s="474">
        <f t="shared" si="3"/>
        <v>0</v>
      </c>
      <c r="W83" s="474">
        <f t="shared" si="4"/>
        <v>0</v>
      </c>
      <c r="X83" s="475">
        <f t="shared" si="5"/>
        <v>0</v>
      </c>
      <c r="Y83" s="475">
        <v>0</v>
      </c>
      <c r="Z83" s="476">
        <v>0</v>
      </c>
      <c r="AA83" s="38">
        <f t="shared" si="6"/>
        <v>0</v>
      </c>
      <c r="AB83" s="692">
        <f t="shared" si="33"/>
        <v>0</v>
      </c>
      <c r="AC83" s="692">
        <f t="shared" si="34"/>
        <v>0</v>
      </c>
      <c r="AD83" s="692">
        <f t="shared" si="35"/>
        <v>0</v>
      </c>
      <c r="AE83" s="38"/>
      <c r="AF83" s="692">
        <f t="shared" si="36"/>
        <v>0</v>
      </c>
      <c r="AG83" s="692">
        <f t="shared" si="37"/>
        <v>0</v>
      </c>
      <c r="AH83" s="692">
        <f t="shared" si="38"/>
        <v>0</v>
      </c>
    </row>
    <row r="84" spans="1:34">
      <c r="A84" s="20"/>
      <c r="B84" s="20" t="s">
        <v>110</v>
      </c>
      <c r="C84" s="667"/>
      <c r="D84" s="68" t="s">
        <v>597</v>
      </c>
      <c r="E84" s="679"/>
      <c r="F84" s="529">
        <f>VLOOKUP(D84,'June 2012 DMV Revenue'!D:T,17,FALSE)</f>
        <v>20686.759999999995</v>
      </c>
      <c r="G84" s="680"/>
      <c r="H84" s="680"/>
      <c r="I84" s="755"/>
      <c r="J84" s="682">
        <f t="shared" ref="J84:J142" si="39">SUM(E84:I84)</f>
        <v>20686.759999999995</v>
      </c>
      <c r="K84" s="683"/>
      <c r="L84" s="684"/>
      <c r="M84" s="753">
        <v>80000</v>
      </c>
      <c r="N84" s="683">
        <v>0</v>
      </c>
      <c r="O84" s="686"/>
      <c r="P84" s="683">
        <v>0</v>
      </c>
      <c r="Q84" s="687">
        <f t="shared" si="1"/>
        <v>80000</v>
      </c>
      <c r="R84" s="688">
        <v>73062.58</v>
      </c>
      <c r="S84" s="693"/>
      <c r="T84" s="690">
        <f t="shared" ref="T84:T149" si="40">IF(R84="","",R84-Q84)</f>
        <v>-6937.4199999999983</v>
      </c>
      <c r="U84" s="683"/>
      <c r="V84" s="474">
        <f t="shared" ref="V84:V149" si="41">IF(B84="D",Q84,0)</f>
        <v>80000</v>
      </c>
      <c r="W84" s="474">
        <f t="shared" ref="W84:W149" si="42">IF(B84="M",Q84,0)</f>
        <v>0</v>
      </c>
      <c r="X84" s="475">
        <f t="shared" ref="X84:X149" si="43">IF(B84="V",Q84,0)</f>
        <v>0</v>
      </c>
      <c r="Y84" s="475">
        <v>0</v>
      </c>
      <c r="Z84" s="476">
        <v>0</v>
      </c>
      <c r="AA84" s="38">
        <f t="shared" ref="AA84:AA149" si="44">(L84+M84)-(V84+W84+X84+Y84+Z84)</f>
        <v>0</v>
      </c>
      <c r="AB84" s="692">
        <f t="shared" si="33"/>
        <v>20686.759999999995</v>
      </c>
      <c r="AC84" s="692">
        <f t="shared" si="34"/>
        <v>0</v>
      </c>
      <c r="AD84" s="692">
        <f t="shared" si="35"/>
        <v>0</v>
      </c>
      <c r="AE84" s="38"/>
      <c r="AF84" s="692">
        <f t="shared" si="36"/>
        <v>80000</v>
      </c>
      <c r="AG84" s="692">
        <f t="shared" si="37"/>
        <v>0</v>
      </c>
      <c r="AH84" s="692">
        <f t="shared" si="38"/>
        <v>0</v>
      </c>
    </row>
    <row r="85" spans="1:34" s="232" customFormat="1">
      <c r="A85" s="283"/>
      <c r="B85" s="283" t="s">
        <v>109</v>
      </c>
      <c r="C85" s="667" t="s">
        <v>540</v>
      </c>
      <c r="D85" s="373" t="s">
        <v>410</v>
      </c>
      <c r="E85" s="679"/>
      <c r="F85" s="529">
        <f>VLOOKUP(D85,'June 2012 DMV Revenue'!D:T,17,FALSE)</f>
        <v>2029.2</v>
      </c>
      <c r="G85" s="680"/>
      <c r="H85" s="680"/>
      <c r="I85" s="755"/>
      <c r="J85" s="682">
        <f t="shared" si="39"/>
        <v>2029.2</v>
      </c>
      <c r="K85" s="683"/>
      <c r="L85" s="684"/>
      <c r="M85" s="753"/>
      <c r="N85" s="683">
        <v>0</v>
      </c>
      <c r="O85" s="686"/>
      <c r="P85" s="683">
        <v>0</v>
      </c>
      <c r="Q85" s="687">
        <f t="shared" si="1"/>
        <v>0</v>
      </c>
      <c r="R85" s="688">
        <v>0</v>
      </c>
      <c r="S85" s="693"/>
      <c r="T85" s="690">
        <f t="shared" si="40"/>
        <v>0</v>
      </c>
      <c r="U85" s="683"/>
      <c r="V85" s="474">
        <f t="shared" si="41"/>
        <v>0</v>
      </c>
      <c r="W85" s="474">
        <f t="shared" si="42"/>
        <v>0</v>
      </c>
      <c r="X85" s="475">
        <f t="shared" si="43"/>
        <v>0</v>
      </c>
      <c r="Y85" s="475">
        <v>0</v>
      </c>
      <c r="Z85" s="476">
        <v>0</v>
      </c>
      <c r="AA85" s="38">
        <f t="shared" si="44"/>
        <v>0</v>
      </c>
      <c r="AB85" s="692">
        <f t="shared" si="33"/>
        <v>0</v>
      </c>
      <c r="AC85" s="692">
        <f t="shared" si="34"/>
        <v>2029.2</v>
      </c>
      <c r="AD85" s="692">
        <f t="shared" si="35"/>
        <v>0</v>
      </c>
      <c r="AE85" s="38"/>
      <c r="AF85" s="692">
        <f t="shared" si="36"/>
        <v>0</v>
      </c>
      <c r="AG85" s="692">
        <f t="shared" si="37"/>
        <v>0</v>
      </c>
      <c r="AH85" s="692">
        <f t="shared" si="38"/>
        <v>0</v>
      </c>
    </row>
    <row r="86" spans="1:34" s="232" customFormat="1">
      <c r="A86" s="283"/>
      <c r="B86" s="283" t="s">
        <v>109</v>
      </c>
      <c r="C86" s="667" t="s">
        <v>540</v>
      </c>
      <c r="D86" s="373" t="s">
        <v>413</v>
      </c>
      <c r="E86" s="679"/>
      <c r="F86" s="529">
        <f>VLOOKUP(D86,'June 2012 DMV Revenue'!D:T,17,FALSE)</f>
        <v>1.75</v>
      </c>
      <c r="G86" s="680"/>
      <c r="H86" s="680"/>
      <c r="I86" s="755"/>
      <c r="J86" s="682">
        <f t="shared" si="39"/>
        <v>1.75</v>
      </c>
      <c r="K86" s="683"/>
      <c r="L86" s="684"/>
      <c r="M86" s="753"/>
      <c r="N86" s="683">
        <v>0</v>
      </c>
      <c r="O86" s="686"/>
      <c r="P86" s="683">
        <v>0</v>
      </c>
      <c r="Q86" s="687">
        <f t="shared" si="1"/>
        <v>0</v>
      </c>
      <c r="R86" s="688">
        <v>0</v>
      </c>
      <c r="S86" s="693"/>
      <c r="T86" s="690">
        <f t="shared" si="40"/>
        <v>0</v>
      </c>
      <c r="U86" s="683"/>
      <c r="V86" s="474">
        <f t="shared" si="41"/>
        <v>0</v>
      </c>
      <c r="W86" s="474">
        <f t="shared" si="42"/>
        <v>0</v>
      </c>
      <c r="X86" s="475">
        <f t="shared" si="43"/>
        <v>0</v>
      </c>
      <c r="Y86" s="475">
        <v>0</v>
      </c>
      <c r="Z86" s="476">
        <v>0</v>
      </c>
      <c r="AA86" s="38">
        <f t="shared" si="44"/>
        <v>0</v>
      </c>
      <c r="AB86" s="692">
        <f t="shared" si="33"/>
        <v>0</v>
      </c>
      <c r="AC86" s="692">
        <f t="shared" si="34"/>
        <v>1.75</v>
      </c>
      <c r="AD86" s="692">
        <f t="shared" si="35"/>
        <v>0</v>
      </c>
      <c r="AE86" s="38"/>
      <c r="AF86" s="692">
        <f t="shared" si="36"/>
        <v>0</v>
      </c>
      <c r="AG86" s="692">
        <f t="shared" si="37"/>
        <v>0</v>
      </c>
      <c r="AH86" s="692">
        <f t="shared" si="38"/>
        <v>0</v>
      </c>
    </row>
    <row r="87" spans="1:34" s="232" customFormat="1">
      <c r="A87" s="283"/>
      <c r="B87" s="283" t="s">
        <v>109</v>
      </c>
      <c r="C87" s="667" t="s">
        <v>540</v>
      </c>
      <c r="D87" s="373" t="s">
        <v>620</v>
      </c>
      <c r="E87" s="679"/>
      <c r="F87" s="529">
        <f>VLOOKUP(D87,'June 2012 DMV Revenue'!D:T,17,FALSE)</f>
        <v>332.9</v>
      </c>
      <c r="G87" s="680"/>
      <c r="H87" s="680"/>
      <c r="I87" s="755"/>
      <c r="J87" s="682">
        <f t="shared" si="39"/>
        <v>332.9</v>
      </c>
      <c r="K87" s="683"/>
      <c r="L87" s="684"/>
      <c r="M87" s="753"/>
      <c r="N87" s="683">
        <v>0</v>
      </c>
      <c r="O87" s="686"/>
      <c r="P87" s="683">
        <v>0</v>
      </c>
      <c r="Q87" s="687">
        <f t="shared" si="1"/>
        <v>0</v>
      </c>
      <c r="R87" s="688">
        <v>0</v>
      </c>
      <c r="S87" s="693"/>
      <c r="T87" s="690">
        <f t="shared" si="40"/>
        <v>0</v>
      </c>
      <c r="U87" s="683"/>
      <c r="V87" s="474">
        <f t="shared" si="41"/>
        <v>0</v>
      </c>
      <c r="W87" s="474">
        <f t="shared" si="42"/>
        <v>0</v>
      </c>
      <c r="X87" s="475">
        <f t="shared" si="43"/>
        <v>0</v>
      </c>
      <c r="Y87" s="475">
        <v>0</v>
      </c>
      <c r="Z87" s="476">
        <v>0</v>
      </c>
      <c r="AA87" s="38">
        <f t="shared" si="44"/>
        <v>0</v>
      </c>
      <c r="AB87" s="692">
        <f t="shared" si="33"/>
        <v>0</v>
      </c>
      <c r="AC87" s="692">
        <f t="shared" si="34"/>
        <v>332.9</v>
      </c>
      <c r="AD87" s="692">
        <f t="shared" si="35"/>
        <v>0</v>
      </c>
      <c r="AE87" s="38"/>
      <c r="AF87" s="692">
        <f t="shared" si="36"/>
        <v>0</v>
      </c>
      <c r="AG87" s="692">
        <f t="shared" si="37"/>
        <v>0</v>
      </c>
      <c r="AH87" s="692">
        <f t="shared" si="38"/>
        <v>0</v>
      </c>
    </row>
    <row r="88" spans="1:34">
      <c r="A88" s="20"/>
      <c r="B88" s="20" t="s">
        <v>110</v>
      </c>
      <c r="C88" s="667" t="s">
        <v>541</v>
      </c>
      <c r="D88" s="351" t="s">
        <v>507</v>
      </c>
      <c r="E88" s="679"/>
      <c r="F88" s="529">
        <f>VLOOKUP(D88,'June 2012 DMV Revenue'!D:T,17,FALSE)</f>
        <v>0</v>
      </c>
      <c r="G88" s="680"/>
      <c r="H88" s="680"/>
      <c r="I88" s="755"/>
      <c r="J88" s="682">
        <f t="shared" si="39"/>
        <v>0</v>
      </c>
      <c r="K88" s="683"/>
      <c r="L88" s="684"/>
      <c r="M88" s="753"/>
      <c r="N88" s="683">
        <v>0</v>
      </c>
      <c r="O88" s="686"/>
      <c r="P88" s="683">
        <v>0</v>
      </c>
      <c r="Q88" s="687">
        <f t="shared" si="1"/>
        <v>0</v>
      </c>
      <c r="R88" s="688">
        <v>263.24</v>
      </c>
      <c r="S88" s="693"/>
      <c r="T88" s="690">
        <f t="shared" si="40"/>
        <v>263.24</v>
      </c>
      <c r="U88" s="683"/>
      <c r="V88" s="474">
        <f t="shared" si="41"/>
        <v>0</v>
      </c>
      <c r="W88" s="474">
        <f t="shared" si="42"/>
        <v>0</v>
      </c>
      <c r="X88" s="475">
        <f t="shared" si="43"/>
        <v>0</v>
      </c>
      <c r="Y88" s="475">
        <v>0</v>
      </c>
      <c r="Z88" s="476">
        <v>0</v>
      </c>
      <c r="AA88" s="38">
        <f t="shared" si="44"/>
        <v>0</v>
      </c>
      <c r="AB88" s="692">
        <f t="shared" si="33"/>
        <v>0</v>
      </c>
      <c r="AC88" s="692">
        <f t="shared" si="34"/>
        <v>0</v>
      </c>
      <c r="AD88" s="692">
        <f t="shared" si="35"/>
        <v>0</v>
      </c>
      <c r="AE88" s="38"/>
      <c r="AF88" s="692">
        <f t="shared" si="36"/>
        <v>0</v>
      </c>
      <c r="AG88" s="692">
        <f t="shared" si="37"/>
        <v>0</v>
      </c>
      <c r="AH88" s="692">
        <f t="shared" si="38"/>
        <v>0</v>
      </c>
    </row>
    <row r="89" spans="1:34">
      <c r="A89" s="20"/>
      <c r="B89" s="20" t="s">
        <v>110</v>
      </c>
      <c r="C89" s="667" t="s">
        <v>541</v>
      </c>
      <c r="D89" s="351" t="s">
        <v>506</v>
      </c>
      <c r="E89" s="679"/>
      <c r="F89" s="529">
        <f>VLOOKUP(D89,'June 2012 DMV Revenue'!D:T,17,FALSE)</f>
        <v>0</v>
      </c>
      <c r="G89" s="680"/>
      <c r="H89" s="680"/>
      <c r="I89" s="755"/>
      <c r="J89" s="682">
        <f t="shared" si="39"/>
        <v>0</v>
      </c>
      <c r="K89" s="683"/>
      <c r="L89" s="684"/>
      <c r="M89" s="753"/>
      <c r="N89" s="683">
        <v>0</v>
      </c>
      <c r="O89" s="686"/>
      <c r="P89" s="683">
        <v>0</v>
      </c>
      <c r="Q89" s="687">
        <f t="shared" si="1"/>
        <v>0</v>
      </c>
      <c r="R89" s="688">
        <v>151.09</v>
      </c>
      <c r="S89" s="693"/>
      <c r="T89" s="690">
        <f t="shared" si="40"/>
        <v>151.09</v>
      </c>
      <c r="U89" s="683"/>
      <c r="V89" s="474">
        <f t="shared" si="41"/>
        <v>0</v>
      </c>
      <c r="W89" s="474">
        <f t="shared" si="42"/>
        <v>0</v>
      </c>
      <c r="X89" s="475">
        <f t="shared" si="43"/>
        <v>0</v>
      </c>
      <c r="Y89" s="475">
        <v>0</v>
      </c>
      <c r="Z89" s="476">
        <v>0</v>
      </c>
      <c r="AA89" s="38">
        <f t="shared" si="44"/>
        <v>0</v>
      </c>
      <c r="AB89" s="692">
        <f t="shared" si="33"/>
        <v>0</v>
      </c>
      <c r="AC89" s="692">
        <f t="shared" si="34"/>
        <v>0</v>
      </c>
      <c r="AD89" s="692">
        <f t="shared" si="35"/>
        <v>0</v>
      </c>
      <c r="AE89" s="38"/>
      <c r="AF89" s="692">
        <f t="shared" si="36"/>
        <v>0</v>
      </c>
      <c r="AG89" s="692">
        <f t="shared" si="37"/>
        <v>0</v>
      </c>
      <c r="AH89" s="692">
        <f t="shared" si="38"/>
        <v>0</v>
      </c>
    </row>
    <row r="90" spans="1:34">
      <c r="A90" s="20"/>
      <c r="B90" s="20" t="s">
        <v>110</v>
      </c>
      <c r="C90" s="667" t="s">
        <v>542</v>
      </c>
      <c r="D90" s="68" t="s">
        <v>305</v>
      </c>
      <c r="E90" s="679"/>
      <c r="F90" s="529">
        <f>VLOOKUP(D90,'June 2012 DMV Revenue'!D:T,17,FALSE)</f>
        <v>0</v>
      </c>
      <c r="G90" s="680"/>
      <c r="H90" s="680"/>
      <c r="I90" s="755"/>
      <c r="J90" s="682">
        <f t="shared" si="39"/>
        <v>0</v>
      </c>
      <c r="K90" s="683"/>
      <c r="L90" s="684"/>
      <c r="M90" s="753"/>
      <c r="N90" s="683">
        <v>0</v>
      </c>
      <c r="O90" s="686"/>
      <c r="P90" s="683">
        <v>0</v>
      </c>
      <c r="Q90" s="687">
        <f t="shared" si="1"/>
        <v>0</v>
      </c>
      <c r="R90" s="688">
        <v>594.27</v>
      </c>
      <c r="S90" s="693"/>
      <c r="T90" s="690">
        <f t="shared" si="40"/>
        <v>594.27</v>
      </c>
      <c r="U90" s="683"/>
      <c r="V90" s="474">
        <f t="shared" si="41"/>
        <v>0</v>
      </c>
      <c r="W90" s="474">
        <f t="shared" si="42"/>
        <v>0</v>
      </c>
      <c r="X90" s="475">
        <f t="shared" si="43"/>
        <v>0</v>
      </c>
      <c r="Y90" s="475">
        <v>0</v>
      </c>
      <c r="Z90" s="476">
        <v>0</v>
      </c>
      <c r="AA90" s="38">
        <f t="shared" si="44"/>
        <v>0</v>
      </c>
      <c r="AB90" s="692">
        <f t="shared" si="33"/>
        <v>0</v>
      </c>
      <c r="AC90" s="692">
        <f t="shared" si="34"/>
        <v>0</v>
      </c>
      <c r="AD90" s="692">
        <f t="shared" si="35"/>
        <v>0</v>
      </c>
      <c r="AE90" s="38"/>
      <c r="AF90" s="692">
        <f t="shared" si="36"/>
        <v>0</v>
      </c>
      <c r="AG90" s="692">
        <f t="shared" si="37"/>
        <v>0</v>
      </c>
      <c r="AH90" s="692">
        <f t="shared" si="38"/>
        <v>0</v>
      </c>
    </row>
    <row r="91" spans="1:34">
      <c r="A91" s="20"/>
      <c r="B91" s="20" t="s">
        <v>110</v>
      </c>
      <c r="C91" s="667" t="s">
        <v>543</v>
      </c>
      <c r="D91" s="68" t="s">
        <v>199</v>
      </c>
      <c r="E91" s="679">
        <v>59.3</v>
      </c>
      <c r="F91" s="529">
        <f>VLOOKUP(D91,'June 2012 DMV Revenue'!D:T,17,FALSE)</f>
        <v>3.79</v>
      </c>
      <c r="G91" s="680"/>
      <c r="H91" s="680"/>
      <c r="I91" s="755"/>
      <c r="J91" s="682">
        <f t="shared" si="39"/>
        <v>63.089999999999996</v>
      </c>
      <c r="K91" s="683"/>
      <c r="L91" s="684"/>
      <c r="M91" s="753"/>
      <c r="N91" s="683">
        <v>0</v>
      </c>
      <c r="O91" s="686"/>
      <c r="P91" s="683">
        <v>0</v>
      </c>
      <c r="Q91" s="687">
        <f t="shared" si="1"/>
        <v>0</v>
      </c>
      <c r="R91" s="688">
        <v>286.39999999999998</v>
      </c>
      <c r="S91" s="693"/>
      <c r="T91" s="690">
        <f t="shared" si="40"/>
        <v>286.39999999999998</v>
      </c>
      <c r="U91" s="683"/>
      <c r="V91" s="474">
        <f t="shared" si="41"/>
        <v>0</v>
      </c>
      <c r="W91" s="474">
        <f t="shared" si="42"/>
        <v>0</v>
      </c>
      <c r="X91" s="475">
        <f t="shared" si="43"/>
        <v>0</v>
      </c>
      <c r="Y91" s="475">
        <v>0</v>
      </c>
      <c r="Z91" s="476">
        <v>0</v>
      </c>
      <c r="AA91" s="38">
        <f t="shared" si="44"/>
        <v>0</v>
      </c>
      <c r="AB91" s="692">
        <f t="shared" si="33"/>
        <v>63.089999999999996</v>
      </c>
      <c r="AC91" s="692">
        <f t="shared" si="34"/>
        <v>0</v>
      </c>
      <c r="AD91" s="692">
        <f t="shared" si="35"/>
        <v>0</v>
      </c>
      <c r="AE91" s="38"/>
      <c r="AF91" s="692">
        <f t="shared" si="36"/>
        <v>0</v>
      </c>
      <c r="AG91" s="692">
        <f t="shared" si="37"/>
        <v>0</v>
      </c>
      <c r="AH91" s="692">
        <f t="shared" si="38"/>
        <v>0</v>
      </c>
    </row>
    <row r="92" spans="1:34">
      <c r="A92" s="20"/>
      <c r="B92" s="20" t="s">
        <v>110</v>
      </c>
      <c r="C92" s="667" t="s">
        <v>543</v>
      </c>
      <c r="D92" s="68" t="s">
        <v>200</v>
      </c>
      <c r="E92" s="679">
        <v>83.3</v>
      </c>
      <c r="F92" s="529">
        <f>VLOOKUP(D92,'June 2012 DMV Revenue'!D:T,17,FALSE)</f>
        <v>93.8</v>
      </c>
      <c r="G92" s="680"/>
      <c r="H92" s="680"/>
      <c r="I92" s="755"/>
      <c r="J92" s="682">
        <f t="shared" si="39"/>
        <v>177.1</v>
      </c>
      <c r="K92" s="683"/>
      <c r="L92" s="684"/>
      <c r="M92" s="753"/>
      <c r="N92" s="683">
        <v>0</v>
      </c>
      <c r="O92" s="686"/>
      <c r="P92" s="683">
        <v>0</v>
      </c>
      <c r="Q92" s="687">
        <f t="shared" si="1"/>
        <v>0</v>
      </c>
      <c r="R92" s="688">
        <v>45.5</v>
      </c>
      <c r="S92" s="693"/>
      <c r="T92" s="690">
        <f t="shared" si="40"/>
        <v>45.5</v>
      </c>
      <c r="U92" s="683"/>
      <c r="V92" s="474">
        <f t="shared" si="41"/>
        <v>0</v>
      </c>
      <c r="W92" s="474">
        <f t="shared" si="42"/>
        <v>0</v>
      </c>
      <c r="X92" s="475">
        <f t="shared" si="43"/>
        <v>0</v>
      </c>
      <c r="Y92" s="475">
        <v>0</v>
      </c>
      <c r="Z92" s="476">
        <v>0</v>
      </c>
      <c r="AA92" s="38">
        <f t="shared" si="44"/>
        <v>0</v>
      </c>
      <c r="AB92" s="692">
        <f t="shared" si="33"/>
        <v>177.1</v>
      </c>
      <c r="AC92" s="692">
        <f t="shared" si="34"/>
        <v>0</v>
      </c>
      <c r="AD92" s="692">
        <f t="shared" si="35"/>
        <v>0</v>
      </c>
      <c r="AE92" s="38"/>
      <c r="AF92" s="692">
        <f t="shared" si="36"/>
        <v>0</v>
      </c>
      <c r="AG92" s="692">
        <f t="shared" si="37"/>
        <v>0</v>
      </c>
      <c r="AH92" s="692">
        <f t="shared" si="38"/>
        <v>0</v>
      </c>
    </row>
    <row r="93" spans="1:34">
      <c r="A93" s="20"/>
      <c r="B93" s="20" t="s">
        <v>110</v>
      </c>
      <c r="C93" s="667" t="s">
        <v>543</v>
      </c>
      <c r="D93" s="68" t="s">
        <v>201</v>
      </c>
      <c r="E93" s="679">
        <v>3.05</v>
      </c>
      <c r="F93" s="529">
        <f>VLOOKUP(D93,'June 2012 DMV Revenue'!D:T,17,FALSE)</f>
        <v>28.18</v>
      </c>
      <c r="G93" s="680"/>
      <c r="H93" s="680"/>
      <c r="I93" s="755"/>
      <c r="J93" s="682">
        <f t="shared" si="39"/>
        <v>31.23</v>
      </c>
      <c r="K93" s="683"/>
      <c r="L93" s="684"/>
      <c r="M93" s="753"/>
      <c r="N93" s="683">
        <v>0</v>
      </c>
      <c r="O93" s="686"/>
      <c r="P93" s="683">
        <v>0</v>
      </c>
      <c r="Q93" s="687">
        <f t="shared" si="1"/>
        <v>0</v>
      </c>
      <c r="R93" s="688">
        <v>32.1</v>
      </c>
      <c r="S93" s="693"/>
      <c r="T93" s="690">
        <f t="shared" si="40"/>
        <v>32.1</v>
      </c>
      <c r="U93" s="683"/>
      <c r="V93" s="474">
        <f t="shared" si="41"/>
        <v>0</v>
      </c>
      <c r="W93" s="474">
        <f t="shared" si="42"/>
        <v>0</v>
      </c>
      <c r="X93" s="475">
        <f t="shared" si="43"/>
        <v>0</v>
      </c>
      <c r="Y93" s="475">
        <v>0</v>
      </c>
      <c r="Z93" s="476">
        <v>0</v>
      </c>
      <c r="AA93" s="38">
        <f t="shared" si="44"/>
        <v>0</v>
      </c>
      <c r="AB93" s="692">
        <f t="shared" si="33"/>
        <v>31.23</v>
      </c>
      <c r="AC93" s="692">
        <f t="shared" si="34"/>
        <v>0</v>
      </c>
      <c r="AD93" s="692">
        <f t="shared" si="35"/>
        <v>0</v>
      </c>
      <c r="AE93" s="38"/>
      <c r="AF93" s="692">
        <f t="shared" si="36"/>
        <v>0</v>
      </c>
      <c r="AG93" s="692">
        <f t="shared" si="37"/>
        <v>0</v>
      </c>
      <c r="AH93" s="692">
        <f t="shared" si="38"/>
        <v>0</v>
      </c>
    </row>
    <row r="94" spans="1:34">
      <c r="A94" s="20" t="s">
        <v>97</v>
      </c>
      <c r="B94" s="20" t="s">
        <v>114</v>
      </c>
      <c r="C94" s="667"/>
      <c r="D94" s="68" t="s">
        <v>387</v>
      </c>
      <c r="E94" s="679"/>
      <c r="F94" s="529">
        <f>VLOOKUP(D94,'June 2012 DMV Revenue'!D:T,17,FALSE)</f>
        <v>-22500</v>
      </c>
      <c r="G94" s="680"/>
      <c r="H94" s="680"/>
      <c r="I94" s="755"/>
      <c r="J94" s="682">
        <f t="shared" si="39"/>
        <v>-22500</v>
      </c>
      <c r="K94" s="683"/>
      <c r="L94" s="684"/>
      <c r="M94" s="753">
        <v>30000</v>
      </c>
      <c r="N94" s="683">
        <v>0</v>
      </c>
      <c r="O94" s="686"/>
      <c r="P94" s="683">
        <v>0</v>
      </c>
      <c r="Q94" s="687">
        <f t="shared" si="1"/>
        <v>30000</v>
      </c>
      <c r="R94" s="688">
        <v>11915.6</v>
      </c>
      <c r="S94" s="693"/>
      <c r="T94" s="690">
        <f t="shared" si="40"/>
        <v>-18084.400000000001</v>
      </c>
      <c r="U94" s="683"/>
      <c r="V94" s="474">
        <f t="shared" si="41"/>
        <v>0</v>
      </c>
      <c r="W94" s="474">
        <f t="shared" si="42"/>
        <v>0</v>
      </c>
      <c r="X94" s="475">
        <f t="shared" si="43"/>
        <v>30000</v>
      </c>
      <c r="Y94" s="475">
        <v>0</v>
      </c>
      <c r="Z94" s="476">
        <v>0</v>
      </c>
      <c r="AA94" s="38">
        <f t="shared" si="44"/>
        <v>0</v>
      </c>
      <c r="AB94" s="692">
        <f t="shared" si="33"/>
        <v>0</v>
      </c>
      <c r="AC94" s="692">
        <f t="shared" si="34"/>
        <v>0</v>
      </c>
      <c r="AD94" s="692">
        <f t="shared" si="35"/>
        <v>-22500</v>
      </c>
      <c r="AE94" s="38"/>
      <c r="AF94" s="692">
        <f t="shared" si="36"/>
        <v>0</v>
      </c>
      <c r="AG94" s="692">
        <f t="shared" si="37"/>
        <v>0</v>
      </c>
      <c r="AH94" s="692">
        <f t="shared" si="38"/>
        <v>30000</v>
      </c>
    </row>
    <row r="95" spans="1:34">
      <c r="A95" s="20" t="s">
        <v>97</v>
      </c>
      <c r="B95" s="20" t="s">
        <v>114</v>
      </c>
      <c r="C95" s="667"/>
      <c r="D95" s="68" t="s">
        <v>482</v>
      </c>
      <c r="E95" s="679"/>
      <c r="F95" s="529">
        <f>VLOOKUP(D95,'June 2012 DMV Revenue'!D:T,17,FALSE)</f>
        <v>0</v>
      </c>
      <c r="G95" s="680"/>
      <c r="H95" s="680"/>
      <c r="I95" s="755"/>
      <c r="J95" s="682">
        <f t="shared" si="39"/>
        <v>0</v>
      </c>
      <c r="K95" s="683"/>
      <c r="L95" s="684"/>
      <c r="M95" s="753"/>
      <c r="N95" s="683"/>
      <c r="O95" s="686"/>
      <c r="P95" s="683"/>
      <c r="Q95" s="687">
        <f t="shared" si="1"/>
        <v>0</v>
      </c>
      <c r="R95" s="688">
        <v>0</v>
      </c>
      <c r="S95" s="693"/>
      <c r="T95" s="690">
        <f t="shared" si="40"/>
        <v>0</v>
      </c>
      <c r="U95" s="683"/>
      <c r="V95" s="474">
        <f t="shared" si="41"/>
        <v>0</v>
      </c>
      <c r="W95" s="474">
        <f t="shared" si="42"/>
        <v>0</v>
      </c>
      <c r="X95" s="475">
        <f t="shared" si="43"/>
        <v>0</v>
      </c>
      <c r="Y95" s="475">
        <v>0</v>
      </c>
      <c r="Z95" s="476">
        <v>0</v>
      </c>
      <c r="AA95" s="38">
        <f t="shared" si="44"/>
        <v>0</v>
      </c>
      <c r="AB95" s="692">
        <f t="shared" si="33"/>
        <v>0</v>
      </c>
      <c r="AC95" s="692">
        <f t="shared" si="34"/>
        <v>0</v>
      </c>
      <c r="AD95" s="692">
        <f t="shared" si="35"/>
        <v>0</v>
      </c>
      <c r="AE95" s="38"/>
      <c r="AF95" s="692">
        <f t="shared" si="36"/>
        <v>0</v>
      </c>
      <c r="AG95" s="692">
        <f t="shared" si="37"/>
        <v>0</v>
      </c>
      <c r="AH95" s="692">
        <f t="shared" si="38"/>
        <v>0</v>
      </c>
    </row>
    <row r="96" spans="1:34">
      <c r="A96" s="20" t="s">
        <v>109</v>
      </c>
      <c r="B96" s="20" t="s">
        <v>109</v>
      </c>
      <c r="C96" s="667"/>
      <c r="D96" s="68" t="s">
        <v>66</v>
      </c>
      <c r="E96" s="679"/>
      <c r="F96" s="529">
        <f>VLOOKUP(D96,'June 2012 DMV Revenue'!D:T,17,FALSE)</f>
        <v>0</v>
      </c>
      <c r="G96" s="680"/>
      <c r="H96" s="680"/>
      <c r="I96" s="755"/>
      <c r="J96" s="682">
        <f t="shared" si="39"/>
        <v>0</v>
      </c>
      <c r="K96" s="683"/>
      <c r="L96" s="684"/>
      <c r="M96" s="753"/>
      <c r="N96" s="683">
        <v>0</v>
      </c>
      <c r="O96" s="686"/>
      <c r="P96" s="683">
        <v>0</v>
      </c>
      <c r="Q96" s="687">
        <f t="shared" si="1"/>
        <v>0</v>
      </c>
      <c r="R96" s="688">
        <v>0</v>
      </c>
      <c r="S96" s="693"/>
      <c r="T96" s="690">
        <f t="shared" si="40"/>
        <v>0</v>
      </c>
      <c r="U96" s="683"/>
      <c r="V96" s="474">
        <f t="shared" si="41"/>
        <v>0</v>
      </c>
      <c r="W96" s="474">
        <f t="shared" si="42"/>
        <v>0</v>
      </c>
      <c r="X96" s="475">
        <f t="shared" si="43"/>
        <v>0</v>
      </c>
      <c r="Y96" s="475">
        <v>0</v>
      </c>
      <c r="Z96" s="476">
        <v>0</v>
      </c>
      <c r="AA96" s="38">
        <f t="shared" si="44"/>
        <v>0</v>
      </c>
      <c r="AB96" s="692">
        <f t="shared" si="33"/>
        <v>0</v>
      </c>
      <c r="AC96" s="692">
        <f t="shared" si="34"/>
        <v>0</v>
      </c>
      <c r="AD96" s="692">
        <f t="shared" si="35"/>
        <v>0</v>
      </c>
      <c r="AE96" s="38"/>
      <c r="AF96" s="692">
        <f t="shared" si="36"/>
        <v>0</v>
      </c>
      <c r="AG96" s="692">
        <f t="shared" si="37"/>
        <v>0</v>
      </c>
      <c r="AH96" s="692">
        <f t="shared" si="38"/>
        <v>0</v>
      </c>
    </row>
    <row r="97" spans="1:34">
      <c r="A97" s="20" t="s">
        <v>109</v>
      </c>
      <c r="B97" s="20" t="s">
        <v>109</v>
      </c>
      <c r="C97" s="667" t="s">
        <v>544</v>
      </c>
      <c r="D97" s="68" t="s">
        <v>383</v>
      </c>
      <c r="E97" s="679">
        <f>193.17+308.98</f>
        <v>502.15</v>
      </c>
      <c r="F97" s="529">
        <f>VLOOKUP(D97,'June 2012 DMV Revenue'!D:T,17,FALSE)</f>
        <v>213.17</v>
      </c>
      <c r="G97" s="680"/>
      <c r="H97" s="680"/>
      <c r="I97" s="770">
        <v>341.81</v>
      </c>
      <c r="J97" s="682">
        <f t="shared" si="39"/>
        <v>1057.1299999999999</v>
      </c>
      <c r="K97" s="683"/>
      <c r="L97" s="684"/>
      <c r="M97" s="753"/>
      <c r="N97" s="683">
        <v>0</v>
      </c>
      <c r="O97" s="686"/>
      <c r="P97" s="683">
        <v>0</v>
      </c>
      <c r="Q97" s="687">
        <f t="shared" si="1"/>
        <v>0</v>
      </c>
      <c r="R97" s="688">
        <v>0</v>
      </c>
      <c r="S97" s="693"/>
      <c r="T97" s="690">
        <f t="shared" si="40"/>
        <v>0</v>
      </c>
      <c r="U97" s="683"/>
      <c r="V97" s="474">
        <f t="shared" si="41"/>
        <v>0</v>
      </c>
      <c r="W97" s="474">
        <f t="shared" si="42"/>
        <v>0</v>
      </c>
      <c r="X97" s="475">
        <f t="shared" si="43"/>
        <v>0</v>
      </c>
      <c r="Y97" s="475">
        <v>0</v>
      </c>
      <c r="Z97" s="476">
        <v>0</v>
      </c>
      <c r="AA97" s="38">
        <f t="shared" si="44"/>
        <v>0</v>
      </c>
      <c r="AB97" s="692">
        <f t="shared" si="33"/>
        <v>0</v>
      </c>
      <c r="AC97" s="692">
        <f t="shared" si="34"/>
        <v>1057.1299999999999</v>
      </c>
      <c r="AD97" s="692">
        <f t="shared" si="35"/>
        <v>0</v>
      </c>
      <c r="AE97" s="38"/>
      <c r="AF97" s="692">
        <f t="shared" si="36"/>
        <v>0</v>
      </c>
      <c r="AG97" s="692">
        <f t="shared" si="37"/>
        <v>0</v>
      </c>
      <c r="AH97" s="692">
        <f t="shared" si="38"/>
        <v>0</v>
      </c>
    </row>
    <row r="98" spans="1:34">
      <c r="A98" s="21" t="s">
        <v>109</v>
      </c>
      <c r="B98" s="21" t="s">
        <v>110</v>
      </c>
      <c r="C98" s="666"/>
      <c r="D98" s="68" t="s">
        <v>65</v>
      </c>
      <c r="E98" s="679"/>
      <c r="F98" s="529">
        <f>VLOOKUP(D98,'June 2012 DMV Revenue'!D:T,17,FALSE)</f>
        <v>0</v>
      </c>
      <c r="G98" s="680"/>
      <c r="H98" s="680"/>
      <c r="I98" s="755"/>
      <c r="J98" s="682">
        <f t="shared" si="39"/>
        <v>0</v>
      </c>
      <c r="K98" s="683"/>
      <c r="L98" s="684"/>
      <c r="M98" s="753"/>
      <c r="N98" s="683">
        <v>0</v>
      </c>
      <c r="O98" s="686"/>
      <c r="P98" s="683">
        <v>0</v>
      </c>
      <c r="Q98" s="687">
        <f t="shared" si="1"/>
        <v>0</v>
      </c>
      <c r="R98" s="688">
        <v>0</v>
      </c>
      <c r="S98" s="693"/>
      <c r="T98" s="690">
        <f t="shared" si="40"/>
        <v>0</v>
      </c>
      <c r="U98" s="683"/>
      <c r="V98" s="474">
        <f t="shared" si="41"/>
        <v>0</v>
      </c>
      <c r="W98" s="474">
        <f t="shared" si="42"/>
        <v>0</v>
      </c>
      <c r="X98" s="475">
        <f t="shared" si="43"/>
        <v>0</v>
      </c>
      <c r="Y98" s="475">
        <v>0</v>
      </c>
      <c r="Z98" s="476">
        <v>0</v>
      </c>
      <c r="AA98" s="38">
        <f t="shared" si="44"/>
        <v>0</v>
      </c>
      <c r="AB98" s="692">
        <f t="shared" si="33"/>
        <v>0</v>
      </c>
      <c r="AC98" s="692">
        <f t="shared" si="34"/>
        <v>0</v>
      </c>
      <c r="AD98" s="692">
        <f t="shared" si="35"/>
        <v>0</v>
      </c>
      <c r="AE98" s="38"/>
      <c r="AF98" s="692">
        <f t="shared" si="36"/>
        <v>0</v>
      </c>
      <c r="AG98" s="692">
        <f t="shared" si="37"/>
        <v>0</v>
      </c>
      <c r="AH98" s="692">
        <f t="shared" si="38"/>
        <v>0</v>
      </c>
    </row>
    <row r="99" spans="1:34">
      <c r="A99" s="21" t="s">
        <v>211</v>
      </c>
      <c r="B99" s="21" t="s">
        <v>109</v>
      </c>
      <c r="C99" s="666" t="s">
        <v>545</v>
      </c>
      <c r="D99" s="68" t="s">
        <v>181</v>
      </c>
      <c r="E99" s="679"/>
      <c r="F99" s="529">
        <f>VLOOKUP(D99,'June 2012 DMV Revenue'!D:T,17,FALSE)</f>
        <v>-10000</v>
      </c>
      <c r="G99" s="680"/>
      <c r="H99" s="680"/>
      <c r="I99" s="755"/>
      <c r="J99" s="682">
        <f t="shared" si="39"/>
        <v>-10000</v>
      </c>
      <c r="K99" s="683"/>
      <c r="L99" s="684"/>
      <c r="M99" s="753">
        <v>10000</v>
      </c>
      <c r="N99" s="683">
        <v>0</v>
      </c>
      <c r="O99" s="686"/>
      <c r="P99" s="683">
        <v>0</v>
      </c>
      <c r="Q99" s="687">
        <f t="shared" si="1"/>
        <v>10000</v>
      </c>
      <c r="R99" s="688">
        <v>0</v>
      </c>
      <c r="S99" s="693"/>
      <c r="T99" s="690">
        <f t="shared" si="40"/>
        <v>-10000</v>
      </c>
      <c r="U99" s="683"/>
      <c r="V99" s="474">
        <f t="shared" si="41"/>
        <v>0</v>
      </c>
      <c r="W99" s="474">
        <f t="shared" si="42"/>
        <v>10000</v>
      </c>
      <c r="X99" s="475">
        <f t="shared" si="43"/>
        <v>0</v>
      </c>
      <c r="Y99" s="475">
        <v>0</v>
      </c>
      <c r="Z99" s="476">
        <v>0</v>
      </c>
      <c r="AA99" s="38">
        <f t="shared" si="44"/>
        <v>0</v>
      </c>
      <c r="AB99" s="692">
        <f t="shared" si="33"/>
        <v>0</v>
      </c>
      <c r="AC99" s="692">
        <f t="shared" si="34"/>
        <v>-10000</v>
      </c>
      <c r="AD99" s="692">
        <f t="shared" si="35"/>
        <v>0</v>
      </c>
      <c r="AE99" s="38"/>
      <c r="AF99" s="692">
        <f t="shared" si="36"/>
        <v>0</v>
      </c>
      <c r="AG99" s="692">
        <f t="shared" si="37"/>
        <v>10000</v>
      </c>
      <c r="AH99" s="692">
        <f t="shared" si="38"/>
        <v>0</v>
      </c>
    </row>
    <row r="100" spans="1:34">
      <c r="A100" s="21" t="s">
        <v>211</v>
      </c>
      <c r="B100" s="21" t="s">
        <v>110</v>
      </c>
      <c r="C100" s="666"/>
      <c r="D100" s="68" t="s">
        <v>504</v>
      </c>
      <c r="E100" s="679"/>
      <c r="F100" s="529">
        <f>VLOOKUP(D100,'June 2012 DMV Revenue'!D:T,17,FALSE)</f>
        <v>0</v>
      </c>
      <c r="G100" s="680"/>
      <c r="H100" s="680"/>
      <c r="I100" s="755"/>
      <c r="J100" s="682">
        <f t="shared" si="39"/>
        <v>0</v>
      </c>
      <c r="K100" s="683"/>
      <c r="L100" s="684"/>
      <c r="M100" s="753"/>
      <c r="N100" s="683">
        <v>0</v>
      </c>
      <c r="O100" s="686"/>
      <c r="P100" s="683">
        <v>0</v>
      </c>
      <c r="Q100" s="687">
        <f t="shared" si="1"/>
        <v>0</v>
      </c>
      <c r="R100" s="688">
        <v>0</v>
      </c>
      <c r="S100" s="693"/>
      <c r="T100" s="690">
        <f t="shared" si="40"/>
        <v>0</v>
      </c>
      <c r="U100" s="683"/>
      <c r="V100" s="474">
        <f t="shared" si="41"/>
        <v>0</v>
      </c>
      <c r="W100" s="474">
        <f t="shared" si="42"/>
        <v>0</v>
      </c>
      <c r="X100" s="475">
        <f t="shared" si="43"/>
        <v>0</v>
      </c>
      <c r="Y100" s="475">
        <v>0</v>
      </c>
      <c r="Z100" s="476">
        <v>0</v>
      </c>
      <c r="AA100" s="38">
        <f t="shared" si="44"/>
        <v>0</v>
      </c>
      <c r="AB100" s="692">
        <f t="shared" si="33"/>
        <v>0</v>
      </c>
      <c r="AC100" s="692">
        <f t="shared" si="34"/>
        <v>0</v>
      </c>
      <c r="AD100" s="692">
        <f t="shared" si="35"/>
        <v>0</v>
      </c>
      <c r="AE100" s="38"/>
      <c r="AF100" s="692">
        <f t="shared" si="36"/>
        <v>0</v>
      </c>
      <c r="AG100" s="692">
        <f t="shared" si="37"/>
        <v>0</v>
      </c>
      <c r="AH100" s="692">
        <f t="shared" si="38"/>
        <v>0</v>
      </c>
    </row>
    <row r="101" spans="1:34">
      <c r="A101" s="20" t="s">
        <v>211</v>
      </c>
      <c r="B101" s="20" t="s">
        <v>109</v>
      </c>
      <c r="C101" s="667" t="s">
        <v>546</v>
      </c>
      <c r="D101" s="68" t="s">
        <v>142</v>
      </c>
      <c r="E101" s="679"/>
      <c r="F101" s="529">
        <f>VLOOKUP(D101,'June 2012 DMV Revenue'!D:T,17,FALSE)</f>
        <v>2045.24</v>
      </c>
      <c r="G101" s="680"/>
      <c r="H101" s="680"/>
      <c r="I101" s="755"/>
      <c r="J101" s="682">
        <f t="shared" si="39"/>
        <v>2045.24</v>
      </c>
      <c r="K101" s="683"/>
      <c r="L101" s="684"/>
      <c r="M101" s="753"/>
      <c r="N101" s="683">
        <v>0</v>
      </c>
      <c r="O101" s="686"/>
      <c r="P101" s="683">
        <v>0</v>
      </c>
      <c r="Q101" s="687">
        <f t="shared" si="1"/>
        <v>0</v>
      </c>
      <c r="R101" s="688">
        <v>0</v>
      </c>
      <c r="S101" s="693"/>
      <c r="T101" s="690">
        <f t="shared" si="40"/>
        <v>0</v>
      </c>
      <c r="U101" s="697"/>
      <c r="V101" s="474">
        <f t="shared" si="41"/>
        <v>0</v>
      </c>
      <c r="W101" s="474">
        <f t="shared" si="42"/>
        <v>0</v>
      </c>
      <c r="X101" s="475">
        <f t="shared" si="43"/>
        <v>0</v>
      </c>
      <c r="Y101" s="475">
        <v>0</v>
      </c>
      <c r="Z101" s="476">
        <v>0</v>
      </c>
      <c r="AA101" s="38">
        <f t="shared" si="44"/>
        <v>0</v>
      </c>
      <c r="AB101" s="692">
        <f t="shared" si="33"/>
        <v>0</v>
      </c>
      <c r="AC101" s="692">
        <f t="shared" si="34"/>
        <v>2045.24</v>
      </c>
      <c r="AD101" s="692">
        <f t="shared" si="35"/>
        <v>0</v>
      </c>
      <c r="AE101" s="38"/>
      <c r="AF101" s="692">
        <f t="shared" si="36"/>
        <v>0</v>
      </c>
      <c r="AG101" s="692">
        <f t="shared" si="37"/>
        <v>0</v>
      </c>
      <c r="AH101" s="692">
        <f t="shared" si="38"/>
        <v>0</v>
      </c>
    </row>
    <row r="102" spans="1:34">
      <c r="A102" s="20" t="s">
        <v>211</v>
      </c>
      <c r="B102" s="20" t="s">
        <v>109</v>
      </c>
      <c r="C102" s="667" t="s">
        <v>546</v>
      </c>
      <c r="D102" s="68" t="s">
        <v>143</v>
      </c>
      <c r="E102" s="679"/>
      <c r="F102" s="529">
        <f>VLOOKUP(D102,'June 2012 DMV Revenue'!D:T,17,FALSE)</f>
        <v>132.66</v>
      </c>
      <c r="G102" s="680"/>
      <c r="H102" s="680"/>
      <c r="I102" s="755"/>
      <c r="J102" s="682">
        <f t="shared" si="39"/>
        <v>132.66</v>
      </c>
      <c r="K102" s="683"/>
      <c r="L102" s="684"/>
      <c r="M102" s="753"/>
      <c r="N102" s="683">
        <v>0</v>
      </c>
      <c r="O102" s="686"/>
      <c r="P102" s="683">
        <v>0</v>
      </c>
      <c r="Q102" s="687">
        <f t="shared" si="1"/>
        <v>0</v>
      </c>
      <c r="R102" s="688">
        <v>0</v>
      </c>
      <c r="S102" s="693"/>
      <c r="T102" s="690">
        <f t="shared" si="40"/>
        <v>0</v>
      </c>
      <c r="U102" s="697"/>
      <c r="V102" s="474">
        <f t="shared" si="41"/>
        <v>0</v>
      </c>
      <c r="W102" s="474">
        <f t="shared" si="42"/>
        <v>0</v>
      </c>
      <c r="X102" s="475">
        <f t="shared" si="43"/>
        <v>0</v>
      </c>
      <c r="Y102" s="475">
        <v>0</v>
      </c>
      <c r="Z102" s="476">
        <v>0</v>
      </c>
      <c r="AA102" s="38">
        <f t="shared" si="44"/>
        <v>0</v>
      </c>
      <c r="AB102" s="692">
        <f t="shared" si="33"/>
        <v>0</v>
      </c>
      <c r="AC102" s="692">
        <f t="shared" si="34"/>
        <v>132.66</v>
      </c>
      <c r="AD102" s="692">
        <f t="shared" si="35"/>
        <v>0</v>
      </c>
      <c r="AE102" s="38"/>
      <c r="AF102" s="692">
        <f t="shared" si="36"/>
        <v>0</v>
      </c>
      <c r="AG102" s="692">
        <f t="shared" si="37"/>
        <v>0</v>
      </c>
      <c r="AH102" s="692">
        <f t="shared" si="38"/>
        <v>0</v>
      </c>
    </row>
    <row r="103" spans="1:34">
      <c r="A103" s="20" t="s">
        <v>109</v>
      </c>
      <c r="B103" s="20" t="s">
        <v>109</v>
      </c>
      <c r="C103" s="667"/>
      <c r="D103" s="68" t="s">
        <v>498</v>
      </c>
      <c r="E103" s="679"/>
      <c r="F103" s="529">
        <f>VLOOKUP(D103,'June 2012 DMV Revenue'!D:T,17,FALSE)</f>
        <v>0</v>
      </c>
      <c r="G103" s="680"/>
      <c r="H103" s="680"/>
      <c r="I103" s="755"/>
      <c r="J103" s="682">
        <f t="shared" si="39"/>
        <v>0</v>
      </c>
      <c r="K103" s="683"/>
      <c r="L103" s="684"/>
      <c r="M103" s="753"/>
      <c r="N103" s="683">
        <v>0</v>
      </c>
      <c r="O103" s="686"/>
      <c r="P103" s="683">
        <v>0</v>
      </c>
      <c r="Q103" s="687">
        <f t="shared" si="1"/>
        <v>0</v>
      </c>
      <c r="R103" s="688">
        <v>0</v>
      </c>
      <c r="S103" s="693"/>
      <c r="T103" s="690">
        <f t="shared" si="40"/>
        <v>0</v>
      </c>
      <c r="U103" s="683"/>
      <c r="V103" s="474">
        <f t="shared" si="41"/>
        <v>0</v>
      </c>
      <c r="W103" s="474">
        <f t="shared" si="42"/>
        <v>0</v>
      </c>
      <c r="X103" s="475">
        <f t="shared" si="43"/>
        <v>0</v>
      </c>
      <c r="Y103" s="475">
        <v>0</v>
      </c>
      <c r="Z103" s="476">
        <v>0</v>
      </c>
      <c r="AA103" s="38">
        <f t="shared" si="44"/>
        <v>0</v>
      </c>
      <c r="AB103" s="692">
        <f t="shared" si="33"/>
        <v>0</v>
      </c>
      <c r="AC103" s="692">
        <f t="shared" si="34"/>
        <v>0</v>
      </c>
      <c r="AD103" s="692">
        <f t="shared" si="35"/>
        <v>0</v>
      </c>
      <c r="AE103" s="38"/>
      <c r="AF103" s="692">
        <f t="shared" si="36"/>
        <v>0</v>
      </c>
      <c r="AG103" s="692">
        <f t="shared" si="37"/>
        <v>0</v>
      </c>
      <c r="AH103" s="692">
        <f t="shared" si="38"/>
        <v>0</v>
      </c>
    </row>
    <row r="104" spans="1:34">
      <c r="A104" s="21"/>
      <c r="B104" s="21" t="s">
        <v>110</v>
      </c>
      <c r="C104" s="666"/>
      <c r="D104" s="68" t="s">
        <v>20</v>
      </c>
      <c r="E104" s="679"/>
      <c r="F104" s="529">
        <f>VLOOKUP(D104,'June 2012 DMV Revenue'!D:T,17,FALSE)</f>
        <v>0</v>
      </c>
      <c r="G104" s="680"/>
      <c r="H104" s="680"/>
      <c r="I104" s="770">
        <v>145.12</v>
      </c>
      <c r="J104" s="682">
        <f t="shared" si="39"/>
        <v>145.12</v>
      </c>
      <c r="K104" s="683"/>
      <c r="L104" s="684"/>
      <c r="M104" s="753"/>
      <c r="N104" s="683">
        <v>0</v>
      </c>
      <c r="O104" s="686"/>
      <c r="P104" s="683">
        <v>0</v>
      </c>
      <c r="Q104" s="687">
        <f t="shared" si="1"/>
        <v>0</v>
      </c>
      <c r="R104" s="688">
        <v>0</v>
      </c>
      <c r="S104" s="693"/>
      <c r="T104" s="690">
        <f t="shared" si="40"/>
        <v>0</v>
      </c>
      <c r="U104" s="683"/>
      <c r="V104" s="474">
        <f t="shared" si="41"/>
        <v>0</v>
      </c>
      <c r="W104" s="474">
        <f t="shared" si="42"/>
        <v>0</v>
      </c>
      <c r="X104" s="475">
        <f t="shared" si="43"/>
        <v>0</v>
      </c>
      <c r="Y104" s="475">
        <v>0</v>
      </c>
      <c r="Z104" s="476">
        <v>0</v>
      </c>
      <c r="AA104" s="38">
        <f t="shared" si="44"/>
        <v>0</v>
      </c>
      <c r="AB104" s="692">
        <f t="shared" si="33"/>
        <v>145.12</v>
      </c>
      <c r="AC104" s="692">
        <f t="shared" si="34"/>
        <v>0</v>
      </c>
      <c r="AD104" s="692">
        <f t="shared" si="35"/>
        <v>0</v>
      </c>
      <c r="AE104" s="38"/>
      <c r="AF104" s="692">
        <f t="shared" si="36"/>
        <v>0</v>
      </c>
      <c r="AG104" s="692">
        <f t="shared" si="37"/>
        <v>0</v>
      </c>
      <c r="AH104" s="692">
        <f t="shared" si="38"/>
        <v>0</v>
      </c>
    </row>
    <row r="105" spans="1:34">
      <c r="A105" s="21"/>
      <c r="B105" s="21" t="s">
        <v>110</v>
      </c>
      <c r="C105" s="666" t="s">
        <v>547</v>
      </c>
      <c r="D105" s="68" t="s">
        <v>203</v>
      </c>
      <c r="E105" s="679">
        <v>318.39</v>
      </c>
      <c r="F105" s="529">
        <f>VLOOKUP(D105,'June 2012 DMV Revenue'!D:T,17,FALSE)</f>
        <v>0</v>
      </c>
      <c r="G105" s="680"/>
      <c r="H105" s="680"/>
      <c r="I105" s="755"/>
      <c r="J105" s="682">
        <f t="shared" si="39"/>
        <v>318.39</v>
      </c>
      <c r="K105" s="683"/>
      <c r="L105" s="684"/>
      <c r="M105" s="753"/>
      <c r="N105" s="683">
        <v>0</v>
      </c>
      <c r="O105" s="686"/>
      <c r="P105" s="683">
        <v>0</v>
      </c>
      <c r="Q105" s="687">
        <f t="shared" si="1"/>
        <v>0</v>
      </c>
      <c r="R105" s="688">
        <v>0</v>
      </c>
      <c r="S105" s="693"/>
      <c r="T105" s="690">
        <f t="shared" si="40"/>
        <v>0</v>
      </c>
      <c r="U105" s="683"/>
      <c r="V105" s="474">
        <f t="shared" si="41"/>
        <v>0</v>
      </c>
      <c r="W105" s="474">
        <f t="shared" si="42"/>
        <v>0</v>
      </c>
      <c r="X105" s="475">
        <f t="shared" si="43"/>
        <v>0</v>
      </c>
      <c r="Y105" s="475">
        <v>0</v>
      </c>
      <c r="Z105" s="476">
        <v>0</v>
      </c>
      <c r="AA105" s="38">
        <f t="shared" si="44"/>
        <v>0</v>
      </c>
      <c r="AB105" s="692">
        <f t="shared" si="33"/>
        <v>318.39</v>
      </c>
      <c r="AC105" s="692">
        <f t="shared" si="34"/>
        <v>0</v>
      </c>
      <c r="AD105" s="692">
        <f t="shared" si="35"/>
        <v>0</v>
      </c>
      <c r="AE105" s="38"/>
      <c r="AF105" s="692">
        <f t="shared" si="36"/>
        <v>0</v>
      </c>
      <c r="AG105" s="692">
        <f t="shared" si="37"/>
        <v>0</v>
      </c>
      <c r="AH105" s="692">
        <f t="shared" si="38"/>
        <v>0</v>
      </c>
    </row>
    <row r="106" spans="1:34">
      <c r="A106" s="21"/>
      <c r="B106" s="21" t="s">
        <v>110</v>
      </c>
      <c r="C106" s="666" t="s">
        <v>547</v>
      </c>
      <c r="D106" s="68" t="s">
        <v>202</v>
      </c>
      <c r="E106" s="679"/>
      <c r="F106" s="529">
        <f>VLOOKUP(D106,'June 2012 DMV Revenue'!D:T,17,FALSE)</f>
        <v>0</v>
      </c>
      <c r="G106" s="680"/>
      <c r="H106" s="680"/>
      <c r="I106" s="755"/>
      <c r="J106" s="682">
        <f t="shared" si="39"/>
        <v>0</v>
      </c>
      <c r="K106" s="683"/>
      <c r="L106" s="684"/>
      <c r="M106" s="753"/>
      <c r="N106" s="683">
        <v>0</v>
      </c>
      <c r="O106" s="686"/>
      <c r="P106" s="683">
        <v>0</v>
      </c>
      <c r="Q106" s="687">
        <f t="shared" si="1"/>
        <v>0</v>
      </c>
      <c r="R106" s="688">
        <v>0</v>
      </c>
      <c r="S106" s="693"/>
      <c r="T106" s="690">
        <f t="shared" si="40"/>
        <v>0</v>
      </c>
      <c r="U106" s="683"/>
      <c r="V106" s="474">
        <f t="shared" si="41"/>
        <v>0</v>
      </c>
      <c r="W106" s="474">
        <f t="shared" si="42"/>
        <v>0</v>
      </c>
      <c r="X106" s="475">
        <f t="shared" si="43"/>
        <v>0</v>
      </c>
      <c r="Y106" s="475">
        <v>0</v>
      </c>
      <c r="Z106" s="476">
        <v>0</v>
      </c>
      <c r="AA106" s="38">
        <f t="shared" si="44"/>
        <v>0</v>
      </c>
      <c r="AB106" s="692">
        <f t="shared" si="33"/>
        <v>0</v>
      </c>
      <c r="AC106" s="692">
        <f t="shared" si="34"/>
        <v>0</v>
      </c>
      <c r="AD106" s="692">
        <f t="shared" si="35"/>
        <v>0</v>
      </c>
      <c r="AE106" s="38"/>
      <c r="AF106" s="692">
        <f t="shared" si="36"/>
        <v>0</v>
      </c>
      <c r="AG106" s="692">
        <f t="shared" si="37"/>
        <v>0</v>
      </c>
      <c r="AH106" s="692">
        <f t="shared" si="38"/>
        <v>0</v>
      </c>
    </row>
    <row r="107" spans="1:34">
      <c r="A107" s="20" t="s">
        <v>211</v>
      </c>
      <c r="B107" s="20" t="s">
        <v>110</v>
      </c>
      <c r="C107" s="667"/>
      <c r="D107" s="373" t="s">
        <v>466</v>
      </c>
      <c r="E107" s="679"/>
      <c r="F107" s="529">
        <f>VLOOKUP(D107,'June 2012 DMV Revenue'!D:T,17,FALSE)</f>
        <v>0</v>
      </c>
      <c r="G107" s="680"/>
      <c r="H107" s="680"/>
      <c r="I107" s="770">
        <v>1075.1500000000001</v>
      </c>
      <c r="J107" s="682">
        <f t="shared" si="39"/>
        <v>1075.1500000000001</v>
      </c>
      <c r="K107" s="683"/>
      <c r="L107" s="684"/>
      <c r="M107" s="753"/>
      <c r="N107" s="683">
        <v>0</v>
      </c>
      <c r="O107" s="686"/>
      <c r="P107" s="683">
        <v>0</v>
      </c>
      <c r="Q107" s="687">
        <f t="shared" si="1"/>
        <v>0</v>
      </c>
      <c r="R107" s="688">
        <v>0</v>
      </c>
      <c r="S107" s="693"/>
      <c r="T107" s="690">
        <f t="shared" si="40"/>
        <v>0</v>
      </c>
      <c r="U107" s="683"/>
      <c r="V107" s="474">
        <f t="shared" si="41"/>
        <v>0</v>
      </c>
      <c r="W107" s="474">
        <f t="shared" si="42"/>
        <v>0</v>
      </c>
      <c r="X107" s="475">
        <f t="shared" si="43"/>
        <v>0</v>
      </c>
      <c r="Y107" s="475">
        <v>0</v>
      </c>
      <c r="Z107" s="476">
        <v>0</v>
      </c>
      <c r="AA107" s="38">
        <f t="shared" si="44"/>
        <v>0</v>
      </c>
      <c r="AB107" s="692">
        <f t="shared" si="33"/>
        <v>1075.1500000000001</v>
      </c>
      <c r="AC107" s="692">
        <f t="shared" si="34"/>
        <v>0</v>
      </c>
      <c r="AD107" s="692">
        <f t="shared" si="35"/>
        <v>0</v>
      </c>
      <c r="AE107" s="38"/>
      <c r="AF107" s="692">
        <f t="shared" si="36"/>
        <v>0</v>
      </c>
      <c r="AG107" s="692">
        <f t="shared" si="37"/>
        <v>0</v>
      </c>
      <c r="AH107" s="692">
        <f t="shared" si="38"/>
        <v>0</v>
      </c>
    </row>
    <row r="108" spans="1:34">
      <c r="A108" s="20"/>
      <c r="B108" s="20" t="s">
        <v>110</v>
      </c>
      <c r="C108" s="667"/>
      <c r="D108" s="373" t="s">
        <v>627</v>
      </c>
      <c r="E108" s="679"/>
      <c r="F108" s="529">
        <f>VLOOKUP(D108,'June 2012 DMV Revenue'!D:T,17,FALSE)</f>
        <v>0</v>
      </c>
      <c r="G108" s="680"/>
      <c r="H108" s="680"/>
      <c r="I108" s="755"/>
      <c r="J108" s="682">
        <f t="shared" si="39"/>
        <v>0</v>
      </c>
      <c r="K108" s="683"/>
      <c r="L108" s="684"/>
      <c r="M108" s="753"/>
      <c r="N108" s="683">
        <v>0</v>
      </c>
      <c r="O108" s="686"/>
      <c r="P108" s="683">
        <v>0</v>
      </c>
      <c r="Q108" s="687">
        <f t="shared" si="1"/>
        <v>0</v>
      </c>
      <c r="R108" s="688">
        <v>0</v>
      </c>
      <c r="S108" s="693"/>
      <c r="T108" s="690">
        <f t="shared" si="40"/>
        <v>0</v>
      </c>
      <c r="U108" s="683"/>
      <c r="V108" s="474">
        <f t="shared" si="41"/>
        <v>0</v>
      </c>
      <c r="W108" s="474">
        <f t="shared" si="42"/>
        <v>0</v>
      </c>
      <c r="X108" s="475">
        <f t="shared" si="43"/>
        <v>0</v>
      </c>
      <c r="Y108" s="475">
        <v>0</v>
      </c>
      <c r="Z108" s="476">
        <v>0</v>
      </c>
      <c r="AA108" s="38">
        <f t="shared" si="44"/>
        <v>0</v>
      </c>
      <c r="AB108" s="692">
        <f t="shared" si="33"/>
        <v>0</v>
      </c>
      <c r="AC108" s="692">
        <f t="shared" si="34"/>
        <v>0</v>
      </c>
      <c r="AD108" s="692">
        <f t="shared" si="35"/>
        <v>0</v>
      </c>
      <c r="AE108" s="38"/>
      <c r="AF108" s="692">
        <f t="shared" si="36"/>
        <v>0</v>
      </c>
      <c r="AG108" s="692">
        <f t="shared" si="37"/>
        <v>0</v>
      </c>
      <c r="AH108" s="692">
        <f t="shared" si="38"/>
        <v>0</v>
      </c>
    </row>
    <row r="109" spans="1:34" s="232" customFormat="1">
      <c r="A109" s="283"/>
      <c r="B109" s="283" t="s">
        <v>110</v>
      </c>
      <c r="C109" s="667"/>
      <c r="D109" s="123" t="s">
        <v>386</v>
      </c>
      <c r="E109" s="679"/>
      <c r="F109" s="529">
        <f>VLOOKUP(D109,'June 2012 DMV Revenue'!D:T,17,FALSE)</f>
        <v>0</v>
      </c>
      <c r="G109" s="680"/>
      <c r="H109" s="680"/>
      <c r="I109" s="770">
        <v>2775637.96</v>
      </c>
      <c r="J109" s="682">
        <f t="shared" si="39"/>
        <v>2775637.96</v>
      </c>
      <c r="K109" s="683"/>
      <c r="L109" s="684"/>
      <c r="M109" s="753"/>
      <c r="N109" s="683">
        <v>0</v>
      </c>
      <c r="O109" s="686"/>
      <c r="P109" s="683">
        <v>0</v>
      </c>
      <c r="Q109" s="687">
        <f t="shared" si="1"/>
        <v>0</v>
      </c>
      <c r="R109" s="688">
        <v>0</v>
      </c>
      <c r="S109" s="693"/>
      <c r="T109" s="690">
        <f t="shared" si="40"/>
        <v>0</v>
      </c>
      <c r="U109" s="683"/>
      <c r="V109" s="474">
        <f t="shared" si="41"/>
        <v>0</v>
      </c>
      <c r="W109" s="474">
        <f t="shared" si="42"/>
        <v>0</v>
      </c>
      <c r="X109" s="475">
        <f t="shared" si="43"/>
        <v>0</v>
      </c>
      <c r="Y109" s="475">
        <v>0</v>
      </c>
      <c r="Z109" s="476">
        <v>0</v>
      </c>
      <c r="AA109" s="38">
        <f t="shared" si="44"/>
        <v>0</v>
      </c>
      <c r="AB109" s="692">
        <f t="shared" si="33"/>
        <v>2775637.96</v>
      </c>
      <c r="AC109" s="692">
        <f t="shared" si="34"/>
        <v>0</v>
      </c>
      <c r="AD109" s="692">
        <f t="shared" si="35"/>
        <v>0</v>
      </c>
      <c r="AE109" s="38"/>
      <c r="AF109" s="692">
        <f t="shared" si="36"/>
        <v>0</v>
      </c>
      <c r="AG109" s="692">
        <f t="shared" si="37"/>
        <v>0</v>
      </c>
      <c r="AH109" s="692">
        <f t="shared" si="38"/>
        <v>0</v>
      </c>
    </row>
    <row r="110" spans="1:34" s="232" customFormat="1">
      <c r="A110" s="283"/>
      <c r="B110" s="283" t="s">
        <v>110</v>
      </c>
      <c r="C110" s="667"/>
      <c r="D110" s="123" t="s">
        <v>331</v>
      </c>
      <c r="E110" s="679"/>
      <c r="F110" s="529">
        <f>VLOOKUP(D110,'June 2012 DMV Revenue'!D:T,17,FALSE)</f>
        <v>0</v>
      </c>
      <c r="G110" s="680"/>
      <c r="H110" s="680"/>
      <c r="I110" s="770">
        <v>28772.18</v>
      </c>
      <c r="J110" s="682">
        <f t="shared" si="39"/>
        <v>28772.18</v>
      </c>
      <c r="K110" s="683"/>
      <c r="L110" s="684"/>
      <c r="M110" s="753"/>
      <c r="N110" s="683">
        <v>0</v>
      </c>
      <c r="O110" s="686"/>
      <c r="P110" s="683">
        <v>0</v>
      </c>
      <c r="Q110" s="687">
        <f t="shared" si="1"/>
        <v>0</v>
      </c>
      <c r="R110" s="688">
        <v>0</v>
      </c>
      <c r="S110" s="693"/>
      <c r="T110" s="690">
        <f t="shared" si="40"/>
        <v>0</v>
      </c>
      <c r="U110" s="683"/>
      <c r="V110" s="474">
        <f t="shared" si="41"/>
        <v>0</v>
      </c>
      <c r="W110" s="474">
        <f t="shared" si="42"/>
        <v>0</v>
      </c>
      <c r="X110" s="475">
        <f t="shared" si="43"/>
        <v>0</v>
      </c>
      <c r="Y110" s="475">
        <v>0</v>
      </c>
      <c r="Z110" s="476">
        <v>0</v>
      </c>
      <c r="AA110" s="38">
        <f t="shared" si="44"/>
        <v>0</v>
      </c>
      <c r="AB110" s="692">
        <f t="shared" si="33"/>
        <v>28772.18</v>
      </c>
      <c r="AC110" s="692">
        <f t="shared" si="34"/>
        <v>0</v>
      </c>
      <c r="AD110" s="692">
        <f t="shared" si="35"/>
        <v>0</v>
      </c>
      <c r="AE110" s="38"/>
      <c r="AF110" s="692">
        <f t="shared" si="36"/>
        <v>0</v>
      </c>
      <c r="AG110" s="692">
        <f t="shared" si="37"/>
        <v>0</v>
      </c>
      <c r="AH110" s="692">
        <f t="shared" si="38"/>
        <v>0</v>
      </c>
    </row>
    <row r="111" spans="1:34" s="232" customFormat="1">
      <c r="A111" s="283"/>
      <c r="B111" s="283" t="s">
        <v>110</v>
      </c>
      <c r="C111" s="667"/>
      <c r="D111" s="413" t="s">
        <v>332</v>
      </c>
      <c r="E111" s="679"/>
      <c r="F111" s="529">
        <f>VLOOKUP(D111,'June 2012 DMV Revenue'!D:T,17,FALSE)</f>
        <v>0</v>
      </c>
      <c r="G111" s="680"/>
      <c r="H111" s="680"/>
      <c r="I111" s="770">
        <f>1369421.34+10066.3</f>
        <v>1379487.6400000001</v>
      </c>
      <c r="J111" s="682">
        <f t="shared" si="39"/>
        <v>1379487.6400000001</v>
      </c>
      <c r="K111" s="683"/>
      <c r="L111" s="684"/>
      <c r="M111" s="753"/>
      <c r="N111" s="683">
        <v>0</v>
      </c>
      <c r="O111" s="686"/>
      <c r="P111" s="683">
        <v>0</v>
      </c>
      <c r="Q111" s="687">
        <f t="shared" si="1"/>
        <v>0</v>
      </c>
      <c r="R111" s="688">
        <v>0</v>
      </c>
      <c r="S111" s="693"/>
      <c r="T111" s="690">
        <f t="shared" si="40"/>
        <v>0</v>
      </c>
      <c r="U111" s="683"/>
      <c r="V111" s="474">
        <f t="shared" si="41"/>
        <v>0</v>
      </c>
      <c r="W111" s="474">
        <f t="shared" si="42"/>
        <v>0</v>
      </c>
      <c r="X111" s="475">
        <f t="shared" si="43"/>
        <v>0</v>
      </c>
      <c r="Y111" s="475">
        <v>0</v>
      </c>
      <c r="Z111" s="476">
        <v>0</v>
      </c>
      <c r="AA111" s="38">
        <f t="shared" si="44"/>
        <v>0</v>
      </c>
      <c r="AB111" s="692">
        <f t="shared" si="33"/>
        <v>1379487.6400000001</v>
      </c>
      <c r="AC111" s="692">
        <f t="shared" si="34"/>
        <v>0</v>
      </c>
      <c r="AD111" s="692">
        <f t="shared" si="35"/>
        <v>0</v>
      </c>
      <c r="AE111" s="38"/>
      <c r="AF111" s="692">
        <f t="shared" si="36"/>
        <v>0</v>
      </c>
      <c r="AG111" s="692">
        <f t="shared" si="37"/>
        <v>0</v>
      </c>
      <c r="AH111" s="692">
        <f t="shared" si="38"/>
        <v>0</v>
      </c>
    </row>
    <row r="112" spans="1:34" s="232" customFormat="1">
      <c r="A112" s="283"/>
      <c r="B112" s="283" t="s">
        <v>110</v>
      </c>
      <c r="C112" s="667"/>
      <c r="D112" s="123" t="s">
        <v>333</v>
      </c>
      <c r="E112" s="679"/>
      <c r="F112" s="529">
        <f>VLOOKUP(D112,'June 2012 DMV Revenue'!D:T,17,FALSE)</f>
        <v>0</v>
      </c>
      <c r="G112" s="680"/>
      <c r="H112" s="680"/>
      <c r="I112" s="770">
        <v>1163.94</v>
      </c>
      <c r="J112" s="682">
        <f t="shared" si="39"/>
        <v>1163.94</v>
      </c>
      <c r="K112" s="683"/>
      <c r="L112" s="684"/>
      <c r="M112" s="753"/>
      <c r="N112" s="683">
        <v>0</v>
      </c>
      <c r="O112" s="686"/>
      <c r="P112" s="683">
        <v>0</v>
      </c>
      <c r="Q112" s="687">
        <f t="shared" si="1"/>
        <v>0</v>
      </c>
      <c r="R112" s="688">
        <v>0</v>
      </c>
      <c r="S112" s="693"/>
      <c r="T112" s="690">
        <f t="shared" si="40"/>
        <v>0</v>
      </c>
      <c r="U112" s="683"/>
      <c r="V112" s="474">
        <f t="shared" si="41"/>
        <v>0</v>
      </c>
      <c r="W112" s="474">
        <f t="shared" si="42"/>
        <v>0</v>
      </c>
      <c r="X112" s="475">
        <f t="shared" si="43"/>
        <v>0</v>
      </c>
      <c r="Y112" s="475">
        <v>0</v>
      </c>
      <c r="Z112" s="476">
        <v>0</v>
      </c>
      <c r="AA112" s="38">
        <f t="shared" si="44"/>
        <v>0</v>
      </c>
      <c r="AB112" s="692">
        <f t="shared" si="33"/>
        <v>1163.94</v>
      </c>
      <c r="AC112" s="692">
        <f t="shared" si="34"/>
        <v>0</v>
      </c>
      <c r="AD112" s="692">
        <f t="shared" si="35"/>
        <v>0</v>
      </c>
      <c r="AE112" s="38"/>
      <c r="AF112" s="692">
        <f t="shared" si="36"/>
        <v>0</v>
      </c>
      <c r="AG112" s="692">
        <f t="shared" si="37"/>
        <v>0</v>
      </c>
      <c r="AH112" s="692">
        <f t="shared" si="38"/>
        <v>0</v>
      </c>
    </row>
    <row r="113" spans="1:34" s="232" customFormat="1">
      <c r="A113" s="283"/>
      <c r="B113" s="283" t="s">
        <v>110</v>
      </c>
      <c r="C113" s="667"/>
      <c r="D113" s="123" t="s">
        <v>334</v>
      </c>
      <c r="E113" s="679"/>
      <c r="F113" s="529">
        <f>VLOOKUP(D113,'June 2012 DMV Revenue'!D:T,17,FALSE)</f>
        <v>0</v>
      </c>
      <c r="G113" s="680"/>
      <c r="H113" s="680"/>
      <c r="I113" s="770">
        <v>329058.09999999998</v>
      </c>
      <c r="J113" s="682">
        <f t="shared" si="39"/>
        <v>329058.09999999998</v>
      </c>
      <c r="K113" s="683"/>
      <c r="L113" s="684"/>
      <c r="M113" s="753"/>
      <c r="N113" s="683">
        <v>0</v>
      </c>
      <c r="O113" s="686"/>
      <c r="P113" s="683">
        <v>0</v>
      </c>
      <c r="Q113" s="687">
        <f t="shared" si="1"/>
        <v>0</v>
      </c>
      <c r="R113" s="688">
        <v>0</v>
      </c>
      <c r="S113" s="693"/>
      <c r="T113" s="690">
        <f t="shared" si="40"/>
        <v>0</v>
      </c>
      <c r="U113" s="683"/>
      <c r="V113" s="474">
        <f t="shared" si="41"/>
        <v>0</v>
      </c>
      <c r="W113" s="474">
        <f t="shared" si="42"/>
        <v>0</v>
      </c>
      <c r="X113" s="475">
        <f t="shared" si="43"/>
        <v>0</v>
      </c>
      <c r="Y113" s="475">
        <v>0</v>
      </c>
      <c r="Z113" s="476">
        <v>0</v>
      </c>
      <c r="AA113" s="38">
        <f t="shared" si="44"/>
        <v>0</v>
      </c>
      <c r="AB113" s="692">
        <f t="shared" si="33"/>
        <v>329058.09999999998</v>
      </c>
      <c r="AC113" s="692">
        <f t="shared" si="34"/>
        <v>0</v>
      </c>
      <c r="AD113" s="692">
        <f t="shared" si="35"/>
        <v>0</v>
      </c>
      <c r="AE113" s="38"/>
      <c r="AF113" s="692">
        <f t="shared" si="36"/>
        <v>0</v>
      </c>
      <c r="AG113" s="692">
        <f t="shared" si="37"/>
        <v>0</v>
      </c>
      <c r="AH113" s="692">
        <f t="shared" si="38"/>
        <v>0</v>
      </c>
    </row>
    <row r="114" spans="1:34" s="232" customFormat="1">
      <c r="A114" s="283"/>
      <c r="B114" s="283" t="s">
        <v>110</v>
      </c>
      <c r="C114" s="667"/>
      <c r="D114" s="123" t="s">
        <v>335</v>
      </c>
      <c r="E114" s="679"/>
      <c r="F114" s="529">
        <f>VLOOKUP(D114,'June 2012 DMV Revenue'!D:T,17,FALSE)</f>
        <v>0</v>
      </c>
      <c r="G114" s="680"/>
      <c r="H114" s="680"/>
      <c r="I114" s="770">
        <v>822.36</v>
      </c>
      <c r="J114" s="682">
        <f t="shared" si="39"/>
        <v>822.36</v>
      </c>
      <c r="K114" s="683"/>
      <c r="L114" s="684"/>
      <c r="M114" s="753"/>
      <c r="N114" s="683">
        <v>0</v>
      </c>
      <c r="O114" s="686"/>
      <c r="P114" s="683">
        <v>0</v>
      </c>
      <c r="Q114" s="687">
        <f t="shared" si="1"/>
        <v>0</v>
      </c>
      <c r="R114" s="688">
        <v>0</v>
      </c>
      <c r="S114" s="693"/>
      <c r="T114" s="690">
        <f t="shared" si="40"/>
        <v>0</v>
      </c>
      <c r="U114" s="683"/>
      <c r="V114" s="474">
        <f t="shared" si="41"/>
        <v>0</v>
      </c>
      <c r="W114" s="474">
        <f t="shared" si="42"/>
        <v>0</v>
      </c>
      <c r="X114" s="475">
        <f t="shared" si="43"/>
        <v>0</v>
      </c>
      <c r="Y114" s="475">
        <v>0</v>
      </c>
      <c r="Z114" s="476">
        <v>0</v>
      </c>
      <c r="AA114" s="38">
        <f t="shared" si="44"/>
        <v>0</v>
      </c>
      <c r="AB114" s="692">
        <f t="shared" si="33"/>
        <v>822.36</v>
      </c>
      <c r="AC114" s="692">
        <f t="shared" si="34"/>
        <v>0</v>
      </c>
      <c r="AD114" s="692">
        <f t="shared" si="35"/>
        <v>0</v>
      </c>
      <c r="AE114" s="38"/>
      <c r="AF114" s="692">
        <f t="shared" si="36"/>
        <v>0</v>
      </c>
      <c r="AG114" s="692">
        <f t="shared" si="37"/>
        <v>0</v>
      </c>
      <c r="AH114" s="692">
        <f t="shared" si="38"/>
        <v>0</v>
      </c>
    </row>
    <row r="115" spans="1:34" s="232" customFormat="1">
      <c r="A115" s="283"/>
      <c r="B115" s="283" t="s">
        <v>110</v>
      </c>
      <c r="C115" s="667"/>
      <c r="D115" s="123" t="s">
        <v>336</v>
      </c>
      <c r="E115" s="679"/>
      <c r="F115" s="529">
        <f>VLOOKUP(D115,'June 2012 DMV Revenue'!D:T,17,FALSE)</f>
        <v>0</v>
      </c>
      <c r="G115" s="680"/>
      <c r="H115" s="680"/>
      <c r="I115" s="770">
        <v>392748.39</v>
      </c>
      <c r="J115" s="682">
        <f t="shared" si="39"/>
        <v>392748.39</v>
      </c>
      <c r="K115" s="683"/>
      <c r="L115" s="684"/>
      <c r="M115" s="753"/>
      <c r="N115" s="683">
        <v>0</v>
      </c>
      <c r="O115" s="686"/>
      <c r="P115" s="683">
        <v>0</v>
      </c>
      <c r="Q115" s="687">
        <f t="shared" si="1"/>
        <v>0</v>
      </c>
      <c r="R115" s="688">
        <v>0</v>
      </c>
      <c r="S115" s="693"/>
      <c r="T115" s="690">
        <f t="shared" si="40"/>
        <v>0</v>
      </c>
      <c r="U115" s="683"/>
      <c r="V115" s="474">
        <f t="shared" si="41"/>
        <v>0</v>
      </c>
      <c r="W115" s="474">
        <f t="shared" si="42"/>
        <v>0</v>
      </c>
      <c r="X115" s="475">
        <f t="shared" si="43"/>
        <v>0</v>
      </c>
      <c r="Y115" s="475">
        <v>0</v>
      </c>
      <c r="Z115" s="476">
        <v>0</v>
      </c>
      <c r="AA115" s="38">
        <f t="shared" si="44"/>
        <v>0</v>
      </c>
      <c r="AB115" s="692">
        <f t="shared" si="33"/>
        <v>392748.39</v>
      </c>
      <c r="AC115" s="692">
        <f t="shared" si="34"/>
        <v>0</v>
      </c>
      <c r="AD115" s="692">
        <f t="shared" si="35"/>
        <v>0</v>
      </c>
      <c r="AE115" s="38"/>
      <c r="AF115" s="692">
        <f t="shared" si="36"/>
        <v>0</v>
      </c>
      <c r="AG115" s="692">
        <f t="shared" si="37"/>
        <v>0</v>
      </c>
      <c r="AH115" s="692">
        <f t="shared" si="38"/>
        <v>0</v>
      </c>
    </row>
    <row r="116" spans="1:34" s="232" customFormat="1">
      <c r="A116" s="283"/>
      <c r="B116" s="283" t="s">
        <v>110</v>
      </c>
      <c r="C116" s="667"/>
      <c r="D116" s="123" t="s">
        <v>337</v>
      </c>
      <c r="E116" s="679"/>
      <c r="F116" s="529">
        <f>VLOOKUP(D116,'June 2012 DMV Revenue'!D:T,17,FALSE)</f>
        <v>0</v>
      </c>
      <c r="G116" s="680"/>
      <c r="H116" s="680"/>
      <c r="I116" s="770">
        <v>1013.4</v>
      </c>
      <c r="J116" s="682">
        <f t="shared" si="39"/>
        <v>1013.4</v>
      </c>
      <c r="K116" s="683"/>
      <c r="L116" s="684"/>
      <c r="M116" s="753"/>
      <c r="N116" s="683">
        <v>0</v>
      </c>
      <c r="O116" s="686"/>
      <c r="P116" s="683">
        <v>0</v>
      </c>
      <c r="Q116" s="687">
        <f t="shared" si="1"/>
        <v>0</v>
      </c>
      <c r="R116" s="688">
        <v>0</v>
      </c>
      <c r="S116" s="693"/>
      <c r="T116" s="690">
        <f t="shared" si="40"/>
        <v>0</v>
      </c>
      <c r="U116" s="683"/>
      <c r="V116" s="474">
        <f t="shared" si="41"/>
        <v>0</v>
      </c>
      <c r="W116" s="474">
        <f t="shared" si="42"/>
        <v>0</v>
      </c>
      <c r="X116" s="475">
        <f t="shared" si="43"/>
        <v>0</v>
      </c>
      <c r="Y116" s="475">
        <v>0</v>
      </c>
      <c r="Z116" s="476">
        <v>0</v>
      </c>
      <c r="AA116" s="38">
        <f t="shared" si="44"/>
        <v>0</v>
      </c>
      <c r="AB116" s="692">
        <f t="shared" si="33"/>
        <v>1013.4</v>
      </c>
      <c r="AC116" s="692">
        <f t="shared" si="34"/>
        <v>0</v>
      </c>
      <c r="AD116" s="692">
        <f t="shared" si="35"/>
        <v>0</v>
      </c>
      <c r="AE116" s="38"/>
      <c r="AF116" s="692">
        <f t="shared" si="36"/>
        <v>0</v>
      </c>
      <c r="AG116" s="692">
        <f t="shared" si="37"/>
        <v>0</v>
      </c>
      <c r="AH116" s="692">
        <f t="shared" si="38"/>
        <v>0</v>
      </c>
    </row>
    <row r="117" spans="1:34" s="232" customFormat="1">
      <c r="A117" s="283"/>
      <c r="B117" s="283" t="s">
        <v>110</v>
      </c>
      <c r="C117" s="667"/>
      <c r="D117" s="123" t="s">
        <v>338</v>
      </c>
      <c r="E117" s="679"/>
      <c r="F117" s="529">
        <f>VLOOKUP(D117,'June 2012 DMV Revenue'!D:T,17,FALSE)</f>
        <v>0</v>
      </c>
      <c r="G117" s="680"/>
      <c r="H117" s="680"/>
      <c r="I117" s="770">
        <v>107321.08</v>
      </c>
      <c r="J117" s="682">
        <f t="shared" si="39"/>
        <v>107321.08</v>
      </c>
      <c r="K117" s="683"/>
      <c r="L117" s="684"/>
      <c r="M117" s="753"/>
      <c r="N117" s="683">
        <v>0</v>
      </c>
      <c r="O117" s="686"/>
      <c r="P117" s="683">
        <v>0</v>
      </c>
      <c r="Q117" s="687">
        <f t="shared" si="1"/>
        <v>0</v>
      </c>
      <c r="R117" s="688">
        <v>0</v>
      </c>
      <c r="S117" s="693"/>
      <c r="T117" s="690">
        <f t="shared" si="40"/>
        <v>0</v>
      </c>
      <c r="U117" s="683"/>
      <c r="V117" s="474">
        <f t="shared" si="41"/>
        <v>0</v>
      </c>
      <c r="W117" s="474">
        <f t="shared" si="42"/>
        <v>0</v>
      </c>
      <c r="X117" s="475">
        <f t="shared" si="43"/>
        <v>0</v>
      </c>
      <c r="Y117" s="475">
        <v>0</v>
      </c>
      <c r="Z117" s="476">
        <v>0</v>
      </c>
      <c r="AA117" s="38">
        <f t="shared" si="44"/>
        <v>0</v>
      </c>
      <c r="AB117" s="692">
        <f t="shared" si="33"/>
        <v>107321.08</v>
      </c>
      <c r="AC117" s="692">
        <f t="shared" si="34"/>
        <v>0</v>
      </c>
      <c r="AD117" s="692">
        <f t="shared" si="35"/>
        <v>0</v>
      </c>
      <c r="AE117" s="38"/>
      <c r="AF117" s="692">
        <f t="shared" si="36"/>
        <v>0</v>
      </c>
      <c r="AG117" s="692">
        <f t="shared" si="37"/>
        <v>0</v>
      </c>
      <c r="AH117" s="692">
        <f t="shared" si="38"/>
        <v>0</v>
      </c>
    </row>
    <row r="118" spans="1:34" s="232" customFormat="1">
      <c r="A118" s="283"/>
      <c r="B118" s="283" t="s">
        <v>110</v>
      </c>
      <c r="C118" s="667"/>
      <c r="D118" s="123" t="s">
        <v>339</v>
      </c>
      <c r="E118" s="679"/>
      <c r="F118" s="529">
        <f>VLOOKUP(D118,'June 2012 DMV Revenue'!D:T,17,FALSE)</f>
        <v>0</v>
      </c>
      <c r="G118" s="680"/>
      <c r="H118" s="680"/>
      <c r="I118" s="770">
        <v>93282</v>
      </c>
      <c r="J118" s="682">
        <f t="shared" si="39"/>
        <v>93282</v>
      </c>
      <c r="K118" s="683"/>
      <c r="L118" s="684"/>
      <c r="M118" s="753"/>
      <c r="N118" s="683">
        <v>0</v>
      </c>
      <c r="O118" s="686"/>
      <c r="P118" s="683">
        <v>0</v>
      </c>
      <c r="Q118" s="687">
        <f t="shared" si="1"/>
        <v>0</v>
      </c>
      <c r="R118" s="688">
        <v>0</v>
      </c>
      <c r="S118" s="693"/>
      <c r="T118" s="690">
        <f t="shared" si="40"/>
        <v>0</v>
      </c>
      <c r="U118" s="683"/>
      <c r="V118" s="474">
        <f t="shared" si="41"/>
        <v>0</v>
      </c>
      <c r="W118" s="474">
        <f t="shared" si="42"/>
        <v>0</v>
      </c>
      <c r="X118" s="475">
        <f t="shared" si="43"/>
        <v>0</v>
      </c>
      <c r="Y118" s="475">
        <v>0</v>
      </c>
      <c r="Z118" s="476">
        <v>0</v>
      </c>
      <c r="AA118" s="38">
        <f t="shared" si="44"/>
        <v>0</v>
      </c>
      <c r="AB118" s="692">
        <f t="shared" si="33"/>
        <v>93282</v>
      </c>
      <c r="AC118" s="692">
        <f t="shared" si="34"/>
        <v>0</v>
      </c>
      <c r="AD118" s="692">
        <f t="shared" si="35"/>
        <v>0</v>
      </c>
      <c r="AE118" s="38"/>
      <c r="AF118" s="692">
        <f t="shared" si="36"/>
        <v>0</v>
      </c>
      <c r="AG118" s="692">
        <f t="shared" si="37"/>
        <v>0</v>
      </c>
      <c r="AH118" s="692">
        <f t="shared" si="38"/>
        <v>0</v>
      </c>
    </row>
    <row r="119" spans="1:34" s="232" customFormat="1">
      <c r="A119" s="283"/>
      <c r="B119" s="283" t="s">
        <v>110</v>
      </c>
      <c r="C119" s="667"/>
      <c r="D119" s="123" t="s">
        <v>340</v>
      </c>
      <c r="E119" s="679"/>
      <c r="F119" s="529">
        <f>VLOOKUP(D119,'June 2012 DMV Revenue'!D:T,17,FALSE)</f>
        <v>0</v>
      </c>
      <c r="G119" s="680"/>
      <c r="H119" s="680"/>
      <c r="I119" s="770">
        <v>101.25</v>
      </c>
      <c r="J119" s="682">
        <f t="shared" si="39"/>
        <v>101.25</v>
      </c>
      <c r="K119" s="683"/>
      <c r="L119" s="684"/>
      <c r="M119" s="753"/>
      <c r="N119" s="683">
        <v>0</v>
      </c>
      <c r="O119" s="686"/>
      <c r="P119" s="683">
        <v>0</v>
      </c>
      <c r="Q119" s="687">
        <f t="shared" si="1"/>
        <v>0</v>
      </c>
      <c r="R119" s="688">
        <v>0</v>
      </c>
      <c r="S119" s="693"/>
      <c r="T119" s="690">
        <f t="shared" si="40"/>
        <v>0</v>
      </c>
      <c r="U119" s="683"/>
      <c r="V119" s="474">
        <f t="shared" si="41"/>
        <v>0</v>
      </c>
      <c r="W119" s="474">
        <f t="shared" si="42"/>
        <v>0</v>
      </c>
      <c r="X119" s="475">
        <f t="shared" si="43"/>
        <v>0</v>
      </c>
      <c r="Y119" s="475">
        <v>0</v>
      </c>
      <c r="Z119" s="476">
        <v>0</v>
      </c>
      <c r="AA119" s="38">
        <f t="shared" si="44"/>
        <v>0</v>
      </c>
      <c r="AB119" s="692">
        <f t="shared" si="33"/>
        <v>101.25</v>
      </c>
      <c r="AC119" s="692">
        <f t="shared" si="34"/>
        <v>0</v>
      </c>
      <c r="AD119" s="692">
        <f t="shared" si="35"/>
        <v>0</v>
      </c>
      <c r="AE119" s="38"/>
      <c r="AF119" s="692">
        <f t="shared" si="36"/>
        <v>0</v>
      </c>
      <c r="AG119" s="692">
        <f t="shared" si="37"/>
        <v>0</v>
      </c>
      <c r="AH119" s="692">
        <f t="shared" si="38"/>
        <v>0</v>
      </c>
    </row>
    <row r="120" spans="1:34" s="232" customFormat="1">
      <c r="A120" s="283"/>
      <c r="B120" s="283" t="s">
        <v>110</v>
      </c>
      <c r="C120" s="667"/>
      <c r="D120" s="123" t="s">
        <v>439</v>
      </c>
      <c r="E120" s="679"/>
      <c r="F120" s="529">
        <f>VLOOKUP(D120,'June 2012 DMV Revenue'!D:T,17,FALSE)</f>
        <v>0</v>
      </c>
      <c r="G120" s="680"/>
      <c r="H120" s="680"/>
      <c r="I120" s="770">
        <v>1512.39</v>
      </c>
      <c r="J120" s="682">
        <f t="shared" si="39"/>
        <v>1512.39</v>
      </c>
      <c r="K120" s="683"/>
      <c r="L120" s="684"/>
      <c r="M120" s="753"/>
      <c r="N120" s="683">
        <v>0</v>
      </c>
      <c r="O120" s="686"/>
      <c r="P120" s="683">
        <v>0</v>
      </c>
      <c r="Q120" s="687">
        <f t="shared" si="1"/>
        <v>0</v>
      </c>
      <c r="R120" s="688">
        <v>0</v>
      </c>
      <c r="S120" s="693"/>
      <c r="T120" s="690">
        <f t="shared" si="40"/>
        <v>0</v>
      </c>
      <c r="U120" s="683"/>
      <c r="V120" s="474">
        <f t="shared" si="41"/>
        <v>0</v>
      </c>
      <c r="W120" s="474">
        <f t="shared" si="42"/>
        <v>0</v>
      </c>
      <c r="X120" s="475">
        <f t="shared" si="43"/>
        <v>0</v>
      </c>
      <c r="Y120" s="475">
        <v>0</v>
      </c>
      <c r="Z120" s="476">
        <v>0</v>
      </c>
      <c r="AA120" s="38">
        <f t="shared" si="44"/>
        <v>0</v>
      </c>
      <c r="AB120" s="692">
        <f t="shared" si="33"/>
        <v>1512.39</v>
      </c>
      <c r="AC120" s="692">
        <f t="shared" si="34"/>
        <v>0</v>
      </c>
      <c r="AD120" s="692">
        <f t="shared" si="35"/>
        <v>0</v>
      </c>
      <c r="AE120" s="38"/>
      <c r="AF120" s="692">
        <f t="shared" si="36"/>
        <v>0</v>
      </c>
      <c r="AG120" s="692">
        <f t="shared" si="37"/>
        <v>0</v>
      </c>
      <c r="AH120" s="692">
        <f t="shared" si="38"/>
        <v>0</v>
      </c>
    </row>
    <row r="121" spans="1:34" s="232" customFormat="1">
      <c r="A121" s="283"/>
      <c r="B121" s="283" t="s">
        <v>110</v>
      </c>
      <c r="C121" s="667"/>
      <c r="D121" s="123" t="s">
        <v>592</v>
      </c>
      <c r="E121" s="679"/>
      <c r="F121" s="529">
        <f>VLOOKUP(D121,'June 2012 DMV Revenue'!D:T,17,FALSE)</f>
        <v>0</v>
      </c>
      <c r="G121" s="680"/>
      <c r="H121" s="680"/>
      <c r="I121" s="770">
        <v>685.67</v>
      </c>
      <c r="J121" s="682">
        <f t="shared" si="39"/>
        <v>685.67</v>
      </c>
      <c r="K121" s="683"/>
      <c r="L121" s="684"/>
      <c r="M121" s="753"/>
      <c r="N121" s="683">
        <v>0</v>
      </c>
      <c r="O121" s="686"/>
      <c r="P121" s="683">
        <v>0</v>
      </c>
      <c r="Q121" s="687">
        <f t="shared" si="1"/>
        <v>0</v>
      </c>
      <c r="R121" s="688">
        <v>0</v>
      </c>
      <c r="S121" s="693"/>
      <c r="T121" s="690">
        <f t="shared" si="40"/>
        <v>0</v>
      </c>
      <c r="U121" s="683"/>
      <c r="V121" s="474">
        <f t="shared" si="41"/>
        <v>0</v>
      </c>
      <c r="W121" s="474">
        <f t="shared" si="42"/>
        <v>0</v>
      </c>
      <c r="X121" s="475">
        <f t="shared" si="43"/>
        <v>0</v>
      </c>
      <c r="Y121" s="475">
        <v>0</v>
      </c>
      <c r="Z121" s="476">
        <v>0</v>
      </c>
      <c r="AA121" s="38">
        <f t="shared" si="44"/>
        <v>0</v>
      </c>
      <c r="AB121" s="692">
        <f t="shared" si="33"/>
        <v>685.67</v>
      </c>
      <c r="AC121" s="692">
        <f t="shared" si="34"/>
        <v>0</v>
      </c>
      <c r="AD121" s="692">
        <f t="shared" si="35"/>
        <v>0</v>
      </c>
      <c r="AE121" s="38"/>
      <c r="AF121" s="692">
        <f t="shared" si="36"/>
        <v>0</v>
      </c>
      <c r="AG121" s="692">
        <f t="shared" si="37"/>
        <v>0</v>
      </c>
      <c r="AH121" s="692">
        <f t="shared" si="38"/>
        <v>0</v>
      </c>
    </row>
    <row r="122" spans="1:34" s="232" customFormat="1">
      <c r="A122" s="283"/>
      <c r="B122" s="283" t="s">
        <v>110</v>
      </c>
      <c r="C122" s="667"/>
      <c r="D122" s="123" t="s">
        <v>512</v>
      </c>
      <c r="E122" s="679"/>
      <c r="F122" s="529">
        <f>VLOOKUP(D122,'June 2012 DMV Revenue'!D:T,17,FALSE)</f>
        <v>0</v>
      </c>
      <c r="G122" s="680"/>
      <c r="H122" s="680"/>
      <c r="I122" s="770">
        <f>23296.15+3118.48+1421.75+7751.47+490.83+120.65</f>
        <v>36199.33</v>
      </c>
      <c r="J122" s="682">
        <f>SUM(E122:I122)</f>
        <v>36199.33</v>
      </c>
      <c r="K122" s="683"/>
      <c r="L122" s="684"/>
      <c r="M122" s="753"/>
      <c r="N122" s="683">
        <v>0</v>
      </c>
      <c r="O122" s="686"/>
      <c r="P122" s="683"/>
      <c r="Q122" s="687">
        <f t="shared" si="1"/>
        <v>0</v>
      </c>
      <c r="R122" s="688">
        <v>0</v>
      </c>
      <c r="S122" s="693"/>
      <c r="T122" s="690">
        <f t="shared" si="40"/>
        <v>0</v>
      </c>
      <c r="U122" s="683"/>
      <c r="V122" s="474">
        <f t="shared" si="41"/>
        <v>0</v>
      </c>
      <c r="W122" s="474">
        <f t="shared" si="42"/>
        <v>0</v>
      </c>
      <c r="X122" s="475">
        <f t="shared" si="43"/>
        <v>0</v>
      </c>
      <c r="Y122" s="475">
        <v>0</v>
      </c>
      <c r="Z122" s="476">
        <v>0</v>
      </c>
      <c r="AA122" s="38">
        <f t="shared" si="44"/>
        <v>0</v>
      </c>
      <c r="AB122" s="692">
        <f t="shared" si="33"/>
        <v>36199.33</v>
      </c>
      <c r="AC122" s="692">
        <f t="shared" si="34"/>
        <v>0</v>
      </c>
      <c r="AD122" s="692">
        <f t="shared" si="35"/>
        <v>0</v>
      </c>
      <c r="AE122" s="38"/>
      <c r="AF122" s="692">
        <f t="shared" si="36"/>
        <v>0</v>
      </c>
      <c r="AG122" s="692">
        <f t="shared" si="37"/>
        <v>0</v>
      </c>
      <c r="AH122" s="692">
        <f t="shared" si="38"/>
        <v>0</v>
      </c>
    </row>
    <row r="123" spans="1:34" s="24" customFormat="1">
      <c r="A123" s="32"/>
      <c r="B123" s="32" t="s">
        <v>110</v>
      </c>
      <c r="C123" s="667"/>
      <c r="D123" s="68" t="s">
        <v>588</v>
      </c>
      <c r="E123" s="679">
        <v>16.09</v>
      </c>
      <c r="F123" s="529">
        <f>VLOOKUP(D123,'June 2012 DMV Revenue'!D:T,17,FALSE)</f>
        <v>0</v>
      </c>
      <c r="G123" s="680"/>
      <c r="H123" s="680"/>
      <c r="I123" s="755"/>
      <c r="J123" s="682">
        <f t="shared" ref="J123" si="45">SUM(E123:I123)</f>
        <v>16.09</v>
      </c>
      <c r="K123" s="683"/>
      <c r="L123" s="684"/>
      <c r="M123" s="753"/>
      <c r="N123" s="698"/>
      <c r="O123" s="699"/>
      <c r="P123" s="698"/>
      <c r="Q123" s="687">
        <f t="shared" si="1"/>
        <v>0</v>
      </c>
      <c r="R123" s="688">
        <v>0</v>
      </c>
      <c r="S123" s="693"/>
      <c r="T123" s="690">
        <f t="shared" si="40"/>
        <v>0</v>
      </c>
      <c r="U123" s="683"/>
      <c r="V123" s="474">
        <f t="shared" si="41"/>
        <v>0</v>
      </c>
      <c r="W123" s="474">
        <f t="shared" si="42"/>
        <v>0</v>
      </c>
      <c r="X123" s="475">
        <f t="shared" si="43"/>
        <v>0</v>
      </c>
      <c r="Y123" s="475">
        <v>0</v>
      </c>
      <c r="Z123" s="476">
        <v>0</v>
      </c>
      <c r="AA123" s="38">
        <f t="shared" si="44"/>
        <v>0</v>
      </c>
      <c r="AB123" s="692">
        <f t="shared" si="33"/>
        <v>16.09</v>
      </c>
      <c r="AC123" s="692">
        <f t="shared" si="34"/>
        <v>0</v>
      </c>
      <c r="AD123" s="692">
        <f t="shared" si="35"/>
        <v>0</v>
      </c>
      <c r="AE123" s="38"/>
      <c r="AF123" s="692">
        <f t="shared" si="36"/>
        <v>0</v>
      </c>
      <c r="AG123" s="692">
        <f t="shared" si="37"/>
        <v>0</v>
      </c>
      <c r="AH123" s="692">
        <f t="shared" si="38"/>
        <v>0</v>
      </c>
    </row>
    <row r="124" spans="1:34">
      <c r="A124" s="21"/>
      <c r="B124" s="21" t="s">
        <v>109</v>
      </c>
      <c r="C124" s="666" t="s">
        <v>548</v>
      </c>
      <c r="D124" s="68" t="s">
        <v>461</v>
      </c>
      <c r="E124" s="679"/>
      <c r="F124" s="529">
        <f>VLOOKUP(D124,'June 2012 DMV Revenue'!D:T,17,FALSE)</f>
        <v>2918.42</v>
      </c>
      <c r="G124" s="680"/>
      <c r="H124" s="680"/>
      <c r="I124" s="755"/>
      <c r="J124" s="682">
        <f t="shared" si="39"/>
        <v>2918.42</v>
      </c>
      <c r="K124" s="683"/>
      <c r="L124" s="684"/>
      <c r="M124" s="753"/>
      <c r="N124" s="683">
        <v>0</v>
      </c>
      <c r="O124" s="686"/>
      <c r="P124" s="683">
        <v>0</v>
      </c>
      <c r="Q124" s="687">
        <f t="shared" si="1"/>
        <v>0</v>
      </c>
      <c r="R124" s="688">
        <v>3058.69</v>
      </c>
      <c r="S124" s="693"/>
      <c r="T124" s="690">
        <f t="shared" si="40"/>
        <v>3058.69</v>
      </c>
      <c r="U124" s="683"/>
      <c r="V124" s="474">
        <f t="shared" si="41"/>
        <v>0</v>
      </c>
      <c r="W124" s="474">
        <f t="shared" si="42"/>
        <v>0</v>
      </c>
      <c r="X124" s="475">
        <f t="shared" si="43"/>
        <v>0</v>
      </c>
      <c r="Y124" s="475">
        <v>0</v>
      </c>
      <c r="Z124" s="476">
        <v>0</v>
      </c>
      <c r="AA124" s="38">
        <f t="shared" si="44"/>
        <v>0</v>
      </c>
      <c r="AB124" s="692">
        <f t="shared" si="33"/>
        <v>0</v>
      </c>
      <c r="AC124" s="692">
        <f t="shared" si="34"/>
        <v>2918.42</v>
      </c>
      <c r="AD124" s="692">
        <f t="shared" si="35"/>
        <v>0</v>
      </c>
      <c r="AE124" s="38"/>
      <c r="AF124" s="692">
        <f t="shared" si="36"/>
        <v>0</v>
      </c>
      <c r="AG124" s="692">
        <f t="shared" si="37"/>
        <v>0</v>
      </c>
      <c r="AH124" s="692">
        <f t="shared" si="38"/>
        <v>0</v>
      </c>
    </row>
    <row r="125" spans="1:34">
      <c r="A125" s="20"/>
      <c r="B125" s="20" t="s">
        <v>109</v>
      </c>
      <c r="C125" s="667" t="s">
        <v>549</v>
      </c>
      <c r="D125" s="68" t="s">
        <v>22</v>
      </c>
      <c r="E125" s="679"/>
      <c r="F125" s="529">
        <f>VLOOKUP(D125,'June 2012 DMV Revenue'!D:T,17,FALSE)</f>
        <v>0</v>
      </c>
      <c r="G125" s="680"/>
      <c r="H125" s="680"/>
      <c r="I125" s="755"/>
      <c r="J125" s="682">
        <f t="shared" si="39"/>
        <v>0</v>
      </c>
      <c r="K125" s="683"/>
      <c r="L125" s="684"/>
      <c r="M125" s="753"/>
      <c r="N125" s="683">
        <v>0</v>
      </c>
      <c r="O125" s="686"/>
      <c r="P125" s="683">
        <v>0</v>
      </c>
      <c r="Q125" s="687">
        <f t="shared" si="1"/>
        <v>0</v>
      </c>
      <c r="R125" s="688">
        <v>0</v>
      </c>
      <c r="S125" s="693"/>
      <c r="T125" s="690">
        <f t="shared" si="40"/>
        <v>0</v>
      </c>
      <c r="U125" s="683"/>
      <c r="V125" s="474">
        <f t="shared" si="41"/>
        <v>0</v>
      </c>
      <c r="W125" s="474">
        <f t="shared" si="42"/>
        <v>0</v>
      </c>
      <c r="X125" s="475">
        <f t="shared" si="43"/>
        <v>0</v>
      </c>
      <c r="Y125" s="475">
        <v>0</v>
      </c>
      <c r="Z125" s="476">
        <v>0</v>
      </c>
      <c r="AA125" s="38">
        <f t="shared" si="44"/>
        <v>0</v>
      </c>
      <c r="AB125" s="692">
        <f t="shared" si="33"/>
        <v>0</v>
      </c>
      <c r="AC125" s="692">
        <f t="shared" si="34"/>
        <v>0</v>
      </c>
      <c r="AD125" s="692">
        <f t="shared" si="35"/>
        <v>0</v>
      </c>
      <c r="AE125" s="38"/>
      <c r="AF125" s="692">
        <f t="shared" si="36"/>
        <v>0</v>
      </c>
      <c r="AG125" s="692">
        <f t="shared" si="37"/>
        <v>0</v>
      </c>
      <c r="AH125" s="692">
        <f t="shared" si="38"/>
        <v>0</v>
      </c>
    </row>
    <row r="126" spans="1:34">
      <c r="A126" s="20"/>
      <c r="B126" s="20" t="s">
        <v>110</v>
      </c>
      <c r="C126" s="667"/>
      <c r="D126" s="68" t="s">
        <v>24</v>
      </c>
      <c r="E126" s="679"/>
      <c r="F126" s="529">
        <f>VLOOKUP(D126,'June 2012 DMV Revenue'!D:T,17,FALSE)</f>
        <v>0</v>
      </c>
      <c r="G126" s="680"/>
      <c r="H126" s="680"/>
      <c r="I126" s="770">
        <v>3643.49</v>
      </c>
      <c r="J126" s="682">
        <f t="shared" si="39"/>
        <v>3643.49</v>
      </c>
      <c r="K126" s="683"/>
      <c r="L126" s="684"/>
      <c r="M126" s="753"/>
      <c r="N126" s="683">
        <v>0</v>
      </c>
      <c r="O126" s="686"/>
      <c r="P126" s="683">
        <v>0</v>
      </c>
      <c r="Q126" s="687">
        <f t="shared" si="1"/>
        <v>0</v>
      </c>
      <c r="R126" s="688">
        <v>0</v>
      </c>
      <c r="S126" s="693"/>
      <c r="T126" s="690">
        <f t="shared" si="40"/>
        <v>0</v>
      </c>
      <c r="U126" s="683"/>
      <c r="V126" s="474">
        <f t="shared" si="41"/>
        <v>0</v>
      </c>
      <c r="W126" s="474">
        <f t="shared" si="42"/>
        <v>0</v>
      </c>
      <c r="X126" s="475">
        <f t="shared" si="43"/>
        <v>0</v>
      </c>
      <c r="Y126" s="475">
        <v>0</v>
      </c>
      <c r="Z126" s="476">
        <v>0</v>
      </c>
      <c r="AA126" s="38">
        <f t="shared" si="44"/>
        <v>0</v>
      </c>
      <c r="AB126" s="692">
        <f t="shared" si="33"/>
        <v>3643.49</v>
      </c>
      <c r="AC126" s="692">
        <f t="shared" si="34"/>
        <v>0</v>
      </c>
      <c r="AD126" s="692">
        <f t="shared" si="35"/>
        <v>0</v>
      </c>
      <c r="AE126" s="38"/>
      <c r="AF126" s="692">
        <f t="shared" si="36"/>
        <v>0</v>
      </c>
      <c r="AG126" s="692">
        <f t="shared" si="37"/>
        <v>0</v>
      </c>
      <c r="AH126" s="692">
        <f t="shared" si="38"/>
        <v>0</v>
      </c>
    </row>
    <row r="127" spans="1:34">
      <c r="A127" s="21"/>
      <c r="B127" s="21" t="s">
        <v>110</v>
      </c>
      <c r="C127" s="666"/>
      <c r="D127" s="68" t="s">
        <v>183</v>
      </c>
      <c r="E127" s="679"/>
      <c r="F127" s="529">
        <f>VLOOKUP(D127,'June 2012 DMV Revenue'!D:T,17,FALSE)</f>
        <v>0</v>
      </c>
      <c r="G127" s="680"/>
      <c r="H127" s="680"/>
      <c r="I127" s="755"/>
      <c r="J127" s="682">
        <f t="shared" si="39"/>
        <v>0</v>
      </c>
      <c r="K127" s="683"/>
      <c r="L127" s="684"/>
      <c r="M127" s="753"/>
      <c r="N127" s="683">
        <v>0</v>
      </c>
      <c r="O127" s="686"/>
      <c r="P127" s="683">
        <v>0</v>
      </c>
      <c r="Q127" s="687">
        <f t="shared" si="1"/>
        <v>0</v>
      </c>
      <c r="R127" s="688">
        <v>0</v>
      </c>
      <c r="S127" s="693"/>
      <c r="T127" s="690">
        <f t="shared" si="40"/>
        <v>0</v>
      </c>
      <c r="U127" s="683"/>
      <c r="V127" s="474">
        <f t="shared" si="41"/>
        <v>0</v>
      </c>
      <c r="W127" s="474">
        <f t="shared" si="42"/>
        <v>0</v>
      </c>
      <c r="X127" s="475">
        <f t="shared" si="43"/>
        <v>0</v>
      </c>
      <c r="Y127" s="475">
        <v>0</v>
      </c>
      <c r="Z127" s="476">
        <v>0</v>
      </c>
      <c r="AA127" s="38">
        <f t="shared" si="44"/>
        <v>0</v>
      </c>
      <c r="AB127" s="692">
        <f t="shared" si="33"/>
        <v>0</v>
      </c>
      <c r="AC127" s="692">
        <f t="shared" si="34"/>
        <v>0</v>
      </c>
      <c r="AD127" s="692">
        <f t="shared" si="35"/>
        <v>0</v>
      </c>
      <c r="AE127" s="38"/>
      <c r="AF127" s="692">
        <f t="shared" si="36"/>
        <v>0</v>
      </c>
      <c r="AG127" s="692">
        <f t="shared" si="37"/>
        <v>0</v>
      </c>
      <c r="AH127" s="692">
        <f t="shared" si="38"/>
        <v>0</v>
      </c>
    </row>
    <row r="128" spans="1:34">
      <c r="A128" s="21"/>
      <c r="B128" s="21" t="s">
        <v>110</v>
      </c>
      <c r="C128" s="666" t="s">
        <v>550</v>
      </c>
      <c r="D128" s="68" t="s">
        <v>282</v>
      </c>
      <c r="E128" s="679"/>
      <c r="F128" s="529">
        <f>VLOOKUP(D128,'June 2012 DMV Revenue'!D:T,17,FALSE)</f>
        <v>387.4900000000016</v>
      </c>
      <c r="G128" s="680"/>
      <c r="H128" s="680"/>
      <c r="I128" s="755"/>
      <c r="J128" s="682">
        <f t="shared" si="39"/>
        <v>387.4900000000016</v>
      </c>
      <c r="K128" s="683"/>
      <c r="L128" s="684"/>
      <c r="M128" s="753">
        <v>25000</v>
      </c>
      <c r="N128" s="683">
        <v>0</v>
      </c>
      <c r="O128" s="686"/>
      <c r="P128" s="683">
        <v>0</v>
      </c>
      <c r="Q128" s="687">
        <f t="shared" si="1"/>
        <v>25000</v>
      </c>
      <c r="R128" s="688">
        <v>24714.32</v>
      </c>
      <c r="S128" s="693"/>
      <c r="T128" s="690">
        <f t="shared" si="40"/>
        <v>-285.68000000000029</v>
      </c>
      <c r="U128" s="683"/>
      <c r="V128" s="474">
        <f t="shared" si="41"/>
        <v>25000</v>
      </c>
      <c r="W128" s="474">
        <f t="shared" si="42"/>
        <v>0</v>
      </c>
      <c r="X128" s="475">
        <f t="shared" si="43"/>
        <v>0</v>
      </c>
      <c r="Y128" s="475">
        <v>0</v>
      </c>
      <c r="Z128" s="476">
        <v>0</v>
      </c>
      <c r="AA128" s="38">
        <f t="shared" si="44"/>
        <v>0</v>
      </c>
      <c r="AB128" s="692">
        <f t="shared" si="33"/>
        <v>387.4900000000016</v>
      </c>
      <c r="AC128" s="692">
        <f t="shared" si="34"/>
        <v>0</v>
      </c>
      <c r="AD128" s="692">
        <f t="shared" si="35"/>
        <v>0</v>
      </c>
      <c r="AE128" s="38"/>
      <c r="AF128" s="692">
        <f t="shared" si="36"/>
        <v>25000</v>
      </c>
      <c r="AG128" s="692">
        <f t="shared" si="37"/>
        <v>0</v>
      </c>
      <c r="AH128" s="692">
        <f t="shared" si="38"/>
        <v>0</v>
      </c>
    </row>
    <row r="129" spans="1:34">
      <c r="A129" s="21"/>
      <c r="B129" s="21" t="s">
        <v>109</v>
      </c>
      <c r="C129" s="666" t="s">
        <v>551</v>
      </c>
      <c r="D129" s="68" t="s">
        <v>499</v>
      </c>
      <c r="E129" s="679"/>
      <c r="F129" s="529">
        <f>VLOOKUP(D129,'June 2012 DMV Revenue'!D:T,17,FALSE)</f>
        <v>0</v>
      </c>
      <c r="G129" s="680"/>
      <c r="H129" s="680"/>
      <c r="I129" s="755"/>
      <c r="J129" s="682">
        <f t="shared" si="39"/>
        <v>0</v>
      </c>
      <c r="K129" s="683"/>
      <c r="L129" s="684"/>
      <c r="M129" s="753"/>
      <c r="N129" s="683">
        <v>0</v>
      </c>
      <c r="O129" s="686"/>
      <c r="P129" s="683">
        <v>0</v>
      </c>
      <c r="Q129" s="687">
        <f t="shared" si="1"/>
        <v>0</v>
      </c>
      <c r="R129" s="688">
        <v>0</v>
      </c>
      <c r="S129" s="693"/>
      <c r="T129" s="690">
        <f t="shared" si="40"/>
        <v>0</v>
      </c>
      <c r="U129" s="683"/>
      <c r="V129" s="474">
        <f t="shared" si="41"/>
        <v>0</v>
      </c>
      <c r="W129" s="474">
        <f t="shared" si="42"/>
        <v>0</v>
      </c>
      <c r="X129" s="475">
        <f t="shared" si="43"/>
        <v>0</v>
      </c>
      <c r="Y129" s="475">
        <v>0</v>
      </c>
      <c r="Z129" s="476">
        <v>0</v>
      </c>
      <c r="AA129" s="38">
        <f t="shared" si="44"/>
        <v>0</v>
      </c>
      <c r="AB129" s="692">
        <f t="shared" si="33"/>
        <v>0</v>
      </c>
      <c r="AC129" s="692">
        <f t="shared" si="34"/>
        <v>0</v>
      </c>
      <c r="AD129" s="692">
        <f t="shared" si="35"/>
        <v>0</v>
      </c>
      <c r="AE129" s="38"/>
      <c r="AF129" s="692">
        <f t="shared" si="36"/>
        <v>0</v>
      </c>
      <c r="AG129" s="692">
        <f t="shared" si="37"/>
        <v>0</v>
      </c>
      <c r="AH129" s="692">
        <f t="shared" si="38"/>
        <v>0</v>
      </c>
    </row>
    <row r="130" spans="1:34">
      <c r="A130" s="21"/>
      <c r="B130" s="21" t="s">
        <v>110</v>
      </c>
      <c r="C130" s="666"/>
      <c r="D130" s="68" t="s">
        <v>28</v>
      </c>
      <c r="E130" s="679"/>
      <c r="F130" s="529">
        <f>VLOOKUP(D130,'June 2012 DMV Revenue'!D:T,17,FALSE)</f>
        <v>0</v>
      </c>
      <c r="G130" s="680"/>
      <c r="H130" s="680"/>
      <c r="I130" s="770">
        <v>1198.4000000000001</v>
      </c>
      <c r="J130" s="682">
        <f t="shared" si="39"/>
        <v>1198.4000000000001</v>
      </c>
      <c r="K130" s="683"/>
      <c r="L130" s="684"/>
      <c r="M130" s="753"/>
      <c r="N130" s="683">
        <v>0</v>
      </c>
      <c r="O130" s="686"/>
      <c r="P130" s="683">
        <v>0</v>
      </c>
      <c r="Q130" s="687">
        <f t="shared" si="1"/>
        <v>0</v>
      </c>
      <c r="R130" s="688">
        <v>0</v>
      </c>
      <c r="S130" s="693"/>
      <c r="T130" s="690">
        <f t="shared" si="40"/>
        <v>0</v>
      </c>
      <c r="U130" s="683"/>
      <c r="V130" s="474">
        <f t="shared" si="41"/>
        <v>0</v>
      </c>
      <c r="W130" s="474">
        <f t="shared" si="42"/>
        <v>0</v>
      </c>
      <c r="X130" s="475">
        <f t="shared" si="43"/>
        <v>0</v>
      </c>
      <c r="Y130" s="475">
        <v>0</v>
      </c>
      <c r="Z130" s="476">
        <v>0</v>
      </c>
      <c r="AA130" s="38">
        <f t="shared" si="44"/>
        <v>0</v>
      </c>
      <c r="AB130" s="692">
        <f t="shared" si="33"/>
        <v>1198.4000000000001</v>
      </c>
      <c r="AC130" s="692">
        <f t="shared" si="34"/>
        <v>0</v>
      </c>
      <c r="AD130" s="692">
        <f t="shared" si="35"/>
        <v>0</v>
      </c>
      <c r="AE130" s="38"/>
      <c r="AF130" s="692">
        <f t="shared" si="36"/>
        <v>0</v>
      </c>
      <c r="AG130" s="692">
        <f t="shared" si="37"/>
        <v>0</v>
      </c>
      <c r="AH130" s="692">
        <f t="shared" si="38"/>
        <v>0</v>
      </c>
    </row>
    <row r="131" spans="1:34">
      <c r="A131" s="21"/>
      <c r="B131" s="21" t="s">
        <v>114</v>
      </c>
      <c r="C131" s="666" t="s">
        <v>552</v>
      </c>
      <c r="D131" s="68" t="s">
        <v>513</v>
      </c>
      <c r="E131" s="679">
        <v>2861</v>
      </c>
      <c r="F131" s="529">
        <f>VLOOKUP(D131,'June 2012 DMV Revenue'!D:T,17,FALSE)</f>
        <v>0</v>
      </c>
      <c r="G131" s="680"/>
      <c r="H131" s="680"/>
      <c r="I131" s="755"/>
      <c r="J131" s="682">
        <f>SUM(E131:I131)</f>
        <v>2861</v>
      </c>
      <c r="K131" s="683"/>
      <c r="L131" s="684"/>
      <c r="M131" s="753"/>
      <c r="N131" s="683">
        <v>0</v>
      </c>
      <c r="O131" s="686"/>
      <c r="P131" s="683">
        <v>0</v>
      </c>
      <c r="Q131" s="687">
        <f>L131+M131</f>
        <v>0</v>
      </c>
      <c r="R131" s="688">
        <v>0</v>
      </c>
      <c r="S131" s="693"/>
      <c r="T131" s="690"/>
      <c r="U131" s="683"/>
      <c r="V131" s="474">
        <f t="shared" si="41"/>
        <v>0</v>
      </c>
      <c r="W131" s="474">
        <f t="shared" si="42"/>
        <v>0</v>
      </c>
      <c r="X131" s="475">
        <f t="shared" si="43"/>
        <v>0</v>
      </c>
      <c r="Y131" s="475">
        <v>0</v>
      </c>
      <c r="Z131" s="476">
        <v>0</v>
      </c>
      <c r="AA131" s="38">
        <f t="shared" si="44"/>
        <v>0</v>
      </c>
      <c r="AB131" s="692">
        <f t="shared" si="33"/>
        <v>0</v>
      </c>
      <c r="AC131" s="692">
        <f t="shared" si="34"/>
        <v>0</v>
      </c>
      <c r="AD131" s="692">
        <f t="shared" si="35"/>
        <v>2861</v>
      </c>
      <c r="AE131" s="38"/>
      <c r="AF131" s="692">
        <f t="shared" si="36"/>
        <v>0</v>
      </c>
      <c r="AG131" s="692">
        <f t="shared" si="37"/>
        <v>0</v>
      </c>
      <c r="AH131" s="692">
        <f t="shared" si="38"/>
        <v>0</v>
      </c>
    </row>
    <row r="132" spans="1:34">
      <c r="A132" s="21"/>
      <c r="B132" s="21" t="s">
        <v>109</v>
      </c>
      <c r="C132" s="666" t="s">
        <v>553</v>
      </c>
      <c r="D132" s="68" t="s">
        <v>308</v>
      </c>
      <c r="E132" s="679">
        <f>388.4+1253.23+931.62</f>
        <v>2573.25</v>
      </c>
      <c r="F132" s="529">
        <f>VLOOKUP(D132,'June 2012 DMV Revenue'!D:T,17,FALSE)</f>
        <v>0</v>
      </c>
      <c r="G132" s="680"/>
      <c r="H132" s="680"/>
      <c r="I132" s="755"/>
      <c r="J132" s="682">
        <f t="shared" si="39"/>
        <v>2573.25</v>
      </c>
      <c r="K132" s="683"/>
      <c r="L132" s="684"/>
      <c r="M132" s="753"/>
      <c r="N132" s="683">
        <v>0</v>
      </c>
      <c r="O132" s="686"/>
      <c r="P132" s="683">
        <v>0</v>
      </c>
      <c r="Q132" s="687">
        <f t="shared" si="1"/>
        <v>0</v>
      </c>
      <c r="R132" s="688">
        <v>0</v>
      </c>
      <c r="S132" s="693"/>
      <c r="T132" s="690">
        <f t="shared" si="40"/>
        <v>0</v>
      </c>
      <c r="U132" s="683"/>
      <c r="V132" s="474">
        <f t="shared" si="41"/>
        <v>0</v>
      </c>
      <c r="W132" s="474">
        <f t="shared" si="42"/>
        <v>0</v>
      </c>
      <c r="X132" s="475">
        <f t="shared" si="43"/>
        <v>0</v>
      </c>
      <c r="Y132" s="475">
        <v>0</v>
      </c>
      <c r="Z132" s="476">
        <v>0</v>
      </c>
      <c r="AA132" s="38">
        <f t="shared" si="44"/>
        <v>0</v>
      </c>
      <c r="AB132" s="692">
        <f t="shared" si="33"/>
        <v>0</v>
      </c>
      <c r="AC132" s="692">
        <f t="shared" si="34"/>
        <v>2573.25</v>
      </c>
      <c r="AD132" s="692">
        <f t="shared" si="35"/>
        <v>0</v>
      </c>
      <c r="AE132" s="38"/>
      <c r="AF132" s="692">
        <f t="shared" si="36"/>
        <v>0</v>
      </c>
      <c r="AG132" s="692">
        <f t="shared" si="37"/>
        <v>0</v>
      </c>
      <c r="AH132" s="692">
        <f t="shared" si="38"/>
        <v>0</v>
      </c>
    </row>
    <row r="133" spans="1:34" s="232" customFormat="1">
      <c r="A133" s="283" t="s">
        <v>211</v>
      </c>
      <c r="B133" s="283" t="s">
        <v>109</v>
      </c>
      <c r="C133" s="667" t="s">
        <v>554</v>
      </c>
      <c r="D133" s="123" t="s">
        <v>389</v>
      </c>
      <c r="E133" s="679"/>
      <c r="F133" s="529">
        <f>VLOOKUP(D133,'June 2012 DMV Revenue'!D:T,17,FALSE)</f>
        <v>-45000</v>
      </c>
      <c r="G133" s="680"/>
      <c r="H133" s="680"/>
      <c r="I133" s="755"/>
      <c r="J133" s="682">
        <f t="shared" si="39"/>
        <v>-45000</v>
      </c>
      <c r="K133" s="683"/>
      <c r="L133" s="684"/>
      <c r="M133" s="753">
        <v>60000</v>
      </c>
      <c r="N133" s="683">
        <v>0</v>
      </c>
      <c r="O133" s="686"/>
      <c r="P133" s="683">
        <v>0</v>
      </c>
      <c r="Q133" s="687">
        <f t="shared" si="1"/>
        <v>60000</v>
      </c>
      <c r="R133" s="688">
        <v>0</v>
      </c>
      <c r="S133" s="693"/>
      <c r="T133" s="690">
        <f t="shared" si="40"/>
        <v>-60000</v>
      </c>
      <c r="U133" s="683"/>
      <c r="V133" s="474">
        <f t="shared" si="41"/>
        <v>0</v>
      </c>
      <c r="W133" s="474">
        <f t="shared" si="42"/>
        <v>60000</v>
      </c>
      <c r="X133" s="475">
        <f t="shared" si="43"/>
        <v>0</v>
      </c>
      <c r="Y133" s="475">
        <v>0</v>
      </c>
      <c r="Z133" s="476">
        <v>0</v>
      </c>
      <c r="AA133" s="38">
        <f t="shared" si="44"/>
        <v>0</v>
      </c>
      <c r="AB133" s="692">
        <f t="shared" si="33"/>
        <v>0</v>
      </c>
      <c r="AC133" s="692">
        <f t="shared" si="34"/>
        <v>-45000</v>
      </c>
      <c r="AD133" s="692">
        <f t="shared" si="35"/>
        <v>0</v>
      </c>
      <c r="AE133" s="38"/>
      <c r="AF133" s="692">
        <f t="shared" si="36"/>
        <v>0</v>
      </c>
      <c r="AG133" s="692">
        <f t="shared" si="37"/>
        <v>60000</v>
      </c>
      <c r="AH133" s="692">
        <f t="shared" si="38"/>
        <v>0</v>
      </c>
    </row>
    <row r="134" spans="1:34" s="232" customFormat="1">
      <c r="A134" s="283"/>
      <c r="B134" s="283" t="s">
        <v>110</v>
      </c>
      <c r="C134" s="667"/>
      <c r="D134" s="123" t="s">
        <v>807</v>
      </c>
      <c r="E134" s="679"/>
      <c r="F134" s="529">
        <f>VLOOKUP(D134,'June 2012 DMV Revenue'!D:T,17,FALSE)</f>
        <v>0</v>
      </c>
      <c r="G134" s="680"/>
      <c r="H134" s="680"/>
      <c r="I134" s="755"/>
      <c r="J134" s="682">
        <f>SUM(E134:I134)</f>
        <v>0</v>
      </c>
      <c r="K134" s="683"/>
      <c r="L134" s="684"/>
      <c r="M134" s="753">
        <v>3000</v>
      </c>
      <c r="N134" s="683">
        <v>0</v>
      </c>
      <c r="O134" s="686"/>
      <c r="P134" s="683">
        <v>0</v>
      </c>
      <c r="Q134" s="687">
        <f t="shared" si="1"/>
        <v>3000</v>
      </c>
      <c r="R134" s="688">
        <v>1402.9</v>
      </c>
      <c r="S134" s="693"/>
      <c r="T134" s="690">
        <f t="shared" si="40"/>
        <v>-1597.1</v>
      </c>
      <c r="U134" s="683"/>
      <c r="V134" s="474">
        <f t="shared" si="41"/>
        <v>3000</v>
      </c>
      <c r="W134" s="474">
        <f t="shared" si="42"/>
        <v>0</v>
      </c>
      <c r="X134" s="475">
        <f t="shared" si="43"/>
        <v>0</v>
      </c>
      <c r="Y134" s="475">
        <v>0</v>
      </c>
      <c r="Z134" s="476">
        <v>0</v>
      </c>
      <c r="AA134" s="38">
        <f t="shared" si="44"/>
        <v>0</v>
      </c>
      <c r="AB134" s="692">
        <f t="shared" si="33"/>
        <v>0</v>
      </c>
      <c r="AC134" s="692">
        <f t="shared" si="34"/>
        <v>0</v>
      </c>
      <c r="AD134" s="692">
        <f t="shared" si="35"/>
        <v>0</v>
      </c>
      <c r="AE134" s="38"/>
      <c r="AF134" s="692">
        <f t="shared" si="36"/>
        <v>3000</v>
      </c>
      <c r="AG134" s="692">
        <f t="shared" si="37"/>
        <v>0</v>
      </c>
      <c r="AH134" s="692">
        <f t="shared" si="38"/>
        <v>0</v>
      </c>
    </row>
    <row r="135" spans="1:34" s="232" customFormat="1">
      <c r="A135" s="283"/>
      <c r="B135" s="283" t="s">
        <v>109</v>
      </c>
      <c r="C135" s="667"/>
      <c r="D135" s="123" t="s">
        <v>808</v>
      </c>
      <c r="E135" s="679"/>
      <c r="F135" s="529">
        <f>VLOOKUP(D135,'June 2012 DMV Revenue'!D:T,17,FALSE)</f>
        <v>0</v>
      </c>
      <c r="G135" s="680"/>
      <c r="H135" s="680"/>
      <c r="I135" s="755"/>
      <c r="J135" s="682">
        <f>SUM(E135:I135)</f>
        <v>0</v>
      </c>
      <c r="K135" s="683"/>
      <c r="L135" s="684"/>
      <c r="M135" s="753">
        <v>27000</v>
      </c>
      <c r="N135" s="683">
        <v>0</v>
      </c>
      <c r="O135" s="686"/>
      <c r="P135" s="683">
        <v>0</v>
      </c>
      <c r="Q135" s="687">
        <f t="shared" si="1"/>
        <v>27000</v>
      </c>
      <c r="R135" s="688">
        <f>10145.76+1173.43</f>
        <v>11319.19</v>
      </c>
      <c r="S135" s="693"/>
      <c r="T135" s="690">
        <f t="shared" si="40"/>
        <v>-15680.81</v>
      </c>
      <c r="U135" s="683"/>
      <c r="V135" s="474">
        <f t="shared" si="41"/>
        <v>0</v>
      </c>
      <c r="W135" s="474">
        <f t="shared" si="42"/>
        <v>27000</v>
      </c>
      <c r="X135" s="475">
        <f t="shared" si="43"/>
        <v>0</v>
      </c>
      <c r="Y135" s="475">
        <v>0</v>
      </c>
      <c r="Z135" s="476">
        <v>0</v>
      </c>
      <c r="AA135" s="38">
        <f t="shared" si="44"/>
        <v>0</v>
      </c>
      <c r="AB135" s="692">
        <f t="shared" si="33"/>
        <v>0</v>
      </c>
      <c r="AC135" s="692">
        <f t="shared" si="34"/>
        <v>0</v>
      </c>
      <c r="AD135" s="692">
        <f t="shared" si="35"/>
        <v>0</v>
      </c>
      <c r="AE135" s="38"/>
      <c r="AF135" s="692">
        <f t="shared" si="36"/>
        <v>0</v>
      </c>
      <c r="AG135" s="692">
        <f t="shared" si="37"/>
        <v>27000</v>
      </c>
      <c r="AH135" s="692">
        <f t="shared" si="38"/>
        <v>0</v>
      </c>
    </row>
    <row r="136" spans="1:34" s="232" customFormat="1">
      <c r="A136" s="283"/>
      <c r="B136" s="283" t="s">
        <v>110</v>
      </c>
      <c r="C136" s="667"/>
      <c r="D136" s="68" t="s">
        <v>488</v>
      </c>
      <c r="E136" s="679"/>
      <c r="F136" s="529">
        <f>VLOOKUP(D136,'June 2012 DMV Revenue'!D:T,17,FALSE)</f>
        <v>0</v>
      </c>
      <c r="G136" s="680"/>
      <c r="H136" s="680"/>
      <c r="I136" s="755"/>
      <c r="J136" s="682">
        <f t="shared" si="39"/>
        <v>0</v>
      </c>
      <c r="K136" s="683"/>
      <c r="L136" s="684"/>
      <c r="M136" s="753"/>
      <c r="N136" s="683">
        <v>0</v>
      </c>
      <c r="O136" s="686"/>
      <c r="P136" s="683">
        <v>0</v>
      </c>
      <c r="Q136" s="687">
        <f t="shared" si="1"/>
        <v>0</v>
      </c>
      <c r="R136" s="688">
        <v>0</v>
      </c>
      <c r="S136" s="693"/>
      <c r="T136" s="690">
        <f t="shared" si="40"/>
        <v>0</v>
      </c>
      <c r="U136" s="683"/>
      <c r="V136" s="474">
        <f t="shared" si="41"/>
        <v>0</v>
      </c>
      <c r="W136" s="474">
        <f t="shared" si="42"/>
        <v>0</v>
      </c>
      <c r="X136" s="475">
        <f t="shared" si="43"/>
        <v>0</v>
      </c>
      <c r="Y136" s="475">
        <v>0</v>
      </c>
      <c r="Z136" s="476">
        <v>0</v>
      </c>
      <c r="AA136" s="38">
        <f t="shared" si="44"/>
        <v>0</v>
      </c>
      <c r="AB136" s="692">
        <f t="shared" si="33"/>
        <v>0</v>
      </c>
      <c r="AC136" s="692">
        <f t="shared" si="34"/>
        <v>0</v>
      </c>
      <c r="AD136" s="692">
        <f t="shared" si="35"/>
        <v>0</v>
      </c>
      <c r="AE136" s="38"/>
      <c r="AF136" s="692">
        <f t="shared" si="36"/>
        <v>0</v>
      </c>
      <c r="AG136" s="692">
        <f t="shared" si="37"/>
        <v>0</v>
      </c>
      <c r="AH136" s="692">
        <f t="shared" si="38"/>
        <v>0</v>
      </c>
    </row>
    <row r="137" spans="1:34" s="232" customFormat="1">
      <c r="A137" s="283"/>
      <c r="B137" s="283" t="s">
        <v>110</v>
      </c>
      <c r="C137" s="667" t="s">
        <v>555</v>
      </c>
      <c r="D137" s="123" t="s">
        <v>192</v>
      </c>
      <c r="E137" s="679"/>
      <c r="F137" s="529">
        <f>VLOOKUP(D137,'June 2012 DMV Revenue'!D:T,17,FALSE)</f>
        <v>0</v>
      </c>
      <c r="G137" s="680"/>
      <c r="H137" s="680"/>
      <c r="I137" s="770">
        <v>3262.59</v>
      </c>
      <c r="J137" s="682">
        <f t="shared" si="39"/>
        <v>3262.59</v>
      </c>
      <c r="K137" s="683"/>
      <c r="L137" s="684"/>
      <c r="M137" s="753"/>
      <c r="N137" s="683">
        <v>0</v>
      </c>
      <c r="O137" s="686"/>
      <c r="P137" s="683">
        <v>0</v>
      </c>
      <c r="Q137" s="687">
        <f t="shared" si="1"/>
        <v>0</v>
      </c>
      <c r="R137" s="688">
        <v>0</v>
      </c>
      <c r="S137" s="693"/>
      <c r="T137" s="690">
        <f t="shared" si="40"/>
        <v>0</v>
      </c>
      <c r="U137" s="683"/>
      <c r="V137" s="474">
        <f t="shared" si="41"/>
        <v>0</v>
      </c>
      <c r="W137" s="474">
        <f t="shared" si="42"/>
        <v>0</v>
      </c>
      <c r="X137" s="475">
        <f t="shared" si="43"/>
        <v>0</v>
      </c>
      <c r="Y137" s="475">
        <v>0</v>
      </c>
      <c r="Z137" s="476">
        <v>0</v>
      </c>
      <c r="AA137" s="38">
        <f t="shared" si="44"/>
        <v>0</v>
      </c>
      <c r="AB137" s="692">
        <f t="shared" si="33"/>
        <v>3262.59</v>
      </c>
      <c r="AC137" s="692">
        <f t="shared" si="34"/>
        <v>0</v>
      </c>
      <c r="AD137" s="692">
        <f t="shared" si="35"/>
        <v>0</v>
      </c>
      <c r="AE137" s="38"/>
      <c r="AF137" s="692">
        <f t="shared" si="36"/>
        <v>0</v>
      </c>
      <c r="AG137" s="692">
        <f t="shared" si="37"/>
        <v>0</v>
      </c>
      <c r="AH137" s="692">
        <f t="shared" si="38"/>
        <v>0</v>
      </c>
    </row>
    <row r="138" spans="1:34" s="232" customFormat="1">
      <c r="A138" s="283"/>
      <c r="B138" s="283" t="s">
        <v>110</v>
      </c>
      <c r="C138" s="667" t="s">
        <v>555</v>
      </c>
      <c r="D138" s="123" t="s">
        <v>193</v>
      </c>
      <c r="E138" s="679"/>
      <c r="F138" s="529">
        <f>VLOOKUP(D138,'June 2012 DMV Revenue'!D:T,17,FALSE)</f>
        <v>0</v>
      </c>
      <c r="G138" s="680"/>
      <c r="H138" s="680"/>
      <c r="I138" s="770">
        <v>317.13</v>
      </c>
      <c r="J138" s="682">
        <f t="shared" si="39"/>
        <v>317.13</v>
      </c>
      <c r="K138" s="683"/>
      <c r="L138" s="684"/>
      <c r="M138" s="753"/>
      <c r="N138" s="683">
        <v>0</v>
      </c>
      <c r="O138" s="686"/>
      <c r="P138" s="683">
        <v>0</v>
      </c>
      <c r="Q138" s="687">
        <f t="shared" si="1"/>
        <v>0</v>
      </c>
      <c r="R138" s="688">
        <v>0</v>
      </c>
      <c r="S138" s="693"/>
      <c r="T138" s="690">
        <f t="shared" si="40"/>
        <v>0</v>
      </c>
      <c r="U138" s="683"/>
      <c r="V138" s="474">
        <f t="shared" si="41"/>
        <v>0</v>
      </c>
      <c r="W138" s="474">
        <f t="shared" si="42"/>
        <v>0</v>
      </c>
      <c r="X138" s="475">
        <f t="shared" si="43"/>
        <v>0</v>
      </c>
      <c r="Y138" s="475">
        <v>0</v>
      </c>
      <c r="Z138" s="476">
        <v>0</v>
      </c>
      <c r="AA138" s="38">
        <f t="shared" si="44"/>
        <v>0</v>
      </c>
      <c r="AB138" s="692">
        <f t="shared" si="33"/>
        <v>317.13</v>
      </c>
      <c r="AC138" s="692">
        <f t="shared" si="34"/>
        <v>0</v>
      </c>
      <c r="AD138" s="692">
        <f t="shared" si="35"/>
        <v>0</v>
      </c>
      <c r="AE138" s="38"/>
      <c r="AF138" s="692">
        <f t="shared" si="36"/>
        <v>0</v>
      </c>
      <c r="AG138" s="692">
        <f t="shared" si="37"/>
        <v>0</v>
      </c>
      <c r="AH138" s="692">
        <f t="shared" si="38"/>
        <v>0</v>
      </c>
    </row>
    <row r="139" spans="1:34" s="232" customFormat="1">
      <c r="A139" s="283"/>
      <c r="B139" s="283" t="s">
        <v>110</v>
      </c>
      <c r="C139" s="667" t="s">
        <v>555</v>
      </c>
      <c r="D139" s="123" t="s">
        <v>194</v>
      </c>
      <c r="E139" s="679"/>
      <c r="F139" s="529">
        <f>VLOOKUP(D139,'June 2012 DMV Revenue'!D:T,17,FALSE)</f>
        <v>0</v>
      </c>
      <c r="G139" s="680"/>
      <c r="H139" s="680"/>
      <c r="I139" s="770">
        <v>85.07</v>
      </c>
      <c r="J139" s="682">
        <f t="shared" si="39"/>
        <v>85.07</v>
      </c>
      <c r="K139" s="683"/>
      <c r="L139" s="684"/>
      <c r="M139" s="753"/>
      <c r="N139" s="683">
        <v>0</v>
      </c>
      <c r="O139" s="686"/>
      <c r="P139" s="683">
        <v>0</v>
      </c>
      <c r="Q139" s="687">
        <f t="shared" si="1"/>
        <v>0</v>
      </c>
      <c r="R139" s="688">
        <v>0</v>
      </c>
      <c r="S139" s="693"/>
      <c r="T139" s="690">
        <f t="shared" si="40"/>
        <v>0</v>
      </c>
      <c r="U139" s="683"/>
      <c r="V139" s="474">
        <f t="shared" si="41"/>
        <v>0</v>
      </c>
      <c r="W139" s="474">
        <f t="shared" si="42"/>
        <v>0</v>
      </c>
      <c r="X139" s="475">
        <f t="shared" si="43"/>
        <v>0</v>
      </c>
      <c r="Y139" s="475">
        <v>0</v>
      </c>
      <c r="Z139" s="476">
        <v>0</v>
      </c>
      <c r="AA139" s="38">
        <f t="shared" si="44"/>
        <v>0</v>
      </c>
      <c r="AB139" s="692">
        <f t="shared" si="33"/>
        <v>85.07</v>
      </c>
      <c r="AC139" s="692">
        <f t="shared" si="34"/>
        <v>0</v>
      </c>
      <c r="AD139" s="692">
        <f t="shared" si="35"/>
        <v>0</v>
      </c>
      <c r="AE139" s="38"/>
      <c r="AF139" s="692">
        <f t="shared" si="36"/>
        <v>0</v>
      </c>
      <c r="AG139" s="692">
        <f t="shared" si="37"/>
        <v>0</v>
      </c>
      <c r="AH139" s="692">
        <f t="shared" si="38"/>
        <v>0</v>
      </c>
    </row>
    <row r="140" spans="1:34" s="232" customFormat="1">
      <c r="A140" s="283"/>
      <c r="B140" s="283" t="s">
        <v>110</v>
      </c>
      <c r="C140" s="667" t="s">
        <v>555</v>
      </c>
      <c r="D140" s="123" t="s">
        <v>195</v>
      </c>
      <c r="E140" s="679"/>
      <c r="F140" s="529">
        <f>VLOOKUP(D140,'June 2012 DMV Revenue'!D:T,17,FALSE)</f>
        <v>0</v>
      </c>
      <c r="G140" s="680"/>
      <c r="H140" s="680"/>
      <c r="I140" s="770">
        <v>10.61</v>
      </c>
      <c r="J140" s="682">
        <f t="shared" si="39"/>
        <v>10.61</v>
      </c>
      <c r="K140" s="683"/>
      <c r="L140" s="684"/>
      <c r="M140" s="753"/>
      <c r="N140" s="683">
        <v>0</v>
      </c>
      <c r="O140" s="686"/>
      <c r="P140" s="683">
        <v>0</v>
      </c>
      <c r="Q140" s="687">
        <f t="shared" si="1"/>
        <v>0</v>
      </c>
      <c r="R140" s="688">
        <v>0</v>
      </c>
      <c r="S140" s="693"/>
      <c r="T140" s="690">
        <f t="shared" si="40"/>
        <v>0</v>
      </c>
      <c r="U140" s="683"/>
      <c r="V140" s="474">
        <f t="shared" si="41"/>
        <v>0</v>
      </c>
      <c r="W140" s="474">
        <f t="shared" si="42"/>
        <v>0</v>
      </c>
      <c r="X140" s="475">
        <f t="shared" si="43"/>
        <v>0</v>
      </c>
      <c r="Y140" s="475">
        <v>0</v>
      </c>
      <c r="Z140" s="476">
        <v>0</v>
      </c>
      <c r="AA140" s="38">
        <f t="shared" si="44"/>
        <v>0</v>
      </c>
      <c r="AB140" s="692">
        <f t="shared" si="33"/>
        <v>10.61</v>
      </c>
      <c r="AC140" s="692">
        <f t="shared" si="34"/>
        <v>0</v>
      </c>
      <c r="AD140" s="692">
        <f t="shared" si="35"/>
        <v>0</v>
      </c>
      <c r="AE140" s="38"/>
      <c r="AF140" s="692">
        <f t="shared" si="36"/>
        <v>0</v>
      </c>
      <c r="AG140" s="692">
        <f t="shared" si="37"/>
        <v>0</v>
      </c>
      <c r="AH140" s="692">
        <f t="shared" si="38"/>
        <v>0</v>
      </c>
    </row>
    <row r="141" spans="1:34" s="232" customFormat="1">
      <c r="A141" s="283"/>
      <c r="B141" s="283" t="s">
        <v>110</v>
      </c>
      <c r="C141" s="667" t="s">
        <v>555</v>
      </c>
      <c r="D141" s="123" t="s">
        <v>196</v>
      </c>
      <c r="E141" s="679"/>
      <c r="F141" s="529">
        <f>VLOOKUP(D141,'June 2012 DMV Revenue'!D:T,17,FALSE)</f>
        <v>0</v>
      </c>
      <c r="G141" s="680"/>
      <c r="H141" s="680"/>
      <c r="I141" s="770">
        <v>92.23</v>
      </c>
      <c r="J141" s="682">
        <f t="shared" si="39"/>
        <v>92.23</v>
      </c>
      <c r="K141" s="683"/>
      <c r="L141" s="684"/>
      <c r="M141" s="753"/>
      <c r="N141" s="683">
        <v>0</v>
      </c>
      <c r="O141" s="686"/>
      <c r="P141" s="683">
        <v>0</v>
      </c>
      <c r="Q141" s="687">
        <f t="shared" si="1"/>
        <v>0</v>
      </c>
      <c r="R141" s="688">
        <v>0</v>
      </c>
      <c r="S141" s="693"/>
      <c r="T141" s="690">
        <f t="shared" si="40"/>
        <v>0</v>
      </c>
      <c r="U141" s="683"/>
      <c r="V141" s="474">
        <f t="shared" si="41"/>
        <v>0</v>
      </c>
      <c r="W141" s="474">
        <f t="shared" si="42"/>
        <v>0</v>
      </c>
      <c r="X141" s="475">
        <f t="shared" si="43"/>
        <v>0</v>
      </c>
      <c r="Y141" s="475">
        <v>0</v>
      </c>
      <c r="Z141" s="476">
        <v>0</v>
      </c>
      <c r="AA141" s="38">
        <f t="shared" si="44"/>
        <v>0</v>
      </c>
      <c r="AB141" s="692">
        <f t="shared" si="33"/>
        <v>92.23</v>
      </c>
      <c r="AC141" s="692">
        <f t="shared" si="34"/>
        <v>0</v>
      </c>
      <c r="AD141" s="692">
        <f t="shared" si="35"/>
        <v>0</v>
      </c>
      <c r="AE141" s="38"/>
      <c r="AF141" s="692">
        <f t="shared" si="36"/>
        <v>0</v>
      </c>
      <c r="AG141" s="692">
        <f t="shared" si="37"/>
        <v>0</v>
      </c>
      <c r="AH141" s="692">
        <f t="shared" si="38"/>
        <v>0</v>
      </c>
    </row>
    <row r="142" spans="1:34" s="232" customFormat="1">
      <c r="A142" s="283"/>
      <c r="B142" s="283" t="s">
        <v>110</v>
      </c>
      <c r="C142" s="667" t="s">
        <v>555</v>
      </c>
      <c r="D142" s="123" t="s">
        <v>197</v>
      </c>
      <c r="E142" s="679"/>
      <c r="F142" s="529">
        <f>VLOOKUP(D142,'June 2012 DMV Revenue'!D:T,17,FALSE)</f>
        <v>0</v>
      </c>
      <c r="G142" s="680"/>
      <c r="H142" s="680"/>
      <c r="I142" s="770">
        <v>3.21</v>
      </c>
      <c r="J142" s="682">
        <f t="shared" si="39"/>
        <v>3.21</v>
      </c>
      <c r="K142" s="683"/>
      <c r="L142" s="684"/>
      <c r="M142" s="753"/>
      <c r="N142" s="683">
        <v>0</v>
      </c>
      <c r="O142" s="686"/>
      <c r="P142" s="683">
        <v>0</v>
      </c>
      <c r="Q142" s="687">
        <f t="shared" si="1"/>
        <v>0</v>
      </c>
      <c r="R142" s="688">
        <v>0</v>
      </c>
      <c r="S142" s="693"/>
      <c r="T142" s="690">
        <f t="shared" si="40"/>
        <v>0</v>
      </c>
      <c r="U142" s="683"/>
      <c r="V142" s="474">
        <f t="shared" si="41"/>
        <v>0</v>
      </c>
      <c r="W142" s="474">
        <f t="shared" si="42"/>
        <v>0</v>
      </c>
      <c r="X142" s="475">
        <f t="shared" si="43"/>
        <v>0</v>
      </c>
      <c r="Y142" s="475">
        <v>0</v>
      </c>
      <c r="Z142" s="476">
        <v>0</v>
      </c>
      <c r="AA142" s="38">
        <f t="shared" si="44"/>
        <v>0</v>
      </c>
      <c r="AB142" s="692">
        <f t="shared" si="33"/>
        <v>3.21</v>
      </c>
      <c r="AC142" s="692">
        <f t="shared" si="34"/>
        <v>0</v>
      </c>
      <c r="AD142" s="692">
        <f t="shared" si="35"/>
        <v>0</v>
      </c>
      <c r="AE142" s="38"/>
      <c r="AF142" s="692">
        <f t="shared" si="36"/>
        <v>0</v>
      </c>
      <c r="AG142" s="692">
        <f t="shared" si="37"/>
        <v>0</v>
      </c>
      <c r="AH142" s="692">
        <f t="shared" si="38"/>
        <v>0</v>
      </c>
    </row>
    <row r="143" spans="1:34" s="232" customFormat="1">
      <c r="A143" s="283"/>
      <c r="B143" s="283" t="s">
        <v>110</v>
      </c>
      <c r="C143" s="667" t="s">
        <v>555</v>
      </c>
      <c r="D143" s="123" t="s">
        <v>440</v>
      </c>
      <c r="E143" s="679"/>
      <c r="F143" s="529">
        <f>VLOOKUP(D143,'June 2012 DMV Revenue'!D:T,17,FALSE)</f>
        <v>0</v>
      </c>
      <c r="G143" s="680"/>
      <c r="H143" s="680"/>
      <c r="I143" s="770">
        <f>940.31+182.39+170.65</f>
        <v>1293.3499999999999</v>
      </c>
      <c r="J143" s="682">
        <f t="shared" ref="J143:J208" si="46">SUM(E143:I143)</f>
        <v>1293.3499999999999</v>
      </c>
      <c r="K143" s="683"/>
      <c r="L143" s="684"/>
      <c r="M143" s="753"/>
      <c r="N143" s="683">
        <v>0</v>
      </c>
      <c r="O143" s="686"/>
      <c r="P143" s="683">
        <v>0</v>
      </c>
      <c r="Q143" s="687">
        <f t="shared" si="1"/>
        <v>0</v>
      </c>
      <c r="R143" s="688">
        <v>0</v>
      </c>
      <c r="S143" s="693"/>
      <c r="T143" s="690">
        <f t="shared" si="40"/>
        <v>0</v>
      </c>
      <c r="U143" s="683"/>
      <c r="V143" s="474">
        <f t="shared" si="41"/>
        <v>0</v>
      </c>
      <c r="W143" s="474">
        <f t="shared" si="42"/>
        <v>0</v>
      </c>
      <c r="X143" s="475">
        <f t="shared" si="43"/>
        <v>0</v>
      </c>
      <c r="Y143" s="475">
        <v>0</v>
      </c>
      <c r="Z143" s="476">
        <v>0</v>
      </c>
      <c r="AA143" s="38">
        <f t="shared" si="44"/>
        <v>0</v>
      </c>
      <c r="AB143" s="692">
        <f t="shared" si="33"/>
        <v>1293.3499999999999</v>
      </c>
      <c r="AC143" s="692">
        <f t="shared" si="34"/>
        <v>0</v>
      </c>
      <c r="AD143" s="692">
        <f t="shared" si="35"/>
        <v>0</v>
      </c>
      <c r="AE143" s="38"/>
      <c r="AF143" s="692">
        <f t="shared" si="36"/>
        <v>0</v>
      </c>
      <c r="AG143" s="692">
        <f t="shared" si="37"/>
        <v>0</v>
      </c>
      <c r="AH143" s="692">
        <f t="shared" si="38"/>
        <v>0</v>
      </c>
    </row>
    <row r="144" spans="1:34" s="232" customFormat="1">
      <c r="A144" s="283"/>
      <c r="B144" s="283" t="s">
        <v>110</v>
      </c>
      <c r="C144" s="667" t="s">
        <v>555</v>
      </c>
      <c r="D144" s="123" t="s">
        <v>481</v>
      </c>
      <c r="E144" s="679"/>
      <c r="F144" s="529">
        <f>VLOOKUP(D144,'June 2012 DMV Revenue'!D:T,17,FALSE)</f>
        <v>0</v>
      </c>
      <c r="G144" s="680"/>
      <c r="H144" s="680"/>
      <c r="I144" s="770">
        <v>379.23</v>
      </c>
      <c r="J144" s="682">
        <f t="shared" si="46"/>
        <v>379.23</v>
      </c>
      <c r="K144" s="683"/>
      <c r="L144" s="684"/>
      <c r="M144" s="753"/>
      <c r="N144" s="683">
        <v>0</v>
      </c>
      <c r="O144" s="686"/>
      <c r="P144" s="683">
        <v>0</v>
      </c>
      <c r="Q144" s="687">
        <f t="shared" si="1"/>
        <v>0</v>
      </c>
      <c r="R144" s="688">
        <v>0</v>
      </c>
      <c r="S144" s="693"/>
      <c r="T144" s="690">
        <f t="shared" si="40"/>
        <v>0</v>
      </c>
      <c r="U144" s="683"/>
      <c r="V144" s="474">
        <f t="shared" si="41"/>
        <v>0</v>
      </c>
      <c r="W144" s="474">
        <f t="shared" si="42"/>
        <v>0</v>
      </c>
      <c r="X144" s="475">
        <f t="shared" si="43"/>
        <v>0</v>
      </c>
      <c r="Y144" s="475">
        <v>0</v>
      </c>
      <c r="Z144" s="476">
        <v>0</v>
      </c>
      <c r="AA144" s="38">
        <f t="shared" si="44"/>
        <v>0</v>
      </c>
      <c r="AB144" s="692">
        <f t="shared" si="33"/>
        <v>379.23</v>
      </c>
      <c r="AC144" s="692">
        <f t="shared" si="34"/>
        <v>0</v>
      </c>
      <c r="AD144" s="692">
        <f t="shared" si="35"/>
        <v>0</v>
      </c>
      <c r="AE144" s="38"/>
      <c r="AF144" s="692">
        <f t="shared" si="36"/>
        <v>0</v>
      </c>
      <c r="AG144" s="692">
        <f t="shared" si="37"/>
        <v>0</v>
      </c>
      <c r="AH144" s="692">
        <f t="shared" si="38"/>
        <v>0</v>
      </c>
    </row>
    <row r="145" spans="1:34" s="232" customFormat="1">
      <c r="A145" s="283"/>
      <c r="B145" s="283" t="s">
        <v>109</v>
      </c>
      <c r="C145" s="667" t="s">
        <v>555</v>
      </c>
      <c r="D145" s="123" t="s">
        <v>248</v>
      </c>
      <c r="E145" s="679"/>
      <c r="F145" s="529">
        <f>VLOOKUP(D145,'June 2012 DMV Revenue'!D:T,17,FALSE)</f>
        <v>0</v>
      </c>
      <c r="G145" s="680"/>
      <c r="H145" s="680"/>
      <c r="I145" s="755"/>
      <c r="J145" s="682">
        <f t="shared" si="46"/>
        <v>0</v>
      </c>
      <c r="K145" s="683"/>
      <c r="L145" s="684"/>
      <c r="M145" s="753"/>
      <c r="N145" s="683">
        <v>0</v>
      </c>
      <c r="O145" s="686"/>
      <c r="P145" s="683">
        <v>0</v>
      </c>
      <c r="Q145" s="687">
        <f t="shared" si="1"/>
        <v>0</v>
      </c>
      <c r="R145" s="688">
        <v>0</v>
      </c>
      <c r="S145" s="693"/>
      <c r="T145" s="690">
        <f t="shared" si="40"/>
        <v>0</v>
      </c>
      <c r="U145" s="683"/>
      <c r="V145" s="474">
        <f t="shared" si="41"/>
        <v>0</v>
      </c>
      <c r="W145" s="474">
        <f t="shared" si="42"/>
        <v>0</v>
      </c>
      <c r="X145" s="475">
        <f t="shared" si="43"/>
        <v>0</v>
      </c>
      <c r="Y145" s="475">
        <v>0</v>
      </c>
      <c r="Z145" s="476">
        <v>0</v>
      </c>
      <c r="AA145" s="38">
        <f t="shared" si="44"/>
        <v>0</v>
      </c>
      <c r="AB145" s="692">
        <f t="shared" si="33"/>
        <v>0</v>
      </c>
      <c r="AC145" s="692">
        <f t="shared" si="34"/>
        <v>0</v>
      </c>
      <c r="AD145" s="692">
        <f t="shared" si="35"/>
        <v>0</v>
      </c>
      <c r="AE145" s="38"/>
      <c r="AF145" s="692">
        <f t="shared" si="36"/>
        <v>0</v>
      </c>
      <c r="AG145" s="692">
        <f t="shared" si="37"/>
        <v>0</v>
      </c>
      <c r="AH145" s="692">
        <f t="shared" si="38"/>
        <v>0</v>
      </c>
    </row>
    <row r="146" spans="1:34" s="232" customFormat="1">
      <c r="A146" s="283"/>
      <c r="B146" s="20" t="s">
        <v>109</v>
      </c>
      <c r="C146" s="667"/>
      <c r="D146" s="68" t="s">
        <v>465</v>
      </c>
      <c r="E146" s="679"/>
      <c r="F146" s="529">
        <f>VLOOKUP(D146,'June 2012 DMV Revenue'!D:T,17,FALSE)</f>
        <v>-5000</v>
      </c>
      <c r="G146" s="680"/>
      <c r="H146" s="680"/>
      <c r="I146" s="755"/>
      <c r="J146" s="682">
        <f t="shared" si="46"/>
        <v>-5000</v>
      </c>
      <c r="K146" s="683"/>
      <c r="L146" s="684"/>
      <c r="M146" s="753">
        <v>10000</v>
      </c>
      <c r="N146" s="683">
        <v>0</v>
      </c>
      <c r="O146" s="686"/>
      <c r="P146" s="683">
        <v>0</v>
      </c>
      <c r="Q146" s="687">
        <f t="shared" si="1"/>
        <v>10000</v>
      </c>
      <c r="R146" s="688">
        <v>0</v>
      </c>
      <c r="S146" s="693"/>
      <c r="T146" s="690">
        <f t="shared" si="40"/>
        <v>-10000</v>
      </c>
      <c r="U146" s="683"/>
      <c r="V146" s="474">
        <f t="shared" si="41"/>
        <v>0</v>
      </c>
      <c r="W146" s="474">
        <f t="shared" si="42"/>
        <v>10000</v>
      </c>
      <c r="X146" s="475">
        <f t="shared" si="43"/>
        <v>0</v>
      </c>
      <c r="Y146" s="475">
        <v>0</v>
      </c>
      <c r="Z146" s="476">
        <v>0</v>
      </c>
      <c r="AA146" s="38">
        <f t="shared" si="44"/>
        <v>0</v>
      </c>
      <c r="AB146" s="692">
        <f t="shared" ref="AB146:AB211" si="47">IF(B146="D",J146,0)</f>
        <v>0</v>
      </c>
      <c r="AC146" s="692">
        <f t="shared" ref="AC146:AC211" si="48">IF(B146="M",J146,0)</f>
        <v>-5000</v>
      </c>
      <c r="AD146" s="692">
        <f t="shared" ref="AD146:AD211" si="49">IF(B146="V",J146,0)</f>
        <v>0</v>
      </c>
      <c r="AE146" s="38"/>
      <c r="AF146" s="692">
        <f t="shared" ref="AF146:AF211" si="50">IF(B146="D",Q146,0)</f>
        <v>0</v>
      </c>
      <c r="AG146" s="692">
        <f t="shared" ref="AG146:AG211" si="51">IF(B146="M",Q146,0)</f>
        <v>10000</v>
      </c>
      <c r="AH146" s="692">
        <f t="shared" ref="AH146:AH211" si="52">IF(B146="V",Q146,0)</f>
        <v>0</v>
      </c>
    </row>
    <row r="147" spans="1:34">
      <c r="A147" s="21"/>
      <c r="B147" s="21" t="s">
        <v>109</v>
      </c>
      <c r="C147" s="666"/>
      <c r="D147" s="68" t="s">
        <v>31</v>
      </c>
      <c r="E147" s="679"/>
      <c r="F147" s="529">
        <f>VLOOKUP(D147,'June 2012 DMV Revenue'!D:T,17,FALSE)</f>
        <v>0</v>
      </c>
      <c r="G147" s="680"/>
      <c r="H147" s="680"/>
      <c r="I147" s="755"/>
      <c r="J147" s="682">
        <f t="shared" si="46"/>
        <v>0</v>
      </c>
      <c r="K147" s="683"/>
      <c r="L147" s="684"/>
      <c r="M147" s="753"/>
      <c r="N147" s="683">
        <v>0</v>
      </c>
      <c r="O147" s="686"/>
      <c r="P147" s="683">
        <v>0</v>
      </c>
      <c r="Q147" s="687">
        <f t="shared" si="1"/>
        <v>0</v>
      </c>
      <c r="R147" s="688">
        <v>0</v>
      </c>
      <c r="S147" s="693"/>
      <c r="T147" s="690">
        <f t="shared" si="40"/>
        <v>0</v>
      </c>
      <c r="U147" s="683"/>
      <c r="V147" s="474">
        <f t="shared" si="41"/>
        <v>0</v>
      </c>
      <c r="W147" s="474">
        <f t="shared" si="42"/>
        <v>0</v>
      </c>
      <c r="X147" s="475">
        <f t="shared" si="43"/>
        <v>0</v>
      </c>
      <c r="Y147" s="475">
        <v>0</v>
      </c>
      <c r="Z147" s="476">
        <v>0</v>
      </c>
      <c r="AA147" s="38">
        <f t="shared" si="44"/>
        <v>0</v>
      </c>
      <c r="AB147" s="692">
        <f t="shared" si="47"/>
        <v>0</v>
      </c>
      <c r="AC147" s="692">
        <f t="shared" si="48"/>
        <v>0</v>
      </c>
      <c r="AD147" s="692">
        <f t="shared" si="49"/>
        <v>0</v>
      </c>
      <c r="AE147" s="38"/>
      <c r="AF147" s="692">
        <f t="shared" si="50"/>
        <v>0</v>
      </c>
      <c r="AG147" s="692">
        <f t="shared" si="51"/>
        <v>0</v>
      </c>
      <c r="AH147" s="692">
        <f t="shared" si="52"/>
        <v>0</v>
      </c>
    </row>
    <row r="148" spans="1:34">
      <c r="A148" s="21"/>
      <c r="B148" s="21" t="s">
        <v>110</v>
      </c>
      <c r="C148" s="666" t="s">
        <v>556</v>
      </c>
      <c r="D148" s="68" t="s">
        <v>261</v>
      </c>
      <c r="E148" s="679"/>
      <c r="F148" s="529">
        <f>VLOOKUP(D148,'June 2012 DMV Revenue'!D:T,17,FALSE)</f>
        <v>-3523.6699999999983</v>
      </c>
      <c r="G148" s="680"/>
      <c r="H148" s="680"/>
      <c r="I148" s="755"/>
      <c r="J148" s="682">
        <f t="shared" si="46"/>
        <v>-3523.6699999999983</v>
      </c>
      <c r="K148" s="683"/>
      <c r="L148" s="684"/>
      <c r="M148" s="753">
        <v>90000</v>
      </c>
      <c r="N148" s="683">
        <v>0</v>
      </c>
      <c r="O148" s="686"/>
      <c r="P148" s="683">
        <v>0</v>
      </c>
      <c r="Q148" s="687">
        <f t="shared" si="1"/>
        <v>90000</v>
      </c>
      <c r="R148" s="688">
        <f>95555.2-R149</f>
        <v>85767.01</v>
      </c>
      <c r="S148" s="693"/>
      <c r="T148" s="690">
        <f t="shared" si="40"/>
        <v>-4232.9900000000052</v>
      </c>
      <c r="U148" s="683"/>
      <c r="V148" s="474">
        <f t="shared" si="41"/>
        <v>90000</v>
      </c>
      <c r="W148" s="474">
        <f t="shared" si="42"/>
        <v>0</v>
      </c>
      <c r="X148" s="475">
        <f t="shared" si="43"/>
        <v>0</v>
      </c>
      <c r="Y148" s="475">
        <v>0</v>
      </c>
      <c r="Z148" s="476">
        <v>0</v>
      </c>
      <c r="AA148" s="38">
        <f t="shared" si="44"/>
        <v>0</v>
      </c>
      <c r="AB148" s="692">
        <f t="shared" si="47"/>
        <v>-3523.6699999999983</v>
      </c>
      <c r="AC148" s="692">
        <f t="shared" si="48"/>
        <v>0</v>
      </c>
      <c r="AD148" s="692">
        <f t="shared" si="49"/>
        <v>0</v>
      </c>
      <c r="AE148" s="38"/>
      <c r="AF148" s="692">
        <f t="shared" si="50"/>
        <v>90000</v>
      </c>
      <c r="AG148" s="692">
        <f t="shared" si="51"/>
        <v>0</v>
      </c>
      <c r="AH148" s="692">
        <f t="shared" si="52"/>
        <v>0</v>
      </c>
    </row>
    <row r="149" spans="1:34" s="269" customFormat="1">
      <c r="A149" s="21"/>
      <c r="B149" s="21" t="s">
        <v>110</v>
      </c>
      <c r="C149" s="666" t="s">
        <v>556</v>
      </c>
      <c r="D149" s="68" t="s">
        <v>262</v>
      </c>
      <c r="E149" s="679"/>
      <c r="F149" s="529">
        <f>VLOOKUP(D149,'June 2012 DMV Revenue'!D:T,17,FALSE)</f>
        <v>430.1200000000008</v>
      </c>
      <c r="G149" s="680"/>
      <c r="H149" s="680"/>
      <c r="I149" s="755"/>
      <c r="J149" s="682">
        <f t="shared" si="46"/>
        <v>430.1200000000008</v>
      </c>
      <c r="K149" s="683"/>
      <c r="L149" s="684"/>
      <c r="M149" s="753">
        <v>10000</v>
      </c>
      <c r="N149" s="683">
        <v>0</v>
      </c>
      <c r="O149" s="686"/>
      <c r="P149" s="683">
        <v>0</v>
      </c>
      <c r="Q149" s="687">
        <f t="shared" si="1"/>
        <v>10000</v>
      </c>
      <c r="R149" s="688">
        <v>9788.19</v>
      </c>
      <c r="S149" s="693"/>
      <c r="T149" s="690">
        <f t="shared" si="40"/>
        <v>-211.80999999999949</v>
      </c>
      <c r="U149" s="683"/>
      <c r="V149" s="474">
        <f t="shared" si="41"/>
        <v>10000</v>
      </c>
      <c r="W149" s="474">
        <f t="shared" si="42"/>
        <v>0</v>
      </c>
      <c r="X149" s="475">
        <f t="shared" si="43"/>
        <v>0</v>
      </c>
      <c r="Y149" s="475">
        <v>0</v>
      </c>
      <c r="Z149" s="476">
        <v>0</v>
      </c>
      <c r="AA149" s="38">
        <f t="shared" si="44"/>
        <v>0</v>
      </c>
      <c r="AB149" s="692">
        <f t="shared" si="47"/>
        <v>430.1200000000008</v>
      </c>
      <c r="AC149" s="692">
        <f t="shared" si="48"/>
        <v>0</v>
      </c>
      <c r="AD149" s="692">
        <f t="shared" si="49"/>
        <v>0</v>
      </c>
      <c r="AE149" s="38"/>
      <c r="AF149" s="692">
        <f t="shared" si="50"/>
        <v>10000</v>
      </c>
      <c r="AG149" s="692">
        <f t="shared" si="51"/>
        <v>0</v>
      </c>
      <c r="AH149" s="692">
        <f t="shared" si="52"/>
        <v>0</v>
      </c>
    </row>
    <row r="150" spans="1:34" s="269" customFormat="1">
      <c r="A150" s="21"/>
      <c r="B150" s="21" t="s">
        <v>114</v>
      </c>
      <c r="C150" s="675" t="s">
        <v>619</v>
      </c>
      <c r="D150" s="68" t="s">
        <v>626</v>
      </c>
      <c r="E150" s="679"/>
      <c r="F150" s="529">
        <f>VLOOKUP(D150,'June 2012 DMV Revenue'!D:T,17,FALSE)</f>
        <v>0</v>
      </c>
      <c r="G150" s="680"/>
      <c r="H150" s="680"/>
      <c r="I150" s="755"/>
      <c r="J150" s="682">
        <f t="shared" ref="J150" si="53">SUM(E150:I150)</f>
        <v>0</v>
      </c>
      <c r="K150" s="683"/>
      <c r="L150" s="684"/>
      <c r="M150" s="753"/>
      <c r="N150" s="683">
        <v>0</v>
      </c>
      <c r="O150" s="686"/>
      <c r="P150" s="683">
        <v>0</v>
      </c>
      <c r="Q150" s="687">
        <f t="shared" ref="Q150:Q215" si="54">L150+M150</f>
        <v>0</v>
      </c>
      <c r="R150" s="688">
        <v>4598.95</v>
      </c>
      <c r="S150" s="693"/>
      <c r="T150" s="690">
        <f t="shared" ref="T150:T215" si="55">IF(R150="","",R150-Q150)</f>
        <v>4598.95</v>
      </c>
      <c r="U150" s="683"/>
      <c r="V150" s="474">
        <f t="shared" ref="V150:V215" si="56">IF(B150="D",Q150,0)</f>
        <v>0</v>
      </c>
      <c r="W150" s="474">
        <f t="shared" ref="W150:W215" si="57">IF(B150="M",Q150,0)</f>
        <v>0</v>
      </c>
      <c r="X150" s="475">
        <f t="shared" ref="X150:X215" si="58">IF(B150="V",Q150,0)</f>
        <v>0</v>
      </c>
      <c r="Y150" s="475">
        <v>0</v>
      </c>
      <c r="Z150" s="476">
        <v>0</v>
      </c>
      <c r="AA150" s="38">
        <f t="shared" ref="AA150:AA215" si="59">(L150+M150)-(V150+W150+X150+Y150+Z150)</f>
        <v>0</v>
      </c>
      <c r="AB150" s="692">
        <f t="shared" si="47"/>
        <v>0</v>
      </c>
      <c r="AC150" s="692">
        <f t="shared" si="48"/>
        <v>0</v>
      </c>
      <c r="AD150" s="692">
        <f t="shared" si="49"/>
        <v>0</v>
      </c>
      <c r="AE150" s="38"/>
      <c r="AF150" s="692">
        <f t="shared" si="50"/>
        <v>0</v>
      </c>
      <c r="AG150" s="692">
        <f t="shared" si="51"/>
        <v>0</v>
      </c>
      <c r="AH150" s="692">
        <f t="shared" si="52"/>
        <v>0</v>
      </c>
    </row>
    <row r="151" spans="1:34">
      <c r="A151" s="21"/>
      <c r="B151" s="21" t="s">
        <v>109</v>
      </c>
      <c r="C151" s="666"/>
      <c r="D151" s="68" t="s">
        <v>190</v>
      </c>
      <c r="E151" s="679"/>
      <c r="F151" s="529">
        <f>VLOOKUP(D151,'June 2012 DMV Revenue'!D:T,17,FALSE)</f>
        <v>0</v>
      </c>
      <c r="G151" s="680"/>
      <c r="H151" s="680"/>
      <c r="I151" s="755"/>
      <c r="J151" s="682">
        <f t="shared" si="46"/>
        <v>0</v>
      </c>
      <c r="K151" s="683"/>
      <c r="L151" s="684"/>
      <c r="M151" s="753"/>
      <c r="N151" s="683">
        <v>0</v>
      </c>
      <c r="O151" s="686"/>
      <c r="P151" s="683">
        <v>0</v>
      </c>
      <c r="Q151" s="687">
        <f t="shared" si="54"/>
        <v>0</v>
      </c>
      <c r="R151" s="688">
        <v>0</v>
      </c>
      <c r="S151" s="693"/>
      <c r="T151" s="690">
        <f t="shared" si="55"/>
        <v>0</v>
      </c>
      <c r="U151" s="683"/>
      <c r="V151" s="474">
        <f t="shared" si="56"/>
        <v>0</v>
      </c>
      <c r="W151" s="474">
        <f t="shared" si="57"/>
        <v>0</v>
      </c>
      <c r="X151" s="475">
        <f t="shared" si="58"/>
        <v>0</v>
      </c>
      <c r="Y151" s="475">
        <v>0</v>
      </c>
      <c r="Z151" s="476">
        <v>0</v>
      </c>
      <c r="AA151" s="38">
        <f t="shared" si="59"/>
        <v>0</v>
      </c>
      <c r="AB151" s="692">
        <f t="shared" si="47"/>
        <v>0</v>
      </c>
      <c r="AC151" s="692">
        <f t="shared" si="48"/>
        <v>0</v>
      </c>
      <c r="AD151" s="692">
        <f t="shared" si="49"/>
        <v>0</v>
      </c>
      <c r="AE151" s="38"/>
      <c r="AF151" s="692">
        <f t="shared" si="50"/>
        <v>0</v>
      </c>
      <c r="AG151" s="692">
        <f t="shared" si="51"/>
        <v>0</v>
      </c>
      <c r="AH151" s="692">
        <f t="shared" si="52"/>
        <v>0</v>
      </c>
    </row>
    <row r="152" spans="1:34">
      <c r="A152" s="21"/>
      <c r="B152" s="21" t="s">
        <v>109</v>
      </c>
      <c r="C152" s="666"/>
      <c r="D152" s="68" t="s">
        <v>231</v>
      </c>
      <c r="E152" s="679"/>
      <c r="F152" s="529">
        <f>VLOOKUP(D152,'June 2012 DMV Revenue'!D:T,17,FALSE)</f>
        <v>0</v>
      </c>
      <c r="G152" s="680"/>
      <c r="H152" s="680"/>
      <c r="I152" s="755"/>
      <c r="J152" s="682">
        <f t="shared" si="46"/>
        <v>0</v>
      </c>
      <c r="K152" s="683"/>
      <c r="L152" s="684"/>
      <c r="M152" s="753"/>
      <c r="N152" s="683">
        <v>0</v>
      </c>
      <c r="O152" s="686"/>
      <c r="P152" s="683">
        <v>0</v>
      </c>
      <c r="Q152" s="687">
        <f t="shared" si="54"/>
        <v>0</v>
      </c>
      <c r="R152" s="688">
        <v>0</v>
      </c>
      <c r="S152" s="693"/>
      <c r="T152" s="690">
        <f t="shared" si="55"/>
        <v>0</v>
      </c>
      <c r="U152" s="683"/>
      <c r="V152" s="474">
        <f t="shared" si="56"/>
        <v>0</v>
      </c>
      <c r="W152" s="474">
        <f t="shared" si="57"/>
        <v>0</v>
      </c>
      <c r="X152" s="475">
        <f t="shared" si="58"/>
        <v>0</v>
      </c>
      <c r="Y152" s="475">
        <v>0</v>
      </c>
      <c r="Z152" s="476">
        <v>0</v>
      </c>
      <c r="AA152" s="38">
        <f t="shared" si="59"/>
        <v>0</v>
      </c>
      <c r="AB152" s="692">
        <f t="shared" si="47"/>
        <v>0</v>
      </c>
      <c r="AC152" s="692">
        <f t="shared" si="48"/>
        <v>0</v>
      </c>
      <c r="AD152" s="692">
        <f t="shared" si="49"/>
        <v>0</v>
      </c>
      <c r="AE152" s="38"/>
      <c r="AF152" s="692">
        <f t="shared" si="50"/>
        <v>0</v>
      </c>
      <c r="AG152" s="692">
        <f t="shared" si="51"/>
        <v>0</v>
      </c>
      <c r="AH152" s="692">
        <f t="shared" si="52"/>
        <v>0</v>
      </c>
    </row>
    <row r="153" spans="1:34">
      <c r="A153" s="21"/>
      <c r="B153" s="21" t="s">
        <v>109</v>
      </c>
      <c r="C153" s="666"/>
      <c r="D153" s="68" t="s">
        <v>396</v>
      </c>
      <c r="E153" s="679">
        <v>32.659999999999997</v>
      </c>
      <c r="F153" s="529">
        <f>VLOOKUP(D153,'June 2012 DMV Revenue'!D:T,17,FALSE)</f>
        <v>18.14</v>
      </c>
      <c r="G153" s="680"/>
      <c r="H153" s="680"/>
      <c r="I153" s="755"/>
      <c r="J153" s="682">
        <f t="shared" si="46"/>
        <v>50.8</v>
      </c>
      <c r="K153" s="683"/>
      <c r="L153" s="684"/>
      <c r="M153" s="753"/>
      <c r="N153" s="683">
        <v>0</v>
      </c>
      <c r="O153" s="686"/>
      <c r="P153" s="683">
        <v>0</v>
      </c>
      <c r="Q153" s="687">
        <f t="shared" si="54"/>
        <v>0</v>
      </c>
      <c r="R153" s="688">
        <v>0</v>
      </c>
      <c r="S153" s="693"/>
      <c r="T153" s="690">
        <f t="shared" si="55"/>
        <v>0</v>
      </c>
      <c r="U153" s="683"/>
      <c r="V153" s="474">
        <f t="shared" si="56"/>
        <v>0</v>
      </c>
      <c r="W153" s="474">
        <f t="shared" si="57"/>
        <v>0</v>
      </c>
      <c r="X153" s="475">
        <f t="shared" si="58"/>
        <v>0</v>
      </c>
      <c r="Y153" s="475">
        <v>0</v>
      </c>
      <c r="Z153" s="476">
        <v>0</v>
      </c>
      <c r="AA153" s="38">
        <f t="shared" si="59"/>
        <v>0</v>
      </c>
      <c r="AB153" s="692">
        <f t="shared" si="47"/>
        <v>0</v>
      </c>
      <c r="AC153" s="692">
        <f t="shared" si="48"/>
        <v>50.8</v>
      </c>
      <c r="AD153" s="692">
        <f t="shared" si="49"/>
        <v>0</v>
      </c>
      <c r="AE153" s="38"/>
      <c r="AF153" s="692">
        <f t="shared" si="50"/>
        <v>0</v>
      </c>
      <c r="AG153" s="692">
        <f t="shared" si="51"/>
        <v>0</v>
      </c>
      <c r="AH153" s="692">
        <f t="shared" si="52"/>
        <v>0</v>
      </c>
    </row>
    <row r="154" spans="1:34">
      <c r="A154" s="20"/>
      <c r="B154" s="20" t="s">
        <v>109</v>
      </c>
      <c r="C154" s="667" t="s">
        <v>557</v>
      </c>
      <c r="D154" s="68" t="s">
        <v>32</v>
      </c>
      <c r="E154" s="679"/>
      <c r="F154" s="529">
        <f>VLOOKUP(D154,'June 2012 DMV Revenue'!D:T,17,FALSE)</f>
        <v>0</v>
      </c>
      <c r="G154" s="680"/>
      <c r="H154" s="680"/>
      <c r="I154" s="755"/>
      <c r="J154" s="682">
        <f t="shared" si="46"/>
        <v>0</v>
      </c>
      <c r="K154" s="683"/>
      <c r="L154" s="684"/>
      <c r="M154" s="753"/>
      <c r="N154" s="683">
        <v>0</v>
      </c>
      <c r="O154" s="686"/>
      <c r="P154" s="683">
        <v>0</v>
      </c>
      <c r="Q154" s="687">
        <f t="shared" si="54"/>
        <v>0</v>
      </c>
      <c r="R154" s="688">
        <v>0</v>
      </c>
      <c r="S154" s="693"/>
      <c r="T154" s="690">
        <f t="shared" si="55"/>
        <v>0</v>
      </c>
      <c r="U154" s="683"/>
      <c r="V154" s="474">
        <f t="shared" si="56"/>
        <v>0</v>
      </c>
      <c r="W154" s="474">
        <f t="shared" si="57"/>
        <v>0</v>
      </c>
      <c r="X154" s="475">
        <f t="shared" si="58"/>
        <v>0</v>
      </c>
      <c r="Y154" s="475">
        <v>0</v>
      </c>
      <c r="Z154" s="476">
        <v>0</v>
      </c>
      <c r="AA154" s="38">
        <f t="shared" si="59"/>
        <v>0</v>
      </c>
      <c r="AB154" s="692">
        <f t="shared" si="47"/>
        <v>0</v>
      </c>
      <c r="AC154" s="692">
        <f t="shared" si="48"/>
        <v>0</v>
      </c>
      <c r="AD154" s="692">
        <f t="shared" si="49"/>
        <v>0</v>
      </c>
      <c r="AE154" s="38"/>
      <c r="AF154" s="692">
        <f t="shared" si="50"/>
        <v>0</v>
      </c>
      <c r="AG154" s="692">
        <f t="shared" si="51"/>
        <v>0</v>
      </c>
      <c r="AH154" s="692">
        <f t="shared" si="52"/>
        <v>0</v>
      </c>
    </row>
    <row r="155" spans="1:34">
      <c r="A155" s="21"/>
      <c r="B155" s="21" t="s">
        <v>110</v>
      </c>
      <c r="C155" s="666"/>
      <c r="D155" s="68" t="s">
        <v>448</v>
      </c>
      <c r="E155" s="679"/>
      <c r="F155" s="529">
        <f>VLOOKUP(D155,'June 2012 DMV Revenue'!D:T,17,FALSE)</f>
        <v>0</v>
      </c>
      <c r="G155" s="680"/>
      <c r="H155" s="680"/>
      <c r="I155" s="755"/>
      <c r="J155" s="682">
        <f t="shared" si="46"/>
        <v>0</v>
      </c>
      <c r="K155" s="683"/>
      <c r="L155" s="684"/>
      <c r="M155" s="753"/>
      <c r="N155" s="683">
        <v>0</v>
      </c>
      <c r="O155" s="686"/>
      <c r="P155" s="683">
        <v>0</v>
      </c>
      <c r="Q155" s="687">
        <f t="shared" si="54"/>
        <v>0</v>
      </c>
      <c r="R155" s="688">
        <v>1018.54</v>
      </c>
      <c r="S155" s="693"/>
      <c r="T155" s="690">
        <f t="shared" si="55"/>
        <v>1018.54</v>
      </c>
      <c r="U155" s="683"/>
      <c r="V155" s="474">
        <f t="shared" si="56"/>
        <v>0</v>
      </c>
      <c r="W155" s="474">
        <f t="shared" si="57"/>
        <v>0</v>
      </c>
      <c r="X155" s="475">
        <f t="shared" si="58"/>
        <v>0</v>
      </c>
      <c r="Y155" s="475">
        <v>0</v>
      </c>
      <c r="Z155" s="476">
        <v>0</v>
      </c>
      <c r="AA155" s="38">
        <f t="shared" si="59"/>
        <v>0</v>
      </c>
      <c r="AB155" s="692">
        <f t="shared" si="47"/>
        <v>0</v>
      </c>
      <c r="AC155" s="692">
        <f t="shared" si="48"/>
        <v>0</v>
      </c>
      <c r="AD155" s="692">
        <f t="shared" si="49"/>
        <v>0</v>
      </c>
      <c r="AE155" s="38"/>
      <c r="AF155" s="692">
        <f t="shared" si="50"/>
        <v>0</v>
      </c>
      <c r="AG155" s="692">
        <f t="shared" si="51"/>
        <v>0</v>
      </c>
      <c r="AH155" s="692">
        <f t="shared" si="52"/>
        <v>0</v>
      </c>
    </row>
    <row r="156" spans="1:34">
      <c r="A156" s="21"/>
      <c r="B156" s="21" t="s">
        <v>110</v>
      </c>
      <c r="C156" s="666" t="s">
        <v>558</v>
      </c>
      <c r="D156" s="68" t="s">
        <v>122</v>
      </c>
      <c r="E156" s="679">
        <f>2412.97+1833.97</f>
        <v>4246.9399999999996</v>
      </c>
      <c r="F156" s="529">
        <f>VLOOKUP(D156,'June 2012 DMV Revenue'!D:T,17,FALSE)</f>
        <v>-20000</v>
      </c>
      <c r="G156" s="680"/>
      <c r="H156" s="680"/>
      <c r="I156" s="755"/>
      <c r="J156" s="682">
        <f t="shared" si="46"/>
        <v>-15753.060000000001</v>
      </c>
      <c r="K156" s="683"/>
      <c r="L156" s="684"/>
      <c r="M156" s="753">
        <v>15000</v>
      </c>
      <c r="N156" s="683">
        <v>0</v>
      </c>
      <c r="O156" s="686"/>
      <c r="P156" s="683">
        <v>0</v>
      </c>
      <c r="Q156" s="687">
        <f t="shared" si="54"/>
        <v>15000</v>
      </c>
      <c r="R156" s="688">
        <v>0</v>
      </c>
      <c r="S156" s="693"/>
      <c r="T156" s="690">
        <f t="shared" si="55"/>
        <v>-15000</v>
      </c>
      <c r="U156" s="683"/>
      <c r="V156" s="474">
        <f t="shared" si="56"/>
        <v>15000</v>
      </c>
      <c r="W156" s="474">
        <f t="shared" si="57"/>
        <v>0</v>
      </c>
      <c r="X156" s="475">
        <f t="shared" si="58"/>
        <v>0</v>
      </c>
      <c r="Y156" s="475">
        <v>0</v>
      </c>
      <c r="Z156" s="476">
        <v>0</v>
      </c>
      <c r="AA156" s="38">
        <f t="shared" si="59"/>
        <v>0</v>
      </c>
      <c r="AB156" s="692">
        <f t="shared" si="47"/>
        <v>-15753.060000000001</v>
      </c>
      <c r="AC156" s="692">
        <f t="shared" si="48"/>
        <v>0</v>
      </c>
      <c r="AD156" s="692">
        <f t="shared" si="49"/>
        <v>0</v>
      </c>
      <c r="AE156" s="38"/>
      <c r="AF156" s="692">
        <f t="shared" si="50"/>
        <v>15000</v>
      </c>
      <c r="AG156" s="692">
        <f t="shared" si="51"/>
        <v>0</v>
      </c>
      <c r="AH156" s="692">
        <f t="shared" si="52"/>
        <v>0</v>
      </c>
    </row>
    <row r="157" spans="1:34">
      <c r="A157" s="21"/>
      <c r="B157" s="21" t="s">
        <v>114</v>
      </c>
      <c r="C157" s="666" t="s">
        <v>558</v>
      </c>
      <c r="D157" s="68" t="s">
        <v>629</v>
      </c>
      <c r="E157" s="679">
        <f>1.45+0.92</f>
        <v>2.37</v>
      </c>
      <c r="F157" s="529">
        <f>VLOOKUP(D157,'June 2012 DMV Revenue'!D:T,17,FALSE)</f>
        <v>0</v>
      </c>
      <c r="G157" s="680"/>
      <c r="H157" s="680"/>
      <c r="I157" s="755"/>
      <c r="J157" s="682">
        <f t="shared" ref="J157" si="60">SUM(E157:I157)</f>
        <v>2.37</v>
      </c>
      <c r="K157" s="683"/>
      <c r="L157" s="684"/>
      <c r="M157" s="753"/>
      <c r="N157" s="683">
        <v>0</v>
      </c>
      <c r="O157" s="686"/>
      <c r="P157" s="683">
        <v>0</v>
      </c>
      <c r="Q157" s="687">
        <f t="shared" si="54"/>
        <v>0</v>
      </c>
      <c r="R157" s="688">
        <v>0</v>
      </c>
      <c r="S157" s="693"/>
      <c r="T157" s="690">
        <f t="shared" si="55"/>
        <v>0</v>
      </c>
      <c r="U157" s="683"/>
      <c r="V157" s="474">
        <f t="shared" si="56"/>
        <v>0</v>
      </c>
      <c r="W157" s="474">
        <f t="shared" si="57"/>
        <v>0</v>
      </c>
      <c r="X157" s="475">
        <f t="shared" si="58"/>
        <v>0</v>
      </c>
      <c r="Y157" s="475">
        <v>0</v>
      </c>
      <c r="Z157" s="476">
        <v>0</v>
      </c>
      <c r="AA157" s="38">
        <f t="shared" si="59"/>
        <v>0</v>
      </c>
      <c r="AB157" s="692">
        <f t="shared" si="47"/>
        <v>0</v>
      </c>
      <c r="AC157" s="692">
        <f t="shared" si="48"/>
        <v>0</v>
      </c>
      <c r="AD157" s="692">
        <f t="shared" si="49"/>
        <v>2.37</v>
      </c>
      <c r="AE157" s="38"/>
      <c r="AF157" s="692">
        <f t="shared" si="50"/>
        <v>0</v>
      </c>
      <c r="AG157" s="692">
        <f t="shared" si="51"/>
        <v>0</v>
      </c>
      <c r="AH157" s="692">
        <f t="shared" si="52"/>
        <v>0</v>
      </c>
    </row>
    <row r="158" spans="1:34">
      <c r="A158" s="21"/>
      <c r="B158" s="21" t="s">
        <v>109</v>
      </c>
      <c r="C158" s="666" t="s">
        <v>559</v>
      </c>
      <c r="D158" s="68" t="s">
        <v>33</v>
      </c>
      <c r="E158" s="679"/>
      <c r="F158" s="529">
        <f>VLOOKUP(D158,'June 2012 DMV Revenue'!D:T,17,FALSE)</f>
        <v>-10000</v>
      </c>
      <c r="G158" s="680"/>
      <c r="H158" s="680"/>
      <c r="I158" s="755"/>
      <c r="J158" s="682">
        <f t="shared" si="46"/>
        <v>-10000</v>
      </c>
      <c r="K158" s="683"/>
      <c r="L158" s="684"/>
      <c r="M158" s="753">
        <v>15000</v>
      </c>
      <c r="N158" s="683">
        <v>0</v>
      </c>
      <c r="O158" s="686"/>
      <c r="P158" s="683">
        <v>0</v>
      </c>
      <c r="Q158" s="687">
        <f t="shared" si="54"/>
        <v>15000</v>
      </c>
      <c r="R158" s="688">
        <v>4476.5</v>
      </c>
      <c r="S158" s="693"/>
      <c r="T158" s="690">
        <f t="shared" si="55"/>
        <v>-10523.5</v>
      </c>
      <c r="U158" s="683"/>
      <c r="V158" s="474">
        <f t="shared" si="56"/>
        <v>0</v>
      </c>
      <c r="W158" s="474">
        <f t="shared" si="57"/>
        <v>15000</v>
      </c>
      <c r="X158" s="475">
        <f t="shared" si="58"/>
        <v>0</v>
      </c>
      <c r="Y158" s="475">
        <v>0</v>
      </c>
      <c r="Z158" s="476">
        <v>0</v>
      </c>
      <c r="AA158" s="38">
        <f t="shared" si="59"/>
        <v>0</v>
      </c>
      <c r="AB158" s="692">
        <f t="shared" si="47"/>
        <v>0</v>
      </c>
      <c r="AC158" s="692">
        <f t="shared" si="48"/>
        <v>-10000</v>
      </c>
      <c r="AD158" s="692">
        <f t="shared" si="49"/>
        <v>0</v>
      </c>
      <c r="AE158" s="38"/>
      <c r="AF158" s="692">
        <f t="shared" si="50"/>
        <v>0</v>
      </c>
      <c r="AG158" s="692">
        <f t="shared" si="51"/>
        <v>15000</v>
      </c>
      <c r="AH158" s="692">
        <f t="shared" si="52"/>
        <v>0</v>
      </c>
    </row>
    <row r="159" spans="1:34">
      <c r="A159" s="21"/>
      <c r="B159" s="21" t="s">
        <v>109</v>
      </c>
      <c r="C159" s="666" t="s">
        <v>560</v>
      </c>
      <c r="D159" s="68" t="s">
        <v>379</v>
      </c>
      <c r="E159" s="679"/>
      <c r="F159" s="529">
        <f>VLOOKUP(D159,'June 2012 DMV Revenue'!D:T,17,FALSE)</f>
        <v>157.24</v>
      </c>
      <c r="G159" s="680"/>
      <c r="H159" s="680"/>
      <c r="I159" s="755"/>
      <c r="J159" s="682">
        <f t="shared" si="46"/>
        <v>157.24</v>
      </c>
      <c r="K159" s="683"/>
      <c r="L159" s="684"/>
      <c r="M159" s="753"/>
      <c r="N159" s="683">
        <v>0</v>
      </c>
      <c r="O159" s="686"/>
      <c r="P159" s="683">
        <v>0</v>
      </c>
      <c r="Q159" s="687">
        <f t="shared" si="54"/>
        <v>0</v>
      </c>
      <c r="R159" s="688">
        <v>132.56</v>
      </c>
      <c r="S159" s="693"/>
      <c r="T159" s="690">
        <f t="shared" si="55"/>
        <v>132.56</v>
      </c>
      <c r="U159" s="683"/>
      <c r="V159" s="474">
        <f t="shared" si="56"/>
        <v>0</v>
      </c>
      <c r="W159" s="474">
        <f t="shared" si="57"/>
        <v>0</v>
      </c>
      <c r="X159" s="475">
        <f t="shared" si="58"/>
        <v>0</v>
      </c>
      <c r="Y159" s="475">
        <v>0</v>
      </c>
      <c r="Z159" s="476">
        <v>0</v>
      </c>
      <c r="AA159" s="38">
        <f t="shared" si="59"/>
        <v>0</v>
      </c>
      <c r="AB159" s="692">
        <f t="shared" si="47"/>
        <v>0</v>
      </c>
      <c r="AC159" s="692">
        <f t="shared" si="48"/>
        <v>157.24</v>
      </c>
      <c r="AD159" s="692">
        <f t="shared" si="49"/>
        <v>0</v>
      </c>
      <c r="AE159" s="38"/>
      <c r="AF159" s="692">
        <f t="shared" si="50"/>
        <v>0</v>
      </c>
      <c r="AG159" s="692">
        <f t="shared" si="51"/>
        <v>0</v>
      </c>
      <c r="AH159" s="692">
        <f t="shared" si="52"/>
        <v>0</v>
      </c>
    </row>
    <row r="160" spans="1:34" s="232" customFormat="1">
      <c r="A160" s="283"/>
      <c r="B160" s="283" t="s">
        <v>110</v>
      </c>
      <c r="C160" s="667" t="s">
        <v>561</v>
      </c>
      <c r="D160" s="455" t="s">
        <v>322</v>
      </c>
      <c r="E160" s="679"/>
      <c r="F160" s="529">
        <f>VLOOKUP(D160,'June 2012 DMV Revenue'!D:T,17,FALSE)</f>
        <v>0</v>
      </c>
      <c r="G160" s="680"/>
      <c r="H160" s="680"/>
      <c r="I160" s="755"/>
      <c r="J160" s="682">
        <f t="shared" si="46"/>
        <v>0</v>
      </c>
      <c r="K160" s="683"/>
      <c r="L160" s="684"/>
      <c r="M160" s="753"/>
      <c r="N160" s="683">
        <v>0</v>
      </c>
      <c r="O160" s="686"/>
      <c r="P160" s="683">
        <v>0</v>
      </c>
      <c r="Q160" s="687">
        <f t="shared" si="54"/>
        <v>0</v>
      </c>
      <c r="R160" s="688">
        <v>0</v>
      </c>
      <c r="S160" s="693"/>
      <c r="T160" s="690">
        <f t="shared" si="55"/>
        <v>0</v>
      </c>
      <c r="U160" s="683"/>
      <c r="V160" s="474">
        <f t="shared" si="56"/>
        <v>0</v>
      </c>
      <c r="W160" s="474">
        <f t="shared" si="57"/>
        <v>0</v>
      </c>
      <c r="X160" s="475">
        <f t="shared" si="58"/>
        <v>0</v>
      </c>
      <c r="Y160" s="475">
        <v>0</v>
      </c>
      <c r="Z160" s="476">
        <v>0</v>
      </c>
      <c r="AA160" s="38">
        <f t="shared" si="59"/>
        <v>0</v>
      </c>
      <c r="AB160" s="692">
        <f t="shared" si="47"/>
        <v>0</v>
      </c>
      <c r="AC160" s="692">
        <f t="shared" si="48"/>
        <v>0</v>
      </c>
      <c r="AD160" s="692">
        <f t="shared" si="49"/>
        <v>0</v>
      </c>
      <c r="AE160" s="38"/>
      <c r="AF160" s="692">
        <f t="shared" si="50"/>
        <v>0</v>
      </c>
      <c r="AG160" s="692">
        <f t="shared" si="51"/>
        <v>0</v>
      </c>
      <c r="AH160" s="692">
        <f t="shared" si="52"/>
        <v>0</v>
      </c>
    </row>
    <row r="161" spans="1:34" s="232" customFormat="1">
      <c r="A161" s="283"/>
      <c r="B161" s="283" t="s">
        <v>110</v>
      </c>
      <c r="C161" s="667" t="s">
        <v>561</v>
      </c>
      <c r="D161" s="455" t="s">
        <v>323</v>
      </c>
      <c r="E161" s="679"/>
      <c r="F161" s="529">
        <f>VLOOKUP(D161,'June 2012 DMV Revenue'!D:T,17,FALSE)</f>
        <v>0</v>
      </c>
      <c r="G161" s="680"/>
      <c r="H161" s="680"/>
      <c r="I161" s="755"/>
      <c r="J161" s="682">
        <f t="shared" si="46"/>
        <v>0</v>
      </c>
      <c r="K161" s="683"/>
      <c r="L161" s="684"/>
      <c r="M161" s="753"/>
      <c r="N161" s="683">
        <v>0</v>
      </c>
      <c r="O161" s="686"/>
      <c r="P161" s="683">
        <v>0</v>
      </c>
      <c r="Q161" s="687">
        <f t="shared" si="54"/>
        <v>0</v>
      </c>
      <c r="R161" s="688">
        <v>0</v>
      </c>
      <c r="S161" s="693"/>
      <c r="T161" s="690">
        <f t="shared" si="55"/>
        <v>0</v>
      </c>
      <c r="U161" s="683"/>
      <c r="V161" s="474">
        <f t="shared" si="56"/>
        <v>0</v>
      </c>
      <c r="W161" s="474">
        <f t="shared" si="57"/>
        <v>0</v>
      </c>
      <c r="X161" s="475">
        <f t="shared" si="58"/>
        <v>0</v>
      </c>
      <c r="Y161" s="475">
        <v>0</v>
      </c>
      <c r="Z161" s="476">
        <v>0</v>
      </c>
      <c r="AA161" s="38">
        <f t="shared" si="59"/>
        <v>0</v>
      </c>
      <c r="AB161" s="692">
        <f t="shared" si="47"/>
        <v>0</v>
      </c>
      <c r="AC161" s="692">
        <f t="shared" si="48"/>
        <v>0</v>
      </c>
      <c r="AD161" s="692">
        <f t="shared" si="49"/>
        <v>0</v>
      </c>
      <c r="AE161" s="38"/>
      <c r="AF161" s="692">
        <f t="shared" si="50"/>
        <v>0</v>
      </c>
      <c r="AG161" s="692">
        <f t="shared" si="51"/>
        <v>0</v>
      </c>
      <c r="AH161" s="692">
        <f t="shared" si="52"/>
        <v>0</v>
      </c>
    </row>
    <row r="162" spans="1:34" s="232" customFormat="1">
      <c r="A162" s="283"/>
      <c r="B162" s="283" t="s">
        <v>109</v>
      </c>
      <c r="C162" s="667" t="s">
        <v>561</v>
      </c>
      <c r="D162" s="455" t="s">
        <v>423</v>
      </c>
      <c r="E162" s="679"/>
      <c r="F162" s="529">
        <f>VLOOKUP(D162,'June 2012 DMV Revenue'!D:T,17,FALSE)</f>
        <v>0</v>
      </c>
      <c r="G162" s="680"/>
      <c r="H162" s="680"/>
      <c r="I162" s="755"/>
      <c r="J162" s="682">
        <f t="shared" si="46"/>
        <v>0</v>
      </c>
      <c r="K162" s="683"/>
      <c r="L162" s="684"/>
      <c r="M162" s="753"/>
      <c r="N162" s="683">
        <v>0</v>
      </c>
      <c r="O162" s="686"/>
      <c r="P162" s="683">
        <v>0</v>
      </c>
      <c r="Q162" s="687">
        <f t="shared" si="54"/>
        <v>0</v>
      </c>
      <c r="R162" s="688">
        <v>0</v>
      </c>
      <c r="S162" s="693"/>
      <c r="T162" s="690">
        <f t="shared" si="55"/>
        <v>0</v>
      </c>
      <c r="U162" s="683"/>
      <c r="V162" s="474">
        <f t="shared" si="56"/>
        <v>0</v>
      </c>
      <c r="W162" s="474">
        <f t="shared" si="57"/>
        <v>0</v>
      </c>
      <c r="X162" s="475">
        <f t="shared" si="58"/>
        <v>0</v>
      </c>
      <c r="Y162" s="475">
        <v>0</v>
      </c>
      <c r="Z162" s="476">
        <v>0</v>
      </c>
      <c r="AA162" s="38">
        <f t="shared" si="59"/>
        <v>0</v>
      </c>
      <c r="AB162" s="692">
        <f t="shared" si="47"/>
        <v>0</v>
      </c>
      <c r="AC162" s="692">
        <f t="shared" si="48"/>
        <v>0</v>
      </c>
      <c r="AD162" s="692">
        <f t="shared" si="49"/>
        <v>0</v>
      </c>
      <c r="AE162" s="38"/>
      <c r="AF162" s="692">
        <f t="shared" si="50"/>
        <v>0</v>
      </c>
      <c r="AG162" s="692">
        <f t="shared" si="51"/>
        <v>0</v>
      </c>
      <c r="AH162" s="692">
        <f t="shared" si="52"/>
        <v>0</v>
      </c>
    </row>
    <row r="163" spans="1:34" s="232" customFormat="1">
      <c r="A163" s="283"/>
      <c r="B163" s="283" t="s">
        <v>110</v>
      </c>
      <c r="C163" s="667" t="s">
        <v>561</v>
      </c>
      <c r="D163" s="748" t="s">
        <v>624</v>
      </c>
      <c r="E163" s="679"/>
      <c r="F163" s="529">
        <f>VLOOKUP(D163,'June 2012 DMV Revenue'!D:T,17,FALSE)</f>
        <v>0</v>
      </c>
      <c r="G163" s="680"/>
      <c r="H163" s="680"/>
      <c r="I163" s="755"/>
      <c r="J163" s="682">
        <f t="shared" si="46"/>
        <v>0</v>
      </c>
      <c r="K163" s="683"/>
      <c r="L163" s="684"/>
      <c r="M163" s="753"/>
      <c r="N163" s="683">
        <v>0</v>
      </c>
      <c r="O163" s="686"/>
      <c r="P163" s="683">
        <v>0</v>
      </c>
      <c r="Q163" s="687">
        <f t="shared" si="54"/>
        <v>0</v>
      </c>
      <c r="R163" s="688">
        <v>0</v>
      </c>
      <c r="S163" s="693"/>
      <c r="T163" s="690">
        <f t="shared" si="55"/>
        <v>0</v>
      </c>
      <c r="U163" s="683"/>
      <c r="V163" s="474">
        <f t="shared" si="56"/>
        <v>0</v>
      </c>
      <c r="W163" s="474">
        <f t="shared" si="57"/>
        <v>0</v>
      </c>
      <c r="X163" s="475">
        <f t="shared" si="58"/>
        <v>0</v>
      </c>
      <c r="Y163" s="475">
        <v>0</v>
      </c>
      <c r="Z163" s="476">
        <v>0</v>
      </c>
      <c r="AA163" s="38">
        <f t="shared" si="59"/>
        <v>0</v>
      </c>
      <c r="AB163" s="692">
        <f t="shared" si="47"/>
        <v>0</v>
      </c>
      <c r="AC163" s="692">
        <f t="shared" si="48"/>
        <v>0</v>
      </c>
      <c r="AD163" s="692">
        <f t="shared" si="49"/>
        <v>0</v>
      </c>
      <c r="AE163" s="38"/>
      <c r="AF163" s="692">
        <f t="shared" si="50"/>
        <v>0</v>
      </c>
      <c r="AG163" s="692">
        <f t="shared" si="51"/>
        <v>0</v>
      </c>
      <c r="AH163" s="692">
        <f t="shared" si="52"/>
        <v>0</v>
      </c>
    </row>
    <row r="164" spans="1:34" s="232" customFormat="1">
      <c r="A164" s="283"/>
      <c r="B164" s="283" t="s">
        <v>109</v>
      </c>
      <c r="C164" s="667" t="s">
        <v>561</v>
      </c>
      <c r="D164" s="748" t="s">
        <v>625</v>
      </c>
      <c r="E164" s="679"/>
      <c r="F164" s="529">
        <f>VLOOKUP(D164,'June 2012 DMV Revenue'!D:T,17,FALSE)</f>
        <v>0</v>
      </c>
      <c r="G164" s="680"/>
      <c r="H164" s="680"/>
      <c r="I164" s="755"/>
      <c r="J164" s="682">
        <f t="shared" si="46"/>
        <v>0</v>
      </c>
      <c r="K164" s="683"/>
      <c r="L164" s="684"/>
      <c r="M164" s="753"/>
      <c r="N164" s="683">
        <v>0</v>
      </c>
      <c r="O164" s="686"/>
      <c r="P164" s="683">
        <v>0</v>
      </c>
      <c r="Q164" s="687">
        <f t="shared" si="54"/>
        <v>0</v>
      </c>
      <c r="R164" s="688">
        <v>0</v>
      </c>
      <c r="S164" s="693"/>
      <c r="T164" s="690">
        <f t="shared" si="55"/>
        <v>0</v>
      </c>
      <c r="U164" s="683"/>
      <c r="V164" s="474">
        <f t="shared" si="56"/>
        <v>0</v>
      </c>
      <c r="W164" s="474">
        <f t="shared" si="57"/>
        <v>0</v>
      </c>
      <c r="X164" s="475">
        <f t="shared" si="58"/>
        <v>0</v>
      </c>
      <c r="Y164" s="475">
        <v>0</v>
      </c>
      <c r="Z164" s="476">
        <v>0</v>
      </c>
      <c r="AA164" s="38">
        <f t="shared" si="59"/>
        <v>0</v>
      </c>
      <c r="AB164" s="692">
        <f t="shared" si="47"/>
        <v>0</v>
      </c>
      <c r="AC164" s="692">
        <f t="shared" si="48"/>
        <v>0</v>
      </c>
      <c r="AD164" s="692">
        <f t="shared" si="49"/>
        <v>0</v>
      </c>
      <c r="AE164" s="38"/>
      <c r="AF164" s="692">
        <f t="shared" si="50"/>
        <v>0</v>
      </c>
      <c r="AG164" s="692">
        <f t="shared" si="51"/>
        <v>0</v>
      </c>
      <c r="AH164" s="692">
        <f t="shared" si="52"/>
        <v>0</v>
      </c>
    </row>
    <row r="165" spans="1:34" s="232" customFormat="1">
      <c r="A165" s="283"/>
      <c r="B165" s="283" t="s">
        <v>114</v>
      </c>
      <c r="C165" s="667"/>
      <c r="D165" s="500" t="s">
        <v>408</v>
      </c>
      <c r="E165" s="679"/>
      <c r="F165" s="529">
        <f>VLOOKUP(D165,'June 2012 DMV Revenue'!D:T,17,FALSE)</f>
        <v>-9087.5</v>
      </c>
      <c r="G165" s="680"/>
      <c r="H165" s="680"/>
      <c r="I165" s="755"/>
      <c r="J165" s="682">
        <f t="shared" si="46"/>
        <v>-9087.5</v>
      </c>
      <c r="K165" s="683"/>
      <c r="L165" s="684"/>
      <c r="M165" s="753">
        <f>9087.5*2</f>
        <v>18175</v>
      </c>
      <c r="N165" s="683">
        <v>0</v>
      </c>
      <c r="O165" s="686"/>
      <c r="P165" s="683">
        <v>0</v>
      </c>
      <c r="Q165" s="687">
        <f t="shared" si="54"/>
        <v>18175</v>
      </c>
      <c r="R165" s="688">
        <v>0</v>
      </c>
      <c r="S165" s="693"/>
      <c r="T165" s="690">
        <f t="shared" si="55"/>
        <v>-18175</v>
      </c>
      <c r="U165" s="683"/>
      <c r="V165" s="474">
        <f t="shared" si="56"/>
        <v>0</v>
      </c>
      <c r="W165" s="474">
        <f t="shared" si="57"/>
        <v>0</v>
      </c>
      <c r="X165" s="475">
        <f t="shared" si="58"/>
        <v>18175</v>
      </c>
      <c r="Y165" s="475">
        <v>0</v>
      </c>
      <c r="Z165" s="476">
        <v>0</v>
      </c>
      <c r="AA165" s="38">
        <f t="shared" si="59"/>
        <v>0</v>
      </c>
      <c r="AB165" s="692">
        <f t="shared" si="47"/>
        <v>0</v>
      </c>
      <c r="AC165" s="692">
        <f t="shared" si="48"/>
        <v>0</v>
      </c>
      <c r="AD165" s="692">
        <f t="shared" si="49"/>
        <v>-9087.5</v>
      </c>
      <c r="AE165" s="38"/>
      <c r="AF165" s="692">
        <f t="shared" si="50"/>
        <v>0</v>
      </c>
      <c r="AG165" s="692">
        <f t="shared" si="51"/>
        <v>0</v>
      </c>
      <c r="AH165" s="692">
        <f t="shared" si="52"/>
        <v>18175</v>
      </c>
    </row>
    <row r="166" spans="1:34" s="232" customFormat="1">
      <c r="A166" s="283"/>
      <c r="B166" s="283" t="s">
        <v>110</v>
      </c>
      <c r="C166" s="667"/>
      <c r="D166" s="567" t="s">
        <v>445</v>
      </c>
      <c r="E166" s="679"/>
      <c r="F166" s="529">
        <f>VLOOKUP(D166,'June 2012 DMV Revenue'!D:T,17,FALSE)</f>
        <v>0</v>
      </c>
      <c r="G166" s="680"/>
      <c r="H166" s="680"/>
      <c r="I166" s="755"/>
      <c r="J166" s="682">
        <f t="shared" si="46"/>
        <v>0</v>
      </c>
      <c r="K166" s="683"/>
      <c r="L166" s="684"/>
      <c r="M166" s="753"/>
      <c r="N166" s="683">
        <v>0</v>
      </c>
      <c r="O166" s="686"/>
      <c r="P166" s="683">
        <v>0</v>
      </c>
      <c r="Q166" s="687">
        <f t="shared" si="54"/>
        <v>0</v>
      </c>
      <c r="R166" s="688">
        <v>0</v>
      </c>
      <c r="S166" s="693"/>
      <c r="T166" s="690">
        <f t="shared" si="55"/>
        <v>0</v>
      </c>
      <c r="U166" s="683"/>
      <c r="V166" s="474">
        <f t="shared" si="56"/>
        <v>0</v>
      </c>
      <c r="W166" s="474">
        <f t="shared" si="57"/>
        <v>0</v>
      </c>
      <c r="X166" s="475">
        <f t="shared" si="58"/>
        <v>0</v>
      </c>
      <c r="Y166" s="475">
        <v>0</v>
      </c>
      <c r="Z166" s="476">
        <v>0</v>
      </c>
      <c r="AA166" s="38">
        <f t="shared" si="59"/>
        <v>0</v>
      </c>
      <c r="AB166" s="692">
        <f t="shared" si="47"/>
        <v>0</v>
      </c>
      <c r="AC166" s="692">
        <f t="shared" si="48"/>
        <v>0</v>
      </c>
      <c r="AD166" s="692">
        <f t="shared" si="49"/>
        <v>0</v>
      </c>
      <c r="AE166" s="38"/>
      <c r="AF166" s="692">
        <f t="shared" si="50"/>
        <v>0</v>
      </c>
      <c r="AG166" s="692">
        <f t="shared" si="51"/>
        <v>0</v>
      </c>
      <c r="AH166" s="692">
        <f t="shared" si="52"/>
        <v>0</v>
      </c>
    </row>
    <row r="167" spans="1:34" s="232" customFormat="1">
      <c r="A167" s="283"/>
      <c r="B167" s="283" t="s">
        <v>110</v>
      </c>
      <c r="C167" s="667"/>
      <c r="D167" s="567" t="s">
        <v>489</v>
      </c>
      <c r="E167" s="679"/>
      <c r="F167" s="529">
        <f>VLOOKUP(D167,'June 2012 DMV Revenue'!D:T,17,FALSE)</f>
        <v>0</v>
      </c>
      <c r="G167" s="680"/>
      <c r="H167" s="680"/>
      <c r="I167" s="755"/>
      <c r="J167" s="682">
        <f t="shared" si="46"/>
        <v>0</v>
      </c>
      <c r="K167" s="683"/>
      <c r="L167" s="684"/>
      <c r="M167" s="753"/>
      <c r="N167" s="683"/>
      <c r="O167" s="686"/>
      <c r="P167" s="683"/>
      <c r="Q167" s="687">
        <f t="shared" si="54"/>
        <v>0</v>
      </c>
      <c r="R167" s="688">
        <v>0</v>
      </c>
      <c r="S167" s="693"/>
      <c r="T167" s="690">
        <f t="shared" si="55"/>
        <v>0</v>
      </c>
      <c r="U167" s="683"/>
      <c r="V167" s="474">
        <f t="shared" si="56"/>
        <v>0</v>
      </c>
      <c r="W167" s="474">
        <f t="shared" si="57"/>
        <v>0</v>
      </c>
      <c r="X167" s="475">
        <f t="shared" si="58"/>
        <v>0</v>
      </c>
      <c r="Y167" s="475">
        <v>0</v>
      </c>
      <c r="Z167" s="476">
        <v>0</v>
      </c>
      <c r="AA167" s="38">
        <f t="shared" si="59"/>
        <v>0</v>
      </c>
      <c r="AB167" s="692">
        <f t="shared" si="47"/>
        <v>0</v>
      </c>
      <c r="AC167" s="692">
        <f t="shared" si="48"/>
        <v>0</v>
      </c>
      <c r="AD167" s="692">
        <f t="shared" si="49"/>
        <v>0</v>
      </c>
      <c r="AE167" s="38"/>
      <c r="AF167" s="692">
        <f t="shared" si="50"/>
        <v>0</v>
      </c>
      <c r="AG167" s="692">
        <f t="shared" si="51"/>
        <v>0</v>
      </c>
      <c r="AH167" s="692">
        <f t="shared" si="52"/>
        <v>0</v>
      </c>
    </row>
    <row r="168" spans="1:34" s="232" customFormat="1">
      <c r="A168" s="283"/>
      <c r="B168" s="283" t="s">
        <v>109</v>
      </c>
      <c r="C168" s="667" t="s">
        <v>562</v>
      </c>
      <c r="D168" s="567" t="s">
        <v>480</v>
      </c>
      <c r="E168" s="679">
        <v>9860.9500000000007</v>
      </c>
      <c r="F168" s="529">
        <f>VLOOKUP(D168,'June 2012 DMV Revenue'!D:T,17,FALSE)</f>
        <v>-20202.169999999998</v>
      </c>
      <c r="G168" s="680"/>
      <c r="H168" s="680"/>
      <c r="I168" s="755"/>
      <c r="J168" s="682">
        <f t="shared" si="46"/>
        <v>-10341.219999999998</v>
      </c>
      <c r="K168" s="683"/>
      <c r="L168" s="684"/>
      <c r="M168" s="753">
        <v>20000</v>
      </c>
      <c r="N168" s="683">
        <v>0</v>
      </c>
      <c r="O168" s="686"/>
      <c r="P168" s="683">
        <v>0</v>
      </c>
      <c r="Q168" s="687">
        <f t="shared" si="54"/>
        <v>20000</v>
      </c>
      <c r="R168" s="688">
        <v>9205.9</v>
      </c>
      <c r="S168" s="693"/>
      <c r="T168" s="690">
        <f t="shared" si="55"/>
        <v>-10794.1</v>
      </c>
      <c r="U168" s="683"/>
      <c r="V168" s="474">
        <f t="shared" si="56"/>
        <v>0</v>
      </c>
      <c r="W168" s="474">
        <f t="shared" si="57"/>
        <v>20000</v>
      </c>
      <c r="X168" s="475">
        <f t="shared" si="58"/>
        <v>0</v>
      </c>
      <c r="Y168" s="475">
        <v>0</v>
      </c>
      <c r="Z168" s="476">
        <v>0</v>
      </c>
      <c r="AA168" s="38">
        <f t="shared" si="59"/>
        <v>0</v>
      </c>
      <c r="AB168" s="692">
        <f t="shared" si="47"/>
        <v>0</v>
      </c>
      <c r="AC168" s="692">
        <f t="shared" si="48"/>
        <v>-10341.219999999998</v>
      </c>
      <c r="AD168" s="692">
        <f t="shared" si="49"/>
        <v>0</v>
      </c>
      <c r="AE168" s="38"/>
      <c r="AF168" s="692">
        <f t="shared" si="50"/>
        <v>0</v>
      </c>
      <c r="AG168" s="692">
        <f t="shared" si="51"/>
        <v>20000</v>
      </c>
      <c r="AH168" s="692">
        <f t="shared" si="52"/>
        <v>0</v>
      </c>
    </row>
    <row r="169" spans="1:34" s="232" customFormat="1">
      <c r="A169" s="403"/>
      <c r="B169" s="403" t="s">
        <v>109</v>
      </c>
      <c r="C169" s="666" t="s">
        <v>563</v>
      </c>
      <c r="D169" s="123" t="s">
        <v>327</v>
      </c>
      <c r="E169" s="679"/>
      <c r="F169" s="529">
        <f>VLOOKUP(D169,'June 2012 DMV Revenue'!D:T,17,FALSE)</f>
        <v>20160.410000000003</v>
      </c>
      <c r="G169" s="680"/>
      <c r="H169" s="680"/>
      <c r="I169" s="770">
        <v>92837.91</v>
      </c>
      <c r="J169" s="682">
        <f t="shared" si="46"/>
        <v>112998.32</v>
      </c>
      <c r="K169" s="683"/>
      <c r="L169" s="684"/>
      <c r="M169" s="753"/>
      <c r="N169" s="683">
        <v>0</v>
      </c>
      <c r="O169" s="686"/>
      <c r="P169" s="683">
        <v>0</v>
      </c>
      <c r="Q169" s="687">
        <f t="shared" si="54"/>
        <v>0</v>
      </c>
      <c r="R169" s="688">
        <v>0</v>
      </c>
      <c r="S169" s="693"/>
      <c r="T169" s="690">
        <f t="shared" si="55"/>
        <v>0</v>
      </c>
      <c r="U169" s="683"/>
      <c r="V169" s="474">
        <f t="shared" si="56"/>
        <v>0</v>
      </c>
      <c r="W169" s="474">
        <f t="shared" si="57"/>
        <v>0</v>
      </c>
      <c r="X169" s="475">
        <f t="shared" si="58"/>
        <v>0</v>
      </c>
      <c r="Y169" s="475">
        <v>0</v>
      </c>
      <c r="Z169" s="476">
        <v>0</v>
      </c>
      <c r="AA169" s="38">
        <f t="shared" si="59"/>
        <v>0</v>
      </c>
      <c r="AB169" s="692">
        <f t="shared" si="47"/>
        <v>0</v>
      </c>
      <c r="AC169" s="692">
        <f t="shared" si="48"/>
        <v>112998.32</v>
      </c>
      <c r="AD169" s="692">
        <f t="shared" si="49"/>
        <v>0</v>
      </c>
      <c r="AE169" s="38"/>
      <c r="AF169" s="692">
        <f t="shared" si="50"/>
        <v>0</v>
      </c>
      <c r="AG169" s="692">
        <f t="shared" si="51"/>
        <v>0</v>
      </c>
      <c r="AH169" s="692">
        <f t="shared" si="52"/>
        <v>0</v>
      </c>
    </row>
    <row r="170" spans="1:34" s="232" customFormat="1">
      <c r="A170" s="403"/>
      <c r="B170" s="403" t="s">
        <v>110</v>
      </c>
      <c r="C170" s="666" t="s">
        <v>563</v>
      </c>
      <c r="D170" s="123" t="s">
        <v>637</v>
      </c>
      <c r="E170" s="679"/>
      <c r="F170" s="529">
        <f>VLOOKUP(D170,'June 2012 DMV Revenue'!D:T,17,FALSE)</f>
        <v>0</v>
      </c>
      <c r="G170" s="680"/>
      <c r="H170" s="680"/>
      <c r="I170" s="755"/>
      <c r="J170" s="682">
        <f t="shared" si="46"/>
        <v>0</v>
      </c>
      <c r="K170" s="683"/>
      <c r="L170" s="684"/>
      <c r="M170" s="753"/>
      <c r="N170" s="683">
        <v>0</v>
      </c>
      <c r="O170" s="686"/>
      <c r="P170" s="683">
        <v>0</v>
      </c>
      <c r="Q170" s="687">
        <f t="shared" si="54"/>
        <v>0</v>
      </c>
      <c r="R170" s="688">
        <v>0</v>
      </c>
      <c r="S170" s="693"/>
      <c r="T170" s="690">
        <f t="shared" si="55"/>
        <v>0</v>
      </c>
      <c r="U170" s="683"/>
      <c r="V170" s="474">
        <f t="shared" si="56"/>
        <v>0</v>
      </c>
      <c r="W170" s="474">
        <f t="shared" si="57"/>
        <v>0</v>
      </c>
      <c r="X170" s="475">
        <f t="shared" si="58"/>
        <v>0</v>
      </c>
      <c r="Y170" s="475">
        <v>0</v>
      </c>
      <c r="Z170" s="476">
        <v>0</v>
      </c>
      <c r="AA170" s="38">
        <f t="shared" si="59"/>
        <v>0</v>
      </c>
      <c r="AB170" s="692">
        <f t="shared" si="47"/>
        <v>0</v>
      </c>
      <c r="AC170" s="692">
        <f t="shared" si="48"/>
        <v>0</v>
      </c>
      <c r="AD170" s="692">
        <f t="shared" si="49"/>
        <v>0</v>
      </c>
      <c r="AE170" s="38"/>
      <c r="AF170" s="692">
        <f t="shared" si="50"/>
        <v>0</v>
      </c>
      <c r="AG170" s="692">
        <f t="shared" si="51"/>
        <v>0</v>
      </c>
      <c r="AH170" s="692">
        <f t="shared" si="52"/>
        <v>0</v>
      </c>
    </row>
    <row r="171" spans="1:34">
      <c r="A171" s="21" t="s">
        <v>212</v>
      </c>
      <c r="B171" s="21" t="s">
        <v>110</v>
      </c>
      <c r="C171" s="666"/>
      <c r="D171" s="68" t="s">
        <v>232</v>
      </c>
      <c r="E171" s="679"/>
      <c r="F171" s="529">
        <f>VLOOKUP(D171,'June 2012 DMV Revenue'!D:T,17,FALSE)</f>
        <v>0</v>
      </c>
      <c r="G171" s="680"/>
      <c r="H171" s="680"/>
      <c r="I171" s="755"/>
      <c r="J171" s="682">
        <f t="shared" si="46"/>
        <v>0</v>
      </c>
      <c r="K171" s="683"/>
      <c r="L171" s="684"/>
      <c r="M171" s="753"/>
      <c r="N171" s="683">
        <v>0</v>
      </c>
      <c r="O171" s="686"/>
      <c r="P171" s="683">
        <v>0</v>
      </c>
      <c r="Q171" s="687">
        <f t="shared" si="54"/>
        <v>0</v>
      </c>
      <c r="R171" s="688">
        <v>0</v>
      </c>
      <c r="S171" s="693"/>
      <c r="T171" s="690">
        <f t="shared" si="55"/>
        <v>0</v>
      </c>
      <c r="U171" s="683"/>
      <c r="V171" s="474">
        <f t="shared" si="56"/>
        <v>0</v>
      </c>
      <c r="W171" s="474">
        <f t="shared" si="57"/>
        <v>0</v>
      </c>
      <c r="X171" s="475">
        <f t="shared" si="58"/>
        <v>0</v>
      </c>
      <c r="Y171" s="475">
        <v>0</v>
      </c>
      <c r="Z171" s="476">
        <v>0</v>
      </c>
      <c r="AA171" s="38">
        <f t="shared" si="59"/>
        <v>0</v>
      </c>
      <c r="AB171" s="692">
        <f t="shared" si="47"/>
        <v>0</v>
      </c>
      <c r="AC171" s="692">
        <f t="shared" si="48"/>
        <v>0</v>
      </c>
      <c r="AD171" s="692">
        <f t="shared" si="49"/>
        <v>0</v>
      </c>
      <c r="AE171" s="38"/>
      <c r="AF171" s="692">
        <f t="shared" si="50"/>
        <v>0</v>
      </c>
      <c r="AG171" s="692">
        <f t="shared" si="51"/>
        <v>0</v>
      </c>
      <c r="AH171" s="692">
        <f t="shared" si="52"/>
        <v>0</v>
      </c>
    </row>
    <row r="172" spans="1:34">
      <c r="A172" s="21"/>
      <c r="B172" s="21" t="s">
        <v>110</v>
      </c>
      <c r="C172" s="666"/>
      <c r="D172" s="68" t="s">
        <v>68</v>
      </c>
      <c r="E172" s="679"/>
      <c r="F172" s="529">
        <f>VLOOKUP(D172,'June 2012 DMV Revenue'!D:T,17,FALSE)</f>
        <v>0</v>
      </c>
      <c r="G172" s="680"/>
      <c r="H172" s="680"/>
      <c r="I172" s="755"/>
      <c r="J172" s="682">
        <f t="shared" si="46"/>
        <v>0</v>
      </c>
      <c r="K172" s="683"/>
      <c r="L172" s="684"/>
      <c r="M172" s="753"/>
      <c r="N172" s="683">
        <v>0</v>
      </c>
      <c r="O172" s="686"/>
      <c r="P172" s="683">
        <v>0</v>
      </c>
      <c r="Q172" s="687">
        <f t="shared" si="54"/>
        <v>0</v>
      </c>
      <c r="R172" s="688">
        <v>0</v>
      </c>
      <c r="S172" s="693"/>
      <c r="T172" s="690">
        <f t="shared" si="55"/>
        <v>0</v>
      </c>
      <c r="U172" s="683"/>
      <c r="V172" s="474">
        <f t="shared" si="56"/>
        <v>0</v>
      </c>
      <c r="W172" s="474">
        <f t="shared" si="57"/>
        <v>0</v>
      </c>
      <c r="X172" s="475">
        <f t="shared" si="58"/>
        <v>0</v>
      </c>
      <c r="Y172" s="475">
        <v>0</v>
      </c>
      <c r="Z172" s="476">
        <v>0</v>
      </c>
      <c r="AA172" s="38">
        <f t="shared" si="59"/>
        <v>0</v>
      </c>
      <c r="AB172" s="692">
        <f t="shared" si="47"/>
        <v>0</v>
      </c>
      <c r="AC172" s="692">
        <f t="shared" si="48"/>
        <v>0</v>
      </c>
      <c r="AD172" s="692">
        <f t="shared" si="49"/>
        <v>0</v>
      </c>
      <c r="AE172" s="38"/>
      <c r="AF172" s="692">
        <f t="shared" si="50"/>
        <v>0</v>
      </c>
      <c r="AG172" s="692">
        <f t="shared" si="51"/>
        <v>0</v>
      </c>
      <c r="AH172" s="692">
        <f t="shared" si="52"/>
        <v>0</v>
      </c>
    </row>
    <row r="173" spans="1:34">
      <c r="A173" s="21"/>
      <c r="B173" s="21" t="s">
        <v>109</v>
      </c>
      <c r="C173" s="666" t="s">
        <v>564</v>
      </c>
      <c r="D173" s="68" t="s">
        <v>306</v>
      </c>
      <c r="E173" s="679"/>
      <c r="F173" s="529">
        <f>VLOOKUP(D173,'June 2012 DMV Revenue'!D:T,17,FALSE)</f>
        <v>0</v>
      </c>
      <c r="G173" s="680"/>
      <c r="H173" s="680"/>
      <c r="I173" s="755"/>
      <c r="J173" s="682">
        <f t="shared" si="46"/>
        <v>0</v>
      </c>
      <c r="K173" s="683"/>
      <c r="L173" s="684"/>
      <c r="M173" s="753"/>
      <c r="N173" s="683">
        <v>0</v>
      </c>
      <c r="O173" s="686"/>
      <c r="P173" s="683">
        <v>0</v>
      </c>
      <c r="Q173" s="687">
        <f t="shared" si="54"/>
        <v>0</v>
      </c>
      <c r="R173" s="688">
        <v>0</v>
      </c>
      <c r="S173" s="693"/>
      <c r="T173" s="690">
        <f t="shared" si="55"/>
        <v>0</v>
      </c>
      <c r="U173" s="683"/>
      <c r="V173" s="474">
        <f t="shared" si="56"/>
        <v>0</v>
      </c>
      <c r="W173" s="474">
        <f t="shared" si="57"/>
        <v>0</v>
      </c>
      <c r="X173" s="475">
        <f t="shared" si="58"/>
        <v>0</v>
      </c>
      <c r="Y173" s="475">
        <v>0</v>
      </c>
      <c r="Z173" s="476">
        <v>0</v>
      </c>
      <c r="AA173" s="38">
        <f t="shared" si="59"/>
        <v>0</v>
      </c>
      <c r="AB173" s="692">
        <f t="shared" si="47"/>
        <v>0</v>
      </c>
      <c r="AC173" s="692">
        <f t="shared" si="48"/>
        <v>0</v>
      </c>
      <c r="AD173" s="692">
        <f t="shared" si="49"/>
        <v>0</v>
      </c>
      <c r="AE173" s="38"/>
      <c r="AF173" s="692">
        <f t="shared" si="50"/>
        <v>0</v>
      </c>
      <c r="AG173" s="692">
        <f t="shared" si="51"/>
        <v>0</v>
      </c>
      <c r="AH173" s="692">
        <f t="shared" si="52"/>
        <v>0</v>
      </c>
    </row>
    <row r="174" spans="1:34">
      <c r="A174" s="21"/>
      <c r="B174" s="21" t="s">
        <v>109</v>
      </c>
      <c r="C174" s="666" t="s">
        <v>564</v>
      </c>
      <c r="D174" s="68" t="s">
        <v>307</v>
      </c>
      <c r="E174" s="679"/>
      <c r="F174" s="529">
        <f>VLOOKUP(D174,'June 2012 DMV Revenue'!D:T,17,FALSE)</f>
        <v>0</v>
      </c>
      <c r="G174" s="680"/>
      <c r="H174" s="680"/>
      <c r="I174" s="755"/>
      <c r="J174" s="682">
        <f t="shared" si="46"/>
        <v>0</v>
      </c>
      <c r="K174" s="683"/>
      <c r="L174" s="684"/>
      <c r="M174" s="753"/>
      <c r="N174" s="683">
        <v>0</v>
      </c>
      <c r="O174" s="686"/>
      <c r="P174" s="683">
        <v>0</v>
      </c>
      <c r="Q174" s="687">
        <f t="shared" si="54"/>
        <v>0</v>
      </c>
      <c r="R174" s="688">
        <v>0</v>
      </c>
      <c r="S174" s="693"/>
      <c r="T174" s="690">
        <f t="shared" si="55"/>
        <v>0</v>
      </c>
      <c r="U174" s="683"/>
      <c r="V174" s="474">
        <f t="shared" si="56"/>
        <v>0</v>
      </c>
      <c r="W174" s="474">
        <f t="shared" si="57"/>
        <v>0</v>
      </c>
      <c r="X174" s="475">
        <f t="shared" si="58"/>
        <v>0</v>
      </c>
      <c r="Y174" s="475">
        <v>0</v>
      </c>
      <c r="Z174" s="476">
        <v>0</v>
      </c>
      <c r="AA174" s="38">
        <f t="shared" si="59"/>
        <v>0</v>
      </c>
      <c r="AB174" s="692">
        <f t="shared" si="47"/>
        <v>0</v>
      </c>
      <c r="AC174" s="692">
        <f t="shared" si="48"/>
        <v>0</v>
      </c>
      <c r="AD174" s="692">
        <f t="shared" si="49"/>
        <v>0</v>
      </c>
      <c r="AE174" s="38"/>
      <c r="AF174" s="692">
        <f t="shared" si="50"/>
        <v>0</v>
      </c>
      <c r="AG174" s="692">
        <f t="shared" si="51"/>
        <v>0</v>
      </c>
      <c r="AH174" s="692">
        <f t="shared" si="52"/>
        <v>0</v>
      </c>
    </row>
    <row r="175" spans="1:34">
      <c r="A175" s="21"/>
      <c r="B175" s="21" t="s">
        <v>109</v>
      </c>
      <c r="C175" s="666" t="s">
        <v>565</v>
      </c>
      <c r="D175" s="68" t="s">
        <v>485</v>
      </c>
      <c r="E175" s="679"/>
      <c r="F175" s="529">
        <f>VLOOKUP(D175,'June 2012 DMV Revenue'!D:T,17,FALSE)</f>
        <v>-90000</v>
      </c>
      <c r="G175" s="680"/>
      <c r="H175" s="680"/>
      <c r="I175" s="755"/>
      <c r="J175" s="682">
        <f t="shared" si="46"/>
        <v>-90000</v>
      </c>
      <c r="K175" s="683"/>
      <c r="L175" s="684"/>
      <c r="M175" s="753">
        <v>120000</v>
      </c>
      <c r="N175" s="683"/>
      <c r="O175" s="686"/>
      <c r="P175" s="683"/>
      <c r="Q175" s="687">
        <f t="shared" si="54"/>
        <v>120000</v>
      </c>
      <c r="R175" s="688">
        <v>0</v>
      </c>
      <c r="S175" s="693"/>
      <c r="T175" s="690">
        <f t="shared" si="55"/>
        <v>-120000</v>
      </c>
      <c r="U175" s="683"/>
      <c r="V175" s="474">
        <f t="shared" si="56"/>
        <v>0</v>
      </c>
      <c r="W175" s="474">
        <f t="shared" si="57"/>
        <v>120000</v>
      </c>
      <c r="X175" s="475">
        <f t="shared" si="58"/>
        <v>0</v>
      </c>
      <c r="Y175" s="475">
        <v>0</v>
      </c>
      <c r="Z175" s="476">
        <v>0</v>
      </c>
      <c r="AA175" s="38">
        <f t="shared" si="59"/>
        <v>0</v>
      </c>
      <c r="AB175" s="692">
        <f t="shared" si="47"/>
        <v>0</v>
      </c>
      <c r="AC175" s="692">
        <f t="shared" si="48"/>
        <v>-90000</v>
      </c>
      <c r="AD175" s="692">
        <f t="shared" si="49"/>
        <v>0</v>
      </c>
      <c r="AE175" s="38"/>
      <c r="AF175" s="692">
        <f t="shared" si="50"/>
        <v>0</v>
      </c>
      <c r="AG175" s="692">
        <f t="shared" si="51"/>
        <v>120000</v>
      </c>
      <c r="AH175" s="692">
        <f t="shared" si="52"/>
        <v>0</v>
      </c>
    </row>
    <row r="176" spans="1:34" s="232" customFormat="1">
      <c r="A176" s="403"/>
      <c r="B176" s="403" t="s">
        <v>109</v>
      </c>
      <c r="C176" s="666"/>
      <c r="D176" s="123" t="s">
        <v>220</v>
      </c>
      <c r="E176" s="679"/>
      <c r="F176" s="529">
        <f>VLOOKUP(D176,'June 2012 DMV Revenue'!D:T,17,FALSE)</f>
        <v>0</v>
      </c>
      <c r="G176" s="680"/>
      <c r="H176" s="680"/>
      <c r="I176" s="755"/>
      <c r="J176" s="682">
        <f t="shared" si="46"/>
        <v>0</v>
      </c>
      <c r="K176" s="683"/>
      <c r="L176" s="684"/>
      <c r="M176" s="753"/>
      <c r="N176" s="683">
        <v>0</v>
      </c>
      <c r="O176" s="686"/>
      <c r="P176" s="683">
        <v>0</v>
      </c>
      <c r="Q176" s="687">
        <f t="shared" si="54"/>
        <v>0</v>
      </c>
      <c r="R176" s="688">
        <v>0</v>
      </c>
      <c r="S176" s="693"/>
      <c r="T176" s="690">
        <f t="shared" si="55"/>
        <v>0</v>
      </c>
      <c r="U176" s="683"/>
      <c r="V176" s="474">
        <f t="shared" si="56"/>
        <v>0</v>
      </c>
      <c r="W176" s="474">
        <f t="shared" si="57"/>
        <v>0</v>
      </c>
      <c r="X176" s="475">
        <f t="shared" si="58"/>
        <v>0</v>
      </c>
      <c r="Y176" s="475">
        <v>0</v>
      </c>
      <c r="Z176" s="476">
        <v>0</v>
      </c>
      <c r="AA176" s="38">
        <f t="shared" si="59"/>
        <v>0</v>
      </c>
      <c r="AB176" s="692">
        <f t="shared" si="47"/>
        <v>0</v>
      </c>
      <c r="AC176" s="692">
        <f t="shared" si="48"/>
        <v>0</v>
      </c>
      <c r="AD176" s="692">
        <f t="shared" si="49"/>
        <v>0</v>
      </c>
      <c r="AE176" s="38"/>
      <c r="AF176" s="692">
        <f t="shared" si="50"/>
        <v>0</v>
      </c>
      <c r="AG176" s="692">
        <f t="shared" si="51"/>
        <v>0</v>
      </c>
      <c r="AH176" s="692">
        <f t="shared" si="52"/>
        <v>0</v>
      </c>
    </row>
    <row r="177" spans="1:34" s="24" customFormat="1">
      <c r="A177" s="472"/>
      <c r="B177" s="21" t="s">
        <v>109</v>
      </c>
      <c r="C177" s="666"/>
      <c r="D177" s="68" t="s">
        <v>505</v>
      </c>
      <c r="E177" s="679"/>
      <c r="F177" s="529">
        <f>VLOOKUP(D177,'June 2012 DMV Revenue'!D:T,17,FALSE)</f>
        <v>0</v>
      </c>
      <c r="G177" s="680"/>
      <c r="H177" s="680"/>
      <c r="I177" s="770">
        <v>6616.8</v>
      </c>
      <c r="J177" s="703">
        <f t="shared" ref="J177" si="61">SUM(E177:I177)</f>
        <v>6616.8</v>
      </c>
      <c r="K177" s="698"/>
      <c r="L177" s="684"/>
      <c r="M177" s="753"/>
      <c r="N177" s="698">
        <v>0</v>
      </c>
      <c r="O177" s="686"/>
      <c r="P177" s="698">
        <v>0</v>
      </c>
      <c r="Q177" s="700">
        <f t="shared" si="54"/>
        <v>0</v>
      </c>
      <c r="R177" s="688">
        <v>0</v>
      </c>
      <c r="S177" s="701"/>
      <c r="T177" s="702">
        <f t="shared" si="55"/>
        <v>0</v>
      </c>
      <c r="U177" s="698"/>
      <c r="V177" s="474">
        <f t="shared" si="56"/>
        <v>0</v>
      </c>
      <c r="W177" s="474">
        <f t="shared" si="57"/>
        <v>0</v>
      </c>
      <c r="X177" s="475">
        <f t="shared" si="58"/>
        <v>0</v>
      </c>
      <c r="Y177" s="475">
        <v>0</v>
      </c>
      <c r="Z177" s="476">
        <v>0</v>
      </c>
      <c r="AA177" s="38">
        <f t="shared" si="59"/>
        <v>0</v>
      </c>
      <c r="AB177" s="692">
        <f t="shared" si="47"/>
        <v>0</v>
      </c>
      <c r="AC177" s="692">
        <f t="shared" si="48"/>
        <v>6616.8</v>
      </c>
      <c r="AD177" s="692">
        <f t="shared" si="49"/>
        <v>0</v>
      </c>
      <c r="AE177" s="38"/>
      <c r="AF177" s="692">
        <f t="shared" si="50"/>
        <v>0</v>
      </c>
      <c r="AG177" s="692">
        <f t="shared" si="51"/>
        <v>0</v>
      </c>
      <c r="AH177" s="692">
        <f t="shared" si="52"/>
        <v>0</v>
      </c>
    </row>
    <row r="178" spans="1:34">
      <c r="A178" s="21"/>
      <c r="B178" s="21" t="s">
        <v>109</v>
      </c>
      <c r="C178" s="666"/>
      <c r="D178" s="68" t="s">
        <v>38</v>
      </c>
      <c r="E178" s="679"/>
      <c r="F178" s="529">
        <f>VLOOKUP(D178,'June 2012 DMV Revenue'!D:T,17,FALSE)</f>
        <v>0</v>
      </c>
      <c r="G178" s="680"/>
      <c r="H178" s="680"/>
      <c r="I178" s="755"/>
      <c r="J178" s="682">
        <f t="shared" si="46"/>
        <v>0</v>
      </c>
      <c r="K178" s="683"/>
      <c r="L178" s="684"/>
      <c r="M178" s="753"/>
      <c r="N178" s="683">
        <v>0</v>
      </c>
      <c r="O178" s="686"/>
      <c r="P178" s="683">
        <v>0</v>
      </c>
      <c r="Q178" s="687">
        <f t="shared" si="54"/>
        <v>0</v>
      </c>
      <c r="R178" s="688">
        <v>0</v>
      </c>
      <c r="S178" s="693"/>
      <c r="T178" s="690">
        <f t="shared" si="55"/>
        <v>0</v>
      </c>
      <c r="U178" s="683"/>
      <c r="V178" s="474">
        <f t="shared" si="56"/>
        <v>0</v>
      </c>
      <c r="W178" s="474">
        <f t="shared" si="57"/>
        <v>0</v>
      </c>
      <c r="X178" s="475">
        <f t="shared" si="58"/>
        <v>0</v>
      </c>
      <c r="Y178" s="475">
        <v>0</v>
      </c>
      <c r="Z178" s="476">
        <v>0</v>
      </c>
      <c r="AA178" s="38">
        <f t="shared" si="59"/>
        <v>0</v>
      </c>
      <c r="AB178" s="692">
        <f t="shared" si="47"/>
        <v>0</v>
      </c>
      <c r="AC178" s="692">
        <f t="shared" si="48"/>
        <v>0</v>
      </c>
      <c r="AD178" s="692">
        <f t="shared" si="49"/>
        <v>0</v>
      </c>
      <c r="AE178" s="38"/>
      <c r="AF178" s="692">
        <f t="shared" si="50"/>
        <v>0</v>
      </c>
      <c r="AG178" s="692">
        <f t="shared" si="51"/>
        <v>0</v>
      </c>
      <c r="AH178" s="692">
        <f t="shared" si="52"/>
        <v>0</v>
      </c>
    </row>
    <row r="179" spans="1:34">
      <c r="A179" s="21"/>
      <c r="B179" s="21" t="s">
        <v>110</v>
      </c>
      <c r="C179" s="666"/>
      <c r="D179" s="68" t="s">
        <v>185</v>
      </c>
      <c r="E179" s="679">
        <f>41.3+40.6</f>
        <v>81.900000000000006</v>
      </c>
      <c r="F179" s="529">
        <f>VLOOKUP(D179,'June 2012 DMV Revenue'!D:T,17,FALSE)</f>
        <v>0</v>
      </c>
      <c r="G179" s="680"/>
      <c r="H179" s="680"/>
      <c r="I179" s="755"/>
      <c r="J179" s="682">
        <f t="shared" si="46"/>
        <v>81.900000000000006</v>
      </c>
      <c r="K179" s="683"/>
      <c r="L179" s="684"/>
      <c r="M179" s="753"/>
      <c r="N179" s="683">
        <v>0</v>
      </c>
      <c r="O179" s="686"/>
      <c r="P179" s="683">
        <v>0</v>
      </c>
      <c r="Q179" s="687">
        <f t="shared" si="54"/>
        <v>0</v>
      </c>
      <c r="R179" s="688">
        <v>35.700000000000003</v>
      </c>
      <c r="S179" s="693"/>
      <c r="T179" s="690">
        <f t="shared" si="55"/>
        <v>35.700000000000003</v>
      </c>
      <c r="U179" s="683"/>
      <c r="V179" s="474">
        <f t="shared" si="56"/>
        <v>0</v>
      </c>
      <c r="W179" s="474">
        <f t="shared" si="57"/>
        <v>0</v>
      </c>
      <c r="X179" s="475">
        <f t="shared" si="58"/>
        <v>0</v>
      </c>
      <c r="Y179" s="475">
        <v>0</v>
      </c>
      <c r="Z179" s="476">
        <v>0</v>
      </c>
      <c r="AA179" s="38">
        <f t="shared" si="59"/>
        <v>0</v>
      </c>
      <c r="AB179" s="692">
        <f t="shared" si="47"/>
        <v>81.900000000000006</v>
      </c>
      <c r="AC179" s="692">
        <f t="shared" si="48"/>
        <v>0</v>
      </c>
      <c r="AD179" s="692">
        <f t="shared" si="49"/>
        <v>0</v>
      </c>
      <c r="AE179" s="38"/>
      <c r="AF179" s="692">
        <f t="shared" si="50"/>
        <v>0</v>
      </c>
      <c r="AG179" s="692">
        <f t="shared" si="51"/>
        <v>0</v>
      </c>
      <c r="AH179" s="692">
        <f t="shared" si="52"/>
        <v>0</v>
      </c>
    </row>
    <row r="180" spans="1:34">
      <c r="A180" s="21"/>
      <c r="B180" s="21" t="s">
        <v>110</v>
      </c>
      <c r="C180" s="666"/>
      <c r="D180" s="68" t="s">
        <v>186</v>
      </c>
      <c r="E180" s="679">
        <f>111.75+61.95</f>
        <v>173.7</v>
      </c>
      <c r="F180" s="529">
        <f>VLOOKUP(D180,'June 2012 DMV Revenue'!D:T,17,FALSE)</f>
        <v>0</v>
      </c>
      <c r="G180" s="680"/>
      <c r="H180" s="680"/>
      <c r="I180" s="755"/>
      <c r="J180" s="682">
        <f t="shared" si="46"/>
        <v>173.7</v>
      </c>
      <c r="K180" s="683"/>
      <c r="L180" s="684"/>
      <c r="M180" s="753"/>
      <c r="N180" s="683">
        <v>0</v>
      </c>
      <c r="O180" s="686"/>
      <c r="P180" s="683">
        <v>0</v>
      </c>
      <c r="Q180" s="687">
        <f t="shared" si="54"/>
        <v>0</v>
      </c>
      <c r="R180" s="688">
        <v>72.61</v>
      </c>
      <c r="S180" s="693"/>
      <c r="T180" s="690">
        <f t="shared" si="55"/>
        <v>72.61</v>
      </c>
      <c r="U180" s="683"/>
      <c r="V180" s="474">
        <f t="shared" si="56"/>
        <v>0</v>
      </c>
      <c r="W180" s="474">
        <f t="shared" si="57"/>
        <v>0</v>
      </c>
      <c r="X180" s="475">
        <f t="shared" si="58"/>
        <v>0</v>
      </c>
      <c r="Y180" s="475">
        <v>0</v>
      </c>
      <c r="Z180" s="476">
        <v>0</v>
      </c>
      <c r="AA180" s="38">
        <f t="shared" si="59"/>
        <v>0</v>
      </c>
      <c r="AB180" s="692">
        <f t="shared" si="47"/>
        <v>173.7</v>
      </c>
      <c r="AC180" s="692">
        <f t="shared" si="48"/>
        <v>0</v>
      </c>
      <c r="AD180" s="692">
        <f t="shared" si="49"/>
        <v>0</v>
      </c>
      <c r="AE180" s="38"/>
      <c r="AF180" s="692">
        <f t="shared" si="50"/>
        <v>0</v>
      </c>
      <c r="AG180" s="692">
        <f t="shared" si="51"/>
        <v>0</v>
      </c>
      <c r="AH180" s="692">
        <f t="shared" si="52"/>
        <v>0</v>
      </c>
    </row>
    <row r="181" spans="1:34">
      <c r="A181" s="21"/>
      <c r="B181" s="21" t="s">
        <v>110</v>
      </c>
      <c r="C181" s="666"/>
      <c r="D181" s="68" t="s">
        <v>449</v>
      </c>
      <c r="E181" s="679"/>
      <c r="F181" s="529">
        <f>VLOOKUP(D181,'June 2012 DMV Revenue'!D:T,17,FALSE)</f>
        <v>0</v>
      </c>
      <c r="G181" s="680"/>
      <c r="H181" s="680"/>
      <c r="I181" s="755"/>
      <c r="J181" s="682">
        <f t="shared" si="46"/>
        <v>0</v>
      </c>
      <c r="K181" s="683"/>
      <c r="L181" s="684"/>
      <c r="M181" s="753"/>
      <c r="N181" s="683">
        <v>0</v>
      </c>
      <c r="O181" s="686"/>
      <c r="P181" s="683">
        <v>0</v>
      </c>
      <c r="Q181" s="687">
        <f t="shared" si="54"/>
        <v>0</v>
      </c>
      <c r="R181" s="688">
        <v>0</v>
      </c>
      <c r="S181" s="693"/>
      <c r="T181" s="690">
        <f t="shared" si="55"/>
        <v>0</v>
      </c>
      <c r="U181" s="683"/>
      <c r="V181" s="474">
        <f t="shared" si="56"/>
        <v>0</v>
      </c>
      <c r="W181" s="474">
        <f t="shared" si="57"/>
        <v>0</v>
      </c>
      <c r="X181" s="475">
        <f t="shared" si="58"/>
        <v>0</v>
      </c>
      <c r="Y181" s="475">
        <v>0</v>
      </c>
      <c r="Z181" s="476">
        <v>0</v>
      </c>
      <c r="AA181" s="38">
        <f t="shared" si="59"/>
        <v>0</v>
      </c>
      <c r="AB181" s="692">
        <f t="shared" si="47"/>
        <v>0</v>
      </c>
      <c r="AC181" s="692">
        <f t="shared" si="48"/>
        <v>0</v>
      </c>
      <c r="AD181" s="692">
        <f t="shared" si="49"/>
        <v>0</v>
      </c>
      <c r="AE181" s="38"/>
      <c r="AF181" s="692">
        <f t="shared" si="50"/>
        <v>0</v>
      </c>
      <c r="AG181" s="692">
        <f t="shared" si="51"/>
        <v>0</v>
      </c>
      <c r="AH181" s="692">
        <f t="shared" si="52"/>
        <v>0</v>
      </c>
    </row>
    <row r="182" spans="1:34">
      <c r="A182" s="21"/>
      <c r="B182" s="21" t="s">
        <v>110</v>
      </c>
      <c r="C182" s="666" t="s">
        <v>566</v>
      </c>
      <c r="D182" s="68" t="s">
        <v>39</v>
      </c>
      <c r="E182" s="679"/>
      <c r="F182" s="529">
        <f>VLOOKUP(D182,'June 2012 DMV Revenue'!D:T,17,FALSE)</f>
        <v>1548.49</v>
      </c>
      <c r="G182" s="680"/>
      <c r="H182" s="680"/>
      <c r="I182" s="770">
        <v>1921.29</v>
      </c>
      <c r="J182" s="682">
        <f t="shared" si="46"/>
        <v>3469.7799999999997</v>
      </c>
      <c r="K182" s="683"/>
      <c r="L182" s="684"/>
      <c r="M182" s="753"/>
      <c r="N182" s="683">
        <v>0</v>
      </c>
      <c r="O182" s="686"/>
      <c r="P182" s="683">
        <v>0</v>
      </c>
      <c r="Q182" s="687">
        <f t="shared" si="54"/>
        <v>0</v>
      </c>
      <c r="R182" s="688">
        <v>0</v>
      </c>
      <c r="S182" s="693"/>
      <c r="T182" s="690">
        <f t="shared" si="55"/>
        <v>0</v>
      </c>
      <c r="U182" s="683"/>
      <c r="V182" s="474">
        <f t="shared" si="56"/>
        <v>0</v>
      </c>
      <c r="W182" s="474">
        <f t="shared" si="57"/>
        <v>0</v>
      </c>
      <c r="X182" s="475">
        <f t="shared" si="58"/>
        <v>0</v>
      </c>
      <c r="Y182" s="475">
        <v>0</v>
      </c>
      <c r="Z182" s="476">
        <v>0</v>
      </c>
      <c r="AA182" s="38">
        <f t="shared" si="59"/>
        <v>0</v>
      </c>
      <c r="AB182" s="692">
        <f t="shared" si="47"/>
        <v>3469.7799999999997</v>
      </c>
      <c r="AC182" s="692">
        <f t="shared" si="48"/>
        <v>0</v>
      </c>
      <c r="AD182" s="692">
        <f t="shared" si="49"/>
        <v>0</v>
      </c>
      <c r="AE182" s="38"/>
      <c r="AF182" s="692">
        <f t="shared" si="50"/>
        <v>0</v>
      </c>
      <c r="AG182" s="692">
        <f t="shared" si="51"/>
        <v>0</v>
      </c>
      <c r="AH182" s="692">
        <f t="shared" si="52"/>
        <v>0</v>
      </c>
    </row>
    <row r="183" spans="1:34">
      <c r="A183" s="21"/>
      <c r="B183" s="21" t="s">
        <v>110</v>
      </c>
      <c r="C183" s="666" t="s">
        <v>567</v>
      </c>
      <c r="D183" s="68" t="s">
        <v>435</v>
      </c>
      <c r="E183" s="679"/>
      <c r="F183" s="529">
        <f>VLOOKUP(D183,'June 2012 DMV Revenue'!D:T,17,FALSE)</f>
        <v>-15000</v>
      </c>
      <c r="G183" s="680"/>
      <c r="H183" s="680"/>
      <c r="I183" s="755"/>
      <c r="J183" s="682">
        <f t="shared" si="46"/>
        <v>-15000</v>
      </c>
      <c r="K183" s="683"/>
      <c r="L183" s="684"/>
      <c r="M183" s="753">
        <v>30000</v>
      </c>
      <c r="N183" s="683">
        <v>0</v>
      </c>
      <c r="O183" s="686"/>
      <c r="P183" s="683">
        <v>0</v>
      </c>
      <c r="Q183" s="687">
        <f t="shared" si="54"/>
        <v>30000</v>
      </c>
      <c r="R183" s="688">
        <v>0</v>
      </c>
      <c r="S183" s="693"/>
      <c r="T183" s="690">
        <f t="shared" si="55"/>
        <v>-30000</v>
      </c>
      <c r="U183" s="683"/>
      <c r="V183" s="474">
        <f t="shared" si="56"/>
        <v>30000</v>
      </c>
      <c r="W183" s="474">
        <f t="shared" si="57"/>
        <v>0</v>
      </c>
      <c r="X183" s="475">
        <f t="shared" si="58"/>
        <v>0</v>
      </c>
      <c r="Y183" s="475">
        <v>0</v>
      </c>
      <c r="Z183" s="476">
        <v>0</v>
      </c>
      <c r="AA183" s="38">
        <f t="shared" si="59"/>
        <v>0</v>
      </c>
      <c r="AB183" s="692">
        <f t="shared" si="47"/>
        <v>-15000</v>
      </c>
      <c r="AC183" s="692">
        <f t="shared" si="48"/>
        <v>0</v>
      </c>
      <c r="AD183" s="692">
        <f t="shared" si="49"/>
        <v>0</v>
      </c>
      <c r="AE183" s="38"/>
      <c r="AF183" s="692">
        <f t="shared" si="50"/>
        <v>30000</v>
      </c>
      <c r="AG183" s="692">
        <f t="shared" si="51"/>
        <v>0</v>
      </c>
      <c r="AH183" s="692">
        <f t="shared" si="52"/>
        <v>0</v>
      </c>
    </row>
    <row r="184" spans="1:34">
      <c r="A184" s="21"/>
      <c r="B184" s="21" t="s">
        <v>110</v>
      </c>
      <c r="C184" s="675" t="s">
        <v>584</v>
      </c>
      <c r="D184" s="68" t="s">
        <v>99</v>
      </c>
      <c r="E184" s="679"/>
      <c r="F184" s="529">
        <f>VLOOKUP(D184,'June 2012 DMV Revenue'!D:T,17,FALSE)</f>
        <v>-15000</v>
      </c>
      <c r="G184" s="680"/>
      <c r="H184" s="680"/>
      <c r="I184" s="755"/>
      <c r="J184" s="682">
        <f t="shared" si="46"/>
        <v>-15000</v>
      </c>
      <c r="K184" s="683"/>
      <c r="L184" s="684"/>
      <c r="M184" s="753">
        <v>30000</v>
      </c>
      <c r="N184" s="683">
        <v>0</v>
      </c>
      <c r="O184" s="686"/>
      <c r="P184" s="683">
        <v>0</v>
      </c>
      <c r="Q184" s="687">
        <f t="shared" si="54"/>
        <v>30000</v>
      </c>
      <c r="R184" s="688">
        <v>0</v>
      </c>
      <c r="S184" s="693"/>
      <c r="T184" s="690">
        <f t="shared" si="55"/>
        <v>-30000</v>
      </c>
      <c r="U184" s="683"/>
      <c r="V184" s="474">
        <f t="shared" si="56"/>
        <v>30000</v>
      </c>
      <c r="W184" s="474">
        <f t="shared" si="57"/>
        <v>0</v>
      </c>
      <c r="X184" s="475">
        <f t="shared" si="58"/>
        <v>0</v>
      </c>
      <c r="Y184" s="475">
        <v>0</v>
      </c>
      <c r="Z184" s="476">
        <v>0</v>
      </c>
      <c r="AA184" s="38">
        <f t="shared" si="59"/>
        <v>0</v>
      </c>
      <c r="AB184" s="692">
        <f t="shared" si="47"/>
        <v>-15000</v>
      </c>
      <c r="AC184" s="692">
        <f t="shared" si="48"/>
        <v>0</v>
      </c>
      <c r="AD184" s="692">
        <f t="shared" si="49"/>
        <v>0</v>
      </c>
      <c r="AE184" s="38"/>
      <c r="AF184" s="692">
        <f t="shared" si="50"/>
        <v>30000</v>
      </c>
      <c r="AG184" s="692">
        <f t="shared" si="51"/>
        <v>0</v>
      </c>
      <c r="AH184" s="692">
        <f t="shared" si="52"/>
        <v>0</v>
      </c>
    </row>
    <row r="185" spans="1:34" s="232" customFormat="1">
      <c r="A185" s="403"/>
      <c r="B185" s="403" t="s">
        <v>110</v>
      </c>
      <c r="C185" s="666"/>
      <c r="D185" s="123" t="s">
        <v>378</v>
      </c>
      <c r="E185" s="679"/>
      <c r="F185" s="529">
        <f>VLOOKUP(D185,'June 2012 DMV Revenue'!D:T,17,FALSE)</f>
        <v>0</v>
      </c>
      <c r="G185" s="680"/>
      <c r="H185" s="680"/>
      <c r="I185" s="755"/>
      <c r="J185" s="682">
        <f t="shared" si="46"/>
        <v>0</v>
      </c>
      <c r="K185" s="683"/>
      <c r="L185" s="684"/>
      <c r="M185" s="753"/>
      <c r="N185" s="683">
        <v>0</v>
      </c>
      <c r="O185" s="686"/>
      <c r="P185" s="683">
        <v>0</v>
      </c>
      <c r="Q185" s="687">
        <f t="shared" si="54"/>
        <v>0</v>
      </c>
      <c r="R185" s="688">
        <v>0</v>
      </c>
      <c r="S185" s="693"/>
      <c r="T185" s="690">
        <f t="shared" si="55"/>
        <v>0</v>
      </c>
      <c r="U185" s="683"/>
      <c r="V185" s="474">
        <f t="shared" si="56"/>
        <v>0</v>
      </c>
      <c r="W185" s="474">
        <f t="shared" si="57"/>
        <v>0</v>
      </c>
      <c r="X185" s="475">
        <f t="shared" si="58"/>
        <v>0</v>
      </c>
      <c r="Y185" s="475">
        <v>0</v>
      </c>
      <c r="Z185" s="476">
        <v>0</v>
      </c>
      <c r="AA185" s="38">
        <f t="shared" si="59"/>
        <v>0</v>
      </c>
      <c r="AB185" s="692">
        <f t="shared" si="47"/>
        <v>0</v>
      </c>
      <c r="AC185" s="692">
        <f t="shared" si="48"/>
        <v>0</v>
      </c>
      <c r="AD185" s="692">
        <f t="shared" si="49"/>
        <v>0</v>
      </c>
      <c r="AE185" s="38"/>
      <c r="AF185" s="692">
        <f t="shared" si="50"/>
        <v>0</v>
      </c>
      <c r="AG185" s="692">
        <f t="shared" si="51"/>
        <v>0</v>
      </c>
      <c r="AH185" s="692">
        <f t="shared" si="52"/>
        <v>0</v>
      </c>
    </row>
    <row r="186" spans="1:34" s="232" customFormat="1">
      <c r="A186" s="403"/>
      <c r="B186" s="403" t="s">
        <v>110</v>
      </c>
      <c r="C186" s="666" t="s">
        <v>568</v>
      </c>
      <c r="D186" s="123" t="s">
        <v>303</v>
      </c>
      <c r="E186" s="679"/>
      <c r="F186" s="529">
        <f>VLOOKUP(D186,'June 2012 DMV Revenue'!D:T,17,FALSE)</f>
        <v>-300000</v>
      </c>
      <c r="G186" s="680"/>
      <c r="H186" s="680"/>
      <c r="I186" s="755"/>
      <c r="J186" s="682">
        <f t="shared" si="46"/>
        <v>-300000</v>
      </c>
      <c r="K186" s="683"/>
      <c r="L186" s="684"/>
      <c r="M186" s="753">
        <v>400000</v>
      </c>
      <c r="N186" s="683">
        <v>0</v>
      </c>
      <c r="O186" s="686"/>
      <c r="P186" s="683">
        <v>0</v>
      </c>
      <c r="Q186" s="687">
        <f t="shared" si="54"/>
        <v>400000</v>
      </c>
      <c r="R186" s="688">
        <v>82088.13</v>
      </c>
      <c r="S186" s="693"/>
      <c r="T186" s="690">
        <f t="shared" si="55"/>
        <v>-317911.87</v>
      </c>
      <c r="U186" s="683"/>
      <c r="V186" s="474">
        <f t="shared" si="56"/>
        <v>400000</v>
      </c>
      <c r="W186" s="474">
        <f t="shared" si="57"/>
        <v>0</v>
      </c>
      <c r="X186" s="475">
        <f t="shared" si="58"/>
        <v>0</v>
      </c>
      <c r="Y186" s="475">
        <v>0</v>
      </c>
      <c r="Z186" s="476">
        <v>0</v>
      </c>
      <c r="AA186" s="38">
        <f t="shared" si="59"/>
        <v>0</v>
      </c>
      <c r="AB186" s="692">
        <f t="shared" si="47"/>
        <v>-300000</v>
      </c>
      <c r="AC186" s="692">
        <f t="shared" si="48"/>
        <v>0</v>
      </c>
      <c r="AD186" s="692">
        <f t="shared" si="49"/>
        <v>0</v>
      </c>
      <c r="AE186" s="38"/>
      <c r="AF186" s="692">
        <f t="shared" si="50"/>
        <v>400000</v>
      </c>
      <c r="AG186" s="692">
        <f t="shared" si="51"/>
        <v>0</v>
      </c>
      <c r="AH186" s="692">
        <f t="shared" si="52"/>
        <v>0</v>
      </c>
    </row>
    <row r="187" spans="1:34" s="232" customFormat="1">
      <c r="A187" s="403"/>
      <c r="B187" s="403" t="s">
        <v>110</v>
      </c>
      <c r="C187" s="666"/>
      <c r="D187" s="123" t="s">
        <v>206</v>
      </c>
      <c r="E187" s="679"/>
      <c r="F187" s="529">
        <f>VLOOKUP(D187,'June 2012 DMV Revenue'!D:T,17,FALSE)</f>
        <v>0</v>
      </c>
      <c r="G187" s="680"/>
      <c r="H187" s="680"/>
      <c r="I187" s="755"/>
      <c r="J187" s="682">
        <f t="shared" si="46"/>
        <v>0</v>
      </c>
      <c r="K187" s="683"/>
      <c r="L187" s="684"/>
      <c r="M187" s="753"/>
      <c r="N187" s="683">
        <v>0</v>
      </c>
      <c r="O187" s="686"/>
      <c r="P187" s="683">
        <v>0</v>
      </c>
      <c r="Q187" s="687">
        <f t="shared" si="54"/>
        <v>0</v>
      </c>
      <c r="R187" s="688">
        <v>0</v>
      </c>
      <c r="S187" s="693"/>
      <c r="T187" s="690">
        <f t="shared" si="55"/>
        <v>0</v>
      </c>
      <c r="U187" s="683"/>
      <c r="V187" s="474">
        <f t="shared" si="56"/>
        <v>0</v>
      </c>
      <c r="W187" s="474">
        <f t="shared" si="57"/>
        <v>0</v>
      </c>
      <c r="X187" s="475">
        <f t="shared" si="58"/>
        <v>0</v>
      </c>
      <c r="Y187" s="475">
        <v>0</v>
      </c>
      <c r="Z187" s="476">
        <v>0</v>
      </c>
      <c r="AA187" s="38">
        <f t="shared" si="59"/>
        <v>0</v>
      </c>
      <c r="AB187" s="692">
        <f t="shared" si="47"/>
        <v>0</v>
      </c>
      <c r="AC187" s="692">
        <f t="shared" si="48"/>
        <v>0</v>
      </c>
      <c r="AD187" s="692">
        <f t="shared" si="49"/>
        <v>0</v>
      </c>
      <c r="AE187" s="38"/>
      <c r="AF187" s="692">
        <f t="shared" si="50"/>
        <v>0</v>
      </c>
      <c r="AG187" s="692">
        <f t="shared" si="51"/>
        <v>0</v>
      </c>
      <c r="AH187" s="692">
        <f t="shared" si="52"/>
        <v>0</v>
      </c>
    </row>
    <row r="188" spans="1:34" s="232" customFormat="1">
      <c r="A188" s="403"/>
      <c r="B188" s="403" t="s">
        <v>109</v>
      </c>
      <c r="C188" s="666" t="s">
        <v>569</v>
      </c>
      <c r="D188" s="123" t="s">
        <v>468</v>
      </c>
      <c r="E188" s="679"/>
      <c r="F188" s="529">
        <f>VLOOKUP(D188,'June 2012 DMV Revenue'!D:T,17,FALSE)</f>
        <v>-30000</v>
      </c>
      <c r="G188" s="680"/>
      <c r="H188" s="680"/>
      <c r="I188" s="755"/>
      <c r="J188" s="682">
        <f t="shared" si="46"/>
        <v>-30000</v>
      </c>
      <c r="K188" s="683"/>
      <c r="L188" s="684"/>
      <c r="M188" s="753">
        <v>60000</v>
      </c>
      <c r="N188" s="683">
        <v>0</v>
      </c>
      <c r="O188" s="686"/>
      <c r="P188" s="683">
        <v>0</v>
      </c>
      <c r="Q188" s="687">
        <f t="shared" si="54"/>
        <v>60000</v>
      </c>
      <c r="R188" s="688">
        <v>27887.66</v>
      </c>
      <c r="S188" s="693"/>
      <c r="T188" s="690">
        <f t="shared" si="55"/>
        <v>-32112.34</v>
      </c>
      <c r="U188" s="683"/>
      <c r="V188" s="474">
        <f t="shared" si="56"/>
        <v>0</v>
      </c>
      <c r="W188" s="474">
        <f t="shared" si="57"/>
        <v>60000</v>
      </c>
      <c r="X188" s="475">
        <f t="shared" si="58"/>
        <v>0</v>
      </c>
      <c r="Y188" s="475">
        <v>0</v>
      </c>
      <c r="Z188" s="476">
        <v>0</v>
      </c>
      <c r="AA188" s="38">
        <f t="shared" si="59"/>
        <v>0</v>
      </c>
      <c r="AB188" s="692">
        <f t="shared" si="47"/>
        <v>0</v>
      </c>
      <c r="AC188" s="692">
        <f t="shared" si="48"/>
        <v>-30000</v>
      </c>
      <c r="AD188" s="692">
        <f t="shared" si="49"/>
        <v>0</v>
      </c>
      <c r="AE188" s="38"/>
      <c r="AF188" s="692">
        <f t="shared" si="50"/>
        <v>0</v>
      </c>
      <c r="AG188" s="692">
        <f t="shared" si="51"/>
        <v>60000</v>
      </c>
      <c r="AH188" s="692">
        <f t="shared" si="52"/>
        <v>0</v>
      </c>
    </row>
    <row r="189" spans="1:34" s="232" customFormat="1">
      <c r="A189" s="403"/>
      <c r="B189" s="403" t="s">
        <v>114</v>
      </c>
      <c r="C189" s="666"/>
      <c r="D189" s="123" t="s">
        <v>241</v>
      </c>
      <c r="E189" s="679"/>
      <c r="F189" s="529">
        <f>VLOOKUP(D189,'June 2012 DMV Revenue'!D:T,17,FALSE)</f>
        <v>0</v>
      </c>
      <c r="G189" s="680"/>
      <c r="H189" s="680"/>
      <c r="I189" s="755"/>
      <c r="J189" s="682">
        <f t="shared" si="46"/>
        <v>0</v>
      </c>
      <c r="K189" s="683"/>
      <c r="L189" s="684"/>
      <c r="M189" s="753"/>
      <c r="N189" s="683">
        <v>0</v>
      </c>
      <c r="O189" s="686"/>
      <c r="P189" s="683">
        <v>0</v>
      </c>
      <c r="Q189" s="687">
        <f t="shared" si="54"/>
        <v>0</v>
      </c>
      <c r="R189" s="688">
        <v>0</v>
      </c>
      <c r="S189" s="693"/>
      <c r="T189" s="690">
        <f t="shared" si="55"/>
        <v>0</v>
      </c>
      <c r="U189" s="683"/>
      <c r="V189" s="474">
        <f t="shared" si="56"/>
        <v>0</v>
      </c>
      <c r="W189" s="474">
        <f t="shared" si="57"/>
        <v>0</v>
      </c>
      <c r="X189" s="475">
        <f t="shared" si="58"/>
        <v>0</v>
      </c>
      <c r="Y189" s="475">
        <v>0</v>
      </c>
      <c r="Z189" s="476">
        <v>0</v>
      </c>
      <c r="AA189" s="38">
        <f t="shared" si="59"/>
        <v>0</v>
      </c>
      <c r="AB189" s="692">
        <f t="shared" si="47"/>
        <v>0</v>
      </c>
      <c r="AC189" s="692">
        <f t="shared" si="48"/>
        <v>0</v>
      </c>
      <c r="AD189" s="692">
        <f t="shared" si="49"/>
        <v>0</v>
      </c>
      <c r="AE189" s="38"/>
      <c r="AF189" s="692">
        <f t="shared" si="50"/>
        <v>0</v>
      </c>
      <c r="AG189" s="692">
        <f t="shared" si="51"/>
        <v>0</v>
      </c>
      <c r="AH189" s="692">
        <f t="shared" si="52"/>
        <v>0</v>
      </c>
    </row>
    <row r="190" spans="1:34" s="232" customFormat="1">
      <c r="A190" s="403"/>
      <c r="B190" s="403" t="s">
        <v>110</v>
      </c>
      <c r="C190" s="675" t="s">
        <v>844</v>
      </c>
      <c r="D190" s="68" t="s">
        <v>843</v>
      </c>
      <c r="E190" s="679"/>
      <c r="F190" s="529">
        <v>0</v>
      </c>
      <c r="G190" s="680"/>
      <c r="H190" s="680"/>
      <c r="I190" s="755"/>
      <c r="J190" s="682">
        <v>0</v>
      </c>
      <c r="K190" s="683"/>
      <c r="L190" s="684"/>
      <c r="M190" s="753"/>
      <c r="N190" s="683"/>
      <c r="O190" s="686"/>
      <c r="P190" s="683"/>
      <c r="Q190" s="687">
        <f t="shared" ref="Q190" si="62">L190+M190</f>
        <v>0</v>
      </c>
      <c r="R190" s="688">
        <v>0</v>
      </c>
      <c r="S190" s="693"/>
      <c r="T190" s="690">
        <f t="shared" ref="T190" si="63">IF(R190="","",R190-Q190)</f>
        <v>0</v>
      </c>
      <c r="U190" s="683"/>
      <c r="V190" s="474">
        <v>0</v>
      </c>
      <c r="W190" s="474">
        <v>0</v>
      </c>
      <c r="X190" s="475">
        <v>0</v>
      </c>
      <c r="Y190" s="475">
        <v>0</v>
      </c>
      <c r="Z190" s="476">
        <v>0</v>
      </c>
      <c r="AA190" s="38">
        <v>0</v>
      </c>
      <c r="AB190" s="692">
        <v>0</v>
      </c>
      <c r="AC190" s="692">
        <v>0</v>
      </c>
      <c r="AD190" s="692">
        <v>0</v>
      </c>
      <c r="AE190" s="38">
        <v>0</v>
      </c>
      <c r="AF190" s="692">
        <v>0</v>
      </c>
      <c r="AG190" s="692">
        <v>0</v>
      </c>
      <c r="AH190" s="692">
        <v>0</v>
      </c>
    </row>
    <row r="191" spans="1:34">
      <c r="A191" s="20"/>
      <c r="B191" s="20" t="s">
        <v>109</v>
      </c>
      <c r="C191" s="667" t="s">
        <v>570</v>
      </c>
      <c r="D191" s="68" t="s">
        <v>41</v>
      </c>
      <c r="E191" s="679"/>
      <c r="F191" s="529">
        <f>VLOOKUP(D191,'June 2012 DMV Revenue'!D:T,17,FALSE)</f>
        <v>0</v>
      </c>
      <c r="G191" s="680"/>
      <c r="H191" s="680"/>
      <c r="I191" s="755"/>
      <c r="J191" s="682">
        <f t="shared" si="46"/>
        <v>0</v>
      </c>
      <c r="K191" s="683"/>
      <c r="L191" s="684"/>
      <c r="M191" s="753"/>
      <c r="N191" s="683">
        <v>0</v>
      </c>
      <c r="O191" s="686"/>
      <c r="P191" s="683">
        <v>0</v>
      </c>
      <c r="Q191" s="687">
        <f t="shared" si="54"/>
        <v>0</v>
      </c>
      <c r="R191" s="688">
        <v>0</v>
      </c>
      <c r="S191" s="693"/>
      <c r="T191" s="690">
        <f t="shared" si="55"/>
        <v>0</v>
      </c>
      <c r="U191" s="683"/>
      <c r="V191" s="474">
        <f t="shared" si="56"/>
        <v>0</v>
      </c>
      <c r="W191" s="474">
        <f t="shared" si="57"/>
        <v>0</v>
      </c>
      <c r="X191" s="475">
        <f t="shared" si="58"/>
        <v>0</v>
      </c>
      <c r="Y191" s="475">
        <v>0</v>
      </c>
      <c r="Z191" s="476">
        <v>0</v>
      </c>
      <c r="AA191" s="38">
        <f t="shared" si="59"/>
        <v>0</v>
      </c>
      <c r="AB191" s="692">
        <f t="shared" si="47"/>
        <v>0</v>
      </c>
      <c r="AC191" s="692">
        <f t="shared" si="48"/>
        <v>0</v>
      </c>
      <c r="AD191" s="692">
        <f t="shared" si="49"/>
        <v>0</v>
      </c>
      <c r="AE191" s="38"/>
      <c r="AF191" s="692">
        <f t="shared" si="50"/>
        <v>0</v>
      </c>
      <c r="AG191" s="692">
        <f t="shared" si="51"/>
        <v>0</v>
      </c>
      <c r="AH191" s="692">
        <f t="shared" si="52"/>
        <v>0</v>
      </c>
    </row>
    <row r="192" spans="1:34">
      <c r="A192" s="20"/>
      <c r="B192" s="20" t="s">
        <v>109</v>
      </c>
      <c r="C192" s="667" t="s">
        <v>570</v>
      </c>
      <c r="D192" s="68" t="s">
        <v>221</v>
      </c>
      <c r="E192" s="679"/>
      <c r="F192" s="529">
        <f>VLOOKUP(D192,'June 2012 DMV Revenue'!D:T,17,FALSE)</f>
        <v>0</v>
      </c>
      <c r="G192" s="680"/>
      <c r="H192" s="680"/>
      <c r="I192" s="755"/>
      <c r="J192" s="682">
        <f t="shared" si="46"/>
        <v>0</v>
      </c>
      <c r="K192" s="683"/>
      <c r="L192" s="684"/>
      <c r="M192" s="753"/>
      <c r="N192" s="683">
        <v>0</v>
      </c>
      <c r="O192" s="686"/>
      <c r="P192" s="683">
        <v>0</v>
      </c>
      <c r="Q192" s="687">
        <f t="shared" si="54"/>
        <v>0</v>
      </c>
      <c r="R192" s="688">
        <v>0</v>
      </c>
      <c r="S192" s="693"/>
      <c r="T192" s="690">
        <f t="shared" si="55"/>
        <v>0</v>
      </c>
      <c r="U192" s="683"/>
      <c r="V192" s="474">
        <f t="shared" si="56"/>
        <v>0</v>
      </c>
      <c r="W192" s="474">
        <f t="shared" si="57"/>
        <v>0</v>
      </c>
      <c r="X192" s="475">
        <f t="shared" si="58"/>
        <v>0</v>
      </c>
      <c r="Y192" s="475">
        <v>0</v>
      </c>
      <c r="Z192" s="476">
        <v>0</v>
      </c>
      <c r="AA192" s="38">
        <f t="shared" si="59"/>
        <v>0</v>
      </c>
      <c r="AB192" s="692">
        <f t="shared" si="47"/>
        <v>0</v>
      </c>
      <c r="AC192" s="692">
        <f t="shared" si="48"/>
        <v>0</v>
      </c>
      <c r="AD192" s="692">
        <f t="shared" si="49"/>
        <v>0</v>
      </c>
      <c r="AE192" s="38"/>
      <c r="AF192" s="692">
        <f t="shared" si="50"/>
        <v>0</v>
      </c>
      <c r="AG192" s="692">
        <f t="shared" si="51"/>
        <v>0</v>
      </c>
      <c r="AH192" s="692">
        <f t="shared" si="52"/>
        <v>0</v>
      </c>
    </row>
    <row r="193" spans="1:34">
      <c r="A193" s="20"/>
      <c r="B193" s="20" t="s">
        <v>110</v>
      </c>
      <c r="C193" s="667"/>
      <c r="D193" s="68" t="s">
        <v>508</v>
      </c>
      <c r="E193" s="679"/>
      <c r="F193" s="529">
        <f>VLOOKUP(D193,'June 2012 DMV Revenue'!D:T,17,FALSE)</f>
        <v>0</v>
      </c>
      <c r="G193" s="680"/>
      <c r="H193" s="680"/>
      <c r="I193" s="755"/>
      <c r="J193" s="682">
        <f t="shared" ref="J193" si="64">SUM(E193:I193)</f>
        <v>0</v>
      </c>
      <c r="K193" s="683"/>
      <c r="L193" s="684"/>
      <c r="M193" s="753"/>
      <c r="N193" s="683">
        <v>0</v>
      </c>
      <c r="O193" s="686"/>
      <c r="P193" s="683">
        <v>0</v>
      </c>
      <c r="Q193" s="687">
        <f t="shared" si="54"/>
        <v>0</v>
      </c>
      <c r="R193" s="688">
        <v>0</v>
      </c>
      <c r="S193" s="693"/>
      <c r="T193" s="690">
        <f t="shared" si="55"/>
        <v>0</v>
      </c>
      <c r="U193" s="683"/>
      <c r="V193" s="474">
        <f t="shared" si="56"/>
        <v>0</v>
      </c>
      <c r="W193" s="474">
        <f t="shared" si="57"/>
        <v>0</v>
      </c>
      <c r="X193" s="475">
        <f t="shared" si="58"/>
        <v>0</v>
      </c>
      <c r="Y193" s="475">
        <v>0</v>
      </c>
      <c r="Z193" s="476">
        <v>0</v>
      </c>
      <c r="AA193" s="38">
        <f t="shared" si="59"/>
        <v>0</v>
      </c>
      <c r="AB193" s="692">
        <f t="shared" si="47"/>
        <v>0</v>
      </c>
      <c r="AC193" s="692">
        <f t="shared" si="48"/>
        <v>0</v>
      </c>
      <c r="AD193" s="692">
        <f t="shared" si="49"/>
        <v>0</v>
      </c>
      <c r="AE193" s="38"/>
      <c r="AF193" s="692">
        <f t="shared" si="50"/>
        <v>0</v>
      </c>
      <c r="AG193" s="692">
        <f t="shared" si="51"/>
        <v>0</v>
      </c>
      <c r="AH193" s="692">
        <f t="shared" si="52"/>
        <v>0</v>
      </c>
    </row>
    <row r="194" spans="1:34">
      <c r="A194" s="21"/>
      <c r="B194" s="21" t="s">
        <v>110</v>
      </c>
      <c r="C194" s="666"/>
      <c r="D194" s="68" t="s">
        <v>43</v>
      </c>
      <c r="E194" s="679"/>
      <c r="F194" s="529">
        <f>VLOOKUP(D194,'June 2012 DMV Revenue'!D:T,17,FALSE)</f>
        <v>381.03</v>
      </c>
      <c r="G194" s="680"/>
      <c r="H194" s="680"/>
      <c r="I194" s="770">
        <v>296.44</v>
      </c>
      <c r="J194" s="682">
        <f t="shared" si="46"/>
        <v>677.47</v>
      </c>
      <c r="K194" s="683"/>
      <c r="L194" s="684"/>
      <c r="M194" s="753"/>
      <c r="N194" s="683">
        <v>0</v>
      </c>
      <c r="O194" s="686"/>
      <c r="P194" s="683">
        <v>0</v>
      </c>
      <c r="Q194" s="687">
        <f t="shared" si="54"/>
        <v>0</v>
      </c>
      <c r="R194" s="688">
        <v>0</v>
      </c>
      <c r="S194" s="693"/>
      <c r="T194" s="690">
        <f t="shared" si="55"/>
        <v>0</v>
      </c>
      <c r="U194" s="683"/>
      <c r="V194" s="474">
        <f t="shared" si="56"/>
        <v>0</v>
      </c>
      <c r="W194" s="474">
        <f t="shared" si="57"/>
        <v>0</v>
      </c>
      <c r="X194" s="475">
        <f t="shared" si="58"/>
        <v>0</v>
      </c>
      <c r="Y194" s="475">
        <v>0</v>
      </c>
      <c r="Z194" s="476">
        <v>0</v>
      </c>
      <c r="AA194" s="38">
        <f t="shared" si="59"/>
        <v>0</v>
      </c>
      <c r="AB194" s="692">
        <f t="shared" si="47"/>
        <v>677.47</v>
      </c>
      <c r="AC194" s="692">
        <f t="shared" si="48"/>
        <v>0</v>
      </c>
      <c r="AD194" s="692">
        <f t="shared" si="49"/>
        <v>0</v>
      </c>
      <c r="AE194" s="38"/>
      <c r="AF194" s="692">
        <f t="shared" si="50"/>
        <v>0</v>
      </c>
      <c r="AG194" s="692">
        <f t="shared" si="51"/>
        <v>0</v>
      </c>
      <c r="AH194" s="692">
        <f t="shared" si="52"/>
        <v>0</v>
      </c>
    </row>
    <row r="195" spans="1:34">
      <c r="A195" s="21"/>
      <c r="B195" s="21" t="s">
        <v>109</v>
      </c>
      <c r="C195" s="666" t="s">
        <v>571</v>
      </c>
      <c r="D195" s="68" t="s">
        <v>44</v>
      </c>
      <c r="E195" s="679"/>
      <c r="F195" s="529">
        <f>VLOOKUP(D195,'June 2012 DMV Revenue'!D:T,17,FALSE)</f>
        <v>0</v>
      </c>
      <c r="G195" s="680"/>
      <c r="H195" s="680"/>
      <c r="I195" s="770">
        <v>4273.2</v>
      </c>
      <c r="J195" s="682">
        <f t="shared" si="46"/>
        <v>4273.2</v>
      </c>
      <c r="K195" s="683"/>
      <c r="L195" s="684"/>
      <c r="M195" s="753"/>
      <c r="N195" s="683">
        <v>0</v>
      </c>
      <c r="O195" s="686"/>
      <c r="P195" s="683">
        <v>0</v>
      </c>
      <c r="Q195" s="687">
        <f t="shared" si="54"/>
        <v>0</v>
      </c>
      <c r="R195" s="688">
        <v>0</v>
      </c>
      <c r="S195" s="693"/>
      <c r="T195" s="690">
        <f t="shared" si="55"/>
        <v>0</v>
      </c>
      <c r="U195" s="683"/>
      <c r="V195" s="474">
        <f t="shared" si="56"/>
        <v>0</v>
      </c>
      <c r="W195" s="474">
        <f t="shared" si="57"/>
        <v>0</v>
      </c>
      <c r="X195" s="475">
        <f t="shared" si="58"/>
        <v>0</v>
      </c>
      <c r="Y195" s="475">
        <v>0</v>
      </c>
      <c r="Z195" s="476">
        <v>0</v>
      </c>
      <c r="AA195" s="38">
        <f t="shared" si="59"/>
        <v>0</v>
      </c>
      <c r="AB195" s="692">
        <f t="shared" si="47"/>
        <v>0</v>
      </c>
      <c r="AC195" s="692">
        <f t="shared" si="48"/>
        <v>4273.2</v>
      </c>
      <c r="AD195" s="692">
        <f t="shared" si="49"/>
        <v>0</v>
      </c>
      <c r="AE195" s="38"/>
      <c r="AF195" s="692">
        <f t="shared" si="50"/>
        <v>0</v>
      </c>
      <c r="AG195" s="692">
        <f t="shared" si="51"/>
        <v>0</v>
      </c>
      <c r="AH195" s="692">
        <f t="shared" si="52"/>
        <v>0</v>
      </c>
    </row>
    <row r="196" spans="1:34">
      <c r="A196" s="21"/>
      <c r="B196" s="21" t="s">
        <v>114</v>
      </c>
      <c r="C196" s="666" t="s">
        <v>571</v>
      </c>
      <c r="D196" s="68" t="s">
        <v>44</v>
      </c>
      <c r="E196" s="679"/>
      <c r="F196" s="529">
        <f>VLOOKUP(D196,'June 2012 DMV Revenue'!D:T,17,FALSE)</f>
        <v>0</v>
      </c>
      <c r="G196" s="680"/>
      <c r="H196" s="680"/>
      <c r="I196" s="770">
        <v>143.09</v>
      </c>
      <c r="J196" s="682">
        <f t="shared" ref="J196" si="65">SUM(E196:I196)</f>
        <v>143.09</v>
      </c>
      <c r="K196" s="683"/>
      <c r="L196" s="684"/>
      <c r="M196" s="753"/>
      <c r="N196" s="683">
        <v>0</v>
      </c>
      <c r="O196" s="686"/>
      <c r="P196" s="683">
        <v>0</v>
      </c>
      <c r="Q196" s="687">
        <f t="shared" si="54"/>
        <v>0</v>
      </c>
      <c r="R196" s="688">
        <v>0</v>
      </c>
      <c r="S196" s="693"/>
      <c r="T196" s="690">
        <f t="shared" si="55"/>
        <v>0</v>
      </c>
      <c r="U196" s="683"/>
      <c r="V196" s="474">
        <f t="shared" si="56"/>
        <v>0</v>
      </c>
      <c r="W196" s="474">
        <f t="shared" si="57"/>
        <v>0</v>
      </c>
      <c r="X196" s="475">
        <f t="shared" si="58"/>
        <v>0</v>
      </c>
      <c r="Y196" s="475">
        <v>0</v>
      </c>
      <c r="Z196" s="476">
        <v>0</v>
      </c>
      <c r="AA196" s="38">
        <f t="shared" si="59"/>
        <v>0</v>
      </c>
      <c r="AB196" s="692">
        <f t="shared" si="47"/>
        <v>0</v>
      </c>
      <c r="AC196" s="692">
        <f t="shared" si="48"/>
        <v>0</v>
      </c>
      <c r="AD196" s="692">
        <f t="shared" si="49"/>
        <v>143.09</v>
      </c>
      <c r="AE196" s="38"/>
      <c r="AF196" s="692">
        <f t="shared" si="50"/>
        <v>0</v>
      </c>
      <c r="AG196" s="692">
        <f t="shared" si="51"/>
        <v>0</v>
      </c>
      <c r="AH196" s="692">
        <f t="shared" si="52"/>
        <v>0</v>
      </c>
    </row>
    <row r="197" spans="1:34">
      <c r="A197" s="21"/>
      <c r="B197" s="21" t="s">
        <v>110</v>
      </c>
      <c r="C197" s="666" t="s">
        <v>572</v>
      </c>
      <c r="D197" s="68" t="s">
        <v>388</v>
      </c>
      <c r="E197" s="679"/>
      <c r="F197" s="529">
        <f>VLOOKUP(D197,'June 2012 DMV Revenue'!D:T,17,FALSE)</f>
        <v>0</v>
      </c>
      <c r="G197" s="680"/>
      <c r="H197" s="680"/>
      <c r="I197" s="770">
        <v>11439.58</v>
      </c>
      <c r="J197" s="682">
        <f t="shared" si="46"/>
        <v>11439.58</v>
      </c>
      <c r="K197" s="683"/>
      <c r="L197" s="684"/>
      <c r="M197" s="753"/>
      <c r="N197" s="683">
        <v>0</v>
      </c>
      <c r="O197" s="686"/>
      <c r="P197" s="683">
        <v>0</v>
      </c>
      <c r="Q197" s="687">
        <f t="shared" si="54"/>
        <v>0</v>
      </c>
      <c r="R197" s="688">
        <v>0</v>
      </c>
      <c r="S197" s="693"/>
      <c r="T197" s="690">
        <f t="shared" si="55"/>
        <v>0</v>
      </c>
      <c r="U197" s="683"/>
      <c r="V197" s="474">
        <f t="shared" si="56"/>
        <v>0</v>
      </c>
      <c r="W197" s="474">
        <f t="shared" si="57"/>
        <v>0</v>
      </c>
      <c r="X197" s="475">
        <f t="shared" si="58"/>
        <v>0</v>
      </c>
      <c r="Y197" s="475">
        <v>0</v>
      </c>
      <c r="Z197" s="476">
        <v>0</v>
      </c>
      <c r="AA197" s="38">
        <f t="shared" si="59"/>
        <v>0</v>
      </c>
      <c r="AB197" s="692">
        <f t="shared" si="47"/>
        <v>11439.58</v>
      </c>
      <c r="AC197" s="692">
        <f t="shared" si="48"/>
        <v>0</v>
      </c>
      <c r="AD197" s="692">
        <f t="shared" si="49"/>
        <v>0</v>
      </c>
      <c r="AE197" s="38"/>
      <c r="AF197" s="692">
        <f t="shared" si="50"/>
        <v>0</v>
      </c>
      <c r="AG197" s="692">
        <f t="shared" si="51"/>
        <v>0</v>
      </c>
      <c r="AH197" s="692">
        <f t="shared" si="52"/>
        <v>0</v>
      </c>
    </row>
    <row r="198" spans="1:34">
      <c r="A198" s="21"/>
      <c r="B198" s="21" t="s">
        <v>110</v>
      </c>
      <c r="C198" s="666"/>
      <c r="D198" s="68" t="s">
        <v>45</v>
      </c>
      <c r="E198" s="679"/>
      <c r="F198" s="529">
        <f>VLOOKUP(D198,'June 2012 DMV Revenue'!D:T,17,FALSE)</f>
        <v>497.15999999999985</v>
      </c>
      <c r="G198" s="680"/>
      <c r="H198" s="680"/>
      <c r="I198" s="755"/>
      <c r="J198" s="682">
        <f t="shared" si="46"/>
        <v>497.15999999999985</v>
      </c>
      <c r="K198" s="683"/>
      <c r="L198" s="684"/>
      <c r="M198" s="753">
        <v>12000</v>
      </c>
      <c r="N198" s="683">
        <v>0</v>
      </c>
      <c r="O198" s="686"/>
      <c r="P198" s="683">
        <v>0</v>
      </c>
      <c r="Q198" s="687">
        <f t="shared" si="54"/>
        <v>12000</v>
      </c>
      <c r="R198" s="688">
        <v>0</v>
      </c>
      <c r="S198" s="693"/>
      <c r="T198" s="690">
        <f t="shared" si="55"/>
        <v>-12000</v>
      </c>
      <c r="U198" s="683"/>
      <c r="V198" s="474">
        <f t="shared" si="56"/>
        <v>12000</v>
      </c>
      <c r="W198" s="474">
        <f t="shared" si="57"/>
        <v>0</v>
      </c>
      <c r="X198" s="475">
        <f t="shared" si="58"/>
        <v>0</v>
      </c>
      <c r="Y198" s="475">
        <v>0</v>
      </c>
      <c r="Z198" s="476">
        <v>0</v>
      </c>
      <c r="AA198" s="38">
        <f t="shared" si="59"/>
        <v>0</v>
      </c>
      <c r="AB198" s="692">
        <f t="shared" si="47"/>
        <v>497.15999999999985</v>
      </c>
      <c r="AC198" s="692">
        <f t="shared" si="48"/>
        <v>0</v>
      </c>
      <c r="AD198" s="692">
        <f t="shared" si="49"/>
        <v>0</v>
      </c>
      <c r="AE198" s="38"/>
      <c r="AF198" s="692">
        <f t="shared" si="50"/>
        <v>12000</v>
      </c>
      <c r="AG198" s="692">
        <f t="shared" si="51"/>
        <v>0</v>
      </c>
      <c r="AH198" s="692">
        <f t="shared" si="52"/>
        <v>0</v>
      </c>
    </row>
    <row r="199" spans="1:34">
      <c r="A199" s="20"/>
      <c r="B199" s="20" t="s">
        <v>109</v>
      </c>
      <c r="C199" s="667"/>
      <c r="D199" s="68" t="s">
        <v>842</v>
      </c>
      <c r="E199" s="679"/>
      <c r="F199" s="529"/>
      <c r="G199" s="680"/>
      <c r="H199" s="680"/>
      <c r="I199" s="755"/>
      <c r="J199" s="682">
        <f t="shared" ref="J199" si="66">SUM(E199:I199)</f>
        <v>0</v>
      </c>
      <c r="K199" s="683"/>
      <c r="L199" s="684"/>
      <c r="M199" s="753"/>
      <c r="N199" s="683">
        <v>0</v>
      </c>
      <c r="O199" s="686"/>
      <c r="P199" s="683">
        <v>0</v>
      </c>
      <c r="Q199" s="687">
        <f t="shared" ref="Q199" si="67">L199+M199</f>
        <v>0</v>
      </c>
      <c r="R199" s="688">
        <v>11199.31</v>
      </c>
      <c r="S199" s="693"/>
      <c r="T199" s="690">
        <f t="shared" ref="T199" si="68">IF(R199="","",R199-Q199)</f>
        <v>11199.31</v>
      </c>
      <c r="U199" s="683"/>
      <c r="V199" s="474">
        <f t="shared" ref="V199" si="69">IF(B199="D",Q199,0)</f>
        <v>0</v>
      </c>
      <c r="W199" s="474">
        <f t="shared" ref="W199" si="70">IF(B199="M",Q199,0)</f>
        <v>0</v>
      </c>
      <c r="X199" s="475">
        <f t="shared" ref="X199" si="71">IF(B199="V",Q199,0)</f>
        <v>0</v>
      </c>
      <c r="Y199" s="475">
        <v>0</v>
      </c>
      <c r="Z199" s="476">
        <v>0</v>
      </c>
      <c r="AA199" s="38">
        <f t="shared" ref="AA199" si="72">(L199+M199)-(V199+W199+X199+Y199+Z199)</f>
        <v>0</v>
      </c>
      <c r="AB199" s="692">
        <f t="shared" ref="AB199" si="73">IF(B199="D",J199,0)</f>
        <v>0</v>
      </c>
      <c r="AC199" s="692">
        <f t="shared" ref="AC199" si="74">IF(B199="M",J199,0)</f>
        <v>0</v>
      </c>
      <c r="AD199" s="692">
        <f t="shared" ref="AD199" si="75">IF(B199="V",J199,0)</f>
        <v>0</v>
      </c>
      <c r="AE199" s="38"/>
      <c r="AF199" s="692">
        <f t="shared" ref="AF199" si="76">IF(B199="D",Q199,0)</f>
        <v>0</v>
      </c>
      <c r="AG199" s="692">
        <f t="shared" ref="AG199" si="77">IF(B199="M",Q199,0)</f>
        <v>0</v>
      </c>
      <c r="AH199" s="692">
        <f t="shared" ref="AH199" si="78">IF(B199="V",Q199,0)</f>
        <v>0</v>
      </c>
    </row>
    <row r="200" spans="1:34">
      <c r="A200" s="21"/>
      <c r="B200" s="21" t="s">
        <v>109</v>
      </c>
      <c r="C200" s="666"/>
      <c r="D200" s="68" t="s">
        <v>47</v>
      </c>
      <c r="E200" s="679"/>
      <c r="F200" s="529">
        <f>VLOOKUP(D200,'June 2012 DMV Revenue'!D:T,17,FALSE)</f>
        <v>0</v>
      </c>
      <c r="G200" s="680"/>
      <c r="H200" s="680"/>
      <c r="I200" s="755"/>
      <c r="J200" s="682">
        <f t="shared" si="46"/>
        <v>0</v>
      </c>
      <c r="K200" s="683"/>
      <c r="L200" s="684"/>
      <c r="M200" s="753"/>
      <c r="N200" s="683">
        <v>0</v>
      </c>
      <c r="O200" s="686"/>
      <c r="P200" s="683">
        <v>0</v>
      </c>
      <c r="Q200" s="687">
        <f t="shared" si="54"/>
        <v>0</v>
      </c>
      <c r="R200" s="688">
        <v>0</v>
      </c>
      <c r="S200" s="693"/>
      <c r="T200" s="690">
        <f t="shared" si="55"/>
        <v>0</v>
      </c>
      <c r="U200" s="683"/>
      <c r="V200" s="474">
        <f t="shared" si="56"/>
        <v>0</v>
      </c>
      <c r="W200" s="474">
        <f t="shared" si="57"/>
        <v>0</v>
      </c>
      <c r="X200" s="475">
        <f t="shared" si="58"/>
        <v>0</v>
      </c>
      <c r="Y200" s="475">
        <v>0</v>
      </c>
      <c r="Z200" s="476">
        <v>0</v>
      </c>
      <c r="AA200" s="38">
        <f t="shared" si="59"/>
        <v>0</v>
      </c>
      <c r="AB200" s="692">
        <f t="shared" si="47"/>
        <v>0</v>
      </c>
      <c r="AC200" s="692">
        <f t="shared" si="48"/>
        <v>0</v>
      </c>
      <c r="AD200" s="692">
        <f t="shared" si="49"/>
        <v>0</v>
      </c>
      <c r="AE200" s="38"/>
      <c r="AF200" s="692">
        <f t="shared" si="50"/>
        <v>0</v>
      </c>
      <c r="AG200" s="692">
        <f t="shared" si="51"/>
        <v>0</v>
      </c>
      <c r="AH200" s="692">
        <f t="shared" si="52"/>
        <v>0</v>
      </c>
    </row>
    <row r="201" spans="1:34">
      <c r="A201" s="20" t="s">
        <v>211</v>
      </c>
      <c r="B201" s="20" t="s">
        <v>110</v>
      </c>
      <c r="C201" s="667"/>
      <c r="D201" s="68" t="s">
        <v>233</v>
      </c>
      <c r="E201" s="679"/>
      <c r="F201" s="529">
        <f>VLOOKUP(D201,'June 2012 DMV Revenue'!D:T,17,FALSE)</f>
        <v>0</v>
      </c>
      <c r="G201" s="680"/>
      <c r="H201" s="680"/>
      <c r="I201" s="755"/>
      <c r="J201" s="682">
        <f t="shared" si="46"/>
        <v>0</v>
      </c>
      <c r="K201" s="683"/>
      <c r="L201" s="684"/>
      <c r="M201" s="753"/>
      <c r="N201" s="683">
        <v>0</v>
      </c>
      <c r="O201" s="686"/>
      <c r="P201" s="683">
        <v>0</v>
      </c>
      <c r="Q201" s="687">
        <f t="shared" si="54"/>
        <v>0</v>
      </c>
      <c r="R201" s="688">
        <v>0</v>
      </c>
      <c r="S201" s="693"/>
      <c r="T201" s="690">
        <f t="shared" si="55"/>
        <v>0</v>
      </c>
      <c r="U201" s="697"/>
      <c r="V201" s="474">
        <f t="shared" si="56"/>
        <v>0</v>
      </c>
      <c r="W201" s="474">
        <f t="shared" si="57"/>
        <v>0</v>
      </c>
      <c r="X201" s="475">
        <f t="shared" si="58"/>
        <v>0</v>
      </c>
      <c r="Y201" s="475">
        <v>0</v>
      </c>
      <c r="Z201" s="476">
        <v>0</v>
      </c>
      <c r="AA201" s="38">
        <f t="shared" si="59"/>
        <v>0</v>
      </c>
      <c r="AB201" s="692">
        <f t="shared" si="47"/>
        <v>0</v>
      </c>
      <c r="AC201" s="692">
        <f t="shared" si="48"/>
        <v>0</v>
      </c>
      <c r="AD201" s="692">
        <f t="shared" si="49"/>
        <v>0</v>
      </c>
      <c r="AE201" s="38"/>
      <c r="AF201" s="692">
        <f t="shared" si="50"/>
        <v>0</v>
      </c>
      <c r="AG201" s="692">
        <f t="shared" si="51"/>
        <v>0</v>
      </c>
      <c r="AH201" s="692">
        <f t="shared" si="52"/>
        <v>0</v>
      </c>
    </row>
    <row r="202" spans="1:34">
      <c r="A202" s="20" t="s">
        <v>211</v>
      </c>
      <c r="B202" s="20" t="s">
        <v>110</v>
      </c>
      <c r="C202" s="667"/>
      <c r="D202" s="68" t="s">
        <v>503</v>
      </c>
      <c r="E202" s="679"/>
      <c r="F202" s="529">
        <f>VLOOKUP(D202,'June 2012 DMV Revenue'!D:T,17,FALSE)</f>
        <v>0</v>
      </c>
      <c r="G202" s="680"/>
      <c r="H202" s="680"/>
      <c r="I202" s="755"/>
      <c r="J202" s="682">
        <f t="shared" ref="J202" si="79">SUM(E202:I202)</f>
        <v>0</v>
      </c>
      <c r="K202" s="683"/>
      <c r="L202" s="684"/>
      <c r="M202" s="753"/>
      <c r="N202" s="683">
        <v>0</v>
      </c>
      <c r="O202" s="686"/>
      <c r="P202" s="683">
        <v>0</v>
      </c>
      <c r="Q202" s="687">
        <f t="shared" si="54"/>
        <v>0</v>
      </c>
      <c r="R202" s="688">
        <v>0</v>
      </c>
      <c r="S202" s="693"/>
      <c r="T202" s="690">
        <f t="shared" si="55"/>
        <v>0</v>
      </c>
      <c r="U202" s="697"/>
      <c r="V202" s="474">
        <f t="shared" si="56"/>
        <v>0</v>
      </c>
      <c r="W202" s="474">
        <f t="shared" si="57"/>
        <v>0</v>
      </c>
      <c r="X202" s="475">
        <f t="shared" si="58"/>
        <v>0</v>
      </c>
      <c r="Y202" s="475">
        <v>0</v>
      </c>
      <c r="Z202" s="476">
        <v>0</v>
      </c>
      <c r="AA202" s="38">
        <f t="shared" si="59"/>
        <v>0</v>
      </c>
      <c r="AB202" s="692">
        <f t="shared" si="47"/>
        <v>0</v>
      </c>
      <c r="AC202" s="692">
        <f t="shared" si="48"/>
        <v>0</v>
      </c>
      <c r="AD202" s="692">
        <f t="shared" si="49"/>
        <v>0</v>
      </c>
      <c r="AE202" s="38"/>
      <c r="AF202" s="692">
        <f t="shared" si="50"/>
        <v>0</v>
      </c>
      <c r="AG202" s="692">
        <f t="shared" si="51"/>
        <v>0</v>
      </c>
      <c r="AH202" s="692">
        <f t="shared" si="52"/>
        <v>0</v>
      </c>
    </row>
    <row r="203" spans="1:34">
      <c r="A203" s="20" t="s">
        <v>211</v>
      </c>
      <c r="B203" s="20" t="s">
        <v>109</v>
      </c>
      <c r="C203" s="667"/>
      <c r="D203" s="68" t="s">
        <v>48</v>
      </c>
      <c r="E203" s="679"/>
      <c r="F203" s="529">
        <f>VLOOKUP(D203,'June 2012 DMV Revenue'!D:T,17,FALSE)</f>
        <v>0</v>
      </c>
      <c r="G203" s="680"/>
      <c r="H203" s="680"/>
      <c r="I203" s="755"/>
      <c r="J203" s="682">
        <f t="shared" si="46"/>
        <v>0</v>
      </c>
      <c r="K203" s="683"/>
      <c r="L203" s="684"/>
      <c r="M203" s="753"/>
      <c r="N203" s="683">
        <v>0</v>
      </c>
      <c r="O203" s="686"/>
      <c r="P203" s="683">
        <v>0</v>
      </c>
      <c r="Q203" s="687">
        <f t="shared" si="54"/>
        <v>0</v>
      </c>
      <c r="R203" s="688">
        <v>0</v>
      </c>
      <c r="S203" s="693"/>
      <c r="T203" s="690">
        <f t="shared" si="55"/>
        <v>0</v>
      </c>
      <c r="U203" s="697"/>
      <c r="V203" s="474">
        <f t="shared" si="56"/>
        <v>0</v>
      </c>
      <c r="W203" s="474">
        <f t="shared" si="57"/>
        <v>0</v>
      </c>
      <c r="X203" s="475">
        <f t="shared" si="58"/>
        <v>0</v>
      </c>
      <c r="Y203" s="475">
        <v>0</v>
      </c>
      <c r="Z203" s="476">
        <v>0</v>
      </c>
      <c r="AA203" s="38">
        <f t="shared" si="59"/>
        <v>0</v>
      </c>
      <c r="AB203" s="692">
        <f t="shared" si="47"/>
        <v>0</v>
      </c>
      <c r="AC203" s="692">
        <f t="shared" si="48"/>
        <v>0</v>
      </c>
      <c r="AD203" s="692">
        <f t="shared" si="49"/>
        <v>0</v>
      </c>
      <c r="AE203" s="38"/>
      <c r="AF203" s="692">
        <f t="shared" si="50"/>
        <v>0</v>
      </c>
      <c r="AG203" s="692">
        <f t="shared" si="51"/>
        <v>0</v>
      </c>
      <c r="AH203" s="692">
        <f t="shared" si="52"/>
        <v>0</v>
      </c>
    </row>
    <row r="204" spans="1:34">
      <c r="A204" s="20"/>
      <c r="B204" s="20" t="s">
        <v>110</v>
      </c>
      <c r="C204" s="667" t="s">
        <v>573</v>
      </c>
      <c r="D204" s="68" t="s">
        <v>102</v>
      </c>
      <c r="E204" s="679"/>
      <c r="F204" s="529">
        <f>VLOOKUP(D204,'June 2012 DMV Revenue'!D:T,17,FALSE)</f>
        <v>58057.579999999958</v>
      </c>
      <c r="G204" s="680"/>
      <c r="H204" s="680"/>
      <c r="I204" s="755"/>
      <c r="J204" s="682">
        <f t="shared" si="46"/>
        <v>58057.579999999958</v>
      </c>
      <c r="K204" s="683"/>
      <c r="L204" s="684"/>
      <c r="M204" s="753">
        <v>825000</v>
      </c>
      <c r="N204" s="683">
        <v>0</v>
      </c>
      <c r="O204" s="686"/>
      <c r="P204" s="683">
        <v>0</v>
      </c>
      <c r="Q204" s="687">
        <f t="shared" si="54"/>
        <v>825000</v>
      </c>
      <c r="R204" s="688">
        <f>778044.5+14456.23</f>
        <v>792500.73</v>
      </c>
      <c r="S204" s="693"/>
      <c r="T204" s="690">
        <f t="shared" si="55"/>
        <v>-32499.270000000019</v>
      </c>
      <c r="U204" s="697"/>
      <c r="V204" s="474">
        <f t="shared" si="56"/>
        <v>825000</v>
      </c>
      <c r="W204" s="474">
        <f t="shared" si="57"/>
        <v>0</v>
      </c>
      <c r="X204" s="475">
        <f t="shared" si="58"/>
        <v>0</v>
      </c>
      <c r="Y204" s="475">
        <v>0</v>
      </c>
      <c r="Z204" s="476">
        <v>0</v>
      </c>
      <c r="AA204" s="38">
        <f t="shared" si="59"/>
        <v>0</v>
      </c>
      <c r="AB204" s="692">
        <f t="shared" si="47"/>
        <v>58057.579999999958</v>
      </c>
      <c r="AC204" s="692">
        <f t="shared" si="48"/>
        <v>0</v>
      </c>
      <c r="AD204" s="692">
        <f t="shared" si="49"/>
        <v>0</v>
      </c>
      <c r="AE204" s="38"/>
      <c r="AF204" s="692">
        <f t="shared" si="50"/>
        <v>825000</v>
      </c>
      <c r="AG204" s="692">
        <f t="shared" si="51"/>
        <v>0</v>
      </c>
      <c r="AH204" s="692">
        <f t="shared" si="52"/>
        <v>0</v>
      </c>
    </row>
    <row r="205" spans="1:34">
      <c r="A205" s="20"/>
      <c r="B205" s="20" t="s">
        <v>110</v>
      </c>
      <c r="C205" s="667" t="s">
        <v>573</v>
      </c>
      <c r="D205" s="68" t="s">
        <v>511</v>
      </c>
      <c r="E205" s="679"/>
      <c r="F205" s="529">
        <f>VLOOKUP(D205,'June 2012 DMV Revenue'!D:T,17,FALSE)</f>
        <v>-40000</v>
      </c>
      <c r="G205" s="680"/>
      <c r="H205" s="680"/>
      <c r="I205" s="755"/>
      <c r="J205" s="682">
        <f t="shared" ref="J205" si="80">SUM(E205:I205)</f>
        <v>-40000</v>
      </c>
      <c r="K205" s="683"/>
      <c r="L205" s="684"/>
      <c r="M205" s="753">
        <v>50000</v>
      </c>
      <c r="N205" s="683">
        <v>0</v>
      </c>
      <c r="O205" s="686"/>
      <c r="P205" s="683">
        <v>0</v>
      </c>
      <c r="Q205" s="687">
        <f t="shared" si="54"/>
        <v>50000</v>
      </c>
      <c r="R205" s="688">
        <v>0</v>
      </c>
      <c r="S205" s="693"/>
      <c r="T205" s="690">
        <f t="shared" si="55"/>
        <v>-50000</v>
      </c>
      <c r="U205" s="697"/>
      <c r="V205" s="474">
        <f t="shared" si="56"/>
        <v>50000</v>
      </c>
      <c r="W205" s="474">
        <f t="shared" si="57"/>
        <v>0</v>
      </c>
      <c r="X205" s="475">
        <f t="shared" si="58"/>
        <v>0</v>
      </c>
      <c r="Y205" s="475">
        <v>0</v>
      </c>
      <c r="Z205" s="476">
        <v>0</v>
      </c>
      <c r="AA205" s="38">
        <f t="shared" si="59"/>
        <v>0</v>
      </c>
      <c r="AB205" s="692">
        <f t="shared" si="47"/>
        <v>-40000</v>
      </c>
      <c r="AC205" s="692">
        <f t="shared" si="48"/>
        <v>0</v>
      </c>
      <c r="AD205" s="692">
        <f t="shared" si="49"/>
        <v>0</v>
      </c>
      <c r="AE205" s="38"/>
      <c r="AF205" s="692">
        <f t="shared" si="50"/>
        <v>50000</v>
      </c>
      <c r="AG205" s="692">
        <f t="shared" si="51"/>
        <v>0</v>
      </c>
      <c r="AH205" s="692">
        <f t="shared" si="52"/>
        <v>0</v>
      </c>
    </row>
    <row r="206" spans="1:34">
      <c r="A206" s="21"/>
      <c r="B206" s="21" t="s">
        <v>110</v>
      </c>
      <c r="C206" s="666"/>
      <c r="D206" s="68" t="s">
        <v>50</v>
      </c>
      <c r="E206" s="679"/>
      <c r="F206" s="529">
        <f>VLOOKUP(D206,'June 2012 DMV Revenue'!D:T,17,FALSE)</f>
        <v>0</v>
      </c>
      <c r="G206" s="680"/>
      <c r="H206" s="680"/>
      <c r="I206" s="755"/>
      <c r="J206" s="682">
        <f t="shared" si="46"/>
        <v>0</v>
      </c>
      <c r="K206" s="683"/>
      <c r="L206" s="684"/>
      <c r="M206" s="753"/>
      <c r="N206" s="683">
        <v>0</v>
      </c>
      <c r="O206" s="686"/>
      <c r="P206" s="683">
        <v>0</v>
      </c>
      <c r="Q206" s="687">
        <f t="shared" si="54"/>
        <v>0</v>
      </c>
      <c r="R206" s="688">
        <v>1215.68</v>
      </c>
      <c r="S206" s="693"/>
      <c r="T206" s="690">
        <f t="shared" si="55"/>
        <v>1215.68</v>
      </c>
      <c r="U206" s="683"/>
      <c r="V206" s="474">
        <f t="shared" si="56"/>
        <v>0</v>
      </c>
      <c r="W206" s="474">
        <f t="shared" si="57"/>
        <v>0</v>
      </c>
      <c r="X206" s="475">
        <f t="shared" si="58"/>
        <v>0</v>
      </c>
      <c r="Y206" s="475">
        <v>0</v>
      </c>
      <c r="Z206" s="476">
        <v>0</v>
      </c>
      <c r="AA206" s="38">
        <f t="shared" si="59"/>
        <v>0</v>
      </c>
      <c r="AB206" s="692">
        <f t="shared" si="47"/>
        <v>0</v>
      </c>
      <c r="AC206" s="692">
        <f t="shared" si="48"/>
        <v>0</v>
      </c>
      <c r="AD206" s="692">
        <f t="shared" si="49"/>
        <v>0</v>
      </c>
      <c r="AE206" s="38"/>
      <c r="AF206" s="692">
        <f t="shared" si="50"/>
        <v>0</v>
      </c>
      <c r="AG206" s="692">
        <f t="shared" si="51"/>
        <v>0</v>
      </c>
      <c r="AH206" s="692">
        <f t="shared" si="52"/>
        <v>0</v>
      </c>
    </row>
    <row r="207" spans="1:34">
      <c r="A207" s="21"/>
      <c r="B207" s="21" t="s">
        <v>109</v>
      </c>
      <c r="C207" s="666"/>
      <c r="D207" s="68" t="s">
        <v>51</v>
      </c>
      <c r="E207" s="679"/>
      <c r="F207" s="529">
        <f>VLOOKUP(D207,'June 2012 DMV Revenue'!D:T,17,FALSE)</f>
        <v>0</v>
      </c>
      <c r="G207" s="680"/>
      <c r="H207" s="680"/>
      <c r="I207" s="755"/>
      <c r="J207" s="682">
        <f t="shared" si="46"/>
        <v>0</v>
      </c>
      <c r="K207" s="683"/>
      <c r="L207" s="684"/>
      <c r="M207" s="753"/>
      <c r="N207" s="683">
        <v>0</v>
      </c>
      <c r="O207" s="686"/>
      <c r="P207" s="683">
        <v>0</v>
      </c>
      <c r="Q207" s="687">
        <f t="shared" si="54"/>
        <v>0</v>
      </c>
      <c r="R207" s="688">
        <v>0</v>
      </c>
      <c r="S207" s="693"/>
      <c r="T207" s="690">
        <f t="shared" si="55"/>
        <v>0</v>
      </c>
      <c r="U207" s="683"/>
      <c r="V207" s="474">
        <f t="shared" si="56"/>
        <v>0</v>
      </c>
      <c r="W207" s="474">
        <f t="shared" si="57"/>
        <v>0</v>
      </c>
      <c r="X207" s="475">
        <f t="shared" si="58"/>
        <v>0</v>
      </c>
      <c r="Y207" s="475">
        <v>0</v>
      </c>
      <c r="Z207" s="476">
        <v>0</v>
      </c>
      <c r="AA207" s="38">
        <f t="shared" si="59"/>
        <v>0</v>
      </c>
      <c r="AB207" s="692">
        <f t="shared" si="47"/>
        <v>0</v>
      </c>
      <c r="AC207" s="692">
        <f t="shared" si="48"/>
        <v>0</v>
      </c>
      <c r="AD207" s="692">
        <f t="shared" si="49"/>
        <v>0</v>
      </c>
      <c r="AE207" s="38"/>
      <c r="AF207" s="692">
        <f t="shared" si="50"/>
        <v>0</v>
      </c>
      <c r="AG207" s="692">
        <f t="shared" si="51"/>
        <v>0</v>
      </c>
      <c r="AH207" s="692">
        <f t="shared" si="52"/>
        <v>0</v>
      </c>
    </row>
    <row r="208" spans="1:34">
      <c r="A208" s="21"/>
      <c r="B208" s="21" t="s">
        <v>109</v>
      </c>
      <c r="C208" s="666"/>
      <c r="D208" s="68" t="s">
        <v>107</v>
      </c>
      <c r="E208" s="679"/>
      <c r="F208" s="529">
        <f>VLOOKUP(D208,'June 2012 DMV Revenue'!D:T,17,FALSE)</f>
        <v>0</v>
      </c>
      <c r="G208" s="680"/>
      <c r="H208" s="680"/>
      <c r="I208" s="755"/>
      <c r="J208" s="682">
        <f t="shared" si="46"/>
        <v>0</v>
      </c>
      <c r="K208" s="683"/>
      <c r="L208" s="684"/>
      <c r="M208" s="753"/>
      <c r="N208" s="683">
        <v>0</v>
      </c>
      <c r="O208" s="686"/>
      <c r="P208" s="683">
        <v>0</v>
      </c>
      <c r="Q208" s="687">
        <f t="shared" si="54"/>
        <v>0</v>
      </c>
      <c r="R208" s="688">
        <v>273.56</v>
      </c>
      <c r="S208" s="693"/>
      <c r="T208" s="690">
        <f t="shared" si="55"/>
        <v>273.56</v>
      </c>
      <c r="U208" s="683"/>
      <c r="V208" s="474">
        <f t="shared" si="56"/>
        <v>0</v>
      </c>
      <c r="W208" s="474">
        <f t="shared" si="57"/>
        <v>0</v>
      </c>
      <c r="X208" s="475">
        <f t="shared" si="58"/>
        <v>0</v>
      </c>
      <c r="Y208" s="475">
        <v>0</v>
      </c>
      <c r="Z208" s="476">
        <v>0</v>
      </c>
      <c r="AA208" s="38">
        <f t="shared" si="59"/>
        <v>0</v>
      </c>
      <c r="AB208" s="692">
        <f t="shared" si="47"/>
        <v>0</v>
      </c>
      <c r="AC208" s="692">
        <f t="shared" si="48"/>
        <v>0</v>
      </c>
      <c r="AD208" s="692">
        <f t="shared" si="49"/>
        <v>0</v>
      </c>
      <c r="AE208" s="38"/>
      <c r="AF208" s="692">
        <f t="shared" si="50"/>
        <v>0</v>
      </c>
      <c r="AG208" s="692">
        <f t="shared" si="51"/>
        <v>0</v>
      </c>
      <c r="AH208" s="692">
        <f t="shared" si="52"/>
        <v>0</v>
      </c>
    </row>
    <row r="209" spans="1:34">
      <c r="A209" s="20"/>
      <c r="B209" s="20" t="s">
        <v>109</v>
      </c>
      <c r="C209" s="667" t="s">
        <v>574</v>
      </c>
      <c r="D209" s="68" t="s">
        <v>156</v>
      </c>
      <c r="E209" s="679"/>
      <c r="F209" s="529">
        <f>VLOOKUP(D209,'June 2012 DMV Revenue'!D:T,17,FALSE)</f>
        <v>0</v>
      </c>
      <c r="G209" s="680"/>
      <c r="H209" s="680"/>
      <c r="I209" s="755"/>
      <c r="J209" s="682">
        <f t="shared" ref="J209:J255" si="81">SUM(E209:I209)</f>
        <v>0</v>
      </c>
      <c r="K209" s="683"/>
      <c r="L209" s="684"/>
      <c r="M209" s="753"/>
      <c r="N209" s="683">
        <v>0</v>
      </c>
      <c r="O209" s="686"/>
      <c r="P209" s="683">
        <v>0</v>
      </c>
      <c r="Q209" s="687">
        <f t="shared" si="54"/>
        <v>0</v>
      </c>
      <c r="R209" s="688">
        <v>0</v>
      </c>
      <c r="S209" s="693"/>
      <c r="T209" s="690">
        <f t="shared" si="55"/>
        <v>0</v>
      </c>
      <c r="U209" s="683"/>
      <c r="V209" s="474">
        <f t="shared" si="56"/>
        <v>0</v>
      </c>
      <c r="W209" s="474">
        <f t="shared" si="57"/>
        <v>0</v>
      </c>
      <c r="X209" s="475">
        <f t="shared" si="58"/>
        <v>0</v>
      </c>
      <c r="Y209" s="475">
        <v>0</v>
      </c>
      <c r="Z209" s="476">
        <v>0</v>
      </c>
      <c r="AA209" s="38">
        <f t="shared" si="59"/>
        <v>0</v>
      </c>
      <c r="AB209" s="692">
        <f t="shared" si="47"/>
        <v>0</v>
      </c>
      <c r="AC209" s="692">
        <f t="shared" si="48"/>
        <v>0</v>
      </c>
      <c r="AD209" s="692">
        <f t="shared" si="49"/>
        <v>0</v>
      </c>
      <c r="AE209" s="38"/>
      <c r="AF209" s="692">
        <f t="shared" si="50"/>
        <v>0</v>
      </c>
      <c r="AG209" s="692">
        <f t="shared" si="51"/>
        <v>0</v>
      </c>
      <c r="AH209" s="692">
        <f t="shared" si="52"/>
        <v>0</v>
      </c>
    </row>
    <row r="210" spans="1:34">
      <c r="A210" s="20"/>
      <c r="B210" s="20" t="s">
        <v>109</v>
      </c>
      <c r="C210" s="667" t="s">
        <v>574</v>
      </c>
      <c r="D210" s="68" t="s">
        <v>157</v>
      </c>
      <c r="E210" s="679"/>
      <c r="F210" s="529">
        <f>VLOOKUP(D210,'June 2012 DMV Revenue'!D:T,17,FALSE)</f>
        <v>0</v>
      </c>
      <c r="G210" s="680"/>
      <c r="H210" s="680"/>
      <c r="I210" s="755"/>
      <c r="J210" s="682">
        <f t="shared" si="81"/>
        <v>0</v>
      </c>
      <c r="K210" s="683"/>
      <c r="L210" s="684"/>
      <c r="M210" s="753"/>
      <c r="N210" s="683">
        <v>0</v>
      </c>
      <c r="O210" s="686"/>
      <c r="P210" s="683">
        <v>0</v>
      </c>
      <c r="Q210" s="687">
        <f t="shared" si="54"/>
        <v>0</v>
      </c>
      <c r="R210" s="688">
        <v>0</v>
      </c>
      <c r="S210" s="693"/>
      <c r="T210" s="690">
        <f t="shared" si="55"/>
        <v>0</v>
      </c>
      <c r="U210" s="683"/>
      <c r="V210" s="474">
        <f t="shared" si="56"/>
        <v>0</v>
      </c>
      <c r="W210" s="474">
        <f t="shared" si="57"/>
        <v>0</v>
      </c>
      <c r="X210" s="475">
        <f t="shared" si="58"/>
        <v>0</v>
      </c>
      <c r="Y210" s="475">
        <v>0</v>
      </c>
      <c r="Z210" s="476">
        <v>0</v>
      </c>
      <c r="AA210" s="38">
        <f t="shared" si="59"/>
        <v>0</v>
      </c>
      <c r="AB210" s="692">
        <f t="shared" si="47"/>
        <v>0</v>
      </c>
      <c r="AC210" s="692">
        <f t="shared" si="48"/>
        <v>0</v>
      </c>
      <c r="AD210" s="692">
        <f t="shared" si="49"/>
        <v>0</v>
      </c>
      <c r="AE210" s="38"/>
      <c r="AF210" s="692">
        <f t="shared" si="50"/>
        <v>0</v>
      </c>
      <c r="AG210" s="692">
        <f t="shared" si="51"/>
        <v>0</v>
      </c>
      <c r="AH210" s="692">
        <f t="shared" si="52"/>
        <v>0</v>
      </c>
    </row>
    <row r="211" spans="1:34">
      <c r="A211" s="20"/>
      <c r="B211" s="20" t="s">
        <v>109</v>
      </c>
      <c r="C211" s="667" t="s">
        <v>574</v>
      </c>
      <c r="D211" s="68" t="s">
        <v>158</v>
      </c>
      <c r="E211" s="679"/>
      <c r="F211" s="529">
        <f>VLOOKUP(D211,'June 2012 DMV Revenue'!D:T,17,FALSE)</f>
        <v>0</v>
      </c>
      <c r="G211" s="680"/>
      <c r="H211" s="680"/>
      <c r="I211" s="755"/>
      <c r="J211" s="682">
        <f t="shared" si="81"/>
        <v>0</v>
      </c>
      <c r="K211" s="683"/>
      <c r="L211" s="684"/>
      <c r="M211" s="753"/>
      <c r="N211" s="683">
        <v>0</v>
      </c>
      <c r="O211" s="686"/>
      <c r="P211" s="683">
        <v>0</v>
      </c>
      <c r="Q211" s="687">
        <f t="shared" si="54"/>
        <v>0</v>
      </c>
      <c r="R211" s="688">
        <v>0</v>
      </c>
      <c r="S211" s="693"/>
      <c r="T211" s="690">
        <f t="shared" si="55"/>
        <v>0</v>
      </c>
      <c r="U211" s="683"/>
      <c r="V211" s="474">
        <f t="shared" si="56"/>
        <v>0</v>
      </c>
      <c r="W211" s="474">
        <f t="shared" si="57"/>
        <v>0</v>
      </c>
      <c r="X211" s="475">
        <f t="shared" si="58"/>
        <v>0</v>
      </c>
      <c r="Y211" s="475">
        <v>0</v>
      </c>
      <c r="Z211" s="476">
        <v>0</v>
      </c>
      <c r="AA211" s="38">
        <f t="shared" si="59"/>
        <v>0</v>
      </c>
      <c r="AB211" s="692">
        <f t="shared" si="47"/>
        <v>0</v>
      </c>
      <c r="AC211" s="692">
        <f t="shared" si="48"/>
        <v>0</v>
      </c>
      <c r="AD211" s="692">
        <f t="shared" si="49"/>
        <v>0</v>
      </c>
      <c r="AE211" s="38"/>
      <c r="AF211" s="692">
        <f t="shared" si="50"/>
        <v>0</v>
      </c>
      <c r="AG211" s="692">
        <f t="shared" si="51"/>
        <v>0</v>
      </c>
      <c r="AH211" s="692">
        <f t="shared" si="52"/>
        <v>0</v>
      </c>
    </row>
    <row r="212" spans="1:34">
      <c r="A212" s="21" t="s">
        <v>97</v>
      </c>
      <c r="B212" s="21" t="s">
        <v>109</v>
      </c>
      <c r="C212" s="666"/>
      <c r="D212" s="68" t="s">
        <v>52</v>
      </c>
      <c r="E212" s="679"/>
      <c r="F212" s="529">
        <f>VLOOKUP(D212,'June 2012 DMV Revenue'!D:T,17,FALSE)</f>
        <v>0</v>
      </c>
      <c r="G212" s="680"/>
      <c r="H212" s="680"/>
      <c r="I212" s="755"/>
      <c r="J212" s="682">
        <f t="shared" si="81"/>
        <v>0</v>
      </c>
      <c r="K212" s="683"/>
      <c r="L212" s="684"/>
      <c r="M212" s="753"/>
      <c r="N212" s="683">
        <v>0</v>
      </c>
      <c r="O212" s="686"/>
      <c r="P212" s="683">
        <v>0</v>
      </c>
      <c r="Q212" s="687">
        <f t="shared" si="54"/>
        <v>0</v>
      </c>
      <c r="R212" s="688">
        <v>0</v>
      </c>
      <c r="S212" s="693"/>
      <c r="T212" s="690">
        <f t="shared" si="55"/>
        <v>0</v>
      </c>
      <c r="U212" s="683"/>
      <c r="V212" s="474">
        <f t="shared" si="56"/>
        <v>0</v>
      </c>
      <c r="W212" s="474">
        <f t="shared" si="57"/>
        <v>0</v>
      </c>
      <c r="X212" s="475">
        <f t="shared" si="58"/>
        <v>0</v>
      </c>
      <c r="Y212" s="475">
        <v>0</v>
      </c>
      <c r="Z212" s="476">
        <v>0</v>
      </c>
      <c r="AA212" s="38">
        <f t="shared" si="59"/>
        <v>0</v>
      </c>
      <c r="AB212" s="692">
        <f t="shared" ref="AB212:AB255" si="82">IF(B212="D",J212,0)</f>
        <v>0</v>
      </c>
      <c r="AC212" s="692">
        <f t="shared" ref="AC212:AC255" si="83">IF(B212="M",J212,0)</f>
        <v>0</v>
      </c>
      <c r="AD212" s="692">
        <f t="shared" ref="AD212:AD255" si="84">IF(B212="V",J212,0)</f>
        <v>0</v>
      </c>
      <c r="AE212" s="38"/>
      <c r="AF212" s="692">
        <f t="shared" ref="AF212:AF255" si="85">IF(B212="D",Q212,0)</f>
        <v>0</v>
      </c>
      <c r="AG212" s="692">
        <f t="shared" ref="AG212:AG255" si="86">IF(B212="M",Q212,0)</f>
        <v>0</v>
      </c>
      <c r="AH212" s="692">
        <f t="shared" ref="AH212:AH255" si="87">IF(B212="V",Q212,0)</f>
        <v>0</v>
      </c>
    </row>
    <row r="213" spans="1:34">
      <c r="A213" s="21"/>
      <c r="B213" s="21" t="s">
        <v>109</v>
      </c>
      <c r="C213" s="666"/>
      <c r="D213" s="68" t="s">
        <v>467</v>
      </c>
      <c r="E213" s="679"/>
      <c r="F213" s="529">
        <f>VLOOKUP(D213,'June 2012 DMV Revenue'!D:T,17,FALSE)</f>
        <v>0</v>
      </c>
      <c r="G213" s="680"/>
      <c r="H213" s="680"/>
      <c r="I213" s="755"/>
      <c r="J213" s="682">
        <f t="shared" si="81"/>
        <v>0</v>
      </c>
      <c r="K213" s="683"/>
      <c r="L213" s="684"/>
      <c r="M213" s="753"/>
      <c r="N213" s="683">
        <v>0</v>
      </c>
      <c r="O213" s="686"/>
      <c r="P213" s="683">
        <v>0</v>
      </c>
      <c r="Q213" s="687">
        <f t="shared" si="54"/>
        <v>0</v>
      </c>
      <c r="R213" s="688">
        <v>0</v>
      </c>
      <c r="S213" s="693"/>
      <c r="T213" s="690">
        <f t="shared" si="55"/>
        <v>0</v>
      </c>
      <c r="U213" s="683"/>
      <c r="V213" s="474">
        <f t="shared" si="56"/>
        <v>0</v>
      </c>
      <c r="W213" s="474">
        <f t="shared" si="57"/>
        <v>0</v>
      </c>
      <c r="X213" s="475">
        <f t="shared" si="58"/>
        <v>0</v>
      </c>
      <c r="Y213" s="475">
        <v>0</v>
      </c>
      <c r="Z213" s="476">
        <v>0</v>
      </c>
      <c r="AA213" s="38">
        <f t="shared" si="59"/>
        <v>0</v>
      </c>
      <c r="AB213" s="692">
        <f t="shared" si="82"/>
        <v>0</v>
      </c>
      <c r="AC213" s="692">
        <f t="shared" si="83"/>
        <v>0</v>
      </c>
      <c r="AD213" s="692">
        <f t="shared" si="84"/>
        <v>0</v>
      </c>
      <c r="AE213" s="38"/>
      <c r="AF213" s="692">
        <f t="shared" si="85"/>
        <v>0</v>
      </c>
      <c r="AG213" s="692">
        <f t="shared" si="86"/>
        <v>0</v>
      </c>
      <c r="AH213" s="692">
        <f t="shared" si="87"/>
        <v>0</v>
      </c>
    </row>
    <row r="214" spans="1:34">
      <c r="A214" s="21"/>
      <c r="B214" s="21" t="s">
        <v>109</v>
      </c>
      <c r="C214" s="666" t="s">
        <v>575</v>
      </c>
      <c r="D214" s="68" t="s">
        <v>54</v>
      </c>
      <c r="E214" s="679"/>
      <c r="F214" s="529">
        <f>VLOOKUP(D214,'June 2012 DMV Revenue'!D:T,17,FALSE)</f>
        <v>0</v>
      </c>
      <c r="G214" s="680"/>
      <c r="H214" s="680"/>
      <c r="I214" s="755"/>
      <c r="J214" s="682">
        <f t="shared" si="81"/>
        <v>0</v>
      </c>
      <c r="K214" s="683"/>
      <c r="L214" s="684"/>
      <c r="M214" s="753"/>
      <c r="N214" s="683">
        <v>0</v>
      </c>
      <c r="O214" s="686"/>
      <c r="P214" s="683">
        <v>0</v>
      </c>
      <c r="Q214" s="687">
        <f t="shared" si="54"/>
        <v>0</v>
      </c>
      <c r="R214" s="688">
        <v>0</v>
      </c>
      <c r="S214" s="693"/>
      <c r="T214" s="690">
        <f t="shared" si="55"/>
        <v>0</v>
      </c>
      <c r="U214" s="683"/>
      <c r="V214" s="474">
        <f t="shared" si="56"/>
        <v>0</v>
      </c>
      <c r="W214" s="474">
        <f t="shared" si="57"/>
        <v>0</v>
      </c>
      <c r="X214" s="475">
        <f t="shared" si="58"/>
        <v>0</v>
      </c>
      <c r="Y214" s="475">
        <v>0</v>
      </c>
      <c r="Z214" s="476">
        <v>0</v>
      </c>
      <c r="AA214" s="38">
        <f t="shared" si="59"/>
        <v>0</v>
      </c>
      <c r="AB214" s="692">
        <f t="shared" si="82"/>
        <v>0</v>
      </c>
      <c r="AC214" s="692">
        <f t="shared" si="83"/>
        <v>0</v>
      </c>
      <c r="AD214" s="692">
        <f t="shared" si="84"/>
        <v>0</v>
      </c>
      <c r="AE214" s="38"/>
      <c r="AF214" s="692">
        <f t="shared" si="85"/>
        <v>0</v>
      </c>
      <c r="AG214" s="692">
        <f t="shared" si="86"/>
        <v>0</v>
      </c>
      <c r="AH214" s="692">
        <f t="shared" si="87"/>
        <v>0</v>
      </c>
    </row>
    <row r="215" spans="1:34">
      <c r="A215" s="20"/>
      <c r="B215" s="20" t="s">
        <v>110</v>
      </c>
      <c r="C215" s="667" t="s">
        <v>576</v>
      </c>
      <c r="D215" s="68" t="s">
        <v>394</v>
      </c>
      <c r="E215" s="679"/>
      <c r="F215" s="529">
        <f>VLOOKUP(D215,'June 2012 DMV Revenue'!D:T,17,FALSE)</f>
        <v>0</v>
      </c>
      <c r="G215" s="680"/>
      <c r="H215" s="680"/>
      <c r="I215" s="770">
        <v>3222</v>
      </c>
      <c r="J215" s="682">
        <f t="shared" si="81"/>
        <v>3222</v>
      </c>
      <c r="K215" s="683"/>
      <c r="L215" s="684"/>
      <c r="M215" s="753"/>
      <c r="N215" s="683">
        <v>0</v>
      </c>
      <c r="O215" s="686"/>
      <c r="P215" s="683">
        <v>0</v>
      </c>
      <c r="Q215" s="687">
        <f t="shared" si="54"/>
        <v>0</v>
      </c>
      <c r="R215" s="688">
        <v>0</v>
      </c>
      <c r="S215" s="693"/>
      <c r="T215" s="690">
        <f t="shared" si="55"/>
        <v>0</v>
      </c>
      <c r="U215" s="683"/>
      <c r="V215" s="474">
        <f t="shared" si="56"/>
        <v>0</v>
      </c>
      <c r="W215" s="474">
        <f t="shared" si="57"/>
        <v>0</v>
      </c>
      <c r="X215" s="475">
        <f t="shared" si="58"/>
        <v>0</v>
      </c>
      <c r="Y215" s="475">
        <v>0</v>
      </c>
      <c r="Z215" s="476">
        <v>0</v>
      </c>
      <c r="AA215" s="38">
        <f t="shared" si="59"/>
        <v>0</v>
      </c>
      <c r="AB215" s="692">
        <f t="shared" si="82"/>
        <v>3222</v>
      </c>
      <c r="AC215" s="692">
        <f t="shared" si="83"/>
        <v>0</v>
      </c>
      <c r="AD215" s="692">
        <f t="shared" si="84"/>
        <v>0</v>
      </c>
      <c r="AE215" s="38"/>
      <c r="AF215" s="692">
        <f t="shared" si="85"/>
        <v>0</v>
      </c>
      <c r="AG215" s="692">
        <f t="shared" si="86"/>
        <v>0</v>
      </c>
      <c r="AH215" s="692">
        <f t="shared" si="87"/>
        <v>0</v>
      </c>
    </row>
    <row r="216" spans="1:34">
      <c r="A216" s="20"/>
      <c r="B216" s="20" t="s">
        <v>110</v>
      </c>
      <c r="C216" s="667"/>
      <c r="D216" s="68" t="s">
        <v>55</v>
      </c>
      <c r="E216" s="679"/>
      <c r="F216" s="529">
        <f>VLOOKUP(D216,'June 2012 DMV Revenue'!D:T,17,FALSE)</f>
        <v>0</v>
      </c>
      <c r="G216" s="680"/>
      <c r="H216" s="680"/>
      <c r="I216" s="770">
        <v>656.64</v>
      </c>
      <c r="J216" s="682">
        <f t="shared" si="81"/>
        <v>656.64</v>
      </c>
      <c r="K216" s="683"/>
      <c r="L216" s="684"/>
      <c r="M216" s="753"/>
      <c r="N216" s="683">
        <v>0</v>
      </c>
      <c r="O216" s="686"/>
      <c r="P216" s="683">
        <v>0</v>
      </c>
      <c r="Q216" s="687">
        <f t="shared" ref="Q216:Q255" si="88">L216+M216</f>
        <v>0</v>
      </c>
      <c r="R216" s="688">
        <v>0</v>
      </c>
      <c r="S216" s="693"/>
      <c r="T216" s="690">
        <f t="shared" ref="T216:T255" si="89">IF(R216="","",R216-Q216)</f>
        <v>0</v>
      </c>
      <c r="U216" s="683"/>
      <c r="V216" s="474">
        <f t="shared" ref="V216:V255" si="90">IF(B216="D",Q216,0)</f>
        <v>0</v>
      </c>
      <c r="W216" s="474">
        <f t="shared" ref="W216:W255" si="91">IF(B216="M",Q216,0)</f>
        <v>0</v>
      </c>
      <c r="X216" s="475">
        <f t="shared" ref="X216:X255" si="92">IF(B216="V",Q216,0)</f>
        <v>0</v>
      </c>
      <c r="Y216" s="475">
        <v>0</v>
      </c>
      <c r="Z216" s="476">
        <v>0</v>
      </c>
      <c r="AA216" s="38">
        <f t="shared" ref="AA216:AA255" si="93">(L216+M216)-(V216+W216+X216+Y216+Z216)</f>
        <v>0</v>
      </c>
      <c r="AB216" s="692">
        <f t="shared" si="82"/>
        <v>656.64</v>
      </c>
      <c r="AC216" s="692">
        <f t="shared" si="83"/>
        <v>0</v>
      </c>
      <c r="AD216" s="692">
        <f t="shared" si="84"/>
        <v>0</v>
      </c>
      <c r="AE216" s="38"/>
      <c r="AF216" s="692">
        <f t="shared" si="85"/>
        <v>0</v>
      </c>
      <c r="AG216" s="692">
        <f t="shared" si="86"/>
        <v>0</v>
      </c>
      <c r="AH216" s="692">
        <f t="shared" si="87"/>
        <v>0</v>
      </c>
    </row>
    <row r="217" spans="1:34">
      <c r="A217" s="21" t="s">
        <v>97</v>
      </c>
      <c r="B217" s="21" t="s">
        <v>110</v>
      </c>
      <c r="C217" s="666"/>
      <c r="D217" s="68" t="s">
        <v>175</v>
      </c>
      <c r="E217" s="679"/>
      <c r="F217" s="529">
        <f>VLOOKUP(D217,'June 2012 DMV Revenue'!D:T,17,FALSE)</f>
        <v>0</v>
      </c>
      <c r="G217" s="680"/>
      <c r="H217" s="680"/>
      <c r="I217" s="755"/>
      <c r="J217" s="682">
        <f t="shared" si="81"/>
        <v>0</v>
      </c>
      <c r="K217" s="683"/>
      <c r="L217" s="684"/>
      <c r="M217" s="753"/>
      <c r="N217" s="683">
        <v>0</v>
      </c>
      <c r="O217" s="686"/>
      <c r="P217" s="683">
        <v>0</v>
      </c>
      <c r="Q217" s="687">
        <f t="shared" si="88"/>
        <v>0</v>
      </c>
      <c r="R217" s="688">
        <v>0</v>
      </c>
      <c r="S217" s="693"/>
      <c r="T217" s="690">
        <f t="shared" si="89"/>
        <v>0</v>
      </c>
      <c r="U217" s="683"/>
      <c r="V217" s="474">
        <f t="shared" si="90"/>
        <v>0</v>
      </c>
      <c r="W217" s="474">
        <f t="shared" si="91"/>
        <v>0</v>
      </c>
      <c r="X217" s="475">
        <f t="shared" si="92"/>
        <v>0</v>
      </c>
      <c r="Y217" s="475">
        <v>0</v>
      </c>
      <c r="Z217" s="476">
        <v>0</v>
      </c>
      <c r="AA217" s="38">
        <f t="shared" si="93"/>
        <v>0</v>
      </c>
      <c r="AB217" s="692">
        <f t="shared" si="82"/>
        <v>0</v>
      </c>
      <c r="AC217" s="692">
        <f t="shared" si="83"/>
        <v>0</v>
      </c>
      <c r="AD217" s="692">
        <f t="shared" si="84"/>
        <v>0</v>
      </c>
      <c r="AE217" s="38"/>
      <c r="AF217" s="692">
        <f t="shared" si="85"/>
        <v>0</v>
      </c>
      <c r="AG217" s="692">
        <f t="shared" si="86"/>
        <v>0</v>
      </c>
      <c r="AH217" s="692">
        <f t="shared" si="87"/>
        <v>0</v>
      </c>
    </row>
    <row r="218" spans="1:34">
      <c r="A218" s="21"/>
      <c r="B218" s="21" t="s">
        <v>109</v>
      </c>
      <c r="C218" s="666"/>
      <c r="D218" s="68" t="s">
        <v>595</v>
      </c>
      <c r="E218" s="679"/>
      <c r="F218" s="529">
        <f>VLOOKUP(D218,'June 2012 DMV Revenue'!D:T,17,FALSE)</f>
        <v>0</v>
      </c>
      <c r="G218" s="680"/>
      <c r="H218" s="680"/>
      <c r="I218" s="755"/>
      <c r="J218" s="682">
        <f>SUM(E218:I218)</f>
        <v>0</v>
      </c>
      <c r="K218" s="683"/>
      <c r="L218" s="684"/>
      <c r="M218" s="753"/>
      <c r="N218" s="683">
        <v>0</v>
      </c>
      <c r="O218" s="686"/>
      <c r="P218" s="683">
        <v>0</v>
      </c>
      <c r="Q218" s="687">
        <f t="shared" si="88"/>
        <v>0</v>
      </c>
      <c r="R218" s="688">
        <v>0</v>
      </c>
      <c r="S218" s="693"/>
      <c r="T218" s="690">
        <f t="shared" si="89"/>
        <v>0</v>
      </c>
      <c r="U218" s="683"/>
      <c r="V218" s="474">
        <f t="shared" si="90"/>
        <v>0</v>
      </c>
      <c r="W218" s="474">
        <f t="shared" si="91"/>
        <v>0</v>
      </c>
      <c r="X218" s="475">
        <f t="shared" si="92"/>
        <v>0</v>
      </c>
      <c r="Y218" s="475">
        <v>0</v>
      </c>
      <c r="Z218" s="476">
        <v>0</v>
      </c>
      <c r="AA218" s="38">
        <f t="shared" si="93"/>
        <v>0</v>
      </c>
      <c r="AB218" s="692">
        <f t="shared" si="82"/>
        <v>0</v>
      </c>
      <c r="AC218" s="692">
        <f t="shared" si="83"/>
        <v>0</v>
      </c>
      <c r="AD218" s="692">
        <f t="shared" si="84"/>
        <v>0</v>
      </c>
      <c r="AE218" s="38"/>
      <c r="AF218" s="692">
        <f t="shared" si="85"/>
        <v>0</v>
      </c>
      <c r="AG218" s="692">
        <f t="shared" si="86"/>
        <v>0</v>
      </c>
      <c r="AH218" s="692">
        <f t="shared" si="87"/>
        <v>0</v>
      </c>
    </row>
    <row r="219" spans="1:34">
      <c r="A219" s="20"/>
      <c r="B219" s="20" t="s">
        <v>109</v>
      </c>
      <c r="C219" s="667" t="s">
        <v>577</v>
      </c>
      <c r="D219" s="68" t="s">
        <v>159</v>
      </c>
      <c r="E219" s="679"/>
      <c r="F219" s="529">
        <f>VLOOKUP(D219,'June 2012 DMV Revenue'!D:T,17,FALSE)</f>
        <v>0</v>
      </c>
      <c r="G219" s="680"/>
      <c r="H219" s="680"/>
      <c r="I219" s="770">
        <v>21994.67</v>
      </c>
      <c r="J219" s="682">
        <f t="shared" si="81"/>
        <v>21994.67</v>
      </c>
      <c r="K219" s="683"/>
      <c r="L219" s="684"/>
      <c r="M219" s="753"/>
      <c r="N219" s="683">
        <v>0</v>
      </c>
      <c r="O219" s="686"/>
      <c r="P219" s="683">
        <v>0</v>
      </c>
      <c r="Q219" s="687">
        <f t="shared" si="88"/>
        <v>0</v>
      </c>
      <c r="R219" s="688">
        <v>0</v>
      </c>
      <c r="S219" s="693"/>
      <c r="T219" s="690">
        <f t="shared" si="89"/>
        <v>0</v>
      </c>
      <c r="U219" s="683"/>
      <c r="V219" s="474">
        <f t="shared" si="90"/>
        <v>0</v>
      </c>
      <c r="W219" s="474">
        <f t="shared" si="91"/>
        <v>0</v>
      </c>
      <c r="X219" s="475">
        <f t="shared" si="92"/>
        <v>0</v>
      </c>
      <c r="Y219" s="475">
        <v>0</v>
      </c>
      <c r="Z219" s="476">
        <v>0</v>
      </c>
      <c r="AA219" s="38">
        <f t="shared" si="93"/>
        <v>0</v>
      </c>
      <c r="AB219" s="692">
        <f t="shared" si="82"/>
        <v>0</v>
      </c>
      <c r="AC219" s="692">
        <f t="shared" si="83"/>
        <v>21994.67</v>
      </c>
      <c r="AD219" s="692">
        <f t="shared" si="84"/>
        <v>0</v>
      </c>
      <c r="AE219" s="38"/>
      <c r="AF219" s="692">
        <f t="shared" si="85"/>
        <v>0</v>
      </c>
      <c r="AG219" s="692">
        <f t="shared" si="86"/>
        <v>0</v>
      </c>
      <c r="AH219" s="692">
        <f t="shared" si="87"/>
        <v>0</v>
      </c>
    </row>
    <row r="220" spans="1:34">
      <c r="A220" s="20"/>
      <c r="B220" s="20" t="s">
        <v>109</v>
      </c>
      <c r="C220" s="667" t="s">
        <v>577</v>
      </c>
      <c r="D220" s="68" t="s">
        <v>160</v>
      </c>
      <c r="E220" s="679"/>
      <c r="F220" s="529">
        <f>VLOOKUP(D220,'June 2012 DMV Revenue'!D:T,17,FALSE)</f>
        <v>347.5</v>
      </c>
      <c r="G220" s="680"/>
      <c r="H220" s="680"/>
      <c r="I220" s="770">
        <v>13234.24</v>
      </c>
      <c r="J220" s="682">
        <f t="shared" si="81"/>
        <v>13581.74</v>
      </c>
      <c r="K220" s="683"/>
      <c r="L220" s="684"/>
      <c r="M220" s="753"/>
      <c r="N220" s="683">
        <v>0</v>
      </c>
      <c r="O220" s="686"/>
      <c r="P220" s="683">
        <v>0</v>
      </c>
      <c r="Q220" s="687">
        <f t="shared" si="88"/>
        <v>0</v>
      </c>
      <c r="R220" s="688">
        <v>0</v>
      </c>
      <c r="S220" s="693"/>
      <c r="T220" s="690">
        <f t="shared" si="89"/>
        <v>0</v>
      </c>
      <c r="U220" s="683"/>
      <c r="V220" s="474">
        <f t="shared" si="90"/>
        <v>0</v>
      </c>
      <c r="W220" s="474">
        <f t="shared" si="91"/>
        <v>0</v>
      </c>
      <c r="X220" s="475">
        <f t="shared" si="92"/>
        <v>0</v>
      </c>
      <c r="Y220" s="475">
        <v>0</v>
      </c>
      <c r="Z220" s="476">
        <v>0</v>
      </c>
      <c r="AA220" s="38">
        <f t="shared" si="93"/>
        <v>0</v>
      </c>
      <c r="AB220" s="692">
        <f t="shared" si="82"/>
        <v>0</v>
      </c>
      <c r="AC220" s="692">
        <f t="shared" si="83"/>
        <v>13581.74</v>
      </c>
      <c r="AD220" s="692">
        <f t="shared" si="84"/>
        <v>0</v>
      </c>
      <c r="AE220" s="38"/>
      <c r="AF220" s="692">
        <f t="shared" si="85"/>
        <v>0</v>
      </c>
      <c r="AG220" s="692">
        <f t="shared" si="86"/>
        <v>0</v>
      </c>
      <c r="AH220" s="692">
        <f t="shared" si="87"/>
        <v>0</v>
      </c>
    </row>
    <row r="221" spans="1:34">
      <c r="A221" s="21"/>
      <c r="B221" s="21" t="s">
        <v>109</v>
      </c>
      <c r="C221" s="667" t="s">
        <v>577</v>
      </c>
      <c r="D221" s="68" t="s">
        <v>161</v>
      </c>
      <c r="E221" s="679">
        <v>7190.55</v>
      </c>
      <c r="F221" s="529">
        <f>VLOOKUP(D221,'June 2012 DMV Revenue'!D:T,17,FALSE)</f>
        <v>-5000</v>
      </c>
      <c r="G221" s="680"/>
      <c r="H221" s="680"/>
      <c r="I221" s="755"/>
      <c r="J221" s="682">
        <f t="shared" si="81"/>
        <v>2190.5500000000002</v>
      </c>
      <c r="K221" s="683"/>
      <c r="L221" s="684"/>
      <c r="M221" s="753"/>
      <c r="N221" s="683">
        <v>0</v>
      </c>
      <c r="O221" s="686"/>
      <c r="P221" s="683">
        <v>0</v>
      </c>
      <c r="Q221" s="687">
        <f t="shared" si="88"/>
        <v>0</v>
      </c>
      <c r="R221" s="688">
        <v>0</v>
      </c>
      <c r="S221" s="693"/>
      <c r="T221" s="690">
        <f t="shared" si="89"/>
        <v>0</v>
      </c>
      <c r="U221" s="683"/>
      <c r="V221" s="474">
        <f t="shared" si="90"/>
        <v>0</v>
      </c>
      <c r="W221" s="474">
        <f t="shared" si="91"/>
        <v>0</v>
      </c>
      <c r="X221" s="475">
        <f t="shared" si="92"/>
        <v>0</v>
      </c>
      <c r="Y221" s="475">
        <v>0</v>
      </c>
      <c r="Z221" s="476">
        <v>0</v>
      </c>
      <c r="AA221" s="38">
        <f t="shared" si="93"/>
        <v>0</v>
      </c>
      <c r="AB221" s="692">
        <f t="shared" si="82"/>
        <v>0</v>
      </c>
      <c r="AC221" s="692">
        <f t="shared" si="83"/>
        <v>2190.5500000000002</v>
      </c>
      <c r="AD221" s="692">
        <f t="shared" si="84"/>
        <v>0</v>
      </c>
      <c r="AE221" s="38"/>
      <c r="AF221" s="692">
        <f t="shared" si="85"/>
        <v>0</v>
      </c>
      <c r="AG221" s="692">
        <f t="shared" si="86"/>
        <v>0</v>
      </c>
      <c r="AH221" s="692">
        <f t="shared" si="87"/>
        <v>0</v>
      </c>
    </row>
    <row r="222" spans="1:34">
      <c r="A222" s="21"/>
      <c r="B222" s="21" t="s">
        <v>109</v>
      </c>
      <c r="C222" s="667" t="s">
        <v>577</v>
      </c>
      <c r="D222" s="68" t="s">
        <v>162</v>
      </c>
      <c r="E222" s="679"/>
      <c r="F222" s="529">
        <f>VLOOKUP(D222,'June 2012 DMV Revenue'!D:T,17,FALSE)</f>
        <v>0</v>
      </c>
      <c r="G222" s="680"/>
      <c r="H222" s="680"/>
      <c r="I222" s="755"/>
      <c r="J222" s="682">
        <f t="shared" si="81"/>
        <v>0</v>
      </c>
      <c r="K222" s="683"/>
      <c r="L222" s="684"/>
      <c r="M222" s="753"/>
      <c r="N222" s="683">
        <v>0</v>
      </c>
      <c r="O222" s="686"/>
      <c r="P222" s="683">
        <v>0</v>
      </c>
      <c r="Q222" s="687">
        <f t="shared" si="88"/>
        <v>0</v>
      </c>
      <c r="R222" s="688">
        <v>0</v>
      </c>
      <c r="S222" s="693"/>
      <c r="T222" s="690">
        <f t="shared" si="89"/>
        <v>0</v>
      </c>
      <c r="U222" s="683"/>
      <c r="V222" s="474">
        <f t="shared" si="90"/>
        <v>0</v>
      </c>
      <c r="W222" s="474">
        <f t="shared" si="91"/>
        <v>0</v>
      </c>
      <c r="X222" s="475">
        <f t="shared" si="92"/>
        <v>0</v>
      </c>
      <c r="Y222" s="475">
        <v>0</v>
      </c>
      <c r="Z222" s="476">
        <v>0</v>
      </c>
      <c r="AA222" s="38">
        <f t="shared" si="93"/>
        <v>0</v>
      </c>
      <c r="AB222" s="692">
        <f t="shared" si="82"/>
        <v>0</v>
      </c>
      <c r="AC222" s="692">
        <f t="shared" si="83"/>
        <v>0</v>
      </c>
      <c r="AD222" s="692">
        <f t="shared" si="84"/>
        <v>0</v>
      </c>
      <c r="AE222" s="38"/>
      <c r="AF222" s="692">
        <f t="shared" si="85"/>
        <v>0</v>
      </c>
      <c r="AG222" s="692">
        <f t="shared" si="86"/>
        <v>0</v>
      </c>
      <c r="AH222" s="692">
        <f t="shared" si="87"/>
        <v>0</v>
      </c>
    </row>
    <row r="223" spans="1:34">
      <c r="A223" s="21"/>
      <c r="B223" s="21" t="s">
        <v>109</v>
      </c>
      <c r="C223" s="666"/>
      <c r="D223" s="68" t="s">
        <v>163</v>
      </c>
      <c r="E223" s="679"/>
      <c r="F223" s="529">
        <f>VLOOKUP(D223,'June 2012 DMV Revenue'!D:T,17,FALSE)</f>
        <v>0</v>
      </c>
      <c r="G223" s="680"/>
      <c r="H223" s="680"/>
      <c r="I223" s="770">
        <v>4796.67</v>
      </c>
      <c r="J223" s="682">
        <f t="shared" si="81"/>
        <v>4796.67</v>
      </c>
      <c r="K223" s="683"/>
      <c r="L223" s="684"/>
      <c r="M223" s="753"/>
      <c r="N223" s="683">
        <v>0</v>
      </c>
      <c r="O223" s="686"/>
      <c r="P223" s="683">
        <v>0</v>
      </c>
      <c r="Q223" s="687">
        <f t="shared" si="88"/>
        <v>0</v>
      </c>
      <c r="R223" s="688">
        <v>0</v>
      </c>
      <c r="S223" s="704"/>
      <c r="T223" s="690">
        <f t="shared" si="89"/>
        <v>0</v>
      </c>
      <c r="U223" s="705"/>
      <c r="V223" s="474">
        <f t="shared" si="90"/>
        <v>0</v>
      </c>
      <c r="W223" s="474">
        <f t="shared" si="91"/>
        <v>0</v>
      </c>
      <c r="X223" s="475">
        <f t="shared" si="92"/>
        <v>0</v>
      </c>
      <c r="Y223" s="475">
        <v>0</v>
      </c>
      <c r="Z223" s="476">
        <v>0</v>
      </c>
      <c r="AA223" s="38">
        <f t="shared" si="93"/>
        <v>0</v>
      </c>
      <c r="AB223" s="692">
        <f t="shared" si="82"/>
        <v>0</v>
      </c>
      <c r="AC223" s="692">
        <f t="shared" si="83"/>
        <v>4796.67</v>
      </c>
      <c r="AD223" s="692">
        <f t="shared" si="84"/>
        <v>0</v>
      </c>
      <c r="AE223" s="38"/>
      <c r="AF223" s="692">
        <f t="shared" si="85"/>
        <v>0</v>
      </c>
      <c r="AG223" s="692">
        <f t="shared" si="86"/>
        <v>0</v>
      </c>
      <c r="AH223" s="692">
        <f t="shared" si="87"/>
        <v>0</v>
      </c>
    </row>
    <row r="224" spans="1:34">
      <c r="A224" s="21"/>
      <c r="B224" s="21" t="s">
        <v>109</v>
      </c>
      <c r="C224" s="666"/>
      <c r="D224" s="412" t="s">
        <v>164</v>
      </c>
      <c r="E224" s="679"/>
      <c r="F224" s="529">
        <f>VLOOKUP(D224,'June 2012 DMV Revenue'!D:T,17,FALSE)</f>
        <v>0</v>
      </c>
      <c r="G224" s="680"/>
      <c r="H224" s="680"/>
      <c r="I224" s="770">
        <v>31.29</v>
      </c>
      <c r="J224" s="682">
        <f t="shared" si="81"/>
        <v>31.29</v>
      </c>
      <c r="K224" s="683"/>
      <c r="L224" s="684"/>
      <c r="M224" s="753"/>
      <c r="N224" s="683">
        <v>0</v>
      </c>
      <c r="O224" s="686"/>
      <c r="P224" s="683">
        <v>0</v>
      </c>
      <c r="Q224" s="687">
        <f t="shared" si="88"/>
        <v>0</v>
      </c>
      <c r="R224" s="688">
        <v>0</v>
      </c>
      <c r="S224" s="704"/>
      <c r="T224" s="690">
        <f t="shared" si="89"/>
        <v>0</v>
      </c>
      <c r="U224" s="705"/>
      <c r="V224" s="474">
        <f t="shared" si="90"/>
        <v>0</v>
      </c>
      <c r="W224" s="474">
        <f t="shared" si="91"/>
        <v>0</v>
      </c>
      <c r="X224" s="475">
        <f t="shared" si="92"/>
        <v>0</v>
      </c>
      <c r="Y224" s="475">
        <v>0</v>
      </c>
      <c r="Z224" s="476">
        <v>0</v>
      </c>
      <c r="AA224" s="38">
        <f t="shared" si="93"/>
        <v>0</v>
      </c>
      <c r="AB224" s="692">
        <f t="shared" si="82"/>
        <v>0</v>
      </c>
      <c r="AC224" s="692">
        <f t="shared" si="83"/>
        <v>31.29</v>
      </c>
      <c r="AD224" s="692">
        <f t="shared" si="84"/>
        <v>0</v>
      </c>
      <c r="AE224" s="38"/>
      <c r="AF224" s="692">
        <f t="shared" si="85"/>
        <v>0</v>
      </c>
      <c r="AG224" s="692">
        <f t="shared" si="86"/>
        <v>0</v>
      </c>
      <c r="AH224" s="692">
        <f t="shared" si="87"/>
        <v>0</v>
      </c>
    </row>
    <row r="225" spans="1:34">
      <c r="A225" s="21" t="s">
        <v>109</v>
      </c>
      <c r="B225" s="21" t="s">
        <v>114</v>
      </c>
      <c r="C225" s="666" t="s">
        <v>578</v>
      </c>
      <c r="D225" s="412" t="s">
        <v>318</v>
      </c>
      <c r="E225" s="679">
        <v>30570</v>
      </c>
      <c r="F225" s="529">
        <f>VLOOKUP(D225,'June 2012 DMV Revenue'!D:T,17,FALSE)</f>
        <v>-45000</v>
      </c>
      <c r="G225" s="680"/>
      <c r="H225" s="680"/>
      <c r="I225" s="755"/>
      <c r="J225" s="682">
        <f t="shared" si="81"/>
        <v>-14430</v>
      </c>
      <c r="K225" s="683"/>
      <c r="L225" s="684"/>
      <c r="M225" s="753">
        <v>65000</v>
      </c>
      <c r="N225" s="683">
        <v>0</v>
      </c>
      <c r="O225" s="686"/>
      <c r="P225" s="683">
        <v>0</v>
      </c>
      <c r="Q225" s="687">
        <f t="shared" si="88"/>
        <v>65000</v>
      </c>
      <c r="R225" s="688">
        <v>0</v>
      </c>
      <c r="S225" s="704"/>
      <c r="T225" s="690">
        <f t="shared" si="89"/>
        <v>-65000</v>
      </c>
      <c r="U225" s="683"/>
      <c r="V225" s="474">
        <f t="shared" si="90"/>
        <v>0</v>
      </c>
      <c r="W225" s="474">
        <f t="shared" si="91"/>
        <v>0</v>
      </c>
      <c r="X225" s="475">
        <f t="shared" si="92"/>
        <v>65000</v>
      </c>
      <c r="Y225" s="475">
        <v>0</v>
      </c>
      <c r="Z225" s="476">
        <v>0</v>
      </c>
      <c r="AA225" s="38">
        <f t="shared" si="93"/>
        <v>0</v>
      </c>
      <c r="AB225" s="692">
        <f t="shared" si="82"/>
        <v>0</v>
      </c>
      <c r="AC225" s="692">
        <f t="shared" si="83"/>
        <v>0</v>
      </c>
      <c r="AD225" s="692">
        <f t="shared" si="84"/>
        <v>-14430</v>
      </c>
      <c r="AE225" s="38"/>
      <c r="AF225" s="692">
        <f t="shared" si="85"/>
        <v>0</v>
      </c>
      <c r="AG225" s="692">
        <f t="shared" si="86"/>
        <v>0</v>
      </c>
      <c r="AH225" s="692">
        <f t="shared" si="87"/>
        <v>65000</v>
      </c>
    </row>
    <row r="226" spans="1:34">
      <c r="A226" s="20" t="s">
        <v>211</v>
      </c>
      <c r="B226" s="20" t="s">
        <v>109</v>
      </c>
      <c r="C226" s="667"/>
      <c r="D226" s="68" t="s">
        <v>57</v>
      </c>
      <c r="E226" s="679"/>
      <c r="F226" s="529">
        <f>VLOOKUP(D226,'June 2012 DMV Revenue'!D:T,17,FALSE)</f>
        <v>0</v>
      </c>
      <c r="G226" s="680"/>
      <c r="H226" s="680"/>
      <c r="I226" s="755"/>
      <c r="J226" s="682">
        <f t="shared" si="81"/>
        <v>0</v>
      </c>
      <c r="K226" s="683"/>
      <c r="L226" s="684"/>
      <c r="M226" s="753"/>
      <c r="N226" s="683">
        <v>0</v>
      </c>
      <c r="O226" s="686"/>
      <c r="P226" s="683">
        <v>0</v>
      </c>
      <c r="Q226" s="687">
        <f t="shared" si="88"/>
        <v>0</v>
      </c>
      <c r="R226" s="688">
        <v>482.85</v>
      </c>
      <c r="S226" s="693"/>
      <c r="T226" s="690">
        <f t="shared" si="89"/>
        <v>482.85</v>
      </c>
      <c r="U226" s="683"/>
      <c r="V226" s="474">
        <f t="shared" si="90"/>
        <v>0</v>
      </c>
      <c r="W226" s="474">
        <f t="shared" si="91"/>
        <v>0</v>
      </c>
      <c r="X226" s="475">
        <f t="shared" si="92"/>
        <v>0</v>
      </c>
      <c r="Y226" s="475">
        <v>0</v>
      </c>
      <c r="Z226" s="476">
        <v>0</v>
      </c>
      <c r="AA226" s="38">
        <f t="shared" si="93"/>
        <v>0</v>
      </c>
      <c r="AB226" s="692">
        <f t="shared" si="82"/>
        <v>0</v>
      </c>
      <c r="AC226" s="692">
        <f t="shared" si="83"/>
        <v>0</v>
      </c>
      <c r="AD226" s="692">
        <f t="shared" si="84"/>
        <v>0</v>
      </c>
      <c r="AE226" s="38"/>
      <c r="AF226" s="692">
        <f t="shared" si="85"/>
        <v>0</v>
      </c>
      <c r="AG226" s="692">
        <f t="shared" si="86"/>
        <v>0</v>
      </c>
      <c r="AH226" s="692">
        <f t="shared" si="87"/>
        <v>0</v>
      </c>
    </row>
    <row r="227" spans="1:34">
      <c r="A227" s="20" t="s">
        <v>109</v>
      </c>
      <c r="B227" s="20" t="s">
        <v>110</v>
      </c>
      <c r="C227" s="667" t="s">
        <v>579</v>
      </c>
      <c r="D227" s="68" t="s">
        <v>239</v>
      </c>
      <c r="E227" s="679"/>
      <c r="F227" s="529">
        <f>VLOOKUP(D227,'June 2012 DMV Revenue'!D:T,17,FALSE)</f>
        <v>0</v>
      </c>
      <c r="G227" s="680"/>
      <c r="H227" s="680"/>
      <c r="I227" s="755"/>
      <c r="J227" s="682">
        <f t="shared" si="81"/>
        <v>0</v>
      </c>
      <c r="K227" s="683"/>
      <c r="L227" s="684"/>
      <c r="M227" s="753"/>
      <c r="N227" s="683">
        <v>0</v>
      </c>
      <c r="O227" s="686"/>
      <c r="P227" s="683">
        <v>0</v>
      </c>
      <c r="Q227" s="687">
        <f t="shared" si="88"/>
        <v>0</v>
      </c>
      <c r="R227" s="688">
        <v>0</v>
      </c>
      <c r="S227" s="693"/>
      <c r="T227" s="690">
        <f t="shared" si="89"/>
        <v>0</v>
      </c>
      <c r="U227" s="683"/>
      <c r="V227" s="474">
        <f t="shared" si="90"/>
        <v>0</v>
      </c>
      <c r="W227" s="474">
        <f t="shared" si="91"/>
        <v>0</v>
      </c>
      <c r="X227" s="475">
        <f t="shared" si="92"/>
        <v>0</v>
      </c>
      <c r="Y227" s="475">
        <v>0</v>
      </c>
      <c r="Z227" s="476">
        <v>0</v>
      </c>
      <c r="AA227" s="38">
        <f t="shared" si="93"/>
        <v>0</v>
      </c>
      <c r="AB227" s="692">
        <f t="shared" si="82"/>
        <v>0</v>
      </c>
      <c r="AC227" s="692">
        <f t="shared" si="83"/>
        <v>0</v>
      </c>
      <c r="AD227" s="692">
        <f t="shared" si="84"/>
        <v>0</v>
      </c>
      <c r="AE227" s="38"/>
      <c r="AF227" s="692">
        <f t="shared" si="85"/>
        <v>0</v>
      </c>
      <c r="AG227" s="692">
        <f t="shared" si="86"/>
        <v>0</v>
      </c>
      <c r="AH227" s="692">
        <f t="shared" si="87"/>
        <v>0</v>
      </c>
    </row>
    <row r="228" spans="1:34">
      <c r="A228" s="20"/>
      <c r="B228" s="20" t="s">
        <v>114</v>
      </c>
      <c r="C228" s="676" t="s">
        <v>621</v>
      </c>
      <c r="D228" s="68" t="s">
        <v>622</v>
      </c>
      <c r="E228" s="679">
        <v>381</v>
      </c>
      <c r="F228" s="529">
        <f>VLOOKUP(D228,'June 2012 DMV Revenue'!D:T,17,FALSE)</f>
        <v>0</v>
      </c>
      <c r="G228" s="680"/>
      <c r="H228" s="680"/>
      <c r="I228" s="755"/>
      <c r="J228" s="682">
        <f t="shared" si="81"/>
        <v>381</v>
      </c>
      <c r="K228" s="683"/>
      <c r="L228" s="684"/>
      <c r="M228" s="753"/>
      <c r="N228" s="683">
        <v>0</v>
      </c>
      <c r="O228" s="686"/>
      <c r="P228" s="683">
        <v>0</v>
      </c>
      <c r="Q228" s="687">
        <f t="shared" si="88"/>
        <v>0</v>
      </c>
      <c r="R228" s="688">
        <v>0</v>
      </c>
      <c r="S228" s="704"/>
      <c r="T228" s="690">
        <f t="shared" si="89"/>
        <v>0</v>
      </c>
      <c r="U228" s="683"/>
      <c r="V228" s="474">
        <f t="shared" si="90"/>
        <v>0</v>
      </c>
      <c r="W228" s="474">
        <f t="shared" si="91"/>
        <v>0</v>
      </c>
      <c r="X228" s="475">
        <f t="shared" si="92"/>
        <v>0</v>
      </c>
      <c r="Y228" s="475">
        <v>0</v>
      </c>
      <c r="Z228" s="476">
        <v>0</v>
      </c>
      <c r="AA228" s="38">
        <f t="shared" si="93"/>
        <v>0</v>
      </c>
      <c r="AB228" s="692">
        <f t="shared" si="82"/>
        <v>0</v>
      </c>
      <c r="AC228" s="692">
        <f t="shared" si="83"/>
        <v>0</v>
      </c>
      <c r="AD228" s="692">
        <f t="shared" si="84"/>
        <v>381</v>
      </c>
      <c r="AE228" s="38"/>
      <c r="AF228" s="692">
        <f t="shared" si="85"/>
        <v>0</v>
      </c>
      <c r="AG228" s="692">
        <f t="shared" si="86"/>
        <v>0</v>
      </c>
      <c r="AH228" s="692">
        <f t="shared" si="87"/>
        <v>0</v>
      </c>
    </row>
    <row r="229" spans="1:34">
      <c r="A229" s="20"/>
      <c r="B229" s="20" t="s">
        <v>110</v>
      </c>
      <c r="C229" s="667"/>
      <c r="D229" s="68" t="s">
        <v>497</v>
      </c>
      <c r="E229" s="679"/>
      <c r="F229" s="529">
        <f>VLOOKUP(D229,'June 2012 DMV Revenue'!D:T,17,FALSE)</f>
        <v>0</v>
      </c>
      <c r="G229" s="680"/>
      <c r="H229" s="680"/>
      <c r="I229" s="755"/>
      <c r="J229" s="682">
        <f t="shared" si="81"/>
        <v>0</v>
      </c>
      <c r="K229" s="683"/>
      <c r="L229" s="684"/>
      <c r="M229" s="753"/>
      <c r="N229" s="683">
        <v>0</v>
      </c>
      <c r="O229" s="686"/>
      <c r="P229" s="683">
        <v>0</v>
      </c>
      <c r="Q229" s="687">
        <f t="shared" si="88"/>
        <v>0</v>
      </c>
      <c r="R229" s="688">
        <v>0</v>
      </c>
      <c r="S229" s="693"/>
      <c r="T229" s="690">
        <f t="shared" si="89"/>
        <v>0</v>
      </c>
      <c r="U229" s="683"/>
      <c r="V229" s="474">
        <f t="shared" si="90"/>
        <v>0</v>
      </c>
      <c r="W229" s="474">
        <f t="shared" si="91"/>
        <v>0</v>
      </c>
      <c r="X229" s="475">
        <f t="shared" si="92"/>
        <v>0</v>
      </c>
      <c r="Y229" s="475">
        <v>0</v>
      </c>
      <c r="Z229" s="476">
        <v>0</v>
      </c>
      <c r="AA229" s="38">
        <f t="shared" si="93"/>
        <v>0</v>
      </c>
      <c r="AB229" s="692">
        <f t="shared" si="82"/>
        <v>0</v>
      </c>
      <c r="AC229" s="692">
        <f t="shared" si="83"/>
        <v>0</v>
      </c>
      <c r="AD229" s="692">
        <f t="shared" si="84"/>
        <v>0</v>
      </c>
      <c r="AE229" s="38"/>
      <c r="AF229" s="692">
        <f t="shared" si="85"/>
        <v>0</v>
      </c>
      <c r="AG229" s="692">
        <f t="shared" si="86"/>
        <v>0</v>
      </c>
      <c r="AH229" s="692">
        <f t="shared" si="87"/>
        <v>0</v>
      </c>
    </row>
    <row r="230" spans="1:34">
      <c r="A230" s="20"/>
      <c r="B230" s="20" t="s">
        <v>110</v>
      </c>
      <c r="C230" s="667"/>
      <c r="D230" s="68" t="s">
        <v>509</v>
      </c>
      <c r="E230" s="679">
        <v>5.65</v>
      </c>
      <c r="F230" s="529">
        <f>VLOOKUP(D230,'June 2012 DMV Revenue'!D:T,17,FALSE)</f>
        <v>0</v>
      </c>
      <c r="G230" s="680"/>
      <c r="H230" s="680"/>
      <c r="I230" s="755"/>
      <c r="J230" s="682">
        <f t="shared" si="81"/>
        <v>5.65</v>
      </c>
      <c r="K230" s="683"/>
      <c r="L230" s="684"/>
      <c r="M230" s="753">
        <v>10000</v>
      </c>
      <c r="N230" s="683"/>
      <c r="O230" s="686"/>
      <c r="P230" s="683"/>
      <c r="Q230" s="687">
        <f t="shared" si="88"/>
        <v>10000</v>
      </c>
      <c r="R230" s="688">
        <v>0</v>
      </c>
      <c r="S230" s="693"/>
      <c r="T230" s="690">
        <f t="shared" si="89"/>
        <v>-10000</v>
      </c>
      <c r="U230" s="683"/>
      <c r="V230" s="474">
        <f t="shared" si="90"/>
        <v>10000</v>
      </c>
      <c r="W230" s="474">
        <f t="shared" si="91"/>
        <v>0</v>
      </c>
      <c r="X230" s="475">
        <f t="shared" si="92"/>
        <v>0</v>
      </c>
      <c r="Y230" s="475">
        <v>0</v>
      </c>
      <c r="Z230" s="476">
        <v>0</v>
      </c>
      <c r="AA230" s="38">
        <f t="shared" si="93"/>
        <v>0</v>
      </c>
      <c r="AB230" s="692">
        <f t="shared" si="82"/>
        <v>5.65</v>
      </c>
      <c r="AC230" s="692">
        <f t="shared" si="83"/>
        <v>0</v>
      </c>
      <c r="AD230" s="692">
        <f t="shared" si="84"/>
        <v>0</v>
      </c>
      <c r="AE230" s="38"/>
      <c r="AF230" s="692">
        <f t="shared" si="85"/>
        <v>10000</v>
      </c>
      <c r="AG230" s="692">
        <f t="shared" si="86"/>
        <v>0</v>
      </c>
      <c r="AH230" s="692">
        <f t="shared" si="87"/>
        <v>0</v>
      </c>
    </row>
    <row r="231" spans="1:34" s="627" customFormat="1">
      <c r="A231" s="610"/>
      <c r="B231" s="610" t="s">
        <v>110</v>
      </c>
      <c r="C231" s="667" t="s">
        <v>580</v>
      </c>
      <c r="D231" s="612" t="s">
        <v>476</v>
      </c>
      <c r="E231" s="679"/>
      <c r="F231" s="529">
        <f>VLOOKUP(D231,'June 2012 DMV Revenue'!D:T,17,FALSE)</f>
        <v>0</v>
      </c>
      <c r="G231" s="680"/>
      <c r="H231" s="680"/>
      <c r="I231" s="755"/>
      <c r="J231" s="682">
        <f t="shared" si="81"/>
        <v>0</v>
      </c>
      <c r="K231" s="683"/>
      <c r="L231" s="684"/>
      <c r="M231" s="753"/>
      <c r="N231" s="683">
        <v>0</v>
      </c>
      <c r="O231" s="686"/>
      <c r="P231" s="683">
        <v>0</v>
      </c>
      <c r="Q231" s="687">
        <f t="shared" si="88"/>
        <v>0</v>
      </c>
      <c r="R231" s="688">
        <v>0</v>
      </c>
      <c r="S231" s="706"/>
      <c r="T231" s="690">
        <f t="shared" si="89"/>
        <v>0</v>
      </c>
      <c r="U231" s="707"/>
      <c r="V231" s="474">
        <f t="shared" si="90"/>
        <v>0</v>
      </c>
      <c r="W231" s="474">
        <f t="shared" si="91"/>
        <v>0</v>
      </c>
      <c r="X231" s="475">
        <f t="shared" si="92"/>
        <v>0</v>
      </c>
      <c r="Y231" s="475">
        <v>0</v>
      </c>
      <c r="Z231" s="476">
        <v>0</v>
      </c>
      <c r="AA231" s="38">
        <f t="shared" si="93"/>
        <v>0</v>
      </c>
      <c r="AB231" s="692">
        <f t="shared" si="82"/>
        <v>0</v>
      </c>
      <c r="AC231" s="692">
        <f t="shared" si="83"/>
        <v>0</v>
      </c>
      <c r="AD231" s="692">
        <f t="shared" si="84"/>
        <v>0</v>
      </c>
      <c r="AE231" s="38"/>
      <c r="AF231" s="692">
        <f t="shared" si="85"/>
        <v>0</v>
      </c>
      <c r="AG231" s="692">
        <f t="shared" si="86"/>
        <v>0</v>
      </c>
      <c r="AH231" s="692">
        <f t="shared" si="87"/>
        <v>0</v>
      </c>
    </row>
    <row r="232" spans="1:34" s="232" customFormat="1">
      <c r="A232" s="283"/>
      <c r="B232" s="283" t="s">
        <v>114</v>
      </c>
      <c r="C232" s="667" t="s">
        <v>580</v>
      </c>
      <c r="D232" s="123" t="s">
        <v>371</v>
      </c>
      <c r="E232" s="679"/>
      <c r="F232" s="529">
        <f>VLOOKUP(D232,'June 2012 DMV Revenue'!D:T,17,FALSE)</f>
        <v>731.02</v>
      </c>
      <c r="G232" s="680"/>
      <c r="H232" s="680"/>
      <c r="I232" s="755"/>
      <c r="J232" s="682">
        <f t="shared" si="81"/>
        <v>731.02</v>
      </c>
      <c r="K232" s="683"/>
      <c r="L232" s="684">
        <v>2488.19</v>
      </c>
      <c r="M232" s="753"/>
      <c r="N232" s="683">
        <v>0</v>
      </c>
      <c r="O232" s="686"/>
      <c r="P232" s="683">
        <v>0</v>
      </c>
      <c r="Q232" s="687">
        <f t="shared" si="88"/>
        <v>2488.19</v>
      </c>
      <c r="R232" s="688">
        <f>605.8+2487.9</f>
        <v>3093.7</v>
      </c>
      <c r="S232" s="693"/>
      <c r="T232" s="690">
        <f t="shared" si="89"/>
        <v>605.50999999999976</v>
      </c>
      <c r="U232" s="683"/>
      <c r="V232" s="474">
        <f t="shared" si="90"/>
        <v>0</v>
      </c>
      <c r="W232" s="474">
        <f t="shared" si="91"/>
        <v>0</v>
      </c>
      <c r="X232" s="475">
        <f t="shared" si="92"/>
        <v>2488.19</v>
      </c>
      <c r="Y232" s="475">
        <v>0</v>
      </c>
      <c r="Z232" s="476">
        <v>0</v>
      </c>
      <c r="AA232" s="38">
        <f t="shared" si="93"/>
        <v>0</v>
      </c>
      <c r="AB232" s="692">
        <f t="shared" si="82"/>
        <v>0</v>
      </c>
      <c r="AC232" s="692">
        <f t="shared" si="83"/>
        <v>0</v>
      </c>
      <c r="AD232" s="692">
        <f t="shared" si="84"/>
        <v>731.02</v>
      </c>
      <c r="AE232" s="38"/>
      <c r="AF232" s="692">
        <f t="shared" si="85"/>
        <v>0</v>
      </c>
      <c r="AG232" s="692">
        <f t="shared" si="86"/>
        <v>0</v>
      </c>
      <c r="AH232" s="692">
        <f t="shared" si="87"/>
        <v>2488.19</v>
      </c>
    </row>
    <row r="233" spans="1:34" s="232" customFormat="1">
      <c r="A233" s="283"/>
      <c r="B233" s="283" t="s">
        <v>110</v>
      </c>
      <c r="C233" s="667" t="s">
        <v>580</v>
      </c>
      <c r="D233" s="123" t="s">
        <v>422</v>
      </c>
      <c r="E233" s="679"/>
      <c r="F233" s="529">
        <f>VLOOKUP(D233,'June 2012 DMV Revenue'!D:T,17,FALSE)</f>
        <v>-42.43</v>
      </c>
      <c r="G233" s="680"/>
      <c r="H233" s="680"/>
      <c r="I233" s="755"/>
      <c r="J233" s="682">
        <f t="shared" si="81"/>
        <v>-42.43</v>
      </c>
      <c r="K233" s="683"/>
      <c r="L233" s="684">
        <v>353538.73</v>
      </c>
      <c r="M233" s="753"/>
      <c r="N233" s="683">
        <v>0</v>
      </c>
      <c r="O233" s="686"/>
      <c r="P233" s="683">
        <v>0</v>
      </c>
      <c r="Q233" s="687">
        <f t="shared" si="88"/>
        <v>353538.73</v>
      </c>
      <c r="R233" s="688">
        <v>353539.4</v>
      </c>
      <c r="S233" s="693"/>
      <c r="T233" s="690">
        <f t="shared" si="89"/>
        <v>0.67000000004190952</v>
      </c>
      <c r="U233" s="683"/>
      <c r="V233" s="474">
        <f t="shared" si="90"/>
        <v>353538.73</v>
      </c>
      <c r="W233" s="474">
        <f t="shared" si="91"/>
        <v>0</v>
      </c>
      <c r="X233" s="475">
        <f t="shared" si="92"/>
        <v>0</v>
      </c>
      <c r="Y233" s="475">
        <v>0</v>
      </c>
      <c r="Z233" s="476">
        <v>0</v>
      </c>
      <c r="AA233" s="38">
        <f t="shared" si="93"/>
        <v>0</v>
      </c>
      <c r="AB233" s="692">
        <f t="shared" si="82"/>
        <v>-42.43</v>
      </c>
      <c r="AC233" s="692">
        <f t="shared" si="83"/>
        <v>0</v>
      </c>
      <c r="AD233" s="692">
        <f t="shared" si="84"/>
        <v>0</v>
      </c>
      <c r="AE233" s="38"/>
      <c r="AF233" s="692">
        <f t="shared" si="85"/>
        <v>353538.73</v>
      </c>
      <c r="AG233" s="692">
        <f t="shared" si="86"/>
        <v>0</v>
      </c>
      <c r="AH233" s="692">
        <f t="shared" si="87"/>
        <v>0</v>
      </c>
    </row>
    <row r="234" spans="1:34" s="232" customFormat="1">
      <c r="A234" s="283"/>
      <c r="B234" s="283" t="s">
        <v>110</v>
      </c>
      <c r="C234" s="667" t="s">
        <v>580</v>
      </c>
      <c r="D234" s="123" t="s">
        <v>442</v>
      </c>
      <c r="E234" s="679"/>
      <c r="F234" s="529">
        <f>VLOOKUP(D234,'June 2012 DMV Revenue'!D:T,17,FALSE)</f>
        <v>3.2299999999813735</v>
      </c>
      <c r="G234" s="680"/>
      <c r="H234" s="680"/>
      <c r="I234" s="755"/>
      <c r="J234" s="682">
        <f t="shared" si="81"/>
        <v>3.2299999999813735</v>
      </c>
      <c r="K234" s="683"/>
      <c r="L234" s="684"/>
      <c r="M234" s="753"/>
      <c r="N234" s="683">
        <v>0</v>
      </c>
      <c r="O234" s="686"/>
      <c r="P234" s="683">
        <v>0</v>
      </c>
      <c r="Q234" s="687">
        <f t="shared" si="88"/>
        <v>0</v>
      </c>
      <c r="R234" s="688">
        <v>0</v>
      </c>
      <c r="S234" s="693"/>
      <c r="T234" s="690">
        <f t="shared" si="89"/>
        <v>0</v>
      </c>
      <c r="U234" s="683"/>
      <c r="V234" s="474">
        <f t="shared" si="90"/>
        <v>0</v>
      </c>
      <c r="W234" s="474">
        <f t="shared" si="91"/>
        <v>0</v>
      </c>
      <c r="X234" s="475">
        <f t="shared" si="92"/>
        <v>0</v>
      </c>
      <c r="Y234" s="475">
        <v>0</v>
      </c>
      <c r="Z234" s="476">
        <v>0</v>
      </c>
      <c r="AA234" s="38">
        <f t="shared" si="93"/>
        <v>0</v>
      </c>
      <c r="AB234" s="692">
        <f t="shared" si="82"/>
        <v>3.2299999999813735</v>
      </c>
      <c r="AC234" s="692">
        <f t="shared" si="83"/>
        <v>0</v>
      </c>
      <c r="AD234" s="692">
        <f t="shared" si="84"/>
        <v>0</v>
      </c>
      <c r="AE234" s="38"/>
      <c r="AF234" s="692">
        <f t="shared" si="85"/>
        <v>0</v>
      </c>
      <c r="AG234" s="692">
        <f t="shared" si="86"/>
        <v>0</v>
      </c>
      <c r="AH234" s="692">
        <f t="shared" si="87"/>
        <v>0</v>
      </c>
    </row>
    <row r="235" spans="1:34">
      <c r="A235" s="20"/>
      <c r="B235" s="20" t="s">
        <v>109</v>
      </c>
      <c r="C235" s="667"/>
      <c r="D235" s="68" t="s">
        <v>304</v>
      </c>
      <c r="E235" s="679"/>
      <c r="F235" s="529">
        <f>VLOOKUP(D235,'June 2012 DMV Revenue'!D:T,17,FALSE)</f>
        <v>0</v>
      </c>
      <c r="G235" s="680"/>
      <c r="H235" s="680"/>
      <c r="I235" s="755"/>
      <c r="J235" s="682">
        <f t="shared" si="81"/>
        <v>0</v>
      </c>
      <c r="K235" s="683"/>
      <c r="L235" s="684"/>
      <c r="M235" s="753"/>
      <c r="N235" s="683">
        <v>0</v>
      </c>
      <c r="O235" s="686"/>
      <c r="P235" s="683">
        <v>0</v>
      </c>
      <c r="Q235" s="687">
        <f t="shared" si="88"/>
        <v>0</v>
      </c>
      <c r="R235" s="688">
        <v>0</v>
      </c>
      <c r="S235" s="693"/>
      <c r="T235" s="690">
        <f t="shared" si="89"/>
        <v>0</v>
      </c>
      <c r="U235" s="683"/>
      <c r="V235" s="474">
        <f t="shared" si="90"/>
        <v>0</v>
      </c>
      <c r="W235" s="474">
        <f t="shared" si="91"/>
        <v>0</v>
      </c>
      <c r="X235" s="475">
        <f t="shared" si="92"/>
        <v>0</v>
      </c>
      <c r="Y235" s="475">
        <v>0</v>
      </c>
      <c r="Z235" s="476">
        <v>0</v>
      </c>
      <c r="AA235" s="38">
        <f t="shared" si="93"/>
        <v>0</v>
      </c>
      <c r="AB235" s="692">
        <f t="shared" si="82"/>
        <v>0</v>
      </c>
      <c r="AC235" s="692">
        <f t="shared" si="83"/>
        <v>0</v>
      </c>
      <c r="AD235" s="692">
        <f t="shared" si="84"/>
        <v>0</v>
      </c>
      <c r="AE235" s="38"/>
      <c r="AF235" s="692">
        <f t="shared" si="85"/>
        <v>0</v>
      </c>
      <c r="AG235" s="692">
        <f t="shared" si="86"/>
        <v>0</v>
      </c>
      <c r="AH235" s="692">
        <f t="shared" si="87"/>
        <v>0</v>
      </c>
    </row>
    <row r="236" spans="1:34">
      <c r="A236" s="21" t="s">
        <v>97</v>
      </c>
      <c r="B236" s="21" t="s">
        <v>109</v>
      </c>
      <c r="C236" s="666"/>
      <c r="D236" s="68" t="s">
        <v>381</v>
      </c>
      <c r="E236" s="679"/>
      <c r="F236" s="529">
        <f>VLOOKUP(D236,'June 2012 DMV Revenue'!D:T,17,FALSE)</f>
        <v>0</v>
      </c>
      <c r="G236" s="680"/>
      <c r="H236" s="680"/>
      <c r="I236" s="755"/>
      <c r="J236" s="682">
        <f t="shared" si="81"/>
        <v>0</v>
      </c>
      <c r="K236" s="683"/>
      <c r="L236" s="684"/>
      <c r="M236" s="753"/>
      <c r="N236" s="683">
        <v>0</v>
      </c>
      <c r="O236" s="686"/>
      <c r="P236" s="683">
        <v>0</v>
      </c>
      <c r="Q236" s="687">
        <f t="shared" si="88"/>
        <v>0</v>
      </c>
      <c r="R236" s="688">
        <v>0</v>
      </c>
      <c r="S236" s="693"/>
      <c r="T236" s="690">
        <f t="shared" si="89"/>
        <v>0</v>
      </c>
      <c r="U236" s="683"/>
      <c r="V236" s="474">
        <f t="shared" si="90"/>
        <v>0</v>
      </c>
      <c r="W236" s="474">
        <f t="shared" si="91"/>
        <v>0</v>
      </c>
      <c r="X236" s="475">
        <f t="shared" si="92"/>
        <v>0</v>
      </c>
      <c r="Y236" s="475">
        <v>0</v>
      </c>
      <c r="Z236" s="476">
        <v>0</v>
      </c>
      <c r="AA236" s="38">
        <f t="shared" si="93"/>
        <v>0</v>
      </c>
      <c r="AB236" s="692">
        <f t="shared" si="82"/>
        <v>0</v>
      </c>
      <c r="AC236" s="692">
        <f t="shared" si="83"/>
        <v>0</v>
      </c>
      <c r="AD236" s="692">
        <f t="shared" si="84"/>
        <v>0</v>
      </c>
      <c r="AE236" s="38"/>
      <c r="AF236" s="692">
        <f t="shared" si="85"/>
        <v>0</v>
      </c>
      <c r="AG236" s="692">
        <f t="shared" si="86"/>
        <v>0</v>
      </c>
      <c r="AH236" s="692">
        <f t="shared" si="87"/>
        <v>0</v>
      </c>
    </row>
    <row r="237" spans="1:34">
      <c r="A237" s="21" t="s">
        <v>97</v>
      </c>
      <c r="B237" s="21" t="s">
        <v>114</v>
      </c>
      <c r="C237" s="666"/>
      <c r="D237" s="68" t="s">
        <v>376</v>
      </c>
      <c r="E237" s="679"/>
      <c r="F237" s="529">
        <f>VLOOKUP(D237,'June 2012 DMV Revenue'!D:T,17,FALSE)</f>
        <v>0</v>
      </c>
      <c r="G237" s="680"/>
      <c r="H237" s="680"/>
      <c r="I237" s="755"/>
      <c r="J237" s="682">
        <f t="shared" si="81"/>
        <v>0</v>
      </c>
      <c r="K237" s="683"/>
      <c r="L237" s="684"/>
      <c r="M237" s="753"/>
      <c r="N237" s="683">
        <v>0</v>
      </c>
      <c r="O237" s="686"/>
      <c r="P237" s="683">
        <v>0</v>
      </c>
      <c r="Q237" s="687">
        <f t="shared" si="88"/>
        <v>0</v>
      </c>
      <c r="R237" s="688">
        <v>0</v>
      </c>
      <c r="S237" s="693"/>
      <c r="T237" s="690">
        <f t="shared" si="89"/>
        <v>0</v>
      </c>
      <c r="U237" s="683"/>
      <c r="V237" s="474">
        <f t="shared" si="90"/>
        <v>0</v>
      </c>
      <c r="W237" s="474">
        <f t="shared" si="91"/>
        <v>0</v>
      </c>
      <c r="X237" s="475">
        <f t="shared" si="92"/>
        <v>0</v>
      </c>
      <c r="Y237" s="475">
        <v>0</v>
      </c>
      <c r="Z237" s="476">
        <v>0</v>
      </c>
      <c r="AA237" s="38">
        <f t="shared" si="93"/>
        <v>0</v>
      </c>
      <c r="AB237" s="692">
        <f t="shared" si="82"/>
        <v>0</v>
      </c>
      <c r="AC237" s="692">
        <f t="shared" si="83"/>
        <v>0</v>
      </c>
      <c r="AD237" s="692">
        <f t="shared" si="84"/>
        <v>0</v>
      </c>
      <c r="AE237" s="38"/>
      <c r="AF237" s="692">
        <f t="shared" si="85"/>
        <v>0</v>
      </c>
      <c r="AG237" s="692">
        <f t="shared" si="86"/>
        <v>0</v>
      </c>
      <c r="AH237" s="692">
        <f t="shared" si="87"/>
        <v>0</v>
      </c>
    </row>
    <row r="238" spans="1:34">
      <c r="A238" s="20"/>
      <c r="B238" s="20" t="s">
        <v>110</v>
      </c>
      <c r="C238" s="667"/>
      <c r="D238" s="68" t="s">
        <v>390</v>
      </c>
      <c r="E238" s="679"/>
      <c r="F238" s="529">
        <f>VLOOKUP(D238,'June 2012 DMV Revenue'!D:T,17,FALSE)</f>
        <v>0</v>
      </c>
      <c r="G238" s="680"/>
      <c r="H238" s="680"/>
      <c r="I238" s="755"/>
      <c r="J238" s="682">
        <f t="shared" si="81"/>
        <v>0</v>
      </c>
      <c r="K238" s="683"/>
      <c r="L238" s="684"/>
      <c r="M238" s="753"/>
      <c r="N238" s="683">
        <v>0</v>
      </c>
      <c r="O238" s="686"/>
      <c r="P238" s="683">
        <v>0</v>
      </c>
      <c r="Q238" s="687">
        <f t="shared" si="88"/>
        <v>0</v>
      </c>
      <c r="R238" s="688">
        <v>0</v>
      </c>
      <c r="S238" s="693"/>
      <c r="T238" s="690">
        <f t="shared" si="89"/>
        <v>0</v>
      </c>
      <c r="U238" s="683"/>
      <c r="V238" s="474">
        <f t="shared" si="90"/>
        <v>0</v>
      </c>
      <c r="W238" s="474">
        <f t="shared" si="91"/>
        <v>0</v>
      </c>
      <c r="X238" s="475">
        <f t="shared" si="92"/>
        <v>0</v>
      </c>
      <c r="Y238" s="475">
        <v>0</v>
      </c>
      <c r="Z238" s="476">
        <v>0</v>
      </c>
      <c r="AA238" s="38">
        <f t="shared" si="93"/>
        <v>0</v>
      </c>
      <c r="AB238" s="692">
        <f t="shared" si="82"/>
        <v>0</v>
      </c>
      <c r="AC238" s="692">
        <f t="shared" si="83"/>
        <v>0</v>
      </c>
      <c r="AD238" s="692">
        <f t="shared" si="84"/>
        <v>0</v>
      </c>
      <c r="AE238" s="38"/>
      <c r="AF238" s="692">
        <f t="shared" si="85"/>
        <v>0</v>
      </c>
      <c r="AG238" s="692">
        <f t="shared" si="86"/>
        <v>0</v>
      </c>
      <c r="AH238" s="692">
        <f t="shared" si="87"/>
        <v>0</v>
      </c>
    </row>
    <row r="239" spans="1:34">
      <c r="A239" s="20"/>
      <c r="B239" s="20" t="s">
        <v>110</v>
      </c>
      <c r="C239" s="667" t="s">
        <v>581</v>
      </c>
      <c r="D239" s="123" t="s">
        <v>166</v>
      </c>
      <c r="E239" s="679"/>
      <c r="F239" s="529">
        <f>VLOOKUP(D239,'June 2012 DMV Revenue'!D:T,17,FALSE)</f>
        <v>0</v>
      </c>
      <c r="G239" s="680"/>
      <c r="H239" s="680"/>
      <c r="I239" s="755"/>
      <c r="J239" s="682">
        <f t="shared" si="81"/>
        <v>0</v>
      </c>
      <c r="K239" s="683"/>
      <c r="L239" s="684"/>
      <c r="M239" s="753"/>
      <c r="N239" s="683">
        <v>0</v>
      </c>
      <c r="O239" s="686"/>
      <c r="P239" s="683">
        <v>0</v>
      </c>
      <c r="Q239" s="687">
        <f t="shared" si="88"/>
        <v>0</v>
      </c>
      <c r="R239" s="688">
        <v>0</v>
      </c>
      <c r="S239" s="693"/>
      <c r="T239" s="690">
        <f t="shared" si="89"/>
        <v>0</v>
      </c>
      <c r="U239" s="683"/>
      <c r="V239" s="474">
        <f t="shared" si="90"/>
        <v>0</v>
      </c>
      <c r="W239" s="474">
        <f t="shared" si="91"/>
        <v>0</v>
      </c>
      <c r="X239" s="475">
        <f t="shared" si="92"/>
        <v>0</v>
      </c>
      <c r="Y239" s="475">
        <v>0</v>
      </c>
      <c r="Z239" s="476">
        <v>0</v>
      </c>
      <c r="AA239" s="38">
        <f t="shared" si="93"/>
        <v>0</v>
      </c>
      <c r="AB239" s="692">
        <f t="shared" si="82"/>
        <v>0</v>
      </c>
      <c r="AC239" s="692">
        <f t="shared" si="83"/>
        <v>0</v>
      </c>
      <c r="AD239" s="692">
        <f t="shared" si="84"/>
        <v>0</v>
      </c>
      <c r="AE239" s="38"/>
      <c r="AF239" s="692">
        <f t="shared" si="85"/>
        <v>0</v>
      </c>
      <c r="AG239" s="692">
        <f t="shared" si="86"/>
        <v>0</v>
      </c>
      <c r="AH239" s="692">
        <f t="shared" si="87"/>
        <v>0</v>
      </c>
    </row>
    <row r="240" spans="1:34">
      <c r="A240" s="20"/>
      <c r="B240" s="20" t="s">
        <v>109</v>
      </c>
      <c r="C240" s="667" t="s">
        <v>581</v>
      </c>
      <c r="D240" s="123" t="s">
        <v>165</v>
      </c>
      <c r="E240" s="679"/>
      <c r="F240" s="529">
        <f>VLOOKUP(D240,'June 2012 DMV Revenue'!D:T,17,FALSE)</f>
        <v>0</v>
      </c>
      <c r="G240" s="680"/>
      <c r="H240" s="680"/>
      <c r="I240" s="755"/>
      <c r="J240" s="682">
        <f t="shared" si="81"/>
        <v>0</v>
      </c>
      <c r="K240" s="683"/>
      <c r="L240" s="684"/>
      <c r="M240" s="753"/>
      <c r="N240" s="683">
        <v>0</v>
      </c>
      <c r="O240" s="686"/>
      <c r="P240" s="683">
        <v>0</v>
      </c>
      <c r="Q240" s="687">
        <f t="shared" si="88"/>
        <v>0</v>
      </c>
      <c r="R240" s="688">
        <v>0</v>
      </c>
      <c r="S240" s="693"/>
      <c r="T240" s="690">
        <f t="shared" si="89"/>
        <v>0</v>
      </c>
      <c r="U240" s="683"/>
      <c r="V240" s="474">
        <f t="shared" si="90"/>
        <v>0</v>
      </c>
      <c r="W240" s="474">
        <f t="shared" si="91"/>
        <v>0</v>
      </c>
      <c r="X240" s="475">
        <f t="shared" si="92"/>
        <v>0</v>
      </c>
      <c r="Y240" s="475">
        <v>0</v>
      </c>
      <c r="Z240" s="476">
        <v>0</v>
      </c>
      <c r="AA240" s="38">
        <f t="shared" si="93"/>
        <v>0</v>
      </c>
      <c r="AB240" s="692">
        <f t="shared" si="82"/>
        <v>0</v>
      </c>
      <c r="AC240" s="692">
        <f t="shared" si="83"/>
        <v>0</v>
      </c>
      <c r="AD240" s="692">
        <f t="shared" si="84"/>
        <v>0</v>
      </c>
      <c r="AE240" s="38"/>
      <c r="AF240" s="692">
        <f t="shared" si="85"/>
        <v>0</v>
      </c>
      <c r="AG240" s="692">
        <f t="shared" si="86"/>
        <v>0</v>
      </c>
      <c r="AH240" s="692">
        <f t="shared" si="87"/>
        <v>0</v>
      </c>
    </row>
    <row r="241" spans="1:34">
      <c r="A241" s="20"/>
      <c r="B241" s="20" t="s">
        <v>109</v>
      </c>
      <c r="C241" s="667"/>
      <c r="D241" s="123" t="s">
        <v>310</v>
      </c>
      <c r="E241" s="679"/>
      <c r="F241" s="529">
        <f>VLOOKUP(D241,'June 2012 DMV Revenue'!D:T,17,FALSE)</f>
        <v>0</v>
      </c>
      <c r="G241" s="680"/>
      <c r="H241" s="680"/>
      <c r="I241" s="755"/>
      <c r="J241" s="682">
        <f t="shared" si="81"/>
        <v>0</v>
      </c>
      <c r="K241" s="683"/>
      <c r="L241" s="684"/>
      <c r="M241" s="753"/>
      <c r="N241" s="683">
        <v>0</v>
      </c>
      <c r="O241" s="686"/>
      <c r="P241" s="683">
        <v>0</v>
      </c>
      <c r="Q241" s="687">
        <f t="shared" si="88"/>
        <v>0</v>
      </c>
      <c r="R241" s="688">
        <v>0</v>
      </c>
      <c r="S241" s="693"/>
      <c r="T241" s="690">
        <f t="shared" si="89"/>
        <v>0</v>
      </c>
      <c r="U241" s="683"/>
      <c r="V241" s="474">
        <f t="shared" si="90"/>
        <v>0</v>
      </c>
      <c r="W241" s="474">
        <f t="shared" si="91"/>
        <v>0</v>
      </c>
      <c r="X241" s="475">
        <f t="shared" si="92"/>
        <v>0</v>
      </c>
      <c r="Y241" s="475">
        <v>0</v>
      </c>
      <c r="Z241" s="476">
        <v>0</v>
      </c>
      <c r="AA241" s="38">
        <f t="shared" si="93"/>
        <v>0</v>
      </c>
      <c r="AB241" s="692">
        <f t="shared" si="82"/>
        <v>0</v>
      </c>
      <c r="AC241" s="692">
        <f t="shared" si="83"/>
        <v>0</v>
      </c>
      <c r="AD241" s="692">
        <f t="shared" si="84"/>
        <v>0</v>
      </c>
      <c r="AE241" s="38"/>
      <c r="AF241" s="692">
        <f t="shared" si="85"/>
        <v>0</v>
      </c>
      <c r="AG241" s="692">
        <f t="shared" si="86"/>
        <v>0</v>
      </c>
      <c r="AH241" s="692">
        <f t="shared" si="87"/>
        <v>0</v>
      </c>
    </row>
    <row r="242" spans="1:34">
      <c r="A242" s="20"/>
      <c r="B242" s="20" t="s">
        <v>109</v>
      </c>
      <c r="C242" s="667"/>
      <c r="D242" s="123" t="s">
        <v>441</v>
      </c>
      <c r="E242" s="679"/>
      <c r="F242" s="529">
        <f>VLOOKUP(D242,'June 2012 DMV Revenue'!D:T,17,FALSE)</f>
        <v>0</v>
      </c>
      <c r="G242" s="680"/>
      <c r="H242" s="680"/>
      <c r="I242" s="755"/>
      <c r="J242" s="682">
        <f t="shared" si="81"/>
        <v>0</v>
      </c>
      <c r="K242" s="683"/>
      <c r="L242" s="684"/>
      <c r="M242" s="753"/>
      <c r="N242" s="683">
        <v>0</v>
      </c>
      <c r="O242" s="686"/>
      <c r="P242" s="683">
        <v>0</v>
      </c>
      <c r="Q242" s="687">
        <f t="shared" si="88"/>
        <v>0</v>
      </c>
      <c r="R242" s="688">
        <v>0</v>
      </c>
      <c r="S242" s="693"/>
      <c r="T242" s="690">
        <f t="shared" si="89"/>
        <v>0</v>
      </c>
      <c r="U242" s="683"/>
      <c r="V242" s="474">
        <f t="shared" si="90"/>
        <v>0</v>
      </c>
      <c r="W242" s="474">
        <f t="shared" si="91"/>
        <v>0</v>
      </c>
      <c r="X242" s="475">
        <f t="shared" si="92"/>
        <v>0</v>
      </c>
      <c r="Y242" s="475">
        <v>0</v>
      </c>
      <c r="Z242" s="476">
        <v>0</v>
      </c>
      <c r="AA242" s="38">
        <f t="shared" si="93"/>
        <v>0</v>
      </c>
      <c r="AB242" s="692">
        <f t="shared" si="82"/>
        <v>0</v>
      </c>
      <c r="AC242" s="692">
        <f t="shared" si="83"/>
        <v>0</v>
      </c>
      <c r="AD242" s="692">
        <f t="shared" si="84"/>
        <v>0</v>
      </c>
      <c r="AE242" s="38"/>
      <c r="AF242" s="692">
        <f t="shared" si="85"/>
        <v>0</v>
      </c>
      <c r="AG242" s="692">
        <f t="shared" si="86"/>
        <v>0</v>
      </c>
      <c r="AH242" s="692">
        <f t="shared" si="87"/>
        <v>0</v>
      </c>
    </row>
    <row r="243" spans="1:34">
      <c r="A243" s="20"/>
      <c r="B243" s="20" t="s">
        <v>109</v>
      </c>
      <c r="C243" s="667"/>
      <c r="D243" s="68" t="s">
        <v>121</v>
      </c>
      <c r="E243" s="679"/>
      <c r="F243" s="529">
        <f>VLOOKUP(D243,'June 2012 DMV Revenue'!D:T,17,FALSE)</f>
        <v>0</v>
      </c>
      <c r="G243" s="680"/>
      <c r="H243" s="680"/>
      <c r="I243" s="755"/>
      <c r="J243" s="682">
        <f t="shared" si="81"/>
        <v>0</v>
      </c>
      <c r="K243" s="683"/>
      <c r="L243" s="684"/>
      <c r="M243" s="753"/>
      <c r="N243" s="683">
        <v>0</v>
      </c>
      <c r="O243" s="686"/>
      <c r="P243" s="683">
        <v>0</v>
      </c>
      <c r="Q243" s="687">
        <f t="shared" si="88"/>
        <v>0</v>
      </c>
      <c r="R243" s="688">
        <v>0</v>
      </c>
      <c r="S243" s="693"/>
      <c r="T243" s="690">
        <f t="shared" si="89"/>
        <v>0</v>
      </c>
      <c r="U243" s="683"/>
      <c r="V243" s="474">
        <f t="shared" si="90"/>
        <v>0</v>
      </c>
      <c r="W243" s="474">
        <f t="shared" si="91"/>
        <v>0</v>
      </c>
      <c r="X243" s="475">
        <f t="shared" si="92"/>
        <v>0</v>
      </c>
      <c r="Y243" s="475">
        <v>0</v>
      </c>
      <c r="Z243" s="476">
        <v>0</v>
      </c>
      <c r="AA243" s="38">
        <f t="shared" si="93"/>
        <v>0</v>
      </c>
      <c r="AB243" s="692">
        <f t="shared" si="82"/>
        <v>0</v>
      </c>
      <c r="AC243" s="692">
        <f t="shared" si="83"/>
        <v>0</v>
      </c>
      <c r="AD243" s="692">
        <f t="shared" si="84"/>
        <v>0</v>
      </c>
      <c r="AE243" s="38"/>
      <c r="AF243" s="692">
        <f t="shared" si="85"/>
        <v>0</v>
      </c>
      <c r="AG243" s="692">
        <f t="shared" si="86"/>
        <v>0</v>
      </c>
      <c r="AH243" s="692">
        <f t="shared" si="87"/>
        <v>0</v>
      </c>
    </row>
    <row r="244" spans="1:34">
      <c r="A244" s="20"/>
      <c r="B244" s="20" t="s">
        <v>110</v>
      </c>
      <c r="C244" s="667"/>
      <c r="D244" s="68" t="s">
        <v>168</v>
      </c>
      <c r="E244" s="679"/>
      <c r="F244" s="529">
        <f>VLOOKUP(D244,'June 2012 DMV Revenue'!D:T,17,FALSE)</f>
        <v>0</v>
      </c>
      <c r="G244" s="680"/>
      <c r="H244" s="680"/>
      <c r="I244" s="755"/>
      <c r="J244" s="682">
        <f t="shared" si="81"/>
        <v>0</v>
      </c>
      <c r="K244" s="683"/>
      <c r="L244" s="684"/>
      <c r="M244" s="753"/>
      <c r="N244" s="683">
        <v>0</v>
      </c>
      <c r="O244" s="686"/>
      <c r="P244" s="683">
        <v>0</v>
      </c>
      <c r="Q244" s="687">
        <f t="shared" si="88"/>
        <v>0</v>
      </c>
      <c r="R244" s="688">
        <v>0</v>
      </c>
      <c r="S244" s="693"/>
      <c r="T244" s="690">
        <f t="shared" si="89"/>
        <v>0</v>
      </c>
      <c r="U244" s="683"/>
      <c r="V244" s="474">
        <f t="shared" si="90"/>
        <v>0</v>
      </c>
      <c r="W244" s="474">
        <f t="shared" si="91"/>
        <v>0</v>
      </c>
      <c r="X244" s="475">
        <f t="shared" si="92"/>
        <v>0</v>
      </c>
      <c r="Y244" s="475">
        <v>0</v>
      </c>
      <c r="Z244" s="476">
        <v>0</v>
      </c>
      <c r="AA244" s="38">
        <f t="shared" si="93"/>
        <v>0</v>
      </c>
      <c r="AB244" s="692">
        <f t="shared" si="82"/>
        <v>0</v>
      </c>
      <c r="AC244" s="692">
        <f t="shared" si="83"/>
        <v>0</v>
      </c>
      <c r="AD244" s="692">
        <f t="shared" si="84"/>
        <v>0</v>
      </c>
      <c r="AE244" s="38"/>
      <c r="AF244" s="692">
        <f t="shared" si="85"/>
        <v>0</v>
      </c>
      <c r="AG244" s="692">
        <f t="shared" si="86"/>
        <v>0</v>
      </c>
      <c r="AH244" s="692">
        <f t="shared" si="87"/>
        <v>0</v>
      </c>
    </row>
    <row r="245" spans="1:34">
      <c r="A245" s="20"/>
      <c r="B245" s="20" t="s">
        <v>109</v>
      </c>
      <c r="C245" s="667" t="s">
        <v>582</v>
      </c>
      <c r="D245" s="68" t="s">
        <v>167</v>
      </c>
      <c r="E245" s="679"/>
      <c r="F245" s="529">
        <f>VLOOKUP(D245,'June 2012 DMV Revenue'!D:T,17,FALSE)</f>
        <v>0</v>
      </c>
      <c r="G245" s="680"/>
      <c r="H245" s="680"/>
      <c r="I245" s="755"/>
      <c r="J245" s="682">
        <f t="shared" si="81"/>
        <v>0</v>
      </c>
      <c r="K245" s="683"/>
      <c r="L245" s="684"/>
      <c r="M245" s="753"/>
      <c r="N245" s="683">
        <v>0</v>
      </c>
      <c r="O245" s="686"/>
      <c r="P245" s="683">
        <v>0</v>
      </c>
      <c r="Q245" s="687">
        <f t="shared" si="88"/>
        <v>0</v>
      </c>
      <c r="R245" s="688">
        <v>0</v>
      </c>
      <c r="S245" s="693"/>
      <c r="T245" s="690">
        <f t="shared" si="89"/>
        <v>0</v>
      </c>
      <c r="U245" s="683"/>
      <c r="V245" s="474">
        <f t="shared" si="90"/>
        <v>0</v>
      </c>
      <c r="W245" s="474">
        <f t="shared" si="91"/>
        <v>0</v>
      </c>
      <c r="X245" s="475">
        <f t="shared" si="92"/>
        <v>0</v>
      </c>
      <c r="Y245" s="475">
        <v>0</v>
      </c>
      <c r="Z245" s="476">
        <v>0</v>
      </c>
      <c r="AA245" s="38">
        <f t="shared" si="93"/>
        <v>0</v>
      </c>
      <c r="AB245" s="692">
        <f t="shared" si="82"/>
        <v>0</v>
      </c>
      <c r="AC245" s="692">
        <f t="shared" si="83"/>
        <v>0</v>
      </c>
      <c r="AD245" s="692">
        <f t="shared" si="84"/>
        <v>0</v>
      </c>
      <c r="AE245" s="38"/>
      <c r="AF245" s="692">
        <f t="shared" si="85"/>
        <v>0</v>
      </c>
      <c r="AG245" s="692">
        <f t="shared" si="86"/>
        <v>0</v>
      </c>
      <c r="AH245" s="692">
        <f t="shared" si="87"/>
        <v>0</v>
      </c>
    </row>
    <row r="246" spans="1:34">
      <c r="A246" s="20" t="s">
        <v>218</v>
      </c>
      <c r="B246" s="20" t="s">
        <v>110</v>
      </c>
      <c r="C246" s="667"/>
      <c r="D246" s="68" t="s">
        <v>240</v>
      </c>
      <c r="E246" s="679"/>
      <c r="F246" s="529">
        <f>VLOOKUP(D246,'June 2012 DMV Revenue'!D:T,17,FALSE)</f>
        <v>0</v>
      </c>
      <c r="G246" s="680"/>
      <c r="H246" s="680"/>
      <c r="I246" s="755"/>
      <c r="J246" s="682">
        <f t="shared" si="81"/>
        <v>0</v>
      </c>
      <c r="K246" s="683"/>
      <c r="L246" s="684"/>
      <c r="M246" s="753"/>
      <c r="N246" s="683">
        <v>0</v>
      </c>
      <c r="O246" s="686"/>
      <c r="P246" s="683">
        <v>0</v>
      </c>
      <c r="Q246" s="687">
        <f t="shared" si="88"/>
        <v>0</v>
      </c>
      <c r="R246" s="688">
        <v>0</v>
      </c>
      <c r="S246" s="693"/>
      <c r="T246" s="690">
        <f t="shared" si="89"/>
        <v>0</v>
      </c>
      <c r="U246" s="697"/>
      <c r="V246" s="474">
        <f t="shared" si="90"/>
        <v>0</v>
      </c>
      <c r="W246" s="474">
        <f t="shared" si="91"/>
        <v>0</v>
      </c>
      <c r="X246" s="475">
        <f t="shared" si="92"/>
        <v>0</v>
      </c>
      <c r="Y246" s="475">
        <v>0</v>
      </c>
      <c r="Z246" s="476">
        <v>0</v>
      </c>
      <c r="AA246" s="38">
        <f t="shared" si="93"/>
        <v>0</v>
      </c>
      <c r="AB246" s="692">
        <f t="shared" si="82"/>
        <v>0</v>
      </c>
      <c r="AC246" s="692">
        <f t="shared" si="83"/>
        <v>0</v>
      </c>
      <c r="AD246" s="692">
        <f t="shared" si="84"/>
        <v>0</v>
      </c>
      <c r="AE246" s="38"/>
      <c r="AF246" s="692">
        <f t="shared" si="85"/>
        <v>0</v>
      </c>
      <c r="AG246" s="692">
        <f t="shared" si="86"/>
        <v>0</v>
      </c>
      <c r="AH246" s="692">
        <f t="shared" si="87"/>
        <v>0</v>
      </c>
    </row>
    <row r="247" spans="1:34">
      <c r="A247" s="20" t="s">
        <v>218</v>
      </c>
      <c r="B247" s="20" t="s">
        <v>110</v>
      </c>
      <c r="C247" s="667"/>
      <c r="D247" s="68" t="s">
        <v>60</v>
      </c>
      <c r="E247" s="679"/>
      <c r="F247" s="529">
        <f>VLOOKUP(D247,'June 2012 DMV Revenue'!D:T,17,FALSE)</f>
        <v>-8000</v>
      </c>
      <c r="G247" s="680"/>
      <c r="H247" s="680"/>
      <c r="I247" s="755"/>
      <c r="J247" s="682">
        <f t="shared" si="81"/>
        <v>-8000</v>
      </c>
      <c r="K247" s="683"/>
      <c r="L247" s="684"/>
      <c r="M247" s="753">
        <v>10000</v>
      </c>
      <c r="N247" s="683">
        <v>0</v>
      </c>
      <c r="O247" s="686"/>
      <c r="P247" s="683">
        <v>0</v>
      </c>
      <c r="Q247" s="687">
        <f t="shared" si="88"/>
        <v>10000</v>
      </c>
      <c r="R247" s="688">
        <v>0</v>
      </c>
      <c r="S247" s="693"/>
      <c r="T247" s="690">
        <f t="shared" si="89"/>
        <v>-10000</v>
      </c>
      <c r="U247" s="697"/>
      <c r="V247" s="474">
        <f t="shared" si="90"/>
        <v>10000</v>
      </c>
      <c r="W247" s="474">
        <f t="shared" si="91"/>
        <v>0</v>
      </c>
      <c r="X247" s="475">
        <f t="shared" si="92"/>
        <v>0</v>
      </c>
      <c r="Y247" s="475">
        <v>0</v>
      </c>
      <c r="Z247" s="476">
        <v>0</v>
      </c>
      <c r="AA247" s="38">
        <f t="shared" si="93"/>
        <v>0</v>
      </c>
      <c r="AB247" s="692">
        <f t="shared" si="82"/>
        <v>-8000</v>
      </c>
      <c r="AC247" s="692">
        <f t="shared" si="83"/>
        <v>0</v>
      </c>
      <c r="AD247" s="692">
        <f t="shared" si="84"/>
        <v>0</v>
      </c>
      <c r="AE247" s="38"/>
      <c r="AF247" s="692">
        <f t="shared" si="85"/>
        <v>10000</v>
      </c>
      <c r="AG247" s="692">
        <f t="shared" si="86"/>
        <v>0</v>
      </c>
      <c r="AH247" s="692">
        <f t="shared" si="87"/>
        <v>0</v>
      </c>
    </row>
    <row r="248" spans="1:34">
      <c r="A248" s="20"/>
      <c r="B248" s="20" t="s">
        <v>110</v>
      </c>
      <c r="C248" s="667" t="s">
        <v>583</v>
      </c>
      <c r="D248" s="68" t="s">
        <v>169</v>
      </c>
      <c r="E248" s="679"/>
      <c r="F248" s="529">
        <f>VLOOKUP(D248,'June 2012 DMV Revenue'!D:T,17,FALSE)</f>
        <v>0</v>
      </c>
      <c r="G248" s="680"/>
      <c r="H248" s="680"/>
      <c r="I248" s="755"/>
      <c r="J248" s="682">
        <f t="shared" si="81"/>
        <v>0</v>
      </c>
      <c r="K248" s="683"/>
      <c r="L248" s="684"/>
      <c r="M248" s="753"/>
      <c r="N248" s="683">
        <v>0</v>
      </c>
      <c r="O248" s="686"/>
      <c r="P248" s="683">
        <v>0</v>
      </c>
      <c r="Q248" s="687">
        <f t="shared" si="88"/>
        <v>0</v>
      </c>
      <c r="R248" s="688">
        <v>243.63</v>
      </c>
      <c r="S248" s="693"/>
      <c r="T248" s="690">
        <f t="shared" si="89"/>
        <v>243.63</v>
      </c>
      <c r="U248" s="683"/>
      <c r="V248" s="474">
        <f t="shared" si="90"/>
        <v>0</v>
      </c>
      <c r="W248" s="474">
        <f t="shared" si="91"/>
        <v>0</v>
      </c>
      <c r="X248" s="475">
        <f t="shared" si="92"/>
        <v>0</v>
      </c>
      <c r="Y248" s="475">
        <v>0</v>
      </c>
      <c r="Z248" s="476">
        <v>0</v>
      </c>
      <c r="AA248" s="38">
        <f t="shared" si="93"/>
        <v>0</v>
      </c>
      <c r="AB248" s="692">
        <f t="shared" si="82"/>
        <v>0</v>
      </c>
      <c r="AC248" s="692">
        <f t="shared" si="83"/>
        <v>0</v>
      </c>
      <c r="AD248" s="692">
        <f t="shared" si="84"/>
        <v>0</v>
      </c>
      <c r="AE248" s="38"/>
      <c r="AF248" s="692">
        <f t="shared" si="85"/>
        <v>0</v>
      </c>
      <c r="AG248" s="692">
        <f t="shared" si="86"/>
        <v>0</v>
      </c>
      <c r="AH248" s="692">
        <f t="shared" si="87"/>
        <v>0</v>
      </c>
    </row>
    <row r="249" spans="1:34">
      <c r="A249" s="21"/>
      <c r="B249" s="21" t="s">
        <v>110</v>
      </c>
      <c r="C249" s="666"/>
      <c r="D249" s="68" t="s">
        <v>590</v>
      </c>
      <c r="E249" s="679"/>
      <c r="F249" s="529">
        <f>VLOOKUP(D249,'June 2012 DMV Revenue'!D:T,17,FALSE)</f>
        <v>0</v>
      </c>
      <c r="G249" s="680"/>
      <c r="H249" s="680"/>
      <c r="I249" s="755"/>
      <c r="J249" s="682">
        <f t="shared" si="81"/>
        <v>0</v>
      </c>
      <c r="K249" s="683"/>
      <c r="L249" s="684"/>
      <c r="M249" s="753"/>
      <c r="N249" s="683">
        <v>0</v>
      </c>
      <c r="O249" s="686"/>
      <c r="P249" s="683">
        <v>0</v>
      </c>
      <c r="Q249" s="687">
        <f t="shared" si="88"/>
        <v>0</v>
      </c>
      <c r="R249" s="688">
        <v>0</v>
      </c>
      <c r="S249" s="693"/>
      <c r="T249" s="690">
        <f t="shared" si="89"/>
        <v>0</v>
      </c>
      <c r="U249" s="683"/>
      <c r="V249" s="474">
        <f t="shared" si="90"/>
        <v>0</v>
      </c>
      <c r="W249" s="474">
        <f t="shared" si="91"/>
        <v>0</v>
      </c>
      <c r="X249" s="475">
        <f t="shared" si="92"/>
        <v>0</v>
      </c>
      <c r="Y249" s="475">
        <v>0</v>
      </c>
      <c r="Z249" s="476">
        <v>0</v>
      </c>
      <c r="AA249" s="38">
        <f t="shared" si="93"/>
        <v>0</v>
      </c>
      <c r="AB249" s="692">
        <f t="shared" si="82"/>
        <v>0</v>
      </c>
      <c r="AC249" s="692">
        <f t="shared" si="83"/>
        <v>0</v>
      </c>
      <c r="AD249" s="692">
        <f t="shared" si="84"/>
        <v>0</v>
      </c>
      <c r="AE249" s="38"/>
      <c r="AF249" s="692">
        <f t="shared" si="85"/>
        <v>0</v>
      </c>
      <c r="AG249" s="692">
        <f t="shared" si="86"/>
        <v>0</v>
      </c>
      <c r="AH249" s="692">
        <f t="shared" si="87"/>
        <v>0</v>
      </c>
    </row>
    <row r="250" spans="1:34">
      <c r="A250" s="21"/>
      <c r="B250" s="21" t="s">
        <v>114</v>
      </c>
      <c r="C250" s="666"/>
      <c r="D250" s="68" t="s">
        <v>591</v>
      </c>
      <c r="E250" s="679"/>
      <c r="F250" s="529">
        <f>VLOOKUP(D250,'June 2012 DMV Revenue'!D:T,17,FALSE)</f>
        <v>2583.79</v>
      </c>
      <c r="G250" s="680"/>
      <c r="H250" s="680"/>
      <c r="I250" s="755"/>
      <c r="J250" s="682">
        <f t="shared" si="81"/>
        <v>2583.79</v>
      </c>
      <c r="K250" s="683"/>
      <c r="L250" s="684"/>
      <c r="M250" s="753"/>
      <c r="N250" s="683">
        <v>0</v>
      </c>
      <c r="O250" s="686"/>
      <c r="P250" s="683">
        <v>0</v>
      </c>
      <c r="Q250" s="687">
        <f t="shared" si="88"/>
        <v>0</v>
      </c>
      <c r="R250" s="688">
        <f>265.13+90.37+1633.54+540.4</f>
        <v>2529.44</v>
      </c>
      <c r="S250" s="693"/>
      <c r="T250" s="690">
        <f t="shared" si="89"/>
        <v>2529.44</v>
      </c>
      <c r="U250" s="683"/>
      <c r="V250" s="474">
        <f t="shared" si="90"/>
        <v>0</v>
      </c>
      <c r="W250" s="474">
        <f t="shared" si="91"/>
        <v>0</v>
      </c>
      <c r="X250" s="475">
        <f t="shared" si="92"/>
        <v>0</v>
      </c>
      <c r="Y250" s="475">
        <v>0</v>
      </c>
      <c r="Z250" s="476">
        <v>0</v>
      </c>
      <c r="AA250" s="38">
        <f t="shared" si="93"/>
        <v>0</v>
      </c>
      <c r="AB250" s="692">
        <f t="shared" si="82"/>
        <v>0</v>
      </c>
      <c r="AC250" s="692">
        <f t="shared" si="83"/>
        <v>0</v>
      </c>
      <c r="AD250" s="692">
        <f t="shared" si="84"/>
        <v>2583.79</v>
      </c>
      <c r="AE250" s="38"/>
      <c r="AF250" s="692">
        <f t="shared" si="85"/>
        <v>0</v>
      </c>
      <c r="AG250" s="692">
        <f t="shared" si="86"/>
        <v>0</v>
      </c>
      <c r="AH250" s="692">
        <f t="shared" si="87"/>
        <v>0</v>
      </c>
    </row>
    <row r="251" spans="1:34">
      <c r="A251" s="21"/>
      <c r="B251" s="21" t="s">
        <v>114</v>
      </c>
      <c r="C251" s="672"/>
      <c r="D251" s="519" t="s">
        <v>433</v>
      </c>
      <c r="E251" s="679"/>
      <c r="F251" s="529">
        <f>VLOOKUP(D251,'June 2012 DMV Revenue'!D:T,17,FALSE)</f>
        <v>0</v>
      </c>
      <c r="G251" s="680"/>
      <c r="H251" s="680"/>
      <c r="I251" s="755"/>
      <c r="J251" s="682">
        <f t="shared" si="81"/>
        <v>0</v>
      </c>
      <c r="K251" s="683"/>
      <c r="L251" s="684"/>
      <c r="M251" s="753"/>
      <c r="N251" s="683">
        <v>0</v>
      </c>
      <c r="O251" s="686"/>
      <c r="P251" s="683">
        <v>0</v>
      </c>
      <c r="Q251" s="687">
        <f t="shared" si="88"/>
        <v>0</v>
      </c>
      <c r="R251" s="688">
        <v>0</v>
      </c>
      <c r="S251" s="693"/>
      <c r="T251" s="690">
        <f t="shared" si="89"/>
        <v>0</v>
      </c>
      <c r="U251" s="683"/>
      <c r="V251" s="474">
        <f t="shared" si="90"/>
        <v>0</v>
      </c>
      <c r="W251" s="474">
        <f t="shared" si="91"/>
        <v>0</v>
      </c>
      <c r="X251" s="475">
        <f t="shared" si="92"/>
        <v>0</v>
      </c>
      <c r="Y251" s="475">
        <v>0</v>
      </c>
      <c r="Z251" s="476">
        <v>0</v>
      </c>
      <c r="AA251" s="38">
        <f t="shared" si="93"/>
        <v>0</v>
      </c>
      <c r="AB251" s="692">
        <f t="shared" si="82"/>
        <v>0</v>
      </c>
      <c r="AC251" s="692">
        <f t="shared" si="83"/>
        <v>0</v>
      </c>
      <c r="AD251" s="692">
        <f t="shared" si="84"/>
        <v>0</v>
      </c>
      <c r="AE251" s="38"/>
      <c r="AF251" s="692">
        <f t="shared" si="85"/>
        <v>0</v>
      </c>
      <c r="AG251" s="692">
        <f t="shared" si="86"/>
        <v>0</v>
      </c>
      <c r="AH251" s="692">
        <f t="shared" si="87"/>
        <v>0</v>
      </c>
    </row>
    <row r="252" spans="1:34">
      <c r="A252" s="21"/>
      <c r="B252" s="21" t="s">
        <v>114</v>
      </c>
      <c r="C252" s="672"/>
      <c r="D252" s="519" t="s">
        <v>594</v>
      </c>
      <c r="E252" s="679"/>
      <c r="F252" s="529">
        <f>VLOOKUP(D252,'June 2012 DMV Revenue'!D:T,17,FALSE)</f>
        <v>0</v>
      </c>
      <c r="G252" s="680"/>
      <c r="H252" s="680"/>
      <c r="I252" s="755"/>
      <c r="J252" s="682">
        <f t="shared" si="81"/>
        <v>0</v>
      </c>
      <c r="K252" s="683"/>
      <c r="L252" s="684"/>
      <c r="M252" s="753"/>
      <c r="N252" s="683">
        <v>0</v>
      </c>
      <c r="O252" s="686"/>
      <c r="P252" s="683">
        <v>0</v>
      </c>
      <c r="Q252" s="687">
        <f t="shared" si="88"/>
        <v>0</v>
      </c>
      <c r="R252" s="688">
        <v>0</v>
      </c>
      <c r="S252" s="693"/>
      <c r="T252" s="690">
        <f t="shared" si="89"/>
        <v>0</v>
      </c>
      <c r="U252" s="683"/>
      <c r="V252" s="474">
        <f t="shared" si="90"/>
        <v>0</v>
      </c>
      <c r="W252" s="474">
        <f t="shared" si="91"/>
        <v>0</v>
      </c>
      <c r="X252" s="475">
        <f t="shared" si="92"/>
        <v>0</v>
      </c>
      <c r="Y252" s="475">
        <v>0</v>
      </c>
      <c r="Z252" s="476">
        <v>0</v>
      </c>
      <c r="AA252" s="38">
        <f t="shared" si="93"/>
        <v>0</v>
      </c>
      <c r="AB252" s="692">
        <f t="shared" si="82"/>
        <v>0</v>
      </c>
      <c r="AC252" s="692">
        <f t="shared" si="83"/>
        <v>0</v>
      </c>
      <c r="AD252" s="692">
        <f t="shared" si="84"/>
        <v>0</v>
      </c>
      <c r="AE252" s="38"/>
      <c r="AF252" s="692">
        <f t="shared" si="85"/>
        <v>0</v>
      </c>
      <c r="AG252" s="692">
        <f t="shared" si="86"/>
        <v>0</v>
      </c>
      <c r="AH252" s="692">
        <f t="shared" si="87"/>
        <v>0</v>
      </c>
    </row>
    <row r="253" spans="1:34">
      <c r="A253" s="21"/>
      <c r="B253" s="21" t="s">
        <v>110</v>
      </c>
      <c r="C253" s="672"/>
      <c r="D253" s="519" t="s">
        <v>596</v>
      </c>
      <c r="E253" s="679"/>
      <c r="F253" s="529">
        <f>VLOOKUP(D253,'June 2012 DMV Revenue'!D:T,17,FALSE)</f>
        <v>0</v>
      </c>
      <c r="G253" s="680"/>
      <c r="H253" s="680"/>
      <c r="I253" s="755"/>
      <c r="J253" s="682">
        <f t="shared" si="81"/>
        <v>0</v>
      </c>
      <c r="K253" s="683"/>
      <c r="L253" s="684"/>
      <c r="M253" s="753"/>
      <c r="N253" s="683">
        <v>0</v>
      </c>
      <c r="O253" s="686"/>
      <c r="P253" s="683">
        <v>0</v>
      </c>
      <c r="Q253" s="687">
        <f t="shared" si="88"/>
        <v>0</v>
      </c>
      <c r="R253" s="688">
        <v>0</v>
      </c>
      <c r="S253" s="693"/>
      <c r="T253" s="690">
        <f t="shared" si="89"/>
        <v>0</v>
      </c>
      <c r="U253" s="683"/>
      <c r="V253" s="474">
        <f t="shared" si="90"/>
        <v>0</v>
      </c>
      <c r="W253" s="474">
        <f t="shared" si="91"/>
        <v>0</v>
      </c>
      <c r="X253" s="475">
        <f t="shared" si="92"/>
        <v>0</v>
      </c>
      <c r="Y253" s="475">
        <v>0</v>
      </c>
      <c r="Z253" s="476">
        <v>0</v>
      </c>
      <c r="AA253" s="38">
        <f t="shared" si="93"/>
        <v>0</v>
      </c>
      <c r="AB253" s="692">
        <f t="shared" si="82"/>
        <v>0</v>
      </c>
      <c r="AC253" s="692">
        <f t="shared" si="83"/>
        <v>0</v>
      </c>
      <c r="AD253" s="692">
        <f t="shared" si="84"/>
        <v>0</v>
      </c>
      <c r="AE253" s="38"/>
      <c r="AF253" s="692">
        <f t="shared" si="85"/>
        <v>0</v>
      </c>
      <c r="AG253" s="692">
        <f t="shared" si="86"/>
        <v>0</v>
      </c>
      <c r="AH253" s="692">
        <f t="shared" si="87"/>
        <v>0</v>
      </c>
    </row>
    <row r="254" spans="1:34" s="146" customFormat="1">
      <c r="A254" s="21"/>
      <c r="B254" s="21" t="s">
        <v>109</v>
      </c>
      <c r="C254" s="666"/>
      <c r="D254" s="68" t="s">
        <v>93</v>
      </c>
      <c r="E254" s="679"/>
      <c r="F254" s="529">
        <f>VLOOKUP(D254,'June 2012 DMV Revenue'!D:T,17,FALSE)</f>
        <v>0</v>
      </c>
      <c r="G254" s="680"/>
      <c r="H254" s="680"/>
      <c r="I254" s="755"/>
      <c r="J254" s="682">
        <f t="shared" si="81"/>
        <v>0</v>
      </c>
      <c r="K254" s="683"/>
      <c r="L254" s="684"/>
      <c r="M254" s="753"/>
      <c r="N254" s="683">
        <v>0</v>
      </c>
      <c r="O254" s="686"/>
      <c r="P254" s="683">
        <v>0</v>
      </c>
      <c r="Q254" s="687">
        <f t="shared" si="88"/>
        <v>0</v>
      </c>
      <c r="R254" s="688">
        <v>0</v>
      </c>
      <c r="S254" s="693"/>
      <c r="T254" s="690">
        <f t="shared" si="89"/>
        <v>0</v>
      </c>
      <c r="U254" s="683"/>
      <c r="V254" s="474">
        <f t="shared" si="90"/>
        <v>0</v>
      </c>
      <c r="W254" s="474">
        <f t="shared" si="91"/>
        <v>0</v>
      </c>
      <c r="X254" s="475">
        <f t="shared" si="92"/>
        <v>0</v>
      </c>
      <c r="Y254" s="475">
        <v>0</v>
      </c>
      <c r="Z254" s="476">
        <v>0</v>
      </c>
      <c r="AA254" s="38">
        <f t="shared" si="93"/>
        <v>0</v>
      </c>
      <c r="AB254" s="692">
        <f t="shared" si="82"/>
        <v>0</v>
      </c>
      <c r="AC254" s="692">
        <f t="shared" si="83"/>
        <v>0</v>
      </c>
      <c r="AD254" s="692">
        <f t="shared" si="84"/>
        <v>0</v>
      </c>
      <c r="AE254" s="38"/>
      <c r="AF254" s="692">
        <f t="shared" si="85"/>
        <v>0</v>
      </c>
      <c r="AG254" s="692">
        <f t="shared" si="86"/>
        <v>0</v>
      </c>
      <c r="AH254" s="692">
        <f t="shared" si="87"/>
        <v>0</v>
      </c>
    </row>
    <row r="255" spans="1:34" s="146" customFormat="1" ht="13" thickBot="1">
      <c r="A255" s="21"/>
      <c r="B255" s="21" t="s">
        <v>110</v>
      </c>
      <c r="C255" s="666"/>
      <c r="D255" s="68" t="s">
        <v>593</v>
      </c>
      <c r="E255" s="679"/>
      <c r="F255" s="529">
        <f>VLOOKUP(D255,'June 2012 DMV Revenue'!D:T,17,FALSE)</f>
        <v>0</v>
      </c>
      <c r="G255" s="680"/>
      <c r="H255" s="680"/>
      <c r="I255" s="755"/>
      <c r="J255" s="682">
        <f t="shared" si="81"/>
        <v>0</v>
      </c>
      <c r="K255" s="683"/>
      <c r="L255" s="684"/>
      <c r="M255" s="753"/>
      <c r="N255" s="683">
        <v>0</v>
      </c>
      <c r="O255" s="686"/>
      <c r="P255" s="683">
        <v>0</v>
      </c>
      <c r="Q255" s="687">
        <f t="shared" si="88"/>
        <v>0</v>
      </c>
      <c r="R255" s="688">
        <v>0</v>
      </c>
      <c r="S255" s="693"/>
      <c r="T255" s="690">
        <f t="shared" si="89"/>
        <v>0</v>
      </c>
      <c r="U255" s="683"/>
      <c r="V255" s="474">
        <f t="shared" si="90"/>
        <v>0</v>
      </c>
      <c r="W255" s="474">
        <f t="shared" si="91"/>
        <v>0</v>
      </c>
      <c r="X255" s="475">
        <f t="shared" si="92"/>
        <v>0</v>
      </c>
      <c r="Y255" s="475">
        <v>0</v>
      </c>
      <c r="Z255" s="476">
        <v>0</v>
      </c>
      <c r="AA255" s="38">
        <f t="shared" si="93"/>
        <v>0</v>
      </c>
      <c r="AB255" s="692">
        <f t="shared" si="82"/>
        <v>0</v>
      </c>
      <c r="AC255" s="692">
        <f t="shared" si="83"/>
        <v>0</v>
      </c>
      <c r="AD255" s="692">
        <f t="shared" si="84"/>
        <v>0</v>
      </c>
      <c r="AE255" s="38"/>
      <c r="AF255" s="692">
        <f t="shared" si="85"/>
        <v>0</v>
      </c>
      <c r="AG255" s="692">
        <f t="shared" si="86"/>
        <v>0</v>
      </c>
      <c r="AH255" s="692">
        <f t="shared" si="87"/>
        <v>0</v>
      </c>
    </row>
    <row r="256" spans="1:34" ht="13" thickBot="1">
      <c r="A256" s="107"/>
      <c r="B256" s="108"/>
      <c r="C256" s="673"/>
      <c r="D256" s="71" t="s">
        <v>86</v>
      </c>
      <c r="E256" s="454">
        <f>SUM(E16:E255)</f>
        <v>87115.5</v>
      </c>
      <c r="F256" s="454">
        <f>SUM(F16:F255)</f>
        <v>-548540.68000000005</v>
      </c>
      <c r="G256" s="454">
        <f t="shared" ref="G256:J256" si="94">SUM(G16:G255)</f>
        <v>0</v>
      </c>
      <c r="H256" s="454">
        <f t="shared" si="94"/>
        <v>0</v>
      </c>
      <c r="I256" s="454">
        <f t="shared" si="94"/>
        <v>5399424.0300000021</v>
      </c>
      <c r="J256" s="454">
        <f t="shared" si="94"/>
        <v>4937998.8500000043</v>
      </c>
      <c r="K256" s="454"/>
      <c r="L256" s="454">
        <f>SUM(L16:L255)</f>
        <v>356026.92</v>
      </c>
      <c r="M256" s="454">
        <f>SUM(M16:M255)</f>
        <v>2950175</v>
      </c>
      <c r="N256" s="454">
        <f>SUM(N16:N255)</f>
        <v>0</v>
      </c>
      <c r="O256" s="100">
        <f>SUM(O16:O255)</f>
        <v>0</v>
      </c>
      <c r="P256" s="157">
        <f>SUM(P17:P255)</f>
        <v>0</v>
      </c>
      <c r="Q256" s="100">
        <f>SUM(Q16:Q255)</f>
        <v>3306201.92</v>
      </c>
      <c r="R256" s="100">
        <f>SUM(R16:R255)</f>
        <v>2285441.13</v>
      </c>
      <c r="S256" s="708"/>
      <c r="T256" s="100">
        <f>SUM(T16:T255)</f>
        <v>-1020760.7899999999</v>
      </c>
      <c r="U256" s="683"/>
      <c r="V256" s="314">
        <f>SUM(V16:V255)</f>
        <v>2768538.73</v>
      </c>
      <c r="W256" s="314">
        <f>SUM(W16:W255)</f>
        <v>422000</v>
      </c>
      <c r="X256" s="314">
        <f>SUM(X16:X255)</f>
        <v>115663.19</v>
      </c>
      <c r="Y256" s="314">
        <f>SUM(Y16:Y255)</f>
        <v>0</v>
      </c>
      <c r="Z256" s="314">
        <f>SUM(Z16:Z255)</f>
        <v>0</v>
      </c>
      <c r="AA256" s="38"/>
      <c r="AB256" s="314">
        <f>SUM(AB16:AB255)</f>
        <v>5041108.0100000035</v>
      </c>
      <c r="AC256" s="314">
        <f>SUM(AC16:AC255)</f>
        <v>-65767.739999999991</v>
      </c>
      <c r="AD256" s="314">
        <f>SUM(AD16:AD255)</f>
        <v>-37341.42</v>
      </c>
      <c r="AE256" s="38"/>
      <c r="AF256" s="314">
        <f>SUM(AF16:AF255)</f>
        <v>2768538.73</v>
      </c>
      <c r="AG256" s="314">
        <f>SUM(AG16:AG255)</f>
        <v>422000</v>
      </c>
      <c r="AH256" s="314">
        <f>SUM(AH16:AH255)</f>
        <v>115663.19</v>
      </c>
    </row>
    <row r="257" spans="1:34" ht="13" thickBot="1">
      <c r="A257" s="65"/>
      <c r="B257" s="65"/>
      <c r="C257" s="674"/>
      <c r="D257" s="141"/>
      <c r="E257" s="709" t="s">
        <v>293</v>
      </c>
      <c r="F257" s="160">
        <f>F256+E256</f>
        <v>-461425.18000000005</v>
      </c>
      <c r="G257" s="153"/>
      <c r="H257" s="153" t="s">
        <v>225</v>
      </c>
      <c r="I257" s="153">
        <f>I256+H256+G256</f>
        <v>5399424.0300000021</v>
      </c>
      <c r="J257" s="323"/>
      <c r="K257" s="153"/>
      <c r="L257" s="153" t="s">
        <v>296</v>
      </c>
      <c r="M257" s="100">
        <f>M256+L256</f>
        <v>3306201.92</v>
      </c>
      <c r="N257" s="153"/>
      <c r="O257" s="641"/>
      <c r="P257" s="153"/>
      <c r="Q257" s="153"/>
      <c r="R257" s="153"/>
      <c r="S257" s="153"/>
      <c r="T257" s="153"/>
      <c r="U257" s="153"/>
      <c r="V257" s="139"/>
      <c r="W257" s="139"/>
      <c r="X257" s="139"/>
      <c r="Y257" s="139"/>
      <c r="Z257" s="104"/>
      <c r="AA257" s="38"/>
      <c r="AB257" s="711"/>
      <c r="AC257" s="711"/>
      <c r="AD257" s="711"/>
      <c r="AE257" s="38"/>
      <c r="AF257" s="38"/>
      <c r="AG257" s="38"/>
      <c r="AH257" s="38"/>
    </row>
    <row r="258" spans="1:34" ht="13" thickBot="1">
      <c r="A258" s="65"/>
      <c r="B258" s="65"/>
      <c r="C258" s="674"/>
      <c r="E258" s="159"/>
      <c r="F258" s="153"/>
      <c r="G258" s="153"/>
      <c r="H258" s="153"/>
      <c r="I258" s="153"/>
      <c r="J258" s="153"/>
      <c r="K258" s="153"/>
      <c r="L258" s="153"/>
      <c r="M258" s="710"/>
      <c r="N258" s="153"/>
      <c r="O258" s="153"/>
      <c r="P258" s="153"/>
      <c r="Q258" s="153"/>
      <c r="R258" s="153"/>
      <c r="S258" s="153"/>
      <c r="T258" s="153"/>
      <c r="U258" s="153"/>
      <c r="V258" s="331" t="s">
        <v>345</v>
      </c>
      <c r="W258" s="139"/>
      <c r="X258" s="139"/>
      <c r="Y258" s="139"/>
      <c r="Z258" s="104"/>
      <c r="AA258" s="164" t="s">
        <v>633</v>
      </c>
      <c r="AB258" s="139">
        <v>-10000</v>
      </c>
      <c r="AC258" s="139"/>
      <c r="AD258" s="139">
        <v>10000</v>
      </c>
      <c r="AE258" s="38"/>
      <c r="AF258" s="711"/>
      <c r="AG258" s="711"/>
      <c r="AH258" s="711"/>
    </row>
    <row r="259" spans="1:34" ht="17" thickTop="1" thickBot="1">
      <c r="E259" s="712"/>
      <c r="F259" s="713"/>
      <c r="G259" s="714"/>
      <c r="H259" s="715"/>
      <c r="I259" s="715"/>
      <c r="J259" s="164"/>
      <c r="K259" s="169"/>
      <c r="L259" s="233"/>
      <c r="M259" s="233"/>
      <c r="N259" s="38"/>
      <c r="O259" s="642"/>
      <c r="P259" s="139"/>
      <c r="Q259" s="139"/>
      <c r="R259" s="33"/>
      <c r="S259" s="33"/>
      <c r="T259" s="33"/>
      <c r="U259" s="169"/>
      <c r="V259" s="332"/>
      <c r="W259" s="333"/>
      <c r="X259" s="491"/>
      <c r="Y259" s="491"/>
      <c r="Z259" s="334"/>
      <c r="AA259" s="164" t="s">
        <v>634</v>
      </c>
      <c r="AB259" s="104">
        <v>-98347.42</v>
      </c>
      <c r="AC259" s="38"/>
      <c r="AD259" s="104">
        <v>98347.42</v>
      </c>
      <c r="AE259" s="38"/>
      <c r="AF259" s="38"/>
      <c r="AG259" s="38"/>
      <c r="AH259" s="38"/>
    </row>
    <row r="260" spans="1:34" ht="17" thickBot="1">
      <c r="E260" s="712"/>
      <c r="F260" s="713"/>
      <c r="G260" s="714"/>
      <c r="H260" s="715"/>
      <c r="J260" s="79">
        <f>J256</f>
        <v>4937998.8500000043</v>
      </c>
      <c r="K260" s="715" t="s">
        <v>831</v>
      </c>
      <c r="L260" s="169"/>
      <c r="M260" s="493"/>
      <c r="N260" s="38"/>
      <c r="O260" s="80"/>
      <c r="P260" s="104"/>
      <c r="Q260" s="139"/>
      <c r="R260" s="33"/>
      <c r="S260" s="33"/>
      <c r="T260" s="33"/>
      <c r="U260" s="169"/>
      <c r="V260" s="487"/>
      <c r="W260" s="488"/>
      <c r="X260" s="492" t="s">
        <v>399</v>
      </c>
      <c r="Y260" s="492" t="s">
        <v>400</v>
      </c>
      <c r="Z260" s="488"/>
      <c r="AA260" s="717" t="s">
        <v>475</v>
      </c>
      <c r="AB260" s="718">
        <f>SUM(AB256:AB259)</f>
        <v>4932760.5900000036</v>
      </c>
      <c r="AC260" s="718">
        <f>AC256</f>
        <v>-65767.739999999991</v>
      </c>
      <c r="AD260" s="718">
        <f>SUM(AD256:AD259)</f>
        <v>71006</v>
      </c>
      <c r="AE260" s="718"/>
      <c r="AF260" s="718">
        <f>AF256</f>
        <v>2768538.73</v>
      </c>
      <c r="AG260" s="718">
        <f>AG256</f>
        <v>422000</v>
      </c>
      <c r="AH260" s="719">
        <f>AH256</f>
        <v>115663.19</v>
      </c>
    </row>
    <row r="261" spans="1:34" ht="15" thickBot="1">
      <c r="D261" s="143"/>
      <c r="E261" s="759"/>
      <c r="F261" s="713"/>
      <c r="G261" s="714"/>
      <c r="H261" s="720"/>
      <c r="J261" s="750">
        <v>0</v>
      </c>
      <c r="K261" s="757" t="s">
        <v>251</v>
      </c>
      <c r="L261" s="722"/>
      <c r="M261" s="642"/>
      <c r="N261" s="33"/>
      <c r="O261" s="80"/>
      <c r="P261" s="104"/>
      <c r="Q261" s="139"/>
      <c r="R261" s="33"/>
      <c r="S261" s="33"/>
      <c r="T261" s="33"/>
      <c r="U261" s="169"/>
      <c r="V261" s="158" t="s">
        <v>609</v>
      </c>
      <c r="W261" s="104" t="s">
        <v>352</v>
      </c>
      <c r="X261" s="104">
        <f>V256+W256+X256</f>
        <v>3306201.92</v>
      </c>
      <c r="Y261" s="104"/>
      <c r="Z261" s="136"/>
      <c r="AA261" s="723"/>
      <c r="AB261" s="38"/>
      <c r="AC261" s="38"/>
      <c r="AD261" s="38"/>
      <c r="AE261" s="38"/>
      <c r="AF261" s="38"/>
      <c r="AG261" s="38"/>
      <c r="AH261" s="38"/>
    </row>
    <row r="262" spans="1:34" ht="15" thickTop="1">
      <c r="D262" s="143"/>
      <c r="E262" s="712"/>
      <c r="F262" s="713"/>
      <c r="G262" s="714"/>
      <c r="H262" s="714" t="s">
        <v>249</v>
      </c>
      <c r="J262" s="173">
        <f>J261+J260</f>
        <v>4937998.8500000043</v>
      </c>
      <c r="K262" s="714" t="s">
        <v>454</v>
      </c>
      <c r="L262" s="722"/>
      <c r="M262" s="80"/>
      <c r="N262" s="104"/>
      <c r="O262" s="173"/>
      <c r="P262" s="104"/>
      <c r="Q262" s="139"/>
      <c r="R262" s="139"/>
      <c r="S262" s="139"/>
      <c r="T262" s="139"/>
      <c r="U262" s="169"/>
      <c r="V262" s="158"/>
      <c r="W262" s="104"/>
      <c r="X262" s="104"/>
      <c r="Y262" s="104"/>
      <c r="Z262" s="136"/>
      <c r="AA262" s="723"/>
      <c r="AB262" s="38"/>
      <c r="AC262" s="38"/>
      <c r="AD262" s="38" t="s">
        <v>86</v>
      </c>
      <c r="AE262" s="38"/>
      <c r="AF262" s="233">
        <f>SUM(AB260+AF260)</f>
        <v>7701299.320000004</v>
      </c>
      <c r="AG262" s="233">
        <f t="shared" ref="AG262:AH262" si="95">SUM(AC260+AG260)</f>
        <v>356232.26</v>
      </c>
      <c r="AH262" s="233">
        <f t="shared" si="95"/>
        <v>186669.19</v>
      </c>
    </row>
    <row r="263" spans="1:34" ht="14">
      <c r="D263" s="143"/>
      <c r="E263" s="712"/>
      <c r="F263" s="713"/>
      <c r="G263" s="714"/>
      <c r="H263" s="714"/>
      <c r="J263" s="80"/>
      <c r="K263" s="714"/>
      <c r="L263" s="722"/>
      <c r="M263" s="104"/>
      <c r="N263" s="38"/>
      <c r="O263" s="139"/>
      <c r="P263" s="104"/>
      <c r="Q263" s="139"/>
      <c r="R263" s="139"/>
      <c r="S263" s="139"/>
      <c r="T263" s="139"/>
      <c r="U263" s="169"/>
      <c r="V263" s="158" t="s">
        <v>600</v>
      </c>
      <c r="W263" s="104" t="s">
        <v>355</v>
      </c>
      <c r="X263" s="104"/>
      <c r="Y263" s="104">
        <f>V256</f>
        <v>2768538.73</v>
      </c>
      <c r="Z263" s="136"/>
      <c r="AA263" s="38"/>
      <c r="AB263" s="752"/>
      <c r="AC263" s="38"/>
      <c r="AD263" s="38"/>
      <c r="AE263" s="38"/>
      <c r="AF263" s="233"/>
      <c r="AG263" s="233"/>
      <c r="AH263" s="233"/>
    </row>
    <row r="264" spans="1:34" ht="15" thickBot="1">
      <c r="D264" s="143" t="s">
        <v>823</v>
      </c>
      <c r="E264" s="712"/>
      <c r="F264" s="713"/>
      <c r="G264" s="714"/>
      <c r="H264" s="714"/>
      <c r="J264" s="661">
        <f>M257</f>
        <v>3306201.92</v>
      </c>
      <c r="K264" s="714" t="s">
        <v>832</v>
      </c>
      <c r="L264" s="645"/>
      <c r="M264" s="173"/>
      <c r="N264" s="38"/>
      <c r="O264" s="139"/>
      <c r="P264" s="104"/>
      <c r="Q264" s="139"/>
      <c r="R264" s="726"/>
      <c r="S264" s="139"/>
      <c r="T264" s="727"/>
      <c r="U264" s="169"/>
      <c r="V264" s="158"/>
      <c r="W264" s="104" t="s">
        <v>356</v>
      </c>
      <c r="X264" s="104"/>
      <c r="Y264" s="104">
        <f>Y256</f>
        <v>0</v>
      </c>
      <c r="Z264" s="136"/>
      <c r="AA264" s="38"/>
      <c r="AB264" s="38"/>
      <c r="AC264" s="38"/>
      <c r="AD264" s="38"/>
      <c r="AE264" s="38"/>
      <c r="AF264" s="233"/>
      <c r="AG264" s="233">
        <f>SUM(AF262:AH262)</f>
        <v>8244200.7700000042</v>
      </c>
      <c r="AH264" s="233"/>
    </row>
    <row r="265" spans="1:34" ht="16" thickTop="1" thickBot="1">
      <c r="D265" s="143"/>
      <c r="E265" s="712"/>
      <c r="F265" s="713"/>
      <c r="G265" s="714"/>
      <c r="H265" s="714"/>
      <c r="J265" s="173">
        <v>0</v>
      </c>
      <c r="K265" s="714"/>
      <c r="L265" s="722"/>
      <c r="M265" s="173"/>
      <c r="N265" s="38"/>
      <c r="O265" s="33"/>
      <c r="P265" s="38"/>
      <c r="Q265" s="139"/>
      <c r="R265" s="139"/>
      <c r="S265" s="139"/>
      <c r="T265" s="139"/>
      <c r="U265" s="169"/>
      <c r="V265" s="158"/>
      <c r="W265" s="104"/>
      <c r="X265" s="104"/>
      <c r="Y265" s="104"/>
      <c r="Z265" s="136"/>
      <c r="AA265" s="38"/>
      <c r="AB265" s="38"/>
      <c r="AC265" s="38"/>
      <c r="AD265" s="38"/>
      <c r="AE265" s="38"/>
    </row>
    <row r="266" spans="1:34" ht="15" thickBot="1">
      <c r="E266" s="712"/>
      <c r="F266" s="713"/>
      <c r="G266" s="714"/>
      <c r="H266" s="714"/>
      <c r="J266" s="754">
        <f>J260+J264</f>
        <v>8244200.7700000042</v>
      </c>
      <c r="K266" s="714" t="s">
        <v>833</v>
      </c>
      <c r="L266" s="722"/>
      <c r="M266" s="173"/>
      <c r="N266" s="38"/>
      <c r="O266" s="33"/>
      <c r="P266" s="38"/>
      <c r="Q266" s="139"/>
      <c r="R266" s="139"/>
      <c r="S266" s="139"/>
      <c r="T266" s="139"/>
      <c r="U266" s="169"/>
      <c r="V266" s="158" t="s">
        <v>601</v>
      </c>
      <c r="W266" s="104" t="s">
        <v>357</v>
      </c>
      <c r="X266" s="104"/>
      <c r="Y266" s="104">
        <f>W256</f>
        <v>422000</v>
      </c>
      <c r="Z266" s="136"/>
      <c r="AA266" s="38"/>
      <c r="AB266" s="38"/>
      <c r="AC266" s="38"/>
      <c r="AD266" s="38"/>
      <c r="AE266" s="38"/>
      <c r="AF266" s="38"/>
      <c r="AG266" s="38">
        <f>AG264-AH262</f>
        <v>8057531.5800000038</v>
      </c>
      <c r="AH266" s="38"/>
    </row>
    <row r="267" spans="1:34">
      <c r="E267" s="712"/>
      <c r="F267" s="713"/>
      <c r="G267" s="714"/>
      <c r="H267" s="714"/>
      <c r="J267" s="637"/>
      <c r="K267" s="714"/>
      <c r="L267" s="173"/>
      <c r="M267" s="731"/>
      <c r="N267" s="38"/>
      <c r="O267" s="33"/>
      <c r="P267" s="38"/>
      <c r="Q267" s="139"/>
      <c r="R267" s="139"/>
      <c r="S267" s="139"/>
      <c r="T267" s="139"/>
      <c r="U267" s="169"/>
      <c r="V267" s="415"/>
      <c r="W267" s="104" t="s">
        <v>358</v>
      </c>
      <c r="X267" s="104"/>
      <c r="Y267" s="104">
        <f>Z256</f>
        <v>0</v>
      </c>
      <c r="Z267" s="136"/>
      <c r="AA267" s="38"/>
      <c r="AB267" s="38"/>
      <c r="AC267" s="38"/>
      <c r="AD267" s="38"/>
      <c r="AE267" s="38"/>
      <c r="AF267" s="38"/>
      <c r="AG267" s="38"/>
      <c r="AH267" s="38"/>
    </row>
    <row r="268" spans="1:34">
      <c r="E268" s="712"/>
      <c r="F268" s="713"/>
      <c r="G268" s="714"/>
      <c r="H268" s="714"/>
      <c r="J268" s="658">
        <f>SUM(AB260:AH260)</f>
        <v>8244200.7700000042</v>
      </c>
      <c r="K268" s="714" t="s">
        <v>518</v>
      </c>
      <c r="L268" s="732"/>
      <c r="M268" s="637"/>
      <c r="N268" s="38"/>
      <c r="O268" s="33"/>
      <c r="P268" s="38"/>
      <c r="Q268" s="139"/>
      <c r="R268" s="139"/>
      <c r="S268" s="139"/>
      <c r="T268" s="139"/>
      <c r="U268" s="169"/>
      <c r="V268" s="415"/>
      <c r="W268" s="104"/>
      <c r="X268" s="104"/>
      <c r="Y268" s="104"/>
      <c r="Z268" s="136"/>
      <c r="AA268" s="38"/>
      <c r="AB268" s="38"/>
      <c r="AC268" s="38"/>
      <c r="AD268" s="38"/>
      <c r="AE268" s="38"/>
      <c r="AF268" s="38"/>
      <c r="AG268" s="38"/>
      <c r="AH268" s="38"/>
    </row>
    <row r="269" spans="1:34" ht="13" thickBot="1">
      <c r="E269" s="712"/>
      <c r="F269" s="713"/>
      <c r="G269" s="714"/>
      <c r="H269" s="714"/>
      <c r="J269" s="169"/>
      <c r="K269" s="714" t="s">
        <v>454</v>
      </c>
      <c r="L269" s="733"/>
      <c r="M269" s="734"/>
      <c r="N269" s="38"/>
      <c r="O269" s="33"/>
      <c r="P269" s="38"/>
      <c r="Q269" s="139"/>
      <c r="R269" s="139"/>
      <c r="S269" s="139"/>
      <c r="T269" s="139"/>
      <c r="U269" s="169"/>
      <c r="V269" s="158" t="s">
        <v>602</v>
      </c>
      <c r="W269" s="488" t="s">
        <v>359</v>
      </c>
      <c r="X269" s="488"/>
      <c r="Y269" s="488">
        <f>X256</f>
        <v>115663.19</v>
      </c>
      <c r="Z269" s="414"/>
      <c r="AA269" s="38"/>
      <c r="AB269" s="38"/>
      <c r="AC269" s="38"/>
      <c r="AD269" s="38"/>
      <c r="AE269" s="38"/>
      <c r="AF269" s="38"/>
      <c r="AG269" s="38"/>
      <c r="AH269" s="38"/>
    </row>
    <row r="270" spans="1:34" ht="15" thickBot="1">
      <c r="E270" s="712"/>
      <c r="F270" s="713"/>
      <c r="G270" s="714"/>
      <c r="H270" s="714"/>
      <c r="J270" s="736"/>
      <c r="K270" s="714" t="s">
        <v>519</v>
      </c>
      <c r="L270" s="169"/>
      <c r="M270" s="169"/>
      <c r="N270" s="38"/>
      <c r="O270" s="33"/>
      <c r="P270" s="38"/>
      <c r="Q270" s="33"/>
      <c r="R270" s="33"/>
      <c r="S270" s="33"/>
      <c r="T270" s="33"/>
      <c r="U270" s="169"/>
      <c r="V270" s="416"/>
      <c r="W270" s="104"/>
      <c r="X270" s="80">
        <f>SUM(X261:X269)</f>
        <v>3306201.92</v>
      </c>
      <c r="Y270" s="80">
        <f>SUM(Y261:Y269)</f>
        <v>3306201.92</v>
      </c>
      <c r="Z270" s="136"/>
      <c r="AA270" s="38"/>
      <c r="AB270" s="38"/>
      <c r="AC270" s="38"/>
      <c r="AD270" s="38"/>
      <c r="AE270" s="38"/>
      <c r="AF270" s="38"/>
      <c r="AG270" s="38"/>
      <c r="AH270" s="38"/>
    </row>
    <row r="271" spans="1:34">
      <c r="E271" s="712"/>
      <c r="F271" s="713"/>
      <c r="G271" s="714"/>
      <c r="H271" s="714"/>
      <c r="I271" s="714"/>
      <c r="J271" s="169"/>
      <c r="K271" s="169"/>
      <c r="L271" s="169"/>
      <c r="M271" s="169"/>
      <c r="N271" s="38"/>
      <c r="O271" s="33"/>
      <c r="P271" s="38"/>
      <c r="Q271" s="33"/>
      <c r="R271" s="33"/>
      <c r="S271" s="33"/>
      <c r="T271" s="33"/>
      <c r="U271" s="169"/>
      <c r="V271" s="416"/>
      <c r="W271" s="104"/>
      <c r="X271" s="104"/>
      <c r="Y271" s="104"/>
      <c r="Z271" s="136"/>
      <c r="AA271" s="38"/>
      <c r="AB271" s="38"/>
      <c r="AC271" s="38"/>
      <c r="AD271" s="38"/>
      <c r="AE271" s="38"/>
      <c r="AF271" s="38"/>
      <c r="AG271" s="38"/>
      <c r="AH271" s="38"/>
    </row>
    <row r="272" spans="1:34" ht="13" thickBot="1">
      <c r="E272" s="712"/>
      <c r="F272" s="713"/>
      <c r="G272" s="714"/>
      <c r="H272" s="714"/>
      <c r="I272" s="714"/>
      <c r="J272" s="169"/>
      <c r="K272" s="169"/>
      <c r="L272" s="169"/>
      <c r="M272" s="169"/>
      <c r="N272" s="38"/>
      <c r="O272" s="33"/>
      <c r="P272" s="38"/>
      <c r="Q272" s="33"/>
      <c r="R272" s="33"/>
      <c r="S272" s="33"/>
      <c r="T272" s="33"/>
      <c r="U272" s="169"/>
      <c r="V272" s="330"/>
      <c r="W272" s="279"/>
      <c r="X272" s="279"/>
      <c r="Y272" s="279"/>
      <c r="Z272" s="280"/>
      <c r="AA272" s="38"/>
      <c r="AB272" s="38"/>
      <c r="AC272" s="38"/>
      <c r="AD272" s="38"/>
      <c r="AE272" s="38"/>
      <c r="AF272" s="38"/>
      <c r="AG272" s="38"/>
      <c r="AH272" s="38"/>
    </row>
    <row r="273" spans="5:34">
      <c r="E273" s="712"/>
      <c r="F273" s="713"/>
      <c r="G273" s="714"/>
      <c r="H273" s="714"/>
      <c r="I273" s="714"/>
      <c r="J273" s="169"/>
      <c r="K273" s="169"/>
      <c r="L273" s="169"/>
      <c r="M273" s="169"/>
      <c r="N273" s="38"/>
      <c r="O273" s="33"/>
      <c r="P273" s="38"/>
      <c r="Q273" s="33"/>
      <c r="R273" s="33"/>
      <c r="S273" s="33"/>
      <c r="T273" s="33"/>
      <c r="U273" s="169"/>
      <c r="V273" s="104"/>
      <c r="W273" s="104"/>
      <c r="X273" s="104"/>
      <c r="Y273" s="104"/>
      <c r="Z273" s="104"/>
      <c r="AA273" s="38"/>
      <c r="AB273" s="38"/>
      <c r="AC273" s="38"/>
      <c r="AD273" s="38"/>
      <c r="AE273" s="38"/>
      <c r="AF273" s="38"/>
      <c r="AG273" s="38"/>
      <c r="AH273" s="38"/>
    </row>
    <row r="274" spans="5:34">
      <c r="E274" s="712"/>
      <c r="F274" s="713"/>
      <c r="G274" s="714"/>
      <c r="H274" s="714"/>
      <c r="I274" s="714"/>
      <c r="J274" s="169"/>
      <c r="K274" s="169"/>
      <c r="L274" s="169"/>
      <c r="M274" s="169"/>
      <c r="N274" s="38"/>
      <c r="O274" s="33"/>
      <c r="P274" s="38"/>
      <c r="Q274" s="33"/>
      <c r="R274" s="33"/>
      <c r="S274" s="33"/>
      <c r="T274" s="33"/>
      <c r="U274" s="169"/>
      <c r="AA274" s="38"/>
      <c r="AB274" s="38"/>
      <c r="AC274" s="38"/>
      <c r="AD274" s="38"/>
      <c r="AE274" s="38"/>
      <c r="AF274" s="38"/>
      <c r="AG274" s="38"/>
      <c r="AH274" s="38"/>
    </row>
    <row r="275" spans="5:34">
      <c r="E275" s="712"/>
      <c r="F275" s="713"/>
      <c r="G275" s="714"/>
      <c r="H275" s="714"/>
      <c r="I275" s="714"/>
      <c r="J275" s="169"/>
      <c r="K275" s="169"/>
      <c r="L275" s="169"/>
      <c r="M275" s="169"/>
      <c r="N275" s="38"/>
      <c r="O275" s="33"/>
      <c r="P275" s="38"/>
      <c r="Q275" s="33"/>
      <c r="R275" s="33"/>
      <c r="S275" s="33"/>
      <c r="T275" s="33"/>
      <c r="U275" s="169"/>
      <c r="AA275" s="38"/>
      <c r="AB275" s="38"/>
      <c r="AC275" s="38"/>
      <c r="AD275" s="38"/>
      <c r="AE275" s="38"/>
      <c r="AF275" s="38"/>
      <c r="AG275" s="38"/>
      <c r="AH275" s="38"/>
    </row>
    <row r="276" spans="5:34">
      <c r="E276" s="712"/>
      <c r="F276" s="713"/>
      <c r="G276" s="714"/>
      <c r="H276" s="714"/>
      <c r="I276" s="714"/>
      <c r="J276" s="169"/>
      <c r="K276" s="169"/>
      <c r="L276" s="169"/>
      <c r="M276" s="169"/>
      <c r="N276" s="38"/>
      <c r="O276" s="33"/>
      <c r="P276" s="38"/>
      <c r="Q276" s="33"/>
      <c r="R276" s="33"/>
      <c r="S276" s="33"/>
      <c r="T276" s="33"/>
      <c r="U276" s="169"/>
      <c r="AA276" s="38"/>
      <c r="AB276" s="38"/>
      <c r="AC276" s="38"/>
      <c r="AD276" s="38"/>
      <c r="AE276" s="38"/>
      <c r="AF276" s="38"/>
      <c r="AG276" s="38"/>
      <c r="AH276" s="38"/>
    </row>
    <row r="277" spans="5:34">
      <c r="E277" s="712"/>
      <c r="F277" s="713"/>
      <c r="G277" s="714"/>
      <c r="H277" s="714"/>
      <c r="I277" s="714"/>
      <c r="J277" s="169"/>
      <c r="K277" s="169"/>
      <c r="L277" s="169"/>
      <c r="M277" s="169"/>
      <c r="N277" s="38"/>
      <c r="O277" s="33"/>
      <c r="P277" s="38"/>
      <c r="Q277" s="33"/>
      <c r="R277" s="33"/>
      <c r="S277" s="33"/>
      <c r="T277" s="33"/>
      <c r="U277" s="169"/>
      <c r="AA277" s="38"/>
      <c r="AB277" s="38"/>
      <c r="AC277" s="38"/>
      <c r="AD277" s="38"/>
      <c r="AE277" s="38"/>
      <c r="AF277" s="38"/>
      <c r="AG277" s="38"/>
      <c r="AH277" s="38"/>
    </row>
    <row r="278" spans="5:34">
      <c r="E278" s="712"/>
      <c r="F278" s="713"/>
      <c r="G278" s="714"/>
      <c r="H278" s="714"/>
      <c r="I278" s="714"/>
      <c r="J278" s="169"/>
      <c r="K278" s="169"/>
      <c r="L278" s="169"/>
      <c r="M278" s="169"/>
      <c r="N278" s="38"/>
      <c r="O278" s="33"/>
      <c r="P278" s="38"/>
      <c r="Q278" s="33"/>
      <c r="R278" s="33"/>
      <c r="S278" s="33"/>
      <c r="T278" s="33"/>
      <c r="U278" s="169"/>
      <c r="AA278" s="38"/>
      <c r="AB278" s="38"/>
      <c r="AC278" s="38"/>
      <c r="AD278" s="38"/>
      <c r="AE278" s="38"/>
      <c r="AF278" s="38"/>
      <c r="AG278" s="38"/>
      <c r="AH278" s="38"/>
    </row>
    <row r="279" spans="5:34">
      <c r="E279" s="712"/>
      <c r="F279" s="713"/>
      <c r="G279" s="714"/>
      <c r="H279" s="714"/>
      <c r="I279" s="714"/>
      <c r="J279" s="169"/>
      <c r="K279" s="169"/>
      <c r="L279" s="169"/>
      <c r="M279" s="169"/>
      <c r="N279" s="38"/>
      <c r="O279" s="33"/>
      <c r="P279" s="38"/>
      <c r="Q279" s="33"/>
      <c r="R279" s="33"/>
      <c r="S279" s="33"/>
      <c r="T279" s="33"/>
      <c r="U279" s="169"/>
      <c r="AA279" s="38"/>
      <c r="AB279" s="38"/>
      <c r="AC279" s="38"/>
      <c r="AD279" s="38"/>
      <c r="AE279" s="38"/>
      <c r="AF279" s="38"/>
      <c r="AG279" s="38"/>
      <c r="AH279" s="38"/>
    </row>
  </sheetData>
  <customSheetViews>
    <customSheetView guid="{005F2F7B-A3A9-4755-A4DF-7CE06C365CC2}" hiddenColumns="1" topLeftCell="C163">
      <selection activeCell="R188" sqref="R188"/>
    </customSheetView>
    <customSheetView guid="{041E0462-B6EA-414A-9F2E-C14ADEFAE5F2}"/>
    <customSheetView guid="{86CCC894-C193-4761-8385-3C374FD67B70}" showPageBreaks="1" hiddenColumns="1" topLeftCell="D209">
      <selection activeCell="J225" sqref="J225:M225"/>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75"/>
  <sheetViews>
    <sheetView topLeftCell="F184" workbookViewId="0">
      <selection activeCell="D267" sqref="D267"/>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15.3984375" style="146" customWidth="1"/>
    <col min="16" max="16" width="1.796875" style="16" customWidth="1"/>
    <col min="17" max="18" width="15.3984375" style="146" customWidth="1"/>
    <col min="19" max="19" width="1.796875" style="146" customWidth="1"/>
    <col min="20" max="20" width="15.3984375" style="146" customWidth="1"/>
    <col min="21" max="21" width="1.796875" style="24" customWidth="1"/>
    <col min="22" max="26" width="15.3984375" style="38" customWidth="1"/>
    <col min="27" max="27" width="15.3984375" style="16" customWidth="1"/>
    <col min="28" max="29" width="15.3984375" style="559" customWidth="1"/>
    <col min="30" max="30" width="15.796875" style="559" customWidth="1"/>
    <col min="31" max="31" width="2.3984375" style="559" customWidth="1"/>
    <col min="32" max="33" width="14.796875" style="559" bestFit="1" customWidth="1"/>
    <col min="34" max="34" width="14.19921875" style="559" customWidth="1"/>
    <col min="35" max="16384" width="9.3984375" style="16"/>
  </cols>
  <sheetData>
    <row r="1" spans="1:34">
      <c r="D1" s="147" t="s">
        <v>71</v>
      </c>
      <c r="F1" s="29"/>
      <c r="G1" s="162"/>
      <c r="H1" s="163"/>
      <c r="I1" s="163"/>
      <c r="J1" s="169"/>
      <c r="K1" s="169"/>
      <c r="L1" s="169"/>
      <c r="M1" s="169"/>
      <c r="N1" s="169"/>
      <c r="U1" s="40"/>
    </row>
    <row r="2" spans="1:34">
      <c r="D2" s="147" t="s">
        <v>72</v>
      </c>
      <c r="F2" s="29"/>
      <c r="G2" s="162"/>
      <c r="H2" s="163"/>
      <c r="I2" s="163"/>
      <c r="J2" s="169"/>
      <c r="K2" s="169"/>
      <c r="L2" s="169"/>
      <c r="M2" s="169"/>
      <c r="N2" s="169"/>
      <c r="U2" s="40"/>
    </row>
    <row r="3" spans="1:34">
      <c r="D3" s="147" t="s">
        <v>809</v>
      </c>
      <c r="F3" s="29"/>
      <c r="G3" s="18"/>
      <c r="H3" s="168"/>
      <c r="I3" s="168"/>
      <c r="J3" s="169"/>
      <c r="K3" s="169"/>
      <c r="L3" s="169"/>
      <c r="M3" s="169"/>
      <c r="N3" s="169"/>
    </row>
    <row r="4" spans="1:34">
      <c r="D4" s="148" t="s">
        <v>228</v>
      </c>
      <c r="G4" s="164"/>
      <c r="H4" s="168"/>
      <c r="I4" s="168"/>
      <c r="J4" s="169"/>
      <c r="K4" s="169"/>
      <c r="L4" s="169"/>
      <c r="M4" s="169"/>
      <c r="N4" s="169"/>
    </row>
    <row r="5" spans="1:34" ht="13"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152"/>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151"/>
      <c r="S8" s="151"/>
      <c r="T8" s="151"/>
      <c r="U8" s="41"/>
    </row>
    <row r="9" spans="1:34">
      <c r="B9" s="459"/>
      <c r="C9" s="113"/>
      <c r="D9" s="458" t="s">
        <v>76</v>
      </c>
      <c r="E9" s="465" t="s">
        <v>79</v>
      </c>
      <c r="F9" s="29"/>
      <c r="G9" s="161"/>
      <c r="H9" s="134"/>
      <c r="I9" s="134"/>
      <c r="J9" s="78"/>
      <c r="L9" s="79"/>
      <c r="M9" s="79"/>
      <c r="N9" s="27"/>
      <c r="O9" s="151"/>
      <c r="P9" s="27"/>
      <c r="Q9" s="151"/>
      <c r="R9" s="151"/>
      <c r="S9" s="151"/>
      <c r="T9" s="151"/>
    </row>
    <row r="10" spans="1:34">
      <c r="B10" s="459"/>
      <c r="C10" s="113"/>
      <c r="D10" s="458" t="s">
        <v>88</v>
      </c>
      <c r="E10" s="468" t="s">
        <v>89</v>
      </c>
      <c r="F10" s="29"/>
      <c r="J10" s="76"/>
      <c r="L10" s="174"/>
      <c r="M10" s="76"/>
      <c r="N10" s="27"/>
      <c r="O10" s="151"/>
      <c r="P10" s="27"/>
      <c r="Q10" s="151"/>
      <c r="R10" s="151"/>
      <c r="S10" s="151"/>
      <c r="T10" s="151"/>
    </row>
    <row r="11" spans="1:34">
      <c r="B11" s="459"/>
      <c r="C11" s="113"/>
      <c r="D11" s="458" t="s">
        <v>116</v>
      </c>
      <c r="E11" s="99" t="s">
        <v>117</v>
      </c>
      <c r="F11" s="29"/>
      <c r="G11" s="166"/>
      <c r="H11" s="145"/>
      <c r="I11" s="145"/>
      <c r="J11" s="76"/>
      <c r="L11" s="173"/>
      <c r="M11" s="173"/>
      <c r="N11" s="27"/>
      <c r="O11" s="151"/>
      <c r="P11" s="27"/>
      <c r="Q11" s="151"/>
      <c r="R11" s="151"/>
      <c r="S11" s="151"/>
      <c r="T11" s="151"/>
    </row>
    <row r="12" spans="1:34" ht="13" thickBot="1">
      <c r="B12" s="469"/>
      <c r="C12" s="670"/>
      <c r="D12" s="470" t="s">
        <v>103</v>
      </c>
      <c r="E12" s="471" t="s">
        <v>101</v>
      </c>
      <c r="F12" s="29"/>
      <c r="G12" s="166"/>
      <c r="H12" s="150"/>
      <c r="I12" s="150"/>
      <c r="J12" s="76"/>
    </row>
    <row r="13" spans="1:34" ht="13" thickBot="1">
      <c r="A13" s="152"/>
      <c r="B13" s="152"/>
      <c r="C13" s="67"/>
      <c r="D13" s="54"/>
      <c r="E13" s="34"/>
      <c r="G13" s="167"/>
      <c r="H13" s="49"/>
      <c r="I13" s="49"/>
      <c r="J13" s="50"/>
      <c r="K13" s="50"/>
      <c r="L13" s="50"/>
      <c r="M13" s="745"/>
      <c r="N13" s="146"/>
      <c r="P13" s="146"/>
      <c r="U13" s="50"/>
      <c r="V13" s="33"/>
      <c r="W13" s="33"/>
      <c r="X13" s="33"/>
      <c r="Y13" s="33"/>
    </row>
    <row r="14" spans="1:34" ht="13" thickBot="1">
      <c r="D14" s="526"/>
      <c r="E14" s="582" t="s">
        <v>810</v>
      </c>
      <c r="F14" s="583" t="s">
        <v>289</v>
      </c>
      <c r="G14" s="96"/>
      <c r="H14" s="96"/>
      <c r="I14" s="96"/>
      <c r="J14" s="96" t="s">
        <v>290</v>
      </c>
      <c r="K14" s="581"/>
      <c r="L14" s="96" t="s">
        <v>290</v>
      </c>
      <c r="M14" s="96" t="s">
        <v>290</v>
      </c>
      <c r="N14" s="93"/>
      <c r="O14" s="96"/>
      <c r="P14" s="93"/>
      <c r="Q14" s="13"/>
      <c r="R14" s="96"/>
      <c r="S14" s="101"/>
      <c r="T14" s="96"/>
      <c r="U14" s="93"/>
      <c r="V14" s="96"/>
      <c r="W14" s="96"/>
      <c r="X14" s="304"/>
      <c r="Y14" s="304"/>
      <c r="Z14" s="304"/>
      <c r="AC14" s="560" t="s">
        <v>266</v>
      </c>
      <c r="AG14" s="561" t="s">
        <v>267</v>
      </c>
    </row>
    <row r="15" spans="1:34" ht="13" thickBot="1">
      <c r="A15" s="22" t="s">
        <v>95</v>
      </c>
      <c r="B15" s="22" t="s">
        <v>100</v>
      </c>
      <c r="C15" s="36" t="s">
        <v>522</v>
      </c>
      <c r="D15" s="36" t="s">
        <v>67</v>
      </c>
      <c r="E15" s="450" t="s">
        <v>230</v>
      </c>
      <c r="F15" s="528" t="s">
        <v>229</v>
      </c>
      <c r="G15" s="176" t="s">
        <v>288</v>
      </c>
      <c r="H15" s="545" t="s">
        <v>289</v>
      </c>
      <c r="I15" s="758" t="s">
        <v>290</v>
      </c>
      <c r="J15" s="313" t="s">
        <v>105</v>
      </c>
      <c r="K15" s="93"/>
      <c r="L15" s="94" t="s">
        <v>104</v>
      </c>
      <c r="M15" s="95" t="s">
        <v>106</v>
      </c>
      <c r="N15" s="102"/>
      <c r="O15" s="427" t="s">
        <v>372</v>
      </c>
      <c r="P15" s="102"/>
      <c r="Q15" s="313" t="s">
        <v>811</v>
      </c>
      <c r="R15" s="156" t="s">
        <v>641</v>
      </c>
      <c r="S15" s="149"/>
      <c r="T15" s="327" t="s">
        <v>812</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VLOOKUP(D16,'May 2012 DMV Revenue'!D:T,17,FALSE)</f>
        <v>0</v>
      </c>
      <c r="G16" s="680"/>
      <c r="H16" s="680"/>
      <c r="I16" s="755"/>
      <c r="J16" s="682">
        <f t="shared" ref="J16:J81" si="0">SUM(E16:I16)</f>
        <v>0</v>
      </c>
      <c r="K16" s="683"/>
      <c r="L16" s="684"/>
      <c r="M16" s="753"/>
      <c r="N16" s="683">
        <v>0</v>
      </c>
      <c r="O16" s="686"/>
      <c r="P16" s="683">
        <v>0</v>
      </c>
      <c r="Q16" s="687">
        <f t="shared" ref="Q16:Q147" si="1">L16+M16</f>
        <v>0</v>
      </c>
      <c r="R16" s="688">
        <v>0</v>
      </c>
      <c r="S16" s="689"/>
      <c r="T16" s="690">
        <f t="shared" ref="T16:T81" si="2">IF(R16="","",R16-Q16)</f>
        <v>0</v>
      </c>
      <c r="U16" s="691"/>
      <c r="V16" s="474">
        <f t="shared" ref="V16:V81" si="3">IF(B16="D",Q16,0)</f>
        <v>0</v>
      </c>
      <c r="W16" s="474">
        <f t="shared" ref="W16:W81" si="4">IF(B16="M",Q16,0)</f>
        <v>0</v>
      </c>
      <c r="X16" s="475">
        <f t="shared" ref="X16:X81" si="5">IF(B16="V",Q16,0)</f>
        <v>0</v>
      </c>
      <c r="Y16" s="475">
        <v>0</v>
      </c>
      <c r="Z16" s="476">
        <v>0</v>
      </c>
      <c r="AA16" s="38">
        <f t="shared" ref="AA16:AA81" si="6">(L16+M16)-(V16+W16+X16+Y16+Z16)</f>
        <v>0</v>
      </c>
      <c r="AB16" s="692">
        <f t="shared" ref="AB16:AB80" si="7">IF(B16="D",J16,0)</f>
        <v>0</v>
      </c>
      <c r="AC16" s="692">
        <f t="shared" ref="AC16:AC80" si="8">IF(B16="M",J16,0)</f>
        <v>0</v>
      </c>
      <c r="AD16" s="692">
        <f t="shared" ref="AD16:AD81" si="9">IF(B16="V",J16,0)</f>
        <v>0</v>
      </c>
      <c r="AE16" s="38"/>
      <c r="AF16" s="692">
        <f t="shared" ref="AF16:AF81" si="10">IF(B16="D",Q16,0)</f>
        <v>0</v>
      </c>
      <c r="AG16" s="692">
        <f t="shared" ref="AG16:AG81" si="11">IF(B16="M",Q16,0)</f>
        <v>0</v>
      </c>
      <c r="AH16" s="692">
        <f t="shared" ref="AH16:AH81" si="12">IF(B16="V",Q16,0)</f>
        <v>0</v>
      </c>
    </row>
    <row r="17" spans="1:34">
      <c r="A17" s="20" t="s">
        <v>109</v>
      </c>
      <c r="B17" s="20" t="s">
        <v>110</v>
      </c>
      <c r="C17" s="671" t="s">
        <v>523</v>
      </c>
      <c r="D17" s="123" t="s">
        <v>317</v>
      </c>
      <c r="E17" s="679"/>
      <c r="F17" s="529">
        <f>VLOOKUP(D17,'May 2012 DMV Revenue'!D:T,17,FALSE)</f>
        <v>-167.27000000000044</v>
      </c>
      <c r="G17" s="680"/>
      <c r="H17" s="680"/>
      <c r="I17" s="755"/>
      <c r="J17" s="682">
        <f t="shared" si="0"/>
        <v>-167.27000000000044</v>
      </c>
      <c r="K17" s="683"/>
      <c r="L17" s="684"/>
      <c r="M17" s="753">
        <v>12000</v>
      </c>
      <c r="N17" s="683">
        <v>0</v>
      </c>
      <c r="O17" s="686"/>
      <c r="P17" s="683">
        <v>0</v>
      </c>
      <c r="Q17" s="687">
        <f t="shared" si="1"/>
        <v>12000</v>
      </c>
      <c r="R17" s="688">
        <f>7994.54+2697.79</f>
        <v>10692.33</v>
      </c>
      <c r="S17" s="693"/>
      <c r="T17" s="690">
        <f t="shared" si="2"/>
        <v>-1307.67</v>
      </c>
      <c r="U17" s="683"/>
      <c r="V17" s="474">
        <f t="shared" si="3"/>
        <v>12000</v>
      </c>
      <c r="W17" s="474">
        <f t="shared" si="4"/>
        <v>0</v>
      </c>
      <c r="X17" s="475">
        <f t="shared" si="5"/>
        <v>0</v>
      </c>
      <c r="Y17" s="475">
        <v>0</v>
      </c>
      <c r="Z17" s="476">
        <v>0</v>
      </c>
      <c r="AA17" s="38">
        <f t="shared" si="6"/>
        <v>0</v>
      </c>
      <c r="AB17" s="692">
        <f t="shared" si="7"/>
        <v>-167.27000000000044</v>
      </c>
      <c r="AC17" s="692">
        <f t="shared" si="8"/>
        <v>0</v>
      </c>
      <c r="AD17" s="692">
        <f t="shared" si="9"/>
        <v>0</v>
      </c>
      <c r="AE17" s="38"/>
      <c r="AF17" s="692">
        <f t="shared" si="10"/>
        <v>12000</v>
      </c>
      <c r="AG17" s="692">
        <f t="shared" si="11"/>
        <v>0</v>
      </c>
      <c r="AH17" s="692">
        <f t="shared" si="12"/>
        <v>0</v>
      </c>
    </row>
    <row r="18" spans="1:34">
      <c r="A18" s="20" t="s">
        <v>109</v>
      </c>
      <c r="B18" s="20" t="s">
        <v>109</v>
      </c>
      <c r="C18" s="671" t="s">
        <v>523</v>
      </c>
      <c r="D18" s="68" t="s">
        <v>393</v>
      </c>
      <c r="E18" s="679"/>
      <c r="F18" s="529">
        <f>VLOOKUP(D18,'May 2012 DMV Revenue'!D:T,17,FALSE)</f>
        <v>7219.239999999998</v>
      </c>
      <c r="G18" s="680"/>
      <c r="H18" s="680"/>
      <c r="I18" s="755"/>
      <c r="J18" s="682">
        <f t="shared" si="0"/>
        <v>7219.239999999998</v>
      </c>
      <c r="K18" s="683"/>
      <c r="L18" s="684"/>
      <c r="M18" s="753">
        <v>35000</v>
      </c>
      <c r="N18" s="683">
        <v>0</v>
      </c>
      <c r="O18" s="686"/>
      <c r="P18" s="683">
        <v>0</v>
      </c>
      <c r="Q18" s="687">
        <f t="shared" si="1"/>
        <v>35000</v>
      </c>
      <c r="R18" s="688">
        <v>30842.93</v>
      </c>
      <c r="S18" s="693"/>
      <c r="T18" s="690">
        <f t="shared" si="2"/>
        <v>-4157.07</v>
      </c>
      <c r="U18" s="683"/>
      <c r="V18" s="474">
        <f t="shared" si="3"/>
        <v>0</v>
      </c>
      <c r="W18" s="474">
        <f t="shared" si="4"/>
        <v>35000</v>
      </c>
      <c r="X18" s="475">
        <f t="shared" si="5"/>
        <v>0</v>
      </c>
      <c r="Y18" s="475">
        <v>0</v>
      </c>
      <c r="Z18" s="476">
        <v>0</v>
      </c>
      <c r="AA18" s="38">
        <f t="shared" si="6"/>
        <v>0</v>
      </c>
      <c r="AB18" s="692">
        <f t="shared" si="7"/>
        <v>0</v>
      </c>
      <c r="AC18" s="692">
        <f t="shared" si="8"/>
        <v>7219.239999999998</v>
      </c>
      <c r="AD18" s="692">
        <f t="shared" si="9"/>
        <v>0</v>
      </c>
      <c r="AE18" s="38"/>
      <c r="AF18" s="692">
        <f t="shared" si="10"/>
        <v>0</v>
      </c>
      <c r="AG18" s="692">
        <f t="shared" si="11"/>
        <v>35000</v>
      </c>
      <c r="AH18" s="692">
        <f t="shared" si="12"/>
        <v>0</v>
      </c>
    </row>
    <row r="19" spans="1:34">
      <c r="A19" s="20" t="s">
        <v>109</v>
      </c>
      <c r="B19" s="20" t="s">
        <v>109</v>
      </c>
      <c r="C19" s="671" t="s">
        <v>523</v>
      </c>
      <c r="D19" s="68" t="s">
        <v>129</v>
      </c>
      <c r="E19" s="679"/>
      <c r="F19" s="529">
        <f>VLOOKUP(D19,'May 2012 DMV Revenue'!D:T,17,FALSE)</f>
        <v>75.08</v>
      </c>
      <c r="G19" s="680"/>
      <c r="H19" s="680"/>
      <c r="I19" s="755"/>
      <c r="J19" s="682">
        <f t="shared" si="0"/>
        <v>75.08</v>
      </c>
      <c r="K19" s="683"/>
      <c r="L19" s="684"/>
      <c r="M19" s="753"/>
      <c r="N19" s="683">
        <v>0</v>
      </c>
      <c r="O19" s="686"/>
      <c r="P19" s="683">
        <v>0</v>
      </c>
      <c r="Q19" s="687">
        <f t="shared" si="1"/>
        <v>0</v>
      </c>
      <c r="R19" s="688">
        <v>28.35</v>
      </c>
      <c r="S19" s="693"/>
      <c r="T19" s="690">
        <f t="shared" si="2"/>
        <v>28.35</v>
      </c>
      <c r="U19" s="683"/>
      <c r="V19" s="474">
        <f t="shared" si="3"/>
        <v>0</v>
      </c>
      <c r="W19" s="474">
        <f t="shared" si="4"/>
        <v>0</v>
      </c>
      <c r="X19" s="475">
        <f t="shared" si="5"/>
        <v>0</v>
      </c>
      <c r="Y19" s="475">
        <v>0</v>
      </c>
      <c r="Z19" s="476">
        <v>0</v>
      </c>
      <c r="AA19" s="38">
        <f t="shared" si="6"/>
        <v>0</v>
      </c>
      <c r="AB19" s="692">
        <f t="shared" si="7"/>
        <v>0</v>
      </c>
      <c r="AC19" s="692">
        <f t="shared" si="8"/>
        <v>75.08</v>
      </c>
      <c r="AD19" s="692">
        <f t="shared" si="9"/>
        <v>0</v>
      </c>
      <c r="AE19" s="38"/>
      <c r="AF19" s="692">
        <f t="shared" si="10"/>
        <v>0</v>
      </c>
      <c r="AG19" s="692">
        <f t="shared" si="11"/>
        <v>0</v>
      </c>
      <c r="AH19" s="692">
        <f t="shared" si="12"/>
        <v>0</v>
      </c>
    </row>
    <row r="20" spans="1:34">
      <c r="A20" s="20"/>
      <c r="B20" s="20" t="s">
        <v>110</v>
      </c>
      <c r="C20" s="667" t="s">
        <v>524</v>
      </c>
      <c r="D20" s="123" t="s">
        <v>380</v>
      </c>
      <c r="E20" s="679"/>
      <c r="F20" s="529">
        <f>VLOOKUP(D20,'May 2012 DMV Revenue'!D:T,17,FALSE)</f>
        <v>483.78999999999996</v>
      </c>
      <c r="G20" s="680"/>
      <c r="H20" s="680"/>
      <c r="I20" s="755"/>
      <c r="J20" s="682">
        <f t="shared" si="0"/>
        <v>483.78999999999996</v>
      </c>
      <c r="K20" s="683"/>
      <c r="L20" s="684"/>
      <c r="M20" s="753">
        <v>3000</v>
      </c>
      <c r="N20" s="683">
        <v>0</v>
      </c>
      <c r="O20" s="686"/>
      <c r="P20" s="683">
        <v>0</v>
      </c>
      <c r="Q20" s="687">
        <f t="shared" si="1"/>
        <v>3000</v>
      </c>
      <c r="R20" s="688">
        <v>3511.46</v>
      </c>
      <c r="S20" s="693"/>
      <c r="T20" s="690">
        <f t="shared" si="2"/>
        <v>511.46000000000004</v>
      </c>
      <c r="U20" s="683"/>
      <c r="V20" s="474">
        <f t="shared" si="3"/>
        <v>3000</v>
      </c>
      <c r="W20" s="474">
        <f t="shared" si="4"/>
        <v>0</v>
      </c>
      <c r="X20" s="475">
        <f t="shared" si="5"/>
        <v>0</v>
      </c>
      <c r="Y20" s="475">
        <v>0</v>
      </c>
      <c r="Z20" s="476">
        <v>0</v>
      </c>
      <c r="AA20" s="38">
        <f t="shared" si="6"/>
        <v>0</v>
      </c>
      <c r="AB20" s="692">
        <f t="shared" si="7"/>
        <v>483.78999999999996</v>
      </c>
      <c r="AC20" s="692">
        <f t="shared" si="8"/>
        <v>0</v>
      </c>
      <c r="AD20" s="692">
        <f t="shared" si="9"/>
        <v>0</v>
      </c>
      <c r="AE20" s="38"/>
      <c r="AF20" s="692">
        <f t="shared" si="10"/>
        <v>3000</v>
      </c>
      <c r="AG20" s="692">
        <f t="shared" si="11"/>
        <v>0</v>
      </c>
      <c r="AH20" s="692">
        <f t="shared" si="12"/>
        <v>0</v>
      </c>
    </row>
    <row r="21" spans="1:34">
      <c r="A21" s="20"/>
      <c r="B21" s="20" t="s">
        <v>110</v>
      </c>
      <c r="C21" s="667" t="s">
        <v>524</v>
      </c>
      <c r="D21" s="123" t="s">
        <v>132</v>
      </c>
      <c r="E21" s="679"/>
      <c r="F21" s="529">
        <f>VLOOKUP(D21,'May 2012 DMV Revenue'!D:T,17,FALSE)</f>
        <v>2740.2700000000004</v>
      </c>
      <c r="G21" s="680"/>
      <c r="H21" s="680"/>
      <c r="I21" s="755"/>
      <c r="J21" s="682">
        <f t="shared" si="0"/>
        <v>2740.2700000000004</v>
      </c>
      <c r="K21" s="683"/>
      <c r="L21" s="684"/>
      <c r="M21" s="753">
        <v>6000</v>
      </c>
      <c r="N21" s="683">
        <v>0</v>
      </c>
      <c r="O21" s="686"/>
      <c r="P21" s="683">
        <v>0</v>
      </c>
      <c r="Q21" s="687">
        <f t="shared" si="1"/>
        <v>6000</v>
      </c>
      <c r="R21" s="688">
        <v>5641.8</v>
      </c>
      <c r="S21" s="693"/>
      <c r="T21" s="690">
        <f t="shared" si="2"/>
        <v>-358.19999999999982</v>
      </c>
      <c r="U21" s="683"/>
      <c r="V21" s="474">
        <f t="shared" si="3"/>
        <v>6000</v>
      </c>
      <c r="W21" s="474">
        <f t="shared" si="4"/>
        <v>0</v>
      </c>
      <c r="X21" s="475">
        <f t="shared" si="5"/>
        <v>0</v>
      </c>
      <c r="Y21" s="475">
        <v>0</v>
      </c>
      <c r="Z21" s="476">
        <v>0</v>
      </c>
      <c r="AA21" s="38">
        <f t="shared" si="6"/>
        <v>0</v>
      </c>
      <c r="AB21" s="692">
        <f t="shared" si="7"/>
        <v>2740.2700000000004</v>
      </c>
      <c r="AC21" s="692">
        <f t="shared" si="8"/>
        <v>0</v>
      </c>
      <c r="AD21" s="692">
        <f t="shared" si="9"/>
        <v>0</v>
      </c>
      <c r="AE21" s="38"/>
      <c r="AF21" s="692">
        <f t="shared" si="10"/>
        <v>6000</v>
      </c>
      <c r="AG21" s="692">
        <f t="shared" si="11"/>
        <v>0</v>
      </c>
      <c r="AH21" s="692">
        <f t="shared" si="12"/>
        <v>0</v>
      </c>
    </row>
    <row r="22" spans="1:34">
      <c r="A22" s="20"/>
      <c r="B22" s="20" t="s">
        <v>110</v>
      </c>
      <c r="C22" s="667" t="s">
        <v>524</v>
      </c>
      <c r="D22" s="123" t="s">
        <v>133</v>
      </c>
      <c r="E22" s="679"/>
      <c r="F22" s="529">
        <f>VLOOKUP(D22,'May 2012 DMV Revenue'!D:T,17,FALSE)</f>
        <v>763.5</v>
      </c>
      <c r="G22" s="680"/>
      <c r="H22" s="680"/>
      <c r="I22" s="755"/>
      <c r="J22" s="682">
        <f t="shared" si="0"/>
        <v>763.5</v>
      </c>
      <c r="K22" s="683"/>
      <c r="L22" s="684"/>
      <c r="M22" s="753">
        <v>5000</v>
      </c>
      <c r="N22" s="683">
        <v>0</v>
      </c>
      <c r="O22" s="686"/>
      <c r="P22" s="683">
        <v>0</v>
      </c>
      <c r="Q22" s="687">
        <f t="shared" si="1"/>
        <v>5000</v>
      </c>
      <c r="R22" s="688">
        <v>5090.5</v>
      </c>
      <c r="S22" s="693"/>
      <c r="T22" s="690">
        <f t="shared" si="2"/>
        <v>90.5</v>
      </c>
      <c r="U22" s="683"/>
      <c r="V22" s="474">
        <f t="shared" si="3"/>
        <v>5000</v>
      </c>
      <c r="W22" s="474">
        <f t="shared" si="4"/>
        <v>0</v>
      </c>
      <c r="X22" s="475">
        <f t="shared" si="5"/>
        <v>0</v>
      </c>
      <c r="Y22" s="475">
        <v>0</v>
      </c>
      <c r="Z22" s="476">
        <v>0</v>
      </c>
      <c r="AA22" s="38">
        <f t="shared" si="6"/>
        <v>0</v>
      </c>
      <c r="AB22" s="692">
        <f t="shared" si="7"/>
        <v>763.5</v>
      </c>
      <c r="AC22" s="692">
        <f t="shared" si="8"/>
        <v>0</v>
      </c>
      <c r="AD22" s="692">
        <f t="shared" si="9"/>
        <v>0</v>
      </c>
      <c r="AE22" s="38"/>
      <c r="AF22" s="692">
        <f t="shared" si="10"/>
        <v>5000</v>
      </c>
      <c r="AG22" s="692">
        <f t="shared" si="11"/>
        <v>0</v>
      </c>
      <c r="AH22" s="692">
        <f t="shared" si="12"/>
        <v>0</v>
      </c>
    </row>
    <row r="23" spans="1:34" s="232" customFormat="1">
      <c r="A23" s="283" t="s">
        <v>211</v>
      </c>
      <c r="B23" s="283" t="s">
        <v>109</v>
      </c>
      <c r="C23" s="667" t="s">
        <v>525</v>
      </c>
      <c r="D23" s="123" t="s">
        <v>419</v>
      </c>
      <c r="E23" s="679"/>
      <c r="F23" s="529">
        <f>VLOOKUP(D23,'May 2012 DMV Revenue'!D:T,17,FALSE)</f>
        <v>-25000</v>
      </c>
      <c r="G23" s="680"/>
      <c r="H23" s="680"/>
      <c r="I23" s="755"/>
      <c r="J23" s="682">
        <f t="shared" si="0"/>
        <v>-25000</v>
      </c>
      <c r="K23" s="683"/>
      <c r="L23" s="684"/>
      <c r="M23" s="753">
        <v>40000</v>
      </c>
      <c r="N23" s="683">
        <v>0</v>
      </c>
      <c r="O23" s="686"/>
      <c r="P23" s="683">
        <v>0</v>
      </c>
      <c r="Q23" s="687">
        <f t="shared" si="1"/>
        <v>40000</v>
      </c>
      <c r="R23" s="688">
        <v>0</v>
      </c>
      <c r="S23" s="693"/>
      <c r="T23" s="690">
        <f t="shared" si="2"/>
        <v>-40000</v>
      </c>
      <c r="U23" s="683"/>
      <c r="V23" s="474">
        <f t="shared" si="3"/>
        <v>0</v>
      </c>
      <c r="W23" s="474">
        <f t="shared" si="4"/>
        <v>40000</v>
      </c>
      <c r="X23" s="475">
        <f t="shared" si="5"/>
        <v>0</v>
      </c>
      <c r="Y23" s="475">
        <v>0</v>
      </c>
      <c r="Z23" s="476">
        <v>0</v>
      </c>
      <c r="AA23" s="38">
        <f t="shared" si="6"/>
        <v>0</v>
      </c>
      <c r="AB23" s="692">
        <f t="shared" si="7"/>
        <v>0</v>
      </c>
      <c r="AC23" s="692">
        <f t="shared" si="8"/>
        <v>-25000</v>
      </c>
      <c r="AD23" s="692">
        <f t="shared" si="9"/>
        <v>0</v>
      </c>
      <c r="AE23" s="38"/>
      <c r="AF23" s="692">
        <f t="shared" si="10"/>
        <v>0</v>
      </c>
      <c r="AG23" s="692">
        <f t="shared" si="11"/>
        <v>40000</v>
      </c>
      <c r="AH23" s="692">
        <f t="shared" si="12"/>
        <v>0</v>
      </c>
    </row>
    <row r="24" spans="1:34" s="232" customFormat="1">
      <c r="A24" s="283"/>
      <c r="B24" s="283" t="s">
        <v>109</v>
      </c>
      <c r="C24" s="667" t="s">
        <v>525</v>
      </c>
      <c r="D24" s="413" t="s">
        <v>420</v>
      </c>
      <c r="E24" s="679"/>
      <c r="F24" s="529">
        <f>VLOOKUP(D24,'May 2012 DMV Revenue'!D:T,17,FALSE)</f>
        <v>0</v>
      </c>
      <c r="G24" s="680"/>
      <c r="H24" s="680"/>
      <c r="I24" s="755"/>
      <c r="J24" s="682">
        <f t="shared" si="0"/>
        <v>0</v>
      </c>
      <c r="K24" s="683"/>
      <c r="L24" s="684"/>
      <c r="M24" s="753"/>
      <c r="N24" s="683">
        <v>0</v>
      </c>
      <c r="O24" s="686"/>
      <c r="P24" s="683">
        <v>0</v>
      </c>
      <c r="Q24" s="687">
        <f t="shared" si="1"/>
        <v>0</v>
      </c>
      <c r="R24" s="688">
        <v>0</v>
      </c>
      <c r="S24" s="693"/>
      <c r="T24" s="690">
        <f t="shared" si="2"/>
        <v>0</v>
      </c>
      <c r="U24" s="683"/>
      <c r="V24" s="474">
        <f t="shared" si="3"/>
        <v>0</v>
      </c>
      <c r="W24" s="474">
        <f t="shared" si="4"/>
        <v>0</v>
      </c>
      <c r="X24" s="475">
        <f t="shared" si="5"/>
        <v>0</v>
      </c>
      <c r="Y24" s="475">
        <v>0</v>
      </c>
      <c r="Z24" s="476">
        <v>0</v>
      </c>
      <c r="AA24" s="38">
        <f t="shared" si="6"/>
        <v>0</v>
      </c>
      <c r="AB24" s="692">
        <f t="shared" si="7"/>
        <v>0</v>
      </c>
      <c r="AC24" s="692">
        <f t="shared" si="8"/>
        <v>0</v>
      </c>
      <c r="AD24" s="692">
        <f t="shared" si="9"/>
        <v>0</v>
      </c>
      <c r="AE24" s="38"/>
      <c r="AF24" s="692">
        <f t="shared" si="10"/>
        <v>0</v>
      </c>
      <c r="AG24" s="692">
        <f t="shared" si="11"/>
        <v>0</v>
      </c>
      <c r="AH24" s="692">
        <f t="shared" si="12"/>
        <v>0</v>
      </c>
    </row>
    <row r="25" spans="1:34" s="232" customFormat="1">
      <c r="A25" s="283"/>
      <c r="B25" s="283" t="s">
        <v>109</v>
      </c>
      <c r="C25" s="667" t="s">
        <v>525</v>
      </c>
      <c r="D25" s="413" t="s">
        <v>421</v>
      </c>
      <c r="E25" s="679"/>
      <c r="F25" s="529">
        <f>VLOOKUP(D25,'May 2012 DMV Revenue'!D:T,17,FALSE)</f>
        <v>0</v>
      </c>
      <c r="G25" s="680"/>
      <c r="H25" s="680"/>
      <c r="I25" s="755"/>
      <c r="J25" s="682">
        <f t="shared" si="0"/>
        <v>0</v>
      </c>
      <c r="K25" s="683"/>
      <c r="L25" s="684"/>
      <c r="M25" s="753"/>
      <c r="N25" s="683">
        <v>0</v>
      </c>
      <c r="O25" s="686"/>
      <c r="P25" s="683">
        <v>0</v>
      </c>
      <c r="Q25" s="687">
        <f t="shared" si="1"/>
        <v>0</v>
      </c>
      <c r="R25" s="688">
        <v>0</v>
      </c>
      <c r="S25" s="693"/>
      <c r="T25" s="690">
        <f t="shared" si="2"/>
        <v>0</v>
      </c>
      <c r="U25" s="683"/>
      <c r="V25" s="474">
        <f t="shared" si="3"/>
        <v>0</v>
      </c>
      <c r="W25" s="474">
        <f t="shared" si="4"/>
        <v>0</v>
      </c>
      <c r="X25" s="475">
        <f t="shared" si="5"/>
        <v>0</v>
      </c>
      <c r="Y25" s="475">
        <v>0</v>
      </c>
      <c r="Z25" s="476">
        <v>0</v>
      </c>
      <c r="AA25" s="38">
        <f t="shared" si="6"/>
        <v>0</v>
      </c>
      <c r="AB25" s="692">
        <f t="shared" si="7"/>
        <v>0</v>
      </c>
      <c r="AC25" s="692">
        <f t="shared" si="8"/>
        <v>0</v>
      </c>
      <c r="AD25" s="692">
        <f t="shared" si="9"/>
        <v>0</v>
      </c>
      <c r="AE25" s="38"/>
      <c r="AF25" s="692">
        <f t="shared" si="10"/>
        <v>0</v>
      </c>
      <c r="AG25" s="692">
        <f t="shared" si="11"/>
        <v>0</v>
      </c>
      <c r="AH25" s="692">
        <f t="shared" si="12"/>
        <v>0</v>
      </c>
    </row>
    <row r="26" spans="1:34">
      <c r="A26" s="20"/>
      <c r="B26" s="20" t="s">
        <v>110</v>
      </c>
      <c r="C26" s="667"/>
      <c r="D26" s="68" t="s">
        <v>191</v>
      </c>
      <c r="E26" s="679"/>
      <c r="F26" s="529">
        <f>VLOOKUP(D26,'May 2012 DMV Revenue'!D:T,17,FALSE)</f>
        <v>177.74</v>
      </c>
      <c r="G26" s="680"/>
      <c r="H26" s="680"/>
      <c r="I26" s="755"/>
      <c r="J26" s="682">
        <f t="shared" si="0"/>
        <v>177.74</v>
      </c>
      <c r="K26" s="683"/>
      <c r="L26" s="684"/>
      <c r="M26" s="753"/>
      <c r="N26" s="683">
        <v>0</v>
      </c>
      <c r="O26" s="686"/>
      <c r="P26" s="683">
        <v>0</v>
      </c>
      <c r="Q26" s="687">
        <f t="shared" si="1"/>
        <v>0</v>
      </c>
      <c r="R26" s="688">
        <v>0</v>
      </c>
      <c r="S26" s="693"/>
      <c r="T26" s="690">
        <f t="shared" si="2"/>
        <v>0</v>
      </c>
      <c r="U26" s="683"/>
      <c r="V26" s="474">
        <f t="shared" si="3"/>
        <v>0</v>
      </c>
      <c r="W26" s="474">
        <f t="shared" si="4"/>
        <v>0</v>
      </c>
      <c r="X26" s="475">
        <f t="shared" si="5"/>
        <v>0</v>
      </c>
      <c r="Y26" s="475">
        <v>0</v>
      </c>
      <c r="Z26" s="476">
        <v>0</v>
      </c>
      <c r="AA26" s="38">
        <f t="shared" si="6"/>
        <v>0</v>
      </c>
      <c r="AB26" s="692">
        <f t="shared" si="7"/>
        <v>177.74</v>
      </c>
      <c r="AC26" s="692">
        <f t="shared" si="8"/>
        <v>0</v>
      </c>
      <c r="AD26" s="692">
        <f t="shared" si="9"/>
        <v>0</v>
      </c>
      <c r="AE26" s="38"/>
      <c r="AF26" s="692">
        <f t="shared" si="10"/>
        <v>0</v>
      </c>
      <c r="AG26" s="692">
        <f t="shared" si="11"/>
        <v>0</v>
      </c>
      <c r="AH26" s="692">
        <f t="shared" si="12"/>
        <v>0</v>
      </c>
    </row>
    <row r="27" spans="1:34">
      <c r="A27" s="20"/>
      <c r="B27" s="20" t="s">
        <v>110</v>
      </c>
      <c r="C27" s="667"/>
      <c r="D27" s="68" t="s">
        <v>589</v>
      </c>
      <c r="E27" s="679"/>
      <c r="F27" s="529">
        <f>VLOOKUP(D27,'May 2012 DMV Revenue'!D:T,17,FALSE)</f>
        <v>-10000</v>
      </c>
      <c r="G27" s="680"/>
      <c r="H27" s="680"/>
      <c r="I27" s="755"/>
      <c r="J27" s="682">
        <f t="shared" si="0"/>
        <v>-10000</v>
      </c>
      <c r="K27" s="683"/>
      <c r="L27" s="684"/>
      <c r="M27" s="753">
        <v>15000</v>
      </c>
      <c r="N27" s="683">
        <v>0</v>
      </c>
      <c r="O27" s="686"/>
      <c r="P27" s="683">
        <v>0</v>
      </c>
      <c r="Q27" s="687">
        <f t="shared" si="1"/>
        <v>15000</v>
      </c>
      <c r="R27" s="688">
        <v>18670.47</v>
      </c>
      <c r="S27" s="693"/>
      <c r="T27" s="690">
        <f t="shared" si="2"/>
        <v>3670.4700000000012</v>
      </c>
      <c r="U27" s="683"/>
      <c r="V27" s="474">
        <f t="shared" si="3"/>
        <v>15000</v>
      </c>
      <c r="W27" s="474">
        <f t="shared" si="4"/>
        <v>0</v>
      </c>
      <c r="X27" s="475">
        <f t="shared" si="5"/>
        <v>0</v>
      </c>
      <c r="Y27" s="475">
        <v>0</v>
      </c>
      <c r="Z27" s="476">
        <v>0</v>
      </c>
      <c r="AA27" s="38">
        <f t="shared" si="6"/>
        <v>0</v>
      </c>
      <c r="AB27" s="692">
        <f t="shared" si="7"/>
        <v>-10000</v>
      </c>
      <c r="AC27" s="692">
        <f t="shared" si="8"/>
        <v>0</v>
      </c>
      <c r="AD27" s="692">
        <f t="shared" si="9"/>
        <v>0</v>
      </c>
      <c r="AE27" s="38"/>
      <c r="AF27" s="692">
        <f t="shared" si="10"/>
        <v>15000</v>
      </c>
      <c r="AG27" s="692">
        <f t="shared" si="11"/>
        <v>0</v>
      </c>
      <c r="AH27" s="692">
        <f t="shared" si="12"/>
        <v>0</v>
      </c>
    </row>
    <row r="28" spans="1:34">
      <c r="A28" s="20"/>
      <c r="B28" s="20" t="s">
        <v>109</v>
      </c>
      <c r="C28" s="667" t="s">
        <v>526</v>
      </c>
      <c r="D28" s="68" t="s">
        <v>385</v>
      </c>
      <c r="E28" s="679"/>
      <c r="F28" s="529">
        <f>VLOOKUP(D28,'May 2012 DMV Revenue'!D:T,17,FALSE)</f>
        <v>1927.57</v>
      </c>
      <c r="G28" s="680"/>
      <c r="H28" s="680"/>
      <c r="I28" s="755"/>
      <c r="J28" s="682">
        <f t="shared" si="0"/>
        <v>1927.57</v>
      </c>
      <c r="K28" s="683"/>
      <c r="L28" s="684"/>
      <c r="M28" s="753"/>
      <c r="N28" s="683">
        <v>0</v>
      </c>
      <c r="O28" s="686"/>
      <c r="P28" s="683">
        <v>0</v>
      </c>
      <c r="Q28" s="687">
        <f t="shared" si="1"/>
        <v>0</v>
      </c>
      <c r="R28" s="688">
        <v>1727.19</v>
      </c>
      <c r="S28" s="693"/>
      <c r="T28" s="690">
        <f t="shared" si="2"/>
        <v>1727.19</v>
      </c>
      <c r="U28" s="691"/>
      <c r="V28" s="474">
        <f t="shared" si="3"/>
        <v>0</v>
      </c>
      <c r="W28" s="474">
        <f t="shared" si="4"/>
        <v>0</v>
      </c>
      <c r="X28" s="475">
        <f t="shared" si="5"/>
        <v>0</v>
      </c>
      <c r="Y28" s="475">
        <v>0</v>
      </c>
      <c r="Z28" s="476">
        <v>0</v>
      </c>
      <c r="AA28" s="38">
        <f t="shared" si="6"/>
        <v>0</v>
      </c>
      <c r="AB28" s="692">
        <f t="shared" si="7"/>
        <v>0</v>
      </c>
      <c r="AC28" s="692">
        <f t="shared" si="8"/>
        <v>1927.57</v>
      </c>
      <c r="AD28" s="692">
        <f t="shared" si="9"/>
        <v>0</v>
      </c>
      <c r="AE28" s="38"/>
      <c r="AF28" s="692">
        <f t="shared" si="10"/>
        <v>0</v>
      </c>
      <c r="AG28" s="692">
        <f t="shared" si="11"/>
        <v>0</v>
      </c>
      <c r="AH28" s="692">
        <f t="shared" si="12"/>
        <v>0</v>
      </c>
    </row>
    <row r="29" spans="1:34" s="232" customFormat="1">
      <c r="A29" s="283"/>
      <c r="B29" s="283" t="s">
        <v>110</v>
      </c>
      <c r="C29" s="667" t="s">
        <v>527</v>
      </c>
      <c r="D29" s="123" t="s">
        <v>401</v>
      </c>
      <c r="E29" s="679"/>
      <c r="F29" s="529">
        <f>VLOOKUP(D29,'May 2012 DMV Revenue'!D:T,17,FALSE)</f>
        <v>8163</v>
      </c>
      <c r="G29" s="680"/>
      <c r="H29" s="680"/>
      <c r="I29" s="755"/>
      <c r="J29" s="682">
        <f t="shared" si="0"/>
        <v>8163</v>
      </c>
      <c r="K29" s="683"/>
      <c r="L29" s="684"/>
      <c r="M29" s="753">
        <v>375000</v>
      </c>
      <c r="N29" s="683">
        <v>0</v>
      </c>
      <c r="O29" s="686"/>
      <c r="P29" s="683">
        <v>0</v>
      </c>
      <c r="Q29" s="687">
        <f t="shared" si="1"/>
        <v>375000</v>
      </c>
      <c r="R29" s="688">
        <v>423844.5</v>
      </c>
      <c r="S29" s="693"/>
      <c r="T29" s="690">
        <f t="shared" si="2"/>
        <v>48844.5</v>
      </c>
      <c r="U29" s="683"/>
      <c r="V29" s="474">
        <f t="shared" si="3"/>
        <v>375000</v>
      </c>
      <c r="W29" s="474">
        <f t="shared" si="4"/>
        <v>0</v>
      </c>
      <c r="X29" s="475">
        <f t="shared" si="5"/>
        <v>0</v>
      </c>
      <c r="Y29" s="475">
        <v>0</v>
      </c>
      <c r="Z29" s="476">
        <v>0</v>
      </c>
      <c r="AA29" s="38">
        <f t="shared" si="6"/>
        <v>0</v>
      </c>
      <c r="AB29" s="692">
        <f t="shared" si="7"/>
        <v>8163</v>
      </c>
      <c r="AC29" s="692">
        <f t="shared" si="8"/>
        <v>0</v>
      </c>
      <c r="AD29" s="692">
        <f t="shared" si="9"/>
        <v>0</v>
      </c>
      <c r="AE29" s="38"/>
      <c r="AF29" s="692">
        <f t="shared" si="10"/>
        <v>375000</v>
      </c>
      <c r="AG29" s="692">
        <f t="shared" si="11"/>
        <v>0</v>
      </c>
      <c r="AH29" s="692">
        <f t="shared" si="12"/>
        <v>0</v>
      </c>
    </row>
    <row r="30" spans="1:34" s="232" customFormat="1">
      <c r="A30" s="283"/>
      <c r="B30" s="283" t="s">
        <v>110</v>
      </c>
      <c r="C30" s="667" t="s">
        <v>528</v>
      </c>
      <c r="D30" s="123" t="s">
        <v>403</v>
      </c>
      <c r="E30" s="679"/>
      <c r="F30" s="529">
        <f>VLOOKUP(D30,'May 2012 DMV Revenue'!D:T,17,FALSE)</f>
        <v>3122.1900000000023</v>
      </c>
      <c r="G30" s="680"/>
      <c r="H30" s="680"/>
      <c r="I30" s="755"/>
      <c r="J30" s="682">
        <f t="shared" si="0"/>
        <v>3122.1900000000023</v>
      </c>
      <c r="K30" s="683"/>
      <c r="L30" s="684"/>
      <c r="M30" s="753">
        <v>55000</v>
      </c>
      <c r="N30" s="683">
        <v>0</v>
      </c>
      <c r="O30" s="686"/>
      <c r="P30" s="683">
        <v>0</v>
      </c>
      <c r="Q30" s="687">
        <f t="shared" si="1"/>
        <v>55000</v>
      </c>
      <c r="R30" s="688">
        <v>60816.32</v>
      </c>
      <c r="S30" s="693"/>
      <c r="T30" s="690">
        <f t="shared" si="2"/>
        <v>5816.32</v>
      </c>
      <c r="U30" s="683"/>
      <c r="V30" s="474">
        <f t="shared" si="3"/>
        <v>55000</v>
      </c>
      <c r="W30" s="474">
        <f t="shared" si="4"/>
        <v>0</v>
      </c>
      <c r="X30" s="475">
        <f t="shared" si="5"/>
        <v>0</v>
      </c>
      <c r="Y30" s="475">
        <v>0</v>
      </c>
      <c r="Z30" s="476">
        <v>0</v>
      </c>
      <c r="AA30" s="38">
        <f t="shared" si="6"/>
        <v>0</v>
      </c>
      <c r="AB30" s="692">
        <f t="shared" si="7"/>
        <v>3122.1900000000023</v>
      </c>
      <c r="AC30" s="692">
        <f t="shared" si="8"/>
        <v>0</v>
      </c>
      <c r="AD30" s="692">
        <f t="shared" si="9"/>
        <v>0</v>
      </c>
      <c r="AE30" s="38"/>
      <c r="AF30" s="692">
        <f t="shared" si="10"/>
        <v>55000</v>
      </c>
      <c r="AG30" s="692">
        <f t="shared" si="11"/>
        <v>0</v>
      </c>
      <c r="AH30" s="692">
        <f t="shared" si="12"/>
        <v>0</v>
      </c>
    </row>
    <row r="31" spans="1:34" s="232" customFormat="1">
      <c r="A31" s="283"/>
      <c r="B31" s="283" t="s">
        <v>110</v>
      </c>
      <c r="C31" s="667" t="s">
        <v>528</v>
      </c>
      <c r="D31" s="123" t="s">
        <v>404</v>
      </c>
      <c r="E31" s="679"/>
      <c r="F31" s="529">
        <f>VLOOKUP(D31,'May 2012 DMV Revenue'!D:T,17,FALSE)</f>
        <v>7095.5899999999965</v>
      </c>
      <c r="G31" s="680"/>
      <c r="H31" s="680"/>
      <c r="I31" s="755"/>
      <c r="J31" s="682">
        <f t="shared" si="0"/>
        <v>7095.5899999999965</v>
      </c>
      <c r="K31" s="683"/>
      <c r="L31" s="684"/>
      <c r="M31" s="753">
        <v>70000</v>
      </c>
      <c r="N31" s="683">
        <v>0</v>
      </c>
      <c r="O31" s="686"/>
      <c r="P31" s="683">
        <v>0</v>
      </c>
      <c r="Q31" s="687">
        <f t="shared" si="1"/>
        <v>70000</v>
      </c>
      <c r="R31" s="688">
        <v>70721.399999999994</v>
      </c>
      <c r="S31" s="693"/>
      <c r="T31" s="690">
        <f t="shared" si="2"/>
        <v>721.39999999999418</v>
      </c>
      <c r="U31" s="683"/>
      <c r="V31" s="474">
        <f t="shared" si="3"/>
        <v>70000</v>
      </c>
      <c r="W31" s="474">
        <f t="shared" si="4"/>
        <v>0</v>
      </c>
      <c r="X31" s="475">
        <f t="shared" si="5"/>
        <v>0</v>
      </c>
      <c r="Y31" s="475">
        <v>0</v>
      </c>
      <c r="Z31" s="476">
        <v>0</v>
      </c>
      <c r="AA31" s="38">
        <f t="shared" si="6"/>
        <v>0</v>
      </c>
      <c r="AB31" s="692">
        <f t="shared" si="7"/>
        <v>7095.5899999999965</v>
      </c>
      <c r="AC31" s="692">
        <f t="shared" si="8"/>
        <v>0</v>
      </c>
      <c r="AD31" s="692">
        <f t="shared" si="9"/>
        <v>0</v>
      </c>
      <c r="AE31" s="38"/>
      <c r="AF31" s="692">
        <f t="shared" si="10"/>
        <v>70000</v>
      </c>
      <c r="AG31" s="692">
        <f t="shared" si="11"/>
        <v>0</v>
      </c>
      <c r="AH31" s="692">
        <f t="shared" si="12"/>
        <v>0</v>
      </c>
    </row>
    <row r="32" spans="1:34" s="232" customFormat="1">
      <c r="A32" s="283"/>
      <c r="B32" s="283" t="s">
        <v>110</v>
      </c>
      <c r="C32" s="667" t="s">
        <v>528</v>
      </c>
      <c r="D32" s="123" t="s">
        <v>405</v>
      </c>
      <c r="E32" s="679"/>
      <c r="F32" s="529">
        <f>VLOOKUP(D32,'May 2012 DMV Revenue'!D:T,17,FALSE)</f>
        <v>2381.3700000000008</v>
      </c>
      <c r="G32" s="680"/>
      <c r="H32" s="680"/>
      <c r="I32" s="755"/>
      <c r="J32" s="682">
        <f t="shared" si="0"/>
        <v>2381.3700000000008</v>
      </c>
      <c r="K32" s="683"/>
      <c r="L32" s="684"/>
      <c r="M32" s="753">
        <v>15000</v>
      </c>
      <c r="N32" s="683">
        <v>0</v>
      </c>
      <c r="O32" s="686"/>
      <c r="P32" s="683">
        <v>0</v>
      </c>
      <c r="Q32" s="687">
        <f t="shared" si="1"/>
        <v>15000</v>
      </c>
      <c r="R32" s="688">
        <v>14315.95</v>
      </c>
      <c r="S32" s="693"/>
      <c r="T32" s="690">
        <f t="shared" si="2"/>
        <v>-684.04999999999927</v>
      </c>
      <c r="U32" s="683"/>
      <c r="V32" s="474">
        <f t="shared" si="3"/>
        <v>15000</v>
      </c>
      <c r="W32" s="474">
        <f t="shared" si="4"/>
        <v>0</v>
      </c>
      <c r="X32" s="475">
        <f t="shared" si="5"/>
        <v>0</v>
      </c>
      <c r="Y32" s="475">
        <v>0</v>
      </c>
      <c r="Z32" s="476">
        <v>0</v>
      </c>
      <c r="AA32" s="38">
        <f t="shared" si="6"/>
        <v>0</v>
      </c>
      <c r="AB32" s="692">
        <f t="shared" si="7"/>
        <v>2381.3700000000008</v>
      </c>
      <c r="AC32" s="692">
        <f t="shared" si="8"/>
        <v>0</v>
      </c>
      <c r="AD32" s="692">
        <f t="shared" si="9"/>
        <v>0</v>
      </c>
      <c r="AE32" s="38"/>
      <c r="AF32" s="692">
        <f t="shared" si="10"/>
        <v>15000</v>
      </c>
      <c r="AG32" s="692">
        <f t="shared" si="11"/>
        <v>0</v>
      </c>
      <c r="AH32" s="692">
        <f t="shared" si="12"/>
        <v>0</v>
      </c>
    </row>
    <row r="33" spans="1:34" s="232" customFormat="1">
      <c r="A33" s="283"/>
      <c r="B33" s="283" t="s">
        <v>110</v>
      </c>
      <c r="C33" s="667" t="s">
        <v>528</v>
      </c>
      <c r="D33" s="123" t="s">
        <v>406</v>
      </c>
      <c r="E33" s="679"/>
      <c r="F33" s="529">
        <f>VLOOKUP(D33,'May 2012 DMV Revenue'!D:T,17,FALSE)</f>
        <v>481.32999999999993</v>
      </c>
      <c r="G33" s="680"/>
      <c r="H33" s="680"/>
      <c r="I33" s="755"/>
      <c r="J33" s="682">
        <f t="shared" si="0"/>
        <v>481.32999999999993</v>
      </c>
      <c r="K33" s="683"/>
      <c r="L33" s="684"/>
      <c r="M33" s="753">
        <v>5000</v>
      </c>
      <c r="N33" s="683">
        <v>0</v>
      </c>
      <c r="O33" s="686"/>
      <c r="P33" s="683">
        <v>0</v>
      </c>
      <c r="Q33" s="687">
        <f t="shared" si="1"/>
        <v>5000</v>
      </c>
      <c r="R33" s="688">
        <v>5382.86</v>
      </c>
      <c r="S33" s="693"/>
      <c r="T33" s="690">
        <f t="shared" si="2"/>
        <v>382.85999999999967</v>
      </c>
      <c r="U33" s="683"/>
      <c r="V33" s="474">
        <f t="shared" si="3"/>
        <v>5000</v>
      </c>
      <c r="W33" s="474">
        <f t="shared" si="4"/>
        <v>0</v>
      </c>
      <c r="X33" s="475">
        <f t="shared" si="5"/>
        <v>0</v>
      </c>
      <c r="Y33" s="475">
        <v>0</v>
      </c>
      <c r="Z33" s="476">
        <v>0</v>
      </c>
      <c r="AA33" s="38">
        <f t="shared" si="6"/>
        <v>0</v>
      </c>
      <c r="AB33" s="692">
        <f t="shared" si="7"/>
        <v>481.32999999999993</v>
      </c>
      <c r="AC33" s="692">
        <f t="shared" si="8"/>
        <v>0</v>
      </c>
      <c r="AD33" s="692">
        <f t="shared" si="9"/>
        <v>0</v>
      </c>
      <c r="AE33" s="38"/>
      <c r="AF33" s="692">
        <f t="shared" si="10"/>
        <v>5000</v>
      </c>
      <c r="AG33" s="692">
        <f t="shared" si="11"/>
        <v>0</v>
      </c>
      <c r="AH33" s="692">
        <f t="shared" si="12"/>
        <v>0</v>
      </c>
    </row>
    <row r="34" spans="1:34" s="232" customFormat="1">
      <c r="A34" s="283"/>
      <c r="B34" s="283" t="s">
        <v>110</v>
      </c>
      <c r="C34" s="667" t="s">
        <v>528</v>
      </c>
      <c r="D34" s="123" t="s">
        <v>407</v>
      </c>
      <c r="E34" s="679"/>
      <c r="F34" s="529">
        <f>VLOOKUP(D34,'May 2012 DMV Revenue'!D:T,17,FALSE)</f>
        <v>425.11999999999989</v>
      </c>
      <c r="G34" s="680"/>
      <c r="H34" s="680"/>
      <c r="I34" s="755"/>
      <c r="J34" s="682">
        <f t="shared" si="0"/>
        <v>425.11999999999989</v>
      </c>
      <c r="K34" s="683"/>
      <c r="L34" s="684"/>
      <c r="M34" s="753">
        <v>2000</v>
      </c>
      <c r="N34" s="683">
        <v>0</v>
      </c>
      <c r="O34" s="686"/>
      <c r="P34" s="683">
        <v>0</v>
      </c>
      <c r="Q34" s="687">
        <f t="shared" si="1"/>
        <v>2000</v>
      </c>
      <c r="R34" s="688">
        <v>2005.38</v>
      </c>
      <c r="S34" s="693"/>
      <c r="T34" s="690">
        <f t="shared" si="2"/>
        <v>5.3800000000001091</v>
      </c>
      <c r="U34" s="683"/>
      <c r="V34" s="474">
        <f t="shared" si="3"/>
        <v>2000</v>
      </c>
      <c r="W34" s="474">
        <f t="shared" si="4"/>
        <v>0</v>
      </c>
      <c r="X34" s="475">
        <f t="shared" si="5"/>
        <v>0</v>
      </c>
      <c r="Y34" s="475">
        <v>0</v>
      </c>
      <c r="Z34" s="476">
        <v>0</v>
      </c>
      <c r="AA34" s="38">
        <f t="shared" si="6"/>
        <v>0</v>
      </c>
      <c r="AB34" s="692">
        <f t="shared" si="7"/>
        <v>425.11999999999989</v>
      </c>
      <c r="AC34" s="692">
        <f t="shared" si="8"/>
        <v>0</v>
      </c>
      <c r="AD34" s="692">
        <f t="shared" si="9"/>
        <v>0</v>
      </c>
      <c r="AE34" s="38"/>
      <c r="AF34" s="692">
        <f t="shared" si="10"/>
        <v>2000</v>
      </c>
      <c r="AG34" s="692">
        <f t="shared" si="11"/>
        <v>0</v>
      </c>
      <c r="AH34" s="692">
        <f t="shared" si="12"/>
        <v>0</v>
      </c>
    </row>
    <row r="35" spans="1:34" s="232" customFormat="1">
      <c r="A35" s="283"/>
      <c r="B35" s="283" t="s">
        <v>110</v>
      </c>
      <c r="C35" s="667" t="s">
        <v>528</v>
      </c>
      <c r="D35" s="123" t="s">
        <v>820</v>
      </c>
      <c r="E35" s="679">
        <v>11750.03</v>
      </c>
      <c r="F35" s="529">
        <f>VLOOKUP(D35,'May 2012 DMV Revenue'!D:T,17,FALSE)</f>
        <v>-24000</v>
      </c>
      <c r="G35" s="680"/>
      <c r="H35" s="680"/>
      <c r="I35" s="755"/>
      <c r="J35" s="682">
        <f t="shared" si="0"/>
        <v>-12249.97</v>
      </c>
      <c r="K35" s="683"/>
      <c r="L35" s="684"/>
      <c r="M35" s="753">
        <v>24000</v>
      </c>
      <c r="N35" s="683">
        <v>0</v>
      </c>
      <c r="O35" s="686"/>
      <c r="P35" s="683">
        <v>0</v>
      </c>
      <c r="Q35" s="687">
        <f t="shared" si="1"/>
        <v>24000</v>
      </c>
      <c r="R35" s="688">
        <v>0</v>
      </c>
      <c r="S35" s="693"/>
      <c r="T35" s="690">
        <f t="shared" si="2"/>
        <v>-24000</v>
      </c>
      <c r="U35" s="683"/>
      <c r="V35" s="474">
        <f t="shared" si="3"/>
        <v>24000</v>
      </c>
      <c r="W35" s="474">
        <f t="shared" si="4"/>
        <v>0</v>
      </c>
      <c r="X35" s="475">
        <f t="shared" si="5"/>
        <v>0</v>
      </c>
      <c r="Y35" s="475">
        <v>0</v>
      </c>
      <c r="Z35" s="476">
        <v>0</v>
      </c>
      <c r="AA35" s="38">
        <f t="shared" si="6"/>
        <v>0</v>
      </c>
      <c r="AB35" s="692">
        <f t="shared" si="7"/>
        <v>-12249.97</v>
      </c>
      <c r="AC35" s="692">
        <f t="shared" si="8"/>
        <v>0</v>
      </c>
      <c r="AD35" s="692">
        <f t="shared" si="9"/>
        <v>0</v>
      </c>
      <c r="AE35" s="38"/>
      <c r="AF35" s="692">
        <f t="shared" si="10"/>
        <v>24000</v>
      </c>
      <c r="AG35" s="692">
        <f t="shared" si="11"/>
        <v>0</v>
      </c>
      <c r="AH35" s="692">
        <f t="shared" si="12"/>
        <v>0</v>
      </c>
    </row>
    <row r="36" spans="1:34" s="232" customFormat="1">
      <c r="A36" s="283"/>
      <c r="B36" s="283" t="s">
        <v>110</v>
      </c>
      <c r="C36" s="667" t="s">
        <v>527</v>
      </c>
      <c r="D36" s="123" t="s">
        <v>460</v>
      </c>
      <c r="E36" s="679"/>
      <c r="F36" s="529">
        <f>VLOOKUP(D36,'May 2012 DMV Revenue'!D:T,17,FALSE)</f>
        <v>0</v>
      </c>
      <c r="G36" s="680"/>
      <c r="H36" s="680"/>
      <c r="I36" s="770">
        <v>33305.78</v>
      </c>
      <c r="J36" s="682">
        <f t="shared" si="0"/>
        <v>33305.78</v>
      </c>
      <c r="K36" s="683"/>
      <c r="L36" s="684"/>
      <c r="M36" s="753"/>
      <c r="N36" s="683">
        <v>0</v>
      </c>
      <c r="O36" s="686"/>
      <c r="P36" s="683">
        <v>0</v>
      </c>
      <c r="Q36" s="687">
        <f t="shared" si="1"/>
        <v>0</v>
      </c>
      <c r="R36" s="688">
        <v>0</v>
      </c>
      <c r="S36" s="693"/>
      <c r="T36" s="690">
        <f t="shared" si="2"/>
        <v>0</v>
      </c>
      <c r="U36" s="683"/>
      <c r="V36" s="474">
        <f t="shared" si="3"/>
        <v>0</v>
      </c>
      <c r="W36" s="474">
        <f t="shared" si="4"/>
        <v>0</v>
      </c>
      <c r="X36" s="475">
        <f t="shared" si="5"/>
        <v>0</v>
      </c>
      <c r="Y36" s="475">
        <v>0</v>
      </c>
      <c r="Z36" s="476">
        <v>0</v>
      </c>
      <c r="AA36" s="38">
        <f t="shared" si="6"/>
        <v>0</v>
      </c>
      <c r="AB36" s="692">
        <f t="shared" si="7"/>
        <v>33305.78</v>
      </c>
      <c r="AC36" s="692">
        <f t="shared" si="8"/>
        <v>0</v>
      </c>
      <c r="AD36" s="692">
        <f t="shared" si="9"/>
        <v>0</v>
      </c>
      <c r="AE36" s="38"/>
      <c r="AF36" s="692">
        <f t="shared" si="10"/>
        <v>0</v>
      </c>
      <c r="AG36" s="692">
        <f t="shared" si="11"/>
        <v>0</v>
      </c>
      <c r="AH36" s="692">
        <f t="shared" si="12"/>
        <v>0</v>
      </c>
    </row>
    <row r="37" spans="1:34" s="232" customFormat="1">
      <c r="A37" s="283"/>
      <c r="B37" s="283" t="s">
        <v>110</v>
      </c>
      <c r="C37" s="676" t="s">
        <v>528</v>
      </c>
      <c r="D37" s="123" t="s">
        <v>623</v>
      </c>
      <c r="E37" s="679"/>
      <c r="F37" s="529">
        <f>VLOOKUP(D37,'May 2012 DMV Revenue'!D:T,17,FALSE)</f>
        <v>0</v>
      </c>
      <c r="G37" s="680"/>
      <c r="H37" s="680"/>
      <c r="I37" s="770">
        <v>10502.99</v>
      </c>
      <c r="J37" s="682">
        <f t="shared" si="0"/>
        <v>10502.99</v>
      </c>
      <c r="K37" s="683"/>
      <c r="L37" s="684"/>
      <c r="M37" s="753"/>
      <c r="N37" s="683">
        <v>0</v>
      </c>
      <c r="O37" s="686"/>
      <c r="P37" s="683">
        <v>0</v>
      </c>
      <c r="Q37" s="687">
        <f t="shared" si="1"/>
        <v>0</v>
      </c>
      <c r="R37" s="688">
        <v>0</v>
      </c>
      <c r="S37" s="693"/>
      <c r="T37" s="690">
        <f t="shared" si="2"/>
        <v>0</v>
      </c>
      <c r="U37" s="683"/>
      <c r="V37" s="474">
        <f t="shared" si="3"/>
        <v>0</v>
      </c>
      <c r="W37" s="474">
        <f t="shared" si="4"/>
        <v>0</v>
      </c>
      <c r="X37" s="475">
        <f t="shared" si="5"/>
        <v>0</v>
      </c>
      <c r="Y37" s="475">
        <v>0</v>
      </c>
      <c r="Z37" s="476">
        <v>0</v>
      </c>
      <c r="AA37" s="38">
        <f t="shared" si="6"/>
        <v>0</v>
      </c>
      <c r="AB37" s="692">
        <f t="shared" si="7"/>
        <v>10502.99</v>
      </c>
      <c r="AC37" s="692">
        <f t="shared" si="8"/>
        <v>0</v>
      </c>
      <c r="AD37" s="692">
        <f t="shared" si="9"/>
        <v>0</v>
      </c>
      <c r="AE37" s="38"/>
      <c r="AF37" s="692">
        <f t="shared" si="10"/>
        <v>0</v>
      </c>
      <c r="AG37" s="692">
        <f t="shared" si="11"/>
        <v>0</v>
      </c>
      <c r="AH37" s="692">
        <f t="shared" si="12"/>
        <v>0</v>
      </c>
    </row>
    <row r="38" spans="1:34" s="232" customFormat="1">
      <c r="A38" s="403"/>
      <c r="B38" s="403" t="s">
        <v>114</v>
      </c>
      <c r="C38" s="666" t="s">
        <v>529</v>
      </c>
      <c r="D38" s="123" t="s">
        <v>108</v>
      </c>
      <c r="E38" s="679"/>
      <c r="F38" s="529">
        <f>VLOOKUP(D38,'May 2012 DMV Revenue'!D:T,17,FALSE)</f>
        <v>1468.41</v>
      </c>
      <c r="G38" s="680"/>
      <c r="H38" s="680"/>
      <c r="I38" s="755"/>
      <c r="J38" s="682">
        <f t="shared" si="0"/>
        <v>1468.41</v>
      </c>
      <c r="K38" s="683"/>
      <c r="L38" s="684"/>
      <c r="M38" s="753"/>
      <c r="N38" s="683">
        <v>0</v>
      </c>
      <c r="O38" s="686"/>
      <c r="P38" s="683">
        <v>0</v>
      </c>
      <c r="Q38" s="687">
        <f t="shared" si="1"/>
        <v>0</v>
      </c>
      <c r="R38" s="688">
        <v>1973.81</v>
      </c>
      <c r="S38" s="693"/>
      <c r="T38" s="690">
        <f t="shared" si="2"/>
        <v>1973.81</v>
      </c>
      <c r="U38" s="683"/>
      <c r="V38" s="474">
        <f t="shared" si="3"/>
        <v>0</v>
      </c>
      <c r="W38" s="474">
        <f t="shared" si="4"/>
        <v>0</v>
      </c>
      <c r="X38" s="475">
        <f t="shared" si="5"/>
        <v>0</v>
      </c>
      <c r="Y38" s="475">
        <v>0</v>
      </c>
      <c r="Z38" s="476">
        <v>0</v>
      </c>
      <c r="AA38" s="38">
        <f t="shared" si="6"/>
        <v>0</v>
      </c>
      <c r="AB38" s="692">
        <f t="shared" si="7"/>
        <v>0</v>
      </c>
      <c r="AC38" s="692">
        <f t="shared" si="8"/>
        <v>0</v>
      </c>
      <c r="AD38" s="692">
        <f t="shared" si="9"/>
        <v>1468.41</v>
      </c>
      <c r="AE38" s="38"/>
      <c r="AF38" s="692">
        <f t="shared" si="10"/>
        <v>0</v>
      </c>
      <c r="AG38" s="692">
        <f t="shared" si="11"/>
        <v>0</v>
      </c>
      <c r="AH38" s="692">
        <f t="shared" si="12"/>
        <v>0</v>
      </c>
    </row>
    <row r="39" spans="1:34">
      <c r="A39" s="21"/>
      <c r="B39" s="21" t="s">
        <v>110</v>
      </c>
      <c r="C39" s="666"/>
      <c r="D39" s="68" t="s">
        <v>234</v>
      </c>
      <c r="E39" s="679"/>
      <c r="F39" s="529">
        <f>VLOOKUP(D39,'May 2012 DMV Revenue'!D:T,17,FALSE)</f>
        <v>0</v>
      </c>
      <c r="G39" s="680"/>
      <c r="H39" s="680"/>
      <c r="I39" s="755"/>
      <c r="J39" s="682">
        <f t="shared" si="0"/>
        <v>0</v>
      </c>
      <c r="K39" s="683"/>
      <c r="L39" s="684"/>
      <c r="M39" s="753"/>
      <c r="N39" s="683">
        <v>0</v>
      </c>
      <c r="O39" s="686"/>
      <c r="P39" s="683">
        <v>0</v>
      </c>
      <c r="Q39" s="687">
        <f t="shared" si="1"/>
        <v>0</v>
      </c>
      <c r="R39" s="688">
        <v>0</v>
      </c>
      <c r="S39" s="693"/>
      <c r="T39" s="690"/>
      <c r="U39" s="683"/>
      <c r="V39" s="474">
        <f t="shared" si="3"/>
        <v>0</v>
      </c>
      <c r="W39" s="474">
        <f t="shared" si="4"/>
        <v>0</v>
      </c>
      <c r="X39" s="475">
        <f t="shared" si="5"/>
        <v>0</v>
      </c>
      <c r="Y39" s="475">
        <v>0</v>
      </c>
      <c r="Z39" s="476">
        <v>0</v>
      </c>
      <c r="AA39" s="38">
        <f t="shared" si="6"/>
        <v>0</v>
      </c>
      <c r="AB39" s="692">
        <f t="shared" si="7"/>
        <v>0</v>
      </c>
      <c r="AC39" s="692">
        <f t="shared" si="8"/>
        <v>0</v>
      </c>
      <c r="AD39" s="692">
        <f t="shared" si="9"/>
        <v>0</v>
      </c>
      <c r="AE39" s="38"/>
      <c r="AF39" s="692">
        <f t="shared" si="10"/>
        <v>0</v>
      </c>
      <c r="AG39" s="692">
        <f t="shared" si="11"/>
        <v>0</v>
      </c>
      <c r="AH39" s="692">
        <f t="shared" si="12"/>
        <v>0</v>
      </c>
    </row>
    <row r="40" spans="1:34">
      <c r="A40" s="21"/>
      <c r="B40" s="21" t="s">
        <v>110</v>
      </c>
      <c r="C40" s="666"/>
      <c r="D40" s="68" t="s">
        <v>649</v>
      </c>
      <c r="E40" s="679"/>
      <c r="F40" s="529">
        <f>VLOOKUP(D40,'May 2012 DMV Revenue'!D:T,17,FALSE)</f>
        <v>0</v>
      </c>
      <c r="G40" s="680"/>
      <c r="H40" s="680"/>
      <c r="I40" s="755"/>
      <c r="J40" s="682">
        <f t="shared" si="0"/>
        <v>0</v>
      </c>
      <c r="K40" s="683"/>
      <c r="L40" s="684"/>
      <c r="M40" s="753"/>
      <c r="N40" s="683">
        <v>0</v>
      </c>
      <c r="O40" s="686"/>
      <c r="P40" s="683">
        <v>0</v>
      </c>
      <c r="Q40" s="687">
        <f t="shared" si="1"/>
        <v>0</v>
      </c>
      <c r="R40" s="688">
        <v>0</v>
      </c>
      <c r="S40" s="693"/>
      <c r="T40" s="690">
        <f t="shared" si="2"/>
        <v>0</v>
      </c>
      <c r="U40" s="683"/>
      <c r="V40" s="474">
        <f t="shared" si="3"/>
        <v>0</v>
      </c>
      <c r="W40" s="474">
        <f t="shared" si="4"/>
        <v>0</v>
      </c>
      <c r="X40" s="475">
        <f t="shared" si="5"/>
        <v>0</v>
      </c>
      <c r="Y40" s="475">
        <v>0</v>
      </c>
      <c r="Z40" s="476">
        <v>0</v>
      </c>
      <c r="AA40" s="38">
        <f t="shared" si="6"/>
        <v>0</v>
      </c>
      <c r="AB40" s="692">
        <f t="shared" si="7"/>
        <v>0</v>
      </c>
      <c r="AC40" s="692">
        <f t="shared" si="8"/>
        <v>0</v>
      </c>
      <c r="AD40" s="692">
        <f t="shared" si="9"/>
        <v>0</v>
      </c>
      <c r="AE40" s="38"/>
      <c r="AF40" s="692">
        <f t="shared" si="10"/>
        <v>0</v>
      </c>
      <c r="AG40" s="692">
        <f t="shared" si="11"/>
        <v>0</v>
      </c>
      <c r="AH40" s="692">
        <f t="shared" si="12"/>
        <v>0</v>
      </c>
    </row>
    <row r="41" spans="1:34">
      <c r="A41" s="20"/>
      <c r="B41" s="20" t="s">
        <v>109</v>
      </c>
      <c r="C41" s="667"/>
      <c r="D41" s="68" t="s">
        <v>598</v>
      </c>
      <c r="E41" s="679">
        <v>2392.58</v>
      </c>
      <c r="F41" s="529">
        <f>VLOOKUP(D41,'May 2012 DMV Revenue'!D:T,17,FALSE)</f>
        <v>-16000</v>
      </c>
      <c r="G41" s="680"/>
      <c r="H41" s="680"/>
      <c r="I41" s="755"/>
      <c r="J41" s="682">
        <f t="shared" si="0"/>
        <v>-13607.42</v>
      </c>
      <c r="K41" s="683"/>
      <c r="L41" s="684"/>
      <c r="M41" s="753">
        <v>5000</v>
      </c>
      <c r="N41" s="683">
        <v>0</v>
      </c>
      <c r="O41" s="686"/>
      <c r="P41" s="683">
        <v>0</v>
      </c>
      <c r="Q41" s="687">
        <f t="shared" si="1"/>
        <v>5000</v>
      </c>
      <c r="R41" s="688">
        <v>2047.6</v>
      </c>
      <c r="S41" s="693"/>
      <c r="T41" s="690">
        <f t="shared" si="2"/>
        <v>-2952.4</v>
      </c>
      <c r="U41" s="683"/>
      <c r="V41" s="474">
        <f t="shared" si="3"/>
        <v>0</v>
      </c>
      <c r="W41" s="474">
        <f t="shared" si="4"/>
        <v>5000</v>
      </c>
      <c r="X41" s="475">
        <f t="shared" si="5"/>
        <v>0</v>
      </c>
      <c r="Y41" s="475">
        <v>0</v>
      </c>
      <c r="Z41" s="476">
        <v>0</v>
      </c>
      <c r="AA41" s="38">
        <f t="shared" si="6"/>
        <v>0</v>
      </c>
      <c r="AB41" s="692">
        <f t="shared" si="7"/>
        <v>0</v>
      </c>
      <c r="AC41" s="692">
        <f t="shared" si="8"/>
        <v>-13607.42</v>
      </c>
      <c r="AD41" s="692">
        <f t="shared" si="9"/>
        <v>0</v>
      </c>
      <c r="AE41" s="38"/>
      <c r="AF41" s="692">
        <f t="shared" si="10"/>
        <v>0</v>
      </c>
      <c r="AG41" s="692">
        <f t="shared" si="11"/>
        <v>5000</v>
      </c>
      <c r="AH41" s="692">
        <f t="shared" si="12"/>
        <v>0</v>
      </c>
    </row>
    <row r="42" spans="1:34">
      <c r="A42" s="20"/>
      <c r="B42" s="20" t="s">
        <v>109</v>
      </c>
      <c r="C42" s="667"/>
      <c r="D42" s="68" t="s">
        <v>470</v>
      </c>
      <c r="E42" s="679"/>
      <c r="F42" s="529">
        <f>VLOOKUP(D42,'May 2012 DMV Revenue'!D:T,17,FALSE)</f>
        <v>0</v>
      </c>
      <c r="G42" s="680"/>
      <c r="H42" s="680"/>
      <c r="I42" s="755"/>
      <c r="J42" s="682">
        <f t="shared" si="0"/>
        <v>0</v>
      </c>
      <c r="K42" s="683"/>
      <c r="L42" s="684"/>
      <c r="M42" s="753"/>
      <c r="N42" s="683">
        <v>0</v>
      </c>
      <c r="O42" s="686"/>
      <c r="P42" s="683">
        <v>0</v>
      </c>
      <c r="Q42" s="687">
        <f t="shared" si="1"/>
        <v>0</v>
      </c>
      <c r="R42" s="688">
        <v>0</v>
      </c>
      <c r="S42" s="693"/>
      <c r="T42" s="690">
        <f t="shared" si="2"/>
        <v>0</v>
      </c>
      <c r="U42" s="683"/>
      <c r="V42" s="474">
        <f t="shared" si="3"/>
        <v>0</v>
      </c>
      <c r="W42" s="474">
        <f t="shared" si="4"/>
        <v>0</v>
      </c>
      <c r="X42" s="475">
        <f t="shared" si="5"/>
        <v>0</v>
      </c>
      <c r="Y42" s="475">
        <v>0</v>
      </c>
      <c r="Z42" s="476">
        <v>0</v>
      </c>
      <c r="AA42" s="38">
        <f t="shared" si="6"/>
        <v>0</v>
      </c>
      <c r="AB42" s="692">
        <f t="shared" si="7"/>
        <v>0</v>
      </c>
      <c r="AC42" s="692">
        <f t="shared" si="8"/>
        <v>0</v>
      </c>
      <c r="AD42" s="692">
        <f t="shared" si="9"/>
        <v>0</v>
      </c>
      <c r="AE42" s="38"/>
      <c r="AF42" s="692">
        <f t="shared" si="10"/>
        <v>0</v>
      </c>
      <c r="AG42" s="692">
        <f t="shared" si="11"/>
        <v>0</v>
      </c>
      <c r="AH42" s="692">
        <f t="shared" si="12"/>
        <v>0</v>
      </c>
    </row>
    <row r="43" spans="1:34">
      <c r="A43" s="20"/>
      <c r="B43" s="20" t="s">
        <v>110</v>
      </c>
      <c r="C43" s="667"/>
      <c r="D43" s="68" t="s">
        <v>311</v>
      </c>
      <c r="E43" s="679"/>
      <c r="F43" s="529">
        <f>VLOOKUP(D43,'May 2012 DMV Revenue'!D:T,17,FALSE)</f>
        <v>0</v>
      </c>
      <c r="G43" s="680"/>
      <c r="H43" s="680"/>
      <c r="I43" s="755"/>
      <c r="J43" s="682">
        <f t="shared" si="0"/>
        <v>0</v>
      </c>
      <c r="K43" s="683"/>
      <c r="L43" s="684"/>
      <c r="M43" s="753"/>
      <c r="N43" s="683">
        <v>0</v>
      </c>
      <c r="O43" s="686"/>
      <c r="P43" s="683">
        <v>0</v>
      </c>
      <c r="Q43" s="687">
        <f t="shared" si="1"/>
        <v>0</v>
      </c>
      <c r="R43" s="688">
        <v>0</v>
      </c>
      <c r="S43" s="693"/>
      <c r="T43" s="690">
        <f t="shared" si="2"/>
        <v>0</v>
      </c>
      <c r="U43" s="683"/>
      <c r="V43" s="474">
        <f t="shared" si="3"/>
        <v>0</v>
      </c>
      <c r="W43" s="474">
        <f t="shared" si="4"/>
        <v>0</v>
      </c>
      <c r="X43" s="475">
        <f t="shared" si="5"/>
        <v>0</v>
      </c>
      <c r="Y43" s="475">
        <v>0</v>
      </c>
      <c r="Z43" s="476">
        <v>0</v>
      </c>
      <c r="AA43" s="38">
        <f t="shared" si="6"/>
        <v>0</v>
      </c>
      <c r="AB43" s="692">
        <f t="shared" si="7"/>
        <v>0</v>
      </c>
      <c r="AC43" s="692">
        <f t="shared" si="8"/>
        <v>0</v>
      </c>
      <c r="AD43" s="692">
        <f t="shared" si="9"/>
        <v>0</v>
      </c>
      <c r="AE43" s="38"/>
      <c r="AF43" s="692">
        <f t="shared" si="10"/>
        <v>0</v>
      </c>
      <c r="AG43" s="692">
        <f t="shared" si="11"/>
        <v>0</v>
      </c>
      <c r="AH43" s="692">
        <f t="shared" si="12"/>
        <v>0</v>
      </c>
    </row>
    <row r="44" spans="1:34">
      <c r="A44" s="20"/>
      <c r="B44" s="20" t="s">
        <v>110</v>
      </c>
      <c r="C44" s="667"/>
      <c r="D44" s="68" t="s">
        <v>451</v>
      </c>
      <c r="E44" s="679"/>
      <c r="F44" s="529">
        <f>VLOOKUP(D44,'May 2012 DMV Revenue'!D:T,17,FALSE)</f>
        <v>-10000</v>
      </c>
      <c r="G44" s="680"/>
      <c r="H44" s="680"/>
      <c r="I44" s="755"/>
      <c r="J44" s="682">
        <f t="shared" si="0"/>
        <v>-10000</v>
      </c>
      <c r="K44" s="683"/>
      <c r="L44" s="684"/>
      <c r="M44" s="753">
        <v>15000</v>
      </c>
      <c r="N44" s="683">
        <v>0</v>
      </c>
      <c r="O44" s="686"/>
      <c r="P44" s="683">
        <v>0</v>
      </c>
      <c r="Q44" s="687">
        <f t="shared" si="1"/>
        <v>15000</v>
      </c>
      <c r="R44" s="688">
        <v>0</v>
      </c>
      <c r="S44" s="693"/>
      <c r="T44" s="690">
        <f t="shared" si="2"/>
        <v>-15000</v>
      </c>
      <c r="U44" s="683"/>
      <c r="V44" s="474">
        <f t="shared" si="3"/>
        <v>15000</v>
      </c>
      <c r="W44" s="474">
        <f t="shared" si="4"/>
        <v>0</v>
      </c>
      <c r="X44" s="475">
        <f t="shared" si="5"/>
        <v>0</v>
      </c>
      <c r="Y44" s="475">
        <v>0</v>
      </c>
      <c r="Z44" s="476">
        <v>0</v>
      </c>
      <c r="AA44" s="38">
        <f t="shared" si="6"/>
        <v>0</v>
      </c>
      <c r="AB44" s="692">
        <f t="shared" si="7"/>
        <v>-10000</v>
      </c>
      <c r="AC44" s="692">
        <f t="shared" si="8"/>
        <v>0</v>
      </c>
      <c r="AD44" s="692">
        <f t="shared" si="9"/>
        <v>0</v>
      </c>
      <c r="AE44" s="38"/>
      <c r="AF44" s="692">
        <f t="shared" si="10"/>
        <v>15000</v>
      </c>
      <c r="AG44" s="692">
        <f t="shared" si="11"/>
        <v>0</v>
      </c>
      <c r="AH44" s="692">
        <f t="shared" si="12"/>
        <v>0</v>
      </c>
    </row>
    <row r="45" spans="1:34">
      <c r="A45" s="20"/>
      <c r="B45" s="20" t="s">
        <v>109</v>
      </c>
      <c r="C45" s="667"/>
      <c r="D45" s="68" t="s">
        <v>469</v>
      </c>
      <c r="E45" s="679"/>
      <c r="F45" s="529">
        <f>VLOOKUP(D45,'May 2012 DMV Revenue'!D:T,17,FALSE)</f>
        <v>5078.93</v>
      </c>
      <c r="G45" s="680"/>
      <c r="H45" s="680"/>
      <c r="I45" s="770">
        <v>4714.84</v>
      </c>
      <c r="J45" s="682">
        <f t="shared" si="0"/>
        <v>9793.77</v>
      </c>
      <c r="K45" s="683"/>
      <c r="L45" s="684"/>
      <c r="M45" s="753"/>
      <c r="N45" s="683">
        <v>0</v>
      </c>
      <c r="O45" s="686"/>
      <c r="P45" s="683">
        <v>0</v>
      </c>
      <c r="Q45" s="687">
        <f t="shared" si="1"/>
        <v>0</v>
      </c>
      <c r="R45" s="688">
        <v>0</v>
      </c>
      <c r="S45" s="693"/>
      <c r="T45" s="690">
        <f t="shared" si="2"/>
        <v>0</v>
      </c>
      <c r="U45" s="683"/>
      <c r="V45" s="474">
        <f t="shared" si="3"/>
        <v>0</v>
      </c>
      <c r="W45" s="474">
        <f t="shared" si="4"/>
        <v>0</v>
      </c>
      <c r="X45" s="475">
        <f t="shared" si="5"/>
        <v>0</v>
      </c>
      <c r="Y45" s="475">
        <v>0</v>
      </c>
      <c r="Z45" s="476">
        <v>0</v>
      </c>
      <c r="AA45" s="38">
        <f t="shared" si="6"/>
        <v>0</v>
      </c>
      <c r="AB45" s="692">
        <f t="shared" si="7"/>
        <v>0</v>
      </c>
      <c r="AC45" s="692">
        <f t="shared" si="8"/>
        <v>9793.77</v>
      </c>
      <c r="AD45" s="692">
        <f t="shared" si="9"/>
        <v>0</v>
      </c>
      <c r="AE45" s="38"/>
      <c r="AF45" s="692">
        <f t="shared" si="10"/>
        <v>0</v>
      </c>
      <c r="AG45" s="692">
        <f t="shared" si="11"/>
        <v>0</v>
      </c>
      <c r="AH45" s="692">
        <f t="shared" si="12"/>
        <v>0</v>
      </c>
    </row>
    <row r="46" spans="1:34">
      <c r="A46" s="20"/>
      <c r="B46" s="20" t="s">
        <v>110</v>
      </c>
      <c r="C46" s="667" t="s">
        <v>530</v>
      </c>
      <c r="D46" s="68" t="s">
        <v>69</v>
      </c>
      <c r="E46" s="679"/>
      <c r="F46" s="529">
        <f>VLOOKUP(D46,'May 2012 DMV Revenue'!D:T,17,FALSE)</f>
        <v>2141.48</v>
      </c>
      <c r="G46" s="680"/>
      <c r="H46" s="680"/>
      <c r="I46" s="755"/>
      <c r="J46" s="682">
        <f t="shared" si="0"/>
        <v>2141.48</v>
      </c>
      <c r="K46" s="683"/>
      <c r="L46" s="684"/>
      <c r="M46" s="753"/>
      <c r="N46" s="683">
        <v>0</v>
      </c>
      <c r="O46" s="686"/>
      <c r="P46" s="683">
        <v>0</v>
      </c>
      <c r="Q46" s="687">
        <f t="shared" si="1"/>
        <v>0</v>
      </c>
      <c r="R46" s="688">
        <v>2759.98</v>
      </c>
      <c r="S46" s="693"/>
      <c r="T46" s="690">
        <f t="shared" si="2"/>
        <v>2759.98</v>
      </c>
      <c r="U46" s="683"/>
      <c r="V46" s="474">
        <f t="shared" si="3"/>
        <v>0</v>
      </c>
      <c r="W46" s="474">
        <f t="shared" si="4"/>
        <v>0</v>
      </c>
      <c r="X46" s="475">
        <f t="shared" si="5"/>
        <v>0</v>
      </c>
      <c r="Y46" s="475">
        <v>0</v>
      </c>
      <c r="Z46" s="476">
        <v>0</v>
      </c>
      <c r="AA46" s="38">
        <f t="shared" si="6"/>
        <v>0</v>
      </c>
      <c r="AB46" s="692">
        <f t="shared" si="7"/>
        <v>2141.48</v>
      </c>
      <c r="AC46" s="692">
        <f t="shared" si="8"/>
        <v>0</v>
      </c>
      <c r="AD46" s="692">
        <f t="shared" si="9"/>
        <v>0</v>
      </c>
      <c r="AE46" s="38"/>
      <c r="AF46" s="692">
        <f t="shared" si="10"/>
        <v>0</v>
      </c>
      <c r="AG46" s="692">
        <f t="shared" si="11"/>
        <v>0</v>
      </c>
      <c r="AH46" s="692">
        <f t="shared" si="12"/>
        <v>0</v>
      </c>
    </row>
    <row r="47" spans="1:34">
      <c r="A47" s="20"/>
      <c r="B47" s="20" t="s">
        <v>110</v>
      </c>
      <c r="C47" s="667" t="s">
        <v>531</v>
      </c>
      <c r="D47" s="68" t="s">
        <v>237</v>
      </c>
      <c r="E47" s="679"/>
      <c r="F47" s="529">
        <f>VLOOKUP(D47,'May 2012 DMV Revenue'!D:T,17,FALSE)</f>
        <v>497.89999999999964</v>
      </c>
      <c r="G47" s="680"/>
      <c r="H47" s="680"/>
      <c r="I47" s="755"/>
      <c r="J47" s="682">
        <f t="shared" si="0"/>
        <v>497.89999999999964</v>
      </c>
      <c r="K47" s="683"/>
      <c r="L47" s="684"/>
      <c r="M47" s="753">
        <v>14000</v>
      </c>
      <c r="N47" s="683">
        <v>0</v>
      </c>
      <c r="O47" s="686"/>
      <c r="P47" s="683">
        <v>0</v>
      </c>
      <c r="Q47" s="687">
        <f t="shared" si="1"/>
        <v>14000</v>
      </c>
      <c r="R47" s="688">
        <v>14534.11</v>
      </c>
      <c r="S47" s="693"/>
      <c r="T47" s="690">
        <f t="shared" si="2"/>
        <v>534.11000000000058</v>
      </c>
      <c r="U47" s="683"/>
      <c r="V47" s="474">
        <f t="shared" si="3"/>
        <v>14000</v>
      </c>
      <c r="W47" s="474">
        <f t="shared" si="4"/>
        <v>0</v>
      </c>
      <c r="X47" s="475">
        <f t="shared" si="5"/>
        <v>0</v>
      </c>
      <c r="Y47" s="475">
        <v>0</v>
      </c>
      <c r="Z47" s="476">
        <v>0</v>
      </c>
      <c r="AA47" s="38">
        <f t="shared" si="6"/>
        <v>0</v>
      </c>
      <c r="AB47" s="692">
        <f t="shared" si="7"/>
        <v>497.89999999999964</v>
      </c>
      <c r="AC47" s="692">
        <f t="shared" si="8"/>
        <v>0</v>
      </c>
      <c r="AD47" s="692">
        <f t="shared" si="9"/>
        <v>0</v>
      </c>
      <c r="AE47" s="38"/>
      <c r="AF47" s="692">
        <f t="shared" si="10"/>
        <v>14000</v>
      </c>
      <c r="AG47" s="692">
        <f t="shared" si="11"/>
        <v>0</v>
      </c>
      <c r="AH47" s="692">
        <f t="shared" si="12"/>
        <v>0</v>
      </c>
    </row>
    <row r="48" spans="1:34">
      <c r="A48" s="20" t="s">
        <v>211</v>
      </c>
      <c r="B48" s="20" t="s">
        <v>110</v>
      </c>
      <c r="C48" s="667" t="s">
        <v>532</v>
      </c>
      <c r="D48" s="68" t="s">
        <v>7</v>
      </c>
      <c r="E48" s="679"/>
      <c r="F48" s="529">
        <f>VLOOKUP(D48,'May 2012 DMV Revenue'!D:T,17,FALSE)</f>
        <v>0</v>
      </c>
      <c r="G48" s="680"/>
      <c r="H48" s="680"/>
      <c r="I48" s="755"/>
      <c r="J48" s="682">
        <f t="shared" si="0"/>
        <v>0</v>
      </c>
      <c r="K48" s="683"/>
      <c r="L48" s="684"/>
      <c r="M48" s="753"/>
      <c r="N48" s="683">
        <v>0</v>
      </c>
      <c r="O48" s="686"/>
      <c r="P48" s="683">
        <v>0</v>
      </c>
      <c r="Q48" s="687">
        <f t="shared" si="1"/>
        <v>0</v>
      </c>
      <c r="R48" s="688">
        <v>38528.959999999999</v>
      </c>
      <c r="S48" s="693"/>
      <c r="T48" s="690">
        <f t="shared" si="2"/>
        <v>38528.959999999999</v>
      </c>
      <c r="U48" s="697"/>
      <c r="V48" s="474">
        <f t="shared" si="3"/>
        <v>0</v>
      </c>
      <c r="W48" s="474">
        <f t="shared" si="4"/>
        <v>0</v>
      </c>
      <c r="X48" s="475">
        <f t="shared" si="5"/>
        <v>0</v>
      </c>
      <c r="Y48" s="475">
        <v>0</v>
      </c>
      <c r="Z48" s="476">
        <v>0</v>
      </c>
      <c r="AA48" s="38">
        <f t="shared" si="6"/>
        <v>0</v>
      </c>
      <c r="AB48" s="692">
        <f t="shared" si="7"/>
        <v>0</v>
      </c>
      <c r="AC48" s="692">
        <f t="shared" si="8"/>
        <v>0</v>
      </c>
      <c r="AD48" s="692">
        <f t="shared" si="9"/>
        <v>0</v>
      </c>
      <c r="AE48" s="38"/>
      <c r="AF48" s="692">
        <f t="shared" si="10"/>
        <v>0</v>
      </c>
      <c r="AG48" s="692">
        <f t="shared" si="11"/>
        <v>0</v>
      </c>
      <c r="AH48" s="692">
        <f t="shared" si="12"/>
        <v>0</v>
      </c>
    </row>
    <row r="49" spans="1:34" s="232" customFormat="1">
      <c r="A49" s="283" t="s">
        <v>97</v>
      </c>
      <c r="B49" s="283" t="s">
        <v>109</v>
      </c>
      <c r="C49" s="667" t="s">
        <v>533</v>
      </c>
      <c r="D49" s="123" t="s">
        <v>415</v>
      </c>
      <c r="E49" s="679"/>
      <c r="F49" s="529">
        <f>VLOOKUP(D49,'May 2012 DMV Revenue'!D:T,17,FALSE)</f>
        <v>0</v>
      </c>
      <c r="G49" s="680"/>
      <c r="H49" s="680"/>
      <c r="I49" s="755"/>
      <c r="J49" s="682">
        <f t="shared" si="0"/>
        <v>0</v>
      </c>
      <c r="K49" s="683"/>
      <c r="L49" s="684"/>
      <c r="M49" s="753"/>
      <c r="N49" s="683">
        <v>0</v>
      </c>
      <c r="O49" s="686"/>
      <c r="P49" s="683">
        <v>0</v>
      </c>
      <c r="Q49" s="687">
        <f t="shared" si="1"/>
        <v>0</v>
      </c>
      <c r="R49" s="688">
        <v>0</v>
      </c>
      <c r="S49" s="693"/>
      <c r="T49" s="690">
        <f t="shared" si="2"/>
        <v>0</v>
      </c>
      <c r="U49" s="683"/>
      <c r="V49" s="474">
        <f t="shared" si="3"/>
        <v>0</v>
      </c>
      <c r="W49" s="474">
        <f t="shared" si="4"/>
        <v>0</v>
      </c>
      <c r="X49" s="475">
        <f t="shared" si="5"/>
        <v>0</v>
      </c>
      <c r="Y49" s="475">
        <v>0</v>
      </c>
      <c r="Z49" s="476">
        <v>0</v>
      </c>
      <c r="AA49" s="38">
        <f t="shared" si="6"/>
        <v>0</v>
      </c>
      <c r="AB49" s="692">
        <f t="shared" si="7"/>
        <v>0</v>
      </c>
      <c r="AC49" s="692">
        <f t="shared" si="8"/>
        <v>0</v>
      </c>
      <c r="AD49" s="692">
        <f t="shared" si="9"/>
        <v>0</v>
      </c>
      <c r="AE49" s="38"/>
      <c r="AF49" s="692">
        <f t="shared" si="10"/>
        <v>0</v>
      </c>
      <c r="AG49" s="692">
        <f t="shared" si="11"/>
        <v>0</v>
      </c>
      <c r="AH49" s="692">
        <f t="shared" si="12"/>
        <v>0</v>
      </c>
    </row>
    <row r="50" spans="1:34" s="232" customFormat="1">
      <c r="A50" s="283"/>
      <c r="B50" s="283" t="s">
        <v>109</v>
      </c>
      <c r="C50" s="667" t="s">
        <v>533</v>
      </c>
      <c r="D50" s="123" t="s">
        <v>416</v>
      </c>
      <c r="E50" s="679"/>
      <c r="F50" s="529">
        <f>VLOOKUP(D50,'May 2012 DMV Revenue'!D:T,17,FALSE)</f>
        <v>0</v>
      </c>
      <c r="G50" s="680"/>
      <c r="H50" s="680"/>
      <c r="I50" s="755"/>
      <c r="J50" s="682">
        <f t="shared" si="0"/>
        <v>0</v>
      </c>
      <c r="K50" s="683"/>
      <c r="L50" s="684"/>
      <c r="M50" s="753"/>
      <c r="N50" s="683">
        <v>0</v>
      </c>
      <c r="O50" s="686"/>
      <c r="P50" s="683">
        <v>0</v>
      </c>
      <c r="Q50" s="687">
        <f t="shared" si="1"/>
        <v>0</v>
      </c>
      <c r="R50" s="688">
        <v>0</v>
      </c>
      <c r="S50" s="693"/>
      <c r="T50" s="690">
        <f t="shared" si="2"/>
        <v>0</v>
      </c>
      <c r="U50" s="683"/>
      <c r="V50" s="474">
        <f t="shared" si="3"/>
        <v>0</v>
      </c>
      <c r="W50" s="474">
        <f t="shared" si="4"/>
        <v>0</v>
      </c>
      <c r="X50" s="475">
        <f t="shared" si="5"/>
        <v>0</v>
      </c>
      <c r="Y50" s="475">
        <v>0</v>
      </c>
      <c r="Z50" s="476">
        <v>0</v>
      </c>
      <c r="AA50" s="38">
        <f t="shared" si="6"/>
        <v>0</v>
      </c>
      <c r="AB50" s="692">
        <f t="shared" si="7"/>
        <v>0</v>
      </c>
      <c r="AC50" s="692">
        <f t="shared" si="8"/>
        <v>0</v>
      </c>
      <c r="AD50" s="692">
        <f t="shared" si="9"/>
        <v>0</v>
      </c>
      <c r="AE50" s="38"/>
      <c r="AF50" s="692">
        <f t="shared" si="10"/>
        <v>0</v>
      </c>
      <c r="AG50" s="692">
        <f t="shared" si="11"/>
        <v>0</v>
      </c>
      <c r="AH50" s="692">
        <f t="shared" si="12"/>
        <v>0</v>
      </c>
    </row>
    <row r="51" spans="1:34" s="232" customFormat="1">
      <c r="A51" s="283"/>
      <c r="B51" s="283" t="s">
        <v>109</v>
      </c>
      <c r="C51" s="667" t="s">
        <v>533</v>
      </c>
      <c r="D51" s="123" t="s">
        <v>417</v>
      </c>
      <c r="E51" s="679"/>
      <c r="F51" s="529">
        <f>VLOOKUP(D51,'May 2012 DMV Revenue'!D:T,17,FALSE)</f>
        <v>0</v>
      </c>
      <c r="G51" s="680"/>
      <c r="H51" s="680"/>
      <c r="I51" s="755"/>
      <c r="J51" s="682">
        <f t="shared" si="0"/>
        <v>0</v>
      </c>
      <c r="K51" s="683"/>
      <c r="L51" s="684"/>
      <c r="M51" s="753"/>
      <c r="N51" s="683">
        <v>0</v>
      </c>
      <c r="O51" s="686"/>
      <c r="P51" s="683">
        <v>0</v>
      </c>
      <c r="Q51" s="687">
        <f t="shared" si="1"/>
        <v>0</v>
      </c>
      <c r="R51" s="688">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8"/>
        <v>0</v>
      </c>
      <c r="AD51" s="692">
        <f t="shared" si="9"/>
        <v>0</v>
      </c>
      <c r="AE51" s="38"/>
      <c r="AF51" s="692">
        <f t="shared" si="10"/>
        <v>0</v>
      </c>
      <c r="AG51" s="692">
        <f t="shared" si="11"/>
        <v>0</v>
      </c>
      <c r="AH51" s="692">
        <f t="shared" si="12"/>
        <v>0</v>
      </c>
    </row>
    <row r="52" spans="1:34" s="232" customFormat="1">
      <c r="A52" s="283"/>
      <c r="B52" s="283" t="s">
        <v>109</v>
      </c>
      <c r="C52" s="667" t="s">
        <v>533</v>
      </c>
      <c r="D52" s="123" t="s">
        <v>418</v>
      </c>
      <c r="E52" s="679"/>
      <c r="F52" s="529">
        <f>VLOOKUP(D52,'May 2012 DMV Revenue'!D:T,17,FALSE)</f>
        <v>0</v>
      </c>
      <c r="G52" s="680"/>
      <c r="H52" s="680"/>
      <c r="I52" s="755"/>
      <c r="J52" s="682">
        <f t="shared" si="0"/>
        <v>0</v>
      </c>
      <c r="K52" s="683"/>
      <c r="L52" s="684"/>
      <c r="M52" s="753"/>
      <c r="N52" s="683">
        <v>0</v>
      </c>
      <c r="O52" s="686"/>
      <c r="P52" s="683">
        <v>0</v>
      </c>
      <c r="Q52" s="687">
        <f t="shared" si="1"/>
        <v>0</v>
      </c>
      <c r="R52" s="688">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8"/>
        <v>0</v>
      </c>
      <c r="AD52" s="692">
        <f t="shared" si="9"/>
        <v>0</v>
      </c>
      <c r="AE52" s="38"/>
      <c r="AF52" s="692">
        <f t="shared" si="10"/>
        <v>0</v>
      </c>
      <c r="AG52" s="692">
        <f t="shared" si="11"/>
        <v>0</v>
      </c>
      <c r="AH52" s="692">
        <f t="shared" si="12"/>
        <v>0</v>
      </c>
    </row>
    <row r="53" spans="1:34">
      <c r="A53" s="20" t="s">
        <v>211</v>
      </c>
      <c r="B53" s="20" t="s">
        <v>109</v>
      </c>
      <c r="C53" s="667" t="s">
        <v>534</v>
      </c>
      <c r="D53" s="68" t="s">
        <v>9</v>
      </c>
      <c r="E53" s="679">
        <v>7721.82</v>
      </c>
      <c r="F53" s="529">
        <f>VLOOKUP(D53,'May 2012 DMV Revenue'!D:T,17,FALSE)</f>
        <v>0</v>
      </c>
      <c r="G53" s="680"/>
      <c r="H53" s="680"/>
      <c r="I53" s="755"/>
      <c r="J53" s="682">
        <f t="shared" si="0"/>
        <v>7721.82</v>
      </c>
      <c r="K53" s="683"/>
      <c r="L53" s="684"/>
      <c r="M53" s="753">
        <v>15000</v>
      </c>
      <c r="N53" s="683">
        <v>0</v>
      </c>
      <c r="O53" s="686"/>
      <c r="P53" s="683">
        <v>0</v>
      </c>
      <c r="Q53" s="687">
        <f t="shared" si="1"/>
        <v>15000</v>
      </c>
      <c r="R53" s="688">
        <v>0</v>
      </c>
      <c r="S53" s="693"/>
      <c r="T53" s="690">
        <f t="shared" si="2"/>
        <v>-15000</v>
      </c>
      <c r="U53" s="697"/>
      <c r="V53" s="474">
        <f t="shared" si="3"/>
        <v>0</v>
      </c>
      <c r="W53" s="474">
        <f t="shared" si="4"/>
        <v>15000</v>
      </c>
      <c r="X53" s="475">
        <f t="shared" si="5"/>
        <v>0</v>
      </c>
      <c r="Y53" s="475">
        <v>0</v>
      </c>
      <c r="Z53" s="476">
        <v>0</v>
      </c>
      <c r="AA53" s="38">
        <f t="shared" si="6"/>
        <v>0</v>
      </c>
      <c r="AB53" s="692">
        <f t="shared" si="7"/>
        <v>0</v>
      </c>
      <c r="AC53" s="692">
        <f t="shared" si="8"/>
        <v>7721.82</v>
      </c>
      <c r="AD53" s="692">
        <f t="shared" si="9"/>
        <v>0</v>
      </c>
      <c r="AE53" s="38"/>
      <c r="AF53" s="692">
        <f t="shared" si="10"/>
        <v>0</v>
      </c>
      <c r="AG53" s="692">
        <f t="shared" si="11"/>
        <v>15000</v>
      </c>
      <c r="AH53" s="692">
        <f t="shared" si="12"/>
        <v>0</v>
      </c>
    </row>
    <row r="54" spans="1:34">
      <c r="A54" s="20" t="s">
        <v>211</v>
      </c>
      <c r="B54" s="20" t="s">
        <v>114</v>
      </c>
      <c r="C54" s="667"/>
      <c r="D54" s="68" t="s">
        <v>487</v>
      </c>
      <c r="E54" s="679"/>
      <c r="F54" s="529">
        <f>VLOOKUP(D54,'May 2012 DMV Revenue'!D:T,17,FALSE)</f>
        <v>0</v>
      </c>
      <c r="G54" s="680"/>
      <c r="H54" s="680"/>
      <c r="I54" s="755"/>
      <c r="J54" s="682">
        <f t="shared" si="0"/>
        <v>0</v>
      </c>
      <c r="K54" s="683"/>
      <c r="L54" s="684"/>
      <c r="M54" s="753"/>
      <c r="N54" s="683">
        <v>0</v>
      </c>
      <c r="O54" s="686"/>
      <c r="P54" s="683">
        <v>0</v>
      </c>
      <c r="Q54" s="687">
        <f t="shared" si="1"/>
        <v>0</v>
      </c>
      <c r="R54" s="688">
        <v>0</v>
      </c>
      <c r="S54" s="693"/>
      <c r="T54" s="690">
        <f t="shared" si="2"/>
        <v>0</v>
      </c>
      <c r="U54" s="683"/>
      <c r="V54" s="474">
        <f t="shared" si="3"/>
        <v>0</v>
      </c>
      <c r="W54" s="474">
        <f t="shared" si="4"/>
        <v>0</v>
      </c>
      <c r="X54" s="475">
        <f t="shared" si="5"/>
        <v>0</v>
      </c>
      <c r="Y54" s="475">
        <v>0</v>
      </c>
      <c r="Z54" s="476">
        <v>0</v>
      </c>
      <c r="AA54" s="38">
        <f t="shared" si="6"/>
        <v>0</v>
      </c>
      <c r="AB54" s="692">
        <f t="shared" si="7"/>
        <v>0</v>
      </c>
      <c r="AC54" s="692">
        <f t="shared" si="8"/>
        <v>0</v>
      </c>
      <c r="AD54" s="692">
        <f t="shared" si="9"/>
        <v>0</v>
      </c>
      <c r="AE54" s="38"/>
      <c r="AF54" s="692">
        <f t="shared" si="10"/>
        <v>0</v>
      </c>
      <c r="AG54" s="692">
        <f t="shared" si="11"/>
        <v>0</v>
      </c>
      <c r="AH54" s="692">
        <f t="shared" si="12"/>
        <v>0</v>
      </c>
    </row>
    <row r="55" spans="1:34">
      <c r="A55" s="20"/>
      <c r="B55" s="20" t="s">
        <v>109</v>
      </c>
      <c r="C55" s="667"/>
      <c r="D55" s="68" t="s">
        <v>830</v>
      </c>
      <c r="E55" s="679"/>
      <c r="F55" s="529"/>
      <c r="G55" s="680"/>
      <c r="H55" s="680"/>
      <c r="I55" s="755"/>
      <c r="J55" s="682">
        <f t="shared" ref="J55" si="13">SUM(E55:I55)</f>
        <v>0</v>
      </c>
      <c r="K55" s="683"/>
      <c r="L55" s="684"/>
      <c r="M55" s="753"/>
      <c r="N55" s="683">
        <v>0</v>
      </c>
      <c r="O55" s="686"/>
      <c r="P55" s="683">
        <v>0</v>
      </c>
      <c r="Q55" s="687">
        <f t="shared" ref="Q55" si="14">L55+M55</f>
        <v>0</v>
      </c>
      <c r="R55" s="688">
        <v>2396.04</v>
      </c>
      <c r="S55" s="693"/>
      <c r="T55" s="690">
        <f t="shared" ref="T55" si="15">IF(R55="","",R55-Q55)</f>
        <v>2396.04</v>
      </c>
      <c r="U55" s="683"/>
      <c r="V55" s="474">
        <f t="shared" ref="V55" si="16">IF(B55="D",Q55,0)</f>
        <v>0</v>
      </c>
      <c r="W55" s="474">
        <f t="shared" ref="W55" si="17">IF(B55="M",Q55,0)</f>
        <v>0</v>
      </c>
      <c r="X55" s="475">
        <f t="shared" ref="X55" si="18">IF(B55="V",Q55,0)</f>
        <v>0</v>
      </c>
      <c r="Y55" s="475">
        <v>0</v>
      </c>
      <c r="Z55" s="476">
        <v>0</v>
      </c>
      <c r="AA55" s="38">
        <f t="shared" ref="AA55" si="19">(L55+M55)-(V55+W55+X55+Y55+Z55)</f>
        <v>0</v>
      </c>
      <c r="AB55" s="692">
        <f t="shared" ref="AB55" si="20">IF(B55="D",J55,0)</f>
        <v>0</v>
      </c>
      <c r="AC55" s="692">
        <f t="shared" ref="AC55" si="21">IF(B55="M",J55,0)</f>
        <v>0</v>
      </c>
      <c r="AD55" s="692">
        <f t="shared" ref="AD55" si="22">IF(B55="V",J55,0)</f>
        <v>0</v>
      </c>
      <c r="AE55" s="38"/>
      <c r="AF55" s="692">
        <f t="shared" ref="AF55" si="23">IF(B55="D",Q55,0)</f>
        <v>0</v>
      </c>
      <c r="AG55" s="692">
        <f t="shared" ref="AG55" si="24">IF(B55="M",Q55,0)</f>
        <v>0</v>
      </c>
      <c r="AH55" s="692">
        <f t="shared" ref="AH55" si="25">IF(B55="V",Q55,0)</f>
        <v>0</v>
      </c>
    </row>
    <row r="56" spans="1:34">
      <c r="A56" s="20"/>
      <c r="B56" s="20" t="s">
        <v>109</v>
      </c>
      <c r="C56" s="667"/>
      <c r="D56" s="68" t="s">
        <v>373</v>
      </c>
      <c r="E56" s="679"/>
      <c r="F56" s="529">
        <f>VLOOKUP(D56,'May 2012 DMV Revenue'!D:T,17,FALSE)</f>
        <v>0</v>
      </c>
      <c r="G56" s="680"/>
      <c r="H56" s="680"/>
      <c r="I56" s="755"/>
      <c r="J56" s="682">
        <f t="shared" si="0"/>
        <v>0</v>
      </c>
      <c r="K56" s="683"/>
      <c r="L56" s="684"/>
      <c r="M56" s="753"/>
      <c r="N56" s="683">
        <v>0</v>
      </c>
      <c r="O56" s="686"/>
      <c r="P56" s="683">
        <v>0</v>
      </c>
      <c r="Q56" s="687">
        <f t="shared" si="1"/>
        <v>0</v>
      </c>
      <c r="R56" s="688">
        <v>0</v>
      </c>
      <c r="S56" s="693"/>
      <c r="T56" s="690">
        <f t="shared" si="2"/>
        <v>0</v>
      </c>
      <c r="U56" s="683"/>
      <c r="V56" s="474">
        <f t="shared" si="3"/>
        <v>0</v>
      </c>
      <c r="W56" s="474">
        <f t="shared" si="4"/>
        <v>0</v>
      </c>
      <c r="X56" s="475">
        <f t="shared" si="5"/>
        <v>0</v>
      </c>
      <c r="Y56" s="475">
        <v>0</v>
      </c>
      <c r="Z56" s="476">
        <v>0</v>
      </c>
      <c r="AA56" s="38">
        <f t="shared" si="6"/>
        <v>0</v>
      </c>
      <c r="AB56" s="692">
        <f t="shared" si="7"/>
        <v>0</v>
      </c>
      <c r="AC56" s="692">
        <f t="shared" si="8"/>
        <v>0</v>
      </c>
      <c r="AD56" s="692">
        <f t="shared" si="9"/>
        <v>0</v>
      </c>
      <c r="AE56" s="38"/>
      <c r="AF56" s="692">
        <f t="shared" si="10"/>
        <v>0</v>
      </c>
      <c r="AG56" s="692">
        <f t="shared" si="11"/>
        <v>0</v>
      </c>
      <c r="AH56" s="692">
        <f t="shared" si="12"/>
        <v>0</v>
      </c>
    </row>
    <row r="57" spans="1:34">
      <c r="A57" s="20"/>
      <c r="B57" s="20" t="s">
        <v>109</v>
      </c>
      <c r="C57" s="667"/>
      <c r="D57" s="68" t="s">
        <v>374</v>
      </c>
      <c r="E57" s="679"/>
      <c r="F57" s="529">
        <f>VLOOKUP(D57,'May 2012 DMV Revenue'!D:T,17,FALSE)</f>
        <v>0</v>
      </c>
      <c r="G57" s="680"/>
      <c r="H57" s="680"/>
      <c r="I57" s="755"/>
      <c r="J57" s="682">
        <f t="shared" si="0"/>
        <v>0</v>
      </c>
      <c r="K57" s="683"/>
      <c r="L57" s="684"/>
      <c r="M57" s="753"/>
      <c r="N57" s="683">
        <v>0</v>
      </c>
      <c r="O57" s="686"/>
      <c r="P57" s="683">
        <v>0</v>
      </c>
      <c r="Q57" s="687">
        <f t="shared" si="1"/>
        <v>0</v>
      </c>
      <c r="R57" s="688">
        <v>0</v>
      </c>
      <c r="S57" s="693"/>
      <c r="T57" s="690">
        <f t="shared" si="2"/>
        <v>0</v>
      </c>
      <c r="U57" s="683"/>
      <c r="V57" s="474">
        <f t="shared" si="3"/>
        <v>0</v>
      </c>
      <c r="W57" s="474">
        <f t="shared" si="4"/>
        <v>0</v>
      </c>
      <c r="X57" s="475">
        <f t="shared" si="5"/>
        <v>0</v>
      </c>
      <c r="Y57" s="475">
        <v>0</v>
      </c>
      <c r="Z57" s="476">
        <v>0</v>
      </c>
      <c r="AA57" s="38">
        <f t="shared" si="6"/>
        <v>0</v>
      </c>
      <c r="AB57" s="692">
        <f t="shared" si="7"/>
        <v>0</v>
      </c>
      <c r="AC57" s="692">
        <f t="shared" si="8"/>
        <v>0</v>
      </c>
      <c r="AD57" s="692">
        <f t="shared" si="9"/>
        <v>0</v>
      </c>
      <c r="AE57" s="38"/>
      <c r="AF57" s="692">
        <f t="shared" si="10"/>
        <v>0</v>
      </c>
      <c r="AG57" s="692">
        <f t="shared" si="11"/>
        <v>0</v>
      </c>
      <c r="AH57" s="692">
        <f t="shared" si="12"/>
        <v>0</v>
      </c>
    </row>
    <row r="58" spans="1:34">
      <c r="A58" s="20"/>
      <c r="B58" s="20" t="s">
        <v>109</v>
      </c>
      <c r="C58" s="667"/>
      <c r="D58" s="68" t="s">
        <v>375</v>
      </c>
      <c r="E58" s="679"/>
      <c r="F58" s="529">
        <f>VLOOKUP(D58,'May 2012 DMV Revenue'!D:T,17,FALSE)</f>
        <v>0</v>
      </c>
      <c r="G58" s="680"/>
      <c r="H58" s="680"/>
      <c r="I58" s="755"/>
      <c r="J58" s="682">
        <f t="shared" si="0"/>
        <v>0</v>
      </c>
      <c r="K58" s="683"/>
      <c r="L58" s="684"/>
      <c r="M58" s="753"/>
      <c r="N58" s="683">
        <v>0</v>
      </c>
      <c r="O58" s="686"/>
      <c r="P58" s="683">
        <v>0</v>
      </c>
      <c r="Q58" s="687">
        <f t="shared" si="1"/>
        <v>0</v>
      </c>
      <c r="R58" s="688">
        <v>0</v>
      </c>
      <c r="S58" s="693"/>
      <c r="T58" s="690">
        <f t="shared" si="2"/>
        <v>0</v>
      </c>
      <c r="U58" s="683"/>
      <c r="V58" s="474">
        <f t="shared" si="3"/>
        <v>0</v>
      </c>
      <c r="W58" s="474">
        <f t="shared" si="4"/>
        <v>0</v>
      </c>
      <c r="X58" s="475">
        <f t="shared" si="5"/>
        <v>0</v>
      </c>
      <c r="Y58" s="475">
        <v>0</v>
      </c>
      <c r="Z58" s="476">
        <v>0</v>
      </c>
      <c r="AA58" s="38">
        <f t="shared" si="6"/>
        <v>0</v>
      </c>
      <c r="AB58" s="692">
        <f t="shared" si="7"/>
        <v>0</v>
      </c>
      <c r="AC58" s="692">
        <f t="shared" si="8"/>
        <v>0</v>
      </c>
      <c r="AD58" s="692">
        <f t="shared" si="9"/>
        <v>0</v>
      </c>
      <c r="AE58" s="38"/>
      <c r="AF58" s="692">
        <f t="shared" si="10"/>
        <v>0</v>
      </c>
      <c r="AG58" s="692">
        <f t="shared" si="11"/>
        <v>0</v>
      </c>
      <c r="AH58" s="692">
        <f t="shared" si="12"/>
        <v>0</v>
      </c>
    </row>
    <row r="59" spans="1:34">
      <c r="A59" s="21"/>
      <c r="B59" s="21" t="s">
        <v>110</v>
      </c>
      <c r="C59" s="666" t="s">
        <v>535</v>
      </c>
      <c r="D59" s="123" t="s">
        <v>517</v>
      </c>
      <c r="E59" s="679"/>
      <c r="F59" s="529">
        <f>VLOOKUP(D59,'May 2012 DMV Revenue'!D:T,17,FALSE)</f>
        <v>-79588.84</v>
      </c>
      <c r="G59" s="680"/>
      <c r="H59" s="680"/>
      <c r="I59" s="755"/>
      <c r="J59" s="682">
        <f t="shared" si="0"/>
        <v>-79588.84</v>
      </c>
      <c r="K59" s="683"/>
      <c r="L59" s="684"/>
      <c r="M59" s="753">
        <v>85000</v>
      </c>
      <c r="N59" s="683">
        <v>0</v>
      </c>
      <c r="O59" s="686"/>
      <c r="P59" s="683">
        <v>0</v>
      </c>
      <c r="Q59" s="687">
        <f t="shared" si="1"/>
        <v>85000</v>
      </c>
      <c r="R59" s="688">
        <v>11140.24</v>
      </c>
      <c r="S59" s="693"/>
      <c r="T59" s="690">
        <f t="shared" si="2"/>
        <v>-73859.759999999995</v>
      </c>
      <c r="U59" s="697"/>
      <c r="V59" s="474">
        <f t="shared" si="3"/>
        <v>85000</v>
      </c>
      <c r="W59" s="474">
        <f t="shared" si="4"/>
        <v>0</v>
      </c>
      <c r="X59" s="475">
        <f t="shared" si="5"/>
        <v>0</v>
      </c>
      <c r="Y59" s="475">
        <v>0</v>
      </c>
      <c r="Z59" s="476">
        <v>0</v>
      </c>
      <c r="AA59" s="38">
        <f t="shared" si="6"/>
        <v>0</v>
      </c>
      <c r="AB59" s="692">
        <f t="shared" si="7"/>
        <v>-79588.84</v>
      </c>
      <c r="AC59" s="692">
        <f t="shared" si="8"/>
        <v>0</v>
      </c>
      <c r="AD59" s="692">
        <f t="shared" si="9"/>
        <v>0</v>
      </c>
      <c r="AE59" s="38"/>
      <c r="AF59" s="692">
        <f t="shared" si="10"/>
        <v>85000</v>
      </c>
      <c r="AG59" s="692">
        <f t="shared" si="11"/>
        <v>0</v>
      </c>
      <c r="AH59" s="692">
        <f t="shared" si="12"/>
        <v>0</v>
      </c>
    </row>
    <row r="60" spans="1:34">
      <c r="A60" s="21"/>
      <c r="B60" s="21" t="s">
        <v>110</v>
      </c>
      <c r="C60" s="666" t="s">
        <v>535</v>
      </c>
      <c r="D60" s="123" t="s">
        <v>437</v>
      </c>
      <c r="E60" s="679"/>
      <c r="F60" s="529">
        <f>VLOOKUP(D60,'May 2012 DMV Revenue'!D:T,17,FALSE)</f>
        <v>7907.72</v>
      </c>
      <c r="G60" s="680"/>
      <c r="H60" s="680"/>
      <c r="I60" s="755"/>
      <c r="J60" s="682">
        <f t="shared" si="0"/>
        <v>7907.72</v>
      </c>
      <c r="K60" s="683"/>
      <c r="L60" s="684"/>
      <c r="M60" s="753"/>
      <c r="N60" s="683">
        <v>0</v>
      </c>
      <c r="O60" s="686"/>
      <c r="P60" s="683">
        <v>0</v>
      </c>
      <c r="Q60" s="687">
        <f t="shared" si="1"/>
        <v>0</v>
      </c>
      <c r="R60" s="688">
        <v>7814.5</v>
      </c>
      <c r="S60" s="693"/>
      <c r="T60" s="690">
        <f t="shared" si="2"/>
        <v>7814.5</v>
      </c>
      <c r="U60" s="697"/>
      <c r="V60" s="474">
        <f t="shared" si="3"/>
        <v>0</v>
      </c>
      <c r="W60" s="474">
        <f t="shared" si="4"/>
        <v>0</v>
      </c>
      <c r="X60" s="475">
        <f t="shared" si="5"/>
        <v>0</v>
      </c>
      <c r="Y60" s="475">
        <v>0</v>
      </c>
      <c r="Z60" s="476">
        <v>0</v>
      </c>
      <c r="AA60" s="38">
        <f t="shared" si="6"/>
        <v>0</v>
      </c>
      <c r="AB60" s="692">
        <f t="shared" si="7"/>
        <v>7907.72</v>
      </c>
      <c r="AC60" s="692">
        <f t="shared" si="8"/>
        <v>0</v>
      </c>
      <c r="AD60" s="692">
        <f t="shared" si="9"/>
        <v>0</v>
      </c>
      <c r="AE60" s="38"/>
      <c r="AF60" s="692">
        <f t="shared" si="10"/>
        <v>0</v>
      </c>
      <c r="AG60" s="692">
        <f t="shared" si="11"/>
        <v>0</v>
      </c>
      <c r="AH60" s="692">
        <f t="shared" si="12"/>
        <v>0</v>
      </c>
    </row>
    <row r="61" spans="1:34">
      <c r="A61" s="21"/>
      <c r="B61" s="21" t="s">
        <v>110</v>
      </c>
      <c r="C61" s="666" t="s">
        <v>535</v>
      </c>
      <c r="D61" s="123" t="s">
        <v>436</v>
      </c>
      <c r="E61" s="679"/>
      <c r="F61" s="529">
        <f>VLOOKUP(D61,'May 2012 DMV Revenue'!D:T,17,FALSE)</f>
        <v>14139.01</v>
      </c>
      <c r="G61" s="680"/>
      <c r="H61" s="680"/>
      <c r="I61" s="755"/>
      <c r="J61" s="682">
        <f t="shared" si="0"/>
        <v>14139.01</v>
      </c>
      <c r="K61" s="683"/>
      <c r="L61" s="684"/>
      <c r="M61" s="753"/>
      <c r="N61" s="683">
        <v>0</v>
      </c>
      <c r="O61" s="686"/>
      <c r="P61" s="683">
        <v>0</v>
      </c>
      <c r="Q61" s="687">
        <f t="shared" si="1"/>
        <v>0</v>
      </c>
      <c r="R61" s="688">
        <v>13477.35</v>
      </c>
      <c r="S61" s="693"/>
      <c r="T61" s="690">
        <f t="shared" si="2"/>
        <v>13477.35</v>
      </c>
      <c r="U61" s="697"/>
      <c r="V61" s="474">
        <f t="shared" si="3"/>
        <v>0</v>
      </c>
      <c r="W61" s="474">
        <f t="shared" si="4"/>
        <v>0</v>
      </c>
      <c r="X61" s="475">
        <f t="shared" si="5"/>
        <v>0</v>
      </c>
      <c r="Y61" s="475">
        <v>0</v>
      </c>
      <c r="Z61" s="476">
        <v>0</v>
      </c>
      <c r="AA61" s="38">
        <f t="shared" si="6"/>
        <v>0</v>
      </c>
      <c r="AB61" s="692">
        <f t="shared" si="7"/>
        <v>14139.01</v>
      </c>
      <c r="AC61" s="692">
        <f t="shared" si="8"/>
        <v>0</v>
      </c>
      <c r="AD61" s="692">
        <f t="shared" si="9"/>
        <v>0</v>
      </c>
      <c r="AE61" s="38"/>
      <c r="AF61" s="692">
        <f t="shared" si="10"/>
        <v>0</v>
      </c>
      <c r="AG61" s="692">
        <f t="shared" si="11"/>
        <v>0</v>
      </c>
      <c r="AH61" s="692">
        <f t="shared" si="12"/>
        <v>0</v>
      </c>
    </row>
    <row r="62" spans="1:34">
      <c r="A62" s="21"/>
      <c r="B62" s="21" t="s">
        <v>110</v>
      </c>
      <c r="C62" s="666" t="s">
        <v>535</v>
      </c>
      <c r="D62" s="123" t="s">
        <v>391</v>
      </c>
      <c r="E62" s="679"/>
      <c r="F62" s="529">
        <f>VLOOKUP(D62,'May 2012 DMV Revenue'!D:T,17,FALSE)</f>
        <v>1933.41</v>
      </c>
      <c r="G62" s="680"/>
      <c r="H62" s="680"/>
      <c r="I62" s="755"/>
      <c r="J62" s="682">
        <f t="shared" si="0"/>
        <v>1933.41</v>
      </c>
      <c r="K62" s="683"/>
      <c r="L62" s="684"/>
      <c r="M62" s="753"/>
      <c r="N62" s="683">
        <v>0</v>
      </c>
      <c r="O62" s="686"/>
      <c r="P62" s="683">
        <v>0</v>
      </c>
      <c r="Q62" s="687">
        <f t="shared" si="1"/>
        <v>0</v>
      </c>
      <c r="R62" s="688">
        <f>1876.05+1436.38</f>
        <v>3312.4300000000003</v>
      </c>
      <c r="S62" s="693"/>
      <c r="T62" s="690">
        <f t="shared" si="2"/>
        <v>3312.4300000000003</v>
      </c>
      <c r="U62" s="697"/>
      <c r="V62" s="474">
        <f t="shared" si="3"/>
        <v>0</v>
      </c>
      <c r="W62" s="474">
        <f t="shared" si="4"/>
        <v>0</v>
      </c>
      <c r="X62" s="475">
        <f t="shared" si="5"/>
        <v>0</v>
      </c>
      <c r="Y62" s="475">
        <v>0</v>
      </c>
      <c r="Z62" s="476">
        <v>0</v>
      </c>
      <c r="AA62" s="38">
        <f t="shared" si="6"/>
        <v>0</v>
      </c>
      <c r="AB62" s="692">
        <f t="shared" si="7"/>
        <v>1933.41</v>
      </c>
      <c r="AC62" s="692">
        <f t="shared" si="8"/>
        <v>0</v>
      </c>
      <c r="AD62" s="692">
        <f t="shared" si="9"/>
        <v>0</v>
      </c>
      <c r="AE62" s="38"/>
      <c r="AF62" s="692">
        <f t="shared" si="10"/>
        <v>0</v>
      </c>
      <c r="AG62" s="692">
        <f t="shared" si="11"/>
        <v>0</v>
      </c>
      <c r="AH62" s="692">
        <f t="shared" si="12"/>
        <v>0</v>
      </c>
    </row>
    <row r="63" spans="1:34">
      <c r="A63" s="21"/>
      <c r="B63" s="21" t="s">
        <v>110</v>
      </c>
      <c r="C63" s="666" t="s">
        <v>535</v>
      </c>
      <c r="D63" s="123" t="s">
        <v>392</v>
      </c>
      <c r="E63" s="679"/>
      <c r="F63" s="529">
        <f>VLOOKUP(D63,'May 2012 DMV Revenue'!D:T,17,FALSE)</f>
        <v>47913.2</v>
      </c>
      <c r="G63" s="680"/>
      <c r="H63" s="680"/>
      <c r="I63" s="755"/>
      <c r="J63" s="682">
        <f t="shared" si="0"/>
        <v>47913.2</v>
      </c>
      <c r="K63" s="683"/>
      <c r="L63" s="684"/>
      <c r="M63" s="753"/>
      <c r="N63" s="683">
        <v>0</v>
      </c>
      <c r="O63" s="686"/>
      <c r="P63" s="683">
        <v>0</v>
      </c>
      <c r="Q63" s="687">
        <f t="shared" si="1"/>
        <v>0</v>
      </c>
      <c r="R63" s="688">
        <v>47445.98</v>
      </c>
      <c r="S63" s="693"/>
      <c r="T63" s="690">
        <f t="shared" si="2"/>
        <v>47445.98</v>
      </c>
      <c r="U63" s="697"/>
      <c r="V63" s="474">
        <f t="shared" si="3"/>
        <v>0</v>
      </c>
      <c r="W63" s="474">
        <f t="shared" si="4"/>
        <v>0</v>
      </c>
      <c r="X63" s="475">
        <f t="shared" si="5"/>
        <v>0</v>
      </c>
      <c r="Y63" s="475">
        <v>0</v>
      </c>
      <c r="Z63" s="476">
        <v>0</v>
      </c>
      <c r="AA63" s="38">
        <f t="shared" si="6"/>
        <v>0</v>
      </c>
      <c r="AB63" s="692">
        <f t="shared" si="7"/>
        <v>47913.2</v>
      </c>
      <c r="AC63" s="692">
        <f t="shared" si="8"/>
        <v>0</v>
      </c>
      <c r="AD63" s="692">
        <f t="shared" si="9"/>
        <v>0</v>
      </c>
      <c r="AE63" s="38"/>
      <c r="AF63" s="692">
        <f t="shared" si="10"/>
        <v>0</v>
      </c>
      <c r="AG63" s="692">
        <f t="shared" si="11"/>
        <v>0</v>
      </c>
      <c r="AH63" s="692">
        <f t="shared" si="12"/>
        <v>0</v>
      </c>
    </row>
    <row r="64" spans="1:34">
      <c r="A64" s="21"/>
      <c r="B64" s="21" t="s">
        <v>110</v>
      </c>
      <c r="C64" s="666" t="s">
        <v>535</v>
      </c>
      <c r="D64" s="123" t="s">
        <v>483</v>
      </c>
      <c r="E64" s="679"/>
      <c r="F64" s="529">
        <f>VLOOKUP(D64,'May 2012 DMV Revenue'!D:T,17,FALSE)</f>
        <v>5894.05</v>
      </c>
      <c r="G64" s="680"/>
      <c r="H64" s="680"/>
      <c r="I64" s="755"/>
      <c r="J64" s="682">
        <f t="shared" si="0"/>
        <v>5894.05</v>
      </c>
      <c r="K64" s="683"/>
      <c r="L64" s="684"/>
      <c r="M64" s="753"/>
      <c r="N64" s="683"/>
      <c r="O64" s="686"/>
      <c r="P64" s="683"/>
      <c r="Q64" s="687">
        <f t="shared" si="1"/>
        <v>0</v>
      </c>
      <c r="R64" s="688">
        <f>173.12+4280.87+14.33</f>
        <v>4468.32</v>
      </c>
      <c r="S64" s="693"/>
      <c r="T64" s="690">
        <f t="shared" si="2"/>
        <v>4468.32</v>
      </c>
      <c r="U64" s="697"/>
      <c r="V64" s="474">
        <f t="shared" si="3"/>
        <v>0</v>
      </c>
      <c r="W64" s="474">
        <f t="shared" si="4"/>
        <v>0</v>
      </c>
      <c r="X64" s="475">
        <f t="shared" si="5"/>
        <v>0</v>
      </c>
      <c r="Y64" s="475">
        <v>0</v>
      </c>
      <c r="Z64" s="476">
        <v>0</v>
      </c>
      <c r="AA64" s="38">
        <f t="shared" si="6"/>
        <v>0</v>
      </c>
      <c r="AB64" s="692">
        <f t="shared" si="7"/>
        <v>5894.05</v>
      </c>
      <c r="AC64" s="692">
        <f t="shared" si="8"/>
        <v>0</v>
      </c>
      <c r="AD64" s="692">
        <f t="shared" si="9"/>
        <v>0</v>
      </c>
      <c r="AE64" s="38"/>
      <c r="AF64" s="692">
        <f t="shared" si="10"/>
        <v>0</v>
      </c>
      <c r="AG64" s="692">
        <f t="shared" si="11"/>
        <v>0</v>
      </c>
      <c r="AH64" s="692">
        <f t="shared" si="12"/>
        <v>0</v>
      </c>
    </row>
    <row r="65" spans="1:34">
      <c r="A65" s="21"/>
      <c r="B65" s="21" t="s">
        <v>110</v>
      </c>
      <c r="C65" s="666"/>
      <c r="D65" s="373" t="s">
        <v>587</v>
      </c>
      <c r="E65" s="679"/>
      <c r="F65" s="529">
        <f>VLOOKUP(D65,'May 2012 DMV Revenue'!D:T,17,FALSE)</f>
        <v>0</v>
      </c>
      <c r="G65" s="680"/>
      <c r="H65" s="680"/>
      <c r="I65" s="755"/>
      <c r="J65" s="682">
        <f t="shared" si="0"/>
        <v>0</v>
      </c>
      <c r="K65" s="683"/>
      <c r="L65" s="684"/>
      <c r="M65" s="753"/>
      <c r="N65" s="683"/>
      <c r="O65" s="686"/>
      <c r="P65" s="683"/>
      <c r="Q65" s="687">
        <f t="shared" si="1"/>
        <v>0</v>
      </c>
      <c r="R65" s="688">
        <v>0</v>
      </c>
      <c r="S65" s="693"/>
      <c r="T65" s="690">
        <f t="shared" si="2"/>
        <v>0</v>
      </c>
      <c r="U65" s="697"/>
      <c r="V65" s="474">
        <f t="shared" si="3"/>
        <v>0</v>
      </c>
      <c r="W65" s="474">
        <f t="shared" si="4"/>
        <v>0</v>
      </c>
      <c r="X65" s="475">
        <f t="shared" si="5"/>
        <v>0</v>
      </c>
      <c r="Y65" s="475">
        <v>0</v>
      </c>
      <c r="Z65" s="476">
        <v>0</v>
      </c>
      <c r="AA65" s="38">
        <f t="shared" si="6"/>
        <v>0</v>
      </c>
      <c r="AB65" s="692">
        <f t="shared" si="7"/>
        <v>0</v>
      </c>
      <c r="AC65" s="692">
        <f t="shared" si="8"/>
        <v>0</v>
      </c>
      <c r="AD65" s="692">
        <f t="shared" si="9"/>
        <v>0</v>
      </c>
      <c r="AE65" s="38"/>
      <c r="AF65" s="692">
        <f t="shared" si="10"/>
        <v>0</v>
      </c>
      <c r="AG65" s="692">
        <f t="shared" si="11"/>
        <v>0</v>
      </c>
      <c r="AH65" s="692">
        <f t="shared" si="12"/>
        <v>0</v>
      </c>
    </row>
    <row r="66" spans="1:34">
      <c r="A66" s="20"/>
      <c r="B66" s="20" t="s">
        <v>110</v>
      </c>
      <c r="C66" s="667" t="s">
        <v>536</v>
      </c>
      <c r="D66" s="68" t="s">
        <v>450</v>
      </c>
      <c r="E66" s="679"/>
      <c r="F66" s="529">
        <f>VLOOKUP(D66,'May 2012 DMV Revenue'!D:T,17,FALSE)</f>
        <v>0</v>
      </c>
      <c r="G66" s="680"/>
      <c r="H66" s="680"/>
      <c r="I66" s="755"/>
      <c r="J66" s="682">
        <f t="shared" si="0"/>
        <v>0</v>
      </c>
      <c r="K66" s="683"/>
      <c r="L66" s="684"/>
      <c r="M66" s="753"/>
      <c r="N66" s="683">
        <v>0</v>
      </c>
      <c r="O66" s="686"/>
      <c r="P66" s="683">
        <v>0</v>
      </c>
      <c r="Q66" s="687">
        <f t="shared" si="1"/>
        <v>0</v>
      </c>
      <c r="R66" s="688">
        <v>0</v>
      </c>
      <c r="S66" s="693"/>
      <c r="T66" s="690">
        <f t="shared" si="2"/>
        <v>0</v>
      </c>
      <c r="U66" s="683"/>
      <c r="V66" s="474">
        <f t="shared" si="3"/>
        <v>0</v>
      </c>
      <c r="W66" s="474">
        <f t="shared" si="4"/>
        <v>0</v>
      </c>
      <c r="X66" s="475">
        <f t="shared" si="5"/>
        <v>0</v>
      </c>
      <c r="Y66" s="475">
        <v>0</v>
      </c>
      <c r="Z66" s="476">
        <v>0</v>
      </c>
      <c r="AA66" s="38">
        <f t="shared" si="6"/>
        <v>0</v>
      </c>
      <c r="AB66" s="692">
        <f t="shared" si="7"/>
        <v>0</v>
      </c>
      <c r="AC66" s="692">
        <f t="shared" si="8"/>
        <v>0</v>
      </c>
      <c r="AD66" s="692">
        <f t="shared" si="9"/>
        <v>0</v>
      </c>
      <c r="AE66" s="38"/>
      <c r="AF66" s="692">
        <f t="shared" si="10"/>
        <v>0</v>
      </c>
      <c r="AG66" s="692">
        <f t="shared" si="11"/>
        <v>0</v>
      </c>
      <c r="AH66" s="692">
        <f t="shared" si="12"/>
        <v>0</v>
      </c>
    </row>
    <row r="67" spans="1:34">
      <c r="A67" s="21" t="s">
        <v>109</v>
      </c>
      <c r="B67" s="21" t="s">
        <v>110</v>
      </c>
      <c r="C67" s="666"/>
      <c r="D67" s="68" t="s">
        <v>438</v>
      </c>
      <c r="E67" s="679"/>
      <c r="F67" s="529">
        <f>VLOOKUP(D67,'May 2012 DMV Revenue'!D:T,17,FALSE)</f>
        <v>0</v>
      </c>
      <c r="G67" s="680"/>
      <c r="H67" s="680"/>
      <c r="I67" s="755"/>
      <c r="J67" s="682">
        <f t="shared" si="0"/>
        <v>0</v>
      </c>
      <c r="K67" s="683"/>
      <c r="L67" s="684"/>
      <c r="M67" s="753"/>
      <c r="N67" s="683">
        <v>0</v>
      </c>
      <c r="O67" s="686"/>
      <c r="P67" s="683">
        <v>0</v>
      </c>
      <c r="Q67" s="687">
        <f t="shared" si="1"/>
        <v>0</v>
      </c>
      <c r="R67" s="688">
        <v>0</v>
      </c>
      <c r="S67" s="693"/>
      <c r="T67" s="690">
        <f t="shared" si="2"/>
        <v>0</v>
      </c>
      <c r="U67" s="697"/>
      <c r="V67" s="474">
        <f t="shared" si="3"/>
        <v>0</v>
      </c>
      <c r="W67" s="474">
        <f t="shared" si="4"/>
        <v>0</v>
      </c>
      <c r="X67" s="475">
        <f t="shared" si="5"/>
        <v>0</v>
      </c>
      <c r="Y67" s="475">
        <v>0</v>
      </c>
      <c r="Z67" s="476">
        <v>0</v>
      </c>
      <c r="AA67" s="38">
        <f t="shared" si="6"/>
        <v>0</v>
      </c>
      <c r="AB67" s="692">
        <f t="shared" si="7"/>
        <v>0</v>
      </c>
      <c r="AC67" s="692">
        <f t="shared" si="8"/>
        <v>0</v>
      </c>
      <c r="AD67" s="692">
        <f t="shared" si="9"/>
        <v>0</v>
      </c>
      <c r="AE67" s="38"/>
      <c r="AF67" s="692">
        <f t="shared" si="10"/>
        <v>0</v>
      </c>
      <c r="AG67" s="692">
        <f t="shared" si="11"/>
        <v>0</v>
      </c>
      <c r="AH67" s="692">
        <f t="shared" si="12"/>
        <v>0</v>
      </c>
    </row>
    <row r="68" spans="1:34">
      <c r="A68" s="21"/>
      <c r="B68" s="21" t="s">
        <v>110</v>
      </c>
      <c r="C68" s="666" t="s">
        <v>537</v>
      </c>
      <c r="D68" s="68" t="s">
        <v>12</v>
      </c>
      <c r="E68" s="679"/>
      <c r="F68" s="529">
        <f>VLOOKUP(D68,'May 2012 DMV Revenue'!D:T,17,FALSE)</f>
        <v>0</v>
      </c>
      <c r="G68" s="680"/>
      <c r="H68" s="680"/>
      <c r="I68" s="755"/>
      <c r="J68" s="682">
        <f t="shared" si="0"/>
        <v>0</v>
      </c>
      <c r="K68" s="683"/>
      <c r="L68" s="684"/>
      <c r="M68" s="753"/>
      <c r="N68" s="683">
        <v>0</v>
      </c>
      <c r="O68" s="686"/>
      <c r="P68" s="683">
        <v>0</v>
      </c>
      <c r="Q68" s="687">
        <f t="shared" si="1"/>
        <v>0</v>
      </c>
      <c r="R68" s="688">
        <v>0</v>
      </c>
      <c r="S68" s="693"/>
      <c r="T68" s="690">
        <f t="shared" si="2"/>
        <v>0</v>
      </c>
      <c r="U68" s="683"/>
      <c r="V68" s="474">
        <f t="shared" si="3"/>
        <v>0</v>
      </c>
      <c r="W68" s="474">
        <f t="shared" si="4"/>
        <v>0</v>
      </c>
      <c r="X68" s="475">
        <f t="shared" si="5"/>
        <v>0</v>
      </c>
      <c r="Y68" s="475">
        <v>0</v>
      </c>
      <c r="Z68" s="476">
        <v>0</v>
      </c>
      <c r="AA68" s="38">
        <f t="shared" si="6"/>
        <v>0</v>
      </c>
      <c r="AB68" s="692">
        <f t="shared" si="7"/>
        <v>0</v>
      </c>
      <c r="AC68" s="692">
        <f t="shared" si="8"/>
        <v>0</v>
      </c>
      <c r="AD68" s="692">
        <f t="shared" si="9"/>
        <v>0</v>
      </c>
      <c r="AE68" s="38"/>
      <c r="AF68" s="692">
        <f t="shared" si="10"/>
        <v>0</v>
      </c>
      <c r="AG68" s="692">
        <f t="shared" si="11"/>
        <v>0</v>
      </c>
      <c r="AH68" s="692">
        <f t="shared" si="12"/>
        <v>0</v>
      </c>
    </row>
    <row r="69" spans="1:34" s="232" customFormat="1">
      <c r="A69" s="283" t="s">
        <v>211</v>
      </c>
      <c r="B69" s="283" t="s">
        <v>110</v>
      </c>
      <c r="C69" s="667" t="s">
        <v>538</v>
      </c>
      <c r="D69" s="123" t="s">
        <v>170</v>
      </c>
      <c r="E69" s="679"/>
      <c r="F69" s="529">
        <f>VLOOKUP(D69,'May 2012 DMV Revenue'!D:T,17,FALSE)</f>
        <v>-200000</v>
      </c>
      <c r="G69" s="680"/>
      <c r="H69" s="680"/>
      <c r="I69" s="755"/>
      <c r="J69" s="682">
        <f t="shared" si="0"/>
        <v>-200000</v>
      </c>
      <c r="K69" s="683"/>
      <c r="L69" s="684"/>
      <c r="M69" s="753">
        <v>300000</v>
      </c>
      <c r="N69" s="683">
        <v>0</v>
      </c>
      <c r="O69" s="686"/>
      <c r="P69" s="683">
        <v>0</v>
      </c>
      <c r="Q69" s="687">
        <f t="shared" si="1"/>
        <v>300000</v>
      </c>
      <c r="R69" s="688">
        <v>230592.92</v>
      </c>
      <c r="S69" s="693"/>
      <c r="T69" s="690">
        <f t="shared" si="2"/>
        <v>-69407.079999999987</v>
      </c>
      <c r="U69" s="683"/>
      <c r="V69" s="474">
        <f t="shared" si="3"/>
        <v>300000</v>
      </c>
      <c r="W69" s="474">
        <f t="shared" si="4"/>
        <v>0</v>
      </c>
      <c r="X69" s="475">
        <f t="shared" si="5"/>
        <v>0</v>
      </c>
      <c r="Y69" s="475">
        <v>0</v>
      </c>
      <c r="Z69" s="476">
        <v>0</v>
      </c>
      <c r="AA69" s="38">
        <f t="shared" si="6"/>
        <v>0</v>
      </c>
      <c r="AB69" s="692">
        <f t="shared" si="7"/>
        <v>-200000</v>
      </c>
      <c r="AC69" s="692">
        <f t="shared" si="8"/>
        <v>0</v>
      </c>
      <c r="AD69" s="692">
        <f t="shared" si="9"/>
        <v>0</v>
      </c>
      <c r="AE69" s="38"/>
      <c r="AF69" s="692">
        <f t="shared" si="10"/>
        <v>300000</v>
      </c>
      <c r="AG69" s="692">
        <f t="shared" si="11"/>
        <v>0</v>
      </c>
      <c r="AH69" s="692">
        <f t="shared" si="12"/>
        <v>0</v>
      </c>
    </row>
    <row r="70" spans="1:34" s="232" customFormat="1">
      <c r="A70" s="283" t="s">
        <v>211</v>
      </c>
      <c r="B70" s="283" t="s">
        <v>110</v>
      </c>
      <c r="C70" s="667" t="s">
        <v>538</v>
      </c>
      <c r="D70" s="123" t="s">
        <v>171</v>
      </c>
      <c r="E70" s="679"/>
      <c r="F70" s="529">
        <f>VLOOKUP(D70,'May 2012 DMV Revenue'!D:T,17,FALSE)</f>
        <v>0</v>
      </c>
      <c r="G70" s="680"/>
      <c r="H70" s="680"/>
      <c r="I70" s="755"/>
      <c r="J70" s="682">
        <f t="shared" si="0"/>
        <v>0</v>
      </c>
      <c r="K70" s="683"/>
      <c r="L70" s="684"/>
      <c r="M70" s="753"/>
      <c r="N70" s="683">
        <v>0</v>
      </c>
      <c r="O70" s="686"/>
      <c r="P70" s="683">
        <v>0</v>
      </c>
      <c r="Q70" s="687">
        <f t="shared" si="1"/>
        <v>0</v>
      </c>
      <c r="R70" s="688">
        <v>1041.6199999999999</v>
      </c>
      <c r="S70" s="693"/>
      <c r="T70" s="690">
        <f t="shared" si="2"/>
        <v>1041.6199999999999</v>
      </c>
      <c r="U70" s="683"/>
      <c r="V70" s="474">
        <f t="shared" si="3"/>
        <v>0</v>
      </c>
      <c r="W70" s="474">
        <f t="shared" si="4"/>
        <v>0</v>
      </c>
      <c r="X70" s="475">
        <f t="shared" si="5"/>
        <v>0</v>
      </c>
      <c r="Y70" s="475">
        <v>0</v>
      </c>
      <c r="Z70" s="476">
        <v>0</v>
      </c>
      <c r="AA70" s="38">
        <f t="shared" si="6"/>
        <v>0</v>
      </c>
      <c r="AB70" s="692">
        <f t="shared" si="7"/>
        <v>0</v>
      </c>
      <c r="AC70" s="692">
        <f t="shared" si="8"/>
        <v>0</v>
      </c>
      <c r="AD70" s="692">
        <f t="shared" si="9"/>
        <v>0</v>
      </c>
      <c r="AE70" s="38"/>
      <c r="AF70" s="692">
        <f t="shared" si="10"/>
        <v>0</v>
      </c>
      <c r="AG70" s="692">
        <f t="shared" si="11"/>
        <v>0</v>
      </c>
      <c r="AH70" s="692">
        <f t="shared" si="12"/>
        <v>0</v>
      </c>
    </row>
    <row r="71" spans="1:34" s="232" customFormat="1">
      <c r="A71" s="283" t="s">
        <v>211</v>
      </c>
      <c r="B71" s="283" t="s">
        <v>110</v>
      </c>
      <c r="C71" s="667" t="s">
        <v>538</v>
      </c>
      <c r="D71" s="123" t="s">
        <v>13</v>
      </c>
      <c r="E71" s="679"/>
      <c r="F71" s="529">
        <f>VLOOKUP(D71,'May 2012 DMV Revenue'!D:T,17,FALSE)</f>
        <v>0</v>
      </c>
      <c r="G71" s="680"/>
      <c r="H71" s="680"/>
      <c r="I71" s="755"/>
      <c r="J71" s="682">
        <f t="shared" si="0"/>
        <v>0</v>
      </c>
      <c r="K71" s="683"/>
      <c r="L71" s="684"/>
      <c r="M71" s="753"/>
      <c r="N71" s="683">
        <v>0</v>
      </c>
      <c r="O71" s="686"/>
      <c r="P71" s="683">
        <v>0</v>
      </c>
      <c r="Q71" s="687">
        <f t="shared" si="1"/>
        <v>0</v>
      </c>
      <c r="R71" s="688">
        <v>23866.78</v>
      </c>
      <c r="S71" s="693"/>
      <c r="T71" s="690">
        <f t="shared" si="2"/>
        <v>23866.78</v>
      </c>
      <c r="U71" s="683"/>
      <c r="V71" s="474">
        <f t="shared" si="3"/>
        <v>0</v>
      </c>
      <c r="W71" s="474">
        <f t="shared" si="4"/>
        <v>0</v>
      </c>
      <c r="X71" s="475">
        <f t="shared" si="5"/>
        <v>0</v>
      </c>
      <c r="Y71" s="475">
        <v>0</v>
      </c>
      <c r="Z71" s="476">
        <v>0</v>
      </c>
      <c r="AA71" s="38">
        <f t="shared" si="6"/>
        <v>0</v>
      </c>
      <c r="AB71" s="692">
        <f t="shared" si="7"/>
        <v>0</v>
      </c>
      <c r="AC71" s="692">
        <f t="shared" si="8"/>
        <v>0</v>
      </c>
      <c r="AD71" s="692">
        <f t="shared" si="9"/>
        <v>0</v>
      </c>
      <c r="AE71" s="38"/>
      <c r="AF71" s="692">
        <f t="shared" si="10"/>
        <v>0</v>
      </c>
      <c r="AG71" s="692">
        <f t="shared" si="11"/>
        <v>0</v>
      </c>
      <c r="AH71" s="692">
        <f t="shared" si="12"/>
        <v>0</v>
      </c>
    </row>
    <row r="72" spans="1:34" s="232" customFormat="1">
      <c r="A72" s="283" t="s">
        <v>211</v>
      </c>
      <c r="B72" s="283" t="s">
        <v>110</v>
      </c>
      <c r="C72" s="667" t="s">
        <v>538</v>
      </c>
      <c r="D72" s="123" t="s">
        <v>172</v>
      </c>
      <c r="E72" s="679"/>
      <c r="F72" s="529">
        <f>VLOOKUP(D72,'May 2012 DMV Revenue'!D:T,17,FALSE)</f>
        <v>0</v>
      </c>
      <c r="G72" s="680"/>
      <c r="H72" s="680"/>
      <c r="I72" s="755"/>
      <c r="J72" s="682">
        <f t="shared" si="0"/>
        <v>0</v>
      </c>
      <c r="K72" s="683"/>
      <c r="L72" s="684"/>
      <c r="M72" s="753"/>
      <c r="N72" s="683">
        <v>0</v>
      </c>
      <c r="O72" s="686"/>
      <c r="P72" s="683">
        <v>0</v>
      </c>
      <c r="Q72" s="687">
        <f t="shared" si="1"/>
        <v>0</v>
      </c>
      <c r="R72" s="688">
        <v>25.27</v>
      </c>
      <c r="S72" s="693"/>
      <c r="T72" s="690">
        <f t="shared" si="2"/>
        <v>25.27</v>
      </c>
      <c r="U72" s="683"/>
      <c r="V72" s="474">
        <f t="shared" si="3"/>
        <v>0</v>
      </c>
      <c r="W72" s="474">
        <f t="shared" si="4"/>
        <v>0</v>
      </c>
      <c r="X72" s="475">
        <f t="shared" si="5"/>
        <v>0</v>
      </c>
      <c r="Y72" s="475">
        <v>0</v>
      </c>
      <c r="Z72" s="476">
        <v>0</v>
      </c>
      <c r="AA72" s="38">
        <f t="shared" si="6"/>
        <v>0</v>
      </c>
      <c r="AB72" s="692">
        <f t="shared" si="7"/>
        <v>0</v>
      </c>
      <c r="AC72" s="692">
        <f t="shared" si="8"/>
        <v>0</v>
      </c>
      <c r="AD72" s="692">
        <f t="shared" si="9"/>
        <v>0</v>
      </c>
      <c r="AE72" s="38"/>
      <c r="AF72" s="692">
        <f t="shared" si="10"/>
        <v>0</v>
      </c>
      <c r="AG72" s="692">
        <f t="shared" si="11"/>
        <v>0</v>
      </c>
      <c r="AH72" s="692">
        <f t="shared" si="12"/>
        <v>0</v>
      </c>
    </row>
    <row r="73" spans="1:34" s="232" customFormat="1">
      <c r="A73" s="283" t="s">
        <v>211</v>
      </c>
      <c r="B73" s="283" t="s">
        <v>110</v>
      </c>
      <c r="C73" s="667" t="s">
        <v>538</v>
      </c>
      <c r="D73" s="123" t="s">
        <v>173</v>
      </c>
      <c r="E73" s="679"/>
      <c r="F73" s="529">
        <f>VLOOKUP(D73,'May 2012 DMV Revenue'!D:T,17,FALSE)</f>
        <v>0</v>
      </c>
      <c r="G73" s="680"/>
      <c r="H73" s="680"/>
      <c r="I73" s="755"/>
      <c r="J73" s="682">
        <f t="shared" si="0"/>
        <v>0</v>
      </c>
      <c r="K73" s="683"/>
      <c r="L73" s="684"/>
      <c r="M73" s="753"/>
      <c r="N73" s="683">
        <v>0</v>
      </c>
      <c r="O73" s="686"/>
      <c r="P73" s="683">
        <v>0</v>
      </c>
      <c r="Q73" s="687">
        <f t="shared" si="1"/>
        <v>0</v>
      </c>
      <c r="R73" s="688">
        <v>67614.81</v>
      </c>
      <c r="S73" s="693"/>
      <c r="T73" s="690">
        <f t="shared" si="2"/>
        <v>67614.81</v>
      </c>
      <c r="U73" s="683"/>
      <c r="V73" s="474">
        <f t="shared" si="3"/>
        <v>0</v>
      </c>
      <c r="W73" s="474">
        <f t="shared" si="4"/>
        <v>0</v>
      </c>
      <c r="X73" s="475">
        <f t="shared" si="5"/>
        <v>0</v>
      </c>
      <c r="Y73" s="475">
        <v>0</v>
      </c>
      <c r="Z73" s="476">
        <v>0</v>
      </c>
      <c r="AA73" s="38">
        <f t="shared" si="6"/>
        <v>0</v>
      </c>
      <c r="AB73" s="692">
        <f t="shared" si="7"/>
        <v>0</v>
      </c>
      <c r="AC73" s="692">
        <f t="shared" si="8"/>
        <v>0</v>
      </c>
      <c r="AD73" s="692">
        <f t="shared" si="9"/>
        <v>0</v>
      </c>
      <c r="AE73" s="38"/>
      <c r="AF73" s="692">
        <f t="shared" si="10"/>
        <v>0</v>
      </c>
      <c r="AG73" s="692">
        <f t="shared" si="11"/>
        <v>0</v>
      </c>
      <c r="AH73" s="692">
        <f t="shared" si="12"/>
        <v>0</v>
      </c>
    </row>
    <row r="74" spans="1:34" s="232" customFormat="1">
      <c r="A74" s="283" t="s">
        <v>211</v>
      </c>
      <c r="B74" s="283" t="s">
        <v>110</v>
      </c>
      <c r="C74" s="667" t="s">
        <v>538</v>
      </c>
      <c r="D74" s="123" t="s">
        <v>174</v>
      </c>
      <c r="E74" s="679"/>
      <c r="F74" s="529">
        <f>VLOOKUP(D74,'May 2012 DMV Revenue'!D:T,17,FALSE)</f>
        <v>0</v>
      </c>
      <c r="G74" s="680"/>
      <c r="H74" s="680"/>
      <c r="I74" s="755"/>
      <c r="J74" s="682">
        <f t="shared" si="0"/>
        <v>0</v>
      </c>
      <c r="K74" s="683"/>
      <c r="L74" s="684"/>
      <c r="M74" s="753"/>
      <c r="N74" s="683">
        <v>0</v>
      </c>
      <c r="O74" s="686"/>
      <c r="P74" s="683">
        <v>0</v>
      </c>
      <c r="Q74" s="687">
        <f t="shared" si="1"/>
        <v>0</v>
      </c>
      <c r="R74" s="688">
        <v>0</v>
      </c>
      <c r="S74" s="693"/>
      <c r="T74" s="690">
        <f t="shared" si="2"/>
        <v>0</v>
      </c>
      <c r="U74" s="683"/>
      <c r="V74" s="474">
        <f t="shared" si="3"/>
        <v>0</v>
      </c>
      <c r="W74" s="474">
        <f t="shared" si="4"/>
        <v>0</v>
      </c>
      <c r="X74" s="475">
        <f t="shared" si="5"/>
        <v>0</v>
      </c>
      <c r="Y74" s="475">
        <v>0</v>
      </c>
      <c r="Z74" s="476">
        <v>0</v>
      </c>
      <c r="AA74" s="38">
        <f t="shared" si="6"/>
        <v>0</v>
      </c>
      <c r="AB74" s="692">
        <f t="shared" si="7"/>
        <v>0</v>
      </c>
      <c r="AC74" s="692">
        <f t="shared" si="8"/>
        <v>0</v>
      </c>
      <c r="AD74" s="692">
        <f t="shared" si="9"/>
        <v>0</v>
      </c>
      <c r="AE74" s="38"/>
      <c r="AF74" s="692">
        <f t="shared" si="10"/>
        <v>0</v>
      </c>
      <c r="AG74" s="692">
        <f t="shared" si="11"/>
        <v>0</v>
      </c>
      <c r="AH74" s="692">
        <f t="shared" si="12"/>
        <v>0</v>
      </c>
    </row>
    <row r="75" spans="1:34">
      <c r="A75" s="21"/>
      <c r="B75" s="21" t="s">
        <v>109</v>
      </c>
      <c r="C75" s="666"/>
      <c r="D75" s="68" t="s">
        <v>94</v>
      </c>
      <c r="E75" s="679"/>
      <c r="F75" s="529">
        <f>VLOOKUP(D75,'May 2012 DMV Revenue'!D:T,17,FALSE)</f>
        <v>0</v>
      </c>
      <c r="G75" s="680"/>
      <c r="H75" s="680"/>
      <c r="I75" s="755"/>
      <c r="J75" s="682">
        <f t="shared" si="0"/>
        <v>0</v>
      </c>
      <c r="K75" s="683"/>
      <c r="L75" s="684"/>
      <c r="M75" s="753"/>
      <c r="N75" s="683">
        <v>0</v>
      </c>
      <c r="O75" s="686"/>
      <c r="P75" s="683">
        <v>0</v>
      </c>
      <c r="Q75" s="687">
        <f t="shared" si="1"/>
        <v>0</v>
      </c>
      <c r="R75" s="688">
        <v>0</v>
      </c>
      <c r="S75" s="693"/>
      <c r="T75" s="690">
        <f t="shared" si="2"/>
        <v>0</v>
      </c>
      <c r="U75" s="697"/>
      <c r="V75" s="474">
        <f t="shared" si="3"/>
        <v>0</v>
      </c>
      <c r="W75" s="474">
        <f t="shared" si="4"/>
        <v>0</v>
      </c>
      <c r="X75" s="475">
        <f t="shared" si="5"/>
        <v>0</v>
      </c>
      <c r="Y75" s="475">
        <v>0</v>
      </c>
      <c r="Z75" s="476">
        <v>0</v>
      </c>
      <c r="AA75" s="38">
        <f t="shared" si="6"/>
        <v>0</v>
      </c>
      <c r="AB75" s="692">
        <f t="shared" si="7"/>
        <v>0</v>
      </c>
      <c r="AC75" s="692">
        <f t="shared" si="8"/>
        <v>0</v>
      </c>
      <c r="AD75" s="692">
        <f t="shared" si="9"/>
        <v>0</v>
      </c>
      <c r="AE75" s="38"/>
      <c r="AF75" s="692">
        <f t="shared" si="10"/>
        <v>0</v>
      </c>
      <c r="AG75" s="692">
        <f t="shared" si="11"/>
        <v>0</v>
      </c>
      <c r="AH75" s="692">
        <f t="shared" si="12"/>
        <v>0</v>
      </c>
    </row>
    <row r="76" spans="1:34">
      <c r="A76" s="20" t="s">
        <v>211</v>
      </c>
      <c r="B76" s="20" t="s">
        <v>109</v>
      </c>
      <c r="C76" s="667"/>
      <c r="D76" s="68" t="s">
        <v>14</v>
      </c>
      <c r="E76" s="679"/>
      <c r="F76" s="529">
        <f>VLOOKUP(D76,'May 2012 DMV Revenue'!D:T,17,FALSE)</f>
        <v>0</v>
      </c>
      <c r="G76" s="680"/>
      <c r="H76" s="680"/>
      <c r="I76" s="755"/>
      <c r="J76" s="682">
        <f t="shared" si="0"/>
        <v>0</v>
      </c>
      <c r="K76" s="683"/>
      <c r="L76" s="684"/>
      <c r="M76" s="753"/>
      <c r="N76" s="683">
        <v>0</v>
      </c>
      <c r="O76" s="686"/>
      <c r="P76" s="683">
        <v>0</v>
      </c>
      <c r="Q76" s="687">
        <f t="shared" si="1"/>
        <v>0</v>
      </c>
      <c r="R76" s="688">
        <v>0</v>
      </c>
      <c r="S76" s="693"/>
      <c r="T76" s="690">
        <f t="shared" si="2"/>
        <v>0</v>
      </c>
      <c r="U76" s="683"/>
      <c r="V76" s="474">
        <f t="shared" si="3"/>
        <v>0</v>
      </c>
      <c r="W76" s="474">
        <f t="shared" si="4"/>
        <v>0</v>
      </c>
      <c r="X76" s="475">
        <f t="shared" si="5"/>
        <v>0</v>
      </c>
      <c r="Y76" s="475">
        <v>0</v>
      </c>
      <c r="Z76" s="476">
        <v>0</v>
      </c>
      <c r="AA76" s="38">
        <f t="shared" si="6"/>
        <v>0</v>
      </c>
      <c r="AB76" s="692">
        <f t="shared" si="7"/>
        <v>0</v>
      </c>
      <c r="AC76" s="692">
        <f t="shared" si="8"/>
        <v>0</v>
      </c>
      <c r="AD76" s="692">
        <f t="shared" si="9"/>
        <v>0</v>
      </c>
      <c r="AE76" s="38"/>
      <c r="AF76" s="692">
        <f t="shared" si="10"/>
        <v>0</v>
      </c>
      <c r="AG76" s="692">
        <f t="shared" si="11"/>
        <v>0</v>
      </c>
      <c r="AH76" s="692">
        <f t="shared" si="12"/>
        <v>0</v>
      </c>
    </row>
    <row r="77" spans="1:34">
      <c r="A77" s="20"/>
      <c r="B77" s="20" t="s">
        <v>110</v>
      </c>
      <c r="C77" s="667"/>
      <c r="D77" s="68" t="s">
        <v>15</v>
      </c>
      <c r="E77" s="679"/>
      <c r="F77" s="529">
        <f>VLOOKUP(D77,'May 2012 DMV Revenue'!D:T,17,FALSE)</f>
        <v>728.14999999999964</v>
      </c>
      <c r="G77" s="680"/>
      <c r="H77" s="680"/>
      <c r="I77" s="755"/>
      <c r="J77" s="682">
        <f t="shared" si="0"/>
        <v>728.14999999999964</v>
      </c>
      <c r="K77" s="683"/>
      <c r="L77" s="684"/>
      <c r="M77" s="753">
        <v>9000</v>
      </c>
      <c r="N77" s="683">
        <v>0</v>
      </c>
      <c r="O77" s="686"/>
      <c r="P77" s="683">
        <v>0</v>
      </c>
      <c r="Q77" s="687">
        <f t="shared" si="1"/>
        <v>9000</v>
      </c>
      <c r="R77" s="688">
        <v>9693.86</v>
      </c>
      <c r="S77" s="693"/>
      <c r="T77" s="690">
        <f t="shared" si="2"/>
        <v>693.86000000000058</v>
      </c>
      <c r="U77" s="683"/>
      <c r="V77" s="474">
        <f t="shared" si="3"/>
        <v>9000</v>
      </c>
      <c r="W77" s="474">
        <f t="shared" si="4"/>
        <v>0</v>
      </c>
      <c r="X77" s="475">
        <f t="shared" si="5"/>
        <v>0</v>
      </c>
      <c r="Y77" s="475">
        <v>0</v>
      </c>
      <c r="Z77" s="476">
        <v>0</v>
      </c>
      <c r="AA77" s="38">
        <f t="shared" si="6"/>
        <v>0</v>
      </c>
      <c r="AB77" s="692">
        <f t="shared" si="7"/>
        <v>728.14999999999964</v>
      </c>
      <c r="AC77" s="692">
        <f t="shared" si="8"/>
        <v>0</v>
      </c>
      <c r="AD77" s="692">
        <f t="shared" si="9"/>
        <v>0</v>
      </c>
      <c r="AE77" s="38"/>
      <c r="AF77" s="692">
        <f t="shared" si="10"/>
        <v>9000</v>
      </c>
      <c r="AG77" s="692">
        <f t="shared" si="11"/>
        <v>0</v>
      </c>
      <c r="AH77" s="692">
        <f t="shared" si="12"/>
        <v>0</v>
      </c>
    </row>
    <row r="78" spans="1:34">
      <c r="A78" s="20"/>
      <c r="B78" s="20" t="s">
        <v>110</v>
      </c>
      <c r="C78" s="667"/>
      <c r="D78" s="68" t="s">
        <v>646</v>
      </c>
      <c r="E78" s="679"/>
      <c r="F78" s="529">
        <f>VLOOKUP(D78,'May 2012 DMV Revenue'!D:T,17,FALSE)</f>
        <v>409.4</v>
      </c>
      <c r="G78" s="680"/>
      <c r="H78" s="680"/>
      <c r="I78" s="770">
        <v>1387.18</v>
      </c>
      <c r="J78" s="682">
        <f t="shared" si="0"/>
        <v>1796.58</v>
      </c>
      <c r="K78" s="683"/>
      <c r="L78" s="684"/>
      <c r="M78" s="753"/>
      <c r="N78" s="683">
        <v>0</v>
      </c>
      <c r="O78" s="686"/>
      <c r="P78" s="683">
        <v>0</v>
      </c>
      <c r="Q78" s="687">
        <f t="shared" si="1"/>
        <v>0</v>
      </c>
      <c r="R78" s="688">
        <v>0</v>
      </c>
      <c r="S78" s="693"/>
      <c r="T78" s="690">
        <f t="shared" si="2"/>
        <v>0</v>
      </c>
      <c r="U78" s="683"/>
      <c r="V78" s="474">
        <f t="shared" si="3"/>
        <v>0</v>
      </c>
      <c r="W78" s="474">
        <f t="shared" si="4"/>
        <v>0</v>
      </c>
      <c r="X78" s="475">
        <f t="shared" si="5"/>
        <v>0</v>
      </c>
      <c r="Y78" s="475">
        <v>0</v>
      </c>
      <c r="Z78" s="476">
        <v>0</v>
      </c>
      <c r="AA78" s="38">
        <f t="shared" si="6"/>
        <v>0</v>
      </c>
      <c r="AB78" s="692">
        <f t="shared" si="7"/>
        <v>1796.58</v>
      </c>
      <c r="AC78" s="692">
        <f t="shared" si="8"/>
        <v>0</v>
      </c>
      <c r="AD78" s="692">
        <f t="shared" si="9"/>
        <v>0</v>
      </c>
      <c r="AE78" s="38"/>
      <c r="AF78" s="692">
        <f t="shared" si="10"/>
        <v>0</v>
      </c>
      <c r="AG78" s="692">
        <f t="shared" si="11"/>
        <v>0</v>
      </c>
      <c r="AH78" s="692">
        <f t="shared" si="12"/>
        <v>0</v>
      </c>
    </row>
    <row r="79" spans="1:34">
      <c r="A79" s="20" t="s">
        <v>109</v>
      </c>
      <c r="B79" s="20" t="s">
        <v>109</v>
      </c>
      <c r="C79" s="667" t="s">
        <v>539</v>
      </c>
      <c r="D79" s="68" t="s">
        <v>510</v>
      </c>
      <c r="E79" s="679"/>
      <c r="F79" s="529">
        <f>VLOOKUP(D79,'May 2012 DMV Revenue'!D:T,17,FALSE)</f>
        <v>0</v>
      </c>
      <c r="G79" s="680"/>
      <c r="H79" s="680"/>
      <c r="I79" s="755"/>
      <c r="J79" s="682">
        <f t="shared" si="0"/>
        <v>0</v>
      </c>
      <c r="K79" s="683"/>
      <c r="L79" s="684"/>
      <c r="M79" s="753"/>
      <c r="N79" s="683">
        <v>0</v>
      </c>
      <c r="O79" s="686"/>
      <c r="P79" s="683">
        <v>0</v>
      </c>
      <c r="Q79" s="687">
        <f t="shared" si="1"/>
        <v>0</v>
      </c>
      <c r="R79" s="688">
        <v>0</v>
      </c>
      <c r="S79" s="693"/>
      <c r="T79" s="690">
        <f t="shared" si="2"/>
        <v>0</v>
      </c>
      <c r="U79" s="683"/>
      <c r="V79" s="474">
        <f t="shared" si="3"/>
        <v>0</v>
      </c>
      <c r="W79" s="474">
        <f t="shared" si="4"/>
        <v>0</v>
      </c>
      <c r="X79" s="475">
        <f t="shared" si="5"/>
        <v>0</v>
      </c>
      <c r="Y79" s="475">
        <v>0</v>
      </c>
      <c r="Z79" s="476">
        <v>0</v>
      </c>
      <c r="AA79" s="38">
        <f t="shared" si="6"/>
        <v>0</v>
      </c>
      <c r="AB79" s="692">
        <f t="shared" si="7"/>
        <v>0</v>
      </c>
      <c r="AC79" s="692">
        <f t="shared" si="8"/>
        <v>0</v>
      </c>
      <c r="AD79" s="692">
        <f t="shared" si="9"/>
        <v>0</v>
      </c>
      <c r="AE79" s="38"/>
      <c r="AF79" s="692">
        <f t="shared" si="10"/>
        <v>0</v>
      </c>
      <c r="AG79" s="692">
        <f t="shared" si="11"/>
        <v>0</v>
      </c>
      <c r="AH79" s="692">
        <f t="shared" si="12"/>
        <v>0</v>
      </c>
    </row>
    <row r="80" spans="1:34">
      <c r="A80" s="20"/>
      <c r="B80" s="20" t="s">
        <v>109</v>
      </c>
      <c r="C80" s="667"/>
      <c r="D80" s="68" t="s">
        <v>16</v>
      </c>
      <c r="E80" s="679"/>
      <c r="F80" s="529">
        <f>VLOOKUP(D80,'May 2012 DMV Revenue'!D:T,17,FALSE)</f>
        <v>0</v>
      </c>
      <c r="G80" s="680"/>
      <c r="H80" s="680"/>
      <c r="I80" s="770">
        <v>51.45</v>
      </c>
      <c r="J80" s="682">
        <f t="shared" si="0"/>
        <v>51.45</v>
      </c>
      <c r="K80" s="683"/>
      <c r="L80" s="684"/>
      <c r="M80" s="753"/>
      <c r="N80" s="683">
        <v>0</v>
      </c>
      <c r="O80" s="686"/>
      <c r="P80" s="683">
        <v>0</v>
      </c>
      <c r="Q80" s="687">
        <f t="shared" si="1"/>
        <v>0</v>
      </c>
      <c r="R80" s="688">
        <v>0</v>
      </c>
      <c r="S80" s="693"/>
      <c r="T80" s="690">
        <f t="shared" si="2"/>
        <v>0</v>
      </c>
      <c r="U80" s="683"/>
      <c r="V80" s="474">
        <f t="shared" si="3"/>
        <v>0</v>
      </c>
      <c r="W80" s="474">
        <f t="shared" si="4"/>
        <v>0</v>
      </c>
      <c r="X80" s="475">
        <f t="shared" si="5"/>
        <v>0</v>
      </c>
      <c r="Y80" s="475">
        <v>0</v>
      </c>
      <c r="Z80" s="476">
        <v>0</v>
      </c>
      <c r="AA80" s="38">
        <f t="shared" si="6"/>
        <v>0</v>
      </c>
      <c r="AB80" s="692">
        <f t="shared" si="7"/>
        <v>0</v>
      </c>
      <c r="AC80" s="692">
        <f t="shared" si="8"/>
        <v>51.45</v>
      </c>
      <c r="AD80" s="692">
        <f t="shared" si="9"/>
        <v>0</v>
      </c>
      <c r="AE80" s="38"/>
      <c r="AF80" s="692">
        <f t="shared" si="10"/>
        <v>0</v>
      </c>
      <c r="AG80" s="692">
        <f t="shared" si="11"/>
        <v>0</v>
      </c>
      <c r="AH80" s="692">
        <f t="shared" si="12"/>
        <v>0</v>
      </c>
    </row>
    <row r="81" spans="1:34">
      <c r="A81" s="20"/>
      <c r="B81" s="20" t="s">
        <v>109</v>
      </c>
      <c r="C81" s="667"/>
      <c r="D81" s="68" t="s">
        <v>208</v>
      </c>
      <c r="E81" s="679"/>
      <c r="F81" s="529">
        <f>VLOOKUP(D81,'May 2012 DMV Revenue'!D:T,17,FALSE)</f>
        <v>0</v>
      </c>
      <c r="G81" s="680"/>
      <c r="H81" s="680"/>
      <c r="I81" s="755"/>
      <c r="J81" s="682">
        <f t="shared" si="0"/>
        <v>0</v>
      </c>
      <c r="K81" s="683"/>
      <c r="L81" s="684"/>
      <c r="M81" s="753"/>
      <c r="N81" s="683">
        <v>0</v>
      </c>
      <c r="O81" s="686"/>
      <c r="P81" s="683">
        <v>0</v>
      </c>
      <c r="Q81" s="687">
        <f t="shared" si="1"/>
        <v>0</v>
      </c>
      <c r="R81" s="688">
        <v>0</v>
      </c>
      <c r="S81" s="693"/>
      <c r="T81" s="690">
        <f t="shared" si="2"/>
        <v>0</v>
      </c>
      <c r="U81" s="683"/>
      <c r="V81" s="474">
        <f t="shared" si="3"/>
        <v>0</v>
      </c>
      <c r="W81" s="474">
        <f t="shared" si="4"/>
        <v>0</v>
      </c>
      <c r="X81" s="475">
        <f t="shared" si="5"/>
        <v>0</v>
      </c>
      <c r="Y81" s="475">
        <v>0</v>
      </c>
      <c r="Z81" s="476">
        <v>0</v>
      </c>
      <c r="AA81" s="38">
        <f t="shared" si="6"/>
        <v>0</v>
      </c>
      <c r="AB81" s="692">
        <f t="shared" ref="AB81:AB146" si="26">IF(B81="D",J81,0)</f>
        <v>0</v>
      </c>
      <c r="AC81" s="692">
        <f t="shared" ref="AC81:AC145" si="27">IF(B81="M",J81,0)</f>
        <v>0</v>
      </c>
      <c r="AD81" s="692">
        <f t="shared" si="9"/>
        <v>0</v>
      </c>
      <c r="AE81" s="38"/>
      <c r="AF81" s="692">
        <f t="shared" si="10"/>
        <v>0</v>
      </c>
      <c r="AG81" s="692">
        <f t="shared" si="11"/>
        <v>0</v>
      </c>
      <c r="AH81" s="692">
        <f t="shared" si="12"/>
        <v>0</v>
      </c>
    </row>
    <row r="82" spans="1:34">
      <c r="A82" s="20"/>
      <c r="B82" s="20" t="s">
        <v>110</v>
      </c>
      <c r="C82" s="667"/>
      <c r="D82" s="68" t="s">
        <v>597</v>
      </c>
      <c r="E82" s="679"/>
      <c r="F82" s="529">
        <f>VLOOKUP(D82,'May 2012 DMV Revenue'!D:T,17,FALSE)</f>
        <v>26.139999999999418</v>
      </c>
      <c r="G82" s="680"/>
      <c r="H82" s="680"/>
      <c r="I82" s="755"/>
      <c r="J82" s="682">
        <f t="shared" ref="J82:J140" si="28">SUM(E82:I82)</f>
        <v>26.139999999999418</v>
      </c>
      <c r="K82" s="683"/>
      <c r="L82" s="684"/>
      <c r="M82" s="753">
        <v>65000</v>
      </c>
      <c r="N82" s="683">
        <v>0</v>
      </c>
      <c r="O82" s="686"/>
      <c r="P82" s="683">
        <v>0</v>
      </c>
      <c r="Q82" s="687">
        <f t="shared" si="1"/>
        <v>65000</v>
      </c>
      <c r="R82" s="688">
        <v>85686.76</v>
      </c>
      <c r="S82" s="693"/>
      <c r="T82" s="690">
        <f t="shared" ref="T82:T145" si="29">IF(R82="","",R82-Q82)</f>
        <v>20686.759999999995</v>
      </c>
      <c r="U82" s="683"/>
      <c r="V82" s="474">
        <f t="shared" ref="V82:V147" si="30">IF(B82="D",Q82,0)</f>
        <v>65000</v>
      </c>
      <c r="W82" s="474">
        <f t="shared" ref="W82:W147" si="31">IF(B82="M",Q82,0)</f>
        <v>0</v>
      </c>
      <c r="X82" s="475">
        <f t="shared" ref="X82:X147" si="32">IF(B82="V",Q82,0)</f>
        <v>0</v>
      </c>
      <c r="Y82" s="475">
        <v>0</v>
      </c>
      <c r="Z82" s="476">
        <v>0</v>
      </c>
      <c r="AA82" s="38">
        <f t="shared" ref="AA82:AA147" si="33">(L82+M82)-(V82+W82+X82+Y82+Z82)</f>
        <v>0</v>
      </c>
      <c r="AB82" s="692">
        <f t="shared" si="26"/>
        <v>26.139999999999418</v>
      </c>
      <c r="AC82" s="692">
        <f t="shared" si="27"/>
        <v>0</v>
      </c>
      <c r="AD82" s="692">
        <f t="shared" ref="AD82:AD147" si="34">IF(B82="V",J82,0)</f>
        <v>0</v>
      </c>
      <c r="AE82" s="38"/>
      <c r="AF82" s="692">
        <f t="shared" ref="AF82:AF147" si="35">IF(B82="D",Q82,0)</f>
        <v>65000</v>
      </c>
      <c r="AG82" s="692">
        <f t="shared" ref="AG82:AG147" si="36">IF(B82="M",Q82,0)</f>
        <v>0</v>
      </c>
      <c r="AH82" s="692">
        <f t="shared" ref="AH82:AH147" si="37">IF(B82="V",Q82,0)</f>
        <v>0</v>
      </c>
    </row>
    <row r="83" spans="1:34" s="232" customFormat="1">
      <c r="A83" s="283"/>
      <c r="B83" s="283" t="s">
        <v>109</v>
      </c>
      <c r="C83" s="667" t="s">
        <v>540</v>
      </c>
      <c r="D83" s="373" t="s">
        <v>410</v>
      </c>
      <c r="E83" s="679"/>
      <c r="F83" s="529">
        <f>VLOOKUP(D83,'May 2012 DMV Revenue'!D:T,17,FALSE)</f>
        <v>0</v>
      </c>
      <c r="G83" s="680"/>
      <c r="H83" s="680"/>
      <c r="I83" s="755"/>
      <c r="J83" s="682">
        <f t="shared" si="28"/>
        <v>0</v>
      </c>
      <c r="K83" s="683"/>
      <c r="L83" s="684"/>
      <c r="M83" s="753"/>
      <c r="N83" s="683">
        <v>0</v>
      </c>
      <c r="O83" s="686"/>
      <c r="P83" s="683">
        <v>0</v>
      </c>
      <c r="Q83" s="687">
        <f t="shared" si="1"/>
        <v>0</v>
      </c>
      <c r="R83" s="770">
        <v>2029.2</v>
      </c>
      <c r="S83" s="693"/>
      <c r="T83" s="690">
        <f t="shared" si="29"/>
        <v>2029.2</v>
      </c>
      <c r="U83" s="683"/>
      <c r="V83" s="474">
        <f t="shared" si="30"/>
        <v>0</v>
      </c>
      <c r="W83" s="474">
        <f t="shared" si="31"/>
        <v>0</v>
      </c>
      <c r="X83" s="475">
        <f t="shared" si="32"/>
        <v>0</v>
      </c>
      <c r="Y83" s="475">
        <v>0</v>
      </c>
      <c r="Z83" s="476">
        <v>0</v>
      </c>
      <c r="AA83" s="38">
        <f t="shared" si="33"/>
        <v>0</v>
      </c>
      <c r="AB83" s="692">
        <f t="shared" si="26"/>
        <v>0</v>
      </c>
      <c r="AC83" s="692">
        <f t="shared" si="27"/>
        <v>0</v>
      </c>
      <c r="AD83" s="692">
        <f t="shared" si="34"/>
        <v>0</v>
      </c>
      <c r="AE83" s="38"/>
      <c r="AF83" s="692">
        <f t="shared" si="35"/>
        <v>0</v>
      </c>
      <c r="AG83" s="692">
        <f t="shared" si="36"/>
        <v>0</v>
      </c>
      <c r="AH83" s="692">
        <f t="shared" si="37"/>
        <v>0</v>
      </c>
    </row>
    <row r="84" spans="1:34" s="232" customFormat="1">
      <c r="A84" s="283"/>
      <c r="B84" s="283" t="s">
        <v>109</v>
      </c>
      <c r="C84" s="667" t="s">
        <v>540</v>
      </c>
      <c r="D84" s="373" t="s">
        <v>413</v>
      </c>
      <c r="E84" s="679"/>
      <c r="F84" s="529">
        <f>VLOOKUP(D84,'May 2012 DMV Revenue'!D:T,17,FALSE)</f>
        <v>0</v>
      </c>
      <c r="G84" s="680"/>
      <c r="H84" s="680"/>
      <c r="I84" s="755"/>
      <c r="J84" s="682">
        <f t="shared" si="28"/>
        <v>0</v>
      </c>
      <c r="K84" s="683"/>
      <c r="L84" s="684"/>
      <c r="M84" s="753"/>
      <c r="N84" s="683">
        <v>0</v>
      </c>
      <c r="O84" s="686"/>
      <c r="P84" s="683">
        <v>0</v>
      </c>
      <c r="Q84" s="687">
        <f t="shared" si="1"/>
        <v>0</v>
      </c>
      <c r="R84" s="770">
        <v>1.75</v>
      </c>
      <c r="S84" s="693"/>
      <c r="T84" s="690">
        <f t="shared" si="29"/>
        <v>1.75</v>
      </c>
      <c r="U84" s="683"/>
      <c r="V84" s="474">
        <f t="shared" si="30"/>
        <v>0</v>
      </c>
      <c r="W84" s="474">
        <f t="shared" si="31"/>
        <v>0</v>
      </c>
      <c r="X84" s="475">
        <f t="shared" si="32"/>
        <v>0</v>
      </c>
      <c r="Y84" s="475">
        <v>0</v>
      </c>
      <c r="Z84" s="476">
        <v>0</v>
      </c>
      <c r="AA84" s="38">
        <f t="shared" si="33"/>
        <v>0</v>
      </c>
      <c r="AB84" s="692">
        <f t="shared" si="26"/>
        <v>0</v>
      </c>
      <c r="AC84" s="692">
        <f t="shared" si="27"/>
        <v>0</v>
      </c>
      <c r="AD84" s="692">
        <f t="shared" si="34"/>
        <v>0</v>
      </c>
      <c r="AE84" s="38"/>
      <c r="AF84" s="692">
        <f t="shared" si="35"/>
        <v>0</v>
      </c>
      <c r="AG84" s="692">
        <f t="shared" si="36"/>
        <v>0</v>
      </c>
      <c r="AH84" s="692">
        <f t="shared" si="37"/>
        <v>0</v>
      </c>
    </row>
    <row r="85" spans="1:34" s="232" customFormat="1">
      <c r="A85" s="283"/>
      <c r="B85" s="283" t="s">
        <v>109</v>
      </c>
      <c r="C85" s="667" t="s">
        <v>540</v>
      </c>
      <c r="D85" s="373" t="s">
        <v>620</v>
      </c>
      <c r="E85" s="679"/>
      <c r="F85" s="529">
        <f>VLOOKUP(D85,'May 2012 DMV Revenue'!D:T,17,FALSE)</f>
        <v>0</v>
      </c>
      <c r="G85" s="680"/>
      <c r="H85" s="680"/>
      <c r="I85" s="755"/>
      <c r="J85" s="682">
        <f t="shared" si="28"/>
        <v>0</v>
      </c>
      <c r="K85" s="683"/>
      <c r="L85" s="684"/>
      <c r="M85" s="753"/>
      <c r="N85" s="683">
        <v>0</v>
      </c>
      <c r="O85" s="686"/>
      <c r="P85" s="683">
        <v>0</v>
      </c>
      <c r="Q85" s="687">
        <f t="shared" si="1"/>
        <v>0</v>
      </c>
      <c r="R85" s="770">
        <v>332.9</v>
      </c>
      <c r="S85" s="693"/>
      <c r="T85" s="690">
        <f t="shared" si="29"/>
        <v>332.9</v>
      </c>
      <c r="U85" s="683"/>
      <c r="V85" s="474">
        <f t="shared" si="30"/>
        <v>0</v>
      </c>
      <c r="W85" s="474">
        <f t="shared" si="31"/>
        <v>0</v>
      </c>
      <c r="X85" s="475">
        <f t="shared" si="32"/>
        <v>0</v>
      </c>
      <c r="Y85" s="475">
        <v>0</v>
      </c>
      <c r="Z85" s="476">
        <v>0</v>
      </c>
      <c r="AA85" s="38">
        <f t="shared" si="33"/>
        <v>0</v>
      </c>
      <c r="AB85" s="692">
        <f t="shared" si="26"/>
        <v>0</v>
      </c>
      <c r="AC85" s="692">
        <f t="shared" si="27"/>
        <v>0</v>
      </c>
      <c r="AD85" s="692">
        <f t="shared" si="34"/>
        <v>0</v>
      </c>
      <c r="AE85" s="38"/>
      <c r="AF85" s="692">
        <f t="shared" si="35"/>
        <v>0</v>
      </c>
      <c r="AG85" s="692">
        <f t="shared" si="36"/>
        <v>0</v>
      </c>
      <c r="AH85" s="692">
        <f t="shared" si="37"/>
        <v>0</v>
      </c>
    </row>
    <row r="86" spans="1:34">
      <c r="A86" s="20"/>
      <c r="B86" s="20" t="s">
        <v>110</v>
      </c>
      <c r="C86" s="667" t="s">
        <v>541</v>
      </c>
      <c r="D86" s="351" t="s">
        <v>507</v>
      </c>
      <c r="E86" s="679"/>
      <c r="F86" s="529">
        <f>VLOOKUP(D86,'May 2012 DMV Revenue'!D:T,17,FALSE)</f>
        <v>0</v>
      </c>
      <c r="G86" s="680"/>
      <c r="H86" s="680"/>
      <c r="I86" s="770">
        <v>240.3</v>
      </c>
      <c r="J86" s="682">
        <f t="shared" si="28"/>
        <v>240.3</v>
      </c>
      <c r="K86" s="683"/>
      <c r="L86" s="684"/>
      <c r="M86" s="753"/>
      <c r="N86" s="683">
        <v>0</v>
      </c>
      <c r="O86" s="686"/>
      <c r="P86" s="683">
        <v>0</v>
      </c>
      <c r="Q86" s="687">
        <f t="shared" si="1"/>
        <v>0</v>
      </c>
      <c r="R86" s="688">
        <v>0</v>
      </c>
      <c r="S86" s="693"/>
      <c r="T86" s="690">
        <f t="shared" si="29"/>
        <v>0</v>
      </c>
      <c r="U86" s="683"/>
      <c r="V86" s="474">
        <f t="shared" si="30"/>
        <v>0</v>
      </c>
      <c r="W86" s="474">
        <f t="shared" si="31"/>
        <v>0</v>
      </c>
      <c r="X86" s="475">
        <f t="shared" si="32"/>
        <v>0</v>
      </c>
      <c r="Y86" s="475">
        <v>0</v>
      </c>
      <c r="Z86" s="476">
        <v>0</v>
      </c>
      <c r="AA86" s="38">
        <f t="shared" si="33"/>
        <v>0</v>
      </c>
      <c r="AB86" s="692">
        <f t="shared" si="26"/>
        <v>240.3</v>
      </c>
      <c r="AC86" s="692">
        <f t="shared" si="27"/>
        <v>0</v>
      </c>
      <c r="AD86" s="692">
        <f t="shared" si="34"/>
        <v>0</v>
      </c>
      <c r="AE86" s="38"/>
      <c r="AF86" s="692">
        <f t="shared" si="35"/>
        <v>0</v>
      </c>
      <c r="AG86" s="692">
        <f t="shared" si="36"/>
        <v>0</v>
      </c>
      <c r="AH86" s="692">
        <f t="shared" si="37"/>
        <v>0</v>
      </c>
    </row>
    <row r="87" spans="1:34">
      <c r="A87" s="20"/>
      <c r="B87" s="20" t="s">
        <v>110</v>
      </c>
      <c r="C87" s="667" t="s">
        <v>541</v>
      </c>
      <c r="D87" s="351" t="s">
        <v>506</v>
      </c>
      <c r="E87" s="679"/>
      <c r="F87" s="529">
        <f>VLOOKUP(D87,'May 2012 DMV Revenue'!D:T,17,FALSE)</f>
        <v>0</v>
      </c>
      <c r="G87" s="680"/>
      <c r="H87" s="680"/>
      <c r="I87" s="770">
        <v>204.44</v>
      </c>
      <c r="J87" s="682">
        <f t="shared" si="28"/>
        <v>204.44</v>
      </c>
      <c r="K87" s="683"/>
      <c r="L87" s="684"/>
      <c r="M87" s="753"/>
      <c r="N87" s="683">
        <v>0</v>
      </c>
      <c r="O87" s="686"/>
      <c r="P87" s="683">
        <v>0</v>
      </c>
      <c r="Q87" s="687">
        <f t="shared" si="1"/>
        <v>0</v>
      </c>
      <c r="R87" s="688">
        <v>0</v>
      </c>
      <c r="S87" s="693"/>
      <c r="T87" s="690">
        <f t="shared" si="29"/>
        <v>0</v>
      </c>
      <c r="U87" s="683"/>
      <c r="V87" s="474">
        <f t="shared" si="30"/>
        <v>0</v>
      </c>
      <c r="W87" s="474">
        <f t="shared" si="31"/>
        <v>0</v>
      </c>
      <c r="X87" s="475">
        <f t="shared" si="32"/>
        <v>0</v>
      </c>
      <c r="Y87" s="475">
        <v>0</v>
      </c>
      <c r="Z87" s="476">
        <v>0</v>
      </c>
      <c r="AA87" s="38">
        <f t="shared" si="33"/>
        <v>0</v>
      </c>
      <c r="AB87" s="692">
        <f t="shared" si="26"/>
        <v>204.44</v>
      </c>
      <c r="AC87" s="692">
        <f t="shared" si="27"/>
        <v>0</v>
      </c>
      <c r="AD87" s="692">
        <f t="shared" si="34"/>
        <v>0</v>
      </c>
      <c r="AE87" s="38"/>
      <c r="AF87" s="692">
        <f t="shared" si="35"/>
        <v>0</v>
      </c>
      <c r="AG87" s="692">
        <f t="shared" si="36"/>
        <v>0</v>
      </c>
      <c r="AH87" s="692">
        <f t="shared" si="37"/>
        <v>0</v>
      </c>
    </row>
    <row r="88" spans="1:34">
      <c r="A88" s="20"/>
      <c r="B88" s="20" t="s">
        <v>110</v>
      </c>
      <c r="C88" s="667" t="s">
        <v>542</v>
      </c>
      <c r="D88" s="68" t="s">
        <v>305</v>
      </c>
      <c r="E88" s="679">
        <v>961.33</v>
      </c>
      <c r="F88" s="529">
        <f>VLOOKUP(D88,'May 2012 DMV Revenue'!D:T,17,FALSE)</f>
        <v>325.10000000000002</v>
      </c>
      <c r="G88" s="680"/>
      <c r="H88" s="680"/>
      <c r="I88" s="755"/>
      <c r="J88" s="682">
        <f t="shared" si="28"/>
        <v>1286.43</v>
      </c>
      <c r="K88" s="683"/>
      <c r="L88" s="684"/>
      <c r="M88" s="753"/>
      <c r="N88" s="683">
        <v>0</v>
      </c>
      <c r="O88" s="686"/>
      <c r="P88" s="683">
        <v>0</v>
      </c>
      <c r="Q88" s="687">
        <f t="shared" si="1"/>
        <v>0</v>
      </c>
      <c r="R88" s="688">
        <v>0</v>
      </c>
      <c r="S88" s="693"/>
      <c r="T88" s="690">
        <f t="shared" si="29"/>
        <v>0</v>
      </c>
      <c r="U88" s="683"/>
      <c r="V88" s="474">
        <f t="shared" si="30"/>
        <v>0</v>
      </c>
      <c r="W88" s="474">
        <f t="shared" si="31"/>
        <v>0</v>
      </c>
      <c r="X88" s="475">
        <f t="shared" si="32"/>
        <v>0</v>
      </c>
      <c r="Y88" s="475">
        <v>0</v>
      </c>
      <c r="Z88" s="476">
        <v>0</v>
      </c>
      <c r="AA88" s="38">
        <f t="shared" si="33"/>
        <v>0</v>
      </c>
      <c r="AB88" s="692">
        <f t="shared" si="26"/>
        <v>1286.43</v>
      </c>
      <c r="AC88" s="692">
        <f t="shared" si="27"/>
        <v>0</v>
      </c>
      <c r="AD88" s="692">
        <f t="shared" si="34"/>
        <v>0</v>
      </c>
      <c r="AE88" s="38"/>
      <c r="AF88" s="692">
        <f t="shared" si="35"/>
        <v>0</v>
      </c>
      <c r="AG88" s="692">
        <f t="shared" si="36"/>
        <v>0</v>
      </c>
      <c r="AH88" s="692">
        <f t="shared" si="37"/>
        <v>0</v>
      </c>
    </row>
    <row r="89" spans="1:34">
      <c r="A89" s="20"/>
      <c r="B89" s="20" t="s">
        <v>110</v>
      </c>
      <c r="C89" s="667" t="s">
        <v>543</v>
      </c>
      <c r="D89" s="68" t="s">
        <v>199</v>
      </c>
      <c r="E89" s="679">
        <v>237.84</v>
      </c>
      <c r="F89" s="529">
        <f>VLOOKUP(D89,'May 2012 DMV Revenue'!D:T,17,FALSE)</f>
        <v>0</v>
      </c>
      <c r="G89" s="680"/>
      <c r="H89" s="680"/>
      <c r="I89" s="755"/>
      <c r="J89" s="682">
        <f t="shared" si="28"/>
        <v>237.84</v>
      </c>
      <c r="K89" s="683"/>
      <c r="L89" s="684"/>
      <c r="M89" s="753"/>
      <c r="N89" s="683">
        <v>0</v>
      </c>
      <c r="O89" s="686"/>
      <c r="P89" s="683">
        <v>0</v>
      </c>
      <c r="Q89" s="687">
        <f t="shared" si="1"/>
        <v>0</v>
      </c>
      <c r="R89" s="688">
        <v>3.79</v>
      </c>
      <c r="S89" s="693"/>
      <c r="T89" s="690">
        <f t="shared" si="29"/>
        <v>3.79</v>
      </c>
      <c r="U89" s="683"/>
      <c r="V89" s="474">
        <f t="shared" si="30"/>
        <v>0</v>
      </c>
      <c r="W89" s="474">
        <f t="shared" si="31"/>
        <v>0</v>
      </c>
      <c r="X89" s="475">
        <f t="shared" si="32"/>
        <v>0</v>
      </c>
      <c r="Y89" s="475">
        <v>0</v>
      </c>
      <c r="Z89" s="476">
        <v>0</v>
      </c>
      <c r="AA89" s="38">
        <f t="shared" si="33"/>
        <v>0</v>
      </c>
      <c r="AB89" s="692">
        <f t="shared" si="26"/>
        <v>237.84</v>
      </c>
      <c r="AC89" s="692">
        <f t="shared" si="27"/>
        <v>0</v>
      </c>
      <c r="AD89" s="692">
        <f t="shared" si="34"/>
        <v>0</v>
      </c>
      <c r="AE89" s="38"/>
      <c r="AF89" s="692">
        <f t="shared" si="35"/>
        <v>0</v>
      </c>
      <c r="AG89" s="692">
        <f t="shared" si="36"/>
        <v>0</v>
      </c>
      <c r="AH89" s="692">
        <f t="shared" si="37"/>
        <v>0</v>
      </c>
    </row>
    <row r="90" spans="1:34">
      <c r="A90" s="20"/>
      <c r="B90" s="20" t="s">
        <v>110</v>
      </c>
      <c r="C90" s="667" t="s">
        <v>543</v>
      </c>
      <c r="D90" s="68" t="s">
        <v>200</v>
      </c>
      <c r="E90" s="679">
        <v>373.1</v>
      </c>
      <c r="F90" s="529">
        <f>VLOOKUP(D90,'May 2012 DMV Revenue'!D:T,17,FALSE)</f>
        <v>0</v>
      </c>
      <c r="G90" s="680"/>
      <c r="H90" s="680"/>
      <c r="I90" s="755"/>
      <c r="J90" s="682">
        <f t="shared" si="28"/>
        <v>373.1</v>
      </c>
      <c r="K90" s="683"/>
      <c r="L90" s="684"/>
      <c r="M90" s="753"/>
      <c r="N90" s="683">
        <v>0</v>
      </c>
      <c r="O90" s="686"/>
      <c r="P90" s="683">
        <v>0</v>
      </c>
      <c r="Q90" s="687">
        <f t="shared" si="1"/>
        <v>0</v>
      </c>
      <c r="R90" s="688">
        <v>93.8</v>
      </c>
      <c r="S90" s="693"/>
      <c r="T90" s="690">
        <f t="shared" si="29"/>
        <v>93.8</v>
      </c>
      <c r="U90" s="683"/>
      <c r="V90" s="474">
        <f t="shared" si="30"/>
        <v>0</v>
      </c>
      <c r="W90" s="474">
        <f t="shared" si="31"/>
        <v>0</v>
      </c>
      <c r="X90" s="475">
        <f t="shared" si="32"/>
        <v>0</v>
      </c>
      <c r="Y90" s="475">
        <v>0</v>
      </c>
      <c r="Z90" s="476">
        <v>0</v>
      </c>
      <c r="AA90" s="38">
        <f t="shared" si="33"/>
        <v>0</v>
      </c>
      <c r="AB90" s="692">
        <f t="shared" si="26"/>
        <v>373.1</v>
      </c>
      <c r="AC90" s="692">
        <f t="shared" si="27"/>
        <v>0</v>
      </c>
      <c r="AD90" s="692">
        <f t="shared" si="34"/>
        <v>0</v>
      </c>
      <c r="AE90" s="38"/>
      <c r="AF90" s="692">
        <f t="shared" si="35"/>
        <v>0</v>
      </c>
      <c r="AG90" s="692">
        <f t="shared" si="36"/>
        <v>0</v>
      </c>
      <c r="AH90" s="692">
        <f t="shared" si="37"/>
        <v>0</v>
      </c>
    </row>
    <row r="91" spans="1:34">
      <c r="A91" s="20"/>
      <c r="B91" s="20" t="s">
        <v>110</v>
      </c>
      <c r="C91" s="667" t="s">
        <v>543</v>
      </c>
      <c r="D91" s="68" t="s">
        <v>201</v>
      </c>
      <c r="E91" s="679">
        <v>22.67</v>
      </c>
      <c r="F91" s="529">
        <f>VLOOKUP(D91,'May 2012 DMV Revenue'!D:T,17,FALSE)</f>
        <v>0</v>
      </c>
      <c r="G91" s="680"/>
      <c r="H91" s="680"/>
      <c r="I91" s="755"/>
      <c r="J91" s="682">
        <f t="shared" si="28"/>
        <v>22.67</v>
      </c>
      <c r="K91" s="683"/>
      <c r="L91" s="684"/>
      <c r="M91" s="753"/>
      <c r="N91" s="683">
        <v>0</v>
      </c>
      <c r="O91" s="686"/>
      <c r="P91" s="683">
        <v>0</v>
      </c>
      <c r="Q91" s="687">
        <f t="shared" si="1"/>
        <v>0</v>
      </c>
      <c r="R91" s="688">
        <v>28.18</v>
      </c>
      <c r="S91" s="693"/>
      <c r="T91" s="690">
        <f t="shared" si="29"/>
        <v>28.18</v>
      </c>
      <c r="U91" s="683"/>
      <c r="V91" s="474">
        <f t="shared" si="30"/>
        <v>0</v>
      </c>
      <c r="W91" s="474">
        <f t="shared" si="31"/>
        <v>0</v>
      </c>
      <c r="X91" s="475">
        <f t="shared" si="32"/>
        <v>0</v>
      </c>
      <c r="Y91" s="475">
        <v>0</v>
      </c>
      <c r="Z91" s="476">
        <v>0</v>
      </c>
      <c r="AA91" s="38">
        <f t="shared" si="33"/>
        <v>0</v>
      </c>
      <c r="AB91" s="692">
        <f t="shared" si="26"/>
        <v>22.67</v>
      </c>
      <c r="AC91" s="692">
        <f t="shared" si="27"/>
        <v>0</v>
      </c>
      <c r="AD91" s="692">
        <f t="shared" si="34"/>
        <v>0</v>
      </c>
      <c r="AE91" s="38"/>
      <c r="AF91" s="692">
        <f t="shared" si="35"/>
        <v>0</v>
      </c>
      <c r="AG91" s="692">
        <f t="shared" si="36"/>
        <v>0</v>
      </c>
      <c r="AH91" s="692">
        <f t="shared" si="37"/>
        <v>0</v>
      </c>
    </row>
    <row r="92" spans="1:34">
      <c r="A92" s="20" t="s">
        <v>97</v>
      </c>
      <c r="B92" s="20" t="s">
        <v>114</v>
      </c>
      <c r="C92" s="667"/>
      <c r="D92" s="68" t="s">
        <v>387</v>
      </c>
      <c r="E92" s="679"/>
      <c r="F92" s="529">
        <f>VLOOKUP(D92,'May 2012 DMV Revenue'!D:T,17,FALSE)</f>
        <v>-15000</v>
      </c>
      <c r="G92" s="680"/>
      <c r="H92" s="680"/>
      <c r="I92" s="755"/>
      <c r="J92" s="682">
        <f t="shared" si="28"/>
        <v>-15000</v>
      </c>
      <c r="K92" s="683"/>
      <c r="L92" s="684"/>
      <c r="M92" s="753">
        <v>22500</v>
      </c>
      <c r="N92" s="683">
        <v>0</v>
      </c>
      <c r="O92" s="686"/>
      <c r="P92" s="683">
        <v>0</v>
      </c>
      <c r="Q92" s="687">
        <f t="shared" si="1"/>
        <v>22500</v>
      </c>
      <c r="R92" s="688">
        <v>0</v>
      </c>
      <c r="S92" s="693"/>
      <c r="T92" s="690">
        <f t="shared" si="29"/>
        <v>-22500</v>
      </c>
      <c r="U92" s="683"/>
      <c r="V92" s="474">
        <f t="shared" si="30"/>
        <v>0</v>
      </c>
      <c r="W92" s="474">
        <f t="shared" si="31"/>
        <v>0</v>
      </c>
      <c r="X92" s="475">
        <f t="shared" si="32"/>
        <v>22500</v>
      </c>
      <c r="Y92" s="475">
        <v>0</v>
      </c>
      <c r="Z92" s="476">
        <v>0</v>
      </c>
      <c r="AA92" s="38">
        <f t="shared" si="33"/>
        <v>0</v>
      </c>
      <c r="AB92" s="692">
        <f t="shared" si="26"/>
        <v>0</v>
      </c>
      <c r="AC92" s="692">
        <f t="shared" si="27"/>
        <v>0</v>
      </c>
      <c r="AD92" s="692">
        <f t="shared" si="34"/>
        <v>-15000</v>
      </c>
      <c r="AE92" s="38"/>
      <c r="AF92" s="692">
        <f t="shared" si="35"/>
        <v>0</v>
      </c>
      <c r="AG92" s="692">
        <f t="shared" si="36"/>
        <v>0</v>
      </c>
      <c r="AH92" s="692">
        <f t="shared" si="37"/>
        <v>22500</v>
      </c>
    </row>
    <row r="93" spans="1:34">
      <c r="A93" s="20" t="s">
        <v>97</v>
      </c>
      <c r="B93" s="20" t="s">
        <v>114</v>
      </c>
      <c r="C93" s="667"/>
      <c r="D93" s="68" t="s">
        <v>482</v>
      </c>
      <c r="E93" s="679"/>
      <c r="F93" s="529">
        <f>VLOOKUP(D93,'May 2012 DMV Revenue'!D:T,17,FALSE)</f>
        <v>0</v>
      </c>
      <c r="G93" s="680"/>
      <c r="H93" s="680"/>
      <c r="I93" s="755"/>
      <c r="J93" s="682">
        <f t="shared" si="28"/>
        <v>0</v>
      </c>
      <c r="K93" s="683"/>
      <c r="L93" s="684"/>
      <c r="M93" s="753"/>
      <c r="N93" s="683"/>
      <c r="O93" s="686"/>
      <c r="P93" s="683"/>
      <c r="Q93" s="687">
        <f t="shared" si="1"/>
        <v>0</v>
      </c>
      <c r="R93" s="688">
        <v>0</v>
      </c>
      <c r="S93" s="693"/>
      <c r="T93" s="690">
        <f t="shared" si="29"/>
        <v>0</v>
      </c>
      <c r="U93" s="683"/>
      <c r="V93" s="474">
        <f t="shared" si="30"/>
        <v>0</v>
      </c>
      <c r="W93" s="474">
        <f t="shared" si="31"/>
        <v>0</v>
      </c>
      <c r="X93" s="475">
        <f t="shared" si="32"/>
        <v>0</v>
      </c>
      <c r="Y93" s="475">
        <v>0</v>
      </c>
      <c r="Z93" s="476">
        <v>0</v>
      </c>
      <c r="AA93" s="38">
        <f t="shared" si="33"/>
        <v>0</v>
      </c>
      <c r="AB93" s="692">
        <f t="shared" si="26"/>
        <v>0</v>
      </c>
      <c r="AC93" s="692">
        <f t="shared" si="27"/>
        <v>0</v>
      </c>
      <c r="AD93" s="692">
        <f t="shared" si="34"/>
        <v>0</v>
      </c>
      <c r="AE93" s="38"/>
      <c r="AF93" s="692">
        <f t="shared" si="35"/>
        <v>0</v>
      </c>
      <c r="AG93" s="692">
        <f t="shared" si="36"/>
        <v>0</v>
      </c>
      <c r="AH93" s="692">
        <f t="shared" si="37"/>
        <v>0</v>
      </c>
    </row>
    <row r="94" spans="1:34">
      <c r="A94" s="20" t="s">
        <v>109</v>
      </c>
      <c r="B94" s="20" t="s">
        <v>109</v>
      </c>
      <c r="C94" s="667"/>
      <c r="D94" s="68" t="s">
        <v>66</v>
      </c>
      <c r="E94" s="679"/>
      <c r="F94" s="529">
        <f>VLOOKUP(D94,'May 2012 DMV Revenue'!D:T,17,FALSE)</f>
        <v>0</v>
      </c>
      <c r="G94" s="680"/>
      <c r="H94" s="680"/>
      <c r="I94" s="755"/>
      <c r="J94" s="682">
        <f t="shared" si="28"/>
        <v>0</v>
      </c>
      <c r="K94" s="683"/>
      <c r="L94" s="684"/>
      <c r="M94" s="753"/>
      <c r="N94" s="683">
        <v>0</v>
      </c>
      <c r="O94" s="686"/>
      <c r="P94" s="683">
        <v>0</v>
      </c>
      <c r="Q94" s="687">
        <f t="shared" si="1"/>
        <v>0</v>
      </c>
      <c r="R94" s="688">
        <v>0</v>
      </c>
      <c r="S94" s="693"/>
      <c r="T94" s="690">
        <f t="shared" si="29"/>
        <v>0</v>
      </c>
      <c r="U94" s="683"/>
      <c r="V94" s="474">
        <f t="shared" si="30"/>
        <v>0</v>
      </c>
      <c r="W94" s="474">
        <f t="shared" si="31"/>
        <v>0</v>
      </c>
      <c r="X94" s="475">
        <f t="shared" si="32"/>
        <v>0</v>
      </c>
      <c r="Y94" s="475">
        <v>0</v>
      </c>
      <c r="Z94" s="476">
        <v>0</v>
      </c>
      <c r="AA94" s="38">
        <f t="shared" si="33"/>
        <v>0</v>
      </c>
      <c r="AB94" s="692">
        <f t="shared" si="26"/>
        <v>0</v>
      </c>
      <c r="AC94" s="692">
        <f t="shared" si="27"/>
        <v>0</v>
      </c>
      <c r="AD94" s="692">
        <f t="shared" si="34"/>
        <v>0</v>
      </c>
      <c r="AE94" s="38"/>
      <c r="AF94" s="692">
        <f t="shared" si="35"/>
        <v>0</v>
      </c>
      <c r="AG94" s="692">
        <f t="shared" si="36"/>
        <v>0</v>
      </c>
      <c r="AH94" s="692">
        <f t="shared" si="37"/>
        <v>0</v>
      </c>
    </row>
    <row r="95" spans="1:34">
      <c r="A95" s="20" t="s">
        <v>109</v>
      </c>
      <c r="B95" s="20" t="s">
        <v>109</v>
      </c>
      <c r="C95" s="667" t="s">
        <v>544</v>
      </c>
      <c r="D95" s="68" t="s">
        <v>383</v>
      </c>
      <c r="E95" s="679"/>
      <c r="F95" s="529">
        <f>VLOOKUP(D95,'May 2012 DMV Revenue'!D:T,17,FALSE)</f>
        <v>0</v>
      </c>
      <c r="G95" s="680"/>
      <c r="H95" s="680"/>
      <c r="I95" s="755"/>
      <c r="J95" s="682">
        <f t="shared" si="28"/>
        <v>0</v>
      </c>
      <c r="K95" s="683"/>
      <c r="L95" s="684"/>
      <c r="M95" s="753"/>
      <c r="N95" s="683">
        <v>0</v>
      </c>
      <c r="O95" s="686"/>
      <c r="P95" s="683">
        <v>0</v>
      </c>
      <c r="Q95" s="687">
        <f t="shared" si="1"/>
        <v>0</v>
      </c>
      <c r="R95" s="688">
        <v>213.17</v>
      </c>
      <c r="S95" s="693"/>
      <c r="T95" s="690">
        <f t="shared" si="29"/>
        <v>213.17</v>
      </c>
      <c r="U95" s="683"/>
      <c r="V95" s="474">
        <f t="shared" si="30"/>
        <v>0</v>
      </c>
      <c r="W95" s="474">
        <f t="shared" si="31"/>
        <v>0</v>
      </c>
      <c r="X95" s="475">
        <f t="shared" si="32"/>
        <v>0</v>
      </c>
      <c r="Y95" s="475">
        <v>0</v>
      </c>
      <c r="Z95" s="476">
        <v>0</v>
      </c>
      <c r="AA95" s="38">
        <f t="shared" si="33"/>
        <v>0</v>
      </c>
      <c r="AB95" s="692">
        <f t="shared" si="26"/>
        <v>0</v>
      </c>
      <c r="AC95" s="692">
        <f t="shared" si="27"/>
        <v>0</v>
      </c>
      <c r="AD95" s="692">
        <f t="shared" si="34"/>
        <v>0</v>
      </c>
      <c r="AE95" s="38"/>
      <c r="AF95" s="692">
        <f t="shared" si="35"/>
        <v>0</v>
      </c>
      <c r="AG95" s="692">
        <f t="shared" si="36"/>
        <v>0</v>
      </c>
      <c r="AH95" s="692">
        <f t="shared" si="37"/>
        <v>0</v>
      </c>
    </row>
    <row r="96" spans="1:34">
      <c r="A96" s="21" t="s">
        <v>109</v>
      </c>
      <c r="B96" s="21" t="s">
        <v>110</v>
      </c>
      <c r="C96" s="666"/>
      <c r="D96" s="68" t="s">
        <v>65</v>
      </c>
      <c r="E96" s="679"/>
      <c r="F96" s="529">
        <f>VLOOKUP(D96,'May 2012 DMV Revenue'!D:T,17,FALSE)</f>
        <v>0</v>
      </c>
      <c r="G96" s="680"/>
      <c r="H96" s="680"/>
      <c r="I96" s="755"/>
      <c r="J96" s="682">
        <f t="shared" si="28"/>
        <v>0</v>
      </c>
      <c r="K96" s="683"/>
      <c r="L96" s="684"/>
      <c r="M96" s="753"/>
      <c r="N96" s="683">
        <v>0</v>
      </c>
      <c r="O96" s="686"/>
      <c r="P96" s="683">
        <v>0</v>
      </c>
      <c r="Q96" s="687">
        <f t="shared" si="1"/>
        <v>0</v>
      </c>
      <c r="R96" s="688">
        <v>0</v>
      </c>
      <c r="S96" s="693"/>
      <c r="T96" s="690">
        <f t="shared" si="29"/>
        <v>0</v>
      </c>
      <c r="U96" s="683"/>
      <c r="V96" s="474">
        <f t="shared" si="30"/>
        <v>0</v>
      </c>
      <c r="W96" s="474">
        <f t="shared" si="31"/>
        <v>0</v>
      </c>
      <c r="X96" s="475">
        <f t="shared" si="32"/>
        <v>0</v>
      </c>
      <c r="Y96" s="475">
        <v>0</v>
      </c>
      <c r="Z96" s="476">
        <v>0</v>
      </c>
      <c r="AA96" s="38">
        <f t="shared" si="33"/>
        <v>0</v>
      </c>
      <c r="AB96" s="692">
        <f t="shared" si="26"/>
        <v>0</v>
      </c>
      <c r="AC96" s="692">
        <f t="shared" si="27"/>
        <v>0</v>
      </c>
      <c r="AD96" s="692">
        <f t="shared" si="34"/>
        <v>0</v>
      </c>
      <c r="AE96" s="38"/>
      <c r="AF96" s="692">
        <f t="shared" si="35"/>
        <v>0</v>
      </c>
      <c r="AG96" s="692">
        <f t="shared" si="36"/>
        <v>0</v>
      </c>
      <c r="AH96" s="692">
        <f t="shared" si="37"/>
        <v>0</v>
      </c>
    </row>
    <row r="97" spans="1:34">
      <c r="A97" s="21" t="s">
        <v>211</v>
      </c>
      <c r="B97" s="21" t="s">
        <v>109</v>
      </c>
      <c r="C97" s="666" t="s">
        <v>545</v>
      </c>
      <c r="D97" s="68" t="s">
        <v>181</v>
      </c>
      <c r="E97" s="679">
        <f>297.55+1907.58-18.84</f>
        <v>2186.29</v>
      </c>
      <c r="F97" s="529">
        <f>VLOOKUP(D97,'May 2012 DMV Revenue'!D:T,17,FALSE)</f>
        <v>-24000</v>
      </c>
      <c r="G97" s="680"/>
      <c r="H97" s="680"/>
      <c r="I97" s="755"/>
      <c r="J97" s="682">
        <f t="shared" si="28"/>
        <v>-21813.71</v>
      </c>
      <c r="K97" s="683"/>
      <c r="L97" s="684"/>
      <c r="M97" s="753">
        <v>10000</v>
      </c>
      <c r="N97" s="683">
        <v>0</v>
      </c>
      <c r="O97" s="686"/>
      <c r="P97" s="683">
        <v>0</v>
      </c>
      <c r="Q97" s="687">
        <f t="shared" si="1"/>
        <v>10000</v>
      </c>
      <c r="R97" s="688">
        <v>0</v>
      </c>
      <c r="S97" s="693"/>
      <c r="T97" s="690">
        <f t="shared" si="29"/>
        <v>-10000</v>
      </c>
      <c r="U97" s="683"/>
      <c r="V97" s="474">
        <f t="shared" si="30"/>
        <v>0</v>
      </c>
      <c r="W97" s="474">
        <f t="shared" si="31"/>
        <v>10000</v>
      </c>
      <c r="X97" s="475">
        <f t="shared" si="32"/>
        <v>0</v>
      </c>
      <c r="Y97" s="475">
        <v>0</v>
      </c>
      <c r="Z97" s="476">
        <v>0</v>
      </c>
      <c r="AA97" s="38">
        <f t="shared" si="33"/>
        <v>0</v>
      </c>
      <c r="AB97" s="692">
        <f t="shared" si="26"/>
        <v>0</v>
      </c>
      <c r="AC97" s="692">
        <f t="shared" si="27"/>
        <v>-21813.71</v>
      </c>
      <c r="AD97" s="692">
        <f t="shared" si="34"/>
        <v>0</v>
      </c>
      <c r="AE97" s="38"/>
      <c r="AF97" s="692">
        <f t="shared" si="35"/>
        <v>0</v>
      </c>
      <c r="AG97" s="692">
        <f t="shared" si="36"/>
        <v>10000</v>
      </c>
      <c r="AH97" s="692">
        <f t="shared" si="37"/>
        <v>0</v>
      </c>
    </row>
    <row r="98" spans="1:34">
      <c r="A98" s="21" t="s">
        <v>211</v>
      </c>
      <c r="B98" s="21" t="s">
        <v>110</v>
      </c>
      <c r="C98" s="666"/>
      <c r="D98" s="68" t="s">
        <v>504</v>
      </c>
      <c r="E98" s="679">
        <v>18.84</v>
      </c>
      <c r="F98" s="529">
        <f>VLOOKUP(D98,'May 2012 DMV Revenue'!D:T,17,FALSE)</f>
        <v>0</v>
      </c>
      <c r="G98" s="680"/>
      <c r="H98" s="680"/>
      <c r="I98" s="755"/>
      <c r="J98" s="682">
        <f t="shared" si="28"/>
        <v>18.84</v>
      </c>
      <c r="K98" s="683"/>
      <c r="L98" s="684"/>
      <c r="M98" s="753"/>
      <c r="N98" s="683">
        <v>0</v>
      </c>
      <c r="O98" s="686"/>
      <c r="P98" s="683">
        <v>0</v>
      </c>
      <c r="Q98" s="687">
        <f t="shared" si="1"/>
        <v>0</v>
      </c>
      <c r="R98" s="688">
        <v>0</v>
      </c>
      <c r="S98" s="693"/>
      <c r="T98" s="690">
        <f t="shared" si="29"/>
        <v>0</v>
      </c>
      <c r="U98" s="683"/>
      <c r="V98" s="474">
        <f t="shared" si="30"/>
        <v>0</v>
      </c>
      <c r="W98" s="474">
        <f t="shared" si="31"/>
        <v>0</v>
      </c>
      <c r="X98" s="475">
        <f t="shared" si="32"/>
        <v>0</v>
      </c>
      <c r="Y98" s="475">
        <v>0</v>
      </c>
      <c r="Z98" s="476">
        <v>0</v>
      </c>
      <c r="AA98" s="38">
        <f t="shared" si="33"/>
        <v>0</v>
      </c>
      <c r="AB98" s="692">
        <f t="shared" si="26"/>
        <v>18.84</v>
      </c>
      <c r="AC98" s="692">
        <f t="shared" si="27"/>
        <v>0</v>
      </c>
      <c r="AD98" s="692">
        <f t="shared" si="34"/>
        <v>0</v>
      </c>
      <c r="AE98" s="38"/>
      <c r="AF98" s="692">
        <f t="shared" si="35"/>
        <v>0</v>
      </c>
      <c r="AG98" s="692">
        <f t="shared" si="36"/>
        <v>0</v>
      </c>
      <c r="AH98" s="692">
        <f t="shared" si="37"/>
        <v>0</v>
      </c>
    </row>
    <row r="99" spans="1:34">
      <c r="A99" s="20" t="s">
        <v>211</v>
      </c>
      <c r="B99" s="20" t="s">
        <v>109</v>
      </c>
      <c r="C99" s="667" t="s">
        <v>546</v>
      </c>
      <c r="D99" s="68" t="s">
        <v>142</v>
      </c>
      <c r="E99" s="679"/>
      <c r="F99" s="529">
        <f>VLOOKUP(D99,'May 2012 DMV Revenue'!D:T,17,FALSE)</f>
        <v>0</v>
      </c>
      <c r="G99" s="680"/>
      <c r="H99" s="680"/>
      <c r="I99" s="755"/>
      <c r="J99" s="682">
        <f t="shared" si="28"/>
        <v>0</v>
      </c>
      <c r="K99" s="683"/>
      <c r="L99" s="684"/>
      <c r="M99" s="753"/>
      <c r="N99" s="683">
        <v>0</v>
      </c>
      <c r="O99" s="686"/>
      <c r="P99" s="683">
        <v>0</v>
      </c>
      <c r="Q99" s="687">
        <f t="shared" si="1"/>
        <v>0</v>
      </c>
      <c r="R99" s="688">
        <v>2045.24</v>
      </c>
      <c r="S99" s="693"/>
      <c r="T99" s="690">
        <f t="shared" si="29"/>
        <v>2045.24</v>
      </c>
      <c r="U99" s="697"/>
      <c r="V99" s="474">
        <f t="shared" si="30"/>
        <v>0</v>
      </c>
      <c r="W99" s="474">
        <f t="shared" si="31"/>
        <v>0</v>
      </c>
      <c r="X99" s="475">
        <f t="shared" si="32"/>
        <v>0</v>
      </c>
      <c r="Y99" s="475">
        <v>0</v>
      </c>
      <c r="Z99" s="476">
        <v>0</v>
      </c>
      <c r="AA99" s="38">
        <f t="shared" si="33"/>
        <v>0</v>
      </c>
      <c r="AB99" s="692">
        <f t="shared" si="26"/>
        <v>0</v>
      </c>
      <c r="AC99" s="692">
        <f t="shared" si="27"/>
        <v>0</v>
      </c>
      <c r="AD99" s="692">
        <f t="shared" si="34"/>
        <v>0</v>
      </c>
      <c r="AE99" s="38"/>
      <c r="AF99" s="692">
        <f t="shared" si="35"/>
        <v>0</v>
      </c>
      <c r="AG99" s="692">
        <f t="shared" si="36"/>
        <v>0</v>
      </c>
      <c r="AH99" s="692">
        <f t="shared" si="37"/>
        <v>0</v>
      </c>
    </row>
    <row r="100" spans="1:34">
      <c r="A100" s="20" t="s">
        <v>211</v>
      </c>
      <c r="B100" s="20" t="s">
        <v>109</v>
      </c>
      <c r="C100" s="667" t="s">
        <v>546</v>
      </c>
      <c r="D100" s="68" t="s">
        <v>143</v>
      </c>
      <c r="E100" s="679"/>
      <c r="F100" s="529">
        <f>VLOOKUP(D100,'May 2012 DMV Revenue'!D:T,17,FALSE)</f>
        <v>0</v>
      </c>
      <c r="G100" s="680"/>
      <c r="H100" s="680"/>
      <c r="I100" s="755"/>
      <c r="J100" s="682">
        <f t="shared" si="28"/>
        <v>0</v>
      </c>
      <c r="K100" s="683"/>
      <c r="L100" s="684"/>
      <c r="M100" s="753"/>
      <c r="N100" s="683">
        <v>0</v>
      </c>
      <c r="O100" s="686"/>
      <c r="P100" s="683">
        <v>0</v>
      </c>
      <c r="Q100" s="687">
        <f t="shared" si="1"/>
        <v>0</v>
      </c>
      <c r="R100" s="688">
        <v>132.66</v>
      </c>
      <c r="S100" s="693"/>
      <c r="T100" s="690">
        <f t="shared" si="29"/>
        <v>132.66</v>
      </c>
      <c r="U100" s="697"/>
      <c r="V100" s="474">
        <f t="shared" si="30"/>
        <v>0</v>
      </c>
      <c r="W100" s="474">
        <f t="shared" si="31"/>
        <v>0</v>
      </c>
      <c r="X100" s="475">
        <f t="shared" si="32"/>
        <v>0</v>
      </c>
      <c r="Y100" s="475">
        <v>0</v>
      </c>
      <c r="Z100" s="476">
        <v>0</v>
      </c>
      <c r="AA100" s="38">
        <f t="shared" si="33"/>
        <v>0</v>
      </c>
      <c r="AB100" s="692">
        <f t="shared" si="26"/>
        <v>0</v>
      </c>
      <c r="AC100" s="692">
        <f t="shared" si="27"/>
        <v>0</v>
      </c>
      <c r="AD100" s="692">
        <f t="shared" si="34"/>
        <v>0</v>
      </c>
      <c r="AE100" s="38"/>
      <c r="AF100" s="692">
        <f t="shared" si="35"/>
        <v>0</v>
      </c>
      <c r="AG100" s="692">
        <f t="shared" si="36"/>
        <v>0</v>
      </c>
      <c r="AH100" s="692">
        <f t="shared" si="37"/>
        <v>0</v>
      </c>
    </row>
    <row r="101" spans="1:34">
      <c r="A101" s="20" t="s">
        <v>109</v>
      </c>
      <c r="B101" s="20" t="s">
        <v>109</v>
      </c>
      <c r="C101" s="667"/>
      <c r="D101" s="68" t="s">
        <v>498</v>
      </c>
      <c r="E101" s="679">
        <v>2197.8000000000002</v>
      </c>
      <c r="F101" s="529">
        <f>VLOOKUP(D101,'May 2012 DMV Revenue'!D:T,17,FALSE)</f>
        <v>0</v>
      </c>
      <c r="G101" s="680"/>
      <c r="H101" s="680"/>
      <c r="I101" s="755"/>
      <c r="J101" s="682">
        <f t="shared" si="28"/>
        <v>2197.8000000000002</v>
      </c>
      <c r="K101" s="683"/>
      <c r="L101" s="684"/>
      <c r="M101" s="753"/>
      <c r="N101" s="683">
        <v>0</v>
      </c>
      <c r="O101" s="686"/>
      <c r="P101" s="683">
        <v>0</v>
      </c>
      <c r="Q101" s="687">
        <f t="shared" si="1"/>
        <v>0</v>
      </c>
      <c r="R101" s="688">
        <v>0</v>
      </c>
      <c r="S101" s="693"/>
      <c r="T101" s="690">
        <f t="shared" si="29"/>
        <v>0</v>
      </c>
      <c r="U101" s="683"/>
      <c r="V101" s="474">
        <f t="shared" si="30"/>
        <v>0</v>
      </c>
      <c r="W101" s="474">
        <f t="shared" si="31"/>
        <v>0</v>
      </c>
      <c r="X101" s="475">
        <f t="shared" si="32"/>
        <v>0</v>
      </c>
      <c r="Y101" s="475">
        <v>0</v>
      </c>
      <c r="Z101" s="476">
        <v>0</v>
      </c>
      <c r="AA101" s="38">
        <f t="shared" si="33"/>
        <v>0</v>
      </c>
      <c r="AB101" s="692">
        <f t="shared" si="26"/>
        <v>0</v>
      </c>
      <c r="AC101" s="692">
        <f t="shared" si="27"/>
        <v>2197.8000000000002</v>
      </c>
      <c r="AD101" s="692">
        <f t="shared" si="34"/>
        <v>0</v>
      </c>
      <c r="AE101" s="38"/>
      <c r="AF101" s="692">
        <f t="shared" si="35"/>
        <v>0</v>
      </c>
      <c r="AG101" s="692">
        <f t="shared" si="36"/>
        <v>0</v>
      </c>
      <c r="AH101" s="692">
        <f t="shared" si="37"/>
        <v>0</v>
      </c>
    </row>
    <row r="102" spans="1:34">
      <c r="A102" s="21"/>
      <c r="B102" s="21" t="s">
        <v>110</v>
      </c>
      <c r="C102" s="666"/>
      <c r="D102" s="68" t="s">
        <v>20</v>
      </c>
      <c r="E102" s="679"/>
      <c r="F102" s="529">
        <f>VLOOKUP(D102,'May 2012 DMV Revenue'!D:T,17,FALSE)</f>
        <v>0</v>
      </c>
      <c r="G102" s="680"/>
      <c r="H102" s="680"/>
      <c r="I102" s="755"/>
      <c r="J102" s="682">
        <f t="shared" si="28"/>
        <v>0</v>
      </c>
      <c r="K102" s="683"/>
      <c r="L102" s="684"/>
      <c r="M102" s="753"/>
      <c r="N102" s="683">
        <v>0</v>
      </c>
      <c r="O102" s="686"/>
      <c r="P102" s="683">
        <v>0</v>
      </c>
      <c r="Q102" s="687">
        <f t="shared" si="1"/>
        <v>0</v>
      </c>
      <c r="R102" s="688">
        <v>0</v>
      </c>
      <c r="S102" s="693"/>
      <c r="T102" s="690">
        <f t="shared" si="29"/>
        <v>0</v>
      </c>
      <c r="U102" s="683"/>
      <c r="V102" s="474">
        <f t="shared" si="30"/>
        <v>0</v>
      </c>
      <c r="W102" s="474">
        <f t="shared" si="31"/>
        <v>0</v>
      </c>
      <c r="X102" s="475">
        <f t="shared" si="32"/>
        <v>0</v>
      </c>
      <c r="Y102" s="475">
        <v>0</v>
      </c>
      <c r="Z102" s="476">
        <v>0</v>
      </c>
      <c r="AA102" s="38">
        <f t="shared" si="33"/>
        <v>0</v>
      </c>
      <c r="AB102" s="692">
        <f t="shared" si="26"/>
        <v>0</v>
      </c>
      <c r="AC102" s="692">
        <f t="shared" si="27"/>
        <v>0</v>
      </c>
      <c r="AD102" s="692">
        <f t="shared" si="34"/>
        <v>0</v>
      </c>
      <c r="AE102" s="38"/>
      <c r="AF102" s="692">
        <f t="shared" si="35"/>
        <v>0</v>
      </c>
      <c r="AG102" s="692">
        <f t="shared" si="36"/>
        <v>0</v>
      </c>
      <c r="AH102" s="692">
        <f t="shared" si="37"/>
        <v>0</v>
      </c>
    </row>
    <row r="103" spans="1:34">
      <c r="A103" s="21"/>
      <c r="B103" s="21" t="s">
        <v>110</v>
      </c>
      <c r="C103" s="666" t="s">
        <v>547</v>
      </c>
      <c r="D103" s="68" t="s">
        <v>203</v>
      </c>
      <c r="E103" s="679"/>
      <c r="F103" s="529">
        <f>VLOOKUP(D103,'May 2012 DMV Revenue'!D:T,17,FALSE)</f>
        <v>0</v>
      </c>
      <c r="G103" s="680"/>
      <c r="H103" s="680"/>
      <c r="I103" s="755"/>
      <c r="J103" s="682">
        <f>SUM(H103:I103)</f>
        <v>0</v>
      </c>
      <c r="K103" s="683"/>
      <c r="L103" s="684"/>
      <c r="M103" s="753"/>
      <c r="N103" s="683">
        <v>0</v>
      </c>
      <c r="O103" s="686"/>
      <c r="P103" s="683">
        <v>0</v>
      </c>
      <c r="Q103" s="687">
        <f t="shared" si="1"/>
        <v>0</v>
      </c>
      <c r="R103" s="688">
        <v>0</v>
      </c>
      <c r="S103" s="693"/>
      <c r="T103" s="690">
        <f t="shared" si="29"/>
        <v>0</v>
      </c>
      <c r="U103" s="683"/>
      <c r="V103" s="474">
        <f t="shared" si="30"/>
        <v>0</v>
      </c>
      <c r="W103" s="474">
        <f t="shared" si="31"/>
        <v>0</v>
      </c>
      <c r="X103" s="475">
        <f t="shared" si="32"/>
        <v>0</v>
      </c>
      <c r="Y103" s="475">
        <v>0</v>
      </c>
      <c r="Z103" s="476">
        <v>0</v>
      </c>
      <c r="AA103" s="38">
        <f t="shared" si="33"/>
        <v>0</v>
      </c>
      <c r="AB103" s="692">
        <f t="shared" si="26"/>
        <v>0</v>
      </c>
      <c r="AC103" s="692">
        <f t="shared" si="27"/>
        <v>0</v>
      </c>
      <c r="AD103" s="692">
        <f t="shared" si="34"/>
        <v>0</v>
      </c>
      <c r="AE103" s="38"/>
      <c r="AF103" s="692">
        <f t="shared" si="35"/>
        <v>0</v>
      </c>
      <c r="AG103" s="692">
        <f t="shared" si="36"/>
        <v>0</v>
      </c>
      <c r="AH103" s="692">
        <f t="shared" si="37"/>
        <v>0</v>
      </c>
    </row>
    <row r="104" spans="1:34">
      <c r="A104" s="21"/>
      <c r="B104" s="21" t="s">
        <v>110</v>
      </c>
      <c r="C104" s="666" t="s">
        <v>547</v>
      </c>
      <c r="D104" s="68" t="s">
        <v>202</v>
      </c>
      <c r="E104" s="679"/>
      <c r="F104" s="529">
        <f>VLOOKUP(D104,'May 2012 DMV Revenue'!D:T,17,FALSE)</f>
        <v>0</v>
      </c>
      <c r="G104" s="680"/>
      <c r="H104" s="680"/>
      <c r="I104" s="755"/>
      <c r="J104" s="682">
        <f t="shared" si="28"/>
        <v>0</v>
      </c>
      <c r="K104" s="683"/>
      <c r="L104" s="684"/>
      <c r="M104" s="753"/>
      <c r="N104" s="683">
        <v>0</v>
      </c>
      <c r="O104" s="686"/>
      <c r="P104" s="683">
        <v>0</v>
      </c>
      <c r="Q104" s="687">
        <f t="shared" si="1"/>
        <v>0</v>
      </c>
      <c r="R104" s="688">
        <v>0</v>
      </c>
      <c r="S104" s="693"/>
      <c r="T104" s="690">
        <f t="shared" si="29"/>
        <v>0</v>
      </c>
      <c r="U104" s="683"/>
      <c r="V104" s="474">
        <f t="shared" si="30"/>
        <v>0</v>
      </c>
      <c r="W104" s="474">
        <f t="shared" si="31"/>
        <v>0</v>
      </c>
      <c r="X104" s="475">
        <f t="shared" si="32"/>
        <v>0</v>
      </c>
      <c r="Y104" s="475">
        <v>0</v>
      </c>
      <c r="Z104" s="476">
        <v>0</v>
      </c>
      <c r="AA104" s="38">
        <f t="shared" si="33"/>
        <v>0</v>
      </c>
      <c r="AB104" s="692">
        <f t="shared" si="26"/>
        <v>0</v>
      </c>
      <c r="AC104" s="692">
        <f t="shared" si="27"/>
        <v>0</v>
      </c>
      <c r="AD104" s="692">
        <f t="shared" si="34"/>
        <v>0</v>
      </c>
      <c r="AE104" s="38"/>
      <c r="AF104" s="692">
        <f t="shared" si="35"/>
        <v>0</v>
      </c>
      <c r="AG104" s="692">
        <f t="shared" si="36"/>
        <v>0</v>
      </c>
      <c r="AH104" s="692">
        <f t="shared" si="37"/>
        <v>0</v>
      </c>
    </row>
    <row r="105" spans="1:34">
      <c r="A105" s="20" t="s">
        <v>211</v>
      </c>
      <c r="B105" s="20" t="s">
        <v>110</v>
      </c>
      <c r="C105" s="667"/>
      <c r="D105" s="373" t="s">
        <v>466</v>
      </c>
      <c r="E105" s="679">
        <f>910.14+1208.39+1375.19+1078.21</f>
        <v>4571.93</v>
      </c>
      <c r="F105" s="529">
        <f>VLOOKUP(D105,'May 2012 DMV Revenue'!D:T,17,FALSE)</f>
        <v>777.63</v>
      </c>
      <c r="G105" s="680"/>
      <c r="H105" s="680"/>
      <c r="I105" s="770">
        <v>1003.57</v>
      </c>
      <c r="J105" s="682">
        <f t="shared" si="28"/>
        <v>6353.13</v>
      </c>
      <c r="K105" s="683"/>
      <c r="L105" s="684"/>
      <c r="M105" s="753"/>
      <c r="N105" s="683">
        <v>0</v>
      </c>
      <c r="O105" s="686"/>
      <c r="P105" s="683">
        <v>0</v>
      </c>
      <c r="Q105" s="687">
        <f t="shared" si="1"/>
        <v>0</v>
      </c>
      <c r="R105" s="688">
        <v>0</v>
      </c>
      <c r="S105" s="693"/>
      <c r="T105" s="690">
        <f t="shared" si="29"/>
        <v>0</v>
      </c>
      <c r="U105" s="683"/>
      <c r="V105" s="474">
        <f t="shared" si="30"/>
        <v>0</v>
      </c>
      <c r="W105" s="474">
        <f t="shared" si="31"/>
        <v>0</v>
      </c>
      <c r="X105" s="475">
        <f t="shared" si="32"/>
        <v>0</v>
      </c>
      <c r="Y105" s="475">
        <v>0</v>
      </c>
      <c r="Z105" s="476">
        <v>0</v>
      </c>
      <c r="AA105" s="38">
        <f t="shared" si="33"/>
        <v>0</v>
      </c>
      <c r="AB105" s="692">
        <f t="shared" si="26"/>
        <v>6353.13</v>
      </c>
      <c r="AC105" s="692">
        <f t="shared" si="27"/>
        <v>0</v>
      </c>
      <c r="AD105" s="692">
        <f t="shared" si="34"/>
        <v>0</v>
      </c>
      <c r="AE105" s="38"/>
      <c r="AF105" s="692">
        <f t="shared" si="35"/>
        <v>0</v>
      </c>
      <c r="AG105" s="692">
        <f t="shared" si="36"/>
        <v>0</v>
      </c>
      <c r="AH105" s="692">
        <f t="shared" si="37"/>
        <v>0</v>
      </c>
    </row>
    <row r="106" spans="1:34">
      <c r="A106" s="20"/>
      <c r="B106" s="20" t="s">
        <v>110</v>
      </c>
      <c r="C106" s="667"/>
      <c r="D106" s="373" t="s">
        <v>627</v>
      </c>
      <c r="E106" s="679"/>
      <c r="F106" s="529">
        <f>VLOOKUP(D106,'May 2012 DMV Revenue'!D:T,17,FALSE)</f>
        <v>0</v>
      </c>
      <c r="G106" s="680"/>
      <c r="H106" s="680"/>
      <c r="I106" s="755"/>
      <c r="J106" s="682">
        <f t="shared" si="28"/>
        <v>0</v>
      </c>
      <c r="K106" s="683"/>
      <c r="L106" s="684"/>
      <c r="M106" s="753"/>
      <c r="N106" s="683">
        <v>0</v>
      </c>
      <c r="O106" s="686"/>
      <c r="P106" s="683">
        <v>0</v>
      </c>
      <c r="Q106" s="687">
        <f t="shared" si="1"/>
        <v>0</v>
      </c>
      <c r="R106" s="688">
        <v>0</v>
      </c>
      <c r="S106" s="693"/>
      <c r="T106" s="690">
        <f t="shared" si="29"/>
        <v>0</v>
      </c>
      <c r="U106" s="683"/>
      <c r="V106" s="474">
        <f t="shared" si="30"/>
        <v>0</v>
      </c>
      <c r="W106" s="474">
        <f t="shared" si="31"/>
        <v>0</v>
      </c>
      <c r="X106" s="475">
        <f t="shared" si="32"/>
        <v>0</v>
      </c>
      <c r="Y106" s="475">
        <v>0</v>
      </c>
      <c r="Z106" s="476">
        <v>0</v>
      </c>
      <c r="AA106" s="38">
        <f t="shared" si="33"/>
        <v>0</v>
      </c>
      <c r="AB106" s="692">
        <f t="shared" si="26"/>
        <v>0</v>
      </c>
      <c r="AC106" s="692">
        <f t="shared" si="27"/>
        <v>0</v>
      </c>
      <c r="AD106" s="692">
        <f t="shared" si="34"/>
        <v>0</v>
      </c>
      <c r="AE106" s="38"/>
      <c r="AF106" s="692">
        <f t="shared" si="35"/>
        <v>0</v>
      </c>
      <c r="AG106" s="692">
        <f t="shared" si="36"/>
        <v>0</v>
      </c>
      <c r="AH106" s="692">
        <f t="shared" si="37"/>
        <v>0</v>
      </c>
    </row>
    <row r="107" spans="1:34" s="232" customFormat="1">
      <c r="A107" s="283"/>
      <c r="B107" s="283" t="s">
        <v>110</v>
      </c>
      <c r="C107" s="667"/>
      <c r="D107" s="123" t="s">
        <v>386</v>
      </c>
      <c r="E107" s="679"/>
      <c r="F107" s="529">
        <f>VLOOKUP(D107,'May 2012 DMV Revenue'!D:T,17,FALSE)</f>
        <v>0</v>
      </c>
      <c r="G107" s="680"/>
      <c r="H107" s="680"/>
      <c r="I107" s="770">
        <v>2242671.5</v>
      </c>
      <c r="J107" s="682">
        <f t="shared" si="28"/>
        <v>2242671.5</v>
      </c>
      <c r="K107" s="683"/>
      <c r="L107" s="684"/>
      <c r="M107" s="753"/>
      <c r="N107" s="683">
        <v>0</v>
      </c>
      <c r="O107" s="686"/>
      <c r="P107" s="683">
        <v>0</v>
      </c>
      <c r="Q107" s="687">
        <f t="shared" si="1"/>
        <v>0</v>
      </c>
      <c r="R107" s="688">
        <v>0</v>
      </c>
      <c r="S107" s="693"/>
      <c r="T107" s="690">
        <f t="shared" si="29"/>
        <v>0</v>
      </c>
      <c r="U107" s="683"/>
      <c r="V107" s="474">
        <f t="shared" si="30"/>
        <v>0</v>
      </c>
      <c r="W107" s="474">
        <f t="shared" si="31"/>
        <v>0</v>
      </c>
      <c r="X107" s="475">
        <f t="shared" si="32"/>
        <v>0</v>
      </c>
      <c r="Y107" s="475">
        <v>0</v>
      </c>
      <c r="Z107" s="476">
        <v>0</v>
      </c>
      <c r="AA107" s="38">
        <f t="shared" si="33"/>
        <v>0</v>
      </c>
      <c r="AB107" s="692">
        <f t="shared" si="26"/>
        <v>2242671.5</v>
      </c>
      <c r="AC107" s="692">
        <f t="shared" si="27"/>
        <v>0</v>
      </c>
      <c r="AD107" s="692">
        <f t="shared" si="34"/>
        <v>0</v>
      </c>
      <c r="AE107" s="38"/>
      <c r="AF107" s="692">
        <f t="shared" si="35"/>
        <v>0</v>
      </c>
      <c r="AG107" s="692">
        <f t="shared" si="36"/>
        <v>0</v>
      </c>
      <c r="AH107" s="692">
        <f t="shared" si="37"/>
        <v>0</v>
      </c>
    </row>
    <row r="108" spans="1:34" s="232" customFormat="1">
      <c r="A108" s="283"/>
      <c r="B108" s="283" t="s">
        <v>110</v>
      </c>
      <c r="C108" s="667"/>
      <c r="D108" s="123" t="s">
        <v>331</v>
      </c>
      <c r="E108" s="679"/>
      <c r="F108" s="529">
        <f>VLOOKUP(D108,'May 2012 DMV Revenue'!D:T,17,FALSE)</f>
        <v>0</v>
      </c>
      <c r="G108" s="680"/>
      <c r="H108" s="680"/>
      <c r="I108" s="770">
        <v>26176.05</v>
      </c>
      <c r="J108" s="682">
        <f t="shared" si="28"/>
        <v>26176.05</v>
      </c>
      <c r="K108" s="683"/>
      <c r="L108" s="684"/>
      <c r="M108" s="753"/>
      <c r="N108" s="683">
        <v>0</v>
      </c>
      <c r="O108" s="686"/>
      <c r="P108" s="683">
        <v>0</v>
      </c>
      <c r="Q108" s="687">
        <f t="shared" si="1"/>
        <v>0</v>
      </c>
      <c r="R108" s="688">
        <v>0</v>
      </c>
      <c r="S108" s="693"/>
      <c r="T108" s="690">
        <f t="shared" si="29"/>
        <v>0</v>
      </c>
      <c r="U108" s="683"/>
      <c r="V108" s="474">
        <f t="shared" si="30"/>
        <v>0</v>
      </c>
      <c r="W108" s="474">
        <f t="shared" si="31"/>
        <v>0</v>
      </c>
      <c r="X108" s="475">
        <f t="shared" si="32"/>
        <v>0</v>
      </c>
      <c r="Y108" s="475">
        <v>0</v>
      </c>
      <c r="Z108" s="476">
        <v>0</v>
      </c>
      <c r="AA108" s="38">
        <f t="shared" si="33"/>
        <v>0</v>
      </c>
      <c r="AB108" s="692">
        <f t="shared" si="26"/>
        <v>26176.05</v>
      </c>
      <c r="AC108" s="692">
        <f t="shared" si="27"/>
        <v>0</v>
      </c>
      <c r="AD108" s="692">
        <f t="shared" si="34"/>
        <v>0</v>
      </c>
      <c r="AE108" s="38"/>
      <c r="AF108" s="692">
        <f t="shared" si="35"/>
        <v>0</v>
      </c>
      <c r="AG108" s="692">
        <f t="shared" si="36"/>
        <v>0</v>
      </c>
      <c r="AH108" s="692">
        <f t="shared" si="37"/>
        <v>0</v>
      </c>
    </row>
    <row r="109" spans="1:34" s="232" customFormat="1">
      <c r="A109" s="283"/>
      <c r="B109" s="283" t="s">
        <v>110</v>
      </c>
      <c r="C109" s="667"/>
      <c r="D109" s="413" t="s">
        <v>332</v>
      </c>
      <c r="E109" s="679"/>
      <c r="F109" s="529">
        <f>VLOOKUP(D109,'May 2012 DMV Revenue'!D:T,17,FALSE)</f>
        <v>0</v>
      </c>
      <c r="G109" s="680"/>
      <c r="H109" s="680"/>
      <c r="I109" s="770">
        <f>1159963.44+8553.35</f>
        <v>1168516.79</v>
      </c>
      <c r="J109" s="682">
        <f t="shared" si="28"/>
        <v>1168516.79</v>
      </c>
      <c r="K109" s="683"/>
      <c r="L109" s="684"/>
      <c r="M109" s="753"/>
      <c r="N109" s="683">
        <v>0</v>
      </c>
      <c r="O109" s="686"/>
      <c r="P109" s="683">
        <v>0</v>
      </c>
      <c r="Q109" s="687">
        <f t="shared" si="1"/>
        <v>0</v>
      </c>
      <c r="R109" s="688">
        <v>0</v>
      </c>
      <c r="S109" s="693"/>
      <c r="T109" s="690">
        <f t="shared" si="29"/>
        <v>0</v>
      </c>
      <c r="U109" s="683"/>
      <c r="V109" s="474">
        <f t="shared" si="30"/>
        <v>0</v>
      </c>
      <c r="W109" s="474">
        <f t="shared" si="31"/>
        <v>0</v>
      </c>
      <c r="X109" s="475">
        <f t="shared" si="32"/>
        <v>0</v>
      </c>
      <c r="Y109" s="475">
        <v>0</v>
      </c>
      <c r="Z109" s="476">
        <v>0</v>
      </c>
      <c r="AA109" s="38">
        <f t="shared" si="33"/>
        <v>0</v>
      </c>
      <c r="AB109" s="692">
        <f t="shared" si="26"/>
        <v>1168516.79</v>
      </c>
      <c r="AC109" s="692">
        <f t="shared" si="27"/>
        <v>0</v>
      </c>
      <c r="AD109" s="692">
        <f t="shared" si="34"/>
        <v>0</v>
      </c>
      <c r="AE109" s="38"/>
      <c r="AF109" s="692">
        <f t="shared" si="35"/>
        <v>0</v>
      </c>
      <c r="AG109" s="692">
        <f t="shared" si="36"/>
        <v>0</v>
      </c>
      <c r="AH109" s="692">
        <f t="shared" si="37"/>
        <v>0</v>
      </c>
    </row>
    <row r="110" spans="1:34" s="232" customFormat="1">
      <c r="A110" s="283"/>
      <c r="B110" s="283" t="s">
        <v>110</v>
      </c>
      <c r="C110" s="667"/>
      <c r="D110" s="123" t="s">
        <v>333</v>
      </c>
      <c r="E110" s="679"/>
      <c r="F110" s="529">
        <f>VLOOKUP(D110,'May 2012 DMV Revenue'!D:T,17,FALSE)</f>
        <v>0</v>
      </c>
      <c r="G110" s="680"/>
      <c r="H110" s="680"/>
      <c r="I110" s="770">
        <v>780.71</v>
      </c>
      <c r="J110" s="682">
        <f t="shared" si="28"/>
        <v>780.71</v>
      </c>
      <c r="K110" s="683"/>
      <c r="L110" s="684"/>
      <c r="M110" s="753"/>
      <c r="N110" s="683">
        <v>0</v>
      </c>
      <c r="O110" s="686"/>
      <c r="P110" s="683">
        <v>0</v>
      </c>
      <c r="Q110" s="687">
        <f t="shared" si="1"/>
        <v>0</v>
      </c>
      <c r="R110" s="688">
        <v>0</v>
      </c>
      <c r="S110" s="693"/>
      <c r="T110" s="690">
        <f t="shared" si="29"/>
        <v>0</v>
      </c>
      <c r="U110" s="683"/>
      <c r="V110" s="474">
        <f t="shared" si="30"/>
        <v>0</v>
      </c>
      <c r="W110" s="474">
        <f t="shared" si="31"/>
        <v>0</v>
      </c>
      <c r="X110" s="475">
        <f t="shared" si="32"/>
        <v>0</v>
      </c>
      <c r="Y110" s="475">
        <v>0</v>
      </c>
      <c r="Z110" s="476">
        <v>0</v>
      </c>
      <c r="AA110" s="38">
        <f t="shared" si="33"/>
        <v>0</v>
      </c>
      <c r="AB110" s="692">
        <f t="shared" si="26"/>
        <v>780.71</v>
      </c>
      <c r="AC110" s="692">
        <f t="shared" si="27"/>
        <v>0</v>
      </c>
      <c r="AD110" s="692">
        <f t="shared" si="34"/>
        <v>0</v>
      </c>
      <c r="AE110" s="38"/>
      <c r="AF110" s="692">
        <f t="shared" si="35"/>
        <v>0</v>
      </c>
      <c r="AG110" s="692">
        <f t="shared" si="36"/>
        <v>0</v>
      </c>
      <c r="AH110" s="692">
        <f t="shared" si="37"/>
        <v>0</v>
      </c>
    </row>
    <row r="111" spans="1:34" s="232" customFormat="1">
      <c r="A111" s="283"/>
      <c r="B111" s="283" t="s">
        <v>110</v>
      </c>
      <c r="C111" s="667"/>
      <c r="D111" s="123" t="s">
        <v>334</v>
      </c>
      <c r="E111" s="679"/>
      <c r="F111" s="529">
        <f>VLOOKUP(D111,'May 2012 DMV Revenue'!D:T,17,FALSE)</f>
        <v>0</v>
      </c>
      <c r="G111" s="680"/>
      <c r="H111" s="680"/>
      <c r="I111" s="770">
        <v>257591.35</v>
      </c>
      <c r="J111" s="682">
        <f t="shared" si="28"/>
        <v>257591.35</v>
      </c>
      <c r="K111" s="683"/>
      <c r="L111" s="684"/>
      <c r="M111" s="753"/>
      <c r="N111" s="683">
        <v>0</v>
      </c>
      <c r="O111" s="686"/>
      <c r="P111" s="683">
        <v>0</v>
      </c>
      <c r="Q111" s="687">
        <f t="shared" si="1"/>
        <v>0</v>
      </c>
      <c r="R111" s="688">
        <v>0</v>
      </c>
      <c r="S111" s="693"/>
      <c r="T111" s="690">
        <f t="shared" si="29"/>
        <v>0</v>
      </c>
      <c r="U111" s="683"/>
      <c r="V111" s="474">
        <f t="shared" si="30"/>
        <v>0</v>
      </c>
      <c r="W111" s="474">
        <f t="shared" si="31"/>
        <v>0</v>
      </c>
      <c r="X111" s="475">
        <f t="shared" si="32"/>
        <v>0</v>
      </c>
      <c r="Y111" s="475">
        <v>0</v>
      </c>
      <c r="Z111" s="476">
        <v>0</v>
      </c>
      <c r="AA111" s="38">
        <f t="shared" si="33"/>
        <v>0</v>
      </c>
      <c r="AB111" s="692">
        <f t="shared" si="26"/>
        <v>257591.35</v>
      </c>
      <c r="AC111" s="692">
        <f t="shared" si="27"/>
        <v>0</v>
      </c>
      <c r="AD111" s="692">
        <f t="shared" si="34"/>
        <v>0</v>
      </c>
      <c r="AE111" s="38"/>
      <c r="AF111" s="692">
        <f t="shared" si="35"/>
        <v>0</v>
      </c>
      <c r="AG111" s="692">
        <f t="shared" si="36"/>
        <v>0</v>
      </c>
      <c r="AH111" s="692">
        <f t="shared" si="37"/>
        <v>0</v>
      </c>
    </row>
    <row r="112" spans="1:34" s="232" customFormat="1">
      <c r="A112" s="283"/>
      <c r="B112" s="283" t="s">
        <v>110</v>
      </c>
      <c r="C112" s="667"/>
      <c r="D112" s="123" t="s">
        <v>335</v>
      </c>
      <c r="E112" s="679"/>
      <c r="F112" s="529">
        <f>VLOOKUP(D112,'May 2012 DMV Revenue'!D:T,17,FALSE)</f>
        <v>0</v>
      </c>
      <c r="G112" s="680"/>
      <c r="H112" s="680"/>
      <c r="I112" s="770">
        <v>674.25</v>
      </c>
      <c r="J112" s="682">
        <f t="shared" si="28"/>
        <v>674.25</v>
      </c>
      <c r="K112" s="683"/>
      <c r="L112" s="684"/>
      <c r="M112" s="753"/>
      <c r="N112" s="683">
        <v>0</v>
      </c>
      <c r="O112" s="686"/>
      <c r="P112" s="683">
        <v>0</v>
      </c>
      <c r="Q112" s="687">
        <f t="shared" si="1"/>
        <v>0</v>
      </c>
      <c r="R112" s="688">
        <v>0</v>
      </c>
      <c r="S112" s="693"/>
      <c r="T112" s="690">
        <f t="shared" si="29"/>
        <v>0</v>
      </c>
      <c r="U112" s="683"/>
      <c r="V112" s="474">
        <f t="shared" si="30"/>
        <v>0</v>
      </c>
      <c r="W112" s="474">
        <f t="shared" si="31"/>
        <v>0</v>
      </c>
      <c r="X112" s="475">
        <f t="shared" si="32"/>
        <v>0</v>
      </c>
      <c r="Y112" s="475">
        <v>0</v>
      </c>
      <c r="Z112" s="476">
        <v>0</v>
      </c>
      <c r="AA112" s="38">
        <f t="shared" si="33"/>
        <v>0</v>
      </c>
      <c r="AB112" s="692">
        <f t="shared" si="26"/>
        <v>674.25</v>
      </c>
      <c r="AC112" s="692">
        <f t="shared" si="27"/>
        <v>0</v>
      </c>
      <c r="AD112" s="692">
        <f t="shared" si="34"/>
        <v>0</v>
      </c>
      <c r="AE112" s="38"/>
      <c r="AF112" s="692">
        <f t="shared" si="35"/>
        <v>0</v>
      </c>
      <c r="AG112" s="692">
        <f t="shared" si="36"/>
        <v>0</v>
      </c>
      <c r="AH112" s="692">
        <f t="shared" si="37"/>
        <v>0</v>
      </c>
    </row>
    <row r="113" spans="1:34" s="232" customFormat="1">
      <c r="A113" s="283"/>
      <c r="B113" s="283" t="s">
        <v>110</v>
      </c>
      <c r="C113" s="667"/>
      <c r="D113" s="123" t="s">
        <v>336</v>
      </c>
      <c r="E113" s="679"/>
      <c r="F113" s="529">
        <f>VLOOKUP(D113,'May 2012 DMV Revenue'!D:T,17,FALSE)</f>
        <v>0</v>
      </c>
      <c r="G113" s="680"/>
      <c r="H113" s="680"/>
      <c r="I113" s="770">
        <v>318248.05</v>
      </c>
      <c r="J113" s="682">
        <f t="shared" si="28"/>
        <v>318248.05</v>
      </c>
      <c r="K113" s="683"/>
      <c r="L113" s="684"/>
      <c r="M113" s="753"/>
      <c r="N113" s="683">
        <v>0</v>
      </c>
      <c r="O113" s="686"/>
      <c r="P113" s="683">
        <v>0</v>
      </c>
      <c r="Q113" s="687">
        <f t="shared" si="1"/>
        <v>0</v>
      </c>
      <c r="R113" s="688">
        <v>0</v>
      </c>
      <c r="S113" s="693"/>
      <c r="T113" s="690">
        <f t="shared" si="29"/>
        <v>0</v>
      </c>
      <c r="U113" s="683"/>
      <c r="V113" s="474">
        <f t="shared" si="30"/>
        <v>0</v>
      </c>
      <c r="W113" s="474">
        <f t="shared" si="31"/>
        <v>0</v>
      </c>
      <c r="X113" s="475">
        <f t="shared" si="32"/>
        <v>0</v>
      </c>
      <c r="Y113" s="475">
        <v>0</v>
      </c>
      <c r="Z113" s="476">
        <v>0</v>
      </c>
      <c r="AA113" s="38">
        <f t="shared" si="33"/>
        <v>0</v>
      </c>
      <c r="AB113" s="692">
        <f t="shared" si="26"/>
        <v>318248.05</v>
      </c>
      <c r="AC113" s="692">
        <f t="shared" si="27"/>
        <v>0</v>
      </c>
      <c r="AD113" s="692">
        <f t="shared" si="34"/>
        <v>0</v>
      </c>
      <c r="AE113" s="38"/>
      <c r="AF113" s="692">
        <f t="shared" si="35"/>
        <v>0</v>
      </c>
      <c r="AG113" s="692">
        <f t="shared" si="36"/>
        <v>0</v>
      </c>
      <c r="AH113" s="692">
        <f t="shared" si="37"/>
        <v>0</v>
      </c>
    </row>
    <row r="114" spans="1:34" s="232" customFormat="1">
      <c r="A114" s="283"/>
      <c r="B114" s="283" t="s">
        <v>110</v>
      </c>
      <c r="C114" s="667"/>
      <c r="D114" s="123" t="s">
        <v>337</v>
      </c>
      <c r="E114" s="679"/>
      <c r="F114" s="529">
        <f>VLOOKUP(D114,'May 2012 DMV Revenue'!D:T,17,FALSE)</f>
        <v>0</v>
      </c>
      <c r="G114" s="680"/>
      <c r="H114" s="680"/>
      <c r="I114" s="770">
        <v>752.86</v>
      </c>
      <c r="J114" s="682">
        <f t="shared" si="28"/>
        <v>752.86</v>
      </c>
      <c r="K114" s="683"/>
      <c r="L114" s="684"/>
      <c r="M114" s="753"/>
      <c r="N114" s="683">
        <v>0</v>
      </c>
      <c r="O114" s="686"/>
      <c r="P114" s="683">
        <v>0</v>
      </c>
      <c r="Q114" s="687">
        <f t="shared" si="1"/>
        <v>0</v>
      </c>
      <c r="R114" s="688">
        <v>0</v>
      </c>
      <c r="S114" s="693"/>
      <c r="T114" s="690">
        <f t="shared" si="29"/>
        <v>0</v>
      </c>
      <c r="U114" s="683"/>
      <c r="V114" s="474">
        <f t="shared" si="30"/>
        <v>0</v>
      </c>
      <c r="W114" s="474">
        <f t="shared" si="31"/>
        <v>0</v>
      </c>
      <c r="X114" s="475">
        <f t="shared" si="32"/>
        <v>0</v>
      </c>
      <c r="Y114" s="475">
        <v>0</v>
      </c>
      <c r="Z114" s="476">
        <v>0</v>
      </c>
      <c r="AA114" s="38">
        <f t="shared" si="33"/>
        <v>0</v>
      </c>
      <c r="AB114" s="692">
        <f t="shared" si="26"/>
        <v>752.86</v>
      </c>
      <c r="AC114" s="692">
        <f t="shared" si="27"/>
        <v>0</v>
      </c>
      <c r="AD114" s="692">
        <f t="shared" si="34"/>
        <v>0</v>
      </c>
      <c r="AE114" s="38"/>
      <c r="AF114" s="692">
        <f t="shared" si="35"/>
        <v>0</v>
      </c>
      <c r="AG114" s="692">
        <f t="shared" si="36"/>
        <v>0</v>
      </c>
      <c r="AH114" s="692">
        <f t="shared" si="37"/>
        <v>0</v>
      </c>
    </row>
    <row r="115" spans="1:34" s="232" customFormat="1">
      <c r="A115" s="283"/>
      <c r="B115" s="283" t="s">
        <v>110</v>
      </c>
      <c r="C115" s="667"/>
      <c r="D115" s="123" t="s">
        <v>338</v>
      </c>
      <c r="E115" s="679"/>
      <c r="F115" s="529">
        <f>VLOOKUP(D115,'May 2012 DMV Revenue'!D:T,17,FALSE)</f>
        <v>0</v>
      </c>
      <c r="G115" s="680"/>
      <c r="H115" s="680"/>
      <c r="I115" s="770">
        <v>90933.22</v>
      </c>
      <c r="J115" s="682">
        <f t="shared" si="28"/>
        <v>90933.22</v>
      </c>
      <c r="K115" s="683"/>
      <c r="L115" s="684"/>
      <c r="M115" s="753"/>
      <c r="N115" s="683">
        <v>0</v>
      </c>
      <c r="O115" s="686"/>
      <c r="P115" s="683">
        <v>0</v>
      </c>
      <c r="Q115" s="687">
        <f t="shared" si="1"/>
        <v>0</v>
      </c>
      <c r="R115" s="688">
        <v>0</v>
      </c>
      <c r="S115" s="693"/>
      <c r="T115" s="690">
        <f t="shared" si="29"/>
        <v>0</v>
      </c>
      <c r="U115" s="683"/>
      <c r="V115" s="474">
        <f t="shared" si="30"/>
        <v>0</v>
      </c>
      <c r="W115" s="474">
        <f t="shared" si="31"/>
        <v>0</v>
      </c>
      <c r="X115" s="475">
        <f t="shared" si="32"/>
        <v>0</v>
      </c>
      <c r="Y115" s="475">
        <v>0</v>
      </c>
      <c r="Z115" s="476">
        <v>0</v>
      </c>
      <c r="AA115" s="38">
        <f t="shared" si="33"/>
        <v>0</v>
      </c>
      <c r="AB115" s="692">
        <f t="shared" si="26"/>
        <v>90933.22</v>
      </c>
      <c r="AC115" s="692">
        <f t="shared" si="27"/>
        <v>0</v>
      </c>
      <c r="AD115" s="692">
        <f t="shared" si="34"/>
        <v>0</v>
      </c>
      <c r="AE115" s="38"/>
      <c r="AF115" s="692">
        <f t="shared" si="35"/>
        <v>0</v>
      </c>
      <c r="AG115" s="692">
        <f t="shared" si="36"/>
        <v>0</v>
      </c>
      <c r="AH115" s="692">
        <f t="shared" si="37"/>
        <v>0</v>
      </c>
    </row>
    <row r="116" spans="1:34" s="232" customFormat="1">
      <c r="A116" s="283"/>
      <c r="B116" s="283" t="s">
        <v>110</v>
      </c>
      <c r="C116" s="667"/>
      <c r="D116" s="123" t="s">
        <v>339</v>
      </c>
      <c r="E116" s="679"/>
      <c r="F116" s="529">
        <f>VLOOKUP(D116,'May 2012 DMV Revenue'!D:T,17,FALSE)</f>
        <v>0</v>
      </c>
      <c r="G116" s="680"/>
      <c r="H116" s="680"/>
      <c r="I116" s="770">
        <v>74330.75</v>
      </c>
      <c r="J116" s="682">
        <f t="shared" si="28"/>
        <v>74330.75</v>
      </c>
      <c r="K116" s="683"/>
      <c r="L116" s="684"/>
      <c r="M116" s="753"/>
      <c r="N116" s="683">
        <v>0</v>
      </c>
      <c r="O116" s="686"/>
      <c r="P116" s="683">
        <v>0</v>
      </c>
      <c r="Q116" s="687">
        <f t="shared" si="1"/>
        <v>0</v>
      </c>
      <c r="R116" s="688">
        <v>0</v>
      </c>
      <c r="S116" s="693"/>
      <c r="T116" s="690">
        <f t="shared" si="29"/>
        <v>0</v>
      </c>
      <c r="U116" s="683"/>
      <c r="V116" s="474">
        <f t="shared" si="30"/>
        <v>0</v>
      </c>
      <c r="W116" s="474">
        <f t="shared" si="31"/>
        <v>0</v>
      </c>
      <c r="X116" s="475">
        <f t="shared" si="32"/>
        <v>0</v>
      </c>
      <c r="Y116" s="475">
        <v>0</v>
      </c>
      <c r="Z116" s="476">
        <v>0</v>
      </c>
      <c r="AA116" s="38">
        <f t="shared" si="33"/>
        <v>0</v>
      </c>
      <c r="AB116" s="692">
        <f t="shared" si="26"/>
        <v>74330.75</v>
      </c>
      <c r="AC116" s="692">
        <f t="shared" si="27"/>
        <v>0</v>
      </c>
      <c r="AD116" s="692">
        <f t="shared" si="34"/>
        <v>0</v>
      </c>
      <c r="AE116" s="38"/>
      <c r="AF116" s="692">
        <f t="shared" si="35"/>
        <v>0</v>
      </c>
      <c r="AG116" s="692">
        <f t="shared" si="36"/>
        <v>0</v>
      </c>
      <c r="AH116" s="692">
        <f t="shared" si="37"/>
        <v>0</v>
      </c>
    </row>
    <row r="117" spans="1:34" s="232" customFormat="1">
      <c r="A117" s="283"/>
      <c r="B117" s="283" t="s">
        <v>110</v>
      </c>
      <c r="C117" s="667"/>
      <c r="D117" s="123" t="s">
        <v>340</v>
      </c>
      <c r="E117" s="679"/>
      <c r="F117" s="529">
        <f>VLOOKUP(D117,'May 2012 DMV Revenue'!D:T,17,FALSE)</f>
        <v>0</v>
      </c>
      <c r="G117" s="680"/>
      <c r="H117" s="680"/>
      <c r="I117" s="770">
        <v>94.35</v>
      </c>
      <c r="J117" s="682">
        <f t="shared" si="28"/>
        <v>94.35</v>
      </c>
      <c r="K117" s="683"/>
      <c r="L117" s="684"/>
      <c r="M117" s="753"/>
      <c r="N117" s="683">
        <v>0</v>
      </c>
      <c r="O117" s="686"/>
      <c r="P117" s="683">
        <v>0</v>
      </c>
      <c r="Q117" s="687">
        <f t="shared" si="1"/>
        <v>0</v>
      </c>
      <c r="R117" s="688">
        <v>0</v>
      </c>
      <c r="S117" s="693"/>
      <c r="T117" s="690">
        <f t="shared" si="29"/>
        <v>0</v>
      </c>
      <c r="U117" s="683"/>
      <c r="V117" s="474">
        <f t="shared" si="30"/>
        <v>0</v>
      </c>
      <c r="W117" s="474">
        <f t="shared" si="31"/>
        <v>0</v>
      </c>
      <c r="X117" s="475">
        <f t="shared" si="32"/>
        <v>0</v>
      </c>
      <c r="Y117" s="475">
        <v>0</v>
      </c>
      <c r="Z117" s="476">
        <v>0</v>
      </c>
      <c r="AA117" s="38">
        <f t="shared" si="33"/>
        <v>0</v>
      </c>
      <c r="AB117" s="692">
        <f t="shared" si="26"/>
        <v>94.35</v>
      </c>
      <c r="AC117" s="692">
        <f t="shared" si="27"/>
        <v>0</v>
      </c>
      <c r="AD117" s="692">
        <f t="shared" si="34"/>
        <v>0</v>
      </c>
      <c r="AE117" s="38"/>
      <c r="AF117" s="692">
        <f t="shared" si="35"/>
        <v>0</v>
      </c>
      <c r="AG117" s="692">
        <f t="shared" si="36"/>
        <v>0</v>
      </c>
      <c r="AH117" s="692">
        <f t="shared" si="37"/>
        <v>0</v>
      </c>
    </row>
    <row r="118" spans="1:34" s="232" customFormat="1">
      <c r="A118" s="283"/>
      <c r="B118" s="283" t="s">
        <v>110</v>
      </c>
      <c r="C118" s="667"/>
      <c r="D118" s="123" t="s">
        <v>439</v>
      </c>
      <c r="E118" s="679"/>
      <c r="F118" s="529">
        <f>VLOOKUP(D118,'May 2012 DMV Revenue'!D:T,17,FALSE)</f>
        <v>0</v>
      </c>
      <c r="G118" s="680"/>
      <c r="H118" s="680"/>
      <c r="I118" s="770">
        <v>1794.53</v>
      </c>
      <c r="J118" s="682">
        <f t="shared" si="28"/>
        <v>1794.53</v>
      </c>
      <c r="K118" s="683"/>
      <c r="L118" s="684"/>
      <c r="M118" s="753"/>
      <c r="N118" s="683">
        <v>0</v>
      </c>
      <c r="O118" s="686"/>
      <c r="P118" s="683">
        <v>0</v>
      </c>
      <c r="Q118" s="687">
        <f t="shared" si="1"/>
        <v>0</v>
      </c>
      <c r="R118" s="688">
        <v>0</v>
      </c>
      <c r="S118" s="693"/>
      <c r="T118" s="690">
        <f t="shared" si="29"/>
        <v>0</v>
      </c>
      <c r="U118" s="683"/>
      <c r="V118" s="474">
        <f t="shared" si="30"/>
        <v>0</v>
      </c>
      <c r="W118" s="474">
        <f t="shared" si="31"/>
        <v>0</v>
      </c>
      <c r="X118" s="475">
        <f t="shared" si="32"/>
        <v>0</v>
      </c>
      <c r="Y118" s="475">
        <v>0</v>
      </c>
      <c r="Z118" s="476">
        <v>0</v>
      </c>
      <c r="AA118" s="38">
        <f t="shared" si="33"/>
        <v>0</v>
      </c>
      <c r="AB118" s="692">
        <f t="shared" si="26"/>
        <v>1794.53</v>
      </c>
      <c r="AC118" s="692">
        <f t="shared" si="27"/>
        <v>0</v>
      </c>
      <c r="AD118" s="692">
        <f t="shared" si="34"/>
        <v>0</v>
      </c>
      <c r="AE118" s="38"/>
      <c r="AF118" s="692">
        <f t="shared" si="35"/>
        <v>0</v>
      </c>
      <c r="AG118" s="692">
        <f t="shared" si="36"/>
        <v>0</v>
      </c>
      <c r="AH118" s="692">
        <f t="shared" si="37"/>
        <v>0</v>
      </c>
    </row>
    <row r="119" spans="1:34" s="232" customFormat="1">
      <c r="A119" s="283"/>
      <c r="B119" s="283" t="s">
        <v>110</v>
      </c>
      <c r="C119" s="667"/>
      <c r="D119" s="123" t="s">
        <v>592</v>
      </c>
      <c r="E119" s="679"/>
      <c r="F119" s="529">
        <f>VLOOKUP(D119,'May 2012 DMV Revenue'!D:T,17,FALSE)</f>
        <v>0</v>
      </c>
      <c r="G119" s="680"/>
      <c r="H119" s="680"/>
      <c r="I119" s="770">
        <v>516.71</v>
      </c>
      <c r="J119" s="682">
        <f t="shared" si="28"/>
        <v>516.71</v>
      </c>
      <c r="K119" s="683"/>
      <c r="L119" s="684"/>
      <c r="M119" s="753"/>
      <c r="N119" s="683">
        <v>0</v>
      </c>
      <c r="O119" s="686"/>
      <c r="P119" s="683">
        <v>0</v>
      </c>
      <c r="Q119" s="687">
        <f t="shared" si="1"/>
        <v>0</v>
      </c>
      <c r="R119" s="688">
        <v>0</v>
      </c>
      <c r="S119" s="693"/>
      <c r="T119" s="690">
        <f t="shared" si="29"/>
        <v>0</v>
      </c>
      <c r="U119" s="683"/>
      <c r="V119" s="474">
        <f t="shared" si="30"/>
        <v>0</v>
      </c>
      <c r="W119" s="474">
        <f t="shared" si="31"/>
        <v>0</v>
      </c>
      <c r="X119" s="475">
        <f t="shared" si="32"/>
        <v>0</v>
      </c>
      <c r="Y119" s="475">
        <v>0</v>
      </c>
      <c r="Z119" s="476">
        <v>0</v>
      </c>
      <c r="AA119" s="38">
        <f t="shared" si="33"/>
        <v>0</v>
      </c>
      <c r="AB119" s="692">
        <f t="shared" si="26"/>
        <v>516.71</v>
      </c>
      <c r="AC119" s="692">
        <f t="shared" si="27"/>
        <v>0</v>
      </c>
      <c r="AD119" s="692">
        <f t="shared" si="34"/>
        <v>0</v>
      </c>
      <c r="AE119" s="38"/>
      <c r="AF119" s="692">
        <f t="shared" si="35"/>
        <v>0</v>
      </c>
      <c r="AG119" s="692">
        <f t="shared" si="36"/>
        <v>0</v>
      </c>
      <c r="AH119" s="692">
        <f t="shared" si="37"/>
        <v>0</v>
      </c>
    </row>
    <row r="120" spans="1:34" s="232" customFormat="1">
      <c r="A120" s="283"/>
      <c r="B120" s="283" t="s">
        <v>110</v>
      </c>
      <c r="C120" s="667"/>
      <c r="D120" s="123" t="s">
        <v>512</v>
      </c>
      <c r="E120" s="679"/>
      <c r="F120" s="529">
        <f>VLOOKUP(D120,'May 2012 DMV Revenue'!D:T,17,FALSE)</f>
        <v>0</v>
      </c>
      <c r="G120" s="680"/>
      <c r="H120" s="680"/>
      <c r="I120" s="770">
        <f>19521.76+2419.85+1639.95+7070.33+341.8+80.53</f>
        <v>31074.219999999998</v>
      </c>
      <c r="J120" s="682">
        <f>SUM(E120:I120)</f>
        <v>31074.219999999998</v>
      </c>
      <c r="K120" s="683"/>
      <c r="L120" s="684"/>
      <c r="M120" s="753"/>
      <c r="N120" s="683">
        <v>0</v>
      </c>
      <c r="O120" s="686"/>
      <c r="P120" s="683"/>
      <c r="Q120" s="687">
        <f t="shared" si="1"/>
        <v>0</v>
      </c>
      <c r="R120" s="688">
        <v>0</v>
      </c>
      <c r="S120" s="693"/>
      <c r="T120" s="690">
        <f t="shared" si="29"/>
        <v>0</v>
      </c>
      <c r="U120" s="683"/>
      <c r="V120" s="474">
        <f t="shared" si="30"/>
        <v>0</v>
      </c>
      <c r="W120" s="474">
        <f t="shared" si="31"/>
        <v>0</v>
      </c>
      <c r="X120" s="475">
        <f t="shared" si="32"/>
        <v>0</v>
      </c>
      <c r="Y120" s="475">
        <v>0</v>
      </c>
      <c r="Z120" s="476">
        <v>0</v>
      </c>
      <c r="AA120" s="38">
        <f t="shared" si="33"/>
        <v>0</v>
      </c>
      <c r="AB120" s="692">
        <f t="shared" si="26"/>
        <v>31074.219999999998</v>
      </c>
      <c r="AC120" s="692">
        <f t="shared" si="27"/>
        <v>0</v>
      </c>
      <c r="AD120" s="692">
        <f t="shared" si="34"/>
        <v>0</v>
      </c>
      <c r="AE120" s="38"/>
      <c r="AF120" s="692">
        <f t="shared" si="35"/>
        <v>0</v>
      </c>
      <c r="AG120" s="692">
        <f t="shared" si="36"/>
        <v>0</v>
      </c>
      <c r="AH120" s="692">
        <f t="shared" si="37"/>
        <v>0</v>
      </c>
    </row>
    <row r="121" spans="1:34" s="24" customFormat="1">
      <c r="A121" s="32"/>
      <c r="B121" s="32" t="s">
        <v>110</v>
      </c>
      <c r="C121" s="667"/>
      <c r="D121" s="68" t="s">
        <v>588</v>
      </c>
      <c r="E121" s="679"/>
      <c r="F121" s="529">
        <f>VLOOKUP(D121,'May 2012 DMV Revenue'!D:T,17,FALSE)</f>
        <v>0</v>
      </c>
      <c r="G121" s="680"/>
      <c r="H121" s="680"/>
      <c r="I121" s="755"/>
      <c r="J121" s="682">
        <f t="shared" ref="J121" si="38">SUM(E121:I121)</f>
        <v>0</v>
      </c>
      <c r="K121" s="683"/>
      <c r="L121" s="684"/>
      <c r="M121" s="753"/>
      <c r="N121" s="698"/>
      <c r="O121" s="699"/>
      <c r="P121" s="698"/>
      <c r="Q121" s="687">
        <f t="shared" si="1"/>
        <v>0</v>
      </c>
      <c r="R121" s="688">
        <v>0</v>
      </c>
      <c r="S121" s="693"/>
      <c r="T121" s="690">
        <f t="shared" si="29"/>
        <v>0</v>
      </c>
      <c r="U121" s="683"/>
      <c r="V121" s="474">
        <f t="shared" si="30"/>
        <v>0</v>
      </c>
      <c r="W121" s="474">
        <f t="shared" si="31"/>
        <v>0</v>
      </c>
      <c r="X121" s="475">
        <f t="shared" si="32"/>
        <v>0</v>
      </c>
      <c r="Y121" s="475">
        <v>0</v>
      </c>
      <c r="Z121" s="476">
        <v>0</v>
      </c>
      <c r="AA121" s="38">
        <f t="shared" si="33"/>
        <v>0</v>
      </c>
      <c r="AB121" s="692">
        <f t="shared" si="26"/>
        <v>0</v>
      </c>
      <c r="AC121" s="692">
        <f t="shared" si="27"/>
        <v>0</v>
      </c>
      <c r="AD121" s="692">
        <f t="shared" si="34"/>
        <v>0</v>
      </c>
      <c r="AE121" s="38"/>
      <c r="AF121" s="692">
        <f t="shared" si="35"/>
        <v>0</v>
      </c>
      <c r="AG121" s="692">
        <f t="shared" si="36"/>
        <v>0</v>
      </c>
      <c r="AH121" s="692">
        <f t="shared" si="37"/>
        <v>0</v>
      </c>
    </row>
    <row r="122" spans="1:34">
      <c r="A122" s="21"/>
      <c r="B122" s="21" t="s">
        <v>109</v>
      </c>
      <c r="C122" s="666" t="s">
        <v>548</v>
      </c>
      <c r="D122" s="68" t="s">
        <v>461</v>
      </c>
      <c r="E122" s="679"/>
      <c r="F122" s="529">
        <f>VLOOKUP(D122,'May 2012 DMV Revenue'!D:T,17,FALSE)</f>
        <v>3488.32</v>
      </c>
      <c r="G122" s="680"/>
      <c r="H122" s="680"/>
      <c r="I122" s="755"/>
      <c r="J122" s="682">
        <f t="shared" si="28"/>
        <v>3488.32</v>
      </c>
      <c r="K122" s="683"/>
      <c r="L122" s="684"/>
      <c r="M122" s="753"/>
      <c r="N122" s="683">
        <v>0</v>
      </c>
      <c r="O122" s="686"/>
      <c r="P122" s="683">
        <v>0</v>
      </c>
      <c r="Q122" s="687">
        <f t="shared" si="1"/>
        <v>0</v>
      </c>
      <c r="R122" s="688">
        <v>2918.42</v>
      </c>
      <c r="S122" s="693"/>
      <c r="T122" s="690">
        <f t="shared" si="29"/>
        <v>2918.42</v>
      </c>
      <c r="U122" s="683"/>
      <c r="V122" s="474">
        <f t="shared" si="30"/>
        <v>0</v>
      </c>
      <c r="W122" s="474">
        <f t="shared" si="31"/>
        <v>0</v>
      </c>
      <c r="X122" s="475">
        <f t="shared" si="32"/>
        <v>0</v>
      </c>
      <c r="Y122" s="475">
        <v>0</v>
      </c>
      <c r="Z122" s="476">
        <v>0</v>
      </c>
      <c r="AA122" s="38">
        <f t="shared" si="33"/>
        <v>0</v>
      </c>
      <c r="AB122" s="692">
        <f t="shared" si="26"/>
        <v>0</v>
      </c>
      <c r="AC122" s="692">
        <f t="shared" si="27"/>
        <v>3488.32</v>
      </c>
      <c r="AD122" s="692">
        <f t="shared" si="34"/>
        <v>0</v>
      </c>
      <c r="AE122" s="38"/>
      <c r="AF122" s="692">
        <f t="shared" si="35"/>
        <v>0</v>
      </c>
      <c r="AG122" s="692">
        <f t="shared" si="36"/>
        <v>0</v>
      </c>
      <c r="AH122" s="692">
        <f t="shared" si="37"/>
        <v>0</v>
      </c>
    </row>
    <row r="123" spans="1:34">
      <c r="A123" s="20"/>
      <c r="B123" s="20" t="s">
        <v>109</v>
      </c>
      <c r="C123" s="667" t="s">
        <v>549</v>
      </c>
      <c r="D123" s="68" t="s">
        <v>22</v>
      </c>
      <c r="E123" s="679"/>
      <c r="F123" s="529">
        <f>VLOOKUP(D123,'May 2012 DMV Revenue'!D:T,17,FALSE)</f>
        <v>0</v>
      </c>
      <c r="G123" s="680"/>
      <c r="H123" s="680"/>
      <c r="I123" s="755"/>
      <c r="J123" s="682">
        <f t="shared" si="28"/>
        <v>0</v>
      </c>
      <c r="K123" s="683"/>
      <c r="L123" s="684"/>
      <c r="M123" s="753"/>
      <c r="N123" s="683">
        <v>0</v>
      </c>
      <c r="O123" s="686"/>
      <c r="P123" s="683">
        <v>0</v>
      </c>
      <c r="Q123" s="687">
        <f t="shared" si="1"/>
        <v>0</v>
      </c>
      <c r="R123" s="688">
        <v>0</v>
      </c>
      <c r="S123" s="693"/>
      <c r="T123" s="690">
        <f t="shared" si="29"/>
        <v>0</v>
      </c>
      <c r="U123" s="683"/>
      <c r="V123" s="474">
        <f t="shared" si="30"/>
        <v>0</v>
      </c>
      <c r="W123" s="474">
        <f t="shared" si="31"/>
        <v>0</v>
      </c>
      <c r="X123" s="475">
        <f t="shared" si="32"/>
        <v>0</v>
      </c>
      <c r="Y123" s="475">
        <v>0</v>
      </c>
      <c r="Z123" s="476">
        <v>0</v>
      </c>
      <c r="AA123" s="38">
        <f t="shared" si="33"/>
        <v>0</v>
      </c>
      <c r="AB123" s="692">
        <f t="shared" si="26"/>
        <v>0</v>
      </c>
      <c r="AC123" s="692">
        <f t="shared" si="27"/>
        <v>0</v>
      </c>
      <c r="AD123" s="692">
        <f t="shared" si="34"/>
        <v>0</v>
      </c>
      <c r="AE123" s="38"/>
      <c r="AF123" s="692">
        <f t="shared" si="35"/>
        <v>0</v>
      </c>
      <c r="AG123" s="692">
        <f t="shared" si="36"/>
        <v>0</v>
      </c>
      <c r="AH123" s="692">
        <f t="shared" si="37"/>
        <v>0</v>
      </c>
    </row>
    <row r="124" spans="1:34">
      <c r="A124" s="20"/>
      <c r="B124" s="20" t="s">
        <v>110</v>
      </c>
      <c r="C124" s="667"/>
      <c r="D124" s="68" t="s">
        <v>24</v>
      </c>
      <c r="E124" s="679"/>
      <c r="F124" s="529">
        <f>VLOOKUP(D124,'May 2012 DMV Revenue'!D:T,17,FALSE)</f>
        <v>3621</v>
      </c>
      <c r="G124" s="680"/>
      <c r="H124" s="680"/>
      <c r="I124" s="770">
        <v>3820.75</v>
      </c>
      <c r="J124" s="682">
        <f t="shared" si="28"/>
        <v>7441.75</v>
      </c>
      <c r="K124" s="683"/>
      <c r="L124" s="684"/>
      <c r="M124" s="753"/>
      <c r="N124" s="683">
        <v>0</v>
      </c>
      <c r="O124" s="686"/>
      <c r="P124" s="683">
        <v>0</v>
      </c>
      <c r="Q124" s="687">
        <f t="shared" si="1"/>
        <v>0</v>
      </c>
      <c r="R124" s="688">
        <v>0</v>
      </c>
      <c r="S124" s="693"/>
      <c r="T124" s="690">
        <f t="shared" si="29"/>
        <v>0</v>
      </c>
      <c r="U124" s="683"/>
      <c r="V124" s="474">
        <f t="shared" si="30"/>
        <v>0</v>
      </c>
      <c r="W124" s="474">
        <f t="shared" si="31"/>
        <v>0</v>
      </c>
      <c r="X124" s="475">
        <f t="shared" si="32"/>
        <v>0</v>
      </c>
      <c r="Y124" s="475">
        <v>0</v>
      </c>
      <c r="Z124" s="476">
        <v>0</v>
      </c>
      <c r="AA124" s="38">
        <f t="shared" si="33"/>
        <v>0</v>
      </c>
      <c r="AB124" s="692">
        <f t="shared" si="26"/>
        <v>7441.75</v>
      </c>
      <c r="AC124" s="692">
        <f t="shared" si="27"/>
        <v>0</v>
      </c>
      <c r="AD124" s="692">
        <f t="shared" si="34"/>
        <v>0</v>
      </c>
      <c r="AE124" s="38"/>
      <c r="AF124" s="692">
        <f t="shared" si="35"/>
        <v>0</v>
      </c>
      <c r="AG124" s="692">
        <f t="shared" si="36"/>
        <v>0</v>
      </c>
      <c r="AH124" s="692">
        <f t="shared" si="37"/>
        <v>0</v>
      </c>
    </row>
    <row r="125" spans="1:34">
      <c r="A125" s="21"/>
      <c r="B125" s="21" t="s">
        <v>110</v>
      </c>
      <c r="C125" s="666"/>
      <c r="D125" s="68" t="s">
        <v>183</v>
      </c>
      <c r="E125" s="679"/>
      <c r="F125" s="529">
        <f>VLOOKUP(D125,'May 2012 DMV Revenue'!D:T,17,FALSE)</f>
        <v>0</v>
      </c>
      <c r="G125" s="680"/>
      <c r="H125" s="680"/>
      <c r="I125" s="755"/>
      <c r="J125" s="682">
        <f t="shared" si="28"/>
        <v>0</v>
      </c>
      <c r="K125" s="683"/>
      <c r="L125" s="684"/>
      <c r="M125" s="753"/>
      <c r="N125" s="683">
        <v>0</v>
      </c>
      <c r="O125" s="686"/>
      <c r="P125" s="683">
        <v>0</v>
      </c>
      <c r="Q125" s="687">
        <f t="shared" si="1"/>
        <v>0</v>
      </c>
      <c r="R125" s="688">
        <v>0</v>
      </c>
      <c r="S125" s="693"/>
      <c r="T125" s="690">
        <f t="shared" si="29"/>
        <v>0</v>
      </c>
      <c r="U125" s="683"/>
      <c r="V125" s="474">
        <f t="shared" si="30"/>
        <v>0</v>
      </c>
      <c r="W125" s="474">
        <f t="shared" si="31"/>
        <v>0</v>
      </c>
      <c r="X125" s="475">
        <f t="shared" si="32"/>
        <v>0</v>
      </c>
      <c r="Y125" s="475">
        <v>0</v>
      </c>
      <c r="Z125" s="476">
        <v>0</v>
      </c>
      <c r="AA125" s="38">
        <f t="shared" si="33"/>
        <v>0</v>
      </c>
      <c r="AB125" s="692">
        <f t="shared" si="26"/>
        <v>0</v>
      </c>
      <c r="AC125" s="692">
        <f t="shared" si="27"/>
        <v>0</v>
      </c>
      <c r="AD125" s="692">
        <f t="shared" si="34"/>
        <v>0</v>
      </c>
      <c r="AE125" s="38"/>
      <c r="AF125" s="692">
        <f t="shared" si="35"/>
        <v>0</v>
      </c>
      <c r="AG125" s="692">
        <f t="shared" si="36"/>
        <v>0</v>
      </c>
      <c r="AH125" s="692">
        <f t="shared" si="37"/>
        <v>0</v>
      </c>
    </row>
    <row r="126" spans="1:34">
      <c r="A126" s="21"/>
      <c r="B126" s="21" t="s">
        <v>110</v>
      </c>
      <c r="C126" s="666" t="s">
        <v>550</v>
      </c>
      <c r="D126" s="68" t="s">
        <v>282</v>
      </c>
      <c r="E126" s="679"/>
      <c r="F126" s="529">
        <f>VLOOKUP(D126,'May 2012 DMV Revenue'!D:T,17,FALSE)</f>
        <v>974.40999999999985</v>
      </c>
      <c r="G126" s="680"/>
      <c r="H126" s="680"/>
      <c r="I126" s="755"/>
      <c r="J126" s="682">
        <f t="shared" si="28"/>
        <v>974.40999999999985</v>
      </c>
      <c r="K126" s="683"/>
      <c r="L126" s="684"/>
      <c r="M126" s="753">
        <v>25000</v>
      </c>
      <c r="N126" s="683">
        <v>0</v>
      </c>
      <c r="O126" s="686"/>
      <c r="P126" s="683">
        <v>0</v>
      </c>
      <c r="Q126" s="687">
        <f t="shared" si="1"/>
        <v>25000</v>
      </c>
      <c r="R126" s="688">
        <v>25387.49</v>
      </c>
      <c r="S126" s="693"/>
      <c r="T126" s="690">
        <f t="shared" si="29"/>
        <v>387.4900000000016</v>
      </c>
      <c r="U126" s="683"/>
      <c r="V126" s="474">
        <f t="shared" si="30"/>
        <v>25000</v>
      </c>
      <c r="W126" s="474">
        <f t="shared" si="31"/>
        <v>0</v>
      </c>
      <c r="X126" s="475">
        <f t="shared" si="32"/>
        <v>0</v>
      </c>
      <c r="Y126" s="475">
        <v>0</v>
      </c>
      <c r="Z126" s="476">
        <v>0</v>
      </c>
      <c r="AA126" s="38">
        <f t="shared" si="33"/>
        <v>0</v>
      </c>
      <c r="AB126" s="692">
        <f t="shared" si="26"/>
        <v>974.40999999999985</v>
      </c>
      <c r="AC126" s="692">
        <f t="shared" si="27"/>
        <v>0</v>
      </c>
      <c r="AD126" s="692">
        <f t="shared" si="34"/>
        <v>0</v>
      </c>
      <c r="AE126" s="38"/>
      <c r="AF126" s="692">
        <f t="shared" si="35"/>
        <v>25000</v>
      </c>
      <c r="AG126" s="692">
        <f t="shared" si="36"/>
        <v>0</v>
      </c>
      <c r="AH126" s="692">
        <f t="shared" si="37"/>
        <v>0</v>
      </c>
    </row>
    <row r="127" spans="1:34">
      <c r="A127" s="21"/>
      <c r="B127" s="21" t="s">
        <v>109</v>
      </c>
      <c r="C127" s="666" t="s">
        <v>551</v>
      </c>
      <c r="D127" s="68" t="s">
        <v>499</v>
      </c>
      <c r="E127" s="679"/>
      <c r="F127" s="529">
        <f>VLOOKUP(D127,'May 2012 DMV Revenue'!D:T,17,FALSE)</f>
        <v>0</v>
      </c>
      <c r="G127" s="680"/>
      <c r="H127" s="680"/>
      <c r="I127" s="755"/>
      <c r="J127" s="682">
        <f t="shared" si="28"/>
        <v>0</v>
      </c>
      <c r="K127" s="683"/>
      <c r="L127" s="684"/>
      <c r="M127" s="753"/>
      <c r="N127" s="683">
        <v>0</v>
      </c>
      <c r="O127" s="686"/>
      <c r="P127" s="683">
        <v>0</v>
      </c>
      <c r="Q127" s="687">
        <f t="shared" si="1"/>
        <v>0</v>
      </c>
      <c r="R127" s="688">
        <v>0</v>
      </c>
      <c r="S127" s="693"/>
      <c r="T127" s="690">
        <f t="shared" si="29"/>
        <v>0</v>
      </c>
      <c r="U127" s="683"/>
      <c r="V127" s="474">
        <f t="shared" si="30"/>
        <v>0</v>
      </c>
      <c r="W127" s="474">
        <f t="shared" si="31"/>
        <v>0</v>
      </c>
      <c r="X127" s="475">
        <f t="shared" si="32"/>
        <v>0</v>
      </c>
      <c r="Y127" s="475">
        <v>0</v>
      </c>
      <c r="Z127" s="476">
        <v>0</v>
      </c>
      <c r="AA127" s="38">
        <f t="shared" si="33"/>
        <v>0</v>
      </c>
      <c r="AB127" s="692">
        <f t="shared" si="26"/>
        <v>0</v>
      </c>
      <c r="AC127" s="692">
        <f t="shared" si="27"/>
        <v>0</v>
      </c>
      <c r="AD127" s="692">
        <f t="shared" si="34"/>
        <v>0</v>
      </c>
      <c r="AE127" s="38"/>
      <c r="AF127" s="692">
        <f t="shared" si="35"/>
        <v>0</v>
      </c>
      <c r="AG127" s="692">
        <f t="shared" si="36"/>
        <v>0</v>
      </c>
      <c r="AH127" s="692">
        <f t="shared" si="37"/>
        <v>0</v>
      </c>
    </row>
    <row r="128" spans="1:34">
      <c r="A128" s="21"/>
      <c r="B128" s="21" t="s">
        <v>110</v>
      </c>
      <c r="C128" s="666"/>
      <c r="D128" s="68" t="s">
        <v>28</v>
      </c>
      <c r="E128" s="679"/>
      <c r="F128" s="529">
        <f>VLOOKUP(D128,'May 2012 DMV Revenue'!D:T,17,FALSE)</f>
        <v>0</v>
      </c>
      <c r="G128" s="680"/>
      <c r="H128" s="680"/>
      <c r="I128" s="770">
        <v>1161.3</v>
      </c>
      <c r="J128" s="682">
        <f t="shared" si="28"/>
        <v>1161.3</v>
      </c>
      <c r="K128" s="683"/>
      <c r="L128" s="684"/>
      <c r="M128" s="753"/>
      <c r="N128" s="683">
        <v>0</v>
      </c>
      <c r="O128" s="686"/>
      <c r="P128" s="683">
        <v>0</v>
      </c>
      <c r="Q128" s="687">
        <f t="shared" si="1"/>
        <v>0</v>
      </c>
      <c r="R128" s="688">
        <v>0</v>
      </c>
      <c r="S128" s="693"/>
      <c r="T128" s="690">
        <f t="shared" si="29"/>
        <v>0</v>
      </c>
      <c r="U128" s="683"/>
      <c r="V128" s="474">
        <f t="shared" si="30"/>
        <v>0</v>
      </c>
      <c r="W128" s="474">
        <f t="shared" si="31"/>
        <v>0</v>
      </c>
      <c r="X128" s="475">
        <f t="shared" si="32"/>
        <v>0</v>
      </c>
      <c r="Y128" s="475">
        <v>0</v>
      </c>
      <c r="Z128" s="476">
        <v>0</v>
      </c>
      <c r="AA128" s="38">
        <f t="shared" si="33"/>
        <v>0</v>
      </c>
      <c r="AB128" s="692">
        <f t="shared" si="26"/>
        <v>1161.3</v>
      </c>
      <c r="AC128" s="692">
        <f t="shared" si="27"/>
        <v>0</v>
      </c>
      <c r="AD128" s="692">
        <f t="shared" si="34"/>
        <v>0</v>
      </c>
      <c r="AE128" s="38"/>
      <c r="AF128" s="692">
        <f t="shared" si="35"/>
        <v>0</v>
      </c>
      <c r="AG128" s="692">
        <f t="shared" si="36"/>
        <v>0</v>
      </c>
      <c r="AH128" s="692">
        <f t="shared" si="37"/>
        <v>0</v>
      </c>
    </row>
    <row r="129" spans="1:34">
      <c r="A129" s="21"/>
      <c r="B129" s="21" t="s">
        <v>114</v>
      </c>
      <c r="C129" s="666" t="s">
        <v>552</v>
      </c>
      <c r="D129" s="68" t="s">
        <v>513</v>
      </c>
      <c r="E129" s="679">
        <v>2854.3</v>
      </c>
      <c r="F129" s="529">
        <f>VLOOKUP(D129,'May 2012 DMV Revenue'!D:T,17,FALSE)</f>
        <v>0</v>
      </c>
      <c r="G129" s="680"/>
      <c r="H129" s="680"/>
      <c r="I129" s="755"/>
      <c r="J129" s="682">
        <f>SUM(E129:I129)</f>
        <v>2854.3</v>
      </c>
      <c r="K129" s="683"/>
      <c r="L129" s="684"/>
      <c r="M129" s="753"/>
      <c r="N129" s="683">
        <v>0</v>
      </c>
      <c r="O129" s="686"/>
      <c r="P129" s="683">
        <v>0</v>
      </c>
      <c r="Q129" s="687">
        <f>L129+M129</f>
        <v>0</v>
      </c>
      <c r="R129" s="688">
        <v>0</v>
      </c>
      <c r="S129" s="693"/>
      <c r="T129" s="690">
        <f t="shared" si="29"/>
        <v>0</v>
      </c>
      <c r="U129" s="683"/>
      <c r="V129" s="474">
        <f t="shared" si="30"/>
        <v>0</v>
      </c>
      <c r="W129" s="474">
        <f t="shared" si="31"/>
        <v>0</v>
      </c>
      <c r="X129" s="475">
        <f t="shared" si="32"/>
        <v>0</v>
      </c>
      <c r="Y129" s="475">
        <v>0</v>
      </c>
      <c r="Z129" s="476">
        <v>0</v>
      </c>
      <c r="AA129" s="38">
        <f t="shared" si="33"/>
        <v>0</v>
      </c>
      <c r="AB129" s="692">
        <f t="shared" si="26"/>
        <v>0</v>
      </c>
      <c r="AC129" s="692">
        <f t="shared" si="27"/>
        <v>0</v>
      </c>
      <c r="AD129" s="692">
        <f t="shared" si="34"/>
        <v>2854.3</v>
      </c>
      <c r="AE129" s="38"/>
      <c r="AF129" s="692">
        <f t="shared" si="35"/>
        <v>0</v>
      </c>
      <c r="AG129" s="692">
        <f t="shared" si="36"/>
        <v>0</v>
      </c>
      <c r="AH129" s="692">
        <f t="shared" si="37"/>
        <v>0</v>
      </c>
    </row>
    <row r="130" spans="1:34">
      <c r="A130" s="21"/>
      <c r="B130" s="21" t="s">
        <v>109</v>
      </c>
      <c r="C130" s="666" t="s">
        <v>553</v>
      </c>
      <c r="D130" s="68" t="s">
        <v>308</v>
      </c>
      <c r="E130" s="679"/>
      <c r="F130" s="529">
        <f>VLOOKUP(D130,'May 2012 DMV Revenue'!D:T,17,FALSE)</f>
        <v>0</v>
      </c>
      <c r="G130" s="680"/>
      <c r="H130" s="680"/>
      <c r="I130" s="755"/>
      <c r="J130" s="682">
        <f t="shared" si="28"/>
        <v>0</v>
      </c>
      <c r="K130" s="683"/>
      <c r="L130" s="684"/>
      <c r="M130" s="753"/>
      <c r="N130" s="683">
        <v>0</v>
      </c>
      <c r="O130" s="686"/>
      <c r="P130" s="683">
        <v>0</v>
      </c>
      <c r="Q130" s="687">
        <f t="shared" si="1"/>
        <v>0</v>
      </c>
      <c r="R130" s="688">
        <v>0</v>
      </c>
      <c r="S130" s="693"/>
      <c r="T130" s="690">
        <f t="shared" si="29"/>
        <v>0</v>
      </c>
      <c r="U130" s="683"/>
      <c r="V130" s="474">
        <f t="shared" si="30"/>
        <v>0</v>
      </c>
      <c r="W130" s="474">
        <f t="shared" si="31"/>
        <v>0</v>
      </c>
      <c r="X130" s="475">
        <f t="shared" si="32"/>
        <v>0</v>
      </c>
      <c r="Y130" s="475">
        <v>0</v>
      </c>
      <c r="Z130" s="476">
        <v>0</v>
      </c>
      <c r="AA130" s="38">
        <f t="shared" si="33"/>
        <v>0</v>
      </c>
      <c r="AB130" s="692">
        <f t="shared" si="26"/>
        <v>0</v>
      </c>
      <c r="AC130" s="692">
        <f t="shared" si="27"/>
        <v>0</v>
      </c>
      <c r="AD130" s="692">
        <f t="shared" si="34"/>
        <v>0</v>
      </c>
      <c r="AE130" s="38"/>
      <c r="AF130" s="692">
        <f t="shared" si="35"/>
        <v>0</v>
      </c>
      <c r="AG130" s="692">
        <f t="shared" si="36"/>
        <v>0</v>
      </c>
      <c r="AH130" s="692">
        <f t="shared" si="37"/>
        <v>0</v>
      </c>
    </row>
    <row r="131" spans="1:34" s="232" customFormat="1">
      <c r="A131" s="283" t="s">
        <v>211</v>
      </c>
      <c r="B131" s="283" t="s">
        <v>109</v>
      </c>
      <c r="C131" s="667" t="s">
        <v>554</v>
      </c>
      <c r="D131" s="123" t="s">
        <v>389</v>
      </c>
      <c r="E131" s="679"/>
      <c r="F131" s="529">
        <f>VLOOKUP(D131,'May 2012 DMV Revenue'!D:T,17,FALSE)</f>
        <v>-30000</v>
      </c>
      <c r="G131" s="680"/>
      <c r="H131" s="680"/>
      <c r="I131" s="755"/>
      <c r="J131" s="682">
        <f t="shared" si="28"/>
        <v>-30000</v>
      </c>
      <c r="K131" s="683"/>
      <c r="L131" s="684"/>
      <c r="M131" s="753">
        <v>45000</v>
      </c>
      <c r="N131" s="683">
        <v>0</v>
      </c>
      <c r="O131" s="686"/>
      <c r="P131" s="683">
        <v>0</v>
      </c>
      <c r="Q131" s="687">
        <f t="shared" si="1"/>
        <v>45000</v>
      </c>
      <c r="R131" s="688">
        <v>0</v>
      </c>
      <c r="S131" s="693"/>
      <c r="T131" s="690">
        <f t="shared" si="29"/>
        <v>-45000</v>
      </c>
      <c r="U131" s="683"/>
      <c r="V131" s="474">
        <f t="shared" si="30"/>
        <v>0</v>
      </c>
      <c r="W131" s="474">
        <f t="shared" si="31"/>
        <v>45000</v>
      </c>
      <c r="X131" s="475">
        <f t="shared" si="32"/>
        <v>0</v>
      </c>
      <c r="Y131" s="475">
        <v>0</v>
      </c>
      <c r="Z131" s="476">
        <v>0</v>
      </c>
      <c r="AA131" s="38">
        <f t="shared" si="33"/>
        <v>0</v>
      </c>
      <c r="AB131" s="692">
        <f t="shared" si="26"/>
        <v>0</v>
      </c>
      <c r="AC131" s="692">
        <f t="shared" si="27"/>
        <v>-30000</v>
      </c>
      <c r="AD131" s="692">
        <f t="shared" si="34"/>
        <v>0</v>
      </c>
      <c r="AE131" s="38"/>
      <c r="AF131" s="692">
        <f t="shared" si="35"/>
        <v>0</v>
      </c>
      <c r="AG131" s="692">
        <f t="shared" si="36"/>
        <v>45000</v>
      </c>
      <c r="AH131" s="692">
        <f t="shared" si="37"/>
        <v>0</v>
      </c>
    </row>
    <row r="132" spans="1:34" s="232" customFormat="1">
      <c r="A132" s="283"/>
      <c r="B132" s="283" t="s">
        <v>110</v>
      </c>
      <c r="C132" s="667"/>
      <c r="D132" s="123" t="s">
        <v>807</v>
      </c>
      <c r="E132" s="679"/>
      <c r="F132" s="529">
        <f>VLOOKUP(D132,'May 2012 DMV Revenue'!D:T,17,FALSE)</f>
        <v>0</v>
      </c>
      <c r="G132" s="680"/>
      <c r="H132" s="680"/>
      <c r="I132" s="755"/>
      <c r="J132" s="682">
        <f>SUM(E132:I132)</f>
        <v>0</v>
      </c>
      <c r="K132" s="683"/>
      <c r="L132" s="684"/>
      <c r="M132" s="753"/>
      <c r="N132" s="683">
        <v>0</v>
      </c>
      <c r="O132" s="686"/>
      <c r="P132" s="683">
        <v>0</v>
      </c>
      <c r="Q132" s="687">
        <f t="shared" si="1"/>
        <v>0</v>
      </c>
      <c r="R132" s="688">
        <v>0</v>
      </c>
      <c r="S132" s="693"/>
      <c r="T132" s="690">
        <f t="shared" si="29"/>
        <v>0</v>
      </c>
      <c r="U132" s="683"/>
      <c r="V132" s="474">
        <f t="shared" si="30"/>
        <v>0</v>
      </c>
      <c r="W132" s="474">
        <f t="shared" si="31"/>
        <v>0</v>
      </c>
      <c r="X132" s="475">
        <f t="shared" si="32"/>
        <v>0</v>
      </c>
      <c r="Y132" s="475">
        <v>0</v>
      </c>
      <c r="Z132" s="476">
        <v>0</v>
      </c>
      <c r="AA132" s="38">
        <f t="shared" si="33"/>
        <v>0</v>
      </c>
      <c r="AB132" s="692">
        <f t="shared" si="26"/>
        <v>0</v>
      </c>
      <c r="AC132" s="692">
        <f t="shared" si="27"/>
        <v>0</v>
      </c>
      <c r="AD132" s="692">
        <f t="shared" si="34"/>
        <v>0</v>
      </c>
      <c r="AE132" s="38"/>
      <c r="AF132" s="692">
        <f t="shared" si="35"/>
        <v>0</v>
      </c>
      <c r="AG132" s="692">
        <f t="shared" si="36"/>
        <v>0</v>
      </c>
      <c r="AH132" s="692">
        <f t="shared" si="37"/>
        <v>0</v>
      </c>
    </row>
    <row r="133" spans="1:34" s="232" customFormat="1">
      <c r="A133" s="283"/>
      <c r="B133" s="283" t="s">
        <v>109</v>
      </c>
      <c r="C133" s="667"/>
      <c r="D133" s="123" t="s">
        <v>808</v>
      </c>
      <c r="E133" s="679"/>
      <c r="F133" s="529">
        <f>VLOOKUP(D133,'May 2012 DMV Revenue'!D:T,17,FALSE)</f>
        <v>0</v>
      </c>
      <c r="G133" s="680"/>
      <c r="H133" s="680"/>
      <c r="I133" s="755"/>
      <c r="J133" s="682">
        <f>SUM(E133:I133)</f>
        <v>0</v>
      </c>
      <c r="K133" s="683"/>
      <c r="L133" s="684"/>
      <c r="M133" s="753"/>
      <c r="N133" s="683">
        <v>0</v>
      </c>
      <c r="O133" s="686"/>
      <c r="P133" s="683">
        <v>0</v>
      </c>
      <c r="Q133" s="687">
        <f t="shared" si="1"/>
        <v>0</v>
      </c>
      <c r="R133" s="688">
        <v>0</v>
      </c>
      <c r="S133" s="693"/>
      <c r="T133" s="690">
        <f t="shared" si="29"/>
        <v>0</v>
      </c>
      <c r="U133" s="683"/>
      <c r="V133" s="474">
        <f t="shared" si="30"/>
        <v>0</v>
      </c>
      <c r="W133" s="474">
        <f t="shared" si="31"/>
        <v>0</v>
      </c>
      <c r="X133" s="475">
        <f t="shared" si="32"/>
        <v>0</v>
      </c>
      <c r="Y133" s="475">
        <v>0</v>
      </c>
      <c r="Z133" s="476">
        <v>0</v>
      </c>
      <c r="AA133" s="38">
        <f t="shared" si="33"/>
        <v>0</v>
      </c>
      <c r="AB133" s="692">
        <f t="shared" si="26"/>
        <v>0</v>
      </c>
      <c r="AC133" s="692">
        <f t="shared" si="27"/>
        <v>0</v>
      </c>
      <c r="AD133" s="692">
        <f t="shared" si="34"/>
        <v>0</v>
      </c>
      <c r="AE133" s="38"/>
      <c r="AF133" s="692">
        <f t="shared" si="35"/>
        <v>0</v>
      </c>
      <c r="AG133" s="692">
        <f t="shared" si="36"/>
        <v>0</v>
      </c>
      <c r="AH133" s="692">
        <f t="shared" si="37"/>
        <v>0</v>
      </c>
    </row>
    <row r="134" spans="1:34" s="232" customFormat="1">
      <c r="A134" s="283"/>
      <c r="B134" s="283" t="s">
        <v>110</v>
      </c>
      <c r="C134" s="667"/>
      <c r="D134" s="68" t="s">
        <v>488</v>
      </c>
      <c r="E134" s="679"/>
      <c r="F134" s="529">
        <f>VLOOKUP(D134,'May 2012 DMV Revenue'!D:T,17,FALSE)</f>
        <v>0</v>
      </c>
      <c r="G134" s="680"/>
      <c r="H134" s="680"/>
      <c r="I134" s="755"/>
      <c r="J134" s="682">
        <f t="shared" si="28"/>
        <v>0</v>
      </c>
      <c r="K134" s="683"/>
      <c r="L134" s="684"/>
      <c r="M134" s="753"/>
      <c r="N134" s="683">
        <v>0</v>
      </c>
      <c r="O134" s="686"/>
      <c r="P134" s="683">
        <v>0</v>
      </c>
      <c r="Q134" s="687">
        <f t="shared" si="1"/>
        <v>0</v>
      </c>
      <c r="R134" s="688">
        <v>0</v>
      </c>
      <c r="S134" s="693"/>
      <c r="T134" s="690">
        <f t="shared" si="29"/>
        <v>0</v>
      </c>
      <c r="U134" s="683"/>
      <c r="V134" s="474">
        <f t="shared" si="30"/>
        <v>0</v>
      </c>
      <c r="W134" s="474">
        <f t="shared" si="31"/>
        <v>0</v>
      </c>
      <c r="X134" s="475">
        <f t="shared" si="32"/>
        <v>0</v>
      </c>
      <c r="Y134" s="475">
        <v>0</v>
      </c>
      <c r="Z134" s="476">
        <v>0</v>
      </c>
      <c r="AA134" s="38">
        <f t="shared" si="33"/>
        <v>0</v>
      </c>
      <c r="AB134" s="692">
        <f t="shared" si="26"/>
        <v>0</v>
      </c>
      <c r="AC134" s="692">
        <f t="shared" si="27"/>
        <v>0</v>
      </c>
      <c r="AD134" s="692">
        <f t="shared" si="34"/>
        <v>0</v>
      </c>
      <c r="AE134" s="38"/>
      <c r="AF134" s="692">
        <f t="shared" si="35"/>
        <v>0</v>
      </c>
      <c r="AG134" s="692">
        <f t="shared" si="36"/>
        <v>0</v>
      </c>
      <c r="AH134" s="692">
        <f t="shared" si="37"/>
        <v>0</v>
      </c>
    </row>
    <row r="135" spans="1:34" s="232" customFormat="1">
      <c r="A135" s="283"/>
      <c r="B135" s="283" t="s">
        <v>110</v>
      </c>
      <c r="C135" s="667" t="s">
        <v>555</v>
      </c>
      <c r="D135" s="123" t="s">
        <v>192</v>
      </c>
      <c r="E135" s="679"/>
      <c r="F135" s="529">
        <f>VLOOKUP(D135,'May 2012 DMV Revenue'!D:T,17,FALSE)</f>
        <v>0</v>
      </c>
      <c r="G135" s="680"/>
      <c r="H135" s="680"/>
      <c r="I135" s="770">
        <v>4583.2700000000004</v>
      </c>
      <c r="J135" s="682">
        <f t="shared" si="28"/>
        <v>4583.2700000000004</v>
      </c>
      <c r="K135" s="683"/>
      <c r="L135" s="684"/>
      <c r="M135" s="753"/>
      <c r="N135" s="683">
        <v>0</v>
      </c>
      <c r="O135" s="686"/>
      <c r="P135" s="683">
        <v>0</v>
      </c>
      <c r="Q135" s="687">
        <f t="shared" si="1"/>
        <v>0</v>
      </c>
      <c r="R135" s="688">
        <v>0</v>
      </c>
      <c r="S135" s="693"/>
      <c r="T135" s="690">
        <f t="shared" si="29"/>
        <v>0</v>
      </c>
      <c r="U135" s="683"/>
      <c r="V135" s="474">
        <f t="shared" si="30"/>
        <v>0</v>
      </c>
      <c r="W135" s="474">
        <f t="shared" si="31"/>
        <v>0</v>
      </c>
      <c r="X135" s="475">
        <f t="shared" si="32"/>
        <v>0</v>
      </c>
      <c r="Y135" s="475">
        <v>0</v>
      </c>
      <c r="Z135" s="476">
        <v>0</v>
      </c>
      <c r="AA135" s="38">
        <f t="shared" si="33"/>
        <v>0</v>
      </c>
      <c r="AB135" s="692">
        <f t="shared" si="26"/>
        <v>4583.2700000000004</v>
      </c>
      <c r="AC135" s="692">
        <f t="shared" si="27"/>
        <v>0</v>
      </c>
      <c r="AD135" s="692">
        <f t="shared" si="34"/>
        <v>0</v>
      </c>
      <c r="AE135" s="38"/>
      <c r="AF135" s="692">
        <f t="shared" si="35"/>
        <v>0</v>
      </c>
      <c r="AG135" s="692">
        <f t="shared" si="36"/>
        <v>0</v>
      </c>
      <c r="AH135" s="692">
        <f t="shared" si="37"/>
        <v>0</v>
      </c>
    </row>
    <row r="136" spans="1:34" s="232" customFormat="1">
      <c r="A136" s="283"/>
      <c r="B136" s="283" t="s">
        <v>110</v>
      </c>
      <c r="C136" s="667" t="s">
        <v>555</v>
      </c>
      <c r="D136" s="123" t="s">
        <v>193</v>
      </c>
      <c r="E136" s="679"/>
      <c r="F136" s="529">
        <f>VLOOKUP(D136,'May 2012 DMV Revenue'!D:T,17,FALSE)</f>
        <v>0</v>
      </c>
      <c r="G136" s="680"/>
      <c r="H136" s="680"/>
      <c r="I136" s="770">
        <v>312.70999999999998</v>
      </c>
      <c r="J136" s="682">
        <f t="shared" si="28"/>
        <v>312.70999999999998</v>
      </c>
      <c r="K136" s="683"/>
      <c r="L136" s="684"/>
      <c r="M136" s="753"/>
      <c r="N136" s="683">
        <v>0</v>
      </c>
      <c r="O136" s="686"/>
      <c r="P136" s="683">
        <v>0</v>
      </c>
      <c r="Q136" s="687">
        <f t="shared" si="1"/>
        <v>0</v>
      </c>
      <c r="R136" s="688">
        <v>0</v>
      </c>
      <c r="S136" s="693"/>
      <c r="T136" s="690">
        <f t="shared" si="29"/>
        <v>0</v>
      </c>
      <c r="U136" s="683"/>
      <c r="V136" s="474">
        <f t="shared" si="30"/>
        <v>0</v>
      </c>
      <c r="W136" s="474">
        <f t="shared" si="31"/>
        <v>0</v>
      </c>
      <c r="X136" s="475">
        <f t="shared" si="32"/>
        <v>0</v>
      </c>
      <c r="Y136" s="475">
        <v>0</v>
      </c>
      <c r="Z136" s="476">
        <v>0</v>
      </c>
      <c r="AA136" s="38">
        <f t="shared" si="33"/>
        <v>0</v>
      </c>
      <c r="AB136" s="692">
        <f t="shared" si="26"/>
        <v>312.70999999999998</v>
      </c>
      <c r="AC136" s="692">
        <f t="shared" si="27"/>
        <v>0</v>
      </c>
      <c r="AD136" s="692">
        <f t="shared" si="34"/>
        <v>0</v>
      </c>
      <c r="AE136" s="38"/>
      <c r="AF136" s="692">
        <f t="shared" si="35"/>
        <v>0</v>
      </c>
      <c r="AG136" s="692">
        <f t="shared" si="36"/>
        <v>0</v>
      </c>
      <c r="AH136" s="692">
        <f t="shared" si="37"/>
        <v>0</v>
      </c>
    </row>
    <row r="137" spans="1:34" s="232" customFormat="1">
      <c r="A137" s="283"/>
      <c r="B137" s="283" t="s">
        <v>110</v>
      </c>
      <c r="C137" s="667" t="s">
        <v>555</v>
      </c>
      <c r="D137" s="123" t="s">
        <v>194</v>
      </c>
      <c r="E137" s="679"/>
      <c r="F137" s="529">
        <f>VLOOKUP(D137,'May 2012 DMV Revenue'!D:T,17,FALSE)</f>
        <v>0</v>
      </c>
      <c r="G137" s="680"/>
      <c r="H137" s="680"/>
      <c r="I137" s="770">
        <v>28.1</v>
      </c>
      <c r="J137" s="682">
        <f t="shared" si="28"/>
        <v>28.1</v>
      </c>
      <c r="K137" s="683"/>
      <c r="L137" s="684"/>
      <c r="M137" s="753"/>
      <c r="N137" s="683">
        <v>0</v>
      </c>
      <c r="O137" s="686"/>
      <c r="P137" s="683">
        <v>0</v>
      </c>
      <c r="Q137" s="687">
        <f t="shared" si="1"/>
        <v>0</v>
      </c>
      <c r="R137" s="688">
        <v>0</v>
      </c>
      <c r="S137" s="693"/>
      <c r="T137" s="690">
        <f t="shared" si="29"/>
        <v>0</v>
      </c>
      <c r="U137" s="683"/>
      <c r="V137" s="474">
        <f t="shared" si="30"/>
        <v>0</v>
      </c>
      <c r="W137" s="474">
        <f t="shared" si="31"/>
        <v>0</v>
      </c>
      <c r="X137" s="475">
        <f t="shared" si="32"/>
        <v>0</v>
      </c>
      <c r="Y137" s="475">
        <v>0</v>
      </c>
      <c r="Z137" s="476">
        <v>0</v>
      </c>
      <c r="AA137" s="38">
        <f t="shared" si="33"/>
        <v>0</v>
      </c>
      <c r="AB137" s="692">
        <f t="shared" si="26"/>
        <v>28.1</v>
      </c>
      <c r="AC137" s="692">
        <f t="shared" si="27"/>
        <v>0</v>
      </c>
      <c r="AD137" s="692">
        <f t="shared" si="34"/>
        <v>0</v>
      </c>
      <c r="AE137" s="38"/>
      <c r="AF137" s="692">
        <f t="shared" si="35"/>
        <v>0</v>
      </c>
      <c r="AG137" s="692">
        <f t="shared" si="36"/>
        <v>0</v>
      </c>
      <c r="AH137" s="692">
        <f t="shared" si="37"/>
        <v>0</v>
      </c>
    </row>
    <row r="138" spans="1:34" s="232" customFormat="1">
      <c r="A138" s="283"/>
      <c r="B138" s="283" t="s">
        <v>110</v>
      </c>
      <c r="C138" s="667" t="s">
        <v>555</v>
      </c>
      <c r="D138" s="123" t="s">
        <v>195</v>
      </c>
      <c r="E138" s="679"/>
      <c r="F138" s="529">
        <f>VLOOKUP(D138,'May 2012 DMV Revenue'!D:T,17,FALSE)</f>
        <v>0</v>
      </c>
      <c r="G138" s="680"/>
      <c r="H138" s="680"/>
      <c r="I138" s="770">
        <v>12.91</v>
      </c>
      <c r="J138" s="682">
        <f t="shared" si="28"/>
        <v>12.91</v>
      </c>
      <c r="K138" s="683"/>
      <c r="L138" s="684"/>
      <c r="M138" s="753"/>
      <c r="N138" s="683">
        <v>0</v>
      </c>
      <c r="O138" s="686"/>
      <c r="P138" s="683">
        <v>0</v>
      </c>
      <c r="Q138" s="687">
        <f t="shared" si="1"/>
        <v>0</v>
      </c>
      <c r="R138" s="688">
        <v>0</v>
      </c>
      <c r="S138" s="693"/>
      <c r="T138" s="690">
        <f t="shared" si="29"/>
        <v>0</v>
      </c>
      <c r="U138" s="683"/>
      <c r="V138" s="474">
        <f t="shared" si="30"/>
        <v>0</v>
      </c>
      <c r="W138" s="474">
        <f t="shared" si="31"/>
        <v>0</v>
      </c>
      <c r="X138" s="475">
        <f t="shared" si="32"/>
        <v>0</v>
      </c>
      <c r="Y138" s="475">
        <v>0</v>
      </c>
      <c r="Z138" s="476">
        <v>0</v>
      </c>
      <c r="AA138" s="38">
        <f t="shared" si="33"/>
        <v>0</v>
      </c>
      <c r="AB138" s="692">
        <f t="shared" si="26"/>
        <v>12.91</v>
      </c>
      <c r="AC138" s="692">
        <f t="shared" si="27"/>
        <v>0</v>
      </c>
      <c r="AD138" s="692">
        <f t="shared" si="34"/>
        <v>0</v>
      </c>
      <c r="AE138" s="38"/>
      <c r="AF138" s="692">
        <f t="shared" si="35"/>
        <v>0</v>
      </c>
      <c r="AG138" s="692">
        <f t="shared" si="36"/>
        <v>0</v>
      </c>
      <c r="AH138" s="692">
        <f t="shared" si="37"/>
        <v>0</v>
      </c>
    </row>
    <row r="139" spans="1:34" s="232" customFormat="1">
      <c r="A139" s="283"/>
      <c r="B139" s="283" t="s">
        <v>110</v>
      </c>
      <c r="C139" s="667" t="s">
        <v>555</v>
      </c>
      <c r="D139" s="123" t="s">
        <v>196</v>
      </c>
      <c r="E139" s="679"/>
      <c r="F139" s="529">
        <f>VLOOKUP(D139,'May 2012 DMV Revenue'!D:T,17,FALSE)</f>
        <v>0</v>
      </c>
      <c r="G139" s="680"/>
      <c r="H139" s="680"/>
      <c r="I139" s="770">
        <v>98.25</v>
      </c>
      <c r="J139" s="682">
        <f t="shared" si="28"/>
        <v>98.25</v>
      </c>
      <c r="K139" s="683"/>
      <c r="L139" s="684"/>
      <c r="M139" s="753"/>
      <c r="N139" s="683">
        <v>0</v>
      </c>
      <c r="O139" s="686"/>
      <c r="P139" s="683">
        <v>0</v>
      </c>
      <c r="Q139" s="687">
        <f t="shared" si="1"/>
        <v>0</v>
      </c>
      <c r="R139" s="688">
        <v>0</v>
      </c>
      <c r="S139" s="693"/>
      <c r="T139" s="690">
        <f t="shared" si="29"/>
        <v>0</v>
      </c>
      <c r="U139" s="683"/>
      <c r="V139" s="474">
        <f t="shared" si="30"/>
        <v>0</v>
      </c>
      <c r="W139" s="474">
        <f t="shared" si="31"/>
        <v>0</v>
      </c>
      <c r="X139" s="475">
        <f t="shared" si="32"/>
        <v>0</v>
      </c>
      <c r="Y139" s="475">
        <v>0</v>
      </c>
      <c r="Z139" s="476">
        <v>0</v>
      </c>
      <c r="AA139" s="38">
        <f t="shared" si="33"/>
        <v>0</v>
      </c>
      <c r="AB139" s="692">
        <f t="shared" si="26"/>
        <v>98.25</v>
      </c>
      <c r="AC139" s="692">
        <f t="shared" si="27"/>
        <v>0</v>
      </c>
      <c r="AD139" s="692">
        <f t="shared" si="34"/>
        <v>0</v>
      </c>
      <c r="AE139" s="38"/>
      <c r="AF139" s="692">
        <f t="shared" si="35"/>
        <v>0</v>
      </c>
      <c r="AG139" s="692">
        <f t="shared" si="36"/>
        <v>0</v>
      </c>
      <c r="AH139" s="692">
        <f t="shared" si="37"/>
        <v>0</v>
      </c>
    </row>
    <row r="140" spans="1:34" s="232" customFormat="1">
      <c r="A140" s="283"/>
      <c r="B140" s="283" t="s">
        <v>110</v>
      </c>
      <c r="C140" s="667" t="s">
        <v>555</v>
      </c>
      <c r="D140" s="123" t="s">
        <v>197</v>
      </c>
      <c r="E140" s="679"/>
      <c r="F140" s="529">
        <f>VLOOKUP(D140,'May 2012 DMV Revenue'!D:T,17,FALSE)</f>
        <v>0</v>
      </c>
      <c r="G140" s="680"/>
      <c r="H140" s="680"/>
      <c r="I140" s="770">
        <v>6.02</v>
      </c>
      <c r="J140" s="682">
        <f t="shared" si="28"/>
        <v>6.02</v>
      </c>
      <c r="K140" s="683"/>
      <c r="L140" s="684"/>
      <c r="M140" s="753"/>
      <c r="N140" s="683">
        <v>0</v>
      </c>
      <c r="O140" s="686"/>
      <c r="P140" s="683">
        <v>0</v>
      </c>
      <c r="Q140" s="687">
        <f t="shared" si="1"/>
        <v>0</v>
      </c>
      <c r="R140" s="688">
        <v>0</v>
      </c>
      <c r="S140" s="693"/>
      <c r="T140" s="690">
        <f t="shared" si="29"/>
        <v>0</v>
      </c>
      <c r="U140" s="683"/>
      <c r="V140" s="474">
        <f t="shared" si="30"/>
        <v>0</v>
      </c>
      <c r="W140" s="474">
        <f t="shared" si="31"/>
        <v>0</v>
      </c>
      <c r="X140" s="475">
        <f t="shared" si="32"/>
        <v>0</v>
      </c>
      <c r="Y140" s="475">
        <v>0</v>
      </c>
      <c r="Z140" s="476">
        <v>0</v>
      </c>
      <c r="AA140" s="38">
        <f t="shared" si="33"/>
        <v>0</v>
      </c>
      <c r="AB140" s="692">
        <f t="shared" si="26"/>
        <v>6.02</v>
      </c>
      <c r="AC140" s="692">
        <f t="shared" si="27"/>
        <v>0</v>
      </c>
      <c r="AD140" s="692">
        <f t="shared" si="34"/>
        <v>0</v>
      </c>
      <c r="AE140" s="38"/>
      <c r="AF140" s="692">
        <f t="shared" si="35"/>
        <v>0</v>
      </c>
      <c r="AG140" s="692">
        <f t="shared" si="36"/>
        <v>0</v>
      </c>
      <c r="AH140" s="692">
        <f t="shared" si="37"/>
        <v>0</v>
      </c>
    </row>
    <row r="141" spans="1:34" s="232" customFormat="1">
      <c r="A141" s="283"/>
      <c r="B141" s="283" t="s">
        <v>110</v>
      </c>
      <c r="C141" s="667" t="s">
        <v>555</v>
      </c>
      <c r="D141" s="123" t="s">
        <v>440</v>
      </c>
      <c r="E141" s="679"/>
      <c r="F141" s="529">
        <f>VLOOKUP(D141,'May 2012 DMV Revenue'!D:T,17,FALSE)</f>
        <v>0</v>
      </c>
      <c r="G141" s="680"/>
      <c r="H141" s="680"/>
      <c r="I141" s="770">
        <f>1136.52+162.37+172.46</f>
        <v>1471.35</v>
      </c>
      <c r="J141" s="682">
        <f t="shared" ref="J141:J204" si="39">SUM(E141:I141)</f>
        <v>1471.35</v>
      </c>
      <c r="K141" s="683"/>
      <c r="L141" s="684"/>
      <c r="M141" s="753"/>
      <c r="N141" s="683">
        <v>0</v>
      </c>
      <c r="O141" s="686"/>
      <c r="P141" s="683">
        <v>0</v>
      </c>
      <c r="Q141" s="687">
        <f t="shared" si="1"/>
        <v>0</v>
      </c>
      <c r="R141" s="688">
        <v>0</v>
      </c>
      <c r="S141" s="693"/>
      <c r="T141" s="690">
        <f t="shared" si="29"/>
        <v>0</v>
      </c>
      <c r="U141" s="683"/>
      <c r="V141" s="474">
        <f t="shared" si="30"/>
        <v>0</v>
      </c>
      <c r="W141" s="474">
        <f t="shared" si="31"/>
        <v>0</v>
      </c>
      <c r="X141" s="475">
        <f t="shared" si="32"/>
        <v>0</v>
      </c>
      <c r="Y141" s="475">
        <v>0</v>
      </c>
      <c r="Z141" s="476">
        <v>0</v>
      </c>
      <c r="AA141" s="38">
        <f t="shared" si="33"/>
        <v>0</v>
      </c>
      <c r="AB141" s="692">
        <f t="shared" si="26"/>
        <v>1471.35</v>
      </c>
      <c r="AC141" s="692">
        <f t="shared" si="27"/>
        <v>0</v>
      </c>
      <c r="AD141" s="692">
        <f t="shared" si="34"/>
        <v>0</v>
      </c>
      <c r="AE141" s="38"/>
      <c r="AF141" s="692">
        <f t="shared" si="35"/>
        <v>0</v>
      </c>
      <c r="AG141" s="692">
        <f t="shared" si="36"/>
        <v>0</v>
      </c>
      <c r="AH141" s="692">
        <f t="shared" si="37"/>
        <v>0</v>
      </c>
    </row>
    <row r="142" spans="1:34" s="232" customFormat="1">
      <c r="A142" s="283"/>
      <c r="B142" s="283" t="s">
        <v>110</v>
      </c>
      <c r="C142" s="667" t="s">
        <v>555</v>
      </c>
      <c r="D142" s="123" t="s">
        <v>481</v>
      </c>
      <c r="E142" s="679"/>
      <c r="F142" s="529">
        <f>VLOOKUP(D142,'May 2012 DMV Revenue'!D:T,17,FALSE)</f>
        <v>0</v>
      </c>
      <c r="G142" s="680"/>
      <c r="H142" s="680"/>
      <c r="I142" s="770">
        <v>489.17</v>
      </c>
      <c r="J142" s="682">
        <f t="shared" si="39"/>
        <v>489.17</v>
      </c>
      <c r="K142" s="683"/>
      <c r="L142" s="684"/>
      <c r="M142" s="753"/>
      <c r="N142" s="683">
        <v>0</v>
      </c>
      <c r="O142" s="686"/>
      <c r="P142" s="683">
        <v>0</v>
      </c>
      <c r="Q142" s="687">
        <f t="shared" si="1"/>
        <v>0</v>
      </c>
      <c r="R142" s="688">
        <v>0</v>
      </c>
      <c r="S142" s="693"/>
      <c r="T142" s="690">
        <f t="shared" si="29"/>
        <v>0</v>
      </c>
      <c r="U142" s="683"/>
      <c r="V142" s="474">
        <f t="shared" si="30"/>
        <v>0</v>
      </c>
      <c r="W142" s="474">
        <f t="shared" si="31"/>
        <v>0</v>
      </c>
      <c r="X142" s="475">
        <f t="shared" si="32"/>
        <v>0</v>
      </c>
      <c r="Y142" s="475">
        <v>0</v>
      </c>
      <c r="Z142" s="476">
        <v>0</v>
      </c>
      <c r="AA142" s="38">
        <f t="shared" si="33"/>
        <v>0</v>
      </c>
      <c r="AB142" s="692">
        <f t="shared" si="26"/>
        <v>489.17</v>
      </c>
      <c r="AC142" s="692">
        <f t="shared" si="27"/>
        <v>0</v>
      </c>
      <c r="AD142" s="692">
        <f t="shared" si="34"/>
        <v>0</v>
      </c>
      <c r="AE142" s="38"/>
      <c r="AF142" s="692">
        <f t="shared" si="35"/>
        <v>0</v>
      </c>
      <c r="AG142" s="692">
        <f t="shared" si="36"/>
        <v>0</v>
      </c>
      <c r="AH142" s="692">
        <f t="shared" si="37"/>
        <v>0</v>
      </c>
    </row>
    <row r="143" spans="1:34" s="232" customFormat="1">
      <c r="A143" s="283"/>
      <c r="B143" s="283" t="s">
        <v>109</v>
      </c>
      <c r="C143" s="667" t="s">
        <v>555</v>
      </c>
      <c r="D143" s="123" t="s">
        <v>248</v>
      </c>
      <c r="E143" s="679"/>
      <c r="F143" s="529">
        <f>VLOOKUP(D143,'May 2012 DMV Revenue'!D:T,17,FALSE)</f>
        <v>0</v>
      </c>
      <c r="G143" s="680"/>
      <c r="H143" s="680"/>
      <c r="I143" s="755"/>
      <c r="J143" s="682">
        <f t="shared" si="39"/>
        <v>0</v>
      </c>
      <c r="K143" s="683"/>
      <c r="L143" s="684"/>
      <c r="M143" s="753"/>
      <c r="N143" s="683">
        <v>0</v>
      </c>
      <c r="O143" s="686"/>
      <c r="P143" s="683">
        <v>0</v>
      </c>
      <c r="Q143" s="687">
        <f t="shared" si="1"/>
        <v>0</v>
      </c>
      <c r="R143" s="688">
        <v>0</v>
      </c>
      <c r="S143" s="693"/>
      <c r="T143" s="690">
        <f t="shared" si="29"/>
        <v>0</v>
      </c>
      <c r="U143" s="683"/>
      <c r="V143" s="474">
        <f t="shared" si="30"/>
        <v>0</v>
      </c>
      <c r="W143" s="474">
        <f t="shared" si="31"/>
        <v>0</v>
      </c>
      <c r="X143" s="475">
        <f t="shared" si="32"/>
        <v>0</v>
      </c>
      <c r="Y143" s="475">
        <v>0</v>
      </c>
      <c r="Z143" s="476">
        <v>0</v>
      </c>
      <c r="AA143" s="38">
        <f t="shared" si="33"/>
        <v>0</v>
      </c>
      <c r="AB143" s="692">
        <f t="shared" si="26"/>
        <v>0</v>
      </c>
      <c r="AC143" s="692">
        <f t="shared" si="27"/>
        <v>0</v>
      </c>
      <c r="AD143" s="692">
        <f t="shared" si="34"/>
        <v>0</v>
      </c>
      <c r="AE143" s="38"/>
      <c r="AF143" s="692">
        <f t="shared" si="35"/>
        <v>0</v>
      </c>
      <c r="AG143" s="692">
        <f t="shared" si="36"/>
        <v>0</v>
      </c>
      <c r="AH143" s="692">
        <f t="shared" si="37"/>
        <v>0</v>
      </c>
    </row>
    <row r="144" spans="1:34" s="232" customFormat="1">
      <c r="A144" s="283"/>
      <c r="B144" s="20" t="s">
        <v>109</v>
      </c>
      <c r="C144" s="667"/>
      <c r="D144" s="68" t="s">
        <v>465</v>
      </c>
      <c r="E144" s="679"/>
      <c r="F144" s="529">
        <f>VLOOKUP(D144,'May 2012 DMV Revenue'!D:T,17,FALSE)</f>
        <v>0</v>
      </c>
      <c r="G144" s="680"/>
      <c r="H144" s="680"/>
      <c r="I144" s="755"/>
      <c r="J144" s="682">
        <f t="shared" si="39"/>
        <v>0</v>
      </c>
      <c r="K144" s="683"/>
      <c r="L144" s="684"/>
      <c r="M144" s="753">
        <v>5000</v>
      </c>
      <c r="N144" s="683">
        <v>0</v>
      </c>
      <c r="O144" s="686"/>
      <c r="P144" s="683">
        <v>0</v>
      </c>
      <c r="Q144" s="687">
        <f t="shared" si="1"/>
        <v>5000</v>
      </c>
      <c r="R144" s="688">
        <v>0</v>
      </c>
      <c r="S144" s="693"/>
      <c r="T144" s="690">
        <f t="shared" si="29"/>
        <v>-5000</v>
      </c>
      <c r="U144" s="683"/>
      <c r="V144" s="474">
        <f t="shared" si="30"/>
        <v>0</v>
      </c>
      <c r="W144" s="474">
        <f t="shared" si="31"/>
        <v>5000</v>
      </c>
      <c r="X144" s="475">
        <f t="shared" si="32"/>
        <v>0</v>
      </c>
      <c r="Y144" s="475">
        <v>0</v>
      </c>
      <c r="Z144" s="476">
        <v>0</v>
      </c>
      <c r="AA144" s="38">
        <f t="shared" si="33"/>
        <v>0</v>
      </c>
      <c r="AB144" s="692">
        <f t="shared" si="26"/>
        <v>0</v>
      </c>
      <c r="AC144" s="692">
        <f t="shared" si="27"/>
        <v>0</v>
      </c>
      <c r="AD144" s="692">
        <f t="shared" si="34"/>
        <v>0</v>
      </c>
      <c r="AE144" s="38"/>
      <c r="AF144" s="692">
        <f t="shared" si="35"/>
        <v>0</v>
      </c>
      <c r="AG144" s="692">
        <f t="shared" si="36"/>
        <v>5000</v>
      </c>
      <c r="AH144" s="692">
        <f t="shared" si="37"/>
        <v>0</v>
      </c>
    </row>
    <row r="145" spans="1:34">
      <c r="A145" s="21"/>
      <c r="B145" s="21" t="s">
        <v>109</v>
      </c>
      <c r="C145" s="666"/>
      <c r="D145" s="68" t="s">
        <v>31</v>
      </c>
      <c r="E145" s="679"/>
      <c r="F145" s="529">
        <f>VLOOKUP(D145,'May 2012 DMV Revenue'!D:T,17,FALSE)</f>
        <v>0</v>
      </c>
      <c r="G145" s="680"/>
      <c r="H145" s="680"/>
      <c r="I145" s="755"/>
      <c r="J145" s="682">
        <f t="shared" si="39"/>
        <v>0</v>
      </c>
      <c r="K145" s="683"/>
      <c r="L145" s="684"/>
      <c r="M145" s="753"/>
      <c r="N145" s="683">
        <v>0</v>
      </c>
      <c r="O145" s="686"/>
      <c r="P145" s="683">
        <v>0</v>
      </c>
      <c r="Q145" s="687">
        <f t="shared" si="1"/>
        <v>0</v>
      </c>
      <c r="R145" s="688">
        <v>0</v>
      </c>
      <c r="S145" s="693"/>
      <c r="T145" s="690">
        <f t="shared" si="29"/>
        <v>0</v>
      </c>
      <c r="U145" s="683"/>
      <c r="V145" s="474">
        <f t="shared" si="30"/>
        <v>0</v>
      </c>
      <c r="W145" s="474">
        <f t="shared" si="31"/>
        <v>0</v>
      </c>
      <c r="X145" s="475">
        <f t="shared" si="32"/>
        <v>0</v>
      </c>
      <c r="Y145" s="475">
        <v>0</v>
      </c>
      <c r="Z145" s="476">
        <v>0</v>
      </c>
      <c r="AA145" s="38">
        <f t="shared" si="33"/>
        <v>0</v>
      </c>
      <c r="AB145" s="692">
        <f t="shared" si="26"/>
        <v>0</v>
      </c>
      <c r="AC145" s="692">
        <f t="shared" si="27"/>
        <v>0</v>
      </c>
      <c r="AD145" s="692">
        <f t="shared" si="34"/>
        <v>0</v>
      </c>
      <c r="AE145" s="38"/>
      <c r="AF145" s="692">
        <f t="shared" si="35"/>
        <v>0</v>
      </c>
      <c r="AG145" s="692">
        <f t="shared" si="36"/>
        <v>0</v>
      </c>
      <c r="AH145" s="692">
        <f t="shared" si="37"/>
        <v>0</v>
      </c>
    </row>
    <row r="146" spans="1:34">
      <c r="A146" s="21"/>
      <c r="B146" s="21" t="s">
        <v>110</v>
      </c>
      <c r="C146" s="666" t="s">
        <v>556</v>
      </c>
      <c r="D146" s="68" t="s">
        <v>261</v>
      </c>
      <c r="E146" s="679"/>
      <c r="F146" s="529">
        <f>VLOOKUP(D146,'May 2012 DMV Revenue'!D:T,17,FALSE)</f>
        <v>-3217.2699999999895</v>
      </c>
      <c r="G146" s="680"/>
      <c r="H146" s="680"/>
      <c r="I146" s="755"/>
      <c r="J146" s="682">
        <f t="shared" si="39"/>
        <v>-3217.2699999999895</v>
      </c>
      <c r="K146" s="683"/>
      <c r="L146" s="684"/>
      <c r="M146" s="753">
        <v>90000</v>
      </c>
      <c r="N146" s="683">
        <v>0</v>
      </c>
      <c r="O146" s="686"/>
      <c r="P146" s="683">
        <v>0</v>
      </c>
      <c r="Q146" s="687">
        <f t="shared" si="1"/>
        <v>90000</v>
      </c>
      <c r="R146" s="688">
        <f>96906.45-R147</f>
        <v>86476.33</v>
      </c>
      <c r="S146" s="693"/>
      <c r="T146" s="690">
        <f t="shared" ref="T146:T209" si="40">IF(R146="","",R146-Q146)</f>
        <v>-3523.6699999999983</v>
      </c>
      <c r="U146" s="683"/>
      <c r="V146" s="474">
        <f t="shared" si="30"/>
        <v>90000</v>
      </c>
      <c r="W146" s="474">
        <f t="shared" si="31"/>
        <v>0</v>
      </c>
      <c r="X146" s="475">
        <f t="shared" si="32"/>
        <v>0</v>
      </c>
      <c r="Y146" s="475">
        <v>0</v>
      </c>
      <c r="Z146" s="476">
        <v>0</v>
      </c>
      <c r="AA146" s="38">
        <f t="shared" si="33"/>
        <v>0</v>
      </c>
      <c r="AB146" s="692">
        <f t="shared" si="26"/>
        <v>-3217.2699999999895</v>
      </c>
      <c r="AC146" s="692">
        <f t="shared" ref="AC146:AC207" si="41">IF(B146="M",J146,0)</f>
        <v>0</v>
      </c>
      <c r="AD146" s="692">
        <f t="shared" si="34"/>
        <v>0</v>
      </c>
      <c r="AE146" s="38"/>
      <c r="AF146" s="692">
        <f t="shared" si="35"/>
        <v>90000</v>
      </c>
      <c r="AG146" s="692">
        <f t="shared" si="36"/>
        <v>0</v>
      </c>
      <c r="AH146" s="692">
        <f t="shared" si="37"/>
        <v>0</v>
      </c>
    </row>
    <row r="147" spans="1:34" s="269" customFormat="1">
      <c r="A147" s="21"/>
      <c r="B147" s="21" t="s">
        <v>110</v>
      </c>
      <c r="C147" s="666" t="s">
        <v>556</v>
      </c>
      <c r="D147" s="68" t="s">
        <v>262</v>
      </c>
      <c r="E147" s="679"/>
      <c r="F147" s="529">
        <f>VLOOKUP(D147,'May 2012 DMV Revenue'!D:T,17,FALSE)</f>
        <v>11598.73</v>
      </c>
      <c r="G147" s="680"/>
      <c r="H147" s="680"/>
      <c r="I147" s="755"/>
      <c r="J147" s="682">
        <f t="shared" si="39"/>
        <v>11598.73</v>
      </c>
      <c r="K147" s="683"/>
      <c r="L147" s="684"/>
      <c r="M147" s="753">
        <v>10000</v>
      </c>
      <c r="N147" s="683">
        <v>0</v>
      </c>
      <c r="O147" s="686"/>
      <c r="P147" s="683">
        <v>0</v>
      </c>
      <c r="Q147" s="687">
        <f t="shared" si="1"/>
        <v>10000</v>
      </c>
      <c r="R147" s="688">
        <v>10430.120000000001</v>
      </c>
      <c r="S147" s="693"/>
      <c r="T147" s="690">
        <f t="shared" si="40"/>
        <v>430.1200000000008</v>
      </c>
      <c r="U147" s="683"/>
      <c r="V147" s="474">
        <f t="shared" si="30"/>
        <v>10000</v>
      </c>
      <c r="W147" s="474">
        <f t="shared" si="31"/>
        <v>0</v>
      </c>
      <c r="X147" s="475">
        <f t="shared" si="32"/>
        <v>0</v>
      </c>
      <c r="Y147" s="475">
        <v>0</v>
      </c>
      <c r="Z147" s="476">
        <v>0</v>
      </c>
      <c r="AA147" s="38">
        <f t="shared" si="33"/>
        <v>0</v>
      </c>
      <c r="AB147" s="692">
        <f t="shared" ref="AB147:AB207" si="42">IF(B147="D",J147,0)</f>
        <v>11598.73</v>
      </c>
      <c r="AC147" s="692">
        <f t="shared" si="41"/>
        <v>0</v>
      </c>
      <c r="AD147" s="692">
        <f t="shared" si="34"/>
        <v>0</v>
      </c>
      <c r="AE147" s="38"/>
      <c r="AF147" s="692">
        <f t="shared" si="35"/>
        <v>10000</v>
      </c>
      <c r="AG147" s="692">
        <f t="shared" si="36"/>
        <v>0</v>
      </c>
      <c r="AH147" s="692">
        <f t="shared" si="37"/>
        <v>0</v>
      </c>
    </row>
    <row r="148" spans="1:34" s="269" customFormat="1">
      <c r="A148" s="21"/>
      <c r="B148" s="21" t="s">
        <v>114</v>
      </c>
      <c r="C148" s="675" t="s">
        <v>619</v>
      </c>
      <c r="D148" s="68" t="s">
        <v>626</v>
      </c>
      <c r="E148" s="679"/>
      <c r="F148" s="529">
        <f>VLOOKUP(D148,'May 2012 DMV Revenue'!D:T,17,FALSE)</f>
        <v>-886.38000000000011</v>
      </c>
      <c r="G148" s="680"/>
      <c r="H148" s="680"/>
      <c r="I148" s="770">
        <v>6985.76</v>
      </c>
      <c r="J148" s="682">
        <f t="shared" ref="J148" si="43">SUM(E148:I148)</f>
        <v>6099.38</v>
      </c>
      <c r="K148" s="683"/>
      <c r="L148" s="684"/>
      <c r="M148" s="753"/>
      <c r="N148" s="683">
        <v>0</v>
      </c>
      <c r="O148" s="686"/>
      <c r="P148" s="683">
        <v>0</v>
      </c>
      <c r="Q148" s="687">
        <f t="shared" ref="Q148:Q211" si="44">L148+M148</f>
        <v>0</v>
      </c>
      <c r="R148" s="688">
        <v>0</v>
      </c>
      <c r="S148" s="693"/>
      <c r="T148" s="690">
        <f t="shared" si="40"/>
        <v>0</v>
      </c>
      <c r="U148" s="683"/>
      <c r="V148" s="474">
        <f t="shared" ref="V148:V211" si="45">IF(B148="D",Q148,0)</f>
        <v>0</v>
      </c>
      <c r="W148" s="474">
        <f t="shared" ref="W148:W211" si="46">IF(B148="M",Q148,0)</f>
        <v>0</v>
      </c>
      <c r="X148" s="475">
        <f t="shared" ref="X148:X211" si="47">IF(B148="V",Q148,0)</f>
        <v>0</v>
      </c>
      <c r="Y148" s="475">
        <v>0</v>
      </c>
      <c r="Z148" s="476">
        <v>0</v>
      </c>
      <c r="AA148" s="38">
        <f t="shared" ref="AA148:AA211" si="48">(L148+M148)-(V148+W148+X148+Y148+Z148)</f>
        <v>0</v>
      </c>
      <c r="AB148" s="692">
        <f t="shared" si="42"/>
        <v>0</v>
      </c>
      <c r="AC148" s="692">
        <f t="shared" si="41"/>
        <v>0</v>
      </c>
      <c r="AD148" s="692">
        <f t="shared" ref="AD148:AD207" si="49">IF(B148="V",J148,0)</f>
        <v>6099.38</v>
      </c>
      <c r="AE148" s="38"/>
      <c r="AF148" s="692">
        <f t="shared" ref="AF148:AF209" si="50">IF(B148="D",Q148,0)</f>
        <v>0</v>
      </c>
      <c r="AG148" s="692">
        <f t="shared" ref="AG148:AG209" si="51">IF(B148="M",Q148,0)</f>
        <v>0</v>
      </c>
      <c r="AH148" s="692">
        <f t="shared" ref="AH148:AH209" si="52">IF(B148="V",Q148,0)</f>
        <v>0</v>
      </c>
    </row>
    <row r="149" spans="1:34">
      <c r="A149" s="21"/>
      <c r="B149" s="21" t="s">
        <v>109</v>
      </c>
      <c r="C149" s="666"/>
      <c r="D149" s="68" t="s">
        <v>190</v>
      </c>
      <c r="E149" s="679"/>
      <c r="F149" s="529">
        <f>VLOOKUP(D149,'May 2012 DMV Revenue'!D:T,17,FALSE)</f>
        <v>0</v>
      </c>
      <c r="G149" s="680"/>
      <c r="H149" s="680"/>
      <c r="I149" s="755"/>
      <c r="J149" s="682">
        <f t="shared" si="39"/>
        <v>0</v>
      </c>
      <c r="K149" s="683"/>
      <c r="L149" s="684"/>
      <c r="M149" s="753"/>
      <c r="N149" s="683">
        <v>0</v>
      </c>
      <c r="O149" s="686"/>
      <c r="P149" s="683">
        <v>0</v>
      </c>
      <c r="Q149" s="687">
        <f t="shared" si="44"/>
        <v>0</v>
      </c>
      <c r="R149" s="688">
        <v>0</v>
      </c>
      <c r="S149" s="693"/>
      <c r="T149" s="690">
        <f t="shared" si="40"/>
        <v>0</v>
      </c>
      <c r="U149" s="683"/>
      <c r="V149" s="474">
        <f t="shared" si="45"/>
        <v>0</v>
      </c>
      <c r="W149" s="474">
        <f t="shared" si="46"/>
        <v>0</v>
      </c>
      <c r="X149" s="475">
        <f t="shared" si="47"/>
        <v>0</v>
      </c>
      <c r="Y149" s="475">
        <v>0</v>
      </c>
      <c r="Z149" s="476">
        <v>0</v>
      </c>
      <c r="AA149" s="38">
        <f t="shared" si="48"/>
        <v>0</v>
      </c>
      <c r="AB149" s="692">
        <f t="shared" si="42"/>
        <v>0</v>
      </c>
      <c r="AC149" s="692">
        <f t="shared" si="41"/>
        <v>0</v>
      </c>
      <c r="AD149" s="692">
        <f t="shared" si="49"/>
        <v>0</v>
      </c>
      <c r="AE149" s="38"/>
      <c r="AF149" s="692">
        <f t="shared" si="50"/>
        <v>0</v>
      </c>
      <c r="AG149" s="692">
        <f t="shared" si="51"/>
        <v>0</v>
      </c>
      <c r="AH149" s="692">
        <f t="shared" si="52"/>
        <v>0</v>
      </c>
    </row>
    <row r="150" spans="1:34">
      <c r="A150" s="21"/>
      <c r="B150" s="21" t="s">
        <v>109</v>
      </c>
      <c r="C150" s="666"/>
      <c r="D150" s="68" t="s">
        <v>231</v>
      </c>
      <c r="E150" s="679"/>
      <c r="F150" s="529">
        <f>VLOOKUP(D150,'May 2012 DMV Revenue'!D:T,17,FALSE)</f>
        <v>0</v>
      </c>
      <c r="G150" s="680"/>
      <c r="H150" s="680"/>
      <c r="I150" s="755"/>
      <c r="J150" s="682">
        <f t="shared" si="39"/>
        <v>0</v>
      </c>
      <c r="K150" s="683"/>
      <c r="L150" s="684"/>
      <c r="M150" s="753"/>
      <c r="N150" s="683">
        <v>0</v>
      </c>
      <c r="O150" s="686"/>
      <c r="P150" s="683">
        <v>0</v>
      </c>
      <c r="Q150" s="687">
        <f t="shared" si="44"/>
        <v>0</v>
      </c>
      <c r="R150" s="688">
        <v>0</v>
      </c>
      <c r="S150" s="693"/>
      <c r="T150" s="690">
        <f t="shared" si="40"/>
        <v>0</v>
      </c>
      <c r="U150" s="683"/>
      <c r="V150" s="474">
        <f t="shared" si="45"/>
        <v>0</v>
      </c>
      <c r="W150" s="474">
        <f t="shared" si="46"/>
        <v>0</v>
      </c>
      <c r="X150" s="475">
        <f t="shared" si="47"/>
        <v>0</v>
      </c>
      <c r="Y150" s="475">
        <v>0</v>
      </c>
      <c r="Z150" s="476">
        <v>0</v>
      </c>
      <c r="AA150" s="38">
        <f t="shared" si="48"/>
        <v>0</v>
      </c>
      <c r="AB150" s="692">
        <f t="shared" si="42"/>
        <v>0</v>
      </c>
      <c r="AC150" s="692">
        <f t="shared" si="41"/>
        <v>0</v>
      </c>
      <c r="AD150" s="692">
        <f t="shared" si="49"/>
        <v>0</v>
      </c>
      <c r="AE150" s="38"/>
      <c r="AF150" s="692">
        <f t="shared" si="50"/>
        <v>0</v>
      </c>
      <c r="AG150" s="692">
        <f t="shared" si="51"/>
        <v>0</v>
      </c>
      <c r="AH150" s="692">
        <f t="shared" si="52"/>
        <v>0</v>
      </c>
    </row>
    <row r="151" spans="1:34">
      <c r="A151" s="21"/>
      <c r="B151" s="21" t="s">
        <v>109</v>
      </c>
      <c r="C151" s="666"/>
      <c r="D151" s="68" t="s">
        <v>396</v>
      </c>
      <c r="E151" s="679"/>
      <c r="F151" s="529">
        <f>VLOOKUP(D151,'May 2012 DMV Revenue'!D:T,17,FALSE)</f>
        <v>0</v>
      </c>
      <c r="G151" s="680"/>
      <c r="H151" s="680"/>
      <c r="I151" s="755"/>
      <c r="J151" s="682">
        <f t="shared" si="39"/>
        <v>0</v>
      </c>
      <c r="K151" s="683"/>
      <c r="L151" s="684"/>
      <c r="M151" s="753"/>
      <c r="N151" s="683">
        <v>0</v>
      </c>
      <c r="O151" s="686"/>
      <c r="P151" s="683">
        <v>0</v>
      </c>
      <c r="Q151" s="687">
        <f t="shared" si="44"/>
        <v>0</v>
      </c>
      <c r="R151" s="688">
        <v>18.14</v>
      </c>
      <c r="S151" s="693"/>
      <c r="T151" s="690">
        <f t="shared" si="40"/>
        <v>18.14</v>
      </c>
      <c r="U151" s="683"/>
      <c r="V151" s="474">
        <f t="shared" si="45"/>
        <v>0</v>
      </c>
      <c r="W151" s="474">
        <f t="shared" si="46"/>
        <v>0</v>
      </c>
      <c r="X151" s="475">
        <f t="shared" si="47"/>
        <v>0</v>
      </c>
      <c r="Y151" s="475">
        <v>0</v>
      </c>
      <c r="Z151" s="476">
        <v>0</v>
      </c>
      <c r="AA151" s="38">
        <f t="shared" si="48"/>
        <v>0</v>
      </c>
      <c r="AB151" s="692">
        <f t="shared" si="42"/>
        <v>0</v>
      </c>
      <c r="AC151" s="692">
        <f t="shared" si="41"/>
        <v>0</v>
      </c>
      <c r="AD151" s="692">
        <f t="shared" si="49"/>
        <v>0</v>
      </c>
      <c r="AE151" s="38"/>
      <c r="AF151" s="692">
        <f t="shared" si="50"/>
        <v>0</v>
      </c>
      <c r="AG151" s="692">
        <f t="shared" si="51"/>
        <v>0</v>
      </c>
      <c r="AH151" s="692">
        <f t="shared" si="52"/>
        <v>0</v>
      </c>
    </row>
    <row r="152" spans="1:34">
      <c r="A152" s="20"/>
      <c r="B152" s="20" t="s">
        <v>109</v>
      </c>
      <c r="C152" s="667" t="s">
        <v>557</v>
      </c>
      <c r="D152" s="68" t="s">
        <v>32</v>
      </c>
      <c r="E152" s="679"/>
      <c r="F152" s="529">
        <f>VLOOKUP(D152,'May 2012 DMV Revenue'!D:T,17,FALSE)</f>
        <v>0</v>
      </c>
      <c r="G152" s="680"/>
      <c r="H152" s="680"/>
      <c r="I152" s="770">
        <v>313.66000000000003</v>
      </c>
      <c r="J152" s="682">
        <f t="shared" si="39"/>
        <v>313.66000000000003</v>
      </c>
      <c r="K152" s="683"/>
      <c r="L152" s="684"/>
      <c r="M152" s="753"/>
      <c r="N152" s="683">
        <v>0</v>
      </c>
      <c r="O152" s="686"/>
      <c r="P152" s="683">
        <v>0</v>
      </c>
      <c r="Q152" s="687">
        <f t="shared" si="44"/>
        <v>0</v>
      </c>
      <c r="R152" s="688">
        <v>0</v>
      </c>
      <c r="S152" s="693"/>
      <c r="T152" s="690">
        <f t="shared" si="40"/>
        <v>0</v>
      </c>
      <c r="U152" s="683"/>
      <c r="V152" s="474">
        <f t="shared" si="45"/>
        <v>0</v>
      </c>
      <c r="W152" s="474">
        <f t="shared" si="46"/>
        <v>0</v>
      </c>
      <c r="X152" s="475">
        <f t="shared" si="47"/>
        <v>0</v>
      </c>
      <c r="Y152" s="475">
        <v>0</v>
      </c>
      <c r="Z152" s="476">
        <v>0</v>
      </c>
      <c r="AA152" s="38">
        <f t="shared" si="48"/>
        <v>0</v>
      </c>
      <c r="AB152" s="692">
        <f t="shared" si="42"/>
        <v>0</v>
      </c>
      <c r="AC152" s="692">
        <f t="shared" si="41"/>
        <v>313.66000000000003</v>
      </c>
      <c r="AD152" s="692">
        <f t="shared" si="49"/>
        <v>0</v>
      </c>
      <c r="AE152" s="38"/>
      <c r="AF152" s="692">
        <f t="shared" si="50"/>
        <v>0</v>
      </c>
      <c r="AG152" s="692">
        <f t="shared" si="51"/>
        <v>0</v>
      </c>
      <c r="AH152" s="692">
        <f t="shared" si="52"/>
        <v>0</v>
      </c>
    </row>
    <row r="153" spans="1:34">
      <c r="A153" s="21"/>
      <c r="B153" s="21" t="s">
        <v>110</v>
      </c>
      <c r="C153" s="666"/>
      <c r="D153" s="68" t="s">
        <v>448</v>
      </c>
      <c r="E153" s="679"/>
      <c r="F153" s="529">
        <f>VLOOKUP(D153,'May 2012 DMV Revenue'!D:T,17,FALSE)</f>
        <v>0</v>
      </c>
      <c r="G153" s="680"/>
      <c r="H153" s="680"/>
      <c r="I153" s="755"/>
      <c r="J153" s="682">
        <f t="shared" si="39"/>
        <v>0</v>
      </c>
      <c r="K153" s="683"/>
      <c r="L153" s="684"/>
      <c r="M153" s="753"/>
      <c r="N153" s="683">
        <v>0</v>
      </c>
      <c r="O153" s="686"/>
      <c r="P153" s="683">
        <v>0</v>
      </c>
      <c r="Q153" s="687">
        <f t="shared" si="44"/>
        <v>0</v>
      </c>
      <c r="R153" s="688">
        <v>0</v>
      </c>
      <c r="S153" s="693"/>
      <c r="T153" s="690">
        <f t="shared" si="40"/>
        <v>0</v>
      </c>
      <c r="U153" s="683"/>
      <c r="V153" s="474">
        <f t="shared" si="45"/>
        <v>0</v>
      </c>
      <c r="W153" s="474">
        <f t="shared" si="46"/>
        <v>0</v>
      </c>
      <c r="X153" s="475">
        <f t="shared" si="47"/>
        <v>0</v>
      </c>
      <c r="Y153" s="475">
        <v>0</v>
      </c>
      <c r="Z153" s="476">
        <v>0</v>
      </c>
      <c r="AA153" s="38">
        <f t="shared" si="48"/>
        <v>0</v>
      </c>
      <c r="AB153" s="692">
        <f t="shared" si="42"/>
        <v>0</v>
      </c>
      <c r="AC153" s="692">
        <f t="shared" si="41"/>
        <v>0</v>
      </c>
      <c r="AD153" s="692">
        <f t="shared" si="49"/>
        <v>0</v>
      </c>
      <c r="AE153" s="38"/>
      <c r="AF153" s="692">
        <f t="shared" si="50"/>
        <v>0</v>
      </c>
      <c r="AG153" s="692">
        <f t="shared" si="51"/>
        <v>0</v>
      </c>
      <c r="AH153" s="692">
        <f t="shared" si="52"/>
        <v>0</v>
      </c>
    </row>
    <row r="154" spans="1:34">
      <c r="A154" s="21"/>
      <c r="B154" s="21" t="s">
        <v>110</v>
      </c>
      <c r="C154" s="666" t="s">
        <v>558</v>
      </c>
      <c r="D154" s="68" t="s">
        <v>122</v>
      </c>
      <c r="E154" s="679">
        <f>1894.18+1291.86</f>
        <v>3186.04</v>
      </c>
      <c r="F154" s="529">
        <f>VLOOKUP(D154,'May 2012 DMV Revenue'!D:T,17,FALSE)</f>
        <v>-25000</v>
      </c>
      <c r="G154" s="680"/>
      <c r="H154" s="680"/>
      <c r="I154" s="755"/>
      <c r="J154" s="682">
        <f t="shared" si="39"/>
        <v>-21813.96</v>
      </c>
      <c r="K154" s="683"/>
      <c r="L154" s="684"/>
      <c r="M154" s="753">
        <v>20000</v>
      </c>
      <c r="N154" s="683">
        <v>0</v>
      </c>
      <c r="O154" s="686"/>
      <c r="P154" s="683">
        <v>0</v>
      </c>
      <c r="Q154" s="687">
        <f t="shared" si="44"/>
        <v>20000</v>
      </c>
      <c r="R154" s="688">
        <v>0</v>
      </c>
      <c r="S154" s="693"/>
      <c r="T154" s="690">
        <f t="shared" si="40"/>
        <v>-20000</v>
      </c>
      <c r="U154" s="683"/>
      <c r="V154" s="474">
        <f t="shared" si="45"/>
        <v>20000</v>
      </c>
      <c r="W154" s="474">
        <f t="shared" si="46"/>
        <v>0</v>
      </c>
      <c r="X154" s="475">
        <f t="shared" si="47"/>
        <v>0</v>
      </c>
      <c r="Y154" s="475">
        <v>0</v>
      </c>
      <c r="Z154" s="476">
        <v>0</v>
      </c>
      <c r="AA154" s="38">
        <f t="shared" si="48"/>
        <v>0</v>
      </c>
      <c r="AB154" s="692">
        <f t="shared" si="42"/>
        <v>-21813.96</v>
      </c>
      <c r="AC154" s="692">
        <f t="shared" si="41"/>
        <v>0</v>
      </c>
      <c r="AD154" s="692">
        <f t="shared" si="49"/>
        <v>0</v>
      </c>
      <c r="AE154" s="38"/>
      <c r="AF154" s="692">
        <f t="shared" si="50"/>
        <v>20000</v>
      </c>
      <c r="AG154" s="692">
        <f t="shared" si="51"/>
        <v>0</v>
      </c>
      <c r="AH154" s="692">
        <f t="shared" si="52"/>
        <v>0</v>
      </c>
    </row>
    <row r="155" spans="1:34">
      <c r="A155" s="21"/>
      <c r="B155" s="21" t="s">
        <v>114</v>
      </c>
      <c r="C155" s="666" t="s">
        <v>558</v>
      </c>
      <c r="D155" s="68" t="s">
        <v>629</v>
      </c>
      <c r="E155" s="679">
        <v>1.77</v>
      </c>
      <c r="F155" s="529">
        <f>VLOOKUP(D155,'May 2012 DMV Revenue'!D:T,17,FALSE)</f>
        <v>0</v>
      </c>
      <c r="G155" s="680"/>
      <c r="H155" s="680"/>
      <c r="I155" s="755"/>
      <c r="J155" s="682">
        <f t="shared" ref="J155" si="53">SUM(E155:I155)</f>
        <v>1.77</v>
      </c>
      <c r="K155" s="683"/>
      <c r="L155" s="684"/>
      <c r="M155" s="753"/>
      <c r="N155" s="683">
        <v>0</v>
      </c>
      <c r="O155" s="686"/>
      <c r="P155" s="683">
        <v>0</v>
      </c>
      <c r="Q155" s="687">
        <f t="shared" si="44"/>
        <v>0</v>
      </c>
      <c r="R155" s="688">
        <v>0</v>
      </c>
      <c r="S155" s="693"/>
      <c r="T155" s="690">
        <f t="shared" si="40"/>
        <v>0</v>
      </c>
      <c r="U155" s="683"/>
      <c r="V155" s="474">
        <f t="shared" si="45"/>
        <v>0</v>
      </c>
      <c r="W155" s="474">
        <f t="shared" si="46"/>
        <v>0</v>
      </c>
      <c r="X155" s="475">
        <f t="shared" si="47"/>
        <v>0</v>
      </c>
      <c r="Y155" s="475">
        <v>0</v>
      </c>
      <c r="Z155" s="476">
        <v>0</v>
      </c>
      <c r="AA155" s="38">
        <f t="shared" si="48"/>
        <v>0</v>
      </c>
      <c r="AB155" s="692">
        <f t="shared" si="42"/>
        <v>0</v>
      </c>
      <c r="AC155" s="692">
        <f t="shared" si="41"/>
        <v>0</v>
      </c>
      <c r="AD155" s="692">
        <f t="shared" si="49"/>
        <v>1.77</v>
      </c>
      <c r="AE155" s="38"/>
      <c r="AF155" s="692">
        <f t="shared" si="50"/>
        <v>0</v>
      </c>
      <c r="AG155" s="692">
        <f t="shared" si="51"/>
        <v>0</v>
      </c>
      <c r="AH155" s="692">
        <f t="shared" si="52"/>
        <v>0</v>
      </c>
    </row>
    <row r="156" spans="1:34">
      <c r="A156" s="21"/>
      <c r="B156" s="21" t="s">
        <v>109</v>
      </c>
      <c r="C156" s="666" t="s">
        <v>559</v>
      </c>
      <c r="D156" s="68" t="s">
        <v>33</v>
      </c>
      <c r="E156" s="679"/>
      <c r="F156" s="529">
        <f>VLOOKUP(D156,'May 2012 DMV Revenue'!D:T,17,FALSE)</f>
        <v>-5000</v>
      </c>
      <c r="G156" s="680"/>
      <c r="H156" s="680"/>
      <c r="I156" s="755"/>
      <c r="J156" s="682">
        <f t="shared" si="39"/>
        <v>-5000</v>
      </c>
      <c r="K156" s="683"/>
      <c r="L156" s="684"/>
      <c r="M156" s="753">
        <v>10000</v>
      </c>
      <c r="N156" s="683">
        <v>0</v>
      </c>
      <c r="O156" s="686"/>
      <c r="P156" s="683">
        <v>0</v>
      </c>
      <c r="Q156" s="687">
        <f t="shared" si="44"/>
        <v>10000</v>
      </c>
      <c r="R156" s="688">
        <v>0</v>
      </c>
      <c r="S156" s="693"/>
      <c r="T156" s="690">
        <f t="shared" si="40"/>
        <v>-10000</v>
      </c>
      <c r="U156" s="683"/>
      <c r="V156" s="474">
        <f t="shared" si="45"/>
        <v>0</v>
      </c>
      <c r="W156" s="474">
        <f t="shared" si="46"/>
        <v>10000</v>
      </c>
      <c r="X156" s="475">
        <f t="shared" si="47"/>
        <v>0</v>
      </c>
      <c r="Y156" s="475">
        <v>0</v>
      </c>
      <c r="Z156" s="476">
        <v>0</v>
      </c>
      <c r="AA156" s="38">
        <f t="shared" si="48"/>
        <v>0</v>
      </c>
      <c r="AB156" s="692">
        <f t="shared" si="42"/>
        <v>0</v>
      </c>
      <c r="AC156" s="692">
        <f t="shared" si="41"/>
        <v>-5000</v>
      </c>
      <c r="AD156" s="692">
        <f t="shared" si="49"/>
        <v>0</v>
      </c>
      <c r="AE156" s="38"/>
      <c r="AF156" s="692">
        <f t="shared" si="50"/>
        <v>0</v>
      </c>
      <c r="AG156" s="692">
        <f t="shared" si="51"/>
        <v>10000</v>
      </c>
      <c r="AH156" s="692">
        <f t="shared" si="52"/>
        <v>0</v>
      </c>
    </row>
    <row r="157" spans="1:34">
      <c r="A157" s="21"/>
      <c r="B157" s="21" t="s">
        <v>109</v>
      </c>
      <c r="C157" s="666" t="s">
        <v>560</v>
      </c>
      <c r="D157" s="68" t="s">
        <v>379</v>
      </c>
      <c r="E157" s="679"/>
      <c r="F157" s="529">
        <f>VLOOKUP(D157,'May 2012 DMV Revenue'!D:T,17,FALSE)</f>
        <v>168.74</v>
      </c>
      <c r="G157" s="680"/>
      <c r="H157" s="680"/>
      <c r="I157" s="755"/>
      <c r="J157" s="682">
        <f t="shared" si="39"/>
        <v>168.74</v>
      </c>
      <c r="K157" s="683"/>
      <c r="L157" s="684"/>
      <c r="M157" s="753"/>
      <c r="N157" s="683">
        <v>0</v>
      </c>
      <c r="O157" s="686"/>
      <c r="P157" s="683">
        <v>0</v>
      </c>
      <c r="Q157" s="687">
        <f t="shared" si="44"/>
        <v>0</v>
      </c>
      <c r="R157" s="688">
        <v>157.24</v>
      </c>
      <c r="S157" s="693"/>
      <c r="T157" s="690">
        <f t="shared" si="40"/>
        <v>157.24</v>
      </c>
      <c r="U157" s="683"/>
      <c r="V157" s="474">
        <f t="shared" si="45"/>
        <v>0</v>
      </c>
      <c r="W157" s="474">
        <f t="shared" si="46"/>
        <v>0</v>
      </c>
      <c r="X157" s="475">
        <f t="shared" si="47"/>
        <v>0</v>
      </c>
      <c r="Y157" s="475">
        <v>0</v>
      </c>
      <c r="Z157" s="476">
        <v>0</v>
      </c>
      <c r="AA157" s="38">
        <f t="shared" si="48"/>
        <v>0</v>
      </c>
      <c r="AB157" s="692">
        <f t="shared" si="42"/>
        <v>0</v>
      </c>
      <c r="AC157" s="692">
        <f t="shared" si="41"/>
        <v>168.74</v>
      </c>
      <c r="AD157" s="692">
        <f t="shared" si="49"/>
        <v>0</v>
      </c>
      <c r="AE157" s="38"/>
      <c r="AF157" s="692">
        <f t="shared" si="50"/>
        <v>0</v>
      </c>
      <c r="AG157" s="692">
        <f t="shared" si="51"/>
        <v>0</v>
      </c>
      <c r="AH157" s="692">
        <f t="shared" si="52"/>
        <v>0</v>
      </c>
    </row>
    <row r="158" spans="1:34" s="232" customFormat="1">
      <c r="A158" s="283"/>
      <c r="B158" s="283" t="s">
        <v>110</v>
      </c>
      <c r="C158" s="667" t="s">
        <v>561</v>
      </c>
      <c r="D158" s="455" t="s">
        <v>322</v>
      </c>
      <c r="E158" s="679"/>
      <c r="F158" s="529">
        <f>VLOOKUP(D158,'May 2012 DMV Revenue'!D:T,17,FALSE)</f>
        <v>0</v>
      </c>
      <c r="G158" s="680"/>
      <c r="H158" s="680"/>
      <c r="I158" s="755"/>
      <c r="J158" s="682">
        <f t="shared" si="39"/>
        <v>0</v>
      </c>
      <c r="K158" s="683"/>
      <c r="L158" s="684"/>
      <c r="M158" s="753"/>
      <c r="N158" s="683">
        <v>0</v>
      </c>
      <c r="O158" s="686"/>
      <c r="P158" s="683">
        <v>0</v>
      </c>
      <c r="Q158" s="687">
        <f t="shared" si="44"/>
        <v>0</v>
      </c>
      <c r="R158" s="688">
        <v>0</v>
      </c>
      <c r="S158" s="693"/>
      <c r="T158" s="690">
        <f t="shared" si="40"/>
        <v>0</v>
      </c>
      <c r="U158" s="683"/>
      <c r="V158" s="474">
        <f t="shared" si="45"/>
        <v>0</v>
      </c>
      <c r="W158" s="474">
        <f t="shared" si="46"/>
        <v>0</v>
      </c>
      <c r="X158" s="475">
        <f t="shared" si="47"/>
        <v>0</v>
      </c>
      <c r="Y158" s="475">
        <v>0</v>
      </c>
      <c r="Z158" s="476">
        <v>0</v>
      </c>
      <c r="AA158" s="38">
        <f t="shared" si="48"/>
        <v>0</v>
      </c>
      <c r="AB158" s="692">
        <f t="shared" si="42"/>
        <v>0</v>
      </c>
      <c r="AC158" s="692">
        <f t="shared" si="41"/>
        <v>0</v>
      </c>
      <c r="AD158" s="692">
        <f t="shared" si="49"/>
        <v>0</v>
      </c>
      <c r="AE158" s="38"/>
      <c r="AF158" s="692">
        <f t="shared" si="50"/>
        <v>0</v>
      </c>
      <c r="AG158" s="692">
        <f t="shared" si="51"/>
        <v>0</v>
      </c>
      <c r="AH158" s="692">
        <f t="shared" si="52"/>
        <v>0</v>
      </c>
    </row>
    <row r="159" spans="1:34" s="232" customFormat="1">
      <c r="A159" s="283"/>
      <c r="B159" s="283" t="s">
        <v>110</v>
      </c>
      <c r="C159" s="667" t="s">
        <v>561</v>
      </c>
      <c r="D159" s="455" t="s">
        <v>323</v>
      </c>
      <c r="E159" s="679"/>
      <c r="F159" s="529">
        <f>VLOOKUP(D159,'May 2012 DMV Revenue'!D:T,17,FALSE)</f>
        <v>0</v>
      </c>
      <c r="G159" s="680"/>
      <c r="H159" s="680"/>
      <c r="I159" s="755"/>
      <c r="J159" s="682">
        <f t="shared" si="39"/>
        <v>0</v>
      </c>
      <c r="K159" s="683"/>
      <c r="L159" s="684"/>
      <c r="M159" s="753"/>
      <c r="N159" s="683">
        <v>0</v>
      </c>
      <c r="O159" s="686"/>
      <c r="P159" s="683">
        <v>0</v>
      </c>
      <c r="Q159" s="687">
        <f t="shared" si="44"/>
        <v>0</v>
      </c>
      <c r="R159" s="688">
        <v>0</v>
      </c>
      <c r="S159" s="693"/>
      <c r="T159" s="690">
        <f t="shared" si="40"/>
        <v>0</v>
      </c>
      <c r="U159" s="683"/>
      <c r="V159" s="474">
        <f t="shared" si="45"/>
        <v>0</v>
      </c>
      <c r="W159" s="474">
        <f t="shared" si="46"/>
        <v>0</v>
      </c>
      <c r="X159" s="475">
        <f t="shared" si="47"/>
        <v>0</v>
      </c>
      <c r="Y159" s="475">
        <v>0</v>
      </c>
      <c r="Z159" s="476">
        <v>0</v>
      </c>
      <c r="AA159" s="38">
        <f t="shared" si="48"/>
        <v>0</v>
      </c>
      <c r="AB159" s="692">
        <f t="shared" si="42"/>
        <v>0</v>
      </c>
      <c r="AC159" s="692">
        <f t="shared" si="41"/>
        <v>0</v>
      </c>
      <c r="AD159" s="692">
        <f t="shared" si="49"/>
        <v>0</v>
      </c>
      <c r="AE159" s="38"/>
      <c r="AF159" s="692">
        <f t="shared" si="50"/>
        <v>0</v>
      </c>
      <c r="AG159" s="692">
        <f t="shared" si="51"/>
        <v>0</v>
      </c>
      <c r="AH159" s="692">
        <f t="shared" si="52"/>
        <v>0</v>
      </c>
    </row>
    <row r="160" spans="1:34" s="232" customFormat="1">
      <c r="A160" s="283"/>
      <c r="B160" s="283" t="s">
        <v>109</v>
      </c>
      <c r="C160" s="667" t="s">
        <v>561</v>
      </c>
      <c r="D160" s="455" t="s">
        <v>423</v>
      </c>
      <c r="E160" s="679"/>
      <c r="F160" s="529">
        <f>VLOOKUP(D160,'May 2012 DMV Revenue'!D:T,17,FALSE)</f>
        <v>0</v>
      </c>
      <c r="G160" s="680"/>
      <c r="H160" s="680"/>
      <c r="I160" s="755"/>
      <c r="J160" s="682">
        <f t="shared" si="39"/>
        <v>0</v>
      </c>
      <c r="K160" s="683"/>
      <c r="L160" s="684"/>
      <c r="M160" s="753"/>
      <c r="N160" s="683">
        <v>0</v>
      </c>
      <c r="O160" s="686"/>
      <c r="P160" s="683">
        <v>0</v>
      </c>
      <c r="Q160" s="687">
        <f t="shared" si="44"/>
        <v>0</v>
      </c>
      <c r="R160" s="688">
        <v>0</v>
      </c>
      <c r="S160" s="693"/>
      <c r="T160" s="690">
        <f t="shared" si="40"/>
        <v>0</v>
      </c>
      <c r="U160" s="683"/>
      <c r="V160" s="474">
        <f t="shared" si="45"/>
        <v>0</v>
      </c>
      <c r="W160" s="474">
        <f t="shared" si="46"/>
        <v>0</v>
      </c>
      <c r="X160" s="475">
        <f t="shared" si="47"/>
        <v>0</v>
      </c>
      <c r="Y160" s="475">
        <v>0</v>
      </c>
      <c r="Z160" s="476">
        <v>0</v>
      </c>
      <c r="AA160" s="38">
        <f t="shared" si="48"/>
        <v>0</v>
      </c>
      <c r="AB160" s="692">
        <f t="shared" si="42"/>
        <v>0</v>
      </c>
      <c r="AC160" s="692">
        <f t="shared" si="41"/>
        <v>0</v>
      </c>
      <c r="AD160" s="692">
        <f t="shared" si="49"/>
        <v>0</v>
      </c>
      <c r="AE160" s="38"/>
      <c r="AF160" s="692">
        <f t="shared" si="50"/>
        <v>0</v>
      </c>
      <c r="AG160" s="692">
        <f t="shared" si="51"/>
        <v>0</v>
      </c>
      <c r="AH160" s="692">
        <f t="shared" si="52"/>
        <v>0</v>
      </c>
    </row>
    <row r="161" spans="1:34" s="232" customFormat="1">
      <c r="A161" s="283"/>
      <c r="B161" s="283" t="s">
        <v>110</v>
      </c>
      <c r="C161" s="667" t="s">
        <v>561</v>
      </c>
      <c r="D161" s="748" t="s">
        <v>624</v>
      </c>
      <c r="E161" s="679"/>
      <c r="F161" s="529">
        <f>VLOOKUP(D161,'May 2012 DMV Revenue'!D:T,17,FALSE)</f>
        <v>0</v>
      </c>
      <c r="G161" s="680"/>
      <c r="H161" s="680"/>
      <c r="I161" s="755"/>
      <c r="J161" s="682">
        <f t="shared" si="39"/>
        <v>0</v>
      </c>
      <c r="K161" s="683"/>
      <c r="L161" s="684"/>
      <c r="M161" s="753"/>
      <c r="N161" s="683">
        <v>0</v>
      </c>
      <c r="O161" s="686"/>
      <c r="P161" s="683">
        <v>0</v>
      </c>
      <c r="Q161" s="687">
        <f t="shared" si="44"/>
        <v>0</v>
      </c>
      <c r="R161" s="688">
        <v>0</v>
      </c>
      <c r="S161" s="693"/>
      <c r="T161" s="690">
        <f t="shared" si="40"/>
        <v>0</v>
      </c>
      <c r="U161" s="683"/>
      <c r="V161" s="474">
        <f t="shared" si="45"/>
        <v>0</v>
      </c>
      <c r="W161" s="474">
        <f t="shared" si="46"/>
        <v>0</v>
      </c>
      <c r="X161" s="475">
        <f t="shared" si="47"/>
        <v>0</v>
      </c>
      <c r="Y161" s="475">
        <v>0</v>
      </c>
      <c r="Z161" s="476">
        <v>0</v>
      </c>
      <c r="AA161" s="38">
        <f t="shared" si="48"/>
        <v>0</v>
      </c>
      <c r="AB161" s="692">
        <f t="shared" si="42"/>
        <v>0</v>
      </c>
      <c r="AC161" s="692">
        <f t="shared" si="41"/>
        <v>0</v>
      </c>
      <c r="AD161" s="692">
        <f t="shared" si="49"/>
        <v>0</v>
      </c>
      <c r="AE161" s="38"/>
      <c r="AF161" s="692">
        <f t="shared" si="50"/>
        <v>0</v>
      </c>
      <c r="AG161" s="692">
        <f t="shared" si="51"/>
        <v>0</v>
      </c>
      <c r="AH161" s="692">
        <f t="shared" si="52"/>
        <v>0</v>
      </c>
    </row>
    <row r="162" spans="1:34" s="232" customFormat="1">
      <c r="A162" s="283"/>
      <c r="B162" s="283" t="s">
        <v>109</v>
      </c>
      <c r="C162" s="667" t="s">
        <v>561</v>
      </c>
      <c r="D162" s="748" t="s">
        <v>625</v>
      </c>
      <c r="E162" s="679"/>
      <c r="F162" s="529">
        <f>VLOOKUP(D162,'May 2012 DMV Revenue'!D:T,17,FALSE)</f>
        <v>0</v>
      </c>
      <c r="G162" s="680"/>
      <c r="H162" s="680"/>
      <c r="I162" s="755"/>
      <c r="J162" s="682">
        <f t="shared" si="39"/>
        <v>0</v>
      </c>
      <c r="K162" s="683"/>
      <c r="L162" s="684"/>
      <c r="M162" s="753"/>
      <c r="N162" s="683">
        <v>0</v>
      </c>
      <c r="O162" s="686"/>
      <c r="P162" s="683">
        <v>0</v>
      </c>
      <c r="Q162" s="687">
        <f t="shared" si="44"/>
        <v>0</v>
      </c>
      <c r="R162" s="688">
        <v>0</v>
      </c>
      <c r="S162" s="693"/>
      <c r="T162" s="690">
        <f t="shared" si="40"/>
        <v>0</v>
      </c>
      <c r="U162" s="683"/>
      <c r="V162" s="474">
        <f t="shared" si="45"/>
        <v>0</v>
      </c>
      <c r="W162" s="474">
        <f t="shared" si="46"/>
        <v>0</v>
      </c>
      <c r="X162" s="475">
        <f t="shared" si="47"/>
        <v>0</v>
      </c>
      <c r="Y162" s="475">
        <v>0</v>
      </c>
      <c r="Z162" s="476">
        <v>0</v>
      </c>
      <c r="AA162" s="38">
        <f t="shared" si="48"/>
        <v>0</v>
      </c>
      <c r="AB162" s="692">
        <f t="shared" si="42"/>
        <v>0</v>
      </c>
      <c r="AC162" s="692">
        <f t="shared" si="41"/>
        <v>0</v>
      </c>
      <c r="AD162" s="692">
        <f t="shared" si="49"/>
        <v>0</v>
      </c>
      <c r="AE162" s="38"/>
      <c r="AF162" s="692">
        <f t="shared" si="50"/>
        <v>0</v>
      </c>
      <c r="AG162" s="692">
        <f t="shared" si="51"/>
        <v>0</v>
      </c>
      <c r="AH162" s="692">
        <f t="shared" si="52"/>
        <v>0</v>
      </c>
    </row>
    <row r="163" spans="1:34" s="232" customFormat="1">
      <c r="A163" s="283"/>
      <c r="B163" s="283" t="s">
        <v>114</v>
      </c>
      <c r="C163" s="667"/>
      <c r="D163" s="500" t="s">
        <v>408</v>
      </c>
      <c r="E163" s="679"/>
      <c r="F163" s="529">
        <f>VLOOKUP(D163,'May 2012 DMV Revenue'!D:T,17,FALSE)</f>
        <v>0</v>
      </c>
      <c r="G163" s="680"/>
      <c r="H163" s="680"/>
      <c r="I163" s="755"/>
      <c r="J163" s="682">
        <f t="shared" si="39"/>
        <v>0</v>
      </c>
      <c r="K163" s="683"/>
      <c r="L163" s="684"/>
      <c r="M163" s="753">
        <v>9087.5</v>
      </c>
      <c r="N163" s="683">
        <v>0</v>
      </c>
      <c r="O163" s="686"/>
      <c r="P163" s="683">
        <v>0</v>
      </c>
      <c r="Q163" s="687">
        <f t="shared" si="44"/>
        <v>9087.5</v>
      </c>
      <c r="R163" s="688">
        <v>0</v>
      </c>
      <c r="S163" s="693"/>
      <c r="T163" s="690">
        <f t="shared" si="40"/>
        <v>-9087.5</v>
      </c>
      <c r="U163" s="683"/>
      <c r="V163" s="474">
        <f t="shared" si="45"/>
        <v>0</v>
      </c>
      <c r="W163" s="474">
        <f t="shared" si="46"/>
        <v>0</v>
      </c>
      <c r="X163" s="475">
        <f t="shared" si="47"/>
        <v>9087.5</v>
      </c>
      <c r="Y163" s="475">
        <v>0</v>
      </c>
      <c r="Z163" s="476">
        <v>0</v>
      </c>
      <c r="AA163" s="38">
        <f t="shared" si="48"/>
        <v>0</v>
      </c>
      <c r="AB163" s="692">
        <f t="shared" si="42"/>
        <v>0</v>
      </c>
      <c r="AC163" s="692">
        <f t="shared" si="41"/>
        <v>0</v>
      </c>
      <c r="AD163" s="692">
        <f t="shared" si="49"/>
        <v>0</v>
      </c>
      <c r="AE163" s="38"/>
      <c r="AF163" s="692">
        <f t="shared" si="50"/>
        <v>0</v>
      </c>
      <c r="AG163" s="692">
        <f t="shared" si="51"/>
        <v>0</v>
      </c>
      <c r="AH163" s="692">
        <f t="shared" si="52"/>
        <v>9087.5</v>
      </c>
    </row>
    <row r="164" spans="1:34" s="232" customFormat="1">
      <c r="A164" s="283"/>
      <c r="B164" s="283" t="s">
        <v>110</v>
      </c>
      <c r="C164" s="667"/>
      <c r="D164" s="567" t="s">
        <v>445</v>
      </c>
      <c r="E164" s="679"/>
      <c r="F164" s="529">
        <f>VLOOKUP(D164,'May 2012 DMV Revenue'!D:T,17,FALSE)</f>
        <v>0</v>
      </c>
      <c r="G164" s="680"/>
      <c r="H164" s="680"/>
      <c r="I164" s="755"/>
      <c r="J164" s="682">
        <f t="shared" si="39"/>
        <v>0</v>
      </c>
      <c r="K164" s="683"/>
      <c r="L164" s="684"/>
      <c r="M164" s="753"/>
      <c r="N164" s="683">
        <v>0</v>
      </c>
      <c r="O164" s="686"/>
      <c r="P164" s="683">
        <v>0</v>
      </c>
      <c r="Q164" s="687">
        <f t="shared" si="44"/>
        <v>0</v>
      </c>
      <c r="R164" s="688">
        <v>0</v>
      </c>
      <c r="S164" s="693"/>
      <c r="T164" s="690">
        <f t="shared" si="40"/>
        <v>0</v>
      </c>
      <c r="U164" s="683"/>
      <c r="V164" s="474">
        <f t="shared" si="45"/>
        <v>0</v>
      </c>
      <c r="W164" s="474">
        <f t="shared" si="46"/>
        <v>0</v>
      </c>
      <c r="X164" s="475">
        <f t="shared" si="47"/>
        <v>0</v>
      </c>
      <c r="Y164" s="475">
        <v>0</v>
      </c>
      <c r="Z164" s="476">
        <v>0</v>
      </c>
      <c r="AA164" s="38">
        <f t="shared" si="48"/>
        <v>0</v>
      </c>
      <c r="AB164" s="692">
        <f t="shared" si="42"/>
        <v>0</v>
      </c>
      <c r="AC164" s="692">
        <f t="shared" si="41"/>
        <v>0</v>
      </c>
      <c r="AD164" s="692">
        <f t="shared" si="49"/>
        <v>0</v>
      </c>
      <c r="AE164" s="38"/>
      <c r="AF164" s="692">
        <f t="shared" si="50"/>
        <v>0</v>
      </c>
      <c r="AG164" s="692">
        <f t="shared" si="51"/>
        <v>0</v>
      </c>
      <c r="AH164" s="692">
        <f t="shared" si="52"/>
        <v>0</v>
      </c>
    </row>
    <row r="165" spans="1:34" s="232" customFormat="1">
      <c r="A165" s="283"/>
      <c r="B165" s="283" t="s">
        <v>110</v>
      </c>
      <c r="C165" s="667"/>
      <c r="D165" s="567" t="s">
        <v>489</v>
      </c>
      <c r="E165" s="679"/>
      <c r="F165" s="529">
        <f>VLOOKUP(D165,'May 2012 DMV Revenue'!D:T,17,FALSE)</f>
        <v>0</v>
      </c>
      <c r="G165" s="680"/>
      <c r="H165" s="680"/>
      <c r="I165" s="755"/>
      <c r="J165" s="682">
        <f t="shared" si="39"/>
        <v>0</v>
      </c>
      <c r="K165" s="683"/>
      <c r="L165" s="684"/>
      <c r="M165" s="753"/>
      <c r="N165" s="683"/>
      <c r="O165" s="686"/>
      <c r="P165" s="683"/>
      <c r="Q165" s="687">
        <f t="shared" si="44"/>
        <v>0</v>
      </c>
      <c r="R165" s="688">
        <v>0</v>
      </c>
      <c r="S165" s="693"/>
      <c r="T165" s="690">
        <f t="shared" si="40"/>
        <v>0</v>
      </c>
      <c r="U165" s="683"/>
      <c r="V165" s="474">
        <f t="shared" si="45"/>
        <v>0</v>
      </c>
      <c r="W165" s="474">
        <f t="shared" si="46"/>
        <v>0</v>
      </c>
      <c r="X165" s="475">
        <f t="shared" si="47"/>
        <v>0</v>
      </c>
      <c r="Y165" s="475">
        <v>0</v>
      </c>
      <c r="Z165" s="476">
        <v>0</v>
      </c>
      <c r="AA165" s="38">
        <f t="shared" si="48"/>
        <v>0</v>
      </c>
      <c r="AB165" s="692">
        <f t="shared" si="42"/>
        <v>0</v>
      </c>
      <c r="AC165" s="692">
        <f t="shared" si="41"/>
        <v>0</v>
      </c>
      <c r="AD165" s="692">
        <f t="shared" si="49"/>
        <v>0</v>
      </c>
      <c r="AE165" s="38"/>
      <c r="AF165" s="692">
        <f t="shared" si="50"/>
        <v>0</v>
      </c>
      <c r="AG165" s="692">
        <f t="shared" si="51"/>
        <v>0</v>
      </c>
      <c r="AH165" s="692">
        <f t="shared" si="52"/>
        <v>0</v>
      </c>
    </row>
    <row r="166" spans="1:34" s="232" customFormat="1">
      <c r="A166" s="283"/>
      <c r="B166" s="283" t="s">
        <v>109</v>
      </c>
      <c r="C166" s="667" t="s">
        <v>562</v>
      </c>
      <c r="D166" s="567" t="s">
        <v>480</v>
      </c>
      <c r="E166" s="679"/>
      <c r="F166" s="529">
        <f>VLOOKUP(D166,'May 2012 DMV Revenue'!D:T,17,FALSE)</f>
        <v>-20000</v>
      </c>
      <c r="G166" s="680"/>
      <c r="H166" s="680"/>
      <c r="I166" s="755"/>
      <c r="J166" s="682">
        <f t="shared" si="39"/>
        <v>-20000</v>
      </c>
      <c r="K166" s="683"/>
      <c r="L166" s="684"/>
      <c r="M166" s="753">
        <v>30000</v>
      </c>
      <c r="N166" s="683">
        <v>0</v>
      </c>
      <c r="O166" s="686"/>
      <c r="P166" s="683">
        <v>0</v>
      </c>
      <c r="Q166" s="687">
        <f t="shared" si="44"/>
        <v>30000</v>
      </c>
      <c r="R166" s="688">
        <v>9797.83</v>
      </c>
      <c r="S166" s="693"/>
      <c r="T166" s="690">
        <f t="shared" si="40"/>
        <v>-20202.169999999998</v>
      </c>
      <c r="U166" s="683"/>
      <c r="V166" s="474">
        <f t="shared" si="45"/>
        <v>0</v>
      </c>
      <c r="W166" s="474">
        <f t="shared" si="46"/>
        <v>30000</v>
      </c>
      <c r="X166" s="475">
        <f t="shared" si="47"/>
        <v>0</v>
      </c>
      <c r="Y166" s="475">
        <v>0</v>
      </c>
      <c r="Z166" s="476">
        <v>0</v>
      </c>
      <c r="AA166" s="38">
        <f t="shared" si="48"/>
        <v>0</v>
      </c>
      <c r="AB166" s="692">
        <f t="shared" si="42"/>
        <v>0</v>
      </c>
      <c r="AC166" s="692">
        <f t="shared" si="41"/>
        <v>-20000</v>
      </c>
      <c r="AD166" s="692">
        <f t="shared" si="49"/>
        <v>0</v>
      </c>
      <c r="AE166" s="38"/>
      <c r="AF166" s="692">
        <f t="shared" si="50"/>
        <v>0</v>
      </c>
      <c r="AG166" s="692">
        <f t="shared" si="51"/>
        <v>30000</v>
      </c>
      <c r="AH166" s="692">
        <f t="shared" si="52"/>
        <v>0</v>
      </c>
    </row>
    <row r="167" spans="1:34" s="232" customFormat="1">
      <c r="A167" s="403"/>
      <c r="B167" s="403" t="s">
        <v>109</v>
      </c>
      <c r="C167" s="666" t="s">
        <v>563</v>
      </c>
      <c r="D167" s="123" t="s">
        <v>327</v>
      </c>
      <c r="E167" s="679"/>
      <c r="F167" s="529">
        <f>VLOOKUP(D167,'May 2012 DMV Revenue'!D:T,17,FALSE)</f>
        <v>12499.720000000001</v>
      </c>
      <c r="G167" s="680"/>
      <c r="H167" s="680"/>
      <c r="I167" s="755"/>
      <c r="J167" s="682">
        <f t="shared" si="39"/>
        <v>12499.720000000001</v>
      </c>
      <c r="K167" s="683"/>
      <c r="L167" s="684"/>
      <c r="M167" s="753">
        <v>60000</v>
      </c>
      <c r="N167" s="683">
        <v>0</v>
      </c>
      <c r="O167" s="686"/>
      <c r="P167" s="683">
        <v>0</v>
      </c>
      <c r="Q167" s="687">
        <f t="shared" si="44"/>
        <v>60000</v>
      </c>
      <c r="R167" s="688">
        <v>80160.41</v>
      </c>
      <c r="S167" s="693"/>
      <c r="T167" s="690">
        <f t="shared" si="40"/>
        <v>20160.410000000003</v>
      </c>
      <c r="U167" s="683"/>
      <c r="V167" s="474">
        <f t="shared" si="45"/>
        <v>0</v>
      </c>
      <c r="W167" s="474">
        <f t="shared" si="46"/>
        <v>60000</v>
      </c>
      <c r="X167" s="475">
        <f t="shared" si="47"/>
        <v>0</v>
      </c>
      <c r="Y167" s="475">
        <v>0</v>
      </c>
      <c r="Z167" s="476">
        <v>0</v>
      </c>
      <c r="AA167" s="38">
        <f t="shared" si="48"/>
        <v>0</v>
      </c>
      <c r="AB167" s="692">
        <f t="shared" si="42"/>
        <v>0</v>
      </c>
      <c r="AC167" s="692">
        <f t="shared" si="41"/>
        <v>12499.720000000001</v>
      </c>
      <c r="AD167" s="692">
        <f t="shared" si="49"/>
        <v>0</v>
      </c>
      <c r="AE167" s="38"/>
      <c r="AF167" s="692">
        <f t="shared" si="50"/>
        <v>0</v>
      </c>
      <c r="AG167" s="692">
        <f t="shared" si="51"/>
        <v>60000</v>
      </c>
      <c r="AH167" s="692">
        <f t="shared" si="52"/>
        <v>0</v>
      </c>
    </row>
    <row r="168" spans="1:34" s="232" customFormat="1">
      <c r="A168" s="403"/>
      <c r="B168" s="403" t="s">
        <v>110</v>
      </c>
      <c r="C168" s="666" t="s">
        <v>563</v>
      </c>
      <c r="D168" s="123" t="s">
        <v>637</v>
      </c>
      <c r="E168" s="679"/>
      <c r="F168" s="529">
        <f>VLOOKUP(D168,'May 2012 DMV Revenue'!D:T,17,FALSE)</f>
        <v>0</v>
      </c>
      <c r="G168" s="680"/>
      <c r="H168" s="680"/>
      <c r="I168" s="755"/>
      <c r="J168" s="682">
        <f t="shared" si="39"/>
        <v>0</v>
      </c>
      <c r="K168" s="683"/>
      <c r="L168" s="684"/>
      <c r="M168" s="753"/>
      <c r="N168" s="683">
        <v>0</v>
      </c>
      <c r="O168" s="686"/>
      <c r="P168" s="683">
        <v>0</v>
      </c>
      <c r="Q168" s="687">
        <f t="shared" si="44"/>
        <v>0</v>
      </c>
      <c r="R168" s="688">
        <v>0</v>
      </c>
      <c r="S168" s="693"/>
      <c r="T168" s="690">
        <f t="shared" si="40"/>
        <v>0</v>
      </c>
      <c r="U168" s="683"/>
      <c r="V168" s="474">
        <f t="shared" si="45"/>
        <v>0</v>
      </c>
      <c r="W168" s="474">
        <f t="shared" si="46"/>
        <v>0</v>
      </c>
      <c r="X168" s="475">
        <f t="shared" si="47"/>
        <v>0</v>
      </c>
      <c r="Y168" s="475">
        <v>0</v>
      </c>
      <c r="Z168" s="476">
        <v>0</v>
      </c>
      <c r="AA168" s="38">
        <f t="shared" si="48"/>
        <v>0</v>
      </c>
      <c r="AB168" s="692">
        <f t="shared" si="42"/>
        <v>0</v>
      </c>
      <c r="AC168" s="692">
        <f t="shared" si="41"/>
        <v>0</v>
      </c>
      <c r="AD168" s="692">
        <f t="shared" si="49"/>
        <v>0</v>
      </c>
      <c r="AE168" s="38"/>
      <c r="AF168" s="692">
        <f t="shared" si="50"/>
        <v>0</v>
      </c>
      <c r="AG168" s="692">
        <f t="shared" si="51"/>
        <v>0</v>
      </c>
      <c r="AH168" s="692">
        <f t="shared" si="52"/>
        <v>0</v>
      </c>
    </row>
    <row r="169" spans="1:34">
      <c r="A169" s="21" t="s">
        <v>212</v>
      </c>
      <c r="B169" s="21" t="s">
        <v>110</v>
      </c>
      <c r="C169" s="666"/>
      <c r="D169" s="68" t="s">
        <v>232</v>
      </c>
      <c r="E169" s="679">
        <v>8678.2099999999991</v>
      </c>
      <c r="F169" s="529">
        <f>VLOOKUP(D169,'May 2012 DMV Revenue'!D:T,17,FALSE)</f>
        <v>0</v>
      </c>
      <c r="G169" s="680"/>
      <c r="H169" s="680"/>
      <c r="I169" s="755"/>
      <c r="J169" s="682">
        <f t="shared" si="39"/>
        <v>8678.2099999999991</v>
      </c>
      <c r="K169" s="683"/>
      <c r="L169" s="684"/>
      <c r="M169" s="753"/>
      <c r="N169" s="683">
        <v>0</v>
      </c>
      <c r="O169" s="686"/>
      <c r="P169" s="683">
        <v>0</v>
      </c>
      <c r="Q169" s="687">
        <f t="shared" si="44"/>
        <v>0</v>
      </c>
      <c r="R169" s="688">
        <v>0</v>
      </c>
      <c r="S169" s="693"/>
      <c r="T169" s="690">
        <f t="shared" si="40"/>
        <v>0</v>
      </c>
      <c r="U169" s="683"/>
      <c r="V169" s="474">
        <f t="shared" si="45"/>
        <v>0</v>
      </c>
      <c r="W169" s="474">
        <f t="shared" si="46"/>
        <v>0</v>
      </c>
      <c r="X169" s="475">
        <f t="shared" si="47"/>
        <v>0</v>
      </c>
      <c r="Y169" s="475">
        <v>0</v>
      </c>
      <c r="Z169" s="476">
        <v>0</v>
      </c>
      <c r="AA169" s="38">
        <f t="shared" si="48"/>
        <v>0</v>
      </c>
      <c r="AB169" s="692">
        <f t="shared" si="42"/>
        <v>8678.2099999999991</v>
      </c>
      <c r="AC169" s="692">
        <f t="shared" si="41"/>
        <v>0</v>
      </c>
      <c r="AD169" s="692">
        <f t="shared" si="49"/>
        <v>0</v>
      </c>
      <c r="AE169" s="38"/>
      <c r="AF169" s="692">
        <f t="shared" si="50"/>
        <v>0</v>
      </c>
      <c r="AG169" s="692">
        <f t="shared" si="51"/>
        <v>0</v>
      </c>
      <c r="AH169" s="692">
        <f t="shared" si="52"/>
        <v>0</v>
      </c>
    </row>
    <row r="170" spans="1:34">
      <c r="A170" s="21"/>
      <c r="B170" s="21" t="s">
        <v>110</v>
      </c>
      <c r="C170" s="666"/>
      <c r="D170" s="68" t="s">
        <v>68</v>
      </c>
      <c r="E170" s="679"/>
      <c r="F170" s="529">
        <f>VLOOKUP(D170,'May 2012 DMV Revenue'!D:T,17,FALSE)</f>
        <v>0</v>
      </c>
      <c r="G170" s="680"/>
      <c r="H170" s="680"/>
      <c r="I170" s="755"/>
      <c r="J170" s="682">
        <f t="shared" si="39"/>
        <v>0</v>
      </c>
      <c r="K170" s="683"/>
      <c r="L170" s="684"/>
      <c r="M170" s="753"/>
      <c r="N170" s="683">
        <v>0</v>
      </c>
      <c r="O170" s="686"/>
      <c r="P170" s="683">
        <v>0</v>
      </c>
      <c r="Q170" s="687">
        <f t="shared" si="44"/>
        <v>0</v>
      </c>
      <c r="R170" s="688">
        <v>0</v>
      </c>
      <c r="S170" s="693"/>
      <c r="T170" s="690">
        <f t="shared" si="40"/>
        <v>0</v>
      </c>
      <c r="U170" s="683"/>
      <c r="V170" s="474">
        <f t="shared" si="45"/>
        <v>0</v>
      </c>
      <c r="W170" s="474">
        <f t="shared" si="46"/>
        <v>0</v>
      </c>
      <c r="X170" s="475">
        <f t="shared" si="47"/>
        <v>0</v>
      </c>
      <c r="Y170" s="475">
        <v>0</v>
      </c>
      <c r="Z170" s="476">
        <v>0</v>
      </c>
      <c r="AA170" s="38">
        <f t="shared" si="48"/>
        <v>0</v>
      </c>
      <c r="AB170" s="692">
        <f t="shared" si="42"/>
        <v>0</v>
      </c>
      <c r="AC170" s="692">
        <f t="shared" si="41"/>
        <v>0</v>
      </c>
      <c r="AD170" s="692">
        <f t="shared" si="49"/>
        <v>0</v>
      </c>
      <c r="AE170" s="38"/>
      <c r="AF170" s="692">
        <f t="shared" si="50"/>
        <v>0</v>
      </c>
      <c r="AG170" s="692">
        <f t="shared" si="51"/>
        <v>0</v>
      </c>
      <c r="AH170" s="692">
        <f t="shared" si="52"/>
        <v>0</v>
      </c>
    </row>
    <row r="171" spans="1:34">
      <c r="A171" s="21"/>
      <c r="B171" s="21" t="s">
        <v>109</v>
      </c>
      <c r="C171" s="666" t="s">
        <v>564</v>
      </c>
      <c r="D171" s="68" t="s">
        <v>306</v>
      </c>
      <c r="E171" s="679"/>
      <c r="F171" s="529">
        <f>VLOOKUP(D171,'May 2012 DMV Revenue'!D:T,17,FALSE)</f>
        <v>0</v>
      </c>
      <c r="G171" s="680"/>
      <c r="H171" s="680"/>
      <c r="I171" s="755"/>
      <c r="J171" s="682">
        <f t="shared" si="39"/>
        <v>0</v>
      </c>
      <c r="K171" s="683"/>
      <c r="L171" s="684"/>
      <c r="M171" s="753"/>
      <c r="N171" s="683">
        <v>0</v>
      </c>
      <c r="O171" s="686"/>
      <c r="P171" s="683">
        <v>0</v>
      </c>
      <c r="Q171" s="687">
        <f t="shared" si="44"/>
        <v>0</v>
      </c>
      <c r="R171" s="688">
        <v>0</v>
      </c>
      <c r="S171" s="693"/>
      <c r="T171" s="690">
        <f t="shared" si="40"/>
        <v>0</v>
      </c>
      <c r="U171" s="683"/>
      <c r="V171" s="474">
        <f t="shared" si="45"/>
        <v>0</v>
      </c>
      <c r="W171" s="474">
        <f t="shared" si="46"/>
        <v>0</v>
      </c>
      <c r="X171" s="475">
        <f t="shared" si="47"/>
        <v>0</v>
      </c>
      <c r="Y171" s="475">
        <v>0</v>
      </c>
      <c r="Z171" s="476">
        <v>0</v>
      </c>
      <c r="AA171" s="38">
        <f t="shared" si="48"/>
        <v>0</v>
      </c>
      <c r="AB171" s="692">
        <f t="shared" si="42"/>
        <v>0</v>
      </c>
      <c r="AC171" s="692">
        <f t="shared" si="41"/>
        <v>0</v>
      </c>
      <c r="AD171" s="692">
        <f t="shared" si="49"/>
        <v>0</v>
      </c>
      <c r="AE171" s="38"/>
      <c r="AF171" s="692">
        <f t="shared" si="50"/>
        <v>0</v>
      </c>
      <c r="AG171" s="692">
        <f t="shared" si="51"/>
        <v>0</v>
      </c>
      <c r="AH171" s="692">
        <f t="shared" si="52"/>
        <v>0</v>
      </c>
    </row>
    <row r="172" spans="1:34">
      <c r="A172" s="21"/>
      <c r="B172" s="21" t="s">
        <v>109</v>
      </c>
      <c r="C172" s="666" t="s">
        <v>564</v>
      </c>
      <c r="D172" s="68" t="s">
        <v>307</v>
      </c>
      <c r="E172" s="679"/>
      <c r="F172" s="529">
        <f>VLOOKUP(D172,'May 2012 DMV Revenue'!D:T,17,FALSE)</f>
        <v>0</v>
      </c>
      <c r="G172" s="680"/>
      <c r="H172" s="680"/>
      <c r="I172" s="755"/>
      <c r="J172" s="682">
        <f t="shared" si="39"/>
        <v>0</v>
      </c>
      <c r="K172" s="683"/>
      <c r="L172" s="684"/>
      <c r="M172" s="753"/>
      <c r="N172" s="683">
        <v>0</v>
      </c>
      <c r="O172" s="686"/>
      <c r="P172" s="683">
        <v>0</v>
      </c>
      <c r="Q172" s="687">
        <f t="shared" si="44"/>
        <v>0</v>
      </c>
      <c r="R172" s="688">
        <v>0</v>
      </c>
      <c r="S172" s="693"/>
      <c r="T172" s="690">
        <f t="shared" si="40"/>
        <v>0</v>
      </c>
      <c r="U172" s="683"/>
      <c r="V172" s="474">
        <f t="shared" si="45"/>
        <v>0</v>
      </c>
      <c r="W172" s="474">
        <f t="shared" si="46"/>
        <v>0</v>
      </c>
      <c r="X172" s="475">
        <f t="shared" si="47"/>
        <v>0</v>
      </c>
      <c r="Y172" s="475">
        <v>0</v>
      </c>
      <c r="Z172" s="476">
        <v>0</v>
      </c>
      <c r="AA172" s="38">
        <f t="shared" si="48"/>
        <v>0</v>
      </c>
      <c r="AB172" s="692">
        <f t="shared" si="42"/>
        <v>0</v>
      </c>
      <c r="AC172" s="692">
        <f t="shared" si="41"/>
        <v>0</v>
      </c>
      <c r="AD172" s="692">
        <f t="shared" si="49"/>
        <v>0</v>
      </c>
      <c r="AE172" s="38"/>
      <c r="AF172" s="692">
        <f t="shared" si="50"/>
        <v>0</v>
      </c>
      <c r="AG172" s="692">
        <f t="shared" si="51"/>
        <v>0</v>
      </c>
      <c r="AH172" s="692">
        <f t="shared" si="52"/>
        <v>0</v>
      </c>
    </row>
    <row r="173" spans="1:34">
      <c r="A173" s="21"/>
      <c r="B173" s="21" t="s">
        <v>109</v>
      </c>
      <c r="C173" s="666" t="s">
        <v>565</v>
      </c>
      <c r="D173" s="68" t="s">
        <v>485</v>
      </c>
      <c r="E173" s="679"/>
      <c r="F173" s="529">
        <f>VLOOKUP(D173,'May 2012 DMV Revenue'!D:T,17,FALSE)</f>
        <v>-60000</v>
      </c>
      <c r="G173" s="680"/>
      <c r="H173" s="680"/>
      <c r="I173" s="755"/>
      <c r="J173" s="682">
        <f t="shared" si="39"/>
        <v>-60000</v>
      </c>
      <c r="K173" s="683"/>
      <c r="L173" s="684"/>
      <c r="M173" s="753">
        <v>90000</v>
      </c>
      <c r="N173" s="683"/>
      <c r="O173" s="686"/>
      <c r="P173" s="683"/>
      <c r="Q173" s="687">
        <f t="shared" si="44"/>
        <v>90000</v>
      </c>
      <c r="R173" s="688">
        <v>0</v>
      </c>
      <c r="S173" s="693"/>
      <c r="T173" s="690">
        <f t="shared" si="40"/>
        <v>-90000</v>
      </c>
      <c r="U173" s="683"/>
      <c r="V173" s="474">
        <f t="shared" si="45"/>
        <v>0</v>
      </c>
      <c r="W173" s="474">
        <f t="shared" si="46"/>
        <v>90000</v>
      </c>
      <c r="X173" s="475">
        <f t="shared" si="47"/>
        <v>0</v>
      </c>
      <c r="Y173" s="475">
        <v>0</v>
      </c>
      <c r="Z173" s="476">
        <v>0</v>
      </c>
      <c r="AA173" s="38">
        <f t="shared" si="48"/>
        <v>0</v>
      </c>
      <c r="AB173" s="692">
        <f t="shared" si="42"/>
        <v>0</v>
      </c>
      <c r="AC173" s="692">
        <f t="shared" si="41"/>
        <v>-60000</v>
      </c>
      <c r="AD173" s="692">
        <f t="shared" si="49"/>
        <v>0</v>
      </c>
      <c r="AE173" s="38"/>
      <c r="AF173" s="692">
        <f t="shared" si="50"/>
        <v>0</v>
      </c>
      <c r="AG173" s="692">
        <f t="shared" si="51"/>
        <v>90000</v>
      </c>
      <c r="AH173" s="692">
        <f t="shared" si="52"/>
        <v>0</v>
      </c>
    </row>
    <row r="174" spans="1:34" s="232" customFormat="1">
      <c r="A174" s="403"/>
      <c r="B174" s="403" t="s">
        <v>109</v>
      </c>
      <c r="C174" s="666"/>
      <c r="D174" s="123" t="s">
        <v>220</v>
      </c>
      <c r="E174" s="679"/>
      <c r="F174" s="529">
        <f>VLOOKUP(D174,'May 2012 DMV Revenue'!D:T,17,FALSE)</f>
        <v>0</v>
      </c>
      <c r="G174" s="680"/>
      <c r="H174" s="680"/>
      <c r="I174" s="755"/>
      <c r="J174" s="682">
        <f t="shared" si="39"/>
        <v>0</v>
      </c>
      <c r="K174" s="683"/>
      <c r="L174" s="684"/>
      <c r="M174" s="753"/>
      <c r="N174" s="683">
        <v>0</v>
      </c>
      <c r="O174" s="686"/>
      <c r="P174" s="683">
        <v>0</v>
      </c>
      <c r="Q174" s="687">
        <f t="shared" si="44"/>
        <v>0</v>
      </c>
      <c r="R174" s="688">
        <v>0</v>
      </c>
      <c r="S174" s="693"/>
      <c r="T174" s="690">
        <f t="shared" si="40"/>
        <v>0</v>
      </c>
      <c r="U174" s="683"/>
      <c r="V174" s="474">
        <f t="shared" si="45"/>
        <v>0</v>
      </c>
      <c r="W174" s="474">
        <f t="shared" si="46"/>
        <v>0</v>
      </c>
      <c r="X174" s="475">
        <f t="shared" si="47"/>
        <v>0</v>
      </c>
      <c r="Y174" s="475">
        <v>0</v>
      </c>
      <c r="Z174" s="476">
        <v>0</v>
      </c>
      <c r="AA174" s="38">
        <f t="shared" si="48"/>
        <v>0</v>
      </c>
      <c r="AB174" s="692">
        <f t="shared" si="42"/>
        <v>0</v>
      </c>
      <c r="AC174" s="692">
        <f t="shared" si="41"/>
        <v>0</v>
      </c>
      <c r="AD174" s="692">
        <f t="shared" si="49"/>
        <v>0</v>
      </c>
      <c r="AE174" s="38"/>
      <c r="AF174" s="692">
        <f t="shared" si="50"/>
        <v>0</v>
      </c>
      <c r="AG174" s="692">
        <f t="shared" si="51"/>
        <v>0</v>
      </c>
      <c r="AH174" s="692">
        <f t="shared" si="52"/>
        <v>0</v>
      </c>
    </row>
    <row r="175" spans="1:34" s="24" customFormat="1">
      <c r="A175" s="472"/>
      <c r="B175" s="21" t="s">
        <v>109</v>
      </c>
      <c r="C175" s="666"/>
      <c r="D175" s="68" t="s">
        <v>505</v>
      </c>
      <c r="E175" s="679"/>
      <c r="F175" s="529">
        <f>VLOOKUP(D175,'May 2012 DMV Revenue'!D:T,17,FALSE)</f>
        <v>0</v>
      </c>
      <c r="G175" s="680"/>
      <c r="H175" s="680"/>
      <c r="I175" s="770">
        <v>6455.08</v>
      </c>
      <c r="J175" s="703">
        <f t="shared" ref="J175" si="54">SUM(E175:I175)</f>
        <v>6455.08</v>
      </c>
      <c r="K175" s="698"/>
      <c r="L175" s="684"/>
      <c r="M175" s="753"/>
      <c r="N175" s="698">
        <v>0</v>
      </c>
      <c r="O175" s="686"/>
      <c r="P175" s="698">
        <v>0</v>
      </c>
      <c r="Q175" s="700">
        <f t="shared" si="44"/>
        <v>0</v>
      </c>
      <c r="R175" s="688">
        <v>0</v>
      </c>
      <c r="S175" s="701"/>
      <c r="T175" s="690">
        <f t="shared" si="40"/>
        <v>0</v>
      </c>
      <c r="U175" s="698"/>
      <c r="V175" s="474">
        <f t="shared" si="45"/>
        <v>0</v>
      </c>
      <c r="W175" s="474">
        <f t="shared" si="46"/>
        <v>0</v>
      </c>
      <c r="X175" s="475">
        <f t="shared" si="47"/>
        <v>0</v>
      </c>
      <c r="Y175" s="475">
        <v>0</v>
      </c>
      <c r="Z175" s="476">
        <v>0</v>
      </c>
      <c r="AA175" s="38">
        <f t="shared" si="48"/>
        <v>0</v>
      </c>
      <c r="AB175" s="692">
        <f t="shared" si="42"/>
        <v>0</v>
      </c>
      <c r="AC175" s="692">
        <f t="shared" si="41"/>
        <v>6455.08</v>
      </c>
      <c r="AD175" s="692">
        <f t="shared" si="49"/>
        <v>0</v>
      </c>
      <c r="AE175" s="38"/>
      <c r="AF175" s="692">
        <f t="shared" si="50"/>
        <v>0</v>
      </c>
      <c r="AG175" s="692">
        <f t="shared" si="51"/>
        <v>0</v>
      </c>
      <c r="AH175" s="692">
        <f t="shared" si="52"/>
        <v>0</v>
      </c>
    </row>
    <row r="176" spans="1:34">
      <c r="A176" s="21"/>
      <c r="B176" s="21" t="s">
        <v>109</v>
      </c>
      <c r="C176" s="666"/>
      <c r="D176" s="68" t="s">
        <v>38</v>
      </c>
      <c r="E176" s="679"/>
      <c r="F176" s="529">
        <f>VLOOKUP(D176,'May 2012 DMV Revenue'!D:T,17,FALSE)</f>
        <v>0</v>
      </c>
      <c r="G176" s="680"/>
      <c r="H176" s="680"/>
      <c r="I176" s="755"/>
      <c r="J176" s="682">
        <f t="shared" si="39"/>
        <v>0</v>
      </c>
      <c r="K176" s="683"/>
      <c r="L176" s="684"/>
      <c r="M176" s="753"/>
      <c r="N176" s="683">
        <v>0</v>
      </c>
      <c r="O176" s="686"/>
      <c r="P176" s="683">
        <v>0</v>
      </c>
      <c r="Q176" s="687">
        <f t="shared" si="44"/>
        <v>0</v>
      </c>
      <c r="R176" s="688">
        <v>0</v>
      </c>
      <c r="S176" s="693"/>
      <c r="T176" s="690">
        <f t="shared" si="40"/>
        <v>0</v>
      </c>
      <c r="U176" s="683"/>
      <c r="V176" s="474">
        <f t="shared" si="45"/>
        <v>0</v>
      </c>
      <c r="W176" s="474">
        <f t="shared" si="46"/>
        <v>0</v>
      </c>
      <c r="X176" s="475">
        <f t="shared" si="47"/>
        <v>0</v>
      </c>
      <c r="Y176" s="475">
        <v>0</v>
      </c>
      <c r="Z176" s="476">
        <v>0</v>
      </c>
      <c r="AA176" s="38">
        <f t="shared" si="48"/>
        <v>0</v>
      </c>
      <c r="AB176" s="692">
        <f t="shared" si="42"/>
        <v>0</v>
      </c>
      <c r="AC176" s="692">
        <f t="shared" si="41"/>
        <v>0</v>
      </c>
      <c r="AD176" s="692">
        <f t="shared" si="49"/>
        <v>0</v>
      </c>
      <c r="AE176" s="38"/>
      <c r="AF176" s="692">
        <f t="shared" si="50"/>
        <v>0</v>
      </c>
      <c r="AG176" s="692">
        <f t="shared" si="51"/>
        <v>0</v>
      </c>
      <c r="AH176" s="692">
        <f t="shared" si="52"/>
        <v>0</v>
      </c>
    </row>
    <row r="177" spans="1:34">
      <c r="A177" s="21"/>
      <c r="B177" s="21" t="s">
        <v>110</v>
      </c>
      <c r="C177" s="666"/>
      <c r="D177" s="68" t="s">
        <v>185</v>
      </c>
      <c r="E177" s="679"/>
      <c r="F177" s="529">
        <f>VLOOKUP(D177,'May 2012 DMV Revenue'!D:T,17,FALSE)</f>
        <v>0</v>
      </c>
      <c r="G177" s="680"/>
      <c r="H177" s="680"/>
      <c r="I177" s="755"/>
      <c r="J177" s="682">
        <f t="shared" si="39"/>
        <v>0</v>
      </c>
      <c r="K177" s="683"/>
      <c r="L177" s="684"/>
      <c r="M177" s="753"/>
      <c r="N177" s="683">
        <v>0</v>
      </c>
      <c r="O177" s="686"/>
      <c r="P177" s="683">
        <v>0</v>
      </c>
      <c r="Q177" s="687">
        <f t="shared" si="44"/>
        <v>0</v>
      </c>
      <c r="R177" s="688">
        <v>0</v>
      </c>
      <c r="S177" s="693"/>
      <c r="T177" s="690">
        <f t="shared" si="40"/>
        <v>0</v>
      </c>
      <c r="U177" s="683"/>
      <c r="V177" s="474">
        <f t="shared" si="45"/>
        <v>0</v>
      </c>
      <c r="W177" s="474">
        <f t="shared" si="46"/>
        <v>0</v>
      </c>
      <c r="X177" s="475">
        <f t="shared" si="47"/>
        <v>0</v>
      </c>
      <c r="Y177" s="475">
        <v>0</v>
      </c>
      <c r="Z177" s="476">
        <v>0</v>
      </c>
      <c r="AA177" s="38">
        <f t="shared" si="48"/>
        <v>0</v>
      </c>
      <c r="AB177" s="692">
        <f t="shared" si="42"/>
        <v>0</v>
      </c>
      <c r="AC177" s="692">
        <f t="shared" si="41"/>
        <v>0</v>
      </c>
      <c r="AD177" s="692">
        <f t="shared" si="49"/>
        <v>0</v>
      </c>
      <c r="AE177" s="38"/>
      <c r="AF177" s="692">
        <f t="shared" si="50"/>
        <v>0</v>
      </c>
      <c r="AG177" s="692">
        <f t="shared" si="51"/>
        <v>0</v>
      </c>
      <c r="AH177" s="692">
        <f t="shared" si="52"/>
        <v>0</v>
      </c>
    </row>
    <row r="178" spans="1:34">
      <c r="A178" s="21"/>
      <c r="B178" s="21" t="s">
        <v>110</v>
      </c>
      <c r="C178" s="666"/>
      <c r="D178" s="68" t="s">
        <v>186</v>
      </c>
      <c r="E178" s="679"/>
      <c r="F178" s="529">
        <f>VLOOKUP(D178,'May 2012 DMV Revenue'!D:T,17,FALSE)</f>
        <v>0</v>
      </c>
      <c r="G178" s="680"/>
      <c r="H178" s="680"/>
      <c r="I178" s="755"/>
      <c r="J178" s="682">
        <f t="shared" si="39"/>
        <v>0</v>
      </c>
      <c r="K178" s="683"/>
      <c r="L178" s="684"/>
      <c r="M178" s="753"/>
      <c r="N178" s="683">
        <v>0</v>
      </c>
      <c r="O178" s="686"/>
      <c r="P178" s="683">
        <v>0</v>
      </c>
      <c r="Q178" s="687">
        <f t="shared" si="44"/>
        <v>0</v>
      </c>
      <c r="R178" s="688">
        <v>0</v>
      </c>
      <c r="S178" s="693"/>
      <c r="T178" s="690">
        <f t="shared" si="40"/>
        <v>0</v>
      </c>
      <c r="U178" s="683"/>
      <c r="V178" s="474">
        <f t="shared" si="45"/>
        <v>0</v>
      </c>
      <c r="W178" s="474">
        <f t="shared" si="46"/>
        <v>0</v>
      </c>
      <c r="X178" s="475">
        <f t="shared" si="47"/>
        <v>0</v>
      </c>
      <c r="Y178" s="475">
        <v>0</v>
      </c>
      <c r="Z178" s="476">
        <v>0</v>
      </c>
      <c r="AA178" s="38">
        <f t="shared" si="48"/>
        <v>0</v>
      </c>
      <c r="AB178" s="692">
        <f t="shared" si="42"/>
        <v>0</v>
      </c>
      <c r="AC178" s="692">
        <f t="shared" si="41"/>
        <v>0</v>
      </c>
      <c r="AD178" s="692">
        <f t="shared" si="49"/>
        <v>0</v>
      </c>
      <c r="AE178" s="38"/>
      <c r="AF178" s="692">
        <f t="shared" si="50"/>
        <v>0</v>
      </c>
      <c r="AG178" s="692">
        <f t="shared" si="51"/>
        <v>0</v>
      </c>
      <c r="AH178" s="692">
        <f t="shared" si="52"/>
        <v>0</v>
      </c>
    </row>
    <row r="179" spans="1:34">
      <c r="A179" s="21"/>
      <c r="B179" s="21" t="s">
        <v>110</v>
      </c>
      <c r="C179" s="666"/>
      <c r="D179" s="68" t="s">
        <v>449</v>
      </c>
      <c r="E179" s="679"/>
      <c r="F179" s="529">
        <f>VLOOKUP(D179,'May 2012 DMV Revenue'!D:T,17,FALSE)</f>
        <v>0</v>
      </c>
      <c r="G179" s="680"/>
      <c r="H179" s="680"/>
      <c r="I179" s="755"/>
      <c r="J179" s="682">
        <f t="shared" si="39"/>
        <v>0</v>
      </c>
      <c r="K179" s="683"/>
      <c r="L179" s="684"/>
      <c r="M179" s="753"/>
      <c r="N179" s="683">
        <v>0</v>
      </c>
      <c r="O179" s="686"/>
      <c r="P179" s="683">
        <v>0</v>
      </c>
      <c r="Q179" s="687">
        <f t="shared" si="44"/>
        <v>0</v>
      </c>
      <c r="R179" s="688">
        <v>0</v>
      </c>
      <c r="S179" s="693"/>
      <c r="T179" s="690">
        <f t="shared" si="40"/>
        <v>0</v>
      </c>
      <c r="U179" s="683"/>
      <c r="V179" s="474">
        <f t="shared" si="45"/>
        <v>0</v>
      </c>
      <c r="W179" s="474">
        <f t="shared" si="46"/>
        <v>0</v>
      </c>
      <c r="X179" s="475">
        <f t="shared" si="47"/>
        <v>0</v>
      </c>
      <c r="Y179" s="475">
        <v>0</v>
      </c>
      <c r="Z179" s="476">
        <v>0</v>
      </c>
      <c r="AA179" s="38">
        <f t="shared" si="48"/>
        <v>0</v>
      </c>
      <c r="AB179" s="692">
        <f t="shared" si="42"/>
        <v>0</v>
      </c>
      <c r="AC179" s="692">
        <f t="shared" si="41"/>
        <v>0</v>
      </c>
      <c r="AD179" s="692">
        <f t="shared" si="49"/>
        <v>0</v>
      </c>
      <c r="AE179" s="38"/>
      <c r="AF179" s="692">
        <f t="shared" si="50"/>
        <v>0</v>
      </c>
      <c r="AG179" s="692">
        <f t="shared" si="51"/>
        <v>0</v>
      </c>
      <c r="AH179" s="692">
        <f t="shared" si="52"/>
        <v>0</v>
      </c>
    </row>
    <row r="180" spans="1:34">
      <c r="A180" s="21"/>
      <c r="B180" s="21" t="s">
        <v>110</v>
      </c>
      <c r="C180" s="666" t="s">
        <v>566</v>
      </c>
      <c r="D180" s="68" t="s">
        <v>39</v>
      </c>
      <c r="E180" s="679"/>
      <c r="F180" s="529">
        <f>VLOOKUP(D180,'May 2012 DMV Revenue'!D:T,17,FALSE)</f>
        <v>1550.98</v>
      </c>
      <c r="G180" s="680"/>
      <c r="H180" s="680"/>
      <c r="I180" s="755"/>
      <c r="J180" s="682">
        <f t="shared" si="39"/>
        <v>1550.98</v>
      </c>
      <c r="K180" s="683"/>
      <c r="L180" s="684"/>
      <c r="M180" s="753"/>
      <c r="N180" s="683">
        <v>0</v>
      </c>
      <c r="O180" s="686"/>
      <c r="P180" s="683">
        <v>0</v>
      </c>
      <c r="Q180" s="687">
        <f t="shared" si="44"/>
        <v>0</v>
      </c>
      <c r="R180" s="688">
        <v>1548.49</v>
      </c>
      <c r="S180" s="693"/>
      <c r="T180" s="690">
        <f t="shared" si="40"/>
        <v>1548.49</v>
      </c>
      <c r="U180" s="683"/>
      <c r="V180" s="474">
        <f t="shared" si="45"/>
        <v>0</v>
      </c>
      <c r="W180" s="474">
        <f t="shared" si="46"/>
        <v>0</v>
      </c>
      <c r="X180" s="475">
        <f t="shared" si="47"/>
        <v>0</v>
      </c>
      <c r="Y180" s="475">
        <v>0</v>
      </c>
      <c r="Z180" s="476">
        <v>0</v>
      </c>
      <c r="AA180" s="38">
        <f t="shared" si="48"/>
        <v>0</v>
      </c>
      <c r="AB180" s="692">
        <f t="shared" si="42"/>
        <v>1550.98</v>
      </c>
      <c r="AC180" s="692">
        <f t="shared" si="41"/>
        <v>0</v>
      </c>
      <c r="AD180" s="692">
        <f t="shared" si="49"/>
        <v>0</v>
      </c>
      <c r="AE180" s="38"/>
      <c r="AF180" s="692">
        <f t="shared" si="50"/>
        <v>0</v>
      </c>
      <c r="AG180" s="692">
        <f t="shared" si="51"/>
        <v>0</v>
      </c>
      <c r="AH180" s="692">
        <f t="shared" si="52"/>
        <v>0</v>
      </c>
    </row>
    <row r="181" spans="1:34">
      <c r="A181" s="21"/>
      <c r="B181" s="21" t="s">
        <v>110</v>
      </c>
      <c r="C181" s="666" t="s">
        <v>567</v>
      </c>
      <c r="D181" s="68" t="s">
        <v>435</v>
      </c>
      <c r="E181" s="679">
        <v>16848.060000000001</v>
      </c>
      <c r="F181" s="529">
        <f>VLOOKUP(D181,'May 2012 DMV Revenue'!D:T,17,FALSE)</f>
        <v>-11822.59</v>
      </c>
      <c r="G181" s="680"/>
      <c r="H181" s="680"/>
      <c r="I181" s="755"/>
      <c r="J181" s="682">
        <f t="shared" si="39"/>
        <v>5025.4700000000012</v>
      </c>
      <c r="K181" s="683"/>
      <c r="L181" s="684"/>
      <c r="M181" s="753">
        <v>15000</v>
      </c>
      <c r="N181" s="683">
        <v>0</v>
      </c>
      <c r="O181" s="686"/>
      <c r="P181" s="683">
        <v>0</v>
      </c>
      <c r="Q181" s="687">
        <f t="shared" si="44"/>
        <v>15000</v>
      </c>
      <c r="R181" s="688">
        <v>0</v>
      </c>
      <c r="S181" s="693"/>
      <c r="T181" s="690">
        <f t="shared" si="40"/>
        <v>-15000</v>
      </c>
      <c r="U181" s="683"/>
      <c r="V181" s="474">
        <f t="shared" si="45"/>
        <v>15000</v>
      </c>
      <c r="W181" s="474">
        <f t="shared" si="46"/>
        <v>0</v>
      </c>
      <c r="X181" s="475">
        <f t="shared" si="47"/>
        <v>0</v>
      </c>
      <c r="Y181" s="475">
        <v>0</v>
      </c>
      <c r="Z181" s="476">
        <v>0</v>
      </c>
      <c r="AA181" s="38">
        <f t="shared" si="48"/>
        <v>0</v>
      </c>
      <c r="AB181" s="692">
        <f t="shared" si="42"/>
        <v>5025.4700000000012</v>
      </c>
      <c r="AC181" s="692">
        <f t="shared" si="41"/>
        <v>0</v>
      </c>
      <c r="AD181" s="692">
        <f t="shared" si="49"/>
        <v>0</v>
      </c>
      <c r="AE181" s="38"/>
      <c r="AF181" s="692">
        <f t="shared" si="50"/>
        <v>15000</v>
      </c>
      <c r="AG181" s="692">
        <f t="shared" si="51"/>
        <v>0</v>
      </c>
      <c r="AH181" s="692">
        <f t="shared" si="52"/>
        <v>0</v>
      </c>
    </row>
    <row r="182" spans="1:34">
      <c r="A182" s="21"/>
      <c r="B182" s="21" t="s">
        <v>110</v>
      </c>
      <c r="C182" s="675" t="s">
        <v>584</v>
      </c>
      <c r="D182" s="68" t="s">
        <v>99</v>
      </c>
      <c r="E182" s="679">
        <v>16116.843000000001</v>
      </c>
      <c r="F182" s="529">
        <f>VLOOKUP(D182,'May 2012 DMV Revenue'!D:T,17,FALSE)</f>
        <v>-16595.46</v>
      </c>
      <c r="G182" s="680"/>
      <c r="H182" s="680"/>
      <c r="I182" s="755"/>
      <c r="J182" s="682">
        <f t="shared" si="39"/>
        <v>-478.61699999999837</v>
      </c>
      <c r="K182" s="683"/>
      <c r="L182" s="684"/>
      <c r="M182" s="753">
        <v>15000</v>
      </c>
      <c r="N182" s="683">
        <v>0</v>
      </c>
      <c r="O182" s="686"/>
      <c r="P182" s="683">
        <v>0</v>
      </c>
      <c r="Q182" s="687">
        <f t="shared" si="44"/>
        <v>15000</v>
      </c>
      <c r="R182" s="688">
        <v>0</v>
      </c>
      <c r="S182" s="693"/>
      <c r="T182" s="690">
        <f t="shared" si="40"/>
        <v>-15000</v>
      </c>
      <c r="U182" s="683"/>
      <c r="V182" s="474">
        <f t="shared" si="45"/>
        <v>15000</v>
      </c>
      <c r="W182" s="474">
        <f t="shared" si="46"/>
        <v>0</v>
      </c>
      <c r="X182" s="475">
        <f t="shared" si="47"/>
        <v>0</v>
      </c>
      <c r="Y182" s="475">
        <v>0</v>
      </c>
      <c r="Z182" s="476">
        <v>0</v>
      </c>
      <c r="AA182" s="38">
        <f t="shared" si="48"/>
        <v>0</v>
      </c>
      <c r="AB182" s="692">
        <f t="shared" si="42"/>
        <v>-478.61699999999837</v>
      </c>
      <c r="AC182" s="692">
        <f t="shared" si="41"/>
        <v>0</v>
      </c>
      <c r="AD182" s="692">
        <f t="shared" si="49"/>
        <v>0</v>
      </c>
      <c r="AE182" s="38"/>
      <c r="AF182" s="692">
        <f t="shared" si="50"/>
        <v>15000</v>
      </c>
      <c r="AG182" s="692">
        <f t="shared" si="51"/>
        <v>0</v>
      </c>
      <c r="AH182" s="692">
        <f t="shared" si="52"/>
        <v>0</v>
      </c>
    </row>
    <row r="183" spans="1:34" s="232" customFormat="1">
      <c r="A183" s="403"/>
      <c r="B183" s="403" t="s">
        <v>110</v>
      </c>
      <c r="C183" s="666"/>
      <c r="D183" s="123" t="s">
        <v>378</v>
      </c>
      <c r="E183" s="679"/>
      <c r="F183" s="529">
        <f>VLOOKUP(D183,'May 2012 DMV Revenue'!D:T,17,FALSE)</f>
        <v>0</v>
      </c>
      <c r="G183" s="680"/>
      <c r="H183" s="680"/>
      <c r="I183" s="755"/>
      <c r="J183" s="682">
        <f t="shared" si="39"/>
        <v>0</v>
      </c>
      <c r="K183" s="683"/>
      <c r="L183" s="684"/>
      <c r="M183" s="753"/>
      <c r="N183" s="683">
        <v>0</v>
      </c>
      <c r="O183" s="686"/>
      <c r="P183" s="683">
        <v>0</v>
      </c>
      <c r="Q183" s="687">
        <f t="shared" si="44"/>
        <v>0</v>
      </c>
      <c r="R183" s="688">
        <v>0</v>
      </c>
      <c r="S183" s="693"/>
      <c r="T183" s="690">
        <f t="shared" si="40"/>
        <v>0</v>
      </c>
      <c r="U183" s="683"/>
      <c r="V183" s="474">
        <f t="shared" si="45"/>
        <v>0</v>
      </c>
      <c r="W183" s="474">
        <f t="shared" si="46"/>
        <v>0</v>
      </c>
      <c r="X183" s="475">
        <f t="shared" si="47"/>
        <v>0</v>
      </c>
      <c r="Y183" s="475">
        <v>0</v>
      </c>
      <c r="Z183" s="476">
        <v>0</v>
      </c>
      <c r="AA183" s="38">
        <f t="shared" si="48"/>
        <v>0</v>
      </c>
      <c r="AB183" s="692">
        <f t="shared" si="42"/>
        <v>0</v>
      </c>
      <c r="AC183" s="692">
        <f t="shared" si="41"/>
        <v>0</v>
      </c>
      <c r="AD183" s="692">
        <f t="shared" si="49"/>
        <v>0</v>
      </c>
      <c r="AE183" s="38"/>
      <c r="AF183" s="692">
        <f t="shared" si="50"/>
        <v>0</v>
      </c>
      <c r="AG183" s="692">
        <f t="shared" si="51"/>
        <v>0</v>
      </c>
      <c r="AH183" s="692">
        <f t="shared" si="52"/>
        <v>0</v>
      </c>
    </row>
    <row r="184" spans="1:34" s="232" customFormat="1">
      <c r="A184" s="403"/>
      <c r="B184" s="403" t="s">
        <v>110</v>
      </c>
      <c r="C184" s="666" t="s">
        <v>568</v>
      </c>
      <c r="D184" s="123" t="s">
        <v>303</v>
      </c>
      <c r="E184" s="679"/>
      <c r="F184" s="529">
        <f>VLOOKUP(D184,'May 2012 DMV Revenue'!D:T,17,FALSE)</f>
        <v>-200000</v>
      </c>
      <c r="G184" s="680"/>
      <c r="H184" s="680"/>
      <c r="I184" s="755"/>
      <c r="J184" s="682">
        <f t="shared" si="39"/>
        <v>-200000</v>
      </c>
      <c r="K184" s="683"/>
      <c r="L184" s="684"/>
      <c r="M184" s="753">
        <v>300000</v>
      </c>
      <c r="N184" s="683">
        <v>0</v>
      </c>
      <c r="O184" s="686"/>
      <c r="P184" s="683">
        <v>0</v>
      </c>
      <c r="Q184" s="687">
        <f t="shared" si="44"/>
        <v>300000</v>
      </c>
      <c r="R184" s="688">
        <v>0</v>
      </c>
      <c r="S184" s="693"/>
      <c r="T184" s="690">
        <f t="shared" si="40"/>
        <v>-300000</v>
      </c>
      <c r="U184" s="683"/>
      <c r="V184" s="474">
        <f t="shared" si="45"/>
        <v>300000</v>
      </c>
      <c r="W184" s="474">
        <f t="shared" si="46"/>
        <v>0</v>
      </c>
      <c r="X184" s="475">
        <f t="shared" si="47"/>
        <v>0</v>
      </c>
      <c r="Y184" s="475">
        <v>0</v>
      </c>
      <c r="Z184" s="476">
        <v>0</v>
      </c>
      <c r="AA184" s="38">
        <f t="shared" si="48"/>
        <v>0</v>
      </c>
      <c r="AB184" s="692">
        <f t="shared" si="42"/>
        <v>-200000</v>
      </c>
      <c r="AC184" s="692">
        <f t="shared" si="41"/>
        <v>0</v>
      </c>
      <c r="AD184" s="692">
        <f t="shared" si="49"/>
        <v>0</v>
      </c>
      <c r="AE184" s="38"/>
      <c r="AF184" s="692">
        <f t="shared" si="50"/>
        <v>300000</v>
      </c>
      <c r="AG184" s="692">
        <f t="shared" si="51"/>
        <v>0</v>
      </c>
      <c r="AH184" s="692">
        <f t="shared" si="52"/>
        <v>0</v>
      </c>
    </row>
    <row r="185" spans="1:34" s="232" customFormat="1">
      <c r="A185" s="403"/>
      <c r="B185" s="403" t="s">
        <v>110</v>
      </c>
      <c r="C185" s="666"/>
      <c r="D185" s="123" t="s">
        <v>206</v>
      </c>
      <c r="E185" s="679"/>
      <c r="F185" s="529">
        <f>VLOOKUP(D185,'May 2012 DMV Revenue'!D:T,17,FALSE)</f>
        <v>0</v>
      </c>
      <c r="G185" s="680"/>
      <c r="H185" s="680"/>
      <c r="I185" s="755"/>
      <c r="J185" s="682">
        <f t="shared" si="39"/>
        <v>0</v>
      </c>
      <c r="K185" s="683"/>
      <c r="L185" s="684"/>
      <c r="M185" s="753"/>
      <c r="N185" s="683">
        <v>0</v>
      </c>
      <c r="O185" s="686"/>
      <c r="P185" s="683">
        <v>0</v>
      </c>
      <c r="Q185" s="687">
        <f t="shared" si="44"/>
        <v>0</v>
      </c>
      <c r="R185" s="688">
        <v>0</v>
      </c>
      <c r="S185" s="693"/>
      <c r="T185" s="690">
        <f t="shared" si="40"/>
        <v>0</v>
      </c>
      <c r="U185" s="683"/>
      <c r="V185" s="474">
        <f t="shared" si="45"/>
        <v>0</v>
      </c>
      <c r="W185" s="474">
        <f t="shared" si="46"/>
        <v>0</v>
      </c>
      <c r="X185" s="475">
        <f t="shared" si="47"/>
        <v>0</v>
      </c>
      <c r="Y185" s="475">
        <v>0</v>
      </c>
      <c r="Z185" s="476">
        <v>0</v>
      </c>
      <c r="AA185" s="38">
        <f t="shared" si="48"/>
        <v>0</v>
      </c>
      <c r="AB185" s="692">
        <f t="shared" si="42"/>
        <v>0</v>
      </c>
      <c r="AC185" s="692">
        <f t="shared" si="41"/>
        <v>0</v>
      </c>
      <c r="AD185" s="692">
        <f t="shared" si="49"/>
        <v>0</v>
      </c>
      <c r="AE185" s="38"/>
      <c r="AF185" s="692">
        <f t="shared" si="50"/>
        <v>0</v>
      </c>
      <c r="AG185" s="692">
        <f t="shared" si="51"/>
        <v>0</v>
      </c>
      <c r="AH185" s="692">
        <f t="shared" si="52"/>
        <v>0</v>
      </c>
    </row>
    <row r="186" spans="1:34" s="232" customFormat="1">
      <c r="A186" s="403"/>
      <c r="B186" s="403" t="s">
        <v>109</v>
      </c>
      <c r="C186" s="666" t="s">
        <v>569</v>
      </c>
      <c r="D186" s="123" t="s">
        <v>468</v>
      </c>
      <c r="E186" s="679"/>
      <c r="F186" s="529">
        <f>VLOOKUP(D186,'May 2012 DMV Revenue'!D:T,17,FALSE)</f>
        <v>31232.5</v>
      </c>
      <c r="G186" s="680"/>
      <c r="H186" s="680"/>
      <c r="I186" s="755"/>
      <c r="J186" s="682">
        <f t="shared" si="39"/>
        <v>31232.5</v>
      </c>
      <c r="K186" s="683"/>
      <c r="L186" s="684"/>
      <c r="M186" s="753">
        <v>30000</v>
      </c>
      <c r="N186" s="683">
        <v>0</v>
      </c>
      <c r="O186" s="686"/>
      <c r="P186" s="683">
        <v>0</v>
      </c>
      <c r="Q186" s="687">
        <f t="shared" si="44"/>
        <v>30000</v>
      </c>
      <c r="R186" s="688">
        <v>0</v>
      </c>
      <c r="S186" s="693"/>
      <c r="T186" s="690">
        <f t="shared" si="40"/>
        <v>-30000</v>
      </c>
      <c r="U186" s="683"/>
      <c r="V186" s="474">
        <f t="shared" si="45"/>
        <v>0</v>
      </c>
      <c r="W186" s="474">
        <f t="shared" si="46"/>
        <v>30000</v>
      </c>
      <c r="X186" s="475">
        <f t="shared" si="47"/>
        <v>0</v>
      </c>
      <c r="Y186" s="475">
        <v>0</v>
      </c>
      <c r="Z186" s="476">
        <v>0</v>
      </c>
      <c r="AA186" s="38">
        <f t="shared" si="48"/>
        <v>0</v>
      </c>
      <c r="AB186" s="692">
        <f t="shared" si="42"/>
        <v>0</v>
      </c>
      <c r="AC186" s="692">
        <f t="shared" si="41"/>
        <v>31232.5</v>
      </c>
      <c r="AD186" s="692">
        <f t="shared" si="49"/>
        <v>0</v>
      </c>
      <c r="AE186" s="38"/>
      <c r="AF186" s="692">
        <f t="shared" si="50"/>
        <v>0</v>
      </c>
      <c r="AG186" s="692">
        <f t="shared" si="51"/>
        <v>30000</v>
      </c>
      <c r="AH186" s="692">
        <f t="shared" si="52"/>
        <v>0</v>
      </c>
    </row>
    <row r="187" spans="1:34" s="232" customFormat="1">
      <c r="A187" s="403"/>
      <c r="B187" s="403" t="s">
        <v>114</v>
      </c>
      <c r="C187" s="666"/>
      <c r="D187" s="123" t="s">
        <v>241</v>
      </c>
      <c r="E187" s="679"/>
      <c r="F187" s="529">
        <f>VLOOKUP(D187,'May 2012 DMV Revenue'!D:T,17,FALSE)</f>
        <v>0</v>
      </c>
      <c r="G187" s="680"/>
      <c r="H187" s="680"/>
      <c r="I187" s="755"/>
      <c r="J187" s="682">
        <f t="shared" si="39"/>
        <v>0</v>
      </c>
      <c r="K187" s="683"/>
      <c r="L187" s="684"/>
      <c r="M187" s="753"/>
      <c r="N187" s="683">
        <v>0</v>
      </c>
      <c r="O187" s="686"/>
      <c r="P187" s="683">
        <v>0</v>
      </c>
      <c r="Q187" s="687">
        <f t="shared" si="44"/>
        <v>0</v>
      </c>
      <c r="R187" s="688">
        <v>0</v>
      </c>
      <c r="S187" s="693"/>
      <c r="T187" s="690">
        <f t="shared" si="40"/>
        <v>0</v>
      </c>
      <c r="U187" s="683"/>
      <c r="V187" s="474">
        <f t="shared" si="45"/>
        <v>0</v>
      </c>
      <c r="W187" s="474">
        <f t="shared" si="46"/>
        <v>0</v>
      </c>
      <c r="X187" s="475">
        <f t="shared" si="47"/>
        <v>0</v>
      </c>
      <c r="Y187" s="475">
        <v>0</v>
      </c>
      <c r="Z187" s="476">
        <v>0</v>
      </c>
      <c r="AA187" s="38">
        <f t="shared" si="48"/>
        <v>0</v>
      </c>
      <c r="AB187" s="692">
        <f t="shared" si="42"/>
        <v>0</v>
      </c>
      <c r="AC187" s="692">
        <f t="shared" si="41"/>
        <v>0</v>
      </c>
      <c r="AD187" s="692">
        <f t="shared" si="49"/>
        <v>0</v>
      </c>
      <c r="AE187" s="38"/>
      <c r="AF187" s="692">
        <f t="shared" si="50"/>
        <v>0</v>
      </c>
      <c r="AG187" s="692">
        <f t="shared" si="51"/>
        <v>0</v>
      </c>
      <c r="AH187" s="692">
        <f t="shared" si="52"/>
        <v>0</v>
      </c>
    </row>
    <row r="188" spans="1:34">
      <c r="A188" s="20"/>
      <c r="B188" s="20" t="s">
        <v>109</v>
      </c>
      <c r="C188" s="667" t="s">
        <v>570</v>
      </c>
      <c r="D188" s="68" t="s">
        <v>41</v>
      </c>
      <c r="E188" s="679"/>
      <c r="F188" s="529">
        <f>VLOOKUP(D188,'May 2012 DMV Revenue'!D:T,17,FALSE)</f>
        <v>0</v>
      </c>
      <c r="G188" s="680"/>
      <c r="H188" s="680"/>
      <c r="I188" s="755"/>
      <c r="J188" s="682">
        <f t="shared" si="39"/>
        <v>0</v>
      </c>
      <c r="K188" s="683"/>
      <c r="L188" s="684"/>
      <c r="M188" s="753"/>
      <c r="N188" s="683">
        <v>0</v>
      </c>
      <c r="O188" s="686"/>
      <c r="P188" s="683">
        <v>0</v>
      </c>
      <c r="Q188" s="687">
        <f t="shared" si="44"/>
        <v>0</v>
      </c>
      <c r="R188" s="688">
        <v>0</v>
      </c>
      <c r="S188" s="693"/>
      <c r="T188" s="690">
        <f t="shared" si="40"/>
        <v>0</v>
      </c>
      <c r="U188" s="683"/>
      <c r="V188" s="474">
        <f t="shared" si="45"/>
        <v>0</v>
      </c>
      <c r="W188" s="474">
        <f t="shared" si="46"/>
        <v>0</v>
      </c>
      <c r="X188" s="475">
        <f t="shared" si="47"/>
        <v>0</v>
      </c>
      <c r="Y188" s="475">
        <v>0</v>
      </c>
      <c r="Z188" s="476">
        <v>0</v>
      </c>
      <c r="AA188" s="38">
        <f t="shared" si="48"/>
        <v>0</v>
      </c>
      <c r="AB188" s="692">
        <f t="shared" si="42"/>
        <v>0</v>
      </c>
      <c r="AC188" s="692">
        <f t="shared" si="41"/>
        <v>0</v>
      </c>
      <c r="AD188" s="692">
        <f t="shared" si="49"/>
        <v>0</v>
      </c>
      <c r="AE188" s="38"/>
      <c r="AF188" s="692">
        <f t="shared" si="50"/>
        <v>0</v>
      </c>
      <c r="AG188" s="692">
        <f t="shared" si="51"/>
        <v>0</v>
      </c>
      <c r="AH188" s="692">
        <f t="shared" si="52"/>
        <v>0</v>
      </c>
    </row>
    <row r="189" spans="1:34">
      <c r="A189" s="20"/>
      <c r="B189" s="20" t="s">
        <v>109</v>
      </c>
      <c r="C189" s="667" t="s">
        <v>570</v>
      </c>
      <c r="D189" s="68" t="s">
        <v>221</v>
      </c>
      <c r="E189" s="679"/>
      <c r="F189" s="529">
        <f>VLOOKUP(D189,'May 2012 DMV Revenue'!D:T,17,FALSE)</f>
        <v>0</v>
      </c>
      <c r="G189" s="680"/>
      <c r="H189" s="680"/>
      <c r="I189" s="755"/>
      <c r="J189" s="682">
        <f t="shared" si="39"/>
        <v>0</v>
      </c>
      <c r="K189" s="683"/>
      <c r="L189" s="684"/>
      <c r="M189" s="753"/>
      <c r="N189" s="683">
        <v>0</v>
      </c>
      <c r="O189" s="686"/>
      <c r="P189" s="683">
        <v>0</v>
      </c>
      <c r="Q189" s="687">
        <f t="shared" si="44"/>
        <v>0</v>
      </c>
      <c r="R189" s="688">
        <v>0</v>
      </c>
      <c r="S189" s="693"/>
      <c r="T189" s="690">
        <f t="shared" si="40"/>
        <v>0</v>
      </c>
      <c r="U189" s="683"/>
      <c r="V189" s="474">
        <f t="shared" si="45"/>
        <v>0</v>
      </c>
      <c r="W189" s="474">
        <f t="shared" si="46"/>
        <v>0</v>
      </c>
      <c r="X189" s="475">
        <f t="shared" si="47"/>
        <v>0</v>
      </c>
      <c r="Y189" s="475">
        <v>0</v>
      </c>
      <c r="Z189" s="476">
        <v>0</v>
      </c>
      <c r="AA189" s="38">
        <f t="shared" si="48"/>
        <v>0</v>
      </c>
      <c r="AB189" s="692">
        <f t="shared" si="42"/>
        <v>0</v>
      </c>
      <c r="AC189" s="692">
        <f t="shared" si="41"/>
        <v>0</v>
      </c>
      <c r="AD189" s="692">
        <f t="shared" si="49"/>
        <v>0</v>
      </c>
      <c r="AE189" s="38"/>
      <c r="AF189" s="692">
        <f t="shared" si="50"/>
        <v>0</v>
      </c>
      <c r="AG189" s="692">
        <f t="shared" si="51"/>
        <v>0</v>
      </c>
      <c r="AH189" s="692">
        <f t="shared" si="52"/>
        <v>0</v>
      </c>
    </row>
    <row r="190" spans="1:34">
      <c r="A190" s="20"/>
      <c r="B190" s="20" t="s">
        <v>110</v>
      </c>
      <c r="C190" s="667"/>
      <c r="D190" s="68" t="s">
        <v>508</v>
      </c>
      <c r="E190" s="679"/>
      <c r="F190" s="529">
        <f>VLOOKUP(D190,'May 2012 DMV Revenue'!D:T,17,FALSE)</f>
        <v>0</v>
      </c>
      <c r="G190" s="680"/>
      <c r="H190" s="680"/>
      <c r="I190" s="755"/>
      <c r="J190" s="682">
        <f t="shared" ref="J190" si="55">SUM(E190:I190)</f>
        <v>0</v>
      </c>
      <c r="K190" s="683"/>
      <c r="L190" s="684"/>
      <c r="M190" s="753"/>
      <c r="N190" s="683">
        <v>0</v>
      </c>
      <c r="O190" s="686"/>
      <c r="P190" s="683">
        <v>0</v>
      </c>
      <c r="Q190" s="687">
        <f t="shared" si="44"/>
        <v>0</v>
      </c>
      <c r="R190" s="688">
        <v>0</v>
      </c>
      <c r="S190" s="693"/>
      <c r="T190" s="690">
        <f t="shared" si="40"/>
        <v>0</v>
      </c>
      <c r="U190" s="683"/>
      <c r="V190" s="474">
        <f t="shared" si="45"/>
        <v>0</v>
      </c>
      <c r="W190" s="474">
        <f t="shared" si="46"/>
        <v>0</v>
      </c>
      <c r="X190" s="475">
        <f t="shared" si="47"/>
        <v>0</v>
      </c>
      <c r="Y190" s="475">
        <v>0</v>
      </c>
      <c r="Z190" s="476">
        <v>0</v>
      </c>
      <c r="AA190" s="38">
        <f t="shared" si="48"/>
        <v>0</v>
      </c>
      <c r="AB190" s="692">
        <f t="shared" si="42"/>
        <v>0</v>
      </c>
      <c r="AC190" s="692">
        <f t="shared" si="41"/>
        <v>0</v>
      </c>
      <c r="AD190" s="692">
        <f t="shared" si="49"/>
        <v>0</v>
      </c>
      <c r="AE190" s="38"/>
      <c r="AF190" s="692">
        <f t="shared" si="50"/>
        <v>0</v>
      </c>
      <c r="AG190" s="692">
        <f t="shared" si="51"/>
        <v>0</v>
      </c>
      <c r="AH190" s="692">
        <f t="shared" si="52"/>
        <v>0</v>
      </c>
    </row>
    <row r="191" spans="1:34">
      <c r="A191" s="21"/>
      <c r="B191" s="21" t="s">
        <v>110</v>
      </c>
      <c r="C191" s="666"/>
      <c r="D191" s="68" t="s">
        <v>43</v>
      </c>
      <c r="E191" s="679"/>
      <c r="F191" s="529">
        <f>VLOOKUP(D191,'May 2012 DMV Revenue'!D:T,17,FALSE)</f>
        <v>332.38</v>
      </c>
      <c r="G191" s="680"/>
      <c r="H191" s="680"/>
      <c r="I191" s="755"/>
      <c r="J191" s="682">
        <f t="shared" si="39"/>
        <v>332.38</v>
      </c>
      <c r="K191" s="683"/>
      <c r="L191" s="684"/>
      <c r="M191" s="753"/>
      <c r="N191" s="683">
        <v>0</v>
      </c>
      <c r="O191" s="686"/>
      <c r="P191" s="683">
        <v>0</v>
      </c>
      <c r="Q191" s="687">
        <f t="shared" si="44"/>
        <v>0</v>
      </c>
      <c r="R191" s="688">
        <v>381.03</v>
      </c>
      <c r="S191" s="693"/>
      <c r="T191" s="690">
        <f t="shared" si="40"/>
        <v>381.03</v>
      </c>
      <c r="U191" s="683"/>
      <c r="V191" s="474">
        <f t="shared" si="45"/>
        <v>0</v>
      </c>
      <c r="W191" s="474">
        <f t="shared" si="46"/>
        <v>0</v>
      </c>
      <c r="X191" s="475">
        <f t="shared" si="47"/>
        <v>0</v>
      </c>
      <c r="Y191" s="475">
        <v>0</v>
      </c>
      <c r="Z191" s="476">
        <v>0</v>
      </c>
      <c r="AA191" s="38">
        <f t="shared" si="48"/>
        <v>0</v>
      </c>
      <c r="AB191" s="692">
        <f t="shared" si="42"/>
        <v>332.38</v>
      </c>
      <c r="AC191" s="692">
        <f t="shared" si="41"/>
        <v>0</v>
      </c>
      <c r="AD191" s="692">
        <f t="shared" si="49"/>
        <v>0</v>
      </c>
      <c r="AE191" s="38"/>
      <c r="AF191" s="692">
        <f t="shared" si="50"/>
        <v>0</v>
      </c>
      <c r="AG191" s="692">
        <f t="shared" si="51"/>
        <v>0</v>
      </c>
      <c r="AH191" s="692">
        <f t="shared" si="52"/>
        <v>0</v>
      </c>
    </row>
    <row r="192" spans="1:34">
      <c r="A192" s="21"/>
      <c r="B192" s="21" t="s">
        <v>109</v>
      </c>
      <c r="C192" s="666" t="s">
        <v>571</v>
      </c>
      <c r="D192" s="68" t="s">
        <v>44</v>
      </c>
      <c r="E192" s="679"/>
      <c r="F192" s="529">
        <f>VLOOKUP(D192,'May 2012 DMV Revenue'!D:T,17,FALSE)</f>
        <v>0</v>
      </c>
      <c r="G192" s="680"/>
      <c r="H192" s="680"/>
      <c r="I192" s="770">
        <f>190.8+6202.8</f>
        <v>6393.6</v>
      </c>
      <c r="J192" s="682">
        <f t="shared" si="39"/>
        <v>6393.6</v>
      </c>
      <c r="K192" s="683"/>
      <c r="L192" s="684"/>
      <c r="M192" s="753"/>
      <c r="N192" s="683">
        <v>0</v>
      </c>
      <c r="O192" s="686"/>
      <c r="P192" s="683">
        <v>0</v>
      </c>
      <c r="Q192" s="687">
        <f t="shared" si="44"/>
        <v>0</v>
      </c>
      <c r="R192" s="688">
        <v>0</v>
      </c>
      <c r="S192" s="693"/>
      <c r="T192" s="690">
        <f t="shared" si="40"/>
        <v>0</v>
      </c>
      <c r="U192" s="683"/>
      <c r="V192" s="474">
        <f t="shared" si="45"/>
        <v>0</v>
      </c>
      <c r="W192" s="474">
        <f t="shared" si="46"/>
        <v>0</v>
      </c>
      <c r="X192" s="475">
        <f t="shared" si="47"/>
        <v>0</v>
      </c>
      <c r="Y192" s="475">
        <v>0</v>
      </c>
      <c r="Z192" s="476">
        <v>0</v>
      </c>
      <c r="AA192" s="38">
        <f t="shared" si="48"/>
        <v>0</v>
      </c>
      <c r="AB192" s="692">
        <f t="shared" si="42"/>
        <v>0</v>
      </c>
      <c r="AC192" s="692">
        <f t="shared" si="41"/>
        <v>6393.6</v>
      </c>
      <c r="AD192" s="692">
        <f t="shared" si="49"/>
        <v>0</v>
      </c>
      <c r="AE192" s="38"/>
      <c r="AF192" s="692">
        <f t="shared" si="50"/>
        <v>0</v>
      </c>
      <c r="AG192" s="692">
        <f t="shared" si="51"/>
        <v>0</v>
      </c>
      <c r="AH192" s="692">
        <f t="shared" si="52"/>
        <v>0</v>
      </c>
    </row>
    <row r="193" spans="1:34">
      <c r="A193" s="21"/>
      <c r="B193" s="21" t="s">
        <v>114</v>
      </c>
      <c r="C193" s="666" t="s">
        <v>571</v>
      </c>
      <c r="D193" s="68" t="s">
        <v>44</v>
      </c>
      <c r="E193" s="679"/>
      <c r="F193" s="529">
        <f>VLOOKUP(D193,'May 2012 DMV Revenue'!D:T,17,FALSE)</f>
        <v>0</v>
      </c>
      <c r="G193" s="680"/>
      <c r="H193" s="680"/>
      <c r="I193" s="770">
        <f>7.2+180.9</f>
        <v>188.1</v>
      </c>
      <c r="J193" s="682">
        <f t="shared" ref="J193" si="56">SUM(E193:I193)</f>
        <v>188.1</v>
      </c>
      <c r="K193" s="683"/>
      <c r="L193" s="684"/>
      <c r="M193" s="753"/>
      <c r="N193" s="683">
        <v>0</v>
      </c>
      <c r="O193" s="686"/>
      <c r="P193" s="683">
        <v>0</v>
      </c>
      <c r="Q193" s="687">
        <f t="shared" si="44"/>
        <v>0</v>
      </c>
      <c r="R193" s="688">
        <v>0</v>
      </c>
      <c r="S193" s="693"/>
      <c r="T193" s="690">
        <f t="shared" si="40"/>
        <v>0</v>
      </c>
      <c r="U193" s="683"/>
      <c r="V193" s="474">
        <f t="shared" si="45"/>
        <v>0</v>
      </c>
      <c r="W193" s="474">
        <f t="shared" si="46"/>
        <v>0</v>
      </c>
      <c r="X193" s="475">
        <f t="shared" si="47"/>
        <v>0</v>
      </c>
      <c r="Y193" s="475">
        <v>0</v>
      </c>
      <c r="Z193" s="476">
        <v>0</v>
      </c>
      <c r="AA193" s="38">
        <f t="shared" si="48"/>
        <v>0</v>
      </c>
      <c r="AB193" s="692">
        <f t="shared" si="42"/>
        <v>0</v>
      </c>
      <c r="AC193" s="692">
        <f t="shared" si="41"/>
        <v>0</v>
      </c>
      <c r="AD193" s="692">
        <f t="shared" si="49"/>
        <v>188.1</v>
      </c>
      <c r="AE193" s="38"/>
      <c r="AF193" s="692">
        <f t="shared" si="50"/>
        <v>0</v>
      </c>
      <c r="AG193" s="692">
        <f t="shared" si="51"/>
        <v>0</v>
      </c>
      <c r="AH193" s="692">
        <f t="shared" si="52"/>
        <v>0</v>
      </c>
    </row>
    <row r="194" spans="1:34">
      <c r="A194" s="21"/>
      <c r="B194" s="21" t="s">
        <v>110</v>
      </c>
      <c r="C194" s="666" t="s">
        <v>572</v>
      </c>
      <c r="D194" s="68" t="s">
        <v>388</v>
      </c>
      <c r="E194" s="679"/>
      <c r="F194" s="529">
        <f>VLOOKUP(D194,'May 2012 DMV Revenue'!D:T,17,FALSE)</f>
        <v>0</v>
      </c>
      <c r="G194" s="680"/>
      <c r="H194" s="680"/>
      <c r="I194" s="770">
        <v>11208.24</v>
      </c>
      <c r="J194" s="682">
        <f t="shared" si="39"/>
        <v>11208.24</v>
      </c>
      <c r="K194" s="683"/>
      <c r="L194" s="684"/>
      <c r="M194" s="753"/>
      <c r="N194" s="683">
        <v>0</v>
      </c>
      <c r="O194" s="686"/>
      <c r="P194" s="683">
        <v>0</v>
      </c>
      <c r="Q194" s="687">
        <f t="shared" si="44"/>
        <v>0</v>
      </c>
      <c r="R194" s="688">
        <v>0</v>
      </c>
      <c r="S194" s="693"/>
      <c r="T194" s="690">
        <f t="shared" si="40"/>
        <v>0</v>
      </c>
      <c r="U194" s="683"/>
      <c r="V194" s="474">
        <f t="shared" si="45"/>
        <v>0</v>
      </c>
      <c r="W194" s="474">
        <f t="shared" si="46"/>
        <v>0</v>
      </c>
      <c r="X194" s="475">
        <f t="shared" si="47"/>
        <v>0</v>
      </c>
      <c r="Y194" s="475">
        <v>0</v>
      </c>
      <c r="Z194" s="476">
        <v>0</v>
      </c>
      <c r="AA194" s="38">
        <f t="shared" si="48"/>
        <v>0</v>
      </c>
      <c r="AB194" s="692">
        <f t="shared" si="42"/>
        <v>11208.24</v>
      </c>
      <c r="AC194" s="692">
        <f t="shared" si="41"/>
        <v>0</v>
      </c>
      <c r="AD194" s="692">
        <f t="shared" si="49"/>
        <v>0</v>
      </c>
      <c r="AE194" s="38"/>
      <c r="AF194" s="692">
        <f t="shared" si="50"/>
        <v>0</v>
      </c>
      <c r="AG194" s="692">
        <f t="shared" si="51"/>
        <v>0</v>
      </c>
      <c r="AH194" s="692">
        <f t="shared" si="52"/>
        <v>0</v>
      </c>
    </row>
    <row r="195" spans="1:34">
      <c r="A195" s="21"/>
      <c r="B195" s="21" t="s">
        <v>110</v>
      </c>
      <c r="C195" s="666"/>
      <c r="D195" s="68" t="s">
        <v>45</v>
      </c>
      <c r="E195" s="679"/>
      <c r="F195" s="529">
        <f>VLOOKUP(D195,'May 2012 DMV Revenue'!D:T,17,FALSE)</f>
        <v>217.36000000000058</v>
      </c>
      <c r="G195" s="680"/>
      <c r="H195" s="680"/>
      <c r="I195" s="755"/>
      <c r="J195" s="682">
        <f t="shared" si="39"/>
        <v>217.36000000000058</v>
      </c>
      <c r="K195" s="683"/>
      <c r="L195" s="684"/>
      <c r="M195" s="753">
        <v>13000</v>
      </c>
      <c r="N195" s="683">
        <v>0</v>
      </c>
      <c r="O195" s="686"/>
      <c r="P195" s="683">
        <v>0</v>
      </c>
      <c r="Q195" s="687">
        <f t="shared" si="44"/>
        <v>13000</v>
      </c>
      <c r="R195" s="688">
        <f>12893.78+603.38</f>
        <v>13497.16</v>
      </c>
      <c r="S195" s="693"/>
      <c r="T195" s="690">
        <f t="shared" si="40"/>
        <v>497.15999999999985</v>
      </c>
      <c r="U195" s="683"/>
      <c r="V195" s="474">
        <f t="shared" si="45"/>
        <v>13000</v>
      </c>
      <c r="W195" s="474">
        <f t="shared" si="46"/>
        <v>0</v>
      </c>
      <c r="X195" s="475">
        <f t="shared" si="47"/>
        <v>0</v>
      </c>
      <c r="Y195" s="475">
        <v>0</v>
      </c>
      <c r="Z195" s="476">
        <v>0</v>
      </c>
      <c r="AA195" s="38">
        <f t="shared" si="48"/>
        <v>0</v>
      </c>
      <c r="AB195" s="692">
        <f t="shared" si="42"/>
        <v>217.36000000000058</v>
      </c>
      <c r="AC195" s="692">
        <f t="shared" si="41"/>
        <v>0</v>
      </c>
      <c r="AD195" s="692">
        <f t="shared" si="49"/>
        <v>0</v>
      </c>
      <c r="AE195" s="38"/>
      <c r="AF195" s="692">
        <f t="shared" si="50"/>
        <v>13000</v>
      </c>
      <c r="AG195" s="692">
        <f t="shared" si="51"/>
        <v>0</v>
      </c>
      <c r="AH195" s="692">
        <f t="shared" si="52"/>
        <v>0</v>
      </c>
    </row>
    <row r="196" spans="1:34">
      <c r="A196" s="21"/>
      <c r="B196" s="21" t="s">
        <v>109</v>
      </c>
      <c r="C196" s="666"/>
      <c r="D196" s="68" t="s">
        <v>47</v>
      </c>
      <c r="E196" s="679"/>
      <c r="F196" s="529">
        <f>VLOOKUP(D196,'May 2012 DMV Revenue'!D:T,17,FALSE)</f>
        <v>0</v>
      </c>
      <c r="G196" s="680"/>
      <c r="H196" s="680"/>
      <c r="I196" s="755"/>
      <c r="J196" s="682">
        <f t="shared" si="39"/>
        <v>0</v>
      </c>
      <c r="K196" s="683"/>
      <c r="L196" s="684"/>
      <c r="M196" s="753"/>
      <c r="N196" s="683">
        <v>0</v>
      </c>
      <c r="O196" s="686"/>
      <c r="P196" s="683">
        <v>0</v>
      </c>
      <c r="Q196" s="687">
        <f t="shared" si="44"/>
        <v>0</v>
      </c>
      <c r="R196" s="688">
        <v>0</v>
      </c>
      <c r="S196" s="693"/>
      <c r="T196" s="690">
        <f t="shared" si="40"/>
        <v>0</v>
      </c>
      <c r="U196" s="683"/>
      <c r="V196" s="474">
        <f t="shared" si="45"/>
        <v>0</v>
      </c>
      <c r="W196" s="474">
        <f t="shared" si="46"/>
        <v>0</v>
      </c>
      <c r="X196" s="475">
        <f t="shared" si="47"/>
        <v>0</v>
      </c>
      <c r="Y196" s="475">
        <v>0</v>
      </c>
      <c r="Z196" s="476">
        <v>0</v>
      </c>
      <c r="AA196" s="38">
        <f t="shared" si="48"/>
        <v>0</v>
      </c>
      <c r="AB196" s="692">
        <f t="shared" si="42"/>
        <v>0</v>
      </c>
      <c r="AC196" s="692">
        <f t="shared" si="41"/>
        <v>0</v>
      </c>
      <c r="AD196" s="692">
        <f t="shared" si="49"/>
        <v>0</v>
      </c>
      <c r="AE196" s="38"/>
      <c r="AF196" s="692">
        <f t="shared" si="50"/>
        <v>0</v>
      </c>
      <c r="AG196" s="692">
        <f t="shared" si="51"/>
        <v>0</v>
      </c>
      <c r="AH196" s="692">
        <f t="shared" si="52"/>
        <v>0</v>
      </c>
    </row>
    <row r="197" spans="1:34">
      <c r="A197" s="20" t="s">
        <v>211</v>
      </c>
      <c r="B197" s="20" t="s">
        <v>110</v>
      </c>
      <c r="C197" s="667"/>
      <c r="D197" s="68" t="s">
        <v>233</v>
      </c>
      <c r="E197" s="679"/>
      <c r="F197" s="529">
        <f>VLOOKUP(D197,'May 2012 DMV Revenue'!D:T,17,FALSE)</f>
        <v>0</v>
      </c>
      <c r="G197" s="680"/>
      <c r="H197" s="680"/>
      <c r="I197" s="755"/>
      <c r="J197" s="682">
        <f t="shared" si="39"/>
        <v>0</v>
      </c>
      <c r="K197" s="683"/>
      <c r="L197" s="684"/>
      <c r="M197" s="753"/>
      <c r="N197" s="683">
        <v>0</v>
      </c>
      <c r="O197" s="686"/>
      <c r="P197" s="683">
        <v>0</v>
      </c>
      <c r="Q197" s="687">
        <f t="shared" si="44"/>
        <v>0</v>
      </c>
      <c r="R197" s="688">
        <v>0</v>
      </c>
      <c r="S197" s="693"/>
      <c r="T197" s="690">
        <f t="shared" si="40"/>
        <v>0</v>
      </c>
      <c r="U197" s="697"/>
      <c r="V197" s="474">
        <f t="shared" si="45"/>
        <v>0</v>
      </c>
      <c r="W197" s="474">
        <f t="shared" si="46"/>
        <v>0</v>
      </c>
      <c r="X197" s="475">
        <f t="shared" si="47"/>
        <v>0</v>
      </c>
      <c r="Y197" s="475">
        <v>0</v>
      </c>
      <c r="Z197" s="476">
        <v>0</v>
      </c>
      <c r="AA197" s="38">
        <f t="shared" si="48"/>
        <v>0</v>
      </c>
      <c r="AB197" s="692">
        <f t="shared" si="42"/>
        <v>0</v>
      </c>
      <c r="AC197" s="692">
        <f t="shared" si="41"/>
        <v>0</v>
      </c>
      <c r="AD197" s="692">
        <f t="shared" si="49"/>
        <v>0</v>
      </c>
      <c r="AE197" s="38"/>
      <c r="AF197" s="692">
        <f t="shared" si="50"/>
        <v>0</v>
      </c>
      <c r="AG197" s="692">
        <f t="shared" si="51"/>
        <v>0</v>
      </c>
      <c r="AH197" s="692">
        <f t="shared" si="52"/>
        <v>0</v>
      </c>
    </row>
    <row r="198" spans="1:34">
      <c r="A198" s="20" t="s">
        <v>211</v>
      </c>
      <c r="B198" s="20" t="s">
        <v>110</v>
      </c>
      <c r="C198" s="667"/>
      <c r="D198" s="68" t="s">
        <v>503</v>
      </c>
      <c r="E198" s="679"/>
      <c r="F198" s="529">
        <f>VLOOKUP(D198,'May 2012 DMV Revenue'!D:T,17,FALSE)</f>
        <v>0</v>
      </c>
      <c r="G198" s="680"/>
      <c r="H198" s="680"/>
      <c r="I198" s="755"/>
      <c r="J198" s="682">
        <f t="shared" ref="J198" si="57">SUM(E198:I198)</f>
        <v>0</v>
      </c>
      <c r="K198" s="683"/>
      <c r="L198" s="684"/>
      <c r="M198" s="753"/>
      <c r="N198" s="683">
        <v>0</v>
      </c>
      <c r="O198" s="686"/>
      <c r="P198" s="683">
        <v>0</v>
      </c>
      <c r="Q198" s="687">
        <f t="shared" si="44"/>
        <v>0</v>
      </c>
      <c r="R198" s="688">
        <v>0</v>
      </c>
      <c r="S198" s="693"/>
      <c r="T198" s="690">
        <f t="shared" si="40"/>
        <v>0</v>
      </c>
      <c r="U198" s="697"/>
      <c r="V198" s="474">
        <f t="shared" si="45"/>
        <v>0</v>
      </c>
      <c r="W198" s="474">
        <f t="shared" si="46"/>
        <v>0</v>
      </c>
      <c r="X198" s="475">
        <f t="shared" si="47"/>
        <v>0</v>
      </c>
      <c r="Y198" s="475">
        <v>0</v>
      </c>
      <c r="Z198" s="476">
        <v>0</v>
      </c>
      <c r="AA198" s="38">
        <f t="shared" si="48"/>
        <v>0</v>
      </c>
      <c r="AB198" s="692">
        <f t="shared" si="42"/>
        <v>0</v>
      </c>
      <c r="AC198" s="692">
        <f t="shared" si="41"/>
        <v>0</v>
      </c>
      <c r="AD198" s="692">
        <f t="shared" si="49"/>
        <v>0</v>
      </c>
      <c r="AE198" s="38"/>
      <c r="AF198" s="692">
        <f t="shared" si="50"/>
        <v>0</v>
      </c>
      <c r="AG198" s="692">
        <f t="shared" si="51"/>
        <v>0</v>
      </c>
      <c r="AH198" s="692">
        <f t="shared" si="52"/>
        <v>0</v>
      </c>
    </row>
    <row r="199" spans="1:34">
      <c r="A199" s="20" t="s">
        <v>211</v>
      </c>
      <c r="B199" s="20" t="s">
        <v>109</v>
      </c>
      <c r="C199" s="667"/>
      <c r="D199" s="68" t="s">
        <v>48</v>
      </c>
      <c r="E199" s="679"/>
      <c r="F199" s="529">
        <f>VLOOKUP(D199,'May 2012 DMV Revenue'!D:T,17,FALSE)</f>
        <v>0</v>
      </c>
      <c r="G199" s="680"/>
      <c r="H199" s="680"/>
      <c r="I199" s="755"/>
      <c r="J199" s="682">
        <f t="shared" si="39"/>
        <v>0</v>
      </c>
      <c r="K199" s="683"/>
      <c r="L199" s="684"/>
      <c r="M199" s="753"/>
      <c r="N199" s="683">
        <v>0</v>
      </c>
      <c r="O199" s="686"/>
      <c r="P199" s="683">
        <v>0</v>
      </c>
      <c r="Q199" s="687">
        <f t="shared" si="44"/>
        <v>0</v>
      </c>
      <c r="R199" s="688">
        <v>0</v>
      </c>
      <c r="S199" s="693"/>
      <c r="T199" s="690">
        <f t="shared" si="40"/>
        <v>0</v>
      </c>
      <c r="U199" s="697"/>
      <c r="V199" s="474">
        <f t="shared" si="45"/>
        <v>0</v>
      </c>
      <c r="W199" s="474">
        <f t="shared" si="46"/>
        <v>0</v>
      </c>
      <c r="X199" s="475">
        <f t="shared" si="47"/>
        <v>0</v>
      </c>
      <c r="Y199" s="475">
        <v>0</v>
      </c>
      <c r="Z199" s="476">
        <v>0</v>
      </c>
      <c r="AA199" s="38">
        <f t="shared" si="48"/>
        <v>0</v>
      </c>
      <c r="AB199" s="692">
        <f t="shared" si="42"/>
        <v>0</v>
      </c>
      <c r="AC199" s="692">
        <f t="shared" si="41"/>
        <v>0</v>
      </c>
      <c r="AD199" s="692">
        <f t="shared" si="49"/>
        <v>0</v>
      </c>
      <c r="AE199" s="38"/>
      <c r="AF199" s="692">
        <f t="shared" si="50"/>
        <v>0</v>
      </c>
      <c r="AG199" s="692">
        <f t="shared" si="51"/>
        <v>0</v>
      </c>
      <c r="AH199" s="692">
        <f t="shared" si="52"/>
        <v>0</v>
      </c>
    </row>
    <row r="200" spans="1:34">
      <c r="A200" s="20"/>
      <c r="B200" s="20" t="s">
        <v>110</v>
      </c>
      <c r="C200" s="667" t="s">
        <v>573</v>
      </c>
      <c r="D200" s="68" t="s">
        <v>102</v>
      </c>
      <c r="E200" s="679">
        <v>89462.399999999994</v>
      </c>
      <c r="F200" s="529">
        <f>VLOOKUP(D200,'May 2012 DMV Revenue'!D:T,17,FALSE)</f>
        <v>46409.349999999977</v>
      </c>
      <c r="G200" s="680"/>
      <c r="H200" s="680"/>
      <c r="I200" s="755"/>
      <c r="J200" s="682">
        <f t="shared" si="39"/>
        <v>135871.74999999997</v>
      </c>
      <c r="K200" s="683"/>
      <c r="L200" s="684"/>
      <c r="M200" s="753">
        <v>750000</v>
      </c>
      <c r="N200" s="683">
        <v>0</v>
      </c>
      <c r="O200" s="686"/>
      <c r="P200" s="683">
        <v>0</v>
      </c>
      <c r="Q200" s="687">
        <f t="shared" si="44"/>
        <v>750000</v>
      </c>
      <c r="R200" s="688">
        <v>808057.58</v>
      </c>
      <c r="S200" s="693"/>
      <c r="T200" s="690">
        <f t="shared" si="40"/>
        <v>58057.579999999958</v>
      </c>
      <c r="U200" s="697"/>
      <c r="V200" s="474">
        <f t="shared" si="45"/>
        <v>750000</v>
      </c>
      <c r="W200" s="474">
        <f t="shared" si="46"/>
        <v>0</v>
      </c>
      <c r="X200" s="475">
        <f t="shared" si="47"/>
        <v>0</v>
      </c>
      <c r="Y200" s="475">
        <v>0</v>
      </c>
      <c r="Z200" s="476">
        <v>0</v>
      </c>
      <c r="AA200" s="38">
        <f t="shared" si="48"/>
        <v>0</v>
      </c>
      <c r="AB200" s="692">
        <f t="shared" si="42"/>
        <v>135871.74999999997</v>
      </c>
      <c r="AC200" s="692">
        <f t="shared" si="41"/>
        <v>0</v>
      </c>
      <c r="AD200" s="692">
        <f t="shared" si="49"/>
        <v>0</v>
      </c>
      <c r="AE200" s="38"/>
      <c r="AF200" s="692">
        <f t="shared" si="50"/>
        <v>750000</v>
      </c>
      <c r="AG200" s="692">
        <f t="shared" si="51"/>
        <v>0</v>
      </c>
      <c r="AH200" s="692">
        <f t="shared" si="52"/>
        <v>0</v>
      </c>
    </row>
    <row r="201" spans="1:34">
      <c r="A201" s="20"/>
      <c r="B201" s="20" t="s">
        <v>110</v>
      </c>
      <c r="C201" s="667" t="s">
        <v>573</v>
      </c>
      <c r="D201" s="68" t="s">
        <v>511</v>
      </c>
      <c r="E201" s="679">
        <v>22986.51</v>
      </c>
      <c r="F201" s="529">
        <f>VLOOKUP(D201,'May 2012 DMV Revenue'!D:T,17,FALSE)</f>
        <v>-40000</v>
      </c>
      <c r="G201" s="680"/>
      <c r="H201" s="680"/>
      <c r="I201" s="755"/>
      <c r="J201" s="682">
        <f t="shared" ref="J201" si="58">SUM(E201:I201)</f>
        <v>-17013.490000000002</v>
      </c>
      <c r="K201" s="683"/>
      <c r="L201" s="684"/>
      <c r="M201" s="753">
        <v>40000</v>
      </c>
      <c r="N201" s="683">
        <v>0</v>
      </c>
      <c r="O201" s="686"/>
      <c r="P201" s="683">
        <v>0</v>
      </c>
      <c r="Q201" s="687">
        <f t="shared" si="44"/>
        <v>40000</v>
      </c>
      <c r="R201" s="688">
        <v>0</v>
      </c>
      <c r="S201" s="693"/>
      <c r="T201" s="690">
        <f t="shared" si="40"/>
        <v>-40000</v>
      </c>
      <c r="U201" s="697"/>
      <c r="V201" s="474">
        <f t="shared" si="45"/>
        <v>40000</v>
      </c>
      <c r="W201" s="474">
        <f t="shared" si="46"/>
        <v>0</v>
      </c>
      <c r="X201" s="475">
        <f t="shared" si="47"/>
        <v>0</v>
      </c>
      <c r="Y201" s="475">
        <v>0</v>
      </c>
      <c r="Z201" s="476">
        <v>0</v>
      </c>
      <c r="AA201" s="38">
        <f t="shared" si="48"/>
        <v>0</v>
      </c>
      <c r="AB201" s="692">
        <f t="shared" si="42"/>
        <v>-17013.490000000002</v>
      </c>
      <c r="AC201" s="692">
        <f t="shared" si="41"/>
        <v>0</v>
      </c>
      <c r="AD201" s="692">
        <f t="shared" si="49"/>
        <v>0</v>
      </c>
      <c r="AE201" s="38"/>
      <c r="AF201" s="692">
        <f t="shared" si="50"/>
        <v>40000</v>
      </c>
      <c r="AG201" s="692">
        <f t="shared" si="51"/>
        <v>0</v>
      </c>
      <c r="AH201" s="692">
        <f t="shared" si="52"/>
        <v>0</v>
      </c>
    </row>
    <row r="202" spans="1:34">
      <c r="A202" s="21"/>
      <c r="B202" s="21" t="s">
        <v>110</v>
      </c>
      <c r="C202" s="666"/>
      <c r="D202" s="68" t="s">
        <v>50</v>
      </c>
      <c r="E202" s="679"/>
      <c r="F202" s="529">
        <f>VLOOKUP(D202,'May 2012 DMV Revenue'!D:T,17,FALSE)</f>
        <v>0</v>
      </c>
      <c r="G202" s="680"/>
      <c r="H202" s="680"/>
      <c r="I202" s="770">
        <v>1073.76</v>
      </c>
      <c r="J202" s="682">
        <f t="shared" si="39"/>
        <v>1073.76</v>
      </c>
      <c r="K202" s="683"/>
      <c r="L202" s="684"/>
      <c r="M202" s="753"/>
      <c r="N202" s="683">
        <v>0</v>
      </c>
      <c r="O202" s="686"/>
      <c r="P202" s="683">
        <v>0</v>
      </c>
      <c r="Q202" s="687">
        <f t="shared" si="44"/>
        <v>0</v>
      </c>
      <c r="R202" s="688">
        <v>0</v>
      </c>
      <c r="S202" s="693"/>
      <c r="T202" s="690">
        <f t="shared" si="40"/>
        <v>0</v>
      </c>
      <c r="U202" s="683"/>
      <c r="V202" s="474">
        <f t="shared" si="45"/>
        <v>0</v>
      </c>
      <c r="W202" s="474">
        <f t="shared" si="46"/>
        <v>0</v>
      </c>
      <c r="X202" s="475">
        <f t="shared" si="47"/>
        <v>0</v>
      </c>
      <c r="Y202" s="475">
        <v>0</v>
      </c>
      <c r="Z202" s="476">
        <v>0</v>
      </c>
      <c r="AA202" s="38">
        <f t="shared" si="48"/>
        <v>0</v>
      </c>
      <c r="AB202" s="692">
        <f t="shared" si="42"/>
        <v>1073.76</v>
      </c>
      <c r="AC202" s="692">
        <f t="shared" si="41"/>
        <v>0</v>
      </c>
      <c r="AD202" s="692">
        <f t="shared" si="49"/>
        <v>0</v>
      </c>
      <c r="AE202" s="38"/>
      <c r="AF202" s="692">
        <f t="shared" si="50"/>
        <v>0</v>
      </c>
      <c r="AG202" s="692">
        <f t="shared" si="51"/>
        <v>0</v>
      </c>
      <c r="AH202" s="692">
        <f t="shared" si="52"/>
        <v>0</v>
      </c>
    </row>
    <row r="203" spans="1:34">
      <c r="A203" s="21"/>
      <c r="B203" s="21" t="s">
        <v>109</v>
      </c>
      <c r="C203" s="666"/>
      <c r="D203" s="68" t="s">
        <v>51</v>
      </c>
      <c r="E203" s="679"/>
      <c r="F203" s="529">
        <f>VLOOKUP(D203,'May 2012 DMV Revenue'!D:T,17,FALSE)</f>
        <v>0</v>
      </c>
      <c r="G203" s="680"/>
      <c r="H203" s="680"/>
      <c r="I203" s="755"/>
      <c r="J203" s="682">
        <f t="shared" si="39"/>
        <v>0</v>
      </c>
      <c r="K203" s="683"/>
      <c r="L203" s="684"/>
      <c r="M203" s="753"/>
      <c r="N203" s="683">
        <v>0</v>
      </c>
      <c r="O203" s="686"/>
      <c r="P203" s="683">
        <v>0</v>
      </c>
      <c r="Q203" s="687">
        <f t="shared" si="44"/>
        <v>0</v>
      </c>
      <c r="R203" s="688">
        <v>0</v>
      </c>
      <c r="S203" s="693"/>
      <c r="T203" s="690">
        <f t="shared" si="40"/>
        <v>0</v>
      </c>
      <c r="U203" s="683"/>
      <c r="V203" s="474">
        <f t="shared" si="45"/>
        <v>0</v>
      </c>
      <c r="W203" s="474">
        <f t="shared" si="46"/>
        <v>0</v>
      </c>
      <c r="X203" s="475">
        <f t="shared" si="47"/>
        <v>0</v>
      </c>
      <c r="Y203" s="475">
        <v>0</v>
      </c>
      <c r="Z203" s="476">
        <v>0</v>
      </c>
      <c r="AA203" s="38">
        <f t="shared" si="48"/>
        <v>0</v>
      </c>
      <c r="AB203" s="692">
        <f t="shared" si="42"/>
        <v>0</v>
      </c>
      <c r="AC203" s="692">
        <f t="shared" si="41"/>
        <v>0</v>
      </c>
      <c r="AD203" s="692">
        <f t="shared" si="49"/>
        <v>0</v>
      </c>
      <c r="AE203" s="38"/>
      <c r="AF203" s="692">
        <f t="shared" si="50"/>
        <v>0</v>
      </c>
      <c r="AG203" s="692">
        <f t="shared" si="51"/>
        <v>0</v>
      </c>
      <c r="AH203" s="692">
        <f t="shared" si="52"/>
        <v>0</v>
      </c>
    </row>
    <row r="204" spans="1:34">
      <c r="A204" s="21"/>
      <c r="B204" s="21" t="s">
        <v>109</v>
      </c>
      <c r="C204" s="666"/>
      <c r="D204" s="68" t="s">
        <v>107</v>
      </c>
      <c r="E204" s="679"/>
      <c r="F204" s="529">
        <f>VLOOKUP(D204,'May 2012 DMV Revenue'!D:T,17,FALSE)</f>
        <v>315.83999999999997</v>
      </c>
      <c r="G204" s="680"/>
      <c r="H204" s="680"/>
      <c r="I204" s="755"/>
      <c r="J204" s="682">
        <f t="shared" si="39"/>
        <v>315.83999999999997</v>
      </c>
      <c r="K204" s="683"/>
      <c r="L204" s="684"/>
      <c r="M204" s="753"/>
      <c r="N204" s="683">
        <v>0</v>
      </c>
      <c r="O204" s="686"/>
      <c r="P204" s="683">
        <v>0</v>
      </c>
      <c r="Q204" s="687">
        <f t="shared" si="44"/>
        <v>0</v>
      </c>
      <c r="R204" s="688">
        <v>0</v>
      </c>
      <c r="S204" s="693"/>
      <c r="T204" s="690">
        <f t="shared" si="40"/>
        <v>0</v>
      </c>
      <c r="U204" s="683"/>
      <c r="V204" s="474">
        <f t="shared" si="45"/>
        <v>0</v>
      </c>
      <c r="W204" s="474">
        <f t="shared" si="46"/>
        <v>0</v>
      </c>
      <c r="X204" s="475">
        <f t="shared" si="47"/>
        <v>0</v>
      </c>
      <c r="Y204" s="475">
        <v>0</v>
      </c>
      <c r="Z204" s="476">
        <v>0</v>
      </c>
      <c r="AA204" s="38">
        <f t="shared" si="48"/>
        <v>0</v>
      </c>
      <c r="AB204" s="692">
        <f t="shared" si="42"/>
        <v>0</v>
      </c>
      <c r="AC204" s="692">
        <f t="shared" si="41"/>
        <v>315.83999999999997</v>
      </c>
      <c r="AD204" s="692">
        <f t="shared" si="49"/>
        <v>0</v>
      </c>
      <c r="AE204" s="38"/>
      <c r="AF204" s="692">
        <f t="shared" si="50"/>
        <v>0</v>
      </c>
      <c r="AG204" s="692">
        <f t="shared" si="51"/>
        <v>0</v>
      </c>
      <c r="AH204" s="692">
        <f t="shared" si="52"/>
        <v>0</v>
      </c>
    </row>
    <row r="205" spans="1:34">
      <c r="A205" s="20"/>
      <c r="B205" s="20" t="s">
        <v>109</v>
      </c>
      <c r="C205" s="667" t="s">
        <v>574</v>
      </c>
      <c r="D205" s="68" t="s">
        <v>156</v>
      </c>
      <c r="E205" s="679"/>
      <c r="F205" s="529">
        <f>VLOOKUP(D205,'May 2012 DMV Revenue'!D:T,17,FALSE)</f>
        <v>0</v>
      </c>
      <c r="G205" s="680"/>
      <c r="H205" s="680"/>
      <c r="I205" s="755"/>
      <c r="J205" s="682">
        <f t="shared" ref="J205:J251" si="59">SUM(E205:I205)</f>
        <v>0</v>
      </c>
      <c r="K205" s="683"/>
      <c r="L205" s="684"/>
      <c r="M205" s="753"/>
      <c r="N205" s="683">
        <v>0</v>
      </c>
      <c r="O205" s="686"/>
      <c r="P205" s="683">
        <v>0</v>
      </c>
      <c r="Q205" s="687">
        <f t="shared" si="44"/>
        <v>0</v>
      </c>
      <c r="R205" s="688">
        <v>0</v>
      </c>
      <c r="S205" s="693"/>
      <c r="T205" s="690">
        <f t="shared" si="40"/>
        <v>0</v>
      </c>
      <c r="U205" s="683"/>
      <c r="V205" s="474">
        <f t="shared" si="45"/>
        <v>0</v>
      </c>
      <c r="W205" s="474">
        <f t="shared" si="46"/>
        <v>0</v>
      </c>
      <c r="X205" s="475">
        <f t="shared" si="47"/>
        <v>0</v>
      </c>
      <c r="Y205" s="475">
        <v>0</v>
      </c>
      <c r="Z205" s="476">
        <v>0</v>
      </c>
      <c r="AA205" s="38">
        <f t="shared" si="48"/>
        <v>0</v>
      </c>
      <c r="AB205" s="692">
        <f t="shared" si="42"/>
        <v>0</v>
      </c>
      <c r="AC205" s="692">
        <f t="shared" si="41"/>
        <v>0</v>
      </c>
      <c r="AD205" s="692">
        <f t="shared" si="49"/>
        <v>0</v>
      </c>
      <c r="AE205" s="38"/>
      <c r="AF205" s="692">
        <f t="shared" si="50"/>
        <v>0</v>
      </c>
      <c r="AG205" s="692">
        <f t="shared" si="51"/>
        <v>0</v>
      </c>
      <c r="AH205" s="692">
        <f t="shared" si="52"/>
        <v>0</v>
      </c>
    </row>
    <row r="206" spans="1:34">
      <c r="A206" s="20"/>
      <c r="B206" s="20" t="s">
        <v>109</v>
      </c>
      <c r="C206" s="667" t="s">
        <v>574</v>
      </c>
      <c r="D206" s="68" t="s">
        <v>157</v>
      </c>
      <c r="E206" s="679"/>
      <c r="F206" s="529">
        <f>VLOOKUP(D206,'May 2012 DMV Revenue'!D:T,17,FALSE)</f>
        <v>0</v>
      </c>
      <c r="G206" s="680"/>
      <c r="H206" s="680"/>
      <c r="I206" s="755"/>
      <c r="J206" s="682">
        <f t="shared" si="59"/>
        <v>0</v>
      </c>
      <c r="K206" s="683"/>
      <c r="L206" s="684"/>
      <c r="M206" s="753"/>
      <c r="N206" s="683">
        <v>0</v>
      </c>
      <c r="O206" s="686"/>
      <c r="P206" s="683">
        <v>0</v>
      </c>
      <c r="Q206" s="687">
        <f t="shared" si="44"/>
        <v>0</v>
      </c>
      <c r="R206" s="688">
        <v>0</v>
      </c>
      <c r="S206" s="693"/>
      <c r="T206" s="690">
        <f t="shared" si="40"/>
        <v>0</v>
      </c>
      <c r="U206" s="683"/>
      <c r="V206" s="474">
        <f t="shared" si="45"/>
        <v>0</v>
      </c>
      <c r="W206" s="474">
        <f t="shared" si="46"/>
        <v>0</v>
      </c>
      <c r="X206" s="475">
        <f t="shared" si="47"/>
        <v>0</v>
      </c>
      <c r="Y206" s="475">
        <v>0</v>
      </c>
      <c r="Z206" s="476">
        <v>0</v>
      </c>
      <c r="AA206" s="38">
        <f t="shared" si="48"/>
        <v>0</v>
      </c>
      <c r="AB206" s="692">
        <f t="shared" si="42"/>
        <v>0</v>
      </c>
      <c r="AC206" s="692">
        <f t="shared" si="41"/>
        <v>0</v>
      </c>
      <c r="AD206" s="692">
        <f t="shared" si="49"/>
        <v>0</v>
      </c>
      <c r="AE206" s="38"/>
      <c r="AF206" s="692">
        <f t="shared" si="50"/>
        <v>0</v>
      </c>
      <c r="AG206" s="692">
        <f t="shared" si="51"/>
        <v>0</v>
      </c>
      <c r="AH206" s="692">
        <f t="shared" si="52"/>
        <v>0</v>
      </c>
    </row>
    <row r="207" spans="1:34">
      <c r="A207" s="20"/>
      <c r="B207" s="20" t="s">
        <v>109</v>
      </c>
      <c r="C207" s="667" t="s">
        <v>574</v>
      </c>
      <c r="D207" s="68" t="s">
        <v>158</v>
      </c>
      <c r="E207" s="679"/>
      <c r="F207" s="529">
        <f>VLOOKUP(D207,'May 2012 DMV Revenue'!D:T,17,FALSE)</f>
        <v>0</v>
      </c>
      <c r="G207" s="680"/>
      <c r="H207" s="680"/>
      <c r="I207" s="755"/>
      <c r="J207" s="682">
        <f t="shared" si="59"/>
        <v>0</v>
      </c>
      <c r="K207" s="683"/>
      <c r="L207" s="684"/>
      <c r="M207" s="753"/>
      <c r="N207" s="683">
        <v>0</v>
      </c>
      <c r="O207" s="686"/>
      <c r="P207" s="683">
        <v>0</v>
      </c>
      <c r="Q207" s="687">
        <f t="shared" si="44"/>
        <v>0</v>
      </c>
      <c r="R207" s="688">
        <v>0</v>
      </c>
      <c r="S207" s="693"/>
      <c r="T207" s="690">
        <f t="shared" si="40"/>
        <v>0</v>
      </c>
      <c r="U207" s="683"/>
      <c r="V207" s="474">
        <f t="shared" si="45"/>
        <v>0</v>
      </c>
      <c r="W207" s="474">
        <f t="shared" si="46"/>
        <v>0</v>
      </c>
      <c r="X207" s="475">
        <f t="shared" si="47"/>
        <v>0</v>
      </c>
      <c r="Y207" s="475">
        <v>0</v>
      </c>
      <c r="Z207" s="476">
        <v>0</v>
      </c>
      <c r="AA207" s="38">
        <f t="shared" si="48"/>
        <v>0</v>
      </c>
      <c r="AB207" s="692">
        <f t="shared" si="42"/>
        <v>0</v>
      </c>
      <c r="AC207" s="692">
        <f t="shared" si="41"/>
        <v>0</v>
      </c>
      <c r="AD207" s="692">
        <f t="shared" si="49"/>
        <v>0</v>
      </c>
      <c r="AE207" s="38"/>
      <c r="AF207" s="692">
        <f t="shared" si="50"/>
        <v>0</v>
      </c>
      <c r="AG207" s="692">
        <f t="shared" si="51"/>
        <v>0</v>
      </c>
      <c r="AH207" s="692">
        <f t="shared" si="52"/>
        <v>0</v>
      </c>
    </row>
    <row r="208" spans="1:34">
      <c r="A208" s="21" t="s">
        <v>97</v>
      </c>
      <c r="B208" s="21" t="s">
        <v>109</v>
      </c>
      <c r="C208" s="666"/>
      <c r="D208" s="68" t="s">
        <v>52</v>
      </c>
      <c r="E208" s="679"/>
      <c r="F208" s="529">
        <f>VLOOKUP(D208,'May 2012 DMV Revenue'!D:T,17,FALSE)</f>
        <v>0</v>
      </c>
      <c r="G208" s="680"/>
      <c r="H208" s="680"/>
      <c r="I208" s="755"/>
      <c r="J208" s="682">
        <f t="shared" si="59"/>
        <v>0</v>
      </c>
      <c r="K208" s="683"/>
      <c r="L208" s="684"/>
      <c r="M208" s="753"/>
      <c r="N208" s="683">
        <v>0</v>
      </c>
      <c r="O208" s="686"/>
      <c r="P208" s="683">
        <v>0</v>
      </c>
      <c r="Q208" s="687">
        <f t="shared" si="44"/>
        <v>0</v>
      </c>
      <c r="R208" s="688">
        <v>0</v>
      </c>
      <c r="S208" s="693"/>
      <c r="T208" s="690">
        <f t="shared" si="40"/>
        <v>0</v>
      </c>
      <c r="U208" s="683"/>
      <c r="V208" s="474">
        <f t="shared" si="45"/>
        <v>0</v>
      </c>
      <c r="W208" s="474">
        <f t="shared" si="46"/>
        <v>0</v>
      </c>
      <c r="X208" s="475">
        <f t="shared" si="47"/>
        <v>0</v>
      </c>
      <c r="Y208" s="475">
        <v>0</v>
      </c>
      <c r="Z208" s="476">
        <v>0</v>
      </c>
      <c r="AA208" s="38">
        <f t="shared" si="48"/>
        <v>0</v>
      </c>
      <c r="AB208" s="692">
        <f t="shared" ref="AB208:AB248" si="60">IF(B208="D",J208,0)</f>
        <v>0</v>
      </c>
      <c r="AC208" s="692">
        <f t="shared" ref="AC208:AC248" si="61">IF(B208="M",J208,0)</f>
        <v>0</v>
      </c>
      <c r="AD208" s="692">
        <f t="shared" ref="AD208:AD248" si="62">IF(B208="V",J208,0)</f>
        <v>0</v>
      </c>
      <c r="AE208" s="38"/>
      <c r="AF208" s="692">
        <f t="shared" si="50"/>
        <v>0</v>
      </c>
      <c r="AG208" s="692">
        <f t="shared" si="51"/>
        <v>0</v>
      </c>
      <c r="AH208" s="692">
        <f t="shared" si="52"/>
        <v>0</v>
      </c>
    </row>
    <row r="209" spans="1:34">
      <c r="A209" s="21"/>
      <c r="B209" s="21" t="s">
        <v>109</v>
      </c>
      <c r="C209" s="666"/>
      <c r="D209" s="68" t="s">
        <v>467</v>
      </c>
      <c r="E209" s="679"/>
      <c r="F209" s="529">
        <f>VLOOKUP(D209,'May 2012 DMV Revenue'!D:T,17,FALSE)</f>
        <v>0</v>
      </c>
      <c r="G209" s="680"/>
      <c r="H209" s="680"/>
      <c r="I209" s="755"/>
      <c r="J209" s="682">
        <f t="shared" si="59"/>
        <v>0</v>
      </c>
      <c r="K209" s="683"/>
      <c r="L209" s="684"/>
      <c r="M209" s="753"/>
      <c r="N209" s="683">
        <v>0</v>
      </c>
      <c r="O209" s="686"/>
      <c r="P209" s="683">
        <v>0</v>
      </c>
      <c r="Q209" s="687">
        <f t="shared" si="44"/>
        <v>0</v>
      </c>
      <c r="R209" s="688">
        <v>0</v>
      </c>
      <c r="S209" s="693"/>
      <c r="T209" s="690">
        <f t="shared" si="40"/>
        <v>0</v>
      </c>
      <c r="U209" s="683"/>
      <c r="V209" s="474">
        <f t="shared" si="45"/>
        <v>0</v>
      </c>
      <c r="W209" s="474">
        <f t="shared" si="46"/>
        <v>0</v>
      </c>
      <c r="X209" s="475">
        <f t="shared" si="47"/>
        <v>0</v>
      </c>
      <c r="Y209" s="475">
        <v>0</v>
      </c>
      <c r="Z209" s="476">
        <v>0</v>
      </c>
      <c r="AA209" s="38">
        <f t="shared" si="48"/>
        <v>0</v>
      </c>
      <c r="AB209" s="692">
        <f t="shared" si="60"/>
        <v>0</v>
      </c>
      <c r="AC209" s="692">
        <f t="shared" si="61"/>
        <v>0</v>
      </c>
      <c r="AD209" s="692">
        <f t="shared" si="62"/>
        <v>0</v>
      </c>
      <c r="AE209" s="38"/>
      <c r="AF209" s="692">
        <f t="shared" si="50"/>
        <v>0</v>
      </c>
      <c r="AG209" s="692">
        <f t="shared" si="51"/>
        <v>0</v>
      </c>
      <c r="AH209" s="692">
        <f t="shared" si="52"/>
        <v>0</v>
      </c>
    </row>
    <row r="210" spans="1:34">
      <c r="A210" s="21"/>
      <c r="B210" s="21" t="s">
        <v>109</v>
      </c>
      <c r="C210" s="666" t="s">
        <v>575</v>
      </c>
      <c r="D210" s="68" t="s">
        <v>54</v>
      </c>
      <c r="E210" s="679"/>
      <c r="F210" s="529">
        <f>VLOOKUP(D210,'May 2012 DMV Revenue'!D:T,17,FALSE)</f>
        <v>0</v>
      </c>
      <c r="G210" s="680"/>
      <c r="H210" s="680"/>
      <c r="I210" s="755"/>
      <c r="J210" s="682">
        <f t="shared" si="59"/>
        <v>0</v>
      </c>
      <c r="K210" s="683"/>
      <c r="L210" s="684"/>
      <c r="M210" s="753"/>
      <c r="N210" s="683">
        <v>0</v>
      </c>
      <c r="O210" s="686"/>
      <c r="P210" s="683">
        <v>0</v>
      </c>
      <c r="Q210" s="687">
        <f t="shared" si="44"/>
        <v>0</v>
      </c>
      <c r="R210" s="688">
        <v>0</v>
      </c>
      <c r="S210" s="693"/>
      <c r="T210" s="690">
        <f t="shared" ref="T210:T249" si="63">IF(R210="","",R210-Q210)</f>
        <v>0</v>
      </c>
      <c r="U210" s="683"/>
      <c r="V210" s="474">
        <f t="shared" si="45"/>
        <v>0</v>
      </c>
      <c r="W210" s="474">
        <f t="shared" si="46"/>
        <v>0</v>
      </c>
      <c r="X210" s="475">
        <f t="shared" si="47"/>
        <v>0</v>
      </c>
      <c r="Y210" s="475">
        <v>0</v>
      </c>
      <c r="Z210" s="476">
        <v>0</v>
      </c>
      <c r="AA210" s="38">
        <f t="shared" si="48"/>
        <v>0</v>
      </c>
      <c r="AB210" s="692">
        <f t="shared" si="60"/>
        <v>0</v>
      </c>
      <c r="AC210" s="692">
        <f t="shared" si="61"/>
        <v>0</v>
      </c>
      <c r="AD210" s="692">
        <f t="shared" si="62"/>
        <v>0</v>
      </c>
      <c r="AE210" s="38"/>
      <c r="AF210" s="692">
        <f t="shared" ref="AF210:AF241" si="64">IF(B210="D",Q210,0)</f>
        <v>0</v>
      </c>
      <c r="AG210" s="692">
        <f t="shared" ref="AG210:AG241" si="65">IF(B210="M",Q210,0)</f>
        <v>0</v>
      </c>
      <c r="AH210" s="692">
        <f t="shared" ref="AH210:AH241" si="66">IF(B210="V",Q210,0)</f>
        <v>0</v>
      </c>
    </row>
    <row r="211" spans="1:34">
      <c r="A211" s="20"/>
      <c r="B211" s="20" t="s">
        <v>110</v>
      </c>
      <c r="C211" s="667" t="s">
        <v>576</v>
      </c>
      <c r="D211" s="68" t="s">
        <v>394</v>
      </c>
      <c r="E211" s="679"/>
      <c r="F211" s="529">
        <f>VLOOKUP(D211,'May 2012 DMV Revenue'!D:T,17,FALSE)</f>
        <v>0</v>
      </c>
      <c r="G211" s="680"/>
      <c r="H211" s="680"/>
      <c r="I211" s="755"/>
      <c r="J211" s="682">
        <f t="shared" si="59"/>
        <v>0</v>
      </c>
      <c r="K211" s="683"/>
      <c r="L211" s="684"/>
      <c r="M211" s="753"/>
      <c r="N211" s="683">
        <v>0</v>
      </c>
      <c r="O211" s="686"/>
      <c r="P211" s="683">
        <v>0</v>
      </c>
      <c r="Q211" s="687">
        <f t="shared" si="44"/>
        <v>0</v>
      </c>
      <c r="R211" s="688">
        <v>0</v>
      </c>
      <c r="S211" s="693"/>
      <c r="T211" s="690">
        <f t="shared" si="63"/>
        <v>0</v>
      </c>
      <c r="U211" s="683"/>
      <c r="V211" s="474">
        <f t="shared" si="45"/>
        <v>0</v>
      </c>
      <c r="W211" s="474">
        <f t="shared" si="46"/>
        <v>0</v>
      </c>
      <c r="X211" s="475">
        <f t="shared" si="47"/>
        <v>0</v>
      </c>
      <c r="Y211" s="475">
        <v>0</v>
      </c>
      <c r="Z211" s="476">
        <v>0</v>
      </c>
      <c r="AA211" s="38">
        <f t="shared" si="48"/>
        <v>0</v>
      </c>
      <c r="AB211" s="692">
        <f t="shared" si="60"/>
        <v>0</v>
      </c>
      <c r="AC211" s="692">
        <f t="shared" si="61"/>
        <v>0</v>
      </c>
      <c r="AD211" s="692">
        <f t="shared" si="62"/>
        <v>0</v>
      </c>
      <c r="AE211" s="38"/>
      <c r="AF211" s="692">
        <f t="shared" si="64"/>
        <v>0</v>
      </c>
      <c r="AG211" s="692">
        <f t="shared" si="65"/>
        <v>0</v>
      </c>
      <c r="AH211" s="692">
        <f t="shared" si="66"/>
        <v>0</v>
      </c>
    </row>
    <row r="212" spans="1:34">
      <c r="A212" s="20"/>
      <c r="B212" s="20" t="s">
        <v>110</v>
      </c>
      <c r="C212" s="667"/>
      <c r="D212" s="68" t="s">
        <v>55</v>
      </c>
      <c r="E212" s="679">
        <v>645.49</v>
      </c>
      <c r="F212" s="529">
        <f>VLOOKUP(D212,'May 2012 DMV Revenue'!D:T,17,FALSE)</f>
        <v>0</v>
      </c>
      <c r="G212" s="680"/>
      <c r="H212" s="680"/>
      <c r="I212" s="755"/>
      <c r="J212" s="682">
        <f t="shared" si="59"/>
        <v>645.49</v>
      </c>
      <c r="K212" s="683"/>
      <c r="L212" s="684"/>
      <c r="M212" s="753"/>
      <c r="N212" s="683">
        <v>0</v>
      </c>
      <c r="O212" s="686"/>
      <c r="P212" s="683">
        <v>0</v>
      </c>
      <c r="Q212" s="687">
        <f t="shared" ref="Q212:Q251" si="67">L212+M212</f>
        <v>0</v>
      </c>
      <c r="R212" s="688">
        <v>0</v>
      </c>
      <c r="S212" s="693"/>
      <c r="T212" s="690">
        <f t="shared" si="63"/>
        <v>0</v>
      </c>
      <c r="U212" s="683"/>
      <c r="V212" s="474">
        <f t="shared" ref="V212:V251" si="68">IF(B212="D",Q212,0)</f>
        <v>0</v>
      </c>
      <c r="W212" s="474">
        <f t="shared" ref="W212:W251" si="69">IF(B212="M",Q212,0)</f>
        <v>0</v>
      </c>
      <c r="X212" s="475">
        <f t="shared" ref="X212:X251" si="70">IF(B212="V",Q212,0)</f>
        <v>0</v>
      </c>
      <c r="Y212" s="475">
        <v>0</v>
      </c>
      <c r="Z212" s="476">
        <v>0</v>
      </c>
      <c r="AA212" s="38">
        <f t="shared" ref="AA212:AA251" si="71">(L212+M212)-(V212+W212+X212+Y212+Z212)</f>
        <v>0</v>
      </c>
      <c r="AB212" s="692">
        <f t="shared" si="60"/>
        <v>645.49</v>
      </c>
      <c r="AC212" s="692">
        <f t="shared" si="61"/>
        <v>0</v>
      </c>
      <c r="AD212" s="692">
        <f t="shared" si="62"/>
        <v>0</v>
      </c>
      <c r="AE212" s="38"/>
      <c r="AF212" s="692">
        <f t="shared" si="64"/>
        <v>0</v>
      </c>
      <c r="AG212" s="692">
        <f t="shared" si="65"/>
        <v>0</v>
      </c>
      <c r="AH212" s="692">
        <f t="shared" si="66"/>
        <v>0</v>
      </c>
    </row>
    <row r="213" spans="1:34">
      <c r="A213" s="21" t="s">
        <v>97</v>
      </c>
      <c r="B213" s="21" t="s">
        <v>110</v>
      </c>
      <c r="C213" s="666"/>
      <c r="D213" s="68" t="s">
        <v>175</v>
      </c>
      <c r="E213" s="679"/>
      <c r="F213" s="529">
        <f>VLOOKUP(D213,'May 2012 DMV Revenue'!D:T,17,FALSE)</f>
        <v>0</v>
      </c>
      <c r="G213" s="680"/>
      <c r="H213" s="680"/>
      <c r="I213" s="755"/>
      <c r="J213" s="682">
        <f t="shared" si="59"/>
        <v>0</v>
      </c>
      <c r="K213" s="683"/>
      <c r="L213" s="684"/>
      <c r="M213" s="753"/>
      <c r="N213" s="683">
        <v>0</v>
      </c>
      <c r="O213" s="686"/>
      <c r="P213" s="683">
        <v>0</v>
      </c>
      <c r="Q213" s="687">
        <f t="shared" si="67"/>
        <v>0</v>
      </c>
      <c r="R213" s="688">
        <v>0</v>
      </c>
      <c r="S213" s="693"/>
      <c r="T213" s="690">
        <f t="shared" si="63"/>
        <v>0</v>
      </c>
      <c r="U213" s="683"/>
      <c r="V213" s="474">
        <f t="shared" si="68"/>
        <v>0</v>
      </c>
      <c r="W213" s="474">
        <f t="shared" si="69"/>
        <v>0</v>
      </c>
      <c r="X213" s="475">
        <f t="shared" si="70"/>
        <v>0</v>
      </c>
      <c r="Y213" s="475">
        <v>0</v>
      </c>
      <c r="Z213" s="476">
        <v>0</v>
      </c>
      <c r="AA213" s="38">
        <f t="shared" si="71"/>
        <v>0</v>
      </c>
      <c r="AB213" s="692">
        <f t="shared" si="60"/>
        <v>0</v>
      </c>
      <c r="AC213" s="692">
        <f t="shared" si="61"/>
        <v>0</v>
      </c>
      <c r="AD213" s="692">
        <f t="shared" si="62"/>
        <v>0</v>
      </c>
      <c r="AE213" s="38"/>
      <c r="AF213" s="692">
        <f t="shared" si="64"/>
        <v>0</v>
      </c>
      <c r="AG213" s="692">
        <f t="shared" si="65"/>
        <v>0</v>
      </c>
      <c r="AH213" s="692">
        <f t="shared" si="66"/>
        <v>0</v>
      </c>
    </row>
    <row r="214" spans="1:34">
      <c r="A214" s="21"/>
      <c r="B214" s="21" t="s">
        <v>109</v>
      </c>
      <c r="C214" s="666"/>
      <c r="D214" s="68" t="s">
        <v>595</v>
      </c>
      <c r="E214" s="679"/>
      <c r="F214" s="529">
        <f>VLOOKUP(D214,'May 2012 DMV Revenue'!D:T,17,FALSE)</f>
        <v>0</v>
      </c>
      <c r="G214" s="680"/>
      <c r="H214" s="680"/>
      <c r="I214" s="755"/>
      <c r="J214" s="682">
        <f>SUM(E214:I214)</f>
        <v>0</v>
      </c>
      <c r="K214" s="683"/>
      <c r="L214" s="684"/>
      <c r="M214" s="753"/>
      <c r="N214" s="683">
        <v>0</v>
      </c>
      <c r="O214" s="686"/>
      <c r="P214" s="683">
        <v>0</v>
      </c>
      <c r="Q214" s="687">
        <f t="shared" si="67"/>
        <v>0</v>
      </c>
      <c r="R214" s="688">
        <v>0</v>
      </c>
      <c r="S214" s="693"/>
      <c r="T214" s="690">
        <f t="shared" si="63"/>
        <v>0</v>
      </c>
      <c r="U214" s="683"/>
      <c r="V214" s="474">
        <f t="shared" si="68"/>
        <v>0</v>
      </c>
      <c r="W214" s="474">
        <f t="shared" si="69"/>
        <v>0</v>
      </c>
      <c r="X214" s="475">
        <f t="shared" si="70"/>
        <v>0</v>
      </c>
      <c r="Y214" s="475">
        <v>0</v>
      </c>
      <c r="Z214" s="476">
        <v>0</v>
      </c>
      <c r="AA214" s="38">
        <f t="shared" si="71"/>
        <v>0</v>
      </c>
      <c r="AB214" s="692">
        <f t="shared" si="60"/>
        <v>0</v>
      </c>
      <c r="AC214" s="692">
        <f t="shared" si="61"/>
        <v>0</v>
      </c>
      <c r="AD214" s="692">
        <f t="shared" si="62"/>
        <v>0</v>
      </c>
      <c r="AE214" s="38"/>
      <c r="AF214" s="692">
        <f t="shared" si="64"/>
        <v>0</v>
      </c>
      <c r="AG214" s="692">
        <f t="shared" si="65"/>
        <v>0</v>
      </c>
      <c r="AH214" s="692">
        <f t="shared" si="66"/>
        <v>0</v>
      </c>
    </row>
    <row r="215" spans="1:34">
      <c r="A215" s="20"/>
      <c r="B215" s="20" t="s">
        <v>109</v>
      </c>
      <c r="C215" s="667" t="s">
        <v>577</v>
      </c>
      <c r="D215" s="68" t="s">
        <v>159</v>
      </c>
      <c r="E215" s="679"/>
      <c r="F215" s="529">
        <f>VLOOKUP(D215,'May 2012 DMV Revenue'!D:T,17,FALSE)</f>
        <v>0</v>
      </c>
      <c r="G215" s="680"/>
      <c r="H215" s="680"/>
      <c r="I215" s="770">
        <v>21405.72</v>
      </c>
      <c r="J215" s="682">
        <f t="shared" si="59"/>
        <v>21405.72</v>
      </c>
      <c r="K215" s="683"/>
      <c r="L215" s="684"/>
      <c r="M215" s="753"/>
      <c r="N215" s="683">
        <v>0</v>
      </c>
      <c r="O215" s="686"/>
      <c r="P215" s="683">
        <v>0</v>
      </c>
      <c r="Q215" s="687">
        <f t="shared" si="67"/>
        <v>0</v>
      </c>
      <c r="R215" s="688">
        <v>0</v>
      </c>
      <c r="S215" s="693"/>
      <c r="T215" s="690">
        <f t="shared" si="63"/>
        <v>0</v>
      </c>
      <c r="U215" s="683"/>
      <c r="V215" s="474">
        <f t="shared" si="68"/>
        <v>0</v>
      </c>
      <c r="W215" s="474">
        <f t="shared" si="69"/>
        <v>0</v>
      </c>
      <c r="X215" s="475">
        <f t="shared" si="70"/>
        <v>0</v>
      </c>
      <c r="Y215" s="475">
        <v>0</v>
      </c>
      <c r="Z215" s="476">
        <v>0</v>
      </c>
      <c r="AA215" s="38">
        <f t="shared" si="71"/>
        <v>0</v>
      </c>
      <c r="AB215" s="692">
        <f t="shared" si="60"/>
        <v>0</v>
      </c>
      <c r="AC215" s="692">
        <f t="shared" si="61"/>
        <v>21405.72</v>
      </c>
      <c r="AD215" s="692">
        <f t="shared" si="62"/>
        <v>0</v>
      </c>
      <c r="AE215" s="38"/>
      <c r="AF215" s="692">
        <f t="shared" si="64"/>
        <v>0</v>
      </c>
      <c r="AG215" s="692">
        <f t="shared" si="65"/>
        <v>0</v>
      </c>
      <c r="AH215" s="692">
        <f t="shared" si="66"/>
        <v>0</v>
      </c>
    </row>
    <row r="216" spans="1:34">
      <c r="A216" s="20"/>
      <c r="B216" s="20" t="s">
        <v>109</v>
      </c>
      <c r="C216" s="667" t="s">
        <v>577</v>
      </c>
      <c r="D216" s="68" t="s">
        <v>160</v>
      </c>
      <c r="E216" s="679"/>
      <c r="F216" s="529">
        <f>VLOOKUP(D216,'May 2012 DMV Revenue'!D:T,17,FALSE)</f>
        <v>-1336.8600000000006</v>
      </c>
      <c r="G216" s="680"/>
      <c r="H216" s="680"/>
      <c r="I216" s="755"/>
      <c r="J216" s="682">
        <f t="shared" si="59"/>
        <v>-1336.8600000000006</v>
      </c>
      <c r="K216" s="683"/>
      <c r="L216" s="684"/>
      <c r="M216" s="753">
        <v>12000</v>
      </c>
      <c r="N216" s="683">
        <v>0</v>
      </c>
      <c r="O216" s="686"/>
      <c r="P216" s="683">
        <v>0</v>
      </c>
      <c r="Q216" s="687">
        <f t="shared" si="67"/>
        <v>12000</v>
      </c>
      <c r="R216" s="688">
        <v>12347.5</v>
      </c>
      <c r="S216" s="693"/>
      <c r="T216" s="690">
        <f t="shared" si="63"/>
        <v>347.5</v>
      </c>
      <c r="U216" s="683"/>
      <c r="V216" s="474">
        <f t="shared" si="68"/>
        <v>0</v>
      </c>
      <c r="W216" s="474">
        <f t="shared" si="69"/>
        <v>12000</v>
      </c>
      <c r="X216" s="475">
        <f t="shared" si="70"/>
        <v>0</v>
      </c>
      <c r="Y216" s="475">
        <v>0</v>
      </c>
      <c r="Z216" s="476">
        <v>0</v>
      </c>
      <c r="AA216" s="38">
        <f t="shared" si="71"/>
        <v>0</v>
      </c>
      <c r="AB216" s="692">
        <f t="shared" si="60"/>
        <v>0</v>
      </c>
      <c r="AC216" s="692">
        <f t="shared" si="61"/>
        <v>-1336.8600000000006</v>
      </c>
      <c r="AD216" s="692">
        <f t="shared" si="62"/>
        <v>0</v>
      </c>
      <c r="AE216" s="38"/>
      <c r="AF216" s="692">
        <f t="shared" si="64"/>
        <v>0</v>
      </c>
      <c r="AG216" s="692">
        <f t="shared" si="65"/>
        <v>12000</v>
      </c>
      <c r="AH216" s="692">
        <f t="shared" si="66"/>
        <v>0</v>
      </c>
    </row>
    <row r="217" spans="1:34">
      <c r="A217" s="21"/>
      <c r="B217" s="21" t="s">
        <v>109</v>
      </c>
      <c r="C217" s="667" t="s">
        <v>577</v>
      </c>
      <c r="D217" s="68" t="s">
        <v>161</v>
      </c>
      <c r="E217" s="791"/>
      <c r="F217" s="589">
        <f>VLOOKUP(D217,'May 2012 DMV Revenue'!D:T,17,FALSE)</f>
        <v>0</v>
      </c>
      <c r="G217" s="695"/>
      <c r="H217" s="695"/>
      <c r="I217" s="792"/>
      <c r="J217" s="793">
        <f t="shared" si="59"/>
        <v>0</v>
      </c>
      <c r="K217" s="683"/>
      <c r="L217" s="684"/>
      <c r="M217" s="753">
        <v>5000</v>
      </c>
      <c r="N217" s="683">
        <v>0</v>
      </c>
      <c r="O217" s="686"/>
      <c r="P217" s="683">
        <v>0</v>
      </c>
      <c r="Q217" s="687">
        <f t="shared" si="67"/>
        <v>5000</v>
      </c>
      <c r="R217" s="688">
        <v>0</v>
      </c>
      <c r="S217" s="693"/>
      <c r="T217" s="690">
        <f t="shared" si="63"/>
        <v>-5000</v>
      </c>
      <c r="U217" s="683"/>
      <c r="V217" s="474">
        <f t="shared" si="68"/>
        <v>0</v>
      </c>
      <c r="W217" s="474">
        <f t="shared" si="69"/>
        <v>5000</v>
      </c>
      <c r="X217" s="475">
        <f t="shared" si="70"/>
        <v>0</v>
      </c>
      <c r="Y217" s="475">
        <v>0</v>
      </c>
      <c r="Z217" s="476">
        <v>0</v>
      </c>
      <c r="AA217" s="38">
        <f t="shared" si="71"/>
        <v>0</v>
      </c>
      <c r="AB217" s="692">
        <f t="shared" si="60"/>
        <v>0</v>
      </c>
      <c r="AC217" s="692">
        <f t="shared" si="61"/>
        <v>0</v>
      </c>
      <c r="AD217" s="692">
        <f t="shared" si="62"/>
        <v>0</v>
      </c>
      <c r="AE217" s="38"/>
      <c r="AF217" s="692">
        <f t="shared" si="64"/>
        <v>0</v>
      </c>
      <c r="AG217" s="692">
        <f t="shared" si="65"/>
        <v>5000</v>
      </c>
      <c r="AH217" s="692">
        <f t="shared" si="66"/>
        <v>0</v>
      </c>
    </row>
    <row r="218" spans="1:34">
      <c r="A218" s="21"/>
      <c r="B218" s="21" t="s">
        <v>109</v>
      </c>
      <c r="C218" s="667" t="s">
        <v>577</v>
      </c>
      <c r="D218" s="68" t="s">
        <v>162</v>
      </c>
      <c r="E218" s="791"/>
      <c r="F218" s="589">
        <f>VLOOKUP(D218,'May 2012 DMV Revenue'!D:T,17,FALSE)</f>
        <v>0</v>
      </c>
      <c r="G218" s="695"/>
      <c r="H218" s="695"/>
      <c r="I218" s="792"/>
      <c r="J218" s="793">
        <f t="shared" si="59"/>
        <v>0</v>
      </c>
      <c r="K218" s="683"/>
      <c r="L218" s="684"/>
      <c r="M218" s="753"/>
      <c r="N218" s="683">
        <v>0</v>
      </c>
      <c r="O218" s="686"/>
      <c r="P218" s="683">
        <v>0</v>
      </c>
      <c r="Q218" s="687">
        <f t="shared" si="67"/>
        <v>0</v>
      </c>
      <c r="R218" s="688">
        <v>0</v>
      </c>
      <c r="S218" s="693"/>
      <c r="T218" s="690">
        <f t="shared" si="63"/>
        <v>0</v>
      </c>
      <c r="U218" s="683"/>
      <c r="V218" s="474">
        <f t="shared" si="68"/>
        <v>0</v>
      </c>
      <c r="W218" s="474">
        <f t="shared" si="69"/>
        <v>0</v>
      </c>
      <c r="X218" s="475">
        <f t="shared" si="70"/>
        <v>0</v>
      </c>
      <c r="Y218" s="475">
        <v>0</v>
      </c>
      <c r="Z218" s="476">
        <v>0</v>
      </c>
      <c r="AA218" s="38">
        <f t="shared" si="71"/>
        <v>0</v>
      </c>
      <c r="AB218" s="692">
        <f t="shared" si="60"/>
        <v>0</v>
      </c>
      <c r="AC218" s="692">
        <f t="shared" si="61"/>
        <v>0</v>
      </c>
      <c r="AD218" s="692">
        <f t="shared" si="62"/>
        <v>0</v>
      </c>
      <c r="AE218" s="38"/>
      <c r="AF218" s="692">
        <f t="shared" si="64"/>
        <v>0</v>
      </c>
      <c r="AG218" s="692">
        <f t="shared" si="65"/>
        <v>0</v>
      </c>
      <c r="AH218" s="692">
        <f t="shared" si="66"/>
        <v>0</v>
      </c>
    </row>
    <row r="219" spans="1:34">
      <c r="A219" s="21"/>
      <c r="B219" s="21" t="s">
        <v>109</v>
      </c>
      <c r="C219" s="666"/>
      <c r="D219" s="68" t="s">
        <v>163</v>
      </c>
      <c r="E219" s="679"/>
      <c r="F219" s="529">
        <f>VLOOKUP(D219,'May 2012 DMV Revenue'!D:T,17,FALSE)</f>
        <v>0</v>
      </c>
      <c r="G219" s="680"/>
      <c r="H219" s="680"/>
      <c r="I219" s="770">
        <v>5030.16</v>
      </c>
      <c r="J219" s="682">
        <f t="shared" si="59"/>
        <v>5030.16</v>
      </c>
      <c r="K219" s="683"/>
      <c r="L219" s="684"/>
      <c r="M219" s="753"/>
      <c r="N219" s="683">
        <v>0</v>
      </c>
      <c r="O219" s="686"/>
      <c r="P219" s="683">
        <v>0</v>
      </c>
      <c r="Q219" s="687">
        <f t="shared" si="67"/>
        <v>0</v>
      </c>
      <c r="R219" s="688">
        <v>0</v>
      </c>
      <c r="S219" s="704"/>
      <c r="T219" s="690">
        <f t="shared" si="63"/>
        <v>0</v>
      </c>
      <c r="U219" s="705"/>
      <c r="V219" s="474">
        <f t="shared" si="68"/>
        <v>0</v>
      </c>
      <c r="W219" s="474">
        <f t="shared" si="69"/>
        <v>0</v>
      </c>
      <c r="X219" s="475">
        <f t="shared" si="70"/>
        <v>0</v>
      </c>
      <c r="Y219" s="475">
        <v>0</v>
      </c>
      <c r="Z219" s="476">
        <v>0</v>
      </c>
      <c r="AA219" s="38">
        <f t="shared" si="71"/>
        <v>0</v>
      </c>
      <c r="AB219" s="692">
        <f t="shared" si="60"/>
        <v>0</v>
      </c>
      <c r="AC219" s="692">
        <f t="shared" si="61"/>
        <v>5030.16</v>
      </c>
      <c r="AD219" s="692">
        <f t="shared" si="62"/>
        <v>0</v>
      </c>
      <c r="AE219" s="38"/>
      <c r="AF219" s="692">
        <f t="shared" si="64"/>
        <v>0</v>
      </c>
      <c r="AG219" s="692">
        <f t="shared" si="65"/>
        <v>0</v>
      </c>
      <c r="AH219" s="692">
        <f t="shared" si="66"/>
        <v>0</v>
      </c>
    </row>
    <row r="220" spans="1:34">
      <c r="A220" s="21"/>
      <c r="B220" s="21" t="s">
        <v>109</v>
      </c>
      <c r="C220" s="666"/>
      <c r="D220" s="412" t="s">
        <v>164</v>
      </c>
      <c r="E220" s="679"/>
      <c r="F220" s="529">
        <f>VLOOKUP(D220,'May 2012 DMV Revenue'!D:T,17,FALSE)</f>
        <v>0</v>
      </c>
      <c r="G220" s="680"/>
      <c r="H220" s="680"/>
      <c r="I220" s="770">
        <v>66.77</v>
      </c>
      <c r="J220" s="682">
        <f t="shared" si="59"/>
        <v>66.77</v>
      </c>
      <c r="K220" s="683"/>
      <c r="L220" s="684"/>
      <c r="M220" s="753"/>
      <c r="N220" s="683">
        <v>0</v>
      </c>
      <c r="O220" s="686"/>
      <c r="P220" s="683">
        <v>0</v>
      </c>
      <c r="Q220" s="687">
        <f t="shared" si="67"/>
        <v>0</v>
      </c>
      <c r="R220" s="688">
        <v>0</v>
      </c>
      <c r="S220" s="704"/>
      <c r="T220" s="690">
        <f t="shared" si="63"/>
        <v>0</v>
      </c>
      <c r="U220" s="705"/>
      <c r="V220" s="474">
        <f t="shared" si="68"/>
        <v>0</v>
      </c>
      <c r="W220" s="474">
        <f t="shared" si="69"/>
        <v>0</v>
      </c>
      <c r="X220" s="475">
        <f t="shared" si="70"/>
        <v>0</v>
      </c>
      <c r="Y220" s="475">
        <v>0</v>
      </c>
      <c r="Z220" s="476">
        <v>0</v>
      </c>
      <c r="AA220" s="38">
        <f t="shared" si="71"/>
        <v>0</v>
      </c>
      <c r="AB220" s="692">
        <f t="shared" si="60"/>
        <v>0</v>
      </c>
      <c r="AC220" s="692">
        <f t="shared" si="61"/>
        <v>66.77</v>
      </c>
      <c r="AD220" s="692">
        <f t="shared" si="62"/>
        <v>0</v>
      </c>
      <c r="AE220" s="38"/>
      <c r="AF220" s="692">
        <f t="shared" si="64"/>
        <v>0</v>
      </c>
      <c r="AG220" s="692">
        <f t="shared" si="65"/>
        <v>0</v>
      </c>
      <c r="AH220" s="692">
        <f t="shared" si="66"/>
        <v>0</v>
      </c>
    </row>
    <row r="221" spans="1:34">
      <c r="A221" s="21" t="s">
        <v>109</v>
      </c>
      <c r="B221" s="21" t="s">
        <v>114</v>
      </c>
      <c r="C221" s="666" t="s">
        <v>578</v>
      </c>
      <c r="D221" s="412" t="s">
        <v>318</v>
      </c>
      <c r="E221" s="679">
        <f>32223+4918+24368</f>
        <v>61509</v>
      </c>
      <c r="F221" s="529">
        <f>VLOOKUP(D221,'May 2012 DMV Revenue'!D:T,17,FALSE)</f>
        <v>-60000</v>
      </c>
      <c r="G221" s="680"/>
      <c r="H221" s="680"/>
      <c r="I221" s="755"/>
      <c r="J221" s="682">
        <f t="shared" si="59"/>
        <v>1509</v>
      </c>
      <c r="K221" s="683"/>
      <c r="L221" s="684"/>
      <c r="M221" s="753">
        <v>45000</v>
      </c>
      <c r="N221" s="683">
        <v>0</v>
      </c>
      <c r="O221" s="686"/>
      <c r="P221" s="683">
        <v>0</v>
      </c>
      <c r="Q221" s="687">
        <f t="shared" si="67"/>
        <v>45000</v>
      </c>
      <c r="R221" s="688">
        <v>0</v>
      </c>
      <c r="S221" s="704"/>
      <c r="T221" s="690">
        <f t="shared" si="63"/>
        <v>-45000</v>
      </c>
      <c r="U221" s="683"/>
      <c r="V221" s="474">
        <f t="shared" si="68"/>
        <v>0</v>
      </c>
      <c r="W221" s="474">
        <f t="shared" si="69"/>
        <v>0</v>
      </c>
      <c r="X221" s="475">
        <f t="shared" si="70"/>
        <v>45000</v>
      </c>
      <c r="Y221" s="475">
        <v>0</v>
      </c>
      <c r="Z221" s="476">
        <v>0</v>
      </c>
      <c r="AA221" s="38">
        <f t="shared" si="71"/>
        <v>0</v>
      </c>
      <c r="AB221" s="692">
        <f t="shared" si="60"/>
        <v>0</v>
      </c>
      <c r="AC221" s="692">
        <f t="shared" si="61"/>
        <v>0</v>
      </c>
      <c r="AD221" s="692">
        <f t="shared" si="62"/>
        <v>1509</v>
      </c>
      <c r="AE221" s="38"/>
      <c r="AF221" s="692">
        <f t="shared" si="64"/>
        <v>0</v>
      </c>
      <c r="AG221" s="692">
        <f t="shared" si="65"/>
        <v>0</v>
      </c>
      <c r="AH221" s="692">
        <f t="shared" si="66"/>
        <v>45000</v>
      </c>
    </row>
    <row r="222" spans="1:34">
      <c r="A222" s="20" t="s">
        <v>211</v>
      </c>
      <c r="B222" s="20" t="s">
        <v>109</v>
      </c>
      <c r="C222" s="667"/>
      <c r="D222" s="68" t="s">
        <v>57</v>
      </c>
      <c r="E222" s="679"/>
      <c r="F222" s="529">
        <f>VLOOKUP(D222,'May 2012 DMV Revenue'!D:T,17,FALSE)</f>
        <v>693.49</v>
      </c>
      <c r="G222" s="680"/>
      <c r="H222" s="680"/>
      <c r="I222" s="755"/>
      <c r="J222" s="682">
        <f t="shared" si="59"/>
        <v>693.49</v>
      </c>
      <c r="K222" s="683"/>
      <c r="L222" s="684"/>
      <c r="M222" s="753"/>
      <c r="N222" s="683">
        <v>0</v>
      </c>
      <c r="O222" s="686"/>
      <c r="P222" s="683">
        <v>0</v>
      </c>
      <c r="Q222" s="687">
        <f t="shared" si="67"/>
        <v>0</v>
      </c>
      <c r="R222" s="688">
        <v>0</v>
      </c>
      <c r="S222" s="693"/>
      <c r="T222" s="690">
        <f t="shared" si="63"/>
        <v>0</v>
      </c>
      <c r="U222" s="683"/>
      <c r="V222" s="474">
        <f t="shared" si="68"/>
        <v>0</v>
      </c>
      <c r="W222" s="474">
        <f t="shared" si="69"/>
        <v>0</v>
      </c>
      <c r="X222" s="475">
        <f t="shared" si="70"/>
        <v>0</v>
      </c>
      <c r="Y222" s="475">
        <v>0</v>
      </c>
      <c r="Z222" s="476">
        <v>0</v>
      </c>
      <c r="AA222" s="38">
        <f t="shared" si="71"/>
        <v>0</v>
      </c>
      <c r="AB222" s="692">
        <f t="shared" si="60"/>
        <v>0</v>
      </c>
      <c r="AC222" s="692">
        <f t="shared" si="61"/>
        <v>693.49</v>
      </c>
      <c r="AD222" s="692">
        <f t="shared" si="62"/>
        <v>0</v>
      </c>
      <c r="AE222" s="38"/>
      <c r="AF222" s="692">
        <f t="shared" si="64"/>
        <v>0</v>
      </c>
      <c r="AG222" s="692">
        <f t="shared" si="65"/>
        <v>0</v>
      </c>
      <c r="AH222" s="692">
        <f t="shared" si="66"/>
        <v>0</v>
      </c>
    </row>
    <row r="223" spans="1:34">
      <c r="A223" s="20" t="s">
        <v>109</v>
      </c>
      <c r="B223" s="20" t="s">
        <v>110</v>
      </c>
      <c r="C223" s="667" t="s">
        <v>579</v>
      </c>
      <c r="D223" s="68" t="s">
        <v>239</v>
      </c>
      <c r="E223" s="679"/>
      <c r="F223" s="529">
        <f>VLOOKUP(D223,'May 2012 DMV Revenue'!D:T,17,FALSE)</f>
        <v>0</v>
      </c>
      <c r="G223" s="680"/>
      <c r="H223" s="680"/>
      <c r="I223" s="755"/>
      <c r="J223" s="682">
        <f t="shared" si="59"/>
        <v>0</v>
      </c>
      <c r="K223" s="683"/>
      <c r="L223" s="684"/>
      <c r="M223" s="753"/>
      <c r="N223" s="683">
        <v>0</v>
      </c>
      <c r="O223" s="686"/>
      <c r="P223" s="683">
        <v>0</v>
      </c>
      <c r="Q223" s="687">
        <f t="shared" si="67"/>
        <v>0</v>
      </c>
      <c r="R223" s="688">
        <v>0</v>
      </c>
      <c r="S223" s="693"/>
      <c r="T223" s="690">
        <f t="shared" si="63"/>
        <v>0</v>
      </c>
      <c r="U223" s="683"/>
      <c r="V223" s="474">
        <f t="shared" si="68"/>
        <v>0</v>
      </c>
      <c r="W223" s="474">
        <f t="shared" si="69"/>
        <v>0</v>
      </c>
      <c r="X223" s="475">
        <f t="shared" si="70"/>
        <v>0</v>
      </c>
      <c r="Y223" s="475">
        <v>0</v>
      </c>
      <c r="Z223" s="476">
        <v>0</v>
      </c>
      <c r="AA223" s="38">
        <f t="shared" si="71"/>
        <v>0</v>
      </c>
      <c r="AB223" s="692">
        <f t="shared" si="60"/>
        <v>0</v>
      </c>
      <c r="AC223" s="692">
        <f t="shared" si="61"/>
        <v>0</v>
      </c>
      <c r="AD223" s="692">
        <f t="shared" si="62"/>
        <v>0</v>
      </c>
      <c r="AE223" s="38"/>
      <c r="AF223" s="692">
        <f t="shared" si="64"/>
        <v>0</v>
      </c>
      <c r="AG223" s="692">
        <f t="shared" si="65"/>
        <v>0</v>
      </c>
      <c r="AH223" s="692">
        <f t="shared" si="66"/>
        <v>0</v>
      </c>
    </row>
    <row r="224" spans="1:34">
      <c r="A224" s="20"/>
      <c r="B224" s="20" t="s">
        <v>114</v>
      </c>
      <c r="C224" s="676" t="s">
        <v>621</v>
      </c>
      <c r="D224" s="68" t="s">
        <v>622</v>
      </c>
      <c r="E224" s="679"/>
      <c r="F224" s="529">
        <f>VLOOKUP(D224,'May 2012 DMV Revenue'!D:T,17,FALSE)</f>
        <v>0</v>
      </c>
      <c r="G224" s="680"/>
      <c r="H224" s="680"/>
      <c r="I224" s="755"/>
      <c r="J224" s="682">
        <f t="shared" si="59"/>
        <v>0</v>
      </c>
      <c r="K224" s="683"/>
      <c r="L224" s="684"/>
      <c r="M224" s="753"/>
      <c r="N224" s="683">
        <v>0</v>
      </c>
      <c r="O224" s="686"/>
      <c r="P224" s="683">
        <v>0</v>
      </c>
      <c r="Q224" s="687">
        <f t="shared" si="67"/>
        <v>0</v>
      </c>
      <c r="R224" s="688">
        <v>0</v>
      </c>
      <c r="S224" s="704"/>
      <c r="T224" s="690">
        <f t="shared" si="63"/>
        <v>0</v>
      </c>
      <c r="U224" s="683"/>
      <c r="V224" s="474">
        <f t="shared" si="68"/>
        <v>0</v>
      </c>
      <c r="W224" s="474">
        <f t="shared" si="69"/>
        <v>0</v>
      </c>
      <c r="X224" s="475">
        <f t="shared" si="70"/>
        <v>0</v>
      </c>
      <c r="Y224" s="475">
        <v>0</v>
      </c>
      <c r="Z224" s="476">
        <v>0</v>
      </c>
      <c r="AA224" s="38">
        <f t="shared" si="71"/>
        <v>0</v>
      </c>
      <c r="AB224" s="692">
        <f t="shared" si="60"/>
        <v>0</v>
      </c>
      <c r="AC224" s="692">
        <f t="shared" si="61"/>
        <v>0</v>
      </c>
      <c r="AD224" s="692">
        <f t="shared" si="62"/>
        <v>0</v>
      </c>
      <c r="AE224" s="38"/>
      <c r="AF224" s="692">
        <f t="shared" si="64"/>
        <v>0</v>
      </c>
      <c r="AG224" s="692">
        <f t="shared" si="65"/>
        <v>0</v>
      </c>
      <c r="AH224" s="692">
        <f t="shared" si="66"/>
        <v>0</v>
      </c>
    </row>
    <row r="225" spans="1:34">
      <c r="A225" s="20"/>
      <c r="B225" s="20" t="s">
        <v>110</v>
      </c>
      <c r="C225" s="667"/>
      <c r="D225" s="68" t="s">
        <v>497</v>
      </c>
      <c r="E225" s="679"/>
      <c r="F225" s="529">
        <f>VLOOKUP(D225,'May 2012 DMV Revenue'!D:T,17,FALSE)</f>
        <v>0</v>
      </c>
      <c r="G225" s="680"/>
      <c r="H225" s="680"/>
      <c r="I225" s="755"/>
      <c r="J225" s="682">
        <f t="shared" si="59"/>
        <v>0</v>
      </c>
      <c r="K225" s="683"/>
      <c r="L225" s="684"/>
      <c r="M225" s="753"/>
      <c r="N225" s="683">
        <v>0</v>
      </c>
      <c r="O225" s="686"/>
      <c r="P225" s="683">
        <v>0</v>
      </c>
      <c r="Q225" s="687">
        <f t="shared" si="67"/>
        <v>0</v>
      </c>
      <c r="R225" s="688">
        <v>0</v>
      </c>
      <c r="S225" s="693"/>
      <c r="T225" s="690">
        <f t="shared" si="63"/>
        <v>0</v>
      </c>
      <c r="U225" s="683"/>
      <c r="V225" s="474">
        <f t="shared" si="68"/>
        <v>0</v>
      </c>
      <c r="W225" s="474">
        <f t="shared" si="69"/>
        <v>0</v>
      </c>
      <c r="X225" s="475">
        <f t="shared" si="70"/>
        <v>0</v>
      </c>
      <c r="Y225" s="475">
        <v>0</v>
      </c>
      <c r="Z225" s="476">
        <v>0</v>
      </c>
      <c r="AA225" s="38">
        <f t="shared" si="71"/>
        <v>0</v>
      </c>
      <c r="AB225" s="692">
        <f t="shared" si="60"/>
        <v>0</v>
      </c>
      <c r="AC225" s="692">
        <f t="shared" si="61"/>
        <v>0</v>
      </c>
      <c r="AD225" s="692">
        <f t="shared" si="62"/>
        <v>0</v>
      </c>
      <c r="AE225" s="38"/>
      <c r="AF225" s="692">
        <f t="shared" si="64"/>
        <v>0</v>
      </c>
      <c r="AG225" s="692">
        <f t="shared" si="65"/>
        <v>0</v>
      </c>
      <c r="AH225" s="692">
        <f t="shared" si="66"/>
        <v>0</v>
      </c>
    </row>
    <row r="226" spans="1:34">
      <c r="A226" s="20"/>
      <c r="B226" s="20" t="s">
        <v>110</v>
      </c>
      <c r="C226" s="667"/>
      <c r="D226" s="68" t="s">
        <v>509</v>
      </c>
      <c r="E226" s="679"/>
      <c r="F226" s="529">
        <f>VLOOKUP(D226,'May 2012 DMV Revenue'!D:T,17,FALSE)</f>
        <v>899.96999999999935</v>
      </c>
      <c r="G226" s="680"/>
      <c r="H226" s="680"/>
      <c r="I226" s="770">
        <v>10132.42</v>
      </c>
      <c r="J226" s="682">
        <f t="shared" si="59"/>
        <v>11032.39</v>
      </c>
      <c r="K226" s="683"/>
      <c r="L226" s="684"/>
      <c r="M226" s="753"/>
      <c r="N226" s="683"/>
      <c r="O226" s="686"/>
      <c r="P226" s="683"/>
      <c r="Q226" s="687">
        <f t="shared" si="67"/>
        <v>0</v>
      </c>
      <c r="R226" s="688">
        <v>0</v>
      </c>
      <c r="S226" s="693"/>
      <c r="T226" s="690">
        <f t="shared" si="63"/>
        <v>0</v>
      </c>
      <c r="U226" s="683"/>
      <c r="V226" s="474">
        <f t="shared" si="68"/>
        <v>0</v>
      </c>
      <c r="W226" s="474">
        <f t="shared" si="69"/>
        <v>0</v>
      </c>
      <c r="X226" s="475">
        <f t="shared" si="70"/>
        <v>0</v>
      </c>
      <c r="Y226" s="475">
        <v>0</v>
      </c>
      <c r="Z226" s="476">
        <v>0</v>
      </c>
      <c r="AA226" s="38">
        <f t="shared" si="71"/>
        <v>0</v>
      </c>
      <c r="AB226" s="692">
        <f t="shared" si="60"/>
        <v>11032.39</v>
      </c>
      <c r="AC226" s="692">
        <f t="shared" si="61"/>
        <v>0</v>
      </c>
      <c r="AD226" s="692">
        <f t="shared" si="62"/>
        <v>0</v>
      </c>
      <c r="AE226" s="38"/>
      <c r="AF226" s="692">
        <f t="shared" si="64"/>
        <v>0</v>
      </c>
      <c r="AG226" s="692">
        <f t="shared" si="65"/>
        <v>0</v>
      </c>
      <c r="AH226" s="692">
        <f t="shared" si="66"/>
        <v>0</v>
      </c>
    </row>
    <row r="227" spans="1:34" s="627" customFormat="1">
      <c r="A227" s="610"/>
      <c r="B227" s="610" t="s">
        <v>110</v>
      </c>
      <c r="C227" s="667" t="s">
        <v>580</v>
      </c>
      <c r="D227" s="612" t="s">
        <v>476</v>
      </c>
      <c r="E227" s="679"/>
      <c r="F227" s="529">
        <f>VLOOKUP(D227,'May 2012 DMV Revenue'!D:T,17,FALSE)</f>
        <v>0</v>
      </c>
      <c r="G227" s="680"/>
      <c r="H227" s="680"/>
      <c r="I227" s="755"/>
      <c r="J227" s="682">
        <f t="shared" si="59"/>
        <v>0</v>
      </c>
      <c r="K227" s="683"/>
      <c r="L227" s="684"/>
      <c r="M227" s="753"/>
      <c r="N227" s="683">
        <v>0</v>
      </c>
      <c r="O227" s="686"/>
      <c r="P227" s="683">
        <v>0</v>
      </c>
      <c r="Q227" s="687">
        <f t="shared" si="67"/>
        <v>0</v>
      </c>
      <c r="R227" s="688">
        <v>0</v>
      </c>
      <c r="S227" s="706"/>
      <c r="T227" s="690">
        <f t="shared" si="63"/>
        <v>0</v>
      </c>
      <c r="U227" s="707"/>
      <c r="V227" s="474">
        <f t="shared" si="68"/>
        <v>0</v>
      </c>
      <c r="W227" s="474">
        <f t="shared" si="69"/>
        <v>0</v>
      </c>
      <c r="X227" s="475">
        <f t="shared" si="70"/>
        <v>0</v>
      </c>
      <c r="Y227" s="475">
        <v>0</v>
      </c>
      <c r="Z227" s="476">
        <v>0</v>
      </c>
      <c r="AA227" s="38">
        <f t="shared" si="71"/>
        <v>0</v>
      </c>
      <c r="AB227" s="692">
        <f t="shared" si="60"/>
        <v>0</v>
      </c>
      <c r="AC227" s="692">
        <f t="shared" si="61"/>
        <v>0</v>
      </c>
      <c r="AD227" s="692">
        <f t="shared" si="62"/>
        <v>0</v>
      </c>
      <c r="AE227" s="38"/>
      <c r="AF227" s="692">
        <f t="shared" si="64"/>
        <v>0</v>
      </c>
      <c r="AG227" s="692">
        <f t="shared" si="65"/>
        <v>0</v>
      </c>
      <c r="AH227" s="692">
        <f t="shared" si="66"/>
        <v>0</v>
      </c>
    </row>
    <row r="228" spans="1:34" s="232" customFormat="1">
      <c r="A228" s="283"/>
      <c r="B228" s="283" t="s">
        <v>114</v>
      </c>
      <c r="C228" s="667" t="s">
        <v>580</v>
      </c>
      <c r="D228" s="123" t="s">
        <v>371</v>
      </c>
      <c r="E228" s="679"/>
      <c r="F228" s="529">
        <f>VLOOKUP(D228,'May 2012 DMV Revenue'!D:T,17,FALSE)</f>
        <v>3064.58</v>
      </c>
      <c r="G228" s="680"/>
      <c r="H228" s="680"/>
      <c r="I228" s="755"/>
      <c r="J228" s="682">
        <f t="shared" si="59"/>
        <v>3064.58</v>
      </c>
      <c r="K228" s="683"/>
      <c r="L228" s="684">
        <v>3098.29</v>
      </c>
      <c r="M228" s="753"/>
      <c r="N228" s="683">
        <v>0</v>
      </c>
      <c r="O228" s="686"/>
      <c r="P228" s="683">
        <v>0</v>
      </c>
      <c r="Q228" s="687">
        <f t="shared" si="67"/>
        <v>3098.29</v>
      </c>
      <c r="R228" s="688">
        <f>731.25+3098.06</f>
        <v>3829.31</v>
      </c>
      <c r="S228" s="693"/>
      <c r="T228" s="690">
        <f t="shared" si="63"/>
        <v>731.02</v>
      </c>
      <c r="U228" s="683"/>
      <c r="V228" s="474">
        <f t="shared" si="68"/>
        <v>0</v>
      </c>
      <c r="W228" s="474">
        <f t="shared" si="69"/>
        <v>0</v>
      </c>
      <c r="X228" s="475">
        <f t="shared" si="70"/>
        <v>3098.29</v>
      </c>
      <c r="Y228" s="475">
        <v>0</v>
      </c>
      <c r="Z228" s="476">
        <v>0</v>
      </c>
      <c r="AA228" s="38">
        <f t="shared" si="71"/>
        <v>0</v>
      </c>
      <c r="AB228" s="692">
        <f t="shared" si="60"/>
        <v>0</v>
      </c>
      <c r="AC228" s="692">
        <f t="shared" si="61"/>
        <v>0</v>
      </c>
      <c r="AD228" s="692">
        <v>3064.58</v>
      </c>
      <c r="AE228" s="38"/>
      <c r="AF228" s="692">
        <f t="shared" si="64"/>
        <v>0</v>
      </c>
      <c r="AG228" s="692">
        <f t="shared" si="65"/>
        <v>0</v>
      </c>
      <c r="AH228" s="692">
        <f t="shared" si="66"/>
        <v>3098.29</v>
      </c>
    </row>
    <row r="229" spans="1:34" s="232" customFormat="1">
      <c r="A229" s="283"/>
      <c r="B229" s="283" t="s">
        <v>110</v>
      </c>
      <c r="C229" s="667" t="s">
        <v>580</v>
      </c>
      <c r="D229" s="123" t="s">
        <v>422</v>
      </c>
      <c r="E229" s="679"/>
      <c r="F229" s="529">
        <f>VLOOKUP(D229,'May 2012 DMV Revenue'!D:T,17,FALSE)</f>
        <v>-43.44</v>
      </c>
      <c r="G229" s="680"/>
      <c r="H229" s="680"/>
      <c r="I229" s="755"/>
      <c r="J229" s="682">
        <f t="shared" si="59"/>
        <v>-43.44</v>
      </c>
      <c r="K229" s="683"/>
      <c r="L229" s="684">
        <v>42.43</v>
      </c>
      <c r="M229" s="753"/>
      <c r="N229" s="683">
        <v>0</v>
      </c>
      <c r="O229" s="686"/>
      <c r="P229" s="683">
        <v>0</v>
      </c>
      <c r="Q229" s="687">
        <f t="shared" si="67"/>
        <v>42.43</v>
      </c>
      <c r="R229" s="688">
        <v>0</v>
      </c>
      <c r="S229" s="693"/>
      <c r="T229" s="690">
        <f t="shared" si="63"/>
        <v>-42.43</v>
      </c>
      <c r="U229" s="683"/>
      <c r="V229" s="474">
        <f t="shared" si="68"/>
        <v>42.43</v>
      </c>
      <c r="W229" s="474">
        <f t="shared" si="69"/>
        <v>0</v>
      </c>
      <c r="X229" s="475">
        <f t="shared" si="70"/>
        <v>0</v>
      </c>
      <c r="Y229" s="475">
        <v>0</v>
      </c>
      <c r="Z229" s="476">
        <v>0</v>
      </c>
      <c r="AA229" s="38">
        <f t="shared" si="71"/>
        <v>0</v>
      </c>
      <c r="AB229" s="692">
        <f t="shared" si="60"/>
        <v>-43.44</v>
      </c>
      <c r="AC229" s="692">
        <f t="shared" si="61"/>
        <v>0</v>
      </c>
      <c r="AD229" s="692">
        <f t="shared" si="62"/>
        <v>0</v>
      </c>
      <c r="AE229" s="38"/>
      <c r="AF229" s="692">
        <f t="shared" si="64"/>
        <v>42.43</v>
      </c>
      <c r="AG229" s="692">
        <f t="shared" si="65"/>
        <v>0</v>
      </c>
      <c r="AH229" s="692">
        <f t="shared" si="66"/>
        <v>0</v>
      </c>
    </row>
    <row r="230" spans="1:34" s="232" customFormat="1">
      <c r="A230" s="283"/>
      <c r="B230" s="283" t="s">
        <v>110</v>
      </c>
      <c r="C230" s="667" t="s">
        <v>580</v>
      </c>
      <c r="D230" s="123" t="s">
        <v>442</v>
      </c>
      <c r="E230" s="679"/>
      <c r="F230" s="529">
        <f>VLOOKUP(D230,'May 2012 DMV Revenue'!D:T,17,FALSE)</f>
        <v>-2315.0299999999697</v>
      </c>
      <c r="G230" s="680"/>
      <c r="H230" s="680"/>
      <c r="I230" s="755"/>
      <c r="J230" s="682">
        <f t="shared" si="59"/>
        <v>-2315.0299999999697</v>
      </c>
      <c r="K230" s="683"/>
      <c r="L230" s="684">
        <v>401531.28</v>
      </c>
      <c r="M230" s="753"/>
      <c r="N230" s="683">
        <v>0</v>
      </c>
      <c r="O230" s="686"/>
      <c r="P230" s="683">
        <v>0</v>
      </c>
      <c r="Q230" s="687">
        <f t="shared" si="67"/>
        <v>401531.28</v>
      </c>
      <c r="R230" s="688">
        <v>401534.51</v>
      </c>
      <c r="S230" s="693"/>
      <c r="T230" s="690">
        <f t="shared" si="63"/>
        <v>3.2299999999813735</v>
      </c>
      <c r="U230" s="683"/>
      <c r="V230" s="474">
        <f t="shared" si="68"/>
        <v>401531.28</v>
      </c>
      <c r="W230" s="474">
        <f t="shared" si="69"/>
        <v>0</v>
      </c>
      <c r="X230" s="475">
        <f t="shared" si="70"/>
        <v>0</v>
      </c>
      <c r="Y230" s="475">
        <v>0</v>
      </c>
      <c r="Z230" s="476">
        <v>0</v>
      </c>
      <c r="AA230" s="38">
        <f t="shared" si="71"/>
        <v>0</v>
      </c>
      <c r="AB230" s="692">
        <f>IF(B230="D",J230,0)-2376</f>
        <v>-4691.0299999999697</v>
      </c>
      <c r="AC230" s="692">
        <f t="shared" si="61"/>
        <v>0</v>
      </c>
      <c r="AD230" s="692">
        <f t="shared" si="62"/>
        <v>0</v>
      </c>
      <c r="AE230" s="38"/>
      <c r="AF230" s="692">
        <f t="shared" si="64"/>
        <v>401531.28</v>
      </c>
      <c r="AG230" s="692">
        <f t="shared" si="65"/>
        <v>0</v>
      </c>
      <c r="AH230" s="692">
        <f t="shared" si="66"/>
        <v>0</v>
      </c>
    </row>
    <row r="231" spans="1:34">
      <c r="A231" s="20"/>
      <c r="B231" s="20" t="s">
        <v>109</v>
      </c>
      <c r="C231" s="667"/>
      <c r="D231" s="68" t="s">
        <v>304</v>
      </c>
      <c r="E231" s="679"/>
      <c r="F231" s="529">
        <f>VLOOKUP(D231,'May 2012 DMV Revenue'!D:T,17,FALSE)</f>
        <v>0</v>
      </c>
      <c r="G231" s="680"/>
      <c r="H231" s="680"/>
      <c r="I231" s="755"/>
      <c r="J231" s="682">
        <f t="shared" si="59"/>
        <v>0</v>
      </c>
      <c r="K231" s="683"/>
      <c r="L231" s="684"/>
      <c r="M231" s="753"/>
      <c r="N231" s="683">
        <v>0</v>
      </c>
      <c r="O231" s="686"/>
      <c r="P231" s="683">
        <v>0</v>
      </c>
      <c r="Q231" s="687">
        <f t="shared" si="67"/>
        <v>0</v>
      </c>
      <c r="R231" s="688">
        <v>0</v>
      </c>
      <c r="S231" s="693"/>
      <c r="T231" s="690">
        <f t="shared" si="63"/>
        <v>0</v>
      </c>
      <c r="U231" s="683"/>
      <c r="V231" s="474">
        <f t="shared" si="68"/>
        <v>0</v>
      </c>
      <c r="W231" s="474">
        <f t="shared" si="69"/>
        <v>0</v>
      </c>
      <c r="X231" s="475">
        <f t="shared" si="70"/>
        <v>0</v>
      </c>
      <c r="Y231" s="475">
        <v>0</v>
      </c>
      <c r="Z231" s="476">
        <v>0</v>
      </c>
      <c r="AA231" s="38">
        <f t="shared" si="71"/>
        <v>0</v>
      </c>
      <c r="AB231" s="692">
        <f t="shared" si="60"/>
        <v>0</v>
      </c>
      <c r="AC231" s="692">
        <f t="shared" si="61"/>
        <v>0</v>
      </c>
      <c r="AD231" s="692">
        <f t="shared" si="62"/>
        <v>0</v>
      </c>
      <c r="AE231" s="38"/>
      <c r="AF231" s="692">
        <f t="shared" si="64"/>
        <v>0</v>
      </c>
      <c r="AG231" s="692">
        <f t="shared" si="65"/>
        <v>0</v>
      </c>
      <c r="AH231" s="692">
        <f t="shared" si="66"/>
        <v>0</v>
      </c>
    </row>
    <row r="232" spans="1:34">
      <c r="A232" s="21" t="s">
        <v>97</v>
      </c>
      <c r="B232" s="21" t="s">
        <v>109</v>
      </c>
      <c r="C232" s="666"/>
      <c r="D232" s="68" t="s">
        <v>381</v>
      </c>
      <c r="E232" s="679"/>
      <c r="F232" s="529">
        <f>VLOOKUP(D232,'May 2012 DMV Revenue'!D:T,17,FALSE)</f>
        <v>0</v>
      </c>
      <c r="G232" s="680"/>
      <c r="H232" s="680"/>
      <c r="I232" s="755"/>
      <c r="J232" s="682">
        <f t="shared" si="59"/>
        <v>0</v>
      </c>
      <c r="K232" s="683"/>
      <c r="L232" s="684"/>
      <c r="M232" s="753"/>
      <c r="N232" s="683">
        <v>0</v>
      </c>
      <c r="O232" s="686"/>
      <c r="P232" s="683">
        <v>0</v>
      </c>
      <c r="Q232" s="687">
        <f t="shared" si="67"/>
        <v>0</v>
      </c>
      <c r="R232" s="688">
        <v>0</v>
      </c>
      <c r="S232" s="693"/>
      <c r="T232" s="690">
        <f t="shared" si="63"/>
        <v>0</v>
      </c>
      <c r="U232" s="683"/>
      <c r="V232" s="474">
        <f t="shared" si="68"/>
        <v>0</v>
      </c>
      <c r="W232" s="474">
        <f t="shared" si="69"/>
        <v>0</v>
      </c>
      <c r="X232" s="475">
        <f t="shared" si="70"/>
        <v>0</v>
      </c>
      <c r="Y232" s="475">
        <v>0</v>
      </c>
      <c r="Z232" s="476">
        <v>0</v>
      </c>
      <c r="AA232" s="38">
        <f t="shared" si="71"/>
        <v>0</v>
      </c>
      <c r="AB232" s="692">
        <f t="shared" si="60"/>
        <v>0</v>
      </c>
      <c r="AC232" s="692">
        <f t="shared" si="61"/>
        <v>0</v>
      </c>
      <c r="AD232" s="692">
        <f t="shared" si="62"/>
        <v>0</v>
      </c>
      <c r="AE232" s="38"/>
      <c r="AF232" s="692">
        <f t="shared" si="64"/>
        <v>0</v>
      </c>
      <c r="AG232" s="692">
        <f t="shared" si="65"/>
        <v>0</v>
      </c>
      <c r="AH232" s="692">
        <f t="shared" si="66"/>
        <v>0</v>
      </c>
    </row>
    <row r="233" spans="1:34">
      <c r="A233" s="21" t="s">
        <v>97</v>
      </c>
      <c r="B233" s="21" t="s">
        <v>114</v>
      </c>
      <c r="C233" s="666"/>
      <c r="D233" s="68" t="s">
        <v>376</v>
      </c>
      <c r="E233" s="679"/>
      <c r="F233" s="529">
        <f>VLOOKUP(D233,'May 2012 DMV Revenue'!D:T,17,FALSE)</f>
        <v>0</v>
      </c>
      <c r="G233" s="680"/>
      <c r="H233" s="680"/>
      <c r="I233" s="755"/>
      <c r="J233" s="682">
        <f t="shared" si="59"/>
        <v>0</v>
      </c>
      <c r="K233" s="683"/>
      <c r="L233" s="684"/>
      <c r="M233" s="753"/>
      <c r="N233" s="683">
        <v>0</v>
      </c>
      <c r="O233" s="686"/>
      <c r="P233" s="683">
        <v>0</v>
      </c>
      <c r="Q233" s="687">
        <f t="shared" si="67"/>
        <v>0</v>
      </c>
      <c r="R233" s="688">
        <v>0</v>
      </c>
      <c r="S233" s="693"/>
      <c r="T233" s="690">
        <f t="shared" si="63"/>
        <v>0</v>
      </c>
      <c r="U233" s="683"/>
      <c r="V233" s="474">
        <f t="shared" si="68"/>
        <v>0</v>
      </c>
      <c r="W233" s="474">
        <f t="shared" si="69"/>
        <v>0</v>
      </c>
      <c r="X233" s="475">
        <f t="shared" si="70"/>
        <v>0</v>
      </c>
      <c r="Y233" s="475">
        <v>0</v>
      </c>
      <c r="Z233" s="476">
        <v>0</v>
      </c>
      <c r="AA233" s="38">
        <f t="shared" si="71"/>
        <v>0</v>
      </c>
      <c r="AB233" s="692">
        <f t="shared" si="60"/>
        <v>0</v>
      </c>
      <c r="AC233" s="692">
        <f t="shared" si="61"/>
        <v>0</v>
      </c>
      <c r="AD233" s="692">
        <f t="shared" si="62"/>
        <v>0</v>
      </c>
      <c r="AE233" s="38"/>
      <c r="AF233" s="692">
        <f t="shared" si="64"/>
        <v>0</v>
      </c>
      <c r="AG233" s="692">
        <f t="shared" si="65"/>
        <v>0</v>
      </c>
      <c r="AH233" s="692">
        <f t="shared" si="66"/>
        <v>0</v>
      </c>
    </row>
    <row r="234" spans="1:34">
      <c r="A234" s="20"/>
      <c r="B234" s="20" t="s">
        <v>110</v>
      </c>
      <c r="C234" s="667"/>
      <c r="D234" s="68" t="s">
        <v>390</v>
      </c>
      <c r="E234" s="679"/>
      <c r="F234" s="529">
        <f>VLOOKUP(D234,'May 2012 DMV Revenue'!D:T,17,FALSE)</f>
        <v>0</v>
      </c>
      <c r="G234" s="680"/>
      <c r="H234" s="680"/>
      <c r="I234" s="755"/>
      <c r="J234" s="682">
        <f t="shared" si="59"/>
        <v>0</v>
      </c>
      <c r="K234" s="683"/>
      <c r="L234" s="684"/>
      <c r="M234" s="753"/>
      <c r="N234" s="683">
        <v>0</v>
      </c>
      <c r="O234" s="686"/>
      <c r="P234" s="683">
        <v>0</v>
      </c>
      <c r="Q234" s="687">
        <f t="shared" si="67"/>
        <v>0</v>
      </c>
      <c r="R234" s="688">
        <v>0</v>
      </c>
      <c r="S234" s="693"/>
      <c r="T234" s="690">
        <f t="shared" si="63"/>
        <v>0</v>
      </c>
      <c r="U234" s="683"/>
      <c r="V234" s="474">
        <f t="shared" si="68"/>
        <v>0</v>
      </c>
      <c r="W234" s="474">
        <f t="shared" si="69"/>
        <v>0</v>
      </c>
      <c r="X234" s="475">
        <f t="shared" si="70"/>
        <v>0</v>
      </c>
      <c r="Y234" s="475">
        <v>0</v>
      </c>
      <c r="Z234" s="476">
        <v>0</v>
      </c>
      <c r="AA234" s="38">
        <f t="shared" si="71"/>
        <v>0</v>
      </c>
      <c r="AB234" s="692">
        <f t="shared" si="60"/>
        <v>0</v>
      </c>
      <c r="AC234" s="692">
        <f t="shared" si="61"/>
        <v>0</v>
      </c>
      <c r="AD234" s="692">
        <f t="shared" si="62"/>
        <v>0</v>
      </c>
      <c r="AE234" s="38"/>
      <c r="AF234" s="692">
        <f t="shared" si="64"/>
        <v>0</v>
      </c>
      <c r="AG234" s="692">
        <f t="shared" si="65"/>
        <v>0</v>
      </c>
      <c r="AH234" s="692">
        <f t="shared" si="66"/>
        <v>0</v>
      </c>
    </row>
    <row r="235" spans="1:34">
      <c r="A235" s="20"/>
      <c r="B235" s="20" t="s">
        <v>110</v>
      </c>
      <c r="C235" s="667" t="s">
        <v>581</v>
      </c>
      <c r="D235" s="123" t="s">
        <v>166</v>
      </c>
      <c r="E235" s="679"/>
      <c r="F235" s="529">
        <f>VLOOKUP(D235,'May 2012 DMV Revenue'!D:T,17,FALSE)</f>
        <v>0</v>
      </c>
      <c r="G235" s="680"/>
      <c r="H235" s="680"/>
      <c r="I235" s="755"/>
      <c r="J235" s="682">
        <f t="shared" si="59"/>
        <v>0</v>
      </c>
      <c r="K235" s="683"/>
      <c r="L235" s="684"/>
      <c r="M235" s="753"/>
      <c r="N235" s="683">
        <v>0</v>
      </c>
      <c r="O235" s="686"/>
      <c r="P235" s="683">
        <v>0</v>
      </c>
      <c r="Q235" s="687">
        <f t="shared" si="67"/>
        <v>0</v>
      </c>
      <c r="R235" s="688">
        <v>0</v>
      </c>
      <c r="S235" s="693"/>
      <c r="T235" s="690">
        <f t="shared" si="63"/>
        <v>0</v>
      </c>
      <c r="U235" s="683"/>
      <c r="V235" s="474">
        <f t="shared" si="68"/>
        <v>0</v>
      </c>
      <c r="W235" s="474">
        <f t="shared" si="69"/>
        <v>0</v>
      </c>
      <c r="X235" s="475">
        <f t="shared" si="70"/>
        <v>0</v>
      </c>
      <c r="Y235" s="475">
        <v>0</v>
      </c>
      <c r="Z235" s="476">
        <v>0</v>
      </c>
      <c r="AA235" s="38">
        <f t="shared" si="71"/>
        <v>0</v>
      </c>
      <c r="AB235" s="692">
        <f t="shared" si="60"/>
        <v>0</v>
      </c>
      <c r="AC235" s="692">
        <f t="shared" si="61"/>
        <v>0</v>
      </c>
      <c r="AD235" s="692">
        <f t="shared" si="62"/>
        <v>0</v>
      </c>
      <c r="AE235" s="38"/>
      <c r="AF235" s="692">
        <f t="shared" si="64"/>
        <v>0</v>
      </c>
      <c r="AG235" s="692">
        <f t="shared" si="65"/>
        <v>0</v>
      </c>
      <c r="AH235" s="692">
        <f t="shared" si="66"/>
        <v>0</v>
      </c>
    </row>
    <row r="236" spans="1:34">
      <c r="A236" s="20"/>
      <c r="B236" s="20" t="s">
        <v>109</v>
      </c>
      <c r="C236" s="667" t="s">
        <v>581</v>
      </c>
      <c r="D236" s="123" t="s">
        <v>165</v>
      </c>
      <c r="E236" s="679"/>
      <c r="F236" s="529">
        <f>VLOOKUP(D236,'May 2012 DMV Revenue'!D:T,17,FALSE)</f>
        <v>0</v>
      </c>
      <c r="G236" s="680"/>
      <c r="H236" s="680"/>
      <c r="I236" s="755"/>
      <c r="J236" s="682">
        <f t="shared" si="59"/>
        <v>0</v>
      </c>
      <c r="K236" s="683"/>
      <c r="L236" s="684"/>
      <c r="M236" s="753"/>
      <c r="N236" s="683">
        <v>0</v>
      </c>
      <c r="O236" s="686"/>
      <c r="P236" s="683">
        <v>0</v>
      </c>
      <c r="Q236" s="687">
        <f t="shared" si="67"/>
        <v>0</v>
      </c>
      <c r="R236" s="688">
        <v>0</v>
      </c>
      <c r="S236" s="693"/>
      <c r="T236" s="690">
        <f t="shared" si="63"/>
        <v>0</v>
      </c>
      <c r="U236" s="683"/>
      <c r="V236" s="474">
        <f t="shared" si="68"/>
        <v>0</v>
      </c>
      <c r="W236" s="474">
        <f t="shared" si="69"/>
        <v>0</v>
      </c>
      <c r="X236" s="475">
        <f t="shared" si="70"/>
        <v>0</v>
      </c>
      <c r="Y236" s="475">
        <v>0</v>
      </c>
      <c r="Z236" s="476">
        <v>0</v>
      </c>
      <c r="AA236" s="38">
        <f t="shared" si="71"/>
        <v>0</v>
      </c>
      <c r="AB236" s="692">
        <f t="shared" si="60"/>
        <v>0</v>
      </c>
      <c r="AC236" s="692">
        <f t="shared" si="61"/>
        <v>0</v>
      </c>
      <c r="AD236" s="692">
        <f t="shared" si="62"/>
        <v>0</v>
      </c>
      <c r="AE236" s="38"/>
      <c r="AF236" s="692">
        <f t="shared" si="64"/>
        <v>0</v>
      </c>
      <c r="AG236" s="692">
        <f t="shared" si="65"/>
        <v>0</v>
      </c>
      <c r="AH236" s="692">
        <f t="shared" si="66"/>
        <v>0</v>
      </c>
    </row>
    <row r="237" spans="1:34">
      <c r="A237" s="20"/>
      <c r="B237" s="20" t="s">
        <v>109</v>
      </c>
      <c r="C237" s="667"/>
      <c r="D237" s="123" t="s">
        <v>310</v>
      </c>
      <c r="E237" s="679"/>
      <c r="F237" s="529">
        <f>VLOOKUP(D237,'May 2012 DMV Revenue'!D:T,17,FALSE)</f>
        <v>0</v>
      </c>
      <c r="G237" s="680"/>
      <c r="H237" s="680"/>
      <c r="I237" s="755"/>
      <c r="J237" s="682">
        <f t="shared" si="59"/>
        <v>0</v>
      </c>
      <c r="K237" s="683"/>
      <c r="L237" s="684"/>
      <c r="M237" s="753"/>
      <c r="N237" s="683">
        <v>0</v>
      </c>
      <c r="O237" s="686"/>
      <c r="P237" s="683">
        <v>0</v>
      </c>
      <c r="Q237" s="687">
        <f t="shared" si="67"/>
        <v>0</v>
      </c>
      <c r="R237" s="688">
        <v>0</v>
      </c>
      <c r="S237" s="693"/>
      <c r="T237" s="690">
        <f t="shared" si="63"/>
        <v>0</v>
      </c>
      <c r="U237" s="683"/>
      <c r="V237" s="474">
        <f t="shared" si="68"/>
        <v>0</v>
      </c>
      <c r="W237" s="474">
        <f t="shared" si="69"/>
        <v>0</v>
      </c>
      <c r="X237" s="475">
        <f t="shared" si="70"/>
        <v>0</v>
      </c>
      <c r="Y237" s="475">
        <v>0</v>
      </c>
      <c r="Z237" s="476">
        <v>0</v>
      </c>
      <c r="AA237" s="38">
        <f t="shared" si="71"/>
        <v>0</v>
      </c>
      <c r="AB237" s="692">
        <f t="shared" si="60"/>
        <v>0</v>
      </c>
      <c r="AC237" s="692">
        <f t="shared" si="61"/>
        <v>0</v>
      </c>
      <c r="AD237" s="692">
        <f t="shared" si="62"/>
        <v>0</v>
      </c>
      <c r="AE237" s="38"/>
      <c r="AF237" s="692">
        <f t="shared" si="64"/>
        <v>0</v>
      </c>
      <c r="AG237" s="692">
        <f t="shared" si="65"/>
        <v>0</v>
      </c>
      <c r="AH237" s="692">
        <f t="shared" si="66"/>
        <v>0</v>
      </c>
    </row>
    <row r="238" spans="1:34">
      <c r="A238" s="20"/>
      <c r="B238" s="20" t="s">
        <v>109</v>
      </c>
      <c r="C238" s="667"/>
      <c r="D238" s="123" t="s">
        <v>441</v>
      </c>
      <c r="E238" s="679"/>
      <c r="F238" s="529">
        <f>VLOOKUP(D238,'May 2012 DMV Revenue'!D:T,17,FALSE)</f>
        <v>0</v>
      </c>
      <c r="G238" s="680"/>
      <c r="H238" s="680"/>
      <c r="I238" s="755"/>
      <c r="J238" s="682">
        <f t="shared" si="59"/>
        <v>0</v>
      </c>
      <c r="K238" s="683"/>
      <c r="L238" s="684"/>
      <c r="M238" s="753"/>
      <c r="N238" s="683">
        <v>0</v>
      </c>
      <c r="O238" s="686"/>
      <c r="P238" s="683">
        <v>0</v>
      </c>
      <c r="Q238" s="687">
        <f t="shared" si="67"/>
        <v>0</v>
      </c>
      <c r="R238" s="688">
        <v>0</v>
      </c>
      <c r="S238" s="693"/>
      <c r="T238" s="690">
        <f t="shared" si="63"/>
        <v>0</v>
      </c>
      <c r="U238" s="683"/>
      <c r="V238" s="474">
        <f t="shared" si="68"/>
        <v>0</v>
      </c>
      <c r="W238" s="474">
        <f t="shared" si="69"/>
        <v>0</v>
      </c>
      <c r="X238" s="475">
        <f t="shared" si="70"/>
        <v>0</v>
      </c>
      <c r="Y238" s="475">
        <v>0</v>
      </c>
      <c r="Z238" s="476">
        <v>0</v>
      </c>
      <c r="AA238" s="38">
        <f t="shared" si="71"/>
        <v>0</v>
      </c>
      <c r="AB238" s="692">
        <f t="shared" si="60"/>
        <v>0</v>
      </c>
      <c r="AC238" s="692">
        <f t="shared" si="61"/>
        <v>0</v>
      </c>
      <c r="AD238" s="692">
        <f t="shared" si="62"/>
        <v>0</v>
      </c>
      <c r="AE238" s="38"/>
      <c r="AF238" s="692">
        <f t="shared" si="64"/>
        <v>0</v>
      </c>
      <c r="AG238" s="692">
        <f t="shared" si="65"/>
        <v>0</v>
      </c>
      <c r="AH238" s="692">
        <f t="shared" si="66"/>
        <v>0</v>
      </c>
    </row>
    <row r="239" spans="1:34">
      <c r="A239" s="20"/>
      <c r="B239" s="20" t="s">
        <v>109</v>
      </c>
      <c r="C239" s="667"/>
      <c r="D239" s="68" t="s">
        <v>121</v>
      </c>
      <c r="E239" s="679"/>
      <c r="F239" s="529">
        <f>VLOOKUP(D239,'May 2012 DMV Revenue'!D:T,17,FALSE)</f>
        <v>0</v>
      </c>
      <c r="G239" s="680"/>
      <c r="H239" s="680"/>
      <c r="I239" s="755"/>
      <c r="J239" s="682">
        <f t="shared" si="59"/>
        <v>0</v>
      </c>
      <c r="K239" s="683"/>
      <c r="L239" s="684"/>
      <c r="M239" s="753"/>
      <c r="N239" s="683">
        <v>0</v>
      </c>
      <c r="O239" s="686"/>
      <c r="P239" s="683">
        <v>0</v>
      </c>
      <c r="Q239" s="687">
        <f t="shared" si="67"/>
        <v>0</v>
      </c>
      <c r="R239" s="688">
        <v>0</v>
      </c>
      <c r="S239" s="693"/>
      <c r="T239" s="690">
        <f t="shared" si="63"/>
        <v>0</v>
      </c>
      <c r="U239" s="683"/>
      <c r="V239" s="474">
        <f t="shared" si="68"/>
        <v>0</v>
      </c>
      <c r="W239" s="474">
        <f t="shared" si="69"/>
        <v>0</v>
      </c>
      <c r="X239" s="475">
        <f t="shared" si="70"/>
        <v>0</v>
      </c>
      <c r="Y239" s="475">
        <v>0</v>
      </c>
      <c r="Z239" s="476">
        <v>0</v>
      </c>
      <c r="AA239" s="38">
        <f t="shared" si="71"/>
        <v>0</v>
      </c>
      <c r="AB239" s="692">
        <f t="shared" si="60"/>
        <v>0</v>
      </c>
      <c r="AC239" s="692">
        <f t="shared" si="61"/>
        <v>0</v>
      </c>
      <c r="AD239" s="692">
        <f t="shared" si="62"/>
        <v>0</v>
      </c>
      <c r="AE239" s="38"/>
      <c r="AF239" s="692">
        <f t="shared" si="64"/>
        <v>0</v>
      </c>
      <c r="AG239" s="692">
        <f t="shared" si="65"/>
        <v>0</v>
      </c>
      <c r="AH239" s="692">
        <f t="shared" si="66"/>
        <v>0</v>
      </c>
    </row>
    <row r="240" spans="1:34">
      <c r="A240" s="20"/>
      <c r="B240" s="20" t="s">
        <v>110</v>
      </c>
      <c r="C240" s="667"/>
      <c r="D240" s="68" t="s">
        <v>168</v>
      </c>
      <c r="E240" s="679"/>
      <c r="F240" s="529">
        <f>VLOOKUP(D240,'May 2012 DMV Revenue'!D:T,17,FALSE)</f>
        <v>0</v>
      </c>
      <c r="G240" s="680"/>
      <c r="H240" s="680"/>
      <c r="I240" s="755"/>
      <c r="J240" s="682">
        <f t="shared" si="59"/>
        <v>0</v>
      </c>
      <c r="K240" s="683"/>
      <c r="L240" s="684"/>
      <c r="M240" s="753"/>
      <c r="N240" s="683">
        <v>0</v>
      </c>
      <c r="O240" s="686"/>
      <c r="P240" s="683">
        <v>0</v>
      </c>
      <c r="Q240" s="687">
        <f t="shared" si="67"/>
        <v>0</v>
      </c>
      <c r="R240" s="688">
        <v>0</v>
      </c>
      <c r="S240" s="693"/>
      <c r="T240" s="690">
        <f t="shared" si="63"/>
        <v>0</v>
      </c>
      <c r="U240" s="683"/>
      <c r="V240" s="474">
        <f t="shared" si="68"/>
        <v>0</v>
      </c>
      <c r="W240" s="474">
        <f t="shared" si="69"/>
        <v>0</v>
      </c>
      <c r="X240" s="475">
        <f t="shared" si="70"/>
        <v>0</v>
      </c>
      <c r="Y240" s="475">
        <v>0</v>
      </c>
      <c r="Z240" s="476">
        <v>0</v>
      </c>
      <c r="AA240" s="38">
        <f t="shared" si="71"/>
        <v>0</v>
      </c>
      <c r="AB240" s="692">
        <f t="shared" si="60"/>
        <v>0</v>
      </c>
      <c r="AC240" s="692">
        <f t="shared" si="61"/>
        <v>0</v>
      </c>
      <c r="AD240" s="692">
        <f t="shared" si="62"/>
        <v>0</v>
      </c>
      <c r="AE240" s="38"/>
      <c r="AF240" s="692">
        <f t="shared" si="64"/>
        <v>0</v>
      </c>
      <c r="AG240" s="692">
        <f t="shared" si="65"/>
        <v>0</v>
      </c>
      <c r="AH240" s="692">
        <f t="shared" si="66"/>
        <v>0</v>
      </c>
    </row>
    <row r="241" spans="1:34">
      <c r="A241" s="20"/>
      <c r="B241" s="20" t="s">
        <v>109</v>
      </c>
      <c r="C241" s="667" t="s">
        <v>582</v>
      </c>
      <c r="D241" s="68" t="s">
        <v>167</v>
      </c>
      <c r="E241" s="679"/>
      <c r="F241" s="529">
        <f>VLOOKUP(D241,'May 2012 DMV Revenue'!D:T,17,FALSE)</f>
        <v>0</v>
      </c>
      <c r="G241" s="680"/>
      <c r="H241" s="680"/>
      <c r="I241" s="755"/>
      <c r="J241" s="682">
        <f t="shared" si="59"/>
        <v>0</v>
      </c>
      <c r="K241" s="683"/>
      <c r="L241" s="684"/>
      <c r="M241" s="753"/>
      <c r="N241" s="683">
        <v>0</v>
      </c>
      <c r="O241" s="686"/>
      <c r="P241" s="683">
        <v>0</v>
      </c>
      <c r="Q241" s="687">
        <f t="shared" si="67"/>
        <v>0</v>
      </c>
      <c r="R241" s="688">
        <v>0</v>
      </c>
      <c r="S241" s="693"/>
      <c r="T241" s="690">
        <f t="shared" si="63"/>
        <v>0</v>
      </c>
      <c r="U241" s="683"/>
      <c r="V241" s="474">
        <f t="shared" si="68"/>
        <v>0</v>
      </c>
      <c r="W241" s="474">
        <f t="shared" si="69"/>
        <v>0</v>
      </c>
      <c r="X241" s="475">
        <f t="shared" si="70"/>
        <v>0</v>
      </c>
      <c r="Y241" s="475">
        <v>0</v>
      </c>
      <c r="Z241" s="476">
        <v>0</v>
      </c>
      <c r="AA241" s="38">
        <f t="shared" si="71"/>
        <v>0</v>
      </c>
      <c r="AB241" s="692">
        <f t="shared" si="60"/>
        <v>0</v>
      </c>
      <c r="AC241" s="692">
        <f t="shared" si="61"/>
        <v>0</v>
      </c>
      <c r="AD241" s="692">
        <f t="shared" si="62"/>
        <v>0</v>
      </c>
      <c r="AE241" s="38"/>
      <c r="AF241" s="692">
        <f t="shared" si="64"/>
        <v>0</v>
      </c>
      <c r="AG241" s="692">
        <f t="shared" si="65"/>
        <v>0</v>
      </c>
      <c r="AH241" s="692">
        <f t="shared" si="66"/>
        <v>0</v>
      </c>
    </row>
    <row r="242" spans="1:34">
      <c r="A242" s="20" t="s">
        <v>218</v>
      </c>
      <c r="B242" s="20" t="s">
        <v>110</v>
      </c>
      <c r="C242" s="667"/>
      <c r="D242" s="68" t="s">
        <v>240</v>
      </c>
      <c r="E242" s="679"/>
      <c r="F242" s="529">
        <f>VLOOKUP(D242,'May 2012 DMV Revenue'!D:T,17,FALSE)</f>
        <v>0</v>
      </c>
      <c r="G242" s="680"/>
      <c r="H242" s="680"/>
      <c r="I242" s="755"/>
      <c r="J242" s="682">
        <f t="shared" si="59"/>
        <v>0</v>
      </c>
      <c r="K242" s="683"/>
      <c r="L242" s="684"/>
      <c r="M242" s="753"/>
      <c r="N242" s="683">
        <v>0</v>
      </c>
      <c r="O242" s="686"/>
      <c r="P242" s="683">
        <v>0</v>
      </c>
      <c r="Q242" s="687">
        <f t="shared" si="67"/>
        <v>0</v>
      </c>
      <c r="R242" s="688">
        <v>0</v>
      </c>
      <c r="S242" s="693"/>
      <c r="T242" s="690">
        <f t="shared" si="63"/>
        <v>0</v>
      </c>
      <c r="U242" s="697"/>
      <c r="V242" s="474">
        <f t="shared" si="68"/>
        <v>0</v>
      </c>
      <c r="W242" s="474">
        <f t="shared" si="69"/>
        <v>0</v>
      </c>
      <c r="X242" s="475">
        <f t="shared" si="70"/>
        <v>0</v>
      </c>
      <c r="Y242" s="475">
        <v>0</v>
      </c>
      <c r="Z242" s="476">
        <v>0</v>
      </c>
      <c r="AA242" s="38">
        <f t="shared" si="71"/>
        <v>0</v>
      </c>
      <c r="AB242" s="692">
        <f t="shared" si="60"/>
        <v>0</v>
      </c>
      <c r="AC242" s="692">
        <f t="shared" si="61"/>
        <v>0</v>
      </c>
      <c r="AD242" s="692">
        <f t="shared" si="62"/>
        <v>0</v>
      </c>
      <c r="AE242" s="38"/>
      <c r="AF242" s="692">
        <f t="shared" ref="AF242:AF251" si="72">IF(B242="D",Q242,0)</f>
        <v>0</v>
      </c>
      <c r="AG242" s="692">
        <f t="shared" ref="AG242:AG251" si="73">IF(B242="M",Q242,0)</f>
        <v>0</v>
      </c>
      <c r="AH242" s="692">
        <f t="shared" ref="AH242:AH251" si="74">IF(B242="V",Q242,0)</f>
        <v>0</v>
      </c>
    </row>
    <row r="243" spans="1:34">
      <c r="A243" s="20" t="s">
        <v>218</v>
      </c>
      <c r="B243" s="20" t="s">
        <v>110</v>
      </c>
      <c r="C243" s="667"/>
      <c r="D243" s="68" t="s">
        <v>60</v>
      </c>
      <c r="E243" s="679"/>
      <c r="F243" s="529">
        <f>VLOOKUP(D243,'May 2012 DMV Revenue'!D:T,17,FALSE)</f>
        <v>-5000</v>
      </c>
      <c r="G243" s="680"/>
      <c r="H243" s="680"/>
      <c r="I243" s="755"/>
      <c r="J243" s="682">
        <f t="shared" si="59"/>
        <v>-5000</v>
      </c>
      <c r="K243" s="683"/>
      <c r="L243" s="684"/>
      <c r="M243" s="753">
        <v>8000</v>
      </c>
      <c r="N243" s="683">
        <v>0</v>
      </c>
      <c r="O243" s="686"/>
      <c r="P243" s="683">
        <v>0</v>
      </c>
      <c r="Q243" s="687">
        <f t="shared" si="67"/>
        <v>8000</v>
      </c>
      <c r="R243" s="688">
        <v>0</v>
      </c>
      <c r="S243" s="693"/>
      <c r="T243" s="690">
        <f t="shared" si="63"/>
        <v>-8000</v>
      </c>
      <c r="U243" s="697"/>
      <c r="V243" s="474">
        <f t="shared" si="68"/>
        <v>8000</v>
      </c>
      <c r="W243" s="474">
        <f t="shared" si="69"/>
        <v>0</v>
      </c>
      <c r="X243" s="475">
        <f t="shared" si="70"/>
        <v>0</v>
      </c>
      <c r="Y243" s="475">
        <v>0</v>
      </c>
      <c r="Z243" s="476">
        <v>0</v>
      </c>
      <c r="AA243" s="38">
        <f t="shared" si="71"/>
        <v>0</v>
      </c>
      <c r="AB243" s="692">
        <f t="shared" si="60"/>
        <v>-5000</v>
      </c>
      <c r="AC243" s="692">
        <f t="shared" si="61"/>
        <v>0</v>
      </c>
      <c r="AD243" s="692">
        <f t="shared" si="62"/>
        <v>0</v>
      </c>
      <c r="AE243" s="38"/>
      <c r="AF243" s="692">
        <f t="shared" si="72"/>
        <v>8000</v>
      </c>
      <c r="AG243" s="692">
        <f t="shared" si="73"/>
        <v>0</v>
      </c>
      <c r="AH243" s="692">
        <f t="shared" si="74"/>
        <v>0</v>
      </c>
    </row>
    <row r="244" spans="1:34">
      <c r="A244" s="20"/>
      <c r="B244" s="20" t="s">
        <v>110</v>
      </c>
      <c r="C244" s="667" t="s">
        <v>583</v>
      </c>
      <c r="D244" s="68" t="s">
        <v>169</v>
      </c>
      <c r="E244" s="679"/>
      <c r="F244" s="529">
        <f>VLOOKUP(D244,'May 2012 DMV Revenue'!D:T,17,FALSE)</f>
        <v>300.95999999999998</v>
      </c>
      <c r="G244" s="680"/>
      <c r="H244" s="680"/>
      <c r="I244" s="770">
        <v>264.26</v>
      </c>
      <c r="J244" s="682">
        <f t="shared" si="59"/>
        <v>565.22</v>
      </c>
      <c r="K244" s="683"/>
      <c r="L244" s="684"/>
      <c r="M244" s="753"/>
      <c r="N244" s="683">
        <v>0</v>
      </c>
      <c r="O244" s="686"/>
      <c r="P244" s="683">
        <v>0</v>
      </c>
      <c r="Q244" s="687">
        <f t="shared" si="67"/>
        <v>0</v>
      </c>
      <c r="R244" s="688">
        <v>0</v>
      </c>
      <c r="S244" s="693"/>
      <c r="T244" s="690">
        <f t="shared" si="63"/>
        <v>0</v>
      </c>
      <c r="U244" s="683"/>
      <c r="V244" s="474">
        <f t="shared" si="68"/>
        <v>0</v>
      </c>
      <c r="W244" s="474">
        <f t="shared" si="69"/>
        <v>0</v>
      </c>
      <c r="X244" s="475">
        <f t="shared" si="70"/>
        <v>0</v>
      </c>
      <c r="Y244" s="475">
        <v>0</v>
      </c>
      <c r="Z244" s="476">
        <v>0</v>
      </c>
      <c r="AA244" s="38">
        <f t="shared" si="71"/>
        <v>0</v>
      </c>
      <c r="AB244" s="692">
        <f t="shared" si="60"/>
        <v>565.22</v>
      </c>
      <c r="AC244" s="692">
        <f t="shared" si="61"/>
        <v>0</v>
      </c>
      <c r="AD244" s="692">
        <f t="shared" si="62"/>
        <v>0</v>
      </c>
      <c r="AE244" s="38"/>
      <c r="AF244" s="692">
        <f t="shared" si="72"/>
        <v>0</v>
      </c>
      <c r="AG244" s="692">
        <f t="shared" si="73"/>
        <v>0</v>
      </c>
      <c r="AH244" s="692">
        <f t="shared" si="74"/>
        <v>0</v>
      </c>
    </row>
    <row r="245" spans="1:34">
      <c r="A245" s="21"/>
      <c r="B245" s="21" t="s">
        <v>110</v>
      </c>
      <c r="C245" s="666"/>
      <c r="D245" s="68" t="s">
        <v>590</v>
      </c>
      <c r="E245" s="679"/>
      <c r="F245" s="529">
        <f>VLOOKUP(D245,'May 2012 DMV Revenue'!D:T,17,FALSE)</f>
        <v>0</v>
      </c>
      <c r="G245" s="680"/>
      <c r="H245" s="680"/>
      <c r="I245" s="755"/>
      <c r="J245" s="682">
        <f t="shared" si="59"/>
        <v>0</v>
      </c>
      <c r="K245" s="683"/>
      <c r="L245" s="684"/>
      <c r="M245" s="753"/>
      <c r="N245" s="683">
        <v>0</v>
      </c>
      <c r="O245" s="686"/>
      <c r="P245" s="683">
        <v>0</v>
      </c>
      <c r="Q245" s="687">
        <f t="shared" si="67"/>
        <v>0</v>
      </c>
      <c r="R245" s="688">
        <v>0</v>
      </c>
      <c r="S245" s="693"/>
      <c r="T245" s="690">
        <f t="shared" si="63"/>
        <v>0</v>
      </c>
      <c r="U245" s="683"/>
      <c r="V245" s="474">
        <f t="shared" si="68"/>
        <v>0</v>
      </c>
      <c r="W245" s="474">
        <f t="shared" si="69"/>
        <v>0</v>
      </c>
      <c r="X245" s="475">
        <f t="shared" si="70"/>
        <v>0</v>
      </c>
      <c r="Y245" s="475">
        <v>0</v>
      </c>
      <c r="Z245" s="476">
        <v>0</v>
      </c>
      <c r="AA245" s="38">
        <f t="shared" si="71"/>
        <v>0</v>
      </c>
      <c r="AB245" s="692">
        <f t="shared" si="60"/>
        <v>0</v>
      </c>
      <c r="AC245" s="692">
        <f t="shared" si="61"/>
        <v>0</v>
      </c>
      <c r="AD245" s="692">
        <f t="shared" si="62"/>
        <v>0</v>
      </c>
      <c r="AE245" s="38"/>
      <c r="AF245" s="692">
        <f t="shared" si="72"/>
        <v>0</v>
      </c>
      <c r="AG245" s="692">
        <f t="shared" si="73"/>
        <v>0</v>
      </c>
      <c r="AH245" s="692">
        <f t="shared" si="74"/>
        <v>0</v>
      </c>
    </row>
    <row r="246" spans="1:34">
      <c r="A246" s="21"/>
      <c r="B246" s="21" t="s">
        <v>114</v>
      </c>
      <c r="C246" s="666"/>
      <c r="D246" s="68" t="s">
        <v>591</v>
      </c>
      <c r="E246" s="679"/>
      <c r="F246" s="529">
        <f>VLOOKUP(D246,'May 2012 DMV Revenue'!D:T,17,FALSE)</f>
        <v>586.78</v>
      </c>
      <c r="G246" s="680"/>
      <c r="H246" s="680"/>
      <c r="I246" s="755"/>
      <c r="J246" s="682">
        <f t="shared" si="59"/>
        <v>586.78</v>
      </c>
      <c r="K246" s="683"/>
      <c r="L246" s="684"/>
      <c r="M246" s="753"/>
      <c r="N246" s="683">
        <v>0</v>
      </c>
      <c r="O246" s="686"/>
      <c r="P246" s="683">
        <v>0</v>
      </c>
      <c r="Q246" s="687">
        <f t="shared" si="67"/>
        <v>0</v>
      </c>
      <c r="R246" s="688">
        <f>870.12+1713.67</f>
        <v>2583.79</v>
      </c>
      <c r="S246" s="693"/>
      <c r="T246" s="690">
        <f t="shared" si="63"/>
        <v>2583.79</v>
      </c>
      <c r="U246" s="683"/>
      <c r="V246" s="474">
        <f t="shared" si="68"/>
        <v>0</v>
      </c>
      <c r="W246" s="474">
        <f t="shared" si="69"/>
        <v>0</v>
      </c>
      <c r="X246" s="475">
        <f t="shared" si="70"/>
        <v>0</v>
      </c>
      <c r="Y246" s="475">
        <v>0</v>
      </c>
      <c r="Z246" s="476">
        <v>0</v>
      </c>
      <c r="AA246" s="38">
        <f t="shared" si="71"/>
        <v>0</v>
      </c>
      <c r="AB246" s="692">
        <f t="shared" si="60"/>
        <v>0</v>
      </c>
      <c r="AC246" s="692">
        <f t="shared" si="61"/>
        <v>0</v>
      </c>
      <c r="AD246" s="692">
        <f t="shared" si="62"/>
        <v>586.78</v>
      </c>
      <c r="AE246" s="38"/>
      <c r="AF246" s="692">
        <f t="shared" si="72"/>
        <v>0</v>
      </c>
      <c r="AG246" s="692">
        <f t="shared" si="73"/>
        <v>0</v>
      </c>
      <c r="AH246" s="692">
        <f t="shared" si="74"/>
        <v>0</v>
      </c>
    </row>
    <row r="247" spans="1:34">
      <c r="A247" s="21"/>
      <c r="B247" s="21" t="s">
        <v>114</v>
      </c>
      <c r="C247" s="672"/>
      <c r="D247" s="519" t="s">
        <v>433</v>
      </c>
      <c r="E247" s="679"/>
      <c r="F247" s="529">
        <f>VLOOKUP(D247,'May 2012 DMV Revenue'!D:T,17,FALSE)</f>
        <v>0</v>
      </c>
      <c r="G247" s="680"/>
      <c r="H247" s="680"/>
      <c r="I247" s="755"/>
      <c r="J247" s="682">
        <f t="shared" si="59"/>
        <v>0</v>
      </c>
      <c r="K247" s="683"/>
      <c r="L247" s="684"/>
      <c r="M247" s="753"/>
      <c r="N247" s="683">
        <v>0</v>
      </c>
      <c r="O247" s="686"/>
      <c r="P247" s="683">
        <v>0</v>
      </c>
      <c r="Q247" s="687">
        <f t="shared" si="67"/>
        <v>0</v>
      </c>
      <c r="R247" s="688">
        <v>0</v>
      </c>
      <c r="S247" s="693"/>
      <c r="T247" s="690">
        <f t="shared" si="63"/>
        <v>0</v>
      </c>
      <c r="U247" s="683"/>
      <c r="V247" s="474">
        <f t="shared" si="68"/>
        <v>0</v>
      </c>
      <c r="W247" s="474">
        <f t="shared" si="69"/>
        <v>0</v>
      </c>
      <c r="X247" s="475">
        <f t="shared" si="70"/>
        <v>0</v>
      </c>
      <c r="Y247" s="475">
        <v>0</v>
      </c>
      <c r="Z247" s="476">
        <v>0</v>
      </c>
      <c r="AA247" s="38">
        <f t="shared" si="71"/>
        <v>0</v>
      </c>
      <c r="AB247" s="692">
        <f t="shared" si="60"/>
        <v>0</v>
      </c>
      <c r="AC247" s="692">
        <f t="shared" si="61"/>
        <v>0</v>
      </c>
      <c r="AD247" s="692">
        <f t="shared" si="62"/>
        <v>0</v>
      </c>
      <c r="AE247" s="38"/>
      <c r="AF247" s="692">
        <f t="shared" si="72"/>
        <v>0</v>
      </c>
      <c r="AG247" s="692">
        <f t="shared" si="73"/>
        <v>0</v>
      </c>
      <c r="AH247" s="692">
        <f t="shared" si="74"/>
        <v>0</v>
      </c>
    </row>
    <row r="248" spans="1:34">
      <c r="A248" s="21"/>
      <c r="B248" s="21" t="s">
        <v>114</v>
      </c>
      <c r="C248" s="672"/>
      <c r="D248" s="519" t="s">
        <v>594</v>
      </c>
      <c r="E248" s="679"/>
      <c r="F248" s="529">
        <f>VLOOKUP(D248,'May 2012 DMV Revenue'!D:T,17,FALSE)</f>
        <v>0</v>
      </c>
      <c r="G248" s="680"/>
      <c r="H248" s="680"/>
      <c r="I248" s="755"/>
      <c r="J248" s="682">
        <f t="shared" si="59"/>
        <v>0</v>
      </c>
      <c r="K248" s="683"/>
      <c r="L248" s="684"/>
      <c r="M248" s="753"/>
      <c r="N248" s="683">
        <v>0</v>
      </c>
      <c r="O248" s="686"/>
      <c r="P248" s="683">
        <v>0</v>
      </c>
      <c r="Q248" s="687">
        <f t="shared" si="67"/>
        <v>0</v>
      </c>
      <c r="R248" s="688">
        <v>0</v>
      </c>
      <c r="S248" s="693"/>
      <c r="T248" s="690">
        <f t="shared" si="63"/>
        <v>0</v>
      </c>
      <c r="U248" s="683"/>
      <c r="V248" s="474">
        <f t="shared" si="68"/>
        <v>0</v>
      </c>
      <c r="W248" s="474">
        <f t="shared" si="69"/>
        <v>0</v>
      </c>
      <c r="X248" s="475">
        <f t="shared" si="70"/>
        <v>0</v>
      </c>
      <c r="Y248" s="475">
        <v>0</v>
      </c>
      <c r="Z248" s="476">
        <v>0</v>
      </c>
      <c r="AA248" s="38">
        <f t="shared" si="71"/>
        <v>0</v>
      </c>
      <c r="AB248" s="692">
        <f t="shared" si="60"/>
        <v>0</v>
      </c>
      <c r="AC248" s="692">
        <f t="shared" si="61"/>
        <v>0</v>
      </c>
      <c r="AD248" s="692">
        <f t="shared" si="62"/>
        <v>0</v>
      </c>
      <c r="AE248" s="38"/>
      <c r="AF248" s="692">
        <f t="shared" si="72"/>
        <v>0</v>
      </c>
      <c r="AG248" s="692">
        <f t="shared" si="73"/>
        <v>0</v>
      </c>
      <c r="AH248" s="692">
        <f t="shared" si="74"/>
        <v>0</v>
      </c>
    </row>
    <row r="249" spans="1:34">
      <c r="A249" s="21"/>
      <c r="B249" s="21" t="s">
        <v>110</v>
      </c>
      <c r="C249" s="672"/>
      <c r="D249" s="519" t="s">
        <v>596</v>
      </c>
      <c r="E249" s="679"/>
      <c r="F249" s="529">
        <f>VLOOKUP(D249,'May 2012 DMV Revenue'!D:T,17,FALSE)</f>
        <v>0</v>
      </c>
      <c r="G249" s="680"/>
      <c r="H249" s="680"/>
      <c r="I249" s="755"/>
      <c r="J249" s="682">
        <f t="shared" si="59"/>
        <v>0</v>
      </c>
      <c r="K249" s="683"/>
      <c r="L249" s="684"/>
      <c r="M249" s="753"/>
      <c r="N249" s="683">
        <v>0</v>
      </c>
      <c r="O249" s="686"/>
      <c r="P249" s="683">
        <v>0</v>
      </c>
      <c r="Q249" s="687">
        <f t="shared" si="67"/>
        <v>0</v>
      </c>
      <c r="R249" s="688">
        <v>0</v>
      </c>
      <c r="S249" s="693"/>
      <c r="T249" s="690">
        <f t="shared" si="63"/>
        <v>0</v>
      </c>
      <c r="U249" s="683"/>
      <c r="V249" s="474">
        <f t="shared" si="68"/>
        <v>0</v>
      </c>
      <c r="W249" s="474">
        <f t="shared" si="69"/>
        <v>0</v>
      </c>
      <c r="X249" s="475">
        <f t="shared" si="70"/>
        <v>0</v>
      </c>
      <c r="Y249" s="475">
        <v>0</v>
      </c>
      <c r="Z249" s="476">
        <v>0</v>
      </c>
      <c r="AA249" s="38">
        <f t="shared" si="71"/>
        <v>0</v>
      </c>
      <c r="AB249" s="692">
        <f t="shared" ref="AB249:AB251" si="75">IF(B249="D",J249,0)</f>
        <v>0</v>
      </c>
      <c r="AC249" s="692">
        <f t="shared" ref="AC249:AC251" si="76">IF(B249="M",J249,0)</f>
        <v>0</v>
      </c>
      <c r="AD249" s="692">
        <f t="shared" ref="AD249:AD251" si="77">IF(B249="V",J249,0)</f>
        <v>0</v>
      </c>
      <c r="AE249" s="38"/>
      <c r="AF249" s="692">
        <f t="shared" si="72"/>
        <v>0</v>
      </c>
      <c r="AG249" s="692">
        <f t="shared" si="73"/>
        <v>0</v>
      </c>
      <c r="AH249" s="692">
        <f t="shared" si="74"/>
        <v>0</v>
      </c>
    </row>
    <row r="250" spans="1:34" s="146" customFormat="1">
      <c r="A250" s="21"/>
      <c r="B250" s="21" t="s">
        <v>109</v>
      </c>
      <c r="C250" s="666"/>
      <c r="D250" s="68" t="s">
        <v>93</v>
      </c>
      <c r="E250" s="679"/>
      <c r="F250" s="529">
        <f>VLOOKUP(D250,'May 2012 DMV Revenue'!D:T,17,FALSE)</f>
        <v>0</v>
      </c>
      <c r="G250" s="680"/>
      <c r="H250" s="680"/>
      <c r="I250" s="755"/>
      <c r="J250" s="682">
        <f t="shared" si="59"/>
        <v>0</v>
      </c>
      <c r="K250" s="683"/>
      <c r="L250" s="684"/>
      <c r="M250" s="753"/>
      <c r="N250" s="683">
        <v>0</v>
      </c>
      <c r="O250" s="686"/>
      <c r="P250" s="683">
        <v>0</v>
      </c>
      <c r="Q250" s="687">
        <f t="shared" si="67"/>
        <v>0</v>
      </c>
      <c r="R250" s="688">
        <v>0</v>
      </c>
      <c r="S250" s="693"/>
      <c r="T250" s="690">
        <f t="shared" ref="T250:T251" si="78">IF(R250="","",R250-Q250)</f>
        <v>0</v>
      </c>
      <c r="U250" s="683"/>
      <c r="V250" s="474">
        <f t="shared" si="68"/>
        <v>0</v>
      </c>
      <c r="W250" s="474">
        <f t="shared" si="69"/>
        <v>0</v>
      </c>
      <c r="X250" s="475">
        <f t="shared" si="70"/>
        <v>0</v>
      </c>
      <c r="Y250" s="475">
        <v>0</v>
      </c>
      <c r="Z250" s="476">
        <v>0</v>
      </c>
      <c r="AA250" s="38">
        <f t="shared" si="71"/>
        <v>0</v>
      </c>
      <c r="AB250" s="692">
        <f t="shared" si="75"/>
        <v>0</v>
      </c>
      <c r="AC250" s="692">
        <f t="shared" si="76"/>
        <v>0</v>
      </c>
      <c r="AD250" s="692">
        <f t="shared" si="77"/>
        <v>0</v>
      </c>
      <c r="AE250" s="38"/>
      <c r="AF250" s="692">
        <f t="shared" si="72"/>
        <v>0</v>
      </c>
      <c r="AG250" s="692">
        <f t="shared" si="73"/>
        <v>0</v>
      </c>
      <c r="AH250" s="692">
        <f t="shared" si="74"/>
        <v>0</v>
      </c>
    </row>
    <row r="251" spans="1:34" s="146" customFormat="1" ht="13" thickBot="1">
      <c r="A251" s="21"/>
      <c r="B251" s="21" t="s">
        <v>110</v>
      </c>
      <c r="C251" s="666"/>
      <c r="D251" s="68" t="s">
        <v>593</v>
      </c>
      <c r="E251" s="679"/>
      <c r="F251" s="529">
        <f>VLOOKUP(D251,'May 2012 DMV Revenue'!D:T,17,FALSE)</f>
        <v>0</v>
      </c>
      <c r="G251" s="680"/>
      <c r="H251" s="680"/>
      <c r="I251" s="755"/>
      <c r="J251" s="682">
        <f t="shared" si="59"/>
        <v>0</v>
      </c>
      <c r="K251" s="683"/>
      <c r="L251" s="684"/>
      <c r="M251" s="753"/>
      <c r="N251" s="683">
        <v>0</v>
      </c>
      <c r="O251" s="686"/>
      <c r="P251" s="683">
        <v>0</v>
      </c>
      <c r="Q251" s="687">
        <f t="shared" si="67"/>
        <v>0</v>
      </c>
      <c r="R251" s="688">
        <v>0</v>
      </c>
      <c r="S251" s="693"/>
      <c r="T251" s="690">
        <f t="shared" si="78"/>
        <v>0</v>
      </c>
      <c r="U251" s="683"/>
      <c r="V251" s="474">
        <f t="shared" si="68"/>
        <v>0</v>
      </c>
      <c r="W251" s="474">
        <f t="shared" si="69"/>
        <v>0</v>
      </c>
      <c r="X251" s="475">
        <f t="shared" si="70"/>
        <v>0</v>
      </c>
      <c r="Y251" s="475">
        <v>0</v>
      </c>
      <c r="Z251" s="476">
        <v>0</v>
      </c>
      <c r="AA251" s="38">
        <f t="shared" si="71"/>
        <v>0</v>
      </c>
      <c r="AB251" s="692">
        <f t="shared" si="75"/>
        <v>0</v>
      </c>
      <c r="AC251" s="692">
        <f t="shared" si="76"/>
        <v>0</v>
      </c>
      <c r="AD251" s="692">
        <f t="shared" si="77"/>
        <v>0</v>
      </c>
      <c r="AE251" s="38"/>
      <c r="AF251" s="692">
        <f t="shared" si="72"/>
        <v>0</v>
      </c>
      <c r="AG251" s="692">
        <f t="shared" si="73"/>
        <v>0</v>
      </c>
      <c r="AH251" s="692">
        <f t="shared" si="74"/>
        <v>0</v>
      </c>
    </row>
    <row r="252" spans="1:34" ht="13" thickBot="1">
      <c r="A252" s="107"/>
      <c r="B252" s="108"/>
      <c r="C252" s="673"/>
      <c r="D252" s="71" t="s">
        <v>86</v>
      </c>
      <c r="E252" s="454">
        <f>SUM(E16:E251)</f>
        <v>254722.853</v>
      </c>
      <c r="F252" s="454">
        <f>SUM(F16:F251)</f>
        <v>-642721.7100000002</v>
      </c>
      <c r="G252" s="454">
        <f t="shared" ref="G252:J252" si="79">SUM(G16:G251)</f>
        <v>0</v>
      </c>
      <c r="H252" s="454">
        <f t="shared" si="79"/>
        <v>0</v>
      </c>
      <c r="I252" s="454">
        <f t="shared" si="79"/>
        <v>4347067.2499999963</v>
      </c>
      <c r="J252" s="454">
        <f t="shared" si="79"/>
        <v>3959068.3930000016</v>
      </c>
      <c r="K252" s="454"/>
      <c r="L252" s="454">
        <f>SUM(L16:L251)</f>
        <v>404672</v>
      </c>
      <c r="M252" s="454">
        <f>SUM(M16:M251)</f>
        <v>2829587.5</v>
      </c>
      <c r="N252" s="454">
        <f>SUM(N16:N251)</f>
        <v>0</v>
      </c>
      <c r="O252" s="100">
        <f>SUM(O16:O251)</f>
        <v>0</v>
      </c>
      <c r="P252" s="157">
        <f>SUM(P17:P251)</f>
        <v>0</v>
      </c>
      <c r="Q252" s="100">
        <f>SUM(Q16:Q251)</f>
        <v>3234259.5</v>
      </c>
      <c r="R252" s="100">
        <f>SUM(R16:R251)</f>
        <v>2685718.8199999994</v>
      </c>
      <c r="S252" s="708"/>
      <c r="T252" s="100">
        <f>SUM(T16:T251)</f>
        <v>-548540.68000000005</v>
      </c>
      <c r="U252" s="683"/>
      <c r="V252" s="314">
        <f>SUM(V16:V251)</f>
        <v>2762573.71</v>
      </c>
      <c r="W252" s="314">
        <f>SUM(W16:W251)</f>
        <v>392000</v>
      </c>
      <c r="X252" s="314">
        <f>SUM(X16:X251)</f>
        <v>79685.789999999994</v>
      </c>
      <c r="Y252" s="314">
        <f>SUM(Y16:Y251)</f>
        <v>0</v>
      </c>
      <c r="Z252" s="314">
        <f>SUM(Z16:Z251)</f>
        <v>0</v>
      </c>
      <c r="AA252" s="38"/>
      <c r="AB252" s="314">
        <f>SUM(AB16:AB251)</f>
        <v>4015627.7330000005</v>
      </c>
      <c r="AC252" s="314">
        <f>SUM(AC16:AC251)</f>
        <v>-59707.659999999989</v>
      </c>
      <c r="AD252" s="314">
        <f>SUM(AD16:AD251)</f>
        <v>772.31999999999994</v>
      </c>
      <c r="AE252" s="38"/>
      <c r="AF252" s="314">
        <f>SUM(AF16:AF251)</f>
        <v>2762573.71</v>
      </c>
      <c r="AG252" s="314">
        <f>SUM(AG16:AG251)</f>
        <v>392000</v>
      </c>
      <c r="AH252" s="314">
        <f>SUM(AH16:AH251)</f>
        <v>79685.789999999994</v>
      </c>
    </row>
    <row r="253" spans="1:34" ht="13" thickBot="1">
      <c r="A253" s="65"/>
      <c r="B253" s="65"/>
      <c r="C253" s="674"/>
      <c r="D253" s="141"/>
      <c r="E253" s="709" t="s">
        <v>293</v>
      </c>
      <c r="F253" s="160">
        <f>F252+E252</f>
        <v>-387998.85700000019</v>
      </c>
      <c r="G253" s="153"/>
      <c r="H253" s="153" t="s">
        <v>225</v>
      </c>
      <c r="I253" s="153">
        <f>I252+H252+G252</f>
        <v>4347067.2499999963</v>
      </c>
      <c r="J253" s="323"/>
      <c r="K253" s="153"/>
      <c r="L253" s="153" t="s">
        <v>296</v>
      </c>
      <c r="M253" s="100">
        <f>M252+L252</f>
        <v>3234259.5</v>
      </c>
      <c r="N253" s="153"/>
      <c r="O253" s="641"/>
      <c r="P253" s="153"/>
      <c r="Q253" s="153"/>
      <c r="R253" s="153"/>
      <c r="S253" s="153"/>
      <c r="T253" s="153"/>
      <c r="U253" s="153"/>
      <c r="V253" s="139"/>
      <c r="W253" s="139"/>
      <c r="X253" s="139"/>
      <c r="Y253" s="139"/>
      <c r="Z253" s="104"/>
      <c r="AA253" s="38"/>
      <c r="AB253" s="711"/>
      <c r="AC253" s="711"/>
      <c r="AD253" s="711"/>
      <c r="AE253" s="38"/>
      <c r="AF253" s="38"/>
      <c r="AG253" s="38"/>
      <c r="AH253" s="38"/>
    </row>
    <row r="254" spans="1:34" ht="13" thickBot="1">
      <c r="A254" s="65"/>
      <c r="B254" s="65"/>
      <c r="C254" s="674"/>
      <c r="E254" s="159"/>
      <c r="F254" s="153"/>
      <c r="G254" s="153"/>
      <c r="H254" s="153"/>
      <c r="I254" s="153"/>
      <c r="J254" s="153"/>
      <c r="K254" s="153"/>
      <c r="L254" s="153"/>
      <c r="M254" s="710"/>
      <c r="N254" s="153"/>
      <c r="O254" s="153"/>
      <c r="P254" s="153"/>
      <c r="Q254" s="153"/>
      <c r="R254" s="153"/>
      <c r="S254" s="153"/>
      <c r="T254" s="153"/>
      <c r="U254" s="153"/>
      <c r="V254" s="331" t="s">
        <v>345</v>
      </c>
      <c r="W254" s="139"/>
      <c r="X254" s="139"/>
      <c r="Y254" s="139"/>
      <c r="Z254" s="104"/>
      <c r="AA254" s="164" t="s">
        <v>633</v>
      </c>
      <c r="AB254" s="139">
        <v>-17897.3</v>
      </c>
      <c r="AC254" s="139"/>
      <c r="AD254" s="139">
        <f>-SUM(AB254)</f>
        <v>17897.3</v>
      </c>
      <c r="AE254" s="38"/>
      <c r="AF254" s="711"/>
      <c r="AG254" s="711"/>
      <c r="AH254" s="711"/>
    </row>
    <row r="255" spans="1:34" ht="17" thickTop="1" thickBot="1">
      <c r="E255" s="712"/>
      <c r="F255" s="713"/>
      <c r="G255" s="714"/>
      <c r="H255" s="715"/>
      <c r="I255" s="715"/>
      <c r="J255" s="164"/>
      <c r="K255" s="169"/>
      <c r="L255" s="233"/>
      <c r="M255" s="233"/>
      <c r="N255" s="38"/>
      <c r="O255" s="642"/>
      <c r="P255" s="139"/>
      <c r="Q255" s="139"/>
      <c r="R255" s="33"/>
      <c r="S255" s="33"/>
      <c r="T255" s="33"/>
      <c r="U255" s="169"/>
      <c r="V255" s="332"/>
      <c r="W255" s="333"/>
      <c r="X255" s="491"/>
      <c r="Y255" s="491"/>
      <c r="Z255" s="334"/>
      <c r="AA255" s="164" t="s">
        <v>634</v>
      </c>
      <c r="AB255" s="104">
        <v>-73291.88</v>
      </c>
      <c r="AC255" s="38"/>
      <c r="AD255" s="104">
        <f>-SUM(AB255)</f>
        <v>73291.88</v>
      </c>
      <c r="AE255" s="38"/>
      <c r="AF255" s="38"/>
      <c r="AG255" s="38"/>
      <c r="AH255" s="38"/>
    </row>
    <row r="256" spans="1:34" ht="17" thickBot="1">
      <c r="E256" s="712"/>
      <c r="F256" s="713"/>
      <c r="G256" s="714"/>
      <c r="H256" s="715"/>
      <c r="J256" s="79">
        <f>J252</f>
        <v>3959068.3930000016</v>
      </c>
      <c r="K256" s="715" t="s">
        <v>813</v>
      </c>
      <c r="L256" s="169"/>
      <c r="M256" s="493"/>
      <c r="N256" s="38"/>
      <c r="O256" s="80"/>
      <c r="P256" s="104"/>
      <c r="Q256" s="139"/>
      <c r="R256" s="33"/>
      <c r="S256" s="33"/>
      <c r="T256" s="33"/>
      <c r="U256" s="169"/>
      <c r="V256" s="487"/>
      <c r="W256" s="488"/>
      <c r="X256" s="492" t="s">
        <v>399</v>
      </c>
      <c r="Y256" s="492" t="s">
        <v>400</v>
      </c>
      <c r="Z256" s="488"/>
      <c r="AA256" s="717" t="s">
        <v>475</v>
      </c>
      <c r="AB256" s="718">
        <f>SUM(AB252:AB255)</f>
        <v>3924438.5530000008</v>
      </c>
      <c r="AC256" s="718">
        <f>AC252</f>
        <v>-59707.659999999989</v>
      </c>
      <c r="AD256" s="718">
        <f>SUM(AD252:AD255)</f>
        <v>91961.5</v>
      </c>
      <c r="AE256" s="718"/>
      <c r="AF256" s="718">
        <f>AF252</f>
        <v>2762573.71</v>
      </c>
      <c r="AG256" s="718">
        <f>AG252</f>
        <v>392000</v>
      </c>
      <c r="AH256" s="719">
        <f>AH252</f>
        <v>79685.789999999994</v>
      </c>
    </row>
    <row r="257" spans="4:34" ht="15" thickBot="1">
      <c r="D257" s="143"/>
      <c r="E257" s="759"/>
      <c r="F257" s="713">
        <f>SUM('May 2012 DMV Revenue'!R251)</f>
        <v>2210935.2899999996</v>
      </c>
      <c r="G257" s="714"/>
      <c r="H257" s="720"/>
      <c r="J257" s="750">
        <f>SUM(Sheet1!H65)</f>
        <v>-3959068.3899999997</v>
      </c>
      <c r="K257" s="757" t="s">
        <v>251</v>
      </c>
      <c r="L257" s="722"/>
      <c r="M257" s="642"/>
      <c r="N257" s="33"/>
      <c r="O257" s="80"/>
      <c r="P257" s="104"/>
      <c r="Q257" s="139"/>
      <c r="R257" s="33"/>
      <c r="S257" s="33"/>
      <c r="T257" s="33"/>
      <c r="U257" s="169"/>
      <c r="V257" s="158" t="s">
        <v>609</v>
      </c>
      <c r="W257" s="104" t="s">
        <v>352</v>
      </c>
      <c r="X257" s="104">
        <f>V252+W252+X252</f>
        <v>3234259.5</v>
      </c>
      <c r="Y257" s="104"/>
      <c r="Z257" s="136"/>
      <c r="AA257" s="723"/>
      <c r="AB257" s="38"/>
      <c r="AC257" s="38"/>
      <c r="AD257" s="38"/>
      <c r="AE257" s="38"/>
      <c r="AF257" s="38"/>
      <c r="AG257" s="38"/>
      <c r="AH257" s="38"/>
    </row>
    <row r="258" spans="4:34" ht="15" thickTop="1">
      <c r="D258" s="143"/>
      <c r="E258" s="712"/>
      <c r="F258" s="713">
        <f>SUM('May 2012 DMV Revenue'!M252)</f>
        <v>2853657</v>
      </c>
      <c r="G258" s="714"/>
      <c r="H258" s="714" t="s">
        <v>249</v>
      </c>
      <c r="J258" s="173">
        <f>J257+J256</f>
        <v>3.0000018887221813E-3</v>
      </c>
      <c r="K258" s="714" t="s">
        <v>454</v>
      </c>
      <c r="L258" s="722"/>
      <c r="M258" s="80"/>
      <c r="N258" s="104"/>
      <c r="O258" s="173"/>
      <c r="P258" s="104"/>
      <c r="Q258" s="139"/>
      <c r="R258" s="139"/>
      <c r="S258" s="139"/>
      <c r="T258" s="139"/>
      <c r="U258" s="169"/>
      <c r="V258" s="158"/>
      <c r="W258" s="104"/>
      <c r="X258" s="104"/>
      <c r="Y258" s="104"/>
      <c r="Z258" s="136"/>
      <c r="AA258" s="723"/>
      <c r="AB258" s="38"/>
      <c r="AC258" s="38"/>
      <c r="AD258" s="38" t="s">
        <v>86</v>
      </c>
      <c r="AE258" s="38"/>
      <c r="AF258" s="233">
        <f>SUM(AB256+AF256)</f>
        <v>6687012.2630000003</v>
      </c>
      <c r="AG258" s="233">
        <f t="shared" ref="AG258:AH258" si="80">SUM(AC256+AG256)</f>
        <v>332292.34000000003</v>
      </c>
      <c r="AH258" s="233">
        <f t="shared" si="80"/>
        <v>171647.28999999998</v>
      </c>
    </row>
    <row r="259" spans="4:34" ht="14">
      <c r="D259" s="143"/>
      <c r="E259" s="712"/>
      <c r="F259" s="713">
        <f>SUM(F257-F258)</f>
        <v>-642721.71000000043</v>
      </c>
      <c r="G259" s="714"/>
      <c r="H259" s="714"/>
      <c r="J259" s="80"/>
      <c r="K259" s="714"/>
      <c r="L259" s="722"/>
      <c r="M259" s="104"/>
      <c r="N259" s="38"/>
      <c r="O259" s="139"/>
      <c r="P259" s="104"/>
      <c r="Q259" s="139"/>
      <c r="R259" s="139"/>
      <c r="S259" s="139"/>
      <c r="T259" s="139"/>
      <c r="U259" s="169"/>
      <c r="V259" s="158" t="s">
        <v>600</v>
      </c>
      <c r="W259" s="104" t="s">
        <v>355</v>
      </c>
      <c r="X259" s="104"/>
      <c r="Y259" s="104">
        <f>V252</f>
        <v>2762573.71</v>
      </c>
      <c r="Z259" s="136"/>
      <c r="AA259" s="38"/>
      <c r="AB259" s="752"/>
      <c r="AC259" s="38"/>
      <c r="AD259" s="38"/>
      <c r="AE259" s="38"/>
      <c r="AF259" s="233"/>
      <c r="AG259" s="233"/>
      <c r="AH259" s="233"/>
    </row>
    <row r="260" spans="4:34" ht="15" thickBot="1">
      <c r="D260" s="143" t="s">
        <v>823</v>
      </c>
      <c r="E260" s="712"/>
      <c r="F260" s="713"/>
      <c r="G260" s="714"/>
      <c r="H260" s="714"/>
      <c r="J260" s="661">
        <f>M253</f>
        <v>3234259.5</v>
      </c>
      <c r="K260" s="714" t="s">
        <v>814</v>
      </c>
      <c r="L260" s="645"/>
      <c r="M260" s="173"/>
      <c r="N260" s="38"/>
      <c r="O260" s="139"/>
      <c r="P260" s="104"/>
      <c r="Q260" s="139"/>
      <c r="R260" s="726"/>
      <c r="S260" s="139"/>
      <c r="T260" s="727"/>
      <c r="U260" s="169"/>
      <c r="V260" s="158"/>
      <c r="W260" s="104" t="s">
        <v>356</v>
      </c>
      <c r="X260" s="104"/>
      <c r="Y260" s="104">
        <f>Y252</f>
        <v>0</v>
      </c>
      <c r="Z260" s="136"/>
      <c r="AA260" s="38"/>
      <c r="AB260" s="38"/>
      <c r="AC260" s="38"/>
      <c r="AD260" s="38"/>
      <c r="AE260" s="38"/>
      <c r="AF260" s="233"/>
      <c r="AG260" s="233">
        <f>SUM(AF258:AH258)</f>
        <v>7190951.8930000002</v>
      </c>
      <c r="AH260" s="233"/>
    </row>
    <row r="261" spans="4:34" ht="16" thickTop="1" thickBot="1">
      <c r="D261" s="143"/>
      <c r="E261" s="712"/>
      <c r="F261" s="713"/>
      <c r="G261" s="714"/>
      <c r="H261" s="714"/>
      <c r="J261" s="173">
        <v>0</v>
      </c>
      <c r="K261" s="714"/>
      <c r="L261" s="722"/>
      <c r="M261" s="173"/>
      <c r="N261" s="38"/>
      <c r="O261" s="33"/>
      <c r="P261" s="38"/>
      <c r="Q261" s="139"/>
      <c r="R261" s="139"/>
      <c r="S261" s="139"/>
      <c r="T261" s="139"/>
      <c r="U261" s="169"/>
      <c r="V261" s="158"/>
      <c r="W261" s="104"/>
      <c r="X261" s="104"/>
      <c r="Y261" s="104"/>
      <c r="Z261" s="136"/>
      <c r="AA261" s="38"/>
      <c r="AB261" s="38"/>
      <c r="AC261" s="38"/>
      <c r="AD261" s="38"/>
      <c r="AE261" s="38"/>
    </row>
    <row r="262" spans="4:34" ht="15" thickBot="1">
      <c r="E262" s="712"/>
      <c r="F262" s="713"/>
      <c r="G262" s="714"/>
      <c r="H262" s="714"/>
      <c r="J262" s="754">
        <f>J256+J260</f>
        <v>7193327.8930000011</v>
      </c>
      <c r="K262" s="714" t="s">
        <v>815</v>
      </c>
      <c r="L262" s="722"/>
      <c r="M262" s="173"/>
      <c r="N262" s="38"/>
      <c r="O262" s="33"/>
      <c r="P262" s="38"/>
      <c r="Q262" s="139"/>
      <c r="R262" s="139"/>
      <c r="S262" s="139"/>
      <c r="T262" s="139"/>
      <c r="U262" s="169"/>
      <c r="V262" s="158" t="s">
        <v>601</v>
      </c>
      <c r="W262" s="104" t="s">
        <v>357</v>
      </c>
      <c r="X262" s="104"/>
      <c r="Y262" s="104">
        <f>W252</f>
        <v>392000</v>
      </c>
      <c r="Z262" s="136"/>
      <c r="AA262" s="38"/>
      <c r="AB262" s="38"/>
      <c r="AC262" s="38"/>
      <c r="AD262" s="38"/>
      <c r="AE262" s="38"/>
      <c r="AF262" s="38"/>
      <c r="AG262" s="38"/>
      <c r="AH262" s="38"/>
    </row>
    <row r="263" spans="4:34">
      <c r="E263" s="712"/>
      <c r="F263" s="713"/>
      <c r="G263" s="714"/>
      <c r="H263" s="714"/>
      <c r="J263" s="637"/>
      <c r="K263" s="714"/>
      <c r="L263" s="173"/>
      <c r="M263" s="731"/>
      <c r="N263" s="38"/>
      <c r="O263" s="33"/>
      <c r="P263" s="38"/>
      <c r="Q263" s="139"/>
      <c r="R263" s="139"/>
      <c r="S263" s="139"/>
      <c r="T263" s="139"/>
      <c r="U263" s="169"/>
      <c r="V263" s="415"/>
      <c r="W263" s="104" t="s">
        <v>358</v>
      </c>
      <c r="X263" s="104"/>
      <c r="Y263" s="104">
        <f>Z252</f>
        <v>0</v>
      </c>
      <c r="Z263" s="136"/>
      <c r="AA263" s="38"/>
      <c r="AB263" s="38"/>
      <c r="AC263" s="38"/>
      <c r="AD263" s="38"/>
      <c r="AE263" s="38"/>
      <c r="AF263" s="38"/>
      <c r="AG263" s="38"/>
      <c r="AH263" s="38"/>
    </row>
    <row r="264" spans="4:34">
      <c r="E264" s="712"/>
      <c r="F264" s="713"/>
      <c r="G264" s="714"/>
      <c r="H264" s="714"/>
      <c r="J264" s="658">
        <f>SUM(AB256:AH256)</f>
        <v>7190951.8930000002</v>
      </c>
      <c r="K264" s="714" t="s">
        <v>518</v>
      </c>
      <c r="L264" s="732"/>
      <c r="M264" s="637"/>
      <c r="N264" s="38"/>
      <c r="O264" s="33"/>
      <c r="P264" s="38"/>
      <c r="Q264" s="139"/>
      <c r="R264" s="139"/>
      <c r="S264" s="139"/>
      <c r="T264" s="139"/>
      <c r="U264" s="169"/>
      <c r="V264" s="415"/>
      <c r="W264" s="104"/>
      <c r="X264" s="104"/>
      <c r="Y264" s="104"/>
      <c r="Z264" s="136"/>
      <c r="AA264" s="38"/>
      <c r="AB264" s="38"/>
      <c r="AC264" s="38"/>
      <c r="AD264" s="38"/>
      <c r="AE264" s="38"/>
      <c r="AF264" s="38"/>
      <c r="AG264" s="38"/>
      <c r="AH264" s="38"/>
    </row>
    <row r="265" spans="4:34" ht="13" thickBot="1">
      <c r="E265" s="712"/>
      <c r="F265" s="713"/>
      <c r="G265" s="714"/>
      <c r="H265" s="714"/>
      <c r="J265" s="169"/>
      <c r="K265" s="714" t="s">
        <v>454</v>
      </c>
      <c r="L265" s="733"/>
      <c r="M265" s="734"/>
      <c r="N265" s="38"/>
      <c r="O265" s="33"/>
      <c r="P265" s="38"/>
      <c r="Q265" s="139"/>
      <c r="R265" s="139"/>
      <c r="S265" s="139"/>
      <c r="T265" s="139"/>
      <c r="U265" s="169"/>
      <c r="V265" s="158" t="s">
        <v>602</v>
      </c>
      <c r="W265" s="488" t="s">
        <v>359</v>
      </c>
      <c r="X265" s="488"/>
      <c r="Y265" s="488">
        <f>X252</f>
        <v>79685.789999999994</v>
      </c>
      <c r="Z265" s="414"/>
      <c r="AA265" s="38"/>
      <c r="AB265" s="38"/>
      <c r="AC265" s="38"/>
      <c r="AD265" s="38"/>
      <c r="AE265" s="38"/>
      <c r="AF265" s="38"/>
      <c r="AG265" s="38"/>
      <c r="AH265" s="38"/>
    </row>
    <row r="266" spans="4:34" ht="15" thickBot="1">
      <c r="E266" s="712"/>
      <c r="F266" s="713"/>
      <c r="G266" s="714"/>
      <c r="H266" s="714"/>
      <c r="J266" s="736"/>
      <c r="K266" s="714" t="s">
        <v>519</v>
      </c>
      <c r="L266" s="169"/>
      <c r="M266" s="169"/>
      <c r="N266" s="38"/>
      <c r="O266" s="33"/>
      <c r="P266" s="38"/>
      <c r="Q266" s="33"/>
      <c r="R266" s="33"/>
      <c r="S266" s="33"/>
      <c r="T266" s="33"/>
      <c r="U266" s="169"/>
      <c r="V266" s="416"/>
      <c r="W266" s="104"/>
      <c r="X266" s="80">
        <f>SUM(X257:X265)</f>
        <v>3234259.5</v>
      </c>
      <c r="Y266" s="80">
        <f>SUM(Y257:Y265)</f>
        <v>3234259.5</v>
      </c>
      <c r="Z266" s="136"/>
      <c r="AA266" s="38"/>
      <c r="AB266" s="38"/>
      <c r="AC266" s="38"/>
      <c r="AD266" s="38"/>
      <c r="AE266" s="38"/>
      <c r="AF266" s="38"/>
      <c r="AG266" s="38"/>
      <c r="AH266" s="38"/>
    </row>
    <row r="267" spans="4:34">
      <c r="E267" s="712"/>
      <c r="F267" s="713"/>
      <c r="G267" s="714"/>
      <c r="H267" s="714"/>
      <c r="I267" s="714"/>
      <c r="J267" s="169"/>
      <c r="K267" s="169"/>
      <c r="L267" s="169"/>
      <c r="M267" s="169"/>
      <c r="N267" s="38"/>
      <c r="O267" s="33"/>
      <c r="P267" s="38"/>
      <c r="Q267" s="33"/>
      <c r="R267" s="33"/>
      <c r="S267" s="33"/>
      <c r="T267" s="33"/>
      <c r="U267" s="169"/>
      <c r="V267" s="416"/>
      <c r="W267" s="104"/>
      <c r="X267" s="104"/>
      <c r="Y267" s="104"/>
      <c r="Z267" s="136"/>
      <c r="AA267" s="38"/>
      <c r="AB267" s="38"/>
      <c r="AC267" s="38"/>
      <c r="AD267" s="38"/>
      <c r="AE267" s="38"/>
      <c r="AF267" s="38"/>
      <c r="AG267" s="38"/>
      <c r="AH267" s="38"/>
    </row>
    <row r="268" spans="4:34" ht="13" thickBot="1">
      <c r="E268" s="712"/>
      <c r="F268" s="713"/>
      <c r="G268" s="714"/>
      <c r="H268" s="714"/>
      <c r="I268" s="714"/>
      <c r="J268" s="169"/>
      <c r="K268" s="169"/>
      <c r="L268" s="169"/>
      <c r="M268" s="169"/>
      <c r="N268" s="38"/>
      <c r="O268" s="33"/>
      <c r="P268" s="38"/>
      <c r="Q268" s="33"/>
      <c r="R268" s="33"/>
      <c r="S268" s="33"/>
      <c r="T268" s="33"/>
      <c r="U268" s="169"/>
      <c r="V268" s="330"/>
      <c r="W268" s="279"/>
      <c r="X268" s="279"/>
      <c r="Y268" s="279"/>
      <c r="Z268" s="280"/>
      <c r="AA268" s="38"/>
      <c r="AB268" s="38"/>
      <c r="AC268" s="38"/>
      <c r="AD268" s="38"/>
      <c r="AE268" s="38"/>
      <c r="AF268" s="38"/>
      <c r="AG268" s="38"/>
      <c r="AH268" s="38"/>
    </row>
    <row r="269" spans="4:34">
      <c r="E269" s="712"/>
      <c r="F269" s="713"/>
      <c r="G269" s="714"/>
      <c r="H269" s="714"/>
      <c r="I269" s="714"/>
      <c r="J269" s="169"/>
      <c r="K269" s="169"/>
      <c r="L269" s="169"/>
      <c r="M269" s="169"/>
      <c r="N269" s="38"/>
      <c r="O269" s="33"/>
      <c r="P269" s="38"/>
      <c r="Q269" s="33"/>
      <c r="R269" s="33"/>
      <c r="S269" s="33"/>
      <c r="T269" s="33"/>
      <c r="U269" s="169"/>
      <c r="V269" s="104"/>
      <c r="W269" s="104"/>
      <c r="X269" s="104"/>
      <c r="Y269" s="104"/>
      <c r="Z269" s="104"/>
      <c r="AA269" s="38"/>
      <c r="AB269" s="38"/>
      <c r="AC269" s="38"/>
      <c r="AD269" s="38"/>
      <c r="AE269" s="38"/>
      <c r="AF269" s="38"/>
      <c r="AG269" s="38"/>
      <c r="AH269" s="38"/>
    </row>
    <row r="270" spans="4:34">
      <c r="E270" s="712"/>
      <c r="F270" s="713"/>
      <c r="G270" s="714"/>
      <c r="H270" s="714"/>
      <c r="I270" s="714"/>
      <c r="J270" s="169"/>
      <c r="K270" s="169"/>
      <c r="L270" s="169"/>
      <c r="M270" s="169"/>
      <c r="N270" s="38"/>
      <c r="O270" s="33"/>
      <c r="P270" s="38"/>
      <c r="Q270" s="33"/>
      <c r="R270" s="33"/>
      <c r="S270" s="33"/>
      <c r="T270" s="33"/>
      <c r="U270" s="169"/>
      <c r="AA270" s="38"/>
      <c r="AB270" s="38"/>
      <c r="AC270" s="38"/>
      <c r="AD270" s="38"/>
      <c r="AE270" s="38"/>
      <c r="AF270" s="38"/>
      <c r="AG270" s="38"/>
      <c r="AH270" s="38"/>
    </row>
    <row r="271" spans="4:34">
      <c r="E271" s="712"/>
      <c r="F271" s="713"/>
      <c r="G271" s="714"/>
      <c r="H271" s="714"/>
      <c r="I271" s="714"/>
      <c r="J271" s="169"/>
      <c r="K271" s="169"/>
      <c r="L271" s="169"/>
      <c r="M271" s="169"/>
      <c r="N271" s="38"/>
      <c r="O271" s="33"/>
      <c r="P271" s="38"/>
      <c r="Q271" s="33"/>
      <c r="R271" s="33"/>
      <c r="S271" s="33"/>
      <c r="T271" s="33"/>
      <c r="U271" s="169"/>
      <c r="AA271" s="38"/>
      <c r="AB271" s="38"/>
      <c r="AC271" s="38"/>
      <c r="AD271" s="38"/>
      <c r="AE271" s="38"/>
      <c r="AF271" s="38"/>
      <c r="AG271" s="38"/>
      <c r="AH271" s="38"/>
    </row>
    <row r="272" spans="4:34">
      <c r="E272" s="712"/>
      <c r="F272" s="713"/>
      <c r="G272" s="714"/>
      <c r="H272" s="714"/>
      <c r="I272" s="714"/>
      <c r="J272" s="169"/>
      <c r="K272" s="169"/>
      <c r="L272" s="169"/>
      <c r="M272" s="169"/>
      <c r="N272" s="38"/>
      <c r="O272" s="33"/>
      <c r="P272" s="38"/>
      <c r="Q272" s="33"/>
      <c r="R272" s="33"/>
      <c r="S272" s="33"/>
      <c r="T272" s="33"/>
      <c r="U272" s="169"/>
      <c r="AA272" s="38"/>
      <c r="AB272" s="38"/>
      <c r="AC272" s="38"/>
      <c r="AD272" s="38"/>
      <c r="AE272" s="38"/>
      <c r="AF272" s="38"/>
      <c r="AG272" s="38"/>
      <c r="AH272" s="38"/>
    </row>
    <row r="273" spans="5:34">
      <c r="E273" s="712"/>
      <c r="F273" s="713"/>
      <c r="G273" s="714"/>
      <c r="H273" s="714"/>
      <c r="I273" s="714"/>
      <c r="J273" s="169"/>
      <c r="K273" s="169"/>
      <c r="L273" s="169"/>
      <c r="M273" s="169"/>
      <c r="N273" s="38"/>
      <c r="O273" s="33"/>
      <c r="P273" s="38"/>
      <c r="Q273" s="33"/>
      <c r="R273" s="33"/>
      <c r="S273" s="33"/>
      <c r="T273" s="33"/>
      <c r="U273" s="169"/>
      <c r="AA273" s="38"/>
      <c r="AB273" s="38"/>
      <c r="AC273" s="38"/>
      <c r="AD273" s="38"/>
      <c r="AE273" s="38"/>
      <c r="AF273" s="38"/>
      <c r="AG273" s="38"/>
      <c r="AH273" s="38"/>
    </row>
    <row r="274" spans="5:34">
      <c r="E274" s="712"/>
      <c r="F274" s="713"/>
      <c r="G274" s="714"/>
      <c r="H274" s="714"/>
      <c r="I274" s="714"/>
      <c r="J274" s="169"/>
      <c r="K274" s="169"/>
      <c r="L274" s="169"/>
      <c r="M274" s="169"/>
      <c r="N274" s="38"/>
      <c r="O274" s="33"/>
      <c r="P274" s="38"/>
      <c r="Q274" s="33"/>
      <c r="R274" s="33"/>
      <c r="S274" s="33"/>
      <c r="T274" s="33"/>
      <c r="U274" s="169"/>
      <c r="AA274" s="38"/>
      <c r="AB274" s="38"/>
      <c r="AC274" s="38"/>
      <c r="AD274" s="38"/>
      <c r="AE274" s="38"/>
      <c r="AF274" s="38"/>
      <c r="AG274" s="38"/>
      <c r="AH274" s="38"/>
    </row>
    <row r="275" spans="5:34">
      <c r="E275" s="712"/>
      <c r="F275" s="713"/>
      <c r="G275" s="714"/>
      <c r="H275" s="714"/>
      <c r="I275" s="714"/>
      <c r="J275" s="169"/>
      <c r="K275" s="169"/>
      <c r="L275" s="169"/>
      <c r="M275" s="169"/>
      <c r="N275" s="38"/>
      <c r="O275" s="33"/>
      <c r="P275" s="38"/>
      <c r="Q275" s="33"/>
      <c r="R275" s="33"/>
      <c r="S275" s="33"/>
      <c r="T275" s="33"/>
      <c r="U275" s="169"/>
      <c r="AA275" s="38"/>
      <c r="AB275" s="38"/>
      <c r="AC275" s="38"/>
      <c r="AD275" s="38"/>
      <c r="AE275" s="38"/>
      <c r="AF275" s="38"/>
      <c r="AG275" s="38"/>
      <c r="AH275" s="38"/>
    </row>
  </sheetData>
  <customSheetViews>
    <customSheetView guid="{005F2F7B-A3A9-4755-A4DF-7CE06C365CC2}" hiddenColumns="1" topLeftCell="B217">
      <selection activeCell="D251" sqref="D251"/>
    </customSheetView>
    <customSheetView guid="{041E0462-B6EA-414A-9F2E-C14ADEFAE5F2}" hiddenColumns="1">
      <selection activeCell="F154" sqref="F154"/>
      <pageSetup orientation="portrait"/>
    </customSheetView>
    <customSheetView guid="{86CCC894-C193-4761-8385-3C374FD67B70}" showPageBreaks="1" hiddenColumns="1" topLeftCell="B244">
      <selection activeCell="D267" sqref="D267"/>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H274"/>
  <sheetViews>
    <sheetView topLeftCell="C166" workbookViewId="0">
      <selection activeCell="L233" sqref="L233"/>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 style="152" bestFit="1" customWidth="1"/>
    <col min="7" max="8" width="15.3984375" style="17" hidden="1" customWidth="1"/>
    <col min="9" max="9" width="15.3984375" style="17" customWidth="1"/>
    <col min="10" max="10" width="16" style="24" bestFit="1" customWidth="1"/>
    <col min="11" max="11" width="3" style="24" customWidth="1"/>
    <col min="12" max="13" width="15.3984375" style="24" customWidth="1"/>
    <col min="14" max="14" width="1.796875" style="16" customWidth="1"/>
    <col min="15" max="15" width="15.3984375" style="146" customWidth="1"/>
    <col min="16" max="16" width="1.796875" style="16" customWidth="1"/>
    <col min="17" max="17" width="15.3984375" style="146" customWidth="1"/>
    <col min="18" max="18" width="15.3984375" style="776" customWidth="1"/>
    <col min="19" max="19" width="1.796875" style="146" customWidth="1"/>
    <col min="20" max="20" width="15.3984375" style="146" customWidth="1"/>
    <col min="21" max="21" width="1.796875" style="24" customWidth="1"/>
    <col min="22" max="26" width="15.3984375" style="38" customWidth="1"/>
    <col min="27" max="27" width="15.3984375" style="16" customWidth="1"/>
    <col min="28" max="29" width="15.3984375" style="559" customWidth="1"/>
    <col min="30" max="30" width="15.796875" style="559" customWidth="1"/>
    <col min="31" max="31" width="2.3984375" style="559" customWidth="1"/>
    <col min="32" max="33" width="14.796875" style="559" bestFit="1" customWidth="1"/>
    <col min="34" max="34" width="14.19921875" style="559" customWidth="1"/>
    <col min="35" max="16384" width="9.3984375" style="16"/>
  </cols>
  <sheetData>
    <row r="1" spans="1:34">
      <c r="D1" s="147" t="s">
        <v>71</v>
      </c>
      <c r="F1" s="29"/>
      <c r="G1" s="162"/>
      <c r="H1" s="163"/>
      <c r="I1" s="163"/>
      <c r="J1" s="169"/>
      <c r="K1" s="169"/>
      <c r="L1" s="169"/>
      <c r="M1" s="169"/>
      <c r="N1" s="169"/>
      <c r="U1" s="40"/>
    </row>
    <row r="2" spans="1:34">
      <c r="D2" s="147" t="s">
        <v>72</v>
      </c>
      <c r="F2" s="29"/>
      <c r="G2" s="162"/>
      <c r="H2" s="163"/>
      <c r="I2" s="163"/>
      <c r="J2" s="169"/>
      <c r="K2" s="169"/>
      <c r="L2" s="169"/>
      <c r="M2" s="169"/>
      <c r="N2" s="169"/>
      <c r="U2" s="40"/>
    </row>
    <row r="3" spans="1:34">
      <c r="D3" s="147" t="s">
        <v>647</v>
      </c>
      <c r="F3" s="29"/>
      <c r="G3" s="18"/>
      <c r="H3" s="168"/>
      <c r="I3" s="168"/>
      <c r="J3" s="169"/>
      <c r="K3" s="169"/>
      <c r="L3" s="169"/>
      <c r="M3" s="169"/>
      <c r="N3" s="169"/>
    </row>
    <row r="4" spans="1:34">
      <c r="D4" s="148" t="s">
        <v>228</v>
      </c>
      <c r="G4" s="164"/>
      <c r="H4" s="168"/>
      <c r="I4" s="168"/>
      <c r="J4" s="169"/>
      <c r="K4" s="169"/>
      <c r="L4" s="169"/>
      <c r="M4" s="169"/>
      <c r="N4" s="169"/>
    </row>
    <row r="5" spans="1:34" ht="13" thickBot="1">
      <c r="D5" s="148"/>
      <c r="G5" s="161"/>
      <c r="H5" s="630"/>
      <c r="I5" s="630"/>
      <c r="J5" s="169"/>
      <c r="K5" s="169"/>
      <c r="L5" s="169"/>
      <c r="M5" s="169"/>
      <c r="N5" s="169"/>
    </row>
    <row r="6" spans="1:34">
      <c r="B6" s="460"/>
      <c r="C6" s="668"/>
      <c r="D6" s="461" t="s">
        <v>84</v>
      </c>
      <c r="E6" s="462" t="s">
        <v>85</v>
      </c>
      <c r="G6" s="161"/>
      <c r="H6" s="630"/>
      <c r="I6" s="630"/>
      <c r="J6" s="169"/>
      <c r="K6" s="169"/>
      <c r="L6" s="169"/>
      <c r="M6" s="169"/>
      <c r="N6" s="169"/>
      <c r="O6" s="152"/>
      <c r="P6" s="18"/>
      <c r="Q6" s="152"/>
      <c r="R6" s="777"/>
      <c r="S6" s="152"/>
      <c r="T6" s="152"/>
    </row>
    <row r="7" spans="1:34">
      <c r="B7" s="459"/>
      <c r="C7" s="113"/>
      <c r="D7" s="458" t="s">
        <v>75</v>
      </c>
      <c r="E7" s="287" t="s">
        <v>115</v>
      </c>
      <c r="F7" s="29"/>
      <c r="G7" s="161"/>
      <c r="H7" s="630"/>
      <c r="I7" s="630"/>
      <c r="J7" s="172"/>
      <c r="K7" s="41"/>
      <c r="L7" s="37"/>
      <c r="M7" s="37"/>
      <c r="U7" s="41"/>
    </row>
    <row r="8" spans="1:34">
      <c r="B8" s="459"/>
      <c r="C8" s="669"/>
      <c r="D8" s="568" t="s">
        <v>73</v>
      </c>
      <c r="E8" s="572" t="s">
        <v>446</v>
      </c>
      <c r="F8" s="29"/>
      <c r="G8" s="164"/>
      <c r="H8" s="630"/>
      <c r="I8" s="630"/>
      <c r="J8" s="75"/>
      <c r="K8" s="41"/>
      <c r="L8" s="77"/>
      <c r="M8" s="77"/>
      <c r="N8" s="27"/>
      <c r="O8" s="151"/>
      <c r="P8" s="27"/>
      <c r="Q8" s="151"/>
      <c r="R8" s="778"/>
      <c r="S8" s="151"/>
      <c r="T8" s="151"/>
      <c r="U8" s="41"/>
    </row>
    <row r="9" spans="1:34">
      <c r="B9" s="459"/>
      <c r="C9" s="113"/>
      <c r="D9" s="458" t="s">
        <v>76</v>
      </c>
      <c r="E9" s="465" t="s">
        <v>79</v>
      </c>
      <c r="F9" s="29"/>
      <c r="G9" s="161"/>
      <c r="H9" s="134"/>
      <c r="I9" s="134"/>
      <c r="J9" s="78"/>
      <c r="L9" s="79"/>
      <c r="M9" s="79"/>
      <c r="N9" s="27"/>
      <c r="O9" s="151"/>
      <c r="P9" s="27"/>
      <c r="Q9" s="151"/>
      <c r="R9" s="778"/>
      <c r="S9" s="151"/>
      <c r="T9" s="151"/>
    </row>
    <row r="10" spans="1:34">
      <c r="B10" s="459"/>
      <c r="C10" s="113"/>
      <c r="D10" s="458" t="s">
        <v>88</v>
      </c>
      <c r="E10" s="468" t="s">
        <v>89</v>
      </c>
      <c r="F10" s="29"/>
      <c r="J10" s="76"/>
      <c r="L10" s="174"/>
      <c r="M10" s="76"/>
      <c r="N10" s="27"/>
      <c r="O10" s="151"/>
      <c r="P10" s="27"/>
      <c r="Q10" s="151"/>
      <c r="R10" s="778"/>
      <c r="S10" s="151"/>
      <c r="T10" s="151"/>
    </row>
    <row r="11" spans="1:34">
      <c r="B11" s="459"/>
      <c r="C11" s="113"/>
      <c r="D11" s="458" t="s">
        <v>116</v>
      </c>
      <c r="E11" s="99" t="s">
        <v>117</v>
      </c>
      <c r="F11" s="29"/>
      <c r="G11" s="166"/>
      <c r="H11" s="145"/>
      <c r="I11" s="145"/>
      <c r="J11" s="76"/>
      <c r="L11" s="173"/>
      <c r="M11" s="173"/>
      <c r="N11" s="27"/>
      <c r="O11" s="151"/>
      <c r="P11" s="27"/>
      <c r="Q11" s="151"/>
      <c r="R11" s="778"/>
      <c r="S11" s="151"/>
      <c r="T11" s="151"/>
    </row>
    <row r="12" spans="1:34" ht="13" thickBot="1">
      <c r="B12" s="469"/>
      <c r="C12" s="670"/>
      <c r="D12" s="470" t="s">
        <v>103</v>
      </c>
      <c r="E12" s="471" t="s">
        <v>101</v>
      </c>
      <c r="F12" s="29"/>
      <c r="G12" s="166"/>
      <c r="H12" s="150"/>
      <c r="I12" s="150"/>
      <c r="J12" s="76"/>
    </row>
    <row r="13" spans="1:34" ht="13" thickBot="1">
      <c r="A13" s="152"/>
      <c r="B13" s="152"/>
      <c r="C13" s="67"/>
      <c r="D13" s="54"/>
      <c r="E13" s="34"/>
      <c r="G13" s="167"/>
      <c r="H13" s="49"/>
      <c r="I13" s="49"/>
      <c r="J13" s="50"/>
      <c r="K13" s="50"/>
      <c r="L13" s="50"/>
      <c r="M13" s="745"/>
      <c r="N13" s="146"/>
      <c r="P13" s="146"/>
      <c r="U13" s="50"/>
      <c r="V13" s="33"/>
      <c r="W13" s="33"/>
      <c r="X13" s="33"/>
      <c r="Y13" s="33"/>
    </row>
    <row r="14" spans="1:34" ht="13" thickBot="1">
      <c r="D14" s="526"/>
      <c r="E14" s="582" t="s">
        <v>643</v>
      </c>
      <c r="F14" s="583" t="s">
        <v>288</v>
      </c>
      <c r="G14" s="96"/>
      <c r="H14" s="96"/>
      <c r="I14" s="96"/>
      <c r="J14" s="96" t="s">
        <v>289</v>
      </c>
      <c r="K14" s="581"/>
      <c r="L14" s="96" t="s">
        <v>289</v>
      </c>
      <c r="M14" s="96" t="s">
        <v>289</v>
      </c>
      <c r="N14" s="93"/>
      <c r="O14" s="96" t="s">
        <v>289</v>
      </c>
      <c r="P14" s="93"/>
      <c r="Q14" s="13"/>
      <c r="R14" s="779"/>
      <c r="S14" s="101"/>
      <c r="T14" s="96"/>
      <c r="U14" s="93"/>
      <c r="V14" s="96"/>
      <c r="W14" s="96"/>
      <c r="X14" s="304"/>
      <c r="Y14" s="304"/>
      <c r="Z14" s="304"/>
      <c r="AC14" s="560" t="s">
        <v>266</v>
      </c>
      <c r="AG14" s="561" t="s">
        <v>267</v>
      </c>
    </row>
    <row r="15" spans="1:34" ht="13" thickBot="1">
      <c r="A15" s="22" t="s">
        <v>95</v>
      </c>
      <c r="B15" s="22" t="s">
        <v>100</v>
      </c>
      <c r="C15" s="36" t="s">
        <v>522</v>
      </c>
      <c r="D15" s="36" t="s">
        <v>67</v>
      </c>
      <c r="E15" s="450" t="s">
        <v>230</v>
      </c>
      <c r="F15" s="528" t="s">
        <v>229</v>
      </c>
      <c r="G15" s="176" t="s">
        <v>288</v>
      </c>
      <c r="H15" s="545" t="s">
        <v>289</v>
      </c>
      <c r="I15" s="758" t="s">
        <v>289</v>
      </c>
      <c r="J15" s="313" t="s">
        <v>105</v>
      </c>
      <c r="K15" s="93"/>
      <c r="L15" s="94" t="s">
        <v>104</v>
      </c>
      <c r="M15" s="95" t="s">
        <v>106</v>
      </c>
      <c r="N15" s="102"/>
      <c r="O15" s="427" t="s">
        <v>372</v>
      </c>
      <c r="P15" s="102"/>
      <c r="Q15" s="313" t="s">
        <v>816</v>
      </c>
      <c r="R15" s="780" t="s">
        <v>817</v>
      </c>
      <c r="S15" s="149"/>
      <c r="T15" s="327" t="s">
        <v>344</v>
      </c>
      <c r="U15" s="93"/>
      <c r="V15" s="103" t="s">
        <v>111</v>
      </c>
      <c r="W15" s="74" t="s">
        <v>112</v>
      </c>
      <c r="X15" s="103" t="s">
        <v>113</v>
      </c>
      <c r="Y15" s="103" t="s">
        <v>223</v>
      </c>
      <c r="Z15" s="307" t="s">
        <v>224</v>
      </c>
      <c r="AB15" s="562" t="s">
        <v>263</v>
      </c>
      <c r="AC15" s="563" t="s">
        <v>264</v>
      </c>
      <c r="AD15" s="563" t="s">
        <v>265</v>
      </c>
      <c r="AF15" s="562" t="s">
        <v>263</v>
      </c>
      <c r="AG15" s="563" t="s">
        <v>264</v>
      </c>
      <c r="AH15" s="563" t="s">
        <v>265</v>
      </c>
    </row>
    <row r="16" spans="1:34">
      <c r="A16" s="372" t="s">
        <v>109</v>
      </c>
      <c r="B16" s="472" t="s">
        <v>109</v>
      </c>
      <c r="C16" s="666"/>
      <c r="D16" s="373" t="s">
        <v>382</v>
      </c>
      <c r="E16" s="679"/>
      <c r="F16" s="529">
        <f>VLOOKUP(D16,'Apr 2012 DMV Revenue'!D:T,17,FALSE)</f>
        <v>0</v>
      </c>
      <c r="G16" s="680"/>
      <c r="H16" s="680"/>
      <c r="I16" s="755"/>
      <c r="J16" s="682">
        <f t="shared" ref="J16:J80" si="0">SUM(E16:I16)</f>
        <v>0</v>
      </c>
      <c r="K16" s="683"/>
      <c r="L16" s="684"/>
      <c r="M16" s="753"/>
      <c r="N16" s="683">
        <v>0</v>
      </c>
      <c r="O16" s="686"/>
      <c r="P16" s="683">
        <v>0</v>
      </c>
      <c r="Q16" s="687">
        <f t="shared" ref="Q16:Q146" si="1">L16+M16</f>
        <v>0</v>
      </c>
      <c r="R16" s="781">
        <v>0</v>
      </c>
      <c r="S16" s="689"/>
      <c r="T16" s="690">
        <f t="shared" ref="T16:T80" si="2">IF(R16="","",R16-Q16)</f>
        <v>0</v>
      </c>
      <c r="U16" s="691"/>
      <c r="V16" s="474">
        <f t="shared" ref="V16:V80" si="3">IF(B16="D",Q16,0)</f>
        <v>0</v>
      </c>
      <c r="W16" s="474">
        <f t="shared" ref="W16:W80" si="4">IF(B16="M",Q16,0)</f>
        <v>0</v>
      </c>
      <c r="X16" s="475">
        <f t="shared" ref="X16:X80" si="5">IF(B16="V",Q16,0)</f>
        <v>0</v>
      </c>
      <c r="Y16" s="475">
        <v>0</v>
      </c>
      <c r="Z16" s="476">
        <v>0</v>
      </c>
      <c r="AA16" s="38">
        <f t="shared" ref="AA16:AA80" si="6">(L16+M16)-(V16+W16+X16+Y16+Z16)</f>
        <v>0</v>
      </c>
      <c r="AB16" s="692">
        <f t="shared" ref="AB16:AB79" si="7">IF(B16="D",J16,0)</f>
        <v>0</v>
      </c>
      <c r="AC16" s="692">
        <f t="shared" ref="AC16" si="8">IF(B16="M",J16,0)</f>
        <v>0</v>
      </c>
      <c r="AD16" s="692">
        <f t="shared" ref="AD16:AD80" si="9">IF(B16="V",J16,0)</f>
        <v>0</v>
      </c>
      <c r="AE16" s="38"/>
      <c r="AF16" s="692">
        <f t="shared" ref="AF16:AF80" si="10">IF(B16="D",Q16,0)</f>
        <v>0</v>
      </c>
      <c r="AG16" s="692">
        <f t="shared" ref="AG16:AG80" si="11">IF(B16="M",Q16,0)</f>
        <v>0</v>
      </c>
      <c r="AH16" s="692">
        <f t="shared" ref="AH16:AH80" si="12">IF(B16="V",Q16,0)</f>
        <v>0</v>
      </c>
    </row>
    <row r="17" spans="1:34">
      <c r="A17" s="20" t="s">
        <v>109</v>
      </c>
      <c r="B17" s="20" t="s">
        <v>110</v>
      </c>
      <c r="C17" s="671" t="s">
        <v>523</v>
      </c>
      <c r="D17" s="123" t="s">
        <v>317</v>
      </c>
      <c r="E17" s="679"/>
      <c r="F17" s="529">
        <f>VLOOKUP(D17,'Apr 2012 DMV Revenue'!D:T,17,FALSE)</f>
        <v>757.51000000000022</v>
      </c>
      <c r="G17" s="680"/>
      <c r="H17" s="680"/>
      <c r="I17" s="755"/>
      <c r="J17" s="682">
        <f t="shared" si="0"/>
        <v>757.51000000000022</v>
      </c>
      <c r="K17" s="683"/>
      <c r="L17" s="684"/>
      <c r="M17" s="753">
        <v>12000</v>
      </c>
      <c r="N17" s="683">
        <v>0</v>
      </c>
      <c r="O17" s="686"/>
      <c r="P17" s="683">
        <v>0</v>
      </c>
      <c r="Q17" s="687">
        <f t="shared" si="1"/>
        <v>12000</v>
      </c>
      <c r="R17" s="781">
        <v>11832.73</v>
      </c>
      <c r="S17" s="693"/>
      <c r="T17" s="690">
        <f t="shared" si="2"/>
        <v>-167.27000000000044</v>
      </c>
      <c r="U17" s="683"/>
      <c r="V17" s="474">
        <f t="shared" si="3"/>
        <v>12000</v>
      </c>
      <c r="W17" s="474">
        <f t="shared" si="4"/>
        <v>0</v>
      </c>
      <c r="X17" s="475">
        <f t="shared" si="5"/>
        <v>0</v>
      </c>
      <c r="Y17" s="475">
        <v>0</v>
      </c>
      <c r="Z17" s="476">
        <v>0</v>
      </c>
      <c r="AA17" s="38">
        <f t="shared" si="6"/>
        <v>0</v>
      </c>
      <c r="AB17" s="692">
        <f t="shared" si="7"/>
        <v>757.51000000000022</v>
      </c>
      <c r="AC17" s="692">
        <f t="shared" ref="AC17:AC81" si="13">IF(B17="M",J17,0)</f>
        <v>0</v>
      </c>
      <c r="AD17" s="692">
        <f t="shared" si="9"/>
        <v>0</v>
      </c>
      <c r="AE17" s="38"/>
      <c r="AF17" s="692">
        <f t="shared" si="10"/>
        <v>12000</v>
      </c>
      <c r="AG17" s="692">
        <f t="shared" si="11"/>
        <v>0</v>
      </c>
      <c r="AH17" s="692">
        <f t="shared" si="12"/>
        <v>0</v>
      </c>
    </row>
    <row r="18" spans="1:34">
      <c r="A18" s="20" t="s">
        <v>109</v>
      </c>
      <c r="B18" s="20" t="s">
        <v>109</v>
      </c>
      <c r="C18" s="671" t="s">
        <v>523</v>
      </c>
      <c r="D18" s="68" t="s">
        <v>393</v>
      </c>
      <c r="E18" s="679"/>
      <c r="F18" s="529">
        <f>VLOOKUP(D18,'Apr 2012 DMV Revenue'!D:T,17,FALSE)</f>
        <v>15110.32</v>
      </c>
      <c r="G18" s="680"/>
      <c r="H18" s="680"/>
      <c r="I18" s="755"/>
      <c r="J18" s="682">
        <f t="shared" si="0"/>
        <v>15110.32</v>
      </c>
      <c r="K18" s="683"/>
      <c r="L18" s="684"/>
      <c r="M18" s="753">
        <v>30000</v>
      </c>
      <c r="N18" s="683">
        <v>0</v>
      </c>
      <c r="O18" s="686"/>
      <c r="P18" s="683">
        <v>0</v>
      </c>
      <c r="Q18" s="687">
        <f t="shared" si="1"/>
        <v>30000</v>
      </c>
      <c r="R18" s="781">
        <v>37219.24</v>
      </c>
      <c r="S18" s="693"/>
      <c r="T18" s="690">
        <f t="shared" si="2"/>
        <v>7219.239999999998</v>
      </c>
      <c r="U18" s="683"/>
      <c r="V18" s="474">
        <f t="shared" si="3"/>
        <v>0</v>
      </c>
      <c r="W18" s="474">
        <f t="shared" si="4"/>
        <v>30000</v>
      </c>
      <c r="X18" s="475">
        <f t="shared" si="5"/>
        <v>0</v>
      </c>
      <c r="Y18" s="475">
        <v>0</v>
      </c>
      <c r="Z18" s="476">
        <v>0</v>
      </c>
      <c r="AA18" s="38">
        <f t="shared" si="6"/>
        <v>0</v>
      </c>
      <c r="AB18" s="692">
        <f t="shared" si="7"/>
        <v>0</v>
      </c>
      <c r="AC18" s="692">
        <f t="shared" si="13"/>
        <v>15110.32</v>
      </c>
      <c r="AD18" s="692">
        <f t="shared" si="9"/>
        <v>0</v>
      </c>
      <c r="AE18" s="38"/>
      <c r="AF18" s="692">
        <f t="shared" si="10"/>
        <v>0</v>
      </c>
      <c r="AG18" s="692">
        <f t="shared" si="11"/>
        <v>30000</v>
      </c>
      <c r="AH18" s="692">
        <f t="shared" si="12"/>
        <v>0</v>
      </c>
    </row>
    <row r="19" spans="1:34">
      <c r="A19" s="20" t="s">
        <v>109</v>
      </c>
      <c r="B19" s="20" t="s">
        <v>109</v>
      </c>
      <c r="C19" s="671" t="s">
        <v>523</v>
      </c>
      <c r="D19" s="68" t="s">
        <v>129</v>
      </c>
      <c r="E19" s="679"/>
      <c r="F19" s="529">
        <f>VLOOKUP(D19,'Apr 2012 DMV Revenue'!D:T,17,FALSE)</f>
        <v>46.13</v>
      </c>
      <c r="G19" s="680"/>
      <c r="H19" s="680"/>
      <c r="I19" s="755"/>
      <c r="J19" s="682">
        <f t="shared" si="0"/>
        <v>46.13</v>
      </c>
      <c r="K19" s="683"/>
      <c r="L19" s="684"/>
      <c r="M19" s="753"/>
      <c r="N19" s="683">
        <v>0</v>
      </c>
      <c r="O19" s="686"/>
      <c r="P19" s="683">
        <v>0</v>
      </c>
      <c r="Q19" s="687">
        <f t="shared" si="1"/>
        <v>0</v>
      </c>
      <c r="R19" s="781">
        <v>75.08</v>
      </c>
      <c r="S19" s="693"/>
      <c r="T19" s="690">
        <f t="shared" si="2"/>
        <v>75.08</v>
      </c>
      <c r="U19" s="683"/>
      <c r="V19" s="474">
        <f t="shared" si="3"/>
        <v>0</v>
      </c>
      <c r="W19" s="474">
        <f t="shared" si="4"/>
        <v>0</v>
      </c>
      <c r="X19" s="475">
        <f t="shared" si="5"/>
        <v>0</v>
      </c>
      <c r="Y19" s="475">
        <v>0</v>
      </c>
      <c r="Z19" s="476">
        <v>0</v>
      </c>
      <c r="AA19" s="38">
        <f t="shared" si="6"/>
        <v>0</v>
      </c>
      <c r="AB19" s="692">
        <f t="shared" si="7"/>
        <v>0</v>
      </c>
      <c r="AC19" s="692">
        <f t="shared" si="13"/>
        <v>46.13</v>
      </c>
      <c r="AD19" s="692">
        <f t="shared" si="9"/>
        <v>0</v>
      </c>
      <c r="AE19" s="38"/>
      <c r="AF19" s="692">
        <f t="shared" si="10"/>
        <v>0</v>
      </c>
      <c r="AG19" s="692">
        <f t="shared" si="11"/>
        <v>0</v>
      </c>
      <c r="AH19" s="692">
        <f t="shared" si="12"/>
        <v>0</v>
      </c>
    </row>
    <row r="20" spans="1:34">
      <c r="A20" s="20"/>
      <c r="B20" s="20" t="s">
        <v>110</v>
      </c>
      <c r="C20" s="667" t="s">
        <v>524</v>
      </c>
      <c r="D20" s="123" t="s">
        <v>380</v>
      </c>
      <c r="E20" s="679">
        <v>3502.32</v>
      </c>
      <c r="F20" s="529">
        <f>VLOOKUP(D20,'Apr 2012 DMV Revenue'!D:T,17,FALSE)</f>
        <v>-3320.52</v>
      </c>
      <c r="G20" s="680"/>
      <c r="H20" s="680"/>
      <c r="I20" s="755"/>
      <c r="J20" s="682">
        <f t="shared" si="0"/>
        <v>181.80000000000018</v>
      </c>
      <c r="K20" s="683"/>
      <c r="L20" s="684"/>
      <c r="M20" s="753">
        <v>3000</v>
      </c>
      <c r="N20" s="683">
        <v>0</v>
      </c>
      <c r="O20" s="686"/>
      <c r="P20" s="683">
        <v>0</v>
      </c>
      <c r="Q20" s="687">
        <f t="shared" si="1"/>
        <v>3000</v>
      </c>
      <c r="R20" s="781">
        <v>3483.79</v>
      </c>
      <c r="S20" s="693"/>
      <c r="T20" s="690">
        <f t="shared" si="2"/>
        <v>483.78999999999996</v>
      </c>
      <c r="U20" s="683"/>
      <c r="V20" s="474">
        <f t="shared" si="3"/>
        <v>3000</v>
      </c>
      <c r="W20" s="474">
        <f t="shared" si="4"/>
        <v>0</v>
      </c>
      <c r="X20" s="475">
        <f t="shared" si="5"/>
        <v>0</v>
      </c>
      <c r="Y20" s="475">
        <v>0</v>
      </c>
      <c r="Z20" s="476">
        <v>0</v>
      </c>
      <c r="AA20" s="38">
        <f t="shared" si="6"/>
        <v>0</v>
      </c>
      <c r="AB20" s="692">
        <f t="shared" si="7"/>
        <v>181.80000000000018</v>
      </c>
      <c r="AC20" s="692">
        <f t="shared" si="13"/>
        <v>0</v>
      </c>
      <c r="AD20" s="692">
        <f t="shared" si="9"/>
        <v>0</v>
      </c>
      <c r="AE20" s="38"/>
      <c r="AF20" s="692">
        <f t="shared" si="10"/>
        <v>3000</v>
      </c>
      <c r="AG20" s="692">
        <f t="shared" si="11"/>
        <v>0</v>
      </c>
      <c r="AH20" s="692">
        <f t="shared" si="12"/>
        <v>0</v>
      </c>
    </row>
    <row r="21" spans="1:34">
      <c r="A21" s="20"/>
      <c r="B21" s="20" t="s">
        <v>110</v>
      </c>
      <c r="C21" s="667" t="s">
        <v>524</v>
      </c>
      <c r="D21" s="123" t="s">
        <v>132</v>
      </c>
      <c r="E21" s="679">
        <v>5968.94</v>
      </c>
      <c r="F21" s="529">
        <f>VLOOKUP(D21,'Apr 2012 DMV Revenue'!D:T,17,FALSE)</f>
        <v>-3171.42</v>
      </c>
      <c r="G21" s="680"/>
      <c r="H21" s="680"/>
      <c r="I21" s="755"/>
      <c r="J21" s="682">
        <f t="shared" si="0"/>
        <v>2797.5199999999995</v>
      </c>
      <c r="K21" s="683"/>
      <c r="L21" s="684"/>
      <c r="M21" s="753">
        <v>4000</v>
      </c>
      <c r="N21" s="683">
        <v>0</v>
      </c>
      <c r="O21" s="686"/>
      <c r="P21" s="683">
        <v>0</v>
      </c>
      <c r="Q21" s="687">
        <f t="shared" si="1"/>
        <v>4000</v>
      </c>
      <c r="R21" s="781">
        <v>6740.27</v>
      </c>
      <c r="S21" s="693"/>
      <c r="T21" s="690">
        <f t="shared" si="2"/>
        <v>2740.2700000000004</v>
      </c>
      <c r="U21" s="683"/>
      <c r="V21" s="474">
        <f t="shared" si="3"/>
        <v>4000</v>
      </c>
      <c r="W21" s="474">
        <f t="shared" si="4"/>
        <v>0</v>
      </c>
      <c r="X21" s="475">
        <f t="shared" si="5"/>
        <v>0</v>
      </c>
      <c r="Y21" s="475">
        <v>0</v>
      </c>
      <c r="Z21" s="476">
        <v>0</v>
      </c>
      <c r="AA21" s="38">
        <f t="shared" si="6"/>
        <v>0</v>
      </c>
      <c r="AB21" s="692">
        <f t="shared" si="7"/>
        <v>2797.5199999999995</v>
      </c>
      <c r="AC21" s="692">
        <f t="shared" si="13"/>
        <v>0</v>
      </c>
      <c r="AD21" s="692">
        <f t="shared" si="9"/>
        <v>0</v>
      </c>
      <c r="AE21" s="38"/>
      <c r="AF21" s="692">
        <f t="shared" si="10"/>
        <v>4000</v>
      </c>
      <c r="AG21" s="692">
        <f t="shared" si="11"/>
        <v>0</v>
      </c>
      <c r="AH21" s="692">
        <f t="shared" si="12"/>
        <v>0</v>
      </c>
    </row>
    <row r="22" spans="1:34">
      <c r="A22" s="20"/>
      <c r="B22" s="20" t="s">
        <v>110</v>
      </c>
      <c r="C22" s="667" t="s">
        <v>524</v>
      </c>
      <c r="D22" s="123" t="s">
        <v>133</v>
      </c>
      <c r="E22" s="679">
        <v>5975.2</v>
      </c>
      <c r="F22" s="529">
        <f>VLOOKUP(D22,'Apr 2012 DMV Revenue'!D:T,17,FALSE)</f>
        <v>-4144.8</v>
      </c>
      <c r="G22" s="680"/>
      <c r="H22" s="680"/>
      <c r="I22" s="755"/>
      <c r="J22" s="682">
        <f t="shared" si="0"/>
        <v>1830.3999999999996</v>
      </c>
      <c r="K22" s="683"/>
      <c r="L22" s="684"/>
      <c r="M22" s="753">
        <v>5000</v>
      </c>
      <c r="N22" s="683">
        <v>0</v>
      </c>
      <c r="O22" s="686"/>
      <c r="P22" s="683">
        <v>0</v>
      </c>
      <c r="Q22" s="687">
        <f t="shared" si="1"/>
        <v>5000</v>
      </c>
      <c r="R22" s="781">
        <v>5763.5</v>
      </c>
      <c r="S22" s="693"/>
      <c r="T22" s="690">
        <f t="shared" si="2"/>
        <v>763.5</v>
      </c>
      <c r="U22" s="683"/>
      <c r="V22" s="474">
        <f t="shared" si="3"/>
        <v>5000</v>
      </c>
      <c r="W22" s="474">
        <f t="shared" si="4"/>
        <v>0</v>
      </c>
      <c r="X22" s="475">
        <f t="shared" si="5"/>
        <v>0</v>
      </c>
      <c r="Y22" s="475">
        <v>0</v>
      </c>
      <c r="Z22" s="476">
        <v>0</v>
      </c>
      <c r="AA22" s="38">
        <f t="shared" si="6"/>
        <v>0</v>
      </c>
      <c r="AB22" s="692">
        <f t="shared" si="7"/>
        <v>1830.3999999999996</v>
      </c>
      <c r="AC22" s="692">
        <f t="shared" si="13"/>
        <v>0</v>
      </c>
      <c r="AD22" s="692">
        <f t="shared" si="9"/>
        <v>0</v>
      </c>
      <c r="AE22" s="38"/>
      <c r="AF22" s="692">
        <f t="shared" si="10"/>
        <v>5000</v>
      </c>
      <c r="AG22" s="692">
        <f t="shared" si="11"/>
        <v>0</v>
      </c>
      <c r="AH22" s="692">
        <f t="shared" si="12"/>
        <v>0</v>
      </c>
    </row>
    <row r="23" spans="1:34" s="232" customFormat="1">
      <c r="A23" s="283" t="s">
        <v>211</v>
      </c>
      <c r="B23" s="283" t="s">
        <v>109</v>
      </c>
      <c r="C23" s="667" t="s">
        <v>525</v>
      </c>
      <c r="D23" s="123" t="s">
        <v>419</v>
      </c>
      <c r="E23" s="679">
        <v>41816.699999999997</v>
      </c>
      <c r="F23" s="529">
        <f>VLOOKUP(D23,'Apr 2012 DMV Revenue'!D:T,17,FALSE)</f>
        <v>-40000</v>
      </c>
      <c r="G23" s="680"/>
      <c r="H23" s="680"/>
      <c r="I23" s="755"/>
      <c r="J23" s="682">
        <f t="shared" si="0"/>
        <v>1816.6999999999971</v>
      </c>
      <c r="K23" s="683"/>
      <c r="L23" s="684"/>
      <c r="M23" s="753">
        <v>25000</v>
      </c>
      <c r="N23" s="683">
        <v>0</v>
      </c>
      <c r="O23" s="686"/>
      <c r="P23" s="683">
        <v>0</v>
      </c>
      <c r="Q23" s="687">
        <f t="shared" si="1"/>
        <v>25000</v>
      </c>
      <c r="R23" s="781">
        <v>0</v>
      </c>
      <c r="S23" s="693"/>
      <c r="T23" s="690">
        <f t="shared" si="2"/>
        <v>-25000</v>
      </c>
      <c r="U23" s="683"/>
      <c r="V23" s="474">
        <f t="shared" si="3"/>
        <v>0</v>
      </c>
      <c r="W23" s="474">
        <f t="shared" si="4"/>
        <v>25000</v>
      </c>
      <c r="X23" s="475">
        <f t="shared" si="5"/>
        <v>0</v>
      </c>
      <c r="Y23" s="475">
        <v>0</v>
      </c>
      <c r="Z23" s="476">
        <v>0</v>
      </c>
      <c r="AA23" s="38">
        <f t="shared" si="6"/>
        <v>0</v>
      </c>
      <c r="AB23" s="692">
        <f t="shared" si="7"/>
        <v>0</v>
      </c>
      <c r="AC23" s="692">
        <f t="shared" si="13"/>
        <v>1816.6999999999971</v>
      </c>
      <c r="AD23" s="692">
        <f t="shared" si="9"/>
        <v>0</v>
      </c>
      <c r="AE23" s="38"/>
      <c r="AF23" s="692">
        <f t="shared" si="10"/>
        <v>0</v>
      </c>
      <c r="AG23" s="692">
        <f t="shared" si="11"/>
        <v>25000</v>
      </c>
      <c r="AH23" s="692">
        <f t="shared" si="12"/>
        <v>0</v>
      </c>
    </row>
    <row r="24" spans="1:34" s="232" customFormat="1">
      <c r="A24" s="283"/>
      <c r="B24" s="283" t="s">
        <v>109</v>
      </c>
      <c r="C24" s="667" t="s">
        <v>525</v>
      </c>
      <c r="D24" s="413" t="s">
        <v>420</v>
      </c>
      <c r="E24" s="679">
        <v>367.73</v>
      </c>
      <c r="F24" s="529">
        <f>VLOOKUP(D24,'Apr 2012 DMV Revenue'!D:T,17,FALSE)</f>
        <v>0</v>
      </c>
      <c r="G24" s="680"/>
      <c r="H24" s="680"/>
      <c r="I24" s="755"/>
      <c r="J24" s="682">
        <f t="shared" si="0"/>
        <v>367.73</v>
      </c>
      <c r="K24" s="683"/>
      <c r="L24" s="684"/>
      <c r="M24" s="753"/>
      <c r="N24" s="683">
        <v>0</v>
      </c>
      <c r="O24" s="686"/>
      <c r="P24" s="683">
        <v>0</v>
      </c>
      <c r="Q24" s="687">
        <f t="shared" si="1"/>
        <v>0</v>
      </c>
      <c r="R24" s="781">
        <v>0</v>
      </c>
      <c r="S24" s="693"/>
      <c r="T24" s="690">
        <f t="shared" si="2"/>
        <v>0</v>
      </c>
      <c r="U24" s="683"/>
      <c r="V24" s="474">
        <f t="shared" si="3"/>
        <v>0</v>
      </c>
      <c r="W24" s="474">
        <f t="shared" si="4"/>
        <v>0</v>
      </c>
      <c r="X24" s="475">
        <f t="shared" si="5"/>
        <v>0</v>
      </c>
      <c r="Y24" s="475">
        <v>0</v>
      </c>
      <c r="Z24" s="476">
        <v>0</v>
      </c>
      <c r="AA24" s="38">
        <f t="shared" si="6"/>
        <v>0</v>
      </c>
      <c r="AB24" s="692">
        <f t="shared" si="7"/>
        <v>0</v>
      </c>
      <c r="AC24" s="692">
        <f t="shared" si="13"/>
        <v>367.73</v>
      </c>
      <c r="AD24" s="692">
        <f t="shared" si="9"/>
        <v>0</v>
      </c>
      <c r="AE24" s="38"/>
      <c r="AF24" s="692">
        <f t="shared" si="10"/>
        <v>0</v>
      </c>
      <c r="AG24" s="692">
        <f t="shared" si="11"/>
        <v>0</v>
      </c>
      <c r="AH24" s="692">
        <f t="shared" si="12"/>
        <v>0</v>
      </c>
    </row>
    <row r="25" spans="1:34" s="232" customFormat="1">
      <c r="A25" s="283"/>
      <c r="B25" s="283" t="s">
        <v>109</v>
      </c>
      <c r="C25" s="667" t="s">
        <v>525</v>
      </c>
      <c r="D25" s="413" t="s">
        <v>421</v>
      </c>
      <c r="E25" s="679">
        <v>92.17</v>
      </c>
      <c r="F25" s="529">
        <f>VLOOKUP(D25,'Apr 2012 DMV Revenue'!D:T,17,FALSE)</f>
        <v>0</v>
      </c>
      <c r="G25" s="680"/>
      <c r="H25" s="680"/>
      <c r="I25" s="755"/>
      <c r="J25" s="682">
        <f t="shared" si="0"/>
        <v>92.17</v>
      </c>
      <c r="K25" s="683"/>
      <c r="L25" s="684"/>
      <c r="M25" s="753"/>
      <c r="N25" s="683">
        <v>0</v>
      </c>
      <c r="O25" s="686"/>
      <c r="P25" s="683">
        <v>0</v>
      </c>
      <c r="Q25" s="687">
        <f t="shared" si="1"/>
        <v>0</v>
      </c>
      <c r="R25" s="781">
        <v>0</v>
      </c>
      <c r="S25" s="693"/>
      <c r="T25" s="690">
        <f t="shared" si="2"/>
        <v>0</v>
      </c>
      <c r="U25" s="683"/>
      <c r="V25" s="474">
        <f t="shared" si="3"/>
        <v>0</v>
      </c>
      <c r="W25" s="474">
        <f t="shared" si="4"/>
        <v>0</v>
      </c>
      <c r="X25" s="475">
        <f t="shared" si="5"/>
        <v>0</v>
      </c>
      <c r="Y25" s="475">
        <v>0</v>
      </c>
      <c r="Z25" s="476">
        <v>0</v>
      </c>
      <c r="AA25" s="38">
        <f t="shared" si="6"/>
        <v>0</v>
      </c>
      <c r="AB25" s="692">
        <f t="shared" si="7"/>
        <v>0</v>
      </c>
      <c r="AC25" s="692">
        <f t="shared" si="13"/>
        <v>92.17</v>
      </c>
      <c r="AD25" s="692">
        <f t="shared" si="9"/>
        <v>0</v>
      </c>
      <c r="AE25" s="38"/>
      <c r="AF25" s="692">
        <f t="shared" si="10"/>
        <v>0</v>
      </c>
      <c r="AG25" s="692">
        <f t="shared" si="11"/>
        <v>0</v>
      </c>
      <c r="AH25" s="692">
        <f t="shared" si="12"/>
        <v>0</v>
      </c>
    </row>
    <row r="26" spans="1:34">
      <c r="A26" s="20"/>
      <c r="B26" s="20" t="s">
        <v>110</v>
      </c>
      <c r="C26" s="667"/>
      <c r="D26" s="68" t="s">
        <v>191</v>
      </c>
      <c r="E26" s="679">
        <f>175.07+149.17+162.33</f>
        <v>486.57000000000005</v>
      </c>
      <c r="F26" s="529">
        <f>VLOOKUP(D26,'Apr 2012 DMV Revenue'!D:T,17,FALSE)</f>
        <v>760.05</v>
      </c>
      <c r="G26" s="680"/>
      <c r="H26" s="680"/>
      <c r="I26" s="755"/>
      <c r="J26" s="682">
        <f t="shared" si="0"/>
        <v>1246.6199999999999</v>
      </c>
      <c r="K26" s="683"/>
      <c r="L26" s="684"/>
      <c r="M26" s="753"/>
      <c r="N26" s="683">
        <v>0</v>
      </c>
      <c r="O26" s="686"/>
      <c r="P26" s="683">
        <v>0</v>
      </c>
      <c r="Q26" s="687">
        <f t="shared" si="1"/>
        <v>0</v>
      </c>
      <c r="R26" s="781">
        <v>177.74</v>
      </c>
      <c r="S26" s="693"/>
      <c r="T26" s="690">
        <f t="shared" si="2"/>
        <v>177.74</v>
      </c>
      <c r="U26" s="683"/>
      <c r="V26" s="474">
        <f t="shared" si="3"/>
        <v>0</v>
      </c>
      <c r="W26" s="474">
        <f t="shared" si="4"/>
        <v>0</v>
      </c>
      <c r="X26" s="475">
        <f t="shared" si="5"/>
        <v>0</v>
      </c>
      <c r="Y26" s="475">
        <v>0</v>
      </c>
      <c r="Z26" s="476">
        <v>0</v>
      </c>
      <c r="AA26" s="38">
        <f t="shared" si="6"/>
        <v>0</v>
      </c>
      <c r="AB26" s="692">
        <f t="shared" si="7"/>
        <v>1246.6199999999999</v>
      </c>
      <c r="AC26" s="692">
        <f t="shared" si="13"/>
        <v>0</v>
      </c>
      <c r="AD26" s="692">
        <f t="shared" si="9"/>
        <v>0</v>
      </c>
      <c r="AE26" s="38"/>
      <c r="AF26" s="692">
        <f t="shared" si="10"/>
        <v>0</v>
      </c>
      <c r="AG26" s="692">
        <f t="shared" si="11"/>
        <v>0</v>
      </c>
      <c r="AH26" s="692">
        <f t="shared" si="12"/>
        <v>0</v>
      </c>
    </row>
    <row r="27" spans="1:34">
      <c r="A27" s="20"/>
      <c r="B27" s="20" t="s">
        <v>110</v>
      </c>
      <c r="C27" s="667"/>
      <c r="D27" s="68" t="s">
        <v>589</v>
      </c>
      <c r="E27" s="679"/>
      <c r="F27" s="529">
        <f>VLOOKUP(D27,'Apr 2012 DMV Revenue'!D:T,17,FALSE)</f>
        <v>-5000</v>
      </c>
      <c r="G27" s="680"/>
      <c r="H27" s="680"/>
      <c r="I27" s="755"/>
      <c r="J27" s="682">
        <f t="shared" si="0"/>
        <v>-5000</v>
      </c>
      <c r="K27" s="683"/>
      <c r="L27" s="684"/>
      <c r="M27" s="753">
        <v>10000</v>
      </c>
      <c r="N27" s="683">
        <v>0</v>
      </c>
      <c r="O27" s="686"/>
      <c r="P27" s="683">
        <v>0</v>
      </c>
      <c r="Q27" s="687">
        <f t="shared" si="1"/>
        <v>10000</v>
      </c>
      <c r="R27" s="781">
        <v>0</v>
      </c>
      <c r="S27" s="693"/>
      <c r="T27" s="690">
        <f t="shared" si="2"/>
        <v>-10000</v>
      </c>
      <c r="U27" s="683"/>
      <c r="V27" s="474">
        <f t="shared" si="3"/>
        <v>10000</v>
      </c>
      <c r="W27" s="474">
        <f t="shared" si="4"/>
        <v>0</v>
      </c>
      <c r="X27" s="475">
        <f t="shared" si="5"/>
        <v>0</v>
      </c>
      <c r="Y27" s="475">
        <v>0</v>
      </c>
      <c r="Z27" s="476">
        <v>0</v>
      </c>
      <c r="AA27" s="38">
        <f t="shared" si="6"/>
        <v>0</v>
      </c>
      <c r="AB27" s="692">
        <f t="shared" si="7"/>
        <v>-5000</v>
      </c>
      <c r="AC27" s="692">
        <f t="shared" si="13"/>
        <v>0</v>
      </c>
      <c r="AD27" s="692">
        <f t="shared" si="9"/>
        <v>0</v>
      </c>
      <c r="AE27" s="38"/>
      <c r="AF27" s="692">
        <f t="shared" si="10"/>
        <v>10000</v>
      </c>
      <c r="AG27" s="692">
        <f t="shared" si="11"/>
        <v>0</v>
      </c>
      <c r="AH27" s="692">
        <f t="shared" si="12"/>
        <v>0</v>
      </c>
    </row>
    <row r="28" spans="1:34">
      <c r="A28" s="20"/>
      <c r="B28" s="20" t="s">
        <v>109</v>
      </c>
      <c r="C28" s="667" t="s">
        <v>526</v>
      </c>
      <c r="D28" s="68" t="s">
        <v>385</v>
      </c>
      <c r="E28" s="679"/>
      <c r="F28" s="529">
        <f>VLOOKUP(D28,'Apr 2012 DMV Revenue'!D:T,17,FALSE)</f>
        <v>2085.96</v>
      </c>
      <c r="G28" s="680"/>
      <c r="H28" s="680"/>
      <c r="I28" s="755"/>
      <c r="J28" s="682">
        <f t="shared" si="0"/>
        <v>2085.96</v>
      </c>
      <c r="K28" s="683"/>
      <c r="L28" s="684"/>
      <c r="M28" s="753"/>
      <c r="N28" s="683">
        <v>0</v>
      </c>
      <c r="O28" s="686"/>
      <c r="P28" s="683">
        <v>0</v>
      </c>
      <c r="Q28" s="687">
        <f t="shared" si="1"/>
        <v>0</v>
      </c>
      <c r="R28" s="781">
        <v>1927.57</v>
      </c>
      <c r="S28" s="693"/>
      <c r="T28" s="690">
        <f t="shared" si="2"/>
        <v>1927.57</v>
      </c>
      <c r="U28" s="691"/>
      <c r="V28" s="474">
        <f t="shared" si="3"/>
        <v>0</v>
      </c>
      <c r="W28" s="474">
        <f t="shared" si="4"/>
        <v>0</v>
      </c>
      <c r="X28" s="475">
        <f t="shared" si="5"/>
        <v>0</v>
      </c>
      <c r="Y28" s="475">
        <v>0</v>
      </c>
      <c r="Z28" s="476">
        <v>0</v>
      </c>
      <c r="AA28" s="38">
        <f t="shared" si="6"/>
        <v>0</v>
      </c>
      <c r="AB28" s="692">
        <f t="shared" si="7"/>
        <v>0</v>
      </c>
      <c r="AC28" s="692">
        <f t="shared" si="13"/>
        <v>2085.96</v>
      </c>
      <c r="AD28" s="692">
        <f t="shared" si="9"/>
        <v>0</v>
      </c>
      <c r="AE28" s="38"/>
      <c r="AF28" s="692">
        <f t="shared" si="10"/>
        <v>0</v>
      </c>
      <c r="AG28" s="692">
        <f t="shared" si="11"/>
        <v>0</v>
      </c>
      <c r="AH28" s="692">
        <f t="shared" si="12"/>
        <v>0</v>
      </c>
    </row>
    <row r="29" spans="1:34" s="232" customFormat="1">
      <c r="A29" s="283"/>
      <c r="B29" s="283" t="s">
        <v>110</v>
      </c>
      <c r="C29" s="667" t="s">
        <v>527</v>
      </c>
      <c r="D29" s="123" t="s">
        <v>401</v>
      </c>
      <c r="E29" s="679"/>
      <c r="F29" s="529">
        <f>VLOOKUP(D29,'Apr 2012 DMV Revenue'!D:T,17,FALSE)</f>
        <v>3403.3300000000163</v>
      </c>
      <c r="G29" s="680"/>
      <c r="H29" s="680"/>
      <c r="I29" s="755"/>
      <c r="J29" s="682">
        <f t="shared" si="0"/>
        <v>3403.3300000000163</v>
      </c>
      <c r="K29" s="683"/>
      <c r="L29" s="684"/>
      <c r="M29" s="753">
        <v>375000</v>
      </c>
      <c r="N29" s="683">
        <v>0</v>
      </c>
      <c r="O29" s="686"/>
      <c r="P29" s="683">
        <v>0</v>
      </c>
      <c r="Q29" s="687">
        <f t="shared" si="1"/>
        <v>375000</v>
      </c>
      <c r="R29" s="781">
        <v>383163</v>
      </c>
      <c r="S29" s="693"/>
      <c r="T29" s="690">
        <f t="shared" si="2"/>
        <v>8163</v>
      </c>
      <c r="U29" s="683"/>
      <c r="V29" s="474">
        <f t="shared" si="3"/>
        <v>375000</v>
      </c>
      <c r="W29" s="474">
        <f t="shared" si="4"/>
        <v>0</v>
      </c>
      <c r="X29" s="475">
        <f t="shared" si="5"/>
        <v>0</v>
      </c>
      <c r="Y29" s="475">
        <v>0</v>
      </c>
      <c r="Z29" s="476">
        <v>0</v>
      </c>
      <c r="AA29" s="38">
        <f t="shared" si="6"/>
        <v>0</v>
      </c>
      <c r="AB29" s="692">
        <f t="shared" si="7"/>
        <v>3403.3300000000163</v>
      </c>
      <c r="AC29" s="692">
        <f t="shared" si="13"/>
        <v>0</v>
      </c>
      <c r="AD29" s="692">
        <f t="shared" si="9"/>
        <v>0</v>
      </c>
      <c r="AE29" s="38"/>
      <c r="AF29" s="692">
        <f t="shared" si="10"/>
        <v>375000</v>
      </c>
      <c r="AG29" s="692">
        <f t="shared" si="11"/>
        <v>0</v>
      </c>
      <c r="AH29" s="692">
        <f t="shared" si="12"/>
        <v>0</v>
      </c>
    </row>
    <row r="30" spans="1:34" s="232" customFormat="1">
      <c r="A30" s="283"/>
      <c r="B30" s="283" t="s">
        <v>110</v>
      </c>
      <c r="C30" s="667" t="s">
        <v>528</v>
      </c>
      <c r="D30" s="123" t="s">
        <v>403</v>
      </c>
      <c r="E30" s="679"/>
      <c r="F30" s="529">
        <f>VLOOKUP(D30,'Apr 2012 DMV Revenue'!D:T,17,FALSE)</f>
        <v>3467.6999999999971</v>
      </c>
      <c r="G30" s="680"/>
      <c r="H30" s="680"/>
      <c r="I30" s="755"/>
      <c r="J30" s="682">
        <f t="shared" si="0"/>
        <v>3467.6999999999971</v>
      </c>
      <c r="K30" s="683"/>
      <c r="L30" s="684"/>
      <c r="M30" s="753">
        <v>55000</v>
      </c>
      <c r="N30" s="683">
        <v>0</v>
      </c>
      <c r="O30" s="686"/>
      <c r="P30" s="683">
        <v>0</v>
      </c>
      <c r="Q30" s="687">
        <f t="shared" si="1"/>
        <v>55000</v>
      </c>
      <c r="R30" s="781">
        <v>58122.19</v>
      </c>
      <c r="S30" s="693"/>
      <c r="T30" s="690">
        <f t="shared" si="2"/>
        <v>3122.1900000000023</v>
      </c>
      <c r="U30" s="683"/>
      <c r="V30" s="474">
        <f t="shared" si="3"/>
        <v>55000</v>
      </c>
      <c r="W30" s="474">
        <f t="shared" si="4"/>
        <v>0</v>
      </c>
      <c r="X30" s="475">
        <f t="shared" si="5"/>
        <v>0</v>
      </c>
      <c r="Y30" s="475">
        <v>0</v>
      </c>
      <c r="Z30" s="476">
        <v>0</v>
      </c>
      <c r="AA30" s="38">
        <f t="shared" si="6"/>
        <v>0</v>
      </c>
      <c r="AB30" s="692">
        <f t="shared" si="7"/>
        <v>3467.6999999999971</v>
      </c>
      <c r="AC30" s="692">
        <f t="shared" si="13"/>
        <v>0</v>
      </c>
      <c r="AD30" s="692">
        <f t="shared" si="9"/>
        <v>0</v>
      </c>
      <c r="AE30" s="38"/>
      <c r="AF30" s="692">
        <f t="shared" si="10"/>
        <v>55000</v>
      </c>
      <c r="AG30" s="692">
        <f t="shared" si="11"/>
        <v>0</v>
      </c>
      <c r="AH30" s="692">
        <f t="shared" si="12"/>
        <v>0</v>
      </c>
    </row>
    <row r="31" spans="1:34" s="232" customFormat="1">
      <c r="A31" s="283"/>
      <c r="B31" s="283" t="s">
        <v>110</v>
      </c>
      <c r="C31" s="667" t="s">
        <v>528</v>
      </c>
      <c r="D31" s="123" t="s">
        <v>404</v>
      </c>
      <c r="E31" s="679"/>
      <c r="F31" s="529">
        <f>VLOOKUP(D31,'Apr 2012 DMV Revenue'!D:T,17,FALSE)</f>
        <v>4250.2400000000052</v>
      </c>
      <c r="G31" s="680"/>
      <c r="H31" s="680"/>
      <c r="I31" s="755"/>
      <c r="J31" s="682">
        <f t="shared" si="0"/>
        <v>4250.2400000000052</v>
      </c>
      <c r="K31" s="683"/>
      <c r="L31" s="684"/>
      <c r="M31" s="753">
        <v>65000</v>
      </c>
      <c r="N31" s="683">
        <v>0</v>
      </c>
      <c r="O31" s="686"/>
      <c r="P31" s="683">
        <v>0</v>
      </c>
      <c r="Q31" s="687">
        <f t="shared" si="1"/>
        <v>65000</v>
      </c>
      <c r="R31" s="781">
        <v>72095.59</v>
      </c>
      <c r="S31" s="693"/>
      <c r="T31" s="690">
        <f t="shared" si="2"/>
        <v>7095.5899999999965</v>
      </c>
      <c r="U31" s="683"/>
      <c r="V31" s="474">
        <f t="shared" si="3"/>
        <v>65000</v>
      </c>
      <c r="W31" s="474">
        <f t="shared" si="4"/>
        <v>0</v>
      </c>
      <c r="X31" s="475">
        <f t="shared" si="5"/>
        <v>0</v>
      </c>
      <c r="Y31" s="475">
        <v>0</v>
      </c>
      <c r="Z31" s="476">
        <v>0</v>
      </c>
      <c r="AA31" s="38">
        <f t="shared" si="6"/>
        <v>0</v>
      </c>
      <c r="AB31" s="692">
        <f t="shared" si="7"/>
        <v>4250.2400000000052</v>
      </c>
      <c r="AC31" s="692">
        <f t="shared" si="13"/>
        <v>0</v>
      </c>
      <c r="AD31" s="692">
        <f t="shared" si="9"/>
        <v>0</v>
      </c>
      <c r="AE31" s="38"/>
      <c r="AF31" s="692">
        <f t="shared" si="10"/>
        <v>65000</v>
      </c>
      <c r="AG31" s="692">
        <f t="shared" si="11"/>
        <v>0</v>
      </c>
      <c r="AH31" s="692">
        <f t="shared" si="12"/>
        <v>0</v>
      </c>
    </row>
    <row r="32" spans="1:34" s="232" customFormat="1">
      <c r="A32" s="283"/>
      <c r="B32" s="283" t="s">
        <v>110</v>
      </c>
      <c r="C32" s="667" t="s">
        <v>528</v>
      </c>
      <c r="D32" s="123" t="s">
        <v>405</v>
      </c>
      <c r="E32" s="679"/>
      <c r="F32" s="529">
        <f>VLOOKUP(D32,'Apr 2012 DMV Revenue'!D:T,17,FALSE)</f>
        <v>837.76000000000022</v>
      </c>
      <c r="G32" s="680"/>
      <c r="H32" s="680"/>
      <c r="I32" s="755"/>
      <c r="J32" s="682">
        <f t="shared" si="0"/>
        <v>837.76000000000022</v>
      </c>
      <c r="K32" s="683"/>
      <c r="L32" s="684"/>
      <c r="M32" s="753">
        <v>14000</v>
      </c>
      <c r="N32" s="683">
        <v>0</v>
      </c>
      <c r="O32" s="686"/>
      <c r="P32" s="683">
        <v>0</v>
      </c>
      <c r="Q32" s="687">
        <f t="shared" si="1"/>
        <v>14000</v>
      </c>
      <c r="R32" s="781">
        <v>16381.37</v>
      </c>
      <c r="S32" s="693"/>
      <c r="T32" s="690">
        <f t="shared" si="2"/>
        <v>2381.3700000000008</v>
      </c>
      <c r="U32" s="683"/>
      <c r="V32" s="474">
        <f t="shared" si="3"/>
        <v>14000</v>
      </c>
      <c r="W32" s="474">
        <f t="shared" si="4"/>
        <v>0</v>
      </c>
      <c r="X32" s="475">
        <f t="shared" si="5"/>
        <v>0</v>
      </c>
      <c r="Y32" s="475">
        <v>0</v>
      </c>
      <c r="Z32" s="476">
        <v>0</v>
      </c>
      <c r="AA32" s="38">
        <f t="shared" si="6"/>
        <v>0</v>
      </c>
      <c r="AB32" s="692">
        <f t="shared" si="7"/>
        <v>837.76000000000022</v>
      </c>
      <c r="AC32" s="692">
        <f t="shared" si="13"/>
        <v>0</v>
      </c>
      <c r="AD32" s="692">
        <f t="shared" si="9"/>
        <v>0</v>
      </c>
      <c r="AE32" s="38"/>
      <c r="AF32" s="692">
        <f t="shared" si="10"/>
        <v>14000</v>
      </c>
      <c r="AG32" s="692">
        <f t="shared" si="11"/>
        <v>0</v>
      </c>
      <c r="AH32" s="692">
        <f t="shared" si="12"/>
        <v>0</v>
      </c>
    </row>
    <row r="33" spans="1:34" s="232" customFormat="1">
      <c r="A33" s="283"/>
      <c r="B33" s="283" t="s">
        <v>110</v>
      </c>
      <c r="C33" s="667" t="s">
        <v>528</v>
      </c>
      <c r="D33" s="123" t="s">
        <v>406</v>
      </c>
      <c r="E33" s="679"/>
      <c r="F33" s="529">
        <f>VLOOKUP(D33,'Apr 2012 DMV Revenue'!D:T,17,FALSE)</f>
        <v>-159.17000000000007</v>
      </c>
      <c r="G33" s="680"/>
      <c r="H33" s="680"/>
      <c r="I33" s="755"/>
      <c r="J33" s="682">
        <f t="shared" si="0"/>
        <v>-159.17000000000007</v>
      </c>
      <c r="K33" s="683"/>
      <c r="L33" s="684"/>
      <c r="M33" s="753">
        <v>5000</v>
      </c>
      <c r="N33" s="683">
        <v>0</v>
      </c>
      <c r="O33" s="686"/>
      <c r="P33" s="683">
        <v>0</v>
      </c>
      <c r="Q33" s="687">
        <f t="shared" si="1"/>
        <v>5000</v>
      </c>
      <c r="R33" s="781">
        <v>5481.33</v>
      </c>
      <c r="S33" s="693"/>
      <c r="T33" s="690">
        <f t="shared" si="2"/>
        <v>481.32999999999993</v>
      </c>
      <c r="U33" s="683"/>
      <c r="V33" s="474">
        <f t="shared" si="3"/>
        <v>5000</v>
      </c>
      <c r="W33" s="474">
        <f t="shared" si="4"/>
        <v>0</v>
      </c>
      <c r="X33" s="475">
        <f t="shared" si="5"/>
        <v>0</v>
      </c>
      <c r="Y33" s="475">
        <v>0</v>
      </c>
      <c r="Z33" s="476">
        <v>0</v>
      </c>
      <c r="AA33" s="38">
        <f t="shared" si="6"/>
        <v>0</v>
      </c>
      <c r="AB33" s="692">
        <f t="shared" si="7"/>
        <v>-159.17000000000007</v>
      </c>
      <c r="AC33" s="692">
        <f t="shared" si="13"/>
        <v>0</v>
      </c>
      <c r="AD33" s="692">
        <f t="shared" si="9"/>
        <v>0</v>
      </c>
      <c r="AE33" s="38"/>
      <c r="AF33" s="692">
        <f t="shared" si="10"/>
        <v>5000</v>
      </c>
      <c r="AG33" s="692">
        <f t="shared" si="11"/>
        <v>0</v>
      </c>
      <c r="AH33" s="692">
        <f t="shared" si="12"/>
        <v>0</v>
      </c>
    </row>
    <row r="34" spans="1:34" s="232" customFormat="1">
      <c r="A34" s="283"/>
      <c r="B34" s="283" t="s">
        <v>110</v>
      </c>
      <c r="C34" s="667" t="s">
        <v>528</v>
      </c>
      <c r="D34" s="123" t="s">
        <v>407</v>
      </c>
      <c r="E34" s="679"/>
      <c r="F34" s="529">
        <f>VLOOKUP(D34,'Apr 2012 DMV Revenue'!D:T,17,FALSE)</f>
        <v>507.84000000000015</v>
      </c>
      <c r="G34" s="680"/>
      <c r="H34" s="680"/>
      <c r="I34" s="755"/>
      <c r="J34" s="682">
        <f t="shared" si="0"/>
        <v>507.84000000000015</v>
      </c>
      <c r="K34" s="683"/>
      <c r="L34" s="684"/>
      <c r="M34" s="753">
        <v>2000</v>
      </c>
      <c r="N34" s="683">
        <v>0</v>
      </c>
      <c r="O34" s="686"/>
      <c r="P34" s="683">
        <v>0</v>
      </c>
      <c r="Q34" s="687">
        <f t="shared" si="1"/>
        <v>2000</v>
      </c>
      <c r="R34" s="781">
        <v>2425.12</v>
      </c>
      <c r="S34" s="693"/>
      <c r="T34" s="690">
        <f t="shared" si="2"/>
        <v>425.11999999999989</v>
      </c>
      <c r="U34" s="683"/>
      <c r="V34" s="474">
        <f t="shared" si="3"/>
        <v>2000</v>
      </c>
      <c r="W34" s="474">
        <f t="shared" si="4"/>
        <v>0</v>
      </c>
      <c r="X34" s="475">
        <f t="shared" si="5"/>
        <v>0</v>
      </c>
      <c r="Y34" s="475">
        <v>0</v>
      </c>
      <c r="Z34" s="476">
        <v>0</v>
      </c>
      <c r="AA34" s="38">
        <f t="shared" si="6"/>
        <v>0</v>
      </c>
      <c r="AB34" s="692">
        <f t="shared" si="7"/>
        <v>507.84000000000015</v>
      </c>
      <c r="AC34" s="692">
        <f t="shared" si="13"/>
        <v>0</v>
      </c>
      <c r="AD34" s="692">
        <f t="shared" si="9"/>
        <v>0</v>
      </c>
      <c r="AE34" s="38"/>
      <c r="AF34" s="692">
        <f t="shared" si="10"/>
        <v>2000</v>
      </c>
      <c r="AG34" s="692">
        <f t="shared" si="11"/>
        <v>0</v>
      </c>
      <c r="AH34" s="692">
        <f t="shared" si="12"/>
        <v>0</v>
      </c>
    </row>
    <row r="35" spans="1:34" s="232" customFormat="1">
      <c r="A35" s="283"/>
      <c r="B35" s="283" t="s">
        <v>110</v>
      </c>
      <c r="C35" s="667" t="s">
        <v>528</v>
      </c>
      <c r="D35" s="123" t="s">
        <v>820</v>
      </c>
      <c r="E35" s="679"/>
      <c r="F35" s="529">
        <f>VLOOKUP(D35,'Apr 2012 DMV Revenue'!D:T,17,FALSE)</f>
        <v>-12000</v>
      </c>
      <c r="G35" s="680"/>
      <c r="H35" s="680"/>
      <c r="I35" s="755"/>
      <c r="J35" s="682">
        <f t="shared" si="0"/>
        <v>-12000</v>
      </c>
      <c r="K35" s="683"/>
      <c r="L35" s="684"/>
      <c r="M35" s="753">
        <v>24000</v>
      </c>
      <c r="N35" s="683">
        <v>0</v>
      </c>
      <c r="O35" s="686"/>
      <c r="P35" s="683">
        <v>0</v>
      </c>
      <c r="Q35" s="687">
        <f t="shared" si="1"/>
        <v>24000</v>
      </c>
      <c r="R35" s="781">
        <v>0</v>
      </c>
      <c r="S35" s="693"/>
      <c r="T35" s="690">
        <f t="shared" si="2"/>
        <v>-24000</v>
      </c>
      <c r="U35" s="683"/>
      <c r="V35" s="474">
        <f t="shared" si="3"/>
        <v>24000</v>
      </c>
      <c r="W35" s="474">
        <f t="shared" si="4"/>
        <v>0</v>
      </c>
      <c r="X35" s="475">
        <f t="shared" si="5"/>
        <v>0</v>
      </c>
      <c r="Y35" s="475">
        <v>0</v>
      </c>
      <c r="Z35" s="476">
        <v>0</v>
      </c>
      <c r="AA35" s="38">
        <f t="shared" si="6"/>
        <v>0</v>
      </c>
      <c r="AB35" s="692">
        <f t="shared" si="7"/>
        <v>-12000</v>
      </c>
      <c r="AC35" s="692">
        <f t="shared" si="13"/>
        <v>0</v>
      </c>
      <c r="AD35" s="692">
        <f t="shared" si="9"/>
        <v>0</v>
      </c>
      <c r="AE35" s="38"/>
      <c r="AF35" s="692">
        <f t="shared" si="10"/>
        <v>24000</v>
      </c>
      <c r="AG35" s="692">
        <f t="shared" si="11"/>
        <v>0</v>
      </c>
      <c r="AH35" s="692">
        <f t="shared" si="12"/>
        <v>0</v>
      </c>
    </row>
    <row r="36" spans="1:34" s="232" customFormat="1">
      <c r="A36" s="283"/>
      <c r="B36" s="283" t="s">
        <v>110</v>
      </c>
      <c r="C36" s="667" t="s">
        <v>527</v>
      </c>
      <c r="D36" s="123" t="s">
        <v>460</v>
      </c>
      <c r="E36" s="679"/>
      <c r="F36" s="529">
        <f>VLOOKUP(D36,'Apr 2012 DMV Revenue'!D:T,17,FALSE)</f>
        <v>-2041.2300000000032</v>
      </c>
      <c r="G36" s="680"/>
      <c r="H36" s="680"/>
      <c r="I36" s="770">
        <v>30522.79</v>
      </c>
      <c r="J36" s="682">
        <f t="shared" si="0"/>
        <v>28481.559999999998</v>
      </c>
      <c r="K36" s="683"/>
      <c r="L36" s="684"/>
      <c r="M36" s="753"/>
      <c r="N36" s="683">
        <v>0</v>
      </c>
      <c r="O36" s="686"/>
      <c r="P36" s="683">
        <v>0</v>
      </c>
      <c r="Q36" s="687">
        <f t="shared" si="1"/>
        <v>0</v>
      </c>
      <c r="R36" s="781">
        <v>0</v>
      </c>
      <c r="S36" s="693"/>
      <c r="T36" s="690">
        <f t="shared" si="2"/>
        <v>0</v>
      </c>
      <c r="U36" s="683"/>
      <c r="V36" s="474">
        <f t="shared" si="3"/>
        <v>0</v>
      </c>
      <c r="W36" s="474">
        <f t="shared" si="4"/>
        <v>0</v>
      </c>
      <c r="X36" s="475">
        <f t="shared" si="5"/>
        <v>0</v>
      </c>
      <c r="Y36" s="475">
        <v>0</v>
      </c>
      <c r="Z36" s="476">
        <v>0</v>
      </c>
      <c r="AA36" s="38">
        <f t="shared" si="6"/>
        <v>0</v>
      </c>
      <c r="AB36" s="692">
        <f t="shared" si="7"/>
        <v>28481.559999999998</v>
      </c>
      <c r="AC36" s="692">
        <f t="shared" si="13"/>
        <v>0</v>
      </c>
      <c r="AD36" s="692">
        <f t="shared" si="9"/>
        <v>0</v>
      </c>
      <c r="AE36" s="38"/>
      <c r="AF36" s="692">
        <f t="shared" si="10"/>
        <v>0</v>
      </c>
      <c r="AG36" s="692">
        <f t="shared" si="11"/>
        <v>0</v>
      </c>
      <c r="AH36" s="692">
        <f t="shared" si="12"/>
        <v>0</v>
      </c>
    </row>
    <row r="37" spans="1:34" s="232" customFormat="1">
      <c r="A37" s="283"/>
      <c r="B37" s="283" t="s">
        <v>110</v>
      </c>
      <c r="C37" s="676" t="s">
        <v>528</v>
      </c>
      <c r="D37" s="123" t="s">
        <v>623</v>
      </c>
      <c r="E37" s="679"/>
      <c r="F37" s="529">
        <f>VLOOKUP(D37,'Apr 2012 DMV Revenue'!D:T,17,FALSE)</f>
        <v>0</v>
      </c>
      <c r="G37" s="680"/>
      <c r="H37" s="680"/>
      <c r="I37" s="770">
        <v>12420.38</v>
      </c>
      <c r="J37" s="682">
        <f t="shared" si="0"/>
        <v>12420.38</v>
      </c>
      <c r="K37" s="683"/>
      <c r="L37" s="684"/>
      <c r="M37" s="753"/>
      <c r="N37" s="683">
        <v>0</v>
      </c>
      <c r="O37" s="686"/>
      <c r="P37" s="683">
        <v>0</v>
      </c>
      <c r="Q37" s="687">
        <f t="shared" si="1"/>
        <v>0</v>
      </c>
      <c r="R37" s="781">
        <v>0</v>
      </c>
      <c r="S37" s="693"/>
      <c r="T37" s="690">
        <f t="shared" si="2"/>
        <v>0</v>
      </c>
      <c r="U37" s="683"/>
      <c r="V37" s="474">
        <f t="shared" si="3"/>
        <v>0</v>
      </c>
      <c r="W37" s="474">
        <f t="shared" si="4"/>
        <v>0</v>
      </c>
      <c r="X37" s="475">
        <f t="shared" si="5"/>
        <v>0</v>
      </c>
      <c r="Y37" s="475">
        <v>0</v>
      </c>
      <c r="Z37" s="476">
        <v>0</v>
      </c>
      <c r="AA37" s="38">
        <f t="shared" si="6"/>
        <v>0</v>
      </c>
      <c r="AB37" s="692">
        <f t="shared" si="7"/>
        <v>12420.38</v>
      </c>
      <c r="AC37" s="692">
        <f t="shared" si="13"/>
        <v>0</v>
      </c>
      <c r="AD37" s="692">
        <f t="shared" si="9"/>
        <v>0</v>
      </c>
      <c r="AE37" s="38"/>
      <c r="AF37" s="692">
        <f t="shared" si="10"/>
        <v>0</v>
      </c>
      <c r="AG37" s="692">
        <f t="shared" si="11"/>
        <v>0</v>
      </c>
      <c r="AH37" s="692">
        <f t="shared" si="12"/>
        <v>0</v>
      </c>
    </row>
    <row r="38" spans="1:34" s="232" customFormat="1">
      <c r="A38" s="403"/>
      <c r="B38" s="403" t="s">
        <v>114</v>
      </c>
      <c r="C38" s="666" t="s">
        <v>529</v>
      </c>
      <c r="D38" s="123" t="s">
        <v>108</v>
      </c>
      <c r="E38" s="679"/>
      <c r="F38" s="529">
        <f>VLOOKUP(D38,'Apr 2012 DMV Revenue'!D:T,17,FALSE)</f>
        <v>1260.72</v>
      </c>
      <c r="G38" s="680"/>
      <c r="H38" s="680"/>
      <c r="I38" s="755"/>
      <c r="J38" s="682">
        <f t="shared" si="0"/>
        <v>1260.72</v>
      </c>
      <c r="K38" s="683"/>
      <c r="L38" s="684"/>
      <c r="M38" s="753"/>
      <c r="N38" s="683">
        <v>0</v>
      </c>
      <c r="O38" s="686"/>
      <c r="P38" s="683">
        <v>0</v>
      </c>
      <c r="Q38" s="687">
        <f t="shared" si="1"/>
        <v>0</v>
      </c>
      <c r="R38" s="781">
        <v>1468.41</v>
      </c>
      <c r="S38" s="693"/>
      <c r="T38" s="690">
        <f t="shared" si="2"/>
        <v>1468.41</v>
      </c>
      <c r="U38" s="683"/>
      <c r="V38" s="474">
        <f t="shared" si="3"/>
        <v>0</v>
      </c>
      <c r="W38" s="474">
        <f t="shared" si="4"/>
        <v>0</v>
      </c>
      <c r="X38" s="475">
        <f t="shared" si="5"/>
        <v>0</v>
      </c>
      <c r="Y38" s="475">
        <v>0</v>
      </c>
      <c r="Z38" s="476">
        <v>0</v>
      </c>
      <c r="AA38" s="38">
        <f t="shared" si="6"/>
        <v>0</v>
      </c>
      <c r="AB38" s="692">
        <f t="shared" si="7"/>
        <v>0</v>
      </c>
      <c r="AC38" s="692">
        <f t="shared" si="13"/>
        <v>0</v>
      </c>
      <c r="AD38" s="692">
        <f t="shared" si="9"/>
        <v>1260.72</v>
      </c>
      <c r="AE38" s="38"/>
      <c r="AF38" s="692">
        <f t="shared" si="10"/>
        <v>0</v>
      </c>
      <c r="AG38" s="692">
        <f t="shared" si="11"/>
        <v>0</v>
      </c>
      <c r="AH38" s="692">
        <f t="shared" si="12"/>
        <v>0</v>
      </c>
    </row>
    <row r="39" spans="1:34">
      <c r="A39" s="21"/>
      <c r="B39" s="21" t="s">
        <v>110</v>
      </c>
      <c r="C39" s="666"/>
      <c r="D39" s="68" t="s">
        <v>234</v>
      </c>
      <c r="E39" s="679"/>
      <c r="F39" s="529">
        <f>VLOOKUP(D39,'Apr 2012 DMV Revenue'!D:T,17,FALSE)</f>
        <v>0</v>
      </c>
      <c r="G39" s="680"/>
      <c r="H39" s="680"/>
      <c r="I39" s="755"/>
      <c r="J39" s="682">
        <f t="shared" si="0"/>
        <v>0</v>
      </c>
      <c r="K39" s="683"/>
      <c r="L39" s="684"/>
      <c r="M39" s="753"/>
      <c r="N39" s="683">
        <v>0</v>
      </c>
      <c r="O39" s="686"/>
      <c r="P39" s="683">
        <v>0</v>
      </c>
      <c r="Q39" s="687">
        <f t="shared" si="1"/>
        <v>0</v>
      </c>
      <c r="R39" s="781">
        <v>0</v>
      </c>
      <c r="S39" s="693"/>
      <c r="T39" s="690"/>
      <c r="U39" s="683"/>
      <c r="V39" s="474">
        <f t="shared" si="3"/>
        <v>0</v>
      </c>
      <c r="W39" s="474">
        <f t="shared" si="4"/>
        <v>0</v>
      </c>
      <c r="X39" s="475">
        <f t="shared" si="5"/>
        <v>0</v>
      </c>
      <c r="Y39" s="475">
        <v>0</v>
      </c>
      <c r="Z39" s="476">
        <v>0</v>
      </c>
      <c r="AA39" s="38">
        <f t="shared" si="6"/>
        <v>0</v>
      </c>
      <c r="AB39" s="692">
        <f t="shared" si="7"/>
        <v>0</v>
      </c>
      <c r="AC39" s="692">
        <f t="shared" si="13"/>
        <v>0</v>
      </c>
      <c r="AD39" s="692">
        <f t="shared" si="9"/>
        <v>0</v>
      </c>
      <c r="AE39" s="38"/>
      <c r="AF39" s="692">
        <f t="shared" si="10"/>
        <v>0</v>
      </c>
      <c r="AG39" s="692">
        <f t="shared" si="11"/>
        <v>0</v>
      </c>
      <c r="AH39" s="692">
        <f t="shared" si="12"/>
        <v>0</v>
      </c>
    </row>
    <row r="40" spans="1:34">
      <c r="A40" s="21"/>
      <c r="B40" s="21" t="s">
        <v>110</v>
      </c>
      <c r="C40" s="666"/>
      <c r="D40" s="68" t="s">
        <v>649</v>
      </c>
      <c r="E40" s="679">
        <v>188.42</v>
      </c>
      <c r="F40" s="529">
        <f>VLOOKUP(D40,'Apr 2012 DMV Revenue'!D:T,17,FALSE)</f>
        <v>0</v>
      </c>
      <c r="G40" s="680"/>
      <c r="H40" s="680"/>
      <c r="I40" s="755"/>
      <c r="J40" s="682">
        <f t="shared" si="0"/>
        <v>188.42</v>
      </c>
      <c r="K40" s="683"/>
      <c r="L40" s="684"/>
      <c r="M40" s="753"/>
      <c r="N40" s="683">
        <v>0</v>
      </c>
      <c r="O40" s="686"/>
      <c r="P40" s="683">
        <v>0</v>
      </c>
      <c r="Q40" s="687">
        <f t="shared" si="1"/>
        <v>0</v>
      </c>
      <c r="R40" s="781">
        <v>0</v>
      </c>
      <c r="S40" s="693"/>
      <c r="T40" s="690">
        <f t="shared" si="2"/>
        <v>0</v>
      </c>
      <c r="U40" s="683"/>
      <c r="V40" s="474">
        <f t="shared" si="3"/>
        <v>0</v>
      </c>
      <c r="W40" s="474">
        <f t="shared" si="4"/>
        <v>0</v>
      </c>
      <c r="X40" s="475">
        <f t="shared" si="5"/>
        <v>0</v>
      </c>
      <c r="Y40" s="475">
        <v>0</v>
      </c>
      <c r="Z40" s="476">
        <v>0</v>
      </c>
      <c r="AA40" s="38">
        <f t="shared" si="6"/>
        <v>0</v>
      </c>
      <c r="AB40" s="692">
        <f t="shared" si="7"/>
        <v>188.42</v>
      </c>
      <c r="AC40" s="692">
        <f t="shared" si="13"/>
        <v>0</v>
      </c>
      <c r="AD40" s="692">
        <f t="shared" si="9"/>
        <v>0</v>
      </c>
      <c r="AE40" s="38"/>
      <c r="AF40" s="692">
        <f t="shared" si="10"/>
        <v>0</v>
      </c>
      <c r="AG40" s="692">
        <f t="shared" si="11"/>
        <v>0</v>
      </c>
      <c r="AH40" s="692">
        <f t="shared" si="12"/>
        <v>0</v>
      </c>
    </row>
    <row r="41" spans="1:34">
      <c r="A41" s="20"/>
      <c r="B41" s="20" t="s">
        <v>109</v>
      </c>
      <c r="C41" s="667"/>
      <c r="D41" s="68" t="s">
        <v>598</v>
      </c>
      <c r="E41" s="679">
        <f>2752.35-55788.7</f>
        <v>-53036.35</v>
      </c>
      <c r="F41" s="529">
        <f>VLOOKUP(D41,'Apr 2012 DMV Revenue'!D:T,17,FALSE)</f>
        <v>-8000</v>
      </c>
      <c r="G41" s="680"/>
      <c r="H41" s="680"/>
      <c r="I41" s="755"/>
      <c r="J41" s="682">
        <f t="shared" si="0"/>
        <v>-61036.35</v>
      </c>
      <c r="K41" s="683"/>
      <c r="L41" s="684"/>
      <c r="M41" s="753">
        <v>16000</v>
      </c>
      <c r="N41" s="683">
        <v>0</v>
      </c>
      <c r="O41" s="686"/>
      <c r="P41" s="683">
        <v>0</v>
      </c>
      <c r="Q41" s="687">
        <f t="shared" si="1"/>
        <v>16000</v>
      </c>
      <c r="R41" s="781">
        <v>0</v>
      </c>
      <c r="S41" s="693"/>
      <c r="T41" s="690">
        <f t="shared" si="2"/>
        <v>-16000</v>
      </c>
      <c r="U41" s="683"/>
      <c r="V41" s="474">
        <f t="shared" si="3"/>
        <v>0</v>
      </c>
      <c r="W41" s="474">
        <f t="shared" si="4"/>
        <v>16000</v>
      </c>
      <c r="X41" s="475">
        <f t="shared" si="5"/>
        <v>0</v>
      </c>
      <c r="Y41" s="475">
        <v>0</v>
      </c>
      <c r="Z41" s="476">
        <v>0</v>
      </c>
      <c r="AA41" s="38">
        <f t="shared" si="6"/>
        <v>0</v>
      </c>
      <c r="AB41" s="692">
        <f t="shared" si="7"/>
        <v>0</v>
      </c>
      <c r="AC41" s="692">
        <f t="shared" si="13"/>
        <v>-61036.35</v>
      </c>
      <c r="AD41" s="692">
        <f t="shared" si="9"/>
        <v>0</v>
      </c>
      <c r="AE41" s="38"/>
      <c r="AF41" s="692">
        <f t="shared" si="10"/>
        <v>0</v>
      </c>
      <c r="AG41" s="692">
        <f t="shared" si="11"/>
        <v>16000</v>
      </c>
      <c r="AH41" s="692">
        <f t="shared" si="12"/>
        <v>0</v>
      </c>
    </row>
    <row r="42" spans="1:34">
      <c r="A42" s="20"/>
      <c r="B42" s="20" t="s">
        <v>109</v>
      </c>
      <c r="C42" s="667"/>
      <c r="D42" s="68" t="s">
        <v>470</v>
      </c>
      <c r="E42" s="679"/>
      <c r="F42" s="529">
        <f>VLOOKUP(D42,'Apr 2012 DMV Revenue'!D:T,17,FALSE)</f>
        <v>0</v>
      </c>
      <c r="G42" s="680"/>
      <c r="H42" s="680"/>
      <c r="I42" s="755"/>
      <c r="J42" s="682">
        <f t="shared" si="0"/>
        <v>0</v>
      </c>
      <c r="K42" s="683"/>
      <c r="L42" s="684"/>
      <c r="M42" s="753"/>
      <c r="N42" s="683">
        <v>0</v>
      </c>
      <c r="O42" s="686"/>
      <c r="P42" s="683">
        <v>0</v>
      </c>
      <c r="Q42" s="687">
        <f t="shared" si="1"/>
        <v>0</v>
      </c>
      <c r="R42" s="781">
        <v>0</v>
      </c>
      <c r="S42" s="693"/>
      <c r="T42" s="690">
        <f t="shared" si="2"/>
        <v>0</v>
      </c>
      <c r="U42" s="683"/>
      <c r="V42" s="474">
        <f t="shared" si="3"/>
        <v>0</v>
      </c>
      <c r="W42" s="474">
        <f t="shared" si="4"/>
        <v>0</v>
      </c>
      <c r="X42" s="475">
        <f t="shared" si="5"/>
        <v>0</v>
      </c>
      <c r="Y42" s="475">
        <v>0</v>
      </c>
      <c r="Z42" s="476">
        <v>0</v>
      </c>
      <c r="AA42" s="38">
        <f t="shared" si="6"/>
        <v>0</v>
      </c>
      <c r="AB42" s="692">
        <f t="shared" si="7"/>
        <v>0</v>
      </c>
      <c r="AC42" s="692">
        <f t="shared" si="13"/>
        <v>0</v>
      </c>
      <c r="AD42" s="692">
        <f t="shared" si="9"/>
        <v>0</v>
      </c>
      <c r="AE42" s="38"/>
      <c r="AF42" s="692">
        <f t="shared" si="10"/>
        <v>0</v>
      </c>
      <c r="AG42" s="692">
        <f t="shared" si="11"/>
        <v>0</v>
      </c>
      <c r="AH42" s="692">
        <f t="shared" si="12"/>
        <v>0</v>
      </c>
    </row>
    <row r="43" spans="1:34">
      <c r="A43" s="20"/>
      <c r="B43" s="20" t="s">
        <v>110</v>
      </c>
      <c r="C43" s="667"/>
      <c r="D43" s="68" t="s">
        <v>311</v>
      </c>
      <c r="E43" s="679"/>
      <c r="F43" s="529">
        <f>VLOOKUP(D43,'Apr 2012 DMV Revenue'!D:T,17,FALSE)</f>
        <v>0</v>
      </c>
      <c r="G43" s="680"/>
      <c r="H43" s="680"/>
      <c r="I43" s="755"/>
      <c r="J43" s="682">
        <f t="shared" si="0"/>
        <v>0</v>
      </c>
      <c r="K43" s="683"/>
      <c r="L43" s="684"/>
      <c r="M43" s="753"/>
      <c r="N43" s="683">
        <v>0</v>
      </c>
      <c r="O43" s="686"/>
      <c r="P43" s="683">
        <v>0</v>
      </c>
      <c r="Q43" s="687">
        <f t="shared" si="1"/>
        <v>0</v>
      </c>
      <c r="R43" s="781">
        <v>0</v>
      </c>
      <c r="S43" s="693"/>
      <c r="T43" s="690">
        <f t="shared" si="2"/>
        <v>0</v>
      </c>
      <c r="U43" s="683"/>
      <c r="V43" s="474">
        <f t="shared" si="3"/>
        <v>0</v>
      </c>
      <c r="W43" s="474">
        <f t="shared" si="4"/>
        <v>0</v>
      </c>
      <c r="X43" s="475">
        <f t="shared" si="5"/>
        <v>0</v>
      </c>
      <c r="Y43" s="475">
        <v>0</v>
      </c>
      <c r="Z43" s="476">
        <v>0</v>
      </c>
      <c r="AA43" s="38">
        <f t="shared" si="6"/>
        <v>0</v>
      </c>
      <c r="AB43" s="692">
        <f t="shared" si="7"/>
        <v>0</v>
      </c>
      <c r="AC43" s="692">
        <f t="shared" si="13"/>
        <v>0</v>
      </c>
      <c r="AD43" s="692">
        <f t="shared" si="9"/>
        <v>0</v>
      </c>
      <c r="AE43" s="38"/>
      <c r="AF43" s="692">
        <f t="shared" si="10"/>
        <v>0</v>
      </c>
      <c r="AG43" s="692">
        <f t="shared" si="11"/>
        <v>0</v>
      </c>
      <c r="AH43" s="692">
        <f t="shared" si="12"/>
        <v>0</v>
      </c>
    </row>
    <row r="44" spans="1:34">
      <c r="A44" s="20"/>
      <c r="B44" s="20" t="s">
        <v>110</v>
      </c>
      <c r="C44" s="667"/>
      <c r="D44" s="68" t="s">
        <v>451</v>
      </c>
      <c r="E44" s="679">
        <v>14490</v>
      </c>
      <c r="F44" s="529">
        <f>VLOOKUP(D44,'Apr 2012 DMV Revenue'!D:T,17,FALSE)</f>
        <v>-20000</v>
      </c>
      <c r="G44" s="680"/>
      <c r="H44" s="680"/>
      <c r="I44" s="755"/>
      <c r="J44" s="682">
        <f t="shared" si="0"/>
        <v>-5510</v>
      </c>
      <c r="K44" s="683"/>
      <c r="L44" s="684"/>
      <c r="M44" s="753">
        <v>10000</v>
      </c>
      <c r="N44" s="683">
        <v>0</v>
      </c>
      <c r="O44" s="686"/>
      <c r="P44" s="683">
        <v>0</v>
      </c>
      <c r="Q44" s="687">
        <f t="shared" si="1"/>
        <v>10000</v>
      </c>
      <c r="R44" s="781">
        <v>0</v>
      </c>
      <c r="S44" s="693"/>
      <c r="T44" s="690">
        <f t="shared" si="2"/>
        <v>-10000</v>
      </c>
      <c r="U44" s="683"/>
      <c r="V44" s="474">
        <f t="shared" si="3"/>
        <v>10000</v>
      </c>
      <c r="W44" s="474">
        <f t="shared" si="4"/>
        <v>0</v>
      </c>
      <c r="X44" s="475">
        <f t="shared" si="5"/>
        <v>0</v>
      </c>
      <c r="Y44" s="475">
        <v>0</v>
      </c>
      <c r="Z44" s="476">
        <v>0</v>
      </c>
      <c r="AA44" s="38">
        <f t="shared" si="6"/>
        <v>0</v>
      </c>
      <c r="AB44" s="692">
        <f t="shared" si="7"/>
        <v>-5510</v>
      </c>
      <c r="AC44" s="692">
        <f t="shared" si="13"/>
        <v>0</v>
      </c>
      <c r="AD44" s="692">
        <f t="shared" si="9"/>
        <v>0</v>
      </c>
      <c r="AE44" s="38"/>
      <c r="AF44" s="692">
        <f t="shared" si="10"/>
        <v>10000</v>
      </c>
      <c r="AG44" s="692">
        <f t="shared" si="11"/>
        <v>0</v>
      </c>
      <c r="AH44" s="692">
        <f t="shared" si="12"/>
        <v>0</v>
      </c>
    </row>
    <row r="45" spans="1:34">
      <c r="A45" s="20"/>
      <c r="B45" s="20" t="s">
        <v>109</v>
      </c>
      <c r="C45" s="667"/>
      <c r="D45" s="68" t="s">
        <v>469</v>
      </c>
      <c r="E45" s="679"/>
      <c r="F45" s="529">
        <f>VLOOKUP(D45,'Apr 2012 DMV Revenue'!D:T,17,FALSE)</f>
        <v>0</v>
      </c>
      <c r="G45" s="680"/>
      <c r="H45" s="680"/>
      <c r="I45" s="755"/>
      <c r="J45" s="682">
        <f t="shared" si="0"/>
        <v>0</v>
      </c>
      <c r="K45" s="683"/>
      <c r="L45" s="684"/>
      <c r="M45" s="753"/>
      <c r="N45" s="683">
        <v>0</v>
      </c>
      <c r="O45" s="686"/>
      <c r="P45" s="683">
        <v>0</v>
      </c>
      <c r="Q45" s="687">
        <f t="shared" si="1"/>
        <v>0</v>
      </c>
      <c r="R45" s="781">
        <v>5078.93</v>
      </c>
      <c r="S45" s="693"/>
      <c r="T45" s="690">
        <f t="shared" si="2"/>
        <v>5078.93</v>
      </c>
      <c r="U45" s="683"/>
      <c r="V45" s="474">
        <f t="shared" si="3"/>
        <v>0</v>
      </c>
      <c r="W45" s="474">
        <f t="shared" si="4"/>
        <v>0</v>
      </c>
      <c r="X45" s="475">
        <f t="shared" si="5"/>
        <v>0</v>
      </c>
      <c r="Y45" s="475">
        <v>0</v>
      </c>
      <c r="Z45" s="476">
        <v>0</v>
      </c>
      <c r="AA45" s="38">
        <f t="shared" si="6"/>
        <v>0</v>
      </c>
      <c r="AB45" s="692">
        <f t="shared" si="7"/>
        <v>0</v>
      </c>
      <c r="AC45" s="692">
        <f t="shared" si="13"/>
        <v>0</v>
      </c>
      <c r="AD45" s="692">
        <f t="shared" si="9"/>
        <v>0</v>
      </c>
      <c r="AE45" s="38"/>
      <c r="AF45" s="692">
        <f t="shared" si="10"/>
        <v>0</v>
      </c>
      <c r="AG45" s="692">
        <f t="shared" si="11"/>
        <v>0</v>
      </c>
      <c r="AH45" s="692">
        <f t="shared" si="12"/>
        <v>0</v>
      </c>
    </row>
    <row r="46" spans="1:34">
      <c r="A46" s="20"/>
      <c r="B46" s="20" t="s">
        <v>110</v>
      </c>
      <c r="C46" s="667" t="s">
        <v>530</v>
      </c>
      <c r="D46" s="68" t="s">
        <v>69</v>
      </c>
      <c r="E46" s="679">
        <v>2454.6799999999998</v>
      </c>
      <c r="F46" s="529">
        <f>VLOOKUP(D46,'Apr 2012 DMV Revenue'!D:T,17,FALSE)</f>
        <v>2514.0700000000002</v>
      </c>
      <c r="G46" s="680"/>
      <c r="H46" s="680"/>
      <c r="I46" s="755"/>
      <c r="J46" s="682">
        <f t="shared" si="0"/>
        <v>4968.75</v>
      </c>
      <c r="K46" s="683"/>
      <c r="L46" s="684"/>
      <c r="M46" s="753"/>
      <c r="N46" s="683">
        <v>0</v>
      </c>
      <c r="O46" s="686"/>
      <c r="P46" s="683">
        <v>0</v>
      </c>
      <c r="Q46" s="687">
        <f t="shared" si="1"/>
        <v>0</v>
      </c>
      <c r="R46" s="781">
        <v>2141.48</v>
      </c>
      <c r="S46" s="693"/>
      <c r="T46" s="690">
        <f t="shared" si="2"/>
        <v>2141.48</v>
      </c>
      <c r="U46" s="683"/>
      <c r="V46" s="474">
        <f t="shared" si="3"/>
        <v>0</v>
      </c>
      <c r="W46" s="474">
        <f t="shared" si="4"/>
        <v>0</v>
      </c>
      <c r="X46" s="475">
        <f t="shared" si="5"/>
        <v>0</v>
      </c>
      <c r="Y46" s="475">
        <v>0</v>
      </c>
      <c r="Z46" s="476">
        <v>0</v>
      </c>
      <c r="AA46" s="38">
        <f t="shared" si="6"/>
        <v>0</v>
      </c>
      <c r="AB46" s="692">
        <f t="shared" si="7"/>
        <v>4968.75</v>
      </c>
      <c r="AC46" s="692">
        <f t="shared" si="13"/>
        <v>0</v>
      </c>
      <c r="AD46" s="692">
        <f t="shared" si="9"/>
        <v>0</v>
      </c>
      <c r="AE46" s="38"/>
      <c r="AF46" s="692">
        <f t="shared" si="10"/>
        <v>0</v>
      </c>
      <c r="AG46" s="692">
        <f t="shared" si="11"/>
        <v>0</v>
      </c>
      <c r="AH46" s="692">
        <f t="shared" si="12"/>
        <v>0</v>
      </c>
    </row>
    <row r="47" spans="1:34">
      <c r="A47" s="20"/>
      <c r="B47" s="20" t="s">
        <v>110</v>
      </c>
      <c r="C47" s="667" t="s">
        <v>531</v>
      </c>
      <c r="D47" s="68" t="s">
        <v>237</v>
      </c>
      <c r="E47" s="679"/>
      <c r="F47" s="529">
        <f>VLOOKUP(D47,'Apr 2012 DMV Revenue'!D:T,17,FALSE)</f>
        <v>0</v>
      </c>
      <c r="G47" s="680"/>
      <c r="H47" s="680"/>
      <c r="I47" s="755"/>
      <c r="J47" s="682">
        <f t="shared" si="0"/>
        <v>0</v>
      </c>
      <c r="K47" s="683"/>
      <c r="L47" s="684"/>
      <c r="M47" s="753">
        <v>14000</v>
      </c>
      <c r="N47" s="683">
        <v>0</v>
      </c>
      <c r="O47" s="686"/>
      <c r="P47" s="683">
        <v>0</v>
      </c>
      <c r="Q47" s="687">
        <f t="shared" si="1"/>
        <v>14000</v>
      </c>
      <c r="R47" s="781">
        <v>14497.9</v>
      </c>
      <c r="S47" s="693"/>
      <c r="T47" s="690">
        <f t="shared" si="2"/>
        <v>497.89999999999964</v>
      </c>
      <c r="U47" s="683"/>
      <c r="V47" s="474">
        <f t="shared" si="3"/>
        <v>14000</v>
      </c>
      <c r="W47" s="474">
        <f t="shared" si="4"/>
        <v>0</v>
      </c>
      <c r="X47" s="475">
        <f t="shared" si="5"/>
        <v>0</v>
      </c>
      <c r="Y47" s="475">
        <v>0</v>
      </c>
      <c r="Z47" s="476">
        <v>0</v>
      </c>
      <c r="AA47" s="38">
        <f t="shared" si="6"/>
        <v>0</v>
      </c>
      <c r="AB47" s="692">
        <f t="shared" si="7"/>
        <v>0</v>
      </c>
      <c r="AC47" s="692">
        <f t="shared" si="13"/>
        <v>0</v>
      </c>
      <c r="AD47" s="692">
        <f t="shared" si="9"/>
        <v>0</v>
      </c>
      <c r="AE47" s="38"/>
      <c r="AF47" s="692">
        <f t="shared" si="10"/>
        <v>14000</v>
      </c>
      <c r="AG47" s="692">
        <f t="shared" si="11"/>
        <v>0</v>
      </c>
      <c r="AH47" s="692">
        <f t="shared" si="12"/>
        <v>0</v>
      </c>
    </row>
    <row r="48" spans="1:34">
      <c r="A48" s="20" t="s">
        <v>211</v>
      </c>
      <c r="B48" s="20" t="s">
        <v>110</v>
      </c>
      <c r="C48" s="667" t="s">
        <v>532</v>
      </c>
      <c r="D48" s="68" t="s">
        <v>7</v>
      </c>
      <c r="E48" s="679"/>
      <c r="F48" s="529">
        <f>VLOOKUP(D48,'Apr 2012 DMV Revenue'!D:T,17,FALSE)</f>
        <v>0</v>
      </c>
      <c r="G48" s="680"/>
      <c r="H48" s="680"/>
      <c r="I48" s="755"/>
      <c r="J48" s="682">
        <f t="shared" si="0"/>
        <v>0</v>
      </c>
      <c r="K48" s="683"/>
      <c r="L48" s="684"/>
      <c r="M48" s="753"/>
      <c r="N48" s="683">
        <v>0</v>
      </c>
      <c r="O48" s="686"/>
      <c r="P48" s="683">
        <v>0</v>
      </c>
      <c r="Q48" s="687">
        <f t="shared" si="1"/>
        <v>0</v>
      </c>
      <c r="R48" s="781">
        <v>0</v>
      </c>
      <c r="S48" s="693"/>
      <c r="T48" s="690">
        <f t="shared" si="2"/>
        <v>0</v>
      </c>
      <c r="U48" s="697"/>
      <c r="V48" s="474">
        <f t="shared" si="3"/>
        <v>0</v>
      </c>
      <c r="W48" s="474">
        <f t="shared" si="4"/>
        <v>0</v>
      </c>
      <c r="X48" s="475">
        <f t="shared" si="5"/>
        <v>0</v>
      </c>
      <c r="Y48" s="475">
        <v>0</v>
      </c>
      <c r="Z48" s="476">
        <v>0</v>
      </c>
      <c r="AA48" s="38">
        <f t="shared" si="6"/>
        <v>0</v>
      </c>
      <c r="AB48" s="692">
        <f t="shared" si="7"/>
        <v>0</v>
      </c>
      <c r="AC48" s="692">
        <f t="shared" si="13"/>
        <v>0</v>
      </c>
      <c r="AD48" s="692">
        <f t="shared" si="9"/>
        <v>0</v>
      </c>
      <c r="AE48" s="38"/>
      <c r="AF48" s="692">
        <f t="shared" si="10"/>
        <v>0</v>
      </c>
      <c r="AG48" s="692">
        <f t="shared" si="11"/>
        <v>0</v>
      </c>
      <c r="AH48" s="692">
        <f t="shared" si="12"/>
        <v>0</v>
      </c>
    </row>
    <row r="49" spans="1:34" s="232" customFormat="1">
      <c r="A49" s="283" t="s">
        <v>97</v>
      </c>
      <c r="B49" s="283" t="s">
        <v>109</v>
      </c>
      <c r="C49" s="667" t="s">
        <v>533</v>
      </c>
      <c r="D49" s="123" t="s">
        <v>415</v>
      </c>
      <c r="E49" s="679">
        <f>63.21+4.52</f>
        <v>67.73</v>
      </c>
      <c r="F49" s="529">
        <f>VLOOKUP(D49,'Apr 2012 DMV Revenue'!D:T,17,FALSE)</f>
        <v>0</v>
      </c>
      <c r="G49" s="680"/>
      <c r="H49" s="680"/>
      <c r="I49" s="755"/>
      <c r="J49" s="682">
        <f t="shared" si="0"/>
        <v>67.73</v>
      </c>
      <c r="K49" s="683"/>
      <c r="L49" s="684"/>
      <c r="M49" s="753"/>
      <c r="N49" s="683">
        <v>0</v>
      </c>
      <c r="O49" s="686"/>
      <c r="P49" s="683">
        <v>0</v>
      </c>
      <c r="Q49" s="687">
        <f t="shared" si="1"/>
        <v>0</v>
      </c>
      <c r="R49" s="781">
        <v>0</v>
      </c>
      <c r="S49" s="693"/>
      <c r="T49" s="690">
        <f t="shared" si="2"/>
        <v>0</v>
      </c>
      <c r="U49" s="683"/>
      <c r="V49" s="474">
        <f t="shared" si="3"/>
        <v>0</v>
      </c>
      <c r="W49" s="474">
        <f t="shared" si="4"/>
        <v>0</v>
      </c>
      <c r="X49" s="475">
        <f t="shared" si="5"/>
        <v>0</v>
      </c>
      <c r="Y49" s="475">
        <v>0</v>
      </c>
      <c r="Z49" s="476">
        <v>0</v>
      </c>
      <c r="AA49" s="38">
        <f t="shared" si="6"/>
        <v>0</v>
      </c>
      <c r="AB49" s="692">
        <f t="shared" si="7"/>
        <v>0</v>
      </c>
      <c r="AC49" s="692">
        <f t="shared" si="13"/>
        <v>67.73</v>
      </c>
      <c r="AD49" s="692">
        <f t="shared" si="9"/>
        <v>0</v>
      </c>
      <c r="AE49" s="38"/>
      <c r="AF49" s="692">
        <f t="shared" si="10"/>
        <v>0</v>
      </c>
      <c r="AG49" s="692">
        <f t="shared" si="11"/>
        <v>0</v>
      </c>
      <c r="AH49" s="692">
        <f t="shared" si="12"/>
        <v>0</v>
      </c>
    </row>
    <row r="50" spans="1:34" s="232" customFormat="1">
      <c r="A50" s="283"/>
      <c r="B50" s="283" t="s">
        <v>109</v>
      </c>
      <c r="C50" s="667" t="s">
        <v>533</v>
      </c>
      <c r="D50" s="123" t="s">
        <v>416</v>
      </c>
      <c r="E50" s="679"/>
      <c r="F50" s="529">
        <f>VLOOKUP(D50,'Apr 2012 DMV Revenue'!D:T,17,FALSE)</f>
        <v>0</v>
      </c>
      <c r="G50" s="680"/>
      <c r="H50" s="680"/>
      <c r="I50" s="755"/>
      <c r="J50" s="682">
        <f t="shared" si="0"/>
        <v>0</v>
      </c>
      <c r="K50" s="683"/>
      <c r="L50" s="684"/>
      <c r="M50" s="753"/>
      <c r="N50" s="683">
        <v>0</v>
      </c>
      <c r="O50" s="686"/>
      <c r="P50" s="683">
        <v>0</v>
      </c>
      <c r="Q50" s="687">
        <f t="shared" si="1"/>
        <v>0</v>
      </c>
      <c r="R50" s="781">
        <v>0</v>
      </c>
      <c r="S50" s="693"/>
      <c r="T50" s="690">
        <f t="shared" si="2"/>
        <v>0</v>
      </c>
      <c r="U50" s="683"/>
      <c r="V50" s="474">
        <f t="shared" si="3"/>
        <v>0</v>
      </c>
      <c r="W50" s="474">
        <f t="shared" si="4"/>
        <v>0</v>
      </c>
      <c r="X50" s="475">
        <f t="shared" si="5"/>
        <v>0</v>
      </c>
      <c r="Y50" s="475">
        <v>0</v>
      </c>
      <c r="Z50" s="476">
        <v>0</v>
      </c>
      <c r="AA50" s="38">
        <f t="shared" si="6"/>
        <v>0</v>
      </c>
      <c r="AB50" s="692">
        <f t="shared" si="7"/>
        <v>0</v>
      </c>
      <c r="AC50" s="692">
        <f t="shared" si="13"/>
        <v>0</v>
      </c>
      <c r="AD50" s="692">
        <f t="shared" si="9"/>
        <v>0</v>
      </c>
      <c r="AE50" s="38"/>
      <c r="AF50" s="692">
        <f t="shared" si="10"/>
        <v>0</v>
      </c>
      <c r="AG50" s="692">
        <f t="shared" si="11"/>
        <v>0</v>
      </c>
      <c r="AH50" s="692">
        <f t="shared" si="12"/>
        <v>0</v>
      </c>
    </row>
    <row r="51" spans="1:34" s="232" customFormat="1">
      <c r="A51" s="283"/>
      <c r="B51" s="283" t="s">
        <v>109</v>
      </c>
      <c r="C51" s="667" t="s">
        <v>533</v>
      </c>
      <c r="D51" s="123" t="s">
        <v>417</v>
      </c>
      <c r="E51" s="679">
        <v>325.66000000000003</v>
      </c>
      <c r="F51" s="529">
        <f>VLOOKUP(D51,'Apr 2012 DMV Revenue'!D:T,17,FALSE)</f>
        <v>0</v>
      </c>
      <c r="G51" s="680"/>
      <c r="H51" s="680"/>
      <c r="I51" s="755"/>
      <c r="J51" s="682">
        <f t="shared" si="0"/>
        <v>325.66000000000003</v>
      </c>
      <c r="K51" s="683"/>
      <c r="L51" s="684"/>
      <c r="M51" s="753"/>
      <c r="N51" s="683">
        <v>0</v>
      </c>
      <c r="O51" s="686"/>
      <c r="P51" s="683">
        <v>0</v>
      </c>
      <c r="Q51" s="687">
        <f t="shared" si="1"/>
        <v>0</v>
      </c>
      <c r="R51" s="781">
        <v>0</v>
      </c>
      <c r="S51" s="693"/>
      <c r="T51" s="690">
        <f t="shared" si="2"/>
        <v>0</v>
      </c>
      <c r="U51" s="683"/>
      <c r="V51" s="474">
        <f t="shared" si="3"/>
        <v>0</v>
      </c>
      <c r="W51" s="474">
        <f t="shared" si="4"/>
        <v>0</v>
      </c>
      <c r="X51" s="475">
        <f t="shared" si="5"/>
        <v>0</v>
      </c>
      <c r="Y51" s="475">
        <v>0</v>
      </c>
      <c r="Z51" s="476">
        <v>0</v>
      </c>
      <c r="AA51" s="38">
        <f t="shared" si="6"/>
        <v>0</v>
      </c>
      <c r="AB51" s="692">
        <f t="shared" si="7"/>
        <v>0</v>
      </c>
      <c r="AC51" s="692">
        <f t="shared" si="13"/>
        <v>325.66000000000003</v>
      </c>
      <c r="AD51" s="692">
        <f t="shared" si="9"/>
        <v>0</v>
      </c>
      <c r="AE51" s="38"/>
      <c r="AF51" s="692">
        <f t="shared" si="10"/>
        <v>0</v>
      </c>
      <c r="AG51" s="692">
        <f t="shared" si="11"/>
        <v>0</v>
      </c>
      <c r="AH51" s="692">
        <f t="shared" si="12"/>
        <v>0</v>
      </c>
    </row>
    <row r="52" spans="1:34" s="232" customFormat="1">
      <c r="A52" s="283"/>
      <c r="B52" s="283" t="s">
        <v>109</v>
      </c>
      <c r="C52" s="667" t="s">
        <v>533</v>
      </c>
      <c r="D52" s="123" t="s">
        <v>418</v>
      </c>
      <c r="E52" s="679"/>
      <c r="F52" s="529">
        <f>VLOOKUP(D52,'Apr 2012 DMV Revenue'!D:T,17,FALSE)</f>
        <v>0</v>
      </c>
      <c r="G52" s="680"/>
      <c r="H52" s="680"/>
      <c r="I52" s="755"/>
      <c r="J52" s="682">
        <f t="shared" si="0"/>
        <v>0</v>
      </c>
      <c r="K52" s="683"/>
      <c r="L52" s="684"/>
      <c r="M52" s="753"/>
      <c r="N52" s="683">
        <v>0</v>
      </c>
      <c r="O52" s="686"/>
      <c r="P52" s="683">
        <v>0</v>
      </c>
      <c r="Q52" s="687">
        <f t="shared" si="1"/>
        <v>0</v>
      </c>
      <c r="R52" s="781">
        <v>0</v>
      </c>
      <c r="S52" s="693"/>
      <c r="T52" s="690">
        <f t="shared" si="2"/>
        <v>0</v>
      </c>
      <c r="U52" s="683"/>
      <c r="V52" s="474">
        <f t="shared" si="3"/>
        <v>0</v>
      </c>
      <c r="W52" s="474">
        <f t="shared" si="4"/>
        <v>0</v>
      </c>
      <c r="X52" s="475">
        <f t="shared" si="5"/>
        <v>0</v>
      </c>
      <c r="Y52" s="475">
        <v>0</v>
      </c>
      <c r="Z52" s="476">
        <v>0</v>
      </c>
      <c r="AA52" s="38">
        <f t="shared" si="6"/>
        <v>0</v>
      </c>
      <c r="AB52" s="692">
        <f t="shared" si="7"/>
        <v>0</v>
      </c>
      <c r="AC52" s="692">
        <f t="shared" si="13"/>
        <v>0</v>
      </c>
      <c r="AD52" s="692">
        <f t="shared" si="9"/>
        <v>0</v>
      </c>
      <c r="AE52" s="38"/>
      <c r="AF52" s="692">
        <f t="shared" si="10"/>
        <v>0</v>
      </c>
      <c r="AG52" s="692">
        <f t="shared" si="11"/>
        <v>0</v>
      </c>
      <c r="AH52" s="692">
        <f t="shared" si="12"/>
        <v>0</v>
      </c>
    </row>
    <row r="53" spans="1:34">
      <c r="A53" s="20" t="s">
        <v>211</v>
      </c>
      <c r="B53" s="20" t="s">
        <v>109</v>
      </c>
      <c r="C53" s="667" t="s">
        <v>534</v>
      </c>
      <c r="D53" s="68" t="s">
        <v>9</v>
      </c>
      <c r="E53" s="679"/>
      <c r="F53" s="529">
        <f>VLOOKUP(D53,'Apr 2012 DMV Revenue'!D:T,17,FALSE)</f>
        <v>0</v>
      </c>
      <c r="G53" s="680"/>
      <c r="H53" s="680"/>
      <c r="I53" s="755"/>
      <c r="J53" s="682">
        <f t="shared" si="0"/>
        <v>0</v>
      </c>
      <c r="K53" s="683"/>
      <c r="L53" s="684"/>
      <c r="M53" s="753"/>
      <c r="N53" s="683">
        <v>0</v>
      </c>
      <c r="O53" s="686"/>
      <c r="P53" s="683">
        <v>0</v>
      </c>
      <c r="Q53" s="687">
        <f t="shared" si="1"/>
        <v>0</v>
      </c>
      <c r="R53" s="781">
        <v>0</v>
      </c>
      <c r="S53" s="693"/>
      <c r="T53" s="690">
        <f t="shared" si="2"/>
        <v>0</v>
      </c>
      <c r="U53" s="697"/>
      <c r="V53" s="474">
        <f t="shared" si="3"/>
        <v>0</v>
      </c>
      <c r="W53" s="474">
        <f t="shared" si="4"/>
        <v>0</v>
      </c>
      <c r="X53" s="475">
        <f t="shared" si="5"/>
        <v>0</v>
      </c>
      <c r="Y53" s="475">
        <v>0</v>
      </c>
      <c r="Z53" s="476">
        <v>0</v>
      </c>
      <c r="AA53" s="38">
        <f t="shared" si="6"/>
        <v>0</v>
      </c>
      <c r="AB53" s="692">
        <f t="shared" si="7"/>
        <v>0</v>
      </c>
      <c r="AC53" s="692">
        <f t="shared" si="13"/>
        <v>0</v>
      </c>
      <c r="AD53" s="692">
        <f t="shared" si="9"/>
        <v>0</v>
      </c>
      <c r="AE53" s="38"/>
      <c r="AF53" s="692">
        <f t="shared" si="10"/>
        <v>0</v>
      </c>
      <c r="AG53" s="692">
        <f t="shared" si="11"/>
        <v>0</v>
      </c>
      <c r="AH53" s="692">
        <f t="shared" si="12"/>
        <v>0</v>
      </c>
    </row>
    <row r="54" spans="1:34">
      <c r="A54" s="20" t="s">
        <v>211</v>
      </c>
      <c r="B54" s="20" t="s">
        <v>114</v>
      </c>
      <c r="C54" s="667"/>
      <c r="D54" s="68" t="s">
        <v>487</v>
      </c>
      <c r="E54" s="679"/>
      <c r="F54" s="529">
        <f>VLOOKUP(D54,'Apr 2012 DMV Revenue'!D:T,17,FALSE)</f>
        <v>0</v>
      </c>
      <c r="G54" s="680"/>
      <c r="H54" s="680"/>
      <c r="I54" s="755"/>
      <c r="J54" s="682">
        <f t="shared" si="0"/>
        <v>0</v>
      </c>
      <c r="K54" s="683"/>
      <c r="L54" s="684"/>
      <c r="M54" s="753"/>
      <c r="N54" s="683">
        <v>0</v>
      </c>
      <c r="O54" s="686"/>
      <c r="P54" s="683">
        <v>0</v>
      </c>
      <c r="Q54" s="687">
        <f t="shared" si="1"/>
        <v>0</v>
      </c>
      <c r="R54" s="781">
        <v>0</v>
      </c>
      <c r="S54" s="693"/>
      <c r="T54" s="690">
        <f t="shared" si="2"/>
        <v>0</v>
      </c>
      <c r="U54" s="683"/>
      <c r="V54" s="474">
        <f t="shared" si="3"/>
        <v>0</v>
      </c>
      <c r="W54" s="474">
        <f t="shared" si="4"/>
        <v>0</v>
      </c>
      <c r="X54" s="475">
        <f t="shared" si="5"/>
        <v>0</v>
      </c>
      <c r="Y54" s="475">
        <v>0</v>
      </c>
      <c r="Z54" s="476">
        <v>0</v>
      </c>
      <c r="AA54" s="38">
        <f t="shared" si="6"/>
        <v>0</v>
      </c>
      <c r="AB54" s="692">
        <f t="shared" si="7"/>
        <v>0</v>
      </c>
      <c r="AC54" s="692">
        <f t="shared" si="13"/>
        <v>0</v>
      </c>
      <c r="AD54" s="692">
        <f t="shared" si="9"/>
        <v>0</v>
      </c>
      <c r="AE54" s="38"/>
      <c r="AF54" s="692">
        <f t="shared" si="10"/>
        <v>0</v>
      </c>
      <c r="AG54" s="692">
        <f t="shared" si="11"/>
        <v>0</v>
      </c>
      <c r="AH54" s="692">
        <f t="shared" si="12"/>
        <v>0</v>
      </c>
    </row>
    <row r="55" spans="1:34">
      <c r="A55" s="20"/>
      <c r="B55" s="20" t="s">
        <v>109</v>
      </c>
      <c r="C55" s="667"/>
      <c r="D55" s="68" t="s">
        <v>373</v>
      </c>
      <c r="E55" s="679"/>
      <c r="F55" s="529">
        <f>VLOOKUP(D55,'Apr 2012 DMV Revenue'!D:T,17,FALSE)</f>
        <v>0</v>
      </c>
      <c r="G55" s="680"/>
      <c r="H55" s="680"/>
      <c r="I55" s="755"/>
      <c r="J55" s="682">
        <f t="shared" si="0"/>
        <v>0</v>
      </c>
      <c r="K55" s="683"/>
      <c r="L55" s="684"/>
      <c r="M55" s="753"/>
      <c r="N55" s="683">
        <v>0</v>
      </c>
      <c r="O55" s="686"/>
      <c r="P55" s="683">
        <v>0</v>
      </c>
      <c r="Q55" s="687">
        <f t="shared" si="1"/>
        <v>0</v>
      </c>
      <c r="R55" s="781">
        <v>0</v>
      </c>
      <c r="S55" s="693"/>
      <c r="T55" s="690">
        <f t="shared" si="2"/>
        <v>0</v>
      </c>
      <c r="U55" s="683"/>
      <c r="V55" s="474">
        <f t="shared" si="3"/>
        <v>0</v>
      </c>
      <c r="W55" s="474">
        <f t="shared" si="4"/>
        <v>0</v>
      </c>
      <c r="X55" s="475">
        <f t="shared" si="5"/>
        <v>0</v>
      </c>
      <c r="Y55" s="475">
        <v>0</v>
      </c>
      <c r="Z55" s="476">
        <v>0</v>
      </c>
      <c r="AA55" s="38">
        <f t="shared" si="6"/>
        <v>0</v>
      </c>
      <c r="AB55" s="692">
        <f t="shared" si="7"/>
        <v>0</v>
      </c>
      <c r="AC55" s="692">
        <f t="shared" si="13"/>
        <v>0</v>
      </c>
      <c r="AD55" s="692">
        <f t="shared" si="9"/>
        <v>0</v>
      </c>
      <c r="AE55" s="38"/>
      <c r="AF55" s="692">
        <f t="shared" si="10"/>
        <v>0</v>
      </c>
      <c r="AG55" s="692">
        <f t="shared" si="11"/>
        <v>0</v>
      </c>
      <c r="AH55" s="692">
        <f t="shared" si="12"/>
        <v>0</v>
      </c>
    </row>
    <row r="56" spans="1:34">
      <c r="A56" s="20"/>
      <c r="B56" s="20" t="s">
        <v>109</v>
      </c>
      <c r="C56" s="667"/>
      <c r="D56" s="68" t="s">
        <v>374</v>
      </c>
      <c r="E56" s="679"/>
      <c r="F56" s="529">
        <f>VLOOKUP(D56,'Apr 2012 DMV Revenue'!D:T,17,FALSE)</f>
        <v>0</v>
      </c>
      <c r="G56" s="680"/>
      <c r="H56" s="680"/>
      <c r="I56" s="755"/>
      <c r="J56" s="682">
        <f t="shared" si="0"/>
        <v>0</v>
      </c>
      <c r="K56" s="683"/>
      <c r="L56" s="684"/>
      <c r="M56" s="753"/>
      <c r="N56" s="683">
        <v>0</v>
      </c>
      <c r="O56" s="686"/>
      <c r="P56" s="683">
        <v>0</v>
      </c>
      <c r="Q56" s="687">
        <f t="shared" si="1"/>
        <v>0</v>
      </c>
      <c r="R56" s="781">
        <v>0</v>
      </c>
      <c r="S56" s="693"/>
      <c r="T56" s="690">
        <f t="shared" si="2"/>
        <v>0</v>
      </c>
      <c r="U56" s="683"/>
      <c r="V56" s="474">
        <f t="shared" si="3"/>
        <v>0</v>
      </c>
      <c r="W56" s="474">
        <f t="shared" si="4"/>
        <v>0</v>
      </c>
      <c r="X56" s="475">
        <f t="shared" si="5"/>
        <v>0</v>
      </c>
      <c r="Y56" s="475">
        <v>0</v>
      </c>
      <c r="Z56" s="476">
        <v>0</v>
      </c>
      <c r="AA56" s="38">
        <f t="shared" si="6"/>
        <v>0</v>
      </c>
      <c r="AB56" s="692">
        <f t="shared" si="7"/>
        <v>0</v>
      </c>
      <c r="AC56" s="692">
        <f t="shared" si="13"/>
        <v>0</v>
      </c>
      <c r="AD56" s="692">
        <f t="shared" si="9"/>
        <v>0</v>
      </c>
      <c r="AE56" s="38"/>
      <c r="AF56" s="692">
        <f t="shared" si="10"/>
        <v>0</v>
      </c>
      <c r="AG56" s="692">
        <f t="shared" si="11"/>
        <v>0</v>
      </c>
      <c r="AH56" s="692">
        <f t="shared" si="12"/>
        <v>0</v>
      </c>
    </row>
    <row r="57" spans="1:34">
      <c r="A57" s="20"/>
      <c r="B57" s="20" t="s">
        <v>109</v>
      </c>
      <c r="C57" s="667"/>
      <c r="D57" s="68" t="s">
        <v>375</v>
      </c>
      <c r="E57" s="679"/>
      <c r="F57" s="529">
        <f>VLOOKUP(D57,'Apr 2012 DMV Revenue'!D:T,17,FALSE)</f>
        <v>0</v>
      </c>
      <c r="G57" s="680"/>
      <c r="H57" s="680"/>
      <c r="I57" s="755"/>
      <c r="J57" s="682">
        <f t="shared" si="0"/>
        <v>0</v>
      </c>
      <c r="K57" s="683"/>
      <c r="L57" s="684"/>
      <c r="M57" s="753"/>
      <c r="N57" s="683">
        <v>0</v>
      </c>
      <c r="O57" s="686"/>
      <c r="P57" s="683">
        <v>0</v>
      </c>
      <c r="Q57" s="687">
        <f t="shared" si="1"/>
        <v>0</v>
      </c>
      <c r="R57" s="781">
        <v>0</v>
      </c>
      <c r="S57" s="693"/>
      <c r="T57" s="690">
        <f t="shared" si="2"/>
        <v>0</v>
      </c>
      <c r="U57" s="683"/>
      <c r="V57" s="474">
        <f t="shared" si="3"/>
        <v>0</v>
      </c>
      <c r="W57" s="474">
        <f t="shared" si="4"/>
        <v>0</v>
      </c>
      <c r="X57" s="475">
        <f t="shared" si="5"/>
        <v>0</v>
      </c>
      <c r="Y57" s="475">
        <v>0</v>
      </c>
      <c r="Z57" s="476">
        <v>0</v>
      </c>
      <c r="AA57" s="38">
        <f t="shared" si="6"/>
        <v>0</v>
      </c>
      <c r="AB57" s="692">
        <f t="shared" si="7"/>
        <v>0</v>
      </c>
      <c r="AC57" s="692">
        <f t="shared" si="13"/>
        <v>0</v>
      </c>
      <c r="AD57" s="692">
        <f t="shared" si="9"/>
        <v>0</v>
      </c>
      <c r="AE57" s="38"/>
      <c r="AF57" s="692">
        <f t="shared" si="10"/>
        <v>0</v>
      </c>
      <c r="AG57" s="692">
        <f t="shared" si="11"/>
        <v>0</v>
      </c>
      <c r="AH57" s="692">
        <f t="shared" si="12"/>
        <v>0</v>
      </c>
    </row>
    <row r="58" spans="1:34">
      <c r="A58" s="21"/>
      <c r="B58" s="21" t="s">
        <v>110</v>
      </c>
      <c r="C58" s="666" t="s">
        <v>535</v>
      </c>
      <c r="D58" s="123" t="s">
        <v>517</v>
      </c>
      <c r="E58" s="679"/>
      <c r="F58" s="529">
        <f>VLOOKUP(D58,'Apr 2012 DMV Revenue'!D:T,17,FALSE)</f>
        <v>-77287.199999999997</v>
      </c>
      <c r="G58" s="680"/>
      <c r="H58" s="680"/>
      <c r="I58" s="755"/>
      <c r="J58" s="682">
        <f t="shared" si="0"/>
        <v>-77287.199999999997</v>
      </c>
      <c r="K58" s="683"/>
      <c r="L58" s="684"/>
      <c r="M58" s="753">
        <v>85000</v>
      </c>
      <c r="N58" s="683">
        <v>0</v>
      </c>
      <c r="O58" s="686"/>
      <c r="P58" s="683">
        <v>0</v>
      </c>
      <c r="Q58" s="687">
        <f t="shared" si="1"/>
        <v>85000</v>
      </c>
      <c r="R58" s="781">
        <v>5411.16</v>
      </c>
      <c r="S58" s="693"/>
      <c r="T58" s="690">
        <f t="shared" si="2"/>
        <v>-79588.84</v>
      </c>
      <c r="U58" s="697"/>
      <c r="V58" s="474">
        <f t="shared" si="3"/>
        <v>85000</v>
      </c>
      <c r="W58" s="474">
        <f t="shared" si="4"/>
        <v>0</v>
      </c>
      <c r="X58" s="475">
        <f t="shared" si="5"/>
        <v>0</v>
      </c>
      <c r="Y58" s="475">
        <v>0</v>
      </c>
      <c r="Z58" s="476">
        <v>0</v>
      </c>
      <c r="AA58" s="38">
        <f t="shared" si="6"/>
        <v>0</v>
      </c>
      <c r="AB58" s="692">
        <f t="shared" si="7"/>
        <v>-77287.199999999997</v>
      </c>
      <c r="AC58" s="692">
        <f t="shared" si="13"/>
        <v>0</v>
      </c>
      <c r="AD58" s="692">
        <f t="shared" si="9"/>
        <v>0</v>
      </c>
      <c r="AE58" s="38"/>
      <c r="AF58" s="692">
        <f t="shared" si="10"/>
        <v>85000</v>
      </c>
      <c r="AG58" s="692">
        <f t="shared" si="11"/>
        <v>0</v>
      </c>
      <c r="AH58" s="692">
        <f t="shared" si="12"/>
        <v>0</v>
      </c>
    </row>
    <row r="59" spans="1:34">
      <c r="A59" s="21"/>
      <c r="B59" s="21" t="s">
        <v>110</v>
      </c>
      <c r="C59" s="666" t="s">
        <v>535</v>
      </c>
      <c r="D59" s="123" t="s">
        <v>437</v>
      </c>
      <c r="E59" s="679"/>
      <c r="F59" s="529">
        <f>VLOOKUP(D59,'Apr 2012 DMV Revenue'!D:T,17,FALSE)</f>
        <v>7635.2</v>
      </c>
      <c r="G59" s="680"/>
      <c r="H59" s="680"/>
      <c r="I59" s="755"/>
      <c r="J59" s="682">
        <f t="shared" si="0"/>
        <v>7635.2</v>
      </c>
      <c r="K59" s="683"/>
      <c r="L59" s="684"/>
      <c r="M59" s="753"/>
      <c r="N59" s="683">
        <v>0</v>
      </c>
      <c r="O59" s="686"/>
      <c r="P59" s="683">
        <v>0</v>
      </c>
      <c r="Q59" s="687">
        <f t="shared" si="1"/>
        <v>0</v>
      </c>
      <c r="R59" s="781">
        <v>7907.72</v>
      </c>
      <c r="S59" s="693"/>
      <c r="T59" s="690">
        <f t="shared" si="2"/>
        <v>7907.72</v>
      </c>
      <c r="U59" s="697"/>
      <c r="V59" s="474">
        <f t="shared" si="3"/>
        <v>0</v>
      </c>
      <c r="W59" s="474">
        <f t="shared" si="4"/>
        <v>0</v>
      </c>
      <c r="X59" s="475">
        <f t="shared" si="5"/>
        <v>0</v>
      </c>
      <c r="Y59" s="475">
        <v>0</v>
      </c>
      <c r="Z59" s="476">
        <v>0</v>
      </c>
      <c r="AA59" s="38">
        <f t="shared" si="6"/>
        <v>0</v>
      </c>
      <c r="AB59" s="692">
        <f t="shared" si="7"/>
        <v>7635.2</v>
      </c>
      <c r="AC59" s="692">
        <f t="shared" si="13"/>
        <v>0</v>
      </c>
      <c r="AD59" s="692">
        <f t="shared" si="9"/>
        <v>0</v>
      </c>
      <c r="AE59" s="38"/>
      <c r="AF59" s="692">
        <f t="shared" si="10"/>
        <v>0</v>
      </c>
      <c r="AG59" s="692">
        <f t="shared" si="11"/>
        <v>0</v>
      </c>
      <c r="AH59" s="692">
        <f t="shared" si="12"/>
        <v>0</v>
      </c>
    </row>
    <row r="60" spans="1:34">
      <c r="A60" s="21"/>
      <c r="B60" s="21" t="s">
        <v>110</v>
      </c>
      <c r="C60" s="666" t="s">
        <v>535</v>
      </c>
      <c r="D60" s="123" t="s">
        <v>436</v>
      </c>
      <c r="E60" s="679"/>
      <c r="F60" s="529">
        <f>VLOOKUP(D60,'Apr 2012 DMV Revenue'!D:T,17,FALSE)</f>
        <v>12697.04</v>
      </c>
      <c r="G60" s="680"/>
      <c r="H60" s="680"/>
      <c r="I60" s="755"/>
      <c r="J60" s="682">
        <f t="shared" si="0"/>
        <v>12697.04</v>
      </c>
      <c r="K60" s="683"/>
      <c r="L60" s="684"/>
      <c r="M60" s="753"/>
      <c r="N60" s="683">
        <v>0</v>
      </c>
      <c r="O60" s="686"/>
      <c r="P60" s="683">
        <v>0</v>
      </c>
      <c r="Q60" s="687">
        <f t="shared" si="1"/>
        <v>0</v>
      </c>
      <c r="R60" s="781">
        <v>14139.01</v>
      </c>
      <c r="S60" s="693"/>
      <c r="T60" s="690">
        <f t="shared" si="2"/>
        <v>14139.01</v>
      </c>
      <c r="U60" s="697"/>
      <c r="V60" s="474">
        <f t="shared" si="3"/>
        <v>0</v>
      </c>
      <c r="W60" s="474">
        <f t="shared" si="4"/>
        <v>0</v>
      </c>
      <c r="X60" s="475">
        <f t="shared" si="5"/>
        <v>0</v>
      </c>
      <c r="Y60" s="475">
        <v>0</v>
      </c>
      <c r="Z60" s="476">
        <v>0</v>
      </c>
      <c r="AA60" s="38">
        <f t="shared" si="6"/>
        <v>0</v>
      </c>
      <c r="AB60" s="692">
        <f t="shared" si="7"/>
        <v>12697.04</v>
      </c>
      <c r="AC60" s="692">
        <f t="shared" si="13"/>
        <v>0</v>
      </c>
      <c r="AD60" s="692">
        <f t="shared" si="9"/>
        <v>0</v>
      </c>
      <c r="AE60" s="38"/>
      <c r="AF60" s="692">
        <f t="shared" si="10"/>
        <v>0</v>
      </c>
      <c r="AG60" s="692">
        <f t="shared" si="11"/>
        <v>0</v>
      </c>
      <c r="AH60" s="692">
        <f t="shared" si="12"/>
        <v>0</v>
      </c>
    </row>
    <row r="61" spans="1:34">
      <c r="A61" s="21"/>
      <c r="B61" s="21" t="s">
        <v>110</v>
      </c>
      <c r="C61" s="666" t="s">
        <v>535</v>
      </c>
      <c r="D61" s="123" t="s">
        <v>391</v>
      </c>
      <c r="E61" s="679"/>
      <c r="F61" s="529">
        <f>VLOOKUP(D61,'Apr 2012 DMV Revenue'!D:T,17,FALSE)</f>
        <v>1993.28</v>
      </c>
      <c r="G61" s="680"/>
      <c r="H61" s="680"/>
      <c r="I61" s="755"/>
      <c r="J61" s="682">
        <f t="shared" si="0"/>
        <v>1993.28</v>
      </c>
      <c r="K61" s="683"/>
      <c r="L61" s="684"/>
      <c r="M61" s="753"/>
      <c r="N61" s="683">
        <v>0</v>
      </c>
      <c r="O61" s="686"/>
      <c r="P61" s="683">
        <v>0</v>
      </c>
      <c r="Q61" s="687">
        <f t="shared" si="1"/>
        <v>0</v>
      </c>
      <c r="R61" s="781">
        <v>1933.41</v>
      </c>
      <c r="S61" s="693"/>
      <c r="T61" s="690">
        <f t="shared" si="2"/>
        <v>1933.41</v>
      </c>
      <c r="U61" s="697"/>
      <c r="V61" s="474">
        <f t="shared" si="3"/>
        <v>0</v>
      </c>
      <c r="W61" s="474">
        <f t="shared" si="4"/>
        <v>0</v>
      </c>
      <c r="X61" s="475">
        <f t="shared" si="5"/>
        <v>0</v>
      </c>
      <c r="Y61" s="475">
        <v>0</v>
      </c>
      <c r="Z61" s="476">
        <v>0</v>
      </c>
      <c r="AA61" s="38">
        <f t="shared" si="6"/>
        <v>0</v>
      </c>
      <c r="AB61" s="692">
        <f t="shared" si="7"/>
        <v>1993.28</v>
      </c>
      <c r="AC61" s="692">
        <f t="shared" si="13"/>
        <v>0</v>
      </c>
      <c r="AD61" s="692">
        <f t="shared" si="9"/>
        <v>0</v>
      </c>
      <c r="AE61" s="38"/>
      <c r="AF61" s="692">
        <f t="shared" si="10"/>
        <v>0</v>
      </c>
      <c r="AG61" s="692">
        <f t="shared" si="11"/>
        <v>0</v>
      </c>
      <c r="AH61" s="692">
        <f t="shared" si="12"/>
        <v>0</v>
      </c>
    </row>
    <row r="62" spans="1:34">
      <c r="A62" s="21"/>
      <c r="B62" s="21" t="s">
        <v>110</v>
      </c>
      <c r="C62" s="666" t="s">
        <v>535</v>
      </c>
      <c r="D62" s="123" t="s">
        <v>392</v>
      </c>
      <c r="E62" s="679"/>
      <c r="F62" s="529">
        <f>VLOOKUP(D62,'Apr 2012 DMV Revenue'!D:T,17,FALSE)</f>
        <v>51053.8</v>
      </c>
      <c r="G62" s="680"/>
      <c r="H62" s="680"/>
      <c r="I62" s="755"/>
      <c r="J62" s="682">
        <f t="shared" si="0"/>
        <v>51053.8</v>
      </c>
      <c r="K62" s="683"/>
      <c r="L62" s="684"/>
      <c r="M62" s="753"/>
      <c r="N62" s="683">
        <v>0</v>
      </c>
      <c r="O62" s="686"/>
      <c r="P62" s="683">
        <v>0</v>
      </c>
      <c r="Q62" s="687">
        <f t="shared" si="1"/>
        <v>0</v>
      </c>
      <c r="R62" s="781">
        <v>47913.2</v>
      </c>
      <c r="S62" s="693"/>
      <c r="T62" s="690">
        <f t="shared" si="2"/>
        <v>47913.2</v>
      </c>
      <c r="U62" s="697"/>
      <c r="V62" s="474">
        <f t="shared" si="3"/>
        <v>0</v>
      </c>
      <c r="W62" s="474">
        <f t="shared" si="4"/>
        <v>0</v>
      </c>
      <c r="X62" s="475">
        <f t="shared" si="5"/>
        <v>0</v>
      </c>
      <c r="Y62" s="475">
        <v>0</v>
      </c>
      <c r="Z62" s="476">
        <v>0</v>
      </c>
      <c r="AA62" s="38">
        <f t="shared" si="6"/>
        <v>0</v>
      </c>
      <c r="AB62" s="692">
        <f t="shared" si="7"/>
        <v>51053.8</v>
      </c>
      <c r="AC62" s="692">
        <f t="shared" si="13"/>
        <v>0</v>
      </c>
      <c r="AD62" s="692">
        <f t="shared" si="9"/>
        <v>0</v>
      </c>
      <c r="AE62" s="38"/>
      <c r="AF62" s="692">
        <f t="shared" si="10"/>
        <v>0</v>
      </c>
      <c r="AG62" s="692">
        <f t="shared" si="11"/>
        <v>0</v>
      </c>
      <c r="AH62" s="692">
        <f t="shared" si="12"/>
        <v>0</v>
      </c>
    </row>
    <row r="63" spans="1:34">
      <c r="A63" s="21"/>
      <c r="B63" s="21" t="s">
        <v>110</v>
      </c>
      <c r="C63" s="666" t="s">
        <v>535</v>
      </c>
      <c r="D63" s="123" t="s">
        <v>483</v>
      </c>
      <c r="E63" s="679"/>
      <c r="F63" s="529">
        <f>VLOOKUP(D63,'Apr 2012 DMV Revenue'!D:T,17,FALSE)</f>
        <v>5372.36</v>
      </c>
      <c r="G63" s="680"/>
      <c r="H63" s="680"/>
      <c r="I63" s="755"/>
      <c r="J63" s="682">
        <f t="shared" si="0"/>
        <v>5372.36</v>
      </c>
      <c r="K63" s="683"/>
      <c r="L63" s="684"/>
      <c r="M63" s="753"/>
      <c r="N63" s="683"/>
      <c r="O63" s="686"/>
      <c r="P63" s="683"/>
      <c r="Q63" s="687">
        <f t="shared" si="1"/>
        <v>0</v>
      </c>
      <c r="R63" s="781">
        <v>5894.05</v>
      </c>
      <c r="S63" s="693"/>
      <c r="T63" s="690">
        <f t="shared" si="2"/>
        <v>5894.05</v>
      </c>
      <c r="U63" s="697"/>
      <c r="V63" s="474">
        <f t="shared" si="3"/>
        <v>0</v>
      </c>
      <c r="W63" s="474">
        <f t="shared" si="4"/>
        <v>0</v>
      </c>
      <c r="X63" s="475">
        <f t="shared" si="5"/>
        <v>0</v>
      </c>
      <c r="Y63" s="475">
        <v>0</v>
      </c>
      <c r="Z63" s="476">
        <v>0</v>
      </c>
      <c r="AA63" s="38">
        <f t="shared" si="6"/>
        <v>0</v>
      </c>
      <c r="AB63" s="692">
        <f t="shared" si="7"/>
        <v>5372.36</v>
      </c>
      <c r="AC63" s="692">
        <f t="shared" si="13"/>
        <v>0</v>
      </c>
      <c r="AD63" s="692">
        <f t="shared" si="9"/>
        <v>0</v>
      </c>
      <c r="AE63" s="38"/>
      <c r="AF63" s="692">
        <f t="shared" si="10"/>
        <v>0</v>
      </c>
      <c r="AG63" s="692">
        <f t="shared" si="11"/>
        <v>0</v>
      </c>
      <c r="AH63" s="692">
        <f t="shared" si="12"/>
        <v>0</v>
      </c>
    </row>
    <row r="64" spans="1:34">
      <c r="A64" s="21"/>
      <c r="B64" s="21" t="s">
        <v>110</v>
      </c>
      <c r="C64" s="666"/>
      <c r="D64" s="373" t="s">
        <v>587</v>
      </c>
      <c r="E64" s="679"/>
      <c r="F64" s="529">
        <f>VLOOKUP(D64,'Apr 2012 DMV Revenue'!D:T,17,FALSE)</f>
        <v>0</v>
      </c>
      <c r="G64" s="680"/>
      <c r="H64" s="680"/>
      <c r="I64" s="755"/>
      <c r="J64" s="682">
        <f t="shared" si="0"/>
        <v>0</v>
      </c>
      <c r="K64" s="683"/>
      <c r="L64" s="684"/>
      <c r="M64" s="753"/>
      <c r="N64" s="683"/>
      <c r="O64" s="686"/>
      <c r="P64" s="683"/>
      <c r="Q64" s="687">
        <f t="shared" si="1"/>
        <v>0</v>
      </c>
      <c r="R64" s="781">
        <v>0</v>
      </c>
      <c r="S64" s="693"/>
      <c r="T64" s="690"/>
      <c r="U64" s="697"/>
      <c r="V64" s="474">
        <f t="shared" si="3"/>
        <v>0</v>
      </c>
      <c r="W64" s="474">
        <f t="shared" si="4"/>
        <v>0</v>
      </c>
      <c r="X64" s="475">
        <f t="shared" si="5"/>
        <v>0</v>
      </c>
      <c r="Y64" s="475">
        <v>0</v>
      </c>
      <c r="Z64" s="476">
        <v>0</v>
      </c>
      <c r="AA64" s="38">
        <f t="shared" si="6"/>
        <v>0</v>
      </c>
      <c r="AB64" s="692">
        <f t="shared" si="7"/>
        <v>0</v>
      </c>
      <c r="AC64" s="692">
        <f t="shared" si="13"/>
        <v>0</v>
      </c>
      <c r="AD64" s="692">
        <f t="shared" si="9"/>
        <v>0</v>
      </c>
      <c r="AE64" s="38"/>
      <c r="AF64" s="692">
        <f t="shared" si="10"/>
        <v>0</v>
      </c>
      <c r="AG64" s="692">
        <f t="shared" si="11"/>
        <v>0</v>
      </c>
      <c r="AH64" s="692">
        <f t="shared" si="12"/>
        <v>0</v>
      </c>
    </row>
    <row r="65" spans="1:34">
      <c r="A65" s="20"/>
      <c r="B65" s="20" t="s">
        <v>110</v>
      </c>
      <c r="C65" s="667" t="s">
        <v>536</v>
      </c>
      <c r="D65" s="68" t="s">
        <v>450</v>
      </c>
      <c r="E65" s="679"/>
      <c r="F65" s="529">
        <f>VLOOKUP(D65,'Apr 2012 DMV Revenue'!D:T,17,FALSE)</f>
        <v>723.26</v>
      </c>
      <c r="G65" s="680"/>
      <c r="H65" s="680"/>
      <c r="I65" s="755"/>
      <c r="J65" s="682">
        <f t="shared" si="0"/>
        <v>723.26</v>
      </c>
      <c r="K65" s="683"/>
      <c r="L65" s="684"/>
      <c r="M65" s="753"/>
      <c r="N65" s="683">
        <v>0</v>
      </c>
      <c r="O65" s="686"/>
      <c r="P65" s="683">
        <v>0</v>
      </c>
      <c r="Q65" s="687">
        <f t="shared" si="1"/>
        <v>0</v>
      </c>
      <c r="R65" s="781">
        <v>0</v>
      </c>
      <c r="S65" s="693"/>
      <c r="T65" s="690">
        <f t="shared" si="2"/>
        <v>0</v>
      </c>
      <c r="U65" s="683"/>
      <c r="V65" s="474">
        <f t="shared" si="3"/>
        <v>0</v>
      </c>
      <c r="W65" s="474">
        <f t="shared" si="4"/>
        <v>0</v>
      </c>
      <c r="X65" s="475">
        <f t="shared" si="5"/>
        <v>0</v>
      </c>
      <c r="Y65" s="475">
        <v>0</v>
      </c>
      <c r="Z65" s="476">
        <v>0</v>
      </c>
      <c r="AA65" s="38">
        <f t="shared" si="6"/>
        <v>0</v>
      </c>
      <c r="AB65" s="692">
        <f t="shared" si="7"/>
        <v>723.26</v>
      </c>
      <c r="AC65" s="692">
        <f t="shared" si="13"/>
        <v>0</v>
      </c>
      <c r="AD65" s="692">
        <f t="shared" si="9"/>
        <v>0</v>
      </c>
      <c r="AE65" s="38"/>
      <c r="AF65" s="692">
        <f t="shared" si="10"/>
        <v>0</v>
      </c>
      <c r="AG65" s="692">
        <f t="shared" si="11"/>
        <v>0</v>
      </c>
      <c r="AH65" s="692">
        <f t="shared" si="12"/>
        <v>0</v>
      </c>
    </row>
    <row r="66" spans="1:34">
      <c r="A66" s="21" t="s">
        <v>109</v>
      </c>
      <c r="B66" s="21" t="s">
        <v>110</v>
      </c>
      <c r="C66" s="666"/>
      <c r="D66" s="68" t="s">
        <v>438</v>
      </c>
      <c r="E66" s="679"/>
      <c r="F66" s="529">
        <f>VLOOKUP(D66,'Apr 2012 DMV Revenue'!D:T,17,FALSE)</f>
        <v>0</v>
      </c>
      <c r="G66" s="680"/>
      <c r="H66" s="680"/>
      <c r="I66" s="755"/>
      <c r="J66" s="682">
        <f t="shared" si="0"/>
        <v>0</v>
      </c>
      <c r="K66" s="683"/>
      <c r="L66" s="684"/>
      <c r="M66" s="753"/>
      <c r="N66" s="683">
        <v>0</v>
      </c>
      <c r="O66" s="686"/>
      <c r="P66" s="683">
        <v>0</v>
      </c>
      <c r="Q66" s="687">
        <f t="shared" si="1"/>
        <v>0</v>
      </c>
      <c r="R66" s="781">
        <v>0</v>
      </c>
      <c r="S66" s="693"/>
      <c r="T66" s="690">
        <f t="shared" si="2"/>
        <v>0</v>
      </c>
      <c r="U66" s="697"/>
      <c r="V66" s="474">
        <f t="shared" si="3"/>
        <v>0</v>
      </c>
      <c r="W66" s="474">
        <f t="shared" si="4"/>
        <v>0</v>
      </c>
      <c r="X66" s="475">
        <f t="shared" si="5"/>
        <v>0</v>
      </c>
      <c r="Y66" s="475">
        <v>0</v>
      </c>
      <c r="Z66" s="476">
        <v>0</v>
      </c>
      <c r="AA66" s="38">
        <f t="shared" si="6"/>
        <v>0</v>
      </c>
      <c r="AB66" s="692">
        <f t="shared" si="7"/>
        <v>0</v>
      </c>
      <c r="AC66" s="692">
        <f t="shared" si="13"/>
        <v>0</v>
      </c>
      <c r="AD66" s="692">
        <f t="shared" si="9"/>
        <v>0</v>
      </c>
      <c r="AE66" s="38"/>
      <c r="AF66" s="692">
        <f t="shared" si="10"/>
        <v>0</v>
      </c>
      <c r="AG66" s="692">
        <f t="shared" si="11"/>
        <v>0</v>
      </c>
      <c r="AH66" s="692">
        <f t="shared" si="12"/>
        <v>0</v>
      </c>
    </row>
    <row r="67" spans="1:34">
      <c r="A67" s="21"/>
      <c r="B67" s="21" t="s">
        <v>110</v>
      </c>
      <c r="C67" s="666" t="s">
        <v>537</v>
      </c>
      <c r="D67" s="68" t="s">
        <v>12</v>
      </c>
      <c r="E67" s="679"/>
      <c r="F67" s="529">
        <f>VLOOKUP(D67,'Apr 2012 DMV Revenue'!D:T,17,FALSE)</f>
        <v>0</v>
      </c>
      <c r="G67" s="680"/>
      <c r="H67" s="680"/>
      <c r="I67" s="755"/>
      <c r="J67" s="682">
        <f t="shared" si="0"/>
        <v>0</v>
      </c>
      <c r="K67" s="683"/>
      <c r="L67" s="684"/>
      <c r="M67" s="753"/>
      <c r="N67" s="683">
        <v>0</v>
      </c>
      <c r="O67" s="686"/>
      <c r="P67" s="683">
        <v>0</v>
      </c>
      <c r="Q67" s="687">
        <f t="shared" si="1"/>
        <v>0</v>
      </c>
      <c r="R67" s="781">
        <v>0</v>
      </c>
      <c r="S67" s="693"/>
      <c r="T67" s="690">
        <f t="shared" si="2"/>
        <v>0</v>
      </c>
      <c r="U67" s="683"/>
      <c r="V67" s="474">
        <f t="shared" si="3"/>
        <v>0</v>
      </c>
      <c r="W67" s="474">
        <f t="shared" si="4"/>
        <v>0</v>
      </c>
      <c r="X67" s="475">
        <f t="shared" si="5"/>
        <v>0</v>
      </c>
      <c r="Y67" s="475">
        <v>0</v>
      </c>
      <c r="Z67" s="476">
        <v>0</v>
      </c>
      <c r="AA67" s="38">
        <f t="shared" si="6"/>
        <v>0</v>
      </c>
      <c r="AB67" s="692">
        <f t="shared" si="7"/>
        <v>0</v>
      </c>
      <c r="AC67" s="692">
        <f t="shared" si="13"/>
        <v>0</v>
      </c>
      <c r="AD67" s="692">
        <f t="shared" si="9"/>
        <v>0</v>
      </c>
      <c r="AE67" s="38"/>
      <c r="AF67" s="692">
        <f t="shared" si="10"/>
        <v>0</v>
      </c>
      <c r="AG67" s="692">
        <f t="shared" si="11"/>
        <v>0</v>
      </c>
      <c r="AH67" s="692">
        <f t="shared" si="12"/>
        <v>0</v>
      </c>
    </row>
    <row r="68" spans="1:34" s="232" customFormat="1">
      <c r="A68" s="283" t="s">
        <v>211</v>
      </c>
      <c r="B68" s="283" t="s">
        <v>110</v>
      </c>
      <c r="C68" s="667" t="s">
        <v>538</v>
      </c>
      <c r="D68" s="123" t="s">
        <v>170</v>
      </c>
      <c r="E68" s="679"/>
      <c r="F68" s="529">
        <f>VLOOKUP(D68,'Apr 2012 DMV Revenue'!D:T,17,FALSE)</f>
        <v>-100000</v>
      </c>
      <c r="G68" s="680"/>
      <c r="H68" s="680"/>
      <c r="I68" s="755"/>
      <c r="J68" s="682">
        <f t="shared" si="0"/>
        <v>-100000</v>
      </c>
      <c r="K68" s="683"/>
      <c r="L68" s="684"/>
      <c r="M68" s="753">
        <v>200000</v>
      </c>
      <c r="N68" s="683">
        <v>0</v>
      </c>
      <c r="O68" s="686"/>
      <c r="P68" s="683">
        <v>0</v>
      </c>
      <c r="Q68" s="687">
        <f t="shared" si="1"/>
        <v>200000</v>
      </c>
      <c r="R68" s="781">
        <v>0</v>
      </c>
      <c r="S68" s="693"/>
      <c r="T68" s="690">
        <f t="shared" si="2"/>
        <v>-200000</v>
      </c>
      <c r="U68" s="683"/>
      <c r="V68" s="474">
        <f t="shared" si="3"/>
        <v>200000</v>
      </c>
      <c r="W68" s="474">
        <f t="shared" si="4"/>
        <v>0</v>
      </c>
      <c r="X68" s="475">
        <f t="shared" si="5"/>
        <v>0</v>
      </c>
      <c r="Y68" s="475">
        <v>0</v>
      </c>
      <c r="Z68" s="476">
        <v>0</v>
      </c>
      <c r="AA68" s="38">
        <f t="shared" si="6"/>
        <v>0</v>
      </c>
      <c r="AB68" s="692">
        <f t="shared" si="7"/>
        <v>-100000</v>
      </c>
      <c r="AC68" s="692">
        <f t="shared" si="13"/>
        <v>0</v>
      </c>
      <c r="AD68" s="692">
        <f t="shared" si="9"/>
        <v>0</v>
      </c>
      <c r="AE68" s="38"/>
      <c r="AF68" s="692">
        <f t="shared" si="10"/>
        <v>200000</v>
      </c>
      <c r="AG68" s="692">
        <f t="shared" si="11"/>
        <v>0</v>
      </c>
      <c r="AH68" s="692">
        <f t="shared" si="12"/>
        <v>0</v>
      </c>
    </row>
    <row r="69" spans="1:34" s="232" customFormat="1">
      <c r="A69" s="283" t="s">
        <v>211</v>
      </c>
      <c r="B69" s="283" t="s">
        <v>110</v>
      </c>
      <c r="C69" s="667" t="s">
        <v>538</v>
      </c>
      <c r="D69" s="123" t="s">
        <v>171</v>
      </c>
      <c r="E69" s="679"/>
      <c r="F69" s="529">
        <f>VLOOKUP(D69,'Apr 2012 DMV Revenue'!D:T,17,FALSE)</f>
        <v>0</v>
      </c>
      <c r="G69" s="680"/>
      <c r="H69" s="680"/>
      <c r="I69" s="755"/>
      <c r="J69" s="682">
        <f t="shared" si="0"/>
        <v>0</v>
      </c>
      <c r="K69" s="683"/>
      <c r="L69" s="684"/>
      <c r="M69" s="753"/>
      <c r="N69" s="683">
        <v>0</v>
      </c>
      <c r="O69" s="686"/>
      <c r="P69" s="683">
        <v>0</v>
      </c>
      <c r="Q69" s="687">
        <f t="shared" si="1"/>
        <v>0</v>
      </c>
      <c r="R69" s="781">
        <v>0</v>
      </c>
      <c r="S69" s="693"/>
      <c r="T69" s="690">
        <f t="shared" si="2"/>
        <v>0</v>
      </c>
      <c r="U69" s="683"/>
      <c r="V69" s="474">
        <f t="shared" si="3"/>
        <v>0</v>
      </c>
      <c r="W69" s="474">
        <f t="shared" si="4"/>
        <v>0</v>
      </c>
      <c r="X69" s="475">
        <f t="shared" si="5"/>
        <v>0</v>
      </c>
      <c r="Y69" s="475">
        <v>0</v>
      </c>
      <c r="Z69" s="476">
        <v>0</v>
      </c>
      <c r="AA69" s="38">
        <f t="shared" si="6"/>
        <v>0</v>
      </c>
      <c r="AB69" s="692">
        <f t="shared" si="7"/>
        <v>0</v>
      </c>
      <c r="AC69" s="692">
        <f t="shared" si="13"/>
        <v>0</v>
      </c>
      <c r="AD69" s="692">
        <f t="shared" si="9"/>
        <v>0</v>
      </c>
      <c r="AE69" s="38"/>
      <c r="AF69" s="692">
        <f t="shared" si="10"/>
        <v>0</v>
      </c>
      <c r="AG69" s="692">
        <f t="shared" si="11"/>
        <v>0</v>
      </c>
      <c r="AH69" s="692">
        <f t="shared" si="12"/>
        <v>0</v>
      </c>
    </row>
    <row r="70" spans="1:34" s="232" customFormat="1">
      <c r="A70" s="283" t="s">
        <v>211</v>
      </c>
      <c r="B70" s="283" t="s">
        <v>110</v>
      </c>
      <c r="C70" s="667" t="s">
        <v>538</v>
      </c>
      <c r="D70" s="123" t="s">
        <v>13</v>
      </c>
      <c r="E70" s="679"/>
      <c r="F70" s="529">
        <f>VLOOKUP(D70,'Apr 2012 DMV Revenue'!D:T,17,FALSE)</f>
        <v>0</v>
      </c>
      <c r="G70" s="680"/>
      <c r="H70" s="680"/>
      <c r="I70" s="755"/>
      <c r="J70" s="682">
        <f t="shared" si="0"/>
        <v>0</v>
      </c>
      <c r="K70" s="683"/>
      <c r="L70" s="684"/>
      <c r="M70" s="753"/>
      <c r="N70" s="683">
        <v>0</v>
      </c>
      <c r="O70" s="686"/>
      <c r="P70" s="683">
        <v>0</v>
      </c>
      <c r="Q70" s="687">
        <f t="shared" si="1"/>
        <v>0</v>
      </c>
      <c r="R70" s="781">
        <v>0</v>
      </c>
      <c r="S70" s="693"/>
      <c r="T70" s="690">
        <f t="shared" si="2"/>
        <v>0</v>
      </c>
      <c r="U70" s="683"/>
      <c r="V70" s="474">
        <f t="shared" si="3"/>
        <v>0</v>
      </c>
      <c r="W70" s="474">
        <f t="shared" si="4"/>
        <v>0</v>
      </c>
      <c r="X70" s="475">
        <f t="shared" si="5"/>
        <v>0</v>
      </c>
      <c r="Y70" s="475">
        <v>0</v>
      </c>
      <c r="Z70" s="476">
        <v>0</v>
      </c>
      <c r="AA70" s="38">
        <f t="shared" si="6"/>
        <v>0</v>
      </c>
      <c r="AB70" s="692">
        <f t="shared" si="7"/>
        <v>0</v>
      </c>
      <c r="AC70" s="692">
        <f t="shared" si="13"/>
        <v>0</v>
      </c>
      <c r="AD70" s="692">
        <f t="shared" si="9"/>
        <v>0</v>
      </c>
      <c r="AE70" s="38"/>
      <c r="AF70" s="692">
        <f t="shared" si="10"/>
        <v>0</v>
      </c>
      <c r="AG70" s="692">
        <f t="shared" si="11"/>
        <v>0</v>
      </c>
      <c r="AH70" s="692">
        <f t="shared" si="12"/>
        <v>0</v>
      </c>
    </row>
    <row r="71" spans="1:34" s="232" customFormat="1">
      <c r="A71" s="283" t="s">
        <v>211</v>
      </c>
      <c r="B71" s="283" t="s">
        <v>110</v>
      </c>
      <c r="C71" s="667" t="s">
        <v>538</v>
      </c>
      <c r="D71" s="123" t="s">
        <v>172</v>
      </c>
      <c r="E71" s="679"/>
      <c r="F71" s="529">
        <f>VLOOKUP(D71,'Apr 2012 DMV Revenue'!D:T,17,FALSE)</f>
        <v>0</v>
      </c>
      <c r="G71" s="680"/>
      <c r="H71" s="680"/>
      <c r="I71" s="755"/>
      <c r="J71" s="682">
        <f t="shared" si="0"/>
        <v>0</v>
      </c>
      <c r="K71" s="683"/>
      <c r="L71" s="684"/>
      <c r="M71" s="753"/>
      <c r="N71" s="683">
        <v>0</v>
      </c>
      <c r="O71" s="686"/>
      <c r="P71" s="683">
        <v>0</v>
      </c>
      <c r="Q71" s="687">
        <f t="shared" si="1"/>
        <v>0</v>
      </c>
      <c r="R71" s="781">
        <v>0</v>
      </c>
      <c r="S71" s="693"/>
      <c r="T71" s="690">
        <f t="shared" si="2"/>
        <v>0</v>
      </c>
      <c r="U71" s="683"/>
      <c r="V71" s="474">
        <f t="shared" si="3"/>
        <v>0</v>
      </c>
      <c r="W71" s="474">
        <f t="shared" si="4"/>
        <v>0</v>
      </c>
      <c r="X71" s="475">
        <f t="shared" si="5"/>
        <v>0</v>
      </c>
      <c r="Y71" s="475">
        <v>0</v>
      </c>
      <c r="Z71" s="476">
        <v>0</v>
      </c>
      <c r="AA71" s="38">
        <f t="shared" si="6"/>
        <v>0</v>
      </c>
      <c r="AB71" s="692">
        <f t="shared" si="7"/>
        <v>0</v>
      </c>
      <c r="AC71" s="692">
        <f t="shared" si="13"/>
        <v>0</v>
      </c>
      <c r="AD71" s="692">
        <f t="shared" si="9"/>
        <v>0</v>
      </c>
      <c r="AE71" s="38"/>
      <c r="AF71" s="692">
        <f t="shared" si="10"/>
        <v>0</v>
      </c>
      <c r="AG71" s="692">
        <f t="shared" si="11"/>
        <v>0</v>
      </c>
      <c r="AH71" s="692">
        <f t="shared" si="12"/>
        <v>0</v>
      </c>
    </row>
    <row r="72" spans="1:34" s="232" customFormat="1">
      <c r="A72" s="283" t="s">
        <v>211</v>
      </c>
      <c r="B72" s="283" t="s">
        <v>110</v>
      </c>
      <c r="C72" s="667" t="s">
        <v>538</v>
      </c>
      <c r="D72" s="123" t="s">
        <v>173</v>
      </c>
      <c r="E72" s="679"/>
      <c r="F72" s="529">
        <f>VLOOKUP(D72,'Apr 2012 DMV Revenue'!D:T,17,FALSE)</f>
        <v>0</v>
      </c>
      <c r="G72" s="680"/>
      <c r="H72" s="680"/>
      <c r="I72" s="755"/>
      <c r="J72" s="682">
        <f t="shared" si="0"/>
        <v>0</v>
      </c>
      <c r="K72" s="683"/>
      <c r="L72" s="684"/>
      <c r="M72" s="753"/>
      <c r="N72" s="683">
        <v>0</v>
      </c>
      <c r="O72" s="686"/>
      <c r="P72" s="683">
        <v>0</v>
      </c>
      <c r="Q72" s="687">
        <f t="shared" si="1"/>
        <v>0</v>
      </c>
      <c r="R72" s="781">
        <v>0</v>
      </c>
      <c r="S72" s="693"/>
      <c r="T72" s="690">
        <f t="shared" si="2"/>
        <v>0</v>
      </c>
      <c r="U72" s="683"/>
      <c r="V72" s="474">
        <f t="shared" si="3"/>
        <v>0</v>
      </c>
      <c r="W72" s="474">
        <f t="shared" si="4"/>
        <v>0</v>
      </c>
      <c r="X72" s="475">
        <f t="shared" si="5"/>
        <v>0</v>
      </c>
      <c r="Y72" s="475">
        <v>0</v>
      </c>
      <c r="Z72" s="476">
        <v>0</v>
      </c>
      <c r="AA72" s="38">
        <f t="shared" si="6"/>
        <v>0</v>
      </c>
      <c r="AB72" s="692">
        <f t="shared" si="7"/>
        <v>0</v>
      </c>
      <c r="AC72" s="692">
        <f t="shared" si="13"/>
        <v>0</v>
      </c>
      <c r="AD72" s="692">
        <f t="shared" si="9"/>
        <v>0</v>
      </c>
      <c r="AE72" s="38"/>
      <c r="AF72" s="692">
        <f t="shared" si="10"/>
        <v>0</v>
      </c>
      <c r="AG72" s="692">
        <f t="shared" si="11"/>
        <v>0</v>
      </c>
      <c r="AH72" s="692">
        <f t="shared" si="12"/>
        <v>0</v>
      </c>
    </row>
    <row r="73" spans="1:34" s="232" customFormat="1">
      <c r="A73" s="283" t="s">
        <v>211</v>
      </c>
      <c r="B73" s="283" t="s">
        <v>110</v>
      </c>
      <c r="C73" s="667" t="s">
        <v>538</v>
      </c>
      <c r="D73" s="123" t="s">
        <v>174</v>
      </c>
      <c r="E73" s="679"/>
      <c r="F73" s="529">
        <f>VLOOKUP(D73,'Apr 2012 DMV Revenue'!D:T,17,FALSE)</f>
        <v>0</v>
      </c>
      <c r="G73" s="680"/>
      <c r="H73" s="680"/>
      <c r="I73" s="755"/>
      <c r="J73" s="682">
        <f t="shared" si="0"/>
        <v>0</v>
      </c>
      <c r="K73" s="683"/>
      <c r="L73" s="684"/>
      <c r="M73" s="753"/>
      <c r="N73" s="683">
        <v>0</v>
      </c>
      <c r="O73" s="686"/>
      <c r="P73" s="683">
        <v>0</v>
      </c>
      <c r="Q73" s="687">
        <f t="shared" si="1"/>
        <v>0</v>
      </c>
      <c r="R73" s="781">
        <v>0</v>
      </c>
      <c r="S73" s="693"/>
      <c r="T73" s="690">
        <f t="shared" si="2"/>
        <v>0</v>
      </c>
      <c r="U73" s="683"/>
      <c r="V73" s="474">
        <f t="shared" si="3"/>
        <v>0</v>
      </c>
      <c r="W73" s="474">
        <f t="shared" si="4"/>
        <v>0</v>
      </c>
      <c r="X73" s="475">
        <f t="shared" si="5"/>
        <v>0</v>
      </c>
      <c r="Y73" s="475">
        <v>0</v>
      </c>
      <c r="Z73" s="476">
        <v>0</v>
      </c>
      <c r="AA73" s="38">
        <f t="shared" si="6"/>
        <v>0</v>
      </c>
      <c r="AB73" s="692">
        <f t="shared" si="7"/>
        <v>0</v>
      </c>
      <c r="AC73" s="692">
        <f t="shared" si="13"/>
        <v>0</v>
      </c>
      <c r="AD73" s="692">
        <f t="shared" si="9"/>
        <v>0</v>
      </c>
      <c r="AE73" s="38"/>
      <c r="AF73" s="692">
        <f t="shared" si="10"/>
        <v>0</v>
      </c>
      <c r="AG73" s="692">
        <f t="shared" si="11"/>
        <v>0</v>
      </c>
      <c r="AH73" s="692">
        <f t="shared" si="12"/>
        <v>0</v>
      </c>
    </row>
    <row r="74" spans="1:34">
      <c r="A74" s="21"/>
      <c r="B74" s="21" t="s">
        <v>109</v>
      </c>
      <c r="C74" s="666"/>
      <c r="D74" s="68" t="s">
        <v>94</v>
      </c>
      <c r="E74" s="679"/>
      <c r="F74" s="529">
        <f>VLOOKUP(D74,'Apr 2012 DMV Revenue'!D:T,17,FALSE)</f>
        <v>0</v>
      </c>
      <c r="G74" s="680"/>
      <c r="H74" s="680"/>
      <c r="I74" s="755"/>
      <c r="J74" s="682">
        <f t="shared" si="0"/>
        <v>0</v>
      </c>
      <c r="K74" s="683"/>
      <c r="L74" s="684"/>
      <c r="M74" s="753"/>
      <c r="N74" s="683">
        <v>0</v>
      </c>
      <c r="O74" s="686"/>
      <c r="P74" s="683">
        <v>0</v>
      </c>
      <c r="Q74" s="687">
        <f t="shared" si="1"/>
        <v>0</v>
      </c>
      <c r="R74" s="781">
        <v>0</v>
      </c>
      <c r="S74" s="693"/>
      <c r="T74" s="690">
        <f t="shared" si="2"/>
        <v>0</v>
      </c>
      <c r="U74" s="697"/>
      <c r="V74" s="474">
        <f t="shared" si="3"/>
        <v>0</v>
      </c>
      <c r="W74" s="474">
        <f t="shared" si="4"/>
        <v>0</v>
      </c>
      <c r="X74" s="475">
        <f t="shared" si="5"/>
        <v>0</v>
      </c>
      <c r="Y74" s="475">
        <v>0</v>
      </c>
      <c r="Z74" s="476">
        <v>0</v>
      </c>
      <c r="AA74" s="38">
        <f t="shared" si="6"/>
        <v>0</v>
      </c>
      <c r="AB74" s="692">
        <f t="shared" si="7"/>
        <v>0</v>
      </c>
      <c r="AC74" s="692">
        <f t="shared" si="13"/>
        <v>0</v>
      </c>
      <c r="AD74" s="692">
        <f t="shared" si="9"/>
        <v>0</v>
      </c>
      <c r="AE74" s="38"/>
      <c r="AF74" s="692">
        <f t="shared" si="10"/>
        <v>0</v>
      </c>
      <c r="AG74" s="692">
        <f t="shared" si="11"/>
        <v>0</v>
      </c>
      <c r="AH74" s="692">
        <f t="shared" si="12"/>
        <v>0</v>
      </c>
    </row>
    <row r="75" spans="1:34">
      <c r="A75" s="20" t="s">
        <v>211</v>
      </c>
      <c r="B75" s="20" t="s">
        <v>109</v>
      </c>
      <c r="C75" s="667"/>
      <c r="D75" s="68" t="s">
        <v>14</v>
      </c>
      <c r="E75" s="679"/>
      <c r="F75" s="529">
        <f>VLOOKUP(D75,'Apr 2012 DMV Revenue'!D:T,17,FALSE)</f>
        <v>0</v>
      </c>
      <c r="G75" s="680"/>
      <c r="H75" s="680"/>
      <c r="I75" s="755"/>
      <c r="J75" s="682">
        <f t="shared" si="0"/>
        <v>0</v>
      </c>
      <c r="K75" s="683"/>
      <c r="L75" s="684"/>
      <c r="M75" s="753"/>
      <c r="N75" s="683">
        <v>0</v>
      </c>
      <c r="O75" s="686"/>
      <c r="P75" s="683">
        <v>0</v>
      </c>
      <c r="Q75" s="687">
        <f t="shared" si="1"/>
        <v>0</v>
      </c>
      <c r="R75" s="781">
        <v>0</v>
      </c>
      <c r="S75" s="693"/>
      <c r="T75" s="690">
        <f t="shared" si="2"/>
        <v>0</v>
      </c>
      <c r="U75" s="683"/>
      <c r="V75" s="474">
        <f t="shared" si="3"/>
        <v>0</v>
      </c>
      <c r="W75" s="474">
        <f t="shared" si="4"/>
        <v>0</v>
      </c>
      <c r="X75" s="475">
        <f t="shared" si="5"/>
        <v>0</v>
      </c>
      <c r="Y75" s="475">
        <v>0</v>
      </c>
      <c r="Z75" s="476">
        <v>0</v>
      </c>
      <c r="AA75" s="38">
        <f t="shared" si="6"/>
        <v>0</v>
      </c>
      <c r="AB75" s="692">
        <f t="shared" si="7"/>
        <v>0</v>
      </c>
      <c r="AC75" s="692">
        <f t="shared" si="13"/>
        <v>0</v>
      </c>
      <c r="AD75" s="692">
        <f t="shared" si="9"/>
        <v>0</v>
      </c>
      <c r="AE75" s="38"/>
      <c r="AF75" s="692">
        <f t="shared" si="10"/>
        <v>0</v>
      </c>
      <c r="AG75" s="692">
        <f t="shared" si="11"/>
        <v>0</v>
      </c>
      <c r="AH75" s="692">
        <f t="shared" si="12"/>
        <v>0</v>
      </c>
    </row>
    <row r="76" spans="1:34">
      <c r="A76" s="20"/>
      <c r="B76" s="20" t="s">
        <v>110</v>
      </c>
      <c r="C76" s="667"/>
      <c r="D76" s="68" t="s">
        <v>15</v>
      </c>
      <c r="E76" s="679"/>
      <c r="F76" s="529">
        <f>VLOOKUP(D76,'Apr 2012 DMV Revenue'!D:T,17,FALSE)</f>
        <v>0</v>
      </c>
      <c r="G76" s="680"/>
      <c r="H76" s="680"/>
      <c r="I76" s="755"/>
      <c r="J76" s="682">
        <f t="shared" si="0"/>
        <v>0</v>
      </c>
      <c r="K76" s="683"/>
      <c r="L76" s="684"/>
      <c r="M76" s="753">
        <v>9000</v>
      </c>
      <c r="N76" s="683">
        <v>0</v>
      </c>
      <c r="O76" s="686"/>
      <c r="P76" s="683">
        <v>0</v>
      </c>
      <c r="Q76" s="687">
        <f t="shared" si="1"/>
        <v>9000</v>
      </c>
      <c r="R76" s="781">
        <v>9728.15</v>
      </c>
      <c r="S76" s="693"/>
      <c r="T76" s="690">
        <f t="shared" si="2"/>
        <v>728.14999999999964</v>
      </c>
      <c r="U76" s="683"/>
      <c r="V76" s="474">
        <f t="shared" si="3"/>
        <v>9000</v>
      </c>
      <c r="W76" s="474">
        <f t="shared" si="4"/>
        <v>0</v>
      </c>
      <c r="X76" s="475">
        <f t="shared" si="5"/>
        <v>0</v>
      </c>
      <c r="Y76" s="475">
        <v>0</v>
      </c>
      <c r="Z76" s="476">
        <v>0</v>
      </c>
      <c r="AA76" s="38">
        <f t="shared" si="6"/>
        <v>0</v>
      </c>
      <c r="AB76" s="692">
        <f t="shared" si="7"/>
        <v>0</v>
      </c>
      <c r="AC76" s="692">
        <f t="shared" si="13"/>
        <v>0</v>
      </c>
      <c r="AD76" s="692">
        <f t="shared" si="9"/>
        <v>0</v>
      </c>
      <c r="AE76" s="38"/>
      <c r="AF76" s="692">
        <f t="shared" si="10"/>
        <v>9000</v>
      </c>
      <c r="AG76" s="692">
        <f t="shared" si="11"/>
        <v>0</v>
      </c>
      <c r="AH76" s="692">
        <f t="shared" si="12"/>
        <v>0</v>
      </c>
    </row>
    <row r="77" spans="1:34">
      <c r="A77" s="20"/>
      <c r="B77" s="20" t="s">
        <v>110</v>
      </c>
      <c r="C77" s="667"/>
      <c r="D77" s="68" t="s">
        <v>646</v>
      </c>
      <c r="E77" s="679">
        <f>182.6+191.48+981.9+617.28+1681.43</f>
        <v>3654.69</v>
      </c>
      <c r="F77" s="529">
        <f>VLOOKUP(D77,'Apr 2012 DMV Revenue'!D:T,17,FALSE)</f>
        <v>360.29</v>
      </c>
      <c r="G77" s="680"/>
      <c r="H77" s="680"/>
      <c r="I77" s="755"/>
      <c r="J77" s="682">
        <f t="shared" ref="J77" si="14">SUM(E77:I77)</f>
        <v>4014.98</v>
      </c>
      <c r="K77" s="683"/>
      <c r="L77" s="684"/>
      <c r="M77" s="753"/>
      <c r="N77" s="683">
        <v>0</v>
      </c>
      <c r="O77" s="686"/>
      <c r="P77" s="683">
        <v>0</v>
      </c>
      <c r="Q77" s="687">
        <f t="shared" ref="Q77" si="15">L77+M77</f>
        <v>0</v>
      </c>
      <c r="R77" s="781">
        <v>409.4</v>
      </c>
      <c r="S77" s="693"/>
      <c r="T77" s="690">
        <f t="shared" ref="T77" si="16">IF(R77="","",R77-Q77)</f>
        <v>409.4</v>
      </c>
      <c r="U77" s="683"/>
      <c r="V77" s="474">
        <f t="shared" ref="V77" si="17">IF(B77="D",Q77,0)</f>
        <v>0</v>
      </c>
      <c r="W77" s="474">
        <f t="shared" ref="W77" si="18">IF(B77="M",Q77,0)</f>
        <v>0</v>
      </c>
      <c r="X77" s="475">
        <f t="shared" ref="X77" si="19">IF(B77="V",Q77,0)</f>
        <v>0</v>
      </c>
      <c r="Y77" s="475">
        <v>0</v>
      </c>
      <c r="Z77" s="476">
        <v>0</v>
      </c>
      <c r="AA77" s="38">
        <f t="shared" ref="AA77" si="20">(L77+M77)-(V77+W77+X77+Y77+Z77)</f>
        <v>0</v>
      </c>
      <c r="AB77" s="692">
        <f t="shared" si="7"/>
        <v>4014.98</v>
      </c>
      <c r="AC77" s="692">
        <f t="shared" ref="AC77" si="21">IF(B77="M",J77,0)</f>
        <v>0</v>
      </c>
      <c r="AD77" s="692">
        <f t="shared" ref="AD77" si="22">IF(B77="V",J77,0)</f>
        <v>0</v>
      </c>
      <c r="AE77" s="38"/>
      <c r="AF77" s="692">
        <f t="shared" ref="AF77" si="23">IF(B77="D",Q77,0)</f>
        <v>0</v>
      </c>
      <c r="AG77" s="692">
        <f t="shared" ref="AG77" si="24">IF(B77="M",Q77,0)</f>
        <v>0</v>
      </c>
      <c r="AH77" s="692">
        <f t="shared" ref="AH77" si="25">IF(B77="V",Q77,0)</f>
        <v>0</v>
      </c>
    </row>
    <row r="78" spans="1:34">
      <c r="A78" s="20" t="s">
        <v>109</v>
      </c>
      <c r="B78" s="20" t="s">
        <v>109</v>
      </c>
      <c r="C78" s="667" t="s">
        <v>539</v>
      </c>
      <c r="D78" s="68" t="s">
        <v>510</v>
      </c>
      <c r="E78" s="679"/>
      <c r="F78" s="529">
        <f>VLOOKUP(D78,'Apr 2012 DMV Revenue'!D:T,17,FALSE)</f>
        <v>0</v>
      </c>
      <c r="G78" s="680"/>
      <c r="H78" s="680"/>
      <c r="I78" s="755"/>
      <c r="J78" s="682">
        <f t="shared" si="0"/>
        <v>0</v>
      </c>
      <c r="K78" s="683"/>
      <c r="L78" s="684"/>
      <c r="M78" s="753"/>
      <c r="N78" s="683">
        <v>0</v>
      </c>
      <c r="O78" s="686"/>
      <c r="P78" s="683">
        <v>0</v>
      </c>
      <c r="Q78" s="687">
        <f t="shared" si="1"/>
        <v>0</v>
      </c>
      <c r="R78" s="781">
        <v>0</v>
      </c>
      <c r="S78" s="693"/>
      <c r="T78" s="690">
        <f t="shared" si="2"/>
        <v>0</v>
      </c>
      <c r="U78" s="683"/>
      <c r="V78" s="474">
        <f t="shared" si="3"/>
        <v>0</v>
      </c>
      <c r="W78" s="474">
        <f t="shared" si="4"/>
        <v>0</v>
      </c>
      <c r="X78" s="475">
        <f t="shared" si="5"/>
        <v>0</v>
      </c>
      <c r="Y78" s="475">
        <v>0</v>
      </c>
      <c r="Z78" s="476">
        <v>0</v>
      </c>
      <c r="AA78" s="38">
        <f t="shared" si="6"/>
        <v>0</v>
      </c>
      <c r="AB78" s="692">
        <f t="shared" si="7"/>
        <v>0</v>
      </c>
      <c r="AC78" s="692">
        <f t="shared" si="13"/>
        <v>0</v>
      </c>
      <c r="AD78" s="692">
        <f t="shared" si="9"/>
        <v>0</v>
      </c>
      <c r="AE78" s="38"/>
      <c r="AF78" s="692">
        <f t="shared" si="10"/>
        <v>0</v>
      </c>
      <c r="AG78" s="692">
        <f t="shared" si="11"/>
        <v>0</v>
      </c>
      <c r="AH78" s="692">
        <f t="shared" si="12"/>
        <v>0</v>
      </c>
    </row>
    <row r="79" spans="1:34">
      <c r="A79" s="20"/>
      <c r="B79" s="20" t="s">
        <v>109</v>
      </c>
      <c r="C79" s="667"/>
      <c r="D79" s="68" t="s">
        <v>16</v>
      </c>
      <c r="E79" s="679"/>
      <c r="F79" s="529">
        <f>VLOOKUP(D79,'Apr 2012 DMV Revenue'!D:T,17,FALSE)</f>
        <v>0</v>
      </c>
      <c r="G79" s="680"/>
      <c r="H79" s="680"/>
      <c r="I79" s="755"/>
      <c r="J79" s="682">
        <f t="shared" si="0"/>
        <v>0</v>
      </c>
      <c r="K79" s="683"/>
      <c r="L79" s="684"/>
      <c r="M79" s="753"/>
      <c r="N79" s="683">
        <v>0</v>
      </c>
      <c r="O79" s="686"/>
      <c r="P79" s="683">
        <v>0</v>
      </c>
      <c r="Q79" s="687">
        <f t="shared" si="1"/>
        <v>0</v>
      </c>
      <c r="R79" s="781">
        <v>0</v>
      </c>
      <c r="S79" s="693"/>
      <c r="T79" s="690">
        <f t="shared" si="2"/>
        <v>0</v>
      </c>
      <c r="U79" s="683"/>
      <c r="V79" s="474">
        <f t="shared" si="3"/>
        <v>0</v>
      </c>
      <c r="W79" s="474">
        <f t="shared" si="4"/>
        <v>0</v>
      </c>
      <c r="X79" s="475">
        <f t="shared" si="5"/>
        <v>0</v>
      </c>
      <c r="Y79" s="475">
        <v>0</v>
      </c>
      <c r="Z79" s="476">
        <v>0</v>
      </c>
      <c r="AA79" s="38">
        <f t="shared" si="6"/>
        <v>0</v>
      </c>
      <c r="AB79" s="692">
        <f t="shared" si="7"/>
        <v>0</v>
      </c>
      <c r="AC79" s="692">
        <f t="shared" si="13"/>
        <v>0</v>
      </c>
      <c r="AD79" s="692">
        <f t="shared" si="9"/>
        <v>0</v>
      </c>
      <c r="AE79" s="38"/>
      <c r="AF79" s="692">
        <f t="shared" si="10"/>
        <v>0</v>
      </c>
      <c r="AG79" s="692">
        <f t="shared" si="11"/>
        <v>0</v>
      </c>
      <c r="AH79" s="692">
        <f t="shared" si="12"/>
        <v>0</v>
      </c>
    </row>
    <row r="80" spans="1:34">
      <c r="A80" s="20"/>
      <c r="B80" s="20" t="s">
        <v>109</v>
      </c>
      <c r="C80" s="667"/>
      <c r="D80" s="68" t="s">
        <v>208</v>
      </c>
      <c r="E80" s="679"/>
      <c r="F80" s="529">
        <f>VLOOKUP(D80,'Apr 2012 DMV Revenue'!D:T,17,FALSE)</f>
        <v>0</v>
      </c>
      <c r="G80" s="680"/>
      <c r="H80" s="680"/>
      <c r="I80" s="755"/>
      <c r="J80" s="682">
        <f t="shared" si="0"/>
        <v>0</v>
      </c>
      <c r="K80" s="683"/>
      <c r="L80" s="684"/>
      <c r="M80" s="753"/>
      <c r="N80" s="683">
        <v>0</v>
      </c>
      <c r="O80" s="686"/>
      <c r="P80" s="683">
        <v>0</v>
      </c>
      <c r="Q80" s="687">
        <f t="shared" si="1"/>
        <v>0</v>
      </c>
      <c r="R80" s="781">
        <v>0</v>
      </c>
      <c r="S80" s="693"/>
      <c r="T80" s="690">
        <f t="shared" si="2"/>
        <v>0</v>
      </c>
      <c r="U80" s="683"/>
      <c r="V80" s="474">
        <f t="shared" si="3"/>
        <v>0</v>
      </c>
      <c r="W80" s="474">
        <f t="shared" si="4"/>
        <v>0</v>
      </c>
      <c r="X80" s="475">
        <f t="shared" si="5"/>
        <v>0</v>
      </c>
      <c r="Y80" s="475">
        <v>0</v>
      </c>
      <c r="Z80" s="476">
        <v>0</v>
      </c>
      <c r="AA80" s="38">
        <f t="shared" si="6"/>
        <v>0</v>
      </c>
      <c r="AB80" s="692">
        <f t="shared" ref="AB80:AB145" si="26">IF(B80="D",J80,0)</f>
        <v>0</v>
      </c>
      <c r="AC80" s="692">
        <f t="shared" si="13"/>
        <v>0</v>
      </c>
      <c r="AD80" s="692">
        <f t="shared" si="9"/>
        <v>0</v>
      </c>
      <c r="AE80" s="38"/>
      <c r="AF80" s="692">
        <f t="shared" si="10"/>
        <v>0</v>
      </c>
      <c r="AG80" s="692">
        <f t="shared" si="11"/>
        <v>0</v>
      </c>
      <c r="AH80" s="692">
        <f t="shared" si="12"/>
        <v>0</v>
      </c>
    </row>
    <row r="81" spans="1:34">
      <c r="A81" s="20"/>
      <c r="B81" s="20" t="s">
        <v>110</v>
      </c>
      <c r="C81" s="667"/>
      <c r="D81" s="68" t="s">
        <v>597</v>
      </c>
      <c r="E81" s="679"/>
      <c r="F81" s="529">
        <f>VLOOKUP(D81,'Apr 2012 DMV Revenue'!D:T,17,FALSE)</f>
        <v>20887.509999999995</v>
      </c>
      <c r="G81" s="680"/>
      <c r="H81" s="680"/>
      <c r="I81" s="755"/>
      <c r="J81" s="682">
        <f t="shared" ref="J81:J139" si="27">SUM(E81:I81)</f>
        <v>20887.509999999995</v>
      </c>
      <c r="K81" s="683"/>
      <c r="L81" s="684">
        <v>67211</v>
      </c>
      <c r="M81" s="753"/>
      <c r="N81" s="683">
        <v>0</v>
      </c>
      <c r="O81" s="686"/>
      <c r="P81" s="683">
        <v>0</v>
      </c>
      <c r="Q81" s="687">
        <f t="shared" si="1"/>
        <v>67211</v>
      </c>
      <c r="R81" s="781">
        <v>67237.14</v>
      </c>
      <c r="S81" s="693"/>
      <c r="T81" s="690">
        <f t="shared" ref="T81:T146" si="28">IF(R81="","",R81-Q81)</f>
        <v>26.139999999999418</v>
      </c>
      <c r="U81" s="683"/>
      <c r="V81" s="474">
        <f t="shared" ref="V81:V146" si="29">IF(B81="D",Q81,0)</f>
        <v>67211</v>
      </c>
      <c r="W81" s="474">
        <f t="shared" ref="W81:W146" si="30">IF(B81="M",Q81,0)</f>
        <v>0</v>
      </c>
      <c r="X81" s="475">
        <f t="shared" ref="X81:X146" si="31">IF(B81="V",Q81,0)</f>
        <v>0</v>
      </c>
      <c r="Y81" s="475">
        <v>0</v>
      </c>
      <c r="Z81" s="476">
        <v>0</v>
      </c>
      <c r="AA81" s="38">
        <f t="shared" ref="AA81:AA146" si="32">(L81+M81)-(V81+W81+X81+Y81+Z81)</f>
        <v>0</v>
      </c>
      <c r="AB81" s="692">
        <f t="shared" si="26"/>
        <v>20887.509999999995</v>
      </c>
      <c r="AC81" s="692">
        <f t="shared" si="13"/>
        <v>0</v>
      </c>
      <c r="AD81" s="692">
        <f t="shared" ref="AD81:AD146" si="33">IF(B81="V",J81,0)</f>
        <v>0</v>
      </c>
      <c r="AE81" s="38"/>
      <c r="AF81" s="692">
        <f t="shared" ref="AF81:AF146" si="34">IF(B81="D",Q81,0)</f>
        <v>67211</v>
      </c>
      <c r="AG81" s="692">
        <f t="shared" ref="AG81:AG146" si="35">IF(B81="M",Q81,0)</f>
        <v>0</v>
      </c>
      <c r="AH81" s="692">
        <f t="shared" ref="AH81:AH146" si="36">IF(B81="V",Q81,0)</f>
        <v>0</v>
      </c>
    </row>
    <row r="82" spans="1:34" s="232" customFormat="1">
      <c r="A82" s="283"/>
      <c r="B82" s="283" t="s">
        <v>109</v>
      </c>
      <c r="C82" s="667" t="s">
        <v>540</v>
      </c>
      <c r="D82" s="373" t="s">
        <v>410</v>
      </c>
      <c r="E82" s="679">
        <v>2875.3</v>
      </c>
      <c r="F82" s="529">
        <f>VLOOKUP(D82,'Apr 2012 DMV Revenue'!D:T,17,FALSE)</f>
        <v>-4249.7</v>
      </c>
      <c r="G82" s="680"/>
      <c r="H82" s="680"/>
      <c r="I82" s="770">
        <v>2449.4</v>
      </c>
      <c r="J82" s="682">
        <f t="shared" si="27"/>
        <v>1075.0000000000005</v>
      </c>
      <c r="K82" s="683"/>
      <c r="L82" s="684"/>
      <c r="M82" s="753"/>
      <c r="N82" s="683">
        <v>0</v>
      </c>
      <c r="O82" s="686"/>
      <c r="P82" s="683">
        <v>0</v>
      </c>
      <c r="Q82" s="687">
        <f t="shared" si="1"/>
        <v>0</v>
      </c>
      <c r="R82" s="781">
        <v>0</v>
      </c>
      <c r="S82" s="693"/>
      <c r="T82" s="690">
        <f t="shared" si="28"/>
        <v>0</v>
      </c>
      <c r="U82" s="683"/>
      <c r="V82" s="474">
        <f t="shared" si="29"/>
        <v>0</v>
      </c>
      <c r="W82" s="474">
        <f t="shared" si="30"/>
        <v>0</v>
      </c>
      <c r="X82" s="475">
        <f t="shared" si="31"/>
        <v>0</v>
      </c>
      <c r="Y82" s="475">
        <v>0</v>
      </c>
      <c r="Z82" s="476">
        <v>0</v>
      </c>
      <c r="AA82" s="38">
        <f t="shared" si="32"/>
        <v>0</v>
      </c>
      <c r="AB82" s="692">
        <f t="shared" si="26"/>
        <v>0</v>
      </c>
      <c r="AC82" s="692">
        <f t="shared" ref="AC82:AC147" si="37">IF(B82="M",J82,0)</f>
        <v>1075.0000000000005</v>
      </c>
      <c r="AD82" s="692">
        <f t="shared" si="33"/>
        <v>0</v>
      </c>
      <c r="AE82" s="38"/>
      <c r="AF82" s="692">
        <f t="shared" si="34"/>
        <v>0</v>
      </c>
      <c r="AG82" s="692">
        <f t="shared" si="35"/>
        <v>0</v>
      </c>
      <c r="AH82" s="692">
        <f t="shared" si="36"/>
        <v>0</v>
      </c>
    </row>
    <row r="83" spans="1:34" s="232" customFormat="1">
      <c r="A83" s="283"/>
      <c r="B83" s="283" t="s">
        <v>109</v>
      </c>
      <c r="C83" s="667" t="s">
        <v>540</v>
      </c>
      <c r="D83" s="373" t="s">
        <v>413</v>
      </c>
      <c r="E83" s="679"/>
      <c r="F83" s="529">
        <f>VLOOKUP(D83,'Apr 2012 DMV Revenue'!D:T,17,FALSE)</f>
        <v>431.6</v>
      </c>
      <c r="G83" s="680"/>
      <c r="H83" s="680"/>
      <c r="I83" s="770">
        <f>313.58+105.84+13.91</f>
        <v>433.33</v>
      </c>
      <c r="J83" s="682">
        <f t="shared" si="27"/>
        <v>864.93000000000006</v>
      </c>
      <c r="K83" s="683"/>
      <c r="L83" s="684"/>
      <c r="M83" s="753"/>
      <c r="N83" s="683">
        <v>0</v>
      </c>
      <c r="O83" s="686"/>
      <c r="P83" s="683">
        <v>0</v>
      </c>
      <c r="Q83" s="687">
        <f t="shared" si="1"/>
        <v>0</v>
      </c>
      <c r="R83" s="781">
        <v>0</v>
      </c>
      <c r="S83" s="693"/>
      <c r="T83" s="690">
        <f t="shared" si="28"/>
        <v>0</v>
      </c>
      <c r="U83" s="683"/>
      <c r="V83" s="474">
        <f t="shared" si="29"/>
        <v>0</v>
      </c>
      <c r="W83" s="474">
        <f t="shared" si="30"/>
        <v>0</v>
      </c>
      <c r="X83" s="475">
        <f t="shared" si="31"/>
        <v>0</v>
      </c>
      <c r="Y83" s="475">
        <v>0</v>
      </c>
      <c r="Z83" s="476">
        <v>0</v>
      </c>
      <c r="AA83" s="38">
        <f t="shared" si="32"/>
        <v>0</v>
      </c>
      <c r="AB83" s="692">
        <f t="shared" si="26"/>
        <v>0</v>
      </c>
      <c r="AC83" s="692">
        <f t="shared" si="37"/>
        <v>864.93000000000006</v>
      </c>
      <c r="AD83" s="692">
        <f t="shared" si="33"/>
        <v>0</v>
      </c>
      <c r="AE83" s="38"/>
      <c r="AF83" s="692">
        <f t="shared" si="34"/>
        <v>0</v>
      </c>
      <c r="AG83" s="692">
        <f t="shared" si="35"/>
        <v>0</v>
      </c>
      <c r="AH83" s="692">
        <f t="shared" si="36"/>
        <v>0</v>
      </c>
    </row>
    <row r="84" spans="1:34" s="232" customFormat="1">
      <c r="A84" s="283"/>
      <c r="B84" s="283" t="s">
        <v>109</v>
      </c>
      <c r="C84" s="667" t="s">
        <v>540</v>
      </c>
      <c r="D84" s="373" t="s">
        <v>620</v>
      </c>
      <c r="E84" s="679"/>
      <c r="F84" s="529">
        <f>VLOOKUP(D84,'Apr 2012 DMV Revenue'!D:T,17,FALSE)</f>
        <v>491.34</v>
      </c>
      <c r="G84" s="680"/>
      <c r="H84" s="680"/>
      <c r="I84" s="770">
        <f>442.98+2.85</f>
        <v>445.83000000000004</v>
      </c>
      <c r="J84" s="682">
        <f t="shared" si="27"/>
        <v>937.17000000000007</v>
      </c>
      <c r="K84" s="683"/>
      <c r="L84" s="684"/>
      <c r="M84" s="753"/>
      <c r="N84" s="683">
        <v>0</v>
      </c>
      <c r="O84" s="686"/>
      <c r="P84" s="683">
        <v>0</v>
      </c>
      <c r="Q84" s="687">
        <f t="shared" si="1"/>
        <v>0</v>
      </c>
      <c r="R84" s="781">
        <v>0</v>
      </c>
      <c r="S84" s="693"/>
      <c r="T84" s="690">
        <f t="shared" si="28"/>
        <v>0</v>
      </c>
      <c r="U84" s="683"/>
      <c r="V84" s="474">
        <f t="shared" si="29"/>
        <v>0</v>
      </c>
      <c r="W84" s="474">
        <f t="shared" si="30"/>
        <v>0</v>
      </c>
      <c r="X84" s="475">
        <f t="shared" si="31"/>
        <v>0</v>
      </c>
      <c r="Y84" s="475">
        <v>0</v>
      </c>
      <c r="Z84" s="476">
        <v>0</v>
      </c>
      <c r="AA84" s="38">
        <f t="shared" si="32"/>
        <v>0</v>
      </c>
      <c r="AB84" s="692">
        <f t="shared" si="26"/>
        <v>0</v>
      </c>
      <c r="AC84" s="692">
        <f t="shared" si="37"/>
        <v>937.17000000000007</v>
      </c>
      <c r="AD84" s="692">
        <f t="shared" si="33"/>
        <v>0</v>
      </c>
      <c r="AE84" s="38"/>
      <c r="AF84" s="692">
        <f t="shared" si="34"/>
        <v>0</v>
      </c>
      <c r="AG84" s="692">
        <f t="shared" si="35"/>
        <v>0</v>
      </c>
      <c r="AH84" s="692">
        <f t="shared" si="36"/>
        <v>0</v>
      </c>
    </row>
    <row r="85" spans="1:34">
      <c r="A85" s="20"/>
      <c r="B85" s="20" t="s">
        <v>110</v>
      </c>
      <c r="C85" s="667" t="s">
        <v>541</v>
      </c>
      <c r="D85" s="351" t="s">
        <v>507</v>
      </c>
      <c r="E85" s="679">
        <f>243.3+344.85+328.59</f>
        <v>916.74</v>
      </c>
      <c r="F85" s="529">
        <f>VLOOKUP(D85,'Apr 2012 DMV Revenue'!D:T,17,FALSE)</f>
        <v>347.32</v>
      </c>
      <c r="G85" s="680"/>
      <c r="H85" s="680"/>
      <c r="I85" s="770">
        <v>365.87</v>
      </c>
      <c r="J85" s="682">
        <f t="shared" si="27"/>
        <v>1629.9299999999998</v>
      </c>
      <c r="K85" s="683"/>
      <c r="L85" s="684"/>
      <c r="M85" s="753"/>
      <c r="N85" s="683">
        <v>0</v>
      </c>
      <c r="O85" s="686"/>
      <c r="P85" s="683">
        <v>0</v>
      </c>
      <c r="Q85" s="687">
        <f t="shared" si="1"/>
        <v>0</v>
      </c>
      <c r="R85" s="781">
        <v>0</v>
      </c>
      <c r="S85" s="693"/>
      <c r="T85" s="690">
        <f t="shared" si="28"/>
        <v>0</v>
      </c>
      <c r="U85" s="683"/>
      <c r="V85" s="474">
        <f t="shared" si="29"/>
        <v>0</v>
      </c>
      <c r="W85" s="474">
        <f t="shared" si="30"/>
        <v>0</v>
      </c>
      <c r="X85" s="475">
        <f t="shared" si="31"/>
        <v>0</v>
      </c>
      <c r="Y85" s="475">
        <v>0</v>
      </c>
      <c r="Z85" s="476">
        <v>0</v>
      </c>
      <c r="AA85" s="38">
        <f t="shared" si="32"/>
        <v>0</v>
      </c>
      <c r="AB85" s="692">
        <f t="shared" si="26"/>
        <v>1629.9299999999998</v>
      </c>
      <c r="AC85" s="692">
        <f t="shared" si="37"/>
        <v>0</v>
      </c>
      <c r="AD85" s="692">
        <f t="shared" si="33"/>
        <v>0</v>
      </c>
      <c r="AE85" s="38"/>
      <c r="AF85" s="692">
        <f t="shared" si="34"/>
        <v>0</v>
      </c>
      <c r="AG85" s="692">
        <f t="shared" si="35"/>
        <v>0</v>
      </c>
      <c r="AH85" s="692">
        <f t="shared" si="36"/>
        <v>0</v>
      </c>
    </row>
    <row r="86" spans="1:34">
      <c r="A86" s="20"/>
      <c r="B86" s="20" t="s">
        <v>110</v>
      </c>
      <c r="C86" s="667" t="s">
        <v>541</v>
      </c>
      <c r="D86" s="351" t="s">
        <v>506</v>
      </c>
      <c r="E86" s="679">
        <f>391.72+469.54+317.76</f>
        <v>1179.02</v>
      </c>
      <c r="F86" s="529">
        <f>VLOOKUP(D86,'Apr 2012 DMV Revenue'!D:T,17,FALSE)</f>
        <v>438.36</v>
      </c>
      <c r="G86" s="680"/>
      <c r="H86" s="680"/>
      <c r="I86" s="770">
        <v>348.41</v>
      </c>
      <c r="J86" s="682">
        <f t="shared" si="27"/>
        <v>1965.7900000000002</v>
      </c>
      <c r="K86" s="683"/>
      <c r="L86" s="684"/>
      <c r="M86" s="753"/>
      <c r="N86" s="683">
        <v>0</v>
      </c>
      <c r="O86" s="686"/>
      <c r="P86" s="683">
        <v>0</v>
      </c>
      <c r="Q86" s="687">
        <f t="shared" si="1"/>
        <v>0</v>
      </c>
      <c r="R86" s="781">
        <v>0</v>
      </c>
      <c r="S86" s="693"/>
      <c r="T86" s="690">
        <f t="shared" si="28"/>
        <v>0</v>
      </c>
      <c r="U86" s="683"/>
      <c r="V86" s="474">
        <f t="shared" si="29"/>
        <v>0</v>
      </c>
      <c r="W86" s="474">
        <f t="shared" si="30"/>
        <v>0</v>
      </c>
      <c r="X86" s="475">
        <f t="shared" si="31"/>
        <v>0</v>
      </c>
      <c r="Y86" s="475">
        <v>0</v>
      </c>
      <c r="Z86" s="476">
        <v>0</v>
      </c>
      <c r="AA86" s="38">
        <f t="shared" si="32"/>
        <v>0</v>
      </c>
      <c r="AB86" s="692">
        <f t="shared" si="26"/>
        <v>1965.7900000000002</v>
      </c>
      <c r="AC86" s="692">
        <f t="shared" si="37"/>
        <v>0</v>
      </c>
      <c r="AD86" s="692">
        <f t="shared" si="33"/>
        <v>0</v>
      </c>
      <c r="AE86" s="38"/>
      <c r="AF86" s="692">
        <f t="shared" si="34"/>
        <v>0</v>
      </c>
      <c r="AG86" s="692">
        <f t="shared" si="35"/>
        <v>0</v>
      </c>
      <c r="AH86" s="692">
        <f t="shared" si="36"/>
        <v>0</v>
      </c>
    </row>
    <row r="87" spans="1:34">
      <c r="A87" s="20"/>
      <c r="B87" s="20" t="s">
        <v>110</v>
      </c>
      <c r="C87" s="667" t="s">
        <v>542</v>
      </c>
      <c r="D87" s="68" t="s">
        <v>305</v>
      </c>
      <c r="E87" s="679"/>
      <c r="F87" s="529">
        <f>VLOOKUP(D87,'Apr 2012 DMV Revenue'!D:T,17,FALSE)</f>
        <v>0</v>
      </c>
      <c r="G87" s="680"/>
      <c r="H87" s="680"/>
      <c r="I87" s="755"/>
      <c r="J87" s="682">
        <f t="shared" si="27"/>
        <v>0</v>
      </c>
      <c r="K87" s="683"/>
      <c r="L87" s="684"/>
      <c r="M87" s="753"/>
      <c r="N87" s="683">
        <v>0</v>
      </c>
      <c r="O87" s="686"/>
      <c r="P87" s="683">
        <v>0</v>
      </c>
      <c r="Q87" s="687">
        <f t="shared" si="1"/>
        <v>0</v>
      </c>
      <c r="R87" s="781">
        <v>325.10000000000002</v>
      </c>
      <c r="S87" s="693"/>
      <c r="T87" s="690">
        <f t="shared" si="28"/>
        <v>325.10000000000002</v>
      </c>
      <c r="U87" s="683"/>
      <c r="V87" s="474">
        <f t="shared" si="29"/>
        <v>0</v>
      </c>
      <c r="W87" s="474">
        <f t="shared" si="30"/>
        <v>0</v>
      </c>
      <c r="X87" s="475">
        <f t="shared" si="31"/>
        <v>0</v>
      </c>
      <c r="Y87" s="475">
        <v>0</v>
      </c>
      <c r="Z87" s="476">
        <v>0</v>
      </c>
      <c r="AA87" s="38">
        <f t="shared" si="32"/>
        <v>0</v>
      </c>
      <c r="AB87" s="692">
        <f t="shared" si="26"/>
        <v>0</v>
      </c>
      <c r="AC87" s="692">
        <f t="shared" si="37"/>
        <v>0</v>
      </c>
      <c r="AD87" s="692">
        <f t="shared" si="33"/>
        <v>0</v>
      </c>
      <c r="AE87" s="38"/>
      <c r="AF87" s="692">
        <f t="shared" si="34"/>
        <v>0</v>
      </c>
      <c r="AG87" s="692">
        <f t="shared" si="35"/>
        <v>0</v>
      </c>
      <c r="AH87" s="692">
        <f t="shared" si="36"/>
        <v>0</v>
      </c>
    </row>
    <row r="88" spans="1:34">
      <c r="A88" s="20"/>
      <c r="B88" s="20" t="s">
        <v>110</v>
      </c>
      <c r="C88" s="667" t="s">
        <v>543</v>
      </c>
      <c r="D88" s="68" t="s">
        <v>199</v>
      </c>
      <c r="E88" s="679">
        <v>146.5</v>
      </c>
      <c r="F88" s="529">
        <f>VLOOKUP(D88,'Apr 2012 DMV Revenue'!D:T,17,FALSE)</f>
        <v>94.83</v>
      </c>
      <c r="G88" s="680"/>
      <c r="H88" s="680"/>
      <c r="I88" s="755"/>
      <c r="J88" s="682">
        <f t="shared" si="27"/>
        <v>241.32999999999998</v>
      </c>
      <c r="K88" s="683"/>
      <c r="L88" s="684"/>
      <c r="M88" s="753"/>
      <c r="N88" s="683">
        <v>0</v>
      </c>
      <c r="O88" s="686"/>
      <c r="P88" s="683">
        <v>0</v>
      </c>
      <c r="Q88" s="687">
        <f t="shared" si="1"/>
        <v>0</v>
      </c>
      <c r="R88" s="781">
        <v>0</v>
      </c>
      <c r="S88" s="693"/>
      <c r="T88" s="690">
        <f t="shared" si="28"/>
        <v>0</v>
      </c>
      <c r="U88" s="683"/>
      <c r="V88" s="474">
        <f t="shared" si="29"/>
        <v>0</v>
      </c>
      <c r="W88" s="474">
        <f t="shared" si="30"/>
        <v>0</v>
      </c>
      <c r="X88" s="475">
        <f t="shared" si="31"/>
        <v>0</v>
      </c>
      <c r="Y88" s="475">
        <v>0</v>
      </c>
      <c r="Z88" s="476">
        <v>0</v>
      </c>
      <c r="AA88" s="38">
        <f t="shared" si="32"/>
        <v>0</v>
      </c>
      <c r="AB88" s="692">
        <f t="shared" si="26"/>
        <v>241.32999999999998</v>
      </c>
      <c r="AC88" s="692">
        <f t="shared" si="37"/>
        <v>0</v>
      </c>
      <c r="AD88" s="692">
        <f t="shared" si="33"/>
        <v>0</v>
      </c>
      <c r="AE88" s="38"/>
      <c r="AF88" s="692">
        <f t="shared" si="34"/>
        <v>0</v>
      </c>
      <c r="AG88" s="692">
        <f t="shared" si="35"/>
        <v>0</v>
      </c>
      <c r="AH88" s="692">
        <f t="shared" si="36"/>
        <v>0</v>
      </c>
    </row>
    <row r="89" spans="1:34">
      <c r="A89" s="20"/>
      <c r="B89" s="20" t="s">
        <v>110</v>
      </c>
      <c r="C89" s="667" t="s">
        <v>543</v>
      </c>
      <c r="D89" s="68" t="s">
        <v>200</v>
      </c>
      <c r="E89" s="679">
        <v>293.3</v>
      </c>
      <c r="F89" s="529">
        <f>VLOOKUP(D89,'Apr 2012 DMV Revenue'!D:T,17,FALSE)</f>
        <v>79.8</v>
      </c>
      <c r="G89" s="680"/>
      <c r="H89" s="680"/>
      <c r="I89" s="755"/>
      <c r="J89" s="682">
        <f t="shared" si="27"/>
        <v>373.1</v>
      </c>
      <c r="K89" s="683"/>
      <c r="L89" s="684"/>
      <c r="M89" s="753"/>
      <c r="N89" s="683">
        <v>0</v>
      </c>
      <c r="O89" s="686"/>
      <c r="P89" s="683">
        <v>0</v>
      </c>
      <c r="Q89" s="687">
        <f t="shared" si="1"/>
        <v>0</v>
      </c>
      <c r="R89" s="781">
        <v>0</v>
      </c>
      <c r="S89" s="693"/>
      <c r="T89" s="690">
        <f t="shared" si="28"/>
        <v>0</v>
      </c>
      <c r="U89" s="683"/>
      <c r="V89" s="474">
        <f t="shared" si="29"/>
        <v>0</v>
      </c>
      <c r="W89" s="474">
        <f t="shared" si="30"/>
        <v>0</v>
      </c>
      <c r="X89" s="475">
        <f t="shared" si="31"/>
        <v>0</v>
      </c>
      <c r="Y89" s="475">
        <v>0</v>
      </c>
      <c r="Z89" s="476">
        <v>0</v>
      </c>
      <c r="AA89" s="38">
        <f t="shared" si="32"/>
        <v>0</v>
      </c>
      <c r="AB89" s="692">
        <f t="shared" si="26"/>
        <v>373.1</v>
      </c>
      <c r="AC89" s="692">
        <f t="shared" si="37"/>
        <v>0</v>
      </c>
      <c r="AD89" s="692">
        <f t="shared" si="33"/>
        <v>0</v>
      </c>
      <c r="AE89" s="38"/>
      <c r="AF89" s="692">
        <f t="shared" si="34"/>
        <v>0</v>
      </c>
      <c r="AG89" s="692">
        <f t="shared" si="35"/>
        <v>0</v>
      </c>
      <c r="AH89" s="692">
        <f t="shared" si="36"/>
        <v>0</v>
      </c>
    </row>
    <row r="90" spans="1:34">
      <c r="A90" s="20"/>
      <c r="B90" s="20" t="s">
        <v>110</v>
      </c>
      <c r="C90" s="667" t="s">
        <v>543</v>
      </c>
      <c r="D90" s="68" t="s">
        <v>201</v>
      </c>
      <c r="E90" s="679">
        <v>9.4</v>
      </c>
      <c r="F90" s="529">
        <f>VLOOKUP(D90,'Apr 2012 DMV Revenue'!D:T,17,FALSE)</f>
        <v>13.33</v>
      </c>
      <c r="G90" s="680"/>
      <c r="H90" s="680"/>
      <c r="I90" s="755"/>
      <c r="J90" s="682">
        <f t="shared" si="27"/>
        <v>22.73</v>
      </c>
      <c r="K90" s="683"/>
      <c r="L90" s="684"/>
      <c r="M90" s="753"/>
      <c r="N90" s="683">
        <v>0</v>
      </c>
      <c r="O90" s="686"/>
      <c r="P90" s="683">
        <v>0</v>
      </c>
      <c r="Q90" s="687">
        <f t="shared" si="1"/>
        <v>0</v>
      </c>
      <c r="R90" s="781">
        <v>0</v>
      </c>
      <c r="S90" s="693"/>
      <c r="T90" s="690">
        <f t="shared" si="28"/>
        <v>0</v>
      </c>
      <c r="U90" s="683"/>
      <c r="V90" s="474">
        <f t="shared" si="29"/>
        <v>0</v>
      </c>
      <c r="W90" s="474">
        <f t="shared" si="30"/>
        <v>0</v>
      </c>
      <c r="X90" s="475">
        <f t="shared" si="31"/>
        <v>0</v>
      </c>
      <c r="Y90" s="475">
        <v>0</v>
      </c>
      <c r="Z90" s="476">
        <v>0</v>
      </c>
      <c r="AA90" s="38">
        <f t="shared" si="32"/>
        <v>0</v>
      </c>
      <c r="AB90" s="692">
        <f t="shared" si="26"/>
        <v>22.73</v>
      </c>
      <c r="AC90" s="692">
        <f t="shared" si="37"/>
        <v>0</v>
      </c>
      <c r="AD90" s="692">
        <f t="shared" si="33"/>
        <v>0</v>
      </c>
      <c r="AE90" s="38"/>
      <c r="AF90" s="692">
        <f t="shared" si="34"/>
        <v>0</v>
      </c>
      <c r="AG90" s="692">
        <f t="shared" si="35"/>
        <v>0</v>
      </c>
      <c r="AH90" s="692">
        <f t="shared" si="36"/>
        <v>0</v>
      </c>
    </row>
    <row r="91" spans="1:34">
      <c r="A91" s="20" t="s">
        <v>97</v>
      </c>
      <c r="B91" s="20" t="s">
        <v>114</v>
      </c>
      <c r="C91" s="667"/>
      <c r="D91" s="68" t="s">
        <v>387</v>
      </c>
      <c r="E91" s="679">
        <v>22697.49</v>
      </c>
      <c r="F91" s="529">
        <f>VLOOKUP(D91,'Apr 2012 DMV Revenue'!D:T,17,FALSE)</f>
        <v>-30000</v>
      </c>
      <c r="G91" s="680"/>
      <c r="H91" s="680"/>
      <c r="I91" s="755"/>
      <c r="J91" s="682">
        <f t="shared" si="27"/>
        <v>-7302.5099999999984</v>
      </c>
      <c r="K91" s="683"/>
      <c r="L91" s="684"/>
      <c r="M91" s="753">
        <v>15000</v>
      </c>
      <c r="N91" s="683">
        <v>0</v>
      </c>
      <c r="O91" s="686"/>
      <c r="P91" s="683">
        <v>0</v>
      </c>
      <c r="Q91" s="687">
        <f t="shared" si="1"/>
        <v>15000</v>
      </c>
      <c r="R91" s="781">
        <v>0</v>
      </c>
      <c r="S91" s="693"/>
      <c r="T91" s="690">
        <f t="shared" si="28"/>
        <v>-15000</v>
      </c>
      <c r="U91" s="683"/>
      <c r="V91" s="474">
        <f t="shared" si="29"/>
        <v>0</v>
      </c>
      <c r="W91" s="474">
        <f t="shared" si="30"/>
        <v>0</v>
      </c>
      <c r="X91" s="475">
        <f t="shared" si="31"/>
        <v>15000</v>
      </c>
      <c r="Y91" s="475">
        <v>0</v>
      </c>
      <c r="Z91" s="476">
        <v>0</v>
      </c>
      <c r="AA91" s="38">
        <f t="shared" si="32"/>
        <v>0</v>
      </c>
      <c r="AB91" s="692">
        <f t="shared" si="26"/>
        <v>0</v>
      </c>
      <c r="AC91" s="692">
        <f t="shared" si="37"/>
        <v>0</v>
      </c>
      <c r="AD91" s="692">
        <f t="shared" si="33"/>
        <v>-7302.5099999999984</v>
      </c>
      <c r="AE91" s="38"/>
      <c r="AF91" s="692">
        <f t="shared" si="34"/>
        <v>0</v>
      </c>
      <c r="AG91" s="692">
        <f t="shared" si="35"/>
        <v>0</v>
      </c>
      <c r="AH91" s="692">
        <f t="shared" si="36"/>
        <v>15000</v>
      </c>
    </row>
    <row r="92" spans="1:34">
      <c r="A92" s="20" t="s">
        <v>97</v>
      </c>
      <c r="B92" s="20" t="s">
        <v>114</v>
      </c>
      <c r="C92" s="667"/>
      <c r="D92" s="68" t="s">
        <v>482</v>
      </c>
      <c r="E92" s="679"/>
      <c r="F92" s="529">
        <f>VLOOKUP(D92,'Apr 2012 DMV Revenue'!D:T,17,FALSE)</f>
        <v>0</v>
      </c>
      <c r="G92" s="680"/>
      <c r="H92" s="680"/>
      <c r="I92" s="755"/>
      <c r="J92" s="682">
        <f t="shared" si="27"/>
        <v>0</v>
      </c>
      <c r="K92" s="683"/>
      <c r="L92" s="684"/>
      <c r="M92" s="753"/>
      <c r="N92" s="683"/>
      <c r="O92" s="686"/>
      <c r="P92" s="683"/>
      <c r="Q92" s="687">
        <f t="shared" si="1"/>
        <v>0</v>
      </c>
      <c r="R92" s="781">
        <v>0</v>
      </c>
      <c r="S92" s="693"/>
      <c r="T92" s="690">
        <f t="shared" si="28"/>
        <v>0</v>
      </c>
      <c r="U92" s="683"/>
      <c r="V92" s="474">
        <f t="shared" si="29"/>
        <v>0</v>
      </c>
      <c r="W92" s="474">
        <f t="shared" si="30"/>
        <v>0</v>
      </c>
      <c r="X92" s="475">
        <f t="shared" si="31"/>
        <v>0</v>
      </c>
      <c r="Y92" s="475">
        <v>0</v>
      </c>
      <c r="Z92" s="476">
        <v>0</v>
      </c>
      <c r="AA92" s="38">
        <f t="shared" si="32"/>
        <v>0</v>
      </c>
      <c r="AB92" s="692">
        <f t="shared" si="26"/>
        <v>0</v>
      </c>
      <c r="AC92" s="692">
        <f t="shared" si="37"/>
        <v>0</v>
      </c>
      <c r="AD92" s="692">
        <f t="shared" si="33"/>
        <v>0</v>
      </c>
      <c r="AE92" s="38"/>
      <c r="AF92" s="692">
        <f t="shared" si="34"/>
        <v>0</v>
      </c>
      <c r="AG92" s="692">
        <f t="shared" si="35"/>
        <v>0</v>
      </c>
      <c r="AH92" s="692">
        <f t="shared" si="36"/>
        <v>0</v>
      </c>
    </row>
    <row r="93" spans="1:34">
      <c r="A93" s="20" t="s">
        <v>109</v>
      </c>
      <c r="B93" s="20" t="s">
        <v>109</v>
      </c>
      <c r="C93" s="667"/>
      <c r="D93" s="68" t="s">
        <v>66</v>
      </c>
      <c r="E93" s="679"/>
      <c r="F93" s="529">
        <f>VLOOKUP(D93,'Apr 2012 DMV Revenue'!D:T,17,FALSE)</f>
        <v>0</v>
      </c>
      <c r="G93" s="680"/>
      <c r="H93" s="680"/>
      <c r="I93" s="755"/>
      <c r="J93" s="682">
        <f t="shared" si="27"/>
        <v>0</v>
      </c>
      <c r="K93" s="683"/>
      <c r="L93" s="684"/>
      <c r="M93" s="753"/>
      <c r="N93" s="683">
        <v>0</v>
      </c>
      <c r="O93" s="686"/>
      <c r="P93" s="683">
        <v>0</v>
      </c>
      <c r="Q93" s="687">
        <f t="shared" si="1"/>
        <v>0</v>
      </c>
      <c r="R93" s="781">
        <v>0</v>
      </c>
      <c r="S93" s="693"/>
      <c r="T93" s="690">
        <f t="shared" si="28"/>
        <v>0</v>
      </c>
      <c r="U93" s="683"/>
      <c r="V93" s="474">
        <f t="shared" si="29"/>
        <v>0</v>
      </c>
      <c r="W93" s="474">
        <f t="shared" si="30"/>
        <v>0</v>
      </c>
      <c r="X93" s="475">
        <f t="shared" si="31"/>
        <v>0</v>
      </c>
      <c r="Y93" s="475">
        <v>0</v>
      </c>
      <c r="Z93" s="476">
        <v>0</v>
      </c>
      <c r="AA93" s="38">
        <f t="shared" si="32"/>
        <v>0</v>
      </c>
      <c r="AB93" s="692">
        <f t="shared" si="26"/>
        <v>0</v>
      </c>
      <c r="AC93" s="692">
        <f t="shared" si="37"/>
        <v>0</v>
      </c>
      <c r="AD93" s="692">
        <f t="shared" si="33"/>
        <v>0</v>
      </c>
      <c r="AE93" s="38"/>
      <c r="AF93" s="692">
        <f t="shared" si="34"/>
        <v>0</v>
      </c>
      <c r="AG93" s="692">
        <f t="shared" si="35"/>
        <v>0</v>
      </c>
      <c r="AH93" s="692">
        <f t="shared" si="36"/>
        <v>0</v>
      </c>
    </row>
    <row r="94" spans="1:34">
      <c r="A94" s="20" t="s">
        <v>109</v>
      </c>
      <c r="B94" s="20" t="s">
        <v>109</v>
      </c>
      <c r="C94" s="667" t="s">
        <v>544</v>
      </c>
      <c r="D94" s="68" t="s">
        <v>383</v>
      </c>
      <c r="E94" s="679"/>
      <c r="F94" s="529">
        <f>VLOOKUP(D94,'Apr 2012 DMV Revenue'!D:T,17,FALSE)</f>
        <v>0</v>
      </c>
      <c r="G94" s="680"/>
      <c r="H94" s="680"/>
      <c r="I94" s="755"/>
      <c r="J94" s="682">
        <f t="shared" si="27"/>
        <v>0</v>
      </c>
      <c r="K94" s="683"/>
      <c r="L94" s="684"/>
      <c r="M94" s="753"/>
      <c r="N94" s="683">
        <v>0</v>
      </c>
      <c r="O94" s="686"/>
      <c r="P94" s="683">
        <v>0</v>
      </c>
      <c r="Q94" s="687">
        <f t="shared" si="1"/>
        <v>0</v>
      </c>
      <c r="R94" s="781">
        <v>0</v>
      </c>
      <c r="S94" s="693"/>
      <c r="T94" s="690">
        <f t="shared" si="28"/>
        <v>0</v>
      </c>
      <c r="U94" s="683"/>
      <c r="V94" s="474">
        <f t="shared" si="29"/>
        <v>0</v>
      </c>
      <c r="W94" s="474">
        <f t="shared" si="30"/>
        <v>0</v>
      </c>
      <c r="X94" s="475">
        <f t="shared" si="31"/>
        <v>0</v>
      </c>
      <c r="Y94" s="475">
        <v>0</v>
      </c>
      <c r="Z94" s="476">
        <v>0</v>
      </c>
      <c r="AA94" s="38">
        <f t="shared" si="32"/>
        <v>0</v>
      </c>
      <c r="AB94" s="692">
        <f t="shared" si="26"/>
        <v>0</v>
      </c>
      <c r="AC94" s="692">
        <f t="shared" si="37"/>
        <v>0</v>
      </c>
      <c r="AD94" s="692">
        <f t="shared" si="33"/>
        <v>0</v>
      </c>
      <c r="AE94" s="38"/>
      <c r="AF94" s="692">
        <f t="shared" si="34"/>
        <v>0</v>
      </c>
      <c r="AG94" s="692">
        <f t="shared" si="35"/>
        <v>0</v>
      </c>
      <c r="AH94" s="692">
        <f t="shared" si="36"/>
        <v>0</v>
      </c>
    </row>
    <row r="95" spans="1:34">
      <c r="A95" s="21" t="s">
        <v>109</v>
      </c>
      <c r="B95" s="21" t="s">
        <v>110</v>
      </c>
      <c r="C95" s="666"/>
      <c r="D95" s="68" t="s">
        <v>65</v>
      </c>
      <c r="E95" s="679"/>
      <c r="F95" s="529">
        <f>VLOOKUP(D95,'Apr 2012 DMV Revenue'!D:T,17,FALSE)</f>
        <v>0</v>
      </c>
      <c r="G95" s="680"/>
      <c r="H95" s="680"/>
      <c r="I95" s="755"/>
      <c r="J95" s="682">
        <f t="shared" si="27"/>
        <v>0</v>
      </c>
      <c r="K95" s="683"/>
      <c r="L95" s="684"/>
      <c r="M95" s="753"/>
      <c r="N95" s="683">
        <v>0</v>
      </c>
      <c r="O95" s="686"/>
      <c r="P95" s="683">
        <v>0</v>
      </c>
      <c r="Q95" s="687">
        <f t="shared" si="1"/>
        <v>0</v>
      </c>
      <c r="R95" s="781">
        <v>0</v>
      </c>
      <c r="S95" s="693"/>
      <c r="T95" s="690">
        <f t="shared" si="28"/>
        <v>0</v>
      </c>
      <c r="U95" s="683"/>
      <c r="V95" s="474">
        <f t="shared" si="29"/>
        <v>0</v>
      </c>
      <c r="W95" s="474">
        <f t="shared" si="30"/>
        <v>0</v>
      </c>
      <c r="X95" s="475">
        <f t="shared" si="31"/>
        <v>0</v>
      </c>
      <c r="Y95" s="475">
        <v>0</v>
      </c>
      <c r="Z95" s="476">
        <v>0</v>
      </c>
      <c r="AA95" s="38">
        <f t="shared" si="32"/>
        <v>0</v>
      </c>
      <c r="AB95" s="692">
        <f t="shared" si="26"/>
        <v>0</v>
      </c>
      <c r="AC95" s="692">
        <f t="shared" si="37"/>
        <v>0</v>
      </c>
      <c r="AD95" s="692">
        <f t="shared" si="33"/>
        <v>0</v>
      </c>
      <c r="AE95" s="38"/>
      <c r="AF95" s="692">
        <f t="shared" si="34"/>
        <v>0</v>
      </c>
      <c r="AG95" s="692">
        <f t="shared" si="35"/>
        <v>0</v>
      </c>
      <c r="AH95" s="692">
        <f t="shared" si="36"/>
        <v>0</v>
      </c>
    </row>
    <row r="96" spans="1:34">
      <c r="A96" s="21" t="s">
        <v>211</v>
      </c>
      <c r="B96" s="21" t="s">
        <v>109</v>
      </c>
      <c r="C96" s="666" t="s">
        <v>545</v>
      </c>
      <c r="D96" s="68" t="s">
        <v>181</v>
      </c>
      <c r="E96" s="679"/>
      <c r="F96" s="529">
        <f>VLOOKUP(D96,'Apr 2012 DMV Revenue'!D:T,17,FALSE)</f>
        <v>-12000</v>
      </c>
      <c r="G96" s="680"/>
      <c r="H96" s="680"/>
      <c r="I96" s="755"/>
      <c r="J96" s="682">
        <f t="shared" si="27"/>
        <v>-12000</v>
      </c>
      <c r="K96" s="683"/>
      <c r="L96" s="684"/>
      <c r="M96" s="753">
        <v>24000</v>
      </c>
      <c r="N96" s="683">
        <v>0</v>
      </c>
      <c r="O96" s="686"/>
      <c r="P96" s="683">
        <v>0</v>
      </c>
      <c r="Q96" s="687">
        <f t="shared" si="1"/>
        <v>24000</v>
      </c>
      <c r="R96" s="781">
        <v>0</v>
      </c>
      <c r="S96" s="693"/>
      <c r="T96" s="690">
        <f t="shared" si="28"/>
        <v>-24000</v>
      </c>
      <c r="U96" s="683"/>
      <c r="V96" s="474">
        <f t="shared" si="29"/>
        <v>0</v>
      </c>
      <c r="W96" s="474">
        <f t="shared" si="30"/>
        <v>24000</v>
      </c>
      <c r="X96" s="475">
        <f t="shared" si="31"/>
        <v>0</v>
      </c>
      <c r="Y96" s="475">
        <v>0</v>
      </c>
      <c r="Z96" s="476">
        <v>0</v>
      </c>
      <c r="AA96" s="38">
        <f t="shared" si="32"/>
        <v>0</v>
      </c>
      <c r="AB96" s="692">
        <f t="shared" si="26"/>
        <v>0</v>
      </c>
      <c r="AC96" s="692">
        <f t="shared" si="37"/>
        <v>-12000</v>
      </c>
      <c r="AD96" s="692">
        <f t="shared" si="33"/>
        <v>0</v>
      </c>
      <c r="AE96" s="38"/>
      <c r="AF96" s="692">
        <f t="shared" si="34"/>
        <v>0</v>
      </c>
      <c r="AG96" s="692">
        <f t="shared" si="35"/>
        <v>24000</v>
      </c>
      <c r="AH96" s="692">
        <f t="shared" si="36"/>
        <v>0</v>
      </c>
    </row>
    <row r="97" spans="1:34">
      <c r="A97" s="21" t="s">
        <v>211</v>
      </c>
      <c r="B97" s="21" t="s">
        <v>110</v>
      </c>
      <c r="C97" s="666"/>
      <c r="D97" s="68" t="s">
        <v>504</v>
      </c>
      <c r="E97" s="679"/>
      <c r="F97" s="529">
        <f>VLOOKUP(D97,'Apr 2012 DMV Revenue'!D:T,17,FALSE)</f>
        <v>0</v>
      </c>
      <c r="G97" s="680"/>
      <c r="H97" s="680"/>
      <c r="I97" s="755"/>
      <c r="J97" s="682">
        <f t="shared" si="27"/>
        <v>0</v>
      </c>
      <c r="K97" s="683"/>
      <c r="L97" s="684"/>
      <c r="M97" s="753"/>
      <c r="N97" s="683">
        <v>0</v>
      </c>
      <c r="O97" s="686"/>
      <c r="P97" s="683">
        <v>0</v>
      </c>
      <c r="Q97" s="687">
        <f t="shared" si="1"/>
        <v>0</v>
      </c>
      <c r="R97" s="781">
        <v>0</v>
      </c>
      <c r="S97" s="693"/>
      <c r="T97" s="690">
        <f t="shared" si="28"/>
        <v>0</v>
      </c>
      <c r="U97" s="683"/>
      <c r="V97" s="474">
        <f t="shared" si="29"/>
        <v>0</v>
      </c>
      <c r="W97" s="474">
        <f t="shared" si="30"/>
        <v>0</v>
      </c>
      <c r="X97" s="475">
        <f t="shared" si="31"/>
        <v>0</v>
      </c>
      <c r="Y97" s="475">
        <v>0</v>
      </c>
      <c r="Z97" s="476">
        <v>0</v>
      </c>
      <c r="AA97" s="38">
        <f t="shared" si="32"/>
        <v>0</v>
      </c>
      <c r="AB97" s="692">
        <f t="shared" si="26"/>
        <v>0</v>
      </c>
      <c r="AC97" s="692">
        <f t="shared" si="37"/>
        <v>0</v>
      </c>
      <c r="AD97" s="692">
        <f t="shared" si="33"/>
        <v>0</v>
      </c>
      <c r="AE97" s="38"/>
      <c r="AF97" s="692">
        <f t="shared" si="34"/>
        <v>0</v>
      </c>
      <c r="AG97" s="692">
        <f t="shared" si="35"/>
        <v>0</v>
      </c>
      <c r="AH97" s="692">
        <f t="shared" si="36"/>
        <v>0</v>
      </c>
    </row>
    <row r="98" spans="1:34">
      <c r="A98" s="20" t="s">
        <v>211</v>
      </c>
      <c r="B98" s="20" t="s">
        <v>109</v>
      </c>
      <c r="C98" s="667" t="s">
        <v>546</v>
      </c>
      <c r="D98" s="68" t="s">
        <v>142</v>
      </c>
      <c r="E98" s="679"/>
      <c r="F98" s="529">
        <f>VLOOKUP(D98,'Apr 2012 DMV Revenue'!D:T,17,FALSE)</f>
        <v>0</v>
      </c>
      <c r="G98" s="680"/>
      <c r="H98" s="680"/>
      <c r="I98" s="755"/>
      <c r="J98" s="682">
        <f t="shared" si="27"/>
        <v>0</v>
      </c>
      <c r="K98" s="683"/>
      <c r="L98" s="684"/>
      <c r="M98" s="753"/>
      <c r="N98" s="683">
        <v>0</v>
      </c>
      <c r="O98" s="686"/>
      <c r="P98" s="683">
        <v>0</v>
      </c>
      <c r="Q98" s="687">
        <f t="shared" si="1"/>
        <v>0</v>
      </c>
      <c r="R98" s="781">
        <v>0</v>
      </c>
      <c r="S98" s="693"/>
      <c r="T98" s="690">
        <f t="shared" si="28"/>
        <v>0</v>
      </c>
      <c r="U98" s="697"/>
      <c r="V98" s="474">
        <f t="shared" si="29"/>
        <v>0</v>
      </c>
      <c r="W98" s="474">
        <f t="shared" si="30"/>
        <v>0</v>
      </c>
      <c r="X98" s="475">
        <f t="shared" si="31"/>
        <v>0</v>
      </c>
      <c r="Y98" s="475">
        <v>0</v>
      </c>
      <c r="Z98" s="476">
        <v>0</v>
      </c>
      <c r="AA98" s="38">
        <f t="shared" si="32"/>
        <v>0</v>
      </c>
      <c r="AB98" s="692">
        <f t="shared" si="26"/>
        <v>0</v>
      </c>
      <c r="AC98" s="692">
        <f t="shared" si="37"/>
        <v>0</v>
      </c>
      <c r="AD98" s="692">
        <f t="shared" si="33"/>
        <v>0</v>
      </c>
      <c r="AE98" s="38"/>
      <c r="AF98" s="692">
        <f t="shared" si="34"/>
        <v>0</v>
      </c>
      <c r="AG98" s="692">
        <f t="shared" si="35"/>
        <v>0</v>
      </c>
      <c r="AH98" s="692">
        <f t="shared" si="36"/>
        <v>0</v>
      </c>
    </row>
    <row r="99" spans="1:34">
      <c r="A99" s="20" t="s">
        <v>211</v>
      </c>
      <c r="B99" s="20" t="s">
        <v>109</v>
      </c>
      <c r="C99" s="667" t="s">
        <v>546</v>
      </c>
      <c r="D99" s="68" t="s">
        <v>143</v>
      </c>
      <c r="E99" s="679"/>
      <c r="F99" s="529">
        <f>VLOOKUP(D99,'Apr 2012 DMV Revenue'!D:T,17,FALSE)</f>
        <v>0</v>
      </c>
      <c r="G99" s="680"/>
      <c r="H99" s="680"/>
      <c r="I99" s="755"/>
      <c r="J99" s="682">
        <f t="shared" si="27"/>
        <v>0</v>
      </c>
      <c r="K99" s="683"/>
      <c r="L99" s="684"/>
      <c r="M99" s="753"/>
      <c r="N99" s="683">
        <v>0</v>
      </c>
      <c r="O99" s="686"/>
      <c r="P99" s="683">
        <v>0</v>
      </c>
      <c r="Q99" s="687">
        <f t="shared" si="1"/>
        <v>0</v>
      </c>
      <c r="R99" s="781">
        <v>0</v>
      </c>
      <c r="S99" s="693"/>
      <c r="T99" s="690">
        <f t="shared" si="28"/>
        <v>0</v>
      </c>
      <c r="U99" s="697"/>
      <c r="V99" s="474">
        <f t="shared" si="29"/>
        <v>0</v>
      </c>
      <c r="W99" s="474">
        <f t="shared" si="30"/>
        <v>0</v>
      </c>
      <c r="X99" s="475">
        <f t="shared" si="31"/>
        <v>0</v>
      </c>
      <c r="Y99" s="475">
        <v>0</v>
      </c>
      <c r="Z99" s="476">
        <v>0</v>
      </c>
      <c r="AA99" s="38">
        <f t="shared" si="32"/>
        <v>0</v>
      </c>
      <c r="AB99" s="692">
        <f t="shared" si="26"/>
        <v>0</v>
      </c>
      <c r="AC99" s="692">
        <f t="shared" si="37"/>
        <v>0</v>
      </c>
      <c r="AD99" s="692">
        <f t="shared" si="33"/>
        <v>0</v>
      </c>
      <c r="AE99" s="38"/>
      <c r="AF99" s="692">
        <f t="shared" si="34"/>
        <v>0</v>
      </c>
      <c r="AG99" s="692">
        <f t="shared" si="35"/>
        <v>0</v>
      </c>
      <c r="AH99" s="692">
        <f t="shared" si="36"/>
        <v>0</v>
      </c>
    </row>
    <row r="100" spans="1:34">
      <c r="A100" s="20" t="s">
        <v>109</v>
      </c>
      <c r="B100" s="20" t="s">
        <v>109</v>
      </c>
      <c r="C100" s="667"/>
      <c r="D100" s="68" t="s">
        <v>498</v>
      </c>
      <c r="E100" s="679"/>
      <c r="F100" s="529">
        <f>VLOOKUP(D100,'Apr 2012 DMV Revenue'!D:T,17,FALSE)</f>
        <v>0</v>
      </c>
      <c r="G100" s="680"/>
      <c r="H100" s="680"/>
      <c r="I100" s="755"/>
      <c r="J100" s="682">
        <f t="shared" si="27"/>
        <v>0</v>
      </c>
      <c r="K100" s="683"/>
      <c r="L100" s="684"/>
      <c r="M100" s="753"/>
      <c r="N100" s="683">
        <v>0</v>
      </c>
      <c r="O100" s="686"/>
      <c r="P100" s="683">
        <v>0</v>
      </c>
      <c r="Q100" s="687">
        <f t="shared" si="1"/>
        <v>0</v>
      </c>
      <c r="R100" s="781">
        <v>0</v>
      </c>
      <c r="S100" s="693"/>
      <c r="T100" s="690">
        <f t="shared" si="28"/>
        <v>0</v>
      </c>
      <c r="U100" s="683"/>
      <c r="V100" s="474">
        <f t="shared" si="29"/>
        <v>0</v>
      </c>
      <c r="W100" s="474">
        <f t="shared" si="30"/>
        <v>0</v>
      </c>
      <c r="X100" s="475">
        <f t="shared" si="31"/>
        <v>0</v>
      </c>
      <c r="Y100" s="475">
        <v>0</v>
      </c>
      <c r="Z100" s="476">
        <v>0</v>
      </c>
      <c r="AA100" s="38">
        <f t="shared" si="32"/>
        <v>0</v>
      </c>
      <c r="AB100" s="692">
        <f t="shared" si="26"/>
        <v>0</v>
      </c>
      <c r="AC100" s="692">
        <f t="shared" si="37"/>
        <v>0</v>
      </c>
      <c r="AD100" s="692">
        <f t="shared" si="33"/>
        <v>0</v>
      </c>
      <c r="AE100" s="38"/>
      <c r="AF100" s="692">
        <f t="shared" si="34"/>
        <v>0</v>
      </c>
      <c r="AG100" s="692">
        <f t="shared" si="35"/>
        <v>0</v>
      </c>
      <c r="AH100" s="692">
        <f t="shared" si="36"/>
        <v>0</v>
      </c>
    </row>
    <row r="101" spans="1:34">
      <c r="A101" s="21"/>
      <c r="B101" s="21" t="s">
        <v>110</v>
      </c>
      <c r="C101" s="666"/>
      <c r="D101" s="68" t="s">
        <v>20</v>
      </c>
      <c r="E101" s="679">
        <v>154.31</v>
      </c>
      <c r="F101" s="529">
        <f>VLOOKUP(D101,'Apr 2012 DMV Revenue'!D:T,17,FALSE)</f>
        <v>0</v>
      </c>
      <c r="G101" s="680"/>
      <c r="H101" s="680"/>
      <c r="I101" s="770">
        <v>104.04</v>
      </c>
      <c r="J101" s="682">
        <f t="shared" si="27"/>
        <v>258.35000000000002</v>
      </c>
      <c r="K101" s="683"/>
      <c r="L101" s="684"/>
      <c r="M101" s="753"/>
      <c r="N101" s="683">
        <v>0</v>
      </c>
      <c r="O101" s="686"/>
      <c r="P101" s="683">
        <v>0</v>
      </c>
      <c r="Q101" s="687">
        <f t="shared" si="1"/>
        <v>0</v>
      </c>
      <c r="R101" s="781">
        <v>0</v>
      </c>
      <c r="S101" s="693"/>
      <c r="T101" s="690">
        <f t="shared" si="28"/>
        <v>0</v>
      </c>
      <c r="U101" s="683"/>
      <c r="V101" s="474">
        <f t="shared" si="29"/>
        <v>0</v>
      </c>
      <c r="W101" s="474">
        <f t="shared" si="30"/>
        <v>0</v>
      </c>
      <c r="X101" s="475">
        <f t="shared" si="31"/>
        <v>0</v>
      </c>
      <c r="Y101" s="475">
        <v>0</v>
      </c>
      <c r="Z101" s="476">
        <v>0</v>
      </c>
      <c r="AA101" s="38">
        <f t="shared" si="32"/>
        <v>0</v>
      </c>
      <c r="AB101" s="692">
        <f t="shared" si="26"/>
        <v>258.35000000000002</v>
      </c>
      <c r="AC101" s="692">
        <f t="shared" si="37"/>
        <v>0</v>
      </c>
      <c r="AD101" s="692">
        <f t="shared" si="33"/>
        <v>0</v>
      </c>
      <c r="AE101" s="38"/>
      <c r="AF101" s="692">
        <f t="shared" si="34"/>
        <v>0</v>
      </c>
      <c r="AG101" s="692">
        <f t="shared" si="35"/>
        <v>0</v>
      </c>
      <c r="AH101" s="692">
        <f t="shared" si="36"/>
        <v>0</v>
      </c>
    </row>
    <row r="102" spans="1:34">
      <c r="A102" s="21"/>
      <c r="B102" s="21" t="s">
        <v>110</v>
      </c>
      <c r="C102" s="666" t="s">
        <v>547</v>
      </c>
      <c r="D102" s="68" t="s">
        <v>203</v>
      </c>
      <c r="E102" s="679"/>
      <c r="F102" s="529">
        <f>VLOOKUP(D102,'Apr 2012 DMV Revenue'!D:T,17,FALSE)</f>
        <v>0</v>
      </c>
      <c r="G102" s="680"/>
      <c r="H102" s="680"/>
      <c r="I102" s="755"/>
      <c r="J102" s="682">
        <f>SUM(H102:I102)</f>
        <v>0</v>
      </c>
      <c r="K102" s="683"/>
      <c r="L102" s="684"/>
      <c r="M102" s="753"/>
      <c r="N102" s="683">
        <v>0</v>
      </c>
      <c r="O102" s="686"/>
      <c r="P102" s="683">
        <v>0</v>
      </c>
      <c r="Q102" s="687">
        <f t="shared" si="1"/>
        <v>0</v>
      </c>
      <c r="R102" s="781">
        <v>0</v>
      </c>
      <c r="S102" s="693"/>
      <c r="T102" s="690">
        <f t="shared" si="28"/>
        <v>0</v>
      </c>
      <c r="U102" s="683"/>
      <c r="V102" s="474">
        <f t="shared" si="29"/>
        <v>0</v>
      </c>
      <c r="W102" s="474">
        <f t="shared" si="30"/>
        <v>0</v>
      </c>
      <c r="X102" s="475">
        <f t="shared" si="31"/>
        <v>0</v>
      </c>
      <c r="Y102" s="475">
        <v>0</v>
      </c>
      <c r="Z102" s="476">
        <v>0</v>
      </c>
      <c r="AA102" s="38">
        <f t="shared" si="32"/>
        <v>0</v>
      </c>
      <c r="AB102" s="692">
        <f t="shared" si="26"/>
        <v>0</v>
      </c>
      <c r="AC102" s="692">
        <f t="shared" si="37"/>
        <v>0</v>
      </c>
      <c r="AD102" s="692">
        <f t="shared" si="33"/>
        <v>0</v>
      </c>
      <c r="AE102" s="38"/>
      <c r="AF102" s="692">
        <f t="shared" si="34"/>
        <v>0</v>
      </c>
      <c r="AG102" s="692">
        <f t="shared" si="35"/>
        <v>0</v>
      </c>
      <c r="AH102" s="692">
        <f t="shared" si="36"/>
        <v>0</v>
      </c>
    </row>
    <row r="103" spans="1:34">
      <c r="A103" s="21"/>
      <c r="B103" s="21" t="s">
        <v>110</v>
      </c>
      <c r="C103" s="666" t="s">
        <v>547</v>
      </c>
      <c r="D103" s="68" t="s">
        <v>202</v>
      </c>
      <c r="E103" s="679"/>
      <c r="F103" s="529">
        <f>VLOOKUP(D103,'Apr 2012 DMV Revenue'!D:T,17,FALSE)</f>
        <v>0</v>
      </c>
      <c r="G103" s="680"/>
      <c r="H103" s="680"/>
      <c r="I103" s="755"/>
      <c r="J103" s="682">
        <f t="shared" si="27"/>
        <v>0</v>
      </c>
      <c r="K103" s="683"/>
      <c r="L103" s="684"/>
      <c r="M103" s="753"/>
      <c r="N103" s="683">
        <v>0</v>
      </c>
      <c r="O103" s="686"/>
      <c r="P103" s="683">
        <v>0</v>
      </c>
      <c r="Q103" s="687">
        <f t="shared" si="1"/>
        <v>0</v>
      </c>
      <c r="R103" s="781">
        <v>0</v>
      </c>
      <c r="S103" s="693"/>
      <c r="T103" s="690">
        <f t="shared" si="28"/>
        <v>0</v>
      </c>
      <c r="U103" s="683"/>
      <c r="V103" s="474">
        <f t="shared" si="29"/>
        <v>0</v>
      </c>
      <c r="W103" s="474">
        <f t="shared" si="30"/>
        <v>0</v>
      </c>
      <c r="X103" s="475">
        <f t="shared" si="31"/>
        <v>0</v>
      </c>
      <c r="Y103" s="475">
        <v>0</v>
      </c>
      <c r="Z103" s="476">
        <v>0</v>
      </c>
      <c r="AA103" s="38">
        <f t="shared" si="32"/>
        <v>0</v>
      </c>
      <c r="AB103" s="692">
        <f t="shared" si="26"/>
        <v>0</v>
      </c>
      <c r="AC103" s="692">
        <f t="shared" si="37"/>
        <v>0</v>
      </c>
      <c r="AD103" s="692">
        <f t="shared" si="33"/>
        <v>0</v>
      </c>
      <c r="AE103" s="38"/>
      <c r="AF103" s="692">
        <f t="shared" si="34"/>
        <v>0</v>
      </c>
      <c r="AG103" s="692">
        <f t="shared" si="35"/>
        <v>0</v>
      </c>
      <c r="AH103" s="692">
        <f t="shared" si="36"/>
        <v>0</v>
      </c>
    </row>
    <row r="104" spans="1:34">
      <c r="A104" s="20" t="s">
        <v>211</v>
      </c>
      <c r="B104" s="20" t="s">
        <v>110</v>
      </c>
      <c r="C104" s="667"/>
      <c r="D104" s="373" t="s">
        <v>466</v>
      </c>
      <c r="E104" s="679"/>
      <c r="F104" s="529">
        <f>VLOOKUP(D104,'Apr 2012 DMV Revenue'!D:T,17,FALSE)</f>
        <v>0</v>
      </c>
      <c r="G104" s="680"/>
      <c r="H104" s="680"/>
      <c r="I104" s="755"/>
      <c r="J104" s="682">
        <f t="shared" si="27"/>
        <v>0</v>
      </c>
      <c r="K104" s="683"/>
      <c r="L104" s="684"/>
      <c r="M104" s="753"/>
      <c r="N104" s="683">
        <v>0</v>
      </c>
      <c r="O104" s="686"/>
      <c r="P104" s="683">
        <v>0</v>
      </c>
      <c r="Q104" s="687">
        <f t="shared" si="1"/>
        <v>0</v>
      </c>
      <c r="R104" s="781">
        <v>777.63</v>
      </c>
      <c r="S104" s="693"/>
      <c r="T104" s="690">
        <f t="shared" si="28"/>
        <v>777.63</v>
      </c>
      <c r="U104" s="683"/>
      <c r="V104" s="474">
        <f t="shared" si="29"/>
        <v>0</v>
      </c>
      <c r="W104" s="474">
        <f t="shared" si="30"/>
        <v>0</v>
      </c>
      <c r="X104" s="475">
        <f t="shared" si="31"/>
        <v>0</v>
      </c>
      <c r="Y104" s="475">
        <v>0</v>
      </c>
      <c r="Z104" s="476">
        <v>0</v>
      </c>
      <c r="AA104" s="38">
        <f t="shared" si="32"/>
        <v>0</v>
      </c>
      <c r="AB104" s="692">
        <f t="shared" si="26"/>
        <v>0</v>
      </c>
      <c r="AC104" s="692">
        <f t="shared" si="37"/>
        <v>0</v>
      </c>
      <c r="AD104" s="692">
        <f t="shared" si="33"/>
        <v>0</v>
      </c>
      <c r="AE104" s="38"/>
      <c r="AF104" s="692">
        <f t="shared" si="34"/>
        <v>0</v>
      </c>
      <c r="AG104" s="692">
        <f t="shared" si="35"/>
        <v>0</v>
      </c>
      <c r="AH104" s="692">
        <f t="shared" si="36"/>
        <v>0</v>
      </c>
    </row>
    <row r="105" spans="1:34">
      <c r="A105" s="20"/>
      <c r="B105" s="20" t="s">
        <v>110</v>
      </c>
      <c r="C105" s="667"/>
      <c r="D105" s="373" t="s">
        <v>627</v>
      </c>
      <c r="E105" s="679">
        <v>80.459999999999994</v>
      </c>
      <c r="F105" s="529">
        <f>VLOOKUP(D105,'Apr 2012 DMV Revenue'!D:T,17,FALSE)</f>
        <v>96.71</v>
      </c>
      <c r="G105" s="680"/>
      <c r="H105" s="680"/>
      <c r="I105" s="770">
        <v>91.06</v>
      </c>
      <c r="J105" s="682">
        <f t="shared" si="27"/>
        <v>268.23</v>
      </c>
      <c r="K105" s="683"/>
      <c r="L105" s="684"/>
      <c r="M105" s="753"/>
      <c r="N105" s="683">
        <v>0</v>
      </c>
      <c r="O105" s="686"/>
      <c r="P105" s="683">
        <v>0</v>
      </c>
      <c r="Q105" s="687">
        <f t="shared" si="1"/>
        <v>0</v>
      </c>
      <c r="R105" s="781">
        <v>0</v>
      </c>
      <c r="S105" s="693"/>
      <c r="T105" s="690">
        <f t="shared" si="28"/>
        <v>0</v>
      </c>
      <c r="U105" s="683"/>
      <c r="V105" s="474">
        <f t="shared" si="29"/>
        <v>0</v>
      </c>
      <c r="W105" s="474">
        <f t="shared" si="30"/>
        <v>0</v>
      </c>
      <c r="X105" s="475">
        <f t="shared" si="31"/>
        <v>0</v>
      </c>
      <c r="Y105" s="475">
        <v>0</v>
      </c>
      <c r="Z105" s="476">
        <v>0</v>
      </c>
      <c r="AA105" s="38">
        <f t="shared" si="32"/>
        <v>0</v>
      </c>
      <c r="AB105" s="692">
        <f t="shared" si="26"/>
        <v>268.23</v>
      </c>
      <c r="AC105" s="692">
        <f t="shared" si="37"/>
        <v>0</v>
      </c>
      <c r="AD105" s="692">
        <f t="shared" si="33"/>
        <v>0</v>
      </c>
      <c r="AE105" s="38"/>
      <c r="AF105" s="692">
        <f t="shared" si="34"/>
        <v>0</v>
      </c>
      <c r="AG105" s="692">
        <f t="shared" si="35"/>
        <v>0</v>
      </c>
      <c r="AH105" s="692">
        <f t="shared" si="36"/>
        <v>0</v>
      </c>
    </row>
    <row r="106" spans="1:34" s="232" customFormat="1">
      <c r="A106" s="283"/>
      <c r="B106" s="283" t="s">
        <v>110</v>
      </c>
      <c r="C106" s="667"/>
      <c r="D106" s="123" t="s">
        <v>386</v>
      </c>
      <c r="E106" s="679"/>
      <c r="F106" s="529">
        <f>VLOOKUP(D106,'Apr 2012 DMV Revenue'!D:T,17,FALSE)</f>
        <v>0</v>
      </c>
      <c r="G106" s="680"/>
      <c r="H106" s="680"/>
      <c r="I106" s="770">
        <v>2437792.41</v>
      </c>
      <c r="J106" s="682">
        <f t="shared" si="27"/>
        <v>2437792.41</v>
      </c>
      <c r="K106" s="683"/>
      <c r="L106" s="684"/>
      <c r="M106" s="753"/>
      <c r="N106" s="683">
        <v>0</v>
      </c>
      <c r="O106" s="686"/>
      <c r="P106" s="683">
        <v>0</v>
      </c>
      <c r="Q106" s="687">
        <f t="shared" si="1"/>
        <v>0</v>
      </c>
      <c r="R106" s="781">
        <v>0</v>
      </c>
      <c r="S106" s="693"/>
      <c r="T106" s="690">
        <f t="shared" si="28"/>
        <v>0</v>
      </c>
      <c r="U106" s="683"/>
      <c r="V106" s="474">
        <f t="shared" si="29"/>
        <v>0</v>
      </c>
      <c r="W106" s="474">
        <f t="shared" si="30"/>
        <v>0</v>
      </c>
      <c r="X106" s="475">
        <f t="shared" si="31"/>
        <v>0</v>
      </c>
      <c r="Y106" s="475">
        <v>0</v>
      </c>
      <c r="Z106" s="476">
        <v>0</v>
      </c>
      <c r="AA106" s="38">
        <f t="shared" si="32"/>
        <v>0</v>
      </c>
      <c r="AB106" s="692">
        <f t="shared" si="26"/>
        <v>2437792.41</v>
      </c>
      <c r="AC106" s="692">
        <f t="shared" si="37"/>
        <v>0</v>
      </c>
      <c r="AD106" s="692">
        <f t="shared" si="33"/>
        <v>0</v>
      </c>
      <c r="AE106" s="38"/>
      <c r="AF106" s="692">
        <f t="shared" si="34"/>
        <v>0</v>
      </c>
      <c r="AG106" s="692">
        <f t="shared" si="35"/>
        <v>0</v>
      </c>
      <c r="AH106" s="692">
        <f t="shared" si="36"/>
        <v>0</v>
      </c>
    </row>
    <row r="107" spans="1:34" s="232" customFormat="1">
      <c r="A107" s="283"/>
      <c r="B107" s="283" t="s">
        <v>110</v>
      </c>
      <c r="C107" s="667"/>
      <c r="D107" s="123" t="s">
        <v>331</v>
      </c>
      <c r="E107" s="679"/>
      <c r="F107" s="529">
        <f>VLOOKUP(D107,'Apr 2012 DMV Revenue'!D:T,17,FALSE)</f>
        <v>0</v>
      </c>
      <c r="G107" s="680"/>
      <c r="H107" s="680"/>
      <c r="I107" s="770">
        <v>28742.3</v>
      </c>
      <c r="J107" s="682">
        <f t="shared" si="27"/>
        <v>28742.3</v>
      </c>
      <c r="K107" s="683"/>
      <c r="L107" s="684"/>
      <c r="M107" s="753"/>
      <c r="N107" s="683">
        <v>0</v>
      </c>
      <c r="O107" s="686"/>
      <c r="P107" s="683">
        <v>0</v>
      </c>
      <c r="Q107" s="687">
        <f t="shared" si="1"/>
        <v>0</v>
      </c>
      <c r="R107" s="781">
        <v>0</v>
      </c>
      <c r="S107" s="693"/>
      <c r="T107" s="690">
        <f t="shared" si="28"/>
        <v>0</v>
      </c>
      <c r="U107" s="683"/>
      <c r="V107" s="474">
        <f t="shared" si="29"/>
        <v>0</v>
      </c>
      <c r="W107" s="474">
        <f t="shared" si="30"/>
        <v>0</v>
      </c>
      <c r="X107" s="475">
        <f t="shared" si="31"/>
        <v>0</v>
      </c>
      <c r="Y107" s="475">
        <v>0</v>
      </c>
      <c r="Z107" s="476">
        <v>0</v>
      </c>
      <c r="AA107" s="38">
        <f t="shared" si="32"/>
        <v>0</v>
      </c>
      <c r="AB107" s="692">
        <f t="shared" si="26"/>
        <v>28742.3</v>
      </c>
      <c r="AC107" s="692">
        <f t="shared" si="37"/>
        <v>0</v>
      </c>
      <c r="AD107" s="692">
        <f t="shared" si="33"/>
        <v>0</v>
      </c>
      <c r="AE107" s="38"/>
      <c r="AF107" s="692">
        <f t="shared" si="34"/>
        <v>0</v>
      </c>
      <c r="AG107" s="692">
        <f t="shared" si="35"/>
        <v>0</v>
      </c>
      <c r="AH107" s="692">
        <f t="shared" si="36"/>
        <v>0</v>
      </c>
    </row>
    <row r="108" spans="1:34" s="232" customFormat="1">
      <c r="A108" s="283"/>
      <c r="B108" s="283" t="s">
        <v>110</v>
      </c>
      <c r="C108" s="667"/>
      <c r="D108" s="413" t="s">
        <v>332</v>
      </c>
      <c r="E108" s="679"/>
      <c r="F108" s="529">
        <f>VLOOKUP(D108,'Apr 2012 DMV Revenue'!D:T,17,FALSE)</f>
        <v>0</v>
      </c>
      <c r="G108" s="680"/>
      <c r="H108" s="680"/>
      <c r="I108" s="770">
        <f>1148855.38+11527.36</f>
        <v>1160382.74</v>
      </c>
      <c r="J108" s="682">
        <f t="shared" si="27"/>
        <v>1160382.74</v>
      </c>
      <c r="K108" s="683"/>
      <c r="L108" s="684"/>
      <c r="M108" s="753"/>
      <c r="N108" s="683">
        <v>0</v>
      </c>
      <c r="O108" s="686"/>
      <c r="P108" s="683">
        <v>0</v>
      </c>
      <c r="Q108" s="687">
        <f t="shared" si="1"/>
        <v>0</v>
      </c>
      <c r="R108" s="781">
        <v>0</v>
      </c>
      <c r="S108" s="693"/>
      <c r="T108" s="690">
        <f t="shared" si="28"/>
        <v>0</v>
      </c>
      <c r="U108" s="683"/>
      <c r="V108" s="474">
        <f t="shared" si="29"/>
        <v>0</v>
      </c>
      <c r="W108" s="474">
        <f t="shared" si="30"/>
        <v>0</v>
      </c>
      <c r="X108" s="475">
        <f t="shared" si="31"/>
        <v>0</v>
      </c>
      <c r="Y108" s="475">
        <v>0</v>
      </c>
      <c r="Z108" s="476">
        <v>0</v>
      </c>
      <c r="AA108" s="38">
        <f t="shared" si="32"/>
        <v>0</v>
      </c>
      <c r="AB108" s="692">
        <f t="shared" si="26"/>
        <v>1160382.74</v>
      </c>
      <c r="AC108" s="692">
        <f t="shared" si="37"/>
        <v>0</v>
      </c>
      <c r="AD108" s="692">
        <f t="shared" si="33"/>
        <v>0</v>
      </c>
      <c r="AE108" s="38"/>
      <c r="AF108" s="692">
        <f t="shared" si="34"/>
        <v>0</v>
      </c>
      <c r="AG108" s="692">
        <f t="shared" si="35"/>
        <v>0</v>
      </c>
      <c r="AH108" s="692">
        <f t="shared" si="36"/>
        <v>0</v>
      </c>
    </row>
    <row r="109" spans="1:34" s="232" customFormat="1">
      <c r="A109" s="283"/>
      <c r="B109" s="283" t="s">
        <v>110</v>
      </c>
      <c r="C109" s="667"/>
      <c r="D109" s="123" t="s">
        <v>333</v>
      </c>
      <c r="E109" s="679"/>
      <c r="F109" s="529">
        <f>VLOOKUP(D109,'Apr 2012 DMV Revenue'!D:T,17,FALSE)</f>
        <v>0</v>
      </c>
      <c r="G109" s="680"/>
      <c r="H109" s="680"/>
      <c r="I109" s="770">
        <v>1081.19</v>
      </c>
      <c r="J109" s="682">
        <f t="shared" si="27"/>
        <v>1081.19</v>
      </c>
      <c r="K109" s="683"/>
      <c r="L109" s="684"/>
      <c r="M109" s="753"/>
      <c r="N109" s="683">
        <v>0</v>
      </c>
      <c r="O109" s="686"/>
      <c r="P109" s="683">
        <v>0</v>
      </c>
      <c r="Q109" s="687">
        <f t="shared" si="1"/>
        <v>0</v>
      </c>
      <c r="R109" s="781">
        <v>0</v>
      </c>
      <c r="S109" s="693"/>
      <c r="T109" s="690">
        <f t="shared" si="28"/>
        <v>0</v>
      </c>
      <c r="U109" s="683"/>
      <c r="V109" s="474">
        <f t="shared" si="29"/>
        <v>0</v>
      </c>
      <c r="W109" s="474">
        <f t="shared" si="30"/>
        <v>0</v>
      </c>
      <c r="X109" s="475">
        <f t="shared" si="31"/>
        <v>0</v>
      </c>
      <c r="Y109" s="475">
        <v>0</v>
      </c>
      <c r="Z109" s="476">
        <v>0</v>
      </c>
      <c r="AA109" s="38">
        <f t="shared" si="32"/>
        <v>0</v>
      </c>
      <c r="AB109" s="692">
        <f t="shared" si="26"/>
        <v>1081.19</v>
      </c>
      <c r="AC109" s="692">
        <f t="shared" si="37"/>
        <v>0</v>
      </c>
      <c r="AD109" s="692">
        <f t="shared" si="33"/>
        <v>0</v>
      </c>
      <c r="AE109" s="38"/>
      <c r="AF109" s="692">
        <f t="shared" si="34"/>
        <v>0</v>
      </c>
      <c r="AG109" s="692">
        <f t="shared" si="35"/>
        <v>0</v>
      </c>
      <c r="AH109" s="692">
        <f t="shared" si="36"/>
        <v>0</v>
      </c>
    </row>
    <row r="110" spans="1:34" s="232" customFormat="1">
      <c r="A110" s="283"/>
      <c r="B110" s="283" t="s">
        <v>110</v>
      </c>
      <c r="C110" s="667"/>
      <c r="D110" s="123" t="s">
        <v>334</v>
      </c>
      <c r="E110" s="679"/>
      <c r="F110" s="529">
        <f>VLOOKUP(D110,'Apr 2012 DMV Revenue'!D:T,17,FALSE)</f>
        <v>0</v>
      </c>
      <c r="G110" s="680"/>
      <c r="H110" s="680"/>
      <c r="I110" s="770">
        <v>253402.16</v>
      </c>
      <c r="J110" s="682">
        <f t="shared" si="27"/>
        <v>253402.16</v>
      </c>
      <c r="K110" s="683"/>
      <c r="L110" s="684"/>
      <c r="M110" s="753"/>
      <c r="N110" s="683">
        <v>0</v>
      </c>
      <c r="O110" s="686"/>
      <c r="P110" s="683">
        <v>0</v>
      </c>
      <c r="Q110" s="687">
        <f t="shared" si="1"/>
        <v>0</v>
      </c>
      <c r="R110" s="781">
        <v>0</v>
      </c>
      <c r="S110" s="693"/>
      <c r="T110" s="690">
        <f t="shared" si="28"/>
        <v>0</v>
      </c>
      <c r="U110" s="683"/>
      <c r="V110" s="474">
        <f t="shared" si="29"/>
        <v>0</v>
      </c>
      <c r="W110" s="474">
        <f t="shared" si="30"/>
        <v>0</v>
      </c>
      <c r="X110" s="475">
        <f t="shared" si="31"/>
        <v>0</v>
      </c>
      <c r="Y110" s="475">
        <v>0</v>
      </c>
      <c r="Z110" s="476">
        <v>0</v>
      </c>
      <c r="AA110" s="38">
        <f t="shared" si="32"/>
        <v>0</v>
      </c>
      <c r="AB110" s="692">
        <f t="shared" si="26"/>
        <v>253402.16</v>
      </c>
      <c r="AC110" s="692">
        <f t="shared" si="37"/>
        <v>0</v>
      </c>
      <c r="AD110" s="692">
        <f t="shared" si="33"/>
        <v>0</v>
      </c>
      <c r="AE110" s="38"/>
      <c r="AF110" s="692">
        <f t="shared" si="34"/>
        <v>0</v>
      </c>
      <c r="AG110" s="692">
        <f t="shared" si="35"/>
        <v>0</v>
      </c>
      <c r="AH110" s="692">
        <f t="shared" si="36"/>
        <v>0</v>
      </c>
    </row>
    <row r="111" spans="1:34" s="232" customFormat="1">
      <c r="A111" s="283"/>
      <c r="B111" s="283" t="s">
        <v>110</v>
      </c>
      <c r="C111" s="667"/>
      <c r="D111" s="123" t="s">
        <v>335</v>
      </c>
      <c r="E111" s="679"/>
      <c r="F111" s="529">
        <f>VLOOKUP(D111,'Apr 2012 DMV Revenue'!D:T,17,FALSE)</f>
        <v>0</v>
      </c>
      <c r="G111" s="680"/>
      <c r="H111" s="680"/>
      <c r="I111" s="770">
        <v>702.47</v>
      </c>
      <c r="J111" s="682">
        <f t="shared" si="27"/>
        <v>702.47</v>
      </c>
      <c r="K111" s="683"/>
      <c r="L111" s="684"/>
      <c r="M111" s="753"/>
      <c r="N111" s="683">
        <v>0</v>
      </c>
      <c r="O111" s="686"/>
      <c r="P111" s="683">
        <v>0</v>
      </c>
      <c r="Q111" s="687">
        <f t="shared" si="1"/>
        <v>0</v>
      </c>
      <c r="R111" s="781">
        <v>0</v>
      </c>
      <c r="S111" s="693"/>
      <c r="T111" s="690">
        <f t="shared" si="28"/>
        <v>0</v>
      </c>
      <c r="U111" s="683"/>
      <c r="V111" s="474">
        <f t="shared" si="29"/>
        <v>0</v>
      </c>
      <c r="W111" s="474">
        <f t="shared" si="30"/>
        <v>0</v>
      </c>
      <c r="X111" s="475">
        <f t="shared" si="31"/>
        <v>0</v>
      </c>
      <c r="Y111" s="475">
        <v>0</v>
      </c>
      <c r="Z111" s="476">
        <v>0</v>
      </c>
      <c r="AA111" s="38">
        <f t="shared" si="32"/>
        <v>0</v>
      </c>
      <c r="AB111" s="692">
        <f t="shared" si="26"/>
        <v>702.47</v>
      </c>
      <c r="AC111" s="692">
        <f t="shared" si="37"/>
        <v>0</v>
      </c>
      <c r="AD111" s="692">
        <f t="shared" si="33"/>
        <v>0</v>
      </c>
      <c r="AE111" s="38"/>
      <c r="AF111" s="692">
        <f t="shared" si="34"/>
        <v>0</v>
      </c>
      <c r="AG111" s="692">
        <f t="shared" si="35"/>
        <v>0</v>
      </c>
      <c r="AH111" s="692">
        <f t="shared" si="36"/>
        <v>0</v>
      </c>
    </row>
    <row r="112" spans="1:34" s="232" customFormat="1">
      <c r="A112" s="283"/>
      <c r="B112" s="283" t="s">
        <v>110</v>
      </c>
      <c r="C112" s="667"/>
      <c r="D112" s="123" t="s">
        <v>336</v>
      </c>
      <c r="E112" s="679"/>
      <c r="F112" s="529">
        <f>VLOOKUP(D112,'Apr 2012 DMV Revenue'!D:T,17,FALSE)</f>
        <v>0</v>
      </c>
      <c r="G112" s="680"/>
      <c r="H112" s="680"/>
      <c r="I112" s="770">
        <v>297730.55</v>
      </c>
      <c r="J112" s="682">
        <f t="shared" si="27"/>
        <v>297730.55</v>
      </c>
      <c r="K112" s="683"/>
      <c r="L112" s="684"/>
      <c r="M112" s="753"/>
      <c r="N112" s="683">
        <v>0</v>
      </c>
      <c r="O112" s="686"/>
      <c r="P112" s="683">
        <v>0</v>
      </c>
      <c r="Q112" s="687">
        <f t="shared" si="1"/>
        <v>0</v>
      </c>
      <c r="R112" s="781">
        <v>0</v>
      </c>
      <c r="S112" s="693"/>
      <c r="T112" s="690">
        <f t="shared" si="28"/>
        <v>0</v>
      </c>
      <c r="U112" s="683"/>
      <c r="V112" s="474">
        <f t="shared" si="29"/>
        <v>0</v>
      </c>
      <c r="W112" s="474">
        <f t="shared" si="30"/>
        <v>0</v>
      </c>
      <c r="X112" s="475">
        <f t="shared" si="31"/>
        <v>0</v>
      </c>
      <c r="Y112" s="475">
        <v>0</v>
      </c>
      <c r="Z112" s="476">
        <v>0</v>
      </c>
      <c r="AA112" s="38">
        <f t="shared" si="32"/>
        <v>0</v>
      </c>
      <c r="AB112" s="692">
        <f t="shared" si="26"/>
        <v>297730.55</v>
      </c>
      <c r="AC112" s="692">
        <f t="shared" si="37"/>
        <v>0</v>
      </c>
      <c r="AD112" s="692">
        <f t="shared" si="33"/>
        <v>0</v>
      </c>
      <c r="AE112" s="38"/>
      <c r="AF112" s="692">
        <f t="shared" si="34"/>
        <v>0</v>
      </c>
      <c r="AG112" s="692">
        <f t="shared" si="35"/>
        <v>0</v>
      </c>
      <c r="AH112" s="692">
        <f t="shared" si="36"/>
        <v>0</v>
      </c>
    </row>
    <row r="113" spans="1:34" s="232" customFormat="1">
      <c r="A113" s="283"/>
      <c r="B113" s="283" t="s">
        <v>110</v>
      </c>
      <c r="C113" s="667"/>
      <c r="D113" s="123" t="s">
        <v>337</v>
      </c>
      <c r="E113" s="679"/>
      <c r="F113" s="529">
        <f>VLOOKUP(D113,'Apr 2012 DMV Revenue'!D:T,17,FALSE)</f>
        <v>0</v>
      </c>
      <c r="G113" s="680"/>
      <c r="H113" s="680"/>
      <c r="I113" s="770">
        <v>799.57</v>
      </c>
      <c r="J113" s="682">
        <f t="shared" si="27"/>
        <v>799.57</v>
      </c>
      <c r="K113" s="683"/>
      <c r="L113" s="684"/>
      <c r="M113" s="753"/>
      <c r="N113" s="683">
        <v>0</v>
      </c>
      <c r="O113" s="686"/>
      <c r="P113" s="683">
        <v>0</v>
      </c>
      <c r="Q113" s="687">
        <f t="shared" si="1"/>
        <v>0</v>
      </c>
      <c r="R113" s="781">
        <v>0</v>
      </c>
      <c r="S113" s="693"/>
      <c r="T113" s="690">
        <f t="shared" si="28"/>
        <v>0</v>
      </c>
      <c r="U113" s="683"/>
      <c r="V113" s="474">
        <f t="shared" si="29"/>
        <v>0</v>
      </c>
      <c r="W113" s="474">
        <f t="shared" si="30"/>
        <v>0</v>
      </c>
      <c r="X113" s="475">
        <f t="shared" si="31"/>
        <v>0</v>
      </c>
      <c r="Y113" s="475">
        <v>0</v>
      </c>
      <c r="Z113" s="476">
        <v>0</v>
      </c>
      <c r="AA113" s="38">
        <f t="shared" si="32"/>
        <v>0</v>
      </c>
      <c r="AB113" s="692">
        <f t="shared" si="26"/>
        <v>799.57</v>
      </c>
      <c r="AC113" s="692">
        <f t="shared" si="37"/>
        <v>0</v>
      </c>
      <c r="AD113" s="692">
        <f t="shared" si="33"/>
        <v>0</v>
      </c>
      <c r="AE113" s="38"/>
      <c r="AF113" s="692">
        <f t="shared" si="34"/>
        <v>0</v>
      </c>
      <c r="AG113" s="692">
        <f t="shared" si="35"/>
        <v>0</v>
      </c>
      <c r="AH113" s="692">
        <f t="shared" si="36"/>
        <v>0</v>
      </c>
    </row>
    <row r="114" spans="1:34" s="232" customFormat="1">
      <c r="A114" s="283"/>
      <c r="B114" s="283" t="s">
        <v>110</v>
      </c>
      <c r="C114" s="667"/>
      <c r="D114" s="123" t="s">
        <v>338</v>
      </c>
      <c r="E114" s="679"/>
      <c r="F114" s="529">
        <f>VLOOKUP(D114,'Apr 2012 DMV Revenue'!D:T,17,FALSE)</f>
        <v>0</v>
      </c>
      <c r="G114" s="680"/>
      <c r="H114" s="680"/>
      <c r="I114" s="770">
        <v>91911.61</v>
      </c>
      <c r="J114" s="682">
        <f t="shared" si="27"/>
        <v>91911.61</v>
      </c>
      <c r="K114" s="683"/>
      <c r="L114" s="684"/>
      <c r="M114" s="753"/>
      <c r="N114" s="683">
        <v>0</v>
      </c>
      <c r="O114" s="686"/>
      <c r="P114" s="683">
        <v>0</v>
      </c>
      <c r="Q114" s="687">
        <f t="shared" si="1"/>
        <v>0</v>
      </c>
      <c r="R114" s="781">
        <v>0</v>
      </c>
      <c r="S114" s="693"/>
      <c r="T114" s="690">
        <f t="shared" si="28"/>
        <v>0</v>
      </c>
      <c r="U114" s="683"/>
      <c r="V114" s="474">
        <f t="shared" si="29"/>
        <v>0</v>
      </c>
      <c r="W114" s="474">
        <f t="shared" si="30"/>
        <v>0</v>
      </c>
      <c r="X114" s="475">
        <f t="shared" si="31"/>
        <v>0</v>
      </c>
      <c r="Y114" s="475">
        <v>0</v>
      </c>
      <c r="Z114" s="476">
        <v>0</v>
      </c>
      <c r="AA114" s="38">
        <f t="shared" si="32"/>
        <v>0</v>
      </c>
      <c r="AB114" s="692">
        <f t="shared" si="26"/>
        <v>91911.61</v>
      </c>
      <c r="AC114" s="692">
        <f t="shared" si="37"/>
        <v>0</v>
      </c>
      <c r="AD114" s="692">
        <f t="shared" si="33"/>
        <v>0</v>
      </c>
      <c r="AE114" s="38"/>
      <c r="AF114" s="692">
        <f t="shared" si="34"/>
        <v>0</v>
      </c>
      <c r="AG114" s="692">
        <f t="shared" si="35"/>
        <v>0</v>
      </c>
      <c r="AH114" s="692">
        <f t="shared" si="36"/>
        <v>0</v>
      </c>
    </row>
    <row r="115" spans="1:34" s="232" customFormat="1">
      <c r="A115" s="283"/>
      <c r="B115" s="283" t="s">
        <v>110</v>
      </c>
      <c r="C115" s="667"/>
      <c r="D115" s="123" t="s">
        <v>339</v>
      </c>
      <c r="E115" s="679"/>
      <c r="F115" s="529">
        <f>VLOOKUP(D115,'Apr 2012 DMV Revenue'!D:T,17,FALSE)</f>
        <v>0</v>
      </c>
      <c r="G115" s="680"/>
      <c r="H115" s="680"/>
      <c r="I115" s="770">
        <v>74521.06</v>
      </c>
      <c r="J115" s="682">
        <f t="shared" si="27"/>
        <v>74521.06</v>
      </c>
      <c r="K115" s="683"/>
      <c r="L115" s="684"/>
      <c r="M115" s="753"/>
      <c r="N115" s="683">
        <v>0</v>
      </c>
      <c r="O115" s="686"/>
      <c r="P115" s="683">
        <v>0</v>
      </c>
      <c r="Q115" s="687">
        <f t="shared" si="1"/>
        <v>0</v>
      </c>
      <c r="R115" s="781">
        <v>0</v>
      </c>
      <c r="S115" s="693"/>
      <c r="T115" s="690">
        <f t="shared" si="28"/>
        <v>0</v>
      </c>
      <c r="U115" s="683"/>
      <c r="V115" s="474">
        <f t="shared" si="29"/>
        <v>0</v>
      </c>
      <c r="W115" s="474">
        <f t="shared" si="30"/>
        <v>0</v>
      </c>
      <c r="X115" s="475">
        <f t="shared" si="31"/>
        <v>0</v>
      </c>
      <c r="Y115" s="475">
        <v>0</v>
      </c>
      <c r="Z115" s="476">
        <v>0</v>
      </c>
      <c r="AA115" s="38">
        <f t="shared" si="32"/>
        <v>0</v>
      </c>
      <c r="AB115" s="692">
        <f t="shared" si="26"/>
        <v>74521.06</v>
      </c>
      <c r="AC115" s="692">
        <f t="shared" si="37"/>
        <v>0</v>
      </c>
      <c r="AD115" s="692">
        <f t="shared" si="33"/>
        <v>0</v>
      </c>
      <c r="AE115" s="38"/>
      <c r="AF115" s="692">
        <f t="shared" si="34"/>
        <v>0</v>
      </c>
      <c r="AG115" s="692">
        <f t="shared" si="35"/>
        <v>0</v>
      </c>
      <c r="AH115" s="692">
        <f t="shared" si="36"/>
        <v>0</v>
      </c>
    </row>
    <row r="116" spans="1:34" s="232" customFormat="1">
      <c r="A116" s="283"/>
      <c r="B116" s="283" t="s">
        <v>110</v>
      </c>
      <c r="C116" s="667"/>
      <c r="D116" s="123" t="s">
        <v>340</v>
      </c>
      <c r="E116" s="679"/>
      <c r="F116" s="529">
        <f>VLOOKUP(D116,'Apr 2012 DMV Revenue'!D:T,17,FALSE)</f>
        <v>0</v>
      </c>
      <c r="G116" s="680"/>
      <c r="H116" s="680"/>
      <c r="I116" s="770">
        <v>89.65</v>
      </c>
      <c r="J116" s="682">
        <f t="shared" si="27"/>
        <v>89.65</v>
      </c>
      <c r="K116" s="683"/>
      <c r="L116" s="684"/>
      <c r="M116" s="753"/>
      <c r="N116" s="683">
        <v>0</v>
      </c>
      <c r="O116" s="686"/>
      <c r="P116" s="683">
        <v>0</v>
      </c>
      <c r="Q116" s="687">
        <f t="shared" si="1"/>
        <v>0</v>
      </c>
      <c r="R116" s="781">
        <v>0</v>
      </c>
      <c r="S116" s="693"/>
      <c r="T116" s="690">
        <f t="shared" si="28"/>
        <v>0</v>
      </c>
      <c r="U116" s="683"/>
      <c r="V116" s="474">
        <f t="shared" si="29"/>
        <v>0</v>
      </c>
      <c r="W116" s="474">
        <f t="shared" si="30"/>
        <v>0</v>
      </c>
      <c r="X116" s="475">
        <f t="shared" si="31"/>
        <v>0</v>
      </c>
      <c r="Y116" s="475">
        <v>0</v>
      </c>
      <c r="Z116" s="476">
        <v>0</v>
      </c>
      <c r="AA116" s="38">
        <f t="shared" si="32"/>
        <v>0</v>
      </c>
      <c r="AB116" s="692">
        <f t="shared" si="26"/>
        <v>89.65</v>
      </c>
      <c r="AC116" s="692">
        <f t="shared" si="37"/>
        <v>0</v>
      </c>
      <c r="AD116" s="692">
        <f t="shared" si="33"/>
        <v>0</v>
      </c>
      <c r="AE116" s="38"/>
      <c r="AF116" s="692">
        <f t="shared" si="34"/>
        <v>0</v>
      </c>
      <c r="AG116" s="692">
        <f t="shared" si="35"/>
        <v>0</v>
      </c>
      <c r="AH116" s="692">
        <f t="shared" si="36"/>
        <v>0</v>
      </c>
    </row>
    <row r="117" spans="1:34" s="232" customFormat="1">
      <c r="A117" s="283"/>
      <c r="B117" s="283" t="s">
        <v>110</v>
      </c>
      <c r="C117" s="667"/>
      <c r="D117" s="123" t="s">
        <v>439</v>
      </c>
      <c r="E117" s="679"/>
      <c r="F117" s="529">
        <f>VLOOKUP(D117,'Apr 2012 DMV Revenue'!D:T,17,FALSE)</f>
        <v>0</v>
      </c>
      <c r="G117" s="680"/>
      <c r="H117" s="680"/>
      <c r="I117" s="770">
        <v>2695.65</v>
      </c>
      <c r="J117" s="682">
        <f t="shared" si="27"/>
        <v>2695.65</v>
      </c>
      <c r="K117" s="683"/>
      <c r="L117" s="684"/>
      <c r="M117" s="753"/>
      <c r="N117" s="683">
        <v>0</v>
      </c>
      <c r="O117" s="686"/>
      <c r="P117" s="683">
        <v>0</v>
      </c>
      <c r="Q117" s="687">
        <f t="shared" si="1"/>
        <v>0</v>
      </c>
      <c r="R117" s="781">
        <v>0</v>
      </c>
      <c r="S117" s="693"/>
      <c r="T117" s="690">
        <f t="shared" si="28"/>
        <v>0</v>
      </c>
      <c r="U117" s="683"/>
      <c r="V117" s="474">
        <f t="shared" si="29"/>
        <v>0</v>
      </c>
      <c r="W117" s="474">
        <f t="shared" si="30"/>
        <v>0</v>
      </c>
      <c r="X117" s="475">
        <f t="shared" si="31"/>
        <v>0</v>
      </c>
      <c r="Y117" s="475">
        <v>0</v>
      </c>
      <c r="Z117" s="476">
        <v>0</v>
      </c>
      <c r="AA117" s="38">
        <f t="shared" si="32"/>
        <v>0</v>
      </c>
      <c r="AB117" s="692">
        <f t="shared" si="26"/>
        <v>2695.65</v>
      </c>
      <c r="AC117" s="692">
        <f t="shared" si="37"/>
        <v>0</v>
      </c>
      <c r="AD117" s="692">
        <f t="shared" si="33"/>
        <v>0</v>
      </c>
      <c r="AE117" s="38"/>
      <c r="AF117" s="692">
        <f t="shared" si="34"/>
        <v>0</v>
      </c>
      <c r="AG117" s="692">
        <f t="shared" si="35"/>
        <v>0</v>
      </c>
      <c r="AH117" s="692">
        <f t="shared" si="36"/>
        <v>0</v>
      </c>
    </row>
    <row r="118" spans="1:34" s="232" customFormat="1">
      <c r="A118" s="283"/>
      <c r="B118" s="283" t="s">
        <v>110</v>
      </c>
      <c r="C118" s="667"/>
      <c r="D118" s="123" t="s">
        <v>592</v>
      </c>
      <c r="E118" s="679"/>
      <c r="F118" s="529">
        <f>VLOOKUP(D118,'Apr 2012 DMV Revenue'!D:T,17,FALSE)</f>
        <v>0</v>
      </c>
      <c r="G118" s="680"/>
      <c r="H118" s="680"/>
      <c r="I118" s="770">
        <v>681.38</v>
      </c>
      <c r="J118" s="682">
        <f t="shared" si="27"/>
        <v>681.38</v>
      </c>
      <c r="K118" s="683"/>
      <c r="L118" s="684"/>
      <c r="M118" s="753"/>
      <c r="N118" s="683">
        <v>0</v>
      </c>
      <c r="O118" s="686"/>
      <c r="P118" s="683">
        <v>0</v>
      </c>
      <c r="Q118" s="687">
        <f t="shared" si="1"/>
        <v>0</v>
      </c>
      <c r="R118" s="781">
        <v>0</v>
      </c>
      <c r="S118" s="693"/>
      <c r="T118" s="690">
        <f t="shared" si="28"/>
        <v>0</v>
      </c>
      <c r="U118" s="683"/>
      <c r="V118" s="474">
        <f t="shared" si="29"/>
        <v>0</v>
      </c>
      <c r="W118" s="474">
        <f t="shared" si="30"/>
        <v>0</v>
      </c>
      <c r="X118" s="475">
        <f t="shared" si="31"/>
        <v>0</v>
      </c>
      <c r="Y118" s="475">
        <v>0</v>
      </c>
      <c r="Z118" s="476">
        <v>0</v>
      </c>
      <c r="AA118" s="38">
        <f t="shared" si="32"/>
        <v>0</v>
      </c>
      <c r="AB118" s="692">
        <f t="shared" si="26"/>
        <v>681.38</v>
      </c>
      <c r="AC118" s="692">
        <f t="shared" si="37"/>
        <v>0</v>
      </c>
      <c r="AD118" s="692">
        <f t="shared" si="33"/>
        <v>0</v>
      </c>
      <c r="AE118" s="38"/>
      <c r="AF118" s="692">
        <f t="shared" si="34"/>
        <v>0</v>
      </c>
      <c r="AG118" s="692">
        <f t="shared" si="35"/>
        <v>0</v>
      </c>
      <c r="AH118" s="692">
        <f t="shared" si="36"/>
        <v>0</v>
      </c>
    </row>
    <row r="119" spans="1:34" s="232" customFormat="1">
      <c r="A119" s="283"/>
      <c r="B119" s="283" t="s">
        <v>110</v>
      </c>
      <c r="C119" s="667"/>
      <c r="D119" s="123" t="s">
        <v>512</v>
      </c>
      <c r="E119" s="679"/>
      <c r="F119" s="529">
        <f>VLOOKUP(D119,'Apr 2012 DMV Revenue'!D:T,17,FALSE)</f>
        <v>0</v>
      </c>
      <c r="G119" s="680"/>
      <c r="H119" s="680"/>
      <c r="I119" s="770">
        <f>24058.32+2866.11+1458.26+7194.09+393.21+91.7</f>
        <v>36061.689999999995</v>
      </c>
      <c r="J119" s="682">
        <f>SUM(E119:I119)</f>
        <v>36061.689999999995</v>
      </c>
      <c r="K119" s="683"/>
      <c r="L119" s="684"/>
      <c r="M119" s="753"/>
      <c r="N119" s="683">
        <v>0</v>
      </c>
      <c r="O119" s="686"/>
      <c r="P119" s="683"/>
      <c r="Q119" s="687">
        <f t="shared" si="1"/>
        <v>0</v>
      </c>
      <c r="R119" s="781">
        <v>0</v>
      </c>
      <c r="S119" s="693"/>
      <c r="T119" s="690">
        <f t="shared" si="28"/>
        <v>0</v>
      </c>
      <c r="U119" s="683"/>
      <c r="V119" s="474">
        <f t="shared" si="29"/>
        <v>0</v>
      </c>
      <c r="W119" s="474">
        <f t="shared" si="30"/>
        <v>0</v>
      </c>
      <c r="X119" s="475">
        <f t="shared" si="31"/>
        <v>0</v>
      </c>
      <c r="Y119" s="475">
        <v>0</v>
      </c>
      <c r="Z119" s="476">
        <v>0</v>
      </c>
      <c r="AA119" s="38">
        <f t="shared" si="32"/>
        <v>0</v>
      </c>
      <c r="AB119" s="692">
        <f t="shared" si="26"/>
        <v>36061.689999999995</v>
      </c>
      <c r="AC119" s="692">
        <f t="shared" si="37"/>
        <v>0</v>
      </c>
      <c r="AD119" s="692">
        <f t="shared" si="33"/>
        <v>0</v>
      </c>
      <c r="AE119" s="38"/>
      <c r="AF119" s="692">
        <f t="shared" si="34"/>
        <v>0</v>
      </c>
      <c r="AG119" s="692">
        <f t="shared" si="35"/>
        <v>0</v>
      </c>
      <c r="AH119" s="692">
        <f t="shared" si="36"/>
        <v>0</v>
      </c>
    </row>
    <row r="120" spans="1:34" s="24" customFormat="1">
      <c r="A120" s="32"/>
      <c r="B120" s="32" t="s">
        <v>110</v>
      </c>
      <c r="C120" s="667"/>
      <c r="D120" s="68" t="s">
        <v>588</v>
      </c>
      <c r="E120" s="679"/>
      <c r="F120" s="529">
        <f>VLOOKUP(D120,'Apr 2012 DMV Revenue'!D:T,17,FALSE)</f>
        <v>0</v>
      </c>
      <c r="G120" s="680"/>
      <c r="H120" s="680"/>
      <c r="I120" s="755"/>
      <c r="J120" s="682">
        <f t="shared" ref="J120" si="38">SUM(E120:I120)</f>
        <v>0</v>
      </c>
      <c r="K120" s="683"/>
      <c r="L120" s="684"/>
      <c r="M120" s="753"/>
      <c r="N120" s="698"/>
      <c r="O120" s="699"/>
      <c r="P120" s="698"/>
      <c r="Q120" s="687">
        <f t="shared" si="1"/>
        <v>0</v>
      </c>
      <c r="R120" s="781">
        <v>0</v>
      </c>
      <c r="S120" s="693"/>
      <c r="T120" s="690">
        <f t="shared" si="28"/>
        <v>0</v>
      </c>
      <c r="U120" s="683"/>
      <c r="V120" s="474">
        <f t="shared" si="29"/>
        <v>0</v>
      </c>
      <c r="W120" s="474">
        <f t="shared" si="30"/>
        <v>0</v>
      </c>
      <c r="X120" s="475">
        <f t="shared" si="31"/>
        <v>0</v>
      </c>
      <c r="Y120" s="475">
        <v>0</v>
      </c>
      <c r="Z120" s="476">
        <v>0</v>
      </c>
      <c r="AA120" s="38">
        <f t="shared" si="32"/>
        <v>0</v>
      </c>
      <c r="AB120" s="692">
        <f t="shared" si="26"/>
        <v>0</v>
      </c>
      <c r="AC120" s="692">
        <f t="shared" si="37"/>
        <v>0</v>
      </c>
      <c r="AD120" s="692">
        <f t="shared" si="33"/>
        <v>0</v>
      </c>
      <c r="AE120" s="38"/>
      <c r="AF120" s="692">
        <f t="shared" si="34"/>
        <v>0</v>
      </c>
      <c r="AG120" s="692">
        <f t="shared" si="35"/>
        <v>0</v>
      </c>
      <c r="AH120" s="692">
        <f t="shared" si="36"/>
        <v>0</v>
      </c>
    </row>
    <row r="121" spans="1:34">
      <c r="A121" s="21"/>
      <c r="B121" s="21" t="s">
        <v>109</v>
      </c>
      <c r="C121" s="666" t="s">
        <v>548</v>
      </c>
      <c r="D121" s="68" t="s">
        <v>461</v>
      </c>
      <c r="E121" s="679"/>
      <c r="F121" s="529">
        <f>VLOOKUP(D121,'Apr 2012 DMV Revenue'!D:T,17,FALSE)</f>
        <v>3661.55</v>
      </c>
      <c r="G121" s="680"/>
      <c r="H121" s="680"/>
      <c r="I121" s="755"/>
      <c r="J121" s="682">
        <f t="shared" si="27"/>
        <v>3661.55</v>
      </c>
      <c r="K121" s="683"/>
      <c r="L121" s="684"/>
      <c r="M121" s="753"/>
      <c r="N121" s="683">
        <v>0</v>
      </c>
      <c r="O121" s="686"/>
      <c r="P121" s="683">
        <v>0</v>
      </c>
      <c r="Q121" s="687">
        <f t="shared" si="1"/>
        <v>0</v>
      </c>
      <c r="R121" s="781">
        <v>3488.32</v>
      </c>
      <c r="S121" s="693"/>
      <c r="T121" s="690">
        <f t="shared" si="28"/>
        <v>3488.32</v>
      </c>
      <c r="U121" s="683"/>
      <c r="V121" s="474">
        <f t="shared" si="29"/>
        <v>0</v>
      </c>
      <c r="W121" s="474">
        <f t="shared" si="30"/>
        <v>0</v>
      </c>
      <c r="X121" s="475">
        <f t="shared" si="31"/>
        <v>0</v>
      </c>
      <c r="Y121" s="475">
        <v>0</v>
      </c>
      <c r="Z121" s="476">
        <v>0</v>
      </c>
      <c r="AA121" s="38">
        <f t="shared" si="32"/>
        <v>0</v>
      </c>
      <c r="AB121" s="692">
        <f t="shared" si="26"/>
        <v>0</v>
      </c>
      <c r="AC121" s="692">
        <f t="shared" si="37"/>
        <v>3661.55</v>
      </c>
      <c r="AD121" s="692">
        <f t="shared" si="33"/>
        <v>0</v>
      </c>
      <c r="AE121" s="38"/>
      <c r="AF121" s="692">
        <f t="shared" si="34"/>
        <v>0</v>
      </c>
      <c r="AG121" s="692">
        <f t="shared" si="35"/>
        <v>0</v>
      </c>
      <c r="AH121" s="692">
        <f t="shared" si="36"/>
        <v>0</v>
      </c>
    </row>
    <row r="122" spans="1:34">
      <c r="A122" s="20"/>
      <c r="B122" s="20" t="s">
        <v>109</v>
      </c>
      <c r="C122" s="667" t="s">
        <v>549</v>
      </c>
      <c r="D122" s="68" t="s">
        <v>22</v>
      </c>
      <c r="E122" s="679"/>
      <c r="F122" s="529">
        <f>VLOOKUP(D122,'Apr 2012 DMV Revenue'!D:T,17,FALSE)</f>
        <v>0</v>
      </c>
      <c r="G122" s="680"/>
      <c r="H122" s="680"/>
      <c r="I122" s="755"/>
      <c r="J122" s="682">
        <f t="shared" si="27"/>
        <v>0</v>
      </c>
      <c r="K122" s="683"/>
      <c r="L122" s="684"/>
      <c r="M122" s="753"/>
      <c r="N122" s="683">
        <v>0</v>
      </c>
      <c r="O122" s="686"/>
      <c r="P122" s="683">
        <v>0</v>
      </c>
      <c r="Q122" s="687">
        <f t="shared" si="1"/>
        <v>0</v>
      </c>
      <c r="R122" s="781">
        <v>0</v>
      </c>
      <c r="S122" s="693"/>
      <c r="T122" s="690">
        <f t="shared" si="28"/>
        <v>0</v>
      </c>
      <c r="U122" s="683"/>
      <c r="V122" s="474">
        <f t="shared" si="29"/>
        <v>0</v>
      </c>
      <c r="W122" s="474">
        <f t="shared" si="30"/>
        <v>0</v>
      </c>
      <c r="X122" s="475">
        <f t="shared" si="31"/>
        <v>0</v>
      </c>
      <c r="Y122" s="475">
        <v>0</v>
      </c>
      <c r="Z122" s="476">
        <v>0</v>
      </c>
      <c r="AA122" s="38">
        <f t="shared" si="32"/>
        <v>0</v>
      </c>
      <c r="AB122" s="692">
        <f t="shared" si="26"/>
        <v>0</v>
      </c>
      <c r="AC122" s="692">
        <f t="shared" si="37"/>
        <v>0</v>
      </c>
      <c r="AD122" s="692">
        <f t="shared" si="33"/>
        <v>0</v>
      </c>
      <c r="AE122" s="38"/>
      <c r="AF122" s="692">
        <f t="shared" si="34"/>
        <v>0</v>
      </c>
      <c r="AG122" s="692">
        <f t="shared" si="35"/>
        <v>0</v>
      </c>
      <c r="AH122" s="692">
        <f t="shared" si="36"/>
        <v>0</v>
      </c>
    </row>
    <row r="123" spans="1:34">
      <c r="A123" s="20"/>
      <c r="B123" s="20" t="s">
        <v>110</v>
      </c>
      <c r="C123" s="667"/>
      <c r="D123" s="68" t="s">
        <v>24</v>
      </c>
      <c r="E123" s="679"/>
      <c r="F123" s="529">
        <f>VLOOKUP(D123,'Apr 2012 DMV Revenue'!D:T,17,FALSE)</f>
        <v>0</v>
      </c>
      <c r="G123" s="680"/>
      <c r="H123" s="680"/>
      <c r="I123" s="755"/>
      <c r="J123" s="682">
        <f t="shared" si="27"/>
        <v>0</v>
      </c>
      <c r="K123" s="683"/>
      <c r="L123" s="684"/>
      <c r="M123" s="753"/>
      <c r="N123" s="683">
        <v>0</v>
      </c>
      <c r="O123" s="686"/>
      <c r="P123" s="683">
        <v>0</v>
      </c>
      <c r="Q123" s="687">
        <f t="shared" si="1"/>
        <v>0</v>
      </c>
      <c r="R123" s="781">
        <v>3621</v>
      </c>
      <c r="S123" s="693"/>
      <c r="T123" s="690">
        <f t="shared" si="28"/>
        <v>3621</v>
      </c>
      <c r="U123" s="683"/>
      <c r="V123" s="474">
        <f t="shared" si="29"/>
        <v>0</v>
      </c>
      <c r="W123" s="474">
        <f t="shared" si="30"/>
        <v>0</v>
      </c>
      <c r="X123" s="475">
        <f t="shared" si="31"/>
        <v>0</v>
      </c>
      <c r="Y123" s="475">
        <v>0</v>
      </c>
      <c r="Z123" s="476">
        <v>0</v>
      </c>
      <c r="AA123" s="38">
        <f t="shared" si="32"/>
        <v>0</v>
      </c>
      <c r="AB123" s="692">
        <f t="shared" si="26"/>
        <v>0</v>
      </c>
      <c r="AC123" s="692">
        <f t="shared" si="37"/>
        <v>0</v>
      </c>
      <c r="AD123" s="692">
        <f t="shared" si="33"/>
        <v>0</v>
      </c>
      <c r="AE123" s="38"/>
      <c r="AF123" s="692">
        <f t="shared" si="34"/>
        <v>0</v>
      </c>
      <c r="AG123" s="692">
        <f t="shared" si="35"/>
        <v>0</v>
      </c>
      <c r="AH123" s="692">
        <f t="shared" si="36"/>
        <v>0</v>
      </c>
    </row>
    <row r="124" spans="1:34">
      <c r="A124" s="21"/>
      <c r="B124" s="21" t="s">
        <v>110</v>
      </c>
      <c r="C124" s="666"/>
      <c r="D124" s="68" t="s">
        <v>183</v>
      </c>
      <c r="E124" s="679"/>
      <c r="F124" s="529">
        <f>VLOOKUP(D124,'Apr 2012 DMV Revenue'!D:T,17,FALSE)</f>
        <v>0</v>
      </c>
      <c r="G124" s="680"/>
      <c r="H124" s="680"/>
      <c r="I124" s="755"/>
      <c r="J124" s="682">
        <f t="shared" si="27"/>
        <v>0</v>
      </c>
      <c r="K124" s="683"/>
      <c r="L124" s="684"/>
      <c r="M124" s="753"/>
      <c r="N124" s="683">
        <v>0</v>
      </c>
      <c r="O124" s="686"/>
      <c r="P124" s="683">
        <v>0</v>
      </c>
      <c r="Q124" s="687">
        <f t="shared" si="1"/>
        <v>0</v>
      </c>
      <c r="R124" s="781">
        <v>0</v>
      </c>
      <c r="S124" s="693"/>
      <c r="T124" s="690">
        <f t="shared" si="28"/>
        <v>0</v>
      </c>
      <c r="U124" s="683"/>
      <c r="V124" s="474">
        <f t="shared" si="29"/>
        <v>0</v>
      </c>
      <c r="W124" s="474">
        <f t="shared" si="30"/>
        <v>0</v>
      </c>
      <c r="X124" s="475">
        <f t="shared" si="31"/>
        <v>0</v>
      </c>
      <c r="Y124" s="475">
        <v>0</v>
      </c>
      <c r="Z124" s="476">
        <v>0</v>
      </c>
      <c r="AA124" s="38">
        <f t="shared" si="32"/>
        <v>0</v>
      </c>
      <c r="AB124" s="692">
        <f t="shared" si="26"/>
        <v>0</v>
      </c>
      <c r="AC124" s="692">
        <f t="shared" si="37"/>
        <v>0</v>
      </c>
      <c r="AD124" s="692">
        <f t="shared" si="33"/>
        <v>0</v>
      </c>
      <c r="AE124" s="38"/>
      <c r="AF124" s="692">
        <f t="shared" si="34"/>
        <v>0</v>
      </c>
      <c r="AG124" s="692">
        <f t="shared" si="35"/>
        <v>0</v>
      </c>
      <c r="AH124" s="692">
        <f t="shared" si="36"/>
        <v>0</v>
      </c>
    </row>
    <row r="125" spans="1:34">
      <c r="A125" s="21"/>
      <c r="B125" s="21" t="s">
        <v>110</v>
      </c>
      <c r="C125" s="666" t="s">
        <v>550</v>
      </c>
      <c r="D125" s="68" t="s">
        <v>282</v>
      </c>
      <c r="E125" s="679"/>
      <c r="F125" s="529">
        <f>VLOOKUP(D125,'Apr 2012 DMV Revenue'!D:T,17,FALSE)</f>
        <v>27802.45</v>
      </c>
      <c r="G125" s="680"/>
      <c r="H125" s="680"/>
      <c r="I125" s="755"/>
      <c r="J125" s="682">
        <f t="shared" si="27"/>
        <v>27802.45</v>
      </c>
      <c r="K125" s="683"/>
      <c r="L125" s="684"/>
      <c r="M125" s="753">
        <v>25000</v>
      </c>
      <c r="N125" s="683">
        <v>0</v>
      </c>
      <c r="O125" s="686"/>
      <c r="P125" s="683">
        <v>0</v>
      </c>
      <c r="Q125" s="687">
        <f t="shared" si="1"/>
        <v>25000</v>
      </c>
      <c r="R125" s="781">
        <v>25974.41</v>
      </c>
      <c r="S125" s="693"/>
      <c r="T125" s="690">
        <f t="shared" si="28"/>
        <v>974.40999999999985</v>
      </c>
      <c r="U125" s="683"/>
      <c r="V125" s="474">
        <f t="shared" si="29"/>
        <v>25000</v>
      </c>
      <c r="W125" s="474">
        <f t="shared" si="30"/>
        <v>0</v>
      </c>
      <c r="X125" s="475">
        <f t="shared" si="31"/>
        <v>0</v>
      </c>
      <c r="Y125" s="475">
        <v>0</v>
      </c>
      <c r="Z125" s="476">
        <v>0</v>
      </c>
      <c r="AA125" s="38">
        <f t="shared" si="32"/>
        <v>0</v>
      </c>
      <c r="AB125" s="692">
        <f t="shared" si="26"/>
        <v>27802.45</v>
      </c>
      <c r="AC125" s="692">
        <f t="shared" si="37"/>
        <v>0</v>
      </c>
      <c r="AD125" s="692">
        <f t="shared" si="33"/>
        <v>0</v>
      </c>
      <c r="AE125" s="38"/>
      <c r="AF125" s="692">
        <f t="shared" si="34"/>
        <v>25000</v>
      </c>
      <c r="AG125" s="692">
        <f t="shared" si="35"/>
        <v>0</v>
      </c>
      <c r="AH125" s="692">
        <f t="shared" si="36"/>
        <v>0</v>
      </c>
    </row>
    <row r="126" spans="1:34">
      <c r="A126" s="21"/>
      <c r="B126" s="21" t="s">
        <v>109</v>
      </c>
      <c r="C126" s="666" t="s">
        <v>551</v>
      </c>
      <c r="D126" s="68" t="s">
        <v>499</v>
      </c>
      <c r="E126" s="679"/>
      <c r="F126" s="529">
        <f>VLOOKUP(D126,'Apr 2012 DMV Revenue'!D:T,17,FALSE)</f>
        <v>0</v>
      </c>
      <c r="G126" s="680"/>
      <c r="H126" s="680"/>
      <c r="I126" s="755"/>
      <c r="J126" s="682">
        <f t="shared" si="27"/>
        <v>0</v>
      </c>
      <c r="K126" s="683"/>
      <c r="L126" s="684"/>
      <c r="M126" s="753"/>
      <c r="N126" s="683">
        <v>0</v>
      </c>
      <c r="O126" s="686"/>
      <c r="P126" s="683">
        <v>0</v>
      </c>
      <c r="Q126" s="687">
        <f t="shared" si="1"/>
        <v>0</v>
      </c>
      <c r="R126" s="781">
        <v>0</v>
      </c>
      <c r="S126" s="693"/>
      <c r="T126" s="690">
        <f t="shared" si="28"/>
        <v>0</v>
      </c>
      <c r="U126" s="683"/>
      <c r="V126" s="474">
        <f t="shared" si="29"/>
        <v>0</v>
      </c>
      <c r="W126" s="474">
        <f t="shared" si="30"/>
        <v>0</v>
      </c>
      <c r="X126" s="475">
        <f t="shared" si="31"/>
        <v>0</v>
      </c>
      <c r="Y126" s="475">
        <v>0</v>
      </c>
      <c r="Z126" s="476">
        <v>0</v>
      </c>
      <c r="AA126" s="38">
        <f t="shared" si="32"/>
        <v>0</v>
      </c>
      <c r="AB126" s="692">
        <f t="shared" si="26"/>
        <v>0</v>
      </c>
      <c r="AC126" s="692">
        <f t="shared" si="37"/>
        <v>0</v>
      </c>
      <c r="AD126" s="692">
        <f t="shared" si="33"/>
        <v>0</v>
      </c>
      <c r="AE126" s="38"/>
      <c r="AF126" s="692">
        <f t="shared" si="34"/>
        <v>0</v>
      </c>
      <c r="AG126" s="692">
        <f t="shared" si="35"/>
        <v>0</v>
      </c>
      <c r="AH126" s="692">
        <f t="shared" si="36"/>
        <v>0</v>
      </c>
    </row>
    <row r="127" spans="1:34">
      <c r="A127" s="21"/>
      <c r="B127" s="21" t="s">
        <v>110</v>
      </c>
      <c r="C127" s="666"/>
      <c r="D127" s="68" t="s">
        <v>28</v>
      </c>
      <c r="E127" s="679">
        <f>1234.1+1409.1+1314.62</f>
        <v>3957.8199999999997</v>
      </c>
      <c r="F127" s="529">
        <f>VLOOKUP(D127,'Apr 2012 DMV Revenue'!D:T,17,FALSE)</f>
        <v>1346.1</v>
      </c>
      <c r="G127" s="680"/>
      <c r="H127" s="680"/>
      <c r="I127" s="770">
        <v>1110.9000000000001</v>
      </c>
      <c r="J127" s="682">
        <f t="shared" si="27"/>
        <v>6414.82</v>
      </c>
      <c r="K127" s="683"/>
      <c r="L127" s="684"/>
      <c r="M127" s="753"/>
      <c r="N127" s="683">
        <v>0</v>
      </c>
      <c r="O127" s="686"/>
      <c r="P127" s="683">
        <v>0</v>
      </c>
      <c r="Q127" s="687">
        <f t="shared" si="1"/>
        <v>0</v>
      </c>
      <c r="R127" s="781">
        <v>0</v>
      </c>
      <c r="S127" s="693"/>
      <c r="T127" s="690">
        <f t="shared" si="28"/>
        <v>0</v>
      </c>
      <c r="U127" s="683"/>
      <c r="V127" s="474">
        <f t="shared" si="29"/>
        <v>0</v>
      </c>
      <c r="W127" s="474">
        <f t="shared" si="30"/>
        <v>0</v>
      </c>
      <c r="X127" s="475">
        <f t="shared" si="31"/>
        <v>0</v>
      </c>
      <c r="Y127" s="475">
        <v>0</v>
      </c>
      <c r="Z127" s="476">
        <v>0</v>
      </c>
      <c r="AA127" s="38">
        <f t="shared" si="32"/>
        <v>0</v>
      </c>
      <c r="AB127" s="692">
        <f t="shared" si="26"/>
        <v>6414.82</v>
      </c>
      <c r="AC127" s="692">
        <f t="shared" si="37"/>
        <v>0</v>
      </c>
      <c r="AD127" s="692">
        <f t="shared" si="33"/>
        <v>0</v>
      </c>
      <c r="AE127" s="38"/>
      <c r="AF127" s="692">
        <f t="shared" si="34"/>
        <v>0</v>
      </c>
      <c r="AG127" s="692">
        <f t="shared" si="35"/>
        <v>0</v>
      </c>
      <c r="AH127" s="692">
        <f t="shared" si="36"/>
        <v>0</v>
      </c>
    </row>
    <row r="128" spans="1:34">
      <c r="A128" s="21"/>
      <c r="B128" s="21" t="s">
        <v>114</v>
      </c>
      <c r="C128" s="666" t="s">
        <v>552</v>
      </c>
      <c r="D128" s="68" t="s">
        <v>513</v>
      </c>
      <c r="E128" s="679"/>
      <c r="F128" s="529">
        <f>VLOOKUP(D128,'Apr 2012 DMV Revenue'!D:T,17,FALSE)</f>
        <v>0</v>
      </c>
      <c r="G128" s="680"/>
      <c r="H128" s="680"/>
      <c r="I128" s="755"/>
      <c r="J128" s="682">
        <f>SUM(E128:I128)</f>
        <v>0</v>
      </c>
      <c r="K128" s="683"/>
      <c r="L128" s="684"/>
      <c r="M128" s="753"/>
      <c r="N128" s="683">
        <v>0</v>
      </c>
      <c r="O128" s="686"/>
      <c r="P128" s="683">
        <v>0</v>
      </c>
      <c r="Q128" s="687">
        <f>L128+M128</f>
        <v>0</v>
      </c>
      <c r="R128" s="781">
        <v>0</v>
      </c>
      <c r="S128" s="693"/>
      <c r="T128" s="690"/>
      <c r="U128" s="683"/>
      <c r="V128" s="474">
        <f t="shared" si="29"/>
        <v>0</v>
      </c>
      <c r="W128" s="474">
        <f t="shared" si="30"/>
        <v>0</v>
      </c>
      <c r="X128" s="475">
        <f t="shared" si="31"/>
        <v>0</v>
      </c>
      <c r="Y128" s="475">
        <v>0</v>
      </c>
      <c r="Z128" s="476">
        <v>0</v>
      </c>
      <c r="AA128" s="38">
        <f t="shared" si="32"/>
        <v>0</v>
      </c>
      <c r="AB128" s="692">
        <f t="shared" si="26"/>
        <v>0</v>
      </c>
      <c r="AC128" s="692">
        <f t="shared" si="37"/>
        <v>0</v>
      </c>
      <c r="AD128" s="692">
        <f t="shared" si="33"/>
        <v>0</v>
      </c>
      <c r="AE128" s="38"/>
      <c r="AF128" s="692">
        <f t="shared" si="34"/>
        <v>0</v>
      </c>
      <c r="AG128" s="692">
        <f t="shared" si="35"/>
        <v>0</v>
      </c>
      <c r="AH128" s="692">
        <f t="shared" si="36"/>
        <v>0</v>
      </c>
    </row>
    <row r="129" spans="1:34">
      <c r="A129" s="21"/>
      <c r="B129" s="21" t="s">
        <v>109</v>
      </c>
      <c r="C129" s="666" t="s">
        <v>553</v>
      </c>
      <c r="D129" s="68" t="s">
        <v>308</v>
      </c>
      <c r="E129" s="679"/>
      <c r="F129" s="529">
        <f>VLOOKUP(D129,'Apr 2012 DMV Revenue'!D:T,17,FALSE)</f>
        <v>0</v>
      </c>
      <c r="G129" s="680"/>
      <c r="H129" s="680"/>
      <c r="I129" s="755"/>
      <c r="J129" s="682">
        <f t="shared" si="27"/>
        <v>0</v>
      </c>
      <c r="K129" s="683"/>
      <c r="L129" s="684"/>
      <c r="M129" s="753"/>
      <c r="N129" s="683">
        <v>0</v>
      </c>
      <c r="O129" s="686"/>
      <c r="P129" s="683">
        <v>0</v>
      </c>
      <c r="Q129" s="687">
        <f t="shared" si="1"/>
        <v>0</v>
      </c>
      <c r="R129" s="781">
        <v>0</v>
      </c>
      <c r="S129" s="693"/>
      <c r="T129" s="690">
        <f t="shared" si="28"/>
        <v>0</v>
      </c>
      <c r="U129" s="683"/>
      <c r="V129" s="474">
        <f t="shared" si="29"/>
        <v>0</v>
      </c>
      <c r="W129" s="474">
        <f t="shared" si="30"/>
        <v>0</v>
      </c>
      <c r="X129" s="475">
        <f t="shared" si="31"/>
        <v>0</v>
      </c>
      <c r="Y129" s="475">
        <v>0</v>
      </c>
      <c r="Z129" s="476">
        <v>0</v>
      </c>
      <c r="AA129" s="38">
        <f t="shared" si="32"/>
        <v>0</v>
      </c>
      <c r="AB129" s="692">
        <f t="shared" si="26"/>
        <v>0</v>
      </c>
      <c r="AC129" s="692">
        <f t="shared" si="37"/>
        <v>0</v>
      </c>
      <c r="AD129" s="692">
        <f t="shared" si="33"/>
        <v>0</v>
      </c>
      <c r="AE129" s="38"/>
      <c r="AF129" s="692">
        <f t="shared" si="34"/>
        <v>0</v>
      </c>
      <c r="AG129" s="692">
        <f t="shared" si="35"/>
        <v>0</v>
      </c>
      <c r="AH129" s="692">
        <f t="shared" si="36"/>
        <v>0</v>
      </c>
    </row>
    <row r="130" spans="1:34" s="232" customFormat="1">
      <c r="A130" s="283" t="s">
        <v>211</v>
      </c>
      <c r="B130" s="283" t="s">
        <v>109</v>
      </c>
      <c r="C130" s="667" t="s">
        <v>554</v>
      </c>
      <c r="D130" s="123" t="s">
        <v>389</v>
      </c>
      <c r="E130" s="679">
        <v>46017.11</v>
      </c>
      <c r="F130" s="529">
        <f>VLOOKUP(D130,'Apr 2012 DMV Revenue'!D:T,17,FALSE)</f>
        <v>0</v>
      </c>
      <c r="G130" s="680"/>
      <c r="H130" s="680"/>
      <c r="I130" s="755"/>
      <c r="J130" s="682">
        <f t="shared" si="27"/>
        <v>46017.11</v>
      </c>
      <c r="K130" s="683"/>
      <c r="L130" s="684"/>
      <c r="M130" s="753">
        <v>30000</v>
      </c>
      <c r="N130" s="683">
        <v>0</v>
      </c>
      <c r="O130" s="686"/>
      <c r="P130" s="683">
        <v>0</v>
      </c>
      <c r="Q130" s="687">
        <f t="shared" si="1"/>
        <v>30000</v>
      </c>
      <c r="R130" s="781">
        <v>0</v>
      </c>
      <c r="S130" s="693"/>
      <c r="T130" s="690">
        <f t="shared" si="28"/>
        <v>-30000</v>
      </c>
      <c r="U130" s="683"/>
      <c r="V130" s="474">
        <f t="shared" si="29"/>
        <v>0</v>
      </c>
      <c r="W130" s="474">
        <f t="shared" si="30"/>
        <v>30000</v>
      </c>
      <c r="X130" s="475">
        <f t="shared" si="31"/>
        <v>0</v>
      </c>
      <c r="Y130" s="475">
        <v>0</v>
      </c>
      <c r="Z130" s="476">
        <v>0</v>
      </c>
      <c r="AA130" s="38">
        <f t="shared" si="32"/>
        <v>0</v>
      </c>
      <c r="AB130" s="692">
        <f t="shared" si="26"/>
        <v>0</v>
      </c>
      <c r="AC130" s="692">
        <f t="shared" si="37"/>
        <v>46017.11</v>
      </c>
      <c r="AD130" s="692">
        <f t="shared" si="33"/>
        <v>0</v>
      </c>
      <c r="AE130" s="38"/>
      <c r="AF130" s="692">
        <f t="shared" si="34"/>
        <v>0</v>
      </c>
      <c r="AG130" s="692">
        <f t="shared" si="35"/>
        <v>30000</v>
      </c>
      <c r="AH130" s="692">
        <f t="shared" si="36"/>
        <v>0</v>
      </c>
    </row>
    <row r="131" spans="1:34" s="232" customFormat="1">
      <c r="A131" s="283"/>
      <c r="B131" s="283" t="s">
        <v>110</v>
      </c>
      <c r="C131" s="667"/>
      <c r="D131" s="123" t="s">
        <v>807</v>
      </c>
      <c r="E131" s="679">
        <f>1579.46+1598.2</f>
        <v>3177.66</v>
      </c>
      <c r="F131" s="529">
        <f>VLOOKUP(D131,'Apr 2012 DMV Revenue'!D:T,17,FALSE)</f>
        <v>1468.16</v>
      </c>
      <c r="G131" s="680"/>
      <c r="H131" s="680"/>
      <c r="I131" s="755"/>
      <c r="J131" s="682">
        <f>SUM(E131:I131)</f>
        <v>4645.82</v>
      </c>
      <c r="K131" s="683"/>
      <c r="L131" s="684"/>
      <c r="M131" s="753"/>
      <c r="N131" s="683">
        <v>0</v>
      </c>
      <c r="O131" s="686"/>
      <c r="P131" s="683">
        <v>0</v>
      </c>
      <c r="Q131" s="687">
        <f t="shared" si="1"/>
        <v>0</v>
      </c>
      <c r="R131" s="781">
        <v>0</v>
      </c>
      <c r="S131" s="693"/>
      <c r="T131" s="690"/>
      <c r="U131" s="683"/>
      <c r="V131" s="474">
        <f t="shared" ref="V131:V132" si="39">IF(B131="D",Q131,0)</f>
        <v>0</v>
      </c>
      <c r="W131" s="474">
        <f t="shared" ref="W131:W132" si="40">IF(B131="M",Q131,0)</f>
        <v>0</v>
      </c>
      <c r="X131" s="475">
        <f t="shared" ref="X131:X132" si="41">IF(B131="V",Q131,0)</f>
        <v>0</v>
      </c>
      <c r="Y131" s="475">
        <v>0</v>
      </c>
      <c r="Z131" s="476">
        <v>0</v>
      </c>
      <c r="AA131" s="38">
        <f t="shared" ref="AA131:AA132" si="42">(L131+M131)-(V131+W131+X131+Y131+Z131)</f>
        <v>0</v>
      </c>
      <c r="AB131" s="692">
        <f t="shared" ref="AB131:AB132" si="43">IF(B131="D",J131,0)</f>
        <v>4645.82</v>
      </c>
      <c r="AC131" s="692">
        <f t="shared" ref="AC131:AC132" si="44">IF(B131="M",J131,0)</f>
        <v>0</v>
      </c>
      <c r="AD131" s="692">
        <f t="shared" ref="AD131:AD132" si="45">IF(B131="V",J131,0)</f>
        <v>0</v>
      </c>
      <c r="AE131" s="38"/>
      <c r="AF131" s="692">
        <f t="shared" ref="AF131:AF132" si="46">IF(B131="D",Q131,0)</f>
        <v>0</v>
      </c>
      <c r="AG131" s="692">
        <f t="shared" ref="AG131:AG132" si="47">IF(B131="M",Q131,0)</f>
        <v>0</v>
      </c>
      <c r="AH131" s="692">
        <f t="shared" ref="AH131:AH132" si="48">IF(B131="V",Q131,0)</f>
        <v>0</v>
      </c>
    </row>
    <row r="132" spans="1:34" s="232" customFormat="1">
      <c r="A132" s="283"/>
      <c r="B132" s="283" t="s">
        <v>109</v>
      </c>
      <c r="C132" s="667"/>
      <c r="D132" s="123" t="s">
        <v>808</v>
      </c>
      <c r="E132" s="679">
        <f>8686.43+8965.82</f>
        <v>17652.25</v>
      </c>
      <c r="F132" s="529">
        <f>VLOOKUP(D132,'Apr 2012 DMV Revenue'!D:T,17,FALSE)</f>
        <v>9105.49</v>
      </c>
      <c r="G132" s="680"/>
      <c r="H132" s="680"/>
      <c r="I132" s="755"/>
      <c r="J132" s="682">
        <f>SUM(E132:I132)</f>
        <v>26757.739999999998</v>
      </c>
      <c r="K132" s="683"/>
      <c r="L132" s="684"/>
      <c r="M132" s="753"/>
      <c r="N132" s="683">
        <v>0</v>
      </c>
      <c r="O132" s="686"/>
      <c r="P132" s="683">
        <v>0</v>
      </c>
      <c r="Q132" s="687">
        <f t="shared" si="1"/>
        <v>0</v>
      </c>
      <c r="R132" s="781">
        <v>0</v>
      </c>
      <c r="S132" s="693"/>
      <c r="T132" s="690"/>
      <c r="U132" s="683"/>
      <c r="V132" s="474">
        <f t="shared" si="39"/>
        <v>0</v>
      </c>
      <c r="W132" s="474">
        <f t="shared" si="40"/>
        <v>0</v>
      </c>
      <c r="X132" s="475">
        <f t="shared" si="41"/>
        <v>0</v>
      </c>
      <c r="Y132" s="475">
        <v>0</v>
      </c>
      <c r="Z132" s="476">
        <v>0</v>
      </c>
      <c r="AA132" s="38">
        <f t="shared" si="42"/>
        <v>0</v>
      </c>
      <c r="AB132" s="692">
        <f t="shared" si="43"/>
        <v>0</v>
      </c>
      <c r="AC132" s="692">
        <f t="shared" si="44"/>
        <v>26757.739999999998</v>
      </c>
      <c r="AD132" s="692">
        <f t="shared" si="45"/>
        <v>0</v>
      </c>
      <c r="AE132" s="38"/>
      <c r="AF132" s="692">
        <f t="shared" si="46"/>
        <v>0</v>
      </c>
      <c r="AG132" s="692">
        <f t="shared" si="47"/>
        <v>0</v>
      </c>
      <c r="AH132" s="692">
        <f t="shared" si="48"/>
        <v>0</v>
      </c>
    </row>
    <row r="133" spans="1:34" s="232" customFormat="1">
      <c r="A133" s="283"/>
      <c r="B133" s="283" t="s">
        <v>110</v>
      </c>
      <c r="C133" s="667"/>
      <c r="D133" s="68" t="s">
        <v>488</v>
      </c>
      <c r="E133" s="679"/>
      <c r="F133" s="529">
        <f>VLOOKUP(D133,'Apr 2012 DMV Revenue'!D:T,17,FALSE)</f>
        <v>0</v>
      </c>
      <c r="G133" s="680"/>
      <c r="H133" s="680"/>
      <c r="I133" s="755"/>
      <c r="J133" s="682">
        <f t="shared" si="27"/>
        <v>0</v>
      </c>
      <c r="K133" s="683"/>
      <c r="L133" s="684"/>
      <c r="M133" s="753"/>
      <c r="N133" s="683">
        <v>0</v>
      </c>
      <c r="O133" s="686"/>
      <c r="P133" s="683">
        <v>0</v>
      </c>
      <c r="Q133" s="687">
        <f t="shared" si="1"/>
        <v>0</v>
      </c>
      <c r="R133" s="781">
        <v>0</v>
      </c>
      <c r="S133" s="693"/>
      <c r="T133" s="690">
        <f t="shared" si="28"/>
        <v>0</v>
      </c>
      <c r="U133" s="683"/>
      <c r="V133" s="474">
        <f t="shared" si="29"/>
        <v>0</v>
      </c>
      <c r="W133" s="474">
        <f t="shared" si="30"/>
        <v>0</v>
      </c>
      <c r="X133" s="475">
        <f t="shared" si="31"/>
        <v>0</v>
      </c>
      <c r="Y133" s="475">
        <v>0</v>
      </c>
      <c r="Z133" s="476">
        <v>0</v>
      </c>
      <c r="AA133" s="38">
        <f t="shared" si="32"/>
        <v>0</v>
      </c>
      <c r="AB133" s="692">
        <f t="shared" si="26"/>
        <v>0</v>
      </c>
      <c r="AC133" s="692">
        <f t="shared" si="37"/>
        <v>0</v>
      </c>
      <c r="AD133" s="692">
        <f t="shared" si="33"/>
        <v>0</v>
      </c>
      <c r="AE133" s="38"/>
      <c r="AF133" s="692">
        <f t="shared" si="34"/>
        <v>0</v>
      </c>
      <c r="AG133" s="692">
        <f t="shared" si="35"/>
        <v>0</v>
      </c>
      <c r="AH133" s="692">
        <f t="shared" si="36"/>
        <v>0</v>
      </c>
    </row>
    <row r="134" spans="1:34" s="232" customFormat="1">
      <c r="A134" s="283"/>
      <c r="B134" s="283" t="s">
        <v>110</v>
      </c>
      <c r="C134" s="667" t="s">
        <v>555</v>
      </c>
      <c r="D134" s="123" t="s">
        <v>192</v>
      </c>
      <c r="E134" s="679"/>
      <c r="F134" s="529">
        <f>VLOOKUP(D134,'Apr 2012 DMV Revenue'!D:T,17,FALSE)</f>
        <v>0</v>
      </c>
      <c r="G134" s="680"/>
      <c r="H134" s="680"/>
      <c r="I134" s="770">
        <v>5465.95</v>
      </c>
      <c r="J134" s="682">
        <f t="shared" si="27"/>
        <v>5465.95</v>
      </c>
      <c r="K134" s="683"/>
      <c r="L134" s="684"/>
      <c r="M134" s="753"/>
      <c r="N134" s="683">
        <v>0</v>
      </c>
      <c r="O134" s="686"/>
      <c r="P134" s="683">
        <v>0</v>
      </c>
      <c r="Q134" s="687">
        <f t="shared" si="1"/>
        <v>0</v>
      </c>
      <c r="R134" s="781">
        <v>0</v>
      </c>
      <c r="S134" s="693"/>
      <c r="T134" s="690">
        <f t="shared" si="28"/>
        <v>0</v>
      </c>
      <c r="U134" s="683"/>
      <c r="V134" s="474">
        <f t="shared" si="29"/>
        <v>0</v>
      </c>
      <c r="W134" s="474">
        <f t="shared" si="30"/>
        <v>0</v>
      </c>
      <c r="X134" s="475">
        <f t="shared" si="31"/>
        <v>0</v>
      </c>
      <c r="Y134" s="475">
        <v>0</v>
      </c>
      <c r="Z134" s="476">
        <v>0</v>
      </c>
      <c r="AA134" s="38">
        <f t="shared" si="32"/>
        <v>0</v>
      </c>
      <c r="AB134" s="692">
        <f t="shared" si="26"/>
        <v>5465.95</v>
      </c>
      <c r="AC134" s="692">
        <f t="shared" si="37"/>
        <v>0</v>
      </c>
      <c r="AD134" s="692">
        <f t="shared" si="33"/>
        <v>0</v>
      </c>
      <c r="AE134" s="38"/>
      <c r="AF134" s="692">
        <f t="shared" si="34"/>
        <v>0</v>
      </c>
      <c r="AG134" s="692">
        <f t="shared" si="35"/>
        <v>0</v>
      </c>
      <c r="AH134" s="692">
        <f t="shared" si="36"/>
        <v>0</v>
      </c>
    </row>
    <row r="135" spans="1:34" s="232" customFormat="1">
      <c r="A135" s="283"/>
      <c r="B135" s="283" t="s">
        <v>110</v>
      </c>
      <c r="C135" s="667" t="s">
        <v>555</v>
      </c>
      <c r="D135" s="123" t="s">
        <v>193</v>
      </c>
      <c r="E135" s="679"/>
      <c r="F135" s="529">
        <f>VLOOKUP(D135,'Apr 2012 DMV Revenue'!D:T,17,FALSE)</f>
        <v>0</v>
      </c>
      <c r="G135" s="680"/>
      <c r="H135" s="680"/>
      <c r="I135" s="770">
        <v>478.64</v>
      </c>
      <c r="J135" s="682">
        <f t="shared" si="27"/>
        <v>478.64</v>
      </c>
      <c r="K135" s="683"/>
      <c r="L135" s="684"/>
      <c r="M135" s="753"/>
      <c r="N135" s="683">
        <v>0</v>
      </c>
      <c r="O135" s="686"/>
      <c r="P135" s="683">
        <v>0</v>
      </c>
      <c r="Q135" s="687">
        <f t="shared" si="1"/>
        <v>0</v>
      </c>
      <c r="R135" s="781">
        <v>0</v>
      </c>
      <c r="S135" s="693"/>
      <c r="T135" s="690">
        <f t="shared" si="28"/>
        <v>0</v>
      </c>
      <c r="U135" s="683"/>
      <c r="V135" s="474">
        <f t="shared" si="29"/>
        <v>0</v>
      </c>
      <c r="W135" s="474">
        <f t="shared" si="30"/>
        <v>0</v>
      </c>
      <c r="X135" s="475">
        <f t="shared" si="31"/>
        <v>0</v>
      </c>
      <c r="Y135" s="475">
        <v>0</v>
      </c>
      <c r="Z135" s="476">
        <v>0</v>
      </c>
      <c r="AA135" s="38">
        <f t="shared" si="32"/>
        <v>0</v>
      </c>
      <c r="AB135" s="692">
        <f t="shared" si="26"/>
        <v>478.64</v>
      </c>
      <c r="AC135" s="692">
        <f t="shared" si="37"/>
        <v>0</v>
      </c>
      <c r="AD135" s="692">
        <f t="shared" si="33"/>
        <v>0</v>
      </c>
      <c r="AE135" s="38"/>
      <c r="AF135" s="692">
        <f t="shared" si="34"/>
        <v>0</v>
      </c>
      <c r="AG135" s="692">
        <f t="shared" si="35"/>
        <v>0</v>
      </c>
      <c r="AH135" s="692">
        <f t="shared" si="36"/>
        <v>0</v>
      </c>
    </row>
    <row r="136" spans="1:34" s="232" customFormat="1">
      <c r="A136" s="283"/>
      <c r="B136" s="283" t="s">
        <v>110</v>
      </c>
      <c r="C136" s="667" t="s">
        <v>555</v>
      </c>
      <c r="D136" s="123" t="s">
        <v>194</v>
      </c>
      <c r="E136" s="679"/>
      <c r="F136" s="529">
        <f>VLOOKUP(D136,'Apr 2012 DMV Revenue'!D:T,17,FALSE)</f>
        <v>0</v>
      </c>
      <c r="G136" s="680"/>
      <c r="H136" s="680"/>
      <c r="I136" s="770">
        <v>77.48</v>
      </c>
      <c r="J136" s="682">
        <f t="shared" si="27"/>
        <v>77.48</v>
      </c>
      <c r="K136" s="683"/>
      <c r="L136" s="684"/>
      <c r="M136" s="753"/>
      <c r="N136" s="683">
        <v>0</v>
      </c>
      <c r="O136" s="686"/>
      <c r="P136" s="683">
        <v>0</v>
      </c>
      <c r="Q136" s="687">
        <f t="shared" si="1"/>
        <v>0</v>
      </c>
      <c r="R136" s="781">
        <v>0</v>
      </c>
      <c r="S136" s="693"/>
      <c r="T136" s="690">
        <f t="shared" si="28"/>
        <v>0</v>
      </c>
      <c r="U136" s="683"/>
      <c r="V136" s="474">
        <f t="shared" si="29"/>
        <v>0</v>
      </c>
      <c r="W136" s="474">
        <f t="shared" si="30"/>
        <v>0</v>
      </c>
      <c r="X136" s="475">
        <f t="shared" si="31"/>
        <v>0</v>
      </c>
      <c r="Y136" s="475">
        <v>0</v>
      </c>
      <c r="Z136" s="476">
        <v>0</v>
      </c>
      <c r="AA136" s="38">
        <f t="shared" si="32"/>
        <v>0</v>
      </c>
      <c r="AB136" s="692">
        <f t="shared" si="26"/>
        <v>77.48</v>
      </c>
      <c r="AC136" s="692">
        <f t="shared" si="37"/>
        <v>0</v>
      </c>
      <c r="AD136" s="692">
        <f t="shared" si="33"/>
        <v>0</v>
      </c>
      <c r="AE136" s="38"/>
      <c r="AF136" s="692">
        <f t="shared" si="34"/>
        <v>0</v>
      </c>
      <c r="AG136" s="692">
        <f t="shared" si="35"/>
        <v>0</v>
      </c>
      <c r="AH136" s="692">
        <f t="shared" si="36"/>
        <v>0</v>
      </c>
    </row>
    <row r="137" spans="1:34" s="232" customFormat="1">
      <c r="A137" s="283"/>
      <c r="B137" s="283" t="s">
        <v>110</v>
      </c>
      <c r="C137" s="667" t="s">
        <v>555</v>
      </c>
      <c r="D137" s="123" t="s">
        <v>195</v>
      </c>
      <c r="E137" s="679"/>
      <c r="F137" s="529">
        <f>VLOOKUP(D137,'Apr 2012 DMV Revenue'!D:T,17,FALSE)</f>
        <v>0</v>
      </c>
      <c r="G137" s="680"/>
      <c r="H137" s="680"/>
      <c r="I137" s="770">
        <v>8.49</v>
      </c>
      <c r="J137" s="682">
        <f t="shared" si="27"/>
        <v>8.49</v>
      </c>
      <c r="K137" s="683"/>
      <c r="L137" s="684"/>
      <c r="M137" s="753"/>
      <c r="N137" s="683">
        <v>0</v>
      </c>
      <c r="O137" s="686"/>
      <c r="P137" s="683">
        <v>0</v>
      </c>
      <c r="Q137" s="687">
        <f t="shared" si="1"/>
        <v>0</v>
      </c>
      <c r="R137" s="781">
        <v>0</v>
      </c>
      <c r="S137" s="693"/>
      <c r="T137" s="690">
        <f t="shared" si="28"/>
        <v>0</v>
      </c>
      <c r="U137" s="683"/>
      <c r="V137" s="474">
        <f t="shared" si="29"/>
        <v>0</v>
      </c>
      <c r="W137" s="474">
        <f t="shared" si="30"/>
        <v>0</v>
      </c>
      <c r="X137" s="475">
        <f t="shared" si="31"/>
        <v>0</v>
      </c>
      <c r="Y137" s="475">
        <v>0</v>
      </c>
      <c r="Z137" s="476">
        <v>0</v>
      </c>
      <c r="AA137" s="38">
        <f t="shared" si="32"/>
        <v>0</v>
      </c>
      <c r="AB137" s="692">
        <f t="shared" si="26"/>
        <v>8.49</v>
      </c>
      <c r="AC137" s="692">
        <f t="shared" si="37"/>
        <v>0</v>
      </c>
      <c r="AD137" s="692">
        <f t="shared" si="33"/>
        <v>0</v>
      </c>
      <c r="AE137" s="38"/>
      <c r="AF137" s="692">
        <f t="shared" si="34"/>
        <v>0</v>
      </c>
      <c r="AG137" s="692">
        <f t="shared" si="35"/>
        <v>0</v>
      </c>
      <c r="AH137" s="692">
        <f t="shared" si="36"/>
        <v>0</v>
      </c>
    </row>
    <row r="138" spans="1:34" s="232" customFormat="1">
      <c r="A138" s="283"/>
      <c r="B138" s="283" t="s">
        <v>110</v>
      </c>
      <c r="C138" s="667" t="s">
        <v>555</v>
      </c>
      <c r="D138" s="123" t="s">
        <v>196</v>
      </c>
      <c r="E138" s="679"/>
      <c r="F138" s="529">
        <f>VLOOKUP(D138,'Apr 2012 DMV Revenue'!D:T,17,FALSE)</f>
        <v>0</v>
      </c>
      <c r="G138" s="680"/>
      <c r="H138" s="680"/>
      <c r="I138" s="770">
        <v>86.48</v>
      </c>
      <c r="J138" s="682">
        <f t="shared" si="27"/>
        <v>86.48</v>
      </c>
      <c r="K138" s="683"/>
      <c r="L138" s="684"/>
      <c r="M138" s="753"/>
      <c r="N138" s="683">
        <v>0</v>
      </c>
      <c r="O138" s="686"/>
      <c r="P138" s="683">
        <v>0</v>
      </c>
      <c r="Q138" s="687">
        <f t="shared" si="1"/>
        <v>0</v>
      </c>
      <c r="R138" s="781">
        <v>0</v>
      </c>
      <c r="S138" s="693"/>
      <c r="T138" s="690">
        <f t="shared" si="28"/>
        <v>0</v>
      </c>
      <c r="U138" s="683"/>
      <c r="V138" s="474">
        <f t="shared" si="29"/>
        <v>0</v>
      </c>
      <c r="W138" s="474">
        <f t="shared" si="30"/>
        <v>0</v>
      </c>
      <c r="X138" s="475">
        <f t="shared" si="31"/>
        <v>0</v>
      </c>
      <c r="Y138" s="475">
        <v>0</v>
      </c>
      <c r="Z138" s="476">
        <v>0</v>
      </c>
      <c r="AA138" s="38">
        <f t="shared" si="32"/>
        <v>0</v>
      </c>
      <c r="AB138" s="692">
        <f t="shared" si="26"/>
        <v>86.48</v>
      </c>
      <c r="AC138" s="692">
        <f t="shared" si="37"/>
        <v>0</v>
      </c>
      <c r="AD138" s="692">
        <f t="shared" si="33"/>
        <v>0</v>
      </c>
      <c r="AE138" s="38"/>
      <c r="AF138" s="692">
        <f t="shared" si="34"/>
        <v>0</v>
      </c>
      <c r="AG138" s="692">
        <f t="shared" si="35"/>
        <v>0</v>
      </c>
      <c r="AH138" s="692">
        <f t="shared" si="36"/>
        <v>0</v>
      </c>
    </row>
    <row r="139" spans="1:34" s="232" customFormat="1">
      <c r="A139" s="283"/>
      <c r="B139" s="283" t="s">
        <v>110</v>
      </c>
      <c r="C139" s="667" t="s">
        <v>555</v>
      </c>
      <c r="D139" s="123" t="s">
        <v>197</v>
      </c>
      <c r="E139" s="679"/>
      <c r="F139" s="529">
        <f>VLOOKUP(D139,'Apr 2012 DMV Revenue'!D:T,17,FALSE)</f>
        <v>0</v>
      </c>
      <c r="G139" s="680"/>
      <c r="H139" s="680"/>
      <c r="I139" s="770">
        <v>16.100000000000001</v>
      </c>
      <c r="J139" s="682">
        <f t="shared" si="27"/>
        <v>16.100000000000001</v>
      </c>
      <c r="K139" s="683"/>
      <c r="L139" s="684"/>
      <c r="M139" s="753"/>
      <c r="N139" s="683">
        <v>0</v>
      </c>
      <c r="O139" s="686"/>
      <c r="P139" s="683">
        <v>0</v>
      </c>
      <c r="Q139" s="687">
        <f t="shared" si="1"/>
        <v>0</v>
      </c>
      <c r="R139" s="781">
        <v>0</v>
      </c>
      <c r="S139" s="693"/>
      <c r="T139" s="690">
        <f t="shared" si="28"/>
        <v>0</v>
      </c>
      <c r="U139" s="683"/>
      <c r="V139" s="474">
        <f t="shared" si="29"/>
        <v>0</v>
      </c>
      <c r="W139" s="474">
        <f t="shared" si="30"/>
        <v>0</v>
      </c>
      <c r="X139" s="475">
        <f t="shared" si="31"/>
        <v>0</v>
      </c>
      <c r="Y139" s="475">
        <v>0</v>
      </c>
      <c r="Z139" s="476">
        <v>0</v>
      </c>
      <c r="AA139" s="38">
        <f t="shared" si="32"/>
        <v>0</v>
      </c>
      <c r="AB139" s="692">
        <f t="shared" si="26"/>
        <v>16.100000000000001</v>
      </c>
      <c r="AC139" s="692">
        <f t="shared" si="37"/>
        <v>0</v>
      </c>
      <c r="AD139" s="692">
        <f t="shared" si="33"/>
        <v>0</v>
      </c>
      <c r="AE139" s="38"/>
      <c r="AF139" s="692">
        <f t="shared" si="34"/>
        <v>0</v>
      </c>
      <c r="AG139" s="692">
        <f t="shared" si="35"/>
        <v>0</v>
      </c>
      <c r="AH139" s="692">
        <f t="shared" si="36"/>
        <v>0</v>
      </c>
    </row>
    <row r="140" spans="1:34" s="232" customFormat="1">
      <c r="A140" s="283"/>
      <c r="B140" s="283" t="s">
        <v>110</v>
      </c>
      <c r="C140" s="667" t="s">
        <v>555</v>
      </c>
      <c r="D140" s="123" t="s">
        <v>440</v>
      </c>
      <c r="E140" s="679"/>
      <c r="F140" s="529">
        <f>VLOOKUP(D140,'Apr 2012 DMV Revenue'!D:T,17,FALSE)</f>
        <v>0</v>
      </c>
      <c r="G140" s="680"/>
      <c r="H140" s="680"/>
      <c r="I140" s="770">
        <f>1559.08+277.05+255.07</f>
        <v>2091.1999999999998</v>
      </c>
      <c r="J140" s="682">
        <f t="shared" ref="J140:J203" si="49">SUM(E140:I140)</f>
        <v>2091.1999999999998</v>
      </c>
      <c r="K140" s="683"/>
      <c r="L140" s="684"/>
      <c r="M140" s="753"/>
      <c r="N140" s="683">
        <v>0</v>
      </c>
      <c r="O140" s="686"/>
      <c r="P140" s="683">
        <v>0</v>
      </c>
      <c r="Q140" s="687">
        <f t="shared" si="1"/>
        <v>0</v>
      </c>
      <c r="R140" s="781">
        <v>0</v>
      </c>
      <c r="S140" s="693"/>
      <c r="T140" s="690">
        <f t="shared" si="28"/>
        <v>0</v>
      </c>
      <c r="U140" s="683"/>
      <c r="V140" s="474">
        <f t="shared" si="29"/>
        <v>0</v>
      </c>
      <c r="W140" s="474">
        <f t="shared" si="30"/>
        <v>0</v>
      </c>
      <c r="X140" s="475">
        <f t="shared" si="31"/>
        <v>0</v>
      </c>
      <c r="Y140" s="475">
        <v>0</v>
      </c>
      <c r="Z140" s="476">
        <v>0</v>
      </c>
      <c r="AA140" s="38">
        <f t="shared" si="32"/>
        <v>0</v>
      </c>
      <c r="AB140" s="692">
        <f t="shared" si="26"/>
        <v>2091.1999999999998</v>
      </c>
      <c r="AC140" s="692">
        <f t="shared" si="37"/>
        <v>0</v>
      </c>
      <c r="AD140" s="692">
        <f t="shared" si="33"/>
        <v>0</v>
      </c>
      <c r="AE140" s="38"/>
      <c r="AF140" s="692">
        <f t="shared" si="34"/>
        <v>0</v>
      </c>
      <c r="AG140" s="692">
        <f t="shared" si="35"/>
        <v>0</v>
      </c>
      <c r="AH140" s="692">
        <f t="shared" si="36"/>
        <v>0</v>
      </c>
    </row>
    <row r="141" spans="1:34" s="232" customFormat="1">
      <c r="A141" s="283"/>
      <c r="B141" s="283" t="s">
        <v>110</v>
      </c>
      <c r="C141" s="667" t="s">
        <v>555</v>
      </c>
      <c r="D141" s="123" t="s">
        <v>481</v>
      </c>
      <c r="E141" s="679"/>
      <c r="F141" s="529">
        <f>VLOOKUP(D141,'Apr 2012 DMV Revenue'!D:T,17,FALSE)</f>
        <v>0</v>
      </c>
      <c r="G141" s="680"/>
      <c r="H141" s="680"/>
      <c r="I141" s="770">
        <v>693.55</v>
      </c>
      <c r="J141" s="682">
        <f t="shared" si="49"/>
        <v>693.55</v>
      </c>
      <c r="K141" s="683"/>
      <c r="L141" s="684"/>
      <c r="M141" s="753"/>
      <c r="N141" s="683">
        <v>0</v>
      </c>
      <c r="O141" s="686"/>
      <c r="P141" s="683">
        <v>0</v>
      </c>
      <c r="Q141" s="687">
        <f t="shared" si="1"/>
        <v>0</v>
      </c>
      <c r="R141" s="781">
        <v>0</v>
      </c>
      <c r="S141" s="693"/>
      <c r="T141" s="690">
        <f t="shared" si="28"/>
        <v>0</v>
      </c>
      <c r="U141" s="683"/>
      <c r="V141" s="474">
        <f t="shared" si="29"/>
        <v>0</v>
      </c>
      <c r="W141" s="474">
        <f t="shared" si="30"/>
        <v>0</v>
      </c>
      <c r="X141" s="475">
        <f t="shared" si="31"/>
        <v>0</v>
      </c>
      <c r="Y141" s="475">
        <v>0</v>
      </c>
      <c r="Z141" s="476">
        <v>0</v>
      </c>
      <c r="AA141" s="38">
        <f t="shared" si="32"/>
        <v>0</v>
      </c>
      <c r="AB141" s="692">
        <f t="shared" si="26"/>
        <v>693.55</v>
      </c>
      <c r="AC141" s="692">
        <f t="shared" si="37"/>
        <v>0</v>
      </c>
      <c r="AD141" s="692">
        <f t="shared" si="33"/>
        <v>0</v>
      </c>
      <c r="AE141" s="38"/>
      <c r="AF141" s="692">
        <f t="shared" si="34"/>
        <v>0</v>
      </c>
      <c r="AG141" s="692">
        <f t="shared" si="35"/>
        <v>0</v>
      </c>
      <c r="AH141" s="692">
        <f t="shared" si="36"/>
        <v>0</v>
      </c>
    </row>
    <row r="142" spans="1:34" s="232" customFormat="1">
      <c r="A142" s="283"/>
      <c r="B142" s="283" t="s">
        <v>109</v>
      </c>
      <c r="C142" s="667" t="s">
        <v>555</v>
      </c>
      <c r="D142" s="123" t="s">
        <v>248</v>
      </c>
      <c r="E142" s="679"/>
      <c r="F142" s="529">
        <f>VLOOKUP(D142,'Apr 2012 DMV Revenue'!D:T,17,FALSE)</f>
        <v>0</v>
      </c>
      <c r="G142" s="680"/>
      <c r="H142" s="680"/>
      <c r="I142" s="755"/>
      <c r="J142" s="682">
        <f t="shared" si="49"/>
        <v>0</v>
      </c>
      <c r="K142" s="683"/>
      <c r="L142" s="684"/>
      <c r="M142" s="753"/>
      <c r="N142" s="683">
        <v>0</v>
      </c>
      <c r="O142" s="686"/>
      <c r="P142" s="683">
        <v>0</v>
      </c>
      <c r="Q142" s="687">
        <f t="shared" si="1"/>
        <v>0</v>
      </c>
      <c r="R142" s="781">
        <v>0</v>
      </c>
      <c r="S142" s="693"/>
      <c r="T142" s="690">
        <f t="shared" si="28"/>
        <v>0</v>
      </c>
      <c r="U142" s="683"/>
      <c r="V142" s="474">
        <f t="shared" si="29"/>
        <v>0</v>
      </c>
      <c r="W142" s="474">
        <f t="shared" si="30"/>
        <v>0</v>
      </c>
      <c r="X142" s="475">
        <f t="shared" si="31"/>
        <v>0</v>
      </c>
      <c r="Y142" s="475">
        <v>0</v>
      </c>
      <c r="Z142" s="476">
        <v>0</v>
      </c>
      <c r="AA142" s="38">
        <f t="shared" si="32"/>
        <v>0</v>
      </c>
      <c r="AB142" s="692">
        <f t="shared" si="26"/>
        <v>0</v>
      </c>
      <c r="AC142" s="692">
        <f t="shared" si="37"/>
        <v>0</v>
      </c>
      <c r="AD142" s="692">
        <f t="shared" si="33"/>
        <v>0</v>
      </c>
      <c r="AE142" s="38"/>
      <c r="AF142" s="692">
        <f t="shared" si="34"/>
        <v>0</v>
      </c>
      <c r="AG142" s="692">
        <f t="shared" si="35"/>
        <v>0</v>
      </c>
      <c r="AH142" s="692">
        <f t="shared" si="36"/>
        <v>0</v>
      </c>
    </row>
    <row r="143" spans="1:34" s="232" customFormat="1">
      <c r="A143" s="283"/>
      <c r="B143" s="20" t="s">
        <v>109</v>
      </c>
      <c r="C143" s="667"/>
      <c r="D143" s="68" t="s">
        <v>465</v>
      </c>
      <c r="E143" s="679">
        <v>7489.55</v>
      </c>
      <c r="F143" s="529">
        <f>VLOOKUP(D143,'Apr 2012 DMV Revenue'!D:T,17,FALSE)</f>
        <v>0</v>
      </c>
      <c r="G143" s="680"/>
      <c r="H143" s="680"/>
      <c r="I143" s="755"/>
      <c r="J143" s="682">
        <f t="shared" si="49"/>
        <v>7489.55</v>
      </c>
      <c r="K143" s="683"/>
      <c r="L143" s="684"/>
      <c r="M143" s="753"/>
      <c r="N143" s="683">
        <v>0</v>
      </c>
      <c r="O143" s="686"/>
      <c r="P143" s="683">
        <v>0</v>
      </c>
      <c r="Q143" s="687">
        <f t="shared" si="1"/>
        <v>0</v>
      </c>
      <c r="R143" s="781">
        <v>0</v>
      </c>
      <c r="S143" s="693"/>
      <c r="T143" s="690">
        <f t="shared" si="28"/>
        <v>0</v>
      </c>
      <c r="U143" s="683"/>
      <c r="V143" s="474">
        <f t="shared" si="29"/>
        <v>0</v>
      </c>
      <c r="W143" s="474">
        <f t="shared" si="30"/>
        <v>0</v>
      </c>
      <c r="X143" s="475">
        <f t="shared" si="31"/>
        <v>0</v>
      </c>
      <c r="Y143" s="475">
        <v>0</v>
      </c>
      <c r="Z143" s="476">
        <v>0</v>
      </c>
      <c r="AA143" s="38">
        <f t="shared" si="32"/>
        <v>0</v>
      </c>
      <c r="AB143" s="692">
        <f t="shared" si="26"/>
        <v>0</v>
      </c>
      <c r="AC143" s="692">
        <f t="shared" si="37"/>
        <v>7489.55</v>
      </c>
      <c r="AD143" s="692">
        <f t="shared" si="33"/>
        <v>0</v>
      </c>
      <c r="AE143" s="38"/>
      <c r="AF143" s="692">
        <f t="shared" si="34"/>
        <v>0</v>
      </c>
      <c r="AG143" s="692">
        <f t="shared" si="35"/>
        <v>0</v>
      </c>
      <c r="AH143" s="692">
        <f t="shared" si="36"/>
        <v>0</v>
      </c>
    </row>
    <row r="144" spans="1:34">
      <c r="A144" s="21"/>
      <c r="B144" s="21" t="s">
        <v>109</v>
      </c>
      <c r="C144" s="666"/>
      <c r="D144" s="68" t="s">
        <v>31</v>
      </c>
      <c r="E144" s="679"/>
      <c r="F144" s="529">
        <f>VLOOKUP(D144,'Apr 2012 DMV Revenue'!D:T,17,FALSE)</f>
        <v>0</v>
      </c>
      <c r="G144" s="680"/>
      <c r="H144" s="680"/>
      <c r="I144" s="755"/>
      <c r="J144" s="682">
        <f t="shared" si="49"/>
        <v>0</v>
      </c>
      <c r="K144" s="683"/>
      <c r="L144" s="684"/>
      <c r="M144" s="753"/>
      <c r="N144" s="683">
        <v>0</v>
      </c>
      <c r="O144" s="686"/>
      <c r="P144" s="683">
        <v>0</v>
      </c>
      <c r="Q144" s="687">
        <f t="shared" si="1"/>
        <v>0</v>
      </c>
      <c r="R144" s="781">
        <v>0</v>
      </c>
      <c r="S144" s="693"/>
      <c r="T144" s="690">
        <f t="shared" si="28"/>
        <v>0</v>
      </c>
      <c r="U144" s="683"/>
      <c r="V144" s="474">
        <f t="shared" si="29"/>
        <v>0</v>
      </c>
      <c r="W144" s="474">
        <f t="shared" si="30"/>
        <v>0</v>
      </c>
      <c r="X144" s="475">
        <f t="shared" si="31"/>
        <v>0</v>
      </c>
      <c r="Y144" s="475">
        <v>0</v>
      </c>
      <c r="Z144" s="476">
        <v>0</v>
      </c>
      <c r="AA144" s="38">
        <f t="shared" si="32"/>
        <v>0</v>
      </c>
      <c r="AB144" s="692">
        <f t="shared" si="26"/>
        <v>0</v>
      </c>
      <c r="AC144" s="692">
        <f t="shared" si="37"/>
        <v>0</v>
      </c>
      <c r="AD144" s="692">
        <f t="shared" si="33"/>
        <v>0</v>
      </c>
      <c r="AE144" s="38"/>
      <c r="AF144" s="692">
        <f t="shared" si="34"/>
        <v>0</v>
      </c>
      <c r="AG144" s="692">
        <f t="shared" si="35"/>
        <v>0</v>
      </c>
      <c r="AH144" s="692">
        <f t="shared" si="36"/>
        <v>0</v>
      </c>
    </row>
    <row r="145" spans="1:34">
      <c r="A145" s="21"/>
      <c r="B145" s="21" t="s">
        <v>110</v>
      </c>
      <c r="C145" s="666" t="s">
        <v>556</v>
      </c>
      <c r="D145" s="68" t="s">
        <v>261</v>
      </c>
      <c r="E145" s="679"/>
      <c r="F145" s="529">
        <f>VLOOKUP(D145,'Apr 2012 DMV Revenue'!D:T,17,FALSE)</f>
        <v>97609.02</v>
      </c>
      <c r="G145" s="680"/>
      <c r="H145" s="680"/>
      <c r="I145" s="755"/>
      <c r="J145" s="682">
        <f t="shared" si="49"/>
        <v>97609.02</v>
      </c>
      <c r="K145" s="683"/>
      <c r="L145" s="684"/>
      <c r="M145" s="753">
        <v>95000</v>
      </c>
      <c r="N145" s="683">
        <v>0</v>
      </c>
      <c r="O145" s="686"/>
      <c r="P145" s="683">
        <v>0</v>
      </c>
      <c r="Q145" s="687">
        <f t="shared" si="1"/>
        <v>95000</v>
      </c>
      <c r="R145" s="781">
        <f>103381.46-R146</f>
        <v>91782.73000000001</v>
      </c>
      <c r="S145" s="693"/>
      <c r="T145" s="690">
        <f t="shared" si="28"/>
        <v>-3217.2699999999895</v>
      </c>
      <c r="U145" s="683"/>
      <c r="V145" s="474">
        <f t="shared" si="29"/>
        <v>95000</v>
      </c>
      <c r="W145" s="474">
        <f t="shared" si="30"/>
        <v>0</v>
      </c>
      <c r="X145" s="475">
        <f t="shared" si="31"/>
        <v>0</v>
      </c>
      <c r="Y145" s="475">
        <v>0</v>
      </c>
      <c r="Z145" s="476">
        <v>0</v>
      </c>
      <c r="AA145" s="38">
        <f t="shared" si="32"/>
        <v>0</v>
      </c>
      <c r="AB145" s="692">
        <f t="shared" si="26"/>
        <v>97609.02</v>
      </c>
      <c r="AC145" s="692">
        <f t="shared" si="37"/>
        <v>0</v>
      </c>
      <c r="AD145" s="692">
        <f t="shared" si="33"/>
        <v>0</v>
      </c>
      <c r="AE145" s="38"/>
      <c r="AF145" s="692">
        <f t="shared" si="34"/>
        <v>95000</v>
      </c>
      <c r="AG145" s="692">
        <f t="shared" si="35"/>
        <v>0</v>
      </c>
      <c r="AH145" s="692">
        <f t="shared" si="36"/>
        <v>0</v>
      </c>
    </row>
    <row r="146" spans="1:34" s="269" customFormat="1">
      <c r="A146" s="21"/>
      <c r="B146" s="21" t="s">
        <v>110</v>
      </c>
      <c r="C146" s="666" t="s">
        <v>556</v>
      </c>
      <c r="D146" s="68" t="s">
        <v>262</v>
      </c>
      <c r="E146" s="679"/>
      <c r="F146" s="529">
        <f>VLOOKUP(D146,'Apr 2012 DMV Revenue'!D:T,17,FALSE)</f>
        <v>0</v>
      </c>
      <c r="G146" s="680"/>
      <c r="H146" s="680"/>
      <c r="I146" s="755"/>
      <c r="J146" s="682">
        <f t="shared" si="49"/>
        <v>0</v>
      </c>
      <c r="K146" s="683"/>
      <c r="L146" s="684"/>
      <c r="M146" s="753"/>
      <c r="N146" s="683">
        <v>0</v>
      </c>
      <c r="O146" s="686"/>
      <c r="P146" s="683">
        <v>0</v>
      </c>
      <c r="Q146" s="687">
        <f t="shared" si="1"/>
        <v>0</v>
      </c>
      <c r="R146" s="781">
        <v>11598.73</v>
      </c>
      <c r="S146" s="693"/>
      <c r="T146" s="690">
        <f t="shared" si="28"/>
        <v>11598.73</v>
      </c>
      <c r="U146" s="683"/>
      <c r="V146" s="474">
        <f t="shared" si="29"/>
        <v>0</v>
      </c>
      <c r="W146" s="474">
        <f t="shared" si="30"/>
        <v>0</v>
      </c>
      <c r="X146" s="475">
        <f t="shared" si="31"/>
        <v>0</v>
      </c>
      <c r="Y146" s="475">
        <v>0</v>
      </c>
      <c r="Z146" s="476">
        <v>0</v>
      </c>
      <c r="AA146" s="38">
        <f t="shared" si="32"/>
        <v>0</v>
      </c>
      <c r="AB146" s="692">
        <f t="shared" ref="AB146:AB209" si="50">IF(B146="D",J146,0)</f>
        <v>0</v>
      </c>
      <c r="AC146" s="692">
        <f t="shared" si="37"/>
        <v>0</v>
      </c>
      <c r="AD146" s="692">
        <f t="shared" si="33"/>
        <v>0</v>
      </c>
      <c r="AE146" s="38"/>
      <c r="AF146" s="692">
        <f t="shared" si="34"/>
        <v>0</v>
      </c>
      <c r="AG146" s="692">
        <f t="shared" si="35"/>
        <v>0</v>
      </c>
      <c r="AH146" s="692">
        <f t="shared" si="36"/>
        <v>0</v>
      </c>
    </row>
    <row r="147" spans="1:34" s="269" customFormat="1">
      <c r="A147" s="21"/>
      <c r="B147" s="21" t="s">
        <v>114</v>
      </c>
      <c r="C147" s="675" t="s">
        <v>619</v>
      </c>
      <c r="D147" s="68" t="s">
        <v>626</v>
      </c>
      <c r="E147" s="679"/>
      <c r="F147" s="529">
        <f>VLOOKUP(D147,'Apr 2012 DMV Revenue'!D:T,17,FALSE)</f>
        <v>0</v>
      </c>
      <c r="G147" s="680"/>
      <c r="H147" s="680"/>
      <c r="I147" s="755"/>
      <c r="J147" s="682">
        <f t="shared" ref="J147" si="51">SUM(E147:I147)</f>
        <v>0</v>
      </c>
      <c r="K147" s="683"/>
      <c r="L147" s="684"/>
      <c r="M147" s="753">
        <v>6000</v>
      </c>
      <c r="N147" s="683">
        <v>0</v>
      </c>
      <c r="O147" s="686"/>
      <c r="P147" s="683">
        <v>0</v>
      </c>
      <c r="Q147" s="687">
        <f t="shared" ref="Q147:Q210" si="52">L147+M147</f>
        <v>6000</v>
      </c>
      <c r="R147" s="781">
        <v>5113.62</v>
      </c>
      <c r="S147" s="693"/>
      <c r="T147" s="690">
        <f t="shared" ref="T147:T210" si="53">IF(R147="","",R147-Q147)</f>
        <v>-886.38000000000011</v>
      </c>
      <c r="U147" s="683"/>
      <c r="V147" s="474">
        <f t="shared" ref="V147:V210" si="54">IF(B147="D",Q147,0)</f>
        <v>0</v>
      </c>
      <c r="W147" s="474">
        <f t="shared" ref="W147:W210" si="55">IF(B147="M",Q147,0)</f>
        <v>0</v>
      </c>
      <c r="X147" s="475">
        <f t="shared" ref="X147:X210" si="56">IF(B147="V",Q147,0)</f>
        <v>6000</v>
      </c>
      <c r="Y147" s="475">
        <v>0</v>
      </c>
      <c r="Z147" s="476">
        <v>0</v>
      </c>
      <c r="AA147" s="38">
        <f t="shared" ref="AA147:AA210" si="57">(L147+M147)-(V147+W147+X147+Y147+Z147)</f>
        <v>0</v>
      </c>
      <c r="AB147" s="692">
        <f t="shared" si="50"/>
        <v>0</v>
      </c>
      <c r="AC147" s="692">
        <f t="shared" si="37"/>
        <v>0</v>
      </c>
      <c r="AD147" s="692">
        <f t="shared" ref="AD147:AD210" si="58">IF(B147="V",J147,0)</f>
        <v>0</v>
      </c>
      <c r="AE147" s="38"/>
      <c r="AF147" s="692">
        <f t="shared" ref="AF147:AF210" si="59">IF(B147="D",Q147,0)</f>
        <v>0</v>
      </c>
      <c r="AG147" s="692">
        <f t="shared" ref="AG147:AG210" si="60">IF(B147="M",Q147,0)</f>
        <v>0</v>
      </c>
      <c r="AH147" s="692">
        <f t="shared" ref="AH147:AH210" si="61">IF(B147="V",Q147,0)</f>
        <v>6000</v>
      </c>
    </row>
    <row r="148" spans="1:34">
      <c r="A148" s="21"/>
      <c r="B148" s="21" t="s">
        <v>109</v>
      </c>
      <c r="C148" s="666"/>
      <c r="D148" s="68" t="s">
        <v>190</v>
      </c>
      <c r="E148" s="679"/>
      <c r="F148" s="529">
        <f>VLOOKUP(D148,'Apr 2012 DMV Revenue'!D:T,17,FALSE)</f>
        <v>0</v>
      </c>
      <c r="G148" s="680"/>
      <c r="H148" s="680"/>
      <c r="I148" s="755"/>
      <c r="J148" s="682">
        <f t="shared" si="49"/>
        <v>0</v>
      </c>
      <c r="K148" s="683"/>
      <c r="L148" s="684"/>
      <c r="M148" s="753"/>
      <c r="N148" s="683">
        <v>0</v>
      </c>
      <c r="O148" s="686"/>
      <c r="P148" s="683">
        <v>0</v>
      </c>
      <c r="Q148" s="687">
        <f t="shared" si="52"/>
        <v>0</v>
      </c>
      <c r="R148" s="781">
        <v>0</v>
      </c>
      <c r="S148" s="693"/>
      <c r="T148" s="690">
        <f t="shared" si="53"/>
        <v>0</v>
      </c>
      <c r="U148" s="683"/>
      <c r="V148" s="474">
        <f t="shared" si="54"/>
        <v>0</v>
      </c>
      <c r="W148" s="474">
        <f t="shared" si="55"/>
        <v>0</v>
      </c>
      <c r="X148" s="475">
        <f t="shared" si="56"/>
        <v>0</v>
      </c>
      <c r="Y148" s="475">
        <v>0</v>
      </c>
      <c r="Z148" s="476">
        <v>0</v>
      </c>
      <c r="AA148" s="38">
        <f t="shared" si="57"/>
        <v>0</v>
      </c>
      <c r="AB148" s="692">
        <f t="shared" si="50"/>
        <v>0</v>
      </c>
      <c r="AC148" s="692">
        <f t="shared" ref="AC148:AC211" si="62">IF(B148="M",J148,0)</f>
        <v>0</v>
      </c>
      <c r="AD148" s="692">
        <f t="shared" si="58"/>
        <v>0</v>
      </c>
      <c r="AE148" s="38"/>
      <c r="AF148" s="692">
        <f t="shared" si="59"/>
        <v>0</v>
      </c>
      <c r="AG148" s="692">
        <f t="shared" si="60"/>
        <v>0</v>
      </c>
      <c r="AH148" s="692">
        <f t="shared" si="61"/>
        <v>0</v>
      </c>
    </row>
    <row r="149" spans="1:34">
      <c r="A149" s="21"/>
      <c r="B149" s="21" t="s">
        <v>109</v>
      </c>
      <c r="C149" s="666"/>
      <c r="D149" s="68" t="s">
        <v>231</v>
      </c>
      <c r="E149" s="679"/>
      <c r="F149" s="529">
        <f>VLOOKUP(D149,'Apr 2012 DMV Revenue'!D:T,17,FALSE)</f>
        <v>0</v>
      </c>
      <c r="G149" s="680"/>
      <c r="H149" s="680"/>
      <c r="I149" s="755"/>
      <c r="J149" s="682">
        <f t="shared" si="49"/>
        <v>0</v>
      </c>
      <c r="K149" s="683"/>
      <c r="L149" s="684"/>
      <c r="M149" s="753"/>
      <c r="N149" s="683">
        <v>0</v>
      </c>
      <c r="O149" s="686"/>
      <c r="P149" s="683">
        <v>0</v>
      </c>
      <c r="Q149" s="687">
        <f t="shared" si="52"/>
        <v>0</v>
      </c>
      <c r="R149" s="781">
        <v>0</v>
      </c>
      <c r="S149" s="693"/>
      <c r="T149" s="690">
        <f t="shared" si="53"/>
        <v>0</v>
      </c>
      <c r="U149" s="683"/>
      <c r="V149" s="474">
        <f t="shared" si="54"/>
        <v>0</v>
      </c>
      <c r="W149" s="474">
        <f t="shared" si="55"/>
        <v>0</v>
      </c>
      <c r="X149" s="475">
        <f t="shared" si="56"/>
        <v>0</v>
      </c>
      <c r="Y149" s="475">
        <v>0</v>
      </c>
      <c r="Z149" s="476">
        <v>0</v>
      </c>
      <c r="AA149" s="38">
        <f t="shared" si="57"/>
        <v>0</v>
      </c>
      <c r="AB149" s="692">
        <f t="shared" si="50"/>
        <v>0</v>
      </c>
      <c r="AC149" s="692">
        <f t="shared" si="62"/>
        <v>0</v>
      </c>
      <c r="AD149" s="692">
        <f t="shared" si="58"/>
        <v>0</v>
      </c>
      <c r="AE149" s="38"/>
      <c r="AF149" s="692">
        <f t="shared" si="59"/>
        <v>0</v>
      </c>
      <c r="AG149" s="692">
        <f t="shared" si="60"/>
        <v>0</v>
      </c>
      <c r="AH149" s="692">
        <f t="shared" si="61"/>
        <v>0</v>
      </c>
    </row>
    <row r="150" spans="1:34">
      <c r="A150" s="21"/>
      <c r="B150" s="21" t="s">
        <v>109</v>
      </c>
      <c r="C150" s="666"/>
      <c r="D150" s="68" t="s">
        <v>396</v>
      </c>
      <c r="E150" s="679"/>
      <c r="F150" s="529">
        <f>VLOOKUP(D150,'Apr 2012 DMV Revenue'!D:T,17,FALSE)</f>
        <v>0</v>
      </c>
      <c r="G150" s="680"/>
      <c r="H150" s="680"/>
      <c r="I150" s="755"/>
      <c r="J150" s="682">
        <f t="shared" si="49"/>
        <v>0</v>
      </c>
      <c r="K150" s="683"/>
      <c r="L150" s="684"/>
      <c r="M150" s="753"/>
      <c r="N150" s="683">
        <v>0</v>
      </c>
      <c r="O150" s="686"/>
      <c r="P150" s="683">
        <v>0</v>
      </c>
      <c r="Q150" s="687">
        <f t="shared" si="52"/>
        <v>0</v>
      </c>
      <c r="R150" s="781">
        <v>0</v>
      </c>
      <c r="S150" s="693"/>
      <c r="T150" s="690">
        <f t="shared" si="53"/>
        <v>0</v>
      </c>
      <c r="U150" s="683"/>
      <c r="V150" s="474">
        <f t="shared" si="54"/>
        <v>0</v>
      </c>
      <c r="W150" s="474">
        <f t="shared" si="55"/>
        <v>0</v>
      </c>
      <c r="X150" s="475">
        <f t="shared" si="56"/>
        <v>0</v>
      </c>
      <c r="Y150" s="475">
        <v>0</v>
      </c>
      <c r="Z150" s="476">
        <v>0</v>
      </c>
      <c r="AA150" s="38">
        <f t="shared" si="57"/>
        <v>0</v>
      </c>
      <c r="AB150" s="692">
        <f t="shared" si="50"/>
        <v>0</v>
      </c>
      <c r="AC150" s="692">
        <f t="shared" si="62"/>
        <v>0</v>
      </c>
      <c r="AD150" s="692">
        <f t="shared" si="58"/>
        <v>0</v>
      </c>
      <c r="AE150" s="38"/>
      <c r="AF150" s="692">
        <f t="shared" si="59"/>
        <v>0</v>
      </c>
      <c r="AG150" s="692">
        <f t="shared" si="60"/>
        <v>0</v>
      </c>
      <c r="AH150" s="692">
        <f t="shared" si="61"/>
        <v>0</v>
      </c>
    </row>
    <row r="151" spans="1:34">
      <c r="A151" s="20"/>
      <c r="B151" s="20" t="s">
        <v>109</v>
      </c>
      <c r="C151" s="667" t="s">
        <v>557</v>
      </c>
      <c r="D151" s="68" t="s">
        <v>32</v>
      </c>
      <c r="E151" s="679">
        <f>1532.46+3.03</f>
        <v>1535.49</v>
      </c>
      <c r="F151" s="529">
        <f>VLOOKUP(D151,'Apr 2012 DMV Revenue'!D:T,17,FALSE)</f>
        <v>0</v>
      </c>
      <c r="G151" s="680"/>
      <c r="H151" s="680"/>
      <c r="I151" s="755"/>
      <c r="J151" s="682">
        <f t="shared" si="49"/>
        <v>1535.49</v>
      </c>
      <c r="K151" s="683"/>
      <c r="L151" s="684"/>
      <c r="M151" s="753"/>
      <c r="N151" s="683">
        <v>0</v>
      </c>
      <c r="O151" s="686"/>
      <c r="P151" s="683">
        <v>0</v>
      </c>
      <c r="Q151" s="687">
        <f t="shared" si="52"/>
        <v>0</v>
      </c>
      <c r="R151" s="781">
        <v>0</v>
      </c>
      <c r="S151" s="693"/>
      <c r="T151" s="690">
        <f t="shared" si="53"/>
        <v>0</v>
      </c>
      <c r="U151" s="683"/>
      <c r="V151" s="474">
        <f t="shared" si="54"/>
        <v>0</v>
      </c>
      <c r="W151" s="474">
        <f t="shared" si="55"/>
        <v>0</v>
      </c>
      <c r="X151" s="475">
        <f t="shared" si="56"/>
        <v>0</v>
      </c>
      <c r="Y151" s="475">
        <v>0</v>
      </c>
      <c r="Z151" s="476">
        <v>0</v>
      </c>
      <c r="AA151" s="38">
        <f t="shared" si="57"/>
        <v>0</v>
      </c>
      <c r="AB151" s="692">
        <f t="shared" si="50"/>
        <v>0</v>
      </c>
      <c r="AC151" s="692">
        <f t="shared" si="62"/>
        <v>1535.49</v>
      </c>
      <c r="AD151" s="692">
        <f t="shared" si="58"/>
        <v>0</v>
      </c>
      <c r="AE151" s="38"/>
      <c r="AF151" s="692">
        <f t="shared" si="59"/>
        <v>0</v>
      </c>
      <c r="AG151" s="692">
        <f t="shared" si="60"/>
        <v>0</v>
      </c>
      <c r="AH151" s="692">
        <f t="shared" si="61"/>
        <v>0</v>
      </c>
    </row>
    <row r="152" spans="1:34">
      <c r="A152" s="21"/>
      <c r="B152" s="21" t="s">
        <v>110</v>
      </c>
      <c r="C152" s="666"/>
      <c r="D152" s="68" t="s">
        <v>448</v>
      </c>
      <c r="E152" s="679"/>
      <c r="F152" s="529">
        <f>VLOOKUP(D152,'Apr 2012 DMV Revenue'!D:T,17,FALSE)</f>
        <v>0</v>
      </c>
      <c r="G152" s="680"/>
      <c r="H152" s="680"/>
      <c r="I152" s="755"/>
      <c r="J152" s="682">
        <f t="shared" si="49"/>
        <v>0</v>
      </c>
      <c r="K152" s="683"/>
      <c r="L152" s="684"/>
      <c r="M152" s="753"/>
      <c r="N152" s="683">
        <v>0</v>
      </c>
      <c r="O152" s="686"/>
      <c r="P152" s="683">
        <v>0</v>
      </c>
      <c r="Q152" s="687">
        <f t="shared" si="52"/>
        <v>0</v>
      </c>
      <c r="R152" s="781">
        <v>0</v>
      </c>
      <c r="S152" s="693"/>
      <c r="T152" s="690">
        <f t="shared" si="53"/>
        <v>0</v>
      </c>
      <c r="U152" s="683"/>
      <c r="V152" s="474">
        <f t="shared" si="54"/>
        <v>0</v>
      </c>
      <c r="W152" s="474">
        <f t="shared" si="55"/>
        <v>0</v>
      </c>
      <c r="X152" s="475">
        <f t="shared" si="56"/>
        <v>0</v>
      </c>
      <c r="Y152" s="475">
        <v>0</v>
      </c>
      <c r="Z152" s="476">
        <v>0</v>
      </c>
      <c r="AA152" s="38">
        <f t="shared" si="57"/>
        <v>0</v>
      </c>
      <c r="AB152" s="692">
        <f t="shared" si="50"/>
        <v>0</v>
      </c>
      <c r="AC152" s="692">
        <f t="shared" si="62"/>
        <v>0</v>
      </c>
      <c r="AD152" s="692">
        <f t="shared" si="58"/>
        <v>0</v>
      </c>
      <c r="AE152" s="38"/>
      <c r="AF152" s="692">
        <f t="shared" si="59"/>
        <v>0</v>
      </c>
      <c r="AG152" s="692">
        <f t="shared" si="60"/>
        <v>0</v>
      </c>
      <c r="AH152" s="692">
        <f t="shared" si="61"/>
        <v>0</v>
      </c>
    </row>
    <row r="153" spans="1:34">
      <c r="A153" s="21"/>
      <c r="B153" s="21" t="s">
        <v>110</v>
      </c>
      <c r="C153" s="666" t="s">
        <v>558</v>
      </c>
      <c r="D153" s="68" t="s">
        <v>122</v>
      </c>
      <c r="E153" s="679"/>
      <c r="F153" s="529">
        <f>VLOOKUP(D153,'Apr 2012 DMV Revenue'!D:T,17,FALSE)</f>
        <v>-20000</v>
      </c>
      <c r="G153" s="680"/>
      <c r="H153" s="680"/>
      <c r="I153" s="755"/>
      <c r="J153" s="682">
        <f t="shared" si="49"/>
        <v>-20000</v>
      </c>
      <c r="K153" s="683"/>
      <c r="L153" s="684"/>
      <c r="M153" s="753">
        <v>25000</v>
      </c>
      <c r="N153" s="683">
        <v>0</v>
      </c>
      <c r="O153" s="686"/>
      <c r="P153" s="683">
        <v>0</v>
      </c>
      <c r="Q153" s="687">
        <f t="shared" si="52"/>
        <v>25000</v>
      </c>
      <c r="R153" s="781">
        <v>0</v>
      </c>
      <c r="S153" s="693"/>
      <c r="T153" s="690">
        <f t="shared" si="53"/>
        <v>-25000</v>
      </c>
      <c r="U153" s="683"/>
      <c r="V153" s="474">
        <f t="shared" si="54"/>
        <v>25000</v>
      </c>
      <c r="W153" s="474">
        <f t="shared" si="55"/>
        <v>0</v>
      </c>
      <c r="X153" s="475">
        <f t="shared" si="56"/>
        <v>0</v>
      </c>
      <c r="Y153" s="475">
        <v>0</v>
      </c>
      <c r="Z153" s="476">
        <v>0</v>
      </c>
      <c r="AA153" s="38">
        <f t="shared" si="57"/>
        <v>0</v>
      </c>
      <c r="AB153" s="692">
        <f t="shared" si="50"/>
        <v>-20000</v>
      </c>
      <c r="AC153" s="692">
        <f t="shared" si="62"/>
        <v>0</v>
      </c>
      <c r="AD153" s="692">
        <f t="shared" si="58"/>
        <v>0</v>
      </c>
      <c r="AE153" s="38"/>
      <c r="AF153" s="692">
        <f t="shared" si="59"/>
        <v>25000</v>
      </c>
      <c r="AG153" s="692">
        <f t="shared" si="60"/>
        <v>0</v>
      </c>
      <c r="AH153" s="692">
        <f t="shared" si="61"/>
        <v>0</v>
      </c>
    </row>
    <row r="154" spans="1:34">
      <c r="A154" s="21"/>
      <c r="B154" s="21" t="s">
        <v>114</v>
      </c>
      <c r="C154" s="666" t="s">
        <v>558</v>
      </c>
      <c r="D154" s="68" t="s">
        <v>629</v>
      </c>
      <c r="E154" s="679"/>
      <c r="F154" s="529">
        <f>VLOOKUP(D154,'Apr 2012 DMV Revenue'!D:T,17,FALSE)</f>
        <v>0</v>
      </c>
      <c r="G154" s="680"/>
      <c r="H154" s="680"/>
      <c r="I154" s="755"/>
      <c r="J154" s="682">
        <f t="shared" ref="J154" si="63">SUM(E154:I154)</f>
        <v>0</v>
      </c>
      <c r="K154" s="683"/>
      <c r="L154" s="684"/>
      <c r="M154" s="753"/>
      <c r="N154" s="683">
        <v>0</v>
      </c>
      <c r="O154" s="686"/>
      <c r="P154" s="683">
        <v>0</v>
      </c>
      <c r="Q154" s="687">
        <f t="shared" si="52"/>
        <v>0</v>
      </c>
      <c r="R154" s="781">
        <v>0</v>
      </c>
      <c r="S154" s="693"/>
      <c r="T154" s="690">
        <f t="shared" si="53"/>
        <v>0</v>
      </c>
      <c r="U154" s="683"/>
      <c r="V154" s="474">
        <f t="shared" si="54"/>
        <v>0</v>
      </c>
      <c r="W154" s="474">
        <f t="shared" si="55"/>
        <v>0</v>
      </c>
      <c r="X154" s="475">
        <f t="shared" si="56"/>
        <v>0</v>
      </c>
      <c r="Y154" s="475">
        <v>0</v>
      </c>
      <c r="Z154" s="476">
        <v>0</v>
      </c>
      <c r="AA154" s="38">
        <f t="shared" si="57"/>
        <v>0</v>
      </c>
      <c r="AB154" s="692">
        <f t="shared" si="50"/>
        <v>0</v>
      </c>
      <c r="AC154" s="692">
        <f t="shared" si="62"/>
        <v>0</v>
      </c>
      <c r="AD154" s="692">
        <f t="shared" si="58"/>
        <v>0</v>
      </c>
      <c r="AE154" s="38"/>
      <c r="AF154" s="692">
        <f t="shared" si="59"/>
        <v>0</v>
      </c>
      <c r="AG154" s="692">
        <f t="shared" si="60"/>
        <v>0</v>
      </c>
      <c r="AH154" s="692">
        <f t="shared" si="61"/>
        <v>0</v>
      </c>
    </row>
    <row r="155" spans="1:34">
      <c r="A155" s="21"/>
      <c r="B155" s="21" t="s">
        <v>109</v>
      </c>
      <c r="C155" s="666" t="s">
        <v>559</v>
      </c>
      <c r="D155" s="68" t="s">
        <v>33</v>
      </c>
      <c r="E155" s="679">
        <f>4650.4+4642.9+4458.8</f>
        <v>13752.099999999999</v>
      </c>
      <c r="F155" s="529">
        <f>VLOOKUP(D155,'Apr 2012 DMV Revenue'!D:T,17,FALSE)</f>
        <v>-15796</v>
      </c>
      <c r="G155" s="680"/>
      <c r="H155" s="680"/>
      <c r="I155" s="755"/>
      <c r="J155" s="682">
        <f t="shared" si="49"/>
        <v>-2043.9000000000015</v>
      </c>
      <c r="K155" s="683"/>
      <c r="L155" s="684"/>
      <c r="M155" s="753">
        <v>5000</v>
      </c>
      <c r="N155" s="683">
        <v>0</v>
      </c>
      <c r="O155" s="686"/>
      <c r="P155" s="683">
        <v>0</v>
      </c>
      <c r="Q155" s="687">
        <f t="shared" si="52"/>
        <v>5000</v>
      </c>
      <c r="R155" s="781">
        <v>0</v>
      </c>
      <c r="S155" s="693"/>
      <c r="T155" s="690">
        <f t="shared" si="53"/>
        <v>-5000</v>
      </c>
      <c r="U155" s="683"/>
      <c r="V155" s="474">
        <f t="shared" si="54"/>
        <v>0</v>
      </c>
      <c r="W155" s="474">
        <f t="shared" si="55"/>
        <v>5000</v>
      </c>
      <c r="X155" s="475">
        <f t="shared" si="56"/>
        <v>0</v>
      </c>
      <c r="Y155" s="475">
        <v>0</v>
      </c>
      <c r="Z155" s="476">
        <v>0</v>
      </c>
      <c r="AA155" s="38">
        <f t="shared" si="57"/>
        <v>0</v>
      </c>
      <c r="AB155" s="692">
        <f t="shared" si="50"/>
        <v>0</v>
      </c>
      <c r="AC155" s="692">
        <f t="shared" si="62"/>
        <v>-2043.9000000000015</v>
      </c>
      <c r="AD155" s="692">
        <f t="shared" si="58"/>
        <v>0</v>
      </c>
      <c r="AE155" s="38"/>
      <c r="AF155" s="692">
        <f t="shared" si="59"/>
        <v>0</v>
      </c>
      <c r="AG155" s="692">
        <f t="shared" si="60"/>
        <v>5000</v>
      </c>
      <c r="AH155" s="692">
        <f t="shared" si="61"/>
        <v>0</v>
      </c>
    </row>
    <row r="156" spans="1:34">
      <c r="A156" s="21"/>
      <c r="B156" s="21" t="s">
        <v>109</v>
      </c>
      <c r="C156" s="666" t="s">
        <v>560</v>
      </c>
      <c r="D156" s="68" t="s">
        <v>379</v>
      </c>
      <c r="E156" s="679"/>
      <c r="F156" s="529">
        <f>VLOOKUP(D156,'Apr 2012 DMV Revenue'!D:T,17,FALSE)</f>
        <v>163.55000000000001</v>
      </c>
      <c r="G156" s="680"/>
      <c r="H156" s="680"/>
      <c r="I156" s="755"/>
      <c r="J156" s="682">
        <f t="shared" si="49"/>
        <v>163.55000000000001</v>
      </c>
      <c r="K156" s="683"/>
      <c r="L156" s="684"/>
      <c r="M156" s="753"/>
      <c r="N156" s="683">
        <v>0</v>
      </c>
      <c r="O156" s="686"/>
      <c r="P156" s="683">
        <v>0</v>
      </c>
      <c r="Q156" s="687">
        <f t="shared" si="52"/>
        <v>0</v>
      </c>
      <c r="R156" s="781">
        <v>168.74</v>
      </c>
      <c r="S156" s="693"/>
      <c r="T156" s="690">
        <f t="shared" si="53"/>
        <v>168.74</v>
      </c>
      <c r="U156" s="683"/>
      <c r="V156" s="474">
        <f t="shared" si="54"/>
        <v>0</v>
      </c>
      <c r="W156" s="474">
        <f t="shared" si="55"/>
        <v>0</v>
      </c>
      <c r="X156" s="475">
        <f t="shared" si="56"/>
        <v>0</v>
      </c>
      <c r="Y156" s="475">
        <v>0</v>
      </c>
      <c r="Z156" s="476">
        <v>0</v>
      </c>
      <c r="AA156" s="38">
        <f t="shared" si="57"/>
        <v>0</v>
      </c>
      <c r="AB156" s="692">
        <f t="shared" si="50"/>
        <v>0</v>
      </c>
      <c r="AC156" s="692">
        <f t="shared" si="62"/>
        <v>163.55000000000001</v>
      </c>
      <c r="AD156" s="692">
        <f t="shared" si="58"/>
        <v>0</v>
      </c>
      <c r="AE156" s="38"/>
      <c r="AF156" s="692">
        <f t="shared" si="59"/>
        <v>0</v>
      </c>
      <c r="AG156" s="692">
        <f t="shared" si="60"/>
        <v>0</v>
      </c>
      <c r="AH156" s="692">
        <f t="shared" si="61"/>
        <v>0</v>
      </c>
    </row>
    <row r="157" spans="1:34" s="232" customFormat="1">
      <c r="A157" s="283"/>
      <c r="B157" s="283" t="s">
        <v>110</v>
      </c>
      <c r="C157" s="667" t="s">
        <v>561</v>
      </c>
      <c r="D157" s="455" t="s">
        <v>322</v>
      </c>
      <c r="E157" s="679"/>
      <c r="F157" s="529">
        <f>VLOOKUP(D157,'Apr 2012 DMV Revenue'!D:T,17,FALSE)</f>
        <v>-15000</v>
      </c>
      <c r="G157" s="680"/>
      <c r="H157" s="680"/>
      <c r="I157" s="755"/>
      <c r="J157" s="682">
        <f t="shared" si="49"/>
        <v>-15000</v>
      </c>
      <c r="K157" s="683"/>
      <c r="L157" s="684"/>
      <c r="M157" s="753"/>
      <c r="N157" s="683">
        <v>0</v>
      </c>
      <c r="O157" s="686"/>
      <c r="P157" s="683">
        <v>0</v>
      </c>
      <c r="Q157" s="687">
        <f t="shared" si="52"/>
        <v>0</v>
      </c>
      <c r="R157" s="781">
        <v>0</v>
      </c>
      <c r="S157" s="693"/>
      <c r="T157" s="690">
        <f t="shared" si="53"/>
        <v>0</v>
      </c>
      <c r="U157" s="683"/>
      <c r="V157" s="474">
        <f t="shared" si="54"/>
        <v>0</v>
      </c>
      <c r="W157" s="474">
        <f t="shared" si="55"/>
        <v>0</v>
      </c>
      <c r="X157" s="475">
        <f t="shared" si="56"/>
        <v>0</v>
      </c>
      <c r="Y157" s="475">
        <v>0</v>
      </c>
      <c r="Z157" s="476">
        <v>0</v>
      </c>
      <c r="AA157" s="38">
        <f t="shared" si="57"/>
        <v>0</v>
      </c>
      <c r="AB157" s="692">
        <f t="shared" si="50"/>
        <v>-15000</v>
      </c>
      <c r="AC157" s="692">
        <f t="shared" si="62"/>
        <v>0</v>
      </c>
      <c r="AD157" s="692">
        <f t="shared" si="58"/>
        <v>0</v>
      </c>
      <c r="AE157" s="38"/>
      <c r="AF157" s="692">
        <f t="shared" si="59"/>
        <v>0</v>
      </c>
      <c r="AG157" s="692">
        <f t="shared" si="60"/>
        <v>0</v>
      </c>
      <c r="AH157" s="692">
        <f t="shared" si="61"/>
        <v>0</v>
      </c>
    </row>
    <row r="158" spans="1:34" s="232" customFormat="1">
      <c r="A158" s="283"/>
      <c r="B158" s="283" t="s">
        <v>110</v>
      </c>
      <c r="C158" s="667" t="s">
        <v>561</v>
      </c>
      <c r="D158" s="455" t="s">
        <v>323</v>
      </c>
      <c r="E158" s="679"/>
      <c r="F158" s="529">
        <f>VLOOKUP(D158,'Apr 2012 DMV Revenue'!D:T,17,FALSE)</f>
        <v>0</v>
      </c>
      <c r="G158" s="680"/>
      <c r="H158" s="680"/>
      <c r="I158" s="755"/>
      <c r="J158" s="682">
        <f t="shared" si="49"/>
        <v>0</v>
      </c>
      <c r="K158" s="683"/>
      <c r="L158" s="684"/>
      <c r="M158" s="753"/>
      <c r="N158" s="683">
        <v>0</v>
      </c>
      <c r="O158" s="686"/>
      <c r="P158" s="683">
        <v>0</v>
      </c>
      <c r="Q158" s="687">
        <f t="shared" si="52"/>
        <v>0</v>
      </c>
      <c r="R158" s="781">
        <v>0</v>
      </c>
      <c r="S158" s="693"/>
      <c r="T158" s="690">
        <f t="shared" si="53"/>
        <v>0</v>
      </c>
      <c r="U158" s="683"/>
      <c r="V158" s="474">
        <f t="shared" si="54"/>
        <v>0</v>
      </c>
      <c r="W158" s="474">
        <f t="shared" si="55"/>
        <v>0</v>
      </c>
      <c r="X158" s="475">
        <f t="shared" si="56"/>
        <v>0</v>
      </c>
      <c r="Y158" s="475">
        <v>0</v>
      </c>
      <c r="Z158" s="476">
        <v>0</v>
      </c>
      <c r="AA158" s="38">
        <f t="shared" si="57"/>
        <v>0</v>
      </c>
      <c r="AB158" s="692">
        <f t="shared" si="50"/>
        <v>0</v>
      </c>
      <c r="AC158" s="692">
        <f t="shared" si="62"/>
        <v>0</v>
      </c>
      <c r="AD158" s="692">
        <f t="shared" si="58"/>
        <v>0</v>
      </c>
      <c r="AE158" s="38"/>
      <c r="AF158" s="692">
        <f t="shared" si="59"/>
        <v>0</v>
      </c>
      <c r="AG158" s="692">
        <f t="shared" si="60"/>
        <v>0</v>
      </c>
      <c r="AH158" s="692">
        <f t="shared" si="61"/>
        <v>0</v>
      </c>
    </row>
    <row r="159" spans="1:34" s="232" customFormat="1">
      <c r="A159" s="283"/>
      <c r="B159" s="283" t="s">
        <v>109</v>
      </c>
      <c r="C159" s="667" t="s">
        <v>561</v>
      </c>
      <c r="D159" s="455" t="s">
        <v>423</v>
      </c>
      <c r="E159" s="679"/>
      <c r="F159" s="529">
        <f>VLOOKUP(D159,'Apr 2012 DMV Revenue'!D:T,17,FALSE)</f>
        <v>0</v>
      </c>
      <c r="G159" s="680"/>
      <c r="H159" s="680"/>
      <c r="I159" s="755"/>
      <c r="J159" s="682">
        <f t="shared" si="49"/>
        <v>0</v>
      </c>
      <c r="K159" s="683"/>
      <c r="L159" s="684"/>
      <c r="M159" s="753"/>
      <c r="N159" s="683">
        <v>0</v>
      </c>
      <c r="O159" s="686"/>
      <c r="P159" s="683">
        <v>0</v>
      </c>
      <c r="Q159" s="687">
        <f t="shared" si="52"/>
        <v>0</v>
      </c>
      <c r="R159" s="781">
        <v>0</v>
      </c>
      <c r="S159" s="693"/>
      <c r="T159" s="690">
        <f t="shared" si="53"/>
        <v>0</v>
      </c>
      <c r="U159" s="683"/>
      <c r="V159" s="474">
        <f t="shared" si="54"/>
        <v>0</v>
      </c>
      <c r="W159" s="474">
        <f t="shared" si="55"/>
        <v>0</v>
      </c>
      <c r="X159" s="475">
        <f t="shared" si="56"/>
        <v>0</v>
      </c>
      <c r="Y159" s="475">
        <v>0</v>
      </c>
      <c r="Z159" s="476">
        <v>0</v>
      </c>
      <c r="AA159" s="38">
        <f t="shared" si="57"/>
        <v>0</v>
      </c>
      <c r="AB159" s="692">
        <f t="shared" si="50"/>
        <v>0</v>
      </c>
      <c r="AC159" s="692">
        <f t="shared" si="62"/>
        <v>0</v>
      </c>
      <c r="AD159" s="692">
        <f t="shared" si="58"/>
        <v>0</v>
      </c>
      <c r="AE159" s="38"/>
      <c r="AF159" s="692">
        <f t="shared" si="59"/>
        <v>0</v>
      </c>
      <c r="AG159" s="692">
        <f t="shared" si="60"/>
        <v>0</v>
      </c>
      <c r="AH159" s="692">
        <f t="shared" si="61"/>
        <v>0</v>
      </c>
    </row>
    <row r="160" spans="1:34" s="232" customFormat="1">
      <c r="A160" s="283"/>
      <c r="B160" s="283" t="s">
        <v>110</v>
      </c>
      <c r="C160" s="667" t="s">
        <v>561</v>
      </c>
      <c r="D160" s="748" t="s">
        <v>624</v>
      </c>
      <c r="E160" s="679"/>
      <c r="F160" s="529">
        <f>VLOOKUP(D160,'Apr 2012 DMV Revenue'!D:T,17,FALSE)</f>
        <v>0</v>
      </c>
      <c r="G160" s="680"/>
      <c r="H160" s="680"/>
      <c r="I160" s="755"/>
      <c r="J160" s="682">
        <f t="shared" si="49"/>
        <v>0</v>
      </c>
      <c r="K160" s="683"/>
      <c r="L160" s="684"/>
      <c r="M160" s="753"/>
      <c r="N160" s="683">
        <v>0</v>
      </c>
      <c r="O160" s="686"/>
      <c r="P160" s="683">
        <v>0</v>
      </c>
      <c r="Q160" s="687">
        <f t="shared" si="52"/>
        <v>0</v>
      </c>
      <c r="R160" s="781">
        <v>0</v>
      </c>
      <c r="S160" s="693"/>
      <c r="T160" s="690">
        <f t="shared" si="53"/>
        <v>0</v>
      </c>
      <c r="U160" s="683"/>
      <c r="V160" s="474">
        <f t="shared" si="54"/>
        <v>0</v>
      </c>
      <c r="W160" s="474">
        <f t="shared" si="55"/>
        <v>0</v>
      </c>
      <c r="X160" s="475">
        <f t="shared" si="56"/>
        <v>0</v>
      </c>
      <c r="Y160" s="475">
        <v>0</v>
      </c>
      <c r="Z160" s="476">
        <v>0</v>
      </c>
      <c r="AA160" s="38">
        <f t="shared" si="57"/>
        <v>0</v>
      </c>
      <c r="AB160" s="692">
        <f t="shared" si="50"/>
        <v>0</v>
      </c>
      <c r="AC160" s="692">
        <f t="shared" si="62"/>
        <v>0</v>
      </c>
      <c r="AD160" s="692">
        <f t="shared" si="58"/>
        <v>0</v>
      </c>
      <c r="AE160" s="38"/>
      <c r="AF160" s="692">
        <f t="shared" si="59"/>
        <v>0</v>
      </c>
      <c r="AG160" s="692">
        <f t="shared" si="60"/>
        <v>0</v>
      </c>
      <c r="AH160" s="692">
        <f t="shared" si="61"/>
        <v>0</v>
      </c>
    </row>
    <row r="161" spans="1:34" s="232" customFormat="1">
      <c r="A161" s="283"/>
      <c r="B161" s="283" t="s">
        <v>109</v>
      </c>
      <c r="C161" s="667" t="s">
        <v>561</v>
      </c>
      <c r="D161" s="748" t="s">
        <v>625</v>
      </c>
      <c r="E161" s="679"/>
      <c r="F161" s="529">
        <f>VLOOKUP(D161,'Apr 2012 DMV Revenue'!D:T,17,FALSE)</f>
        <v>0</v>
      </c>
      <c r="G161" s="680"/>
      <c r="H161" s="680"/>
      <c r="I161" s="755"/>
      <c r="J161" s="682">
        <f t="shared" si="49"/>
        <v>0</v>
      </c>
      <c r="K161" s="683"/>
      <c r="L161" s="684"/>
      <c r="M161" s="753"/>
      <c r="N161" s="683">
        <v>0</v>
      </c>
      <c r="O161" s="686"/>
      <c r="P161" s="683">
        <v>0</v>
      </c>
      <c r="Q161" s="687">
        <f t="shared" si="52"/>
        <v>0</v>
      </c>
      <c r="R161" s="781">
        <v>0</v>
      </c>
      <c r="S161" s="693"/>
      <c r="T161" s="690">
        <f t="shared" si="53"/>
        <v>0</v>
      </c>
      <c r="U161" s="683"/>
      <c r="V161" s="474">
        <f t="shared" si="54"/>
        <v>0</v>
      </c>
      <c r="W161" s="474">
        <f t="shared" si="55"/>
        <v>0</v>
      </c>
      <c r="X161" s="475">
        <f t="shared" si="56"/>
        <v>0</v>
      </c>
      <c r="Y161" s="475">
        <v>0</v>
      </c>
      <c r="Z161" s="476">
        <v>0</v>
      </c>
      <c r="AA161" s="38">
        <f t="shared" si="57"/>
        <v>0</v>
      </c>
      <c r="AB161" s="692">
        <f t="shared" si="50"/>
        <v>0</v>
      </c>
      <c r="AC161" s="692">
        <f t="shared" si="62"/>
        <v>0</v>
      </c>
      <c r="AD161" s="692">
        <f t="shared" si="58"/>
        <v>0</v>
      </c>
      <c r="AE161" s="38"/>
      <c r="AF161" s="692">
        <f t="shared" si="59"/>
        <v>0</v>
      </c>
      <c r="AG161" s="692">
        <f t="shared" si="60"/>
        <v>0</v>
      </c>
      <c r="AH161" s="692">
        <f t="shared" si="61"/>
        <v>0</v>
      </c>
    </row>
    <row r="162" spans="1:34" s="232" customFormat="1">
      <c r="A162" s="283"/>
      <c r="B162" s="283" t="s">
        <v>114</v>
      </c>
      <c r="C162" s="667"/>
      <c r="D162" s="500" t="s">
        <v>408</v>
      </c>
      <c r="E162" s="679"/>
      <c r="F162" s="529">
        <f>VLOOKUP(D162,'Apr 2012 DMV Revenue'!D:T,17,FALSE)</f>
        <v>0</v>
      </c>
      <c r="G162" s="680"/>
      <c r="H162" s="680"/>
      <c r="I162" s="755"/>
      <c r="J162" s="682">
        <f t="shared" si="49"/>
        <v>0</v>
      </c>
      <c r="K162" s="683"/>
      <c r="L162" s="684"/>
      <c r="M162" s="753"/>
      <c r="N162" s="683">
        <v>0</v>
      </c>
      <c r="O162" s="686"/>
      <c r="P162" s="683">
        <v>0</v>
      </c>
      <c r="Q162" s="687">
        <f t="shared" si="52"/>
        <v>0</v>
      </c>
      <c r="R162" s="781">
        <v>0</v>
      </c>
      <c r="S162" s="693"/>
      <c r="T162" s="690">
        <f t="shared" si="53"/>
        <v>0</v>
      </c>
      <c r="U162" s="683"/>
      <c r="V162" s="474">
        <f t="shared" si="54"/>
        <v>0</v>
      </c>
      <c r="W162" s="474">
        <f t="shared" si="55"/>
        <v>0</v>
      </c>
      <c r="X162" s="475">
        <f t="shared" si="56"/>
        <v>0</v>
      </c>
      <c r="Y162" s="475">
        <v>0</v>
      </c>
      <c r="Z162" s="476">
        <v>0</v>
      </c>
      <c r="AA162" s="38">
        <f t="shared" si="57"/>
        <v>0</v>
      </c>
      <c r="AB162" s="692">
        <f t="shared" si="50"/>
        <v>0</v>
      </c>
      <c r="AC162" s="692">
        <f t="shared" si="62"/>
        <v>0</v>
      </c>
      <c r="AD162" s="692">
        <f t="shared" si="58"/>
        <v>0</v>
      </c>
      <c r="AE162" s="38"/>
      <c r="AF162" s="692">
        <f t="shared" si="59"/>
        <v>0</v>
      </c>
      <c r="AG162" s="692">
        <f t="shared" si="60"/>
        <v>0</v>
      </c>
      <c r="AH162" s="692">
        <f t="shared" si="61"/>
        <v>0</v>
      </c>
    </row>
    <row r="163" spans="1:34" s="232" customFormat="1">
      <c r="A163" s="283"/>
      <c r="B163" s="283" t="s">
        <v>110</v>
      </c>
      <c r="C163" s="667"/>
      <c r="D163" s="567" t="s">
        <v>445</v>
      </c>
      <c r="E163" s="679"/>
      <c r="F163" s="529">
        <f>VLOOKUP(D163,'Apr 2012 DMV Revenue'!D:T,17,FALSE)</f>
        <v>0</v>
      </c>
      <c r="G163" s="680"/>
      <c r="H163" s="680"/>
      <c r="I163" s="755"/>
      <c r="J163" s="682">
        <f t="shared" si="49"/>
        <v>0</v>
      </c>
      <c r="K163" s="683"/>
      <c r="L163" s="684"/>
      <c r="M163" s="753"/>
      <c r="N163" s="683">
        <v>0</v>
      </c>
      <c r="O163" s="686"/>
      <c r="P163" s="683">
        <v>0</v>
      </c>
      <c r="Q163" s="687">
        <f t="shared" si="52"/>
        <v>0</v>
      </c>
      <c r="R163" s="781">
        <v>0</v>
      </c>
      <c r="S163" s="693"/>
      <c r="T163" s="690">
        <f t="shared" si="53"/>
        <v>0</v>
      </c>
      <c r="U163" s="683"/>
      <c r="V163" s="474">
        <f t="shared" si="54"/>
        <v>0</v>
      </c>
      <c r="W163" s="474">
        <f t="shared" si="55"/>
        <v>0</v>
      </c>
      <c r="X163" s="475">
        <f t="shared" si="56"/>
        <v>0</v>
      </c>
      <c r="Y163" s="475">
        <v>0</v>
      </c>
      <c r="Z163" s="476">
        <v>0</v>
      </c>
      <c r="AA163" s="38">
        <f t="shared" si="57"/>
        <v>0</v>
      </c>
      <c r="AB163" s="692">
        <f t="shared" si="50"/>
        <v>0</v>
      </c>
      <c r="AC163" s="692">
        <f t="shared" si="62"/>
        <v>0</v>
      </c>
      <c r="AD163" s="692">
        <f t="shared" si="58"/>
        <v>0</v>
      </c>
      <c r="AE163" s="38"/>
      <c r="AF163" s="692">
        <f t="shared" si="59"/>
        <v>0</v>
      </c>
      <c r="AG163" s="692">
        <f t="shared" si="60"/>
        <v>0</v>
      </c>
      <c r="AH163" s="692">
        <f t="shared" si="61"/>
        <v>0</v>
      </c>
    </row>
    <row r="164" spans="1:34" s="232" customFormat="1">
      <c r="A164" s="283"/>
      <c r="B164" s="283" t="s">
        <v>110</v>
      </c>
      <c r="C164" s="667"/>
      <c r="D164" s="567" t="s">
        <v>489</v>
      </c>
      <c r="E164" s="679"/>
      <c r="F164" s="529">
        <f>VLOOKUP(D164,'Apr 2012 DMV Revenue'!D:T,17,FALSE)</f>
        <v>0</v>
      </c>
      <c r="G164" s="680"/>
      <c r="H164" s="680"/>
      <c r="I164" s="755"/>
      <c r="J164" s="682">
        <f t="shared" si="49"/>
        <v>0</v>
      </c>
      <c r="K164" s="683"/>
      <c r="L164" s="684"/>
      <c r="M164" s="753"/>
      <c r="N164" s="683"/>
      <c r="O164" s="686"/>
      <c r="P164" s="683"/>
      <c r="Q164" s="687">
        <f t="shared" si="52"/>
        <v>0</v>
      </c>
      <c r="R164" s="781">
        <v>0</v>
      </c>
      <c r="S164" s="693"/>
      <c r="T164" s="690">
        <f t="shared" si="53"/>
        <v>0</v>
      </c>
      <c r="U164" s="683"/>
      <c r="V164" s="474">
        <f t="shared" si="54"/>
        <v>0</v>
      </c>
      <c r="W164" s="474">
        <f t="shared" si="55"/>
        <v>0</v>
      </c>
      <c r="X164" s="475">
        <f t="shared" si="56"/>
        <v>0</v>
      </c>
      <c r="Y164" s="475">
        <v>0</v>
      </c>
      <c r="Z164" s="476">
        <v>0</v>
      </c>
      <c r="AA164" s="38">
        <f t="shared" si="57"/>
        <v>0</v>
      </c>
      <c r="AB164" s="692">
        <f t="shared" si="50"/>
        <v>0</v>
      </c>
      <c r="AC164" s="692">
        <f t="shared" si="62"/>
        <v>0</v>
      </c>
      <c r="AD164" s="692">
        <f t="shared" si="58"/>
        <v>0</v>
      </c>
      <c r="AE164" s="38"/>
      <c r="AF164" s="692">
        <f t="shared" si="59"/>
        <v>0</v>
      </c>
      <c r="AG164" s="692">
        <f t="shared" si="60"/>
        <v>0</v>
      </c>
      <c r="AH164" s="692">
        <f t="shared" si="61"/>
        <v>0</v>
      </c>
    </row>
    <row r="165" spans="1:34" s="232" customFormat="1">
      <c r="A165" s="283"/>
      <c r="B165" s="283" t="s">
        <v>109</v>
      </c>
      <c r="C165" s="667" t="s">
        <v>562</v>
      </c>
      <c r="D165" s="567" t="s">
        <v>480</v>
      </c>
      <c r="E165" s="679"/>
      <c r="F165" s="529">
        <f>VLOOKUP(D165,'Apr 2012 DMV Revenue'!D:T,17,FALSE)</f>
        <v>-10000</v>
      </c>
      <c r="G165" s="680"/>
      <c r="H165" s="680"/>
      <c r="I165" s="755"/>
      <c r="J165" s="682">
        <f t="shared" si="49"/>
        <v>-10000</v>
      </c>
      <c r="K165" s="683"/>
      <c r="L165" s="684"/>
      <c r="M165" s="753">
        <v>20000</v>
      </c>
      <c r="N165" s="683">
        <v>0</v>
      </c>
      <c r="O165" s="686"/>
      <c r="P165" s="683">
        <v>0</v>
      </c>
      <c r="Q165" s="687">
        <f t="shared" si="52"/>
        <v>20000</v>
      </c>
      <c r="R165" s="781">
        <v>0</v>
      </c>
      <c r="S165" s="693"/>
      <c r="T165" s="690">
        <f t="shared" si="53"/>
        <v>-20000</v>
      </c>
      <c r="U165" s="683"/>
      <c r="V165" s="474">
        <f t="shared" si="54"/>
        <v>0</v>
      </c>
      <c r="W165" s="474">
        <f t="shared" si="55"/>
        <v>20000</v>
      </c>
      <c r="X165" s="475">
        <f t="shared" si="56"/>
        <v>0</v>
      </c>
      <c r="Y165" s="475">
        <v>0</v>
      </c>
      <c r="Z165" s="476">
        <v>0</v>
      </c>
      <c r="AA165" s="38">
        <f t="shared" si="57"/>
        <v>0</v>
      </c>
      <c r="AB165" s="692">
        <f t="shared" si="50"/>
        <v>0</v>
      </c>
      <c r="AC165" s="692">
        <f t="shared" si="62"/>
        <v>-10000</v>
      </c>
      <c r="AD165" s="692">
        <f t="shared" si="58"/>
        <v>0</v>
      </c>
      <c r="AE165" s="38"/>
      <c r="AF165" s="692">
        <f t="shared" si="59"/>
        <v>0</v>
      </c>
      <c r="AG165" s="692">
        <f t="shared" si="60"/>
        <v>20000</v>
      </c>
      <c r="AH165" s="692">
        <f t="shared" si="61"/>
        <v>0</v>
      </c>
    </row>
    <row r="166" spans="1:34" s="232" customFormat="1">
      <c r="A166" s="403"/>
      <c r="B166" s="403" t="s">
        <v>109</v>
      </c>
      <c r="C166" s="666" t="s">
        <v>563</v>
      </c>
      <c r="D166" s="123" t="s">
        <v>327</v>
      </c>
      <c r="E166" s="679"/>
      <c r="F166" s="529">
        <f>VLOOKUP(D166,'Apr 2012 DMV Revenue'!D:T,17,FALSE)</f>
        <v>-29294.5</v>
      </c>
      <c r="G166" s="680"/>
      <c r="H166" s="680"/>
      <c r="I166" s="755"/>
      <c r="J166" s="682">
        <f t="shared" si="49"/>
        <v>-29294.5</v>
      </c>
      <c r="K166" s="683"/>
      <c r="L166" s="684"/>
      <c r="M166" s="753">
        <v>55000</v>
      </c>
      <c r="N166" s="683">
        <v>0</v>
      </c>
      <c r="O166" s="686"/>
      <c r="P166" s="683">
        <v>0</v>
      </c>
      <c r="Q166" s="687">
        <f t="shared" si="52"/>
        <v>55000</v>
      </c>
      <c r="R166" s="781">
        <v>67499.72</v>
      </c>
      <c r="S166" s="693"/>
      <c r="T166" s="690">
        <f t="shared" si="53"/>
        <v>12499.720000000001</v>
      </c>
      <c r="U166" s="683"/>
      <c r="V166" s="474">
        <f t="shared" si="54"/>
        <v>0</v>
      </c>
      <c r="W166" s="474">
        <f t="shared" si="55"/>
        <v>55000</v>
      </c>
      <c r="X166" s="475">
        <f t="shared" si="56"/>
        <v>0</v>
      </c>
      <c r="Y166" s="475">
        <v>0</v>
      </c>
      <c r="Z166" s="476">
        <v>0</v>
      </c>
      <c r="AA166" s="38">
        <f t="shared" si="57"/>
        <v>0</v>
      </c>
      <c r="AB166" s="692">
        <f t="shared" si="50"/>
        <v>0</v>
      </c>
      <c r="AC166" s="692">
        <f t="shared" si="62"/>
        <v>-29294.5</v>
      </c>
      <c r="AD166" s="692">
        <f t="shared" si="58"/>
        <v>0</v>
      </c>
      <c r="AE166" s="38"/>
      <c r="AF166" s="692">
        <f t="shared" si="59"/>
        <v>0</v>
      </c>
      <c r="AG166" s="692">
        <f t="shared" si="60"/>
        <v>55000</v>
      </c>
      <c r="AH166" s="692">
        <f t="shared" si="61"/>
        <v>0</v>
      </c>
    </row>
    <row r="167" spans="1:34" s="232" customFormat="1">
      <c r="A167" s="403"/>
      <c r="B167" s="403" t="s">
        <v>110</v>
      </c>
      <c r="C167" s="666" t="s">
        <v>563</v>
      </c>
      <c r="D167" s="123" t="s">
        <v>637</v>
      </c>
      <c r="E167" s="679"/>
      <c r="F167" s="529">
        <f>VLOOKUP(D167,'Apr 2012 DMV Revenue'!D:T,17,FALSE)</f>
        <v>0</v>
      </c>
      <c r="G167" s="680"/>
      <c r="H167" s="680"/>
      <c r="I167" s="755"/>
      <c r="J167" s="682">
        <f t="shared" si="49"/>
        <v>0</v>
      </c>
      <c r="K167" s="683"/>
      <c r="L167" s="684"/>
      <c r="M167" s="753"/>
      <c r="N167" s="683">
        <v>0</v>
      </c>
      <c r="O167" s="686"/>
      <c r="P167" s="683">
        <v>0</v>
      </c>
      <c r="Q167" s="687">
        <f t="shared" si="52"/>
        <v>0</v>
      </c>
      <c r="R167" s="781">
        <v>0</v>
      </c>
      <c r="S167" s="693"/>
      <c r="T167" s="690">
        <f t="shared" si="53"/>
        <v>0</v>
      </c>
      <c r="U167" s="683"/>
      <c r="V167" s="474">
        <f t="shared" si="54"/>
        <v>0</v>
      </c>
      <c r="W167" s="474">
        <f t="shared" si="55"/>
        <v>0</v>
      </c>
      <c r="X167" s="475">
        <f t="shared" si="56"/>
        <v>0</v>
      </c>
      <c r="Y167" s="475">
        <v>0</v>
      </c>
      <c r="Z167" s="476">
        <v>0</v>
      </c>
      <c r="AA167" s="38">
        <f t="shared" si="57"/>
        <v>0</v>
      </c>
      <c r="AB167" s="692">
        <f t="shared" si="50"/>
        <v>0</v>
      </c>
      <c r="AC167" s="692">
        <f t="shared" si="62"/>
        <v>0</v>
      </c>
      <c r="AD167" s="692">
        <f t="shared" si="58"/>
        <v>0</v>
      </c>
      <c r="AE167" s="38"/>
      <c r="AF167" s="692">
        <f t="shared" si="59"/>
        <v>0</v>
      </c>
      <c r="AG167" s="692">
        <f t="shared" si="60"/>
        <v>0</v>
      </c>
      <c r="AH167" s="692">
        <f t="shared" si="61"/>
        <v>0</v>
      </c>
    </row>
    <row r="168" spans="1:34">
      <c r="A168" s="21" t="s">
        <v>212</v>
      </c>
      <c r="B168" s="21" t="s">
        <v>110</v>
      </c>
      <c r="C168" s="666"/>
      <c r="D168" s="68" t="s">
        <v>232</v>
      </c>
      <c r="E168" s="679"/>
      <c r="F168" s="529">
        <f>VLOOKUP(D168,'Apr 2012 DMV Revenue'!D:T,17,FALSE)</f>
        <v>0</v>
      </c>
      <c r="G168" s="680"/>
      <c r="H168" s="680"/>
      <c r="I168" s="755"/>
      <c r="J168" s="682">
        <f t="shared" si="49"/>
        <v>0</v>
      </c>
      <c r="K168" s="683"/>
      <c r="L168" s="684"/>
      <c r="M168" s="753"/>
      <c r="N168" s="683">
        <v>0</v>
      </c>
      <c r="O168" s="686"/>
      <c r="P168" s="683">
        <v>0</v>
      </c>
      <c r="Q168" s="687">
        <f t="shared" si="52"/>
        <v>0</v>
      </c>
      <c r="R168" s="781">
        <v>0</v>
      </c>
      <c r="S168" s="693"/>
      <c r="T168" s="690">
        <f t="shared" si="53"/>
        <v>0</v>
      </c>
      <c r="U168" s="683"/>
      <c r="V168" s="474">
        <f t="shared" si="54"/>
        <v>0</v>
      </c>
      <c r="W168" s="474">
        <f t="shared" si="55"/>
        <v>0</v>
      </c>
      <c r="X168" s="475">
        <f t="shared" si="56"/>
        <v>0</v>
      </c>
      <c r="Y168" s="475">
        <v>0</v>
      </c>
      <c r="Z168" s="476">
        <v>0</v>
      </c>
      <c r="AA168" s="38">
        <f t="shared" si="57"/>
        <v>0</v>
      </c>
      <c r="AB168" s="692">
        <f t="shared" si="50"/>
        <v>0</v>
      </c>
      <c r="AC168" s="692">
        <f t="shared" si="62"/>
        <v>0</v>
      </c>
      <c r="AD168" s="692">
        <f t="shared" si="58"/>
        <v>0</v>
      </c>
      <c r="AE168" s="38"/>
      <c r="AF168" s="692">
        <f t="shared" si="59"/>
        <v>0</v>
      </c>
      <c r="AG168" s="692">
        <f t="shared" si="60"/>
        <v>0</v>
      </c>
      <c r="AH168" s="692">
        <f t="shared" si="61"/>
        <v>0</v>
      </c>
    </row>
    <row r="169" spans="1:34">
      <c r="A169" s="21"/>
      <c r="B169" s="21" t="s">
        <v>110</v>
      </c>
      <c r="C169" s="666"/>
      <c r="D169" s="68" t="s">
        <v>68</v>
      </c>
      <c r="E169" s="679"/>
      <c r="F169" s="529">
        <f>VLOOKUP(D169,'Apr 2012 DMV Revenue'!D:T,17,FALSE)</f>
        <v>0</v>
      </c>
      <c r="G169" s="680"/>
      <c r="H169" s="680"/>
      <c r="I169" s="755"/>
      <c r="J169" s="682">
        <f t="shared" si="49"/>
        <v>0</v>
      </c>
      <c r="K169" s="683"/>
      <c r="L169" s="684"/>
      <c r="M169" s="753"/>
      <c r="N169" s="683">
        <v>0</v>
      </c>
      <c r="O169" s="686"/>
      <c r="P169" s="683">
        <v>0</v>
      </c>
      <c r="Q169" s="687">
        <f t="shared" si="52"/>
        <v>0</v>
      </c>
      <c r="R169" s="781">
        <v>0</v>
      </c>
      <c r="S169" s="693"/>
      <c r="T169" s="690">
        <f t="shared" si="53"/>
        <v>0</v>
      </c>
      <c r="U169" s="683"/>
      <c r="V169" s="474">
        <f t="shared" si="54"/>
        <v>0</v>
      </c>
      <c r="W169" s="474">
        <f t="shared" si="55"/>
        <v>0</v>
      </c>
      <c r="X169" s="475">
        <f t="shared" si="56"/>
        <v>0</v>
      </c>
      <c r="Y169" s="475">
        <v>0</v>
      </c>
      <c r="Z169" s="476">
        <v>0</v>
      </c>
      <c r="AA169" s="38">
        <f t="shared" si="57"/>
        <v>0</v>
      </c>
      <c r="AB169" s="692">
        <f t="shared" si="50"/>
        <v>0</v>
      </c>
      <c r="AC169" s="692">
        <f t="shared" si="62"/>
        <v>0</v>
      </c>
      <c r="AD169" s="692">
        <f t="shared" si="58"/>
        <v>0</v>
      </c>
      <c r="AE169" s="38"/>
      <c r="AF169" s="692">
        <f t="shared" si="59"/>
        <v>0</v>
      </c>
      <c r="AG169" s="692">
        <f t="shared" si="60"/>
        <v>0</v>
      </c>
      <c r="AH169" s="692">
        <f t="shared" si="61"/>
        <v>0</v>
      </c>
    </row>
    <row r="170" spans="1:34">
      <c r="A170" s="21"/>
      <c r="B170" s="21" t="s">
        <v>109</v>
      </c>
      <c r="C170" s="666" t="s">
        <v>564</v>
      </c>
      <c r="D170" s="68" t="s">
        <v>306</v>
      </c>
      <c r="E170" s="679"/>
      <c r="F170" s="529">
        <f>VLOOKUP(D170,'Apr 2012 DMV Revenue'!D:T,17,FALSE)</f>
        <v>0</v>
      </c>
      <c r="G170" s="680"/>
      <c r="H170" s="680"/>
      <c r="I170" s="755"/>
      <c r="J170" s="682">
        <f t="shared" si="49"/>
        <v>0</v>
      </c>
      <c r="K170" s="683"/>
      <c r="L170" s="684"/>
      <c r="M170" s="753"/>
      <c r="N170" s="683">
        <v>0</v>
      </c>
      <c r="O170" s="686"/>
      <c r="P170" s="683">
        <v>0</v>
      </c>
      <c r="Q170" s="687">
        <f t="shared" si="52"/>
        <v>0</v>
      </c>
      <c r="R170" s="781">
        <v>0</v>
      </c>
      <c r="S170" s="693"/>
      <c r="T170" s="690">
        <f t="shared" si="53"/>
        <v>0</v>
      </c>
      <c r="U170" s="683"/>
      <c r="V170" s="474">
        <f t="shared" si="54"/>
        <v>0</v>
      </c>
      <c r="W170" s="474">
        <f t="shared" si="55"/>
        <v>0</v>
      </c>
      <c r="X170" s="475">
        <f t="shared" si="56"/>
        <v>0</v>
      </c>
      <c r="Y170" s="475">
        <v>0</v>
      </c>
      <c r="Z170" s="476">
        <v>0</v>
      </c>
      <c r="AA170" s="38">
        <f t="shared" si="57"/>
        <v>0</v>
      </c>
      <c r="AB170" s="692">
        <f t="shared" si="50"/>
        <v>0</v>
      </c>
      <c r="AC170" s="692">
        <f t="shared" si="62"/>
        <v>0</v>
      </c>
      <c r="AD170" s="692">
        <f t="shared" si="58"/>
        <v>0</v>
      </c>
      <c r="AE170" s="38"/>
      <c r="AF170" s="692">
        <f t="shared" si="59"/>
        <v>0</v>
      </c>
      <c r="AG170" s="692">
        <f t="shared" si="60"/>
        <v>0</v>
      </c>
      <c r="AH170" s="692">
        <f t="shared" si="61"/>
        <v>0</v>
      </c>
    </row>
    <row r="171" spans="1:34">
      <c r="A171" s="21"/>
      <c r="B171" s="21" t="s">
        <v>109</v>
      </c>
      <c r="C171" s="666" t="s">
        <v>564</v>
      </c>
      <c r="D171" s="68" t="s">
        <v>307</v>
      </c>
      <c r="E171" s="679"/>
      <c r="F171" s="529">
        <f>VLOOKUP(D171,'Apr 2012 DMV Revenue'!D:T,17,FALSE)</f>
        <v>0</v>
      </c>
      <c r="G171" s="680"/>
      <c r="H171" s="680"/>
      <c r="I171" s="755"/>
      <c r="J171" s="682">
        <f t="shared" si="49"/>
        <v>0</v>
      </c>
      <c r="K171" s="683"/>
      <c r="L171" s="684"/>
      <c r="M171" s="753"/>
      <c r="N171" s="683">
        <v>0</v>
      </c>
      <c r="O171" s="686"/>
      <c r="P171" s="683">
        <v>0</v>
      </c>
      <c r="Q171" s="687">
        <f t="shared" si="52"/>
        <v>0</v>
      </c>
      <c r="R171" s="781">
        <v>0</v>
      </c>
      <c r="S171" s="693"/>
      <c r="T171" s="690">
        <f t="shared" si="53"/>
        <v>0</v>
      </c>
      <c r="U171" s="683"/>
      <c r="V171" s="474">
        <f t="shared" si="54"/>
        <v>0</v>
      </c>
      <c r="W171" s="474">
        <f t="shared" si="55"/>
        <v>0</v>
      </c>
      <c r="X171" s="475">
        <f t="shared" si="56"/>
        <v>0</v>
      </c>
      <c r="Y171" s="475">
        <v>0</v>
      </c>
      <c r="Z171" s="476">
        <v>0</v>
      </c>
      <c r="AA171" s="38">
        <f t="shared" si="57"/>
        <v>0</v>
      </c>
      <c r="AB171" s="692">
        <f t="shared" si="50"/>
        <v>0</v>
      </c>
      <c r="AC171" s="692">
        <f t="shared" si="62"/>
        <v>0</v>
      </c>
      <c r="AD171" s="692">
        <f t="shared" si="58"/>
        <v>0</v>
      </c>
      <c r="AE171" s="38"/>
      <c r="AF171" s="692">
        <f t="shared" si="59"/>
        <v>0</v>
      </c>
      <c r="AG171" s="692">
        <f t="shared" si="60"/>
        <v>0</v>
      </c>
      <c r="AH171" s="692">
        <f t="shared" si="61"/>
        <v>0</v>
      </c>
    </row>
    <row r="172" spans="1:34">
      <c r="A172" s="21"/>
      <c r="B172" s="21" t="s">
        <v>109</v>
      </c>
      <c r="C172" s="666" t="s">
        <v>565</v>
      </c>
      <c r="D172" s="68" t="s">
        <v>485</v>
      </c>
      <c r="E172" s="679"/>
      <c r="F172" s="529">
        <f>VLOOKUP(D172,'Apr 2012 DMV Revenue'!D:T,17,FALSE)</f>
        <v>-30000</v>
      </c>
      <c r="G172" s="680"/>
      <c r="H172" s="680"/>
      <c r="I172" s="755"/>
      <c r="J172" s="682">
        <f t="shared" si="49"/>
        <v>-30000</v>
      </c>
      <c r="K172" s="683"/>
      <c r="L172" s="684"/>
      <c r="M172" s="753">
        <v>60000</v>
      </c>
      <c r="N172" s="683"/>
      <c r="O172" s="686"/>
      <c r="P172" s="683"/>
      <c r="Q172" s="687">
        <f t="shared" si="52"/>
        <v>60000</v>
      </c>
      <c r="R172" s="781">
        <v>0</v>
      </c>
      <c r="S172" s="693"/>
      <c r="T172" s="690">
        <f t="shared" si="53"/>
        <v>-60000</v>
      </c>
      <c r="U172" s="683"/>
      <c r="V172" s="474">
        <f t="shared" si="54"/>
        <v>0</v>
      </c>
      <c r="W172" s="474">
        <f t="shared" si="55"/>
        <v>60000</v>
      </c>
      <c r="X172" s="475">
        <f t="shared" si="56"/>
        <v>0</v>
      </c>
      <c r="Y172" s="475">
        <v>0</v>
      </c>
      <c r="Z172" s="476">
        <v>0</v>
      </c>
      <c r="AA172" s="38">
        <f t="shared" si="57"/>
        <v>0</v>
      </c>
      <c r="AB172" s="692">
        <f t="shared" si="50"/>
        <v>0</v>
      </c>
      <c r="AC172" s="692">
        <f t="shared" si="62"/>
        <v>-30000</v>
      </c>
      <c r="AD172" s="692">
        <f t="shared" si="58"/>
        <v>0</v>
      </c>
      <c r="AE172" s="38"/>
      <c r="AF172" s="692">
        <f t="shared" si="59"/>
        <v>0</v>
      </c>
      <c r="AG172" s="692">
        <f t="shared" si="60"/>
        <v>60000</v>
      </c>
      <c r="AH172" s="692">
        <f t="shared" si="61"/>
        <v>0</v>
      </c>
    </row>
    <row r="173" spans="1:34" s="232" customFormat="1">
      <c r="A173" s="403"/>
      <c r="B173" s="403" t="s">
        <v>109</v>
      </c>
      <c r="C173" s="666"/>
      <c r="D173" s="123" t="s">
        <v>220</v>
      </c>
      <c r="E173" s="679"/>
      <c r="F173" s="529">
        <f>VLOOKUP(D173,'Apr 2012 DMV Revenue'!D:T,17,FALSE)</f>
        <v>0</v>
      </c>
      <c r="G173" s="680"/>
      <c r="H173" s="680"/>
      <c r="I173" s="755"/>
      <c r="J173" s="682">
        <f t="shared" si="49"/>
        <v>0</v>
      </c>
      <c r="K173" s="683"/>
      <c r="L173" s="684"/>
      <c r="M173" s="753"/>
      <c r="N173" s="683">
        <v>0</v>
      </c>
      <c r="O173" s="686"/>
      <c r="P173" s="683">
        <v>0</v>
      </c>
      <c r="Q173" s="687">
        <f t="shared" si="52"/>
        <v>0</v>
      </c>
      <c r="R173" s="781">
        <v>0</v>
      </c>
      <c r="S173" s="693"/>
      <c r="T173" s="690">
        <f t="shared" si="53"/>
        <v>0</v>
      </c>
      <c r="U173" s="683"/>
      <c r="V173" s="474">
        <f t="shared" si="54"/>
        <v>0</v>
      </c>
      <c r="W173" s="474">
        <f t="shared" si="55"/>
        <v>0</v>
      </c>
      <c r="X173" s="475">
        <f t="shared" si="56"/>
        <v>0</v>
      </c>
      <c r="Y173" s="475">
        <v>0</v>
      </c>
      <c r="Z173" s="476">
        <v>0</v>
      </c>
      <c r="AA173" s="38">
        <f t="shared" si="57"/>
        <v>0</v>
      </c>
      <c r="AB173" s="692">
        <f t="shared" si="50"/>
        <v>0</v>
      </c>
      <c r="AC173" s="692">
        <f t="shared" si="62"/>
        <v>0</v>
      </c>
      <c r="AD173" s="692">
        <f t="shared" si="58"/>
        <v>0</v>
      </c>
      <c r="AE173" s="38"/>
      <c r="AF173" s="692">
        <f t="shared" si="59"/>
        <v>0</v>
      </c>
      <c r="AG173" s="692">
        <f t="shared" si="60"/>
        <v>0</v>
      </c>
      <c r="AH173" s="692">
        <f t="shared" si="61"/>
        <v>0</v>
      </c>
    </row>
    <row r="174" spans="1:34" s="24" customFormat="1">
      <c r="A174" s="472"/>
      <c r="B174" s="21" t="s">
        <v>109</v>
      </c>
      <c r="C174" s="666"/>
      <c r="D174" s="68" t="s">
        <v>505</v>
      </c>
      <c r="E174" s="679"/>
      <c r="F174" s="529">
        <f>VLOOKUP(D174,'Apr 2012 DMV Revenue'!D:T,17,FALSE)</f>
        <v>-44.920000000000073</v>
      </c>
      <c r="G174" s="680"/>
      <c r="H174" s="680"/>
      <c r="I174" s="770">
        <v>6455.08</v>
      </c>
      <c r="J174" s="703">
        <f t="shared" ref="J174" si="64">SUM(E174:I174)</f>
        <v>6410.16</v>
      </c>
      <c r="K174" s="698"/>
      <c r="L174" s="684"/>
      <c r="M174" s="753"/>
      <c r="N174" s="698">
        <v>0</v>
      </c>
      <c r="O174" s="686"/>
      <c r="P174" s="698">
        <v>0</v>
      </c>
      <c r="Q174" s="700">
        <f t="shared" si="52"/>
        <v>0</v>
      </c>
      <c r="R174" s="781">
        <v>0</v>
      </c>
      <c r="S174" s="701"/>
      <c r="T174" s="702">
        <f t="shared" si="53"/>
        <v>0</v>
      </c>
      <c r="U174" s="698"/>
      <c r="V174" s="474">
        <f t="shared" si="54"/>
        <v>0</v>
      </c>
      <c r="W174" s="474">
        <f t="shared" si="55"/>
        <v>0</v>
      </c>
      <c r="X174" s="475">
        <f t="shared" si="56"/>
        <v>0</v>
      </c>
      <c r="Y174" s="475">
        <v>0</v>
      </c>
      <c r="Z174" s="476">
        <v>0</v>
      </c>
      <c r="AA174" s="38">
        <f t="shared" si="57"/>
        <v>0</v>
      </c>
      <c r="AB174" s="692">
        <f t="shared" si="50"/>
        <v>0</v>
      </c>
      <c r="AC174" s="692">
        <f t="shared" si="62"/>
        <v>6410.16</v>
      </c>
      <c r="AD174" s="692">
        <f t="shared" si="58"/>
        <v>0</v>
      </c>
      <c r="AE174" s="38"/>
      <c r="AF174" s="692">
        <f t="shared" si="59"/>
        <v>0</v>
      </c>
      <c r="AG174" s="692">
        <f t="shared" si="60"/>
        <v>0</v>
      </c>
      <c r="AH174" s="692">
        <f t="shared" si="61"/>
        <v>0</v>
      </c>
    </row>
    <row r="175" spans="1:34">
      <c r="A175" s="21"/>
      <c r="B175" s="21" t="s">
        <v>109</v>
      </c>
      <c r="C175" s="666"/>
      <c r="D175" s="68" t="s">
        <v>38</v>
      </c>
      <c r="E175" s="679"/>
      <c r="F175" s="529">
        <f>VLOOKUP(D175,'Apr 2012 DMV Revenue'!D:T,17,FALSE)</f>
        <v>0</v>
      </c>
      <c r="G175" s="680"/>
      <c r="H175" s="680"/>
      <c r="I175" s="755"/>
      <c r="J175" s="682">
        <f t="shared" si="49"/>
        <v>0</v>
      </c>
      <c r="K175" s="683"/>
      <c r="L175" s="684"/>
      <c r="M175" s="753"/>
      <c r="N175" s="683">
        <v>0</v>
      </c>
      <c r="O175" s="686"/>
      <c r="P175" s="683">
        <v>0</v>
      </c>
      <c r="Q175" s="687">
        <f t="shared" si="52"/>
        <v>0</v>
      </c>
      <c r="R175" s="781">
        <v>0</v>
      </c>
      <c r="S175" s="693"/>
      <c r="T175" s="690">
        <f t="shared" si="53"/>
        <v>0</v>
      </c>
      <c r="U175" s="683"/>
      <c r="V175" s="474">
        <f t="shared" si="54"/>
        <v>0</v>
      </c>
      <c r="W175" s="474">
        <f t="shared" si="55"/>
        <v>0</v>
      </c>
      <c r="X175" s="475">
        <f t="shared" si="56"/>
        <v>0</v>
      </c>
      <c r="Y175" s="475">
        <v>0</v>
      </c>
      <c r="Z175" s="476">
        <v>0</v>
      </c>
      <c r="AA175" s="38">
        <f t="shared" si="57"/>
        <v>0</v>
      </c>
      <c r="AB175" s="692">
        <f t="shared" si="50"/>
        <v>0</v>
      </c>
      <c r="AC175" s="692">
        <f t="shared" si="62"/>
        <v>0</v>
      </c>
      <c r="AD175" s="692">
        <f t="shared" si="58"/>
        <v>0</v>
      </c>
      <c r="AE175" s="38"/>
      <c r="AF175" s="692">
        <f t="shared" si="59"/>
        <v>0</v>
      </c>
      <c r="AG175" s="692">
        <f t="shared" si="60"/>
        <v>0</v>
      </c>
      <c r="AH175" s="692">
        <f t="shared" si="61"/>
        <v>0</v>
      </c>
    </row>
    <row r="176" spans="1:34">
      <c r="A176" s="21"/>
      <c r="B176" s="21" t="s">
        <v>110</v>
      </c>
      <c r="C176" s="666"/>
      <c r="D176" s="68" t="s">
        <v>185</v>
      </c>
      <c r="E176" s="679"/>
      <c r="F176" s="529">
        <f>VLOOKUP(D176,'Apr 2012 DMV Revenue'!D:T,17,FALSE)</f>
        <v>0</v>
      </c>
      <c r="G176" s="680"/>
      <c r="H176" s="680"/>
      <c r="I176" s="755"/>
      <c r="J176" s="682">
        <f t="shared" si="49"/>
        <v>0</v>
      </c>
      <c r="K176" s="683"/>
      <c r="L176" s="684"/>
      <c r="M176" s="753"/>
      <c r="N176" s="683">
        <v>0</v>
      </c>
      <c r="O176" s="686"/>
      <c r="P176" s="683">
        <v>0</v>
      </c>
      <c r="Q176" s="687">
        <f t="shared" si="52"/>
        <v>0</v>
      </c>
      <c r="R176" s="781">
        <v>0</v>
      </c>
      <c r="S176" s="693"/>
      <c r="T176" s="690">
        <f t="shared" si="53"/>
        <v>0</v>
      </c>
      <c r="U176" s="683"/>
      <c r="V176" s="474">
        <f t="shared" si="54"/>
        <v>0</v>
      </c>
      <c r="W176" s="474">
        <f t="shared" si="55"/>
        <v>0</v>
      </c>
      <c r="X176" s="475">
        <f t="shared" si="56"/>
        <v>0</v>
      </c>
      <c r="Y176" s="475">
        <v>0</v>
      </c>
      <c r="Z176" s="476">
        <v>0</v>
      </c>
      <c r="AA176" s="38">
        <f t="shared" si="57"/>
        <v>0</v>
      </c>
      <c r="AB176" s="692">
        <f t="shared" si="50"/>
        <v>0</v>
      </c>
      <c r="AC176" s="692">
        <f t="shared" si="62"/>
        <v>0</v>
      </c>
      <c r="AD176" s="692">
        <f t="shared" si="58"/>
        <v>0</v>
      </c>
      <c r="AE176" s="38"/>
      <c r="AF176" s="692">
        <f t="shared" si="59"/>
        <v>0</v>
      </c>
      <c r="AG176" s="692">
        <f t="shared" si="60"/>
        <v>0</v>
      </c>
      <c r="AH176" s="692">
        <f t="shared" si="61"/>
        <v>0</v>
      </c>
    </row>
    <row r="177" spans="1:34">
      <c r="A177" s="21"/>
      <c r="B177" s="21" t="s">
        <v>110</v>
      </c>
      <c r="C177" s="666"/>
      <c r="D177" s="68" t="s">
        <v>186</v>
      </c>
      <c r="E177" s="679"/>
      <c r="F177" s="529">
        <f>VLOOKUP(D177,'Apr 2012 DMV Revenue'!D:T,17,FALSE)</f>
        <v>0</v>
      </c>
      <c r="G177" s="680"/>
      <c r="H177" s="680"/>
      <c r="I177" s="755"/>
      <c r="J177" s="682">
        <f t="shared" si="49"/>
        <v>0</v>
      </c>
      <c r="K177" s="683"/>
      <c r="L177" s="684"/>
      <c r="M177" s="753"/>
      <c r="N177" s="683">
        <v>0</v>
      </c>
      <c r="O177" s="686"/>
      <c r="P177" s="683">
        <v>0</v>
      </c>
      <c r="Q177" s="687">
        <f t="shared" si="52"/>
        <v>0</v>
      </c>
      <c r="R177" s="781">
        <v>0</v>
      </c>
      <c r="S177" s="693"/>
      <c r="T177" s="690">
        <f t="shared" si="53"/>
        <v>0</v>
      </c>
      <c r="U177" s="683"/>
      <c r="V177" s="474">
        <f t="shared" si="54"/>
        <v>0</v>
      </c>
      <c r="W177" s="474">
        <f t="shared" si="55"/>
        <v>0</v>
      </c>
      <c r="X177" s="475">
        <f t="shared" si="56"/>
        <v>0</v>
      </c>
      <c r="Y177" s="475">
        <v>0</v>
      </c>
      <c r="Z177" s="476">
        <v>0</v>
      </c>
      <c r="AA177" s="38">
        <f t="shared" si="57"/>
        <v>0</v>
      </c>
      <c r="AB177" s="692">
        <f t="shared" si="50"/>
        <v>0</v>
      </c>
      <c r="AC177" s="692">
        <f t="shared" si="62"/>
        <v>0</v>
      </c>
      <c r="AD177" s="692">
        <f t="shared" si="58"/>
        <v>0</v>
      </c>
      <c r="AE177" s="38"/>
      <c r="AF177" s="692">
        <f t="shared" si="59"/>
        <v>0</v>
      </c>
      <c r="AG177" s="692">
        <f t="shared" si="60"/>
        <v>0</v>
      </c>
      <c r="AH177" s="692">
        <f t="shared" si="61"/>
        <v>0</v>
      </c>
    </row>
    <row r="178" spans="1:34">
      <c r="A178" s="21"/>
      <c r="B178" s="21" t="s">
        <v>110</v>
      </c>
      <c r="C178" s="666"/>
      <c r="D178" s="68" t="s">
        <v>449</v>
      </c>
      <c r="E178" s="679"/>
      <c r="F178" s="529">
        <f>VLOOKUP(D178,'Apr 2012 DMV Revenue'!D:T,17,FALSE)</f>
        <v>0</v>
      </c>
      <c r="G178" s="680"/>
      <c r="H178" s="680"/>
      <c r="I178" s="755"/>
      <c r="J178" s="682">
        <f t="shared" si="49"/>
        <v>0</v>
      </c>
      <c r="K178" s="683"/>
      <c r="L178" s="684"/>
      <c r="M178" s="753"/>
      <c r="N178" s="683">
        <v>0</v>
      </c>
      <c r="O178" s="686"/>
      <c r="P178" s="683">
        <v>0</v>
      </c>
      <c r="Q178" s="687">
        <f t="shared" si="52"/>
        <v>0</v>
      </c>
      <c r="R178" s="781">
        <v>0</v>
      </c>
      <c r="S178" s="693"/>
      <c r="T178" s="690">
        <f t="shared" si="53"/>
        <v>0</v>
      </c>
      <c r="U178" s="683"/>
      <c r="V178" s="474">
        <f t="shared" si="54"/>
        <v>0</v>
      </c>
      <c r="W178" s="474">
        <f t="shared" si="55"/>
        <v>0</v>
      </c>
      <c r="X178" s="475">
        <f t="shared" si="56"/>
        <v>0</v>
      </c>
      <c r="Y178" s="475">
        <v>0</v>
      </c>
      <c r="Z178" s="476">
        <v>0</v>
      </c>
      <c r="AA178" s="38">
        <f t="shared" si="57"/>
        <v>0</v>
      </c>
      <c r="AB178" s="692">
        <f t="shared" si="50"/>
        <v>0</v>
      </c>
      <c r="AC178" s="692">
        <f t="shared" si="62"/>
        <v>0</v>
      </c>
      <c r="AD178" s="692">
        <f t="shared" si="58"/>
        <v>0</v>
      </c>
      <c r="AE178" s="38"/>
      <c r="AF178" s="692">
        <f t="shared" si="59"/>
        <v>0</v>
      </c>
      <c r="AG178" s="692">
        <f t="shared" si="60"/>
        <v>0</v>
      </c>
      <c r="AH178" s="692">
        <f t="shared" si="61"/>
        <v>0</v>
      </c>
    </row>
    <row r="179" spans="1:34">
      <c r="A179" s="21"/>
      <c r="B179" s="21" t="s">
        <v>110</v>
      </c>
      <c r="C179" s="666" t="s">
        <v>566</v>
      </c>
      <c r="D179" s="68" t="s">
        <v>39</v>
      </c>
      <c r="E179" s="679"/>
      <c r="F179" s="529">
        <f>VLOOKUP(D179,'Apr 2012 DMV Revenue'!D:T,17,FALSE)</f>
        <v>0</v>
      </c>
      <c r="G179" s="680"/>
      <c r="H179" s="680"/>
      <c r="I179" s="755"/>
      <c r="J179" s="682">
        <f t="shared" si="49"/>
        <v>0</v>
      </c>
      <c r="K179" s="683"/>
      <c r="L179" s="684"/>
      <c r="M179" s="753"/>
      <c r="N179" s="683">
        <v>0</v>
      </c>
      <c r="O179" s="686"/>
      <c r="P179" s="683">
        <v>0</v>
      </c>
      <c r="Q179" s="687">
        <f t="shared" si="52"/>
        <v>0</v>
      </c>
      <c r="R179" s="781">
        <v>1550.98</v>
      </c>
      <c r="S179" s="693"/>
      <c r="T179" s="690">
        <f t="shared" si="53"/>
        <v>1550.98</v>
      </c>
      <c r="U179" s="683"/>
      <c r="V179" s="474">
        <f t="shared" si="54"/>
        <v>0</v>
      </c>
      <c r="W179" s="474">
        <f t="shared" si="55"/>
        <v>0</v>
      </c>
      <c r="X179" s="475">
        <f t="shared" si="56"/>
        <v>0</v>
      </c>
      <c r="Y179" s="475">
        <v>0</v>
      </c>
      <c r="Z179" s="476">
        <v>0</v>
      </c>
      <c r="AA179" s="38">
        <f t="shared" si="57"/>
        <v>0</v>
      </c>
      <c r="AB179" s="692">
        <f t="shared" si="50"/>
        <v>0</v>
      </c>
      <c r="AC179" s="692">
        <f t="shared" si="62"/>
        <v>0</v>
      </c>
      <c r="AD179" s="692">
        <f t="shared" si="58"/>
        <v>0</v>
      </c>
      <c r="AE179" s="38"/>
      <c r="AF179" s="692">
        <f t="shared" si="59"/>
        <v>0</v>
      </c>
      <c r="AG179" s="692">
        <f t="shared" si="60"/>
        <v>0</v>
      </c>
      <c r="AH179" s="692">
        <f t="shared" si="61"/>
        <v>0</v>
      </c>
    </row>
    <row r="180" spans="1:34">
      <c r="A180" s="21"/>
      <c r="B180" s="21" t="s">
        <v>110</v>
      </c>
      <c r="C180" s="666" t="s">
        <v>567</v>
      </c>
      <c r="D180" s="68" t="s">
        <v>435</v>
      </c>
      <c r="E180" s="679"/>
      <c r="F180" s="529">
        <f>VLOOKUP(D180,'Apr 2012 DMV Revenue'!D:T,17,FALSE)</f>
        <v>-15000</v>
      </c>
      <c r="G180" s="680"/>
      <c r="H180" s="680"/>
      <c r="I180" s="755"/>
      <c r="J180" s="682">
        <f t="shared" si="49"/>
        <v>-15000</v>
      </c>
      <c r="K180" s="683"/>
      <c r="L180" s="684"/>
      <c r="M180" s="753">
        <v>30000</v>
      </c>
      <c r="N180" s="683">
        <v>0</v>
      </c>
      <c r="O180" s="686"/>
      <c r="P180" s="683">
        <v>0</v>
      </c>
      <c r="Q180" s="687">
        <f t="shared" si="52"/>
        <v>30000</v>
      </c>
      <c r="R180" s="781">
        <v>18177.41</v>
      </c>
      <c r="S180" s="693"/>
      <c r="T180" s="690">
        <f t="shared" si="53"/>
        <v>-11822.59</v>
      </c>
      <c r="U180" s="683"/>
      <c r="V180" s="474">
        <f t="shared" si="54"/>
        <v>30000</v>
      </c>
      <c r="W180" s="474">
        <f t="shared" si="55"/>
        <v>0</v>
      </c>
      <c r="X180" s="475">
        <f t="shared" si="56"/>
        <v>0</v>
      </c>
      <c r="Y180" s="475">
        <v>0</v>
      </c>
      <c r="Z180" s="476">
        <v>0</v>
      </c>
      <c r="AA180" s="38">
        <f t="shared" si="57"/>
        <v>0</v>
      </c>
      <c r="AB180" s="692">
        <f t="shared" si="50"/>
        <v>-15000</v>
      </c>
      <c r="AC180" s="692">
        <f t="shared" si="62"/>
        <v>0</v>
      </c>
      <c r="AD180" s="692">
        <f t="shared" si="58"/>
        <v>0</v>
      </c>
      <c r="AE180" s="38"/>
      <c r="AF180" s="692">
        <f t="shared" si="59"/>
        <v>30000</v>
      </c>
      <c r="AG180" s="692">
        <f t="shared" si="60"/>
        <v>0</v>
      </c>
      <c r="AH180" s="692">
        <f t="shared" si="61"/>
        <v>0</v>
      </c>
    </row>
    <row r="181" spans="1:34">
      <c r="A181" s="21"/>
      <c r="B181" s="21" t="s">
        <v>110</v>
      </c>
      <c r="C181" s="675" t="s">
        <v>584</v>
      </c>
      <c r="D181" s="68" t="s">
        <v>99</v>
      </c>
      <c r="E181" s="679">
        <v>17011.11</v>
      </c>
      <c r="F181" s="529">
        <f>VLOOKUP(D181,'Apr 2012 DMV Revenue'!D:T,17,FALSE)</f>
        <v>-30000</v>
      </c>
      <c r="G181" s="680"/>
      <c r="H181" s="680"/>
      <c r="I181" s="755"/>
      <c r="J181" s="682">
        <f t="shared" si="49"/>
        <v>-12988.89</v>
      </c>
      <c r="K181" s="683"/>
      <c r="L181" s="684"/>
      <c r="M181" s="753">
        <v>35000</v>
      </c>
      <c r="N181" s="683">
        <v>0</v>
      </c>
      <c r="O181" s="686"/>
      <c r="P181" s="683">
        <v>0</v>
      </c>
      <c r="Q181" s="687">
        <f t="shared" si="52"/>
        <v>35000</v>
      </c>
      <c r="R181" s="781">
        <v>18404.54</v>
      </c>
      <c r="S181" s="693"/>
      <c r="T181" s="690">
        <f t="shared" si="53"/>
        <v>-16595.46</v>
      </c>
      <c r="U181" s="683"/>
      <c r="V181" s="474">
        <f t="shared" si="54"/>
        <v>35000</v>
      </c>
      <c r="W181" s="474">
        <f t="shared" si="55"/>
        <v>0</v>
      </c>
      <c r="X181" s="475">
        <f t="shared" si="56"/>
        <v>0</v>
      </c>
      <c r="Y181" s="475">
        <v>0</v>
      </c>
      <c r="Z181" s="476">
        <v>0</v>
      </c>
      <c r="AA181" s="38">
        <f t="shared" si="57"/>
        <v>0</v>
      </c>
      <c r="AB181" s="692">
        <f t="shared" si="50"/>
        <v>-12988.89</v>
      </c>
      <c r="AC181" s="692">
        <f t="shared" si="62"/>
        <v>0</v>
      </c>
      <c r="AD181" s="692">
        <f t="shared" si="58"/>
        <v>0</v>
      </c>
      <c r="AE181" s="38"/>
      <c r="AF181" s="692">
        <f t="shared" si="59"/>
        <v>35000</v>
      </c>
      <c r="AG181" s="692">
        <f t="shared" si="60"/>
        <v>0</v>
      </c>
      <c r="AH181" s="692">
        <f t="shared" si="61"/>
        <v>0</v>
      </c>
    </row>
    <row r="182" spans="1:34" s="232" customFormat="1">
      <c r="A182" s="403"/>
      <c r="B182" s="403" t="s">
        <v>110</v>
      </c>
      <c r="C182" s="666"/>
      <c r="D182" s="123" t="s">
        <v>378</v>
      </c>
      <c r="E182" s="679"/>
      <c r="F182" s="529">
        <f>VLOOKUP(D182,'Apr 2012 DMV Revenue'!D:T,17,FALSE)</f>
        <v>0</v>
      </c>
      <c r="G182" s="680"/>
      <c r="H182" s="680"/>
      <c r="I182" s="755"/>
      <c r="J182" s="682">
        <f t="shared" si="49"/>
        <v>0</v>
      </c>
      <c r="K182" s="683"/>
      <c r="L182" s="684"/>
      <c r="M182" s="753"/>
      <c r="N182" s="683">
        <v>0</v>
      </c>
      <c r="O182" s="686"/>
      <c r="P182" s="683">
        <v>0</v>
      </c>
      <c r="Q182" s="687">
        <f t="shared" si="52"/>
        <v>0</v>
      </c>
      <c r="R182" s="781">
        <v>0</v>
      </c>
      <c r="S182" s="693"/>
      <c r="T182" s="690">
        <f t="shared" si="53"/>
        <v>0</v>
      </c>
      <c r="U182" s="683"/>
      <c r="V182" s="474">
        <f t="shared" si="54"/>
        <v>0</v>
      </c>
      <c r="W182" s="474">
        <f t="shared" si="55"/>
        <v>0</v>
      </c>
      <c r="X182" s="475">
        <f t="shared" si="56"/>
        <v>0</v>
      </c>
      <c r="Y182" s="475">
        <v>0</v>
      </c>
      <c r="Z182" s="476">
        <v>0</v>
      </c>
      <c r="AA182" s="38">
        <f t="shared" si="57"/>
        <v>0</v>
      </c>
      <c r="AB182" s="692">
        <f t="shared" si="50"/>
        <v>0</v>
      </c>
      <c r="AC182" s="692">
        <f t="shared" si="62"/>
        <v>0</v>
      </c>
      <c r="AD182" s="692">
        <f t="shared" si="58"/>
        <v>0</v>
      </c>
      <c r="AE182" s="38"/>
      <c r="AF182" s="692">
        <f t="shared" si="59"/>
        <v>0</v>
      </c>
      <c r="AG182" s="692">
        <f t="shared" si="60"/>
        <v>0</v>
      </c>
      <c r="AH182" s="692">
        <f t="shared" si="61"/>
        <v>0</v>
      </c>
    </row>
    <row r="183" spans="1:34" s="232" customFormat="1">
      <c r="A183" s="403"/>
      <c r="B183" s="403" t="s">
        <v>110</v>
      </c>
      <c r="C183" s="666" t="s">
        <v>568</v>
      </c>
      <c r="D183" s="123" t="s">
        <v>303</v>
      </c>
      <c r="E183" s="679"/>
      <c r="F183" s="529">
        <f>VLOOKUP(D183,'Apr 2012 DMV Revenue'!D:T,17,FALSE)</f>
        <v>-100000</v>
      </c>
      <c r="G183" s="680"/>
      <c r="H183" s="680"/>
      <c r="I183" s="755"/>
      <c r="J183" s="682">
        <f t="shared" si="49"/>
        <v>-100000</v>
      </c>
      <c r="K183" s="683"/>
      <c r="L183" s="684"/>
      <c r="M183" s="753">
        <v>200000</v>
      </c>
      <c r="N183" s="683">
        <v>0</v>
      </c>
      <c r="O183" s="686"/>
      <c r="P183" s="683">
        <v>0</v>
      </c>
      <c r="Q183" s="687">
        <f t="shared" si="52"/>
        <v>200000</v>
      </c>
      <c r="R183" s="781">
        <v>0</v>
      </c>
      <c r="S183" s="693"/>
      <c r="T183" s="690">
        <f t="shared" si="53"/>
        <v>-200000</v>
      </c>
      <c r="U183" s="683"/>
      <c r="V183" s="474">
        <f t="shared" si="54"/>
        <v>200000</v>
      </c>
      <c r="W183" s="474">
        <f t="shared" si="55"/>
        <v>0</v>
      </c>
      <c r="X183" s="475">
        <f t="shared" si="56"/>
        <v>0</v>
      </c>
      <c r="Y183" s="475">
        <v>0</v>
      </c>
      <c r="Z183" s="476">
        <v>0</v>
      </c>
      <c r="AA183" s="38">
        <f t="shared" si="57"/>
        <v>0</v>
      </c>
      <c r="AB183" s="692">
        <f t="shared" si="50"/>
        <v>-100000</v>
      </c>
      <c r="AC183" s="692">
        <f t="shared" si="62"/>
        <v>0</v>
      </c>
      <c r="AD183" s="692">
        <f t="shared" si="58"/>
        <v>0</v>
      </c>
      <c r="AE183" s="38"/>
      <c r="AF183" s="692">
        <f t="shared" si="59"/>
        <v>200000</v>
      </c>
      <c r="AG183" s="692">
        <f t="shared" si="60"/>
        <v>0</v>
      </c>
      <c r="AH183" s="692">
        <f t="shared" si="61"/>
        <v>0</v>
      </c>
    </row>
    <row r="184" spans="1:34" s="232" customFormat="1">
      <c r="A184" s="403"/>
      <c r="B184" s="403" t="s">
        <v>110</v>
      </c>
      <c r="C184" s="666"/>
      <c r="D184" s="123" t="s">
        <v>206</v>
      </c>
      <c r="E184" s="679"/>
      <c r="F184" s="529">
        <f>VLOOKUP(D184,'Apr 2012 DMV Revenue'!D:T,17,FALSE)</f>
        <v>0</v>
      </c>
      <c r="G184" s="680"/>
      <c r="H184" s="680"/>
      <c r="I184" s="755"/>
      <c r="J184" s="682">
        <f t="shared" si="49"/>
        <v>0</v>
      </c>
      <c r="K184" s="683"/>
      <c r="L184" s="684"/>
      <c r="M184" s="753"/>
      <c r="N184" s="683">
        <v>0</v>
      </c>
      <c r="O184" s="686"/>
      <c r="P184" s="683">
        <v>0</v>
      </c>
      <c r="Q184" s="687">
        <f t="shared" si="52"/>
        <v>0</v>
      </c>
      <c r="R184" s="781">
        <v>0</v>
      </c>
      <c r="S184" s="693"/>
      <c r="T184" s="690">
        <f t="shared" si="53"/>
        <v>0</v>
      </c>
      <c r="U184" s="683"/>
      <c r="V184" s="474">
        <f t="shared" si="54"/>
        <v>0</v>
      </c>
      <c r="W184" s="474">
        <f t="shared" si="55"/>
        <v>0</v>
      </c>
      <c r="X184" s="475">
        <f t="shared" si="56"/>
        <v>0</v>
      </c>
      <c r="Y184" s="475">
        <v>0</v>
      </c>
      <c r="Z184" s="476">
        <v>0</v>
      </c>
      <c r="AA184" s="38">
        <f t="shared" si="57"/>
        <v>0</v>
      </c>
      <c r="AB184" s="692">
        <f t="shared" si="50"/>
        <v>0</v>
      </c>
      <c r="AC184" s="692">
        <f t="shared" si="62"/>
        <v>0</v>
      </c>
      <c r="AD184" s="692">
        <f t="shared" si="58"/>
        <v>0</v>
      </c>
      <c r="AE184" s="38"/>
      <c r="AF184" s="692">
        <f t="shared" si="59"/>
        <v>0</v>
      </c>
      <c r="AG184" s="692">
        <f t="shared" si="60"/>
        <v>0</v>
      </c>
      <c r="AH184" s="692">
        <f t="shared" si="61"/>
        <v>0</v>
      </c>
    </row>
    <row r="185" spans="1:34" s="232" customFormat="1">
      <c r="A185" s="403"/>
      <c r="B185" s="403" t="s">
        <v>109</v>
      </c>
      <c r="C185" s="666" t="s">
        <v>569</v>
      </c>
      <c r="D185" s="123" t="s">
        <v>468</v>
      </c>
      <c r="E185" s="679"/>
      <c r="F185" s="529">
        <f>VLOOKUP(D185,'Apr 2012 DMV Revenue'!D:T,17,FALSE)</f>
        <v>0</v>
      </c>
      <c r="G185" s="680"/>
      <c r="H185" s="680"/>
      <c r="I185" s="755"/>
      <c r="J185" s="682">
        <f t="shared" si="49"/>
        <v>0</v>
      </c>
      <c r="K185" s="683"/>
      <c r="L185" s="684"/>
      <c r="M185" s="753"/>
      <c r="N185" s="683">
        <v>0</v>
      </c>
      <c r="O185" s="686"/>
      <c r="P185" s="683">
        <v>0</v>
      </c>
      <c r="Q185" s="687">
        <f t="shared" si="52"/>
        <v>0</v>
      </c>
      <c r="R185" s="781">
        <v>31232.5</v>
      </c>
      <c r="S185" s="693"/>
      <c r="T185" s="690">
        <f t="shared" si="53"/>
        <v>31232.5</v>
      </c>
      <c r="U185" s="683"/>
      <c r="V185" s="474">
        <f t="shared" si="54"/>
        <v>0</v>
      </c>
      <c r="W185" s="474">
        <f t="shared" si="55"/>
        <v>0</v>
      </c>
      <c r="X185" s="475">
        <f t="shared" si="56"/>
        <v>0</v>
      </c>
      <c r="Y185" s="475">
        <v>0</v>
      </c>
      <c r="Z185" s="476">
        <v>0</v>
      </c>
      <c r="AA185" s="38">
        <f t="shared" si="57"/>
        <v>0</v>
      </c>
      <c r="AB185" s="692">
        <f t="shared" si="50"/>
        <v>0</v>
      </c>
      <c r="AC185" s="692">
        <f t="shared" si="62"/>
        <v>0</v>
      </c>
      <c r="AD185" s="692">
        <f t="shared" si="58"/>
        <v>0</v>
      </c>
      <c r="AE185" s="38"/>
      <c r="AF185" s="692">
        <f t="shared" si="59"/>
        <v>0</v>
      </c>
      <c r="AG185" s="692">
        <f t="shared" si="60"/>
        <v>0</v>
      </c>
      <c r="AH185" s="692">
        <f t="shared" si="61"/>
        <v>0</v>
      </c>
    </row>
    <row r="186" spans="1:34" s="232" customFormat="1">
      <c r="A186" s="403"/>
      <c r="B186" s="403" t="s">
        <v>114</v>
      </c>
      <c r="C186" s="666"/>
      <c r="D186" s="123" t="s">
        <v>241</v>
      </c>
      <c r="E186" s="679"/>
      <c r="F186" s="529">
        <f>VLOOKUP(D186,'Apr 2012 DMV Revenue'!D:T,17,FALSE)</f>
        <v>0</v>
      </c>
      <c r="G186" s="680"/>
      <c r="H186" s="680"/>
      <c r="I186" s="755"/>
      <c r="J186" s="682">
        <f t="shared" si="49"/>
        <v>0</v>
      </c>
      <c r="K186" s="683"/>
      <c r="L186" s="684"/>
      <c r="M186" s="753"/>
      <c r="N186" s="683">
        <v>0</v>
      </c>
      <c r="O186" s="686"/>
      <c r="P186" s="683">
        <v>0</v>
      </c>
      <c r="Q186" s="687">
        <f t="shared" si="52"/>
        <v>0</v>
      </c>
      <c r="R186" s="781">
        <v>0</v>
      </c>
      <c r="S186" s="693"/>
      <c r="T186" s="690">
        <f t="shared" si="53"/>
        <v>0</v>
      </c>
      <c r="U186" s="683"/>
      <c r="V186" s="474">
        <f t="shared" si="54"/>
        <v>0</v>
      </c>
      <c r="W186" s="474">
        <f t="shared" si="55"/>
        <v>0</v>
      </c>
      <c r="X186" s="475">
        <f t="shared" si="56"/>
        <v>0</v>
      </c>
      <c r="Y186" s="475">
        <v>0</v>
      </c>
      <c r="Z186" s="476">
        <v>0</v>
      </c>
      <c r="AA186" s="38">
        <f t="shared" si="57"/>
        <v>0</v>
      </c>
      <c r="AB186" s="692">
        <f t="shared" si="50"/>
        <v>0</v>
      </c>
      <c r="AC186" s="692">
        <f t="shared" si="62"/>
        <v>0</v>
      </c>
      <c r="AD186" s="692">
        <f t="shared" si="58"/>
        <v>0</v>
      </c>
      <c r="AE186" s="38"/>
      <c r="AF186" s="692">
        <f t="shared" si="59"/>
        <v>0</v>
      </c>
      <c r="AG186" s="692">
        <f t="shared" si="60"/>
        <v>0</v>
      </c>
      <c r="AH186" s="692">
        <f t="shared" si="61"/>
        <v>0</v>
      </c>
    </row>
    <row r="187" spans="1:34">
      <c r="A187" s="20"/>
      <c r="B187" s="20" t="s">
        <v>109</v>
      </c>
      <c r="C187" s="667" t="s">
        <v>570</v>
      </c>
      <c r="D187" s="68" t="s">
        <v>41</v>
      </c>
      <c r="E187" s="679"/>
      <c r="F187" s="529">
        <f>VLOOKUP(D187,'Apr 2012 DMV Revenue'!D:T,17,FALSE)</f>
        <v>0</v>
      </c>
      <c r="G187" s="680"/>
      <c r="H187" s="680"/>
      <c r="I187" s="755"/>
      <c r="J187" s="682">
        <f t="shared" si="49"/>
        <v>0</v>
      </c>
      <c r="K187" s="683"/>
      <c r="L187" s="684"/>
      <c r="M187" s="753"/>
      <c r="N187" s="683">
        <v>0</v>
      </c>
      <c r="O187" s="686"/>
      <c r="P187" s="683">
        <v>0</v>
      </c>
      <c r="Q187" s="687">
        <f t="shared" si="52"/>
        <v>0</v>
      </c>
      <c r="R187" s="781">
        <v>0</v>
      </c>
      <c r="S187" s="693"/>
      <c r="T187" s="690">
        <f t="shared" si="53"/>
        <v>0</v>
      </c>
      <c r="U187" s="683"/>
      <c r="V187" s="474">
        <f t="shared" si="54"/>
        <v>0</v>
      </c>
      <c r="W187" s="474">
        <f t="shared" si="55"/>
        <v>0</v>
      </c>
      <c r="X187" s="475">
        <f t="shared" si="56"/>
        <v>0</v>
      </c>
      <c r="Y187" s="475">
        <v>0</v>
      </c>
      <c r="Z187" s="476">
        <v>0</v>
      </c>
      <c r="AA187" s="38">
        <f t="shared" si="57"/>
        <v>0</v>
      </c>
      <c r="AB187" s="692">
        <f t="shared" si="50"/>
        <v>0</v>
      </c>
      <c r="AC187" s="692">
        <f t="shared" si="62"/>
        <v>0</v>
      </c>
      <c r="AD187" s="692">
        <f t="shared" si="58"/>
        <v>0</v>
      </c>
      <c r="AE187" s="38"/>
      <c r="AF187" s="692">
        <f t="shared" si="59"/>
        <v>0</v>
      </c>
      <c r="AG187" s="692">
        <f t="shared" si="60"/>
        <v>0</v>
      </c>
      <c r="AH187" s="692">
        <f t="shared" si="61"/>
        <v>0</v>
      </c>
    </row>
    <row r="188" spans="1:34">
      <c r="A188" s="20"/>
      <c r="B188" s="20" t="s">
        <v>109</v>
      </c>
      <c r="C188" s="667" t="s">
        <v>570</v>
      </c>
      <c r="D188" s="68" t="s">
        <v>221</v>
      </c>
      <c r="E188" s="679"/>
      <c r="F188" s="529">
        <f>VLOOKUP(D188,'Apr 2012 DMV Revenue'!D:T,17,FALSE)</f>
        <v>0</v>
      </c>
      <c r="G188" s="680"/>
      <c r="H188" s="680"/>
      <c r="I188" s="755"/>
      <c r="J188" s="682">
        <f t="shared" si="49"/>
        <v>0</v>
      </c>
      <c r="K188" s="683"/>
      <c r="L188" s="684"/>
      <c r="M188" s="753"/>
      <c r="N188" s="683">
        <v>0</v>
      </c>
      <c r="O188" s="686"/>
      <c r="P188" s="683">
        <v>0</v>
      </c>
      <c r="Q188" s="687">
        <f t="shared" si="52"/>
        <v>0</v>
      </c>
      <c r="R188" s="781">
        <v>0</v>
      </c>
      <c r="S188" s="693"/>
      <c r="T188" s="690">
        <f t="shared" si="53"/>
        <v>0</v>
      </c>
      <c r="U188" s="683"/>
      <c r="V188" s="474">
        <f t="shared" si="54"/>
        <v>0</v>
      </c>
      <c r="W188" s="474">
        <f t="shared" si="55"/>
        <v>0</v>
      </c>
      <c r="X188" s="475">
        <f t="shared" si="56"/>
        <v>0</v>
      </c>
      <c r="Y188" s="475">
        <v>0</v>
      </c>
      <c r="Z188" s="476">
        <v>0</v>
      </c>
      <c r="AA188" s="38">
        <f t="shared" si="57"/>
        <v>0</v>
      </c>
      <c r="AB188" s="692">
        <f t="shared" si="50"/>
        <v>0</v>
      </c>
      <c r="AC188" s="692">
        <f t="shared" si="62"/>
        <v>0</v>
      </c>
      <c r="AD188" s="692">
        <f t="shared" si="58"/>
        <v>0</v>
      </c>
      <c r="AE188" s="38"/>
      <c r="AF188" s="692">
        <f t="shared" si="59"/>
        <v>0</v>
      </c>
      <c r="AG188" s="692">
        <f t="shared" si="60"/>
        <v>0</v>
      </c>
      <c r="AH188" s="692">
        <f t="shared" si="61"/>
        <v>0</v>
      </c>
    </row>
    <row r="189" spans="1:34">
      <c r="A189" s="20"/>
      <c r="B189" s="20" t="s">
        <v>110</v>
      </c>
      <c r="C189" s="667"/>
      <c r="D189" s="68" t="s">
        <v>508</v>
      </c>
      <c r="E189" s="679"/>
      <c r="F189" s="529">
        <f>VLOOKUP(D189,'Apr 2012 DMV Revenue'!D:T,17,FALSE)</f>
        <v>0</v>
      </c>
      <c r="G189" s="680"/>
      <c r="H189" s="680"/>
      <c r="I189" s="755"/>
      <c r="J189" s="682">
        <f t="shared" ref="J189" si="65">SUM(E189:I189)</f>
        <v>0</v>
      </c>
      <c r="K189" s="683"/>
      <c r="L189" s="684"/>
      <c r="M189" s="753"/>
      <c r="N189" s="683">
        <v>0</v>
      </c>
      <c r="O189" s="686"/>
      <c r="P189" s="683">
        <v>0</v>
      </c>
      <c r="Q189" s="687">
        <f t="shared" si="52"/>
        <v>0</v>
      </c>
      <c r="R189" s="781">
        <v>0</v>
      </c>
      <c r="S189" s="693"/>
      <c r="T189" s="690">
        <f t="shared" si="53"/>
        <v>0</v>
      </c>
      <c r="U189" s="683"/>
      <c r="V189" s="474">
        <f t="shared" si="54"/>
        <v>0</v>
      </c>
      <c r="W189" s="474">
        <f t="shared" si="55"/>
        <v>0</v>
      </c>
      <c r="X189" s="475">
        <f t="shared" si="56"/>
        <v>0</v>
      </c>
      <c r="Y189" s="475">
        <v>0</v>
      </c>
      <c r="Z189" s="476">
        <v>0</v>
      </c>
      <c r="AA189" s="38">
        <f t="shared" si="57"/>
        <v>0</v>
      </c>
      <c r="AB189" s="692">
        <f t="shared" si="50"/>
        <v>0</v>
      </c>
      <c r="AC189" s="692">
        <f t="shared" si="62"/>
        <v>0</v>
      </c>
      <c r="AD189" s="692">
        <f t="shared" si="58"/>
        <v>0</v>
      </c>
      <c r="AE189" s="38"/>
      <c r="AF189" s="692">
        <f t="shared" si="59"/>
        <v>0</v>
      </c>
      <c r="AG189" s="692">
        <f t="shared" si="60"/>
        <v>0</v>
      </c>
      <c r="AH189" s="692">
        <f t="shared" si="61"/>
        <v>0</v>
      </c>
    </row>
    <row r="190" spans="1:34">
      <c r="A190" s="21"/>
      <c r="B190" s="21" t="s">
        <v>110</v>
      </c>
      <c r="C190" s="666"/>
      <c r="D190" s="68" t="s">
        <v>43</v>
      </c>
      <c r="E190" s="679"/>
      <c r="F190" s="529">
        <f>VLOOKUP(D190,'Apr 2012 DMV Revenue'!D:T,17,FALSE)</f>
        <v>0</v>
      </c>
      <c r="G190" s="680"/>
      <c r="H190" s="680"/>
      <c r="I190" s="755"/>
      <c r="J190" s="682">
        <f t="shared" si="49"/>
        <v>0</v>
      </c>
      <c r="K190" s="683"/>
      <c r="L190" s="684"/>
      <c r="M190" s="753"/>
      <c r="N190" s="683">
        <v>0</v>
      </c>
      <c r="O190" s="686"/>
      <c r="P190" s="683">
        <v>0</v>
      </c>
      <c r="Q190" s="687">
        <f t="shared" si="52"/>
        <v>0</v>
      </c>
      <c r="R190" s="781">
        <v>332.38</v>
      </c>
      <c r="S190" s="693"/>
      <c r="T190" s="690">
        <f t="shared" si="53"/>
        <v>332.38</v>
      </c>
      <c r="U190" s="683"/>
      <c r="V190" s="474">
        <f t="shared" si="54"/>
        <v>0</v>
      </c>
      <c r="W190" s="474">
        <f t="shared" si="55"/>
        <v>0</v>
      </c>
      <c r="X190" s="475">
        <f t="shared" si="56"/>
        <v>0</v>
      </c>
      <c r="Y190" s="475">
        <v>0</v>
      </c>
      <c r="Z190" s="476">
        <v>0</v>
      </c>
      <c r="AA190" s="38">
        <f t="shared" si="57"/>
        <v>0</v>
      </c>
      <c r="AB190" s="692">
        <f t="shared" si="50"/>
        <v>0</v>
      </c>
      <c r="AC190" s="692">
        <f t="shared" si="62"/>
        <v>0</v>
      </c>
      <c r="AD190" s="692">
        <f t="shared" si="58"/>
        <v>0</v>
      </c>
      <c r="AE190" s="38"/>
      <c r="AF190" s="692">
        <f t="shared" si="59"/>
        <v>0</v>
      </c>
      <c r="AG190" s="692">
        <f t="shared" si="60"/>
        <v>0</v>
      </c>
      <c r="AH190" s="692">
        <f t="shared" si="61"/>
        <v>0</v>
      </c>
    </row>
    <row r="191" spans="1:34">
      <c r="A191" s="21"/>
      <c r="B191" s="21" t="s">
        <v>109</v>
      </c>
      <c r="C191" s="666" t="s">
        <v>571</v>
      </c>
      <c r="D191" s="68" t="s">
        <v>44</v>
      </c>
      <c r="E191" s="679"/>
      <c r="F191" s="529">
        <f>VLOOKUP(D191,'Apr 2012 DMV Revenue'!D:T,17,FALSE)</f>
        <v>0</v>
      </c>
      <c r="G191" s="680"/>
      <c r="H191" s="680"/>
      <c r="I191" s="770">
        <f>6516.9-I192</f>
        <v>6213.5999999999995</v>
      </c>
      <c r="J191" s="682">
        <f t="shared" si="49"/>
        <v>6213.5999999999995</v>
      </c>
      <c r="K191" s="683"/>
      <c r="L191" s="684"/>
      <c r="M191" s="753"/>
      <c r="N191" s="683">
        <v>0</v>
      </c>
      <c r="O191" s="686"/>
      <c r="P191" s="683">
        <v>0</v>
      </c>
      <c r="Q191" s="687">
        <f t="shared" si="52"/>
        <v>0</v>
      </c>
      <c r="R191" s="781">
        <v>0</v>
      </c>
      <c r="S191" s="693"/>
      <c r="T191" s="690">
        <f t="shared" si="53"/>
        <v>0</v>
      </c>
      <c r="U191" s="683"/>
      <c r="V191" s="474">
        <f t="shared" si="54"/>
        <v>0</v>
      </c>
      <c r="W191" s="474">
        <f t="shared" si="55"/>
        <v>0</v>
      </c>
      <c r="X191" s="475">
        <f t="shared" si="56"/>
        <v>0</v>
      </c>
      <c r="Y191" s="475">
        <v>0</v>
      </c>
      <c r="Z191" s="476">
        <v>0</v>
      </c>
      <c r="AA191" s="38">
        <f t="shared" si="57"/>
        <v>0</v>
      </c>
      <c r="AB191" s="692">
        <f t="shared" si="50"/>
        <v>0</v>
      </c>
      <c r="AC191" s="692">
        <f t="shared" si="62"/>
        <v>6213.5999999999995</v>
      </c>
      <c r="AD191" s="692">
        <f t="shared" si="58"/>
        <v>0</v>
      </c>
      <c r="AE191" s="38"/>
      <c r="AF191" s="692">
        <f t="shared" si="59"/>
        <v>0</v>
      </c>
      <c r="AG191" s="692">
        <f t="shared" si="60"/>
        <v>0</v>
      </c>
      <c r="AH191" s="692">
        <f t="shared" si="61"/>
        <v>0</v>
      </c>
    </row>
    <row r="192" spans="1:34">
      <c r="A192" s="21"/>
      <c r="B192" s="21" t="s">
        <v>114</v>
      </c>
      <c r="C192" s="666" t="s">
        <v>571</v>
      </c>
      <c r="D192" s="68" t="s">
        <v>44</v>
      </c>
      <c r="E192" s="679"/>
      <c r="F192" s="529">
        <f>VLOOKUP(D192,'Apr 2012 DMV Revenue'!D:T,17,FALSE)</f>
        <v>0</v>
      </c>
      <c r="G192" s="680"/>
      <c r="H192" s="680"/>
      <c r="I192" s="770">
        <v>303.3</v>
      </c>
      <c r="J192" s="682">
        <f t="shared" ref="J192" si="66">SUM(E192:I192)</f>
        <v>303.3</v>
      </c>
      <c r="K192" s="683"/>
      <c r="L192" s="684"/>
      <c r="M192" s="753"/>
      <c r="N192" s="683">
        <v>0</v>
      </c>
      <c r="O192" s="686"/>
      <c r="P192" s="683">
        <v>0</v>
      </c>
      <c r="Q192" s="687">
        <f t="shared" si="52"/>
        <v>0</v>
      </c>
      <c r="R192" s="781">
        <v>0</v>
      </c>
      <c r="S192" s="693"/>
      <c r="T192" s="690">
        <f t="shared" si="53"/>
        <v>0</v>
      </c>
      <c r="U192" s="683"/>
      <c r="V192" s="474">
        <f t="shared" si="54"/>
        <v>0</v>
      </c>
      <c r="W192" s="474">
        <f t="shared" si="55"/>
        <v>0</v>
      </c>
      <c r="X192" s="475">
        <f t="shared" si="56"/>
        <v>0</v>
      </c>
      <c r="Y192" s="475">
        <v>0</v>
      </c>
      <c r="Z192" s="476">
        <v>0</v>
      </c>
      <c r="AA192" s="38">
        <f t="shared" si="57"/>
        <v>0</v>
      </c>
      <c r="AB192" s="692">
        <f t="shared" si="50"/>
        <v>0</v>
      </c>
      <c r="AC192" s="692">
        <f t="shared" si="62"/>
        <v>0</v>
      </c>
      <c r="AD192" s="692">
        <f t="shared" si="58"/>
        <v>303.3</v>
      </c>
      <c r="AE192" s="38"/>
      <c r="AF192" s="692">
        <f t="shared" si="59"/>
        <v>0</v>
      </c>
      <c r="AG192" s="692">
        <f t="shared" si="60"/>
        <v>0</v>
      </c>
      <c r="AH192" s="692">
        <f t="shared" si="61"/>
        <v>0</v>
      </c>
    </row>
    <row r="193" spans="1:34">
      <c r="A193" s="21"/>
      <c r="B193" s="21" t="s">
        <v>110</v>
      </c>
      <c r="C193" s="666" t="s">
        <v>572</v>
      </c>
      <c r="D193" s="68" t="s">
        <v>388</v>
      </c>
      <c r="E193" s="679">
        <v>28045.439999999999</v>
      </c>
      <c r="F193" s="529">
        <f>VLOOKUP(D193,'Apr 2012 DMV Revenue'!D:T,17,FALSE)</f>
        <v>-21661.67</v>
      </c>
      <c r="G193" s="680"/>
      <c r="H193" s="680"/>
      <c r="I193" s="770">
        <v>12829.06</v>
      </c>
      <c r="J193" s="682">
        <f t="shared" si="49"/>
        <v>19212.830000000002</v>
      </c>
      <c r="K193" s="683"/>
      <c r="L193" s="684"/>
      <c r="M193" s="753"/>
      <c r="N193" s="683">
        <v>0</v>
      </c>
      <c r="O193" s="686"/>
      <c r="P193" s="683">
        <v>0</v>
      </c>
      <c r="Q193" s="687">
        <f t="shared" si="52"/>
        <v>0</v>
      </c>
      <c r="R193" s="781">
        <v>0</v>
      </c>
      <c r="S193" s="693"/>
      <c r="T193" s="690">
        <f t="shared" si="53"/>
        <v>0</v>
      </c>
      <c r="U193" s="683"/>
      <c r="V193" s="474">
        <f t="shared" si="54"/>
        <v>0</v>
      </c>
      <c r="W193" s="474">
        <f t="shared" si="55"/>
        <v>0</v>
      </c>
      <c r="X193" s="475">
        <f t="shared" si="56"/>
        <v>0</v>
      </c>
      <c r="Y193" s="475">
        <v>0</v>
      </c>
      <c r="Z193" s="476">
        <v>0</v>
      </c>
      <c r="AA193" s="38">
        <f t="shared" si="57"/>
        <v>0</v>
      </c>
      <c r="AB193" s="692">
        <f t="shared" si="50"/>
        <v>19212.830000000002</v>
      </c>
      <c r="AC193" s="692">
        <f t="shared" si="62"/>
        <v>0</v>
      </c>
      <c r="AD193" s="692">
        <f t="shared" si="58"/>
        <v>0</v>
      </c>
      <c r="AE193" s="38"/>
      <c r="AF193" s="692">
        <f t="shared" si="59"/>
        <v>0</v>
      </c>
      <c r="AG193" s="692">
        <f t="shared" si="60"/>
        <v>0</v>
      </c>
      <c r="AH193" s="692">
        <f t="shared" si="61"/>
        <v>0</v>
      </c>
    </row>
    <row r="194" spans="1:34">
      <c r="A194" s="21"/>
      <c r="B194" s="21" t="s">
        <v>110</v>
      </c>
      <c r="C194" s="666"/>
      <c r="D194" s="68" t="s">
        <v>45</v>
      </c>
      <c r="E194" s="679"/>
      <c r="F194" s="529">
        <f>VLOOKUP(D194,'Apr 2012 DMV Revenue'!D:T,17,FALSE)</f>
        <v>731.30999999999949</v>
      </c>
      <c r="G194" s="680"/>
      <c r="H194" s="680"/>
      <c r="I194" s="755"/>
      <c r="J194" s="682">
        <f t="shared" si="49"/>
        <v>731.30999999999949</v>
      </c>
      <c r="K194" s="683"/>
      <c r="L194" s="684"/>
      <c r="M194" s="753">
        <v>13000</v>
      </c>
      <c r="N194" s="683">
        <v>0</v>
      </c>
      <c r="O194" s="686"/>
      <c r="P194" s="683">
        <v>0</v>
      </c>
      <c r="Q194" s="687">
        <f t="shared" si="52"/>
        <v>13000</v>
      </c>
      <c r="R194" s="781">
        <f>12630.75+586.61</f>
        <v>13217.36</v>
      </c>
      <c r="S194" s="693"/>
      <c r="T194" s="690">
        <f t="shared" si="53"/>
        <v>217.36000000000058</v>
      </c>
      <c r="U194" s="683"/>
      <c r="V194" s="474">
        <f t="shared" si="54"/>
        <v>13000</v>
      </c>
      <c r="W194" s="474">
        <f t="shared" si="55"/>
        <v>0</v>
      </c>
      <c r="X194" s="475">
        <f t="shared" si="56"/>
        <v>0</v>
      </c>
      <c r="Y194" s="475">
        <v>0</v>
      </c>
      <c r="Z194" s="476">
        <v>0</v>
      </c>
      <c r="AA194" s="38">
        <f t="shared" si="57"/>
        <v>0</v>
      </c>
      <c r="AB194" s="692">
        <f t="shared" si="50"/>
        <v>731.30999999999949</v>
      </c>
      <c r="AC194" s="692">
        <f t="shared" si="62"/>
        <v>0</v>
      </c>
      <c r="AD194" s="692">
        <f t="shared" si="58"/>
        <v>0</v>
      </c>
      <c r="AE194" s="38"/>
      <c r="AF194" s="692">
        <f t="shared" si="59"/>
        <v>13000</v>
      </c>
      <c r="AG194" s="692">
        <f t="shared" si="60"/>
        <v>0</v>
      </c>
      <c r="AH194" s="692">
        <f t="shared" si="61"/>
        <v>0</v>
      </c>
    </row>
    <row r="195" spans="1:34">
      <c r="A195" s="21"/>
      <c r="B195" s="21" t="s">
        <v>109</v>
      </c>
      <c r="C195" s="666"/>
      <c r="D195" s="68" t="s">
        <v>47</v>
      </c>
      <c r="E195" s="679"/>
      <c r="F195" s="529">
        <f>VLOOKUP(D195,'Apr 2012 DMV Revenue'!D:T,17,FALSE)</f>
        <v>0</v>
      </c>
      <c r="G195" s="680"/>
      <c r="H195" s="680"/>
      <c r="I195" s="755"/>
      <c r="J195" s="682">
        <f t="shared" si="49"/>
        <v>0</v>
      </c>
      <c r="K195" s="683"/>
      <c r="L195" s="684"/>
      <c r="M195" s="753"/>
      <c r="N195" s="683">
        <v>0</v>
      </c>
      <c r="O195" s="686"/>
      <c r="P195" s="683">
        <v>0</v>
      </c>
      <c r="Q195" s="687">
        <f t="shared" si="52"/>
        <v>0</v>
      </c>
      <c r="R195" s="781">
        <v>0</v>
      </c>
      <c r="S195" s="693"/>
      <c r="T195" s="690">
        <f t="shared" si="53"/>
        <v>0</v>
      </c>
      <c r="U195" s="683"/>
      <c r="V195" s="474">
        <f t="shared" si="54"/>
        <v>0</v>
      </c>
      <c r="W195" s="474">
        <f t="shared" si="55"/>
        <v>0</v>
      </c>
      <c r="X195" s="475">
        <f t="shared" si="56"/>
        <v>0</v>
      </c>
      <c r="Y195" s="475">
        <v>0</v>
      </c>
      <c r="Z195" s="476">
        <v>0</v>
      </c>
      <c r="AA195" s="38">
        <f t="shared" si="57"/>
        <v>0</v>
      </c>
      <c r="AB195" s="692">
        <f t="shared" si="50"/>
        <v>0</v>
      </c>
      <c r="AC195" s="692">
        <f t="shared" si="62"/>
        <v>0</v>
      </c>
      <c r="AD195" s="692">
        <f t="shared" si="58"/>
        <v>0</v>
      </c>
      <c r="AE195" s="38"/>
      <c r="AF195" s="692">
        <f t="shared" si="59"/>
        <v>0</v>
      </c>
      <c r="AG195" s="692">
        <f t="shared" si="60"/>
        <v>0</v>
      </c>
      <c r="AH195" s="692">
        <f t="shared" si="61"/>
        <v>0</v>
      </c>
    </row>
    <row r="196" spans="1:34">
      <c r="A196" s="20" t="s">
        <v>211</v>
      </c>
      <c r="B196" s="20" t="s">
        <v>110</v>
      </c>
      <c r="C196" s="667"/>
      <c r="D196" s="68" t="s">
        <v>233</v>
      </c>
      <c r="E196" s="679"/>
      <c r="F196" s="529">
        <f>VLOOKUP(D196,'Apr 2012 DMV Revenue'!D:T,17,FALSE)</f>
        <v>0</v>
      </c>
      <c r="G196" s="680"/>
      <c r="H196" s="680"/>
      <c r="I196" s="755"/>
      <c r="J196" s="682">
        <f t="shared" si="49"/>
        <v>0</v>
      </c>
      <c r="K196" s="683"/>
      <c r="L196" s="684"/>
      <c r="M196" s="753"/>
      <c r="N196" s="683">
        <v>0</v>
      </c>
      <c r="O196" s="686"/>
      <c r="P196" s="683">
        <v>0</v>
      </c>
      <c r="Q196" s="687">
        <f t="shared" si="52"/>
        <v>0</v>
      </c>
      <c r="R196" s="781">
        <v>0</v>
      </c>
      <c r="S196" s="693"/>
      <c r="T196" s="690">
        <f t="shared" si="53"/>
        <v>0</v>
      </c>
      <c r="U196" s="697"/>
      <c r="V196" s="474">
        <f t="shared" si="54"/>
        <v>0</v>
      </c>
      <c r="W196" s="474">
        <f t="shared" si="55"/>
        <v>0</v>
      </c>
      <c r="X196" s="475">
        <f t="shared" si="56"/>
        <v>0</v>
      </c>
      <c r="Y196" s="475">
        <v>0</v>
      </c>
      <c r="Z196" s="476">
        <v>0</v>
      </c>
      <c r="AA196" s="38">
        <f t="shared" si="57"/>
        <v>0</v>
      </c>
      <c r="AB196" s="692">
        <f t="shared" si="50"/>
        <v>0</v>
      </c>
      <c r="AC196" s="692">
        <f t="shared" si="62"/>
        <v>0</v>
      </c>
      <c r="AD196" s="692">
        <f t="shared" si="58"/>
        <v>0</v>
      </c>
      <c r="AE196" s="38"/>
      <c r="AF196" s="692">
        <f t="shared" si="59"/>
        <v>0</v>
      </c>
      <c r="AG196" s="692">
        <f t="shared" si="60"/>
        <v>0</v>
      </c>
      <c r="AH196" s="692">
        <f t="shared" si="61"/>
        <v>0</v>
      </c>
    </row>
    <row r="197" spans="1:34">
      <c r="A197" s="20" t="s">
        <v>211</v>
      </c>
      <c r="B197" s="20" t="s">
        <v>110</v>
      </c>
      <c r="C197" s="667"/>
      <c r="D197" s="68" t="s">
        <v>503</v>
      </c>
      <c r="E197" s="679"/>
      <c r="F197" s="529">
        <f>VLOOKUP(D197,'Apr 2012 DMV Revenue'!D:T,17,FALSE)</f>
        <v>0</v>
      </c>
      <c r="G197" s="680"/>
      <c r="H197" s="680"/>
      <c r="I197" s="755"/>
      <c r="J197" s="682">
        <f t="shared" ref="J197" si="67">SUM(E197:I197)</f>
        <v>0</v>
      </c>
      <c r="K197" s="683"/>
      <c r="L197" s="684"/>
      <c r="M197" s="753"/>
      <c r="N197" s="683">
        <v>0</v>
      </c>
      <c r="O197" s="686"/>
      <c r="P197" s="683">
        <v>0</v>
      </c>
      <c r="Q197" s="687">
        <f t="shared" si="52"/>
        <v>0</v>
      </c>
      <c r="R197" s="781">
        <v>0</v>
      </c>
      <c r="S197" s="693"/>
      <c r="T197" s="690">
        <f t="shared" si="53"/>
        <v>0</v>
      </c>
      <c r="U197" s="697"/>
      <c r="V197" s="474">
        <f t="shared" si="54"/>
        <v>0</v>
      </c>
      <c r="W197" s="474">
        <f t="shared" si="55"/>
        <v>0</v>
      </c>
      <c r="X197" s="475">
        <f t="shared" si="56"/>
        <v>0</v>
      </c>
      <c r="Y197" s="475">
        <v>0</v>
      </c>
      <c r="Z197" s="476">
        <v>0</v>
      </c>
      <c r="AA197" s="38">
        <f t="shared" si="57"/>
        <v>0</v>
      </c>
      <c r="AB197" s="692">
        <f t="shared" si="50"/>
        <v>0</v>
      </c>
      <c r="AC197" s="692">
        <f t="shared" si="62"/>
        <v>0</v>
      </c>
      <c r="AD197" s="692">
        <f t="shared" si="58"/>
        <v>0</v>
      </c>
      <c r="AE197" s="38"/>
      <c r="AF197" s="692">
        <f t="shared" si="59"/>
        <v>0</v>
      </c>
      <c r="AG197" s="692">
        <f t="shared" si="60"/>
        <v>0</v>
      </c>
      <c r="AH197" s="692">
        <f t="shared" si="61"/>
        <v>0</v>
      </c>
    </row>
    <row r="198" spans="1:34">
      <c r="A198" s="20" t="s">
        <v>211</v>
      </c>
      <c r="B198" s="20" t="s">
        <v>109</v>
      </c>
      <c r="C198" s="667"/>
      <c r="D198" s="68" t="s">
        <v>48</v>
      </c>
      <c r="E198" s="679"/>
      <c r="F198" s="529">
        <f>VLOOKUP(D198,'Apr 2012 DMV Revenue'!D:T,17,FALSE)</f>
        <v>0</v>
      </c>
      <c r="G198" s="680"/>
      <c r="H198" s="680"/>
      <c r="I198" s="755"/>
      <c r="J198" s="682">
        <f t="shared" si="49"/>
        <v>0</v>
      </c>
      <c r="K198" s="683"/>
      <c r="L198" s="684"/>
      <c r="M198" s="753"/>
      <c r="N198" s="683">
        <v>0</v>
      </c>
      <c r="O198" s="686"/>
      <c r="P198" s="683">
        <v>0</v>
      </c>
      <c r="Q198" s="687">
        <f t="shared" si="52"/>
        <v>0</v>
      </c>
      <c r="R198" s="781">
        <v>0</v>
      </c>
      <c r="S198" s="693"/>
      <c r="T198" s="690">
        <f t="shared" si="53"/>
        <v>0</v>
      </c>
      <c r="U198" s="697"/>
      <c r="V198" s="474">
        <f t="shared" si="54"/>
        <v>0</v>
      </c>
      <c r="W198" s="474">
        <f t="shared" si="55"/>
        <v>0</v>
      </c>
      <c r="X198" s="475">
        <f t="shared" si="56"/>
        <v>0</v>
      </c>
      <c r="Y198" s="475">
        <v>0</v>
      </c>
      <c r="Z198" s="476">
        <v>0</v>
      </c>
      <c r="AA198" s="38">
        <f t="shared" si="57"/>
        <v>0</v>
      </c>
      <c r="AB198" s="692">
        <f t="shared" si="50"/>
        <v>0</v>
      </c>
      <c r="AC198" s="692">
        <f t="shared" si="62"/>
        <v>0</v>
      </c>
      <c r="AD198" s="692">
        <f t="shared" si="58"/>
        <v>0</v>
      </c>
      <c r="AE198" s="38"/>
      <c r="AF198" s="692">
        <f t="shared" si="59"/>
        <v>0</v>
      </c>
      <c r="AG198" s="692">
        <f t="shared" si="60"/>
        <v>0</v>
      </c>
      <c r="AH198" s="692">
        <f t="shared" si="61"/>
        <v>0</v>
      </c>
    </row>
    <row r="199" spans="1:34">
      <c r="A199" s="20"/>
      <c r="B199" s="20" t="s">
        <v>110</v>
      </c>
      <c r="C199" s="667" t="s">
        <v>573</v>
      </c>
      <c r="D199" s="68" t="s">
        <v>102</v>
      </c>
      <c r="E199" s="679">
        <v>38079.480000000003</v>
      </c>
      <c r="F199" s="529">
        <f>VLOOKUP(D199,'Apr 2012 DMV Revenue'!D:T,17,FALSE)</f>
        <v>36882.660000000033</v>
      </c>
      <c r="G199" s="680"/>
      <c r="H199" s="680"/>
      <c r="I199" s="755"/>
      <c r="J199" s="682">
        <f t="shared" si="49"/>
        <v>74962.140000000043</v>
      </c>
      <c r="K199" s="683"/>
      <c r="L199" s="684"/>
      <c r="M199" s="753">
        <v>700000</v>
      </c>
      <c r="N199" s="683">
        <v>0</v>
      </c>
      <c r="O199" s="686"/>
      <c r="P199" s="683">
        <v>0</v>
      </c>
      <c r="Q199" s="687">
        <f t="shared" si="52"/>
        <v>700000</v>
      </c>
      <c r="R199" s="781">
        <v>746409.35</v>
      </c>
      <c r="S199" s="693"/>
      <c r="T199" s="690">
        <f t="shared" si="53"/>
        <v>46409.349999999977</v>
      </c>
      <c r="U199" s="697"/>
      <c r="V199" s="474">
        <f t="shared" si="54"/>
        <v>700000</v>
      </c>
      <c r="W199" s="474">
        <f t="shared" si="55"/>
        <v>0</v>
      </c>
      <c r="X199" s="475">
        <f t="shared" si="56"/>
        <v>0</v>
      </c>
      <c r="Y199" s="475">
        <v>0</v>
      </c>
      <c r="Z199" s="476">
        <v>0</v>
      </c>
      <c r="AA199" s="38">
        <f t="shared" si="57"/>
        <v>0</v>
      </c>
      <c r="AB199" s="692">
        <f t="shared" si="50"/>
        <v>74962.140000000043</v>
      </c>
      <c r="AC199" s="692">
        <f t="shared" si="62"/>
        <v>0</v>
      </c>
      <c r="AD199" s="692">
        <f t="shared" si="58"/>
        <v>0</v>
      </c>
      <c r="AE199" s="38"/>
      <c r="AF199" s="692">
        <f t="shared" si="59"/>
        <v>700000</v>
      </c>
      <c r="AG199" s="692">
        <f t="shared" si="60"/>
        <v>0</v>
      </c>
      <c r="AH199" s="692">
        <f t="shared" si="61"/>
        <v>0</v>
      </c>
    </row>
    <row r="200" spans="1:34">
      <c r="A200" s="20"/>
      <c r="B200" s="20" t="s">
        <v>110</v>
      </c>
      <c r="C200" s="667" t="s">
        <v>573</v>
      </c>
      <c r="D200" s="68" t="s">
        <v>511</v>
      </c>
      <c r="E200" s="679">
        <f>22344.93+23770.5</f>
        <v>46115.43</v>
      </c>
      <c r="F200" s="529">
        <f>VLOOKUP(D200,'Apr 2012 DMV Revenue'!D:T,17,FALSE)</f>
        <v>-30000</v>
      </c>
      <c r="G200" s="680"/>
      <c r="H200" s="680"/>
      <c r="I200" s="755"/>
      <c r="J200" s="682">
        <f t="shared" ref="J200" si="68">SUM(E200:I200)</f>
        <v>16115.43</v>
      </c>
      <c r="K200" s="683"/>
      <c r="L200" s="684"/>
      <c r="M200" s="753">
        <v>40000</v>
      </c>
      <c r="N200" s="683">
        <v>0</v>
      </c>
      <c r="O200" s="686"/>
      <c r="P200" s="683">
        <v>0</v>
      </c>
      <c r="Q200" s="687">
        <f t="shared" si="52"/>
        <v>40000</v>
      </c>
      <c r="R200" s="781">
        <v>0</v>
      </c>
      <c r="S200" s="693"/>
      <c r="T200" s="690">
        <f t="shared" si="53"/>
        <v>-40000</v>
      </c>
      <c r="U200" s="697"/>
      <c r="V200" s="474">
        <f t="shared" si="54"/>
        <v>40000</v>
      </c>
      <c r="W200" s="474">
        <f t="shared" si="55"/>
        <v>0</v>
      </c>
      <c r="X200" s="475">
        <f t="shared" si="56"/>
        <v>0</v>
      </c>
      <c r="Y200" s="475">
        <v>0</v>
      </c>
      <c r="Z200" s="476">
        <v>0</v>
      </c>
      <c r="AA200" s="38">
        <f t="shared" si="57"/>
        <v>0</v>
      </c>
      <c r="AB200" s="692">
        <f t="shared" si="50"/>
        <v>16115.43</v>
      </c>
      <c r="AC200" s="692">
        <f t="shared" si="62"/>
        <v>0</v>
      </c>
      <c r="AD200" s="692">
        <f t="shared" si="58"/>
        <v>0</v>
      </c>
      <c r="AE200" s="38"/>
      <c r="AF200" s="692">
        <f t="shared" si="59"/>
        <v>40000</v>
      </c>
      <c r="AG200" s="692">
        <f t="shared" si="60"/>
        <v>0</v>
      </c>
      <c r="AH200" s="692">
        <f t="shared" si="61"/>
        <v>0</v>
      </c>
    </row>
    <row r="201" spans="1:34">
      <c r="A201" s="21"/>
      <c r="B201" s="21" t="s">
        <v>110</v>
      </c>
      <c r="C201" s="666"/>
      <c r="D201" s="68" t="s">
        <v>50</v>
      </c>
      <c r="E201" s="679">
        <f>1180.92+1214.95+1065.05</f>
        <v>3460.92</v>
      </c>
      <c r="F201" s="529">
        <f>VLOOKUP(D201,'Apr 2012 DMV Revenue'!D:T,17,FALSE)</f>
        <v>1282.6099999999999</v>
      </c>
      <c r="G201" s="680"/>
      <c r="H201" s="680"/>
      <c r="I201" s="770">
        <v>1260.5899999999999</v>
      </c>
      <c r="J201" s="682">
        <f t="shared" si="49"/>
        <v>6004.12</v>
      </c>
      <c r="K201" s="683"/>
      <c r="L201" s="684"/>
      <c r="M201" s="753"/>
      <c r="N201" s="683">
        <v>0</v>
      </c>
      <c r="O201" s="686"/>
      <c r="P201" s="683">
        <v>0</v>
      </c>
      <c r="Q201" s="687">
        <f t="shared" si="52"/>
        <v>0</v>
      </c>
      <c r="R201" s="781">
        <v>0</v>
      </c>
      <c r="S201" s="693"/>
      <c r="T201" s="690">
        <f t="shared" si="53"/>
        <v>0</v>
      </c>
      <c r="U201" s="683"/>
      <c r="V201" s="474">
        <f t="shared" si="54"/>
        <v>0</v>
      </c>
      <c r="W201" s="474">
        <f t="shared" si="55"/>
        <v>0</v>
      </c>
      <c r="X201" s="475">
        <f t="shared" si="56"/>
        <v>0</v>
      </c>
      <c r="Y201" s="475">
        <v>0</v>
      </c>
      <c r="Z201" s="476">
        <v>0</v>
      </c>
      <c r="AA201" s="38">
        <f t="shared" si="57"/>
        <v>0</v>
      </c>
      <c r="AB201" s="692">
        <f t="shared" si="50"/>
        <v>6004.12</v>
      </c>
      <c r="AC201" s="692">
        <f t="shared" si="62"/>
        <v>0</v>
      </c>
      <c r="AD201" s="692">
        <f t="shared" si="58"/>
        <v>0</v>
      </c>
      <c r="AE201" s="38"/>
      <c r="AF201" s="692">
        <f t="shared" si="59"/>
        <v>0</v>
      </c>
      <c r="AG201" s="692">
        <f t="shared" si="60"/>
        <v>0</v>
      </c>
      <c r="AH201" s="692">
        <f t="shared" si="61"/>
        <v>0</v>
      </c>
    </row>
    <row r="202" spans="1:34">
      <c r="A202" s="21"/>
      <c r="B202" s="21" t="s">
        <v>109</v>
      </c>
      <c r="C202" s="666"/>
      <c r="D202" s="68" t="s">
        <v>51</v>
      </c>
      <c r="E202" s="679"/>
      <c r="F202" s="529">
        <f>VLOOKUP(D202,'Apr 2012 DMV Revenue'!D:T,17,FALSE)</f>
        <v>0</v>
      </c>
      <c r="G202" s="680"/>
      <c r="H202" s="680"/>
      <c r="I202" s="755"/>
      <c r="J202" s="682">
        <f t="shared" si="49"/>
        <v>0</v>
      </c>
      <c r="K202" s="683"/>
      <c r="L202" s="684"/>
      <c r="M202" s="753"/>
      <c r="N202" s="683">
        <v>0</v>
      </c>
      <c r="O202" s="686"/>
      <c r="P202" s="683">
        <v>0</v>
      </c>
      <c r="Q202" s="687">
        <f t="shared" si="52"/>
        <v>0</v>
      </c>
      <c r="R202" s="781">
        <v>0</v>
      </c>
      <c r="S202" s="693"/>
      <c r="T202" s="690">
        <f t="shared" si="53"/>
        <v>0</v>
      </c>
      <c r="U202" s="683"/>
      <c r="V202" s="474">
        <f t="shared" si="54"/>
        <v>0</v>
      </c>
      <c r="W202" s="474">
        <f t="shared" si="55"/>
        <v>0</v>
      </c>
      <c r="X202" s="475">
        <f t="shared" si="56"/>
        <v>0</v>
      </c>
      <c r="Y202" s="475">
        <v>0</v>
      </c>
      <c r="Z202" s="476">
        <v>0</v>
      </c>
      <c r="AA202" s="38">
        <f t="shared" si="57"/>
        <v>0</v>
      </c>
      <c r="AB202" s="692">
        <f t="shared" si="50"/>
        <v>0</v>
      </c>
      <c r="AC202" s="692">
        <f t="shared" si="62"/>
        <v>0</v>
      </c>
      <c r="AD202" s="692">
        <f t="shared" si="58"/>
        <v>0</v>
      </c>
      <c r="AE202" s="38"/>
      <c r="AF202" s="692">
        <f t="shared" si="59"/>
        <v>0</v>
      </c>
      <c r="AG202" s="692">
        <f t="shared" si="60"/>
        <v>0</v>
      </c>
      <c r="AH202" s="692">
        <f t="shared" si="61"/>
        <v>0</v>
      </c>
    </row>
    <row r="203" spans="1:34">
      <c r="A203" s="21"/>
      <c r="B203" s="21" t="s">
        <v>109</v>
      </c>
      <c r="C203" s="666"/>
      <c r="D203" s="68" t="s">
        <v>107</v>
      </c>
      <c r="E203" s="679">
        <f>433.55+372.88</f>
        <v>806.43000000000006</v>
      </c>
      <c r="F203" s="529">
        <f>VLOOKUP(D203,'Apr 2012 DMV Revenue'!D:T,17,FALSE)</f>
        <v>0</v>
      </c>
      <c r="G203" s="680"/>
      <c r="H203" s="680"/>
      <c r="I203" s="755"/>
      <c r="J203" s="682">
        <f t="shared" si="49"/>
        <v>806.43000000000006</v>
      </c>
      <c r="K203" s="683"/>
      <c r="L203" s="684"/>
      <c r="M203" s="753"/>
      <c r="N203" s="683">
        <v>0</v>
      </c>
      <c r="O203" s="686"/>
      <c r="P203" s="683">
        <v>0</v>
      </c>
      <c r="Q203" s="687">
        <f t="shared" si="52"/>
        <v>0</v>
      </c>
      <c r="R203" s="781">
        <v>315.83999999999997</v>
      </c>
      <c r="S203" s="693"/>
      <c r="T203" s="690">
        <f t="shared" si="53"/>
        <v>315.83999999999997</v>
      </c>
      <c r="U203" s="683"/>
      <c r="V203" s="474">
        <f t="shared" si="54"/>
        <v>0</v>
      </c>
      <c r="W203" s="474">
        <f t="shared" si="55"/>
        <v>0</v>
      </c>
      <c r="X203" s="475">
        <f t="shared" si="56"/>
        <v>0</v>
      </c>
      <c r="Y203" s="475">
        <v>0</v>
      </c>
      <c r="Z203" s="476">
        <v>0</v>
      </c>
      <c r="AA203" s="38">
        <f t="shared" si="57"/>
        <v>0</v>
      </c>
      <c r="AB203" s="692">
        <f t="shared" si="50"/>
        <v>0</v>
      </c>
      <c r="AC203" s="692">
        <f t="shared" si="62"/>
        <v>806.43000000000006</v>
      </c>
      <c r="AD203" s="692">
        <f t="shared" si="58"/>
        <v>0</v>
      </c>
      <c r="AE203" s="38"/>
      <c r="AF203" s="692">
        <f t="shared" si="59"/>
        <v>0</v>
      </c>
      <c r="AG203" s="692">
        <f t="shared" si="60"/>
        <v>0</v>
      </c>
      <c r="AH203" s="692">
        <f t="shared" si="61"/>
        <v>0</v>
      </c>
    </row>
    <row r="204" spans="1:34">
      <c r="A204" s="20"/>
      <c r="B204" s="20" t="s">
        <v>109</v>
      </c>
      <c r="C204" s="667" t="s">
        <v>574</v>
      </c>
      <c r="D204" s="68" t="s">
        <v>156</v>
      </c>
      <c r="E204" s="679"/>
      <c r="F204" s="529">
        <f>VLOOKUP(D204,'Apr 2012 DMV Revenue'!D:T,17,FALSE)</f>
        <v>0</v>
      </c>
      <c r="G204" s="680"/>
      <c r="H204" s="680"/>
      <c r="I204" s="755"/>
      <c r="J204" s="682">
        <f t="shared" ref="J204:J250" si="69">SUM(E204:I204)</f>
        <v>0</v>
      </c>
      <c r="K204" s="683"/>
      <c r="L204" s="684"/>
      <c r="M204" s="753"/>
      <c r="N204" s="683">
        <v>0</v>
      </c>
      <c r="O204" s="686"/>
      <c r="P204" s="683">
        <v>0</v>
      </c>
      <c r="Q204" s="687">
        <f t="shared" si="52"/>
        <v>0</v>
      </c>
      <c r="R204" s="781">
        <v>0</v>
      </c>
      <c r="S204" s="693"/>
      <c r="T204" s="690">
        <f t="shared" si="53"/>
        <v>0</v>
      </c>
      <c r="U204" s="683"/>
      <c r="V204" s="474">
        <f t="shared" si="54"/>
        <v>0</v>
      </c>
      <c r="W204" s="474">
        <f t="shared" si="55"/>
        <v>0</v>
      </c>
      <c r="X204" s="475">
        <f t="shared" si="56"/>
        <v>0</v>
      </c>
      <c r="Y204" s="475">
        <v>0</v>
      </c>
      <c r="Z204" s="476">
        <v>0</v>
      </c>
      <c r="AA204" s="38">
        <f t="shared" si="57"/>
        <v>0</v>
      </c>
      <c r="AB204" s="692">
        <f t="shared" si="50"/>
        <v>0</v>
      </c>
      <c r="AC204" s="692">
        <f t="shared" si="62"/>
        <v>0</v>
      </c>
      <c r="AD204" s="692">
        <f t="shared" si="58"/>
        <v>0</v>
      </c>
      <c r="AE204" s="38"/>
      <c r="AF204" s="692">
        <f t="shared" si="59"/>
        <v>0</v>
      </c>
      <c r="AG204" s="692">
        <f t="shared" si="60"/>
        <v>0</v>
      </c>
      <c r="AH204" s="692">
        <f t="shared" si="61"/>
        <v>0</v>
      </c>
    </row>
    <row r="205" spans="1:34">
      <c r="A205" s="20"/>
      <c r="B205" s="20" t="s">
        <v>109</v>
      </c>
      <c r="C205" s="667" t="s">
        <v>574</v>
      </c>
      <c r="D205" s="68" t="s">
        <v>157</v>
      </c>
      <c r="E205" s="679"/>
      <c r="F205" s="529">
        <f>VLOOKUP(D205,'Apr 2012 DMV Revenue'!D:T,17,FALSE)</f>
        <v>0</v>
      </c>
      <c r="G205" s="680"/>
      <c r="H205" s="680"/>
      <c r="I205" s="755"/>
      <c r="J205" s="682">
        <f t="shared" si="69"/>
        <v>0</v>
      </c>
      <c r="K205" s="683"/>
      <c r="L205" s="684"/>
      <c r="M205" s="753"/>
      <c r="N205" s="683">
        <v>0</v>
      </c>
      <c r="O205" s="686"/>
      <c r="P205" s="683">
        <v>0</v>
      </c>
      <c r="Q205" s="687">
        <f t="shared" si="52"/>
        <v>0</v>
      </c>
      <c r="R205" s="781">
        <v>0</v>
      </c>
      <c r="S205" s="693"/>
      <c r="T205" s="690">
        <f t="shared" si="53"/>
        <v>0</v>
      </c>
      <c r="U205" s="683"/>
      <c r="V205" s="474">
        <f t="shared" si="54"/>
        <v>0</v>
      </c>
      <c r="W205" s="474">
        <f t="shared" si="55"/>
        <v>0</v>
      </c>
      <c r="X205" s="475">
        <f t="shared" si="56"/>
        <v>0</v>
      </c>
      <c r="Y205" s="475">
        <v>0</v>
      </c>
      <c r="Z205" s="476">
        <v>0</v>
      </c>
      <c r="AA205" s="38">
        <f t="shared" si="57"/>
        <v>0</v>
      </c>
      <c r="AB205" s="692">
        <f t="shared" si="50"/>
        <v>0</v>
      </c>
      <c r="AC205" s="692">
        <f t="shared" si="62"/>
        <v>0</v>
      </c>
      <c r="AD205" s="692">
        <f t="shared" si="58"/>
        <v>0</v>
      </c>
      <c r="AE205" s="38"/>
      <c r="AF205" s="692">
        <f t="shared" si="59"/>
        <v>0</v>
      </c>
      <c r="AG205" s="692">
        <f t="shared" si="60"/>
        <v>0</v>
      </c>
      <c r="AH205" s="692">
        <f t="shared" si="61"/>
        <v>0</v>
      </c>
    </row>
    <row r="206" spans="1:34">
      <c r="A206" s="20"/>
      <c r="B206" s="20" t="s">
        <v>109</v>
      </c>
      <c r="C206" s="667" t="s">
        <v>574</v>
      </c>
      <c r="D206" s="68" t="s">
        <v>158</v>
      </c>
      <c r="E206" s="679"/>
      <c r="F206" s="529">
        <f>VLOOKUP(D206,'Apr 2012 DMV Revenue'!D:T,17,FALSE)</f>
        <v>0</v>
      </c>
      <c r="G206" s="680"/>
      <c r="H206" s="680"/>
      <c r="I206" s="755"/>
      <c r="J206" s="682">
        <f t="shared" si="69"/>
        <v>0</v>
      </c>
      <c r="K206" s="683"/>
      <c r="L206" s="684"/>
      <c r="M206" s="753"/>
      <c r="N206" s="683">
        <v>0</v>
      </c>
      <c r="O206" s="686"/>
      <c r="P206" s="683">
        <v>0</v>
      </c>
      <c r="Q206" s="687">
        <f t="shared" si="52"/>
        <v>0</v>
      </c>
      <c r="R206" s="781">
        <v>0</v>
      </c>
      <c r="S206" s="693"/>
      <c r="T206" s="690">
        <f t="shared" si="53"/>
        <v>0</v>
      </c>
      <c r="U206" s="683"/>
      <c r="V206" s="474">
        <f t="shared" si="54"/>
        <v>0</v>
      </c>
      <c r="W206" s="474">
        <f t="shared" si="55"/>
        <v>0</v>
      </c>
      <c r="X206" s="475">
        <f t="shared" si="56"/>
        <v>0</v>
      </c>
      <c r="Y206" s="475">
        <v>0</v>
      </c>
      <c r="Z206" s="476">
        <v>0</v>
      </c>
      <c r="AA206" s="38">
        <f t="shared" si="57"/>
        <v>0</v>
      </c>
      <c r="AB206" s="692">
        <f t="shared" si="50"/>
        <v>0</v>
      </c>
      <c r="AC206" s="692">
        <f t="shared" si="62"/>
        <v>0</v>
      </c>
      <c r="AD206" s="692">
        <f t="shared" si="58"/>
        <v>0</v>
      </c>
      <c r="AE206" s="38"/>
      <c r="AF206" s="692">
        <f t="shared" si="59"/>
        <v>0</v>
      </c>
      <c r="AG206" s="692">
        <f t="shared" si="60"/>
        <v>0</v>
      </c>
      <c r="AH206" s="692">
        <f t="shared" si="61"/>
        <v>0</v>
      </c>
    </row>
    <row r="207" spans="1:34">
      <c r="A207" s="21" t="s">
        <v>97</v>
      </c>
      <c r="B207" s="21" t="s">
        <v>109</v>
      </c>
      <c r="C207" s="666"/>
      <c r="D207" s="68" t="s">
        <v>52</v>
      </c>
      <c r="E207" s="679"/>
      <c r="F207" s="529">
        <f>VLOOKUP(D207,'Apr 2012 DMV Revenue'!D:T,17,FALSE)</f>
        <v>0</v>
      </c>
      <c r="G207" s="680"/>
      <c r="H207" s="680"/>
      <c r="I207" s="755"/>
      <c r="J207" s="682">
        <f t="shared" si="69"/>
        <v>0</v>
      </c>
      <c r="K207" s="683"/>
      <c r="L207" s="684"/>
      <c r="M207" s="753"/>
      <c r="N207" s="683">
        <v>0</v>
      </c>
      <c r="O207" s="686"/>
      <c r="P207" s="683">
        <v>0</v>
      </c>
      <c r="Q207" s="687">
        <f t="shared" si="52"/>
        <v>0</v>
      </c>
      <c r="R207" s="781">
        <v>0</v>
      </c>
      <c r="S207" s="693"/>
      <c r="T207" s="690">
        <f t="shared" si="53"/>
        <v>0</v>
      </c>
      <c r="U207" s="683"/>
      <c r="V207" s="474">
        <f t="shared" si="54"/>
        <v>0</v>
      </c>
      <c r="W207" s="474">
        <f t="shared" si="55"/>
        <v>0</v>
      </c>
      <c r="X207" s="475">
        <f t="shared" si="56"/>
        <v>0</v>
      </c>
      <c r="Y207" s="475">
        <v>0</v>
      </c>
      <c r="Z207" s="476">
        <v>0</v>
      </c>
      <c r="AA207" s="38">
        <f t="shared" si="57"/>
        <v>0</v>
      </c>
      <c r="AB207" s="692">
        <f t="shared" si="50"/>
        <v>0</v>
      </c>
      <c r="AC207" s="692">
        <f t="shared" si="62"/>
        <v>0</v>
      </c>
      <c r="AD207" s="692">
        <f t="shared" si="58"/>
        <v>0</v>
      </c>
      <c r="AE207" s="38"/>
      <c r="AF207" s="692">
        <f t="shared" si="59"/>
        <v>0</v>
      </c>
      <c r="AG207" s="692">
        <f t="shared" si="60"/>
        <v>0</v>
      </c>
      <c r="AH207" s="692">
        <f t="shared" si="61"/>
        <v>0</v>
      </c>
    </row>
    <row r="208" spans="1:34">
      <c r="A208" s="21"/>
      <c r="B208" s="21" t="s">
        <v>109</v>
      </c>
      <c r="C208" s="666"/>
      <c r="D208" s="68" t="s">
        <v>467</v>
      </c>
      <c r="E208" s="679"/>
      <c r="F208" s="529">
        <f>VLOOKUP(D208,'Apr 2012 DMV Revenue'!D:T,17,FALSE)</f>
        <v>0</v>
      </c>
      <c r="G208" s="680"/>
      <c r="H208" s="680"/>
      <c r="I208" s="755"/>
      <c r="J208" s="682">
        <f t="shared" si="69"/>
        <v>0</v>
      </c>
      <c r="K208" s="683"/>
      <c r="L208" s="684"/>
      <c r="M208" s="753"/>
      <c r="N208" s="683">
        <v>0</v>
      </c>
      <c r="O208" s="686"/>
      <c r="P208" s="683">
        <v>0</v>
      </c>
      <c r="Q208" s="687">
        <f t="shared" si="52"/>
        <v>0</v>
      </c>
      <c r="R208" s="781">
        <v>0</v>
      </c>
      <c r="S208" s="693"/>
      <c r="T208" s="690">
        <f t="shared" si="53"/>
        <v>0</v>
      </c>
      <c r="U208" s="683"/>
      <c r="V208" s="474">
        <f t="shared" si="54"/>
        <v>0</v>
      </c>
      <c r="W208" s="474">
        <f t="shared" si="55"/>
        <v>0</v>
      </c>
      <c r="X208" s="475">
        <f t="shared" si="56"/>
        <v>0</v>
      </c>
      <c r="Y208" s="475">
        <v>0</v>
      </c>
      <c r="Z208" s="476">
        <v>0</v>
      </c>
      <c r="AA208" s="38">
        <f t="shared" si="57"/>
        <v>0</v>
      </c>
      <c r="AB208" s="692">
        <f t="shared" si="50"/>
        <v>0</v>
      </c>
      <c r="AC208" s="692">
        <f t="shared" si="62"/>
        <v>0</v>
      </c>
      <c r="AD208" s="692">
        <f t="shared" si="58"/>
        <v>0</v>
      </c>
      <c r="AE208" s="38"/>
      <c r="AF208" s="692">
        <f t="shared" si="59"/>
        <v>0</v>
      </c>
      <c r="AG208" s="692">
        <f t="shared" si="60"/>
        <v>0</v>
      </c>
      <c r="AH208" s="692">
        <f t="shared" si="61"/>
        <v>0</v>
      </c>
    </row>
    <row r="209" spans="1:34">
      <c r="A209" s="21"/>
      <c r="B209" s="21" t="s">
        <v>109</v>
      </c>
      <c r="C209" s="666" t="s">
        <v>575</v>
      </c>
      <c r="D209" s="68" t="s">
        <v>54</v>
      </c>
      <c r="E209" s="679">
        <v>401.49</v>
      </c>
      <c r="F209" s="529">
        <f>VLOOKUP(D209,'Apr 2012 DMV Revenue'!D:T,17,FALSE)</f>
        <v>0</v>
      </c>
      <c r="G209" s="680"/>
      <c r="H209" s="680"/>
      <c r="I209" s="755"/>
      <c r="J209" s="682">
        <f t="shared" si="69"/>
        <v>401.49</v>
      </c>
      <c r="K209" s="683"/>
      <c r="L209" s="684"/>
      <c r="M209" s="753"/>
      <c r="N209" s="683">
        <v>0</v>
      </c>
      <c r="O209" s="686"/>
      <c r="P209" s="683">
        <v>0</v>
      </c>
      <c r="Q209" s="687">
        <f t="shared" si="52"/>
        <v>0</v>
      </c>
      <c r="R209" s="781">
        <v>0</v>
      </c>
      <c r="S209" s="693"/>
      <c r="T209" s="690">
        <f t="shared" si="53"/>
        <v>0</v>
      </c>
      <c r="U209" s="683"/>
      <c r="V209" s="474">
        <f t="shared" si="54"/>
        <v>0</v>
      </c>
      <c r="W209" s="474">
        <f t="shared" si="55"/>
        <v>0</v>
      </c>
      <c r="X209" s="475">
        <f t="shared" si="56"/>
        <v>0</v>
      </c>
      <c r="Y209" s="475">
        <v>0</v>
      </c>
      <c r="Z209" s="476">
        <v>0</v>
      </c>
      <c r="AA209" s="38">
        <f t="shared" si="57"/>
        <v>0</v>
      </c>
      <c r="AB209" s="692">
        <f t="shared" si="50"/>
        <v>0</v>
      </c>
      <c r="AC209" s="692">
        <f>IF(B209="M",J209,0)-AD209</f>
        <v>399.61</v>
      </c>
      <c r="AD209" s="692">
        <v>1.88</v>
      </c>
      <c r="AE209" s="38"/>
      <c r="AF209" s="692">
        <f t="shared" si="59"/>
        <v>0</v>
      </c>
      <c r="AG209" s="692">
        <f t="shared" si="60"/>
        <v>0</v>
      </c>
      <c r="AH209" s="692">
        <f t="shared" si="61"/>
        <v>0</v>
      </c>
    </row>
    <row r="210" spans="1:34">
      <c r="A210" s="20"/>
      <c r="B210" s="20" t="s">
        <v>110</v>
      </c>
      <c r="C210" s="667" t="s">
        <v>576</v>
      </c>
      <c r="D210" s="68" t="s">
        <v>394</v>
      </c>
      <c r="E210" s="679"/>
      <c r="F210" s="529">
        <f>VLOOKUP(D210,'Apr 2012 DMV Revenue'!D:T,17,FALSE)</f>
        <v>0</v>
      </c>
      <c r="G210" s="680"/>
      <c r="H210" s="680"/>
      <c r="I210" s="755"/>
      <c r="J210" s="682">
        <f t="shared" si="69"/>
        <v>0</v>
      </c>
      <c r="K210" s="683"/>
      <c r="L210" s="684"/>
      <c r="M210" s="753"/>
      <c r="N210" s="683">
        <v>0</v>
      </c>
      <c r="O210" s="686"/>
      <c r="P210" s="683">
        <v>0</v>
      </c>
      <c r="Q210" s="687">
        <f t="shared" si="52"/>
        <v>0</v>
      </c>
      <c r="R210" s="781">
        <v>0</v>
      </c>
      <c r="S210" s="693"/>
      <c r="T210" s="690">
        <f t="shared" si="53"/>
        <v>0</v>
      </c>
      <c r="U210" s="683"/>
      <c r="V210" s="474">
        <f t="shared" si="54"/>
        <v>0</v>
      </c>
      <c r="W210" s="474">
        <f t="shared" si="55"/>
        <v>0</v>
      </c>
      <c r="X210" s="475">
        <f t="shared" si="56"/>
        <v>0</v>
      </c>
      <c r="Y210" s="475">
        <v>0</v>
      </c>
      <c r="Z210" s="476">
        <v>0</v>
      </c>
      <c r="AA210" s="38">
        <f t="shared" si="57"/>
        <v>0</v>
      </c>
      <c r="AB210" s="692">
        <f t="shared" ref="AB210:AB249" si="70">IF(B210="D",J210,0)</f>
        <v>0</v>
      </c>
      <c r="AC210" s="692">
        <f t="shared" si="62"/>
        <v>0</v>
      </c>
      <c r="AD210" s="692">
        <f t="shared" si="58"/>
        <v>0</v>
      </c>
      <c r="AE210" s="38"/>
      <c r="AF210" s="692">
        <f t="shared" si="59"/>
        <v>0</v>
      </c>
      <c r="AG210" s="692">
        <f t="shared" si="60"/>
        <v>0</v>
      </c>
      <c r="AH210" s="692">
        <f t="shared" si="61"/>
        <v>0</v>
      </c>
    </row>
    <row r="211" spans="1:34">
      <c r="A211" s="20"/>
      <c r="B211" s="20" t="s">
        <v>110</v>
      </c>
      <c r="C211" s="667"/>
      <c r="D211" s="68" t="s">
        <v>55</v>
      </c>
      <c r="E211" s="679">
        <v>746.05</v>
      </c>
      <c r="F211" s="529">
        <f>VLOOKUP(D211,'Apr 2012 DMV Revenue'!D:T,17,FALSE)</f>
        <v>0</v>
      </c>
      <c r="G211" s="680"/>
      <c r="H211" s="680"/>
      <c r="I211" s="755"/>
      <c r="J211" s="682">
        <f t="shared" si="69"/>
        <v>746.05</v>
      </c>
      <c r="K211" s="683"/>
      <c r="L211" s="684"/>
      <c r="M211" s="753"/>
      <c r="N211" s="683">
        <v>0</v>
      </c>
      <c r="O211" s="686"/>
      <c r="P211" s="683">
        <v>0</v>
      </c>
      <c r="Q211" s="687">
        <f t="shared" ref="Q211:Q250" si="71">L211+M211</f>
        <v>0</v>
      </c>
      <c r="R211" s="781">
        <v>0</v>
      </c>
      <c r="S211" s="693"/>
      <c r="T211" s="690">
        <f t="shared" ref="T211:T250" si="72">IF(R211="","",R211-Q211)</f>
        <v>0</v>
      </c>
      <c r="U211" s="683"/>
      <c r="V211" s="474">
        <f t="shared" ref="V211:V250" si="73">IF(B211="D",Q211,0)</f>
        <v>0</v>
      </c>
      <c r="W211" s="474">
        <f t="shared" ref="W211:W250" si="74">IF(B211="M",Q211,0)</f>
        <v>0</v>
      </c>
      <c r="X211" s="475">
        <f t="shared" ref="X211:X250" si="75">IF(B211="V",Q211,0)</f>
        <v>0</v>
      </c>
      <c r="Y211" s="475">
        <v>0</v>
      </c>
      <c r="Z211" s="476">
        <v>0</v>
      </c>
      <c r="AA211" s="38">
        <f t="shared" ref="AA211:AA250" si="76">(L211+M211)-(V211+W211+X211+Y211+Z211)</f>
        <v>0</v>
      </c>
      <c r="AB211" s="692">
        <f t="shared" si="70"/>
        <v>746.05</v>
      </c>
      <c r="AC211" s="692">
        <f t="shared" si="62"/>
        <v>0</v>
      </c>
      <c r="AD211" s="692">
        <f t="shared" ref="AD211:AD250" si="77">IF(B211="V",J211,0)</f>
        <v>0</v>
      </c>
      <c r="AE211" s="38"/>
      <c r="AF211" s="692">
        <f t="shared" ref="AF211:AF250" si="78">IF(B211="D",Q211,0)</f>
        <v>0</v>
      </c>
      <c r="AG211" s="692">
        <f t="shared" ref="AG211:AG250" si="79">IF(B211="M",Q211,0)</f>
        <v>0</v>
      </c>
      <c r="AH211" s="692">
        <f t="shared" ref="AH211:AH250" si="80">IF(B211="V",Q211,0)</f>
        <v>0</v>
      </c>
    </row>
    <row r="212" spans="1:34">
      <c r="A212" s="21" t="s">
        <v>97</v>
      </c>
      <c r="B212" s="21" t="s">
        <v>110</v>
      </c>
      <c r="C212" s="666"/>
      <c r="D212" s="68" t="s">
        <v>175</v>
      </c>
      <c r="E212" s="679"/>
      <c r="F212" s="529">
        <f>VLOOKUP(D212,'Apr 2012 DMV Revenue'!D:T,17,FALSE)</f>
        <v>0</v>
      </c>
      <c r="G212" s="680"/>
      <c r="H212" s="680"/>
      <c r="I212" s="755"/>
      <c r="J212" s="682">
        <f t="shared" si="69"/>
        <v>0</v>
      </c>
      <c r="K212" s="683"/>
      <c r="L212" s="684"/>
      <c r="M212" s="753"/>
      <c r="N212" s="683">
        <v>0</v>
      </c>
      <c r="O212" s="686"/>
      <c r="P212" s="683">
        <v>0</v>
      </c>
      <c r="Q212" s="687">
        <f t="shared" si="71"/>
        <v>0</v>
      </c>
      <c r="R212" s="781">
        <v>0</v>
      </c>
      <c r="S212" s="693"/>
      <c r="T212" s="690">
        <f t="shared" si="72"/>
        <v>0</v>
      </c>
      <c r="U212" s="683"/>
      <c r="V212" s="474">
        <f t="shared" si="73"/>
        <v>0</v>
      </c>
      <c r="W212" s="474">
        <f t="shared" si="74"/>
        <v>0</v>
      </c>
      <c r="X212" s="475">
        <f t="shared" si="75"/>
        <v>0</v>
      </c>
      <c r="Y212" s="475">
        <v>0</v>
      </c>
      <c r="Z212" s="476">
        <v>0</v>
      </c>
      <c r="AA212" s="38">
        <f t="shared" si="76"/>
        <v>0</v>
      </c>
      <c r="AB212" s="692">
        <f t="shared" si="70"/>
        <v>0</v>
      </c>
      <c r="AC212" s="692">
        <f t="shared" ref="AC212:AC250" si="81">IF(B212="M",J212,0)</f>
        <v>0</v>
      </c>
      <c r="AD212" s="692">
        <f t="shared" si="77"/>
        <v>0</v>
      </c>
      <c r="AE212" s="38"/>
      <c r="AF212" s="692">
        <f t="shared" si="78"/>
        <v>0</v>
      </c>
      <c r="AG212" s="692">
        <f t="shared" si="79"/>
        <v>0</v>
      </c>
      <c r="AH212" s="692">
        <f t="shared" si="80"/>
        <v>0</v>
      </c>
    </row>
    <row r="213" spans="1:34">
      <c r="A213" s="21"/>
      <c r="B213" s="21" t="s">
        <v>109</v>
      </c>
      <c r="C213" s="666"/>
      <c r="D213" s="68" t="s">
        <v>595</v>
      </c>
      <c r="E213" s="679"/>
      <c r="F213" s="529">
        <f>VLOOKUP(D213,'Apr 2012 DMV Revenue'!D:T,17,FALSE)</f>
        <v>0</v>
      </c>
      <c r="G213" s="680"/>
      <c r="H213" s="680"/>
      <c r="I213" s="755"/>
      <c r="J213" s="682">
        <f>SUM(E213:I213)</f>
        <v>0</v>
      </c>
      <c r="K213" s="683"/>
      <c r="L213" s="684"/>
      <c r="M213" s="753"/>
      <c r="N213" s="683">
        <v>0</v>
      </c>
      <c r="O213" s="686"/>
      <c r="P213" s="683">
        <v>0</v>
      </c>
      <c r="Q213" s="687">
        <f t="shared" si="71"/>
        <v>0</v>
      </c>
      <c r="R213" s="781">
        <v>0</v>
      </c>
      <c r="S213" s="693"/>
      <c r="T213" s="690">
        <f t="shared" si="72"/>
        <v>0</v>
      </c>
      <c r="U213" s="683"/>
      <c r="V213" s="474">
        <f t="shared" si="73"/>
        <v>0</v>
      </c>
      <c r="W213" s="474">
        <f t="shared" si="74"/>
        <v>0</v>
      </c>
      <c r="X213" s="475">
        <f t="shared" si="75"/>
        <v>0</v>
      </c>
      <c r="Y213" s="475">
        <v>0</v>
      </c>
      <c r="Z213" s="476">
        <v>0</v>
      </c>
      <c r="AA213" s="38">
        <f t="shared" si="76"/>
        <v>0</v>
      </c>
      <c r="AB213" s="692">
        <f t="shared" si="70"/>
        <v>0</v>
      </c>
      <c r="AC213" s="692">
        <f t="shared" si="81"/>
        <v>0</v>
      </c>
      <c r="AD213" s="692">
        <f t="shared" si="77"/>
        <v>0</v>
      </c>
      <c r="AE213" s="38"/>
      <c r="AF213" s="692">
        <f t="shared" si="78"/>
        <v>0</v>
      </c>
      <c r="AG213" s="692">
        <f t="shared" si="79"/>
        <v>0</v>
      </c>
      <c r="AH213" s="692">
        <f t="shared" si="80"/>
        <v>0</v>
      </c>
    </row>
    <row r="214" spans="1:34">
      <c r="A214" s="20"/>
      <c r="B214" s="20" t="s">
        <v>109</v>
      </c>
      <c r="C214" s="667" t="s">
        <v>577</v>
      </c>
      <c r="D214" s="68" t="s">
        <v>159</v>
      </c>
      <c r="E214" s="679"/>
      <c r="F214" s="529">
        <f>VLOOKUP(D214,'Apr 2012 DMV Revenue'!D:T,17,FALSE)</f>
        <v>0</v>
      </c>
      <c r="G214" s="680"/>
      <c r="H214" s="680"/>
      <c r="I214" s="770">
        <v>21728.85</v>
      </c>
      <c r="J214" s="682">
        <f t="shared" si="69"/>
        <v>21728.85</v>
      </c>
      <c r="K214" s="683"/>
      <c r="L214" s="684"/>
      <c r="M214" s="753"/>
      <c r="N214" s="683">
        <v>0</v>
      </c>
      <c r="O214" s="686"/>
      <c r="P214" s="683">
        <v>0</v>
      </c>
      <c r="Q214" s="687">
        <f t="shared" si="71"/>
        <v>0</v>
      </c>
      <c r="R214" s="781">
        <v>0</v>
      </c>
      <c r="S214" s="693"/>
      <c r="T214" s="690">
        <f t="shared" si="72"/>
        <v>0</v>
      </c>
      <c r="U214" s="683"/>
      <c r="V214" s="474">
        <f t="shared" si="73"/>
        <v>0</v>
      </c>
      <c r="W214" s="474">
        <f t="shared" si="74"/>
        <v>0</v>
      </c>
      <c r="X214" s="475">
        <f t="shared" si="75"/>
        <v>0</v>
      </c>
      <c r="Y214" s="475">
        <v>0</v>
      </c>
      <c r="Z214" s="476">
        <v>0</v>
      </c>
      <c r="AA214" s="38">
        <f t="shared" si="76"/>
        <v>0</v>
      </c>
      <c r="AB214" s="692">
        <f t="shared" si="70"/>
        <v>0</v>
      </c>
      <c r="AC214" s="692">
        <f t="shared" si="81"/>
        <v>21728.85</v>
      </c>
      <c r="AD214" s="692">
        <f t="shared" si="77"/>
        <v>0</v>
      </c>
      <c r="AE214" s="38"/>
      <c r="AF214" s="692">
        <f t="shared" si="78"/>
        <v>0</v>
      </c>
      <c r="AG214" s="692">
        <f t="shared" si="79"/>
        <v>0</v>
      </c>
      <c r="AH214" s="692">
        <f t="shared" si="80"/>
        <v>0</v>
      </c>
    </row>
    <row r="215" spans="1:34">
      <c r="A215" s="20"/>
      <c r="B215" s="20" t="s">
        <v>109</v>
      </c>
      <c r="C215" s="667" t="s">
        <v>577</v>
      </c>
      <c r="D215" s="68" t="s">
        <v>160</v>
      </c>
      <c r="E215" s="679">
        <v>14555.02</v>
      </c>
      <c r="F215" s="529">
        <f>VLOOKUP(D215,'Apr 2012 DMV Revenue'!D:T,17,FALSE)</f>
        <v>0</v>
      </c>
      <c r="G215" s="680"/>
      <c r="H215" s="680"/>
      <c r="I215" s="755"/>
      <c r="J215" s="682">
        <f t="shared" si="69"/>
        <v>14555.02</v>
      </c>
      <c r="K215" s="683"/>
      <c r="L215" s="684"/>
      <c r="M215" s="753">
        <v>14000</v>
      </c>
      <c r="N215" s="683">
        <v>0</v>
      </c>
      <c r="O215" s="686"/>
      <c r="P215" s="683">
        <v>0</v>
      </c>
      <c r="Q215" s="687">
        <f t="shared" si="71"/>
        <v>14000</v>
      </c>
      <c r="R215" s="781">
        <v>12663.14</v>
      </c>
      <c r="S215" s="693"/>
      <c r="T215" s="690">
        <f t="shared" si="72"/>
        <v>-1336.8600000000006</v>
      </c>
      <c r="U215" s="683"/>
      <c r="V215" s="474">
        <f t="shared" si="73"/>
        <v>0</v>
      </c>
      <c r="W215" s="474">
        <f t="shared" si="74"/>
        <v>14000</v>
      </c>
      <c r="X215" s="475">
        <f t="shared" si="75"/>
        <v>0</v>
      </c>
      <c r="Y215" s="475">
        <v>0</v>
      </c>
      <c r="Z215" s="476">
        <v>0</v>
      </c>
      <c r="AA215" s="38">
        <f t="shared" si="76"/>
        <v>0</v>
      </c>
      <c r="AB215" s="692">
        <f t="shared" si="70"/>
        <v>0</v>
      </c>
      <c r="AC215" s="692">
        <f t="shared" si="81"/>
        <v>14555.02</v>
      </c>
      <c r="AD215" s="692">
        <f t="shared" si="77"/>
        <v>0</v>
      </c>
      <c r="AE215" s="38"/>
      <c r="AF215" s="692">
        <f t="shared" si="78"/>
        <v>0</v>
      </c>
      <c r="AG215" s="692">
        <f t="shared" si="79"/>
        <v>14000</v>
      </c>
      <c r="AH215" s="692">
        <f t="shared" si="80"/>
        <v>0</v>
      </c>
    </row>
    <row r="216" spans="1:34">
      <c r="A216" s="21"/>
      <c r="B216" s="21" t="s">
        <v>109</v>
      </c>
      <c r="C216" s="667" t="s">
        <v>577</v>
      </c>
      <c r="D216" s="68" t="s">
        <v>161</v>
      </c>
      <c r="E216" s="679"/>
      <c r="F216" s="529">
        <f>VLOOKUP(D216,'Apr 2012 DMV Revenue'!D:T,17,FALSE)</f>
        <v>0</v>
      </c>
      <c r="G216" s="680"/>
      <c r="H216" s="680"/>
      <c r="I216" s="770">
        <v>3639.21</v>
      </c>
      <c r="J216" s="682">
        <f t="shared" si="69"/>
        <v>3639.21</v>
      </c>
      <c r="K216" s="683"/>
      <c r="L216" s="684"/>
      <c r="M216" s="753"/>
      <c r="N216" s="683">
        <v>0</v>
      </c>
      <c r="O216" s="686"/>
      <c r="P216" s="683">
        <v>0</v>
      </c>
      <c r="Q216" s="687">
        <f t="shared" si="71"/>
        <v>0</v>
      </c>
      <c r="R216" s="781">
        <v>0</v>
      </c>
      <c r="S216" s="693"/>
      <c r="T216" s="690">
        <f t="shared" si="72"/>
        <v>0</v>
      </c>
      <c r="U216" s="683"/>
      <c r="V216" s="474">
        <f t="shared" si="73"/>
        <v>0</v>
      </c>
      <c r="W216" s="474">
        <f t="shared" si="74"/>
        <v>0</v>
      </c>
      <c r="X216" s="475">
        <f t="shared" si="75"/>
        <v>0</v>
      </c>
      <c r="Y216" s="475">
        <v>0</v>
      </c>
      <c r="Z216" s="476">
        <v>0</v>
      </c>
      <c r="AA216" s="38">
        <f t="shared" si="76"/>
        <v>0</v>
      </c>
      <c r="AB216" s="692">
        <f t="shared" si="70"/>
        <v>0</v>
      </c>
      <c r="AC216" s="692">
        <f t="shared" si="81"/>
        <v>3639.21</v>
      </c>
      <c r="AD216" s="692">
        <f t="shared" si="77"/>
        <v>0</v>
      </c>
      <c r="AE216" s="38"/>
      <c r="AF216" s="692">
        <f t="shared" si="78"/>
        <v>0</v>
      </c>
      <c r="AG216" s="692">
        <f t="shared" si="79"/>
        <v>0</v>
      </c>
      <c r="AH216" s="692">
        <f t="shared" si="80"/>
        <v>0</v>
      </c>
    </row>
    <row r="217" spans="1:34">
      <c r="A217" s="21"/>
      <c r="B217" s="21" t="s">
        <v>109</v>
      </c>
      <c r="C217" s="667" t="s">
        <v>577</v>
      </c>
      <c r="D217" s="68" t="s">
        <v>162</v>
      </c>
      <c r="E217" s="679"/>
      <c r="F217" s="529">
        <f>VLOOKUP(D217,'Apr 2012 DMV Revenue'!D:T,17,FALSE)</f>
        <v>0</v>
      </c>
      <c r="G217" s="680"/>
      <c r="H217" s="680"/>
      <c r="I217" s="770">
        <v>317.55</v>
      </c>
      <c r="J217" s="682">
        <f t="shared" si="69"/>
        <v>317.55</v>
      </c>
      <c r="K217" s="683"/>
      <c r="L217" s="684"/>
      <c r="M217" s="753"/>
      <c r="N217" s="683">
        <v>0</v>
      </c>
      <c r="O217" s="686"/>
      <c r="P217" s="683">
        <v>0</v>
      </c>
      <c r="Q217" s="687">
        <f t="shared" si="71"/>
        <v>0</v>
      </c>
      <c r="R217" s="781">
        <v>0</v>
      </c>
      <c r="S217" s="693"/>
      <c r="T217" s="690">
        <f t="shared" si="72"/>
        <v>0</v>
      </c>
      <c r="U217" s="683"/>
      <c r="V217" s="474">
        <f t="shared" si="73"/>
        <v>0</v>
      </c>
      <c r="W217" s="474">
        <f t="shared" si="74"/>
        <v>0</v>
      </c>
      <c r="X217" s="475">
        <f t="shared" si="75"/>
        <v>0</v>
      </c>
      <c r="Y217" s="475">
        <v>0</v>
      </c>
      <c r="Z217" s="476">
        <v>0</v>
      </c>
      <c r="AA217" s="38">
        <f t="shared" si="76"/>
        <v>0</v>
      </c>
      <c r="AB217" s="692">
        <f t="shared" si="70"/>
        <v>0</v>
      </c>
      <c r="AC217" s="692">
        <f t="shared" si="81"/>
        <v>317.55</v>
      </c>
      <c r="AD217" s="692">
        <f t="shared" si="77"/>
        <v>0</v>
      </c>
      <c r="AE217" s="38"/>
      <c r="AF217" s="692">
        <f t="shared" si="78"/>
        <v>0</v>
      </c>
      <c r="AG217" s="692">
        <f t="shared" si="79"/>
        <v>0</v>
      </c>
      <c r="AH217" s="692">
        <f t="shared" si="80"/>
        <v>0</v>
      </c>
    </row>
    <row r="218" spans="1:34">
      <c r="A218" s="21"/>
      <c r="B218" s="21" t="s">
        <v>109</v>
      </c>
      <c r="C218" s="666"/>
      <c r="D218" s="68" t="s">
        <v>163</v>
      </c>
      <c r="E218" s="679"/>
      <c r="F218" s="529">
        <f>VLOOKUP(D218,'Apr 2012 DMV Revenue'!D:T,17,FALSE)</f>
        <v>0</v>
      </c>
      <c r="G218" s="680"/>
      <c r="H218" s="680"/>
      <c r="I218" s="770">
        <v>4840.7</v>
      </c>
      <c r="J218" s="682">
        <f t="shared" si="69"/>
        <v>4840.7</v>
      </c>
      <c r="K218" s="683"/>
      <c r="L218" s="684"/>
      <c r="M218" s="753"/>
      <c r="N218" s="683">
        <v>0</v>
      </c>
      <c r="O218" s="686"/>
      <c r="P218" s="683">
        <v>0</v>
      </c>
      <c r="Q218" s="687">
        <f t="shared" si="71"/>
        <v>0</v>
      </c>
      <c r="R218" s="781">
        <v>0</v>
      </c>
      <c r="S218" s="704"/>
      <c r="T218" s="690">
        <f t="shared" si="72"/>
        <v>0</v>
      </c>
      <c r="U218" s="705"/>
      <c r="V218" s="474">
        <f t="shared" si="73"/>
        <v>0</v>
      </c>
      <c r="W218" s="474">
        <f t="shared" si="74"/>
        <v>0</v>
      </c>
      <c r="X218" s="475">
        <f t="shared" si="75"/>
        <v>0</v>
      </c>
      <c r="Y218" s="475">
        <v>0</v>
      </c>
      <c r="Z218" s="476">
        <v>0</v>
      </c>
      <c r="AA218" s="38">
        <f t="shared" si="76"/>
        <v>0</v>
      </c>
      <c r="AB218" s="692">
        <f t="shared" si="70"/>
        <v>0</v>
      </c>
      <c r="AC218" s="692">
        <f t="shared" si="81"/>
        <v>4840.7</v>
      </c>
      <c r="AD218" s="692">
        <f t="shared" si="77"/>
        <v>0</v>
      </c>
      <c r="AE218" s="38"/>
      <c r="AF218" s="692">
        <f t="shared" si="78"/>
        <v>0</v>
      </c>
      <c r="AG218" s="692">
        <f t="shared" si="79"/>
        <v>0</v>
      </c>
      <c r="AH218" s="692">
        <f t="shared" si="80"/>
        <v>0</v>
      </c>
    </row>
    <row r="219" spans="1:34">
      <c r="A219" s="21"/>
      <c r="B219" s="21" t="s">
        <v>109</v>
      </c>
      <c r="C219" s="666"/>
      <c r="D219" s="412" t="s">
        <v>164</v>
      </c>
      <c r="E219" s="679"/>
      <c r="F219" s="529">
        <f>VLOOKUP(D219,'Apr 2012 DMV Revenue'!D:T,17,FALSE)</f>
        <v>0</v>
      </c>
      <c r="G219" s="680"/>
      <c r="H219" s="680"/>
      <c r="I219" s="770">
        <v>70.650000000000006</v>
      </c>
      <c r="J219" s="682">
        <f t="shared" si="69"/>
        <v>70.650000000000006</v>
      </c>
      <c r="K219" s="683"/>
      <c r="L219" s="684"/>
      <c r="M219" s="753"/>
      <c r="N219" s="683">
        <v>0</v>
      </c>
      <c r="O219" s="686"/>
      <c r="P219" s="683">
        <v>0</v>
      </c>
      <c r="Q219" s="687">
        <f t="shared" si="71"/>
        <v>0</v>
      </c>
      <c r="R219" s="781">
        <v>0</v>
      </c>
      <c r="S219" s="704"/>
      <c r="T219" s="690">
        <f t="shared" si="72"/>
        <v>0</v>
      </c>
      <c r="U219" s="705"/>
      <c r="V219" s="474">
        <f t="shared" si="73"/>
        <v>0</v>
      </c>
      <c r="W219" s="474">
        <f t="shared" si="74"/>
        <v>0</v>
      </c>
      <c r="X219" s="475">
        <f t="shared" si="75"/>
        <v>0</v>
      </c>
      <c r="Y219" s="475">
        <v>0</v>
      </c>
      <c r="Z219" s="476">
        <v>0</v>
      </c>
      <c r="AA219" s="38">
        <f t="shared" si="76"/>
        <v>0</v>
      </c>
      <c r="AB219" s="692">
        <f t="shared" si="70"/>
        <v>0</v>
      </c>
      <c r="AC219" s="692">
        <f t="shared" si="81"/>
        <v>70.650000000000006</v>
      </c>
      <c r="AD219" s="692">
        <f t="shared" si="77"/>
        <v>0</v>
      </c>
      <c r="AE219" s="38"/>
      <c r="AF219" s="692">
        <f t="shared" si="78"/>
        <v>0</v>
      </c>
      <c r="AG219" s="692">
        <f t="shared" si="79"/>
        <v>0</v>
      </c>
      <c r="AH219" s="692">
        <f t="shared" si="80"/>
        <v>0</v>
      </c>
    </row>
    <row r="220" spans="1:34">
      <c r="A220" s="21" t="s">
        <v>109</v>
      </c>
      <c r="B220" s="21" t="s">
        <v>114</v>
      </c>
      <c r="C220" s="666" t="s">
        <v>578</v>
      </c>
      <c r="D220" s="412" t="s">
        <v>318</v>
      </c>
      <c r="E220" s="679"/>
      <c r="F220" s="529">
        <f>VLOOKUP(D220,'Apr 2012 DMV Revenue'!D:T,17,FALSE)</f>
        <v>-40000</v>
      </c>
      <c r="G220" s="680"/>
      <c r="H220" s="680"/>
      <c r="I220" s="755"/>
      <c r="J220" s="682">
        <f t="shared" si="69"/>
        <v>-40000</v>
      </c>
      <c r="K220" s="683"/>
      <c r="L220" s="684"/>
      <c r="M220" s="753">
        <v>60000</v>
      </c>
      <c r="N220" s="683">
        <v>0</v>
      </c>
      <c r="O220" s="686"/>
      <c r="P220" s="683">
        <v>0</v>
      </c>
      <c r="Q220" s="687">
        <f t="shared" si="71"/>
        <v>60000</v>
      </c>
      <c r="R220" s="781">
        <v>0</v>
      </c>
      <c r="S220" s="704"/>
      <c r="T220" s="690">
        <f t="shared" si="72"/>
        <v>-60000</v>
      </c>
      <c r="U220" s="683"/>
      <c r="V220" s="474">
        <f t="shared" si="73"/>
        <v>0</v>
      </c>
      <c r="W220" s="474">
        <f t="shared" si="74"/>
        <v>0</v>
      </c>
      <c r="X220" s="475">
        <f t="shared" si="75"/>
        <v>60000</v>
      </c>
      <c r="Y220" s="475">
        <v>0</v>
      </c>
      <c r="Z220" s="476">
        <v>0</v>
      </c>
      <c r="AA220" s="38">
        <f t="shared" si="76"/>
        <v>0</v>
      </c>
      <c r="AB220" s="692">
        <f t="shared" si="70"/>
        <v>0</v>
      </c>
      <c r="AC220" s="692">
        <f t="shared" si="81"/>
        <v>0</v>
      </c>
      <c r="AD220" s="692">
        <f t="shared" si="77"/>
        <v>-40000</v>
      </c>
      <c r="AE220" s="38"/>
      <c r="AF220" s="692">
        <f t="shared" si="78"/>
        <v>0</v>
      </c>
      <c r="AG220" s="692">
        <f t="shared" si="79"/>
        <v>0</v>
      </c>
      <c r="AH220" s="692">
        <f t="shared" si="80"/>
        <v>60000</v>
      </c>
    </row>
    <row r="221" spans="1:34">
      <c r="A221" s="20" t="s">
        <v>211</v>
      </c>
      <c r="B221" s="20" t="s">
        <v>109</v>
      </c>
      <c r="C221" s="667"/>
      <c r="D221" s="68" t="s">
        <v>57</v>
      </c>
      <c r="E221" s="679"/>
      <c r="F221" s="529">
        <f>VLOOKUP(D221,'Apr 2012 DMV Revenue'!D:T,17,FALSE)</f>
        <v>0</v>
      </c>
      <c r="G221" s="680"/>
      <c r="H221" s="680"/>
      <c r="I221" s="755"/>
      <c r="J221" s="682">
        <f t="shared" si="69"/>
        <v>0</v>
      </c>
      <c r="K221" s="683"/>
      <c r="L221" s="684"/>
      <c r="M221" s="753"/>
      <c r="N221" s="683">
        <v>0</v>
      </c>
      <c r="O221" s="686"/>
      <c r="P221" s="683">
        <v>0</v>
      </c>
      <c r="Q221" s="687">
        <f t="shared" si="71"/>
        <v>0</v>
      </c>
      <c r="R221" s="781">
        <v>693.49</v>
      </c>
      <c r="S221" s="693"/>
      <c r="T221" s="690">
        <f t="shared" si="72"/>
        <v>693.49</v>
      </c>
      <c r="U221" s="683"/>
      <c r="V221" s="474">
        <f t="shared" si="73"/>
        <v>0</v>
      </c>
      <c r="W221" s="474">
        <f t="shared" si="74"/>
        <v>0</v>
      </c>
      <c r="X221" s="475">
        <f t="shared" si="75"/>
        <v>0</v>
      </c>
      <c r="Y221" s="475">
        <v>0</v>
      </c>
      <c r="Z221" s="476">
        <v>0</v>
      </c>
      <c r="AA221" s="38">
        <f t="shared" si="76"/>
        <v>0</v>
      </c>
      <c r="AB221" s="692">
        <f t="shared" si="70"/>
        <v>0</v>
      </c>
      <c r="AC221" s="692">
        <f t="shared" si="81"/>
        <v>0</v>
      </c>
      <c r="AD221" s="692">
        <f t="shared" si="77"/>
        <v>0</v>
      </c>
      <c r="AE221" s="38"/>
      <c r="AF221" s="692">
        <f t="shared" si="78"/>
        <v>0</v>
      </c>
      <c r="AG221" s="692">
        <f t="shared" si="79"/>
        <v>0</v>
      </c>
      <c r="AH221" s="692">
        <f t="shared" si="80"/>
        <v>0</v>
      </c>
    </row>
    <row r="222" spans="1:34">
      <c r="A222" s="20" t="s">
        <v>109</v>
      </c>
      <c r="B222" s="20" t="s">
        <v>110</v>
      </c>
      <c r="C222" s="667" t="s">
        <v>579</v>
      </c>
      <c r="D222" s="68" t="s">
        <v>239</v>
      </c>
      <c r="E222" s="679"/>
      <c r="F222" s="529">
        <f>VLOOKUP(D222,'Apr 2012 DMV Revenue'!D:T,17,FALSE)</f>
        <v>0</v>
      </c>
      <c r="G222" s="680"/>
      <c r="H222" s="680"/>
      <c r="I222" s="755"/>
      <c r="J222" s="682">
        <f t="shared" si="69"/>
        <v>0</v>
      </c>
      <c r="K222" s="683"/>
      <c r="L222" s="684"/>
      <c r="M222" s="753"/>
      <c r="N222" s="683">
        <v>0</v>
      </c>
      <c r="O222" s="686"/>
      <c r="P222" s="683">
        <v>0</v>
      </c>
      <c r="Q222" s="687">
        <f t="shared" si="71"/>
        <v>0</v>
      </c>
      <c r="R222" s="781">
        <v>0</v>
      </c>
      <c r="S222" s="693"/>
      <c r="T222" s="690">
        <f t="shared" si="72"/>
        <v>0</v>
      </c>
      <c r="U222" s="683"/>
      <c r="V222" s="474">
        <f t="shared" si="73"/>
        <v>0</v>
      </c>
      <c r="W222" s="474">
        <f t="shared" si="74"/>
        <v>0</v>
      </c>
      <c r="X222" s="475">
        <f t="shared" si="75"/>
        <v>0</v>
      </c>
      <c r="Y222" s="475">
        <v>0</v>
      </c>
      <c r="Z222" s="476">
        <v>0</v>
      </c>
      <c r="AA222" s="38">
        <f t="shared" si="76"/>
        <v>0</v>
      </c>
      <c r="AB222" s="692">
        <f t="shared" si="70"/>
        <v>0</v>
      </c>
      <c r="AC222" s="692">
        <f t="shared" si="81"/>
        <v>0</v>
      </c>
      <c r="AD222" s="692">
        <f t="shared" si="77"/>
        <v>0</v>
      </c>
      <c r="AE222" s="38"/>
      <c r="AF222" s="692">
        <f t="shared" si="78"/>
        <v>0</v>
      </c>
      <c r="AG222" s="692">
        <f t="shared" si="79"/>
        <v>0</v>
      </c>
      <c r="AH222" s="692">
        <f t="shared" si="80"/>
        <v>0</v>
      </c>
    </row>
    <row r="223" spans="1:34">
      <c r="A223" s="20"/>
      <c r="B223" s="20" t="s">
        <v>114</v>
      </c>
      <c r="C223" s="676" t="s">
        <v>621</v>
      </c>
      <c r="D223" s="68" t="s">
        <v>622</v>
      </c>
      <c r="E223" s="679">
        <v>246</v>
      </c>
      <c r="F223" s="529">
        <f>VLOOKUP(D223,'Apr 2012 DMV Revenue'!D:T,17,FALSE)</f>
        <v>0</v>
      </c>
      <c r="G223" s="680"/>
      <c r="H223" s="680"/>
      <c r="I223" s="755"/>
      <c r="J223" s="682">
        <f t="shared" si="69"/>
        <v>246</v>
      </c>
      <c r="K223" s="683"/>
      <c r="L223" s="684"/>
      <c r="M223" s="753"/>
      <c r="N223" s="683">
        <v>0</v>
      </c>
      <c r="O223" s="686"/>
      <c r="P223" s="683">
        <v>0</v>
      </c>
      <c r="Q223" s="687">
        <f t="shared" si="71"/>
        <v>0</v>
      </c>
      <c r="R223" s="781">
        <v>0</v>
      </c>
      <c r="S223" s="704"/>
      <c r="T223" s="690">
        <f t="shared" si="72"/>
        <v>0</v>
      </c>
      <c r="U223" s="683"/>
      <c r="V223" s="474">
        <f t="shared" si="73"/>
        <v>0</v>
      </c>
      <c r="W223" s="474">
        <f t="shared" si="74"/>
        <v>0</v>
      </c>
      <c r="X223" s="475">
        <f t="shared" si="75"/>
        <v>0</v>
      </c>
      <c r="Y223" s="475">
        <v>0</v>
      </c>
      <c r="Z223" s="476">
        <v>0</v>
      </c>
      <c r="AA223" s="38">
        <f t="shared" si="76"/>
        <v>0</v>
      </c>
      <c r="AB223" s="692">
        <f t="shared" si="70"/>
        <v>0</v>
      </c>
      <c r="AC223" s="692">
        <f t="shared" si="81"/>
        <v>0</v>
      </c>
      <c r="AD223" s="692">
        <f t="shared" si="77"/>
        <v>246</v>
      </c>
      <c r="AE223" s="38"/>
      <c r="AF223" s="692">
        <f t="shared" si="78"/>
        <v>0</v>
      </c>
      <c r="AG223" s="692">
        <f t="shared" si="79"/>
        <v>0</v>
      </c>
      <c r="AH223" s="692">
        <f t="shared" si="80"/>
        <v>0</v>
      </c>
    </row>
    <row r="224" spans="1:34">
      <c r="A224" s="20"/>
      <c r="B224" s="20" t="s">
        <v>110</v>
      </c>
      <c r="C224" s="667"/>
      <c r="D224" s="68" t="s">
        <v>497</v>
      </c>
      <c r="E224" s="679"/>
      <c r="F224" s="529">
        <f>VLOOKUP(D224,'Apr 2012 DMV Revenue'!D:T,17,FALSE)</f>
        <v>0</v>
      </c>
      <c r="G224" s="680"/>
      <c r="H224" s="680"/>
      <c r="I224" s="755"/>
      <c r="J224" s="682">
        <f t="shared" si="69"/>
        <v>0</v>
      </c>
      <c r="K224" s="683"/>
      <c r="L224" s="684"/>
      <c r="M224" s="753"/>
      <c r="N224" s="683">
        <v>0</v>
      </c>
      <c r="O224" s="686"/>
      <c r="P224" s="683">
        <v>0</v>
      </c>
      <c r="Q224" s="687">
        <f t="shared" si="71"/>
        <v>0</v>
      </c>
      <c r="R224" s="781">
        <v>0</v>
      </c>
      <c r="S224" s="693"/>
      <c r="T224" s="690">
        <f t="shared" si="72"/>
        <v>0</v>
      </c>
      <c r="U224" s="683"/>
      <c r="V224" s="474">
        <f t="shared" si="73"/>
        <v>0</v>
      </c>
      <c r="W224" s="474">
        <f t="shared" si="74"/>
        <v>0</v>
      </c>
      <c r="X224" s="475">
        <f t="shared" si="75"/>
        <v>0</v>
      </c>
      <c r="Y224" s="475">
        <v>0</v>
      </c>
      <c r="Z224" s="476">
        <v>0</v>
      </c>
      <c r="AA224" s="38">
        <f t="shared" si="76"/>
        <v>0</v>
      </c>
      <c r="AB224" s="692">
        <f t="shared" si="70"/>
        <v>0</v>
      </c>
      <c r="AC224" s="692">
        <f t="shared" si="81"/>
        <v>0</v>
      </c>
      <c r="AD224" s="692">
        <f t="shared" si="77"/>
        <v>0</v>
      </c>
      <c r="AE224" s="38"/>
      <c r="AF224" s="692">
        <f t="shared" si="78"/>
        <v>0</v>
      </c>
      <c r="AG224" s="692">
        <f t="shared" si="79"/>
        <v>0</v>
      </c>
      <c r="AH224" s="692">
        <f t="shared" si="80"/>
        <v>0</v>
      </c>
    </row>
    <row r="225" spans="1:34">
      <c r="A225" s="20"/>
      <c r="B225" s="20" t="s">
        <v>110</v>
      </c>
      <c r="C225" s="667"/>
      <c r="D225" s="68" t="s">
        <v>509</v>
      </c>
      <c r="E225" s="679">
        <f>12500.89+14031.84+13835.37</f>
        <v>40368.1</v>
      </c>
      <c r="F225" s="529">
        <f>VLOOKUP(D225,'Apr 2012 DMV Revenue'!D:T,17,FALSE)</f>
        <v>11704.73</v>
      </c>
      <c r="G225" s="680"/>
      <c r="H225" s="680"/>
      <c r="I225" s="755"/>
      <c r="J225" s="682">
        <f t="shared" si="69"/>
        <v>52072.83</v>
      </c>
      <c r="K225" s="683"/>
      <c r="L225" s="684"/>
      <c r="M225" s="753">
        <v>10000</v>
      </c>
      <c r="N225" s="683"/>
      <c r="O225" s="686"/>
      <c r="P225" s="683"/>
      <c r="Q225" s="687">
        <f t="shared" si="71"/>
        <v>10000</v>
      </c>
      <c r="R225" s="781">
        <v>10899.97</v>
      </c>
      <c r="S225" s="693"/>
      <c r="T225" s="690">
        <f t="shared" si="72"/>
        <v>899.96999999999935</v>
      </c>
      <c r="U225" s="683"/>
      <c r="V225" s="474">
        <f t="shared" si="73"/>
        <v>10000</v>
      </c>
      <c r="W225" s="474">
        <f t="shared" si="74"/>
        <v>0</v>
      </c>
      <c r="X225" s="475">
        <f t="shared" si="75"/>
        <v>0</v>
      </c>
      <c r="Y225" s="475">
        <v>0</v>
      </c>
      <c r="Z225" s="476">
        <v>0</v>
      </c>
      <c r="AA225" s="38">
        <f t="shared" si="76"/>
        <v>0</v>
      </c>
      <c r="AB225" s="692">
        <f t="shared" si="70"/>
        <v>52072.83</v>
      </c>
      <c r="AC225" s="692">
        <f t="shared" si="81"/>
        <v>0</v>
      </c>
      <c r="AD225" s="692">
        <f t="shared" si="77"/>
        <v>0</v>
      </c>
      <c r="AE225" s="38"/>
      <c r="AF225" s="692">
        <f t="shared" si="78"/>
        <v>10000</v>
      </c>
      <c r="AG225" s="692">
        <f t="shared" si="79"/>
        <v>0</v>
      </c>
      <c r="AH225" s="692">
        <f t="shared" si="80"/>
        <v>0</v>
      </c>
    </row>
    <row r="226" spans="1:34" s="627" customFormat="1">
      <c r="A226" s="610"/>
      <c r="B226" s="610" t="s">
        <v>110</v>
      </c>
      <c r="C226" s="667" t="s">
        <v>580</v>
      </c>
      <c r="D226" s="612" t="s">
        <v>476</v>
      </c>
      <c r="E226" s="679"/>
      <c r="F226" s="529">
        <f>VLOOKUP(D226,'Apr 2012 DMV Revenue'!D:T,17,FALSE)</f>
        <v>0</v>
      </c>
      <c r="G226" s="680"/>
      <c r="H226" s="680"/>
      <c r="I226" s="755"/>
      <c r="J226" s="682">
        <f t="shared" si="69"/>
        <v>0</v>
      </c>
      <c r="K226" s="683"/>
      <c r="L226" s="684"/>
      <c r="M226" s="753"/>
      <c r="N226" s="683">
        <v>0</v>
      </c>
      <c r="O226" s="686"/>
      <c r="P226" s="683">
        <v>0</v>
      </c>
      <c r="Q226" s="687">
        <f t="shared" si="71"/>
        <v>0</v>
      </c>
      <c r="R226" s="781">
        <v>0</v>
      </c>
      <c r="S226" s="706"/>
      <c r="T226" s="690">
        <f t="shared" si="72"/>
        <v>0</v>
      </c>
      <c r="U226" s="707"/>
      <c r="V226" s="474">
        <f t="shared" si="73"/>
        <v>0</v>
      </c>
      <c r="W226" s="474">
        <f t="shared" si="74"/>
        <v>0</v>
      </c>
      <c r="X226" s="475">
        <f t="shared" si="75"/>
        <v>0</v>
      </c>
      <c r="Y226" s="475">
        <v>0</v>
      </c>
      <c r="Z226" s="476">
        <v>0</v>
      </c>
      <c r="AA226" s="38">
        <f t="shared" si="76"/>
        <v>0</v>
      </c>
      <c r="AB226" s="692">
        <f t="shared" si="70"/>
        <v>0</v>
      </c>
      <c r="AC226" s="692">
        <f t="shared" si="81"/>
        <v>0</v>
      </c>
      <c r="AD226" s="692">
        <f t="shared" si="77"/>
        <v>0</v>
      </c>
      <c r="AE226" s="38"/>
      <c r="AF226" s="692">
        <f t="shared" si="78"/>
        <v>0</v>
      </c>
      <c r="AG226" s="692">
        <f t="shared" si="79"/>
        <v>0</v>
      </c>
      <c r="AH226" s="692">
        <f t="shared" si="80"/>
        <v>0</v>
      </c>
    </row>
    <row r="227" spans="1:34" s="232" customFormat="1">
      <c r="A227" s="283"/>
      <c r="B227" s="283" t="s">
        <v>114</v>
      </c>
      <c r="C227" s="667" t="s">
        <v>580</v>
      </c>
      <c r="D227" s="123" t="s">
        <v>371</v>
      </c>
      <c r="E227" s="679"/>
      <c r="F227" s="529">
        <f>VLOOKUP(D227,'Apr 2012 DMV Revenue'!D:T,17,FALSE)</f>
        <v>2815.37</v>
      </c>
      <c r="G227" s="680"/>
      <c r="H227" s="680"/>
      <c r="I227" s="755"/>
      <c r="J227" s="682">
        <f t="shared" si="69"/>
        <v>2815.37</v>
      </c>
      <c r="K227" s="683"/>
      <c r="L227" s="684"/>
      <c r="M227" s="753"/>
      <c r="N227" s="683">
        <v>0</v>
      </c>
      <c r="O227" s="686"/>
      <c r="P227" s="683">
        <v>0</v>
      </c>
      <c r="Q227" s="687">
        <f t="shared" si="71"/>
        <v>0</v>
      </c>
      <c r="R227" s="781">
        <f>688.35+2376.23</f>
        <v>3064.58</v>
      </c>
      <c r="S227" s="693"/>
      <c r="T227" s="690">
        <f t="shared" si="72"/>
        <v>3064.58</v>
      </c>
      <c r="U227" s="683"/>
      <c r="V227" s="474">
        <f t="shared" si="73"/>
        <v>0</v>
      </c>
      <c r="W227" s="474">
        <f t="shared" si="74"/>
        <v>0</v>
      </c>
      <c r="X227" s="475">
        <f t="shared" si="75"/>
        <v>0</v>
      </c>
      <c r="Y227" s="475">
        <v>0</v>
      </c>
      <c r="Z227" s="476">
        <v>0</v>
      </c>
      <c r="AA227" s="38">
        <f t="shared" si="76"/>
        <v>0</v>
      </c>
      <c r="AB227" s="692">
        <f t="shared" si="70"/>
        <v>0</v>
      </c>
      <c r="AC227" s="692">
        <f t="shared" si="81"/>
        <v>0</v>
      </c>
      <c r="AD227" s="692">
        <f t="shared" si="77"/>
        <v>2815.37</v>
      </c>
      <c r="AE227" s="38"/>
      <c r="AF227" s="692">
        <v>2376.21</v>
      </c>
      <c r="AG227" s="692">
        <f t="shared" si="79"/>
        <v>0</v>
      </c>
      <c r="AH227" s="692">
        <v>0</v>
      </c>
    </row>
    <row r="228" spans="1:34" s="232" customFormat="1">
      <c r="A228" s="283"/>
      <c r="B228" s="283" t="s">
        <v>110</v>
      </c>
      <c r="C228" s="667" t="s">
        <v>580</v>
      </c>
      <c r="D228" s="123" t="s">
        <v>422</v>
      </c>
      <c r="E228" s="679"/>
      <c r="F228" s="529">
        <f>VLOOKUP(D228,'Apr 2012 DMV Revenue'!D:T,17,FALSE)</f>
        <v>135.6</v>
      </c>
      <c r="G228" s="680"/>
      <c r="H228" s="680"/>
      <c r="I228" s="755"/>
      <c r="J228" s="682">
        <f t="shared" si="69"/>
        <v>135.6</v>
      </c>
      <c r="K228" s="683"/>
      <c r="L228" s="684">
        <v>43.44</v>
      </c>
      <c r="M228" s="753"/>
      <c r="N228" s="683">
        <v>0</v>
      </c>
      <c r="O228" s="686"/>
      <c r="P228" s="683">
        <v>0</v>
      </c>
      <c r="Q228" s="687">
        <f t="shared" si="71"/>
        <v>43.44</v>
      </c>
      <c r="R228" s="781">
        <v>0</v>
      </c>
      <c r="S228" s="693"/>
      <c r="T228" s="690">
        <f t="shared" si="72"/>
        <v>-43.44</v>
      </c>
      <c r="U228" s="683"/>
      <c r="V228" s="474">
        <f t="shared" si="73"/>
        <v>43.44</v>
      </c>
      <c r="W228" s="474">
        <f t="shared" si="74"/>
        <v>0</v>
      </c>
      <c r="X228" s="475">
        <f t="shared" si="75"/>
        <v>0</v>
      </c>
      <c r="Y228" s="475">
        <v>0</v>
      </c>
      <c r="Z228" s="476">
        <v>0</v>
      </c>
      <c r="AA228" s="38">
        <f t="shared" si="76"/>
        <v>0</v>
      </c>
      <c r="AB228" s="692">
        <f t="shared" si="70"/>
        <v>135.6</v>
      </c>
      <c r="AC228" s="692">
        <f t="shared" si="81"/>
        <v>0</v>
      </c>
      <c r="AD228" s="692">
        <f t="shared" si="77"/>
        <v>0</v>
      </c>
      <c r="AE228" s="38"/>
      <c r="AF228" s="692">
        <f t="shared" si="78"/>
        <v>43.44</v>
      </c>
      <c r="AG228" s="692">
        <f t="shared" si="79"/>
        <v>0</v>
      </c>
      <c r="AH228" s="692">
        <f t="shared" si="80"/>
        <v>0</v>
      </c>
    </row>
    <row r="229" spans="1:34" s="232" customFormat="1">
      <c r="A229" s="283"/>
      <c r="B229" s="283" t="s">
        <v>110</v>
      </c>
      <c r="C229" s="667" t="s">
        <v>580</v>
      </c>
      <c r="D229" s="123" t="s">
        <v>442</v>
      </c>
      <c r="E229" s="679"/>
      <c r="F229" s="529">
        <f>VLOOKUP(D229,'Apr 2012 DMV Revenue'!D:T,17,FALSE)</f>
        <v>-18013.440000000002</v>
      </c>
      <c r="G229" s="680"/>
      <c r="H229" s="680"/>
      <c r="I229" s="755"/>
      <c r="J229" s="682">
        <f t="shared" si="69"/>
        <v>-18013.440000000002</v>
      </c>
      <c r="K229" s="683"/>
      <c r="L229" s="684">
        <f>354026.35+2376.21</f>
        <v>356402.56</v>
      </c>
      <c r="M229" s="753"/>
      <c r="N229" s="683">
        <v>0</v>
      </c>
      <c r="O229" s="686"/>
      <c r="P229" s="683">
        <v>0</v>
      </c>
      <c r="Q229" s="687">
        <f t="shared" si="71"/>
        <v>356402.56</v>
      </c>
      <c r="R229" s="781">
        <v>354087.53</v>
      </c>
      <c r="S229" s="693"/>
      <c r="T229" s="690">
        <f t="shared" si="72"/>
        <v>-2315.0299999999697</v>
      </c>
      <c r="U229" s="683"/>
      <c r="V229" s="474">
        <f t="shared" si="73"/>
        <v>356402.56</v>
      </c>
      <c r="W229" s="474">
        <f t="shared" si="74"/>
        <v>0</v>
      </c>
      <c r="X229" s="475">
        <f t="shared" si="75"/>
        <v>0</v>
      </c>
      <c r="Y229" s="475">
        <v>0</v>
      </c>
      <c r="Z229" s="476">
        <v>0</v>
      </c>
      <c r="AA229" s="38">
        <f t="shared" si="76"/>
        <v>0</v>
      </c>
      <c r="AB229" s="692">
        <f t="shared" si="70"/>
        <v>-18013.440000000002</v>
      </c>
      <c r="AC229" s="692">
        <f t="shared" si="81"/>
        <v>0</v>
      </c>
      <c r="AD229" s="692">
        <f t="shared" si="77"/>
        <v>0</v>
      </c>
      <c r="AE229" s="38"/>
      <c r="AF229" s="692">
        <f t="shared" si="78"/>
        <v>356402.56</v>
      </c>
      <c r="AG229" s="692">
        <f t="shared" si="79"/>
        <v>0</v>
      </c>
      <c r="AH229" s="692">
        <f t="shared" si="80"/>
        <v>0</v>
      </c>
    </row>
    <row r="230" spans="1:34">
      <c r="A230" s="20"/>
      <c r="B230" s="20" t="s">
        <v>109</v>
      </c>
      <c r="C230" s="667"/>
      <c r="D230" s="68" t="s">
        <v>304</v>
      </c>
      <c r="E230" s="679"/>
      <c r="F230" s="529">
        <f>VLOOKUP(D230,'Apr 2012 DMV Revenue'!D:T,17,FALSE)</f>
        <v>0</v>
      </c>
      <c r="G230" s="680"/>
      <c r="H230" s="680"/>
      <c r="I230" s="755"/>
      <c r="J230" s="682">
        <f t="shared" si="69"/>
        <v>0</v>
      </c>
      <c r="K230" s="683"/>
      <c r="L230" s="684"/>
      <c r="M230" s="753"/>
      <c r="N230" s="683">
        <v>0</v>
      </c>
      <c r="O230" s="686"/>
      <c r="P230" s="683">
        <v>0</v>
      </c>
      <c r="Q230" s="687">
        <f t="shared" si="71"/>
        <v>0</v>
      </c>
      <c r="R230" s="781">
        <v>0</v>
      </c>
      <c r="S230" s="693"/>
      <c r="T230" s="690">
        <f t="shared" si="72"/>
        <v>0</v>
      </c>
      <c r="U230" s="683"/>
      <c r="V230" s="474">
        <f t="shared" si="73"/>
        <v>0</v>
      </c>
      <c r="W230" s="474">
        <f t="shared" si="74"/>
        <v>0</v>
      </c>
      <c r="X230" s="475">
        <f t="shared" si="75"/>
        <v>0</v>
      </c>
      <c r="Y230" s="475">
        <v>0</v>
      </c>
      <c r="Z230" s="476">
        <v>0</v>
      </c>
      <c r="AA230" s="38">
        <f t="shared" si="76"/>
        <v>0</v>
      </c>
      <c r="AB230" s="692">
        <f t="shared" si="70"/>
        <v>0</v>
      </c>
      <c r="AC230" s="692">
        <f t="shared" si="81"/>
        <v>0</v>
      </c>
      <c r="AD230" s="692">
        <f t="shared" si="77"/>
        <v>0</v>
      </c>
      <c r="AE230" s="38"/>
      <c r="AF230" s="692">
        <f t="shared" si="78"/>
        <v>0</v>
      </c>
      <c r="AG230" s="692">
        <f t="shared" si="79"/>
        <v>0</v>
      </c>
      <c r="AH230" s="692">
        <f t="shared" si="80"/>
        <v>0</v>
      </c>
    </row>
    <row r="231" spans="1:34">
      <c r="A231" s="21" t="s">
        <v>97</v>
      </c>
      <c r="B231" s="21" t="s">
        <v>109</v>
      </c>
      <c r="C231" s="666"/>
      <c r="D231" s="68" t="s">
        <v>381</v>
      </c>
      <c r="E231" s="679"/>
      <c r="F231" s="529">
        <f>VLOOKUP(D231,'Apr 2012 DMV Revenue'!D:T,17,FALSE)</f>
        <v>0</v>
      </c>
      <c r="G231" s="680"/>
      <c r="H231" s="680"/>
      <c r="I231" s="755"/>
      <c r="J231" s="682">
        <f t="shared" si="69"/>
        <v>0</v>
      </c>
      <c r="K231" s="683"/>
      <c r="L231" s="684"/>
      <c r="M231" s="753"/>
      <c r="N231" s="683">
        <v>0</v>
      </c>
      <c r="O231" s="686"/>
      <c r="P231" s="683">
        <v>0</v>
      </c>
      <c r="Q231" s="687">
        <f t="shared" si="71"/>
        <v>0</v>
      </c>
      <c r="R231" s="781">
        <v>0</v>
      </c>
      <c r="S231" s="693"/>
      <c r="T231" s="690">
        <f t="shared" si="72"/>
        <v>0</v>
      </c>
      <c r="U231" s="683"/>
      <c r="V231" s="474">
        <f t="shared" si="73"/>
        <v>0</v>
      </c>
      <c r="W231" s="474">
        <f t="shared" si="74"/>
        <v>0</v>
      </c>
      <c r="X231" s="475">
        <f t="shared" si="75"/>
        <v>0</v>
      </c>
      <c r="Y231" s="475">
        <v>0</v>
      </c>
      <c r="Z231" s="476">
        <v>0</v>
      </c>
      <c r="AA231" s="38">
        <f t="shared" si="76"/>
        <v>0</v>
      </c>
      <c r="AB231" s="692">
        <f t="shared" si="70"/>
        <v>0</v>
      </c>
      <c r="AC231" s="692">
        <f t="shared" ref="AC231" si="82">IF(B231="M",J231,0)</f>
        <v>0</v>
      </c>
      <c r="AD231" s="692">
        <f t="shared" ref="AD231" si="83">IF(B231="V",J231,0)</f>
        <v>0</v>
      </c>
      <c r="AE231" s="38"/>
      <c r="AF231" s="692">
        <f t="shared" si="78"/>
        <v>0</v>
      </c>
      <c r="AG231" s="692">
        <f t="shared" si="79"/>
        <v>0</v>
      </c>
      <c r="AH231" s="692">
        <f t="shared" si="80"/>
        <v>0</v>
      </c>
    </row>
    <row r="232" spans="1:34">
      <c r="A232" s="21" t="s">
        <v>97</v>
      </c>
      <c r="B232" s="21" t="s">
        <v>114</v>
      </c>
      <c r="C232" s="666"/>
      <c r="D232" s="68" t="s">
        <v>376</v>
      </c>
      <c r="E232" s="679"/>
      <c r="F232" s="529">
        <f>VLOOKUP(D232,'Apr 2012 DMV Revenue'!D:T,17,FALSE)</f>
        <v>0</v>
      </c>
      <c r="G232" s="680"/>
      <c r="H232" s="680"/>
      <c r="I232" s="755"/>
      <c r="J232" s="682">
        <f t="shared" si="69"/>
        <v>0</v>
      </c>
      <c r="K232" s="683"/>
      <c r="L232" s="684"/>
      <c r="M232" s="753"/>
      <c r="N232" s="683">
        <v>0</v>
      </c>
      <c r="O232" s="686"/>
      <c r="P232" s="683">
        <v>0</v>
      </c>
      <c r="Q232" s="687">
        <f t="shared" si="71"/>
        <v>0</v>
      </c>
      <c r="R232" s="781">
        <v>0</v>
      </c>
      <c r="S232" s="693"/>
      <c r="T232" s="690">
        <f t="shared" si="72"/>
        <v>0</v>
      </c>
      <c r="U232" s="683"/>
      <c r="V232" s="474">
        <f t="shared" si="73"/>
        <v>0</v>
      </c>
      <c r="W232" s="474">
        <f t="shared" si="74"/>
        <v>0</v>
      </c>
      <c r="X232" s="475">
        <f t="shared" si="75"/>
        <v>0</v>
      </c>
      <c r="Y232" s="475">
        <v>0</v>
      </c>
      <c r="Z232" s="476">
        <v>0</v>
      </c>
      <c r="AA232" s="38">
        <f t="shared" si="76"/>
        <v>0</v>
      </c>
      <c r="AB232" s="692">
        <f t="shared" si="70"/>
        <v>0</v>
      </c>
      <c r="AC232" s="692">
        <f t="shared" si="81"/>
        <v>0</v>
      </c>
      <c r="AD232" s="692">
        <f t="shared" si="77"/>
        <v>0</v>
      </c>
      <c r="AE232" s="38"/>
      <c r="AF232" s="692">
        <f t="shared" si="78"/>
        <v>0</v>
      </c>
      <c r="AG232" s="692">
        <f t="shared" si="79"/>
        <v>0</v>
      </c>
      <c r="AH232" s="692">
        <f t="shared" si="80"/>
        <v>0</v>
      </c>
    </row>
    <row r="233" spans="1:34">
      <c r="A233" s="20"/>
      <c r="B233" s="20" t="s">
        <v>110</v>
      </c>
      <c r="C233" s="667"/>
      <c r="D233" s="68" t="s">
        <v>390</v>
      </c>
      <c r="E233" s="679">
        <v>281.45</v>
      </c>
      <c r="F233" s="529">
        <f>VLOOKUP(D233,'Apr 2012 DMV Revenue'!D:T,17,FALSE)</f>
        <v>0</v>
      </c>
      <c r="G233" s="680"/>
      <c r="H233" s="680"/>
      <c r="I233" s="755"/>
      <c r="J233" s="682">
        <f t="shared" si="69"/>
        <v>281.45</v>
      </c>
      <c r="K233" s="683"/>
      <c r="L233" s="684"/>
      <c r="M233" s="753"/>
      <c r="N233" s="683">
        <v>0</v>
      </c>
      <c r="O233" s="686"/>
      <c r="P233" s="683">
        <v>0</v>
      </c>
      <c r="Q233" s="687">
        <f t="shared" si="71"/>
        <v>0</v>
      </c>
      <c r="R233" s="781">
        <v>0</v>
      </c>
      <c r="S233" s="693"/>
      <c r="T233" s="690">
        <f t="shared" si="72"/>
        <v>0</v>
      </c>
      <c r="U233" s="683"/>
      <c r="V233" s="474">
        <f t="shared" si="73"/>
        <v>0</v>
      </c>
      <c r="W233" s="474">
        <f t="shared" si="74"/>
        <v>0</v>
      </c>
      <c r="X233" s="475">
        <f t="shared" si="75"/>
        <v>0</v>
      </c>
      <c r="Y233" s="475">
        <v>0</v>
      </c>
      <c r="Z233" s="476">
        <v>0</v>
      </c>
      <c r="AA233" s="38">
        <f t="shared" si="76"/>
        <v>0</v>
      </c>
      <c r="AB233" s="692">
        <f t="shared" si="70"/>
        <v>281.45</v>
      </c>
      <c r="AC233" s="692">
        <f t="shared" si="81"/>
        <v>0</v>
      </c>
      <c r="AD233" s="692">
        <f t="shared" si="77"/>
        <v>0</v>
      </c>
      <c r="AE233" s="38"/>
      <c r="AF233" s="692">
        <f t="shared" si="78"/>
        <v>0</v>
      </c>
      <c r="AG233" s="692">
        <f t="shared" si="79"/>
        <v>0</v>
      </c>
      <c r="AH233" s="692">
        <f t="shared" si="80"/>
        <v>0</v>
      </c>
    </row>
    <row r="234" spans="1:34">
      <c r="A234" s="20"/>
      <c r="B234" s="20" t="s">
        <v>110</v>
      </c>
      <c r="C234" s="667" t="s">
        <v>581</v>
      </c>
      <c r="D234" s="123" t="s">
        <v>166</v>
      </c>
      <c r="E234" s="679"/>
      <c r="F234" s="529">
        <f>VLOOKUP(D234,'Apr 2012 DMV Revenue'!D:T,17,FALSE)</f>
        <v>0</v>
      </c>
      <c r="G234" s="680"/>
      <c r="H234" s="680"/>
      <c r="I234" s="755"/>
      <c r="J234" s="682">
        <f t="shared" si="69"/>
        <v>0</v>
      </c>
      <c r="K234" s="683"/>
      <c r="L234" s="684"/>
      <c r="M234" s="753"/>
      <c r="N234" s="683">
        <v>0</v>
      </c>
      <c r="O234" s="686"/>
      <c r="P234" s="683">
        <v>0</v>
      </c>
      <c r="Q234" s="687">
        <f t="shared" si="71"/>
        <v>0</v>
      </c>
      <c r="R234" s="781">
        <v>0</v>
      </c>
      <c r="S234" s="693"/>
      <c r="T234" s="690">
        <f t="shared" si="72"/>
        <v>0</v>
      </c>
      <c r="U234" s="683"/>
      <c r="V234" s="474">
        <f t="shared" si="73"/>
        <v>0</v>
      </c>
      <c r="W234" s="474">
        <f t="shared" si="74"/>
        <v>0</v>
      </c>
      <c r="X234" s="475">
        <f t="shared" si="75"/>
        <v>0</v>
      </c>
      <c r="Y234" s="475">
        <v>0</v>
      </c>
      <c r="Z234" s="476">
        <v>0</v>
      </c>
      <c r="AA234" s="38">
        <f t="shared" si="76"/>
        <v>0</v>
      </c>
      <c r="AB234" s="692">
        <f t="shared" si="70"/>
        <v>0</v>
      </c>
      <c r="AC234" s="692">
        <f t="shared" si="81"/>
        <v>0</v>
      </c>
      <c r="AD234" s="692">
        <f t="shared" si="77"/>
        <v>0</v>
      </c>
      <c r="AE234" s="38"/>
      <c r="AF234" s="692">
        <f t="shared" si="78"/>
        <v>0</v>
      </c>
      <c r="AG234" s="692">
        <f t="shared" si="79"/>
        <v>0</v>
      </c>
      <c r="AH234" s="692">
        <f t="shared" si="80"/>
        <v>0</v>
      </c>
    </row>
    <row r="235" spans="1:34">
      <c r="A235" s="20"/>
      <c r="B235" s="20" t="s">
        <v>109</v>
      </c>
      <c r="C235" s="667" t="s">
        <v>581</v>
      </c>
      <c r="D235" s="123" t="s">
        <v>165</v>
      </c>
      <c r="E235" s="679"/>
      <c r="F235" s="529">
        <f>VLOOKUP(D235,'Apr 2012 DMV Revenue'!D:T,17,FALSE)</f>
        <v>0</v>
      </c>
      <c r="G235" s="680"/>
      <c r="H235" s="680"/>
      <c r="I235" s="755"/>
      <c r="J235" s="682">
        <f t="shared" si="69"/>
        <v>0</v>
      </c>
      <c r="K235" s="683"/>
      <c r="L235" s="684"/>
      <c r="M235" s="753"/>
      <c r="N235" s="683">
        <v>0</v>
      </c>
      <c r="O235" s="686"/>
      <c r="P235" s="683">
        <v>0</v>
      </c>
      <c r="Q235" s="687">
        <f t="shared" si="71"/>
        <v>0</v>
      </c>
      <c r="R235" s="781">
        <v>0</v>
      </c>
      <c r="S235" s="693"/>
      <c r="T235" s="690">
        <f t="shared" si="72"/>
        <v>0</v>
      </c>
      <c r="U235" s="683"/>
      <c r="V235" s="474">
        <f t="shared" si="73"/>
        <v>0</v>
      </c>
      <c r="W235" s="474">
        <f t="shared" si="74"/>
        <v>0</v>
      </c>
      <c r="X235" s="475">
        <f t="shared" si="75"/>
        <v>0</v>
      </c>
      <c r="Y235" s="475">
        <v>0</v>
      </c>
      <c r="Z235" s="476">
        <v>0</v>
      </c>
      <c r="AA235" s="38">
        <f t="shared" si="76"/>
        <v>0</v>
      </c>
      <c r="AB235" s="692">
        <f t="shared" si="70"/>
        <v>0</v>
      </c>
      <c r="AC235" s="692">
        <f t="shared" si="81"/>
        <v>0</v>
      </c>
      <c r="AD235" s="692">
        <f t="shared" si="77"/>
        <v>0</v>
      </c>
      <c r="AE235" s="38"/>
      <c r="AF235" s="692">
        <f t="shared" si="78"/>
        <v>0</v>
      </c>
      <c r="AG235" s="692">
        <f t="shared" si="79"/>
        <v>0</v>
      </c>
      <c r="AH235" s="692">
        <f t="shared" si="80"/>
        <v>0</v>
      </c>
    </row>
    <row r="236" spans="1:34">
      <c r="A236" s="20"/>
      <c r="B236" s="20" t="s">
        <v>109</v>
      </c>
      <c r="C236" s="667"/>
      <c r="D236" s="123" t="s">
        <v>310</v>
      </c>
      <c r="E236" s="679"/>
      <c r="F236" s="529">
        <f>VLOOKUP(D236,'Apr 2012 DMV Revenue'!D:T,17,FALSE)</f>
        <v>0</v>
      </c>
      <c r="G236" s="680"/>
      <c r="H236" s="680"/>
      <c r="I236" s="755"/>
      <c r="J236" s="682">
        <f t="shared" si="69"/>
        <v>0</v>
      </c>
      <c r="K236" s="683"/>
      <c r="L236" s="684"/>
      <c r="M236" s="753"/>
      <c r="N236" s="683">
        <v>0</v>
      </c>
      <c r="O236" s="686"/>
      <c r="P236" s="683">
        <v>0</v>
      </c>
      <c r="Q236" s="687">
        <f t="shared" si="71"/>
        <v>0</v>
      </c>
      <c r="R236" s="781">
        <v>0</v>
      </c>
      <c r="S236" s="693"/>
      <c r="T236" s="690">
        <f t="shared" si="72"/>
        <v>0</v>
      </c>
      <c r="U236" s="683"/>
      <c r="V236" s="474">
        <f t="shared" si="73"/>
        <v>0</v>
      </c>
      <c r="W236" s="474">
        <f t="shared" si="74"/>
        <v>0</v>
      </c>
      <c r="X236" s="475">
        <f t="shared" si="75"/>
        <v>0</v>
      </c>
      <c r="Y236" s="475">
        <v>0</v>
      </c>
      <c r="Z236" s="476">
        <v>0</v>
      </c>
      <c r="AA236" s="38">
        <f t="shared" si="76"/>
        <v>0</v>
      </c>
      <c r="AB236" s="692">
        <f t="shared" si="70"/>
        <v>0</v>
      </c>
      <c r="AC236" s="692">
        <f t="shared" si="81"/>
        <v>0</v>
      </c>
      <c r="AD236" s="692">
        <f t="shared" si="77"/>
        <v>0</v>
      </c>
      <c r="AE236" s="38"/>
      <c r="AF236" s="692">
        <f t="shared" si="78"/>
        <v>0</v>
      </c>
      <c r="AG236" s="692">
        <f t="shared" si="79"/>
        <v>0</v>
      </c>
      <c r="AH236" s="692">
        <f t="shared" si="80"/>
        <v>0</v>
      </c>
    </row>
    <row r="237" spans="1:34">
      <c r="A237" s="20"/>
      <c r="B237" s="20" t="s">
        <v>109</v>
      </c>
      <c r="C237" s="667"/>
      <c r="D237" s="123" t="s">
        <v>441</v>
      </c>
      <c r="E237" s="679"/>
      <c r="F237" s="529">
        <f>VLOOKUP(D237,'Apr 2012 DMV Revenue'!D:T,17,FALSE)</f>
        <v>0</v>
      </c>
      <c r="G237" s="680"/>
      <c r="H237" s="680"/>
      <c r="I237" s="755"/>
      <c r="J237" s="682">
        <f t="shared" si="69"/>
        <v>0</v>
      </c>
      <c r="K237" s="683"/>
      <c r="L237" s="684"/>
      <c r="M237" s="753"/>
      <c r="N237" s="683">
        <v>0</v>
      </c>
      <c r="O237" s="686"/>
      <c r="P237" s="683">
        <v>0</v>
      </c>
      <c r="Q237" s="687">
        <f t="shared" si="71"/>
        <v>0</v>
      </c>
      <c r="R237" s="781">
        <v>0</v>
      </c>
      <c r="S237" s="693"/>
      <c r="T237" s="690">
        <f t="shared" si="72"/>
        <v>0</v>
      </c>
      <c r="U237" s="683"/>
      <c r="V237" s="474">
        <f t="shared" si="73"/>
        <v>0</v>
      </c>
      <c r="W237" s="474">
        <f t="shared" si="74"/>
        <v>0</v>
      </c>
      <c r="X237" s="475">
        <f t="shared" si="75"/>
        <v>0</v>
      </c>
      <c r="Y237" s="475">
        <v>0</v>
      </c>
      <c r="Z237" s="476">
        <v>0</v>
      </c>
      <c r="AA237" s="38">
        <f t="shared" si="76"/>
        <v>0</v>
      </c>
      <c r="AB237" s="692">
        <f t="shared" si="70"/>
        <v>0</v>
      </c>
      <c r="AC237" s="692">
        <f t="shared" si="81"/>
        <v>0</v>
      </c>
      <c r="AD237" s="692">
        <f t="shared" si="77"/>
        <v>0</v>
      </c>
      <c r="AE237" s="38"/>
      <c r="AF237" s="692">
        <f t="shared" si="78"/>
        <v>0</v>
      </c>
      <c r="AG237" s="692">
        <f t="shared" si="79"/>
        <v>0</v>
      </c>
      <c r="AH237" s="692">
        <f t="shared" si="80"/>
        <v>0</v>
      </c>
    </row>
    <row r="238" spans="1:34">
      <c r="A238" s="20"/>
      <c r="B238" s="20" t="s">
        <v>109</v>
      </c>
      <c r="C238" s="667"/>
      <c r="D238" s="68" t="s">
        <v>121</v>
      </c>
      <c r="E238" s="679"/>
      <c r="F238" s="529">
        <f>VLOOKUP(D238,'Apr 2012 DMV Revenue'!D:T,17,FALSE)</f>
        <v>0</v>
      </c>
      <c r="G238" s="680"/>
      <c r="H238" s="680"/>
      <c r="I238" s="755"/>
      <c r="J238" s="682">
        <f t="shared" si="69"/>
        <v>0</v>
      </c>
      <c r="K238" s="683"/>
      <c r="L238" s="684"/>
      <c r="M238" s="753"/>
      <c r="N238" s="683">
        <v>0</v>
      </c>
      <c r="O238" s="686"/>
      <c r="P238" s="683">
        <v>0</v>
      </c>
      <c r="Q238" s="687">
        <f t="shared" si="71"/>
        <v>0</v>
      </c>
      <c r="R238" s="781">
        <v>0</v>
      </c>
      <c r="S238" s="693"/>
      <c r="T238" s="690">
        <f t="shared" si="72"/>
        <v>0</v>
      </c>
      <c r="U238" s="683"/>
      <c r="V238" s="474">
        <f t="shared" si="73"/>
        <v>0</v>
      </c>
      <c r="W238" s="474">
        <f t="shared" si="74"/>
        <v>0</v>
      </c>
      <c r="X238" s="475">
        <f t="shared" si="75"/>
        <v>0</v>
      </c>
      <c r="Y238" s="475">
        <v>0</v>
      </c>
      <c r="Z238" s="476">
        <v>0</v>
      </c>
      <c r="AA238" s="38">
        <f t="shared" si="76"/>
        <v>0</v>
      </c>
      <c r="AB238" s="692">
        <f t="shared" si="70"/>
        <v>0</v>
      </c>
      <c r="AC238" s="692">
        <f t="shared" si="81"/>
        <v>0</v>
      </c>
      <c r="AD238" s="692">
        <f t="shared" si="77"/>
        <v>0</v>
      </c>
      <c r="AE238" s="38"/>
      <c r="AF238" s="692">
        <f t="shared" si="78"/>
        <v>0</v>
      </c>
      <c r="AG238" s="692">
        <f t="shared" si="79"/>
        <v>0</v>
      </c>
      <c r="AH238" s="692">
        <f t="shared" si="80"/>
        <v>0</v>
      </c>
    </row>
    <row r="239" spans="1:34">
      <c r="A239" s="20"/>
      <c r="B239" s="20" t="s">
        <v>110</v>
      </c>
      <c r="C239" s="667"/>
      <c r="D239" s="68" t="s">
        <v>168</v>
      </c>
      <c r="E239" s="679"/>
      <c r="F239" s="529">
        <f>VLOOKUP(D239,'Apr 2012 DMV Revenue'!D:T,17,FALSE)</f>
        <v>0</v>
      </c>
      <c r="G239" s="680"/>
      <c r="H239" s="680"/>
      <c r="I239" s="755"/>
      <c r="J239" s="682">
        <f t="shared" si="69"/>
        <v>0</v>
      </c>
      <c r="K239" s="683"/>
      <c r="L239" s="684"/>
      <c r="M239" s="753"/>
      <c r="N239" s="683">
        <v>0</v>
      </c>
      <c r="O239" s="686"/>
      <c r="P239" s="683">
        <v>0</v>
      </c>
      <c r="Q239" s="687">
        <f t="shared" si="71"/>
        <v>0</v>
      </c>
      <c r="R239" s="781">
        <v>0</v>
      </c>
      <c r="S239" s="693"/>
      <c r="T239" s="690">
        <f t="shared" si="72"/>
        <v>0</v>
      </c>
      <c r="U239" s="683"/>
      <c r="V239" s="474">
        <f t="shared" si="73"/>
        <v>0</v>
      </c>
      <c r="W239" s="474">
        <f t="shared" si="74"/>
        <v>0</v>
      </c>
      <c r="X239" s="475">
        <f t="shared" si="75"/>
        <v>0</v>
      </c>
      <c r="Y239" s="475">
        <v>0</v>
      </c>
      <c r="Z239" s="476">
        <v>0</v>
      </c>
      <c r="AA239" s="38">
        <f t="shared" si="76"/>
        <v>0</v>
      </c>
      <c r="AB239" s="692">
        <f t="shared" si="70"/>
        <v>0</v>
      </c>
      <c r="AC239" s="692">
        <f t="shared" si="81"/>
        <v>0</v>
      </c>
      <c r="AD239" s="692">
        <f t="shared" si="77"/>
        <v>0</v>
      </c>
      <c r="AE239" s="38"/>
      <c r="AF239" s="692">
        <f t="shared" si="78"/>
        <v>0</v>
      </c>
      <c r="AG239" s="692">
        <f t="shared" si="79"/>
        <v>0</v>
      </c>
      <c r="AH239" s="692">
        <f t="shared" si="80"/>
        <v>0</v>
      </c>
    </row>
    <row r="240" spans="1:34">
      <c r="A240" s="20"/>
      <c r="B240" s="20" t="s">
        <v>109</v>
      </c>
      <c r="C240" s="667" t="s">
        <v>582</v>
      </c>
      <c r="D240" s="68" t="s">
        <v>167</v>
      </c>
      <c r="E240" s="679"/>
      <c r="F240" s="529">
        <f>VLOOKUP(D240,'Apr 2012 DMV Revenue'!D:T,17,FALSE)</f>
        <v>0</v>
      </c>
      <c r="G240" s="680"/>
      <c r="H240" s="680"/>
      <c r="I240" s="755"/>
      <c r="J240" s="682">
        <f t="shared" si="69"/>
        <v>0</v>
      </c>
      <c r="K240" s="683"/>
      <c r="L240" s="684"/>
      <c r="M240" s="753"/>
      <c r="N240" s="683">
        <v>0</v>
      </c>
      <c r="O240" s="686"/>
      <c r="P240" s="683">
        <v>0</v>
      </c>
      <c r="Q240" s="687">
        <f t="shared" si="71"/>
        <v>0</v>
      </c>
      <c r="R240" s="781">
        <v>0</v>
      </c>
      <c r="S240" s="693"/>
      <c r="T240" s="690">
        <f t="shared" si="72"/>
        <v>0</v>
      </c>
      <c r="U240" s="683"/>
      <c r="V240" s="474">
        <f t="shared" si="73"/>
        <v>0</v>
      </c>
      <c r="W240" s="474">
        <f t="shared" si="74"/>
        <v>0</v>
      </c>
      <c r="X240" s="475">
        <f t="shared" si="75"/>
        <v>0</v>
      </c>
      <c r="Y240" s="475">
        <v>0</v>
      </c>
      <c r="Z240" s="476">
        <v>0</v>
      </c>
      <c r="AA240" s="38">
        <f t="shared" si="76"/>
        <v>0</v>
      </c>
      <c r="AB240" s="692">
        <f t="shared" si="70"/>
        <v>0</v>
      </c>
      <c r="AC240" s="692">
        <f t="shared" si="81"/>
        <v>0</v>
      </c>
      <c r="AD240" s="692">
        <f t="shared" si="77"/>
        <v>0</v>
      </c>
      <c r="AE240" s="38"/>
      <c r="AF240" s="692">
        <f t="shared" si="78"/>
        <v>0</v>
      </c>
      <c r="AG240" s="692">
        <f t="shared" si="79"/>
        <v>0</v>
      </c>
      <c r="AH240" s="692">
        <f t="shared" si="80"/>
        <v>0</v>
      </c>
    </row>
    <row r="241" spans="1:34">
      <c r="A241" s="20" t="s">
        <v>218</v>
      </c>
      <c r="B241" s="20" t="s">
        <v>110</v>
      </c>
      <c r="C241" s="667"/>
      <c r="D241" s="68" t="s">
        <v>240</v>
      </c>
      <c r="E241" s="679"/>
      <c r="F241" s="529">
        <f>VLOOKUP(D241,'Apr 2012 DMV Revenue'!D:T,17,FALSE)</f>
        <v>0</v>
      </c>
      <c r="G241" s="680"/>
      <c r="H241" s="680"/>
      <c r="I241" s="755"/>
      <c r="J241" s="682">
        <f t="shared" si="69"/>
        <v>0</v>
      </c>
      <c r="K241" s="683"/>
      <c r="L241" s="684"/>
      <c r="M241" s="753"/>
      <c r="N241" s="683">
        <v>0</v>
      </c>
      <c r="O241" s="686"/>
      <c r="P241" s="683">
        <v>0</v>
      </c>
      <c r="Q241" s="687">
        <f t="shared" si="71"/>
        <v>0</v>
      </c>
      <c r="R241" s="781">
        <v>0</v>
      </c>
      <c r="S241" s="693"/>
      <c r="T241" s="690">
        <f t="shared" si="72"/>
        <v>0</v>
      </c>
      <c r="U241" s="697"/>
      <c r="V241" s="474">
        <f t="shared" si="73"/>
        <v>0</v>
      </c>
      <c r="W241" s="474">
        <f t="shared" si="74"/>
        <v>0</v>
      </c>
      <c r="X241" s="475">
        <f t="shared" si="75"/>
        <v>0</v>
      </c>
      <c r="Y241" s="475">
        <v>0</v>
      </c>
      <c r="Z241" s="476">
        <v>0</v>
      </c>
      <c r="AA241" s="38">
        <f t="shared" si="76"/>
        <v>0</v>
      </c>
      <c r="AB241" s="692">
        <f t="shared" si="70"/>
        <v>0</v>
      </c>
      <c r="AC241" s="692">
        <f t="shared" si="81"/>
        <v>0</v>
      </c>
      <c r="AD241" s="692">
        <f t="shared" si="77"/>
        <v>0</v>
      </c>
      <c r="AE241" s="38"/>
      <c r="AF241" s="692">
        <f t="shared" si="78"/>
        <v>0</v>
      </c>
      <c r="AG241" s="692">
        <f t="shared" si="79"/>
        <v>0</v>
      </c>
      <c r="AH241" s="692">
        <f t="shared" si="80"/>
        <v>0</v>
      </c>
    </row>
    <row r="242" spans="1:34">
      <c r="A242" s="20" t="s">
        <v>218</v>
      </c>
      <c r="B242" s="20" t="s">
        <v>110</v>
      </c>
      <c r="C242" s="667"/>
      <c r="D242" s="68" t="s">
        <v>60</v>
      </c>
      <c r="E242" s="679">
        <f>2865.74+3220.19+2358.31</f>
        <v>8444.24</v>
      </c>
      <c r="F242" s="529">
        <f>VLOOKUP(D242,'Apr 2012 DMV Revenue'!D:T,17,FALSE)</f>
        <v>-10000</v>
      </c>
      <c r="G242" s="680"/>
      <c r="H242" s="680"/>
      <c r="I242" s="755"/>
      <c r="J242" s="682">
        <f t="shared" si="69"/>
        <v>-1555.7600000000002</v>
      </c>
      <c r="K242" s="683"/>
      <c r="L242" s="684"/>
      <c r="M242" s="753">
        <v>5000</v>
      </c>
      <c r="N242" s="683">
        <v>0</v>
      </c>
      <c r="O242" s="686"/>
      <c r="P242" s="683">
        <v>0</v>
      </c>
      <c r="Q242" s="687">
        <f t="shared" si="71"/>
        <v>5000</v>
      </c>
      <c r="R242" s="781">
        <v>0</v>
      </c>
      <c r="S242" s="693"/>
      <c r="T242" s="690">
        <f t="shared" si="72"/>
        <v>-5000</v>
      </c>
      <c r="U242" s="697"/>
      <c r="V242" s="474">
        <f t="shared" si="73"/>
        <v>5000</v>
      </c>
      <c r="W242" s="474">
        <f t="shared" si="74"/>
        <v>0</v>
      </c>
      <c r="X242" s="475">
        <f t="shared" si="75"/>
        <v>0</v>
      </c>
      <c r="Y242" s="475">
        <v>0</v>
      </c>
      <c r="Z242" s="476">
        <v>0</v>
      </c>
      <c r="AA242" s="38">
        <f t="shared" si="76"/>
        <v>0</v>
      </c>
      <c r="AB242" s="692">
        <f t="shared" si="70"/>
        <v>-1555.7600000000002</v>
      </c>
      <c r="AC242" s="692">
        <f t="shared" si="81"/>
        <v>0</v>
      </c>
      <c r="AD242" s="692">
        <f t="shared" si="77"/>
        <v>0</v>
      </c>
      <c r="AE242" s="38"/>
      <c r="AF242" s="692">
        <f t="shared" si="78"/>
        <v>5000</v>
      </c>
      <c r="AG242" s="692">
        <f t="shared" si="79"/>
        <v>0</v>
      </c>
      <c r="AH242" s="692">
        <f t="shared" si="80"/>
        <v>0</v>
      </c>
    </row>
    <row r="243" spans="1:34">
      <c r="A243" s="20"/>
      <c r="B243" s="20" t="s">
        <v>110</v>
      </c>
      <c r="C243" s="667" t="s">
        <v>583</v>
      </c>
      <c r="D243" s="68" t="s">
        <v>169</v>
      </c>
      <c r="E243" s="679"/>
      <c r="F243" s="529">
        <f>VLOOKUP(D243,'Apr 2012 DMV Revenue'!D:T,17,FALSE)</f>
        <v>0</v>
      </c>
      <c r="G243" s="680"/>
      <c r="H243" s="680"/>
      <c r="I243" s="755"/>
      <c r="J243" s="682">
        <f t="shared" si="69"/>
        <v>0</v>
      </c>
      <c r="K243" s="683"/>
      <c r="L243" s="684"/>
      <c r="M243" s="753"/>
      <c r="N243" s="683">
        <v>0</v>
      </c>
      <c r="O243" s="686"/>
      <c r="P243" s="683">
        <v>0</v>
      </c>
      <c r="Q243" s="687">
        <f t="shared" si="71"/>
        <v>0</v>
      </c>
      <c r="R243" s="781">
        <v>300.95999999999998</v>
      </c>
      <c r="S243" s="693"/>
      <c r="T243" s="690">
        <f t="shared" si="72"/>
        <v>300.95999999999998</v>
      </c>
      <c r="U243" s="683"/>
      <c r="V243" s="474">
        <f t="shared" si="73"/>
        <v>0</v>
      </c>
      <c r="W243" s="474">
        <f t="shared" si="74"/>
        <v>0</v>
      </c>
      <c r="X243" s="475">
        <f t="shared" si="75"/>
        <v>0</v>
      </c>
      <c r="Y243" s="475">
        <v>0</v>
      </c>
      <c r="Z243" s="476">
        <v>0</v>
      </c>
      <c r="AA243" s="38">
        <f t="shared" si="76"/>
        <v>0</v>
      </c>
      <c r="AB243" s="692">
        <f t="shared" si="70"/>
        <v>0</v>
      </c>
      <c r="AC243" s="692">
        <f t="shared" si="81"/>
        <v>0</v>
      </c>
      <c r="AD243" s="692">
        <f t="shared" si="77"/>
        <v>0</v>
      </c>
      <c r="AE243" s="38"/>
      <c r="AF243" s="692">
        <f t="shared" si="78"/>
        <v>0</v>
      </c>
      <c r="AG243" s="692">
        <f t="shared" si="79"/>
        <v>0</v>
      </c>
      <c r="AH243" s="692">
        <f t="shared" si="80"/>
        <v>0</v>
      </c>
    </row>
    <row r="244" spans="1:34">
      <c r="A244" s="21"/>
      <c r="B244" s="21" t="s">
        <v>110</v>
      </c>
      <c r="C244" s="666"/>
      <c r="D244" s="68" t="s">
        <v>590</v>
      </c>
      <c r="E244" s="679"/>
      <c r="F244" s="529">
        <f>VLOOKUP(D244,'Apr 2012 DMV Revenue'!D:T,17,FALSE)</f>
        <v>0</v>
      </c>
      <c r="G244" s="680"/>
      <c r="H244" s="680"/>
      <c r="I244" s="755"/>
      <c r="J244" s="682">
        <f t="shared" si="69"/>
        <v>0</v>
      </c>
      <c r="K244" s="683"/>
      <c r="L244" s="684"/>
      <c r="M244" s="753"/>
      <c r="N244" s="683">
        <v>0</v>
      </c>
      <c r="O244" s="686"/>
      <c r="P244" s="683">
        <v>0</v>
      </c>
      <c r="Q244" s="687">
        <f t="shared" si="71"/>
        <v>0</v>
      </c>
      <c r="R244" s="781">
        <v>0</v>
      </c>
      <c r="S244" s="693"/>
      <c r="T244" s="690">
        <f t="shared" si="72"/>
        <v>0</v>
      </c>
      <c r="U244" s="683"/>
      <c r="V244" s="474">
        <f t="shared" si="73"/>
        <v>0</v>
      </c>
      <c r="W244" s="474">
        <f t="shared" si="74"/>
        <v>0</v>
      </c>
      <c r="X244" s="475">
        <f t="shared" si="75"/>
        <v>0</v>
      </c>
      <c r="Y244" s="475">
        <v>0</v>
      </c>
      <c r="Z244" s="476">
        <v>0</v>
      </c>
      <c r="AA244" s="38">
        <f t="shared" si="76"/>
        <v>0</v>
      </c>
      <c r="AB244" s="692">
        <f t="shared" si="70"/>
        <v>0</v>
      </c>
      <c r="AC244" s="692">
        <f t="shared" si="81"/>
        <v>0</v>
      </c>
      <c r="AD244" s="692">
        <f t="shared" si="77"/>
        <v>0</v>
      </c>
      <c r="AE244" s="38"/>
      <c r="AF244" s="692">
        <f t="shared" si="78"/>
        <v>0</v>
      </c>
      <c r="AG244" s="692">
        <f t="shared" si="79"/>
        <v>0</v>
      </c>
      <c r="AH244" s="692">
        <f t="shared" si="80"/>
        <v>0</v>
      </c>
    </row>
    <row r="245" spans="1:34">
      <c r="A245" s="21"/>
      <c r="B245" s="21" t="s">
        <v>114</v>
      </c>
      <c r="C245" s="666"/>
      <c r="D245" s="68" t="s">
        <v>591</v>
      </c>
      <c r="E245" s="679">
        <v>72.19</v>
      </c>
      <c r="F245" s="529">
        <f>VLOOKUP(D245,'Apr 2012 DMV Revenue'!D:T,17,FALSE)</f>
        <v>1069.32</v>
      </c>
      <c r="G245" s="680"/>
      <c r="H245" s="680"/>
      <c r="I245" s="755"/>
      <c r="J245" s="682">
        <f t="shared" si="69"/>
        <v>1141.51</v>
      </c>
      <c r="K245" s="683"/>
      <c r="L245" s="684"/>
      <c r="M245" s="753"/>
      <c r="N245" s="683">
        <v>0</v>
      </c>
      <c r="O245" s="686"/>
      <c r="P245" s="683">
        <v>0</v>
      </c>
      <c r="Q245" s="687">
        <f t="shared" si="71"/>
        <v>0</v>
      </c>
      <c r="R245" s="781">
        <v>586.78</v>
      </c>
      <c r="S245" s="693"/>
      <c r="T245" s="690">
        <f t="shared" si="72"/>
        <v>586.78</v>
      </c>
      <c r="U245" s="683"/>
      <c r="V245" s="474">
        <f t="shared" si="73"/>
        <v>0</v>
      </c>
      <c r="W245" s="474">
        <f t="shared" si="74"/>
        <v>0</v>
      </c>
      <c r="X245" s="475">
        <f t="shared" si="75"/>
        <v>0</v>
      </c>
      <c r="Y245" s="475">
        <v>0</v>
      </c>
      <c r="Z245" s="476">
        <v>0</v>
      </c>
      <c r="AA245" s="38">
        <f t="shared" si="76"/>
        <v>0</v>
      </c>
      <c r="AB245" s="692">
        <f t="shared" si="70"/>
        <v>0</v>
      </c>
      <c r="AC245" s="692">
        <f t="shared" si="81"/>
        <v>0</v>
      </c>
      <c r="AD245" s="692">
        <f t="shared" si="77"/>
        <v>1141.51</v>
      </c>
      <c r="AE245" s="38"/>
      <c r="AF245" s="692">
        <f t="shared" si="78"/>
        <v>0</v>
      </c>
      <c r="AG245" s="692">
        <f t="shared" si="79"/>
        <v>0</v>
      </c>
      <c r="AH245" s="692">
        <f t="shared" si="80"/>
        <v>0</v>
      </c>
    </row>
    <row r="246" spans="1:34">
      <c r="A246" s="21"/>
      <c r="B246" s="21" t="s">
        <v>114</v>
      </c>
      <c r="C246" s="672"/>
      <c r="D246" s="519" t="s">
        <v>433</v>
      </c>
      <c r="E246" s="679"/>
      <c r="F246" s="529">
        <f>VLOOKUP(D246,'Apr 2012 DMV Revenue'!D:T,17,FALSE)</f>
        <v>0</v>
      </c>
      <c r="G246" s="680"/>
      <c r="H246" s="680"/>
      <c r="I246" s="755"/>
      <c r="J246" s="682">
        <f t="shared" si="69"/>
        <v>0</v>
      </c>
      <c r="K246" s="683"/>
      <c r="L246" s="684"/>
      <c r="M246" s="753"/>
      <c r="N246" s="683">
        <v>0</v>
      </c>
      <c r="O246" s="686"/>
      <c r="P246" s="683">
        <v>0</v>
      </c>
      <c r="Q246" s="687">
        <f t="shared" si="71"/>
        <v>0</v>
      </c>
      <c r="R246" s="781">
        <v>0</v>
      </c>
      <c r="S246" s="693"/>
      <c r="T246" s="690">
        <f t="shared" si="72"/>
        <v>0</v>
      </c>
      <c r="U246" s="683"/>
      <c r="V246" s="474">
        <f t="shared" si="73"/>
        <v>0</v>
      </c>
      <c r="W246" s="474">
        <f t="shared" si="74"/>
        <v>0</v>
      </c>
      <c r="X246" s="475">
        <f t="shared" si="75"/>
        <v>0</v>
      </c>
      <c r="Y246" s="475">
        <v>0</v>
      </c>
      <c r="Z246" s="476">
        <v>0</v>
      </c>
      <c r="AA246" s="38">
        <f t="shared" si="76"/>
        <v>0</v>
      </c>
      <c r="AB246" s="692">
        <f t="shared" si="70"/>
        <v>0</v>
      </c>
      <c r="AC246" s="692">
        <f t="shared" si="81"/>
        <v>0</v>
      </c>
      <c r="AD246" s="692">
        <f t="shared" si="77"/>
        <v>0</v>
      </c>
      <c r="AE246" s="38"/>
      <c r="AF246" s="692">
        <f t="shared" si="78"/>
        <v>0</v>
      </c>
      <c r="AG246" s="692">
        <f t="shared" si="79"/>
        <v>0</v>
      </c>
      <c r="AH246" s="692">
        <f t="shared" si="80"/>
        <v>0</v>
      </c>
    </row>
    <row r="247" spans="1:34">
      <c r="A247" s="21"/>
      <c r="B247" s="21" t="s">
        <v>114</v>
      </c>
      <c r="C247" s="672"/>
      <c r="D247" s="519" t="s">
        <v>594</v>
      </c>
      <c r="E247" s="679"/>
      <c r="F247" s="529">
        <f>VLOOKUP(D247,'Apr 2012 DMV Revenue'!D:T,17,FALSE)</f>
        <v>0</v>
      </c>
      <c r="G247" s="680"/>
      <c r="H247" s="680"/>
      <c r="I247" s="755"/>
      <c r="J247" s="682">
        <f t="shared" si="69"/>
        <v>0</v>
      </c>
      <c r="K247" s="683"/>
      <c r="L247" s="684"/>
      <c r="M247" s="753"/>
      <c r="N247" s="683">
        <v>0</v>
      </c>
      <c r="O247" s="686"/>
      <c r="P247" s="683">
        <v>0</v>
      </c>
      <c r="Q247" s="687">
        <f t="shared" si="71"/>
        <v>0</v>
      </c>
      <c r="R247" s="781">
        <v>0</v>
      </c>
      <c r="S247" s="693"/>
      <c r="T247" s="690">
        <f t="shared" si="72"/>
        <v>0</v>
      </c>
      <c r="U247" s="683"/>
      <c r="V247" s="474">
        <f t="shared" si="73"/>
        <v>0</v>
      </c>
      <c r="W247" s="474">
        <f t="shared" si="74"/>
        <v>0</v>
      </c>
      <c r="X247" s="475">
        <f t="shared" si="75"/>
        <v>0</v>
      </c>
      <c r="Y247" s="475">
        <v>0</v>
      </c>
      <c r="Z247" s="476">
        <v>0</v>
      </c>
      <c r="AA247" s="38">
        <f t="shared" si="76"/>
        <v>0</v>
      </c>
      <c r="AB247" s="692">
        <f t="shared" si="70"/>
        <v>0</v>
      </c>
      <c r="AC247" s="692">
        <f t="shared" si="81"/>
        <v>0</v>
      </c>
      <c r="AD247" s="692">
        <f t="shared" si="77"/>
        <v>0</v>
      </c>
      <c r="AE247" s="38"/>
      <c r="AF247" s="692">
        <f t="shared" si="78"/>
        <v>0</v>
      </c>
      <c r="AG247" s="692">
        <f t="shared" si="79"/>
        <v>0</v>
      </c>
      <c r="AH247" s="692">
        <f t="shared" si="80"/>
        <v>0</v>
      </c>
    </row>
    <row r="248" spans="1:34">
      <c r="A248" s="21"/>
      <c r="B248" s="21" t="s">
        <v>110</v>
      </c>
      <c r="C248" s="672"/>
      <c r="D248" s="519" t="s">
        <v>596</v>
      </c>
      <c r="E248" s="679"/>
      <c r="F248" s="529">
        <f>VLOOKUP(D248,'Apr 2012 DMV Revenue'!D:T,17,FALSE)</f>
        <v>0</v>
      </c>
      <c r="G248" s="680"/>
      <c r="H248" s="680"/>
      <c r="I248" s="755"/>
      <c r="J248" s="682">
        <f t="shared" si="69"/>
        <v>0</v>
      </c>
      <c r="K248" s="683"/>
      <c r="L248" s="684"/>
      <c r="M248" s="753"/>
      <c r="N248" s="683">
        <v>0</v>
      </c>
      <c r="O248" s="686"/>
      <c r="P248" s="683">
        <v>0</v>
      </c>
      <c r="Q248" s="687">
        <f t="shared" si="71"/>
        <v>0</v>
      </c>
      <c r="R248" s="781">
        <v>0</v>
      </c>
      <c r="S248" s="693"/>
      <c r="T248" s="690">
        <f t="shared" si="72"/>
        <v>0</v>
      </c>
      <c r="U248" s="683"/>
      <c r="V248" s="474">
        <f t="shared" si="73"/>
        <v>0</v>
      </c>
      <c r="W248" s="474">
        <f t="shared" si="74"/>
        <v>0</v>
      </c>
      <c r="X248" s="475">
        <f t="shared" si="75"/>
        <v>0</v>
      </c>
      <c r="Y248" s="475">
        <v>0</v>
      </c>
      <c r="Z248" s="476">
        <v>0</v>
      </c>
      <c r="AA248" s="38">
        <f t="shared" si="76"/>
        <v>0</v>
      </c>
      <c r="AB248" s="692">
        <f t="shared" si="70"/>
        <v>0</v>
      </c>
      <c r="AC248" s="692">
        <f t="shared" si="81"/>
        <v>0</v>
      </c>
      <c r="AD248" s="692">
        <f t="shared" si="77"/>
        <v>0</v>
      </c>
      <c r="AE248" s="38"/>
      <c r="AF248" s="692">
        <f t="shared" si="78"/>
        <v>0</v>
      </c>
      <c r="AG248" s="692">
        <f t="shared" si="79"/>
        <v>0</v>
      </c>
      <c r="AH248" s="692">
        <f t="shared" si="80"/>
        <v>0</v>
      </c>
    </row>
    <row r="249" spans="1:34" s="146" customFormat="1">
      <c r="A249" s="21"/>
      <c r="B249" s="21" t="s">
        <v>109</v>
      </c>
      <c r="C249" s="666"/>
      <c r="D249" s="68" t="s">
        <v>93</v>
      </c>
      <c r="E249" s="679"/>
      <c r="F249" s="529">
        <f>VLOOKUP(D249,'Apr 2012 DMV Revenue'!D:T,17,FALSE)</f>
        <v>0</v>
      </c>
      <c r="G249" s="680"/>
      <c r="H249" s="680"/>
      <c r="I249" s="755"/>
      <c r="J249" s="682">
        <f t="shared" si="69"/>
        <v>0</v>
      </c>
      <c r="K249" s="683"/>
      <c r="L249" s="684"/>
      <c r="M249" s="753"/>
      <c r="N249" s="683">
        <v>0</v>
      </c>
      <c r="O249" s="686"/>
      <c r="P249" s="683">
        <v>0</v>
      </c>
      <c r="Q249" s="687">
        <f t="shared" si="71"/>
        <v>0</v>
      </c>
      <c r="R249" s="781">
        <v>0</v>
      </c>
      <c r="S249" s="693"/>
      <c r="T249" s="690">
        <f t="shared" si="72"/>
        <v>0</v>
      </c>
      <c r="U249" s="683"/>
      <c r="V249" s="474">
        <f t="shared" si="73"/>
        <v>0</v>
      </c>
      <c r="W249" s="474">
        <f t="shared" si="74"/>
        <v>0</v>
      </c>
      <c r="X249" s="475">
        <f t="shared" si="75"/>
        <v>0</v>
      </c>
      <c r="Y249" s="475">
        <v>0</v>
      </c>
      <c r="Z249" s="476">
        <v>0</v>
      </c>
      <c r="AA249" s="38">
        <f t="shared" si="76"/>
        <v>0</v>
      </c>
      <c r="AB249" s="692">
        <f t="shared" si="70"/>
        <v>0</v>
      </c>
      <c r="AC249" s="692">
        <f t="shared" si="81"/>
        <v>0</v>
      </c>
      <c r="AD249" s="692">
        <f t="shared" si="77"/>
        <v>0</v>
      </c>
      <c r="AE249" s="38"/>
      <c r="AF249" s="692">
        <f t="shared" si="78"/>
        <v>0</v>
      </c>
      <c r="AG249" s="692">
        <f t="shared" si="79"/>
        <v>0</v>
      </c>
      <c r="AH249" s="692">
        <f t="shared" si="80"/>
        <v>0</v>
      </c>
    </row>
    <row r="250" spans="1:34" s="146" customFormat="1" ht="13" thickBot="1">
      <c r="A250" s="21"/>
      <c r="B250" s="21" t="s">
        <v>110</v>
      </c>
      <c r="C250" s="666"/>
      <c r="D250" s="68" t="s">
        <v>593</v>
      </c>
      <c r="E250" s="679"/>
      <c r="F250" s="529">
        <f>VLOOKUP(D250,'Apr 2012 DMV Revenue'!D:T,17,FALSE)</f>
        <v>14.93</v>
      </c>
      <c r="G250" s="680"/>
      <c r="H250" s="680"/>
      <c r="I250" s="756"/>
      <c r="J250" s="682">
        <f t="shared" si="69"/>
        <v>14.93</v>
      </c>
      <c r="K250" s="683"/>
      <c r="L250" s="684"/>
      <c r="M250" s="753">
        <v>0</v>
      </c>
      <c r="N250" s="683">
        <v>0</v>
      </c>
      <c r="O250" s="686"/>
      <c r="P250" s="683">
        <v>0</v>
      </c>
      <c r="Q250" s="687">
        <f t="shared" si="71"/>
        <v>0</v>
      </c>
      <c r="R250" s="781">
        <v>0</v>
      </c>
      <c r="S250" s="693"/>
      <c r="T250" s="690">
        <f t="shared" si="72"/>
        <v>0</v>
      </c>
      <c r="U250" s="683"/>
      <c r="V250" s="474">
        <f t="shared" si="73"/>
        <v>0</v>
      </c>
      <c r="W250" s="474">
        <f t="shared" si="74"/>
        <v>0</v>
      </c>
      <c r="X250" s="475">
        <f t="shared" si="75"/>
        <v>0</v>
      </c>
      <c r="Y250" s="475">
        <v>0</v>
      </c>
      <c r="Z250" s="476">
        <v>0</v>
      </c>
      <c r="AA250" s="38">
        <f t="shared" si="76"/>
        <v>0</v>
      </c>
      <c r="AB250" s="692">
        <f t="shared" ref="AB250" si="84">IF(B250="D",J250,0)</f>
        <v>14.93</v>
      </c>
      <c r="AC250" s="692">
        <f t="shared" si="81"/>
        <v>0</v>
      </c>
      <c r="AD250" s="692">
        <f t="shared" si="77"/>
        <v>0</v>
      </c>
      <c r="AE250" s="38"/>
      <c r="AF250" s="692">
        <f t="shared" si="78"/>
        <v>0</v>
      </c>
      <c r="AG250" s="692">
        <f t="shared" si="79"/>
        <v>0</v>
      </c>
      <c r="AH250" s="692">
        <f t="shared" si="80"/>
        <v>0</v>
      </c>
    </row>
    <row r="251" spans="1:34" ht="13" thickBot="1">
      <c r="A251" s="107"/>
      <c r="B251" s="108"/>
      <c r="C251" s="673"/>
      <c r="D251" s="71" t="s">
        <v>86</v>
      </c>
      <c r="E251" s="454">
        <f>SUM(E16:E250)</f>
        <v>346922.31</v>
      </c>
      <c r="F251" s="454">
        <f>SUM(F16:F250)</f>
        <v>-372674.06</v>
      </c>
      <c r="G251" s="454">
        <f t="shared" ref="G251:J251" si="85">SUM(G16:G250)</f>
        <v>0</v>
      </c>
      <c r="H251" s="454">
        <f t="shared" si="85"/>
        <v>0</v>
      </c>
      <c r="I251" s="454">
        <f t="shared" si="85"/>
        <v>4501462.9200000009</v>
      </c>
      <c r="J251" s="454">
        <f t="shared" si="85"/>
        <v>4475711.169999999</v>
      </c>
      <c r="K251" s="454"/>
      <c r="L251" s="454">
        <f>SUM(L16:L250)</f>
        <v>423657</v>
      </c>
      <c r="M251" s="454">
        <f>SUM(M16:M250)</f>
        <v>2430000</v>
      </c>
      <c r="N251" s="454">
        <f>SUM(N16:N250)</f>
        <v>0</v>
      </c>
      <c r="O251" s="100">
        <f>SUM(O16:O250)</f>
        <v>0</v>
      </c>
      <c r="P251" s="157">
        <f>SUM(P17:P250)</f>
        <v>0</v>
      </c>
      <c r="Q251" s="100">
        <f>SUM(Q16:Q250)</f>
        <v>2853657</v>
      </c>
      <c r="R251" s="782">
        <f>SUM(R16:R250)</f>
        <v>2210935.2899999996</v>
      </c>
      <c r="S251" s="708"/>
      <c r="T251" s="100">
        <f>SUM(T16:T250)</f>
        <v>-642721.7100000002</v>
      </c>
      <c r="U251" s="683"/>
      <c r="V251" s="314">
        <f>SUM(V16:V250)</f>
        <v>2493657</v>
      </c>
      <c r="W251" s="314">
        <f>SUM(W16:W250)</f>
        <v>279000</v>
      </c>
      <c r="X251" s="314">
        <f>SUM(X16:X250)</f>
        <v>81000</v>
      </c>
      <c r="Y251" s="314">
        <f>SUM(Y16:Y250)</f>
        <v>0</v>
      </c>
      <c r="Z251" s="314">
        <f>SUM(Z16:Z250)</f>
        <v>0</v>
      </c>
      <c r="AA251" s="38"/>
      <c r="AB251" s="314">
        <f>SUM(AB16:AB250)</f>
        <v>4494223.38</v>
      </c>
      <c r="AC251" s="314">
        <f>SUM(AC16:AC250)</f>
        <v>23021.519999999997</v>
      </c>
      <c r="AD251" s="314">
        <f>SUM(AD16:AD250)</f>
        <v>-41533.729999999996</v>
      </c>
      <c r="AE251" s="38"/>
      <c r="AF251" s="314">
        <f>SUM(AF16:AF250)</f>
        <v>2496033.21</v>
      </c>
      <c r="AG251" s="314">
        <f>SUM(AG16:AG250)</f>
        <v>279000</v>
      </c>
      <c r="AH251" s="314">
        <f>SUM(AH16:AH250)</f>
        <v>81000</v>
      </c>
    </row>
    <row r="252" spans="1:34" ht="13" thickBot="1">
      <c r="A252" s="65"/>
      <c r="B252" s="65"/>
      <c r="C252" s="674"/>
      <c r="D252" s="141"/>
      <c r="E252" s="709" t="s">
        <v>293</v>
      </c>
      <c r="F252" s="160">
        <f>F251+E251</f>
        <v>-25751.75</v>
      </c>
      <c r="G252" s="153"/>
      <c r="H252" s="153" t="s">
        <v>225</v>
      </c>
      <c r="I252" s="153">
        <f>I251+H251+G251</f>
        <v>4501462.9200000009</v>
      </c>
      <c r="J252" s="323"/>
      <c r="K252" s="153"/>
      <c r="L252" s="153" t="s">
        <v>296</v>
      </c>
      <c r="M252" s="100">
        <f>M251+L251</f>
        <v>2853657</v>
      </c>
      <c r="N252" s="153"/>
      <c r="O252" s="641"/>
      <c r="P252" s="153"/>
      <c r="Q252" s="153"/>
      <c r="R252" s="783"/>
      <c r="S252" s="153"/>
      <c r="T252" s="153"/>
      <c r="U252" s="153"/>
      <c r="V252" s="139"/>
      <c r="W252" s="139"/>
      <c r="X252" s="139"/>
      <c r="Y252" s="139"/>
      <c r="Z252" s="104"/>
      <c r="AA252" s="38"/>
      <c r="AB252" s="711"/>
      <c r="AC252" s="711"/>
      <c r="AD252" s="711"/>
      <c r="AE252" s="38"/>
      <c r="AF252" s="38"/>
      <c r="AG252" s="38"/>
      <c r="AH252" s="38"/>
    </row>
    <row r="253" spans="1:34" ht="13" thickBot="1">
      <c r="A253" s="65"/>
      <c r="B253" s="65"/>
      <c r="C253" s="674"/>
      <c r="E253" s="159"/>
      <c r="F253" s="153"/>
      <c r="G253" s="153"/>
      <c r="H253" s="153"/>
      <c r="I253" s="153"/>
      <c r="J253" s="153"/>
      <c r="K253" s="153"/>
      <c r="L253" s="153"/>
      <c r="M253" s="710"/>
      <c r="N253" s="153"/>
      <c r="O253" s="153"/>
      <c r="P253" s="153"/>
      <c r="Q253" s="153"/>
      <c r="R253" s="783"/>
      <c r="S253" s="153"/>
      <c r="T253" s="153"/>
      <c r="U253" s="153"/>
      <c r="V253" s="331" t="s">
        <v>345</v>
      </c>
      <c r="W253" s="139"/>
      <c r="X253" s="139"/>
      <c r="Y253" s="139"/>
      <c r="Z253" s="104"/>
      <c r="AA253" s="164" t="s">
        <v>633</v>
      </c>
      <c r="AB253" s="751">
        <v>-11260.9</v>
      </c>
      <c r="AC253" s="104"/>
      <c r="AD253" s="751">
        <f>-SUM(AB253)</f>
        <v>11260.9</v>
      </c>
      <c r="AE253" s="38"/>
      <c r="AF253" s="711"/>
      <c r="AG253" s="711"/>
      <c r="AH253" s="711"/>
    </row>
    <row r="254" spans="1:34" ht="17" thickTop="1" thickBot="1">
      <c r="E254" s="712"/>
      <c r="F254" s="713"/>
      <c r="G254" s="714"/>
      <c r="H254" s="715"/>
      <c r="I254" s="715"/>
      <c r="J254" s="164"/>
      <c r="K254" s="169"/>
      <c r="L254" s="233"/>
      <c r="M254" s="233"/>
      <c r="N254" s="38"/>
      <c r="O254" s="642"/>
      <c r="P254" s="139"/>
      <c r="Q254" s="139"/>
      <c r="R254" s="784"/>
      <c r="S254" s="33"/>
      <c r="T254" s="33"/>
      <c r="U254" s="169"/>
      <c r="V254" s="332"/>
      <c r="W254" s="333"/>
      <c r="X254" s="491"/>
      <c r="Y254" s="491"/>
      <c r="Z254" s="334"/>
      <c r="AA254" s="164" t="s">
        <v>634</v>
      </c>
      <c r="AB254" s="104">
        <v>-95120.36</v>
      </c>
      <c r="AC254" s="38"/>
      <c r="AD254" s="104">
        <f>-SUM(AB254)</f>
        <v>95120.36</v>
      </c>
      <c r="AE254" s="38"/>
      <c r="AF254" s="38"/>
      <c r="AG254" s="38"/>
      <c r="AH254" s="38"/>
    </row>
    <row r="255" spans="1:34" ht="17" thickBot="1">
      <c r="E255" s="712"/>
      <c r="F255" s="713"/>
      <c r="G255" s="714"/>
      <c r="H255" s="715"/>
      <c r="J255" s="79">
        <f>J251</f>
        <v>4475711.169999999</v>
      </c>
      <c r="K255" s="715" t="s">
        <v>644</v>
      </c>
      <c r="L255" s="169"/>
      <c r="M255" s="493"/>
      <c r="N255" s="38"/>
      <c r="O255" s="80"/>
      <c r="P255" s="104"/>
      <c r="Q255" s="139"/>
      <c r="R255" s="784"/>
      <c r="S255" s="33"/>
      <c r="T255" s="33"/>
      <c r="U255" s="169"/>
      <c r="V255" s="487"/>
      <c r="W255" s="488"/>
      <c r="X255" s="492" t="s">
        <v>399</v>
      </c>
      <c r="Y255" s="492" t="s">
        <v>400</v>
      </c>
      <c r="Z255" s="488"/>
      <c r="AA255" s="717" t="s">
        <v>475</v>
      </c>
      <c r="AB255" s="718">
        <f>SUM(AB251:AB254)</f>
        <v>4387842.1199999992</v>
      </c>
      <c r="AC255" s="718">
        <f>AC251</f>
        <v>23021.519999999997</v>
      </c>
      <c r="AD255" s="718">
        <f>SUM(AD251:AD254)</f>
        <v>64847.530000000006</v>
      </c>
      <c r="AE255" s="718"/>
      <c r="AF255" s="718">
        <f>AF251</f>
        <v>2496033.21</v>
      </c>
      <c r="AG255" s="718">
        <f>AG251</f>
        <v>279000</v>
      </c>
      <c r="AH255" s="719">
        <f>AH251</f>
        <v>81000</v>
      </c>
    </row>
    <row r="256" spans="1:34" ht="15" thickBot="1">
      <c r="D256" s="143"/>
      <c r="E256" s="759"/>
      <c r="F256" s="713">
        <f>SUM('Apr 2012 DMV Revenue'!R254)</f>
        <v>2104599.9400000004</v>
      </c>
      <c r="G256" s="714"/>
      <c r="H256" s="720"/>
      <c r="J256" s="750">
        <f>SUM(Sheet2!H74)</f>
        <v>-7329368.1699999999</v>
      </c>
      <c r="K256" s="757" t="s">
        <v>251</v>
      </c>
      <c r="L256" s="722"/>
      <c r="M256" s="642"/>
      <c r="N256" s="33"/>
      <c r="O256" s="80"/>
      <c r="P256" s="104"/>
      <c r="Q256" s="139"/>
      <c r="R256" s="784"/>
      <c r="S256" s="33"/>
      <c r="T256" s="33"/>
      <c r="U256" s="169"/>
      <c r="V256" s="158" t="s">
        <v>609</v>
      </c>
      <c r="W256" s="104" t="s">
        <v>352</v>
      </c>
      <c r="X256" s="104">
        <f>V251+W251+X251</f>
        <v>2853657</v>
      </c>
      <c r="Y256" s="104"/>
      <c r="Z256" s="136"/>
      <c r="AA256" s="723"/>
      <c r="AB256" s="38"/>
      <c r="AC256" s="38"/>
      <c r="AD256" s="38"/>
      <c r="AE256" s="38"/>
      <c r="AF256" s="38"/>
      <c r="AG256" s="38"/>
      <c r="AH256" s="38"/>
    </row>
    <row r="257" spans="4:34" ht="15" thickTop="1">
      <c r="D257" s="143"/>
      <c r="E257" s="712"/>
      <c r="F257" s="713">
        <f>SUM('Apr 2012 DMV Revenue'!Q254)</f>
        <v>2477274</v>
      </c>
      <c r="G257" s="714"/>
      <c r="H257" s="714" t="s">
        <v>249</v>
      </c>
      <c r="J257" s="173">
        <f>J256+J255</f>
        <v>-2853657.0000000009</v>
      </c>
      <c r="K257" s="714" t="s">
        <v>454</v>
      </c>
      <c r="L257" s="722"/>
      <c r="M257" s="80"/>
      <c r="N257" s="104"/>
      <c r="O257" s="173"/>
      <c r="P257" s="104"/>
      <c r="Q257" s="139"/>
      <c r="R257" s="785"/>
      <c r="S257" s="139"/>
      <c r="T257" s="139"/>
      <c r="U257" s="169"/>
      <c r="V257" s="158"/>
      <c r="W257" s="104"/>
      <c r="X257" s="104"/>
      <c r="Y257" s="104"/>
      <c r="Z257" s="136"/>
      <c r="AA257" s="723"/>
      <c r="AB257" s="38"/>
      <c r="AC257" s="38"/>
      <c r="AD257" s="38" t="s">
        <v>86</v>
      </c>
      <c r="AE257" s="38"/>
      <c r="AF257" s="233">
        <f>SUM(AB255+AF255)</f>
        <v>6883875.3299999991</v>
      </c>
      <c r="AG257" s="233">
        <f t="shared" ref="AG257:AH257" si="86">SUM(AC255+AG255)</f>
        <v>302021.52</v>
      </c>
      <c r="AH257" s="233">
        <f t="shared" si="86"/>
        <v>145847.53</v>
      </c>
    </row>
    <row r="258" spans="4:34" ht="14">
      <c r="D258" s="143"/>
      <c r="E258" s="712"/>
      <c r="F258" s="713">
        <f>SUM(F256-F257)</f>
        <v>-372674.05999999959</v>
      </c>
      <c r="G258" s="714"/>
      <c r="H258" s="714"/>
      <c r="J258" s="80"/>
      <c r="K258" s="714"/>
      <c r="L258" s="722"/>
      <c r="M258" s="104"/>
      <c r="N258" s="38"/>
      <c r="O258" s="139"/>
      <c r="P258" s="104"/>
      <c r="Q258" s="139"/>
      <c r="R258" s="785"/>
      <c r="S258" s="139"/>
      <c r="T258" s="139"/>
      <c r="U258" s="169"/>
      <c r="V258" s="158" t="s">
        <v>600</v>
      </c>
      <c r="W258" s="104" t="s">
        <v>355</v>
      </c>
      <c r="X258" s="104"/>
      <c r="Y258" s="104">
        <f>V251</f>
        <v>2493657</v>
      </c>
      <c r="Z258" s="136"/>
      <c r="AA258" s="38"/>
      <c r="AB258" s="752"/>
      <c r="AC258" s="38"/>
      <c r="AD258" s="38"/>
      <c r="AE258" s="38"/>
      <c r="AF258" s="233"/>
      <c r="AG258" s="233"/>
      <c r="AH258" s="233"/>
    </row>
    <row r="259" spans="4:34" ht="15" thickBot="1">
      <c r="D259" s="143"/>
      <c r="E259" s="712"/>
      <c r="F259" s="713"/>
      <c r="G259" s="714"/>
      <c r="H259" s="714"/>
      <c r="J259" s="661">
        <f>M252</f>
        <v>2853657</v>
      </c>
      <c r="K259" s="714" t="s">
        <v>803</v>
      </c>
      <c r="L259" s="645"/>
      <c r="M259" s="173"/>
      <c r="N259" s="38"/>
      <c r="O259" s="139"/>
      <c r="P259" s="104"/>
      <c r="Q259" s="139"/>
      <c r="R259" s="786"/>
      <c r="S259" s="139"/>
      <c r="T259" s="727"/>
      <c r="U259" s="169"/>
      <c r="V259" s="158"/>
      <c r="W259" s="104" t="s">
        <v>356</v>
      </c>
      <c r="X259" s="104"/>
      <c r="Y259" s="104">
        <f>Y251</f>
        <v>0</v>
      </c>
      <c r="Z259" s="136"/>
      <c r="AA259" s="38"/>
      <c r="AB259" s="38"/>
      <c r="AC259" s="38"/>
      <c r="AD259" s="38"/>
      <c r="AE259" s="38"/>
      <c r="AF259" s="233"/>
      <c r="AG259" s="233">
        <f>SUM(AF257:AH257)</f>
        <v>7331744.3799999999</v>
      </c>
      <c r="AH259" s="233"/>
    </row>
    <row r="260" spans="4:34" ht="16" thickTop="1" thickBot="1">
      <c r="D260" s="143"/>
      <c r="E260" s="712"/>
      <c r="F260" s="713"/>
      <c r="G260" s="714"/>
      <c r="H260" s="714"/>
      <c r="J260" s="173">
        <v>0</v>
      </c>
      <c r="K260" s="714"/>
      <c r="L260" s="722"/>
      <c r="M260" s="173"/>
      <c r="N260" s="38"/>
      <c r="O260" s="33"/>
      <c r="P260" s="38"/>
      <c r="Q260" s="139"/>
      <c r="R260" s="785"/>
      <c r="S260" s="139"/>
      <c r="T260" s="139"/>
      <c r="U260" s="169"/>
      <c r="V260" s="158"/>
      <c r="W260" s="104"/>
      <c r="X260" s="104"/>
      <c r="Y260" s="104"/>
      <c r="Z260" s="136"/>
      <c r="AA260" s="38"/>
      <c r="AB260" s="38"/>
      <c r="AC260" s="38"/>
      <c r="AD260" s="38"/>
      <c r="AE260" s="38"/>
    </row>
    <row r="261" spans="4:34" ht="15" thickBot="1">
      <c r="E261" s="712"/>
      <c r="F261" s="713"/>
      <c r="G261" s="714"/>
      <c r="H261" s="714"/>
      <c r="J261" s="754">
        <f>J255+J259</f>
        <v>7329368.169999999</v>
      </c>
      <c r="K261" s="714" t="s">
        <v>804</v>
      </c>
      <c r="L261" s="722"/>
      <c r="M261" s="173"/>
      <c r="N261" s="38"/>
      <c r="O261" s="33"/>
      <c r="P261" s="38"/>
      <c r="Q261" s="139"/>
      <c r="R261" s="785"/>
      <c r="S261" s="139"/>
      <c r="T261" s="139"/>
      <c r="U261" s="169"/>
      <c r="V261" s="158" t="s">
        <v>601</v>
      </c>
      <c r="W261" s="104" t="s">
        <v>357</v>
      </c>
      <c r="X261" s="104"/>
      <c r="Y261" s="104">
        <f>W251</f>
        <v>279000</v>
      </c>
      <c r="Z261" s="136"/>
      <c r="AA261" s="38"/>
      <c r="AB261" s="38"/>
      <c r="AC261" s="38"/>
      <c r="AD261" s="38"/>
      <c r="AE261" s="38"/>
      <c r="AF261" s="38"/>
      <c r="AG261" s="38"/>
      <c r="AH261" s="38"/>
    </row>
    <row r="262" spans="4:34">
      <c r="E262" s="712"/>
      <c r="F262" s="713"/>
      <c r="G262" s="714"/>
      <c r="H262" s="714"/>
      <c r="J262" s="637"/>
      <c r="K262" s="714"/>
      <c r="L262" s="173"/>
      <c r="M262" s="731"/>
      <c r="N262" s="38"/>
      <c r="O262" s="33"/>
      <c r="P262" s="38"/>
      <c r="Q262" s="139"/>
      <c r="R262" s="785"/>
      <c r="S262" s="139"/>
      <c r="T262" s="139"/>
      <c r="U262" s="169"/>
      <c r="V262" s="415"/>
      <c r="W262" s="104" t="s">
        <v>358</v>
      </c>
      <c r="X262" s="104"/>
      <c r="Y262" s="104">
        <f>Z251</f>
        <v>0</v>
      </c>
      <c r="Z262" s="136"/>
      <c r="AA262" s="38"/>
      <c r="AB262" s="38"/>
      <c r="AC262" s="38"/>
      <c r="AD262" s="38"/>
      <c r="AE262" s="38"/>
      <c r="AF262" s="38"/>
      <c r="AG262" s="38"/>
      <c r="AH262" s="38"/>
    </row>
    <row r="263" spans="4:34">
      <c r="E263" s="712"/>
      <c r="F263" s="713"/>
      <c r="G263" s="714"/>
      <c r="H263" s="714"/>
      <c r="J263" s="658">
        <f>SUM(AB255:AH255)</f>
        <v>7331744.379999999</v>
      </c>
      <c r="K263" s="714" t="s">
        <v>518</v>
      </c>
      <c r="L263" s="732"/>
      <c r="M263" s="637"/>
      <c r="N263" s="38"/>
      <c r="O263" s="33"/>
      <c r="P263" s="38"/>
      <c r="Q263" s="139"/>
      <c r="R263" s="785"/>
      <c r="S263" s="139"/>
      <c r="T263" s="139"/>
      <c r="U263" s="169"/>
      <c r="V263" s="415"/>
      <c r="W263" s="104"/>
      <c r="X263" s="104"/>
      <c r="Y263" s="104"/>
      <c r="Z263" s="136"/>
      <c r="AA263" s="38"/>
      <c r="AB263" s="38"/>
      <c r="AC263" s="38"/>
      <c r="AD263" s="38"/>
      <c r="AE263" s="38"/>
      <c r="AF263" s="38"/>
      <c r="AG263" s="38"/>
      <c r="AH263" s="38"/>
    </row>
    <row r="264" spans="4:34" ht="13" thickBot="1">
      <c r="E264" s="712"/>
      <c r="F264" s="713"/>
      <c r="G264" s="714"/>
      <c r="H264" s="714"/>
      <c r="J264" s="169"/>
      <c r="K264" s="714" t="s">
        <v>454</v>
      </c>
      <c r="L264" s="733"/>
      <c r="M264" s="734"/>
      <c r="N264" s="38"/>
      <c r="O264" s="33"/>
      <c r="P264" s="38"/>
      <c r="Q264" s="139"/>
      <c r="R264" s="785"/>
      <c r="S264" s="139"/>
      <c r="T264" s="139"/>
      <c r="U264" s="169"/>
      <c r="V264" s="158" t="s">
        <v>602</v>
      </c>
      <c r="W264" s="488" t="s">
        <v>359</v>
      </c>
      <c r="X264" s="488"/>
      <c r="Y264" s="488">
        <f>X251</f>
        <v>81000</v>
      </c>
      <c r="Z264" s="414"/>
      <c r="AA264" s="38"/>
      <c r="AB264" s="38"/>
      <c r="AC264" s="38"/>
      <c r="AD264" s="38"/>
      <c r="AE264" s="38"/>
      <c r="AF264" s="38"/>
      <c r="AG264" s="38"/>
      <c r="AH264" s="38"/>
    </row>
    <row r="265" spans="4:34" ht="15" thickBot="1">
      <c r="E265" s="712"/>
      <c r="F265" s="713"/>
      <c r="G265" s="714"/>
      <c r="H265" s="714"/>
      <c r="J265" s="736"/>
      <c r="K265" s="714" t="s">
        <v>519</v>
      </c>
      <c r="L265" s="169"/>
      <c r="M265" s="169"/>
      <c r="N265" s="38"/>
      <c r="O265" s="33"/>
      <c r="P265" s="38"/>
      <c r="Q265" s="33"/>
      <c r="R265" s="784"/>
      <c r="S265" s="33"/>
      <c r="T265" s="33"/>
      <c r="U265" s="169"/>
      <c r="V265" s="416"/>
      <c r="W265" s="104"/>
      <c r="X265" s="80">
        <f>SUM(X256:X264)</f>
        <v>2853657</v>
      </c>
      <c r="Y265" s="80">
        <f>SUM(Y256:Y264)</f>
        <v>2853657</v>
      </c>
      <c r="Z265" s="136"/>
      <c r="AA265" s="38"/>
      <c r="AB265" s="38"/>
      <c r="AC265" s="38"/>
      <c r="AD265" s="38"/>
      <c r="AE265" s="38"/>
      <c r="AF265" s="38"/>
      <c r="AG265" s="38"/>
      <c r="AH265" s="38"/>
    </row>
    <row r="266" spans="4:34">
      <c r="E266" s="712"/>
      <c r="F266" s="713"/>
      <c r="G266" s="714"/>
      <c r="H266" s="714"/>
      <c r="I266" s="714"/>
      <c r="J266" s="169"/>
      <c r="K266" s="169"/>
      <c r="L266" s="169"/>
      <c r="M266" s="169"/>
      <c r="N266" s="38"/>
      <c r="O266" s="33"/>
      <c r="P266" s="38"/>
      <c r="Q266" s="33"/>
      <c r="R266" s="784"/>
      <c r="S266" s="33"/>
      <c r="T266" s="33"/>
      <c r="U266" s="169"/>
      <c r="V266" s="416"/>
      <c r="W266" s="104"/>
      <c r="X266" s="104"/>
      <c r="Y266" s="104"/>
      <c r="Z266" s="136"/>
      <c r="AA266" s="38"/>
      <c r="AB266" s="38"/>
      <c r="AC266" s="38"/>
      <c r="AD266" s="38"/>
      <c r="AE266" s="38"/>
      <c r="AF266" s="38"/>
      <c r="AG266" s="38"/>
      <c r="AH266" s="38"/>
    </row>
    <row r="267" spans="4:34" ht="13" thickBot="1">
      <c r="E267" s="712"/>
      <c r="F267" s="713"/>
      <c r="G267" s="714"/>
      <c r="H267" s="714"/>
      <c r="I267" s="714"/>
      <c r="J267" s="169"/>
      <c r="K267" s="169"/>
      <c r="L267" s="169"/>
      <c r="M267" s="169"/>
      <c r="N267" s="38"/>
      <c r="O267" s="33"/>
      <c r="P267" s="38"/>
      <c r="Q267" s="33"/>
      <c r="R267" s="784"/>
      <c r="S267" s="33"/>
      <c r="T267" s="33"/>
      <c r="U267" s="169"/>
      <c r="V267" s="330"/>
      <c r="W267" s="279"/>
      <c r="X267" s="279"/>
      <c r="Y267" s="279"/>
      <c r="Z267" s="280"/>
      <c r="AA267" s="38"/>
      <c r="AB267" s="38"/>
      <c r="AC267" s="38"/>
      <c r="AD267" s="38"/>
      <c r="AE267" s="38"/>
      <c r="AF267" s="38"/>
      <c r="AG267" s="38"/>
      <c r="AH267" s="38"/>
    </row>
    <row r="268" spans="4:34">
      <c r="E268" s="712"/>
      <c r="F268" s="713"/>
      <c r="G268" s="714"/>
      <c r="H268" s="714"/>
      <c r="I268" s="714"/>
      <c r="J268" s="169"/>
      <c r="K268" s="169"/>
      <c r="L268" s="169"/>
      <c r="M268" s="169"/>
      <c r="N268" s="38"/>
      <c r="O268" s="33"/>
      <c r="P268" s="38"/>
      <c r="Q268" s="33"/>
      <c r="R268" s="784"/>
      <c r="S268" s="33"/>
      <c r="T268" s="33"/>
      <c r="U268" s="169"/>
      <c r="V268" s="104"/>
      <c r="W268" s="104"/>
      <c r="X268" s="104"/>
      <c r="Y268" s="104"/>
      <c r="Z268" s="104"/>
      <c r="AA268" s="38"/>
      <c r="AB268" s="38"/>
      <c r="AC268" s="38"/>
      <c r="AD268" s="38"/>
      <c r="AE268" s="38"/>
      <c r="AF268" s="38"/>
      <c r="AG268" s="38"/>
      <c r="AH268" s="38"/>
    </row>
    <row r="269" spans="4:34">
      <c r="E269" s="712"/>
      <c r="F269" s="713"/>
      <c r="G269" s="714"/>
      <c r="H269" s="714"/>
      <c r="I269" s="714"/>
      <c r="J269" s="169"/>
      <c r="K269" s="169"/>
      <c r="L269" s="169"/>
      <c r="M269" s="169"/>
      <c r="N269" s="38"/>
      <c r="O269" s="33"/>
      <c r="P269" s="38"/>
      <c r="Q269" s="33"/>
      <c r="R269" s="784"/>
      <c r="S269" s="33"/>
      <c r="T269" s="33"/>
      <c r="U269" s="169"/>
      <c r="AA269" s="38"/>
      <c r="AB269" s="38"/>
      <c r="AC269" s="38"/>
      <c r="AD269" s="38"/>
      <c r="AE269" s="38"/>
      <c r="AF269" s="38"/>
      <c r="AG269" s="38"/>
      <c r="AH269" s="38"/>
    </row>
    <row r="270" spans="4:34">
      <c r="E270" s="712"/>
      <c r="F270" s="713"/>
      <c r="G270" s="714"/>
      <c r="H270" s="714"/>
      <c r="I270" s="714"/>
      <c r="J270" s="169"/>
      <c r="K270" s="169"/>
      <c r="L270" s="169"/>
      <c r="M270" s="169"/>
      <c r="N270" s="38"/>
      <c r="O270" s="33"/>
      <c r="P270" s="38"/>
      <c r="Q270" s="33"/>
      <c r="R270" s="784"/>
      <c r="S270" s="33"/>
      <c r="T270" s="33"/>
      <c r="U270" s="169"/>
      <c r="AA270" s="38"/>
      <c r="AB270" s="38"/>
      <c r="AC270" s="38"/>
      <c r="AD270" s="38"/>
      <c r="AE270" s="38"/>
      <c r="AF270" s="38"/>
      <c r="AG270" s="38"/>
      <c r="AH270" s="38"/>
    </row>
    <row r="271" spans="4:34">
      <c r="E271" s="712"/>
      <c r="F271" s="713"/>
      <c r="G271" s="714"/>
      <c r="H271" s="714"/>
      <c r="I271" s="714"/>
      <c r="J271" s="169"/>
      <c r="K271" s="169"/>
      <c r="L271" s="169"/>
      <c r="M271" s="169"/>
      <c r="N271" s="38"/>
      <c r="O271" s="33"/>
      <c r="P271" s="38"/>
      <c r="Q271" s="33"/>
      <c r="R271" s="784"/>
      <c r="S271" s="33"/>
      <c r="T271" s="33"/>
      <c r="U271" s="169"/>
      <c r="AA271" s="38"/>
      <c r="AB271" s="38"/>
      <c r="AC271" s="38"/>
      <c r="AD271" s="38"/>
      <c r="AE271" s="38"/>
      <c r="AF271" s="38"/>
      <c r="AG271" s="38"/>
      <c r="AH271" s="38"/>
    </row>
    <row r="272" spans="4:34">
      <c r="E272" s="712"/>
      <c r="F272" s="713"/>
      <c r="G272" s="714"/>
      <c r="H272" s="714"/>
      <c r="I272" s="714"/>
      <c r="J272" s="169"/>
      <c r="K272" s="169"/>
      <c r="L272" s="169"/>
      <c r="M272" s="169"/>
      <c r="N272" s="38"/>
      <c r="O272" s="33"/>
      <c r="P272" s="38"/>
      <c r="Q272" s="33"/>
      <c r="R272" s="784"/>
      <c r="S272" s="33"/>
      <c r="T272" s="33"/>
      <c r="U272" s="169"/>
      <c r="AA272" s="38"/>
      <c r="AB272" s="38"/>
      <c r="AC272" s="38"/>
      <c r="AD272" s="38"/>
      <c r="AE272" s="38"/>
      <c r="AF272" s="38"/>
      <c r="AG272" s="38"/>
      <c r="AH272" s="38"/>
    </row>
    <row r="273" spans="5:34">
      <c r="E273" s="712"/>
      <c r="F273" s="713"/>
      <c r="G273" s="714"/>
      <c r="H273" s="714"/>
      <c r="I273" s="714"/>
      <c r="J273" s="169"/>
      <c r="K273" s="169"/>
      <c r="L273" s="169"/>
      <c r="M273" s="169"/>
      <c r="N273" s="38"/>
      <c r="O273" s="33"/>
      <c r="P273" s="38"/>
      <c r="Q273" s="33"/>
      <c r="R273" s="784"/>
      <c r="S273" s="33"/>
      <c r="T273" s="33"/>
      <c r="U273" s="169"/>
      <c r="AA273" s="38"/>
      <c r="AB273" s="38"/>
      <c r="AC273" s="38"/>
      <c r="AD273" s="38"/>
      <c r="AE273" s="38"/>
      <c r="AF273" s="38"/>
      <c r="AG273" s="38"/>
      <c r="AH273" s="38"/>
    </row>
    <row r="274" spans="5:34">
      <c r="E274" s="712"/>
      <c r="F274" s="713"/>
      <c r="G274" s="714"/>
      <c r="H274" s="714"/>
      <c r="I274" s="714"/>
      <c r="J274" s="169"/>
      <c r="K274" s="169"/>
      <c r="L274" s="169"/>
      <c r="M274" s="169"/>
      <c r="N274" s="38"/>
      <c r="O274" s="33"/>
      <c r="P274" s="38"/>
      <c r="Q274" s="33"/>
      <c r="R274" s="784"/>
      <c r="S274" s="33"/>
      <c r="T274" s="33"/>
      <c r="U274" s="169"/>
      <c r="AA274" s="38"/>
      <c r="AB274" s="38"/>
      <c r="AC274" s="38"/>
      <c r="AD274" s="38"/>
      <c r="AE274" s="38"/>
      <c r="AF274" s="38"/>
      <c r="AG274" s="38"/>
      <c r="AH274" s="38"/>
    </row>
  </sheetData>
  <customSheetViews>
    <customSheetView guid="{005F2F7B-A3A9-4755-A4DF-7CE06C365CC2}" showPageBreaks="1" fitToPage="1" printArea="1" hiddenColumns="1" topLeftCell="A37">
      <selection activeCell="L233" sqref="L233"/>
      <pageSetup scale="81" fitToHeight="4" orientation="portrait" horizontalDpi="1200" verticalDpi="1200"/>
    </customSheetView>
    <customSheetView guid="{D3CBD86D-0B34-40AC-BD97-D8082E871349}" hiddenColumns="1" topLeftCell="A173">
      <selection activeCell="E201" sqref="E201"/>
    </customSheetView>
    <customSheetView guid="{041E0462-B6EA-414A-9F2E-C14ADEFAE5F2}" scale="80" showPageBreaks="1" hiddenColumns="1" topLeftCell="A33">
      <selection activeCell="R64" sqref="R64"/>
      <pageSetup orientation="portrait"/>
    </customSheetView>
    <customSheetView guid="{86CCC894-C193-4761-8385-3C374FD67B70}" showPageBreaks="1" fitToPage="1" printArea="1" hiddenColumns="1" topLeftCell="A37">
      <selection activeCell="L233" sqref="L233"/>
      <pageSetup scale="81" fitToHeight="4" orientation="portrait" horizontalDpi="1200" verticalDpi="1200"/>
    </customSheetView>
  </customSheetViews>
  <pageMargins left="0.7" right="0.7" top="0.75" bottom="0.75" header="0.3" footer="0.3"/>
  <pageSetup scale="81" fitToHeight="4" orientation="portrait" horizontalDpi="1200" verticalDpi="1200"/>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262"/>
  <sheetViews>
    <sheetView topLeftCell="B13" workbookViewId="0">
      <pane ySplit="1820" topLeftCell="A218" activePane="bottomLeft"/>
      <selection activeCell="J243" sqref="J243"/>
      <selection pane="bottomLeft" activeCell="J249" sqref="J249"/>
    </sheetView>
  </sheetViews>
  <sheetFormatPr baseColWidth="10" defaultColWidth="9.3984375" defaultRowHeight="12" outlineLevelCol="1" x14ac:dyDescent="0"/>
  <cols>
    <col min="1" max="1" width="9.796875" style="18" customWidth="1" outlineLevel="1"/>
    <col min="2" max="2" width="8.3984375" style="18" bestFit="1" customWidth="1" outlineLevel="1"/>
    <col min="3" max="3" width="11.3984375" style="131" bestFit="1" customWidth="1" outlineLevel="1"/>
    <col min="4" max="4" width="32.3984375" style="147" customWidth="1"/>
    <col min="5" max="5" width="17.3984375" style="35" bestFit="1" customWidth="1"/>
    <col min="6" max="6" width="17" style="152" bestFit="1" customWidth="1"/>
    <col min="7" max="8" width="15.3984375" style="17" hidden="1" customWidth="1"/>
    <col min="9" max="9" width="15.3984375" style="17" customWidth="1"/>
    <col min="10" max="10" width="17" style="24" bestFit="1" customWidth="1"/>
    <col min="11" max="11" width="3" style="24" customWidth="1"/>
    <col min="12" max="12" width="15.3984375" style="24" customWidth="1"/>
    <col min="13" max="13" width="16.3984375" style="24" bestFit="1" customWidth="1"/>
    <col min="14" max="14" width="1.796875" style="16" customWidth="1"/>
    <col min="15" max="15" width="13.3984375" style="146" bestFit="1" customWidth="1"/>
    <col min="16" max="16" width="1.796875" style="16" customWidth="1"/>
    <col min="17" max="17" width="15.3984375" style="146" customWidth="1"/>
    <col min="18" max="18" width="15.3984375" style="146" hidden="1" customWidth="1"/>
    <col min="19" max="19" width="12" style="146" hidden="1" customWidth="1"/>
    <col min="20" max="20" width="22.3984375" style="146" bestFit="1"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6.3984375" style="559" bestFit="1" customWidth="1"/>
    <col min="36" max="36" width="14.19921875" style="559" customWidth="1"/>
    <col min="37" max="37" width="9.3984375" style="16"/>
    <col min="38" max="38" width="14.796875" style="16" bestFit="1" customWidth="1"/>
    <col min="39" max="39" width="38.3984375" style="16" bestFit="1" customWidth="1"/>
    <col min="40" max="16384" width="9.398437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1104</v>
      </c>
      <c r="F3" s="29"/>
      <c r="G3" s="18"/>
      <c r="H3" s="168"/>
      <c r="I3" s="168"/>
      <c r="J3" s="169"/>
      <c r="K3" s="169"/>
      <c r="L3" s="169"/>
      <c r="M3" s="169"/>
      <c r="N3" s="169"/>
    </row>
    <row r="4" spans="1:39">
      <c r="D4" s="148"/>
      <c r="G4" s="164"/>
      <c r="H4" s="168"/>
      <c r="I4" s="168"/>
      <c r="J4" s="169"/>
      <c r="K4" s="169"/>
      <c r="L4" s="169"/>
      <c r="M4" s="169"/>
      <c r="N4" s="169"/>
    </row>
    <row r="5" spans="1:39" ht="13"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3" thickBot="1">
      <c r="B12" s="469"/>
      <c r="C12" s="670"/>
      <c r="D12" s="470" t="s">
        <v>103</v>
      </c>
      <c r="E12" s="471" t="s">
        <v>101</v>
      </c>
      <c r="F12" s="29"/>
      <c r="G12" s="166"/>
      <c r="H12" s="150"/>
      <c r="I12" s="150"/>
      <c r="J12" s="76"/>
    </row>
    <row r="13" spans="1:39" ht="13" thickBot="1">
      <c r="A13" s="152"/>
      <c r="B13" s="152"/>
      <c r="C13" s="67"/>
      <c r="D13" s="54"/>
      <c r="E13" s="34"/>
      <c r="G13" s="167"/>
      <c r="H13" s="49"/>
      <c r="I13" s="49"/>
      <c r="J13" s="50"/>
      <c r="K13" s="50"/>
      <c r="L13" s="50"/>
      <c r="M13" s="745"/>
      <c r="N13" s="146"/>
      <c r="P13" s="146"/>
      <c r="W13" s="50"/>
      <c r="X13" s="33"/>
      <c r="Y13" s="33"/>
      <c r="Z13" s="33"/>
      <c r="AA13" s="33"/>
    </row>
    <row r="14" spans="1:39" ht="13" thickBot="1">
      <c r="D14" s="526"/>
      <c r="E14" s="582" t="s">
        <v>1105</v>
      </c>
      <c r="F14" s="583" t="s">
        <v>289</v>
      </c>
      <c r="G14" s="96"/>
      <c r="H14" s="96"/>
      <c r="I14" s="96"/>
      <c r="J14" s="583" t="s">
        <v>290</v>
      </c>
      <c r="K14" s="581"/>
      <c r="L14" s="583" t="s">
        <v>290</v>
      </c>
      <c r="M14" s="583" t="s">
        <v>290</v>
      </c>
      <c r="N14" s="93"/>
      <c r="O14" s="96"/>
      <c r="P14" s="93"/>
      <c r="Q14" s="13"/>
      <c r="R14" s="13"/>
      <c r="S14" s="13"/>
      <c r="T14" s="96"/>
      <c r="U14" s="101"/>
      <c r="V14" s="96"/>
      <c r="W14" s="93"/>
      <c r="X14" s="96"/>
      <c r="Y14" s="96"/>
      <c r="Z14" s="304"/>
      <c r="AA14" s="304"/>
      <c r="AB14" s="304"/>
      <c r="AE14" s="560" t="s">
        <v>266</v>
      </c>
      <c r="AI14" s="561" t="s">
        <v>267</v>
      </c>
    </row>
    <row r="15" spans="1:39" ht="13" thickBot="1">
      <c r="A15" s="22" t="s">
        <v>95</v>
      </c>
      <c r="B15" s="22" t="s">
        <v>100</v>
      </c>
      <c r="C15" s="36" t="s">
        <v>522</v>
      </c>
      <c r="D15" s="36" t="s">
        <v>67</v>
      </c>
      <c r="E15" s="450" t="s">
        <v>230</v>
      </c>
      <c r="F15" s="528" t="s">
        <v>229</v>
      </c>
      <c r="G15" s="176" t="s">
        <v>288</v>
      </c>
      <c r="H15" s="545" t="s">
        <v>289</v>
      </c>
      <c r="I15" s="758" t="s">
        <v>290</v>
      </c>
      <c r="J15" s="313" t="s">
        <v>105</v>
      </c>
      <c r="K15" s="93"/>
      <c r="L15" s="94" t="s">
        <v>104</v>
      </c>
      <c r="M15" s="95" t="s">
        <v>106</v>
      </c>
      <c r="N15" s="102"/>
      <c r="O15" s="427" t="s">
        <v>839</v>
      </c>
      <c r="P15" s="102"/>
      <c r="Q15" s="313" t="s">
        <v>267</v>
      </c>
      <c r="R15" s="313" t="s">
        <v>946</v>
      </c>
      <c r="S15" s="313" t="s">
        <v>947</v>
      </c>
      <c r="T15" s="156" t="s">
        <v>1106</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1027</v>
      </c>
      <c r="E16" s="679"/>
      <c r="F16" s="529">
        <f>VLOOKUP(D16,'May14 Revenue'!D:V,19,FALSE)</f>
        <v>0</v>
      </c>
      <c r="G16" s="680"/>
      <c r="H16" s="680"/>
      <c r="I16" s="755"/>
      <c r="J16" s="682">
        <f t="shared" ref="J16:J86" si="0">SUM(E16:I16)</f>
        <v>0</v>
      </c>
      <c r="K16" s="683"/>
      <c r="L16" s="684"/>
      <c r="M16" s="753"/>
      <c r="N16" s="683">
        <v>0</v>
      </c>
      <c r="O16" s="686"/>
      <c r="P16" s="683">
        <v>0</v>
      </c>
      <c r="Q16" s="687">
        <f t="shared" ref="Q16:Q149" si="1">L16+M16</f>
        <v>0</v>
      </c>
      <c r="R16" s="687"/>
      <c r="S16" s="687"/>
      <c r="T16" s="688"/>
      <c r="U16" s="689"/>
      <c r="V16" s="690" t="str">
        <f t="shared" ref="V16:V87" si="2">IF(T16="","",T16-Q16)</f>
        <v/>
      </c>
      <c r="W16" s="691"/>
      <c r="X16" s="474">
        <f t="shared" ref="X16:X87" si="3">IF(B16="D",Q16,0)</f>
        <v>0</v>
      </c>
      <c r="Y16" s="474">
        <f t="shared" ref="Y16:Y87" si="4">IF(B16="M",Q16,0)</f>
        <v>0</v>
      </c>
      <c r="Z16" s="475">
        <f t="shared" ref="Z16:Z87" si="5">IF(B16="V",Q16,0)</f>
        <v>0</v>
      </c>
      <c r="AA16" s="475">
        <v>0</v>
      </c>
      <c r="AB16" s="476">
        <v>0</v>
      </c>
      <c r="AC16" s="38">
        <f t="shared" ref="AC16:AC87" si="6">(L16+M16)-(X16+Y16+Z16+AA16+AB16)</f>
        <v>0</v>
      </c>
      <c r="AD16" s="692">
        <f t="shared" ref="AD16:AD86" si="7">IF(B16="D",J16,0)</f>
        <v>0</v>
      </c>
      <c r="AE16" s="692">
        <f t="shared" ref="AE16:AE86" si="8">IF(B16="M",J16,0)</f>
        <v>0</v>
      </c>
      <c r="AF16" s="692">
        <f t="shared" ref="AF16:AF86" si="9">IF(B16="V",J16,0)</f>
        <v>0</v>
      </c>
      <c r="AG16" s="38"/>
      <c r="AH16" s="692">
        <f t="shared" ref="AH16:AH87" si="10">IF(B16="D",Q16,0)</f>
        <v>0</v>
      </c>
      <c r="AI16" s="692">
        <f t="shared" ref="AI16:AI87" si="11">IF(B16="M",Q16,0)</f>
        <v>0</v>
      </c>
      <c r="AJ16" s="692">
        <f t="shared" ref="AJ16:AJ87" si="12">IF(B16="V",Q16,0)</f>
        <v>0</v>
      </c>
      <c r="AL16" s="38">
        <f>SUM(AD16:AJ16)</f>
        <v>0</v>
      </c>
      <c r="AM16" s="373" t="s">
        <v>382</v>
      </c>
    </row>
    <row r="17" spans="1:39">
      <c r="A17" s="20" t="s">
        <v>109</v>
      </c>
      <c r="B17" s="20" t="s">
        <v>110</v>
      </c>
      <c r="C17" s="671" t="s">
        <v>523</v>
      </c>
      <c r="D17" s="123" t="s">
        <v>317</v>
      </c>
      <c r="E17" s="679"/>
      <c r="F17" s="529">
        <f>VLOOKUP(D17,'May14 Revenue'!D:V,19,FALSE)</f>
        <v>-264.11999999999898</v>
      </c>
      <c r="G17" s="680"/>
      <c r="H17" s="680"/>
      <c r="I17" s="755"/>
      <c r="J17" s="682">
        <f t="shared" si="0"/>
        <v>-264.11999999999898</v>
      </c>
      <c r="K17" s="683"/>
      <c r="L17" s="684"/>
      <c r="M17" s="753">
        <v>10000</v>
      </c>
      <c r="N17" s="683">
        <v>0</v>
      </c>
      <c r="O17" s="686"/>
      <c r="P17" s="683">
        <v>0</v>
      </c>
      <c r="Q17" s="687">
        <f t="shared" si="1"/>
        <v>10000</v>
      </c>
      <c r="R17" s="687"/>
      <c r="S17" s="687"/>
      <c r="T17" s="688"/>
      <c r="U17" s="693"/>
      <c r="V17" s="690" t="str">
        <f t="shared" si="2"/>
        <v/>
      </c>
      <c r="W17" s="683"/>
      <c r="X17" s="474">
        <f t="shared" si="3"/>
        <v>10000</v>
      </c>
      <c r="Y17" s="474">
        <f t="shared" si="4"/>
        <v>0</v>
      </c>
      <c r="Z17" s="475">
        <f t="shared" si="5"/>
        <v>0</v>
      </c>
      <c r="AA17" s="475">
        <v>0</v>
      </c>
      <c r="AB17" s="476">
        <v>0</v>
      </c>
      <c r="AC17" s="38">
        <f t="shared" si="6"/>
        <v>0</v>
      </c>
      <c r="AD17" s="692">
        <f t="shared" si="7"/>
        <v>-264.11999999999898</v>
      </c>
      <c r="AE17" s="692">
        <f t="shared" si="8"/>
        <v>0</v>
      </c>
      <c r="AF17" s="692">
        <f t="shared" si="9"/>
        <v>0</v>
      </c>
      <c r="AG17" s="38"/>
      <c r="AH17" s="692">
        <f t="shared" si="10"/>
        <v>10000</v>
      </c>
      <c r="AI17" s="692">
        <f t="shared" si="11"/>
        <v>0</v>
      </c>
      <c r="AJ17" s="692">
        <f t="shared" si="12"/>
        <v>0</v>
      </c>
      <c r="AL17" s="38">
        <f>SUM(AD17:AJ17)</f>
        <v>9735.880000000001</v>
      </c>
      <c r="AM17" s="123" t="s">
        <v>317</v>
      </c>
    </row>
    <row r="18" spans="1:39">
      <c r="A18" s="20" t="s">
        <v>109</v>
      </c>
      <c r="B18" s="20" t="s">
        <v>109</v>
      </c>
      <c r="C18" s="671" t="s">
        <v>523</v>
      </c>
      <c r="D18" s="68" t="s">
        <v>393</v>
      </c>
      <c r="E18" s="679"/>
      <c r="F18" s="529">
        <f>VLOOKUP(D18,'May14 Revenue'!D:V,19,FALSE)</f>
        <v>-1574.8399999999965</v>
      </c>
      <c r="G18" s="680"/>
      <c r="H18" s="680"/>
      <c r="I18" s="755"/>
      <c r="J18" s="682">
        <f t="shared" si="0"/>
        <v>-1574.8399999999965</v>
      </c>
      <c r="K18" s="683"/>
      <c r="L18" s="684"/>
      <c r="M18" s="753">
        <v>60000</v>
      </c>
      <c r="N18" s="683">
        <v>0</v>
      </c>
      <c r="O18" s="686"/>
      <c r="P18" s="683">
        <v>0</v>
      </c>
      <c r="Q18" s="687">
        <f t="shared" si="1"/>
        <v>60000</v>
      </c>
      <c r="R18" s="687"/>
      <c r="S18" s="687"/>
      <c r="T18" s="688"/>
      <c r="U18" s="693"/>
      <c r="V18" s="690" t="str">
        <f t="shared" si="2"/>
        <v/>
      </c>
      <c r="W18" s="683"/>
      <c r="X18" s="474">
        <f t="shared" si="3"/>
        <v>0</v>
      </c>
      <c r="Y18" s="474">
        <f t="shared" si="4"/>
        <v>60000</v>
      </c>
      <c r="Z18" s="475">
        <f t="shared" si="5"/>
        <v>0</v>
      </c>
      <c r="AA18" s="475">
        <v>0</v>
      </c>
      <c r="AB18" s="476">
        <v>0</v>
      </c>
      <c r="AC18" s="38">
        <f t="shared" si="6"/>
        <v>0</v>
      </c>
      <c r="AD18" s="692">
        <f t="shared" si="7"/>
        <v>0</v>
      </c>
      <c r="AE18" s="692">
        <f t="shared" si="8"/>
        <v>-1574.8399999999965</v>
      </c>
      <c r="AF18" s="692">
        <f t="shared" si="9"/>
        <v>0</v>
      </c>
      <c r="AG18" s="38"/>
      <c r="AH18" s="692">
        <f t="shared" si="10"/>
        <v>0</v>
      </c>
      <c r="AI18" s="692">
        <f t="shared" si="11"/>
        <v>60000</v>
      </c>
      <c r="AJ18" s="692">
        <f t="shared" si="12"/>
        <v>0</v>
      </c>
      <c r="AL18" s="38">
        <f t="shared" ref="AL18:AL88" si="13">SUM(AD18:AJ18)</f>
        <v>58425.16</v>
      </c>
      <c r="AM18" s="68" t="s">
        <v>393</v>
      </c>
    </row>
    <row r="19" spans="1:39">
      <c r="A19" s="20" t="s">
        <v>109</v>
      </c>
      <c r="B19" s="20" t="s">
        <v>109</v>
      </c>
      <c r="C19" s="671" t="s">
        <v>523</v>
      </c>
      <c r="D19" s="68" t="s">
        <v>129</v>
      </c>
      <c r="E19" s="679"/>
      <c r="F19" s="529">
        <f>VLOOKUP(D19,'May14 Revenue'!D:V,19,FALSE)</f>
        <v>0</v>
      </c>
      <c r="G19" s="680"/>
      <c r="H19" s="680"/>
      <c r="I19" s="755"/>
      <c r="J19" s="682">
        <f t="shared" si="0"/>
        <v>0</v>
      </c>
      <c r="K19" s="683"/>
      <c r="L19" s="684"/>
      <c r="M19" s="753"/>
      <c r="N19" s="683">
        <v>0</v>
      </c>
      <c r="O19" s="686"/>
      <c r="P19" s="683">
        <v>0</v>
      </c>
      <c r="Q19" s="687">
        <f t="shared" si="1"/>
        <v>0</v>
      </c>
      <c r="R19" s="687"/>
      <c r="S19" s="687"/>
      <c r="T19" s="688"/>
      <c r="U19" s="693"/>
      <c r="V19" s="690" t="str">
        <f t="shared" si="2"/>
        <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VLOOKUP(D20,'May14 Revenue'!D:V,19,FALSE)</f>
        <v>0</v>
      </c>
      <c r="G20" s="680"/>
      <c r="H20" s="680"/>
      <c r="I20" s="755"/>
      <c r="J20" s="682">
        <f t="shared" si="0"/>
        <v>0</v>
      </c>
      <c r="K20" s="683"/>
      <c r="L20" s="684"/>
      <c r="M20" s="753"/>
      <c r="N20" s="683">
        <v>0</v>
      </c>
      <c r="O20" s="686"/>
      <c r="P20" s="683">
        <v>0</v>
      </c>
      <c r="Q20" s="687">
        <f t="shared" si="1"/>
        <v>0</v>
      </c>
      <c r="R20" s="687"/>
      <c r="S20" s="687"/>
      <c r="T20" s="688"/>
      <c r="U20" s="693"/>
      <c r="V20" s="690" t="str">
        <f t="shared" si="2"/>
        <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c r="F21" s="529">
        <f>VLOOKUP(D21,'May14 Revenue'!D:V,19,FALSE)</f>
        <v>0</v>
      </c>
      <c r="G21" s="680"/>
      <c r="H21" s="680"/>
      <c r="I21" s="755"/>
      <c r="J21" s="682">
        <f t="shared" si="0"/>
        <v>0</v>
      </c>
      <c r="K21" s="683"/>
      <c r="L21" s="684"/>
      <c r="M21" s="753"/>
      <c r="N21" s="683">
        <v>0</v>
      </c>
      <c r="O21" s="686"/>
      <c r="P21" s="683">
        <v>0</v>
      </c>
      <c r="Q21" s="687">
        <f t="shared" si="1"/>
        <v>0</v>
      </c>
      <c r="R21" s="687"/>
      <c r="S21" s="687"/>
      <c r="T21" s="688"/>
      <c r="U21" s="693"/>
      <c r="V21" s="690" t="str">
        <f t="shared" si="2"/>
        <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c r="AM21" s="123" t="s">
        <v>380</v>
      </c>
    </row>
    <row r="22" spans="1:39">
      <c r="A22" s="20"/>
      <c r="B22" s="20" t="s">
        <v>110</v>
      </c>
      <c r="C22" s="667" t="s">
        <v>524</v>
      </c>
      <c r="D22" s="123" t="s">
        <v>132</v>
      </c>
      <c r="E22" s="679">
        <f>88.28+274.31+113.46+181.56+225.07+41.04+10.4+24.18+13.12+77.21+98.9+118.39+52.71+93.54+80.69+95.11</f>
        <v>1587.97</v>
      </c>
      <c r="F22" s="529">
        <f>VLOOKUP(D22,'May14 Revenue'!D:V,19,FALSE)</f>
        <v>0</v>
      </c>
      <c r="G22" s="680"/>
      <c r="H22" s="680"/>
      <c r="I22" s="770">
        <v>22858.69</v>
      </c>
      <c r="J22" s="682">
        <f t="shared" si="0"/>
        <v>24446.66</v>
      </c>
      <c r="K22" s="683"/>
      <c r="L22" s="684"/>
      <c r="M22" s="753"/>
      <c r="N22" s="683">
        <v>0</v>
      </c>
      <c r="O22" s="686"/>
      <c r="P22" s="683">
        <v>0</v>
      </c>
      <c r="Q22" s="687">
        <f t="shared" si="1"/>
        <v>0</v>
      </c>
      <c r="R22" s="687"/>
      <c r="S22" s="687"/>
      <c r="T22" s="688"/>
      <c r="U22" s="693"/>
      <c r="V22" s="690" t="str">
        <f t="shared" si="2"/>
        <v/>
      </c>
      <c r="W22" s="683"/>
      <c r="X22" s="474">
        <f t="shared" si="3"/>
        <v>0</v>
      </c>
      <c r="Y22" s="474">
        <f t="shared" si="4"/>
        <v>0</v>
      </c>
      <c r="Z22" s="475">
        <f t="shared" si="5"/>
        <v>0</v>
      </c>
      <c r="AA22" s="475">
        <v>0</v>
      </c>
      <c r="AB22" s="476">
        <v>0</v>
      </c>
      <c r="AC22" s="38">
        <f t="shared" si="6"/>
        <v>0</v>
      </c>
      <c r="AD22" s="692">
        <f t="shared" si="7"/>
        <v>24446.66</v>
      </c>
      <c r="AE22" s="692">
        <f t="shared" si="8"/>
        <v>0</v>
      </c>
      <c r="AF22" s="692">
        <f t="shared" si="9"/>
        <v>0</v>
      </c>
      <c r="AG22" s="38"/>
      <c r="AH22" s="692">
        <f t="shared" si="10"/>
        <v>0</v>
      </c>
      <c r="AI22" s="692">
        <f t="shared" si="11"/>
        <v>0</v>
      </c>
      <c r="AJ22" s="692">
        <f t="shared" si="12"/>
        <v>0</v>
      </c>
      <c r="AL22" s="38">
        <f t="shared" si="13"/>
        <v>24446.66</v>
      </c>
      <c r="AM22" s="123" t="s">
        <v>132</v>
      </c>
    </row>
    <row r="23" spans="1:39">
      <c r="A23" s="20"/>
      <c r="B23" s="20" t="s">
        <v>110</v>
      </c>
      <c r="C23" s="667" t="s">
        <v>524</v>
      </c>
      <c r="D23" s="123" t="s">
        <v>133</v>
      </c>
      <c r="E23" s="679"/>
      <c r="F23" s="529">
        <f>VLOOKUP(D23,'May14 Revenue'!D:V,19,FALSE)</f>
        <v>0</v>
      </c>
      <c r="G23" s="680"/>
      <c r="H23" s="680"/>
      <c r="I23" s="755"/>
      <c r="J23" s="682">
        <f t="shared" si="0"/>
        <v>0</v>
      </c>
      <c r="K23" s="683"/>
      <c r="L23" s="684"/>
      <c r="M23" s="753"/>
      <c r="N23" s="683">
        <v>0</v>
      </c>
      <c r="O23" s="686"/>
      <c r="P23" s="683">
        <v>0</v>
      </c>
      <c r="Q23" s="687">
        <f t="shared" si="1"/>
        <v>0</v>
      </c>
      <c r="R23" s="687"/>
      <c r="S23" s="687"/>
      <c r="T23" s="688"/>
      <c r="U23" s="693"/>
      <c r="V23" s="690" t="str">
        <f t="shared" si="2"/>
        <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3"/>
        <v>0</v>
      </c>
      <c r="AM23" s="123" t="s">
        <v>133</v>
      </c>
    </row>
    <row r="24" spans="1:39">
      <c r="A24" s="20"/>
      <c r="B24" s="20" t="s">
        <v>110</v>
      </c>
      <c r="C24" s="667"/>
      <c r="D24" s="123" t="s">
        <v>1015</v>
      </c>
      <c r="E24" s="679"/>
      <c r="F24" s="529">
        <f>VLOOKUP(D24,'May14 Revenue'!D:V,19,FALSE)</f>
        <v>0</v>
      </c>
      <c r="G24" s="680"/>
      <c r="H24" s="680"/>
      <c r="I24" s="755"/>
      <c r="J24" s="682">
        <f t="shared" si="0"/>
        <v>0</v>
      </c>
      <c r="K24" s="683"/>
      <c r="L24" s="684"/>
      <c r="M24" s="753"/>
      <c r="N24" s="683">
        <v>0</v>
      </c>
      <c r="O24" s="686"/>
      <c r="P24" s="683">
        <v>0</v>
      </c>
      <c r="Q24" s="687">
        <f t="shared" si="1"/>
        <v>0</v>
      </c>
      <c r="R24" s="687"/>
      <c r="S24" s="687"/>
      <c r="T24" s="688"/>
      <c r="U24" s="693"/>
      <c r="V24" s="690" t="str">
        <f t="shared" si="2"/>
        <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3"/>
        <v>0</v>
      </c>
      <c r="AM24" s="123" t="s">
        <v>1015</v>
      </c>
    </row>
    <row r="25" spans="1:39" s="232" customFormat="1">
      <c r="A25" s="283" t="s">
        <v>211</v>
      </c>
      <c r="B25" s="283" t="s">
        <v>109</v>
      </c>
      <c r="C25" s="667" t="s">
        <v>525</v>
      </c>
      <c r="D25" s="123" t="s">
        <v>419</v>
      </c>
      <c r="E25" s="679">
        <v>22995.54</v>
      </c>
      <c r="F25" s="529">
        <f>VLOOKUP(D25,'May14 Revenue'!D:V,19,FALSE)</f>
        <v>-37500</v>
      </c>
      <c r="G25" s="680"/>
      <c r="H25" s="680"/>
      <c r="I25" s="755"/>
      <c r="J25" s="682">
        <f t="shared" si="0"/>
        <v>-14504.46</v>
      </c>
      <c r="K25" s="683"/>
      <c r="L25" s="684"/>
      <c r="M25" s="753">
        <v>20000</v>
      </c>
      <c r="N25" s="683">
        <v>0</v>
      </c>
      <c r="O25" s="686"/>
      <c r="P25" s="683">
        <v>0</v>
      </c>
      <c r="Q25" s="687">
        <f t="shared" si="1"/>
        <v>20000</v>
      </c>
      <c r="R25" s="687"/>
      <c r="S25" s="687"/>
      <c r="T25" s="688"/>
      <c r="U25" s="693"/>
      <c r="V25" s="690" t="str">
        <f t="shared" si="2"/>
        <v/>
      </c>
      <c r="W25" s="683"/>
      <c r="X25" s="474">
        <f t="shared" si="3"/>
        <v>0</v>
      </c>
      <c r="Y25" s="474">
        <f t="shared" si="4"/>
        <v>20000</v>
      </c>
      <c r="Z25" s="475">
        <f t="shared" si="5"/>
        <v>0</v>
      </c>
      <c r="AA25" s="475">
        <v>0</v>
      </c>
      <c r="AB25" s="476">
        <v>0</v>
      </c>
      <c r="AC25" s="38">
        <f t="shared" si="6"/>
        <v>0</v>
      </c>
      <c r="AD25" s="692">
        <f t="shared" si="7"/>
        <v>0</v>
      </c>
      <c r="AE25" s="692">
        <f t="shared" si="8"/>
        <v>-14504.46</v>
      </c>
      <c r="AF25" s="692">
        <f t="shared" si="9"/>
        <v>0</v>
      </c>
      <c r="AG25" s="38"/>
      <c r="AH25" s="692">
        <f t="shared" si="10"/>
        <v>0</v>
      </c>
      <c r="AI25" s="692">
        <f t="shared" si="11"/>
        <v>20000</v>
      </c>
      <c r="AJ25" s="692">
        <f t="shared" si="12"/>
        <v>0</v>
      </c>
      <c r="AL25" s="38">
        <f t="shared" si="13"/>
        <v>5495.5400000000009</v>
      </c>
      <c r="AM25" s="123" t="s">
        <v>419</v>
      </c>
    </row>
    <row r="26" spans="1:39">
      <c r="A26" s="20"/>
      <c r="B26" s="20" t="s">
        <v>110</v>
      </c>
      <c r="C26" s="667"/>
      <c r="D26" s="68" t="s">
        <v>922</v>
      </c>
      <c r="E26" s="679"/>
      <c r="F26" s="529">
        <f>VLOOKUP(D26,'May14 Revenue'!D:V,19,FALSE)</f>
        <v>0</v>
      </c>
      <c r="G26" s="680"/>
      <c r="H26" s="680"/>
      <c r="I26" s="770">
        <v>273.37</v>
      </c>
      <c r="J26" s="682">
        <f t="shared" si="0"/>
        <v>273.37</v>
      </c>
      <c r="K26" s="683"/>
      <c r="L26" s="684"/>
      <c r="M26" s="753"/>
      <c r="N26" s="683">
        <v>0</v>
      </c>
      <c r="O26" s="686"/>
      <c r="P26" s="683">
        <v>0</v>
      </c>
      <c r="Q26" s="687">
        <f t="shared" si="1"/>
        <v>0</v>
      </c>
      <c r="R26" s="687"/>
      <c r="S26" s="687"/>
      <c r="T26" s="688"/>
      <c r="U26" s="693"/>
      <c r="V26" s="690" t="str">
        <f t="shared" si="2"/>
        <v/>
      </c>
      <c r="W26" s="683"/>
      <c r="X26" s="474">
        <f t="shared" si="3"/>
        <v>0</v>
      </c>
      <c r="Y26" s="474">
        <f t="shared" si="4"/>
        <v>0</v>
      </c>
      <c r="Z26" s="475">
        <f t="shared" si="5"/>
        <v>0</v>
      </c>
      <c r="AA26" s="475">
        <v>0</v>
      </c>
      <c r="AB26" s="476">
        <v>0</v>
      </c>
      <c r="AC26" s="38">
        <f t="shared" si="6"/>
        <v>0</v>
      </c>
      <c r="AD26" s="692">
        <f t="shared" si="7"/>
        <v>273.37</v>
      </c>
      <c r="AE26" s="692">
        <f t="shared" si="8"/>
        <v>0</v>
      </c>
      <c r="AF26" s="692">
        <f t="shared" si="9"/>
        <v>0</v>
      </c>
      <c r="AG26" s="38"/>
      <c r="AH26" s="692">
        <f t="shared" si="10"/>
        <v>0</v>
      </c>
      <c r="AI26" s="692">
        <f t="shared" si="11"/>
        <v>0</v>
      </c>
      <c r="AJ26" s="692">
        <f t="shared" si="12"/>
        <v>0</v>
      </c>
      <c r="AL26" s="38">
        <f t="shared" si="13"/>
        <v>273.37</v>
      </c>
      <c r="AM26" s="68" t="s">
        <v>922</v>
      </c>
    </row>
    <row r="27" spans="1:39">
      <c r="A27" s="20"/>
      <c r="B27" s="20" t="s">
        <v>110</v>
      </c>
      <c r="C27" s="667"/>
      <c r="D27" s="68" t="s">
        <v>589</v>
      </c>
      <c r="E27" s="679"/>
      <c r="F27" s="529">
        <f>VLOOKUP(D27,'May14 Revenue'!D:V,19,FALSE)</f>
        <v>0</v>
      </c>
      <c r="G27" s="680"/>
      <c r="H27" s="680"/>
      <c r="I27" s="755"/>
      <c r="J27" s="682">
        <f t="shared" si="0"/>
        <v>0</v>
      </c>
      <c r="K27" s="683"/>
      <c r="L27" s="684"/>
      <c r="M27" s="753"/>
      <c r="N27" s="683">
        <v>0</v>
      </c>
      <c r="O27" s="686"/>
      <c r="P27" s="683">
        <v>0</v>
      </c>
      <c r="Q27" s="687">
        <f t="shared" si="1"/>
        <v>0</v>
      </c>
      <c r="R27" s="687"/>
      <c r="S27" s="687"/>
      <c r="T27" s="688"/>
      <c r="U27" s="693"/>
      <c r="V27" s="690" t="str">
        <f t="shared" si="2"/>
        <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c r="AM27" s="68" t="s">
        <v>589</v>
      </c>
    </row>
    <row r="28" spans="1:39">
      <c r="A28" s="20"/>
      <c r="B28" s="20" t="s">
        <v>110</v>
      </c>
      <c r="C28" s="667"/>
      <c r="D28" s="68" t="s">
        <v>829</v>
      </c>
      <c r="E28" s="679"/>
      <c r="F28" s="529">
        <f>VLOOKUP(D28,'May14 Revenue'!D:V,19,FALSE)</f>
        <v>0</v>
      </c>
      <c r="G28" s="680"/>
      <c r="H28" s="680"/>
      <c r="I28" s="755"/>
      <c r="J28" s="682">
        <f t="shared" si="0"/>
        <v>0</v>
      </c>
      <c r="K28" s="683"/>
      <c r="L28" s="684"/>
      <c r="M28" s="753"/>
      <c r="N28" s="683">
        <v>0</v>
      </c>
      <c r="O28" s="686"/>
      <c r="P28" s="683">
        <v>0</v>
      </c>
      <c r="Q28" s="687">
        <f t="shared" si="1"/>
        <v>0</v>
      </c>
      <c r="R28" s="687"/>
      <c r="S28" s="687"/>
      <c r="T28" s="688"/>
      <c r="U28" s="693"/>
      <c r="V28" s="690" t="str">
        <f t="shared" si="2"/>
        <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c r="F29" s="529">
        <f>VLOOKUP(D29,'May14 Revenue'!D:V,19,FALSE)</f>
        <v>0</v>
      </c>
      <c r="G29" s="680"/>
      <c r="H29" s="680"/>
      <c r="I29" s="755"/>
      <c r="J29" s="682">
        <f t="shared" si="0"/>
        <v>0</v>
      </c>
      <c r="K29" s="683"/>
      <c r="L29" s="684"/>
      <c r="M29" s="753"/>
      <c r="N29" s="683">
        <v>0</v>
      </c>
      <c r="O29" s="686"/>
      <c r="P29" s="683">
        <v>0</v>
      </c>
      <c r="Q29" s="687">
        <f t="shared" si="1"/>
        <v>0</v>
      </c>
      <c r="R29" s="687"/>
      <c r="S29" s="687"/>
      <c r="T29" s="688"/>
      <c r="U29" s="693"/>
      <c r="V29" s="690" t="str">
        <f t="shared" si="2"/>
        <v/>
      </c>
      <c r="W29" s="691"/>
      <c r="X29" s="474">
        <f t="shared" si="3"/>
        <v>0</v>
      </c>
      <c r="Y29" s="474">
        <f t="shared" si="4"/>
        <v>0</v>
      </c>
      <c r="Z29" s="475">
        <f t="shared" si="5"/>
        <v>0</v>
      </c>
      <c r="AA29" s="475">
        <v>0</v>
      </c>
      <c r="AB29" s="476">
        <v>0</v>
      </c>
      <c r="AC29" s="38">
        <f t="shared" si="6"/>
        <v>0</v>
      </c>
      <c r="AD29" s="692">
        <f t="shared" si="7"/>
        <v>0</v>
      </c>
      <c r="AE29" s="692">
        <f t="shared" si="8"/>
        <v>0</v>
      </c>
      <c r="AF29" s="692">
        <f t="shared" si="9"/>
        <v>0</v>
      </c>
      <c r="AG29" s="38"/>
      <c r="AH29" s="692">
        <f t="shared" si="10"/>
        <v>0</v>
      </c>
      <c r="AI29" s="692">
        <f t="shared" si="11"/>
        <v>0</v>
      </c>
      <c r="AJ29" s="692">
        <f t="shared" si="12"/>
        <v>0</v>
      </c>
      <c r="AL29" s="38">
        <f t="shared" si="13"/>
        <v>0</v>
      </c>
      <c r="AM29" s="68" t="s">
        <v>385</v>
      </c>
    </row>
    <row r="30" spans="1:39" s="232" customFormat="1">
      <c r="A30" s="283"/>
      <c r="B30" s="283" t="s">
        <v>110</v>
      </c>
      <c r="C30" s="667" t="s">
        <v>527</v>
      </c>
      <c r="D30" s="123" t="s">
        <v>401</v>
      </c>
      <c r="E30" s="679"/>
      <c r="F30" s="529">
        <f>VLOOKUP(D30,'May14 Revenue'!D:V,19,FALSE)</f>
        <v>-64752.400000000023</v>
      </c>
      <c r="G30" s="680"/>
      <c r="H30" s="680"/>
      <c r="I30" s="755"/>
      <c r="J30" s="682">
        <f t="shared" si="0"/>
        <v>-64752.400000000023</v>
      </c>
      <c r="K30" s="683"/>
      <c r="L30" s="684">
        <v>35000</v>
      </c>
      <c r="M30" s="753">
        <v>950000</v>
      </c>
      <c r="N30" s="683">
        <v>0</v>
      </c>
      <c r="O30" s="686"/>
      <c r="P30" s="683">
        <v>0</v>
      </c>
      <c r="Q30" s="687">
        <f t="shared" si="1"/>
        <v>985000</v>
      </c>
      <c r="R30" s="687"/>
      <c r="S30" s="687"/>
      <c r="T30" s="688"/>
      <c r="U30" s="693"/>
      <c r="V30" s="690" t="str">
        <f t="shared" si="2"/>
        <v/>
      </c>
      <c r="W30" s="683"/>
      <c r="X30" s="474">
        <f t="shared" si="3"/>
        <v>985000</v>
      </c>
      <c r="Y30" s="474">
        <f t="shared" si="4"/>
        <v>0</v>
      </c>
      <c r="Z30" s="475">
        <f t="shared" si="5"/>
        <v>0</v>
      </c>
      <c r="AA30" s="475">
        <v>0</v>
      </c>
      <c r="AB30" s="476">
        <v>0</v>
      </c>
      <c r="AC30" s="38">
        <f t="shared" si="6"/>
        <v>0</v>
      </c>
      <c r="AD30" s="692">
        <f t="shared" si="7"/>
        <v>-64752.400000000023</v>
      </c>
      <c r="AE30" s="692">
        <f t="shared" si="8"/>
        <v>0</v>
      </c>
      <c r="AF30" s="692">
        <f t="shared" si="9"/>
        <v>0</v>
      </c>
      <c r="AG30" s="38"/>
      <c r="AH30" s="692">
        <f t="shared" si="10"/>
        <v>985000</v>
      </c>
      <c r="AI30" s="692">
        <f t="shared" si="11"/>
        <v>0</v>
      </c>
      <c r="AJ30" s="692">
        <f t="shared" si="12"/>
        <v>0</v>
      </c>
      <c r="AL30" s="38">
        <f t="shared" si="13"/>
        <v>920247.6</v>
      </c>
      <c r="AM30" s="123" t="s">
        <v>401</v>
      </c>
    </row>
    <row r="31" spans="1:39" s="232" customFormat="1">
      <c r="A31" s="283"/>
      <c r="B31" s="283" t="s">
        <v>110</v>
      </c>
      <c r="C31" s="667" t="s">
        <v>528</v>
      </c>
      <c r="D31" s="123" t="s">
        <v>403</v>
      </c>
      <c r="E31" s="679">
        <f>165754.71-327597.25</f>
        <v>-161842.54</v>
      </c>
      <c r="F31" s="529">
        <f>VLOOKUP(D31,'May14 Revenue'!D:V,19,FALSE)</f>
        <v>-74643.850000000006</v>
      </c>
      <c r="G31" s="680"/>
      <c r="H31" s="680"/>
      <c r="I31" s="755"/>
      <c r="J31" s="682">
        <f t="shared" si="0"/>
        <v>-236486.39</v>
      </c>
      <c r="K31" s="683"/>
      <c r="L31" s="684"/>
      <c r="M31" s="753">
        <v>185000</v>
      </c>
      <c r="N31" s="683">
        <v>0</v>
      </c>
      <c r="O31" s="686"/>
      <c r="P31" s="683">
        <v>0</v>
      </c>
      <c r="Q31" s="687">
        <f t="shared" si="1"/>
        <v>185000</v>
      </c>
      <c r="R31" s="687"/>
      <c r="S31" s="687"/>
      <c r="T31" s="688"/>
      <c r="U31" s="693"/>
      <c r="V31" s="690" t="str">
        <f t="shared" si="2"/>
        <v/>
      </c>
      <c r="W31" s="683"/>
      <c r="X31" s="474">
        <f t="shared" si="3"/>
        <v>185000</v>
      </c>
      <c r="Y31" s="474">
        <f t="shared" si="4"/>
        <v>0</v>
      </c>
      <c r="Z31" s="475">
        <f t="shared" si="5"/>
        <v>0</v>
      </c>
      <c r="AA31" s="475">
        <v>0</v>
      </c>
      <c r="AB31" s="476">
        <v>0</v>
      </c>
      <c r="AC31" s="38">
        <f t="shared" si="6"/>
        <v>0</v>
      </c>
      <c r="AD31" s="692">
        <f t="shared" si="7"/>
        <v>-236486.39</v>
      </c>
      <c r="AE31" s="692">
        <f t="shared" si="8"/>
        <v>0</v>
      </c>
      <c r="AF31" s="692">
        <f t="shared" si="9"/>
        <v>0</v>
      </c>
      <c r="AG31" s="38"/>
      <c r="AH31" s="692">
        <f t="shared" si="10"/>
        <v>185000</v>
      </c>
      <c r="AI31" s="692">
        <f t="shared" si="11"/>
        <v>0</v>
      </c>
      <c r="AJ31" s="692">
        <f t="shared" si="12"/>
        <v>0</v>
      </c>
      <c r="AL31" s="38">
        <f t="shared" si="13"/>
        <v>-51486.390000000014</v>
      </c>
      <c r="AM31" s="123" t="s">
        <v>403</v>
      </c>
    </row>
    <row r="32" spans="1:39" s="232" customFormat="1">
      <c r="A32" s="283"/>
      <c r="B32" s="283" t="s">
        <v>110</v>
      </c>
      <c r="C32" s="667" t="s">
        <v>528</v>
      </c>
      <c r="D32" s="123" t="s">
        <v>404</v>
      </c>
      <c r="E32" s="679"/>
      <c r="F32" s="529">
        <f>VLOOKUP(D32,'May14 Revenue'!D:V,19,FALSE)</f>
        <v>17690.130000000005</v>
      </c>
      <c r="G32" s="680"/>
      <c r="H32" s="680"/>
      <c r="I32" s="755"/>
      <c r="J32" s="682">
        <f t="shared" si="0"/>
        <v>17690.130000000005</v>
      </c>
      <c r="K32" s="683"/>
      <c r="L32" s="684"/>
      <c r="M32" s="753">
        <v>185000</v>
      </c>
      <c r="N32" s="683">
        <v>0</v>
      </c>
      <c r="O32" s="686"/>
      <c r="P32" s="683">
        <v>0</v>
      </c>
      <c r="Q32" s="687">
        <f t="shared" si="1"/>
        <v>185000</v>
      </c>
      <c r="R32" s="687"/>
      <c r="S32" s="687"/>
      <c r="T32" s="688"/>
      <c r="U32" s="693"/>
      <c r="V32" s="690" t="str">
        <f t="shared" si="2"/>
        <v/>
      </c>
      <c r="W32" s="683"/>
      <c r="X32" s="474">
        <f t="shared" si="3"/>
        <v>185000</v>
      </c>
      <c r="Y32" s="474">
        <f t="shared" si="4"/>
        <v>0</v>
      </c>
      <c r="Z32" s="475">
        <f t="shared" si="5"/>
        <v>0</v>
      </c>
      <c r="AA32" s="475">
        <v>0</v>
      </c>
      <c r="AB32" s="476">
        <v>0</v>
      </c>
      <c r="AC32" s="38">
        <f t="shared" si="6"/>
        <v>0</v>
      </c>
      <c r="AD32" s="692">
        <f t="shared" si="7"/>
        <v>17690.130000000005</v>
      </c>
      <c r="AE32" s="692">
        <f t="shared" si="8"/>
        <v>0</v>
      </c>
      <c r="AF32" s="692">
        <f t="shared" si="9"/>
        <v>0</v>
      </c>
      <c r="AG32" s="38"/>
      <c r="AH32" s="692">
        <f t="shared" si="10"/>
        <v>185000</v>
      </c>
      <c r="AI32" s="692">
        <f t="shared" si="11"/>
        <v>0</v>
      </c>
      <c r="AJ32" s="692">
        <f t="shared" si="12"/>
        <v>0</v>
      </c>
      <c r="AL32" s="38">
        <f t="shared" si="13"/>
        <v>202690.13</v>
      </c>
      <c r="AM32" s="123" t="s">
        <v>404</v>
      </c>
    </row>
    <row r="33" spans="1:39" s="232" customFormat="1">
      <c r="A33" s="283"/>
      <c r="B33" s="283" t="s">
        <v>110</v>
      </c>
      <c r="C33" s="667" t="s">
        <v>528</v>
      </c>
      <c r="D33" s="123" t="s">
        <v>405</v>
      </c>
      <c r="E33" s="679"/>
      <c r="F33" s="529">
        <f>VLOOKUP(D33,'May14 Revenue'!D:V,19,FALSE)</f>
        <v>68.020000000000437</v>
      </c>
      <c r="G33" s="680"/>
      <c r="H33" s="680"/>
      <c r="I33" s="755"/>
      <c r="J33" s="682">
        <f t="shared" si="0"/>
        <v>68.020000000000437</v>
      </c>
      <c r="K33" s="683"/>
      <c r="L33" s="684"/>
      <c r="M33" s="753">
        <v>30000</v>
      </c>
      <c r="N33" s="683">
        <v>0</v>
      </c>
      <c r="O33" s="686"/>
      <c r="P33" s="683">
        <v>0</v>
      </c>
      <c r="Q33" s="687">
        <f t="shared" si="1"/>
        <v>30000</v>
      </c>
      <c r="R33" s="687"/>
      <c r="S33" s="687"/>
      <c r="T33" s="688"/>
      <c r="U33" s="693"/>
      <c r="V33" s="690" t="str">
        <f t="shared" si="2"/>
        <v/>
      </c>
      <c r="W33" s="683"/>
      <c r="X33" s="474">
        <f t="shared" si="3"/>
        <v>30000</v>
      </c>
      <c r="Y33" s="474">
        <f t="shared" si="4"/>
        <v>0</v>
      </c>
      <c r="Z33" s="475">
        <f t="shared" si="5"/>
        <v>0</v>
      </c>
      <c r="AA33" s="475">
        <v>0</v>
      </c>
      <c r="AB33" s="476">
        <v>0</v>
      </c>
      <c r="AC33" s="38">
        <f t="shared" si="6"/>
        <v>0</v>
      </c>
      <c r="AD33" s="692">
        <f t="shared" si="7"/>
        <v>68.020000000000437</v>
      </c>
      <c r="AE33" s="692">
        <f t="shared" si="8"/>
        <v>0</v>
      </c>
      <c r="AF33" s="692">
        <f t="shared" si="9"/>
        <v>0</v>
      </c>
      <c r="AG33" s="38"/>
      <c r="AH33" s="692">
        <f t="shared" si="10"/>
        <v>30000</v>
      </c>
      <c r="AI33" s="692">
        <f t="shared" si="11"/>
        <v>0</v>
      </c>
      <c r="AJ33" s="692">
        <f t="shared" si="12"/>
        <v>0</v>
      </c>
      <c r="AL33" s="38">
        <f t="shared" si="13"/>
        <v>30068.02</v>
      </c>
      <c r="AM33" s="123" t="s">
        <v>405</v>
      </c>
    </row>
    <row r="34" spans="1:39" s="232" customFormat="1">
      <c r="A34" s="283"/>
      <c r="B34" s="283" t="s">
        <v>110</v>
      </c>
      <c r="C34" s="667" t="s">
        <v>528</v>
      </c>
      <c r="D34" s="123" t="s">
        <v>406</v>
      </c>
      <c r="E34" s="679"/>
      <c r="F34" s="529">
        <f>VLOOKUP(D34,'May14 Revenue'!D:V,19,FALSE)</f>
        <v>-121.55999999999949</v>
      </c>
      <c r="G34" s="680"/>
      <c r="H34" s="680"/>
      <c r="I34" s="755"/>
      <c r="J34" s="682">
        <f t="shared" si="0"/>
        <v>-121.55999999999949</v>
      </c>
      <c r="K34" s="683"/>
      <c r="L34" s="684"/>
      <c r="M34" s="753">
        <v>15000</v>
      </c>
      <c r="N34" s="683">
        <v>0</v>
      </c>
      <c r="O34" s="686"/>
      <c r="P34" s="683">
        <v>0</v>
      </c>
      <c r="Q34" s="687">
        <f t="shared" si="1"/>
        <v>15000</v>
      </c>
      <c r="R34" s="687"/>
      <c r="S34" s="687"/>
      <c r="T34" s="688"/>
      <c r="U34" s="693"/>
      <c r="V34" s="690" t="str">
        <f t="shared" si="2"/>
        <v/>
      </c>
      <c r="W34" s="683"/>
      <c r="X34" s="474">
        <f t="shared" si="3"/>
        <v>15000</v>
      </c>
      <c r="Y34" s="474">
        <f t="shared" si="4"/>
        <v>0</v>
      </c>
      <c r="Z34" s="475">
        <f t="shared" si="5"/>
        <v>0</v>
      </c>
      <c r="AA34" s="475">
        <v>0</v>
      </c>
      <c r="AB34" s="476">
        <v>0</v>
      </c>
      <c r="AC34" s="38">
        <f t="shared" si="6"/>
        <v>0</v>
      </c>
      <c r="AD34" s="692">
        <f t="shared" si="7"/>
        <v>-121.55999999999949</v>
      </c>
      <c r="AE34" s="692">
        <f t="shared" si="8"/>
        <v>0</v>
      </c>
      <c r="AF34" s="692">
        <f t="shared" si="9"/>
        <v>0</v>
      </c>
      <c r="AG34" s="38"/>
      <c r="AH34" s="692">
        <f t="shared" si="10"/>
        <v>15000</v>
      </c>
      <c r="AI34" s="692">
        <f t="shared" si="11"/>
        <v>0</v>
      </c>
      <c r="AJ34" s="692">
        <f t="shared" si="12"/>
        <v>0</v>
      </c>
      <c r="AL34" s="38">
        <f t="shared" si="13"/>
        <v>14878.44</v>
      </c>
      <c r="AM34" s="123" t="s">
        <v>406</v>
      </c>
    </row>
    <row r="35" spans="1:39" s="232" customFormat="1">
      <c r="A35" s="283"/>
      <c r="B35" s="283" t="s">
        <v>110</v>
      </c>
      <c r="C35" s="667" t="s">
        <v>528</v>
      </c>
      <c r="D35" s="123" t="s">
        <v>407</v>
      </c>
      <c r="E35" s="679"/>
      <c r="F35" s="529">
        <f>VLOOKUP(D35,'May14 Revenue'!D:V,19,FALSE)</f>
        <v>946.30000000000018</v>
      </c>
      <c r="G35" s="680"/>
      <c r="H35" s="680"/>
      <c r="I35" s="755"/>
      <c r="J35" s="682">
        <f t="shared" si="0"/>
        <v>946.30000000000018</v>
      </c>
      <c r="K35" s="683"/>
      <c r="L35" s="684"/>
      <c r="M35" s="753">
        <v>5000</v>
      </c>
      <c r="N35" s="683">
        <v>0</v>
      </c>
      <c r="O35" s="686"/>
      <c r="P35" s="683">
        <v>0</v>
      </c>
      <c r="Q35" s="687">
        <f t="shared" si="1"/>
        <v>5000</v>
      </c>
      <c r="R35" s="687"/>
      <c r="S35" s="687"/>
      <c r="T35" s="688"/>
      <c r="U35" s="693"/>
      <c r="V35" s="690" t="str">
        <f t="shared" si="2"/>
        <v/>
      </c>
      <c r="W35" s="683"/>
      <c r="X35" s="474">
        <f t="shared" si="3"/>
        <v>5000</v>
      </c>
      <c r="Y35" s="474">
        <f t="shared" si="4"/>
        <v>0</v>
      </c>
      <c r="Z35" s="475">
        <f t="shared" si="5"/>
        <v>0</v>
      </c>
      <c r="AA35" s="475">
        <v>0</v>
      </c>
      <c r="AB35" s="476">
        <v>0</v>
      </c>
      <c r="AC35" s="38">
        <f t="shared" si="6"/>
        <v>0</v>
      </c>
      <c r="AD35" s="692">
        <f t="shared" si="7"/>
        <v>946.30000000000018</v>
      </c>
      <c r="AE35" s="692">
        <f t="shared" si="8"/>
        <v>0</v>
      </c>
      <c r="AF35" s="692">
        <f t="shared" si="9"/>
        <v>0</v>
      </c>
      <c r="AG35" s="38"/>
      <c r="AH35" s="692">
        <f t="shared" si="10"/>
        <v>5000</v>
      </c>
      <c r="AI35" s="692">
        <f t="shared" si="11"/>
        <v>0</v>
      </c>
      <c r="AJ35" s="692">
        <f t="shared" si="12"/>
        <v>0</v>
      </c>
      <c r="AL35" s="38">
        <f t="shared" si="13"/>
        <v>5946.3</v>
      </c>
      <c r="AM35" s="123" t="s">
        <v>407</v>
      </c>
    </row>
    <row r="36" spans="1:39" s="232" customFormat="1">
      <c r="A36" s="283"/>
      <c r="B36" s="283" t="s">
        <v>110</v>
      </c>
      <c r="C36" s="667" t="s">
        <v>528</v>
      </c>
      <c r="D36" s="123" t="s">
        <v>880</v>
      </c>
      <c r="E36" s="679"/>
      <c r="F36" s="529">
        <f>VLOOKUP(D36,'May14 Revenue'!D:V,19,FALSE)</f>
        <v>1363.3999999999996</v>
      </c>
      <c r="G36" s="680"/>
      <c r="H36" s="680"/>
      <c r="I36" s="755"/>
      <c r="J36" s="682">
        <f t="shared" si="0"/>
        <v>1363.3999999999996</v>
      </c>
      <c r="K36" s="683"/>
      <c r="L36" s="684"/>
      <c r="M36" s="753">
        <v>5000</v>
      </c>
      <c r="N36" s="683">
        <v>0</v>
      </c>
      <c r="O36" s="686"/>
      <c r="P36" s="683">
        <v>0</v>
      </c>
      <c r="Q36" s="687">
        <f t="shared" si="1"/>
        <v>5000</v>
      </c>
      <c r="R36" s="687"/>
      <c r="S36" s="687"/>
      <c r="T36" s="688"/>
      <c r="U36" s="693"/>
      <c r="V36" s="690" t="str">
        <f t="shared" si="2"/>
        <v/>
      </c>
      <c r="W36" s="683"/>
      <c r="X36" s="474">
        <f t="shared" si="3"/>
        <v>5000</v>
      </c>
      <c r="Y36" s="474">
        <f t="shared" si="4"/>
        <v>0</v>
      </c>
      <c r="Z36" s="475">
        <f t="shared" si="5"/>
        <v>0</v>
      </c>
      <c r="AA36" s="475">
        <v>0</v>
      </c>
      <c r="AB36" s="476">
        <v>0</v>
      </c>
      <c r="AC36" s="38">
        <f t="shared" si="6"/>
        <v>0</v>
      </c>
      <c r="AD36" s="692">
        <f t="shared" si="7"/>
        <v>1363.3999999999996</v>
      </c>
      <c r="AE36" s="692">
        <f t="shared" si="8"/>
        <v>0</v>
      </c>
      <c r="AF36" s="692">
        <f t="shared" si="9"/>
        <v>0</v>
      </c>
      <c r="AG36" s="38"/>
      <c r="AH36" s="692">
        <f t="shared" si="10"/>
        <v>5000</v>
      </c>
      <c r="AI36" s="692">
        <f t="shared" si="11"/>
        <v>0</v>
      </c>
      <c r="AJ36" s="692">
        <f t="shared" si="12"/>
        <v>0</v>
      </c>
      <c r="AL36" s="38">
        <f t="shared" si="13"/>
        <v>6363.4</v>
      </c>
      <c r="AM36" s="123" t="s">
        <v>880</v>
      </c>
    </row>
    <row r="37" spans="1:39" s="232" customFormat="1">
      <c r="A37" s="283"/>
      <c r="B37" s="283" t="s">
        <v>110</v>
      </c>
      <c r="C37" s="667" t="s">
        <v>528</v>
      </c>
      <c r="D37" s="123" t="s">
        <v>881</v>
      </c>
      <c r="E37" s="679"/>
      <c r="F37" s="529">
        <f>VLOOKUP(D37,'May14 Revenue'!D:V,19,FALSE)</f>
        <v>-737.25</v>
      </c>
      <c r="G37" s="680"/>
      <c r="H37" s="680"/>
      <c r="I37" s="755"/>
      <c r="J37" s="682">
        <f t="shared" si="0"/>
        <v>-737.25</v>
      </c>
      <c r="K37" s="683"/>
      <c r="L37" s="684"/>
      <c r="M37" s="753">
        <v>5000</v>
      </c>
      <c r="N37" s="683">
        <v>0</v>
      </c>
      <c r="O37" s="686"/>
      <c r="P37" s="683">
        <v>0</v>
      </c>
      <c r="Q37" s="687">
        <f t="shared" si="1"/>
        <v>5000</v>
      </c>
      <c r="R37" s="687"/>
      <c r="S37" s="687"/>
      <c r="T37" s="688"/>
      <c r="U37" s="693"/>
      <c r="V37" s="690" t="str">
        <f t="shared" si="2"/>
        <v/>
      </c>
      <c r="W37" s="683"/>
      <c r="X37" s="474">
        <f t="shared" si="3"/>
        <v>5000</v>
      </c>
      <c r="Y37" s="474">
        <f t="shared" si="4"/>
        <v>0</v>
      </c>
      <c r="Z37" s="475">
        <f t="shared" si="5"/>
        <v>0</v>
      </c>
      <c r="AA37" s="475">
        <v>0</v>
      </c>
      <c r="AB37" s="476">
        <v>0</v>
      </c>
      <c r="AC37" s="38">
        <f t="shared" si="6"/>
        <v>0</v>
      </c>
      <c r="AD37" s="692">
        <f t="shared" si="7"/>
        <v>-737.25</v>
      </c>
      <c r="AE37" s="692">
        <f t="shared" si="8"/>
        <v>0</v>
      </c>
      <c r="AF37" s="692">
        <f t="shared" si="9"/>
        <v>0</v>
      </c>
      <c r="AG37" s="38"/>
      <c r="AH37" s="692">
        <f t="shared" si="10"/>
        <v>5000</v>
      </c>
      <c r="AI37" s="692">
        <f t="shared" si="11"/>
        <v>0</v>
      </c>
      <c r="AJ37" s="692">
        <f t="shared" si="12"/>
        <v>0</v>
      </c>
      <c r="AL37" s="38">
        <f t="shared" si="13"/>
        <v>4262.75</v>
      </c>
      <c r="AM37" s="123" t="s">
        <v>881</v>
      </c>
    </row>
    <row r="38" spans="1:39" s="232" customFormat="1">
      <c r="A38" s="283"/>
      <c r="B38" s="283" t="s">
        <v>110</v>
      </c>
      <c r="C38" s="667" t="s">
        <v>528</v>
      </c>
      <c r="D38" s="123" t="s">
        <v>820</v>
      </c>
      <c r="E38" s="679"/>
      <c r="F38" s="529">
        <f>VLOOKUP(D38,'May14 Revenue'!D:V,19,FALSE)</f>
        <v>-1275.2099999999991</v>
      </c>
      <c r="G38" s="680"/>
      <c r="H38" s="680"/>
      <c r="I38" s="755"/>
      <c r="J38" s="682">
        <f t="shared" si="0"/>
        <v>-1275.2099999999991</v>
      </c>
      <c r="K38" s="683"/>
      <c r="L38" s="684"/>
      <c r="M38" s="753">
        <v>30000</v>
      </c>
      <c r="N38" s="683">
        <v>0</v>
      </c>
      <c r="O38" s="686"/>
      <c r="P38" s="683">
        <v>0</v>
      </c>
      <c r="Q38" s="687">
        <f t="shared" si="1"/>
        <v>30000</v>
      </c>
      <c r="R38" s="687"/>
      <c r="S38" s="687"/>
      <c r="T38" s="688"/>
      <c r="U38" s="693"/>
      <c r="V38" s="690" t="str">
        <f t="shared" si="2"/>
        <v/>
      </c>
      <c r="W38" s="683"/>
      <c r="X38" s="474">
        <f t="shared" si="3"/>
        <v>30000</v>
      </c>
      <c r="Y38" s="474">
        <f t="shared" si="4"/>
        <v>0</v>
      </c>
      <c r="Z38" s="475">
        <f t="shared" si="5"/>
        <v>0</v>
      </c>
      <c r="AA38" s="475">
        <v>0</v>
      </c>
      <c r="AB38" s="476">
        <v>0</v>
      </c>
      <c r="AC38" s="38">
        <f t="shared" si="6"/>
        <v>0</v>
      </c>
      <c r="AD38" s="692">
        <f t="shared" si="7"/>
        <v>-1275.2099999999991</v>
      </c>
      <c r="AE38" s="692">
        <f t="shared" si="8"/>
        <v>0</v>
      </c>
      <c r="AF38" s="692">
        <f t="shared" si="9"/>
        <v>0</v>
      </c>
      <c r="AG38" s="38"/>
      <c r="AH38" s="692">
        <f t="shared" si="10"/>
        <v>30000</v>
      </c>
      <c r="AI38" s="692">
        <f t="shared" si="11"/>
        <v>0</v>
      </c>
      <c r="AJ38" s="692">
        <f t="shared" si="12"/>
        <v>0</v>
      </c>
      <c r="AL38" s="38">
        <f t="shared" si="13"/>
        <v>28724.79</v>
      </c>
      <c r="AM38" s="123" t="s">
        <v>820</v>
      </c>
    </row>
    <row r="39" spans="1:39" s="232" customFormat="1">
      <c r="A39" s="283"/>
      <c r="B39" s="283" t="s">
        <v>110</v>
      </c>
      <c r="C39" s="667" t="s">
        <v>527</v>
      </c>
      <c r="D39" s="123" t="s">
        <v>460</v>
      </c>
      <c r="E39" s="679"/>
      <c r="F39" s="529">
        <f>VLOOKUP(D39,'May14 Revenue'!D:V,19,FALSE)</f>
        <v>0</v>
      </c>
      <c r="G39" s="680"/>
      <c r="H39" s="680"/>
      <c r="I39" s="770">
        <v>37722.97</v>
      </c>
      <c r="J39" s="682">
        <f t="shared" si="0"/>
        <v>37722.97</v>
      </c>
      <c r="K39" s="683"/>
      <c r="L39" s="684"/>
      <c r="M39" s="753"/>
      <c r="N39" s="683">
        <v>0</v>
      </c>
      <c r="O39" s="686"/>
      <c r="P39" s="683">
        <v>0</v>
      </c>
      <c r="Q39" s="687">
        <f t="shared" si="1"/>
        <v>0</v>
      </c>
      <c r="R39" s="687"/>
      <c r="S39" s="687"/>
      <c r="T39" s="688"/>
      <c r="U39" s="693"/>
      <c r="V39" s="690" t="str">
        <f t="shared" si="2"/>
        <v/>
      </c>
      <c r="W39" s="683"/>
      <c r="X39" s="474">
        <f t="shared" si="3"/>
        <v>0</v>
      </c>
      <c r="Y39" s="474">
        <f t="shared" si="4"/>
        <v>0</v>
      </c>
      <c r="Z39" s="475">
        <f t="shared" si="5"/>
        <v>0</v>
      </c>
      <c r="AA39" s="475">
        <v>0</v>
      </c>
      <c r="AB39" s="476">
        <v>0</v>
      </c>
      <c r="AC39" s="38">
        <f t="shared" si="6"/>
        <v>0</v>
      </c>
      <c r="AD39" s="692">
        <f t="shared" si="7"/>
        <v>37722.97</v>
      </c>
      <c r="AE39" s="692">
        <f t="shared" si="8"/>
        <v>0</v>
      </c>
      <c r="AF39" s="692">
        <f t="shared" si="9"/>
        <v>0</v>
      </c>
      <c r="AG39" s="38"/>
      <c r="AH39" s="692">
        <f t="shared" si="10"/>
        <v>0</v>
      </c>
      <c r="AI39" s="692">
        <f t="shared" si="11"/>
        <v>0</v>
      </c>
      <c r="AJ39" s="692">
        <f t="shared" si="12"/>
        <v>0</v>
      </c>
      <c r="AL39" s="38">
        <f t="shared" si="13"/>
        <v>37722.97</v>
      </c>
      <c r="AM39" s="123" t="s">
        <v>460</v>
      </c>
    </row>
    <row r="40" spans="1:39" s="232" customFormat="1">
      <c r="A40" s="283"/>
      <c r="B40" s="283" t="s">
        <v>110</v>
      </c>
      <c r="C40" s="676" t="s">
        <v>528</v>
      </c>
      <c r="D40" s="123" t="s">
        <v>623</v>
      </c>
      <c r="E40" s="679"/>
      <c r="F40" s="529">
        <f>VLOOKUP(D40,'May14 Revenue'!D:V,19,FALSE)</f>
        <v>0</v>
      </c>
      <c r="G40" s="680"/>
      <c r="H40" s="680"/>
      <c r="I40" s="770">
        <v>7344.89</v>
      </c>
      <c r="J40" s="682">
        <f t="shared" si="0"/>
        <v>7344.89</v>
      </c>
      <c r="K40" s="683"/>
      <c r="L40" s="684"/>
      <c r="M40" s="753"/>
      <c r="N40" s="683">
        <v>0</v>
      </c>
      <c r="O40" s="686"/>
      <c r="P40" s="683">
        <v>0</v>
      </c>
      <c r="Q40" s="687">
        <f t="shared" si="1"/>
        <v>0</v>
      </c>
      <c r="R40" s="687"/>
      <c r="S40" s="687"/>
      <c r="T40" s="688"/>
      <c r="U40" s="693"/>
      <c r="V40" s="690" t="str">
        <f t="shared" si="2"/>
        <v/>
      </c>
      <c r="W40" s="683"/>
      <c r="X40" s="474">
        <f t="shared" si="3"/>
        <v>0</v>
      </c>
      <c r="Y40" s="474">
        <f t="shared" si="4"/>
        <v>0</v>
      </c>
      <c r="Z40" s="475">
        <f t="shared" si="5"/>
        <v>0</v>
      </c>
      <c r="AA40" s="475">
        <v>0</v>
      </c>
      <c r="AB40" s="476">
        <v>0</v>
      </c>
      <c r="AC40" s="38">
        <f t="shared" si="6"/>
        <v>0</v>
      </c>
      <c r="AD40" s="692">
        <f t="shared" si="7"/>
        <v>7344.89</v>
      </c>
      <c r="AE40" s="692">
        <f t="shared" si="8"/>
        <v>0</v>
      </c>
      <c r="AF40" s="692">
        <f t="shared" si="9"/>
        <v>0</v>
      </c>
      <c r="AG40" s="38"/>
      <c r="AH40" s="692">
        <f t="shared" si="10"/>
        <v>0</v>
      </c>
      <c r="AI40" s="692">
        <f t="shared" si="11"/>
        <v>0</v>
      </c>
      <c r="AJ40" s="692">
        <f t="shared" si="12"/>
        <v>0</v>
      </c>
      <c r="AL40" s="38">
        <f t="shared" si="13"/>
        <v>7344.89</v>
      </c>
      <c r="AM40" s="123" t="s">
        <v>623</v>
      </c>
    </row>
    <row r="41" spans="1:39" s="232" customFormat="1">
      <c r="A41" s="403"/>
      <c r="B41" s="403" t="s">
        <v>114</v>
      </c>
      <c r="C41" s="675" t="s">
        <v>527</v>
      </c>
      <c r="D41" s="123" t="s">
        <v>1054</v>
      </c>
      <c r="E41" s="679"/>
      <c r="F41" s="529">
        <f>VLOOKUP(D41,'May14 Revenue'!D:V,19,FALSE)</f>
        <v>2307.9000000000015</v>
      </c>
      <c r="G41" s="680"/>
      <c r="H41" s="680"/>
      <c r="I41" s="755"/>
      <c r="J41" s="682">
        <f t="shared" si="0"/>
        <v>2307.9000000000015</v>
      </c>
      <c r="K41" s="683"/>
      <c r="L41" s="684"/>
      <c r="M41" s="753">
        <v>20000</v>
      </c>
      <c r="N41" s="683">
        <v>0</v>
      </c>
      <c r="O41" s="686"/>
      <c r="P41" s="683">
        <v>0</v>
      </c>
      <c r="Q41" s="687">
        <f t="shared" si="1"/>
        <v>20000</v>
      </c>
      <c r="R41" s="687"/>
      <c r="S41" s="687"/>
      <c r="T41" s="688"/>
      <c r="U41" s="693"/>
      <c r="V41" s="690" t="str">
        <f t="shared" si="2"/>
        <v/>
      </c>
      <c r="W41" s="683"/>
      <c r="X41" s="474">
        <f t="shared" si="3"/>
        <v>0</v>
      </c>
      <c r="Y41" s="474">
        <f t="shared" si="4"/>
        <v>0</v>
      </c>
      <c r="Z41" s="475">
        <f t="shared" si="5"/>
        <v>20000</v>
      </c>
      <c r="AA41" s="475">
        <v>0</v>
      </c>
      <c r="AB41" s="476">
        <v>0</v>
      </c>
      <c r="AC41" s="38">
        <f t="shared" si="6"/>
        <v>0</v>
      </c>
      <c r="AD41" s="692">
        <f t="shared" si="7"/>
        <v>0</v>
      </c>
      <c r="AE41" s="692">
        <f t="shared" si="8"/>
        <v>0</v>
      </c>
      <c r="AF41" s="692">
        <f t="shared" si="9"/>
        <v>2307.9000000000015</v>
      </c>
      <c r="AG41" s="38"/>
      <c r="AH41" s="692">
        <f t="shared" si="10"/>
        <v>0</v>
      </c>
      <c r="AI41" s="692">
        <f t="shared" si="11"/>
        <v>0</v>
      </c>
      <c r="AJ41" s="692">
        <f t="shared" si="12"/>
        <v>20000</v>
      </c>
      <c r="AL41" s="38">
        <f t="shared" si="13"/>
        <v>22307.9</v>
      </c>
      <c r="AM41" s="123" t="s">
        <v>108</v>
      </c>
    </row>
    <row r="42" spans="1:39" s="232" customFormat="1">
      <c r="A42" s="403"/>
      <c r="B42" s="403" t="s">
        <v>114</v>
      </c>
      <c r="C42" s="666" t="s">
        <v>529</v>
      </c>
      <c r="D42" s="123" t="s">
        <v>108</v>
      </c>
      <c r="E42" s="679"/>
      <c r="F42" s="529">
        <f>VLOOKUP(D42,'May14 Revenue'!D:V,19,FALSE)</f>
        <v>1159.7299999999996</v>
      </c>
      <c r="G42" s="680"/>
      <c r="H42" s="680"/>
      <c r="I42" s="755"/>
      <c r="J42" s="682">
        <f t="shared" si="0"/>
        <v>1159.7299999999996</v>
      </c>
      <c r="K42" s="683"/>
      <c r="L42" s="684"/>
      <c r="M42" s="753">
        <v>25000</v>
      </c>
      <c r="N42" s="683">
        <v>0</v>
      </c>
      <c r="O42" s="686"/>
      <c r="P42" s="683">
        <v>0</v>
      </c>
      <c r="Q42" s="687">
        <f t="shared" si="1"/>
        <v>25000</v>
      </c>
      <c r="R42" s="687"/>
      <c r="S42" s="687"/>
      <c r="T42" s="688"/>
      <c r="U42" s="693"/>
      <c r="V42" s="690" t="str">
        <f t="shared" si="2"/>
        <v/>
      </c>
      <c r="W42" s="683"/>
      <c r="X42" s="474">
        <f t="shared" si="3"/>
        <v>0</v>
      </c>
      <c r="Y42" s="474">
        <f t="shared" si="4"/>
        <v>0</v>
      </c>
      <c r="Z42" s="475">
        <f t="shared" si="5"/>
        <v>25000</v>
      </c>
      <c r="AA42" s="475">
        <v>0</v>
      </c>
      <c r="AB42" s="476">
        <v>0</v>
      </c>
      <c r="AC42" s="38">
        <f t="shared" si="6"/>
        <v>0</v>
      </c>
      <c r="AD42" s="692">
        <f t="shared" si="7"/>
        <v>0</v>
      </c>
      <c r="AE42" s="692">
        <f t="shared" si="8"/>
        <v>0</v>
      </c>
      <c r="AF42" s="692">
        <f t="shared" si="9"/>
        <v>1159.7299999999996</v>
      </c>
      <c r="AG42" s="38"/>
      <c r="AH42" s="692">
        <f t="shared" si="10"/>
        <v>0</v>
      </c>
      <c r="AI42" s="692">
        <f t="shared" si="11"/>
        <v>0</v>
      </c>
      <c r="AJ42" s="692">
        <f t="shared" si="12"/>
        <v>25000</v>
      </c>
      <c r="AL42" s="38">
        <f t="shared" si="13"/>
        <v>26159.73</v>
      </c>
      <c r="AM42" s="123" t="s">
        <v>108</v>
      </c>
    </row>
    <row r="43" spans="1:39" s="232" customFormat="1">
      <c r="A43" s="403"/>
      <c r="B43" s="403" t="s">
        <v>110</v>
      </c>
      <c r="C43" s="666"/>
      <c r="D43" s="123" t="s">
        <v>911</v>
      </c>
      <c r="E43" s="679"/>
      <c r="F43" s="529">
        <f>VLOOKUP(D43,'May14 Revenue'!D:V,19,FALSE)</f>
        <v>1076.1599999999999</v>
      </c>
      <c r="G43" s="680"/>
      <c r="H43" s="680"/>
      <c r="I43" s="755"/>
      <c r="J43" s="682">
        <f t="shared" si="0"/>
        <v>1076.1599999999999</v>
      </c>
      <c r="K43" s="683"/>
      <c r="L43" s="684"/>
      <c r="M43" s="753">
        <v>15000</v>
      </c>
      <c r="N43" s="683">
        <v>0</v>
      </c>
      <c r="O43" s="686"/>
      <c r="P43" s="683">
        <v>0</v>
      </c>
      <c r="Q43" s="687">
        <f t="shared" si="1"/>
        <v>15000</v>
      </c>
      <c r="R43" s="687"/>
      <c r="S43" s="687"/>
      <c r="T43" s="688"/>
      <c r="U43" s="693"/>
      <c r="V43" s="690" t="str">
        <f t="shared" si="2"/>
        <v/>
      </c>
      <c r="W43" s="683"/>
      <c r="X43" s="474">
        <f t="shared" si="3"/>
        <v>15000</v>
      </c>
      <c r="Y43" s="474">
        <f t="shared" si="4"/>
        <v>0</v>
      </c>
      <c r="Z43" s="475">
        <f t="shared" si="5"/>
        <v>0</v>
      </c>
      <c r="AA43" s="475">
        <v>0</v>
      </c>
      <c r="AB43" s="476">
        <v>0</v>
      </c>
      <c r="AC43" s="38">
        <f t="shared" si="6"/>
        <v>0</v>
      </c>
      <c r="AD43" s="692">
        <f t="shared" si="7"/>
        <v>1076.1599999999999</v>
      </c>
      <c r="AE43" s="692">
        <f t="shared" si="8"/>
        <v>0</v>
      </c>
      <c r="AF43" s="692">
        <f t="shared" si="9"/>
        <v>0</v>
      </c>
      <c r="AG43" s="38"/>
      <c r="AH43" s="692">
        <f t="shared" si="10"/>
        <v>15000</v>
      </c>
      <c r="AI43" s="692">
        <f t="shared" si="11"/>
        <v>0</v>
      </c>
      <c r="AJ43" s="692">
        <f t="shared" si="12"/>
        <v>0</v>
      </c>
      <c r="AL43" s="38">
        <f t="shared" si="13"/>
        <v>16076.16</v>
      </c>
      <c r="AM43" s="123" t="s">
        <v>911</v>
      </c>
    </row>
    <row r="44" spans="1:39">
      <c r="A44" s="21"/>
      <c r="B44" s="21" t="s">
        <v>110</v>
      </c>
      <c r="C44" s="666"/>
      <c r="D44" s="68" t="s">
        <v>234</v>
      </c>
      <c r="E44" s="679"/>
      <c r="F44" s="529">
        <f>VLOOKUP(D44,'May14 Revenue'!D:V,19,FALSE)</f>
        <v>-22000</v>
      </c>
      <c r="G44" s="680"/>
      <c r="H44" s="680"/>
      <c r="I44" s="755"/>
      <c r="J44" s="682">
        <f t="shared" si="0"/>
        <v>-22000</v>
      </c>
      <c r="K44" s="683"/>
      <c r="L44" s="684"/>
      <c r="M44" s="753">
        <v>24000</v>
      </c>
      <c r="N44" s="683">
        <v>0</v>
      </c>
      <c r="O44" s="686"/>
      <c r="P44" s="683">
        <v>0</v>
      </c>
      <c r="Q44" s="687">
        <f t="shared" si="1"/>
        <v>24000</v>
      </c>
      <c r="R44" s="687"/>
      <c r="S44" s="687"/>
      <c r="T44" s="688"/>
      <c r="U44" s="693"/>
      <c r="V44" s="690"/>
      <c r="W44" s="683"/>
      <c r="X44" s="474">
        <f t="shared" si="3"/>
        <v>24000</v>
      </c>
      <c r="Y44" s="474">
        <f t="shared" si="4"/>
        <v>0</v>
      </c>
      <c r="Z44" s="475">
        <f t="shared" si="5"/>
        <v>0</v>
      </c>
      <c r="AA44" s="475">
        <v>0</v>
      </c>
      <c r="AB44" s="476">
        <v>0</v>
      </c>
      <c r="AC44" s="38">
        <f t="shared" si="6"/>
        <v>0</v>
      </c>
      <c r="AD44" s="692">
        <f t="shared" si="7"/>
        <v>-22000</v>
      </c>
      <c r="AE44" s="692">
        <f t="shared" si="8"/>
        <v>0</v>
      </c>
      <c r="AF44" s="692">
        <f t="shared" si="9"/>
        <v>0</v>
      </c>
      <c r="AG44" s="38"/>
      <c r="AH44" s="692">
        <f t="shared" si="10"/>
        <v>24000</v>
      </c>
      <c r="AI44" s="692">
        <f t="shared" si="11"/>
        <v>0</v>
      </c>
      <c r="AJ44" s="692">
        <f t="shared" si="12"/>
        <v>0</v>
      </c>
      <c r="AL44" s="38">
        <f t="shared" si="13"/>
        <v>2000</v>
      </c>
      <c r="AM44" s="68" t="s">
        <v>234</v>
      </c>
    </row>
    <row r="45" spans="1:39">
      <c r="A45" s="20"/>
      <c r="B45" s="20" t="s">
        <v>109</v>
      </c>
      <c r="C45" s="667"/>
      <c r="D45" s="68" t="s">
        <v>598</v>
      </c>
      <c r="E45" s="679">
        <f>1484.37+2053.69+2162.94</f>
        <v>5701</v>
      </c>
      <c r="F45" s="529">
        <f>VLOOKUP(D45,'May14 Revenue'!D:V,19,FALSE)</f>
        <v>0</v>
      </c>
      <c r="G45" s="680"/>
      <c r="H45" s="680"/>
      <c r="I45" s="755"/>
      <c r="J45" s="682">
        <f t="shared" si="0"/>
        <v>5701</v>
      </c>
      <c r="K45" s="683"/>
      <c r="L45" s="684"/>
      <c r="M45" s="753"/>
      <c r="N45" s="683">
        <v>0</v>
      </c>
      <c r="O45" s="686"/>
      <c r="P45" s="683">
        <v>0</v>
      </c>
      <c r="Q45" s="687">
        <f t="shared" si="1"/>
        <v>0</v>
      </c>
      <c r="R45" s="687"/>
      <c r="S45" s="687"/>
      <c r="T45" s="688"/>
      <c r="U45" s="693"/>
      <c r="V45" s="690" t="str">
        <f t="shared" si="2"/>
        <v/>
      </c>
      <c r="W45" s="683"/>
      <c r="X45" s="474">
        <f t="shared" si="3"/>
        <v>0</v>
      </c>
      <c r="Y45" s="474">
        <f t="shared" si="4"/>
        <v>0</v>
      </c>
      <c r="Z45" s="475">
        <f t="shared" si="5"/>
        <v>0</v>
      </c>
      <c r="AA45" s="475">
        <v>0</v>
      </c>
      <c r="AB45" s="476">
        <v>0</v>
      </c>
      <c r="AC45" s="38">
        <f t="shared" si="6"/>
        <v>0</v>
      </c>
      <c r="AD45" s="692">
        <f t="shared" si="7"/>
        <v>0</v>
      </c>
      <c r="AE45" s="692">
        <f t="shared" si="8"/>
        <v>5701</v>
      </c>
      <c r="AF45" s="692">
        <f t="shared" si="9"/>
        <v>0</v>
      </c>
      <c r="AG45" s="38"/>
      <c r="AH45" s="692">
        <f t="shared" si="10"/>
        <v>0</v>
      </c>
      <c r="AI45" s="692">
        <f t="shared" si="11"/>
        <v>0</v>
      </c>
      <c r="AJ45" s="692">
        <f t="shared" si="12"/>
        <v>0</v>
      </c>
      <c r="AL45" s="38">
        <f t="shared" si="13"/>
        <v>5701</v>
      </c>
      <c r="AM45" s="68" t="s">
        <v>598</v>
      </c>
    </row>
    <row r="46" spans="1:39">
      <c r="A46" s="20"/>
      <c r="B46" s="20" t="s">
        <v>110</v>
      </c>
      <c r="C46" s="667"/>
      <c r="D46" s="68" t="s">
        <v>311</v>
      </c>
      <c r="E46" s="679"/>
      <c r="F46" s="529">
        <f>VLOOKUP(D46,'May14 Revenue'!D:V,19,FALSE)</f>
        <v>0</v>
      </c>
      <c r="G46" s="680"/>
      <c r="H46" s="680"/>
      <c r="I46" s="755"/>
      <c r="J46" s="682">
        <f t="shared" si="0"/>
        <v>0</v>
      </c>
      <c r="K46" s="683"/>
      <c r="L46" s="684"/>
      <c r="M46" s="753"/>
      <c r="N46" s="683">
        <v>0</v>
      </c>
      <c r="O46" s="686"/>
      <c r="P46" s="683">
        <v>0</v>
      </c>
      <c r="Q46" s="687">
        <f t="shared" si="1"/>
        <v>0</v>
      </c>
      <c r="R46" s="687"/>
      <c r="S46" s="687"/>
      <c r="T46" s="688"/>
      <c r="U46" s="693"/>
      <c r="V46" s="690" t="str">
        <f t="shared" si="2"/>
        <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c r="AM46" s="68" t="s">
        <v>311</v>
      </c>
    </row>
    <row r="47" spans="1:39">
      <c r="A47" s="20"/>
      <c r="B47" s="20" t="s">
        <v>110</v>
      </c>
      <c r="C47" s="667"/>
      <c r="D47" s="68" t="s">
        <v>451</v>
      </c>
      <c r="E47" s="679">
        <f>1246.62+1365.59+1414.71+1263.15</f>
        <v>5290.07</v>
      </c>
      <c r="F47" s="529">
        <f>VLOOKUP(D47,'May14 Revenue'!D:V,19,FALSE)</f>
        <v>-22414.92</v>
      </c>
      <c r="G47" s="680"/>
      <c r="H47" s="680"/>
      <c r="I47" s="755"/>
      <c r="J47" s="682">
        <f t="shared" si="0"/>
        <v>-17124.849999999999</v>
      </c>
      <c r="K47" s="683"/>
      <c r="L47" s="684"/>
      <c r="M47" s="753">
        <v>85000</v>
      </c>
      <c r="N47" s="683">
        <v>0</v>
      </c>
      <c r="O47" s="686"/>
      <c r="P47" s="683">
        <v>0</v>
      </c>
      <c r="Q47" s="687">
        <f t="shared" si="1"/>
        <v>85000</v>
      </c>
      <c r="R47" s="687"/>
      <c r="S47" s="687"/>
      <c r="T47" s="688"/>
      <c r="U47" s="693"/>
      <c r="V47" s="690" t="str">
        <f t="shared" si="2"/>
        <v/>
      </c>
      <c r="W47" s="683"/>
      <c r="X47" s="474">
        <f t="shared" si="3"/>
        <v>85000</v>
      </c>
      <c r="Y47" s="474">
        <f t="shared" si="4"/>
        <v>0</v>
      </c>
      <c r="Z47" s="475">
        <f t="shared" si="5"/>
        <v>0</v>
      </c>
      <c r="AA47" s="475">
        <v>0</v>
      </c>
      <c r="AB47" s="476">
        <v>0</v>
      </c>
      <c r="AC47" s="38">
        <f t="shared" si="6"/>
        <v>0</v>
      </c>
      <c r="AD47" s="692">
        <f t="shared" si="7"/>
        <v>-17124.849999999999</v>
      </c>
      <c r="AE47" s="692">
        <f t="shared" si="8"/>
        <v>0</v>
      </c>
      <c r="AF47" s="692">
        <f t="shared" si="9"/>
        <v>0</v>
      </c>
      <c r="AG47" s="38"/>
      <c r="AH47" s="692">
        <f t="shared" si="10"/>
        <v>85000</v>
      </c>
      <c r="AI47" s="692">
        <f t="shared" si="11"/>
        <v>0</v>
      </c>
      <c r="AJ47" s="692">
        <f t="shared" si="12"/>
        <v>0</v>
      </c>
      <c r="AL47" s="38">
        <f t="shared" si="13"/>
        <v>67875.149999999994</v>
      </c>
      <c r="AM47" s="68" t="s">
        <v>451</v>
      </c>
    </row>
    <row r="48" spans="1:39">
      <c r="A48" s="20"/>
      <c r="B48" s="20" t="s">
        <v>109</v>
      </c>
      <c r="C48" s="667"/>
      <c r="D48" s="68" t="s">
        <v>469</v>
      </c>
      <c r="E48" s="679"/>
      <c r="F48" s="529">
        <f>VLOOKUP(D48,'May14 Revenue'!D:V,19,FALSE)</f>
        <v>0</v>
      </c>
      <c r="G48" s="680"/>
      <c r="H48" s="680"/>
      <c r="I48" s="755"/>
      <c r="J48" s="682">
        <f t="shared" si="0"/>
        <v>0</v>
      </c>
      <c r="K48" s="683"/>
      <c r="L48" s="684"/>
      <c r="M48" s="753"/>
      <c r="N48" s="683">
        <v>0</v>
      </c>
      <c r="O48" s="686"/>
      <c r="P48" s="683">
        <v>0</v>
      </c>
      <c r="Q48" s="687">
        <f t="shared" si="1"/>
        <v>0</v>
      </c>
      <c r="R48" s="687"/>
      <c r="S48" s="687"/>
      <c r="T48" s="688"/>
      <c r="U48" s="693"/>
      <c r="V48" s="690" t="str">
        <f t="shared" si="2"/>
        <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c r="AM48" s="68" t="s">
        <v>469</v>
      </c>
    </row>
    <row r="49" spans="1:39">
      <c r="A49" s="20"/>
      <c r="B49" s="20" t="s">
        <v>110</v>
      </c>
      <c r="C49" s="667" t="s">
        <v>530</v>
      </c>
      <c r="D49" s="68" t="s">
        <v>69</v>
      </c>
      <c r="E49" s="679"/>
      <c r="F49" s="529">
        <f>VLOOKUP(D49,'May14 Revenue'!D:V,19,FALSE)</f>
        <v>0</v>
      </c>
      <c r="G49" s="680"/>
      <c r="H49" s="680"/>
      <c r="I49" s="755"/>
      <c r="J49" s="682">
        <f t="shared" si="0"/>
        <v>0</v>
      </c>
      <c r="K49" s="683"/>
      <c r="L49" s="684"/>
      <c r="M49" s="753"/>
      <c r="N49" s="683">
        <v>0</v>
      </c>
      <c r="O49" s="686"/>
      <c r="P49" s="683">
        <v>0</v>
      </c>
      <c r="Q49" s="687">
        <f t="shared" si="1"/>
        <v>0</v>
      </c>
      <c r="R49" s="687"/>
      <c r="S49" s="687"/>
      <c r="T49" s="688"/>
      <c r="U49" s="693"/>
      <c r="V49" s="690" t="str">
        <f t="shared" si="2"/>
        <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69</v>
      </c>
    </row>
    <row r="50" spans="1:39" hidden="1">
      <c r="A50" s="20"/>
      <c r="B50" s="20" t="s">
        <v>110</v>
      </c>
      <c r="C50" s="667" t="s">
        <v>531</v>
      </c>
      <c r="D50" s="68" t="s">
        <v>237</v>
      </c>
      <c r="E50" s="679"/>
      <c r="F50" s="529">
        <f>VLOOKUP(D50,'May14 Revenue'!D:V,19,FALSE)</f>
        <v>0</v>
      </c>
      <c r="G50" s="680"/>
      <c r="H50" s="680"/>
      <c r="I50" s="755"/>
      <c r="J50" s="682">
        <f t="shared" si="0"/>
        <v>0</v>
      </c>
      <c r="K50" s="683"/>
      <c r="L50" s="684"/>
      <c r="M50" s="753"/>
      <c r="N50" s="683">
        <v>0</v>
      </c>
      <c r="O50" s="686"/>
      <c r="P50" s="683">
        <v>0</v>
      </c>
      <c r="Q50" s="687">
        <f t="shared" si="1"/>
        <v>0</v>
      </c>
      <c r="R50" s="687"/>
      <c r="S50" s="687"/>
      <c r="T50" s="688"/>
      <c r="U50" s="693"/>
      <c r="V50" s="690" t="str">
        <f t="shared" si="2"/>
        <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c r="AM50" s="68" t="s">
        <v>237</v>
      </c>
    </row>
    <row r="51" spans="1:39">
      <c r="A51" s="20" t="s">
        <v>211</v>
      </c>
      <c r="B51" s="20" t="s">
        <v>110</v>
      </c>
      <c r="C51" s="667" t="s">
        <v>532</v>
      </c>
      <c r="D51" s="68" t="s">
        <v>7</v>
      </c>
      <c r="E51" s="679"/>
      <c r="F51" s="529">
        <f>VLOOKUP(D51,'May14 Revenue'!D:V,19,FALSE)</f>
        <v>-60000</v>
      </c>
      <c r="G51" s="680"/>
      <c r="H51" s="680"/>
      <c r="I51" s="755"/>
      <c r="J51" s="682">
        <f t="shared" si="0"/>
        <v>-60000</v>
      </c>
      <c r="K51" s="683"/>
      <c r="L51" s="684"/>
      <c r="M51" s="753">
        <v>90000</v>
      </c>
      <c r="N51" s="683">
        <v>0</v>
      </c>
      <c r="O51" s="686"/>
      <c r="P51" s="683">
        <v>0</v>
      </c>
      <c r="Q51" s="687">
        <f t="shared" si="1"/>
        <v>90000</v>
      </c>
      <c r="R51" s="687"/>
      <c r="S51" s="687"/>
      <c r="T51" s="688"/>
      <c r="U51" s="693"/>
      <c r="V51" s="690" t="str">
        <f t="shared" si="2"/>
        <v/>
      </c>
      <c r="W51" s="697"/>
      <c r="X51" s="474">
        <f t="shared" si="3"/>
        <v>90000</v>
      </c>
      <c r="Y51" s="474">
        <f t="shared" si="4"/>
        <v>0</v>
      </c>
      <c r="Z51" s="475">
        <f t="shared" si="5"/>
        <v>0</v>
      </c>
      <c r="AA51" s="475">
        <v>0</v>
      </c>
      <c r="AB51" s="476">
        <v>0</v>
      </c>
      <c r="AC51" s="38">
        <f t="shared" si="6"/>
        <v>0</v>
      </c>
      <c r="AD51" s="692">
        <f t="shared" si="7"/>
        <v>-60000</v>
      </c>
      <c r="AE51" s="692">
        <f t="shared" si="8"/>
        <v>0</v>
      </c>
      <c r="AF51" s="692">
        <f t="shared" si="9"/>
        <v>0</v>
      </c>
      <c r="AG51" s="38"/>
      <c r="AH51" s="692">
        <f t="shared" si="10"/>
        <v>90000</v>
      </c>
      <c r="AI51" s="692">
        <f t="shared" si="11"/>
        <v>0</v>
      </c>
      <c r="AJ51" s="692">
        <f t="shared" si="12"/>
        <v>0</v>
      </c>
      <c r="AL51" s="38">
        <f t="shared" si="13"/>
        <v>30000</v>
      </c>
      <c r="AM51" s="68" t="s">
        <v>7</v>
      </c>
    </row>
    <row r="52" spans="1:39" s="24" customFormat="1">
      <c r="A52" s="32"/>
      <c r="B52" s="32" t="s">
        <v>109</v>
      </c>
      <c r="C52" s="676" t="s">
        <v>1094</v>
      </c>
      <c r="D52" s="351" t="s">
        <v>1071</v>
      </c>
      <c r="E52" s="832"/>
      <c r="F52" s="529">
        <f>VLOOKUP(D52,'May14 Revenue'!D:V,19,FALSE)</f>
        <v>20706.79</v>
      </c>
      <c r="G52" s="680"/>
      <c r="H52" s="680"/>
      <c r="I52" s="755"/>
      <c r="J52" s="703">
        <f t="shared" si="0"/>
        <v>20706.79</v>
      </c>
      <c r="K52" s="698"/>
      <c r="L52" s="833"/>
      <c r="M52" s="834">
        <v>50000</v>
      </c>
      <c r="N52" s="698">
        <v>0</v>
      </c>
      <c r="O52" s="699"/>
      <c r="P52" s="698">
        <v>0</v>
      </c>
      <c r="Q52" s="700">
        <f t="shared" si="1"/>
        <v>50000</v>
      </c>
      <c r="R52" s="700"/>
      <c r="S52" s="700"/>
      <c r="T52" s="688"/>
      <c r="U52" s="701"/>
      <c r="V52" s="702" t="str">
        <f t="shared" si="2"/>
        <v/>
      </c>
      <c r="W52" s="698"/>
      <c r="X52" s="474">
        <f t="shared" si="3"/>
        <v>0</v>
      </c>
      <c r="Y52" s="474">
        <f t="shared" si="4"/>
        <v>50000</v>
      </c>
      <c r="Z52" s="475">
        <f t="shared" si="5"/>
        <v>0</v>
      </c>
      <c r="AA52" s="475">
        <v>0</v>
      </c>
      <c r="AB52" s="476">
        <v>0</v>
      </c>
      <c r="AC52" s="169">
        <f t="shared" si="6"/>
        <v>0</v>
      </c>
      <c r="AD52" s="692">
        <f t="shared" si="7"/>
        <v>0</v>
      </c>
      <c r="AE52" s="692">
        <f t="shared" si="8"/>
        <v>20706.79</v>
      </c>
      <c r="AF52" s="692">
        <f t="shared" si="9"/>
        <v>0</v>
      </c>
      <c r="AG52" s="169"/>
      <c r="AH52" s="692">
        <f t="shared" si="10"/>
        <v>0</v>
      </c>
      <c r="AI52" s="692">
        <f t="shared" si="11"/>
        <v>50000</v>
      </c>
      <c r="AJ52" s="692">
        <f t="shared" si="12"/>
        <v>0</v>
      </c>
      <c r="AL52" s="169">
        <f t="shared" si="13"/>
        <v>70706.790000000008</v>
      </c>
      <c r="AM52" s="68" t="s">
        <v>1070</v>
      </c>
    </row>
    <row r="53" spans="1:39" s="232" customFormat="1" hidden="1">
      <c r="A53" s="283"/>
      <c r="B53" s="283" t="s">
        <v>109</v>
      </c>
      <c r="C53" s="667" t="s">
        <v>533</v>
      </c>
      <c r="D53" s="123" t="s">
        <v>416</v>
      </c>
      <c r="E53" s="679"/>
      <c r="F53" s="529">
        <f>VLOOKUP(D53,'May14 Revenue'!D:V,19,FALSE)</f>
        <v>0</v>
      </c>
      <c r="G53" s="680"/>
      <c r="H53" s="680"/>
      <c r="I53" s="755"/>
      <c r="J53" s="682">
        <f t="shared" si="0"/>
        <v>0</v>
      </c>
      <c r="K53" s="683"/>
      <c r="L53" s="684"/>
      <c r="M53" s="753"/>
      <c r="N53" s="683">
        <v>0</v>
      </c>
      <c r="O53" s="686"/>
      <c r="P53" s="683">
        <v>0</v>
      </c>
      <c r="Q53" s="687">
        <f t="shared" si="1"/>
        <v>0</v>
      </c>
      <c r="R53" s="687"/>
      <c r="S53" s="687"/>
      <c r="T53" s="688"/>
      <c r="U53" s="693"/>
      <c r="V53" s="690" t="str">
        <f t="shared" si="2"/>
        <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416</v>
      </c>
    </row>
    <row r="54" spans="1:39" s="232" customFormat="1" hidden="1">
      <c r="A54" s="283"/>
      <c r="B54" s="283" t="s">
        <v>109</v>
      </c>
      <c r="C54" s="667" t="s">
        <v>533</v>
      </c>
      <c r="D54" s="123" t="s">
        <v>417</v>
      </c>
      <c r="E54" s="679"/>
      <c r="F54" s="529">
        <f>VLOOKUP(D54,'May14 Revenue'!D:V,19,FALSE)</f>
        <v>0</v>
      </c>
      <c r="G54" s="680"/>
      <c r="H54" s="680"/>
      <c r="I54" s="755"/>
      <c r="J54" s="682">
        <f t="shared" si="0"/>
        <v>0</v>
      </c>
      <c r="K54" s="683"/>
      <c r="L54" s="684"/>
      <c r="M54" s="753"/>
      <c r="N54" s="683">
        <v>0</v>
      </c>
      <c r="O54" s="686"/>
      <c r="P54" s="683">
        <v>0</v>
      </c>
      <c r="Q54" s="687">
        <f t="shared" si="1"/>
        <v>0</v>
      </c>
      <c r="R54" s="687"/>
      <c r="S54" s="687"/>
      <c r="T54" s="688"/>
      <c r="U54" s="693"/>
      <c r="V54" s="690" t="str">
        <f t="shared" si="2"/>
        <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417</v>
      </c>
    </row>
    <row r="55" spans="1:39" s="232" customFormat="1" hidden="1">
      <c r="A55" s="283"/>
      <c r="B55" s="283" t="s">
        <v>109</v>
      </c>
      <c r="C55" s="667" t="s">
        <v>533</v>
      </c>
      <c r="D55" s="123" t="s">
        <v>418</v>
      </c>
      <c r="E55" s="679"/>
      <c r="F55" s="529">
        <f>VLOOKUP(D55,'May14 Revenue'!D:V,19,FALSE)</f>
        <v>0</v>
      </c>
      <c r="G55" s="680"/>
      <c r="H55" s="680"/>
      <c r="I55" s="755"/>
      <c r="J55" s="682">
        <f t="shared" si="0"/>
        <v>0</v>
      </c>
      <c r="K55" s="683"/>
      <c r="L55" s="684"/>
      <c r="M55" s="753"/>
      <c r="N55" s="683">
        <v>0</v>
      </c>
      <c r="O55" s="686"/>
      <c r="P55" s="683">
        <v>0</v>
      </c>
      <c r="Q55" s="687">
        <f t="shared" si="1"/>
        <v>0</v>
      </c>
      <c r="R55" s="687"/>
      <c r="S55" s="687"/>
      <c r="T55" s="688"/>
      <c r="U55" s="693"/>
      <c r="V55" s="690" t="str">
        <f t="shared" si="2"/>
        <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c r="AM55" s="123" t="s">
        <v>418</v>
      </c>
    </row>
    <row r="56" spans="1:39">
      <c r="A56" s="20"/>
      <c r="B56" s="20" t="s">
        <v>110</v>
      </c>
      <c r="C56" s="667"/>
      <c r="D56" s="68" t="s">
        <v>992</v>
      </c>
      <c r="E56" s="679"/>
      <c r="F56" s="529">
        <f>VLOOKUP(D56,'May14 Revenue'!D:V,19,FALSE)</f>
        <v>2063.7399999999998</v>
      </c>
      <c r="G56" s="680"/>
      <c r="H56" s="680"/>
      <c r="I56" s="755"/>
      <c r="J56" s="682">
        <f t="shared" si="0"/>
        <v>2063.7399999999998</v>
      </c>
      <c r="K56" s="683"/>
      <c r="L56" s="684"/>
      <c r="M56" s="753"/>
      <c r="N56" s="683">
        <v>0</v>
      </c>
      <c r="O56" s="686"/>
      <c r="P56" s="683">
        <v>0</v>
      </c>
      <c r="Q56" s="687">
        <f t="shared" si="1"/>
        <v>0</v>
      </c>
      <c r="R56" s="687"/>
      <c r="S56" s="687"/>
      <c r="T56" s="688"/>
      <c r="U56" s="693"/>
      <c r="V56" s="690" t="str">
        <f t="shared" si="2"/>
        <v/>
      </c>
      <c r="W56" s="683"/>
      <c r="X56" s="474">
        <f t="shared" si="3"/>
        <v>0</v>
      </c>
      <c r="Y56" s="474">
        <f t="shared" si="4"/>
        <v>0</v>
      </c>
      <c r="Z56" s="475">
        <f t="shared" si="5"/>
        <v>0</v>
      </c>
      <c r="AA56" s="475">
        <v>0</v>
      </c>
      <c r="AB56" s="476">
        <v>0</v>
      </c>
      <c r="AC56" s="38">
        <f t="shared" si="6"/>
        <v>0</v>
      </c>
      <c r="AD56" s="692">
        <f t="shared" si="7"/>
        <v>2063.7399999999998</v>
      </c>
      <c r="AE56" s="692">
        <f t="shared" si="8"/>
        <v>0</v>
      </c>
      <c r="AF56" s="692">
        <f t="shared" si="9"/>
        <v>0</v>
      </c>
      <c r="AG56" s="38"/>
      <c r="AH56" s="692">
        <f t="shared" si="10"/>
        <v>0</v>
      </c>
      <c r="AI56" s="692">
        <f t="shared" si="11"/>
        <v>0</v>
      </c>
      <c r="AJ56" s="692">
        <f t="shared" si="12"/>
        <v>0</v>
      </c>
      <c r="AL56" s="38">
        <f t="shared" si="13"/>
        <v>2063.7399999999998</v>
      </c>
      <c r="AM56" s="68" t="s">
        <v>992</v>
      </c>
    </row>
    <row r="57" spans="1:39" s="232" customFormat="1">
      <c r="A57" s="283"/>
      <c r="B57" s="283" t="s">
        <v>110</v>
      </c>
      <c r="C57" s="676" t="s">
        <v>986</v>
      </c>
      <c r="D57" s="68" t="s">
        <v>987</v>
      </c>
      <c r="E57" s="679"/>
      <c r="F57" s="529">
        <f>VLOOKUP(D57,'May14 Revenue'!D:V,19,FALSE)</f>
        <v>3802.47</v>
      </c>
      <c r="G57" s="680"/>
      <c r="H57" s="680"/>
      <c r="I57" s="755"/>
      <c r="J57" s="682">
        <f t="shared" si="0"/>
        <v>3802.47</v>
      </c>
      <c r="K57" s="683"/>
      <c r="L57" s="684"/>
      <c r="M57" s="753"/>
      <c r="N57" s="683">
        <v>0</v>
      </c>
      <c r="O57" s="686"/>
      <c r="P57" s="683">
        <v>0</v>
      </c>
      <c r="Q57" s="687">
        <f t="shared" si="1"/>
        <v>0</v>
      </c>
      <c r="R57" s="687"/>
      <c r="S57" s="687"/>
      <c r="T57" s="688"/>
      <c r="U57" s="693"/>
      <c r="V57" s="690" t="str">
        <f t="shared" si="2"/>
        <v/>
      </c>
      <c r="W57" s="683"/>
      <c r="X57" s="474">
        <f t="shared" si="3"/>
        <v>0</v>
      </c>
      <c r="Y57" s="474">
        <f t="shared" si="4"/>
        <v>0</v>
      </c>
      <c r="Z57" s="475">
        <f t="shared" si="5"/>
        <v>0</v>
      </c>
      <c r="AA57" s="475">
        <v>0</v>
      </c>
      <c r="AB57" s="476">
        <v>0</v>
      </c>
      <c r="AC57" s="38">
        <f t="shared" si="6"/>
        <v>0</v>
      </c>
      <c r="AD57" s="692">
        <f t="shared" si="7"/>
        <v>3802.47</v>
      </c>
      <c r="AE57" s="692">
        <f t="shared" si="8"/>
        <v>0</v>
      </c>
      <c r="AF57" s="692">
        <f t="shared" si="9"/>
        <v>0</v>
      </c>
      <c r="AG57" s="38"/>
      <c r="AH57" s="692">
        <f t="shared" si="10"/>
        <v>0</v>
      </c>
      <c r="AI57" s="692">
        <f t="shared" si="11"/>
        <v>0</v>
      </c>
      <c r="AJ57" s="692">
        <f t="shared" si="12"/>
        <v>0</v>
      </c>
      <c r="AK57" s="16"/>
      <c r="AL57" s="38">
        <f t="shared" si="13"/>
        <v>3802.47</v>
      </c>
      <c r="AM57" s="68" t="s">
        <v>987</v>
      </c>
    </row>
    <row r="58" spans="1:39">
      <c r="A58" s="20" t="s">
        <v>211</v>
      </c>
      <c r="B58" s="20" t="s">
        <v>109</v>
      </c>
      <c r="C58" s="667" t="s">
        <v>534</v>
      </c>
      <c r="D58" s="68" t="s">
        <v>9</v>
      </c>
      <c r="E58" s="679"/>
      <c r="F58" s="529">
        <f>VLOOKUP(D58,'May14 Revenue'!D:V,19,FALSE)</f>
        <v>0</v>
      </c>
      <c r="G58" s="680"/>
      <c r="H58" s="680"/>
      <c r="I58" s="755"/>
      <c r="J58" s="682">
        <f>SUM(E58:I58)</f>
        <v>0</v>
      </c>
      <c r="K58" s="683"/>
      <c r="L58" s="684"/>
      <c r="M58" s="753"/>
      <c r="N58" s="683">
        <v>0</v>
      </c>
      <c r="O58" s="686"/>
      <c r="P58" s="683">
        <v>0</v>
      </c>
      <c r="Q58" s="687">
        <f t="shared" si="1"/>
        <v>0</v>
      </c>
      <c r="R58" s="687"/>
      <c r="S58" s="687"/>
      <c r="T58" s="688"/>
      <c r="U58" s="693"/>
      <c r="V58" s="690" t="str">
        <f t="shared" si="2"/>
        <v/>
      </c>
      <c r="W58" s="697"/>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c r="AM58" s="68" t="s">
        <v>9</v>
      </c>
    </row>
    <row r="59" spans="1:39">
      <c r="A59" s="20" t="s">
        <v>211</v>
      </c>
      <c r="B59" s="20" t="s">
        <v>110</v>
      </c>
      <c r="C59" s="667"/>
      <c r="D59" s="68" t="s">
        <v>1041</v>
      </c>
      <c r="E59" s="679"/>
      <c r="F59" s="529">
        <f>VLOOKUP(D59,'May14 Revenue'!D:V,19,FALSE)</f>
        <v>0</v>
      </c>
      <c r="G59" s="680"/>
      <c r="H59" s="680"/>
      <c r="I59" s="770">
        <v>1725.07</v>
      </c>
      <c r="J59" s="682">
        <f t="shared" si="0"/>
        <v>1725.07</v>
      </c>
      <c r="K59" s="683"/>
      <c r="L59" s="684"/>
      <c r="M59" s="753"/>
      <c r="N59" s="683">
        <v>0</v>
      </c>
      <c r="O59" s="686"/>
      <c r="P59" s="683">
        <v>0</v>
      </c>
      <c r="Q59" s="687">
        <f t="shared" si="1"/>
        <v>0</v>
      </c>
      <c r="R59" s="687"/>
      <c r="S59" s="687"/>
      <c r="T59" s="688"/>
      <c r="U59" s="693"/>
      <c r="V59" s="690" t="str">
        <f t="shared" si="2"/>
        <v/>
      </c>
      <c r="W59" s="683"/>
      <c r="X59" s="474">
        <f t="shared" si="3"/>
        <v>0</v>
      </c>
      <c r="Y59" s="474">
        <f t="shared" si="4"/>
        <v>0</v>
      </c>
      <c r="Z59" s="475">
        <f t="shared" si="5"/>
        <v>0</v>
      </c>
      <c r="AA59" s="475">
        <v>0</v>
      </c>
      <c r="AB59" s="476">
        <v>0</v>
      </c>
      <c r="AC59" s="38">
        <f t="shared" si="6"/>
        <v>0</v>
      </c>
      <c r="AD59" s="692">
        <f t="shared" si="7"/>
        <v>1725.07</v>
      </c>
      <c r="AE59" s="692">
        <f t="shared" si="8"/>
        <v>0</v>
      </c>
      <c r="AF59" s="692">
        <f t="shared" si="9"/>
        <v>0</v>
      </c>
      <c r="AG59" s="38"/>
      <c r="AH59" s="692">
        <f t="shared" si="10"/>
        <v>0</v>
      </c>
      <c r="AI59" s="692">
        <f t="shared" si="11"/>
        <v>0</v>
      </c>
      <c r="AJ59" s="692">
        <f t="shared" si="12"/>
        <v>0</v>
      </c>
      <c r="AL59" s="38">
        <f t="shared" si="13"/>
        <v>1725.07</v>
      </c>
      <c r="AM59" s="68" t="s">
        <v>487</v>
      </c>
    </row>
    <row r="60" spans="1:39">
      <c r="A60" s="20"/>
      <c r="B60" s="20" t="s">
        <v>109</v>
      </c>
      <c r="C60" s="676" t="s">
        <v>906</v>
      </c>
      <c r="D60" s="68" t="s">
        <v>830</v>
      </c>
      <c r="E60" s="679"/>
      <c r="F60" s="529">
        <f>VLOOKUP(D60,'May14 Revenue'!D:V,19,FALSE)</f>
        <v>0</v>
      </c>
      <c r="G60" s="680"/>
      <c r="H60" s="680"/>
      <c r="I60" s="770">
        <v>603388.31999999995</v>
      </c>
      <c r="J60" s="682">
        <f t="shared" si="0"/>
        <v>603388.31999999995</v>
      </c>
      <c r="K60" s="683"/>
      <c r="L60" s="684"/>
      <c r="M60" s="753"/>
      <c r="N60" s="683">
        <v>0</v>
      </c>
      <c r="O60" s="686"/>
      <c r="P60" s="683">
        <v>0</v>
      </c>
      <c r="Q60" s="687">
        <f t="shared" si="1"/>
        <v>0</v>
      </c>
      <c r="R60" s="687"/>
      <c r="S60" s="687"/>
      <c r="T60" s="688"/>
      <c r="U60" s="693"/>
      <c r="V60" s="690" t="str">
        <f t="shared" si="2"/>
        <v/>
      </c>
      <c r="W60" s="683"/>
      <c r="X60" s="474">
        <f t="shared" si="3"/>
        <v>0</v>
      </c>
      <c r="Y60" s="474">
        <f t="shared" si="4"/>
        <v>0</v>
      </c>
      <c r="Z60" s="475">
        <f t="shared" si="5"/>
        <v>0</v>
      </c>
      <c r="AA60" s="475">
        <v>0</v>
      </c>
      <c r="AB60" s="476">
        <v>0</v>
      </c>
      <c r="AC60" s="38">
        <f t="shared" si="6"/>
        <v>0</v>
      </c>
      <c r="AD60" s="692">
        <f t="shared" si="7"/>
        <v>0</v>
      </c>
      <c r="AE60" s="692">
        <f t="shared" si="8"/>
        <v>603388.31999999995</v>
      </c>
      <c r="AF60" s="692">
        <f t="shared" si="9"/>
        <v>0</v>
      </c>
      <c r="AG60" s="38"/>
      <c r="AH60" s="692">
        <f t="shared" si="10"/>
        <v>0</v>
      </c>
      <c r="AI60" s="692">
        <f t="shared" si="11"/>
        <v>0</v>
      </c>
      <c r="AJ60" s="692">
        <f t="shared" si="12"/>
        <v>0</v>
      </c>
      <c r="AL60" s="38">
        <f t="shared" si="13"/>
        <v>603388.31999999995</v>
      </c>
      <c r="AM60" s="68" t="s">
        <v>830</v>
      </c>
    </row>
    <row r="61" spans="1:39">
      <c r="A61" s="20"/>
      <c r="B61" s="20" t="s">
        <v>109</v>
      </c>
      <c r="C61" s="667"/>
      <c r="D61" s="68" t="s">
        <v>374</v>
      </c>
      <c r="E61" s="679"/>
      <c r="F61" s="529">
        <f>VLOOKUP(D61,'May14 Revenue'!D:V,19,FALSE)</f>
        <v>-9000</v>
      </c>
      <c r="G61" s="680"/>
      <c r="H61" s="680"/>
      <c r="I61" s="755"/>
      <c r="J61" s="682">
        <f t="shared" si="0"/>
        <v>-9000</v>
      </c>
      <c r="K61" s="683"/>
      <c r="L61" s="684"/>
      <c r="M61" s="753">
        <v>12000</v>
      </c>
      <c r="N61" s="683">
        <v>0</v>
      </c>
      <c r="O61" s="686"/>
      <c r="P61" s="683">
        <v>0</v>
      </c>
      <c r="Q61" s="687">
        <f t="shared" si="1"/>
        <v>12000</v>
      </c>
      <c r="R61" s="687"/>
      <c r="S61" s="687"/>
      <c r="T61" s="688"/>
      <c r="U61" s="693"/>
      <c r="V61" s="690" t="str">
        <f t="shared" si="2"/>
        <v/>
      </c>
      <c r="W61" s="683"/>
      <c r="X61" s="474">
        <f t="shared" si="3"/>
        <v>0</v>
      </c>
      <c r="Y61" s="474">
        <f t="shared" si="4"/>
        <v>12000</v>
      </c>
      <c r="Z61" s="475">
        <f t="shared" si="5"/>
        <v>0</v>
      </c>
      <c r="AA61" s="475">
        <v>0</v>
      </c>
      <c r="AB61" s="476">
        <v>0</v>
      </c>
      <c r="AC61" s="38">
        <f t="shared" si="6"/>
        <v>0</v>
      </c>
      <c r="AD61" s="692">
        <f t="shared" si="7"/>
        <v>0</v>
      </c>
      <c r="AE61" s="692">
        <f t="shared" si="8"/>
        <v>-9000</v>
      </c>
      <c r="AF61" s="692">
        <f t="shared" si="9"/>
        <v>0</v>
      </c>
      <c r="AG61" s="38"/>
      <c r="AH61" s="692">
        <f t="shared" si="10"/>
        <v>0</v>
      </c>
      <c r="AI61" s="692">
        <f t="shared" si="11"/>
        <v>12000</v>
      </c>
      <c r="AJ61" s="692">
        <f t="shared" si="12"/>
        <v>0</v>
      </c>
      <c r="AL61" s="38">
        <f t="shared" si="13"/>
        <v>3000</v>
      </c>
      <c r="AM61" s="68" t="s">
        <v>374</v>
      </c>
    </row>
    <row r="62" spans="1:39">
      <c r="A62" s="20"/>
      <c r="B62" s="20" t="s">
        <v>114</v>
      </c>
      <c r="C62" s="667"/>
      <c r="D62" s="68" t="s">
        <v>502</v>
      </c>
      <c r="E62" s="679"/>
      <c r="F62" s="529">
        <f>VLOOKUP(D62,'May14 Revenue'!D:V,19,FALSE)</f>
        <v>0</v>
      </c>
      <c r="G62" s="680"/>
      <c r="H62" s="680"/>
      <c r="I62" s="755"/>
      <c r="J62" s="682">
        <f t="shared" si="0"/>
        <v>0</v>
      </c>
      <c r="K62" s="683"/>
      <c r="L62" s="684"/>
      <c r="M62" s="753"/>
      <c r="N62" s="683">
        <v>0</v>
      </c>
      <c r="O62" s="686"/>
      <c r="P62" s="683">
        <v>0</v>
      </c>
      <c r="Q62" s="687">
        <f t="shared" si="1"/>
        <v>0</v>
      </c>
      <c r="R62" s="687"/>
      <c r="S62" s="687"/>
      <c r="T62" s="688"/>
      <c r="U62" s="693"/>
      <c r="V62" s="690" t="str">
        <f t="shared" si="2"/>
        <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c r="AM62" s="68" t="s">
        <v>502</v>
      </c>
    </row>
    <row r="63" spans="1:39">
      <c r="A63" s="21"/>
      <c r="B63" s="21" t="s">
        <v>110</v>
      </c>
      <c r="C63" s="666" t="s">
        <v>535</v>
      </c>
      <c r="D63" s="123" t="s">
        <v>517</v>
      </c>
      <c r="E63" s="679"/>
      <c r="F63" s="529">
        <f>VLOOKUP(D63,'May14 Revenue'!D:V,19,FALSE)</f>
        <v>23765.670000000042</v>
      </c>
      <c r="G63" s="680"/>
      <c r="H63" s="680"/>
      <c r="I63" s="755"/>
      <c r="J63" s="682">
        <f t="shared" si="0"/>
        <v>23765.670000000042</v>
      </c>
      <c r="K63" s="683"/>
      <c r="L63" s="684"/>
      <c r="M63" s="753">
        <v>575000</v>
      </c>
      <c r="N63" s="683">
        <v>0</v>
      </c>
      <c r="O63" s="686"/>
      <c r="P63" s="683">
        <v>0</v>
      </c>
      <c r="Q63" s="687">
        <f t="shared" si="1"/>
        <v>575000</v>
      </c>
      <c r="R63" s="687"/>
      <c r="S63" s="687"/>
      <c r="T63" s="688"/>
      <c r="U63" s="693"/>
      <c r="V63" s="690" t="str">
        <f t="shared" si="2"/>
        <v/>
      </c>
      <c r="W63" s="697"/>
      <c r="X63" s="474">
        <f t="shared" si="3"/>
        <v>575000</v>
      </c>
      <c r="Y63" s="474">
        <f t="shared" si="4"/>
        <v>0</v>
      </c>
      <c r="Z63" s="475">
        <f t="shared" si="5"/>
        <v>0</v>
      </c>
      <c r="AA63" s="475">
        <v>0</v>
      </c>
      <c r="AB63" s="476">
        <v>0</v>
      </c>
      <c r="AC63" s="38">
        <f t="shared" si="6"/>
        <v>0</v>
      </c>
      <c r="AD63" s="692">
        <f t="shared" si="7"/>
        <v>23765.670000000042</v>
      </c>
      <c r="AE63" s="692">
        <f t="shared" si="8"/>
        <v>0</v>
      </c>
      <c r="AF63" s="692">
        <f t="shared" si="9"/>
        <v>0</v>
      </c>
      <c r="AG63" s="38"/>
      <c r="AH63" s="692">
        <f t="shared" si="10"/>
        <v>575000</v>
      </c>
      <c r="AI63" s="692">
        <f t="shared" si="11"/>
        <v>0</v>
      </c>
      <c r="AJ63" s="692">
        <f t="shared" si="12"/>
        <v>0</v>
      </c>
      <c r="AL63" s="38">
        <f t="shared" si="13"/>
        <v>598765.67000000004</v>
      </c>
      <c r="AM63" s="123" t="s">
        <v>517</v>
      </c>
    </row>
    <row r="64" spans="1:39">
      <c r="A64" s="20"/>
      <c r="B64" s="20" t="s">
        <v>110</v>
      </c>
      <c r="C64" s="667" t="s">
        <v>536</v>
      </c>
      <c r="D64" s="68" t="s">
        <v>450</v>
      </c>
      <c r="E64" s="679">
        <f>2253.96+3598.42</f>
        <v>5852.38</v>
      </c>
      <c r="F64" s="529">
        <f>VLOOKUP(D64,'May14 Revenue'!D:V,19,FALSE)</f>
        <v>0</v>
      </c>
      <c r="G64" s="680"/>
      <c r="H64" s="680"/>
      <c r="I64" s="755"/>
      <c r="J64" s="682">
        <f t="shared" si="0"/>
        <v>5852.38</v>
      </c>
      <c r="K64" s="683"/>
      <c r="L64" s="684"/>
      <c r="M64" s="753"/>
      <c r="N64" s="683">
        <v>0</v>
      </c>
      <c r="O64" s="686"/>
      <c r="P64" s="683">
        <v>0</v>
      </c>
      <c r="Q64" s="687">
        <f t="shared" si="1"/>
        <v>0</v>
      </c>
      <c r="R64" s="687"/>
      <c r="S64" s="687"/>
      <c r="T64" s="688"/>
      <c r="U64" s="693"/>
      <c r="V64" s="690" t="str">
        <f t="shared" si="2"/>
        <v/>
      </c>
      <c r="W64" s="683"/>
      <c r="X64" s="474">
        <f t="shared" si="3"/>
        <v>0</v>
      </c>
      <c r="Y64" s="474">
        <f t="shared" si="4"/>
        <v>0</v>
      </c>
      <c r="Z64" s="475">
        <f t="shared" si="5"/>
        <v>0</v>
      </c>
      <c r="AA64" s="475">
        <v>0</v>
      </c>
      <c r="AB64" s="476">
        <v>0</v>
      </c>
      <c r="AC64" s="38">
        <f t="shared" si="6"/>
        <v>0</v>
      </c>
      <c r="AD64" s="692">
        <f t="shared" si="7"/>
        <v>5852.38</v>
      </c>
      <c r="AE64" s="692">
        <f t="shared" si="8"/>
        <v>0</v>
      </c>
      <c r="AF64" s="692">
        <f t="shared" si="9"/>
        <v>0</v>
      </c>
      <c r="AG64" s="38"/>
      <c r="AH64" s="692">
        <f t="shared" si="10"/>
        <v>0</v>
      </c>
      <c r="AI64" s="692">
        <f t="shared" si="11"/>
        <v>0</v>
      </c>
      <c r="AJ64" s="692">
        <f t="shared" si="12"/>
        <v>0</v>
      </c>
      <c r="AL64" s="38">
        <f t="shared" si="13"/>
        <v>5852.38</v>
      </c>
      <c r="AM64" s="68" t="s">
        <v>450</v>
      </c>
    </row>
    <row r="65" spans="1:39">
      <c r="A65" s="20"/>
      <c r="B65" s="20" t="s">
        <v>110</v>
      </c>
      <c r="C65" s="676"/>
      <c r="D65" s="68" t="s">
        <v>991</v>
      </c>
      <c r="E65" s="679"/>
      <c r="F65" s="529">
        <f>VLOOKUP(D65,'May14 Revenue'!D:V,19,FALSE)</f>
        <v>0</v>
      </c>
      <c r="G65" s="680"/>
      <c r="H65" s="680"/>
      <c r="I65" s="755"/>
      <c r="J65" s="682">
        <f t="shared" si="0"/>
        <v>0</v>
      </c>
      <c r="K65" s="683"/>
      <c r="L65" s="684"/>
      <c r="M65" s="753"/>
      <c r="N65" s="683">
        <v>0</v>
      </c>
      <c r="O65" s="686"/>
      <c r="P65" s="683">
        <v>0</v>
      </c>
      <c r="Q65" s="687">
        <f t="shared" si="1"/>
        <v>0</v>
      </c>
      <c r="R65" s="687"/>
      <c r="S65" s="687"/>
      <c r="T65" s="688"/>
      <c r="U65" s="693"/>
      <c r="V65" s="690" t="str">
        <f t="shared" si="2"/>
        <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c r="AM65" s="68" t="s">
        <v>991</v>
      </c>
    </row>
    <row r="66" spans="1:39">
      <c r="A66" s="20"/>
      <c r="B66" s="20" t="s">
        <v>110</v>
      </c>
      <c r="C66" s="676" t="s">
        <v>975</v>
      </c>
      <c r="D66" s="68" t="s">
        <v>976</v>
      </c>
      <c r="E66" s="679"/>
      <c r="F66" s="529">
        <f>VLOOKUP(D66,'May14 Revenue'!D:V,19,FALSE)</f>
        <v>1583.01</v>
      </c>
      <c r="G66" s="680"/>
      <c r="H66" s="680"/>
      <c r="I66" s="755"/>
      <c r="J66" s="682">
        <f t="shared" si="0"/>
        <v>1583.01</v>
      </c>
      <c r="K66" s="683"/>
      <c r="L66" s="684"/>
      <c r="M66" s="753"/>
      <c r="N66" s="683">
        <v>0</v>
      </c>
      <c r="O66" s="686"/>
      <c r="P66" s="683">
        <v>0</v>
      </c>
      <c r="Q66" s="687">
        <f t="shared" si="1"/>
        <v>0</v>
      </c>
      <c r="R66" s="687"/>
      <c r="S66" s="687"/>
      <c r="T66" s="688"/>
      <c r="U66" s="693"/>
      <c r="V66" s="690" t="str">
        <f t="shared" si="2"/>
        <v/>
      </c>
      <c r="W66" s="683"/>
      <c r="X66" s="474">
        <f t="shared" si="3"/>
        <v>0</v>
      </c>
      <c r="Y66" s="474">
        <f t="shared" si="4"/>
        <v>0</v>
      </c>
      <c r="Z66" s="475">
        <f t="shared" si="5"/>
        <v>0</v>
      </c>
      <c r="AA66" s="475">
        <v>0</v>
      </c>
      <c r="AB66" s="476">
        <v>0</v>
      </c>
      <c r="AC66" s="38">
        <f t="shared" si="6"/>
        <v>0</v>
      </c>
      <c r="AD66" s="692">
        <f t="shared" si="7"/>
        <v>1583.01</v>
      </c>
      <c r="AE66" s="692">
        <f t="shared" si="8"/>
        <v>0</v>
      </c>
      <c r="AF66" s="692">
        <f t="shared" si="9"/>
        <v>0</v>
      </c>
      <c r="AG66" s="38"/>
      <c r="AH66" s="692">
        <f t="shared" si="10"/>
        <v>0</v>
      </c>
      <c r="AI66" s="692">
        <f t="shared" si="11"/>
        <v>0</v>
      </c>
      <c r="AJ66" s="692">
        <f t="shared" si="12"/>
        <v>0</v>
      </c>
      <c r="AL66" s="38">
        <f t="shared" si="13"/>
        <v>1583.01</v>
      </c>
      <c r="AM66" s="68" t="s">
        <v>976</v>
      </c>
    </row>
    <row r="67" spans="1:39">
      <c r="A67" s="21" t="s">
        <v>109</v>
      </c>
      <c r="B67" s="21" t="s">
        <v>110</v>
      </c>
      <c r="C67" s="666"/>
      <c r="D67" s="68" t="s">
        <v>438</v>
      </c>
      <c r="E67" s="679"/>
      <c r="F67" s="529">
        <f>VLOOKUP(D67,'May14 Revenue'!D:V,19,FALSE)</f>
        <v>0</v>
      </c>
      <c r="G67" s="680"/>
      <c r="H67" s="680"/>
      <c r="I67" s="755"/>
      <c r="J67" s="682">
        <f t="shared" si="0"/>
        <v>0</v>
      </c>
      <c r="K67" s="683"/>
      <c r="L67" s="684"/>
      <c r="M67" s="753"/>
      <c r="N67" s="683">
        <v>0</v>
      </c>
      <c r="O67" s="686"/>
      <c r="P67" s="683">
        <v>0</v>
      </c>
      <c r="Q67" s="687">
        <f t="shared" si="1"/>
        <v>0</v>
      </c>
      <c r="R67" s="687"/>
      <c r="S67" s="687"/>
      <c r="T67" s="688"/>
      <c r="U67" s="693"/>
      <c r="V67" s="690" t="str">
        <f t="shared" si="2"/>
        <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438</v>
      </c>
    </row>
    <row r="68" spans="1:39">
      <c r="A68" s="21"/>
      <c r="B68" s="21" t="s">
        <v>110</v>
      </c>
      <c r="C68" s="666"/>
      <c r="D68" s="68" t="s">
        <v>628</v>
      </c>
      <c r="E68" s="679"/>
      <c r="F68" s="529">
        <f>VLOOKUP(D68,'May14 Revenue'!D:V,19,FALSE)</f>
        <v>0</v>
      </c>
      <c r="G68" s="680"/>
      <c r="H68" s="680"/>
      <c r="I68" s="755"/>
      <c r="J68" s="682">
        <f t="shared" si="0"/>
        <v>0</v>
      </c>
      <c r="K68" s="683"/>
      <c r="L68" s="684"/>
      <c r="M68" s="753"/>
      <c r="N68" s="683">
        <v>0</v>
      </c>
      <c r="O68" s="686"/>
      <c r="P68" s="683">
        <v>0</v>
      </c>
      <c r="Q68" s="687">
        <f t="shared" si="1"/>
        <v>0</v>
      </c>
      <c r="R68" s="687"/>
      <c r="S68" s="687"/>
      <c r="T68" s="688"/>
      <c r="U68" s="693"/>
      <c r="V68" s="690" t="str">
        <f t="shared" si="2"/>
        <v/>
      </c>
      <c r="W68" s="697"/>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628</v>
      </c>
    </row>
    <row r="69" spans="1:39">
      <c r="A69" s="21"/>
      <c r="B69" s="21" t="s">
        <v>110</v>
      </c>
      <c r="C69" s="666"/>
      <c r="D69" s="68" t="s">
        <v>956</v>
      </c>
      <c r="E69" s="679"/>
      <c r="F69" s="529">
        <f>VLOOKUP(D69,'May14 Revenue'!D:V,19,FALSE)</f>
        <v>0</v>
      </c>
      <c r="G69" s="680"/>
      <c r="H69" s="680"/>
      <c r="I69" s="755"/>
      <c r="J69" s="682">
        <f t="shared" si="0"/>
        <v>0</v>
      </c>
      <c r="K69" s="683"/>
      <c r="L69" s="684"/>
      <c r="M69" s="753"/>
      <c r="N69" s="683">
        <v>0</v>
      </c>
      <c r="O69" s="686"/>
      <c r="P69" s="683">
        <v>0</v>
      </c>
      <c r="Q69" s="687">
        <f t="shared" si="1"/>
        <v>0</v>
      </c>
      <c r="R69" s="687"/>
      <c r="S69" s="687"/>
      <c r="T69" s="688"/>
      <c r="U69" s="693"/>
      <c r="V69" s="690" t="str">
        <f t="shared" si="2"/>
        <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956</v>
      </c>
    </row>
    <row r="70" spans="1:39" s="232" customFormat="1">
      <c r="A70" s="283" t="s">
        <v>211</v>
      </c>
      <c r="B70" s="283" t="s">
        <v>110</v>
      </c>
      <c r="C70" s="667" t="s">
        <v>538</v>
      </c>
      <c r="D70" s="123" t="s">
        <v>170</v>
      </c>
      <c r="E70" s="679"/>
      <c r="F70" s="529">
        <f>VLOOKUP(D70,'May14 Revenue'!D:V,19,FALSE)</f>
        <v>-370000</v>
      </c>
      <c r="G70" s="680"/>
      <c r="H70" s="680"/>
      <c r="I70" s="770">
        <f>524326.51+5514.87</f>
        <v>529841.38</v>
      </c>
      <c r="J70" s="682">
        <f t="shared" si="0"/>
        <v>159841.38</v>
      </c>
      <c r="K70" s="683"/>
      <c r="L70" s="684"/>
      <c r="M70" s="753"/>
      <c r="N70" s="683">
        <v>0</v>
      </c>
      <c r="O70" s="686"/>
      <c r="P70" s="683">
        <v>0</v>
      </c>
      <c r="Q70" s="687">
        <f t="shared" si="1"/>
        <v>0</v>
      </c>
      <c r="R70" s="687"/>
      <c r="S70" s="687"/>
      <c r="T70" s="688"/>
      <c r="U70" s="693"/>
      <c r="V70" s="690" t="str">
        <f t="shared" si="2"/>
        <v/>
      </c>
      <c r="W70" s="683"/>
      <c r="X70" s="474">
        <f t="shared" si="3"/>
        <v>0</v>
      </c>
      <c r="Y70" s="474">
        <f t="shared" si="4"/>
        <v>0</v>
      </c>
      <c r="Z70" s="475">
        <f t="shared" si="5"/>
        <v>0</v>
      </c>
      <c r="AA70" s="475">
        <v>0</v>
      </c>
      <c r="AB70" s="476">
        <v>0</v>
      </c>
      <c r="AC70" s="38">
        <f t="shared" si="6"/>
        <v>0</v>
      </c>
      <c r="AD70" s="692">
        <f t="shared" si="7"/>
        <v>159841.38</v>
      </c>
      <c r="AE70" s="692">
        <f t="shared" si="8"/>
        <v>0</v>
      </c>
      <c r="AF70" s="692">
        <f t="shared" si="9"/>
        <v>0</v>
      </c>
      <c r="AG70" s="38"/>
      <c r="AH70" s="692">
        <f t="shared" si="10"/>
        <v>0</v>
      </c>
      <c r="AI70" s="692">
        <f t="shared" si="11"/>
        <v>0</v>
      </c>
      <c r="AJ70" s="692">
        <f t="shared" si="12"/>
        <v>0</v>
      </c>
      <c r="AL70" s="38">
        <f t="shared" si="13"/>
        <v>159841.38</v>
      </c>
      <c r="AM70" s="123" t="s">
        <v>170</v>
      </c>
    </row>
    <row r="71" spans="1:39" s="232" customFormat="1">
      <c r="A71" s="283" t="s">
        <v>211</v>
      </c>
      <c r="B71" s="283" t="s">
        <v>110</v>
      </c>
      <c r="C71" s="667" t="s">
        <v>538</v>
      </c>
      <c r="D71" s="123" t="s">
        <v>171</v>
      </c>
      <c r="E71" s="679"/>
      <c r="F71" s="529">
        <f>VLOOKUP(D71,'May14 Revenue'!D:V,19,FALSE)</f>
        <v>0</v>
      </c>
      <c r="G71" s="680"/>
      <c r="H71" s="680"/>
      <c r="I71" s="755"/>
      <c r="J71" s="682">
        <f t="shared" si="0"/>
        <v>0</v>
      </c>
      <c r="K71" s="683"/>
      <c r="L71" s="684"/>
      <c r="M71" s="753"/>
      <c r="N71" s="683">
        <v>0</v>
      </c>
      <c r="O71" s="686"/>
      <c r="P71" s="683">
        <v>0</v>
      </c>
      <c r="Q71" s="687">
        <f t="shared" si="1"/>
        <v>0</v>
      </c>
      <c r="R71" s="687"/>
      <c r="S71" s="687"/>
      <c r="T71" s="688"/>
      <c r="U71" s="693"/>
      <c r="V71" s="690" t="str">
        <f t="shared" si="2"/>
        <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171</v>
      </c>
    </row>
    <row r="72" spans="1:39" s="232" customFormat="1" hidden="1">
      <c r="A72" s="283" t="s">
        <v>211</v>
      </c>
      <c r="B72" s="283" t="s">
        <v>110</v>
      </c>
      <c r="C72" s="667" t="s">
        <v>538</v>
      </c>
      <c r="D72" s="123" t="s">
        <v>13</v>
      </c>
      <c r="E72" s="679"/>
      <c r="F72" s="529">
        <f>VLOOKUP(D72,'May14 Revenue'!D:V,19,FALSE)</f>
        <v>0</v>
      </c>
      <c r="G72" s="680"/>
      <c r="H72" s="680"/>
      <c r="I72" s="755"/>
      <c r="J72" s="682">
        <f t="shared" si="0"/>
        <v>0</v>
      </c>
      <c r="K72" s="683"/>
      <c r="L72" s="684"/>
      <c r="M72" s="753"/>
      <c r="N72" s="683">
        <v>0</v>
      </c>
      <c r="O72" s="686"/>
      <c r="P72" s="683">
        <v>0</v>
      </c>
      <c r="Q72" s="687">
        <f t="shared" si="1"/>
        <v>0</v>
      </c>
      <c r="R72" s="687"/>
      <c r="S72" s="687"/>
      <c r="T72" s="688"/>
      <c r="U72" s="693"/>
      <c r="V72" s="690" t="str">
        <f t="shared" si="2"/>
        <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13</v>
      </c>
    </row>
    <row r="73" spans="1:39" s="232" customFormat="1" hidden="1">
      <c r="A73" s="283" t="s">
        <v>211</v>
      </c>
      <c r="B73" s="283" t="s">
        <v>110</v>
      </c>
      <c r="C73" s="667" t="s">
        <v>538</v>
      </c>
      <c r="D73" s="123" t="s">
        <v>172</v>
      </c>
      <c r="E73" s="679"/>
      <c r="F73" s="529">
        <f>VLOOKUP(D73,'May14 Revenue'!D:V,19,FALSE)</f>
        <v>0</v>
      </c>
      <c r="G73" s="680"/>
      <c r="H73" s="680"/>
      <c r="I73" s="755"/>
      <c r="J73" s="682">
        <f t="shared" si="0"/>
        <v>0</v>
      </c>
      <c r="K73" s="683"/>
      <c r="L73" s="684"/>
      <c r="M73" s="753"/>
      <c r="N73" s="683">
        <v>0</v>
      </c>
      <c r="O73" s="686"/>
      <c r="P73" s="683">
        <v>0</v>
      </c>
      <c r="Q73" s="687">
        <f t="shared" si="1"/>
        <v>0</v>
      </c>
      <c r="R73" s="687"/>
      <c r="S73" s="687"/>
      <c r="T73" s="688"/>
      <c r="U73" s="693"/>
      <c r="V73" s="690" t="str">
        <f t="shared" si="2"/>
        <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172</v>
      </c>
    </row>
    <row r="74" spans="1:39" s="232" customFormat="1" hidden="1">
      <c r="A74" s="283" t="s">
        <v>211</v>
      </c>
      <c r="B74" s="283" t="s">
        <v>110</v>
      </c>
      <c r="C74" s="667" t="s">
        <v>538</v>
      </c>
      <c r="D74" s="123" t="s">
        <v>173</v>
      </c>
      <c r="E74" s="679"/>
      <c r="F74" s="529">
        <f>VLOOKUP(D74,'May14 Revenue'!D:V,19,FALSE)</f>
        <v>0</v>
      </c>
      <c r="G74" s="680"/>
      <c r="H74" s="680"/>
      <c r="I74" s="755"/>
      <c r="J74" s="682">
        <f t="shared" si="0"/>
        <v>0</v>
      </c>
      <c r="K74" s="683"/>
      <c r="L74" s="684"/>
      <c r="M74" s="753"/>
      <c r="N74" s="683">
        <v>0</v>
      </c>
      <c r="O74" s="686"/>
      <c r="P74" s="683">
        <v>0</v>
      </c>
      <c r="Q74" s="687">
        <f t="shared" si="1"/>
        <v>0</v>
      </c>
      <c r="R74" s="687"/>
      <c r="S74" s="687"/>
      <c r="T74" s="688"/>
      <c r="U74" s="693"/>
      <c r="V74" s="690" t="str">
        <f t="shared" si="2"/>
        <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173</v>
      </c>
    </row>
    <row r="75" spans="1:39" s="232" customFormat="1" hidden="1">
      <c r="A75" s="283" t="s">
        <v>211</v>
      </c>
      <c r="B75" s="283" t="s">
        <v>110</v>
      </c>
      <c r="C75" s="667" t="s">
        <v>538</v>
      </c>
      <c r="D75" s="123" t="s">
        <v>174</v>
      </c>
      <c r="E75" s="679"/>
      <c r="F75" s="529">
        <f>VLOOKUP(D75,'May14 Revenue'!D:V,19,FALSE)</f>
        <v>0</v>
      </c>
      <c r="G75" s="680"/>
      <c r="H75" s="680"/>
      <c r="I75" s="755"/>
      <c r="J75" s="682">
        <f t="shared" si="0"/>
        <v>0</v>
      </c>
      <c r="K75" s="683"/>
      <c r="L75" s="684"/>
      <c r="M75" s="753"/>
      <c r="N75" s="683">
        <v>0</v>
      </c>
      <c r="O75" s="686"/>
      <c r="P75" s="683">
        <v>0</v>
      </c>
      <c r="Q75" s="687">
        <f t="shared" si="1"/>
        <v>0</v>
      </c>
      <c r="R75" s="687"/>
      <c r="S75" s="687"/>
      <c r="T75" s="688"/>
      <c r="U75" s="693"/>
      <c r="V75" s="690" t="str">
        <f t="shared" si="2"/>
        <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174</v>
      </c>
    </row>
    <row r="76" spans="1:39" s="232" customFormat="1">
      <c r="A76" s="283"/>
      <c r="B76" s="283" t="s">
        <v>109</v>
      </c>
      <c r="C76" s="794"/>
      <c r="D76" s="351" t="s">
        <v>14</v>
      </c>
      <c r="E76" s="679"/>
      <c r="F76" s="529">
        <f>VLOOKUP(D76,'May14 Revenue'!D:V,19,FALSE)</f>
        <v>0</v>
      </c>
      <c r="G76" s="680"/>
      <c r="H76" s="680"/>
      <c r="I76" s="755"/>
      <c r="J76" s="682">
        <f t="shared" si="0"/>
        <v>0</v>
      </c>
      <c r="K76" s="683"/>
      <c r="L76" s="684"/>
      <c r="M76" s="753"/>
      <c r="N76" s="683">
        <v>0</v>
      </c>
      <c r="O76" s="686"/>
      <c r="P76" s="683">
        <v>0</v>
      </c>
      <c r="Q76" s="687">
        <f t="shared" si="1"/>
        <v>0</v>
      </c>
      <c r="R76" s="687"/>
      <c r="S76" s="687"/>
      <c r="T76" s="688"/>
      <c r="U76" s="693"/>
      <c r="V76" s="690" t="str">
        <f t="shared" si="2"/>
        <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351" t="s">
        <v>14</v>
      </c>
    </row>
    <row r="77" spans="1:39" hidden="1">
      <c r="A77" s="20"/>
      <c r="B77" s="20" t="s">
        <v>110</v>
      </c>
      <c r="C77" s="667"/>
      <c r="D77" s="68" t="s">
        <v>15</v>
      </c>
      <c r="E77" s="679"/>
      <c r="F77" s="529">
        <f>VLOOKUP(D77,'May14 Revenue'!D:V,19,FALSE)</f>
        <v>0</v>
      </c>
      <c r="G77" s="680"/>
      <c r="H77" s="680"/>
      <c r="I77" s="755"/>
      <c r="J77" s="682">
        <f t="shared" si="0"/>
        <v>0</v>
      </c>
      <c r="K77" s="683"/>
      <c r="L77" s="684"/>
      <c r="M77" s="753"/>
      <c r="N77" s="683">
        <v>0</v>
      </c>
      <c r="O77" s="686"/>
      <c r="P77" s="683">
        <v>0</v>
      </c>
      <c r="Q77" s="687">
        <f t="shared" si="1"/>
        <v>0</v>
      </c>
      <c r="R77" s="687"/>
      <c r="S77" s="687"/>
      <c r="T77" s="688"/>
      <c r="U77" s="693"/>
      <c r="V77" s="690" t="str">
        <f t="shared" si="2"/>
        <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68" t="s">
        <v>15</v>
      </c>
    </row>
    <row r="78" spans="1:39">
      <c r="A78" s="20"/>
      <c r="B78" s="20" t="s">
        <v>110</v>
      </c>
      <c r="C78" s="667"/>
      <c r="D78" s="68" t="s">
        <v>646</v>
      </c>
      <c r="E78" s="679">
        <v>710.34</v>
      </c>
      <c r="F78" s="529">
        <f>VLOOKUP(D78,'May14 Revenue'!D:V,19,FALSE)</f>
        <v>0</v>
      </c>
      <c r="G78" s="680"/>
      <c r="H78" s="680"/>
      <c r="I78" s="770">
        <v>501.49</v>
      </c>
      <c r="J78" s="682">
        <f t="shared" si="0"/>
        <v>1211.83</v>
      </c>
      <c r="K78" s="683"/>
      <c r="L78" s="684"/>
      <c r="M78" s="753"/>
      <c r="N78" s="683">
        <v>0</v>
      </c>
      <c r="O78" s="686"/>
      <c r="P78" s="683">
        <v>0</v>
      </c>
      <c r="Q78" s="687">
        <f t="shared" si="1"/>
        <v>0</v>
      </c>
      <c r="R78" s="687"/>
      <c r="S78" s="687"/>
      <c r="T78" s="688"/>
      <c r="U78" s="693"/>
      <c r="V78" s="690" t="str">
        <f t="shared" si="2"/>
        <v/>
      </c>
      <c r="W78" s="683"/>
      <c r="X78" s="474">
        <f t="shared" si="3"/>
        <v>0</v>
      </c>
      <c r="Y78" s="474">
        <f t="shared" si="4"/>
        <v>0</v>
      </c>
      <c r="Z78" s="475">
        <f t="shared" si="5"/>
        <v>0</v>
      </c>
      <c r="AA78" s="475">
        <v>0</v>
      </c>
      <c r="AB78" s="476">
        <v>0</v>
      </c>
      <c r="AC78" s="38">
        <f t="shared" si="6"/>
        <v>0</v>
      </c>
      <c r="AD78" s="692">
        <f t="shared" si="7"/>
        <v>1211.83</v>
      </c>
      <c r="AE78" s="692">
        <f t="shared" si="8"/>
        <v>0</v>
      </c>
      <c r="AF78" s="692">
        <f t="shared" si="9"/>
        <v>0</v>
      </c>
      <c r="AG78" s="38"/>
      <c r="AH78" s="692">
        <f t="shared" si="10"/>
        <v>0</v>
      </c>
      <c r="AI78" s="692">
        <f t="shared" si="11"/>
        <v>0</v>
      </c>
      <c r="AJ78" s="692">
        <f t="shared" si="12"/>
        <v>0</v>
      </c>
      <c r="AL78" s="38">
        <f t="shared" si="13"/>
        <v>1211.83</v>
      </c>
      <c r="AM78" s="68" t="s">
        <v>646</v>
      </c>
    </row>
    <row r="79" spans="1:39">
      <c r="A79" s="20"/>
      <c r="B79" s="20" t="s">
        <v>110</v>
      </c>
      <c r="C79" s="676" t="s">
        <v>1078</v>
      </c>
      <c r="D79" s="68" t="s">
        <v>988</v>
      </c>
      <c r="E79" s="679">
        <v>94</v>
      </c>
      <c r="F79" s="529">
        <f>VLOOKUP(D79,'May14 Revenue'!D:V,19,FALSE)</f>
        <v>0</v>
      </c>
      <c r="G79" s="680"/>
      <c r="H79" s="680"/>
      <c r="I79" s="755"/>
      <c r="J79" s="682">
        <f t="shared" si="0"/>
        <v>94</v>
      </c>
      <c r="K79" s="683"/>
      <c r="L79" s="684"/>
      <c r="M79" s="753"/>
      <c r="N79" s="683">
        <v>0</v>
      </c>
      <c r="O79" s="686"/>
      <c r="P79" s="683">
        <v>0</v>
      </c>
      <c r="Q79" s="687">
        <f t="shared" si="1"/>
        <v>0</v>
      </c>
      <c r="R79" s="687"/>
      <c r="S79" s="687"/>
      <c r="T79" s="688"/>
      <c r="U79" s="693"/>
      <c r="V79" s="690" t="str">
        <f t="shared" si="2"/>
        <v/>
      </c>
      <c r="W79" s="683"/>
      <c r="X79" s="474">
        <f t="shared" si="3"/>
        <v>0</v>
      </c>
      <c r="Y79" s="474">
        <f t="shared" si="4"/>
        <v>0</v>
      </c>
      <c r="Z79" s="475">
        <f t="shared" si="5"/>
        <v>0</v>
      </c>
      <c r="AA79" s="475">
        <v>0</v>
      </c>
      <c r="AB79" s="476">
        <v>0</v>
      </c>
      <c r="AC79" s="38">
        <f t="shared" si="6"/>
        <v>0</v>
      </c>
      <c r="AD79" s="692">
        <f t="shared" si="7"/>
        <v>94</v>
      </c>
      <c r="AE79" s="692">
        <f t="shared" si="8"/>
        <v>0</v>
      </c>
      <c r="AF79" s="692">
        <f t="shared" si="9"/>
        <v>0</v>
      </c>
      <c r="AG79" s="38"/>
      <c r="AH79" s="692">
        <f t="shared" si="10"/>
        <v>0</v>
      </c>
      <c r="AI79" s="692">
        <f t="shared" si="11"/>
        <v>0</v>
      </c>
      <c r="AJ79" s="692">
        <f t="shared" si="12"/>
        <v>0</v>
      </c>
      <c r="AL79" s="38">
        <f t="shared" si="13"/>
        <v>94</v>
      </c>
      <c r="AM79" s="68" t="s">
        <v>988</v>
      </c>
    </row>
    <row r="80" spans="1:39">
      <c r="A80" s="20" t="s">
        <v>109</v>
      </c>
      <c r="B80" s="20" t="s">
        <v>109</v>
      </c>
      <c r="C80" s="667" t="s">
        <v>539</v>
      </c>
      <c r="D80" s="68" t="s">
        <v>510</v>
      </c>
      <c r="E80" s="679"/>
      <c r="F80" s="529">
        <f>VLOOKUP(D80,'May14 Revenue'!D:V,19,FALSE)</f>
        <v>0</v>
      </c>
      <c r="G80" s="680"/>
      <c r="H80" s="680"/>
      <c r="I80" s="755"/>
      <c r="J80" s="682">
        <f t="shared" si="0"/>
        <v>0</v>
      </c>
      <c r="K80" s="683"/>
      <c r="L80" s="684"/>
      <c r="M80" s="753"/>
      <c r="N80" s="683">
        <v>0</v>
      </c>
      <c r="O80" s="686"/>
      <c r="P80" s="683">
        <v>0</v>
      </c>
      <c r="Q80" s="687">
        <f t="shared" si="1"/>
        <v>0</v>
      </c>
      <c r="R80" s="687"/>
      <c r="S80" s="687"/>
      <c r="T80" s="688"/>
      <c r="U80" s="693"/>
      <c r="V80" s="690" t="str">
        <f t="shared" si="2"/>
        <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510</v>
      </c>
    </row>
    <row r="81" spans="1:39">
      <c r="A81" s="20"/>
      <c r="B81" s="20" t="s">
        <v>109</v>
      </c>
      <c r="C81" s="667"/>
      <c r="D81" s="68" t="s">
        <v>16</v>
      </c>
      <c r="E81" s="679"/>
      <c r="F81" s="529">
        <f>VLOOKUP(D81,'May14 Revenue'!D:V,19,FALSE)</f>
        <v>0</v>
      </c>
      <c r="G81" s="680"/>
      <c r="H81" s="680"/>
      <c r="I81" s="755"/>
      <c r="J81" s="682">
        <f t="shared" si="0"/>
        <v>0</v>
      </c>
      <c r="K81" s="683"/>
      <c r="L81" s="684"/>
      <c r="M81" s="753"/>
      <c r="N81" s="683">
        <v>0</v>
      </c>
      <c r="O81" s="686"/>
      <c r="P81" s="683">
        <v>0</v>
      </c>
      <c r="Q81" s="687">
        <f t="shared" si="1"/>
        <v>0</v>
      </c>
      <c r="R81" s="687"/>
      <c r="S81" s="687"/>
      <c r="T81" s="688"/>
      <c r="U81" s="693"/>
      <c r="V81" s="690" t="str">
        <f t="shared" si="2"/>
        <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3"/>
        <v>0</v>
      </c>
      <c r="AM81" s="68" t="s">
        <v>16</v>
      </c>
    </row>
    <row r="82" spans="1:39">
      <c r="A82" s="20"/>
      <c r="B82" s="20" t="s">
        <v>110</v>
      </c>
      <c r="C82" s="667"/>
      <c r="D82" s="68" t="s">
        <v>597</v>
      </c>
      <c r="E82" s="679"/>
      <c r="F82" s="529">
        <f>VLOOKUP(D82,'May14 Revenue'!D:V,19,FALSE)</f>
        <v>40370.729999999981</v>
      </c>
      <c r="G82" s="680"/>
      <c r="H82" s="680"/>
      <c r="I82" s="755"/>
      <c r="J82" s="682">
        <f t="shared" si="0"/>
        <v>40370.729999999981</v>
      </c>
      <c r="K82" s="683"/>
      <c r="L82" s="684"/>
      <c r="M82" s="753">
        <v>925000</v>
      </c>
      <c r="N82" s="683">
        <v>0</v>
      </c>
      <c r="O82" s="686"/>
      <c r="P82" s="683">
        <v>0</v>
      </c>
      <c r="Q82" s="687">
        <f t="shared" si="1"/>
        <v>925000</v>
      </c>
      <c r="R82" s="687"/>
      <c r="S82" s="687"/>
      <c r="T82" s="688"/>
      <c r="U82" s="693"/>
      <c r="V82" s="690" t="str">
        <f t="shared" si="2"/>
        <v/>
      </c>
      <c r="W82" s="683"/>
      <c r="X82" s="474">
        <f t="shared" si="3"/>
        <v>925000</v>
      </c>
      <c r="Y82" s="474">
        <f t="shared" si="4"/>
        <v>0</v>
      </c>
      <c r="Z82" s="475">
        <f t="shared" si="5"/>
        <v>0</v>
      </c>
      <c r="AA82" s="475">
        <v>0</v>
      </c>
      <c r="AB82" s="476">
        <v>0</v>
      </c>
      <c r="AC82" s="38">
        <f t="shared" si="6"/>
        <v>0</v>
      </c>
      <c r="AD82" s="692">
        <f t="shared" si="7"/>
        <v>40370.729999999981</v>
      </c>
      <c r="AE82" s="692">
        <f t="shared" si="8"/>
        <v>0</v>
      </c>
      <c r="AF82" s="692">
        <f t="shared" si="9"/>
        <v>0</v>
      </c>
      <c r="AG82" s="38"/>
      <c r="AH82" s="692">
        <f t="shared" si="10"/>
        <v>925000</v>
      </c>
      <c r="AI82" s="692">
        <f t="shared" si="11"/>
        <v>0</v>
      </c>
      <c r="AJ82" s="692">
        <f t="shared" si="12"/>
        <v>0</v>
      </c>
      <c r="AL82" s="38">
        <f t="shared" si="13"/>
        <v>965370.73</v>
      </c>
      <c r="AM82" s="68" t="s">
        <v>597</v>
      </c>
    </row>
    <row r="83" spans="1:39" s="232" customFormat="1">
      <c r="A83" s="283"/>
      <c r="B83" s="283" t="s">
        <v>109</v>
      </c>
      <c r="C83" s="667" t="s">
        <v>540</v>
      </c>
      <c r="D83" s="373" t="s">
        <v>410</v>
      </c>
      <c r="E83" s="679">
        <f>2336.6+2733.5+2704.5</f>
        <v>7774.6</v>
      </c>
      <c r="F83" s="529">
        <f>VLOOKUP(D83,'May14 Revenue'!D:V,19,FALSE)</f>
        <v>0</v>
      </c>
      <c r="G83" s="680"/>
      <c r="H83" s="680"/>
      <c r="I83" s="770">
        <v>2613.5300000000002</v>
      </c>
      <c r="J83" s="682">
        <f t="shared" si="0"/>
        <v>10388.130000000001</v>
      </c>
      <c r="K83" s="683"/>
      <c r="L83" s="684"/>
      <c r="M83" s="753"/>
      <c r="N83" s="683">
        <v>0</v>
      </c>
      <c r="O83" s="686"/>
      <c r="P83" s="683">
        <v>0</v>
      </c>
      <c r="Q83" s="687">
        <f t="shared" si="1"/>
        <v>0</v>
      </c>
      <c r="R83" s="687"/>
      <c r="S83" s="687"/>
      <c r="T83" s="688"/>
      <c r="U83" s="693"/>
      <c r="V83" s="690" t="str">
        <f t="shared" si="2"/>
        <v/>
      </c>
      <c r="W83" s="683"/>
      <c r="X83" s="474">
        <f t="shared" si="3"/>
        <v>0</v>
      </c>
      <c r="Y83" s="474">
        <f t="shared" si="4"/>
        <v>0</v>
      </c>
      <c r="Z83" s="475">
        <f t="shared" si="5"/>
        <v>0</v>
      </c>
      <c r="AA83" s="475">
        <v>0</v>
      </c>
      <c r="AB83" s="476">
        <v>0</v>
      </c>
      <c r="AC83" s="38">
        <f t="shared" si="6"/>
        <v>0</v>
      </c>
      <c r="AD83" s="692">
        <f t="shared" si="7"/>
        <v>0</v>
      </c>
      <c r="AE83" s="692">
        <f t="shared" si="8"/>
        <v>10388.130000000001</v>
      </c>
      <c r="AF83" s="692">
        <f t="shared" si="9"/>
        <v>0</v>
      </c>
      <c r="AG83" s="38"/>
      <c r="AH83" s="692">
        <f t="shared" si="10"/>
        <v>0</v>
      </c>
      <c r="AI83" s="692">
        <f t="shared" si="11"/>
        <v>0</v>
      </c>
      <c r="AJ83" s="692">
        <f t="shared" si="12"/>
        <v>0</v>
      </c>
      <c r="AL83" s="38">
        <f t="shared" si="13"/>
        <v>10388.130000000001</v>
      </c>
      <c r="AM83" s="373" t="s">
        <v>410</v>
      </c>
    </row>
    <row r="84" spans="1:39" s="232" customFormat="1">
      <c r="A84" s="283"/>
      <c r="B84" s="283" t="s">
        <v>109</v>
      </c>
      <c r="C84" s="667" t="s">
        <v>540</v>
      </c>
      <c r="D84" s="373" t="s">
        <v>879</v>
      </c>
      <c r="E84" s="679"/>
      <c r="F84" s="529">
        <f>VLOOKUP(D84,'May14 Revenue'!D:V,19,FALSE)</f>
        <v>0</v>
      </c>
      <c r="G84" s="680"/>
      <c r="H84" s="680"/>
      <c r="I84" s="755"/>
      <c r="J84" s="682">
        <f t="shared" si="0"/>
        <v>0</v>
      </c>
      <c r="K84" s="683"/>
      <c r="L84" s="684"/>
      <c r="M84" s="753"/>
      <c r="N84" s="683">
        <v>0</v>
      </c>
      <c r="O84" s="686"/>
      <c r="P84" s="683">
        <v>0</v>
      </c>
      <c r="Q84" s="687">
        <f t="shared" si="1"/>
        <v>0</v>
      </c>
      <c r="R84" s="687"/>
      <c r="S84" s="687"/>
      <c r="T84" s="688"/>
      <c r="U84" s="693"/>
      <c r="V84" s="690" t="str">
        <f t="shared" si="2"/>
        <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879</v>
      </c>
    </row>
    <row r="85" spans="1:39" s="232" customFormat="1">
      <c r="A85" s="283"/>
      <c r="B85" s="283" t="s">
        <v>109</v>
      </c>
      <c r="C85" s="667" t="s">
        <v>540</v>
      </c>
      <c r="D85" s="373" t="s">
        <v>620</v>
      </c>
      <c r="E85" s="679"/>
      <c r="F85" s="529">
        <f>VLOOKUP(D85,'May14 Revenue'!D:V,19,FALSE)</f>
        <v>0</v>
      </c>
      <c r="G85" s="680"/>
      <c r="H85" s="680"/>
      <c r="I85" s="755"/>
      <c r="J85" s="682">
        <f t="shared" si="0"/>
        <v>0</v>
      </c>
      <c r="K85" s="683"/>
      <c r="L85" s="684"/>
      <c r="M85" s="753"/>
      <c r="N85" s="683">
        <v>0</v>
      </c>
      <c r="O85" s="686"/>
      <c r="P85" s="683">
        <v>0</v>
      </c>
      <c r="Q85" s="687">
        <f t="shared" si="1"/>
        <v>0</v>
      </c>
      <c r="R85" s="687"/>
      <c r="S85" s="687"/>
      <c r="T85" s="688"/>
      <c r="U85" s="693"/>
      <c r="V85" s="690" t="str">
        <f t="shared" si="2"/>
        <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73" t="s">
        <v>620</v>
      </c>
    </row>
    <row r="86" spans="1:39">
      <c r="A86" s="20"/>
      <c r="B86" s="20" t="s">
        <v>110</v>
      </c>
      <c r="C86" s="667" t="s">
        <v>541</v>
      </c>
      <c r="D86" s="351" t="s">
        <v>507</v>
      </c>
      <c r="E86" s="679">
        <v>23.22</v>
      </c>
      <c r="F86" s="529">
        <f>VLOOKUP(D86,'May14 Revenue'!D:V,19,FALSE)</f>
        <v>0</v>
      </c>
      <c r="G86" s="680"/>
      <c r="H86" s="680"/>
      <c r="I86" s="755"/>
      <c r="J86" s="682">
        <f t="shared" si="0"/>
        <v>23.22</v>
      </c>
      <c r="K86" s="683"/>
      <c r="L86" s="684"/>
      <c r="M86" s="753"/>
      <c r="N86" s="683">
        <v>0</v>
      </c>
      <c r="O86" s="686"/>
      <c r="P86" s="683">
        <v>0</v>
      </c>
      <c r="Q86" s="687">
        <f t="shared" si="1"/>
        <v>0</v>
      </c>
      <c r="R86" s="687"/>
      <c r="S86" s="687"/>
      <c r="T86" s="688"/>
      <c r="U86" s="693"/>
      <c r="V86" s="690" t="str">
        <f t="shared" si="2"/>
        <v/>
      </c>
      <c r="W86" s="683"/>
      <c r="X86" s="474">
        <f t="shared" si="3"/>
        <v>0</v>
      </c>
      <c r="Y86" s="474">
        <f t="shared" si="4"/>
        <v>0</v>
      </c>
      <c r="Z86" s="475">
        <f t="shared" si="5"/>
        <v>0</v>
      </c>
      <c r="AA86" s="475">
        <v>0</v>
      </c>
      <c r="AB86" s="476">
        <v>0</v>
      </c>
      <c r="AC86" s="38">
        <f t="shared" si="6"/>
        <v>0</v>
      </c>
      <c r="AD86" s="692">
        <f t="shared" si="7"/>
        <v>23.22</v>
      </c>
      <c r="AE86" s="692">
        <f t="shared" si="8"/>
        <v>0</v>
      </c>
      <c r="AF86" s="692">
        <f t="shared" si="9"/>
        <v>0</v>
      </c>
      <c r="AG86" s="38"/>
      <c r="AH86" s="692">
        <f t="shared" si="10"/>
        <v>0</v>
      </c>
      <c r="AI86" s="692">
        <f t="shared" si="11"/>
        <v>0</v>
      </c>
      <c r="AJ86" s="692">
        <f t="shared" si="12"/>
        <v>0</v>
      </c>
      <c r="AL86" s="38">
        <f t="shared" si="13"/>
        <v>23.22</v>
      </c>
      <c r="AM86" s="351" t="s">
        <v>507</v>
      </c>
    </row>
    <row r="87" spans="1:39">
      <c r="A87" s="20"/>
      <c r="B87" s="20" t="s">
        <v>110</v>
      </c>
      <c r="C87" s="667" t="s">
        <v>541</v>
      </c>
      <c r="D87" s="351" t="s">
        <v>506</v>
      </c>
      <c r="E87" s="679">
        <v>4754.95</v>
      </c>
      <c r="F87" s="529">
        <f>VLOOKUP(D87,'May14 Revenue'!D:V,19,FALSE)</f>
        <v>0</v>
      </c>
      <c r="G87" s="680"/>
      <c r="H87" s="680"/>
      <c r="I87" s="755"/>
      <c r="J87" s="682">
        <f t="shared" ref="J87:J156" si="14">SUM(E87:I87)</f>
        <v>4754.95</v>
      </c>
      <c r="K87" s="683"/>
      <c r="L87" s="684"/>
      <c r="M87" s="753"/>
      <c r="N87" s="683">
        <v>0</v>
      </c>
      <c r="O87" s="686"/>
      <c r="P87" s="683">
        <v>0</v>
      </c>
      <c r="Q87" s="687">
        <f t="shared" si="1"/>
        <v>0</v>
      </c>
      <c r="R87" s="687"/>
      <c r="S87" s="687"/>
      <c r="T87" s="688"/>
      <c r="U87" s="693"/>
      <c r="V87" s="690" t="str">
        <f t="shared" si="2"/>
        <v/>
      </c>
      <c r="W87" s="683"/>
      <c r="X87" s="474">
        <f t="shared" si="3"/>
        <v>0</v>
      </c>
      <c r="Y87" s="474">
        <f t="shared" si="4"/>
        <v>0</v>
      </c>
      <c r="Z87" s="475">
        <f t="shared" si="5"/>
        <v>0</v>
      </c>
      <c r="AA87" s="475">
        <v>0</v>
      </c>
      <c r="AB87" s="476">
        <v>0</v>
      </c>
      <c r="AC87" s="38">
        <f t="shared" si="6"/>
        <v>0</v>
      </c>
      <c r="AD87" s="692">
        <f t="shared" ref="AD87:AD156" si="15">IF(B87="D",J87,0)</f>
        <v>4754.95</v>
      </c>
      <c r="AE87" s="692">
        <f t="shared" ref="AE87:AE156" si="16">IF(B87="M",J87,0)</f>
        <v>0</v>
      </c>
      <c r="AF87" s="692">
        <f t="shared" ref="AF87:AF156" si="17">IF(B87="V",J87,0)</f>
        <v>0</v>
      </c>
      <c r="AG87" s="38"/>
      <c r="AH87" s="692">
        <f t="shared" si="10"/>
        <v>0</v>
      </c>
      <c r="AI87" s="692">
        <f t="shared" si="11"/>
        <v>0</v>
      </c>
      <c r="AJ87" s="692">
        <f t="shared" si="12"/>
        <v>0</v>
      </c>
      <c r="AL87" s="38">
        <f t="shared" si="13"/>
        <v>4754.95</v>
      </c>
      <c r="AM87" s="351" t="s">
        <v>506</v>
      </c>
    </row>
    <row r="88" spans="1:39">
      <c r="A88" s="20"/>
      <c r="B88" s="20" t="s">
        <v>110</v>
      </c>
      <c r="C88" s="667" t="s">
        <v>542</v>
      </c>
      <c r="D88" s="68" t="s">
        <v>305</v>
      </c>
      <c r="E88" s="679">
        <v>16341.27</v>
      </c>
      <c r="F88" s="529">
        <f>VLOOKUP(D88,'May14 Revenue'!D:V,19,FALSE)</f>
        <v>-884.75</v>
      </c>
      <c r="G88" s="680"/>
      <c r="H88" s="680"/>
      <c r="I88" s="755"/>
      <c r="J88" s="682">
        <f t="shared" si="14"/>
        <v>15456.52</v>
      </c>
      <c r="K88" s="683"/>
      <c r="L88" s="684"/>
      <c r="M88" s="753">
        <v>15000</v>
      </c>
      <c r="N88" s="683">
        <v>0</v>
      </c>
      <c r="O88" s="686"/>
      <c r="P88" s="683">
        <v>0</v>
      </c>
      <c r="Q88" s="687">
        <f t="shared" si="1"/>
        <v>15000</v>
      </c>
      <c r="R88" s="687"/>
      <c r="S88" s="687"/>
      <c r="T88" s="688"/>
      <c r="U88" s="693"/>
      <c r="V88" s="690" t="str">
        <f t="shared" ref="V88:V158" si="18">IF(T88="","",T88-Q88)</f>
        <v/>
      </c>
      <c r="W88" s="683"/>
      <c r="X88" s="474">
        <f t="shared" ref="X88:X158" si="19">IF(B88="D",Q88,0)</f>
        <v>15000</v>
      </c>
      <c r="Y88" s="474">
        <f t="shared" ref="Y88:Y158" si="20">IF(B88="M",Q88,0)</f>
        <v>0</v>
      </c>
      <c r="Z88" s="475">
        <f t="shared" ref="Z88:Z158" si="21">IF(B88="V",Q88,0)</f>
        <v>0</v>
      </c>
      <c r="AA88" s="475">
        <v>0</v>
      </c>
      <c r="AB88" s="476">
        <v>0</v>
      </c>
      <c r="AC88" s="38">
        <f t="shared" ref="AC88:AC158" si="22">(L88+M88)-(X88+Y88+Z88+AA88+AB88)</f>
        <v>0</v>
      </c>
      <c r="AD88" s="692">
        <f t="shared" si="15"/>
        <v>15456.52</v>
      </c>
      <c r="AE88" s="692">
        <f t="shared" si="16"/>
        <v>0</v>
      </c>
      <c r="AF88" s="692">
        <f t="shared" si="17"/>
        <v>0</v>
      </c>
      <c r="AG88" s="38"/>
      <c r="AH88" s="692">
        <f t="shared" ref="AH88:AH157" si="23">IF(B88="D",Q88,0)</f>
        <v>15000</v>
      </c>
      <c r="AI88" s="692">
        <f t="shared" ref="AI88:AI157" si="24">IF(B88="M",Q88,0)</f>
        <v>0</v>
      </c>
      <c r="AJ88" s="692">
        <f t="shared" ref="AJ88:AJ157" si="25">IF(B88="V",Q88,0)</f>
        <v>0</v>
      </c>
      <c r="AL88" s="38">
        <f t="shared" si="13"/>
        <v>30456.52</v>
      </c>
      <c r="AM88" s="68" t="s">
        <v>305</v>
      </c>
    </row>
    <row r="89" spans="1:39">
      <c r="A89" s="20"/>
      <c r="B89" s="20" t="s">
        <v>110</v>
      </c>
      <c r="C89" s="667" t="s">
        <v>543</v>
      </c>
      <c r="D89" s="68" t="s">
        <v>199</v>
      </c>
      <c r="E89" s="679">
        <v>121.82</v>
      </c>
      <c r="F89" s="529">
        <f>VLOOKUP(D89,'May14 Revenue'!D:V,19,FALSE)</f>
        <v>0</v>
      </c>
      <c r="G89" s="680"/>
      <c r="H89" s="680"/>
      <c r="I89" s="755"/>
      <c r="J89" s="682">
        <f t="shared" si="14"/>
        <v>121.82</v>
      </c>
      <c r="K89" s="683"/>
      <c r="L89" s="684"/>
      <c r="M89" s="753"/>
      <c r="N89" s="683">
        <v>0</v>
      </c>
      <c r="O89" s="686"/>
      <c r="P89" s="683">
        <v>0</v>
      </c>
      <c r="Q89" s="687">
        <f t="shared" si="1"/>
        <v>0</v>
      </c>
      <c r="R89" s="687"/>
      <c r="S89" s="687"/>
      <c r="T89" s="688"/>
      <c r="U89" s="693"/>
      <c r="V89" s="690" t="str">
        <f t="shared" si="18"/>
        <v/>
      </c>
      <c r="W89" s="683"/>
      <c r="X89" s="474">
        <f t="shared" si="19"/>
        <v>0</v>
      </c>
      <c r="Y89" s="474">
        <f t="shared" si="20"/>
        <v>0</v>
      </c>
      <c r="Z89" s="475">
        <f t="shared" si="21"/>
        <v>0</v>
      </c>
      <c r="AA89" s="475">
        <v>0</v>
      </c>
      <c r="AB89" s="476">
        <v>0</v>
      </c>
      <c r="AC89" s="38">
        <f t="shared" si="22"/>
        <v>0</v>
      </c>
      <c r="AD89" s="692">
        <f t="shared" si="15"/>
        <v>121.82</v>
      </c>
      <c r="AE89" s="692">
        <f t="shared" si="16"/>
        <v>0</v>
      </c>
      <c r="AF89" s="692">
        <f t="shared" si="17"/>
        <v>0</v>
      </c>
      <c r="AG89" s="38"/>
      <c r="AH89" s="692">
        <f t="shared" si="23"/>
        <v>0</v>
      </c>
      <c r="AI89" s="692">
        <f t="shared" si="24"/>
        <v>0</v>
      </c>
      <c r="AJ89" s="692">
        <f t="shared" si="25"/>
        <v>0</v>
      </c>
      <c r="AL89" s="38">
        <f t="shared" ref="AL89:AL156" si="26">SUM(AD89:AJ89)</f>
        <v>121.82</v>
      </c>
      <c r="AM89" s="68" t="s">
        <v>199</v>
      </c>
    </row>
    <row r="90" spans="1:39">
      <c r="A90" s="20"/>
      <c r="B90" s="20" t="s">
        <v>110</v>
      </c>
      <c r="C90" s="667" t="s">
        <v>543</v>
      </c>
      <c r="D90" s="68" t="s">
        <v>200</v>
      </c>
      <c r="E90" s="679">
        <v>484.4</v>
      </c>
      <c r="F90" s="529">
        <f>VLOOKUP(D90,'May14 Revenue'!D:V,19,FALSE)</f>
        <v>0</v>
      </c>
      <c r="G90" s="680"/>
      <c r="H90" s="680"/>
      <c r="I90" s="755"/>
      <c r="J90" s="682">
        <f t="shared" si="14"/>
        <v>484.4</v>
      </c>
      <c r="K90" s="683"/>
      <c r="L90" s="684"/>
      <c r="M90" s="753"/>
      <c r="N90" s="683">
        <v>0</v>
      </c>
      <c r="O90" s="686"/>
      <c r="P90" s="683">
        <v>0</v>
      </c>
      <c r="Q90" s="687">
        <f t="shared" si="1"/>
        <v>0</v>
      </c>
      <c r="R90" s="687"/>
      <c r="S90" s="687"/>
      <c r="T90" s="688"/>
      <c r="U90" s="693"/>
      <c r="V90" s="690" t="str">
        <f t="shared" si="18"/>
        <v/>
      </c>
      <c r="W90" s="683"/>
      <c r="X90" s="474">
        <f t="shared" si="19"/>
        <v>0</v>
      </c>
      <c r="Y90" s="474">
        <f t="shared" si="20"/>
        <v>0</v>
      </c>
      <c r="Z90" s="475">
        <f t="shared" si="21"/>
        <v>0</v>
      </c>
      <c r="AA90" s="475">
        <v>0</v>
      </c>
      <c r="AB90" s="476">
        <v>0</v>
      </c>
      <c r="AC90" s="38">
        <f t="shared" si="22"/>
        <v>0</v>
      </c>
      <c r="AD90" s="692">
        <f t="shared" si="15"/>
        <v>484.4</v>
      </c>
      <c r="AE90" s="692">
        <f t="shared" si="16"/>
        <v>0</v>
      </c>
      <c r="AF90" s="692">
        <f t="shared" si="17"/>
        <v>0</v>
      </c>
      <c r="AG90" s="38"/>
      <c r="AH90" s="692">
        <f t="shared" si="23"/>
        <v>0</v>
      </c>
      <c r="AI90" s="692">
        <f t="shared" si="24"/>
        <v>0</v>
      </c>
      <c r="AJ90" s="692">
        <f t="shared" si="25"/>
        <v>0</v>
      </c>
      <c r="AL90" s="38">
        <f t="shared" si="26"/>
        <v>484.4</v>
      </c>
      <c r="AM90" s="68" t="s">
        <v>200</v>
      </c>
    </row>
    <row r="91" spans="1:39">
      <c r="A91" s="20"/>
      <c r="B91" s="20" t="s">
        <v>110</v>
      </c>
      <c r="C91" s="667" t="s">
        <v>543</v>
      </c>
      <c r="D91" s="68" t="s">
        <v>201</v>
      </c>
      <c r="E91" s="679">
        <f>3.31</f>
        <v>3.31</v>
      </c>
      <c r="F91" s="529">
        <f>VLOOKUP(D91,'May14 Revenue'!D:V,19,FALSE)</f>
        <v>0</v>
      </c>
      <c r="G91" s="680"/>
      <c r="H91" s="680"/>
      <c r="I91" s="755"/>
      <c r="J91" s="682">
        <f t="shared" si="14"/>
        <v>3.31</v>
      </c>
      <c r="K91" s="683"/>
      <c r="L91" s="684"/>
      <c r="M91" s="753"/>
      <c r="N91" s="683">
        <v>0</v>
      </c>
      <c r="O91" s="686"/>
      <c r="P91" s="683">
        <v>0</v>
      </c>
      <c r="Q91" s="687">
        <f t="shared" si="1"/>
        <v>0</v>
      </c>
      <c r="R91" s="687"/>
      <c r="S91" s="687"/>
      <c r="T91" s="688"/>
      <c r="U91" s="693"/>
      <c r="V91" s="690" t="str">
        <f t="shared" si="18"/>
        <v/>
      </c>
      <c r="W91" s="683"/>
      <c r="X91" s="474">
        <f t="shared" si="19"/>
        <v>0</v>
      </c>
      <c r="Y91" s="474">
        <f t="shared" si="20"/>
        <v>0</v>
      </c>
      <c r="Z91" s="475">
        <f t="shared" si="21"/>
        <v>0</v>
      </c>
      <c r="AA91" s="475">
        <v>0</v>
      </c>
      <c r="AB91" s="476">
        <v>0</v>
      </c>
      <c r="AC91" s="38">
        <f t="shared" si="22"/>
        <v>0</v>
      </c>
      <c r="AD91" s="692">
        <f t="shared" si="15"/>
        <v>3.31</v>
      </c>
      <c r="AE91" s="692">
        <f t="shared" si="16"/>
        <v>0</v>
      </c>
      <c r="AF91" s="692">
        <f t="shared" si="17"/>
        <v>0</v>
      </c>
      <c r="AG91" s="38"/>
      <c r="AH91" s="692">
        <f t="shared" si="23"/>
        <v>0</v>
      </c>
      <c r="AI91" s="692">
        <f t="shared" si="24"/>
        <v>0</v>
      </c>
      <c r="AJ91" s="692">
        <f t="shared" si="25"/>
        <v>0</v>
      </c>
      <c r="AL91" s="38">
        <f t="shared" si="26"/>
        <v>3.31</v>
      </c>
      <c r="AM91" s="68" t="s">
        <v>201</v>
      </c>
    </row>
    <row r="92" spans="1:39">
      <c r="A92" s="21"/>
      <c r="B92" s="21" t="s">
        <v>110</v>
      </c>
      <c r="C92" s="666"/>
      <c r="D92" s="68" t="s">
        <v>1033</v>
      </c>
      <c r="E92" s="679"/>
      <c r="F92" s="529">
        <f>VLOOKUP(D92,'May14 Revenue'!D:V,19,FALSE)</f>
        <v>0</v>
      </c>
      <c r="G92" s="680"/>
      <c r="H92" s="680"/>
      <c r="I92" s="755"/>
      <c r="J92" s="682">
        <f t="shared" si="14"/>
        <v>0</v>
      </c>
      <c r="K92" s="683"/>
      <c r="L92" s="684"/>
      <c r="M92" s="753"/>
      <c r="N92" s="683">
        <v>0</v>
      </c>
      <c r="O92" s="686"/>
      <c r="P92" s="683">
        <v>0</v>
      </c>
      <c r="Q92" s="687">
        <f t="shared" si="1"/>
        <v>0</v>
      </c>
      <c r="R92" s="687"/>
      <c r="S92" s="687"/>
      <c r="T92" s="688"/>
      <c r="U92" s="693"/>
      <c r="V92" s="690" t="str">
        <f t="shared" si="18"/>
        <v/>
      </c>
      <c r="W92" s="697"/>
      <c r="X92" s="474">
        <f t="shared" si="19"/>
        <v>0</v>
      </c>
      <c r="Y92" s="474">
        <f t="shared" si="20"/>
        <v>0</v>
      </c>
      <c r="Z92" s="475">
        <f t="shared" si="21"/>
        <v>0</v>
      </c>
      <c r="AA92" s="475">
        <v>0</v>
      </c>
      <c r="AB92" s="476">
        <v>0</v>
      </c>
      <c r="AC92" s="38">
        <f t="shared" si="22"/>
        <v>0</v>
      </c>
      <c r="AD92" s="692">
        <f t="shared" si="15"/>
        <v>0</v>
      </c>
      <c r="AE92" s="692">
        <f t="shared" si="16"/>
        <v>0</v>
      </c>
      <c r="AF92" s="692">
        <f t="shared" si="17"/>
        <v>0</v>
      </c>
      <c r="AG92" s="38"/>
      <c r="AH92" s="692">
        <f t="shared" si="23"/>
        <v>0</v>
      </c>
      <c r="AI92" s="692">
        <f t="shared" si="24"/>
        <v>0</v>
      </c>
      <c r="AJ92" s="692">
        <f t="shared" si="25"/>
        <v>0</v>
      </c>
      <c r="AL92" s="38">
        <f t="shared" si="26"/>
        <v>0</v>
      </c>
      <c r="AM92" s="68" t="s">
        <v>628</v>
      </c>
    </row>
    <row r="93" spans="1:39">
      <c r="A93" s="20" t="s">
        <v>97</v>
      </c>
      <c r="B93" s="20" t="s">
        <v>114</v>
      </c>
      <c r="C93" s="667"/>
      <c r="D93" s="68" t="s">
        <v>387</v>
      </c>
      <c r="E93" s="679"/>
      <c r="F93" s="529">
        <f>VLOOKUP(D93,'May14 Revenue'!D:V,19,FALSE)</f>
        <v>5627.869999999999</v>
      </c>
      <c r="G93" s="680"/>
      <c r="H93" s="680"/>
      <c r="I93" s="755"/>
      <c r="J93" s="682">
        <f t="shared" si="14"/>
        <v>5627.869999999999</v>
      </c>
      <c r="K93" s="683"/>
      <c r="L93" s="684"/>
      <c r="M93" s="753">
        <v>25000</v>
      </c>
      <c r="N93" s="683">
        <v>0</v>
      </c>
      <c r="O93" s="686"/>
      <c r="P93" s="683">
        <v>0</v>
      </c>
      <c r="Q93" s="687">
        <f t="shared" si="1"/>
        <v>25000</v>
      </c>
      <c r="R93" s="687"/>
      <c r="S93" s="687"/>
      <c r="T93" s="688"/>
      <c r="U93" s="693"/>
      <c r="V93" s="690" t="str">
        <f t="shared" si="18"/>
        <v/>
      </c>
      <c r="W93" s="683"/>
      <c r="X93" s="474">
        <f t="shared" si="19"/>
        <v>0</v>
      </c>
      <c r="Y93" s="474">
        <f t="shared" si="20"/>
        <v>0</v>
      </c>
      <c r="Z93" s="475">
        <f t="shared" si="21"/>
        <v>25000</v>
      </c>
      <c r="AA93" s="475">
        <v>0</v>
      </c>
      <c r="AB93" s="476">
        <v>0</v>
      </c>
      <c r="AC93" s="38">
        <f t="shared" si="22"/>
        <v>0</v>
      </c>
      <c r="AD93" s="692">
        <f t="shared" si="15"/>
        <v>0</v>
      </c>
      <c r="AE93" s="692">
        <f t="shared" si="16"/>
        <v>0</v>
      </c>
      <c r="AF93" s="692">
        <f t="shared" si="17"/>
        <v>5627.869999999999</v>
      </c>
      <c r="AG93" s="38"/>
      <c r="AH93" s="692">
        <f t="shared" si="23"/>
        <v>0</v>
      </c>
      <c r="AI93" s="692">
        <f t="shared" si="24"/>
        <v>0</v>
      </c>
      <c r="AJ93" s="692">
        <f t="shared" si="25"/>
        <v>25000</v>
      </c>
      <c r="AL93" s="38">
        <f t="shared" si="26"/>
        <v>30627.87</v>
      </c>
      <c r="AM93" s="68" t="s">
        <v>387</v>
      </c>
    </row>
    <row r="94" spans="1:39" hidden="1">
      <c r="A94" s="20" t="s">
        <v>97</v>
      </c>
      <c r="B94" s="20" t="s">
        <v>114</v>
      </c>
      <c r="C94" s="667"/>
      <c r="D94" s="68" t="s">
        <v>482</v>
      </c>
      <c r="E94" s="679"/>
      <c r="F94" s="529">
        <f>VLOOKUP(D94,'May14 Revenue'!D:V,19,FALSE)</f>
        <v>0</v>
      </c>
      <c r="G94" s="680"/>
      <c r="H94" s="680"/>
      <c r="I94" s="755"/>
      <c r="J94" s="682">
        <f t="shared" si="14"/>
        <v>0</v>
      </c>
      <c r="K94" s="683"/>
      <c r="L94" s="684"/>
      <c r="M94" s="753"/>
      <c r="N94" s="683"/>
      <c r="O94" s="686"/>
      <c r="P94" s="683"/>
      <c r="Q94" s="687">
        <f t="shared" si="1"/>
        <v>0</v>
      </c>
      <c r="R94" s="687"/>
      <c r="S94" s="687"/>
      <c r="T94" s="688"/>
      <c r="U94" s="693"/>
      <c r="V94" s="690" t="str">
        <f t="shared" si="18"/>
        <v/>
      </c>
      <c r="W94" s="683"/>
      <c r="X94" s="474">
        <f t="shared" si="19"/>
        <v>0</v>
      </c>
      <c r="Y94" s="474">
        <f t="shared" si="20"/>
        <v>0</v>
      </c>
      <c r="Z94" s="475">
        <f t="shared" si="21"/>
        <v>0</v>
      </c>
      <c r="AA94" s="475">
        <v>0</v>
      </c>
      <c r="AB94" s="476">
        <v>0</v>
      </c>
      <c r="AC94" s="38">
        <f t="shared" si="22"/>
        <v>0</v>
      </c>
      <c r="AD94" s="692">
        <f t="shared" si="15"/>
        <v>0</v>
      </c>
      <c r="AE94" s="692">
        <f t="shared" si="16"/>
        <v>0</v>
      </c>
      <c r="AF94" s="692">
        <f t="shared" si="17"/>
        <v>0</v>
      </c>
      <c r="AG94" s="38"/>
      <c r="AH94" s="692">
        <f t="shared" si="23"/>
        <v>0</v>
      </c>
      <c r="AI94" s="692">
        <f t="shared" si="24"/>
        <v>0</v>
      </c>
      <c r="AJ94" s="692">
        <f t="shared" si="25"/>
        <v>0</v>
      </c>
      <c r="AL94" s="38">
        <f t="shared" si="26"/>
        <v>0</v>
      </c>
      <c r="AM94" s="68" t="s">
        <v>482</v>
      </c>
    </row>
    <row r="95" spans="1:39" hidden="1">
      <c r="A95" s="20" t="s">
        <v>109</v>
      </c>
      <c r="B95" s="20" t="s">
        <v>109</v>
      </c>
      <c r="C95" s="667" t="s">
        <v>544</v>
      </c>
      <c r="D95" s="68" t="s">
        <v>383</v>
      </c>
      <c r="E95" s="679"/>
      <c r="F95" s="529">
        <f>VLOOKUP(D95,'May14 Revenue'!D:V,19,FALSE)</f>
        <v>0</v>
      </c>
      <c r="G95" s="680"/>
      <c r="H95" s="680"/>
      <c r="I95" s="755"/>
      <c r="J95" s="682">
        <f t="shared" si="14"/>
        <v>0</v>
      </c>
      <c r="K95" s="683"/>
      <c r="L95" s="684"/>
      <c r="M95" s="753"/>
      <c r="N95" s="683">
        <v>0</v>
      </c>
      <c r="O95" s="686"/>
      <c r="P95" s="683">
        <v>0</v>
      </c>
      <c r="Q95" s="687">
        <f t="shared" si="1"/>
        <v>0</v>
      </c>
      <c r="R95" s="687"/>
      <c r="S95" s="687"/>
      <c r="T95" s="688"/>
      <c r="U95" s="693"/>
      <c r="V95" s="690" t="str">
        <f t="shared" si="18"/>
        <v/>
      </c>
      <c r="W95" s="683"/>
      <c r="X95" s="474">
        <f t="shared" si="19"/>
        <v>0</v>
      </c>
      <c r="Y95" s="474">
        <f t="shared" si="20"/>
        <v>0</v>
      </c>
      <c r="Z95" s="475">
        <f t="shared" si="21"/>
        <v>0</v>
      </c>
      <c r="AA95" s="475">
        <v>0</v>
      </c>
      <c r="AB95" s="476">
        <v>0</v>
      </c>
      <c r="AC95" s="38">
        <f t="shared" si="22"/>
        <v>0</v>
      </c>
      <c r="AD95" s="692">
        <f t="shared" si="15"/>
        <v>0</v>
      </c>
      <c r="AE95" s="692">
        <f t="shared" si="16"/>
        <v>0</v>
      </c>
      <c r="AF95" s="692">
        <f t="shared" si="17"/>
        <v>0</v>
      </c>
      <c r="AG95" s="38"/>
      <c r="AH95" s="692">
        <f t="shared" si="23"/>
        <v>0</v>
      </c>
      <c r="AI95" s="692">
        <f t="shared" si="24"/>
        <v>0</v>
      </c>
      <c r="AJ95" s="692">
        <f t="shared" si="25"/>
        <v>0</v>
      </c>
      <c r="AL95" s="38">
        <f t="shared" si="26"/>
        <v>0</v>
      </c>
      <c r="AM95" s="68" t="s">
        <v>383</v>
      </c>
    </row>
    <row r="96" spans="1:39" hidden="1">
      <c r="A96" s="21" t="s">
        <v>211</v>
      </c>
      <c r="B96" s="21" t="s">
        <v>109</v>
      </c>
      <c r="C96" s="666" t="s">
        <v>545</v>
      </c>
      <c r="D96" s="68" t="s">
        <v>181</v>
      </c>
      <c r="E96" s="679"/>
      <c r="F96" s="529">
        <f>VLOOKUP(D96,'May14 Revenue'!D:V,19,FALSE)</f>
        <v>0</v>
      </c>
      <c r="G96" s="680"/>
      <c r="H96" s="680"/>
      <c r="I96" s="755"/>
      <c r="J96" s="682">
        <f t="shared" si="14"/>
        <v>0</v>
      </c>
      <c r="K96" s="683"/>
      <c r="L96" s="684"/>
      <c r="M96" s="753"/>
      <c r="N96" s="683">
        <v>0</v>
      </c>
      <c r="O96" s="686"/>
      <c r="P96" s="683">
        <v>0</v>
      </c>
      <c r="Q96" s="687">
        <f t="shared" si="1"/>
        <v>0</v>
      </c>
      <c r="R96" s="687"/>
      <c r="S96" s="687"/>
      <c r="T96" s="688"/>
      <c r="U96" s="693"/>
      <c r="V96" s="690" t="str">
        <f t="shared" si="18"/>
        <v/>
      </c>
      <c r="W96" s="683"/>
      <c r="X96" s="474">
        <f t="shared" si="19"/>
        <v>0</v>
      </c>
      <c r="Y96" s="474">
        <f t="shared" si="20"/>
        <v>0</v>
      </c>
      <c r="Z96" s="475">
        <f t="shared" si="21"/>
        <v>0</v>
      </c>
      <c r="AA96" s="475">
        <v>0</v>
      </c>
      <c r="AB96" s="476">
        <v>0</v>
      </c>
      <c r="AC96" s="38">
        <f t="shared" si="22"/>
        <v>0</v>
      </c>
      <c r="AD96" s="692">
        <f t="shared" si="15"/>
        <v>0</v>
      </c>
      <c r="AE96" s="692">
        <f t="shared" si="16"/>
        <v>0</v>
      </c>
      <c r="AF96" s="692">
        <f t="shared" si="17"/>
        <v>0</v>
      </c>
      <c r="AG96" s="38"/>
      <c r="AH96" s="692">
        <f t="shared" si="23"/>
        <v>0</v>
      </c>
      <c r="AI96" s="692">
        <f t="shared" si="24"/>
        <v>0</v>
      </c>
      <c r="AJ96" s="692">
        <f t="shared" si="25"/>
        <v>0</v>
      </c>
      <c r="AL96" s="38">
        <f t="shared" si="26"/>
        <v>0</v>
      </c>
      <c r="AM96" s="68" t="s">
        <v>181</v>
      </c>
    </row>
    <row r="97" spans="1:39" hidden="1">
      <c r="A97" s="21" t="s">
        <v>211</v>
      </c>
      <c r="B97" s="21" t="s">
        <v>110</v>
      </c>
      <c r="C97" s="666"/>
      <c r="D97" s="68" t="s">
        <v>504</v>
      </c>
      <c r="E97" s="679"/>
      <c r="F97" s="529">
        <f>VLOOKUP(D97,'May14 Revenue'!D:V,19,FALSE)</f>
        <v>0</v>
      </c>
      <c r="G97" s="680"/>
      <c r="H97" s="680"/>
      <c r="I97" s="755"/>
      <c r="J97" s="682">
        <f t="shared" si="14"/>
        <v>0</v>
      </c>
      <c r="K97" s="683"/>
      <c r="L97" s="684"/>
      <c r="M97" s="753"/>
      <c r="N97" s="683">
        <v>0</v>
      </c>
      <c r="O97" s="686"/>
      <c r="P97" s="683">
        <v>0</v>
      </c>
      <c r="Q97" s="687">
        <f t="shared" si="1"/>
        <v>0</v>
      </c>
      <c r="R97" s="687"/>
      <c r="S97" s="687"/>
      <c r="T97" s="688"/>
      <c r="U97" s="693"/>
      <c r="V97" s="690" t="str">
        <f t="shared" si="18"/>
        <v/>
      </c>
      <c r="W97" s="683"/>
      <c r="X97" s="474">
        <f t="shared" si="19"/>
        <v>0</v>
      </c>
      <c r="Y97" s="474">
        <f t="shared" si="20"/>
        <v>0</v>
      </c>
      <c r="Z97" s="475">
        <f t="shared" si="21"/>
        <v>0</v>
      </c>
      <c r="AA97" s="475">
        <v>0</v>
      </c>
      <c r="AB97" s="476">
        <v>0</v>
      </c>
      <c r="AC97" s="38">
        <f t="shared" si="22"/>
        <v>0</v>
      </c>
      <c r="AD97" s="692">
        <f t="shared" si="15"/>
        <v>0</v>
      </c>
      <c r="AE97" s="692">
        <f t="shared" si="16"/>
        <v>0</v>
      </c>
      <c r="AF97" s="692">
        <f t="shared" si="17"/>
        <v>0</v>
      </c>
      <c r="AG97" s="38"/>
      <c r="AH97" s="692">
        <f t="shared" si="23"/>
        <v>0</v>
      </c>
      <c r="AI97" s="692">
        <f t="shared" si="24"/>
        <v>0</v>
      </c>
      <c r="AJ97" s="692">
        <f t="shared" si="25"/>
        <v>0</v>
      </c>
      <c r="AL97" s="38">
        <f t="shared" si="26"/>
        <v>0</v>
      </c>
      <c r="AM97" s="68" t="s">
        <v>504</v>
      </c>
    </row>
    <row r="98" spans="1:39">
      <c r="A98" s="20" t="s">
        <v>211</v>
      </c>
      <c r="B98" s="20" t="s">
        <v>109</v>
      </c>
      <c r="C98" s="667" t="s">
        <v>546</v>
      </c>
      <c r="D98" s="68" t="s">
        <v>142</v>
      </c>
      <c r="E98" s="679"/>
      <c r="F98" s="529">
        <f>VLOOKUP(D98,'May14 Revenue'!D:V,19,FALSE)</f>
        <v>0</v>
      </c>
      <c r="G98" s="680"/>
      <c r="H98" s="680"/>
      <c r="I98" s="755"/>
      <c r="J98" s="682">
        <f t="shared" si="14"/>
        <v>0</v>
      </c>
      <c r="K98" s="683"/>
      <c r="L98" s="684"/>
      <c r="M98" s="753"/>
      <c r="N98" s="683">
        <v>0</v>
      </c>
      <c r="O98" s="686"/>
      <c r="P98" s="683">
        <v>0</v>
      </c>
      <c r="Q98" s="687">
        <f t="shared" si="1"/>
        <v>0</v>
      </c>
      <c r="R98" s="687"/>
      <c r="S98" s="687"/>
      <c r="T98" s="688"/>
      <c r="U98" s="693"/>
      <c r="V98" s="690" t="str">
        <f t="shared" si="18"/>
        <v/>
      </c>
      <c r="W98" s="697"/>
      <c r="X98" s="474">
        <f t="shared" si="19"/>
        <v>0</v>
      </c>
      <c r="Y98" s="474">
        <f t="shared" si="20"/>
        <v>0</v>
      </c>
      <c r="Z98" s="475">
        <f t="shared" si="21"/>
        <v>0</v>
      </c>
      <c r="AA98" s="475">
        <v>0</v>
      </c>
      <c r="AB98" s="476">
        <v>0</v>
      </c>
      <c r="AC98" s="38">
        <f t="shared" si="22"/>
        <v>0</v>
      </c>
      <c r="AD98" s="692">
        <f t="shared" si="15"/>
        <v>0</v>
      </c>
      <c r="AE98" s="692">
        <f t="shared" si="16"/>
        <v>0</v>
      </c>
      <c r="AF98" s="692">
        <f t="shared" si="17"/>
        <v>0</v>
      </c>
      <c r="AG98" s="38"/>
      <c r="AH98" s="692">
        <f t="shared" si="23"/>
        <v>0</v>
      </c>
      <c r="AI98" s="692">
        <f t="shared" si="24"/>
        <v>0</v>
      </c>
      <c r="AJ98" s="692">
        <f t="shared" si="25"/>
        <v>0</v>
      </c>
      <c r="AL98" s="38">
        <f t="shared" si="26"/>
        <v>0</v>
      </c>
      <c r="AM98" s="68" t="s">
        <v>142</v>
      </c>
    </row>
    <row r="99" spans="1:39">
      <c r="A99" s="20" t="s">
        <v>211</v>
      </c>
      <c r="B99" s="20" t="s">
        <v>109</v>
      </c>
      <c r="C99" s="667" t="s">
        <v>546</v>
      </c>
      <c r="D99" s="68" t="s">
        <v>143</v>
      </c>
      <c r="E99" s="679"/>
      <c r="F99" s="529">
        <f>VLOOKUP(D99,'May14 Revenue'!D:V,19,FALSE)</f>
        <v>0</v>
      </c>
      <c r="G99" s="680"/>
      <c r="H99" s="680"/>
      <c r="I99" s="755"/>
      <c r="J99" s="682">
        <f t="shared" si="14"/>
        <v>0</v>
      </c>
      <c r="K99" s="683"/>
      <c r="L99" s="684"/>
      <c r="M99" s="753"/>
      <c r="N99" s="683">
        <v>0</v>
      </c>
      <c r="O99" s="686"/>
      <c r="P99" s="683">
        <v>0</v>
      </c>
      <c r="Q99" s="687">
        <f t="shared" si="1"/>
        <v>0</v>
      </c>
      <c r="R99" s="687"/>
      <c r="S99" s="687"/>
      <c r="T99" s="688"/>
      <c r="U99" s="693"/>
      <c r="V99" s="690" t="str">
        <f t="shared" si="18"/>
        <v/>
      </c>
      <c r="W99" s="697"/>
      <c r="X99" s="474">
        <f t="shared" si="19"/>
        <v>0</v>
      </c>
      <c r="Y99" s="474">
        <f t="shared" si="20"/>
        <v>0</v>
      </c>
      <c r="Z99" s="475">
        <f t="shared" si="21"/>
        <v>0</v>
      </c>
      <c r="AA99" s="475">
        <v>0</v>
      </c>
      <c r="AB99" s="476">
        <v>0</v>
      </c>
      <c r="AC99" s="38">
        <f t="shared" si="22"/>
        <v>0</v>
      </c>
      <c r="AD99" s="692">
        <f t="shared" si="15"/>
        <v>0</v>
      </c>
      <c r="AE99" s="692">
        <f t="shared" si="16"/>
        <v>0</v>
      </c>
      <c r="AF99" s="692">
        <f t="shared" si="17"/>
        <v>0</v>
      </c>
      <c r="AG99" s="38"/>
      <c r="AH99" s="692">
        <f t="shared" si="23"/>
        <v>0</v>
      </c>
      <c r="AI99" s="692">
        <f t="shared" si="24"/>
        <v>0</v>
      </c>
      <c r="AJ99" s="692">
        <f t="shared" si="25"/>
        <v>0</v>
      </c>
      <c r="AL99" s="38">
        <f t="shared" si="26"/>
        <v>0</v>
      </c>
      <c r="AM99" s="68" t="s">
        <v>143</v>
      </c>
    </row>
    <row r="100" spans="1:39">
      <c r="A100" s="20"/>
      <c r="B100" s="20" t="s">
        <v>109</v>
      </c>
      <c r="C100" s="667"/>
      <c r="D100" s="68" t="s">
        <v>1014</v>
      </c>
      <c r="E100" s="679"/>
      <c r="F100" s="529">
        <f>VLOOKUP(D100,'May14 Revenue'!D:V,19,FALSE)</f>
        <v>0</v>
      </c>
      <c r="G100" s="680"/>
      <c r="H100" s="680"/>
      <c r="I100" s="755"/>
      <c r="J100" s="682">
        <f t="shared" si="14"/>
        <v>0</v>
      </c>
      <c r="K100" s="683"/>
      <c r="L100" s="684"/>
      <c r="M100" s="753"/>
      <c r="N100" s="683">
        <v>0</v>
      </c>
      <c r="O100" s="686"/>
      <c r="P100" s="683">
        <v>0</v>
      </c>
      <c r="Q100" s="687">
        <f t="shared" si="1"/>
        <v>0</v>
      </c>
      <c r="R100" s="687"/>
      <c r="S100" s="687"/>
      <c r="T100" s="688"/>
      <c r="U100" s="693"/>
      <c r="V100" s="690" t="str">
        <f t="shared" si="18"/>
        <v/>
      </c>
      <c r="W100" s="683"/>
      <c r="X100" s="474">
        <f t="shared" si="19"/>
        <v>0</v>
      </c>
      <c r="Y100" s="474">
        <f t="shared" si="20"/>
        <v>0</v>
      </c>
      <c r="Z100" s="475">
        <f t="shared" si="21"/>
        <v>0</v>
      </c>
      <c r="AA100" s="475">
        <v>0</v>
      </c>
      <c r="AB100" s="476">
        <v>0</v>
      </c>
      <c r="AC100" s="38">
        <f t="shared" si="22"/>
        <v>0</v>
      </c>
      <c r="AD100" s="692">
        <f t="shared" si="15"/>
        <v>0</v>
      </c>
      <c r="AE100" s="692">
        <f t="shared" si="16"/>
        <v>0</v>
      </c>
      <c r="AF100" s="692">
        <f t="shared" si="17"/>
        <v>0</v>
      </c>
      <c r="AG100" s="38"/>
      <c r="AH100" s="692">
        <f t="shared" si="23"/>
        <v>0</v>
      </c>
      <c r="AI100" s="692">
        <f t="shared" si="24"/>
        <v>0</v>
      </c>
      <c r="AJ100" s="692">
        <f t="shared" si="25"/>
        <v>0</v>
      </c>
      <c r="AL100" s="38">
        <f t="shared" si="26"/>
        <v>0</v>
      </c>
      <c r="AM100" s="68" t="s">
        <v>1014</v>
      </c>
    </row>
    <row r="101" spans="1:39">
      <c r="A101" s="20" t="s">
        <v>109</v>
      </c>
      <c r="B101" s="20" t="s">
        <v>109</v>
      </c>
      <c r="C101" s="667"/>
      <c r="D101" s="68" t="s">
        <v>498</v>
      </c>
      <c r="E101" s="679"/>
      <c r="F101" s="529">
        <f>VLOOKUP(D101,'May14 Revenue'!D:V,19,FALSE)</f>
        <v>0</v>
      </c>
      <c r="G101" s="680"/>
      <c r="H101" s="680"/>
      <c r="I101" s="755"/>
      <c r="J101" s="682">
        <f t="shared" si="14"/>
        <v>0</v>
      </c>
      <c r="K101" s="683"/>
      <c r="L101" s="684"/>
      <c r="M101" s="753"/>
      <c r="N101" s="683">
        <v>0</v>
      </c>
      <c r="O101" s="686"/>
      <c r="P101" s="683">
        <v>0</v>
      </c>
      <c r="Q101" s="687">
        <f t="shared" si="1"/>
        <v>0</v>
      </c>
      <c r="R101" s="687"/>
      <c r="S101" s="687"/>
      <c r="T101" s="688"/>
      <c r="U101" s="693"/>
      <c r="V101" s="690" t="str">
        <f t="shared" si="18"/>
        <v/>
      </c>
      <c r="W101" s="683"/>
      <c r="X101" s="474">
        <f t="shared" si="19"/>
        <v>0</v>
      </c>
      <c r="Y101" s="474">
        <f t="shared" si="20"/>
        <v>0</v>
      </c>
      <c r="Z101" s="475">
        <f t="shared" si="21"/>
        <v>0</v>
      </c>
      <c r="AA101" s="475">
        <v>0</v>
      </c>
      <c r="AB101" s="476">
        <v>0</v>
      </c>
      <c r="AC101" s="38">
        <f t="shared" si="22"/>
        <v>0</v>
      </c>
      <c r="AD101" s="692">
        <f t="shared" si="15"/>
        <v>0</v>
      </c>
      <c r="AE101" s="692">
        <f t="shared" si="16"/>
        <v>0</v>
      </c>
      <c r="AF101" s="692">
        <f t="shared" si="17"/>
        <v>0</v>
      </c>
      <c r="AG101" s="38"/>
      <c r="AH101" s="692">
        <f t="shared" si="23"/>
        <v>0</v>
      </c>
      <c r="AI101" s="692">
        <f t="shared" si="24"/>
        <v>0</v>
      </c>
      <c r="AJ101" s="692">
        <f t="shared" si="25"/>
        <v>0</v>
      </c>
      <c r="AL101" s="38">
        <f t="shared" si="26"/>
        <v>0</v>
      </c>
      <c r="AM101" s="68" t="s">
        <v>498</v>
      </c>
    </row>
    <row r="102" spans="1:39">
      <c r="A102" s="21"/>
      <c r="B102" s="21" t="s">
        <v>110</v>
      </c>
      <c r="C102" s="666"/>
      <c r="D102" s="68" t="s">
        <v>20</v>
      </c>
      <c r="E102" s="679"/>
      <c r="F102" s="529">
        <f>VLOOKUP(D102,'May14 Revenue'!D:V,19,FALSE)</f>
        <v>0</v>
      </c>
      <c r="G102" s="680"/>
      <c r="H102" s="680"/>
      <c r="I102" s="770">
        <v>224.48</v>
      </c>
      <c r="J102" s="682">
        <f t="shared" si="14"/>
        <v>224.48</v>
      </c>
      <c r="K102" s="683"/>
      <c r="L102" s="684"/>
      <c r="M102" s="753"/>
      <c r="N102" s="683">
        <v>0</v>
      </c>
      <c r="O102" s="686"/>
      <c r="P102" s="683">
        <v>0</v>
      </c>
      <c r="Q102" s="687">
        <f t="shared" si="1"/>
        <v>0</v>
      </c>
      <c r="R102" s="687"/>
      <c r="S102" s="687"/>
      <c r="T102" s="688"/>
      <c r="U102" s="693"/>
      <c r="V102" s="690" t="str">
        <f t="shared" si="18"/>
        <v/>
      </c>
      <c r="W102" s="683"/>
      <c r="X102" s="474">
        <f t="shared" si="19"/>
        <v>0</v>
      </c>
      <c r="Y102" s="474">
        <f t="shared" si="20"/>
        <v>0</v>
      </c>
      <c r="Z102" s="475">
        <f t="shared" si="21"/>
        <v>0</v>
      </c>
      <c r="AA102" s="475">
        <v>0</v>
      </c>
      <c r="AB102" s="476">
        <v>0</v>
      </c>
      <c r="AC102" s="38">
        <f t="shared" si="22"/>
        <v>0</v>
      </c>
      <c r="AD102" s="692">
        <f t="shared" si="15"/>
        <v>224.48</v>
      </c>
      <c r="AE102" s="692">
        <f t="shared" si="16"/>
        <v>0</v>
      </c>
      <c r="AF102" s="692">
        <f t="shared" si="17"/>
        <v>0</v>
      </c>
      <c r="AG102" s="38"/>
      <c r="AH102" s="692">
        <f t="shared" si="23"/>
        <v>0</v>
      </c>
      <c r="AI102" s="692">
        <f t="shared" si="24"/>
        <v>0</v>
      </c>
      <c r="AJ102" s="692">
        <f t="shared" si="25"/>
        <v>0</v>
      </c>
      <c r="AL102" s="38">
        <f t="shared" si="26"/>
        <v>224.48</v>
      </c>
      <c r="AM102" s="68" t="s">
        <v>20</v>
      </c>
    </row>
    <row r="103" spans="1:39">
      <c r="A103" s="21"/>
      <c r="B103" s="21" t="s">
        <v>114</v>
      </c>
      <c r="C103" s="666"/>
      <c r="D103" s="68" t="s">
        <v>1083</v>
      </c>
      <c r="E103" s="679"/>
      <c r="F103" s="529">
        <f>VLOOKUP(D103,'May14 Revenue'!D:V,19,FALSE)</f>
        <v>-20000</v>
      </c>
      <c r="G103" s="680"/>
      <c r="H103" s="680"/>
      <c r="I103" s="770">
        <v>13360.52</v>
      </c>
      <c r="J103" s="682">
        <f t="shared" si="14"/>
        <v>-6639.48</v>
      </c>
      <c r="K103" s="683"/>
      <c r="L103" s="684"/>
      <c r="M103" s="753"/>
      <c r="N103" s="683">
        <v>0</v>
      </c>
      <c r="O103" s="686"/>
      <c r="P103" s="683">
        <v>0</v>
      </c>
      <c r="Q103" s="687">
        <f t="shared" si="1"/>
        <v>0</v>
      </c>
      <c r="R103" s="687"/>
      <c r="S103" s="687"/>
      <c r="T103" s="688"/>
      <c r="U103" s="693"/>
      <c r="V103" s="690" t="str">
        <f t="shared" si="18"/>
        <v/>
      </c>
      <c r="W103" s="683"/>
      <c r="X103" s="474">
        <f t="shared" si="19"/>
        <v>0</v>
      </c>
      <c r="Y103" s="474">
        <f t="shared" si="20"/>
        <v>0</v>
      </c>
      <c r="Z103" s="475">
        <f t="shared" si="21"/>
        <v>0</v>
      </c>
      <c r="AA103" s="475">
        <v>0</v>
      </c>
      <c r="AB103" s="476">
        <v>0</v>
      </c>
      <c r="AC103" s="38">
        <f t="shared" si="22"/>
        <v>0</v>
      </c>
      <c r="AD103" s="692">
        <f t="shared" si="15"/>
        <v>0</v>
      </c>
      <c r="AE103" s="692">
        <f t="shared" si="16"/>
        <v>0</v>
      </c>
      <c r="AF103" s="692">
        <f t="shared" si="17"/>
        <v>-6639.48</v>
      </c>
      <c r="AG103" s="38"/>
      <c r="AH103" s="692">
        <f t="shared" si="23"/>
        <v>0</v>
      </c>
      <c r="AI103" s="692">
        <f t="shared" si="24"/>
        <v>0</v>
      </c>
      <c r="AJ103" s="692">
        <f t="shared" si="25"/>
        <v>0</v>
      </c>
      <c r="AL103" s="38">
        <f t="shared" si="26"/>
        <v>-6639.48</v>
      </c>
      <c r="AM103" s="68" t="s">
        <v>203</v>
      </c>
    </row>
    <row r="104" spans="1:39">
      <c r="A104" s="21"/>
      <c r="B104" s="21" t="s">
        <v>110</v>
      </c>
      <c r="C104" s="666" t="s">
        <v>547</v>
      </c>
      <c r="D104" s="68" t="s">
        <v>202</v>
      </c>
      <c r="E104" s="679"/>
      <c r="F104" s="529">
        <f>VLOOKUP(D104,'May14 Revenue'!D:V,19,FALSE)</f>
        <v>0</v>
      </c>
      <c r="G104" s="680"/>
      <c r="H104" s="680"/>
      <c r="I104" s="755"/>
      <c r="J104" s="682">
        <f t="shared" si="14"/>
        <v>0</v>
      </c>
      <c r="K104" s="683"/>
      <c r="L104" s="684"/>
      <c r="M104" s="753"/>
      <c r="N104" s="683">
        <v>0</v>
      </c>
      <c r="O104" s="686"/>
      <c r="P104" s="683">
        <v>0</v>
      </c>
      <c r="Q104" s="687">
        <f t="shared" si="1"/>
        <v>0</v>
      </c>
      <c r="R104" s="687"/>
      <c r="S104" s="687"/>
      <c r="T104" s="688"/>
      <c r="U104" s="693"/>
      <c r="V104" s="690" t="str">
        <f t="shared" si="18"/>
        <v/>
      </c>
      <c r="W104" s="683"/>
      <c r="X104" s="474">
        <f t="shared" si="19"/>
        <v>0</v>
      </c>
      <c r="Y104" s="474">
        <f t="shared" si="20"/>
        <v>0</v>
      </c>
      <c r="Z104" s="475">
        <f t="shared" si="21"/>
        <v>0</v>
      </c>
      <c r="AA104" s="475">
        <v>0</v>
      </c>
      <c r="AB104" s="476">
        <v>0</v>
      </c>
      <c r="AC104" s="38">
        <f t="shared" si="22"/>
        <v>0</v>
      </c>
      <c r="AD104" s="692">
        <f t="shared" si="15"/>
        <v>0</v>
      </c>
      <c r="AE104" s="692">
        <f t="shared" si="16"/>
        <v>0</v>
      </c>
      <c r="AF104" s="692">
        <f t="shared" si="17"/>
        <v>0</v>
      </c>
      <c r="AG104" s="38"/>
      <c r="AH104" s="692">
        <f t="shared" si="23"/>
        <v>0</v>
      </c>
      <c r="AI104" s="692">
        <f t="shared" si="24"/>
        <v>0</v>
      </c>
      <c r="AJ104" s="692">
        <f t="shared" si="25"/>
        <v>0</v>
      </c>
      <c r="AL104" s="38">
        <f t="shared" si="26"/>
        <v>0</v>
      </c>
      <c r="AM104" s="68" t="s">
        <v>202</v>
      </c>
    </row>
    <row r="105" spans="1:39">
      <c r="A105" s="20" t="s">
        <v>211</v>
      </c>
      <c r="B105" s="20" t="s">
        <v>110</v>
      </c>
      <c r="C105" s="676" t="s">
        <v>1031</v>
      </c>
      <c r="D105" s="373" t="s">
        <v>466</v>
      </c>
      <c r="E105" s="679"/>
      <c r="F105" s="529">
        <f>VLOOKUP(D105,'May14 Revenue'!D:V,19,FALSE)</f>
        <v>0</v>
      </c>
      <c r="G105" s="680"/>
      <c r="H105" s="680"/>
      <c r="I105" s="770">
        <v>438.51</v>
      </c>
      <c r="J105" s="682">
        <f t="shared" si="14"/>
        <v>438.51</v>
      </c>
      <c r="K105" s="683"/>
      <c r="L105" s="684"/>
      <c r="M105" s="753"/>
      <c r="N105" s="683">
        <v>0</v>
      </c>
      <c r="O105" s="686"/>
      <c r="P105" s="683">
        <v>0</v>
      </c>
      <c r="Q105" s="687">
        <f t="shared" si="1"/>
        <v>0</v>
      </c>
      <c r="R105" s="687"/>
      <c r="S105" s="687"/>
      <c r="T105" s="688"/>
      <c r="U105" s="693"/>
      <c r="V105" s="690" t="str">
        <f t="shared" si="18"/>
        <v/>
      </c>
      <c r="W105" s="683"/>
      <c r="X105" s="474">
        <f t="shared" si="19"/>
        <v>0</v>
      </c>
      <c r="Y105" s="474">
        <f t="shared" si="20"/>
        <v>0</v>
      </c>
      <c r="Z105" s="475">
        <f t="shared" si="21"/>
        <v>0</v>
      </c>
      <c r="AA105" s="475">
        <v>0</v>
      </c>
      <c r="AB105" s="476">
        <v>0</v>
      </c>
      <c r="AC105" s="38">
        <f t="shared" si="22"/>
        <v>0</v>
      </c>
      <c r="AD105" s="692">
        <f t="shared" si="15"/>
        <v>438.51</v>
      </c>
      <c r="AE105" s="692">
        <f t="shared" si="16"/>
        <v>0</v>
      </c>
      <c r="AF105" s="692">
        <f t="shared" si="17"/>
        <v>0</v>
      </c>
      <c r="AG105" s="38"/>
      <c r="AH105" s="692">
        <f t="shared" si="23"/>
        <v>0</v>
      </c>
      <c r="AI105" s="692">
        <f t="shared" si="24"/>
        <v>0</v>
      </c>
      <c r="AJ105" s="692">
        <f t="shared" si="25"/>
        <v>0</v>
      </c>
      <c r="AL105" s="38">
        <f t="shared" si="26"/>
        <v>438.51</v>
      </c>
      <c r="AM105" s="373" t="s">
        <v>466</v>
      </c>
    </row>
    <row r="106" spans="1:39">
      <c r="A106" s="20"/>
      <c r="B106" s="20" t="s">
        <v>110</v>
      </c>
      <c r="C106" s="667"/>
      <c r="D106" s="373" t="s">
        <v>627</v>
      </c>
      <c r="E106" s="679"/>
      <c r="F106" s="529">
        <f>VLOOKUP(D106,'May14 Revenue'!D:V,19,FALSE)</f>
        <v>0</v>
      </c>
      <c r="G106" s="680"/>
      <c r="H106" s="680"/>
      <c r="I106" s="755"/>
      <c r="J106" s="682">
        <f t="shared" si="14"/>
        <v>0</v>
      </c>
      <c r="K106" s="683"/>
      <c r="L106" s="684"/>
      <c r="M106" s="753"/>
      <c r="N106" s="683">
        <v>0</v>
      </c>
      <c r="O106" s="686"/>
      <c r="P106" s="683">
        <v>0</v>
      </c>
      <c r="Q106" s="687">
        <f t="shared" si="1"/>
        <v>0</v>
      </c>
      <c r="R106" s="687"/>
      <c r="S106" s="687"/>
      <c r="T106" s="688"/>
      <c r="U106" s="693"/>
      <c r="V106" s="690" t="str">
        <f t="shared" si="18"/>
        <v/>
      </c>
      <c r="W106" s="683"/>
      <c r="X106" s="474">
        <f t="shared" si="19"/>
        <v>0</v>
      </c>
      <c r="Y106" s="474">
        <f t="shared" si="20"/>
        <v>0</v>
      </c>
      <c r="Z106" s="475">
        <f t="shared" si="21"/>
        <v>0</v>
      </c>
      <c r="AA106" s="475">
        <v>0</v>
      </c>
      <c r="AB106" s="476">
        <v>0</v>
      </c>
      <c r="AC106" s="38">
        <f t="shared" si="22"/>
        <v>0</v>
      </c>
      <c r="AD106" s="692">
        <f t="shared" si="15"/>
        <v>0</v>
      </c>
      <c r="AE106" s="692">
        <f t="shared" si="16"/>
        <v>0</v>
      </c>
      <c r="AF106" s="692">
        <f t="shared" si="17"/>
        <v>0</v>
      </c>
      <c r="AG106" s="38"/>
      <c r="AH106" s="692">
        <f t="shared" si="23"/>
        <v>0</v>
      </c>
      <c r="AI106" s="692">
        <f t="shared" si="24"/>
        <v>0</v>
      </c>
      <c r="AJ106" s="692">
        <f t="shared" si="25"/>
        <v>0</v>
      </c>
      <c r="AL106" s="38">
        <f t="shared" si="26"/>
        <v>0</v>
      </c>
      <c r="AM106" s="373" t="s">
        <v>627</v>
      </c>
    </row>
    <row r="107" spans="1:39" s="232" customFormat="1" ht="12.75" customHeight="1">
      <c r="A107" s="283"/>
      <c r="B107" s="283" t="s">
        <v>110</v>
      </c>
      <c r="C107" s="667"/>
      <c r="D107" s="123" t="s">
        <v>994</v>
      </c>
      <c r="E107" s="679"/>
      <c r="F107" s="529">
        <f>VLOOKUP(D107,'May14 Revenue'!D:V,19,FALSE)</f>
        <v>0</v>
      </c>
      <c r="G107" s="680"/>
      <c r="H107" s="680"/>
      <c r="I107" s="770">
        <v>5694982.7800000003</v>
      </c>
      <c r="J107" s="682">
        <f t="shared" si="14"/>
        <v>5694982.7800000003</v>
      </c>
      <c r="K107" s="683"/>
      <c r="L107" s="684"/>
      <c r="M107" s="753"/>
      <c r="N107" s="683">
        <v>0</v>
      </c>
      <c r="O107" s="686"/>
      <c r="P107" s="683">
        <v>0</v>
      </c>
      <c r="Q107" s="687">
        <f t="shared" si="1"/>
        <v>0</v>
      </c>
      <c r="R107" s="687"/>
      <c r="S107" s="687"/>
      <c r="T107" s="688"/>
      <c r="U107" s="693"/>
      <c r="V107" s="690" t="str">
        <f t="shared" si="18"/>
        <v/>
      </c>
      <c r="W107" s="683"/>
      <c r="X107" s="474">
        <f t="shared" si="19"/>
        <v>0</v>
      </c>
      <c r="Y107" s="474">
        <f t="shared" si="20"/>
        <v>0</v>
      </c>
      <c r="Z107" s="475">
        <f t="shared" si="21"/>
        <v>0</v>
      </c>
      <c r="AA107" s="475">
        <v>0</v>
      </c>
      <c r="AB107" s="476">
        <v>0</v>
      </c>
      <c r="AC107" s="38">
        <f t="shared" si="22"/>
        <v>0</v>
      </c>
      <c r="AD107" s="692">
        <f t="shared" si="15"/>
        <v>5694982.7800000003</v>
      </c>
      <c r="AE107" s="692">
        <f t="shared" si="16"/>
        <v>0</v>
      </c>
      <c r="AF107" s="692">
        <f t="shared" si="17"/>
        <v>0</v>
      </c>
      <c r="AG107" s="38"/>
      <c r="AH107" s="692">
        <f t="shared" si="23"/>
        <v>0</v>
      </c>
      <c r="AI107" s="692">
        <f t="shared" si="24"/>
        <v>0</v>
      </c>
      <c r="AJ107" s="692">
        <f t="shared" si="25"/>
        <v>0</v>
      </c>
      <c r="AL107" s="38">
        <f t="shared" si="26"/>
        <v>5694982.7800000003</v>
      </c>
      <c r="AM107" s="123" t="s">
        <v>994</v>
      </c>
    </row>
    <row r="108" spans="1:39" s="232" customFormat="1" ht="12.75" customHeight="1">
      <c r="A108" s="283"/>
      <c r="B108" s="283" t="s">
        <v>110</v>
      </c>
      <c r="C108" s="667"/>
      <c r="D108" s="123" t="s">
        <v>993</v>
      </c>
      <c r="E108" s="679"/>
      <c r="F108" s="529">
        <f>VLOOKUP(D108,'May14 Revenue'!D:V,19,FALSE)</f>
        <v>0</v>
      </c>
      <c r="G108" s="680"/>
      <c r="H108" s="680"/>
      <c r="I108" s="770">
        <v>2483389.06</v>
      </c>
      <c r="J108" s="682">
        <f t="shared" si="14"/>
        <v>2483389.06</v>
      </c>
      <c r="K108" s="683"/>
      <c r="L108" s="684"/>
      <c r="M108" s="753"/>
      <c r="N108" s="683">
        <v>0</v>
      </c>
      <c r="O108" s="686"/>
      <c r="P108" s="683">
        <v>0</v>
      </c>
      <c r="Q108" s="687">
        <f t="shared" si="1"/>
        <v>0</v>
      </c>
      <c r="R108" s="687"/>
      <c r="S108" s="687"/>
      <c r="T108" s="688"/>
      <c r="U108" s="693"/>
      <c r="V108" s="690" t="str">
        <f t="shared" si="18"/>
        <v/>
      </c>
      <c r="W108" s="683"/>
      <c r="X108" s="474">
        <f t="shared" si="19"/>
        <v>0</v>
      </c>
      <c r="Y108" s="474">
        <f t="shared" si="20"/>
        <v>0</v>
      </c>
      <c r="Z108" s="475">
        <f t="shared" si="21"/>
        <v>0</v>
      </c>
      <c r="AA108" s="475">
        <v>0</v>
      </c>
      <c r="AB108" s="476">
        <v>0</v>
      </c>
      <c r="AC108" s="38">
        <f t="shared" si="22"/>
        <v>0</v>
      </c>
      <c r="AD108" s="692">
        <f t="shared" si="15"/>
        <v>2483389.06</v>
      </c>
      <c r="AE108" s="692">
        <f t="shared" si="16"/>
        <v>0</v>
      </c>
      <c r="AF108" s="692">
        <f t="shared" si="17"/>
        <v>0</v>
      </c>
      <c r="AG108" s="38"/>
      <c r="AH108" s="692">
        <f t="shared" si="23"/>
        <v>0</v>
      </c>
      <c r="AI108" s="692">
        <f t="shared" si="24"/>
        <v>0</v>
      </c>
      <c r="AJ108" s="692">
        <f t="shared" si="25"/>
        <v>0</v>
      </c>
      <c r="AL108" s="38">
        <f t="shared" si="26"/>
        <v>2483389.06</v>
      </c>
      <c r="AM108" s="123" t="s">
        <v>993</v>
      </c>
    </row>
    <row r="109" spans="1:39" s="232" customFormat="1" ht="12.75" customHeight="1">
      <c r="A109" s="283"/>
      <c r="B109" s="283" t="s">
        <v>110</v>
      </c>
      <c r="C109" s="667"/>
      <c r="D109" s="123" t="s">
        <v>996</v>
      </c>
      <c r="E109" s="679"/>
      <c r="F109" s="529">
        <f>VLOOKUP(D109,'May14 Revenue'!D:V,19,FALSE)</f>
        <v>0</v>
      </c>
      <c r="G109" s="680"/>
      <c r="H109" s="680"/>
      <c r="I109" s="770">
        <v>127740.66</v>
      </c>
      <c r="J109" s="682">
        <f t="shared" si="14"/>
        <v>127740.66</v>
      </c>
      <c r="K109" s="683"/>
      <c r="L109" s="684"/>
      <c r="M109" s="753"/>
      <c r="N109" s="683">
        <v>0</v>
      </c>
      <c r="O109" s="686"/>
      <c r="P109" s="683">
        <v>0</v>
      </c>
      <c r="Q109" s="687">
        <f t="shared" si="1"/>
        <v>0</v>
      </c>
      <c r="R109" s="687"/>
      <c r="S109" s="687"/>
      <c r="T109" s="688"/>
      <c r="U109" s="693"/>
      <c r="V109" s="690" t="str">
        <f t="shared" si="18"/>
        <v/>
      </c>
      <c r="W109" s="683"/>
      <c r="X109" s="474">
        <f t="shared" si="19"/>
        <v>0</v>
      </c>
      <c r="Y109" s="474">
        <f t="shared" si="20"/>
        <v>0</v>
      </c>
      <c r="Z109" s="475">
        <f t="shared" si="21"/>
        <v>0</v>
      </c>
      <c r="AA109" s="475">
        <v>0</v>
      </c>
      <c r="AB109" s="476">
        <v>0</v>
      </c>
      <c r="AC109" s="38">
        <f t="shared" si="22"/>
        <v>0</v>
      </c>
      <c r="AD109" s="692">
        <f t="shared" si="15"/>
        <v>127740.66</v>
      </c>
      <c r="AE109" s="692">
        <f t="shared" si="16"/>
        <v>0</v>
      </c>
      <c r="AF109" s="692">
        <f t="shared" si="17"/>
        <v>0</v>
      </c>
      <c r="AG109" s="38"/>
      <c r="AH109" s="692">
        <f t="shared" si="23"/>
        <v>0</v>
      </c>
      <c r="AI109" s="692">
        <f t="shared" si="24"/>
        <v>0</v>
      </c>
      <c r="AJ109" s="692">
        <f t="shared" si="25"/>
        <v>0</v>
      </c>
      <c r="AL109" s="38">
        <f t="shared" si="26"/>
        <v>127740.66</v>
      </c>
      <c r="AM109" s="123" t="s">
        <v>996</v>
      </c>
    </row>
    <row r="110" spans="1:39" s="232" customFormat="1" ht="12.75" customHeight="1">
      <c r="A110" s="283"/>
      <c r="B110" s="283" t="s">
        <v>110</v>
      </c>
      <c r="C110" s="667"/>
      <c r="D110" s="123" t="s">
        <v>995</v>
      </c>
      <c r="E110" s="679"/>
      <c r="F110" s="529">
        <f>VLOOKUP(D110,'May14 Revenue'!D:V,19,FALSE)</f>
        <v>0</v>
      </c>
      <c r="G110" s="680"/>
      <c r="H110" s="680"/>
      <c r="I110" s="770">
        <v>11698.33</v>
      </c>
      <c r="J110" s="682">
        <f>SUM(E110:I110)</f>
        <v>11698.33</v>
      </c>
      <c r="K110" s="683"/>
      <c r="L110" s="684"/>
      <c r="M110" s="753"/>
      <c r="N110" s="683">
        <v>0</v>
      </c>
      <c r="O110" s="686"/>
      <c r="P110" s="683">
        <v>0</v>
      </c>
      <c r="Q110" s="687">
        <f>L110+M110</f>
        <v>0</v>
      </c>
      <c r="R110" s="687"/>
      <c r="S110" s="687"/>
      <c r="T110" s="688"/>
      <c r="U110" s="693"/>
      <c r="V110" s="690" t="str">
        <f>IF(T110="","",T110-Q110)</f>
        <v/>
      </c>
      <c r="W110" s="683"/>
      <c r="X110" s="474">
        <f>IF(B110="D",Q110,0)</f>
        <v>0</v>
      </c>
      <c r="Y110" s="474">
        <f>IF(B110="M",Q110,0)</f>
        <v>0</v>
      </c>
      <c r="Z110" s="475">
        <f>IF(B110="V",Q110,0)</f>
        <v>0</v>
      </c>
      <c r="AA110" s="475">
        <v>0</v>
      </c>
      <c r="AB110" s="476">
        <v>0</v>
      </c>
      <c r="AC110" s="38">
        <f>(L110+M110)-(X110+Y110+Z110+AA110+AB110)</f>
        <v>0</v>
      </c>
      <c r="AD110" s="692">
        <f>IF(B110="D",J110,0)</f>
        <v>11698.33</v>
      </c>
      <c r="AE110" s="692">
        <f>IF(B110="M",J110,0)</f>
        <v>0</v>
      </c>
      <c r="AF110" s="692">
        <f>IF(B110="V",J110,0)</f>
        <v>0</v>
      </c>
      <c r="AG110" s="38"/>
      <c r="AH110" s="692">
        <f>IF(B110="D",Q110,0)</f>
        <v>0</v>
      </c>
      <c r="AI110" s="692">
        <f>IF(B110="M",Q110,0)</f>
        <v>0</v>
      </c>
      <c r="AJ110" s="692">
        <f>IF(B110="V",Q110,0)</f>
        <v>0</v>
      </c>
      <c r="AL110" s="38">
        <f>SUM(AD110:AJ110)</f>
        <v>11698.33</v>
      </c>
      <c r="AM110" s="123" t="s">
        <v>995</v>
      </c>
    </row>
    <row r="111" spans="1:39" s="232" customFormat="1" ht="12.75" customHeight="1">
      <c r="A111" s="283"/>
      <c r="B111" s="283" t="s">
        <v>110</v>
      </c>
      <c r="C111" s="667"/>
      <c r="D111" s="123" t="s">
        <v>997</v>
      </c>
      <c r="E111" s="679"/>
      <c r="F111" s="529">
        <f>VLOOKUP(D111,'May14 Revenue'!D:V,19,FALSE)</f>
        <v>0</v>
      </c>
      <c r="G111" s="680"/>
      <c r="H111" s="680"/>
      <c r="I111" s="770">
        <v>15908.85</v>
      </c>
      <c r="J111" s="682">
        <f t="shared" si="14"/>
        <v>15908.85</v>
      </c>
      <c r="K111" s="683"/>
      <c r="L111" s="684"/>
      <c r="M111" s="753"/>
      <c r="N111" s="683">
        <v>0</v>
      </c>
      <c r="O111" s="686"/>
      <c r="P111" s="683">
        <v>0</v>
      </c>
      <c r="Q111" s="687">
        <f t="shared" si="1"/>
        <v>0</v>
      </c>
      <c r="R111" s="687"/>
      <c r="S111" s="687"/>
      <c r="T111" s="688"/>
      <c r="U111" s="693"/>
      <c r="V111" s="690" t="str">
        <f t="shared" si="18"/>
        <v/>
      </c>
      <c r="W111" s="683"/>
      <c r="X111" s="474">
        <f t="shared" si="19"/>
        <v>0</v>
      </c>
      <c r="Y111" s="474">
        <f t="shared" si="20"/>
        <v>0</v>
      </c>
      <c r="Z111" s="475">
        <f t="shared" si="21"/>
        <v>0</v>
      </c>
      <c r="AA111" s="475">
        <v>0</v>
      </c>
      <c r="AB111" s="476">
        <v>0</v>
      </c>
      <c r="AC111" s="38">
        <f t="shared" si="22"/>
        <v>0</v>
      </c>
      <c r="AD111" s="692">
        <f t="shared" si="15"/>
        <v>15908.85</v>
      </c>
      <c r="AE111" s="692">
        <f t="shared" si="16"/>
        <v>0</v>
      </c>
      <c r="AF111" s="692">
        <f t="shared" si="17"/>
        <v>0</v>
      </c>
      <c r="AG111" s="38"/>
      <c r="AH111" s="692">
        <f t="shared" si="23"/>
        <v>0</v>
      </c>
      <c r="AI111" s="692">
        <f t="shared" si="24"/>
        <v>0</v>
      </c>
      <c r="AJ111" s="692">
        <f t="shared" si="25"/>
        <v>0</v>
      </c>
      <c r="AL111" s="38">
        <f t="shared" si="26"/>
        <v>15908.85</v>
      </c>
      <c r="AM111" s="123" t="s">
        <v>997</v>
      </c>
    </row>
    <row r="112" spans="1:39" s="232" customFormat="1" ht="12.75" customHeight="1">
      <c r="A112" s="283"/>
      <c r="B112" s="283" t="s">
        <v>110</v>
      </c>
      <c r="C112" s="667"/>
      <c r="D112" s="123" t="s">
        <v>998</v>
      </c>
      <c r="E112" s="679"/>
      <c r="F112" s="529">
        <f>VLOOKUP(D112,'May14 Revenue'!D:V,19,FALSE)</f>
        <v>0</v>
      </c>
      <c r="G112" s="680"/>
      <c r="H112" s="680"/>
      <c r="I112" s="770">
        <v>25879</v>
      </c>
      <c r="J112" s="682">
        <f t="shared" si="14"/>
        <v>25879</v>
      </c>
      <c r="K112" s="683"/>
      <c r="L112" s="684"/>
      <c r="M112" s="753"/>
      <c r="N112" s="683">
        <v>0</v>
      </c>
      <c r="O112" s="686"/>
      <c r="P112" s="683">
        <v>0</v>
      </c>
      <c r="Q112" s="687">
        <f t="shared" si="1"/>
        <v>0</v>
      </c>
      <c r="R112" s="687"/>
      <c r="S112" s="687"/>
      <c r="T112" s="688"/>
      <c r="U112" s="693"/>
      <c r="V112" s="690" t="str">
        <f t="shared" si="18"/>
        <v/>
      </c>
      <c r="W112" s="683"/>
      <c r="X112" s="474">
        <f t="shared" si="19"/>
        <v>0</v>
      </c>
      <c r="Y112" s="474">
        <f t="shared" si="20"/>
        <v>0</v>
      </c>
      <c r="Z112" s="475">
        <f t="shared" si="21"/>
        <v>0</v>
      </c>
      <c r="AA112" s="475">
        <v>0</v>
      </c>
      <c r="AB112" s="476">
        <v>0</v>
      </c>
      <c r="AC112" s="38">
        <f t="shared" si="22"/>
        <v>0</v>
      </c>
      <c r="AD112" s="692">
        <f t="shared" si="15"/>
        <v>25879</v>
      </c>
      <c r="AE112" s="692">
        <f t="shared" si="16"/>
        <v>0</v>
      </c>
      <c r="AF112" s="692">
        <f t="shared" si="17"/>
        <v>0</v>
      </c>
      <c r="AG112" s="38"/>
      <c r="AH112" s="692">
        <f t="shared" si="23"/>
        <v>0</v>
      </c>
      <c r="AI112" s="692">
        <f t="shared" si="24"/>
        <v>0</v>
      </c>
      <c r="AJ112" s="692">
        <f t="shared" si="25"/>
        <v>0</v>
      </c>
      <c r="AL112" s="38">
        <f t="shared" si="26"/>
        <v>25879</v>
      </c>
      <c r="AM112" s="123" t="s">
        <v>998</v>
      </c>
    </row>
    <row r="113" spans="1:39" s="232" customFormat="1" ht="12" customHeight="1">
      <c r="A113" s="283"/>
      <c r="B113" s="283" t="s">
        <v>110</v>
      </c>
      <c r="C113" s="667"/>
      <c r="D113" s="123" t="s">
        <v>999</v>
      </c>
      <c r="E113" s="679"/>
      <c r="F113" s="529">
        <f>VLOOKUP(D113,'May14 Revenue'!D:V,19,FALSE)</f>
        <v>0</v>
      </c>
      <c r="G113" s="680"/>
      <c r="H113" s="680"/>
      <c r="I113" s="770">
        <v>6884.94</v>
      </c>
      <c r="J113" s="682">
        <f t="shared" si="14"/>
        <v>6884.94</v>
      </c>
      <c r="K113" s="683"/>
      <c r="L113" s="684"/>
      <c r="M113" s="753"/>
      <c r="N113" s="683">
        <v>0</v>
      </c>
      <c r="O113" s="686"/>
      <c r="P113" s="683">
        <v>0</v>
      </c>
      <c r="Q113" s="687">
        <f t="shared" si="1"/>
        <v>0</v>
      </c>
      <c r="R113" s="687"/>
      <c r="S113" s="687"/>
      <c r="T113" s="688"/>
      <c r="U113" s="693"/>
      <c r="V113" s="690" t="str">
        <f t="shared" si="18"/>
        <v/>
      </c>
      <c r="W113" s="683"/>
      <c r="X113" s="474">
        <f t="shared" si="19"/>
        <v>0</v>
      </c>
      <c r="Y113" s="474">
        <f t="shared" si="20"/>
        <v>0</v>
      </c>
      <c r="Z113" s="475">
        <f t="shared" si="21"/>
        <v>0</v>
      </c>
      <c r="AA113" s="475">
        <v>0</v>
      </c>
      <c r="AB113" s="476">
        <v>0</v>
      </c>
      <c r="AC113" s="38">
        <f t="shared" si="22"/>
        <v>0</v>
      </c>
      <c r="AD113" s="692">
        <f t="shared" si="15"/>
        <v>6884.94</v>
      </c>
      <c r="AE113" s="692">
        <f t="shared" si="16"/>
        <v>0</v>
      </c>
      <c r="AF113" s="692">
        <f t="shared" si="17"/>
        <v>0</v>
      </c>
      <c r="AG113" s="38"/>
      <c r="AH113" s="692">
        <f t="shared" si="23"/>
        <v>0</v>
      </c>
      <c r="AI113" s="692">
        <f t="shared" si="24"/>
        <v>0</v>
      </c>
      <c r="AJ113" s="692">
        <f t="shared" si="25"/>
        <v>0</v>
      </c>
      <c r="AL113" s="38">
        <f t="shared" si="26"/>
        <v>6884.94</v>
      </c>
      <c r="AM113" s="123" t="s">
        <v>999</v>
      </c>
    </row>
    <row r="114" spans="1:39" s="232" customFormat="1" ht="12" customHeight="1">
      <c r="A114" s="283"/>
      <c r="B114" s="283" t="s">
        <v>110</v>
      </c>
      <c r="C114" s="667"/>
      <c r="D114" s="123" t="s">
        <v>1000</v>
      </c>
      <c r="E114" s="679"/>
      <c r="F114" s="529">
        <f>VLOOKUP(D114,'May14 Revenue'!D:V,19,FALSE)</f>
        <v>0</v>
      </c>
      <c r="G114" s="680"/>
      <c r="H114" s="680"/>
      <c r="I114" s="770">
        <f>6682.26+3637.37</f>
        <v>10319.630000000001</v>
      </c>
      <c r="J114" s="682">
        <f t="shared" si="14"/>
        <v>10319.630000000001</v>
      </c>
      <c r="K114" s="683"/>
      <c r="L114" s="684"/>
      <c r="M114" s="753"/>
      <c r="N114" s="683">
        <v>0</v>
      </c>
      <c r="O114" s="686"/>
      <c r="P114" s="683">
        <v>0</v>
      </c>
      <c r="Q114" s="687">
        <f t="shared" si="1"/>
        <v>0</v>
      </c>
      <c r="R114" s="687"/>
      <c r="S114" s="687"/>
      <c r="T114" s="688"/>
      <c r="U114" s="693"/>
      <c r="V114" s="690" t="str">
        <f t="shared" si="18"/>
        <v/>
      </c>
      <c r="W114" s="683"/>
      <c r="X114" s="474">
        <f t="shared" si="19"/>
        <v>0</v>
      </c>
      <c r="Y114" s="474">
        <f t="shared" si="20"/>
        <v>0</v>
      </c>
      <c r="Z114" s="475">
        <f t="shared" si="21"/>
        <v>0</v>
      </c>
      <c r="AA114" s="475">
        <v>0</v>
      </c>
      <c r="AB114" s="476">
        <v>0</v>
      </c>
      <c r="AC114" s="38">
        <f t="shared" si="22"/>
        <v>0</v>
      </c>
      <c r="AD114" s="692">
        <f t="shared" si="15"/>
        <v>10319.630000000001</v>
      </c>
      <c r="AE114" s="692">
        <f t="shared" si="16"/>
        <v>0</v>
      </c>
      <c r="AF114" s="692">
        <f t="shared" si="17"/>
        <v>0</v>
      </c>
      <c r="AG114" s="38"/>
      <c r="AH114" s="692">
        <f t="shared" si="23"/>
        <v>0</v>
      </c>
      <c r="AI114" s="692">
        <f t="shared" si="24"/>
        <v>0</v>
      </c>
      <c r="AJ114" s="692">
        <f t="shared" si="25"/>
        <v>0</v>
      </c>
      <c r="AL114" s="38">
        <f t="shared" si="26"/>
        <v>10319.630000000001</v>
      </c>
      <c r="AM114" s="123" t="s">
        <v>1000</v>
      </c>
    </row>
    <row r="115" spans="1:39" s="232" customFormat="1" ht="12" customHeight="1">
      <c r="A115" s="283"/>
      <c r="B115" s="283" t="s">
        <v>110</v>
      </c>
      <c r="C115" s="667"/>
      <c r="D115" s="123" t="s">
        <v>1113</v>
      </c>
      <c r="E115" s="679"/>
      <c r="F115" s="529">
        <v>0</v>
      </c>
      <c r="G115" s="680"/>
      <c r="H115" s="680"/>
      <c r="I115" s="770">
        <v>235004.87</v>
      </c>
      <c r="J115" s="682">
        <f t="shared" si="14"/>
        <v>235004.87</v>
      </c>
      <c r="K115" s="683"/>
      <c r="L115" s="684"/>
      <c r="M115" s="753"/>
      <c r="N115" s="683">
        <v>0</v>
      </c>
      <c r="O115" s="686"/>
      <c r="P115" s="683">
        <v>0</v>
      </c>
      <c r="Q115" s="687">
        <f t="shared" si="1"/>
        <v>0</v>
      </c>
      <c r="R115" s="687"/>
      <c r="S115" s="687"/>
      <c r="T115" s="688"/>
      <c r="U115" s="693"/>
      <c r="V115" s="690" t="str">
        <f t="shared" si="18"/>
        <v/>
      </c>
      <c r="W115" s="683"/>
      <c r="X115" s="474">
        <f t="shared" si="19"/>
        <v>0</v>
      </c>
      <c r="Y115" s="474">
        <f t="shared" si="20"/>
        <v>0</v>
      </c>
      <c r="Z115" s="475">
        <f t="shared" si="21"/>
        <v>0</v>
      </c>
      <c r="AA115" s="475">
        <v>0</v>
      </c>
      <c r="AB115" s="476">
        <v>0</v>
      </c>
      <c r="AC115" s="38">
        <f t="shared" si="22"/>
        <v>0</v>
      </c>
      <c r="AD115" s="692">
        <f t="shared" si="15"/>
        <v>235004.87</v>
      </c>
      <c r="AE115" s="692">
        <f t="shared" si="16"/>
        <v>0</v>
      </c>
      <c r="AF115" s="692">
        <f t="shared" si="17"/>
        <v>0</v>
      </c>
      <c r="AG115" s="38"/>
      <c r="AH115" s="692">
        <f t="shared" si="23"/>
        <v>0</v>
      </c>
      <c r="AI115" s="692">
        <f t="shared" si="24"/>
        <v>0</v>
      </c>
      <c r="AJ115" s="692">
        <f t="shared" si="25"/>
        <v>0</v>
      </c>
      <c r="AL115" s="38">
        <f t="shared" si="26"/>
        <v>235004.87</v>
      </c>
      <c r="AM115" s="123" t="s">
        <v>1001</v>
      </c>
    </row>
    <row r="116" spans="1:39" s="24" customFormat="1" ht="12" customHeight="1">
      <c r="A116" s="32"/>
      <c r="B116" s="32" t="s">
        <v>110</v>
      </c>
      <c r="C116" s="667"/>
      <c r="D116" s="68" t="s">
        <v>588</v>
      </c>
      <c r="E116" s="679"/>
      <c r="F116" s="529">
        <f>VLOOKUP(D116,'May14 Revenue'!D:V,19,FALSE)</f>
        <v>0</v>
      </c>
      <c r="G116" s="680"/>
      <c r="H116" s="680"/>
      <c r="I116" s="755"/>
      <c r="J116" s="682">
        <f t="shared" si="14"/>
        <v>0</v>
      </c>
      <c r="K116" s="683"/>
      <c r="L116" s="684"/>
      <c r="M116" s="753"/>
      <c r="N116" s="698"/>
      <c r="O116" s="699"/>
      <c r="P116" s="698"/>
      <c r="Q116" s="687">
        <f t="shared" si="1"/>
        <v>0</v>
      </c>
      <c r="R116" s="687"/>
      <c r="S116" s="687"/>
      <c r="T116" s="688"/>
      <c r="U116" s="693"/>
      <c r="V116" s="690" t="str">
        <f t="shared" si="18"/>
        <v/>
      </c>
      <c r="W116" s="683"/>
      <c r="X116" s="474">
        <f t="shared" si="19"/>
        <v>0</v>
      </c>
      <c r="Y116" s="474">
        <f t="shared" si="20"/>
        <v>0</v>
      </c>
      <c r="Z116" s="475">
        <f t="shared" si="21"/>
        <v>0</v>
      </c>
      <c r="AA116" s="475">
        <v>0</v>
      </c>
      <c r="AB116" s="476">
        <v>0</v>
      </c>
      <c r="AC116" s="38">
        <f t="shared" si="22"/>
        <v>0</v>
      </c>
      <c r="AD116" s="692">
        <f t="shared" si="15"/>
        <v>0</v>
      </c>
      <c r="AE116" s="692">
        <f t="shared" si="16"/>
        <v>0</v>
      </c>
      <c r="AF116" s="692">
        <f t="shared" si="17"/>
        <v>0</v>
      </c>
      <c r="AG116" s="38"/>
      <c r="AH116" s="692">
        <f t="shared" si="23"/>
        <v>0</v>
      </c>
      <c r="AI116" s="692">
        <f t="shared" si="24"/>
        <v>0</v>
      </c>
      <c r="AJ116" s="692">
        <f t="shared" si="25"/>
        <v>0</v>
      </c>
      <c r="AL116" s="38">
        <f t="shared" si="26"/>
        <v>0</v>
      </c>
      <c r="AM116" s="68" t="s">
        <v>588</v>
      </c>
    </row>
    <row r="117" spans="1:39" s="24" customFormat="1" ht="12" customHeight="1">
      <c r="A117" s="32"/>
      <c r="B117" s="32" t="s">
        <v>110</v>
      </c>
      <c r="C117" s="667"/>
      <c r="D117" s="68" t="s">
        <v>935</v>
      </c>
      <c r="E117" s="679">
        <f>3583.14+4285.3</f>
        <v>7868.4400000000005</v>
      </c>
      <c r="F117" s="529">
        <f>VLOOKUP(D117,'May14 Revenue'!D:V,19,FALSE)</f>
        <v>-12000</v>
      </c>
      <c r="G117" s="680"/>
      <c r="H117" s="680"/>
      <c r="I117" s="755"/>
      <c r="J117" s="682">
        <f t="shared" si="14"/>
        <v>-4131.5599999999995</v>
      </c>
      <c r="K117" s="683"/>
      <c r="L117" s="684"/>
      <c r="M117" s="753">
        <v>8000</v>
      </c>
      <c r="N117" s="698"/>
      <c r="O117" s="699"/>
      <c r="P117" s="698"/>
      <c r="Q117" s="687">
        <f t="shared" si="1"/>
        <v>8000</v>
      </c>
      <c r="R117" s="687"/>
      <c r="S117" s="687"/>
      <c r="T117" s="688"/>
      <c r="U117" s="693"/>
      <c r="V117" s="690" t="str">
        <f t="shared" si="18"/>
        <v/>
      </c>
      <c r="W117" s="683"/>
      <c r="X117" s="474">
        <f t="shared" si="19"/>
        <v>8000</v>
      </c>
      <c r="Y117" s="474">
        <f t="shared" si="20"/>
        <v>0</v>
      </c>
      <c r="Z117" s="475">
        <f t="shared" si="21"/>
        <v>0</v>
      </c>
      <c r="AA117" s="475">
        <v>0</v>
      </c>
      <c r="AB117" s="476">
        <v>0</v>
      </c>
      <c r="AC117" s="38">
        <f t="shared" si="22"/>
        <v>0</v>
      </c>
      <c r="AD117" s="692">
        <f t="shared" si="15"/>
        <v>-4131.5599999999995</v>
      </c>
      <c r="AE117" s="692">
        <f t="shared" si="16"/>
        <v>0</v>
      </c>
      <c r="AF117" s="692">
        <f t="shared" si="17"/>
        <v>0</v>
      </c>
      <c r="AG117" s="38"/>
      <c r="AH117" s="692">
        <f t="shared" si="23"/>
        <v>8000</v>
      </c>
      <c r="AI117" s="692">
        <f t="shared" si="24"/>
        <v>0</v>
      </c>
      <c r="AJ117" s="692">
        <f t="shared" si="25"/>
        <v>0</v>
      </c>
      <c r="AL117" s="38">
        <f t="shared" si="26"/>
        <v>3868.4400000000005</v>
      </c>
      <c r="AM117" s="68" t="s">
        <v>935</v>
      </c>
    </row>
    <row r="118" spans="1:39" ht="12" customHeight="1">
      <c r="A118" s="21"/>
      <c r="B118" s="21" t="s">
        <v>109</v>
      </c>
      <c r="C118" s="666" t="s">
        <v>548</v>
      </c>
      <c r="D118" s="68" t="s">
        <v>461</v>
      </c>
      <c r="E118" s="679"/>
      <c r="F118" s="529">
        <f>VLOOKUP(D118,'May14 Revenue'!D:V,19,FALSE)</f>
        <v>277.97000000000003</v>
      </c>
      <c r="G118" s="680"/>
      <c r="H118" s="680"/>
      <c r="I118" s="755"/>
      <c r="J118" s="682">
        <f t="shared" si="14"/>
        <v>277.97000000000003</v>
      </c>
      <c r="K118" s="683"/>
      <c r="L118" s="684"/>
      <c r="M118" s="753"/>
      <c r="N118" s="683">
        <v>0</v>
      </c>
      <c r="O118" s="686"/>
      <c r="P118" s="683">
        <v>0</v>
      </c>
      <c r="Q118" s="687">
        <f t="shared" si="1"/>
        <v>0</v>
      </c>
      <c r="R118" s="687"/>
      <c r="S118" s="687"/>
      <c r="T118" s="688"/>
      <c r="U118" s="693"/>
      <c r="V118" s="690" t="str">
        <f t="shared" si="18"/>
        <v/>
      </c>
      <c r="W118" s="683"/>
      <c r="X118" s="474">
        <f t="shared" si="19"/>
        <v>0</v>
      </c>
      <c r="Y118" s="474">
        <f t="shared" si="20"/>
        <v>0</v>
      </c>
      <c r="Z118" s="475">
        <f t="shared" si="21"/>
        <v>0</v>
      </c>
      <c r="AA118" s="475">
        <v>0</v>
      </c>
      <c r="AB118" s="476">
        <v>0</v>
      </c>
      <c r="AC118" s="38">
        <f t="shared" si="22"/>
        <v>0</v>
      </c>
      <c r="AD118" s="692">
        <f t="shared" si="15"/>
        <v>0</v>
      </c>
      <c r="AE118" s="692">
        <f t="shared" si="16"/>
        <v>277.97000000000003</v>
      </c>
      <c r="AF118" s="692">
        <f t="shared" si="17"/>
        <v>0</v>
      </c>
      <c r="AG118" s="38"/>
      <c r="AH118" s="692">
        <f t="shared" si="23"/>
        <v>0</v>
      </c>
      <c r="AI118" s="692">
        <f t="shared" si="24"/>
        <v>0</v>
      </c>
      <c r="AJ118" s="692">
        <f t="shared" si="25"/>
        <v>0</v>
      </c>
      <c r="AL118" s="38">
        <f t="shared" si="26"/>
        <v>277.97000000000003</v>
      </c>
      <c r="AM118" s="68" t="s">
        <v>461</v>
      </c>
    </row>
    <row r="119" spans="1:39">
      <c r="A119" s="20"/>
      <c r="B119" s="20" t="s">
        <v>109</v>
      </c>
      <c r="C119" s="667" t="s">
        <v>549</v>
      </c>
      <c r="D119" s="68" t="s">
        <v>22</v>
      </c>
      <c r="E119" s="679"/>
      <c r="F119" s="529">
        <f>VLOOKUP(D119,'May14 Revenue'!D:V,19,FALSE)</f>
        <v>0</v>
      </c>
      <c r="G119" s="680"/>
      <c r="H119" s="680"/>
      <c r="I119" s="755"/>
      <c r="J119" s="682">
        <f t="shared" si="14"/>
        <v>0</v>
      </c>
      <c r="K119" s="683"/>
      <c r="L119" s="684"/>
      <c r="M119" s="753"/>
      <c r="N119" s="683">
        <v>0</v>
      </c>
      <c r="O119" s="686"/>
      <c r="P119" s="683">
        <v>0</v>
      </c>
      <c r="Q119" s="687">
        <f t="shared" si="1"/>
        <v>0</v>
      </c>
      <c r="R119" s="687"/>
      <c r="S119" s="687"/>
      <c r="T119" s="688"/>
      <c r="U119" s="693"/>
      <c r="V119" s="690" t="str">
        <f t="shared" si="18"/>
        <v/>
      </c>
      <c r="W119" s="683"/>
      <c r="X119" s="474">
        <f t="shared" si="19"/>
        <v>0</v>
      </c>
      <c r="Y119" s="474">
        <f t="shared" si="20"/>
        <v>0</v>
      </c>
      <c r="Z119" s="475">
        <f t="shared" si="21"/>
        <v>0</v>
      </c>
      <c r="AA119" s="475">
        <v>0</v>
      </c>
      <c r="AB119" s="476">
        <v>0</v>
      </c>
      <c r="AC119" s="38">
        <f t="shared" si="22"/>
        <v>0</v>
      </c>
      <c r="AD119" s="692">
        <f t="shared" si="15"/>
        <v>0</v>
      </c>
      <c r="AE119" s="692">
        <f t="shared" si="16"/>
        <v>0</v>
      </c>
      <c r="AF119" s="692">
        <f t="shared" si="17"/>
        <v>0</v>
      </c>
      <c r="AG119" s="38"/>
      <c r="AH119" s="692">
        <f t="shared" si="23"/>
        <v>0</v>
      </c>
      <c r="AI119" s="692">
        <f t="shared" si="24"/>
        <v>0</v>
      </c>
      <c r="AJ119" s="692">
        <f t="shared" si="25"/>
        <v>0</v>
      </c>
      <c r="AL119" s="38">
        <f t="shared" si="26"/>
        <v>0</v>
      </c>
      <c r="AM119" s="68" t="s">
        <v>22</v>
      </c>
    </row>
    <row r="120" spans="1:39">
      <c r="A120" s="20"/>
      <c r="B120" s="20" t="s">
        <v>110</v>
      </c>
      <c r="C120" s="667"/>
      <c r="D120" s="68" t="s">
        <v>24</v>
      </c>
      <c r="E120" s="679"/>
      <c r="F120" s="529">
        <f>VLOOKUP(D120,'May14 Revenue'!D:V,19,FALSE)</f>
        <v>633.35000000000036</v>
      </c>
      <c r="G120" s="680"/>
      <c r="H120" s="680"/>
      <c r="I120" s="755"/>
      <c r="J120" s="682">
        <f t="shared" si="14"/>
        <v>633.35000000000036</v>
      </c>
      <c r="K120" s="683"/>
      <c r="L120" s="684"/>
      <c r="M120" s="753">
        <v>10000</v>
      </c>
      <c r="N120" s="683">
        <v>0</v>
      </c>
      <c r="O120" s="686"/>
      <c r="P120" s="683">
        <v>0</v>
      </c>
      <c r="Q120" s="687">
        <f t="shared" si="1"/>
        <v>10000</v>
      </c>
      <c r="R120" s="687"/>
      <c r="S120" s="687"/>
      <c r="T120" s="688"/>
      <c r="U120" s="693"/>
      <c r="V120" s="690" t="str">
        <f t="shared" si="18"/>
        <v/>
      </c>
      <c r="W120" s="683"/>
      <c r="X120" s="474">
        <f t="shared" si="19"/>
        <v>10000</v>
      </c>
      <c r="Y120" s="474">
        <f t="shared" si="20"/>
        <v>0</v>
      </c>
      <c r="Z120" s="475">
        <f t="shared" si="21"/>
        <v>0</v>
      </c>
      <c r="AA120" s="475">
        <v>0</v>
      </c>
      <c r="AB120" s="476">
        <v>0</v>
      </c>
      <c r="AC120" s="38">
        <f t="shared" si="22"/>
        <v>0</v>
      </c>
      <c r="AD120" s="692">
        <f t="shared" si="15"/>
        <v>633.35000000000036</v>
      </c>
      <c r="AE120" s="692">
        <f t="shared" si="16"/>
        <v>0</v>
      </c>
      <c r="AF120" s="692">
        <f t="shared" si="17"/>
        <v>0</v>
      </c>
      <c r="AG120" s="38"/>
      <c r="AH120" s="692">
        <f t="shared" si="23"/>
        <v>10000</v>
      </c>
      <c r="AI120" s="692">
        <f t="shared" si="24"/>
        <v>0</v>
      </c>
      <c r="AJ120" s="692">
        <f t="shared" si="25"/>
        <v>0</v>
      </c>
      <c r="AL120" s="38">
        <f t="shared" si="26"/>
        <v>10633.35</v>
      </c>
      <c r="AM120" s="68" t="s">
        <v>24</v>
      </c>
    </row>
    <row r="121" spans="1:39">
      <c r="A121" s="21"/>
      <c r="B121" s="21" t="s">
        <v>110</v>
      </c>
      <c r="C121" s="666"/>
      <c r="D121" s="68" t="s">
        <v>1019</v>
      </c>
      <c r="E121" s="679"/>
      <c r="F121" s="529">
        <f>VLOOKUP(D121,'May14 Revenue'!D:V,19,FALSE)</f>
        <v>0</v>
      </c>
      <c r="G121" s="680"/>
      <c r="H121" s="680"/>
      <c r="I121" s="755"/>
      <c r="J121" s="682">
        <f t="shared" si="14"/>
        <v>0</v>
      </c>
      <c r="K121" s="683"/>
      <c r="L121" s="684"/>
      <c r="M121" s="753"/>
      <c r="N121" s="683">
        <v>0</v>
      </c>
      <c r="O121" s="686"/>
      <c r="P121" s="683">
        <v>0</v>
      </c>
      <c r="Q121" s="687">
        <f t="shared" si="1"/>
        <v>0</v>
      </c>
      <c r="R121" s="687"/>
      <c r="S121" s="687"/>
      <c r="T121" s="688"/>
      <c r="U121" s="693"/>
      <c r="V121" s="690" t="str">
        <f t="shared" si="18"/>
        <v/>
      </c>
      <c r="W121" s="683"/>
      <c r="X121" s="474">
        <f t="shared" si="19"/>
        <v>0</v>
      </c>
      <c r="Y121" s="474">
        <f t="shared" si="20"/>
        <v>0</v>
      </c>
      <c r="Z121" s="475">
        <f t="shared" si="21"/>
        <v>0</v>
      </c>
      <c r="AA121" s="475">
        <v>0</v>
      </c>
      <c r="AB121" s="476">
        <v>0</v>
      </c>
      <c r="AC121" s="38">
        <f t="shared" si="22"/>
        <v>0</v>
      </c>
      <c r="AD121" s="692">
        <f t="shared" si="15"/>
        <v>0</v>
      </c>
      <c r="AE121" s="692">
        <f t="shared" si="16"/>
        <v>0</v>
      </c>
      <c r="AF121" s="692">
        <f t="shared" si="17"/>
        <v>0</v>
      </c>
      <c r="AG121" s="38"/>
      <c r="AH121" s="692">
        <f t="shared" si="23"/>
        <v>0</v>
      </c>
      <c r="AI121" s="692">
        <f t="shared" si="24"/>
        <v>0</v>
      </c>
      <c r="AJ121" s="692">
        <f t="shared" si="25"/>
        <v>0</v>
      </c>
      <c r="AL121" s="38">
        <f t="shared" si="26"/>
        <v>0</v>
      </c>
      <c r="AM121" s="68" t="s">
        <v>1019</v>
      </c>
    </row>
    <row r="122" spans="1:39">
      <c r="A122" s="21"/>
      <c r="B122" s="21" t="s">
        <v>110</v>
      </c>
      <c r="C122" s="666"/>
      <c r="D122" s="68" t="s">
        <v>937</v>
      </c>
      <c r="E122" s="679"/>
      <c r="F122" s="529">
        <f>VLOOKUP(D122,'May14 Revenue'!D:V,19,FALSE)</f>
        <v>-6023.8</v>
      </c>
      <c r="G122" s="680"/>
      <c r="H122" s="680"/>
      <c r="I122" s="755"/>
      <c r="J122" s="682">
        <f t="shared" si="14"/>
        <v>-6023.8</v>
      </c>
      <c r="K122" s="683"/>
      <c r="L122" s="684"/>
      <c r="M122" s="753"/>
      <c r="N122" s="683">
        <v>0</v>
      </c>
      <c r="O122" s="686"/>
      <c r="P122" s="683">
        <v>0</v>
      </c>
      <c r="Q122" s="687">
        <f t="shared" si="1"/>
        <v>0</v>
      </c>
      <c r="R122" s="687"/>
      <c r="S122" s="687"/>
      <c r="T122" s="688"/>
      <c r="U122" s="693"/>
      <c r="V122" s="690" t="str">
        <f t="shared" si="18"/>
        <v/>
      </c>
      <c r="W122" s="683"/>
      <c r="X122" s="474">
        <f t="shared" si="19"/>
        <v>0</v>
      </c>
      <c r="Y122" s="474">
        <f t="shared" si="20"/>
        <v>0</v>
      </c>
      <c r="Z122" s="475">
        <f t="shared" si="21"/>
        <v>0</v>
      </c>
      <c r="AA122" s="475">
        <v>0</v>
      </c>
      <c r="AB122" s="476">
        <v>0</v>
      </c>
      <c r="AC122" s="38">
        <f t="shared" si="22"/>
        <v>0</v>
      </c>
      <c r="AD122" s="692">
        <f t="shared" si="15"/>
        <v>-6023.8</v>
      </c>
      <c r="AE122" s="692">
        <f t="shared" si="16"/>
        <v>0</v>
      </c>
      <c r="AF122" s="692">
        <f t="shared" si="17"/>
        <v>0</v>
      </c>
      <c r="AG122" s="38"/>
      <c r="AH122" s="692">
        <f t="shared" si="23"/>
        <v>0</v>
      </c>
      <c r="AI122" s="692">
        <f t="shared" si="24"/>
        <v>0</v>
      </c>
      <c r="AJ122" s="692">
        <f t="shared" si="25"/>
        <v>0</v>
      </c>
      <c r="AL122" s="38">
        <f t="shared" si="26"/>
        <v>-6023.8</v>
      </c>
      <c r="AM122" s="68" t="s">
        <v>937</v>
      </c>
    </row>
    <row r="123" spans="1:39">
      <c r="A123" s="21"/>
      <c r="B123" s="21" t="s">
        <v>110</v>
      </c>
      <c r="C123" s="666"/>
      <c r="D123" s="68" t="s">
        <v>967</v>
      </c>
      <c r="E123" s="679"/>
      <c r="F123" s="529">
        <f>VLOOKUP(D123,'May14 Revenue'!D:V,19,FALSE)</f>
        <v>-180000</v>
      </c>
      <c r="G123" s="680"/>
      <c r="H123" s="680"/>
      <c r="I123" s="755"/>
      <c r="J123" s="682">
        <f t="shared" si="14"/>
        <v>-180000</v>
      </c>
      <c r="K123" s="683"/>
      <c r="L123" s="684"/>
      <c r="M123" s="753">
        <v>270000</v>
      </c>
      <c r="N123" s="683">
        <v>0</v>
      </c>
      <c r="O123" s="686"/>
      <c r="P123" s="683">
        <v>0</v>
      </c>
      <c r="Q123" s="687">
        <f t="shared" si="1"/>
        <v>270000</v>
      </c>
      <c r="R123" s="687"/>
      <c r="S123" s="687"/>
      <c r="T123" s="688"/>
      <c r="U123" s="693"/>
      <c r="V123" s="690" t="str">
        <f t="shared" si="18"/>
        <v/>
      </c>
      <c r="W123" s="683"/>
      <c r="X123" s="474">
        <f t="shared" si="19"/>
        <v>270000</v>
      </c>
      <c r="Y123" s="474">
        <f t="shared" si="20"/>
        <v>0</v>
      </c>
      <c r="Z123" s="475">
        <f t="shared" si="21"/>
        <v>0</v>
      </c>
      <c r="AA123" s="475">
        <v>0</v>
      </c>
      <c r="AB123" s="476">
        <v>0</v>
      </c>
      <c r="AC123" s="38">
        <f t="shared" si="22"/>
        <v>0</v>
      </c>
      <c r="AD123" s="692">
        <f t="shared" si="15"/>
        <v>-180000</v>
      </c>
      <c r="AE123" s="692">
        <f t="shared" si="16"/>
        <v>0</v>
      </c>
      <c r="AF123" s="692">
        <f t="shared" si="17"/>
        <v>0</v>
      </c>
      <c r="AG123" s="38"/>
      <c r="AH123" s="692">
        <f t="shared" si="23"/>
        <v>270000</v>
      </c>
      <c r="AI123" s="692">
        <f t="shared" si="24"/>
        <v>0</v>
      </c>
      <c r="AJ123" s="692">
        <f t="shared" si="25"/>
        <v>0</v>
      </c>
      <c r="AL123" s="38">
        <f t="shared" si="26"/>
        <v>90000</v>
      </c>
      <c r="AM123" s="68" t="s">
        <v>967</v>
      </c>
    </row>
    <row r="124" spans="1:39">
      <c r="A124" s="21"/>
      <c r="B124" s="21" t="s">
        <v>110</v>
      </c>
      <c r="C124" s="666"/>
      <c r="D124" s="68" t="s">
        <v>1002</v>
      </c>
      <c r="E124" s="679"/>
      <c r="F124" s="529">
        <f>VLOOKUP(D124,'May14 Revenue'!D:V,19,FALSE)</f>
        <v>0</v>
      </c>
      <c r="G124" s="680"/>
      <c r="H124" s="680"/>
      <c r="I124" s="755"/>
      <c r="J124" s="682">
        <f t="shared" si="14"/>
        <v>0</v>
      </c>
      <c r="K124" s="683"/>
      <c r="L124" s="684"/>
      <c r="M124" s="753"/>
      <c r="N124" s="683">
        <v>0</v>
      </c>
      <c r="O124" s="686"/>
      <c r="P124" s="683">
        <v>0</v>
      </c>
      <c r="Q124" s="687">
        <f t="shared" si="1"/>
        <v>0</v>
      </c>
      <c r="R124" s="687"/>
      <c r="S124" s="687"/>
      <c r="T124" s="688"/>
      <c r="U124" s="693"/>
      <c r="V124" s="690" t="str">
        <f t="shared" si="18"/>
        <v/>
      </c>
      <c r="W124" s="683"/>
      <c r="X124" s="474">
        <f t="shared" si="19"/>
        <v>0</v>
      </c>
      <c r="Y124" s="474">
        <f t="shared" si="20"/>
        <v>0</v>
      </c>
      <c r="Z124" s="475">
        <f t="shared" si="21"/>
        <v>0</v>
      </c>
      <c r="AA124" s="475">
        <v>0</v>
      </c>
      <c r="AB124" s="476">
        <v>0</v>
      </c>
      <c r="AC124" s="38">
        <f t="shared" si="22"/>
        <v>0</v>
      </c>
      <c r="AD124" s="692">
        <f t="shared" si="15"/>
        <v>0</v>
      </c>
      <c r="AE124" s="692">
        <f t="shared" si="16"/>
        <v>0</v>
      </c>
      <c r="AF124" s="692">
        <f t="shared" si="17"/>
        <v>0</v>
      </c>
      <c r="AG124" s="38"/>
      <c r="AH124" s="692">
        <f t="shared" si="23"/>
        <v>0</v>
      </c>
      <c r="AI124" s="692">
        <f t="shared" si="24"/>
        <v>0</v>
      </c>
      <c r="AJ124" s="692">
        <f t="shared" si="25"/>
        <v>0</v>
      </c>
      <c r="AL124" s="38">
        <f t="shared" si="26"/>
        <v>0</v>
      </c>
      <c r="AM124" s="68" t="s">
        <v>1002</v>
      </c>
    </row>
    <row r="125" spans="1:39">
      <c r="A125" s="20"/>
      <c r="B125" s="20" t="s">
        <v>110</v>
      </c>
      <c r="C125" s="667"/>
      <c r="D125" s="68" t="s">
        <v>1013</v>
      </c>
      <c r="E125" s="679">
        <f>1034.84+476.74</f>
        <v>1511.58</v>
      </c>
      <c r="F125" s="529">
        <f>VLOOKUP(D125,'May14 Revenue'!D:V,19,FALSE)</f>
        <v>0</v>
      </c>
      <c r="G125" s="680"/>
      <c r="H125" s="680"/>
      <c r="I125" s="770">
        <v>4661.54</v>
      </c>
      <c r="J125" s="682">
        <f t="shared" si="14"/>
        <v>6173.12</v>
      </c>
      <c r="K125" s="683"/>
      <c r="L125" s="684"/>
      <c r="M125" s="753"/>
      <c r="N125" s="683">
        <v>0</v>
      </c>
      <c r="O125" s="686"/>
      <c r="P125" s="683">
        <v>0</v>
      </c>
      <c r="Q125" s="687">
        <f t="shared" si="1"/>
        <v>0</v>
      </c>
      <c r="R125" s="687"/>
      <c r="S125" s="687"/>
      <c r="T125" s="688"/>
      <c r="U125" s="693"/>
      <c r="V125" s="690" t="str">
        <f t="shared" si="18"/>
        <v/>
      </c>
      <c r="W125" s="683"/>
      <c r="X125" s="474">
        <f t="shared" si="19"/>
        <v>0</v>
      </c>
      <c r="Y125" s="474">
        <f t="shared" si="20"/>
        <v>0</v>
      </c>
      <c r="Z125" s="475">
        <f t="shared" si="21"/>
        <v>0</v>
      </c>
      <c r="AA125" s="475">
        <v>0</v>
      </c>
      <c r="AB125" s="476">
        <v>0</v>
      </c>
      <c r="AC125" s="38">
        <f t="shared" si="22"/>
        <v>0</v>
      </c>
      <c r="AD125" s="692">
        <f t="shared" si="15"/>
        <v>6173.12</v>
      </c>
      <c r="AE125" s="692">
        <f t="shared" si="16"/>
        <v>0</v>
      </c>
      <c r="AF125" s="692">
        <f t="shared" si="17"/>
        <v>0</v>
      </c>
      <c r="AG125" s="38"/>
      <c r="AH125" s="692">
        <f t="shared" si="23"/>
        <v>0</v>
      </c>
      <c r="AI125" s="692">
        <f t="shared" si="24"/>
        <v>0</v>
      </c>
      <c r="AJ125" s="692">
        <f t="shared" si="25"/>
        <v>0</v>
      </c>
      <c r="AL125" s="38">
        <f t="shared" si="26"/>
        <v>6173.12</v>
      </c>
      <c r="AM125" s="68" t="s">
        <v>1013</v>
      </c>
    </row>
    <row r="126" spans="1:39">
      <c r="A126" s="20"/>
      <c r="B126" s="20" t="s">
        <v>110</v>
      </c>
      <c r="C126" s="667"/>
      <c r="D126" s="68" t="s">
        <v>1088</v>
      </c>
      <c r="E126" s="679"/>
      <c r="F126" s="529">
        <f>VLOOKUP(D126,'May14 Revenue'!D:V,19,FALSE)</f>
        <v>0</v>
      </c>
      <c r="G126" s="680"/>
      <c r="H126" s="680"/>
      <c r="I126" s="770">
        <v>19.600000000000001</v>
      </c>
      <c r="J126" s="682">
        <f t="shared" si="14"/>
        <v>19.600000000000001</v>
      </c>
      <c r="K126" s="683"/>
      <c r="L126" s="684"/>
      <c r="M126" s="753"/>
      <c r="N126" s="683">
        <v>0</v>
      </c>
      <c r="O126" s="686"/>
      <c r="P126" s="683">
        <v>0</v>
      </c>
      <c r="Q126" s="687">
        <f t="shared" si="1"/>
        <v>0</v>
      </c>
      <c r="R126" s="687"/>
      <c r="S126" s="687"/>
      <c r="T126" s="688"/>
      <c r="U126" s="693"/>
      <c r="V126" s="690" t="str">
        <f t="shared" si="18"/>
        <v/>
      </c>
      <c r="W126" s="683"/>
      <c r="X126" s="474">
        <f t="shared" si="19"/>
        <v>0</v>
      </c>
      <c r="Y126" s="474">
        <f t="shared" si="20"/>
        <v>0</v>
      </c>
      <c r="Z126" s="475">
        <f t="shared" si="21"/>
        <v>0</v>
      </c>
      <c r="AA126" s="475">
        <v>0</v>
      </c>
      <c r="AB126" s="476">
        <v>0</v>
      </c>
      <c r="AC126" s="38">
        <f t="shared" si="22"/>
        <v>0</v>
      </c>
      <c r="AD126" s="692">
        <f t="shared" si="15"/>
        <v>19.600000000000001</v>
      </c>
      <c r="AE126" s="692">
        <f t="shared" si="16"/>
        <v>0</v>
      </c>
      <c r="AF126" s="692">
        <f t="shared" si="17"/>
        <v>0</v>
      </c>
      <c r="AG126" s="38"/>
      <c r="AH126" s="692">
        <f t="shared" si="23"/>
        <v>0</v>
      </c>
      <c r="AI126" s="692">
        <f t="shared" si="24"/>
        <v>0</v>
      </c>
      <c r="AJ126" s="692">
        <f t="shared" si="25"/>
        <v>0</v>
      </c>
      <c r="AL126" s="38">
        <f t="shared" si="26"/>
        <v>19.600000000000001</v>
      </c>
      <c r="AM126" s="68"/>
    </row>
    <row r="127" spans="1:39">
      <c r="A127" s="21"/>
      <c r="B127" s="21" t="s">
        <v>110</v>
      </c>
      <c r="C127" s="666" t="s">
        <v>550</v>
      </c>
      <c r="D127" s="68" t="s">
        <v>282</v>
      </c>
      <c r="E127" s="679">
        <v>53898.65</v>
      </c>
      <c r="F127" s="529">
        <f>VLOOKUP(D127,'May14 Revenue'!D:V,19,FALSE)</f>
        <v>-59928.61</v>
      </c>
      <c r="G127" s="680"/>
      <c r="H127" s="680"/>
      <c r="I127" s="755"/>
      <c r="J127" s="682">
        <f t="shared" si="14"/>
        <v>-6029.9599999999991</v>
      </c>
      <c r="K127" s="683"/>
      <c r="L127" s="684"/>
      <c r="M127" s="753">
        <v>60000</v>
      </c>
      <c r="N127" s="683">
        <v>0</v>
      </c>
      <c r="O127" s="686"/>
      <c r="P127" s="683">
        <v>0</v>
      </c>
      <c r="Q127" s="687">
        <f t="shared" si="1"/>
        <v>60000</v>
      </c>
      <c r="R127" s="687"/>
      <c r="S127" s="687"/>
      <c r="T127" s="688"/>
      <c r="U127" s="693"/>
      <c r="V127" s="690" t="str">
        <f t="shared" si="18"/>
        <v/>
      </c>
      <c r="W127" s="683"/>
      <c r="X127" s="474">
        <f t="shared" si="19"/>
        <v>60000</v>
      </c>
      <c r="Y127" s="474">
        <f t="shared" si="20"/>
        <v>0</v>
      </c>
      <c r="Z127" s="475">
        <f t="shared" si="21"/>
        <v>0</v>
      </c>
      <c r="AA127" s="475">
        <v>0</v>
      </c>
      <c r="AB127" s="476">
        <v>0</v>
      </c>
      <c r="AC127" s="38">
        <f t="shared" si="22"/>
        <v>0</v>
      </c>
      <c r="AD127" s="692">
        <f t="shared" si="15"/>
        <v>-6029.9599999999991</v>
      </c>
      <c r="AE127" s="692">
        <f t="shared" si="16"/>
        <v>0</v>
      </c>
      <c r="AF127" s="692">
        <f t="shared" si="17"/>
        <v>0</v>
      </c>
      <c r="AG127" s="38"/>
      <c r="AH127" s="692">
        <f t="shared" si="23"/>
        <v>60000</v>
      </c>
      <c r="AI127" s="692">
        <f t="shared" si="24"/>
        <v>0</v>
      </c>
      <c r="AJ127" s="692">
        <f t="shared" si="25"/>
        <v>0</v>
      </c>
      <c r="AL127" s="38">
        <f t="shared" si="26"/>
        <v>53970.04</v>
      </c>
      <c r="AM127" s="68" t="s">
        <v>282</v>
      </c>
    </row>
    <row r="128" spans="1:39">
      <c r="A128" s="21"/>
      <c r="B128" s="21" t="s">
        <v>109</v>
      </c>
      <c r="C128" s="666" t="s">
        <v>551</v>
      </c>
      <c r="D128" s="68" t="s">
        <v>499</v>
      </c>
      <c r="E128" s="679"/>
      <c r="F128" s="529">
        <f>VLOOKUP(D128,'May14 Revenue'!D:V,19,FALSE)</f>
        <v>0</v>
      </c>
      <c r="G128" s="680"/>
      <c r="H128" s="680"/>
      <c r="I128" s="755"/>
      <c r="J128" s="682">
        <f t="shared" si="14"/>
        <v>0</v>
      </c>
      <c r="K128" s="683"/>
      <c r="L128" s="684"/>
      <c r="M128" s="753"/>
      <c r="N128" s="683">
        <v>0</v>
      </c>
      <c r="O128" s="686"/>
      <c r="P128" s="683">
        <v>0</v>
      </c>
      <c r="Q128" s="687">
        <f t="shared" si="1"/>
        <v>0</v>
      </c>
      <c r="R128" s="687"/>
      <c r="S128" s="687"/>
      <c r="T128" s="688"/>
      <c r="U128" s="693"/>
      <c r="V128" s="690" t="str">
        <f t="shared" si="18"/>
        <v/>
      </c>
      <c r="W128" s="683"/>
      <c r="X128" s="474">
        <f t="shared" si="19"/>
        <v>0</v>
      </c>
      <c r="Y128" s="474">
        <f t="shared" si="20"/>
        <v>0</v>
      </c>
      <c r="Z128" s="475">
        <f t="shared" si="21"/>
        <v>0</v>
      </c>
      <c r="AA128" s="475">
        <v>0</v>
      </c>
      <c r="AB128" s="476">
        <v>0</v>
      </c>
      <c r="AC128" s="38">
        <f t="shared" si="22"/>
        <v>0</v>
      </c>
      <c r="AD128" s="692">
        <f t="shared" si="15"/>
        <v>0</v>
      </c>
      <c r="AE128" s="692">
        <f t="shared" si="16"/>
        <v>0</v>
      </c>
      <c r="AF128" s="692">
        <f t="shared" si="17"/>
        <v>0</v>
      </c>
      <c r="AG128" s="38"/>
      <c r="AH128" s="692">
        <f t="shared" si="23"/>
        <v>0</v>
      </c>
      <c r="AI128" s="692">
        <f t="shared" si="24"/>
        <v>0</v>
      </c>
      <c r="AJ128" s="692">
        <f t="shared" si="25"/>
        <v>0</v>
      </c>
      <c r="AL128" s="38">
        <f t="shared" si="26"/>
        <v>0</v>
      </c>
      <c r="AM128" s="68" t="s">
        <v>499</v>
      </c>
    </row>
    <row r="129" spans="1:39">
      <c r="A129" s="21"/>
      <c r="B129" s="21" t="s">
        <v>110</v>
      </c>
      <c r="C129" s="666"/>
      <c r="D129" s="68" t="s">
        <v>1040</v>
      </c>
      <c r="E129" s="679"/>
      <c r="F129" s="529">
        <f>VLOOKUP(D129,'May14 Revenue'!D:V,19,FALSE)</f>
        <v>0</v>
      </c>
      <c r="G129" s="680"/>
      <c r="H129" s="680"/>
      <c r="I129" s="755"/>
      <c r="J129" s="682">
        <f t="shared" si="14"/>
        <v>0</v>
      </c>
      <c r="K129" s="683"/>
      <c r="L129" s="684"/>
      <c r="M129" s="753"/>
      <c r="N129" s="683">
        <v>0</v>
      </c>
      <c r="O129" s="686"/>
      <c r="P129" s="683">
        <v>0</v>
      </c>
      <c r="Q129" s="687">
        <f t="shared" si="1"/>
        <v>0</v>
      </c>
      <c r="R129" s="687"/>
      <c r="S129" s="687"/>
      <c r="T129" s="688"/>
      <c r="U129" s="693"/>
      <c r="V129" s="690" t="str">
        <f t="shared" si="18"/>
        <v/>
      </c>
      <c r="W129" s="683"/>
      <c r="X129" s="474">
        <f t="shared" si="19"/>
        <v>0</v>
      </c>
      <c r="Y129" s="474">
        <f t="shared" si="20"/>
        <v>0</v>
      </c>
      <c r="Z129" s="475">
        <f t="shared" si="21"/>
        <v>0</v>
      </c>
      <c r="AA129" s="475">
        <v>0</v>
      </c>
      <c r="AB129" s="476">
        <v>0</v>
      </c>
      <c r="AC129" s="38">
        <f t="shared" si="22"/>
        <v>0</v>
      </c>
      <c r="AD129" s="692">
        <f t="shared" si="15"/>
        <v>0</v>
      </c>
      <c r="AE129" s="692">
        <f t="shared" si="16"/>
        <v>0</v>
      </c>
      <c r="AF129" s="692">
        <f t="shared" si="17"/>
        <v>0</v>
      </c>
      <c r="AG129" s="38"/>
      <c r="AH129" s="692">
        <f t="shared" si="23"/>
        <v>0</v>
      </c>
      <c r="AI129" s="692">
        <f t="shared" si="24"/>
        <v>0</v>
      </c>
      <c r="AJ129" s="692">
        <f t="shared" si="25"/>
        <v>0</v>
      </c>
      <c r="AL129" s="38">
        <f t="shared" si="26"/>
        <v>0</v>
      </c>
      <c r="AM129" s="68" t="s">
        <v>1019</v>
      </c>
    </row>
    <row r="130" spans="1:39">
      <c r="A130" s="21"/>
      <c r="B130" s="21" t="s">
        <v>110</v>
      </c>
      <c r="C130" s="666"/>
      <c r="D130" s="68" t="s">
        <v>28</v>
      </c>
      <c r="E130" s="679"/>
      <c r="F130" s="529">
        <f>VLOOKUP(D130,'May14 Revenue'!D:V,19,FALSE)</f>
        <v>0</v>
      </c>
      <c r="G130" s="680"/>
      <c r="H130" s="680"/>
      <c r="I130" s="770">
        <v>15794.1</v>
      </c>
      <c r="J130" s="682">
        <f t="shared" si="14"/>
        <v>15794.1</v>
      </c>
      <c r="K130" s="683"/>
      <c r="L130" s="684"/>
      <c r="M130" s="753"/>
      <c r="N130" s="683">
        <v>0</v>
      </c>
      <c r="O130" s="686"/>
      <c r="P130" s="683">
        <v>0</v>
      </c>
      <c r="Q130" s="687">
        <f t="shared" si="1"/>
        <v>0</v>
      </c>
      <c r="R130" s="687"/>
      <c r="S130" s="687"/>
      <c r="T130" s="688"/>
      <c r="U130" s="693"/>
      <c r="V130" s="690" t="str">
        <f t="shared" si="18"/>
        <v/>
      </c>
      <c r="W130" s="683"/>
      <c r="X130" s="474">
        <f t="shared" si="19"/>
        <v>0</v>
      </c>
      <c r="Y130" s="474">
        <f t="shared" si="20"/>
        <v>0</v>
      </c>
      <c r="Z130" s="475">
        <f t="shared" si="21"/>
        <v>0</v>
      </c>
      <c r="AA130" s="475">
        <v>0</v>
      </c>
      <c r="AB130" s="476">
        <v>0</v>
      </c>
      <c r="AC130" s="38">
        <f t="shared" si="22"/>
        <v>0</v>
      </c>
      <c r="AD130" s="692">
        <f t="shared" si="15"/>
        <v>15794.1</v>
      </c>
      <c r="AE130" s="692">
        <f t="shared" si="16"/>
        <v>0</v>
      </c>
      <c r="AF130" s="692">
        <f t="shared" si="17"/>
        <v>0</v>
      </c>
      <c r="AG130" s="38"/>
      <c r="AH130" s="692">
        <f t="shared" si="23"/>
        <v>0</v>
      </c>
      <c r="AI130" s="692">
        <f t="shared" si="24"/>
        <v>0</v>
      </c>
      <c r="AJ130" s="692">
        <f t="shared" si="25"/>
        <v>0</v>
      </c>
      <c r="AL130" s="38">
        <f t="shared" si="26"/>
        <v>15794.1</v>
      </c>
      <c r="AM130" s="68" t="s">
        <v>28</v>
      </c>
    </row>
    <row r="131" spans="1:39">
      <c r="A131" s="21"/>
      <c r="B131" s="21" t="s">
        <v>114</v>
      </c>
      <c r="C131" s="666" t="s">
        <v>552</v>
      </c>
      <c r="D131" s="68" t="s">
        <v>513</v>
      </c>
      <c r="E131" s="679">
        <f>2611.7+2658.1</f>
        <v>5269.7999999999993</v>
      </c>
      <c r="F131" s="529">
        <f>VLOOKUP(D131,'May14 Revenue'!D:V,19,FALSE)</f>
        <v>-12000</v>
      </c>
      <c r="G131" s="680"/>
      <c r="H131" s="680"/>
      <c r="I131" s="755"/>
      <c r="J131" s="682">
        <f t="shared" si="14"/>
        <v>-6730.2000000000007</v>
      </c>
      <c r="K131" s="683"/>
      <c r="L131" s="684"/>
      <c r="M131" s="753">
        <v>9000</v>
      </c>
      <c r="N131" s="683">
        <v>0</v>
      </c>
      <c r="O131" s="686"/>
      <c r="P131" s="683">
        <v>0</v>
      </c>
      <c r="Q131" s="687">
        <f>L131+M131</f>
        <v>9000</v>
      </c>
      <c r="R131" s="687"/>
      <c r="S131" s="687"/>
      <c r="T131" s="688"/>
      <c r="U131" s="693"/>
      <c r="V131" s="690"/>
      <c r="W131" s="683"/>
      <c r="X131" s="474">
        <f t="shared" si="19"/>
        <v>0</v>
      </c>
      <c r="Y131" s="474">
        <f t="shared" si="20"/>
        <v>0</v>
      </c>
      <c r="Z131" s="475">
        <f t="shared" si="21"/>
        <v>9000</v>
      </c>
      <c r="AA131" s="475">
        <v>0</v>
      </c>
      <c r="AB131" s="476">
        <v>0</v>
      </c>
      <c r="AC131" s="38">
        <f t="shared" si="22"/>
        <v>0</v>
      </c>
      <c r="AD131" s="692">
        <f t="shared" si="15"/>
        <v>0</v>
      </c>
      <c r="AE131" s="692">
        <f t="shared" si="16"/>
        <v>0</v>
      </c>
      <c r="AF131" s="692">
        <f t="shared" si="17"/>
        <v>-6730.2000000000007</v>
      </c>
      <c r="AG131" s="38"/>
      <c r="AH131" s="692">
        <f t="shared" si="23"/>
        <v>0</v>
      </c>
      <c r="AI131" s="692">
        <f t="shared" si="24"/>
        <v>0</v>
      </c>
      <c r="AJ131" s="692">
        <f t="shared" si="25"/>
        <v>9000</v>
      </c>
      <c r="AL131" s="38">
        <f t="shared" si="26"/>
        <v>2269.7999999999993</v>
      </c>
      <c r="AM131" s="68" t="s">
        <v>513</v>
      </c>
    </row>
    <row r="132" spans="1:39">
      <c r="A132" s="21"/>
      <c r="B132" s="21" t="s">
        <v>109</v>
      </c>
      <c r="C132" s="666" t="s">
        <v>553</v>
      </c>
      <c r="D132" s="68" t="s">
        <v>308</v>
      </c>
      <c r="E132" s="679">
        <v>1818.22</v>
      </c>
      <c r="F132" s="529">
        <f>VLOOKUP(D132,'May14 Revenue'!D:V,19,FALSE)</f>
        <v>0</v>
      </c>
      <c r="G132" s="680"/>
      <c r="H132" s="680"/>
      <c r="I132" s="755"/>
      <c r="J132" s="682">
        <f t="shared" si="14"/>
        <v>1818.22</v>
      </c>
      <c r="K132" s="683"/>
      <c r="L132" s="684"/>
      <c r="M132" s="753"/>
      <c r="N132" s="683">
        <v>0</v>
      </c>
      <c r="O132" s="686"/>
      <c r="P132" s="683">
        <v>0</v>
      </c>
      <c r="Q132" s="687">
        <f t="shared" si="1"/>
        <v>0</v>
      </c>
      <c r="R132" s="687"/>
      <c r="S132" s="687"/>
      <c r="T132" s="688"/>
      <c r="U132" s="693"/>
      <c r="V132" s="690" t="str">
        <f t="shared" si="18"/>
        <v/>
      </c>
      <c r="W132" s="683"/>
      <c r="X132" s="474">
        <f t="shared" si="19"/>
        <v>0</v>
      </c>
      <c r="Y132" s="474">
        <f t="shared" si="20"/>
        <v>0</v>
      </c>
      <c r="Z132" s="475">
        <f t="shared" si="21"/>
        <v>0</v>
      </c>
      <c r="AA132" s="475">
        <v>0</v>
      </c>
      <c r="AB132" s="476">
        <v>0</v>
      </c>
      <c r="AC132" s="38">
        <f t="shared" si="22"/>
        <v>0</v>
      </c>
      <c r="AD132" s="692">
        <f t="shared" si="15"/>
        <v>0</v>
      </c>
      <c r="AE132" s="692">
        <f t="shared" si="16"/>
        <v>1818.22</v>
      </c>
      <c r="AF132" s="692">
        <f t="shared" si="17"/>
        <v>0</v>
      </c>
      <c r="AG132" s="38"/>
      <c r="AH132" s="692">
        <f t="shared" si="23"/>
        <v>0</v>
      </c>
      <c r="AI132" s="692">
        <f t="shared" si="24"/>
        <v>0</v>
      </c>
      <c r="AJ132" s="692">
        <f t="shared" si="25"/>
        <v>0</v>
      </c>
      <c r="AL132" s="38">
        <f t="shared" si="26"/>
        <v>1818.22</v>
      </c>
      <c r="AM132" s="68" t="s">
        <v>308</v>
      </c>
    </row>
    <row r="133" spans="1:39" s="232" customFormat="1">
      <c r="A133" s="283" t="s">
        <v>211</v>
      </c>
      <c r="B133" s="283" t="s">
        <v>109</v>
      </c>
      <c r="C133" s="667" t="s">
        <v>554</v>
      </c>
      <c r="D133" s="123" t="s">
        <v>389</v>
      </c>
      <c r="E133" s="679"/>
      <c r="F133" s="529">
        <f>VLOOKUP(D133,'May14 Revenue'!D:V,19,FALSE)</f>
        <v>0</v>
      </c>
      <c r="G133" s="680"/>
      <c r="H133" s="680"/>
      <c r="I133" s="755"/>
      <c r="J133" s="682">
        <f t="shared" si="14"/>
        <v>0</v>
      </c>
      <c r="K133" s="683"/>
      <c r="L133" s="684"/>
      <c r="M133" s="753"/>
      <c r="N133" s="683">
        <v>0</v>
      </c>
      <c r="O133" s="686"/>
      <c r="P133" s="683">
        <v>0</v>
      </c>
      <c r="Q133" s="687">
        <f t="shared" si="1"/>
        <v>0</v>
      </c>
      <c r="R133" s="687"/>
      <c r="S133" s="687"/>
      <c r="T133" s="688"/>
      <c r="U133" s="693"/>
      <c r="V133" s="690" t="str">
        <f t="shared" si="18"/>
        <v/>
      </c>
      <c r="W133" s="683"/>
      <c r="X133" s="474">
        <f t="shared" si="19"/>
        <v>0</v>
      </c>
      <c r="Y133" s="474">
        <f t="shared" si="20"/>
        <v>0</v>
      </c>
      <c r="Z133" s="475">
        <f t="shared" si="21"/>
        <v>0</v>
      </c>
      <c r="AA133" s="475">
        <v>0</v>
      </c>
      <c r="AB133" s="476">
        <v>0</v>
      </c>
      <c r="AC133" s="38">
        <f t="shared" si="22"/>
        <v>0</v>
      </c>
      <c r="AD133" s="692">
        <f t="shared" si="15"/>
        <v>0</v>
      </c>
      <c r="AE133" s="692">
        <f t="shared" si="16"/>
        <v>0</v>
      </c>
      <c r="AF133" s="692">
        <f t="shared" si="17"/>
        <v>0</v>
      </c>
      <c r="AG133" s="38"/>
      <c r="AH133" s="692">
        <f t="shared" si="23"/>
        <v>0</v>
      </c>
      <c r="AI133" s="692">
        <f t="shared" si="24"/>
        <v>0</v>
      </c>
      <c r="AJ133" s="692">
        <f t="shared" si="25"/>
        <v>0</v>
      </c>
      <c r="AL133" s="38">
        <f t="shared" si="26"/>
        <v>0</v>
      </c>
      <c r="AM133" s="123" t="s">
        <v>389</v>
      </c>
    </row>
    <row r="134" spans="1:39" s="232" customFormat="1" hidden="1">
      <c r="A134" s="283"/>
      <c r="B134" s="283" t="s">
        <v>110</v>
      </c>
      <c r="C134" s="667"/>
      <c r="D134" s="123" t="s">
        <v>807</v>
      </c>
      <c r="E134" s="679"/>
      <c r="F134" s="529">
        <f>VLOOKUP(D134,'May14 Revenue'!D:V,19,FALSE)</f>
        <v>0</v>
      </c>
      <c r="G134" s="680"/>
      <c r="H134" s="680"/>
      <c r="I134" s="755"/>
      <c r="J134" s="682">
        <f t="shared" si="14"/>
        <v>0</v>
      </c>
      <c r="K134" s="683"/>
      <c r="L134" s="684"/>
      <c r="M134" s="753"/>
      <c r="N134" s="683">
        <v>0</v>
      </c>
      <c r="O134" s="686"/>
      <c r="P134" s="683">
        <v>0</v>
      </c>
      <c r="Q134" s="687">
        <f t="shared" si="1"/>
        <v>0</v>
      </c>
      <c r="R134" s="687"/>
      <c r="S134" s="687"/>
      <c r="T134" s="688"/>
      <c r="U134" s="693"/>
      <c r="V134" s="690"/>
      <c r="W134" s="683"/>
      <c r="X134" s="474">
        <f t="shared" si="19"/>
        <v>0</v>
      </c>
      <c r="Y134" s="474">
        <f t="shared" si="20"/>
        <v>0</v>
      </c>
      <c r="Z134" s="475">
        <f t="shared" si="21"/>
        <v>0</v>
      </c>
      <c r="AA134" s="475">
        <v>0</v>
      </c>
      <c r="AB134" s="476">
        <v>0</v>
      </c>
      <c r="AC134" s="38">
        <f t="shared" si="22"/>
        <v>0</v>
      </c>
      <c r="AD134" s="692">
        <f t="shared" si="15"/>
        <v>0</v>
      </c>
      <c r="AE134" s="692">
        <f t="shared" si="16"/>
        <v>0</v>
      </c>
      <c r="AF134" s="692">
        <f t="shared" si="17"/>
        <v>0</v>
      </c>
      <c r="AG134" s="38"/>
      <c r="AH134" s="692">
        <f t="shared" si="23"/>
        <v>0</v>
      </c>
      <c r="AI134" s="692">
        <f t="shared" si="24"/>
        <v>0</v>
      </c>
      <c r="AJ134" s="692">
        <f t="shared" si="25"/>
        <v>0</v>
      </c>
      <c r="AL134" s="38">
        <f t="shared" si="26"/>
        <v>0</v>
      </c>
      <c r="AM134" s="123" t="s">
        <v>807</v>
      </c>
    </row>
    <row r="135" spans="1:39" s="232" customFormat="1">
      <c r="A135" s="283"/>
      <c r="B135" s="283" t="s">
        <v>109</v>
      </c>
      <c r="C135" s="667"/>
      <c r="D135" s="123" t="s">
        <v>1114</v>
      </c>
      <c r="E135" s="679"/>
      <c r="F135" s="529">
        <f>VLOOKUP(D135,'May14 Revenue'!D:V,19,FALSE)</f>
        <v>-28878</v>
      </c>
      <c r="G135" s="680"/>
      <c r="H135" s="680"/>
      <c r="I135" s="755"/>
      <c r="J135" s="682">
        <f t="shared" si="14"/>
        <v>-28878</v>
      </c>
      <c r="K135" s="683"/>
      <c r="L135" s="684"/>
      <c r="M135" s="753">
        <v>10000</v>
      </c>
      <c r="N135" s="683">
        <v>0</v>
      </c>
      <c r="O135" s="686"/>
      <c r="P135" s="683">
        <v>0</v>
      </c>
      <c r="Q135" s="687">
        <f t="shared" si="1"/>
        <v>10000</v>
      </c>
      <c r="R135" s="687"/>
      <c r="S135" s="687"/>
      <c r="T135" s="688"/>
      <c r="U135" s="693"/>
      <c r="V135" s="690"/>
      <c r="W135" s="683"/>
      <c r="X135" s="474">
        <f t="shared" si="19"/>
        <v>0</v>
      </c>
      <c r="Y135" s="474">
        <f t="shared" si="20"/>
        <v>10000</v>
      </c>
      <c r="Z135" s="475">
        <f t="shared" si="21"/>
        <v>0</v>
      </c>
      <c r="AA135" s="475">
        <v>0</v>
      </c>
      <c r="AB135" s="476">
        <v>0</v>
      </c>
      <c r="AC135" s="38">
        <f t="shared" si="22"/>
        <v>0</v>
      </c>
      <c r="AD135" s="692">
        <f t="shared" si="15"/>
        <v>0</v>
      </c>
      <c r="AE135" s="692">
        <f t="shared" si="16"/>
        <v>-28878</v>
      </c>
      <c r="AF135" s="692">
        <f t="shared" si="17"/>
        <v>0</v>
      </c>
      <c r="AG135" s="38"/>
      <c r="AH135" s="692">
        <f t="shared" si="23"/>
        <v>0</v>
      </c>
      <c r="AI135" s="692">
        <f t="shared" si="24"/>
        <v>10000</v>
      </c>
      <c r="AJ135" s="692">
        <f t="shared" si="25"/>
        <v>0</v>
      </c>
      <c r="AL135" s="38">
        <f t="shared" si="26"/>
        <v>-18878</v>
      </c>
      <c r="AM135" s="123" t="s">
        <v>808</v>
      </c>
    </row>
    <row r="136" spans="1:39" s="232" customFormat="1">
      <c r="A136" s="403"/>
      <c r="B136" s="403" t="s">
        <v>110</v>
      </c>
      <c r="C136" s="666" t="s">
        <v>563</v>
      </c>
      <c r="D136" s="123" t="s">
        <v>867</v>
      </c>
      <c r="E136" s="679"/>
      <c r="F136" s="529">
        <f>VLOOKUP(D136,'May14 Revenue'!D:V,19,FALSE)</f>
        <v>0</v>
      </c>
      <c r="G136" s="680"/>
      <c r="H136" s="680"/>
      <c r="I136" s="755"/>
      <c r="J136" s="682">
        <f t="shared" si="14"/>
        <v>0</v>
      </c>
      <c r="K136" s="683"/>
      <c r="L136" s="684"/>
      <c r="M136" s="753"/>
      <c r="N136" s="683">
        <v>0</v>
      </c>
      <c r="O136" s="686"/>
      <c r="P136" s="683">
        <v>0</v>
      </c>
      <c r="Q136" s="687">
        <f t="shared" si="1"/>
        <v>0</v>
      </c>
      <c r="R136" s="687"/>
      <c r="S136" s="687"/>
      <c r="T136" s="688"/>
      <c r="U136" s="693"/>
      <c r="V136" s="690" t="str">
        <f t="shared" ref="V136" si="27">IF(T136="","",T136-Q136)</f>
        <v/>
      </c>
      <c r="W136" s="683"/>
      <c r="X136" s="474">
        <f t="shared" si="19"/>
        <v>0</v>
      </c>
      <c r="Y136" s="474">
        <f t="shared" si="20"/>
        <v>0</v>
      </c>
      <c r="Z136" s="475">
        <f t="shared" si="21"/>
        <v>0</v>
      </c>
      <c r="AA136" s="475">
        <v>0</v>
      </c>
      <c r="AB136" s="476">
        <v>0</v>
      </c>
      <c r="AC136" s="38">
        <f t="shared" si="22"/>
        <v>0</v>
      </c>
      <c r="AD136" s="692">
        <f t="shared" si="15"/>
        <v>0</v>
      </c>
      <c r="AE136" s="692">
        <f t="shared" si="16"/>
        <v>0</v>
      </c>
      <c r="AF136" s="692">
        <f t="shared" si="17"/>
        <v>0</v>
      </c>
      <c r="AG136" s="38"/>
      <c r="AH136" s="692">
        <f t="shared" si="23"/>
        <v>0</v>
      </c>
      <c r="AI136" s="692">
        <f t="shared" si="24"/>
        <v>0</v>
      </c>
      <c r="AJ136" s="692">
        <f t="shared" si="25"/>
        <v>0</v>
      </c>
      <c r="AL136" s="38">
        <f t="shared" si="26"/>
        <v>0</v>
      </c>
      <c r="AM136" s="123" t="s">
        <v>867</v>
      </c>
    </row>
    <row r="137" spans="1:39" s="232" customFormat="1">
      <c r="A137" s="283"/>
      <c r="B137" s="283" t="s">
        <v>110</v>
      </c>
      <c r="C137" s="667"/>
      <c r="D137" s="68" t="s">
        <v>488</v>
      </c>
      <c r="E137" s="679"/>
      <c r="F137" s="529">
        <f>VLOOKUP(D137,'May14 Revenue'!D:V,19,FALSE)</f>
        <v>0</v>
      </c>
      <c r="G137" s="680"/>
      <c r="H137" s="680"/>
      <c r="I137" s="755"/>
      <c r="J137" s="682">
        <f t="shared" si="14"/>
        <v>0</v>
      </c>
      <c r="K137" s="683"/>
      <c r="L137" s="684"/>
      <c r="M137" s="753"/>
      <c r="N137" s="683">
        <v>0</v>
      </c>
      <c r="O137" s="686"/>
      <c r="P137" s="683">
        <v>0</v>
      </c>
      <c r="Q137" s="687">
        <f t="shared" si="1"/>
        <v>0</v>
      </c>
      <c r="R137" s="687"/>
      <c r="S137" s="687"/>
      <c r="T137" s="688"/>
      <c r="U137" s="693"/>
      <c r="V137" s="690" t="str">
        <f t="shared" si="18"/>
        <v/>
      </c>
      <c r="W137" s="683"/>
      <c r="X137" s="474">
        <f t="shared" si="19"/>
        <v>0</v>
      </c>
      <c r="Y137" s="474">
        <f t="shared" si="20"/>
        <v>0</v>
      </c>
      <c r="Z137" s="475">
        <f t="shared" si="21"/>
        <v>0</v>
      </c>
      <c r="AA137" s="475">
        <v>0</v>
      </c>
      <c r="AB137" s="476">
        <v>0</v>
      </c>
      <c r="AC137" s="38">
        <f t="shared" si="22"/>
        <v>0</v>
      </c>
      <c r="AD137" s="692">
        <f t="shared" si="15"/>
        <v>0</v>
      </c>
      <c r="AE137" s="692">
        <f t="shared" si="16"/>
        <v>0</v>
      </c>
      <c r="AF137" s="692">
        <f t="shared" si="17"/>
        <v>0</v>
      </c>
      <c r="AG137" s="38"/>
      <c r="AH137" s="692">
        <f t="shared" si="23"/>
        <v>0</v>
      </c>
      <c r="AI137" s="692">
        <f t="shared" si="24"/>
        <v>0</v>
      </c>
      <c r="AJ137" s="692">
        <f t="shared" si="25"/>
        <v>0</v>
      </c>
      <c r="AL137" s="38">
        <f t="shared" si="26"/>
        <v>0</v>
      </c>
      <c r="AM137" s="68" t="s">
        <v>488</v>
      </c>
    </row>
    <row r="138" spans="1:39" s="232" customFormat="1">
      <c r="A138" s="283"/>
      <c r="B138" s="283" t="s">
        <v>110</v>
      </c>
      <c r="C138" s="667" t="s">
        <v>555</v>
      </c>
      <c r="D138" s="123" t="s">
        <v>192</v>
      </c>
      <c r="E138" s="679">
        <f>4935.99+4459.79</f>
        <v>9395.7799999999988</v>
      </c>
      <c r="F138" s="529">
        <f>VLOOKUP(D138,'May14 Revenue'!D:V,19,FALSE)</f>
        <v>0</v>
      </c>
      <c r="G138" s="680"/>
      <c r="H138" s="680"/>
      <c r="I138" s="755"/>
      <c r="J138" s="682">
        <f t="shared" si="14"/>
        <v>9395.7799999999988</v>
      </c>
      <c r="K138" s="683"/>
      <c r="L138" s="684"/>
      <c r="M138" s="753"/>
      <c r="N138" s="683">
        <v>0</v>
      </c>
      <c r="O138" s="686"/>
      <c r="P138" s="683">
        <v>0</v>
      </c>
      <c r="Q138" s="687">
        <f t="shared" si="1"/>
        <v>0</v>
      </c>
      <c r="R138" s="687"/>
      <c r="S138" s="687"/>
      <c r="T138" s="688"/>
      <c r="U138" s="693"/>
      <c r="V138" s="690" t="str">
        <f t="shared" si="18"/>
        <v/>
      </c>
      <c r="W138" s="683"/>
      <c r="X138" s="474">
        <f t="shared" si="19"/>
        <v>0</v>
      </c>
      <c r="Y138" s="474">
        <f t="shared" si="20"/>
        <v>0</v>
      </c>
      <c r="Z138" s="475">
        <f t="shared" si="21"/>
        <v>0</v>
      </c>
      <c r="AA138" s="475">
        <v>0</v>
      </c>
      <c r="AB138" s="476">
        <v>0</v>
      </c>
      <c r="AC138" s="38">
        <f t="shared" si="22"/>
        <v>0</v>
      </c>
      <c r="AD138" s="692">
        <f t="shared" si="15"/>
        <v>9395.7799999999988</v>
      </c>
      <c r="AE138" s="692">
        <f t="shared" si="16"/>
        <v>0</v>
      </c>
      <c r="AF138" s="692">
        <f t="shared" si="17"/>
        <v>0</v>
      </c>
      <c r="AG138" s="38"/>
      <c r="AH138" s="692">
        <f t="shared" si="23"/>
        <v>0</v>
      </c>
      <c r="AI138" s="692">
        <f t="shared" si="24"/>
        <v>0</v>
      </c>
      <c r="AJ138" s="692">
        <f t="shared" si="25"/>
        <v>0</v>
      </c>
      <c r="AL138" s="38">
        <f t="shared" si="26"/>
        <v>9395.7799999999988</v>
      </c>
      <c r="AM138" s="123" t="s">
        <v>192</v>
      </c>
    </row>
    <row r="139" spans="1:39" s="232" customFormat="1" hidden="1">
      <c r="A139" s="283"/>
      <c r="B139" s="283" t="s">
        <v>110</v>
      </c>
      <c r="C139" s="667" t="s">
        <v>555</v>
      </c>
      <c r="D139" s="123" t="s">
        <v>193</v>
      </c>
      <c r="E139" s="679"/>
      <c r="F139" s="529">
        <f>VLOOKUP(D139,'May14 Revenue'!D:V,19,FALSE)</f>
        <v>0</v>
      </c>
      <c r="G139" s="680"/>
      <c r="H139" s="680"/>
      <c r="I139" s="755"/>
      <c r="J139" s="682">
        <f t="shared" si="14"/>
        <v>0</v>
      </c>
      <c r="K139" s="683"/>
      <c r="L139" s="684"/>
      <c r="M139" s="753"/>
      <c r="N139" s="683">
        <v>0</v>
      </c>
      <c r="O139" s="686"/>
      <c r="P139" s="683">
        <v>0</v>
      </c>
      <c r="Q139" s="687">
        <f t="shared" si="1"/>
        <v>0</v>
      </c>
      <c r="R139" s="687"/>
      <c r="S139" s="687"/>
      <c r="T139" s="688"/>
      <c r="U139" s="693"/>
      <c r="V139" s="690" t="str">
        <f t="shared" si="18"/>
        <v/>
      </c>
      <c r="W139" s="683"/>
      <c r="X139" s="474">
        <f t="shared" si="19"/>
        <v>0</v>
      </c>
      <c r="Y139" s="474">
        <f t="shared" si="20"/>
        <v>0</v>
      </c>
      <c r="Z139" s="475">
        <f t="shared" si="21"/>
        <v>0</v>
      </c>
      <c r="AA139" s="475">
        <v>0</v>
      </c>
      <c r="AB139" s="476">
        <v>0</v>
      </c>
      <c r="AC139" s="38">
        <f t="shared" si="22"/>
        <v>0</v>
      </c>
      <c r="AD139" s="692">
        <f t="shared" si="15"/>
        <v>0</v>
      </c>
      <c r="AE139" s="692">
        <f t="shared" si="16"/>
        <v>0</v>
      </c>
      <c r="AF139" s="692">
        <f t="shared" si="17"/>
        <v>0</v>
      </c>
      <c r="AG139" s="38"/>
      <c r="AH139" s="692">
        <f t="shared" si="23"/>
        <v>0</v>
      </c>
      <c r="AI139" s="692">
        <f t="shared" si="24"/>
        <v>0</v>
      </c>
      <c r="AJ139" s="692">
        <f t="shared" si="25"/>
        <v>0</v>
      </c>
      <c r="AL139" s="38">
        <f t="shared" si="26"/>
        <v>0</v>
      </c>
      <c r="AM139" s="123" t="s">
        <v>193</v>
      </c>
    </row>
    <row r="140" spans="1:39" s="232" customFormat="1" hidden="1">
      <c r="A140" s="283"/>
      <c r="B140" s="283" t="s">
        <v>110</v>
      </c>
      <c r="C140" s="667" t="s">
        <v>555</v>
      </c>
      <c r="D140" s="123" t="s">
        <v>194</v>
      </c>
      <c r="E140" s="679"/>
      <c r="F140" s="529">
        <f>VLOOKUP(D140,'May14 Revenue'!D:V,19,FALSE)</f>
        <v>0</v>
      </c>
      <c r="G140" s="680"/>
      <c r="H140" s="680"/>
      <c r="I140" s="755"/>
      <c r="J140" s="682">
        <f t="shared" si="14"/>
        <v>0</v>
      </c>
      <c r="K140" s="683"/>
      <c r="L140" s="684"/>
      <c r="M140" s="753"/>
      <c r="N140" s="683">
        <v>0</v>
      </c>
      <c r="O140" s="686"/>
      <c r="P140" s="683">
        <v>0</v>
      </c>
      <c r="Q140" s="687">
        <f t="shared" si="1"/>
        <v>0</v>
      </c>
      <c r="R140" s="687"/>
      <c r="S140" s="687"/>
      <c r="T140" s="688"/>
      <c r="U140" s="693"/>
      <c r="V140" s="690" t="str">
        <f t="shared" si="18"/>
        <v/>
      </c>
      <c r="W140" s="683"/>
      <c r="X140" s="474">
        <f t="shared" si="19"/>
        <v>0</v>
      </c>
      <c r="Y140" s="474">
        <f t="shared" si="20"/>
        <v>0</v>
      </c>
      <c r="Z140" s="475">
        <f t="shared" si="21"/>
        <v>0</v>
      </c>
      <c r="AA140" s="475">
        <v>0</v>
      </c>
      <c r="AB140" s="476">
        <v>0</v>
      </c>
      <c r="AC140" s="38">
        <f t="shared" si="22"/>
        <v>0</v>
      </c>
      <c r="AD140" s="692">
        <f t="shared" si="15"/>
        <v>0</v>
      </c>
      <c r="AE140" s="692">
        <f t="shared" si="16"/>
        <v>0</v>
      </c>
      <c r="AF140" s="692">
        <f t="shared" si="17"/>
        <v>0</v>
      </c>
      <c r="AG140" s="38"/>
      <c r="AH140" s="692">
        <f t="shared" si="23"/>
        <v>0</v>
      </c>
      <c r="AI140" s="692">
        <f t="shared" si="24"/>
        <v>0</v>
      </c>
      <c r="AJ140" s="692">
        <f t="shared" si="25"/>
        <v>0</v>
      </c>
      <c r="AL140" s="38">
        <f t="shared" si="26"/>
        <v>0</v>
      </c>
      <c r="AM140" s="123" t="s">
        <v>194</v>
      </c>
    </row>
    <row r="141" spans="1:39" s="232" customFormat="1" hidden="1">
      <c r="A141" s="283"/>
      <c r="B141" s="283" t="s">
        <v>110</v>
      </c>
      <c r="C141" s="667" t="s">
        <v>555</v>
      </c>
      <c r="D141" s="123" t="s">
        <v>195</v>
      </c>
      <c r="E141" s="679"/>
      <c r="F141" s="529">
        <f>VLOOKUP(D141,'May14 Revenue'!D:V,19,FALSE)</f>
        <v>0</v>
      </c>
      <c r="G141" s="680"/>
      <c r="H141" s="680"/>
      <c r="I141" s="755"/>
      <c r="J141" s="682">
        <f t="shared" si="14"/>
        <v>0</v>
      </c>
      <c r="K141" s="683"/>
      <c r="L141" s="684"/>
      <c r="M141" s="753"/>
      <c r="N141" s="683">
        <v>0</v>
      </c>
      <c r="O141" s="686"/>
      <c r="P141" s="683">
        <v>0</v>
      </c>
      <c r="Q141" s="687">
        <f t="shared" si="1"/>
        <v>0</v>
      </c>
      <c r="R141" s="687"/>
      <c r="S141" s="687"/>
      <c r="T141" s="688"/>
      <c r="U141" s="693"/>
      <c r="V141" s="690" t="str">
        <f t="shared" si="18"/>
        <v/>
      </c>
      <c r="W141" s="683"/>
      <c r="X141" s="474">
        <f t="shared" si="19"/>
        <v>0</v>
      </c>
      <c r="Y141" s="474">
        <f t="shared" si="20"/>
        <v>0</v>
      </c>
      <c r="Z141" s="475">
        <f t="shared" si="21"/>
        <v>0</v>
      </c>
      <c r="AA141" s="475">
        <v>0</v>
      </c>
      <c r="AB141" s="476">
        <v>0</v>
      </c>
      <c r="AC141" s="38">
        <f t="shared" si="22"/>
        <v>0</v>
      </c>
      <c r="AD141" s="692">
        <f t="shared" si="15"/>
        <v>0</v>
      </c>
      <c r="AE141" s="692">
        <f t="shared" si="16"/>
        <v>0</v>
      </c>
      <c r="AF141" s="692">
        <f t="shared" si="17"/>
        <v>0</v>
      </c>
      <c r="AG141" s="38"/>
      <c r="AH141" s="692">
        <f t="shared" si="23"/>
        <v>0</v>
      </c>
      <c r="AI141" s="692">
        <f t="shared" si="24"/>
        <v>0</v>
      </c>
      <c r="AJ141" s="692">
        <f t="shared" si="25"/>
        <v>0</v>
      </c>
      <c r="AL141" s="38">
        <f t="shared" si="26"/>
        <v>0</v>
      </c>
      <c r="AM141" s="123" t="s">
        <v>195</v>
      </c>
    </row>
    <row r="142" spans="1:39" s="232" customFormat="1" hidden="1">
      <c r="A142" s="283"/>
      <c r="B142" s="283" t="s">
        <v>110</v>
      </c>
      <c r="C142" s="667" t="s">
        <v>555</v>
      </c>
      <c r="D142" s="123" t="s">
        <v>196</v>
      </c>
      <c r="E142" s="679"/>
      <c r="F142" s="529">
        <f>VLOOKUP(D142,'May14 Revenue'!D:V,19,FALSE)</f>
        <v>0</v>
      </c>
      <c r="G142" s="680"/>
      <c r="H142" s="680"/>
      <c r="I142" s="755"/>
      <c r="J142" s="682">
        <f t="shared" si="14"/>
        <v>0</v>
      </c>
      <c r="K142" s="683"/>
      <c r="L142" s="684"/>
      <c r="M142" s="753"/>
      <c r="N142" s="683">
        <v>0</v>
      </c>
      <c r="O142" s="686"/>
      <c r="P142" s="683">
        <v>0</v>
      </c>
      <c r="Q142" s="687">
        <f t="shared" si="1"/>
        <v>0</v>
      </c>
      <c r="R142" s="687"/>
      <c r="S142" s="687"/>
      <c r="T142" s="688"/>
      <c r="U142" s="693"/>
      <c r="V142" s="690" t="str">
        <f t="shared" si="18"/>
        <v/>
      </c>
      <c r="W142" s="683"/>
      <c r="X142" s="474">
        <f t="shared" si="19"/>
        <v>0</v>
      </c>
      <c r="Y142" s="474">
        <f t="shared" si="20"/>
        <v>0</v>
      </c>
      <c r="Z142" s="475">
        <f t="shared" si="21"/>
        <v>0</v>
      </c>
      <c r="AA142" s="475">
        <v>0</v>
      </c>
      <c r="AB142" s="476">
        <v>0</v>
      </c>
      <c r="AC142" s="38">
        <f t="shared" si="22"/>
        <v>0</v>
      </c>
      <c r="AD142" s="692">
        <f t="shared" si="15"/>
        <v>0</v>
      </c>
      <c r="AE142" s="692">
        <f t="shared" si="16"/>
        <v>0</v>
      </c>
      <c r="AF142" s="692">
        <f t="shared" si="17"/>
        <v>0</v>
      </c>
      <c r="AG142" s="38"/>
      <c r="AH142" s="692">
        <f t="shared" si="23"/>
        <v>0</v>
      </c>
      <c r="AI142" s="692">
        <f t="shared" si="24"/>
        <v>0</v>
      </c>
      <c r="AJ142" s="692">
        <f t="shared" si="25"/>
        <v>0</v>
      </c>
      <c r="AL142" s="38">
        <f t="shared" si="26"/>
        <v>0</v>
      </c>
      <c r="AM142" s="123" t="s">
        <v>196</v>
      </c>
    </row>
    <row r="143" spans="1:39" s="232" customFormat="1" hidden="1">
      <c r="A143" s="283"/>
      <c r="B143" s="283" t="s">
        <v>110</v>
      </c>
      <c r="C143" s="667" t="s">
        <v>555</v>
      </c>
      <c r="D143" s="123" t="s">
        <v>197</v>
      </c>
      <c r="E143" s="679"/>
      <c r="F143" s="529">
        <f>VLOOKUP(D143,'May14 Revenue'!D:V,19,FALSE)</f>
        <v>0</v>
      </c>
      <c r="G143" s="680"/>
      <c r="H143" s="680"/>
      <c r="I143" s="755"/>
      <c r="J143" s="682">
        <f t="shared" si="14"/>
        <v>0</v>
      </c>
      <c r="K143" s="683"/>
      <c r="L143" s="684"/>
      <c r="M143" s="753"/>
      <c r="N143" s="683">
        <v>0</v>
      </c>
      <c r="O143" s="686"/>
      <c r="P143" s="683">
        <v>0</v>
      </c>
      <c r="Q143" s="687">
        <f t="shared" si="1"/>
        <v>0</v>
      </c>
      <c r="R143" s="687"/>
      <c r="S143" s="687"/>
      <c r="T143" s="688"/>
      <c r="U143" s="693"/>
      <c r="V143" s="690" t="str">
        <f t="shared" si="18"/>
        <v/>
      </c>
      <c r="W143" s="683"/>
      <c r="X143" s="474">
        <f t="shared" si="19"/>
        <v>0</v>
      </c>
      <c r="Y143" s="474">
        <f t="shared" si="20"/>
        <v>0</v>
      </c>
      <c r="Z143" s="475">
        <f t="shared" si="21"/>
        <v>0</v>
      </c>
      <c r="AA143" s="475">
        <v>0</v>
      </c>
      <c r="AB143" s="476">
        <v>0</v>
      </c>
      <c r="AC143" s="38">
        <f t="shared" si="22"/>
        <v>0</v>
      </c>
      <c r="AD143" s="692">
        <f t="shared" si="15"/>
        <v>0</v>
      </c>
      <c r="AE143" s="692">
        <f t="shared" si="16"/>
        <v>0</v>
      </c>
      <c r="AF143" s="692">
        <f t="shared" si="17"/>
        <v>0</v>
      </c>
      <c r="AG143" s="38"/>
      <c r="AH143" s="692">
        <f t="shared" si="23"/>
        <v>0</v>
      </c>
      <c r="AI143" s="692">
        <f t="shared" si="24"/>
        <v>0</v>
      </c>
      <c r="AJ143" s="692">
        <f t="shared" si="25"/>
        <v>0</v>
      </c>
      <c r="AL143" s="38">
        <f t="shared" si="26"/>
        <v>0</v>
      </c>
      <c r="AM143" s="123" t="s">
        <v>197</v>
      </c>
    </row>
    <row r="144" spans="1:39" s="232" customFormat="1" hidden="1">
      <c r="A144" s="283"/>
      <c r="B144" s="283" t="s">
        <v>110</v>
      </c>
      <c r="C144" s="667" t="s">
        <v>555</v>
      </c>
      <c r="D144" s="123" t="s">
        <v>440</v>
      </c>
      <c r="E144" s="679"/>
      <c r="F144" s="529">
        <f>VLOOKUP(D144,'May14 Revenue'!D:V,19,FALSE)</f>
        <v>0</v>
      </c>
      <c r="G144" s="680"/>
      <c r="H144" s="680"/>
      <c r="I144" s="755"/>
      <c r="J144" s="682">
        <f t="shared" si="14"/>
        <v>0</v>
      </c>
      <c r="K144" s="683"/>
      <c r="L144" s="684"/>
      <c r="M144" s="753"/>
      <c r="N144" s="683">
        <v>0</v>
      </c>
      <c r="O144" s="686"/>
      <c r="P144" s="683">
        <v>0</v>
      </c>
      <c r="Q144" s="687">
        <f t="shared" si="1"/>
        <v>0</v>
      </c>
      <c r="R144" s="687"/>
      <c r="S144" s="687"/>
      <c r="T144" s="688"/>
      <c r="U144" s="693"/>
      <c r="V144" s="690" t="str">
        <f t="shared" si="18"/>
        <v/>
      </c>
      <c r="W144" s="683"/>
      <c r="X144" s="474">
        <f t="shared" si="19"/>
        <v>0</v>
      </c>
      <c r="Y144" s="474">
        <f t="shared" si="20"/>
        <v>0</v>
      </c>
      <c r="Z144" s="475">
        <f t="shared" si="21"/>
        <v>0</v>
      </c>
      <c r="AA144" s="475">
        <v>0</v>
      </c>
      <c r="AB144" s="476">
        <v>0</v>
      </c>
      <c r="AC144" s="38">
        <f t="shared" si="22"/>
        <v>0</v>
      </c>
      <c r="AD144" s="692">
        <f t="shared" si="15"/>
        <v>0</v>
      </c>
      <c r="AE144" s="692">
        <f t="shared" si="16"/>
        <v>0</v>
      </c>
      <c r="AF144" s="692">
        <f t="shared" si="17"/>
        <v>0</v>
      </c>
      <c r="AG144" s="38"/>
      <c r="AH144" s="692">
        <f t="shared" si="23"/>
        <v>0</v>
      </c>
      <c r="AI144" s="692">
        <f t="shared" si="24"/>
        <v>0</v>
      </c>
      <c r="AJ144" s="692">
        <f t="shared" si="25"/>
        <v>0</v>
      </c>
      <c r="AL144" s="38">
        <f t="shared" si="26"/>
        <v>0</v>
      </c>
      <c r="AM144" s="123" t="s">
        <v>440</v>
      </c>
    </row>
    <row r="145" spans="1:39" s="232" customFormat="1">
      <c r="A145" s="283"/>
      <c r="B145" s="283" t="s">
        <v>110</v>
      </c>
      <c r="C145" s="667" t="s">
        <v>555</v>
      </c>
      <c r="D145" s="123" t="s">
        <v>481</v>
      </c>
      <c r="E145" s="679"/>
      <c r="F145" s="529">
        <f>VLOOKUP(D145,'May14 Revenue'!D:V,19,FALSE)</f>
        <v>0</v>
      </c>
      <c r="G145" s="680"/>
      <c r="H145" s="680"/>
      <c r="I145" s="755"/>
      <c r="J145" s="682">
        <f t="shared" si="14"/>
        <v>0</v>
      </c>
      <c r="K145" s="683"/>
      <c r="L145" s="684"/>
      <c r="M145" s="753"/>
      <c r="N145" s="683">
        <v>0</v>
      </c>
      <c r="O145" s="686"/>
      <c r="P145" s="683">
        <v>0</v>
      </c>
      <c r="Q145" s="687">
        <f t="shared" si="1"/>
        <v>0</v>
      </c>
      <c r="R145" s="687"/>
      <c r="S145" s="687"/>
      <c r="T145" s="688"/>
      <c r="U145" s="693"/>
      <c r="V145" s="690" t="str">
        <f t="shared" si="18"/>
        <v/>
      </c>
      <c r="W145" s="683"/>
      <c r="X145" s="474">
        <f t="shared" si="19"/>
        <v>0</v>
      </c>
      <c r="Y145" s="474">
        <f t="shared" si="20"/>
        <v>0</v>
      </c>
      <c r="Z145" s="475">
        <f t="shared" si="21"/>
        <v>0</v>
      </c>
      <c r="AA145" s="475">
        <v>0</v>
      </c>
      <c r="AB145" s="476">
        <v>0</v>
      </c>
      <c r="AC145" s="38">
        <f t="shared" si="22"/>
        <v>0</v>
      </c>
      <c r="AD145" s="692">
        <f t="shared" si="15"/>
        <v>0</v>
      </c>
      <c r="AE145" s="692">
        <f t="shared" si="16"/>
        <v>0</v>
      </c>
      <c r="AF145" s="692">
        <f t="shared" si="17"/>
        <v>0</v>
      </c>
      <c r="AG145" s="38"/>
      <c r="AH145" s="692">
        <f t="shared" si="23"/>
        <v>0</v>
      </c>
      <c r="AI145" s="692">
        <f t="shared" si="24"/>
        <v>0</v>
      </c>
      <c r="AJ145" s="692">
        <f t="shared" si="25"/>
        <v>0</v>
      </c>
      <c r="AL145" s="38">
        <f t="shared" si="26"/>
        <v>0</v>
      </c>
      <c r="AM145" s="123" t="s">
        <v>481</v>
      </c>
    </row>
    <row r="146" spans="1:39" s="232" customFormat="1">
      <c r="A146" s="283"/>
      <c r="B146" s="283" t="s">
        <v>109</v>
      </c>
      <c r="C146" s="667" t="s">
        <v>555</v>
      </c>
      <c r="D146" s="123" t="s">
        <v>248</v>
      </c>
      <c r="E146" s="679"/>
      <c r="F146" s="529">
        <f>VLOOKUP(D146,'May14 Revenue'!D:V,19,FALSE)</f>
        <v>0</v>
      </c>
      <c r="G146" s="680"/>
      <c r="H146" s="680"/>
      <c r="I146" s="755"/>
      <c r="J146" s="682">
        <f>SUM(E146:I146)</f>
        <v>0</v>
      </c>
      <c r="K146" s="683"/>
      <c r="L146" s="684"/>
      <c r="M146" s="753"/>
      <c r="N146" s="683">
        <v>0</v>
      </c>
      <c r="O146" s="686"/>
      <c r="P146" s="683">
        <v>0</v>
      </c>
      <c r="Q146" s="687">
        <f t="shared" si="1"/>
        <v>0</v>
      </c>
      <c r="R146" s="687"/>
      <c r="S146" s="687"/>
      <c r="T146" s="688"/>
      <c r="U146" s="693"/>
      <c r="V146" s="690" t="str">
        <f t="shared" si="18"/>
        <v/>
      </c>
      <c r="W146" s="683"/>
      <c r="X146" s="474">
        <f t="shared" si="19"/>
        <v>0</v>
      </c>
      <c r="Y146" s="474">
        <f t="shared" si="20"/>
        <v>0</v>
      </c>
      <c r="Z146" s="475">
        <f t="shared" si="21"/>
        <v>0</v>
      </c>
      <c r="AA146" s="475">
        <v>0</v>
      </c>
      <c r="AB146" s="476">
        <v>0</v>
      </c>
      <c r="AC146" s="38">
        <f t="shared" si="22"/>
        <v>0</v>
      </c>
      <c r="AD146" s="692">
        <f t="shared" si="15"/>
        <v>0</v>
      </c>
      <c r="AE146" s="692">
        <f t="shared" si="16"/>
        <v>0</v>
      </c>
      <c r="AF146" s="692">
        <f t="shared" si="17"/>
        <v>0</v>
      </c>
      <c r="AG146" s="38"/>
      <c r="AH146" s="692">
        <f t="shared" si="23"/>
        <v>0</v>
      </c>
      <c r="AI146" s="692">
        <f t="shared" si="24"/>
        <v>0</v>
      </c>
      <c r="AJ146" s="692">
        <f t="shared" si="25"/>
        <v>0</v>
      </c>
      <c r="AL146" s="38">
        <f t="shared" si="26"/>
        <v>0</v>
      </c>
      <c r="AM146" s="123" t="s">
        <v>248</v>
      </c>
    </row>
    <row r="147" spans="1:39" s="232" customFormat="1">
      <c r="A147" s="283"/>
      <c r="B147" s="20" t="s">
        <v>109</v>
      </c>
      <c r="C147" s="667"/>
      <c r="D147" s="68" t="s">
        <v>465</v>
      </c>
      <c r="E147" s="679"/>
      <c r="F147" s="529">
        <f>VLOOKUP(D147,'May14 Revenue'!D:V,19,FALSE)</f>
        <v>-20000</v>
      </c>
      <c r="G147" s="680"/>
      <c r="H147" s="680"/>
      <c r="I147" s="755"/>
      <c r="J147" s="682">
        <f t="shared" si="14"/>
        <v>-20000</v>
      </c>
      <c r="K147" s="683"/>
      <c r="L147" s="684"/>
      <c r="M147" s="753">
        <v>24000</v>
      </c>
      <c r="N147" s="683">
        <v>0</v>
      </c>
      <c r="O147" s="686"/>
      <c r="P147" s="683">
        <v>0</v>
      </c>
      <c r="Q147" s="687">
        <f t="shared" si="1"/>
        <v>24000</v>
      </c>
      <c r="R147" s="687"/>
      <c r="S147" s="687"/>
      <c r="T147" s="688"/>
      <c r="U147" s="693"/>
      <c r="V147" s="690" t="str">
        <f t="shared" si="18"/>
        <v/>
      </c>
      <c r="W147" s="683"/>
      <c r="X147" s="474">
        <f t="shared" si="19"/>
        <v>0</v>
      </c>
      <c r="Y147" s="474">
        <f t="shared" si="20"/>
        <v>24000</v>
      </c>
      <c r="Z147" s="475">
        <f t="shared" si="21"/>
        <v>0</v>
      </c>
      <c r="AA147" s="475">
        <v>0</v>
      </c>
      <c r="AB147" s="476">
        <v>0</v>
      </c>
      <c r="AC147" s="38">
        <f t="shared" si="22"/>
        <v>0</v>
      </c>
      <c r="AD147" s="692">
        <f t="shared" si="15"/>
        <v>0</v>
      </c>
      <c r="AE147" s="692">
        <f t="shared" si="16"/>
        <v>-20000</v>
      </c>
      <c r="AF147" s="692">
        <f t="shared" si="17"/>
        <v>0</v>
      </c>
      <c r="AG147" s="38"/>
      <c r="AH147" s="692">
        <f t="shared" si="23"/>
        <v>0</v>
      </c>
      <c r="AI147" s="692">
        <f t="shared" si="24"/>
        <v>24000</v>
      </c>
      <c r="AJ147" s="692">
        <f t="shared" si="25"/>
        <v>0</v>
      </c>
      <c r="AL147" s="38">
        <f t="shared" si="26"/>
        <v>4000</v>
      </c>
      <c r="AM147" s="68" t="s">
        <v>465</v>
      </c>
    </row>
    <row r="148" spans="1:39">
      <c r="A148" s="21"/>
      <c r="B148" s="21" t="s">
        <v>110</v>
      </c>
      <c r="C148" s="666" t="s">
        <v>556</v>
      </c>
      <c r="D148" s="68" t="s">
        <v>261</v>
      </c>
      <c r="E148" s="679"/>
      <c r="F148" s="529">
        <f>VLOOKUP(D148,'May14 Revenue'!D:V,19,FALSE)</f>
        <v>-28902.679999999993</v>
      </c>
      <c r="G148" s="680"/>
      <c r="H148" s="680"/>
      <c r="I148" s="755"/>
      <c r="J148" s="682">
        <f t="shared" si="14"/>
        <v>-28902.679999999993</v>
      </c>
      <c r="K148" s="683"/>
      <c r="L148" s="684"/>
      <c r="M148" s="753">
        <v>300000</v>
      </c>
      <c r="N148" s="683">
        <v>0</v>
      </c>
      <c r="O148" s="686"/>
      <c r="P148" s="683">
        <v>0</v>
      </c>
      <c r="Q148" s="687">
        <f t="shared" si="1"/>
        <v>300000</v>
      </c>
      <c r="R148" s="687"/>
      <c r="S148" s="687"/>
      <c r="T148" s="688"/>
      <c r="U148" s="693"/>
      <c r="V148" s="690" t="str">
        <f t="shared" si="18"/>
        <v/>
      </c>
      <c r="W148" s="683"/>
      <c r="X148" s="474">
        <f t="shared" si="19"/>
        <v>300000</v>
      </c>
      <c r="Y148" s="474">
        <f t="shared" si="20"/>
        <v>0</v>
      </c>
      <c r="Z148" s="475">
        <f t="shared" si="21"/>
        <v>0</v>
      </c>
      <c r="AA148" s="475">
        <v>0</v>
      </c>
      <c r="AB148" s="476">
        <v>0</v>
      </c>
      <c r="AC148" s="38">
        <f t="shared" si="22"/>
        <v>0</v>
      </c>
      <c r="AD148" s="692">
        <f t="shared" si="15"/>
        <v>-28902.679999999993</v>
      </c>
      <c r="AE148" s="692">
        <f t="shared" si="16"/>
        <v>0</v>
      </c>
      <c r="AF148" s="692">
        <f t="shared" si="17"/>
        <v>0</v>
      </c>
      <c r="AG148" s="38"/>
      <c r="AH148" s="692">
        <f t="shared" si="23"/>
        <v>300000</v>
      </c>
      <c r="AI148" s="692">
        <f t="shared" si="24"/>
        <v>0</v>
      </c>
      <c r="AJ148" s="692">
        <f t="shared" si="25"/>
        <v>0</v>
      </c>
      <c r="AL148" s="38">
        <f t="shared" si="26"/>
        <v>271097.32</v>
      </c>
      <c r="AM148" s="68" t="s">
        <v>261</v>
      </c>
    </row>
    <row r="149" spans="1:39" s="269" customFormat="1">
      <c r="A149" s="21"/>
      <c r="B149" s="21" t="s">
        <v>110</v>
      </c>
      <c r="C149" s="666" t="s">
        <v>556</v>
      </c>
      <c r="D149" s="68" t="s">
        <v>262</v>
      </c>
      <c r="E149" s="679"/>
      <c r="F149" s="529">
        <f>VLOOKUP(D149,'May14 Revenue'!D:V,19,FALSE)</f>
        <v>247.94000000000051</v>
      </c>
      <c r="G149" s="680"/>
      <c r="H149" s="680"/>
      <c r="I149" s="755"/>
      <c r="J149" s="682">
        <f t="shared" si="14"/>
        <v>247.94000000000051</v>
      </c>
      <c r="K149" s="683"/>
      <c r="L149" s="684"/>
      <c r="M149" s="753">
        <v>15000</v>
      </c>
      <c r="N149" s="683">
        <v>0</v>
      </c>
      <c r="O149" s="686"/>
      <c r="P149" s="683">
        <v>0</v>
      </c>
      <c r="Q149" s="687">
        <f t="shared" si="1"/>
        <v>15000</v>
      </c>
      <c r="R149" s="687"/>
      <c r="S149" s="687"/>
      <c r="T149" s="688"/>
      <c r="U149" s="693"/>
      <c r="V149" s="690" t="str">
        <f t="shared" si="18"/>
        <v/>
      </c>
      <c r="W149" s="683"/>
      <c r="X149" s="474">
        <f t="shared" si="19"/>
        <v>15000</v>
      </c>
      <c r="Y149" s="474">
        <f t="shared" si="20"/>
        <v>0</v>
      </c>
      <c r="Z149" s="475">
        <f t="shared" si="21"/>
        <v>0</v>
      </c>
      <c r="AA149" s="475">
        <v>0</v>
      </c>
      <c r="AB149" s="476">
        <v>0</v>
      </c>
      <c r="AC149" s="38">
        <f t="shared" si="22"/>
        <v>0</v>
      </c>
      <c r="AD149" s="692">
        <f t="shared" si="15"/>
        <v>247.94000000000051</v>
      </c>
      <c r="AE149" s="692">
        <f t="shared" si="16"/>
        <v>0</v>
      </c>
      <c r="AF149" s="692">
        <f t="shared" si="17"/>
        <v>0</v>
      </c>
      <c r="AG149" s="38"/>
      <c r="AH149" s="692">
        <f t="shared" si="23"/>
        <v>15000</v>
      </c>
      <c r="AI149" s="692">
        <f t="shared" si="24"/>
        <v>0</v>
      </c>
      <c r="AJ149" s="692">
        <f t="shared" si="25"/>
        <v>0</v>
      </c>
      <c r="AL149" s="38">
        <f t="shared" si="26"/>
        <v>15247.94</v>
      </c>
      <c r="AM149" s="68" t="s">
        <v>262</v>
      </c>
    </row>
    <row r="150" spans="1:39" s="269" customFormat="1">
      <c r="A150" s="21"/>
      <c r="B150" s="21" t="s">
        <v>114</v>
      </c>
      <c r="C150" s="675" t="s">
        <v>1110</v>
      </c>
      <c r="D150" s="68" t="s">
        <v>626</v>
      </c>
      <c r="E150" s="679"/>
      <c r="F150" s="529">
        <f>VLOOKUP(D150,'May14 Revenue'!D:V,19,FALSE)</f>
        <v>-10000</v>
      </c>
      <c r="G150" s="680"/>
      <c r="H150" s="680"/>
      <c r="I150" s="770">
        <v>9583.7999999999993</v>
      </c>
      <c r="J150" s="682">
        <f t="shared" si="14"/>
        <v>-416.20000000000073</v>
      </c>
      <c r="K150" s="683"/>
      <c r="L150" s="684"/>
      <c r="M150" s="753"/>
      <c r="N150" s="683">
        <v>0</v>
      </c>
      <c r="O150" s="686"/>
      <c r="P150" s="683">
        <v>0</v>
      </c>
      <c r="Q150" s="687">
        <f t="shared" ref="Q150:Q223" si="28">L150+M150</f>
        <v>0</v>
      </c>
      <c r="R150" s="687"/>
      <c r="S150" s="687"/>
      <c r="T150" s="688"/>
      <c r="U150" s="693"/>
      <c r="V150" s="690" t="str">
        <f t="shared" si="18"/>
        <v/>
      </c>
      <c r="W150" s="683"/>
      <c r="X150" s="474">
        <f t="shared" si="19"/>
        <v>0</v>
      </c>
      <c r="Y150" s="474">
        <f t="shared" si="20"/>
        <v>0</v>
      </c>
      <c r="Z150" s="475">
        <f t="shared" si="21"/>
        <v>0</v>
      </c>
      <c r="AA150" s="475">
        <v>0</v>
      </c>
      <c r="AB150" s="476">
        <v>0</v>
      </c>
      <c r="AC150" s="38">
        <f t="shared" si="22"/>
        <v>0</v>
      </c>
      <c r="AD150" s="692">
        <f t="shared" si="15"/>
        <v>0</v>
      </c>
      <c r="AE150" s="692">
        <f t="shared" si="16"/>
        <v>0</v>
      </c>
      <c r="AF150" s="692">
        <f t="shared" si="17"/>
        <v>-416.20000000000073</v>
      </c>
      <c r="AG150" s="38"/>
      <c r="AH150" s="692">
        <f t="shared" si="23"/>
        <v>0</v>
      </c>
      <c r="AI150" s="692">
        <f t="shared" si="24"/>
        <v>0</v>
      </c>
      <c r="AJ150" s="692">
        <f t="shared" si="25"/>
        <v>0</v>
      </c>
      <c r="AL150" s="38">
        <f t="shared" si="26"/>
        <v>-416.20000000000073</v>
      </c>
      <c r="AM150" s="68" t="s">
        <v>626</v>
      </c>
    </row>
    <row r="151" spans="1:39">
      <c r="A151" s="21"/>
      <c r="B151" s="21" t="s">
        <v>109</v>
      </c>
      <c r="C151" s="666"/>
      <c r="D151" s="68" t="s">
        <v>396</v>
      </c>
      <c r="E151" s="679"/>
      <c r="F151" s="529">
        <f>VLOOKUP(D151,'May14 Revenue'!D:V,19,FALSE)</f>
        <v>0</v>
      </c>
      <c r="G151" s="680"/>
      <c r="H151" s="680"/>
      <c r="I151" s="755"/>
      <c r="J151" s="682">
        <f t="shared" si="14"/>
        <v>0</v>
      </c>
      <c r="K151" s="683"/>
      <c r="L151" s="684"/>
      <c r="M151" s="753"/>
      <c r="N151" s="683">
        <v>0</v>
      </c>
      <c r="O151" s="686"/>
      <c r="P151" s="683">
        <v>0</v>
      </c>
      <c r="Q151" s="687">
        <f t="shared" si="28"/>
        <v>0</v>
      </c>
      <c r="R151" s="687"/>
      <c r="S151" s="687"/>
      <c r="T151" s="688"/>
      <c r="U151" s="693"/>
      <c r="V151" s="690" t="str">
        <f t="shared" si="18"/>
        <v/>
      </c>
      <c r="W151" s="683"/>
      <c r="X151" s="474">
        <f t="shared" si="19"/>
        <v>0</v>
      </c>
      <c r="Y151" s="474">
        <f t="shared" si="20"/>
        <v>0</v>
      </c>
      <c r="Z151" s="475">
        <f t="shared" si="21"/>
        <v>0</v>
      </c>
      <c r="AA151" s="475">
        <v>0</v>
      </c>
      <c r="AB151" s="476">
        <v>0</v>
      </c>
      <c r="AC151" s="38">
        <f t="shared" si="22"/>
        <v>0</v>
      </c>
      <c r="AD151" s="692">
        <f t="shared" si="15"/>
        <v>0</v>
      </c>
      <c r="AE151" s="692">
        <f t="shared" si="16"/>
        <v>0</v>
      </c>
      <c r="AF151" s="692">
        <f t="shared" si="17"/>
        <v>0</v>
      </c>
      <c r="AG151" s="38"/>
      <c r="AH151" s="692">
        <f t="shared" si="23"/>
        <v>0</v>
      </c>
      <c r="AI151" s="692">
        <f t="shared" si="24"/>
        <v>0</v>
      </c>
      <c r="AJ151" s="692">
        <f t="shared" si="25"/>
        <v>0</v>
      </c>
      <c r="AL151" s="38">
        <f t="shared" si="26"/>
        <v>0</v>
      </c>
      <c r="AM151" s="68" t="s">
        <v>396</v>
      </c>
    </row>
    <row r="152" spans="1:39">
      <c r="A152" s="20"/>
      <c r="B152" s="20" t="s">
        <v>109</v>
      </c>
      <c r="C152" s="667" t="s">
        <v>557</v>
      </c>
      <c r="D152" s="68" t="s">
        <v>32</v>
      </c>
      <c r="E152" s="679"/>
      <c r="F152" s="529">
        <f>VLOOKUP(D152,'May14 Revenue'!D:V,19,FALSE)</f>
        <v>0</v>
      </c>
      <c r="G152" s="680"/>
      <c r="H152" s="680"/>
      <c r="I152" s="755"/>
      <c r="J152" s="682">
        <f t="shared" si="14"/>
        <v>0</v>
      </c>
      <c r="K152" s="683"/>
      <c r="L152" s="684"/>
      <c r="M152" s="753"/>
      <c r="N152" s="683">
        <v>0</v>
      </c>
      <c r="O152" s="686"/>
      <c r="P152" s="683">
        <v>0</v>
      </c>
      <c r="Q152" s="687">
        <f t="shared" si="28"/>
        <v>0</v>
      </c>
      <c r="R152" s="687"/>
      <c r="S152" s="687"/>
      <c r="T152" s="688"/>
      <c r="U152" s="693"/>
      <c r="V152" s="690" t="str">
        <f t="shared" si="18"/>
        <v/>
      </c>
      <c r="W152" s="683"/>
      <c r="X152" s="474">
        <f t="shared" si="19"/>
        <v>0</v>
      </c>
      <c r="Y152" s="474">
        <f t="shared" si="20"/>
        <v>0</v>
      </c>
      <c r="Z152" s="475">
        <f t="shared" si="21"/>
        <v>0</v>
      </c>
      <c r="AA152" s="475">
        <v>0</v>
      </c>
      <c r="AB152" s="476">
        <v>0</v>
      </c>
      <c r="AC152" s="38">
        <f t="shared" si="22"/>
        <v>0</v>
      </c>
      <c r="AD152" s="692">
        <f t="shared" si="15"/>
        <v>0</v>
      </c>
      <c r="AE152" s="692">
        <f t="shared" si="16"/>
        <v>0</v>
      </c>
      <c r="AF152" s="692">
        <f t="shared" si="17"/>
        <v>0</v>
      </c>
      <c r="AG152" s="38"/>
      <c r="AH152" s="692">
        <f t="shared" si="23"/>
        <v>0</v>
      </c>
      <c r="AI152" s="692">
        <f t="shared" si="24"/>
        <v>0</v>
      </c>
      <c r="AJ152" s="692">
        <f t="shared" si="25"/>
        <v>0</v>
      </c>
      <c r="AL152" s="38">
        <f t="shared" si="26"/>
        <v>0</v>
      </c>
      <c r="AM152" s="68" t="s">
        <v>32</v>
      </c>
    </row>
    <row r="153" spans="1:39">
      <c r="A153" s="21"/>
      <c r="B153" s="21" t="s">
        <v>110</v>
      </c>
      <c r="C153" s="666"/>
      <c r="D153" s="68" t="s">
        <v>448</v>
      </c>
      <c r="E153" s="679"/>
      <c r="F153" s="529">
        <f>VLOOKUP(D153,'May14 Revenue'!D:V,19,FALSE)</f>
        <v>0</v>
      </c>
      <c r="G153" s="680"/>
      <c r="H153" s="680"/>
      <c r="I153" s="755"/>
      <c r="J153" s="682">
        <f t="shared" si="14"/>
        <v>0</v>
      </c>
      <c r="K153" s="683"/>
      <c r="L153" s="684"/>
      <c r="M153" s="753"/>
      <c r="N153" s="683">
        <v>0</v>
      </c>
      <c r="O153" s="686"/>
      <c r="P153" s="683">
        <v>0</v>
      </c>
      <c r="Q153" s="687">
        <f t="shared" si="28"/>
        <v>0</v>
      </c>
      <c r="R153" s="687"/>
      <c r="S153" s="687"/>
      <c r="T153" s="688"/>
      <c r="U153" s="693"/>
      <c r="V153" s="690" t="str">
        <f t="shared" si="18"/>
        <v/>
      </c>
      <c r="W153" s="683"/>
      <c r="X153" s="474">
        <f t="shared" si="19"/>
        <v>0</v>
      </c>
      <c r="Y153" s="474">
        <f t="shared" si="20"/>
        <v>0</v>
      </c>
      <c r="Z153" s="475">
        <f t="shared" si="21"/>
        <v>0</v>
      </c>
      <c r="AA153" s="475">
        <v>0</v>
      </c>
      <c r="AB153" s="476">
        <v>0</v>
      </c>
      <c r="AC153" s="38">
        <f t="shared" si="22"/>
        <v>0</v>
      </c>
      <c r="AD153" s="692">
        <f t="shared" si="15"/>
        <v>0</v>
      </c>
      <c r="AE153" s="692">
        <f t="shared" si="16"/>
        <v>0</v>
      </c>
      <c r="AF153" s="692">
        <f t="shared" si="17"/>
        <v>0</v>
      </c>
      <c r="AG153" s="38"/>
      <c r="AH153" s="692">
        <f t="shared" si="23"/>
        <v>0</v>
      </c>
      <c r="AI153" s="692">
        <f t="shared" si="24"/>
        <v>0</v>
      </c>
      <c r="AJ153" s="692">
        <f t="shared" si="25"/>
        <v>0</v>
      </c>
      <c r="AL153" s="38">
        <f t="shared" si="26"/>
        <v>0</v>
      </c>
      <c r="AM153" s="68" t="s">
        <v>448</v>
      </c>
    </row>
    <row r="154" spans="1:39">
      <c r="A154" s="21"/>
      <c r="B154" s="21" t="s">
        <v>114</v>
      </c>
      <c r="C154" s="666"/>
      <c r="D154" s="68" t="s">
        <v>936</v>
      </c>
      <c r="E154" s="679"/>
      <c r="F154" s="529">
        <f>VLOOKUP(D154,'May14 Revenue'!D:V,19,FALSE)</f>
        <v>373.74</v>
      </c>
      <c r="G154" s="680"/>
      <c r="H154" s="680"/>
      <c r="I154" s="755"/>
      <c r="J154" s="682">
        <f t="shared" si="14"/>
        <v>373.74</v>
      </c>
      <c r="K154" s="683"/>
      <c r="L154" s="684"/>
      <c r="M154" s="753"/>
      <c r="N154" s="683">
        <v>0</v>
      </c>
      <c r="O154" s="686"/>
      <c r="P154" s="683">
        <v>0</v>
      </c>
      <c r="Q154" s="687">
        <f t="shared" si="28"/>
        <v>0</v>
      </c>
      <c r="R154" s="687"/>
      <c r="S154" s="687"/>
      <c r="T154" s="688"/>
      <c r="U154" s="693"/>
      <c r="V154" s="690" t="str">
        <f t="shared" si="18"/>
        <v/>
      </c>
      <c r="W154" s="683"/>
      <c r="X154" s="474">
        <f t="shared" si="19"/>
        <v>0</v>
      </c>
      <c r="Y154" s="474">
        <f t="shared" si="20"/>
        <v>0</v>
      </c>
      <c r="Z154" s="475">
        <f t="shared" si="21"/>
        <v>0</v>
      </c>
      <c r="AA154" s="475">
        <v>0</v>
      </c>
      <c r="AB154" s="476">
        <v>0</v>
      </c>
      <c r="AC154" s="38">
        <f t="shared" si="22"/>
        <v>0</v>
      </c>
      <c r="AD154" s="692">
        <f t="shared" si="15"/>
        <v>0</v>
      </c>
      <c r="AE154" s="692">
        <f t="shared" si="16"/>
        <v>0</v>
      </c>
      <c r="AF154" s="692">
        <f t="shared" si="17"/>
        <v>373.74</v>
      </c>
      <c r="AG154" s="38"/>
      <c r="AH154" s="692">
        <f t="shared" si="23"/>
        <v>0</v>
      </c>
      <c r="AI154" s="692">
        <f t="shared" si="24"/>
        <v>0</v>
      </c>
      <c r="AJ154" s="692">
        <f t="shared" si="25"/>
        <v>0</v>
      </c>
      <c r="AL154" s="38">
        <f t="shared" si="26"/>
        <v>373.74</v>
      </c>
      <c r="AM154" s="68" t="s">
        <v>936</v>
      </c>
    </row>
    <row r="155" spans="1:39">
      <c r="A155" s="21"/>
      <c r="B155" s="21" t="s">
        <v>110</v>
      </c>
      <c r="C155" s="666"/>
      <c r="D155" s="68" t="s">
        <v>877</v>
      </c>
      <c r="E155" s="679"/>
      <c r="F155" s="529">
        <f>VLOOKUP(D155,'May14 Revenue'!D:V,19,FALSE)</f>
        <v>0</v>
      </c>
      <c r="G155" s="680"/>
      <c r="H155" s="680"/>
      <c r="I155" s="755"/>
      <c r="J155" s="682">
        <f t="shared" si="14"/>
        <v>0</v>
      </c>
      <c r="K155" s="683"/>
      <c r="L155" s="684"/>
      <c r="M155" s="753"/>
      <c r="N155" s="683">
        <v>0</v>
      </c>
      <c r="O155" s="686"/>
      <c r="P155" s="683">
        <v>0</v>
      </c>
      <c r="Q155" s="687">
        <f t="shared" si="28"/>
        <v>0</v>
      </c>
      <c r="R155" s="687"/>
      <c r="S155" s="687"/>
      <c r="T155" s="688"/>
      <c r="U155" s="693"/>
      <c r="V155" s="690" t="str">
        <f t="shared" si="18"/>
        <v/>
      </c>
      <c r="W155" s="683"/>
      <c r="X155" s="474">
        <f t="shared" si="19"/>
        <v>0</v>
      </c>
      <c r="Y155" s="474">
        <f t="shared" si="20"/>
        <v>0</v>
      </c>
      <c r="Z155" s="475">
        <f t="shared" si="21"/>
        <v>0</v>
      </c>
      <c r="AA155" s="475">
        <v>0</v>
      </c>
      <c r="AB155" s="476">
        <v>0</v>
      </c>
      <c r="AC155" s="38">
        <f t="shared" si="22"/>
        <v>0</v>
      </c>
      <c r="AD155" s="692">
        <f t="shared" si="15"/>
        <v>0</v>
      </c>
      <c r="AE155" s="692">
        <f t="shared" si="16"/>
        <v>0</v>
      </c>
      <c r="AF155" s="692">
        <f t="shared" si="17"/>
        <v>0</v>
      </c>
      <c r="AG155" s="38"/>
      <c r="AH155" s="692">
        <f t="shared" si="23"/>
        <v>0</v>
      </c>
      <c r="AI155" s="692">
        <f t="shared" si="24"/>
        <v>0</v>
      </c>
      <c r="AJ155" s="692">
        <f t="shared" si="25"/>
        <v>0</v>
      </c>
      <c r="AL155" s="38">
        <f t="shared" si="26"/>
        <v>0</v>
      </c>
      <c r="AM155" s="68" t="s">
        <v>877</v>
      </c>
    </row>
    <row r="156" spans="1:39">
      <c r="A156" s="21"/>
      <c r="B156" s="21" t="s">
        <v>110</v>
      </c>
      <c r="C156" s="666" t="s">
        <v>558</v>
      </c>
      <c r="D156" s="68" t="s">
        <v>122</v>
      </c>
      <c r="E156" s="679">
        <v>921.16</v>
      </c>
      <c r="F156" s="529">
        <f>VLOOKUP(D156,'May14 Revenue'!D:V,19,FALSE)</f>
        <v>1022.22</v>
      </c>
      <c r="G156" s="680"/>
      <c r="H156" s="680"/>
      <c r="I156" s="755"/>
      <c r="J156" s="682">
        <f t="shared" si="14"/>
        <v>1943.38</v>
      </c>
      <c r="K156" s="683"/>
      <c r="L156" s="684"/>
      <c r="M156" s="753"/>
      <c r="N156" s="683">
        <v>0</v>
      </c>
      <c r="O156" s="686"/>
      <c r="P156" s="683">
        <v>0</v>
      </c>
      <c r="Q156" s="687">
        <f t="shared" si="28"/>
        <v>0</v>
      </c>
      <c r="R156" s="687"/>
      <c r="S156" s="687"/>
      <c r="T156" s="688"/>
      <c r="U156" s="693"/>
      <c r="V156" s="690" t="str">
        <f t="shared" si="18"/>
        <v/>
      </c>
      <c r="W156" s="683"/>
      <c r="X156" s="474">
        <f t="shared" si="19"/>
        <v>0</v>
      </c>
      <c r="Y156" s="474">
        <f t="shared" si="20"/>
        <v>0</v>
      </c>
      <c r="Z156" s="475">
        <f t="shared" si="21"/>
        <v>0</v>
      </c>
      <c r="AA156" s="475">
        <v>0</v>
      </c>
      <c r="AB156" s="476">
        <v>0</v>
      </c>
      <c r="AC156" s="38">
        <f t="shared" si="22"/>
        <v>0</v>
      </c>
      <c r="AD156" s="692">
        <f t="shared" si="15"/>
        <v>1943.38</v>
      </c>
      <c r="AE156" s="692">
        <f t="shared" si="16"/>
        <v>0</v>
      </c>
      <c r="AF156" s="692">
        <f t="shared" si="17"/>
        <v>0</v>
      </c>
      <c r="AG156" s="38"/>
      <c r="AH156" s="692">
        <f t="shared" si="23"/>
        <v>0</v>
      </c>
      <c r="AI156" s="692">
        <f t="shared" si="24"/>
        <v>0</v>
      </c>
      <c r="AJ156" s="692">
        <f t="shared" si="25"/>
        <v>0</v>
      </c>
      <c r="AL156" s="38">
        <f t="shared" si="26"/>
        <v>1943.38</v>
      </c>
      <c r="AM156" s="68" t="s">
        <v>122</v>
      </c>
    </row>
    <row r="157" spans="1:39">
      <c r="A157" s="21"/>
      <c r="B157" s="21" t="s">
        <v>114</v>
      </c>
      <c r="C157" s="666" t="s">
        <v>558</v>
      </c>
      <c r="D157" s="68" t="s">
        <v>629</v>
      </c>
      <c r="E157" s="679">
        <v>33.46</v>
      </c>
      <c r="F157" s="529">
        <f>VLOOKUP(D157,'May14 Revenue'!D:V,19,FALSE)</f>
        <v>33.42</v>
      </c>
      <c r="G157" s="680"/>
      <c r="H157" s="680"/>
      <c r="I157" s="755"/>
      <c r="J157" s="682">
        <f t="shared" ref="J157:J227" si="29">SUM(E157:I157)</f>
        <v>66.88</v>
      </c>
      <c r="K157" s="683"/>
      <c r="L157" s="684"/>
      <c r="M157" s="753"/>
      <c r="N157" s="683">
        <v>0</v>
      </c>
      <c r="O157" s="686"/>
      <c r="P157" s="683">
        <v>0</v>
      </c>
      <c r="Q157" s="687">
        <f t="shared" si="28"/>
        <v>0</v>
      </c>
      <c r="R157" s="687"/>
      <c r="S157" s="687"/>
      <c r="T157" s="688"/>
      <c r="U157" s="693"/>
      <c r="V157" s="690" t="str">
        <f t="shared" si="18"/>
        <v/>
      </c>
      <c r="W157" s="683"/>
      <c r="X157" s="474">
        <f t="shared" si="19"/>
        <v>0</v>
      </c>
      <c r="Y157" s="474">
        <f t="shared" si="20"/>
        <v>0</v>
      </c>
      <c r="Z157" s="475">
        <f t="shared" si="21"/>
        <v>0</v>
      </c>
      <c r="AA157" s="475">
        <v>0</v>
      </c>
      <c r="AB157" s="476">
        <v>0</v>
      </c>
      <c r="AC157" s="38">
        <f t="shared" si="22"/>
        <v>0</v>
      </c>
      <c r="AD157" s="692">
        <f t="shared" ref="AD157:AD227" si="30">IF(B157="D",J157,0)</f>
        <v>0</v>
      </c>
      <c r="AE157" s="692">
        <f t="shared" ref="AE157:AE227" si="31">IF(B157="M",J157,0)</f>
        <v>0</v>
      </c>
      <c r="AF157" s="692">
        <f t="shared" ref="AF157:AF227" si="32">IF(B157="V",J157,0)</f>
        <v>66.88</v>
      </c>
      <c r="AG157" s="38"/>
      <c r="AH157" s="692">
        <f t="shared" si="23"/>
        <v>0</v>
      </c>
      <c r="AI157" s="692">
        <f t="shared" si="24"/>
        <v>0</v>
      </c>
      <c r="AJ157" s="692">
        <f t="shared" si="25"/>
        <v>0</v>
      </c>
      <c r="AL157" s="38">
        <f t="shared" ref="AL157:AL227" si="33">SUM(AD157:AJ157)</f>
        <v>66.88</v>
      </c>
      <c r="AM157" s="68" t="s">
        <v>629</v>
      </c>
    </row>
    <row r="158" spans="1:39">
      <c r="A158" s="21"/>
      <c r="B158" s="21" t="s">
        <v>109</v>
      </c>
      <c r="C158" s="666" t="s">
        <v>559</v>
      </c>
      <c r="D158" s="68" t="s">
        <v>33</v>
      </c>
      <c r="E158" s="679"/>
      <c r="F158" s="529">
        <f>VLOOKUP(D158,'May14 Revenue'!D:V,19,FALSE)</f>
        <v>0</v>
      </c>
      <c r="G158" s="680"/>
      <c r="H158" s="680"/>
      <c r="I158" s="755"/>
      <c r="J158" s="682">
        <f t="shared" si="29"/>
        <v>0</v>
      </c>
      <c r="K158" s="683"/>
      <c r="L158" s="684"/>
      <c r="M158" s="753"/>
      <c r="N158" s="683">
        <v>0</v>
      </c>
      <c r="O158" s="686"/>
      <c r="P158" s="683">
        <v>0</v>
      </c>
      <c r="Q158" s="687">
        <f t="shared" si="28"/>
        <v>0</v>
      </c>
      <c r="R158" s="687"/>
      <c r="S158" s="687"/>
      <c r="T158" s="688"/>
      <c r="U158" s="693"/>
      <c r="V158" s="690" t="str">
        <f t="shared" si="18"/>
        <v/>
      </c>
      <c r="W158" s="683"/>
      <c r="X158" s="474">
        <f t="shared" si="19"/>
        <v>0</v>
      </c>
      <c r="Y158" s="474">
        <f t="shared" si="20"/>
        <v>0</v>
      </c>
      <c r="Z158" s="475">
        <f t="shared" si="21"/>
        <v>0</v>
      </c>
      <c r="AA158" s="475">
        <v>0</v>
      </c>
      <c r="AB158" s="476">
        <v>0</v>
      </c>
      <c r="AC158" s="38">
        <f t="shared" si="22"/>
        <v>0</v>
      </c>
      <c r="AD158" s="692">
        <f t="shared" si="30"/>
        <v>0</v>
      </c>
      <c r="AE158" s="692">
        <f t="shared" si="31"/>
        <v>0</v>
      </c>
      <c r="AF158" s="692">
        <f t="shared" si="32"/>
        <v>0</v>
      </c>
      <c r="AG158" s="38"/>
      <c r="AH158" s="692">
        <f t="shared" ref="AH158:AH228" si="34">IF(B158="D",Q158,0)</f>
        <v>0</v>
      </c>
      <c r="AI158" s="692">
        <f t="shared" ref="AI158:AI228" si="35">IF(B158="M",Q158,0)</f>
        <v>0</v>
      </c>
      <c r="AJ158" s="692">
        <f t="shared" ref="AJ158:AJ228" si="36">IF(B158="V",Q158,0)</f>
        <v>0</v>
      </c>
      <c r="AL158" s="38">
        <f t="shared" si="33"/>
        <v>0</v>
      </c>
      <c r="AM158" s="68" t="s">
        <v>33</v>
      </c>
    </row>
    <row r="159" spans="1:39">
      <c r="A159" s="21"/>
      <c r="B159" s="21" t="s">
        <v>109</v>
      </c>
      <c r="C159" s="666" t="s">
        <v>560</v>
      </c>
      <c r="D159" s="68" t="s">
        <v>379</v>
      </c>
      <c r="E159" s="679"/>
      <c r="F159" s="529">
        <f>VLOOKUP(D159,'May14 Revenue'!D:V,19,FALSE)</f>
        <v>0</v>
      </c>
      <c r="G159" s="680"/>
      <c r="H159" s="680"/>
      <c r="I159" s="755"/>
      <c r="J159" s="682">
        <f t="shared" si="29"/>
        <v>0</v>
      </c>
      <c r="K159" s="683"/>
      <c r="L159" s="684"/>
      <c r="M159" s="753"/>
      <c r="N159" s="683">
        <v>0</v>
      </c>
      <c r="O159" s="686"/>
      <c r="P159" s="683">
        <v>0</v>
      </c>
      <c r="Q159" s="687">
        <f t="shared" si="28"/>
        <v>0</v>
      </c>
      <c r="R159" s="687"/>
      <c r="S159" s="687"/>
      <c r="T159" s="688"/>
      <c r="U159" s="693"/>
      <c r="V159" s="690" t="str">
        <f t="shared" ref="V159:V229" si="37">IF(T159="","",T159-Q159)</f>
        <v/>
      </c>
      <c r="W159" s="683"/>
      <c r="X159" s="474">
        <f t="shared" ref="X159:X229" si="38">IF(B159="D",Q159,0)</f>
        <v>0</v>
      </c>
      <c r="Y159" s="474">
        <f t="shared" ref="Y159:Y229" si="39">IF(B159="M",Q159,0)</f>
        <v>0</v>
      </c>
      <c r="Z159" s="475">
        <f t="shared" ref="Z159:Z229" si="40">IF(B159="V",Q159,0)</f>
        <v>0</v>
      </c>
      <c r="AA159" s="475">
        <v>0</v>
      </c>
      <c r="AB159" s="476">
        <v>0</v>
      </c>
      <c r="AC159" s="38">
        <f t="shared" ref="AC159:AC229" si="41">(L159+M159)-(X159+Y159+Z159+AA159+AB159)</f>
        <v>0</v>
      </c>
      <c r="AD159" s="692">
        <f t="shared" si="30"/>
        <v>0</v>
      </c>
      <c r="AE159" s="692">
        <f t="shared" si="31"/>
        <v>0</v>
      </c>
      <c r="AF159" s="692">
        <f t="shared" si="32"/>
        <v>0</v>
      </c>
      <c r="AG159" s="38"/>
      <c r="AH159" s="692">
        <f t="shared" si="34"/>
        <v>0</v>
      </c>
      <c r="AI159" s="692">
        <f t="shared" si="35"/>
        <v>0</v>
      </c>
      <c r="AJ159" s="692">
        <f t="shared" si="36"/>
        <v>0</v>
      </c>
      <c r="AL159" s="38">
        <f t="shared" si="33"/>
        <v>0</v>
      </c>
      <c r="AM159" s="68" t="s">
        <v>379</v>
      </c>
    </row>
    <row r="160" spans="1:39" s="232" customFormat="1">
      <c r="A160" s="283"/>
      <c r="B160" s="283" t="s">
        <v>114</v>
      </c>
      <c r="C160" s="667"/>
      <c r="D160" s="567" t="s">
        <v>408</v>
      </c>
      <c r="E160" s="679"/>
      <c r="F160" s="529">
        <f>VLOOKUP(D160,'May14 Revenue'!D:V,19,FALSE)</f>
        <v>0</v>
      </c>
      <c r="G160" s="680"/>
      <c r="H160" s="680"/>
      <c r="I160" s="770">
        <v>45456</v>
      </c>
      <c r="J160" s="682">
        <f t="shared" si="29"/>
        <v>45456</v>
      </c>
      <c r="K160" s="683"/>
      <c r="L160" s="684"/>
      <c r="M160" s="753"/>
      <c r="N160" s="683">
        <v>0</v>
      </c>
      <c r="O160" s="686"/>
      <c r="P160" s="683">
        <v>0</v>
      </c>
      <c r="Q160" s="687">
        <f t="shared" si="28"/>
        <v>0</v>
      </c>
      <c r="R160" s="687"/>
      <c r="S160" s="687"/>
      <c r="T160" s="688"/>
      <c r="U160" s="693"/>
      <c r="V160" s="690" t="str">
        <f t="shared" si="37"/>
        <v/>
      </c>
      <c r="W160" s="683"/>
      <c r="X160" s="474">
        <f t="shared" si="38"/>
        <v>0</v>
      </c>
      <c r="Y160" s="474">
        <f t="shared" si="39"/>
        <v>0</v>
      </c>
      <c r="Z160" s="475">
        <f t="shared" si="40"/>
        <v>0</v>
      </c>
      <c r="AA160" s="475">
        <v>0</v>
      </c>
      <c r="AB160" s="476">
        <v>0</v>
      </c>
      <c r="AC160" s="38">
        <f t="shared" si="41"/>
        <v>0</v>
      </c>
      <c r="AD160" s="692">
        <f t="shared" si="30"/>
        <v>0</v>
      </c>
      <c r="AE160" s="692">
        <f t="shared" si="31"/>
        <v>0</v>
      </c>
      <c r="AF160" s="692">
        <f t="shared" si="32"/>
        <v>45456</v>
      </c>
      <c r="AG160" s="38"/>
      <c r="AH160" s="692">
        <f t="shared" si="34"/>
        <v>0</v>
      </c>
      <c r="AI160" s="692">
        <f t="shared" si="35"/>
        <v>0</v>
      </c>
      <c r="AJ160" s="692">
        <f t="shared" si="36"/>
        <v>0</v>
      </c>
      <c r="AL160" s="38">
        <f t="shared" si="33"/>
        <v>45456</v>
      </c>
      <c r="AM160" s="567" t="s">
        <v>408</v>
      </c>
    </row>
    <row r="161" spans="1:39" s="232" customFormat="1">
      <c r="A161" s="283"/>
      <c r="B161" s="283" t="s">
        <v>110</v>
      </c>
      <c r="C161" s="667"/>
      <c r="D161" s="567" t="s">
        <v>1053</v>
      </c>
      <c r="E161" s="679"/>
      <c r="F161" s="529">
        <f>VLOOKUP(D161,'May14 Revenue'!D:V,19,FALSE)</f>
        <v>323.40000000000146</v>
      </c>
      <c r="G161" s="680"/>
      <c r="H161" s="680"/>
      <c r="I161" s="755"/>
      <c r="J161" s="682">
        <f t="shared" si="29"/>
        <v>323.40000000000146</v>
      </c>
      <c r="K161" s="683"/>
      <c r="L161" s="684"/>
      <c r="M161" s="753">
        <v>35000</v>
      </c>
      <c r="N161" s="683">
        <v>0</v>
      </c>
      <c r="O161" s="686"/>
      <c r="P161" s="683">
        <v>0</v>
      </c>
      <c r="Q161" s="687">
        <f t="shared" si="28"/>
        <v>35000</v>
      </c>
      <c r="R161" s="687"/>
      <c r="S161" s="687"/>
      <c r="T161" s="688"/>
      <c r="U161" s="693"/>
      <c r="V161" s="690" t="str">
        <f t="shared" si="37"/>
        <v/>
      </c>
      <c r="W161" s="683"/>
      <c r="X161" s="474">
        <f t="shared" si="38"/>
        <v>35000</v>
      </c>
      <c r="Y161" s="474">
        <f t="shared" si="39"/>
        <v>0</v>
      </c>
      <c r="Z161" s="475">
        <f t="shared" si="40"/>
        <v>0</v>
      </c>
      <c r="AA161" s="475">
        <v>0</v>
      </c>
      <c r="AB161" s="476">
        <v>0</v>
      </c>
      <c r="AC161" s="38">
        <f t="shared" si="41"/>
        <v>0</v>
      </c>
      <c r="AD161" s="692">
        <f t="shared" si="30"/>
        <v>323.40000000000146</v>
      </c>
      <c r="AE161" s="692">
        <f t="shared" si="31"/>
        <v>0</v>
      </c>
      <c r="AF161" s="692">
        <f t="shared" si="32"/>
        <v>0</v>
      </c>
      <c r="AG161" s="38"/>
      <c r="AH161" s="692">
        <f t="shared" si="34"/>
        <v>35000</v>
      </c>
      <c r="AI161" s="692">
        <f t="shared" si="35"/>
        <v>0</v>
      </c>
      <c r="AJ161" s="692">
        <f t="shared" si="36"/>
        <v>0</v>
      </c>
      <c r="AL161" s="38">
        <f t="shared" si="33"/>
        <v>35323.4</v>
      </c>
      <c r="AM161" s="567" t="s">
        <v>445</v>
      </c>
    </row>
    <row r="162" spans="1:39" s="232" customFormat="1">
      <c r="A162" s="283"/>
      <c r="B162" s="283" t="s">
        <v>109</v>
      </c>
      <c r="C162" s="667" t="s">
        <v>562</v>
      </c>
      <c r="D162" s="567" t="s">
        <v>480</v>
      </c>
      <c r="E162" s="679"/>
      <c r="F162" s="529">
        <f>VLOOKUP(D162,'May14 Revenue'!D:V,19,FALSE)</f>
        <v>0</v>
      </c>
      <c r="G162" s="680"/>
      <c r="H162" s="680"/>
      <c r="I162" s="770">
        <v>11066.37</v>
      </c>
      <c r="J162" s="682">
        <f t="shared" si="29"/>
        <v>11066.37</v>
      </c>
      <c r="K162" s="683"/>
      <c r="L162" s="684"/>
      <c r="M162" s="753"/>
      <c r="N162" s="683">
        <v>0</v>
      </c>
      <c r="O162" s="686"/>
      <c r="P162" s="683">
        <v>0</v>
      </c>
      <c r="Q162" s="687">
        <f t="shared" si="28"/>
        <v>0</v>
      </c>
      <c r="R162" s="687"/>
      <c r="S162" s="687"/>
      <c r="T162" s="688"/>
      <c r="U162" s="693"/>
      <c r="V162" s="690" t="str">
        <f t="shared" si="37"/>
        <v/>
      </c>
      <c r="W162" s="683"/>
      <c r="X162" s="474">
        <f t="shared" si="38"/>
        <v>0</v>
      </c>
      <c r="Y162" s="474">
        <f t="shared" si="39"/>
        <v>0</v>
      </c>
      <c r="Z162" s="475">
        <f t="shared" si="40"/>
        <v>0</v>
      </c>
      <c r="AA162" s="475">
        <v>0</v>
      </c>
      <c r="AB162" s="476">
        <v>0</v>
      </c>
      <c r="AC162" s="38">
        <f t="shared" si="41"/>
        <v>0</v>
      </c>
      <c r="AD162" s="692">
        <f t="shared" si="30"/>
        <v>0</v>
      </c>
      <c r="AE162" s="692">
        <f t="shared" si="31"/>
        <v>11066.37</v>
      </c>
      <c r="AF162" s="692">
        <f t="shared" si="32"/>
        <v>0</v>
      </c>
      <c r="AG162" s="38"/>
      <c r="AH162" s="692">
        <f t="shared" si="34"/>
        <v>0</v>
      </c>
      <c r="AI162" s="692">
        <f t="shared" si="35"/>
        <v>0</v>
      </c>
      <c r="AJ162" s="692">
        <f t="shared" si="36"/>
        <v>0</v>
      </c>
      <c r="AL162" s="38">
        <f t="shared" si="33"/>
        <v>11066.37</v>
      </c>
      <c r="AM162" s="567" t="s">
        <v>480</v>
      </c>
    </row>
    <row r="163" spans="1:39" s="232" customFormat="1">
      <c r="A163" s="403"/>
      <c r="B163" s="403" t="s">
        <v>109</v>
      </c>
      <c r="C163" s="666" t="s">
        <v>563</v>
      </c>
      <c r="D163" s="807" t="s">
        <v>327</v>
      </c>
      <c r="E163" s="679">
        <v>32363.66</v>
      </c>
      <c r="F163" s="529">
        <f>VLOOKUP(D163,'May14 Revenue'!D:V,19,FALSE)</f>
        <v>-34083.370000000003</v>
      </c>
      <c r="G163" s="680"/>
      <c r="H163" s="680"/>
      <c r="I163" s="755"/>
      <c r="J163" s="682">
        <f t="shared" si="29"/>
        <v>-1719.7100000000028</v>
      </c>
      <c r="K163" s="683"/>
      <c r="L163" s="684"/>
      <c r="M163" s="753">
        <v>40000</v>
      </c>
      <c r="N163" s="683">
        <v>0</v>
      </c>
      <c r="O163" s="686"/>
      <c r="P163" s="683">
        <v>0</v>
      </c>
      <c r="Q163" s="687">
        <f t="shared" si="28"/>
        <v>40000</v>
      </c>
      <c r="R163" s="687"/>
      <c r="S163" s="687"/>
      <c r="T163" s="688"/>
      <c r="U163" s="693"/>
      <c r="V163" s="690" t="str">
        <f t="shared" si="37"/>
        <v/>
      </c>
      <c r="W163" s="683"/>
      <c r="X163" s="474">
        <f t="shared" si="38"/>
        <v>0</v>
      </c>
      <c r="Y163" s="474">
        <f t="shared" si="39"/>
        <v>40000</v>
      </c>
      <c r="Z163" s="475">
        <f t="shared" si="40"/>
        <v>0</v>
      </c>
      <c r="AA163" s="475">
        <v>0</v>
      </c>
      <c r="AB163" s="476">
        <v>0</v>
      </c>
      <c r="AC163" s="38">
        <f t="shared" si="41"/>
        <v>0</v>
      </c>
      <c r="AD163" s="692">
        <f t="shared" si="30"/>
        <v>0</v>
      </c>
      <c r="AE163" s="692">
        <f t="shared" si="31"/>
        <v>-1719.7100000000028</v>
      </c>
      <c r="AF163" s="692">
        <f t="shared" si="32"/>
        <v>0</v>
      </c>
      <c r="AG163" s="38"/>
      <c r="AH163" s="692">
        <f t="shared" si="34"/>
        <v>0</v>
      </c>
      <c r="AI163" s="692">
        <f t="shared" si="35"/>
        <v>40000</v>
      </c>
      <c r="AJ163" s="692">
        <f t="shared" si="36"/>
        <v>0</v>
      </c>
      <c r="AL163" s="38">
        <f t="shared" si="33"/>
        <v>38280.289999999994</v>
      </c>
      <c r="AM163" s="807" t="s">
        <v>327</v>
      </c>
    </row>
    <row r="164" spans="1:39" s="232" customFormat="1">
      <c r="A164" s="403"/>
      <c r="B164" s="403" t="s">
        <v>110</v>
      </c>
      <c r="C164" s="666" t="s">
        <v>563</v>
      </c>
      <c r="D164" s="123" t="s">
        <v>637</v>
      </c>
      <c r="E164" s="679"/>
      <c r="F164" s="529">
        <f>VLOOKUP(D164,'May14 Revenue'!D:V,19,FALSE)</f>
        <v>0</v>
      </c>
      <c r="G164" s="680"/>
      <c r="H164" s="680"/>
      <c r="I164" s="755"/>
      <c r="J164" s="682">
        <f t="shared" si="29"/>
        <v>0</v>
      </c>
      <c r="K164" s="683"/>
      <c r="L164" s="684"/>
      <c r="M164" s="753"/>
      <c r="N164" s="683">
        <v>0</v>
      </c>
      <c r="O164" s="686"/>
      <c r="P164" s="683">
        <v>0</v>
      </c>
      <c r="Q164" s="687">
        <f t="shared" si="28"/>
        <v>0</v>
      </c>
      <c r="R164" s="687"/>
      <c r="S164" s="687"/>
      <c r="T164" s="688"/>
      <c r="U164" s="693"/>
      <c r="V164" s="690" t="str">
        <f t="shared" si="37"/>
        <v/>
      </c>
      <c r="W164" s="683"/>
      <c r="X164" s="474">
        <f t="shared" si="38"/>
        <v>0</v>
      </c>
      <c r="Y164" s="474">
        <f t="shared" si="39"/>
        <v>0</v>
      </c>
      <c r="Z164" s="475">
        <f t="shared" si="40"/>
        <v>0</v>
      </c>
      <c r="AA164" s="475">
        <v>0</v>
      </c>
      <c r="AB164" s="476">
        <v>0</v>
      </c>
      <c r="AC164" s="38">
        <f t="shared" si="41"/>
        <v>0</v>
      </c>
      <c r="AD164" s="692">
        <f t="shared" si="30"/>
        <v>0</v>
      </c>
      <c r="AE164" s="692">
        <f t="shared" si="31"/>
        <v>0</v>
      </c>
      <c r="AF164" s="692">
        <f t="shared" si="32"/>
        <v>0</v>
      </c>
      <c r="AG164" s="38"/>
      <c r="AH164" s="692">
        <f t="shared" si="34"/>
        <v>0</v>
      </c>
      <c r="AI164" s="692">
        <f t="shared" si="35"/>
        <v>0</v>
      </c>
      <c r="AJ164" s="692">
        <f t="shared" si="36"/>
        <v>0</v>
      </c>
      <c r="AL164" s="38">
        <f t="shared" si="33"/>
        <v>0</v>
      </c>
      <c r="AM164" s="123" t="s">
        <v>637</v>
      </c>
    </row>
    <row r="165" spans="1:39">
      <c r="A165" s="21"/>
      <c r="B165" s="21" t="s">
        <v>110</v>
      </c>
      <c r="C165" s="666"/>
      <c r="D165" s="68" t="s">
        <v>232</v>
      </c>
      <c r="E165" s="679"/>
      <c r="F165" s="529">
        <f>VLOOKUP(D165,'May14 Revenue'!D:V,19,FALSE)</f>
        <v>-16000</v>
      </c>
      <c r="G165" s="680"/>
      <c r="H165" s="680"/>
      <c r="I165" s="755"/>
      <c r="J165" s="682">
        <f t="shared" si="29"/>
        <v>-16000</v>
      </c>
      <c r="K165" s="683"/>
      <c r="L165" s="684"/>
      <c r="M165" s="753">
        <v>18000</v>
      </c>
      <c r="N165" s="683">
        <v>0</v>
      </c>
      <c r="O165" s="686"/>
      <c r="P165" s="683">
        <v>0</v>
      </c>
      <c r="Q165" s="687">
        <f t="shared" si="28"/>
        <v>18000</v>
      </c>
      <c r="R165" s="687"/>
      <c r="S165" s="687"/>
      <c r="T165" s="688"/>
      <c r="U165" s="693"/>
      <c r="V165" s="690" t="str">
        <f t="shared" si="37"/>
        <v/>
      </c>
      <c r="W165" s="683"/>
      <c r="X165" s="474">
        <f t="shared" si="38"/>
        <v>18000</v>
      </c>
      <c r="Y165" s="474">
        <f t="shared" si="39"/>
        <v>0</v>
      </c>
      <c r="Z165" s="475">
        <f t="shared" si="40"/>
        <v>0</v>
      </c>
      <c r="AA165" s="475">
        <v>0</v>
      </c>
      <c r="AB165" s="476">
        <v>0</v>
      </c>
      <c r="AC165" s="38">
        <f t="shared" si="41"/>
        <v>0</v>
      </c>
      <c r="AD165" s="692">
        <f t="shared" si="30"/>
        <v>-16000</v>
      </c>
      <c r="AE165" s="692">
        <f t="shared" si="31"/>
        <v>0</v>
      </c>
      <c r="AF165" s="692">
        <f t="shared" si="32"/>
        <v>0</v>
      </c>
      <c r="AG165" s="38"/>
      <c r="AH165" s="692">
        <f t="shared" si="34"/>
        <v>18000</v>
      </c>
      <c r="AI165" s="692">
        <f t="shared" si="35"/>
        <v>0</v>
      </c>
      <c r="AJ165" s="692">
        <f t="shared" si="36"/>
        <v>0</v>
      </c>
      <c r="AL165" s="38">
        <f t="shared" si="33"/>
        <v>2000</v>
      </c>
      <c r="AM165" s="68" t="s">
        <v>232</v>
      </c>
    </row>
    <row r="166" spans="1:39" hidden="1">
      <c r="A166" s="21"/>
      <c r="B166" s="21" t="s">
        <v>109</v>
      </c>
      <c r="C166" s="666" t="s">
        <v>564</v>
      </c>
      <c r="D166" s="68" t="s">
        <v>876</v>
      </c>
      <c r="E166" s="679"/>
      <c r="F166" s="529">
        <f>VLOOKUP(D166,'May14 Revenue'!D:V,19,FALSE)</f>
        <v>0</v>
      </c>
      <c r="G166" s="680"/>
      <c r="H166" s="680"/>
      <c r="I166" s="755"/>
      <c r="J166" s="682">
        <f t="shared" si="29"/>
        <v>0</v>
      </c>
      <c r="K166" s="683"/>
      <c r="L166" s="684"/>
      <c r="M166" s="753"/>
      <c r="N166" s="683">
        <v>0</v>
      </c>
      <c r="O166" s="686"/>
      <c r="P166" s="683">
        <v>0</v>
      </c>
      <c r="Q166" s="687">
        <f t="shared" si="28"/>
        <v>0</v>
      </c>
      <c r="R166" s="687"/>
      <c r="S166" s="687"/>
      <c r="T166" s="688"/>
      <c r="U166" s="693"/>
      <c r="V166" s="690" t="str">
        <f t="shared" si="37"/>
        <v/>
      </c>
      <c r="W166" s="683"/>
      <c r="X166" s="474">
        <f t="shared" si="38"/>
        <v>0</v>
      </c>
      <c r="Y166" s="474">
        <f t="shared" si="39"/>
        <v>0</v>
      </c>
      <c r="Z166" s="475">
        <f t="shared" si="40"/>
        <v>0</v>
      </c>
      <c r="AA166" s="475">
        <v>0</v>
      </c>
      <c r="AB166" s="476">
        <v>0</v>
      </c>
      <c r="AC166" s="38">
        <f t="shared" si="41"/>
        <v>0</v>
      </c>
      <c r="AD166" s="692">
        <f t="shared" si="30"/>
        <v>0</v>
      </c>
      <c r="AE166" s="692">
        <f t="shared" si="31"/>
        <v>0</v>
      </c>
      <c r="AF166" s="692">
        <f t="shared" si="32"/>
        <v>0</v>
      </c>
      <c r="AG166" s="38"/>
      <c r="AH166" s="692">
        <f t="shared" si="34"/>
        <v>0</v>
      </c>
      <c r="AI166" s="692">
        <f t="shared" si="35"/>
        <v>0</v>
      </c>
      <c r="AJ166" s="692">
        <f t="shared" si="36"/>
        <v>0</v>
      </c>
      <c r="AL166" s="38">
        <f t="shared" si="33"/>
        <v>0</v>
      </c>
      <c r="AM166" s="68" t="s">
        <v>876</v>
      </c>
    </row>
    <row r="167" spans="1:39" hidden="1">
      <c r="A167" s="21"/>
      <c r="B167" s="21" t="s">
        <v>109</v>
      </c>
      <c r="C167" s="666" t="s">
        <v>564</v>
      </c>
      <c r="D167" s="68" t="s">
        <v>307</v>
      </c>
      <c r="E167" s="679"/>
      <c r="F167" s="529">
        <f>VLOOKUP(D167,'May14 Revenue'!D:V,19,FALSE)</f>
        <v>0</v>
      </c>
      <c r="G167" s="680"/>
      <c r="H167" s="680"/>
      <c r="I167" s="755"/>
      <c r="J167" s="682">
        <f t="shared" si="29"/>
        <v>0</v>
      </c>
      <c r="K167" s="683"/>
      <c r="L167" s="684"/>
      <c r="M167" s="753"/>
      <c r="N167" s="683">
        <v>0</v>
      </c>
      <c r="O167" s="686"/>
      <c r="P167" s="683">
        <v>0</v>
      </c>
      <c r="Q167" s="687">
        <f t="shared" si="28"/>
        <v>0</v>
      </c>
      <c r="R167" s="687"/>
      <c r="S167" s="687"/>
      <c r="T167" s="688"/>
      <c r="U167" s="693"/>
      <c r="V167" s="690" t="str">
        <f t="shared" si="37"/>
        <v/>
      </c>
      <c r="W167" s="683"/>
      <c r="X167" s="474">
        <f t="shared" si="38"/>
        <v>0</v>
      </c>
      <c r="Y167" s="474">
        <f t="shared" si="39"/>
        <v>0</v>
      </c>
      <c r="Z167" s="475">
        <f t="shared" si="40"/>
        <v>0</v>
      </c>
      <c r="AA167" s="475">
        <v>0</v>
      </c>
      <c r="AB167" s="476">
        <v>0</v>
      </c>
      <c r="AC167" s="38">
        <f t="shared" si="41"/>
        <v>0</v>
      </c>
      <c r="AD167" s="692">
        <f t="shared" si="30"/>
        <v>0</v>
      </c>
      <c r="AE167" s="692">
        <f t="shared" si="31"/>
        <v>0</v>
      </c>
      <c r="AF167" s="692">
        <f t="shared" si="32"/>
        <v>0</v>
      </c>
      <c r="AG167" s="38"/>
      <c r="AH167" s="692">
        <f t="shared" si="34"/>
        <v>0</v>
      </c>
      <c r="AI167" s="692">
        <f t="shared" si="35"/>
        <v>0</v>
      </c>
      <c r="AJ167" s="692">
        <f t="shared" si="36"/>
        <v>0</v>
      </c>
      <c r="AL167" s="38">
        <f t="shared" si="33"/>
        <v>0</v>
      </c>
      <c r="AM167" s="68" t="s">
        <v>307</v>
      </c>
    </row>
    <row r="168" spans="1:39">
      <c r="A168" s="21"/>
      <c r="B168" s="21" t="s">
        <v>109</v>
      </c>
      <c r="C168" s="666" t="s">
        <v>565</v>
      </c>
      <c r="D168" s="68" t="s">
        <v>485</v>
      </c>
      <c r="E168" s="679"/>
      <c r="F168" s="529">
        <f>VLOOKUP(D168,'May14 Revenue'!D:V,19,FALSE)</f>
        <v>-15573.869999999995</v>
      </c>
      <c r="G168" s="680"/>
      <c r="H168" s="680"/>
      <c r="I168" s="755"/>
      <c r="J168" s="682">
        <f t="shared" si="29"/>
        <v>-15573.869999999995</v>
      </c>
      <c r="K168" s="683"/>
      <c r="L168" s="684"/>
      <c r="M168" s="753">
        <v>120000</v>
      </c>
      <c r="N168" s="683"/>
      <c r="O168" s="686"/>
      <c r="P168" s="683"/>
      <c r="Q168" s="687">
        <f t="shared" si="28"/>
        <v>120000</v>
      </c>
      <c r="R168" s="687"/>
      <c r="S168" s="687"/>
      <c r="T168" s="688"/>
      <c r="U168" s="693"/>
      <c r="V168" s="690" t="str">
        <f t="shared" si="37"/>
        <v/>
      </c>
      <c r="W168" s="683"/>
      <c r="X168" s="474">
        <f t="shared" si="38"/>
        <v>0</v>
      </c>
      <c r="Y168" s="474">
        <f t="shared" si="39"/>
        <v>120000</v>
      </c>
      <c r="Z168" s="475">
        <f t="shared" si="40"/>
        <v>0</v>
      </c>
      <c r="AA168" s="475">
        <v>0</v>
      </c>
      <c r="AB168" s="476">
        <v>0</v>
      </c>
      <c r="AC168" s="38">
        <f t="shared" si="41"/>
        <v>0</v>
      </c>
      <c r="AD168" s="692">
        <f t="shared" si="30"/>
        <v>0</v>
      </c>
      <c r="AE168" s="692">
        <f t="shared" si="31"/>
        <v>-15573.869999999995</v>
      </c>
      <c r="AF168" s="692">
        <f t="shared" si="32"/>
        <v>0</v>
      </c>
      <c r="AG168" s="38"/>
      <c r="AH168" s="692">
        <f t="shared" si="34"/>
        <v>0</v>
      </c>
      <c r="AI168" s="692">
        <f t="shared" si="35"/>
        <v>120000</v>
      </c>
      <c r="AJ168" s="692">
        <f t="shared" si="36"/>
        <v>0</v>
      </c>
      <c r="AL168" s="38">
        <f t="shared" si="33"/>
        <v>104426.13</v>
      </c>
      <c r="AM168" s="68" t="s">
        <v>485</v>
      </c>
    </row>
    <row r="169" spans="1:39" s="232" customFormat="1">
      <c r="A169" s="403"/>
      <c r="B169" s="403" t="s">
        <v>109</v>
      </c>
      <c r="C169" s="666"/>
      <c r="D169" s="123" t="s">
        <v>220</v>
      </c>
      <c r="E169" s="679"/>
      <c r="F169" s="529">
        <f>VLOOKUP(D169,'May14 Revenue'!D:V,19,FALSE)</f>
        <v>0</v>
      </c>
      <c r="G169" s="680"/>
      <c r="H169" s="680"/>
      <c r="I169" s="755"/>
      <c r="J169" s="682">
        <f t="shared" si="29"/>
        <v>0</v>
      </c>
      <c r="K169" s="683"/>
      <c r="L169" s="684"/>
      <c r="M169" s="753"/>
      <c r="N169" s="683">
        <v>0</v>
      </c>
      <c r="O169" s="686"/>
      <c r="P169" s="683">
        <v>0</v>
      </c>
      <c r="Q169" s="687">
        <f t="shared" si="28"/>
        <v>0</v>
      </c>
      <c r="R169" s="687"/>
      <c r="S169" s="687"/>
      <c r="T169" s="688"/>
      <c r="U169" s="693"/>
      <c r="V169" s="690" t="str">
        <f t="shared" si="37"/>
        <v/>
      </c>
      <c r="W169" s="683"/>
      <c r="X169" s="474">
        <f t="shared" si="38"/>
        <v>0</v>
      </c>
      <c r="Y169" s="474">
        <f t="shared" si="39"/>
        <v>0</v>
      </c>
      <c r="Z169" s="475">
        <f t="shared" si="40"/>
        <v>0</v>
      </c>
      <c r="AA169" s="475">
        <v>0</v>
      </c>
      <c r="AB169" s="476">
        <v>0</v>
      </c>
      <c r="AC169" s="38">
        <f t="shared" si="41"/>
        <v>0</v>
      </c>
      <c r="AD169" s="692">
        <f t="shared" si="30"/>
        <v>0</v>
      </c>
      <c r="AE169" s="692">
        <f t="shared" si="31"/>
        <v>0</v>
      </c>
      <c r="AF169" s="692">
        <f t="shared" si="32"/>
        <v>0</v>
      </c>
      <c r="AG169" s="38"/>
      <c r="AH169" s="692">
        <f t="shared" si="34"/>
        <v>0</v>
      </c>
      <c r="AI169" s="692">
        <f t="shared" si="35"/>
        <v>0</v>
      </c>
      <c r="AJ169" s="692">
        <f t="shared" si="36"/>
        <v>0</v>
      </c>
      <c r="AL169" s="38">
        <f t="shared" si="33"/>
        <v>0</v>
      </c>
      <c r="AM169" s="123" t="s">
        <v>220</v>
      </c>
    </row>
    <row r="170" spans="1:39" s="24" customFormat="1">
      <c r="A170" s="472"/>
      <c r="B170" s="21" t="s">
        <v>110</v>
      </c>
      <c r="C170" s="666"/>
      <c r="D170" s="68" t="s">
        <v>1065</v>
      </c>
      <c r="E170" s="679"/>
      <c r="F170" s="529">
        <f>VLOOKUP(D170,'May14 Revenue'!D:V,19,FALSE)</f>
        <v>0</v>
      </c>
      <c r="G170" s="680"/>
      <c r="H170" s="680"/>
      <c r="I170" s="755"/>
      <c r="J170" s="682">
        <f t="shared" si="29"/>
        <v>0</v>
      </c>
      <c r="K170" s="698"/>
      <c r="L170" s="684"/>
      <c r="M170" s="753"/>
      <c r="N170" s="698">
        <v>0</v>
      </c>
      <c r="O170" s="686"/>
      <c r="P170" s="698">
        <v>0</v>
      </c>
      <c r="Q170" s="700">
        <f t="shared" si="28"/>
        <v>0</v>
      </c>
      <c r="R170" s="700"/>
      <c r="S170" s="700"/>
      <c r="T170" s="688"/>
      <c r="U170" s="701"/>
      <c r="V170" s="702" t="str">
        <f t="shared" si="37"/>
        <v/>
      </c>
      <c r="W170" s="698"/>
      <c r="X170" s="474">
        <f t="shared" si="38"/>
        <v>0</v>
      </c>
      <c r="Y170" s="474">
        <f t="shared" si="39"/>
        <v>0</v>
      </c>
      <c r="Z170" s="475">
        <f t="shared" si="40"/>
        <v>0</v>
      </c>
      <c r="AA170" s="475">
        <v>0</v>
      </c>
      <c r="AB170" s="476">
        <v>0</v>
      </c>
      <c r="AC170" s="38">
        <f t="shared" si="41"/>
        <v>0</v>
      </c>
      <c r="AD170" s="692">
        <f t="shared" si="30"/>
        <v>0</v>
      </c>
      <c r="AE170" s="692">
        <f t="shared" si="31"/>
        <v>0</v>
      </c>
      <c r="AF170" s="692">
        <f t="shared" si="32"/>
        <v>0</v>
      </c>
      <c r="AG170" s="38"/>
      <c r="AH170" s="692">
        <f t="shared" si="34"/>
        <v>0</v>
      </c>
      <c r="AI170" s="692">
        <f t="shared" si="35"/>
        <v>0</v>
      </c>
      <c r="AJ170" s="692">
        <f t="shared" si="36"/>
        <v>0</v>
      </c>
      <c r="AL170" s="38">
        <f t="shared" si="33"/>
        <v>0</v>
      </c>
      <c r="AM170" s="68" t="s">
        <v>505</v>
      </c>
    </row>
    <row r="171" spans="1:39">
      <c r="A171" s="21"/>
      <c r="B171" s="21" t="s">
        <v>110</v>
      </c>
      <c r="C171" s="666"/>
      <c r="D171" s="68" t="s">
        <v>185</v>
      </c>
      <c r="E171" s="679"/>
      <c r="F171" s="529">
        <f>VLOOKUP(D171,'May14 Revenue'!D:V,19,FALSE)</f>
        <v>0</v>
      </c>
      <c r="G171" s="680"/>
      <c r="H171" s="680"/>
      <c r="I171" s="755"/>
      <c r="J171" s="682">
        <f t="shared" si="29"/>
        <v>0</v>
      </c>
      <c r="K171" s="683"/>
      <c r="L171" s="684"/>
      <c r="M171" s="753"/>
      <c r="N171" s="683">
        <v>0</v>
      </c>
      <c r="O171" s="686"/>
      <c r="P171" s="683">
        <v>0</v>
      </c>
      <c r="Q171" s="687">
        <f t="shared" si="28"/>
        <v>0</v>
      </c>
      <c r="R171" s="687"/>
      <c r="S171" s="687"/>
      <c r="T171" s="688"/>
      <c r="U171" s="693"/>
      <c r="V171" s="690" t="str">
        <f t="shared" si="37"/>
        <v/>
      </c>
      <c r="W171" s="683"/>
      <c r="X171" s="474">
        <f t="shared" si="38"/>
        <v>0</v>
      </c>
      <c r="Y171" s="474">
        <f t="shared" si="39"/>
        <v>0</v>
      </c>
      <c r="Z171" s="475">
        <f t="shared" si="40"/>
        <v>0</v>
      </c>
      <c r="AA171" s="475">
        <v>0</v>
      </c>
      <c r="AB171" s="476">
        <v>0</v>
      </c>
      <c r="AC171" s="38">
        <f t="shared" si="41"/>
        <v>0</v>
      </c>
      <c r="AD171" s="692">
        <f t="shared" si="30"/>
        <v>0</v>
      </c>
      <c r="AE171" s="692">
        <f t="shared" si="31"/>
        <v>0</v>
      </c>
      <c r="AF171" s="692">
        <f t="shared" si="32"/>
        <v>0</v>
      </c>
      <c r="AG171" s="38"/>
      <c r="AH171" s="692">
        <f t="shared" si="34"/>
        <v>0</v>
      </c>
      <c r="AI171" s="692">
        <f t="shared" si="35"/>
        <v>0</v>
      </c>
      <c r="AJ171" s="692">
        <f t="shared" si="36"/>
        <v>0</v>
      </c>
      <c r="AL171" s="38">
        <f t="shared" si="33"/>
        <v>0</v>
      </c>
      <c r="AM171" s="68" t="s">
        <v>185</v>
      </c>
    </row>
    <row r="172" spans="1:39">
      <c r="A172" s="21"/>
      <c r="B172" s="21" t="s">
        <v>110</v>
      </c>
      <c r="C172" s="21"/>
      <c r="D172" s="68" t="s">
        <v>186</v>
      </c>
      <c r="E172" s="679"/>
      <c r="F172" s="529">
        <f>VLOOKUP(D172,'May14 Revenue'!D:V,19,FALSE)</f>
        <v>0</v>
      </c>
      <c r="G172" s="680"/>
      <c r="H172" s="680"/>
      <c r="I172" s="755"/>
      <c r="J172" s="682">
        <f t="shared" si="29"/>
        <v>0</v>
      </c>
      <c r="K172" s="683"/>
      <c r="L172" s="684"/>
      <c r="M172" s="753"/>
      <c r="N172" s="683">
        <v>0</v>
      </c>
      <c r="O172" s="686"/>
      <c r="P172" s="683">
        <v>0</v>
      </c>
      <c r="Q172" s="687">
        <f t="shared" si="28"/>
        <v>0</v>
      </c>
      <c r="R172" s="687"/>
      <c r="S172" s="687"/>
      <c r="T172" s="688"/>
      <c r="U172" s="693"/>
      <c r="V172" s="690" t="str">
        <f t="shared" si="37"/>
        <v/>
      </c>
      <c r="W172" s="683"/>
      <c r="X172" s="474">
        <f t="shared" si="38"/>
        <v>0</v>
      </c>
      <c r="Y172" s="474">
        <f t="shared" si="39"/>
        <v>0</v>
      </c>
      <c r="Z172" s="475">
        <f t="shared" si="40"/>
        <v>0</v>
      </c>
      <c r="AA172" s="475">
        <v>0</v>
      </c>
      <c r="AB172" s="476">
        <v>0</v>
      </c>
      <c r="AC172" s="38">
        <f t="shared" si="41"/>
        <v>0</v>
      </c>
      <c r="AD172" s="692">
        <f t="shared" si="30"/>
        <v>0</v>
      </c>
      <c r="AE172" s="692">
        <f t="shared" si="31"/>
        <v>0</v>
      </c>
      <c r="AF172" s="692">
        <f t="shared" si="32"/>
        <v>0</v>
      </c>
      <c r="AG172" s="38"/>
      <c r="AH172" s="692">
        <f t="shared" si="34"/>
        <v>0</v>
      </c>
      <c r="AI172" s="692">
        <f t="shared" si="35"/>
        <v>0</v>
      </c>
      <c r="AJ172" s="692">
        <f t="shared" si="36"/>
        <v>0</v>
      </c>
      <c r="AL172" s="38">
        <f t="shared" si="33"/>
        <v>0</v>
      </c>
      <c r="AM172" s="68" t="s">
        <v>186</v>
      </c>
    </row>
    <row r="173" spans="1:39">
      <c r="A173" s="21"/>
      <c r="B173" s="21" t="s">
        <v>110</v>
      </c>
      <c r="C173" s="666"/>
      <c r="D173" s="68" t="s">
        <v>449</v>
      </c>
      <c r="E173" s="679"/>
      <c r="F173" s="529">
        <f>VLOOKUP(D173,'May14 Revenue'!D:V,19,FALSE)</f>
        <v>0</v>
      </c>
      <c r="G173" s="680"/>
      <c r="H173" s="680"/>
      <c r="I173" s="755"/>
      <c r="J173" s="682">
        <f t="shared" si="29"/>
        <v>0</v>
      </c>
      <c r="K173" s="683"/>
      <c r="L173" s="684"/>
      <c r="M173" s="753"/>
      <c r="N173" s="683">
        <v>0</v>
      </c>
      <c r="O173" s="686"/>
      <c r="P173" s="683">
        <v>0</v>
      </c>
      <c r="Q173" s="687">
        <f t="shared" si="28"/>
        <v>0</v>
      </c>
      <c r="R173" s="687"/>
      <c r="S173" s="687"/>
      <c r="T173" s="688"/>
      <c r="U173" s="693"/>
      <c r="V173" s="690" t="str">
        <f t="shared" si="37"/>
        <v/>
      </c>
      <c r="W173" s="683"/>
      <c r="X173" s="474">
        <f t="shared" si="38"/>
        <v>0</v>
      </c>
      <c r="Y173" s="474">
        <f t="shared" si="39"/>
        <v>0</v>
      </c>
      <c r="Z173" s="475">
        <f t="shared" si="40"/>
        <v>0</v>
      </c>
      <c r="AA173" s="475">
        <v>0</v>
      </c>
      <c r="AB173" s="476">
        <v>0</v>
      </c>
      <c r="AC173" s="38">
        <f t="shared" si="41"/>
        <v>0</v>
      </c>
      <c r="AD173" s="692">
        <f t="shared" si="30"/>
        <v>0</v>
      </c>
      <c r="AE173" s="692">
        <f t="shared" si="31"/>
        <v>0</v>
      </c>
      <c r="AF173" s="692">
        <f t="shared" si="32"/>
        <v>0</v>
      </c>
      <c r="AG173" s="38"/>
      <c r="AH173" s="692">
        <f t="shared" si="34"/>
        <v>0</v>
      </c>
      <c r="AI173" s="692">
        <f t="shared" si="35"/>
        <v>0</v>
      </c>
      <c r="AJ173" s="692">
        <f t="shared" si="36"/>
        <v>0</v>
      </c>
      <c r="AL173" s="38">
        <f t="shared" si="33"/>
        <v>0</v>
      </c>
      <c r="AM173" s="68" t="s">
        <v>449</v>
      </c>
    </row>
    <row r="174" spans="1:39">
      <c r="A174" s="21"/>
      <c r="B174" s="21" t="s">
        <v>110</v>
      </c>
      <c r="C174" s="666" t="s">
        <v>566</v>
      </c>
      <c r="D174" s="68" t="s">
        <v>39</v>
      </c>
      <c r="E174" s="679"/>
      <c r="F174" s="529">
        <f>VLOOKUP(D174,'May14 Revenue'!D:V,19,FALSE)</f>
        <v>0</v>
      </c>
      <c r="G174" s="680"/>
      <c r="H174" s="680"/>
      <c r="I174" s="770">
        <v>8643.58</v>
      </c>
      <c r="J174" s="682">
        <f t="shared" si="29"/>
        <v>8643.58</v>
      </c>
      <c r="K174" s="683"/>
      <c r="L174" s="684"/>
      <c r="M174" s="753"/>
      <c r="N174" s="683">
        <v>0</v>
      </c>
      <c r="O174" s="686"/>
      <c r="P174" s="683">
        <v>0</v>
      </c>
      <c r="Q174" s="687">
        <f t="shared" si="28"/>
        <v>0</v>
      </c>
      <c r="R174" s="687"/>
      <c r="S174" s="687"/>
      <c r="T174" s="688"/>
      <c r="U174" s="693"/>
      <c r="V174" s="690" t="str">
        <f t="shared" si="37"/>
        <v/>
      </c>
      <c r="W174" s="683"/>
      <c r="X174" s="474">
        <f t="shared" si="38"/>
        <v>0</v>
      </c>
      <c r="Y174" s="474">
        <f t="shared" si="39"/>
        <v>0</v>
      </c>
      <c r="Z174" s="475">
        <f t="shared" si="40"/>
        <v>0</v>
      </c>
      <c r="AA174" s="475">
        <v>0</v>
      </c>
      <c r="AB174" s="476">
        <v>0</v>
      </c>
      <c r="AC174" s="38">
        <f t="shared" si="41"/>
        <v>0</v>
      </c>
      <c r="AD174" s="692">
        <f t="shared" si="30"/>
        <v>8643.58</v>
      </c>
      <c r="AE174" s="692">
        <f t="shared" si="31"/>
        <v>0</v>
      </c>
      <c r="AF174" s="692">
        <f t="shared" si="32"/>
        <v>0</v>
      </c>
      <c r="AG174" s="38"/>
      <c r="AH174" s="692">
        <f t="shared" si="34"/>
        <v>0</v>
      </c>
      <c r="AI174" s="692">
        <f t="shared" si="35"/>
        <v>0</v>
      </c>
      <c r="AJ174" s="692">
        <f t="shared" si="36"/>
        <v>0</v>
      </c>
      <c r="AL174" s="38">
        <f t="shared" si="33"/>
        <v>8643.58</v>
      </c>
      <c r="AM174" s="68" t="s">
        <v>39</v>
      </c>
    </row>
    <row r="175" spans="1:39" s="232" customFormat="1">
      <c r="A175" s="403"/>
      <c r="B175" s="403" t="s">
        <v>109</v>
      </c>
      <c r="C175" s="666"/>
      <c r="D175" s="68" t="s">
        <v>1039</v>
      </c>
      <c r="E175" s="679"/>
      <c r="F175" s="529">
        <f>VLOOKUP(D175,'May14 Revenue'!D:V,19,FALSE)</f>
        <v>-20000</v>
      </c>
      <c r="G175" s="680"/>
      <c r="H175" s="680"/>
      <c r="I175" s="755"/>
      <c r="J175" s="682">
        <f t="shared" si="29"/>
        <v>-20000</v>
      </c>
      <c r="K175" s="683"/>
      <c r="L175" s="684"/>
      <c r="M175" s="753">
        <v>25000</v>
      </c>
      <c r="N175" s="683">
        <v>0</v>
      </c>
      <c r="O175" s="686"/>
      <c r="P175" s="683">
        <v>0</v>
      </c>
      <c r="Q175" s="687">
        <f t="shared" si="28"/>
        <v>25000</v>
      </c>
      <c r="R175" s="687"/>
      <c r="S175" s="687"/>
      <c r="T175" s="688"/>
      <c r="U175" s="693"/>
      <c r="V175" s="690" t="str">
        <f t="shared" si="37"/>
        <v/>
      </c>
      <c r="W175" s="683"/>
      <c r="X175" s="474">
        <f t="shared" si="38"/>
        <v>0</v>
      </c>
      <c r="Y175" s="474">
        <f t="shared" si="39"/>
        <v>25000</v>
      </c>
      <c r="Z175" s="475">
        <f t="shared" si="40"/>
        <v>0</v>
      </c>
      <c r="AA175" s="475">
        <v>0</v>
      </c>
      <c r="AB175" s="476">
        <v>0</v>
      </c>
      <c r="AC175" s="38">
        <f t="shared" si="41"/>
        <v>0</v>
      </c>
      <c r="AD175" s="692">
        <f t="shared" si="30"/>
        <v>0</v>
      </c>
      <c r="AE175" s="692">
        <f t="shared" si="31"/>
        <v>-20000</v>
      </c>
      <c r="AF175" s="692">
        <f t="shared" si="32"/>
        <v>0</v>
      </c>
      <c r="AG175" s="38"/>
      <c r="AH175" s="692">
        <f t="shared" si="34"/>
        <v>0</v>
      </c>
      <c r="AI175" s="692">
        <f t="shared" si="35"/>
        <v>25000</v>
      </c>
      <c r="AJ175" s="692">
        <f t="shared" si="36"/>
        <v>0</v>
      </c>
      <c r="AL175" s="38">
        <f t="shared" si="33"/>
        <v>5000</v>
      </c>
      <c r="AM175" s="123" t="s">
        <v>220</v>
      </c>
    </row>
    <row r="176" spans="1:39">
      <c r="A176" s="21"/>
      <c r="B176" s="21" t="s">
        <v>110</v>
      </c>
      <c r="C176" s="666" t="s">
        <v>567</v>
      </c>
      <c r="D176" s="68" t="s">
        <v>435</v>
      </c>
      <c r="E176" s="679"/>
      <c r="F176" s="529">
        <f>VLOOKUP(D176,'May14 Revenue'!D:V,19,FALSE)</f>
        <v>0</v>
      </c>
      <c r="G176" s="680"/>
      <c r="H176" s="680"/>
      <c r="I176" s="770">
        <v>135752.29999999999</v>
      </c>
      <c r="J176" s="682">
        <f t="shared" si="29"/>
        <v>135752.29999999999</v>
      </c>
      <c r="K176" s="683"/>
      <c r="L176" s="684"/>
      <c r="M176" s="753"/>
      <c r="N176" s="683">
        <v>0</v>
      </c>
      <c r="O176" s="686"/>
      <c r="P176" s="683">
        <v>0</v>
      </c>
      <c r="Q176" s="687">
        <f t="shared" si="28"/>
        <v>0</v>
      </c>
      <c r="R176" s="687"/>
      <c r="S176" s="687"/>
      <c r="T176" s="688"/>
      <c r="U176" s="693"/>
      <c r="V176" s="690" t="str">
        <f t="shared" si="37"/>
        <v/>
      </c>
      <c r="W176" s="683"/>
      <c r="X176" s="474">
        <f t="shared" si="38"/>
        <v>0</v>
      </c>
      <c r="Y176" s="474">
        <f t="shared" si="39"/>
        <v>0</v>
      </c>
      <c r="Z176" s="475">
        <f t="shared" si="40"/>
        <v>0</v>
      </c>
      <c r="AA176" s="475">
        <v>0</v>
      </c>
      <c r="AB176" s="476">
        <v>0</v>
      </c>
      <c r="AC176" s="38">
        <f t="shared" si="41"/>
        <v>0</v>
      </c>
      <c r="AD176" s="692">
        <f t="shared" si="30"/>
        <v>135752.29999999999</v>
      </c>
      <c r="AE176" s="692">
        <f t="shared" si="31"/>
        <v>0</v>
      </c>
      <c r="AF176" s="692">
        <f t="shared" si="32"/>
        <v>0</v>
      </c>
      <c r="AG176" s="38"/>
      <c r="AH176" s="692">
        <f t="shared" si="34"/>
        <v>0</v>
      </c>
      <c r="AI176" s="692">
        <f t="shared" si="35"/>
        <v>0</v>
      </c>
      <c r="AJ176" s="692">
        <f t="shared" si="36"/>
        <v>0</v>
      </c>
      <c r="AL176" s="38">
        <f t="shared" si="33"/>
        <v>135752.29999999999</v>
      </c>
      <c r="AM176" s="68" t="s">
        <v>435</v>
      </c>
    </row>
    <row r="177" spans="1:39">
      <c r="A177" s="21"/>
      <c r="B177" s="21" t="s">
        <v>110</v>
      </c>
      <c r="C177" s="675" t="s">
        <v>584</v>
      </c>
      <c r="D177" s="806" t="s">
        <v>99</v>
      </c>
      <c r="E177" s="679">
        <v>7050.56</v>
      </c>
      <c r="F177" s="529">
        <f>VLOOKUP(D177,'May14 Revenue'!D:V,19,FALSE)</f>
        <v>-20000</v>
      </c>
      <c r="G177" s="680"/>
      <c r="H177" s="680"/>
      <c r="I177" s="755"/>
      <c r="J177" s="682">
        <f t="shared" si="29"/>
        <v>-12949.439999999999</v>
      </c>
      <c r="K177" s="683"/>
      <c r="L177" s="684"/>
      <c r="M177" s="753">
        <v>20000</v>
      </c>
      <c r="N177" s="683">
        <v>0</v>
      </c>
      <c r="O177" s="686"/>
      <c r="P177" s="683">
        <v>0</v>
      </c>
      <c r="Q177" s="687">
        <f t="shared" si="28"/>
        <v>20000</v>
      </c>
      <c r="R177" s="687"/>
      <c r="S177" s="687"/>
      <c r="T177" s="688"/>
      <c r="U177" s="693"/>
      <c r="V177" s="690" t="str">
        <f t="shared" si="37"/>
        <v/>
      </c>
      <c r="W177" s="683"/>
      <c r="X177" s="474">
        <f t="shared" si="38"/>
        <v>20000</v>
      </c>
      <c r="Y177" s="474">
        <f t="shared" si="39"/>
        <v>0</v>
      </c>
      <c r="Z177" s="475">
        <f t="shared" si="40"/>
        <v>0</v>
      </c>
      <c r="AA177" s="475">
        <v>0</v>
      </c>
      <c r="AB177" s="476">
        <v>0</v>
      </c>
      <c r="AC177" s="38">
        <f t="shared" si="41"/>
        <v>0</v>
      </c>
      <c r="AD177" s="692">
        <f t="shared" si="30"/>
        <v>-12949.439999999999</v>
      </c>
      <c r="AE177" s="692">
        <f>IF(B177="M",J177,0)</f>
        <v>0</v>
      </c>
      <c r="AF177" s="692">
        <f t="shared" si="32"/>
        <v>0</v>
      </c>
      <c r="AG177" s="38"/>
      <c r="AH177" s="692">
        <f t="shared" si="34"/>
        <v>20000</v>
      </c>
      <c r="AI177" s="692">
        <f t="shared" si="35"/>
        <v>0</v>
      </c>
      <c r="AJ177" s="692">
        <f t="shared" si="36"/>
        <v>0</v>
      </c>
      <c r="AL177" s="38">
        <f t="shared" si="33"/>
        <v>7050.5600000000013</v>
      </c>
      <c r="AM177" s="806" t="s">
        <v>99</v>
      </c>
    </row>
    <row r="178" spans="1:39" s="232" customFormat="1" hidden="1">
      <c r="A178" s="403"/>
      <c r="B178" s="403" t="s">
        <v>110</v>
      </c>
      <c r="C178" s="666"/>
      <c r="D178" s="838" t="s">
        <v>966</v>
      </c>
      <c r="E178" s="679"/>
      <c r="F178" s="529">
        <f>VLOOKUP(D178,'May14 Revenue'!D:V,19,FALSE)</f>
        <v>0</v>
      </c>
      <c r="G178" s="680"/>
      <c r="H178" s="680"/>
      <c r="I178" s="755"/>
      <c r="J178" s="682">
        <f t="shared" si="29"/>
        <v>0</v>
      </c>
      <c r="K178" s="683"/>
      <c r="L178" s="684"/>
      <c r="M178" s="839"/>
      <c r="N178" s="683">
        <v>0</v>
      </c>
      <c r="O178" s="686"/>
      <c r="P178" s="683">
        <v>0</v>
      </c>
      <c r="Q178" s="687">
        <f t="shared" si="28"/>
        <v>0</v>
      </c>
      <c r="R178" s="687"/>
      <c r="S178" s="687"/>
      <c r="T178" s="688"/>
      <c r="U178" s="693"/>
      <c r="V178" s="690" t="str">
        <f t="shared" si="37"/>
        <v/>
      </c>
      <c r="W178" s="683"/>
      <c r="X178" s="474">
        <f t="shared" si="38"/>
        <v>0</v>
      </c>
      <c r="Y178" s="474">
        <f t="shared" si="39"/>
        <v>0</v>
      </c>
      <c r="Z178" s="475">
        <f t="shared" si="40"/>
        <v>0</v>
      </c>
      <c r="AA178" s="475">
        <v>0</v>
      </c>
      <c r="AB178" s="476">
        <v>0</v>
      </c>
      <c r="AC178" s="38">
        <f t="shared" si="41"/>
        <v>0</v>
      </c>
      <c r="AD178" s="692">
        <f t="shared" si="30"/>
        <v>0</v>
      </c>
      <c r="AE178" s="692">
        <f t="shared" si="31"/>
        <v>0</v>
      </c>
      <c r="AF178" s="692">
        <f t="shared" si="32"/>
        <v>0</v>
      </c>
      <c r="AG178" s="38"/>
      <c r="AH178" s="692">
        <f t="shared" si="34"/>
        <v>0</v>
      </c>
      <c r="AI178" s="692">
        <f t="shared" si="35"/>
        <v>0</v>
      </c>
      <c r="AJ178" s="692">
        <f t="shared" si="36"/>
        <v>0</v>
      </c>
      <c r="AL178" s="38">
        <f t="shared" si="33"/>
        <v>0</v>
      </c>
      <c r="AM178" s="813" t="s">
        <v>966</v>
      </c>
    </row>
    <row r="179" spans="1:39" s="232" customFormat="1">
      <c r="A179" s="403"/>
      <c r="B179" s="403" t="s">
        <v>110</v>
      </c>
      <c r="C179" s="666" t="s">
        <v>568</v>
      </c>
      <c r="D179" s="807" t="s">
        <v>303</v>
      </c>
      <c r="E179" s="679">
        <v>293854.51</v>
      </c>
      <c r="F179" s="529">
        <f>VLOOKUP(D179,'May14 Revenue'!D:V,19,FALSE)</f>
        <v>-100000</v>
      </c>
      <c r="G179" s="680"/>
      <c r="H179" s="680"/>
      <c r="I179" s="755"/>
      <c r="J179" s="682">
        <f t="shared" si="29"/>
        <v>193854.51</v>
      </c>
      <c r="K179" s="683"/>
      <c r="L179" s="684"/>
      <c r="M179" s="831">
        <v>100000</v>
      </c>
      <c r="N179" s="683">
        <v>0</v>
      </c>
      <c r="O179" s="686"/>
      <c r="P179" s="683">
        <v>0</v>
      </c>
      <c r="Q179" s="687">
        <f t="shared" si="28"/>
        <v>100000</v>
      </c>
      <c r="R179" s="687"/>
      <c r="S179" s="687"/>
      <c r="T179" s="688"/>
      <c r="U179" s="693"/>
      <c r="V179" s="690" t="str">
        <f t="shared" si="37"/>
        <v/>
      </c>
      <c r="W179" s="683"/>
      <c r="X179" s="474">
        <f t="shared" si="38"/>
        <v>100000</v>
      </c>
      <c r="Y179" s="474">
        <f t="shared" si="39"/>
        <v>0</v>
      </c>
      <c r="Z179" s="475">
        <f t="shared" si="40"/>
        <v>0</v>
      </c>
      <c r="AA179" s="475">
        <v>0</v>
      </c>
      <c r="AB179" s="476">
        <v>0</v>
      </c>
      <c r="AC179" s="38">
        <f t="shared" si="41"/>
        <v>0</v>
      </c>
      <c r="AD179" s="692">
        <f t="shared" si="30"/>
        <v>193854.51</v>
      </c>
      <c r="AE179" s="692">
        <f t="shared" si="31"/>
        <v>0</v>
      </c>
      <c r="AF179" s="692">
        <f t="shared" si="32"/>
        <v>0</v>
      </c>
      <c r="AG179" s="38"/>
      <c r="AH179" s="692">
        <f t="shared" si="34"/>
        <v>100000</v>
      </c>
      <c r="AI179" s="692">
        <f t="shared" si="35"/>
        <v>0</v>
      </c>
      <c r="AJ179" s="692">
        <f t="shared" si="36"/>
        <v>0</v>
      </c>
      <c r="AL179" s="38">
        <f t="shared" si="33"/>
        <v>293854.51</v>
      </c>
      <c r="AM179" s="807" t="s">
        <v>303</v>
      </c>
    </row>
    <row r="180" spans="1:39" s="232" customFormat="1">
      <c r="A180" s="403"/>
      <c r="B180" s="403" t="s">
        <v>110</v>
      </c>
      <c r="C180" s="666"/>
      <c r="D180" s="807" t="s">
        <v>856</v>
      </c>
      <c r="E180" s="679"/>
      <c r="F180" s="529">
        <f>VLOOKUP(D180,'May14 Revenue'!D:V,19,FALSE)</f>
        <v>0</v>
      </c>
      <c r="G180" s="680"/>
      <c r="H180" s="680"/>
      <c r="I180" s="755"/>
      <c r="J180" s="682">
        <f t="shared" si="29"/>
        <v>0</v>
      </c>
      <c r="K180" s="683"/>
      <c r="L180" s="684"/>
      <c r="M180" s="753"/>
      <c r="N180" s="683">
        <v>0</v>
      </c>
      <c r="O180" s="686"/>
      <c r="P180" s="683">
        <v>0</v>
      </c>
      <c r="Q180" s="687">
        <f t="shared" si="28"/>
        <v>0</v>
      </c>
      <c r="R180" s="687"/>
      <c r="S180" s="687"/>
      <c r="T180" s="688"/>
      <c r="U180" s="693"/>
      <c r="V180" s="690" t="str">
        <f t="shared" si="37"/>
        <v/>
      </c>
      <c r="W180" s="683"/>
      <c r="X180" s="474">
        <f t="shared" si="38"/>
        <v>0</v>
      </c>
      <c r="Y180" s="474">
        <f t="shared" si="39"/>
        <v>0</v>
      </c>
      <c r="Z180" s="475">
        <f t="shared" si="40"/>
        <v>0</v>
      </c>
      <c r="AA180" s="475">
        <v>0</v>
      </c>
      <c r="AB180" s="476">
        <v>0</v>
      </c>
      <c r="AC180" s="38">
        <f t="shared" si="41"/>
        <v>0</v>
      </c>
      <c r="AD180" s="692">
        <f t="shared" si="30"/>
        <v>0</v>
      </c>
      <c r="AE180" s="692">
        <f t="shared" si="31"/>
        <v>0</v>
      </c>
      <c r="AF180" s="692">
        <f t="shared" si="32"/>
        <v>0</v>
      </c>
      <c r="AG180" s="38"/>
      <c r="AH180" s="692">
        <f t="shared" si="34"/>
        <v>0</v>
      </c>
      <c r="AI180" s="692">
        <f t="shared" si="35"/>
        <v>0</v>
      </c>
      <c r="AJ180" s="692">
        <f t="shared" si="36"/>
        <v>0</v>
      </c>
      <c r="AL180" s="38">
        <f t="shared" si="33"/>
        <v>0</v>
      </c>
      <c r="AM180" s="807" t="s">
        <v>856</v>
      </c>
    </row>
    <row r="181" spans="1:39" s="232" customFormat="1">
      <c r="A181" s="403"/>
      <c r="B181" s="403" t="s">
        <v>109</v>
      </c>
      <c r="C181" s="666" t="s">
        <v>569</v>
      </c>
      <c r="D181" s="123" t="s">
        <v>468</v>
      </c>
      <c r="E181" s="679"/>
      <c r="F181" s="529">
        <f>VLOOKUP(D181,'May14 Revenue'!D:V,19,FALSE)</f>
        <v>0</v>
      </c>
      <c r="G181" s="680"/>
      <c r="H181" s="680"/>
      <c r="I181" s="755"/>
      <c r="J181" s="682">
        <f t="shared" si="29"/>
        <v>0</v>
      </c>
      <c r="K181" s="683"/>
      <c r="L181" s="684"/>
      <c r="M181" s="753"/>
      <c r="N181" s="683">
        <v>0</v>
      </c>
      <c r="O181" s="686"/>
      <c r="P181" s="683">
        <v>0</v>
      </c>
      <c r="Q181" s="687">
        <f t="shared" si="28"/>
        <v>0</v>
      </c>
      <c r="R181" s="687"/>
      <c r="S181" s="687"/>
      <c r="T181" s="688"/>
      <c r="U181" s="693"/>
      <c r="V181" s="690" t="str">
        <f t="shared" si="37"/>
        <v/>
      </c>
      <c r="W181" s="683"/>
      <c r="X181" s="474">
        <f t="shared" si="38"/>
        <v>0</v>
      </c>
      <c r="Y181" s="474">
        <f t="shared" si="39"/>
        <v>0</v>
      </c>
      <c r="Z181" s="475">
        <f t="shared" si="40"/>
        <v>0</v>
      </c>
      <c r="AA181" s="475">
        <v>0</v>
      </c>
      <c r="AB181" s="476">
        <v>0</v>
      </c>
      <c r="AC181" s="38">
        <f t="shared" si="41"/>
        <v>0</v>
      </c>
      <c r="AD181" s="692">
        <f t="shared" si="30"/>
        <v>0</v>
      </c>
      <c r="AE181" s="692">
        <f t="shared" si="31"/>
        <v>0</v>
      </c>
      <c r="AF181" s="692">
        <f t="shared" si="32"/>
        <v>0</v>
      </c>
      <c r="AG181" s="38"/>
      <c r="AH181" s="692">
        <f t="shared" si="34"/>
        <v>0</v>
      </c>
      <c r="AI181" s="692">
        <f t="shared" si="35"/>
        <v>0</v>
      </c>
      <c r="AJ181" s="692">
        <f t="shared" si="36"/>
        <v>0</v>
      </c>
      <c r="AL181" s="38">
        <f t="shared" si="33"/>
        <v>0</v>
      </c>
      <c r="AM181" s="123" t="s">
        <v>468</v>
      </c>
    </row>
    <row r="182" spans="1:39">
      <c r="A182" s="20"/>
      <c r="B182" s="20" t="s">
        <v>110</v>
      </c>
      <c r="C182" s="676" t="s">
        <v>844</v>
      </c>
      <c r="D182" s="68" t="s">
        <v>845</v>
      </c>
      <c r="E182" s="679">
        <v>155.96</v>
      </c>
      <c r="F182" s="529">
        <f>VLOOKUP(D182,'May14 Revenue'!D:V,19,FALSE)</f>
        <v>0</v>
      </c>
      <c r="G182" s="680"/>
      <c r="H182" s="680"/>
      <c r="I182" s="755"/>
      <c r="J182" s="682">
        <f t="shared" si="29"/>
        <v>155.96</v>
      </c>
      <c r="K182" s="683"/>
      <c r="L182" s="684"/>
      <c r="M182" s="753"/>
      <c r="N182" s="683">
        <v>0</v>
      </c>
      <c r="O182" s="686"/>
      <c r="P182" s="683">
        <v>0</v>
      </c>
      <c r="Q182" s="687">
        <f t="shared" si="28"/>
        <v>0</v>
      </c>
      <c r="R182" s="687"/>
      <c r="S182" s="687"/>
      <c r="T182" s="688">
        <v>0</v>
      </c>
      <c r="U182" s="693"/>
      <c r="V182" s="690">
        <f t="shared" si="37"/>
        <v>0</v>
      </c>
      <c r="W182" s="683"/>
      <c r="X182" s="474">
        <f t="shared" si="38"/>
        <v>0</v>
      </c>
      <c r="Y182" s="474">
        <f t="shared" si="39"/>
        <v>0</v>
      </c>
      <c r="Z182" s="475">
        <f t="shared" si="40"/>
        <v>0</v>
      </c>
      <c r="AA182" s="475">
        <v>0</v>
      </c>
      <c r="AB182" s="476">
        <v>0</v>
      </c>
      <c r="AC182" s="38">
        <f t="shared" si="41"/>
        <v>0</v>
      </c>
      <c r="AD182" s="692">
        <f t="shared" si="30"/>
        <v>155.96</v>
      </c>
      <c r="AE182" s="692">
        <f t="shared" si="31"/>
        <v>0</v>
      </c>
      <c r="AF182" s="692">
        <f t="shared" si="32"/>
        <v>0</v>
      </c>
      <c r="AG182" s="38"/>
      <c r="AH182" s="692">
        <f t="shared" si="34"/>
        <v>0</v>
      </c>
      <c r="AI182" s="692">
        <f t="shared" si="35"/>
        <v>0</v>
      </c>
      <c r="AJ182" s="692">
        <f t="shared" si="36"/>
        <v>0</v>
      </c>
      <c r="AL182" s="38">
        <f t="shared" si="33"/>
        <v>155.96</v>
      </c>
      <c r="AM182" s="68" t="s">
        <v>845</v>
      </c>
    </row>
    <row r="183" spans="1:39">
      <c r="A183" s="20"/>
      <c r="B183" s="20" t="s">
        <v>110</v>
      </c>
      <c r="C183" s="676" t="s">
        <v>844</v>
      </c>
      <c r="D183" s="68" t="s">
        <v>1089</v>
      </c>
      <c r="E183" s="679"/>
      <c r="F183" s="529">
        <f>VLOOKUP(D183,'May14 Revenue'!D:V,19,FALSE)</f>
        <v>39.47</v>
      </c>
      <c r="G183" s="680"/>
      <c r="H183" s="680"/>
      <c r="I183" s="755"/>
      <c r="J183" s="682">
        <f t="shared" si="29"/>
        <v>39.47</v>
      </c>
      <c r="K183" s="683"/>
      <c r="L183" s="684"/>
      <c r="M183" s="753"/>
      <c r="N183" s="683">
        <v>0</v>
      </c>
      <c r="O183" s="686"/>
      <c r="P183" s="683">
        <v>0</v>
      </c>
      <c r="Q183" s="687">
        <f t="shared" si="28"/>
        <v>0</v>
      </c>
      <c r="R183" s="687"/>
      <c r="S183" s="687"/>
      <c r="T183" s="688">
        <v>0</v>
      </c>
      <c r="U183" s="693"/>
      <c r="V183" s="690">
        <f t="shared" si="37"/>
        <v>0</v>
      </c>
      <c r="W183" s="683"/>
      <c r="X183" s="474">
        <f t="shared" si="38"/>
        <v>0</v>
      </c>
      <c r="Y183" s="474">
        <f t="shared" si="39"/>
        <v>0</v>
      </c>
      <c r="Z183" s="475">
        <f t="shared" si="40"/>
        <v>0</v>
      </c>
      <c r="AA183" s="475">
        <v>0</v>
      </c>
      <c r="AB183" s="476">
        <v>0</v>
      </c>
      <c r="AC183" s="38">
        <f t="shared" si="41"/>
        <v>0</v>
      </c>
      <c r="AD183" s="692">
        <f t="shared" si="30"/>
        <v>39.47</v>
      </c>
      <c r="AE183" s="692">
        <f t="shared" si="31"/>
        <v>0</v>
      </c>
      <c r="AF183" s="692">
        <f t="shared" si="32"/>
        <v>0</v>
      </c>
      <c r="AG183" s="38"/>
      <c r="AH183" s="692">
        <f t="shared" si="34"/>
        <v>0</v>
      </c>
      <c r="AI183" s="692">
        <f t="shared" si="35"/>
        <v>0</v>
      </c>
      <c r="AJ183" s="692">
        <f t="shared" si="36"/>
        <v>0</v>
      </c>
      <c r="AL183" s="38">
        <f t="shared" si="33"/>
        <v>39.47</v>
      </c>
      <c r="AM183" s="68" t="s">
        <v>845</v>
      </c>
    </row>
    <row r="184" spans="1:39">
      <c r="A184" s="20"/>
      <c r="B184" s="20" t="s">
        <v>110</v>
      </c>
      <c r="C184" s="676" t="s">
        <v>977</v>
      </c>
      <c r="D184" s="68" t="s">
        <v>978</v>
      </c>
      <c r="E184" s="679"/>
      <c r="F184" s="529">
        <f>VLOOKUP(D184,'May14 Revenue'!D:V,19,FALSE)</f>
        <v>2034.9</v>
      </c>
      <c r="G184" s="680"/>
      <c r="H184" s="680"/>
      <c r="I184" s="755"/>
      <c r="J184" s="682">
        <f t="shared" si="29"/>
        <v>2034.9</v>
      </c>
      <c r="K184" s="683"/>
      <c r="L184" s="684"/>
      <c r="M184" s="753"/>
      <c r="N184" s="683">
        <v>0</v>
      </c>
      <c r="O184" s="686"/>
      <c r="P184" s="683">
        <v>0</v>
      </c>
      <c r="Q184" s="687">
        <f t="shared" si="28"/>
        <v>0</v>
      </c>
      <c r="R184" s="687"/>
      <c r="S184" s="687"/>
      <c r="T184" s="688"/>
      <c r="U184" s="693"/>
      <c r="V184" s="690" t="str">
        <f t="shared" si="37"/>
        <v/>
      </c>
      <c r="W184" s="683"/>
      <c r="X184" s="474">
        <f t="shared" si="38"/>
        <v>0</v>
      </c>
      <c r="Y184" s="474">
        <f t="shared" si="39"/>
        <v>0</v>
      </c>
      <c r="Z184" s="475">
        <f t="shared" si="40"/>
        <v>0</v>
      </c>
      <c r="AA184" s="475">
        <v>0</v>
      </c>
      <c r="AB184" s="476">
        <v>0</v>
      </c>
      <c r="AC184" s="38">
        <f t="shared" si="41"/>
        <v>0</v>
      </c>
      <c r="AD184" s="692">
        <f t="shared" si="30"/>
        <v>2034.9</v>
      </c>
      <c r="AE184" s="692">
        <f t="shared" si="31"/>
        <v>0</v>
      </c>
      <c r="AF184" s="692">
        <f t="shared" si="32"/>
        <v>0</v>
      </c>
      <c r="AG184" s="38"/>
      <c r="AH184" s="692">
        <f t="shared" si="34"/>
        <v>0</v>
      </c>
      <c r="AI184" s="692">
        <f t="shared" si="35"/>
        <v>0</v>
      </c>
      <c r="AJ184" s="692">
        <f t="shared" si="36"/>
        <v>0</v>
      </c>
      <c r="AL184" s="38">
        <f t="shared" si="33"/>
        <v>2034.9</v>
      </c>
      <c r="AM184" s="68" t="s">
        <v>978</v>
      </c>
    </row>
    <row r="185" spans="1:39">
      <c r="A185" s="20"/>
      <c r="B185" s="20" t="s">
        <v>109</v>
      </c>
      <c r="C185" s="667" t="s">
        <v>570</v>
      </c>
      <c r="D185" s="68" t="s">
        <v>221</v>
      </c>
      <c r="E185" s="679"/>
      <c r="F185" s="529">
        <f>VLOOKUP(D185,'May14 Revenue'!D:V,19,FALSE)</f>
        <v>0</v>
      </c>
      <c r="G185" s="680"/>
      <c r="H185" s="680"/>
      <c r="I185" s="755"/>
      <c r="J185" s="682">
        <f t="shared" si="29"/>
        <v>0</v>
      </c>
      <c r="K185" s="683"/>
      <c r="L185" s="684"/>
      <c r="M185" s="753"/>
      <c r="N185" s="683">
        <v>0</v>
      </c>
      <c r="O185" s="686"/>
      <c r="P185" s="683">
        <v>0</v>
      </c>
      <c r="Q185" s="687">
        <f t="shared" si="28"/>
        <v>0</v>
      </c>
      <c r="R185" s="687"/>
      <c r="S185" s="687"/>
      <c r="T185" s="688"/>
      <c r="U185" s="693"/>
      <c r="V185" s="690" t="str">
        <f t="shared" si="37"/>
        <v/>
      </c>
      <c r="W185" s="683"/>
      <c r="X185" s="474">
        <f t="shared" si="38"/>
        <v>0</v>
      </c>
      <c r="Y185" s="474">
        <f t="shared" si="39"/>
        <v>0</v>
      </c>
      <c r="Z185" s="475">
        <f t="shared" si="40"/>
        <v>0</v>
      </c>
      <c r="AA185" s="475">
        <v>0</v>
      </c>
      <c r="AB185" s="476">
        <v>0</v>
      </c>
      <c r="AC185" s="38">
        <f t="shared" si="41"/>
        <v>0</v>
      </c>
      <c r="AD185" s="692">
        <f t="shared" si="30"/>
        <v>0</v>
      </c>
      <c r="AE185" s="692">
        <f t="shared" si="31"/>
        <v>0</v>
      </c>
      <c r="AF185" s="692">
        <f t="shared" si="32"/>
        <v>0</v>
      </c>
      <c r="AG185" s="38"/>
      <c r="AH185" s="692">
        <f t="shared" si="34"/>
        <v>0</v>
      </c>
      <c r="AI185" s="692">
        <f t="shared" si="35"/>
        <v>0</v>
      </c>
      <c r="AJ185" s="692">
        <f t="shared" si="36"/>
        <v>0</v>
      </c>
      <c r="AL185" s="38">
        <f t="shared" si="33"/>
        <v>0</v>
      </c>
      <c r="AM185" s="68" t="s">
        <v>221</v>
      </c>
    </row>
    <row r="186" spans="1:39">
      <c r="A186" s="21"/>
      <c r="B186" s="21" t="s">
        <v>110</v>
      </c>
      <c r="C186" s="666"/>
      <c r="D186" s="68" t="s">
        <v>985</v>
      </c>
      <c r="E186" s="679"/>
      <c r="F186" s="529">
        <f>VLOOKUP(D186,'May14 Revenue'!D:V,19,FALSE)</f>
        <v>0</v>
      </c>
      <c r="G186" s="680"/>
      <c r="H186" s="680"/>
      <c r="I186" s="755"/>
      <c r="J186" s="682">
        <f t="shared" si="29"/>
        <v>0</v>
      </c>
      <c r="K186" s="683"/>
      <c r="L186" s="684"/>
      <c r="M186" s="753"/>
      <c r="N186" s="683">
        <v>0</v>
      </c>
      <c r="O186" s="686"/>
      <c r="P186" s="683">
        <v>0</v>
      </c>
      <c r="Q186" s="687">
        <f t="shared" si="28"/>
        <v>0</v>
      </c>
      <c r="R186" s="687"/>
      <c r="S186" s="687"/>
      <c r="T186" s="688"/>
      <c r="U186" s="693"/>
      <c r="V186" s="690" t="str">
        <f t="shared" si="37"/>
        <v/>
      </c>
      <c r="W186" s="683"/>
      <c r="X186" s="474">
        <f t="shared" si="38"/>
        <v>0</v>
      </c>
      <c r="Y186" s="474">
        <f t="shared" si="39"/>
        <v>0</v>
      </c>
      <c r="Z186" s="475">
        <f t="shared" si="40"/>
        <v>0</v>
      </c>
      <c r="AA186" s="475">
        <v>0</v>
      </c>
      <c r="AB186" s="476">
        <v>0</v>
      </c>
      <c r="AC186" s="38">
        <f t="shared" si="41"/>
        <v>0</v>
      </c>
      <c r="AD186" s="692">
        <f t="shared" si="30"/>
        <v>0</v>
      </c>
      <c r="AE186" s="692">
        <f t="shared" si="31"/>
        <v>0</v>
      </c>
      <c r="AF186" s="692">
        <f t="shared" si="32"/>
        <v>0</v>
      </c>
      <c r="AG186" s="38"/>
      <c r="AH186" s="692">
        <f t="shared" si="34"/>
        <v>0</v>
      </c>
      <c r="AI186" s="692">
        <f t="shared" si="35"/>
        <v>0</v>
      </c>
      <c r="AJ186" s="692">
        <f t="shared" si="36"/>
        <v>0</v>
      </c>
      <c r="AL186" s="38">
        <f t="shared" si="33"/>
        <v>0</v>
      </c>
      <c r="AM186" s="68" t="s">
        <v>985</v>
      </c>
    </row>
    <row r="187" spans="1:39">
      <c r="A187" s="21"/>
      <c r="B187" s="21" t="s">
        <v>109</v>
      </c>
      <c r="C187" s="666" t="s">
        <v>571</v>
      </c>
      <c r="D187" s="68" t="s">
        <v>44</v>
      </c>
      <c r="E187" s="679"/>
      <c r="F187" s="529">
        <f>VLOOKUP(D187,'May14 Revenue'!D:V,19,FALSE)</f>
        <v>0</v>
      </c>
      <c r="G187" s="680"/>
      <c r="H187" s="680"/>
      <c r="I187" s="755"/>
      <c r="J187" s="682">
        <f t="shared" si="29"/>
        <v>0</v>
      </c>
      <c r="K187" s="683"/>
      <c r="L187" s="684"/>
      <c r="M187" s="753"/>
      <c r="N187" s="683">
        <v>0</v>
      </c>
      <c r="O187" s="686"/>
      <c r="P187" s="683">
        <v>0</v>
      </c>
      <c r="Q187" s="687">
        <f t="shared" si="28"/>
        <v>0</v>
      </c>
      <c r="R187" s="687"/>
      <c r="S187" s="687"/>
      <c r="T187" s="688"/>
      <c r="U187" s="693"/>
      <c r="V187" s="690" t="str">
        <f t="shared" si="37"/>
        <v/>
      </c>
      <c r="W187" s="683"/>
      <c r="X187" s="474">
        <f t="shared" si="38"/>
        <v>0</v>
      </c>
      <c r="Y187" s="474">
        <f t="shared" si="39"/>
        <v>0</v>
      </c>
      <c r="Z187" s="475">
        <f t="shared" si="40"/>
        <v>0</v>
      </c>
      <c r="AA187" s="475">
        <v>0</v>
      </c>
      <c r="AB187" s="476">
        <v>0</v>
      </c>
      <c r="AC187" s="38">
        <f t="shared" si="41"/>
        <v>0</v>
      </c>
      <c r="AD187" s="692">
        <f t="shared" si="30"/>
        <v>0</v>
      </c>
      <c r="AE187" s="692">
        <f t="shared" si="31"/>
        <v>0</v>
      </c>
      <c r="AF187" s="692">
        <f t="shared" si="32"/>
        <v>0</v>
      </c>
      <c r="AG187" s="38"/>
      <c r="AH187" s="692">
        <f t="shared" si="34"/>
        <v>0</v>
      </c>
      <c r="AI187" s="692">
        <f t="shared" si="35"/>
        <v>0</v>
      </c>
      <c r="AJ187" s="692">
        <f t="shared" si="36"/>
        <v>0</v>
      </c>
      <c r="AL187" s="38">
        <f t="shared" si="33"/>
        <v>0</v>
      </c>
      <c r="AM187" s="68" t="s">
        <v>44</v>
      </c>
    </row>
    <row r="188" spans="1:39">
      <c r="A188" s="21"/>
      <c r="B188" s="21" t="s">
        <v>114</v>
      </c>
      <c r="C188" s="666" t="s">
        <v>571</v>
      </c>
      <c r="D188" s="68" t="s">
        <v>44</v>
      </c>
      <c r="E188" s="679"/>
      <c r="F188" s="529">
        <f>VLOOKUP(D188,'May14 Revenue'!D:V,19,FALSE)</f>
        <v>0</v>
      </c>
      <c r="G188" s="680"/>
      <c r="H188" s="680"/>
      <c r="I188" s="755"/>
      <c r="J188" s="682">
        <f t="shared" si="29"/>
        <v>0</v>
      </c>
      <c r="K188" s="683"/>
      <c r="L188" s="684"/>
      <c r="M188" s="753"/>
      <c r="N188" s="683">
        <v>0</v>
      </c>
      <c r="O188" s="686"/>
      <c r="P188" s="683">
        <v>0</v>
      </c>
      <c r="Q188" s="687">
        <f t="shared" si="28"/>
        <v>0</v>
      </c>
      <c r="R188" s="687"/>
      <c r="S188" s="687"/>
      <c r="T188" s="688"/>
      <c r="U188" s="693"/>
      <c r="V188" s="690" t="str">
        <f t="shared" si="37"/>
        <v/>
      </c>
      <c r="W188" s="683"/>
      <c r="X188" s="474">
        <f t="shared" si="38"/>
        <v>0</v>
      </c>
      <c r="Y188" s="474">
        <f t="shared" si="39"/>
        <v>0</v>
      </c>
      <c r="Z188" s="475">
        <f t="shared" si="40"/>
        <v>0</v>
      </c>
      <c r="AA188" s="475">
        <v>0</v>
      </c>
      <c r="AB188" s="476">
        <v>0</v>
      </c>
      <c r="AC188" s="38">
        <f t="shared" si="41"/>
        <v>0</v>
      </c>
      <c r="AD188" s="692">
        <f t="shared" si="30"/>
        <v>0</v>
      </c>
      <c r="AE188" s="692">
        <f t="shared" si="31"/>
        <v>0</v>
      </c>
      <c r="AF188" s="692">
        <f t="shared" si="32"/>
        <v>0</v>
      </c>
      <c r="AG188" s="38"/>
      <c r="AH188" s="692">
        <f t="shared" si="34"/>
        <v>0</v>
      </c>
      <c r="AI188" s="692">
        <f t="shared" si="35"/>
        <v>0</v>
      </c>
      <c r="AJ188" s="692">
        <f t="shared" si="36"/>
        <v>0</v>
      </c>
      <c r="AL188" s="38">
        <f t="shared" si="33"/>
        <v>0</v>
      </c>
      <c r="AM188" s="68" t="s">
        <v>44</v>
      </c>
    </row>
    <row r="189" spans="1:39">
      <c r="A189" s="21"/>
      <c r="B189" s="21" t="s">
        <v>110</v>
      </c>
      <c r="C189" s="666" t="s">
        <v>572</v>
      </c>
      <c r="D189" s="806" t="s">
        <v>388</v>
      </c>
      <c r="E189" s="679"/>
      <c r="F189" s="529">
        <f>VLOOKUP(D189,'May14 Revenue'!D:V,19,FALSE)</f>
        <v>2935.9700000000012</v>
      </c>
      <c r="G189" s="680"/>
      <c r="H189" s="680"/>
      <c r="I189" s="755"/>
      <c r="J189" s="682">
        <f t="shared" si="29"/>
        <v>2935.9700000000012</v>
      </c>
      <c r="K189" s="683"/>
      <c r="L189" s="684"/>
      <c r="M189" s="753">
        <v>15000</v>
      </c>
      <c r="N189" s="683">
        <v>0</v>
      </c>
      <c r="O189" s="686"/>
      <c r="P189" s="683">
        <v>0</v>
      </c>
      <c r="Q189" s="687">
        <f t="shared" si="28"/>
        <v>15000</v>
      </c>
      <c r="R189" s="687"/>
      <c r="S189" s="687"/>
      <c r="T189" s="688"/>
      <c r="U189" s="693"/>
      <c r="V189" s="690" t="str">
        <f t="shared" si="37"/>
        <v/>
      </c>
      <c r="W189" s="683"/>
      <c r="X189" s="474">
        <f t="shared" si="38"/>
        <v>15000</v>
      </c>
      <c r="Y189" s="474">
        <f t="shared" si="39"/>
        <v>0</v>
      </c>
      <c r="Z189" s="475">
        <f t="shared" si="40"/>
        <v>0</v>
      </c>
      <c r="AA189" s="475">
        <v>0</v>
      </c>
      <c r="AB189" s="476">
        <v>0</v>
      </c>
      <c r="AC189" s="38">
        <f t="shared" si="41"/>
        <v>0</v>
      </c>
      <c r="AD189" s="692">
        <f t="shared" si="30"/>
        <v>2935.9700000000012</v>
      </c>
      <c r="AE189" s="692">
        <f t="shared" si="31"/>
        <v>0</v>
      </c>
      <c r="AF189" s="692">
        <f t="shared" si="32"/>
        <v>0</v>
      </c>
      <c r="AG189" s="38"/>
      <c r="AH189" s="692">
        <f t="shared" si="34"/>
        <v>15000</v>
      </c>
      <c r="AI189" s="692">
        <f t="shared" si="35"/>
        <v>0</v>
      </c>
      <c r="AJ189" s="692">
        <f t="shared" si="36"/>
        <v>0</v>
      </c>
      <c r="AL189" s="38">
        <f t="shared" si="33"/>
        <v>17935.97</v>
      </c>
      <c r="AM189" s="806" t="s">
        <v>388</v>
      </c>
    </row>
    <row r="190" spans="1:39">
      <c r="A190" s="20"/>
      <c r="B190" s="20" t="s">
        <v>109</v>
      </c>
      <c r="C190" s="667"/>
      <c r="D190" s="806" t="s">
        <v>842</v>
      </c>
      <c r="E190" s="679">
        <f>11936.5+11930.01+12305.06+12656.23</f>
        <v>48827.8</v>
      </c>
      <c r="F190" s="529">
        <f>VLOOKUP(D190,'May14 Revenue'!D:V,19,FALSE)</f>
        <v>-130000</v>
      </c>
      <c r="G190" s="680"/>
      <c r="H190" s="680"/>
      <c r="I190" s="755"/>
      <c r="J190" s="682">
        <f t="shared" si="29"/>
        <v>-81172.2</v>
      </c>
      <c r="K190" s="683"/>
      <c r="L190" s="684"/>
      <c r="M190" s="753">
        <v>120000</v>
      </c>
      <c r="N190" s="683">
        <v>0</v>
      </c>
      <c r="O190" s="686"/>
      <c r="P190" s="683">
        <v>0</v>
      </c>
      <c r="Q190" s="687">
        <f t="shared" si="28"/>
        <v>120000</v>
      </c>
      <c r="R190" s="687"/>
      <c r="S190" s="687"/>
      <c r="T190" s="688"/>
      <c r="U190" s="693"/>
      <c r="V190" s="690" t="str">
        <f t="shared" si="37"/>
        <v/>
      </c>
      <c r="W190" s="683"/>
      <c r="X190" s="474">
        <f t="shared" si="38"/>
        <v>0</v>
      </c>
      <c r="Y190" s="474">
        <f t="shared" si="39"/>
        <v>120000</v>
      </c>
      <c r="Z190" s="475">
        <f t="shared" si="40"/>
        <v>0</v>
      </c>
      <c r="AA190" s="475">
        <v>0</v>
      </c>
      <c r="AB190" s="476">
        <v>0</v>
      </c>
      <c r="AC190" s="38">
        <f t="shared" si="41"/>
        <v>0</v>
      </c>
      <c r="AD190" s="692">
        <f t="shared" si="30"/>
        <v>0</v>
      </c>
      <c r="AE190" s="692">
        <f t="shared" si="31"/>
        <v>-81172.2</v>
      </c>
      <c r="AF190" s="692">
        <f t="shared" si="32"/>
        <v>0</v>
      </c>
      <c r="AG190" s="38"/>
      <c r="AH190" s="692">
        <f t="shared" si="34"/>
        <v>0</v>
      </c>
      <c r="AI190" s="692">
        <f t="shared" si="35"/>
        <v>120000</v>
      </c>
      <c r="AJ190" s="692">
        <f t="shared" si="36"/>
        <v>0</v>
      </c>
      <c r="AL190" s="38">
        <f t="shared" si="33"/>
        <v>38827.800000000003</v>
      </c>
      <c r="AM190" s="806" t="s">
        <v>842</v>
      </c>
    </row>
    <row r="191" spans="1:39">
      <c r="A191" s="21"/>
      <c r="B191" s="21" t="s">
        <v>110</v>
      </c>
      <c r="C191" s="666"/>
      <c r="D191" s="68" t="s">
        <v>45</v>
      </c>
      <c r="E191" s="679"/>
      <c r="F191" s="529">
        <f>VLOOKUP(D191,'May14 Revenue'!D:V,19,FALSE)</f>
        <v>0</v>
      </c>
      <c r="G191" s="680"/>
      <c r="H191" s="680"/>
      <c r="I191" s="770">
        <f>57339.21+3383.59</f>
        <v>60722.8</v>
      </c>
      <c r="J191" s="682">
        <f t="shared" si="29"/>
        <v>60722.8</v>
      </c>
      <c r="K191" s="683"/>
      <c r="L191" s="684"/>
      <c r="M191" s="753"/>
      <c r="N191" s="683">
        <v>0</v>
      </c>
      <c r="O191" s="686"/>
      <c r="P191" s="683">
        <v>0</v>
      </c>
      <c r="Q191" s="687">
        <f t="shared" si="28"/>
        <v>0</v>
      </c>
      <c r="R191" s="687"/>
      <c r="S191" s="687"/>
      <c r="T191" s="688"/>
      <c r="U191" s="693"/>
      <c r="V191" s="690" t="str">
        <f t="shared" si="37"/>
        <v/>
      </c>
      <c r="W191" s="683"/>
      <c r="X191" s="474">
        <f t="shared" si="38"/>
        <v>0</v>
      </c>
      <c r="Y191" s="474">
        <f t="shared" si="39"/>
        <v>0</v>
      </c>
      <c r="Z191" s="475">
        <f t="shared" si="40"/>
        <v>0</v>
      </c>
      <c r="AA191" s="475">
        <v>0</v>
      </c>
      <c r="AB191" s="476">
        <v>0</v>
      </c>
      <c r="AC191" s="38">
        <f t="shared" si="41"/>
        <v>0</v>
      </c>
      <c r="AD191" s="692">
        <f t="shared" si="30"/>
        <v>60722.8</v>
      </c>
      <c r="AE191" s="692">
        <f t="shared" si="31"/>
        <v>0</v>
      </c>
      <c r="AF191" s="692">
        <f t="shared" si="32"/>
        <v>0</v>
      </c>
      <c r="AG191" s="38"/>
      <c r="AH191" s="692">
        <f t="shared" si="34"/>
        <v>0</v>
      </c>
      <c r="AI191" s="692">
        <f t="shared" si="35"/>
        <v>0</v>
      </c>
      <c r="AJ191" s="692">
        <f t="shared" si="36"/>
        <v>0</v>
      </c>
      <c r="AL191" s="38">
        <f t="shared" si="33"/>
        <v>60722.8</v>
      </c>
      <c r="AM191" s="68" t="s">
        <v>45</v>
      </c>
    </row>
    <row r="192" spans="1:39">
      <c r="A192" s="20" t="s">
        <v>211</v>
      </c>
      <c r="B192" s="20" t="s">
        <v>109</v>
      </c>
      <c r="C192" s="667"/>
      <c r="D192" s="68" t="s">
        <v>923</v>
      </c>
      <c r="E192" s="679"/>
      <c r="F192" s="529">
        <f>VLOOKUP(D192,'May14 Revenue'!D:V,19,FALSE)</f>
        <v>-3556.3199999999997</v>
      </c>
      <c r="G192" s="680"/>
      <c r="H192" s="680"/>
      <c r="I192" s="755"/>
      <c r="J192" s="682">
        <f t="shared" si="29"/>
        <v>-3556.3199999999997</v>
      </c>
      <c r="K192" s="683"/>
      <c r="L192" s="684"/>
      <c r="M192" s="753">
        <v>20000</v>
      </c>
      <c r="N192" s="683">
        <v>0</v>
      </c>
      <c r="O192" s="686"/>
      <c r="P192" s="683">
        <v>0</v>
      </c>
      <c r="Q192" s="687">
        <f>L192+M192</f>
        <v>20000</v>
      </c>
      <c r="R192" s="687"/>
      <c r="S192" s="687"/>
      <c r="T192" s="688"/>
      <c r="U192" s="693"/>
      <c r="V192" s="690" t="str">
        <f t="shared" si="37"/>
        <v/>
      </c>
      <c r="W192" s="697"/>
      <c r="X192" s="474">
        <f t="shared" si="38"/>
        <v>0</v>
      </c>
      <c r="Y192" s="474">
        <f t="shared" si="39"/>
        <v>20000</v>
      </c>
      <c r="Z192" s="475">
        <f t="shared" si="40"/>
        <v>0</v>
      </c>
      <c r="AA192" s="475">
        <v>0</v>
      </c>
      <c r="AB192" s="476">
        <v>0</v>
      </c>
      <c r="AC192" s="38">
        <f>(L192+M192)-(X192+Y192+Z192+AA192+AB192)</f>
        <v>0</v>
      </c>
      <c r="AD192" s="692">
        <f t="shared" si="30"/>
        <v>0</v>
      </c>
      <c r="AE192" s="692">
        <f t="shared" si="31"/>
        <v>-3556.3199999999997</v>
      </c>
      <c r="AF192" s="692">
        <f t="shared" si="32"/>
        <v>0</v>
      </c>
      <c r="AG192" s="38"/>
      <c r="AH192" s="692">
        <f t="shared" si="34"/>
        <v>0</v>
      </c>
      <c r="AI192" s="692">
        <f t="shared" si="35"/>
        <v>20000</v>
      </c>
      <c r="AJ192" s="692">
        <f t="shared" si="36"/>
        <v>0</v>
      </c>
      <c r="AL192" s="38">
        <f t="shared" si="33"/>
        <v>16443.68</v>
      </c>
      <c r="AM192" s="68" t="s">
        <v>923</v>
      </c>
    </row>
    <row r="193" spans="1:39">
      <c r="A193" s="20"/>
      <c r="B193" s="20" t="s">
        <v>110</v>
      </c>
      <c r="C193" s="667" t="s">
        <v>573</v>
      </c>
      <c r="D193" s="68" t="s">
        <v>102</v>
      </c>
      <c r="E193" s="679">
        <v>209736.53</v>
      </c>
      <c r="F193" s="529">
        <f>VLOOKUP(D193,'May14 Revenue'!D:V,19,FALSE)</f>
        <v>0</v>
      </c>
      <c r="G193" s="680"/>
      <c r="H193" s="680"/>
      <c r="I193" s="770">
        <f>3957056.08+65373.12</f>
        <v>4022429.2</v>
      </c>
      <c r="J193" s="682">
        <f t="shared" si="29"/>
        <v>4232165.7300000004</v>
      </c>
      <c r="K193" s="683"/>
      <c r="L193" s="684"/>
      <c r="M193" s="753"/>
      <c r="N193" s="683">
        <v>0</v>
      </c>
      <c r="O193" s="686"/>
      <c r="P193" s="683">
        <v>0</v>
      </c>
      <c r="Q193" s="687">
        <f t="shared" si="28"/>
        <v>0</v>
      </c>
      <c r="R193" s="687"/>
      <c r="S193" s="687"/>
      <c r="T193" s="688"/>
      <c r="U193" s="693"/>
      <c r="V193" s="690" t="str">
        <f t="shared" si="37"/>
        <v/>
      </c>
      <c r="W193" s="697"/>
      <c r="X193" s="474">
        <f t="shared" si="38"/>
        <v>0</v>
      </c>
      <c r="Y193" s="474">
        <f t="shared" si="39"/>
        <v>0</v>
      </c>
      <c r="Z193" s="475">
        <f t="shared" si="40"/>
        <v>0</v>
      </c>
      <c r="AA193" s="475">
        <v>0</v>
      </c>
      <c r="AB193" s="476">
        <v>0</v>
      </c>
      <c r="AC193" s="38">
        <f t="shared" si="41"/>
        <v>0</v>
      </c>
      <c r="AD193" s="692">
        <f t="shared" si="30"/>
        <v>4232165.7300000004</v>
      </c>
      <c r="AE193" s="692">
        <f t="shared" si="31"/>
        <v>0</v>
      </c>
      <c r="AF193" s="692">
        <f t="shared" si="32"/>
        <v>0</v>
      </c>
      <c r="AG193" s="38"/>
      <c r="AH193" s="692">
        <f t="shared" si="34"/>
        <v>0</v>
      </c>
      <c r="AI193" s="692">
        <f t="shared" si="35"/>
        <v>0</v>
      </c>
      <c r="AJ193" s="692">
        <f t="shared" si="36"/>
        <v>0</v>
      </c>
      <c r="AL193" s="38">
        <f t="shared" si="33"/>
        <v>4232165.7300000004</v>
      </c>
      <c r="AM193" s="68" t="s">
        <v>102</v>
      </c>
    </row>
    <row r="194" spans="1:39">
      <c r="A194" s="20"/>
      <c r="B194" s="20" t="s">
        <v>110</v>
      </c>
      <c r="C194" s="667" t="s">
        <v>573</v>
      </c>
      <c r="D194" s="68" t="s">
        <v>1061</v>
      </c>
      <c r="E194" s="679"/>
      <c r="F194" s="529">
        <f>VLOOKUP(D194,'May14 Revenue'!D:V,19,FALSE)</f>
        <v>0</v>
      </c>
      <c r="G194" s="680"/>
      <c r="H194" s="680"/>
      <c r="I194" s="770">
        <v>83356.710000000006</v>
      </c>
      <c r="J194" s="682">
        <f t="shared" si="29"/>
        <v>83356.710000000006</v>
      </c>
      <c r="K194" s="683"/>
      <c r="L194" s="684"/>
      <c r="M194" s="753"/>
      <c r="N194" s="683">
        <v>0</v>
      </c>
      <c r="O194" s="686"/>
      <c r="P194" s="683">
        <v>0</v>
      </c>
      <c r="Q194" s="687">
        <f>L194+M194</f>
        <v>0</v>
      </c>
      <c r="R194" s="687"/>
      <c r="S194" s="687"/>
      <c r="T194" s="688"/>
      <c r="U194" s="693"/>
      <c r="V194" s="690" t="str">
        <f t="shared" si="37"/>
        <v/>
      </c>
      <c r="W194" s="697"/>
      <c r="X194" s="474">
        <f t="shared" si="38"/>
        <v>0</v>
      </c>
      <c r="Y194" s="474">
        <f t="shared" si="39"/>
        <v>0</v>
      </c>
      <c r="Z194" s="475">
        <f t="shared" si="40"/>
        <v>0</v>
      </c>
      <c r="AA194" s="475">
        <v>0</v>
      </c>
      <c r="AB194" s="476">
        <v>0</v>
      </c>
      <c r="AC194" s="38">
        <f>(L194+M194)-(X194+Y194+Z194+AA194+AB194)</f>
        <v>0</v>
      </c>
      <c r="AD194" s="692">
        <f t="shared" si="30"/>
        <v>83356.710000000006</v>
      </c>
      <c r="AE194" s="692">
        <f t="shared" si="31"/>
        <v>0</v>
      </c>
      <c r="AF194" s="692">
        <f t="shared" si="32"/>
        <v>0</v>
      </c>
      <c r="AG194" s="38"/>
      <c r="AH194" s="692">
        <f t="shared" si="34"/>
        <v>0</v>
      </c>
      <c r="AI194" s="692">
        <f t="shared" si="35"/>
        <v>0</v>
      </c>
      <c r="AJ194" s="692">
        <f t="shared" si="36"/>
        <v>0</v>
      </c>
      <c r="AL194" s="38">
        <f t="shared" si="33"/>
        <v>83356.710000000006</v>
      </c>
      <c r="AM194" s="68" t="s">
        <v>511</v>
      </c>
    </row>
    <row r="195" spans="1:39">
      <c r="A195" s="21"/>
      <c r="B195" s="21" t="s">
        <v>110</v>
      </c>
      <c r="C195" s="666"/>
      <c r="D195" s="68" t="s">
        <v>50</v>
      </c>
      <c r="E195" s="679">
        <v>1969.81</v>
      </c>
      <c r="F195" s="529">
        <f>VLOOKUP(D195,'May14 Revenue'!D:V,19,FALSE)</f>
        <v>0</v>
      </c>
      <c r="G195" s="680"/>
      <c r="H195" s="680"/>
      <c r="I195" s="755"/>
      <c r="J195" s="682">
        <f t="shared" si="29"/>
        <v>1969.81</v>
      </c>
      <c r="K195" s="683"/>
      <c r="L195" s="684"/>
      <c r="M195" s="753"/>
      <c r="N195" s="683">
        <v>0</v>
      </c>
      <c r="O195" s="686"/>
      <c r="P195" s="683">
        <v>0</v>
      </c>
      <c r="Q195" s="687">
        <f t="shared" si="28"/>
        <v>0</v>
      </c>
      <c r="R195" s="687"/>
      <c r="S195" s="687"/>
      <c r="T195" s="688"/>
      <c r="U195" s="693"/>
      <c r="V195" s="690" t="str">
        <f t="shared" si="37"/>
        <v/>
      </c>
      <c r="W195" s="683"/>
      <c r="X195" s="474">
        <f t="shared" si="38"/>
        <v>0</v>
      </c>
      <c r="Y195" s="474">
        <f t="shared" si="39"/>
        <v>0</v>
      </c>
      <c r="Z195" s="475">
        <f t="shared" si="40"/>
        <v>0</v>
      </c>
      <c r="AA195" s="475">
        <v>0</v>
      </c>
      <c r="AB195" s="476">
        <v>0</v>
      </c>
      <c r="AC195" s="38">
        <f t="shared" si="41"/>
        <v>0</v>
      </c>
      <c r="AD195" s="692">
        <f t="shared" si="30"/>
        <v>1969.81</v>
      </c>
      <c r="AE195" s="692">
        <f t="shared" si="31"/>
        <v>0</v>
      </c>
      <c r="AF195" s="692">
        <f t="shared" si="32"/>
        <v>0</v>
      </c>
      <c r="AG195" s="38"/>
      <c r="AH195" s="692">
        <f t="shared" si="34"/>
        <v>0</v>
      </c>
      <c r="AI195" s="692">
        <f t="shared" si="35"/>
        <v>0</v>
      </c>
      <c r="AJ195" s="692">
        <f t="shared" si="36"/>
        <v>0</v>
      </c>
      <c r="AL195" s="38">
        <f t="shared" si="33"/>
        <v>1969.81</v>
      </c>
      <c r="AM195" s="68" t="s">
        <v>50</v>
      </c>
    </row>
    <row r="196" spans="1:39" hidden="1">
      <c r="A196" s="21"/>
      <c r="B196" s="21" t="s">
        <v>109</v>
      </c>
      <c r="C196" s="666"/>
      <c r="D196" s="68" t="s">
        <v>51</v>
      </c>
      <c r="E196" s="679"/>
      <c r="F196" s="529">
        <f>VLOOKUP(D196,'May14 Revenue'!D:V,19,FALSE)</f>
        <v>0</v>
      </c>
      <c r="G196" s="680"/>
      <c r="H196" s="680"/>
      <c r="I196" s="755"/>
      <c r="J196" s="682">
        <f t="shared" si="29"/>
        <v>0</v>
      </c>
      <c r="K196" s="683"/>
      <c r="L196" s="684"/>
      <c r="M196" s="753"/>
      <c r="N196" s="683">
        <v>0</v>
      </c>
      <c r="O196" s="686"/>
      <c r="P196" s="683">
        <v>0</v>
      </c>
      <c r="Q196" s="687">
        <f t="shared" si="28"/>
        <v>0</v>
      </c>
      <c r="R196" s="687"/>
      <c r="S196" s="687"/>
      <c r="T196" s="688"/>
      <c r="U196" s="693"/>
      <c r="V196" s="690" t="str">
        <f t="shared" si="37"/>
        <v/>
      </c>
      <c r="W196" s="683"/>
      <c r="X196" s="474">
        <f t="shared" si="38"/>
        <v>0</v>
      </c>
      <c r="Y196" s="474">
        <f t="shared" si="39"/>
        <v>0</v>
      </c>
      <c r="Z196" s="475">
        <f t="shared" si="40"/>
        <v>0</v>
      </c>
      <c r="AA196" s="475">
        <v>0</v>
      </c>
      <c r="AB196" s="476">
        <v>0</v>
      </c>
      <c r="AC196" s="38">
        <f t="shared" si="41"/>
        <v>0</v>
      </c>
      <c r="AD196" s="692">
        <f t="shared" si="30"/>
        <v>0</v>
      </c>
      <c r="AE196" s="692">
        <f t="shared" si="31"/>
        <v>0</v>
      </c>
      <c r="AF196" s="692">
        <f t="shared" si="32"/>
        <v>0</v>
      </c>
      <c r="AG196" s="38"/>
      <c r="AH196" s="692">
        <f t="shared" si="34"/>
        <v>0</v>
      </c>
      <c r="AI196" s="692">
        <f t="shared" si="35"/>
        <v>0</v>
      </c>
      <c r="AJ196" s="692">
        <f t="shared" si="36"/>
        <v>0</v>
      </c>
      <c r="AL196" s="38">
        <f t="shared" si="33"/>
        <v>0</v>
      </c>
      <c r="AM196" s="68" t="s">
        <v>51</v>
      </c>
    </row>
    <row r="197" spans="1:39">
      <c r="A197" s="21"/>
      <c r="B197" s="21" t="s">
        <v>109</v>
      </c>
      <c r="C197" s="666"/>
      <c r="D197" s="68" t="s">
        <v>107</v>
      </c>
      <c r="E197" s="679"/>
      <c r="F197" s="529">
        <f>VLOOKUP(D197,'May14 Revenue'!D:V,19,FALSE)</f>
        <v>0</v>
      </c>
      <c r="G197" s="680"/>
      <c r="H197" s="680"/>
      <c r="I197" s="755"/>
      <c r="J197" s="682">
        <f t="shared" si="29"/>
        <v>0</v>
      </c>
      <c r="K197" s="683"/>
      <c r="L197" s="684"/>
      <c r="M197" s="753"/>
      <c r="N197" s="683">
        <v>0</v>
      </c>
      <c r="O197" s="686"/>
      <c r="P197" s="683">
        <v>0</v>
      </c>
      <c r="Q197" s="687">
        <f t="shared" si="28"/>
        <v>0</v>
      </c>
      <c r="R197" s="687"/>
      <c r="S197" s="687"/>
      <c r="T197" s="688"/>
      <c r="U197" s="693"/>
      <c r="V197" s="690" t="str">
        <f t="shared" si="37"/>
        <v/>
      </c>
      <c r="W197" s="683"/>
      <c r="X197" s="474">
        <f t="shared" si="38"/>
        <v>0</v>
      </c>
      <c r="Y197" s="474">
        <f t="shared" si="39"/>
        <v>0</v>
      </c>
      <c r="Z197" s="475">
        <f t="shared" si="40"/>
        <v>0</v>
      </c>
      <c r="AA197" s="475">
        <v>0</v>
      </c>
      <c r="AB197" s="476">
        <v>0</v>
      </c>
      <c r="AC197" s="38">
        <f t="shared" si="41"/>
        <v>0</v>
      </c>
      <c r="AD197" s="692">
        <f t="shared" si="30"/>
        <v>0</v>
      </c>
      <c r="AE197" s="692">
        <f t="shared" si="31"/>
        <v>0</v>
      </c>
      <c r="AF197" s="692">
        <f t="shared" si="32"/>
        <v>0</v>
      </c>
      <c r="AG197" s="38"/>
      <c r="AH197" s="692">
        <f t="shared" si="34"/>
        <v>0</v>
      </c>
      <c r="AI197" s="692">
        <f t="shared" si="35"/>
        <v>0</v>
      </c>
      <c r="AJ197" s="692">
        <f t="shared" si="36"/>
        <v>0</v>
      </c>
      <c r="AL197" s="38">
        <f t="shared" si="33"/>
        <v>0</v>
      </c>
      <c r="AM197" s="68" t="s">
        <v>107</v>
      </c>
    </row>
    <row r="198" spans="1:39" hidden="1">
      <c r="A198" s="21"/>
      <c r="B198" s="21" t="s">
        <v>109</v>
      </c>
      <c r="C198" s="666"/>
      <c r="D198" s="68" t="s">
        <v>467</v>
      </c>
      <c r="E198" s="679"/>
      <c r="F198" s="529">
        <f>VLOOKUP(D198,'May14 Revenue'!D:V,19,FALSE)</f>
        <v>0</v>
      </c>
      <c r="G198" s="680"/>
      <c r="H198" s="680"/>
      <c r="I198" s="755"/>
      <c r="J198" s="682">
        <f t="shared" si="29"/>
        <v>0</v>
      </c>
      <c r="K198" s="683"/>
      <c r="L198" s="684"/>
      <c r="M198" s="753"/>
      <c r="N198" s="683">
        <v>0</v>
      </c>
      <c r="O198" s="686"/>
      <c r="P198" s="683">
        <v>0</v>
      </c>
      <c r="Q198" s="687">
        <f t="shared" si="28"/>
        <v>0</v>
      </c>
      <c r="R198" s="687"/>
      <c r="S198" s="687"/>
      <c r="T198" s="688"/>
      <c r="U198" s="693"/>
      <c r="V198" s="690" t="str">
        <f t="shared" si="37"/>
        <v/>
      </c>
      <c r="W198" s="683"/>
      <c r="X198" s="474">
        <f t="shared" si="38"/>
        <v>0</v>
      </c>
      <c r="Y198" s="474">
        <f t="shared" si="39"/>
        <v>0</v>
      </c>
      <c r="Z198" s="475">
        <f t="shared" si="40"/>
        <v>0</v>
      </c>
      <c r="AA198" s="475">
        <v>0</v>
      </c>
      <c r="AB198" s="476">
        <v>0</v>
      </c>
      <c r="AC198" s="38">
        <f t="shared" si="41"/>
        <v>0</v>
      </c>
      <c r="AD198" s="692">
        <f t="shared" si="30"/>
        <v>0</v>
      </c>
      <c r="AE198" s="692">
        <f t="shared" si="31"/>
        <v>0</v>
      </c>
      <c r="AF198" s="692">
        <f t="shared" si="32"/>
        <v>0</v>
      </c>
      <c r="AG198" s="38"/>
      <c r="AH198" s="692">
        <f t="shared" si="34"/>
        <v>0</v>
      </c>
      <c r="AI198" s="692">
        <f t="shared" si="35"/>
        <v>0</v>
      </c>
      <c r="AJ198" s="692">
        <f t="shared" si="36"/>
        <v>0</v>
      </c>
      <c r="AL198" s="38">
        <f t="shared" si="33"/>
        <v>0</v>
      </c>
      <c r="AM198" s="68" t="s">
        <v>467</v>
      </c>
    </row>
    <row r="199" spans="1:39">
      <c r="A199" s="21"/>
      <c r="B199" s="21" t="s">
        <v>110</v>
      </c>
      <c r="C199" s="666"/>
      <c r="D199" s="68" t="s">
        <v>1012</v>
      </c>
      <c r="E199" s="679"/>
      <c r="F199" s="529">
        <f>VLOOKUP(D199,'May14 Revenue'!D:V,19,FALSE)</f>
        <v>0</v>
      </c>
      <c r="G199" s="680"/>
      <c r="H199" s="680"/>
      <c r="I199" s="755"/>
      <c r="J199" s="682">
        <f t="shared" si="29"/>
        <v>0</v>
      </c>
      <c r="K199" s="683"/>
      <c r="L199" s="684"/>
      <c r="M199" s="753"/>
      <c r="N199" s="683">
        <v>0</v>
      </c>
      <c r="O199" s="686"/>
      <c r="P199" s="683">
        <v>0</v>
      </c>
      <c r="Q199" s="687">
        <f t="shared" si="28"/>
        <v>0</v>
      </c>
      <c r="R199" s="687"/>
      <c r="S199" s="687"/>
      <c r="T199" s="688"/>
      <c r="U199" s="693"/>
      <c r="V199" s="690" t="str">
        <f t="shared" si="37"/>
        <v/>
      </c>
      <c r="W199" s="683"/>
      <c r="X199" s="474">
        <f t="shared" si="38"/>
        <v>0</v>
      </c>
      <c r="Y199" s="474">
        <f t="shared" si="39"/>
        <v>0</v>
      </c>
      <c r="Z199" s="475">
        <f t="shared" si="40"/>
        <v>0</v>
      </c>
      <c r="AA199" s="475">
        <v>0</v>
      </c>
      <c r="AB199" s="476">
        <v>0</v>
      </c>
      <c r="AC199" s="38">
        <f t="shared" si="41"/>
        <v>0</v>
      </c>
      <c r="AD199" s="692">
        <f t="shared" si="30"/>
        <v>0</v>
      </c>
      <c r="AE199" s="692">
        <f t="shared" si="31"/>
        <v>0</v>
      </c>
      <c r="AF199" s="692">
        <f t="shared" si="32"/>
        <v>0</v>
      </c>
      <c r="AG199" s="38"/>
      <c r="AH199" s="692">
        <f t="shared" si="34"/>
        <v>0</v>
      </c>
      <c r="AI199" s="692">
        <f t="shared" si="35"/>
        <v>0</v>
      </c>
      <c r="AJ199" s="692">
        <f t="shared" si="36"/>
        <v>0</v>
      </c>
      <c r="AL199" s="38">
        <f t="shared" si="33"/>
        <v>0</v>
      </c>
      <c r="AM199" s="68" t="s">
        <v>1012</v>
      </c>
    </row>
    <row r="200" spans="1:39">
      <c r="A200" s="21"/>
      <c r="B200" s="21" t="s">
        <v>109</v>
      </c>
      <c r="C200" s="666"/>
      <c r="D200" s="68" t="s">
        <v>1085</v>
      </c>
      <c r="E200" s="679"/>
      <c r="F200" s="529">
        <f>VLOOKUP(D200,'May14 Revenue'!D:V,19,FALSE)</f>
        <v>-60000</v>
      </c>
      <c r="G200" s="680"/>
      <c r="H200" s="680"/>
      <c r="I200" s="755"/>
      <c r="J200" s="682">
        <f t="shared" si="29"/>
        <v>-60000</v>
      </c>
      <c r="K200" s="683"/>
      <c r="L200" s="684"/>
      <c r="M200" s="753">
        <v>70000</v>
      </c>
      <c r="N200" s="683">
        <v>0</v>
      </c>
      <c r="O200" s="686"/>
      <c r="P200" s="683">
        <v>0</v>
      </c>
      <c r="Q200" s="687">
        <f t="shared" si="28"/>
        <v>70000</v>
      </c>
      <c r="R200" s="687"/>
      <c r="S200" s="687"/>
      <c r="T200" s="688">
        <v>0</v>
      </c>
      <c r="U200" s="693"/>
      <c r="V200" s="690">
        <f t="shared" si="37"/>
        <v>-70000</v>
      </c>
      <c r="W200" s="683"/>
      <c r="X200" s="474">
        <f t="shared" si="38"/>
        <v>0</v>
      </c>
      <c r="Y200" s="474">
        <f t="shared" si="39"/>
        <v>70000</v>
      </c>
      <c r="Z200" s="475">
        <f t="shared" si="40"/>
        <v>0</v>
      </c>
      <c r="AA200" s="475">
        <v>0</v>
      </c>
      <c r="AB200" s="476">
        <v>0</v>
      </c>
      <c r="AC200" s="38">
        <f t="shared" si="41"/>
        <v>0</v>
      </c>
      <c r="AD200" s="692">
        <f t="shared" si="30"/>
        <v>0</v>
      </c>
      <c r="AE200" s="692">
        <f t="shared" si="31"/>
        <v>-60000</v>
      </c>
      <c r="AF200" s="692">
        <f t="shared" si="32"/>
        <v>0</v>
      </c>
      <c r="AG200" s="38"/>
      <c r="AH200" s="692">
        <f t="shared" si="34"/>
        <v>0</v>
      </c>
      <c r="AI200" s="692">
        <f t="shared" si="35"/>
        <v>70000</v>
      </c>
      <c r="AJ200" s="692">
        <f t="shared" si="36"/>
        <v>0</v>
      </c>
      <c r="AL200" s="38">
        <f t="shared" si="33"/>
        <v>10000</v>
      </c>
      <c r="AM200" s="68" t="s">
        <v>54</v>
      </c>
    </row>
    <row r="201" spans="1:39">
      <c r="A201" s="21"/>
      <c r="B201" s="21" t="s">
        <v>109</v>
      </c>
      <c r="C201" s="666" t="s">
        <v>575</v>
      </c>
      <c r="D201" s="68" t="s">
        <v>54</v>
      </c>
      <c r="E201" s="679"/>
      <c r="F201" s="529">
        <f>VLOOKUP(D201,'May14 Revenue'!D:V,19,FALSE)</f>
        <v>0</v>
      </c>
      <c r="G201" s="680"/>
      <c r="H201" s="680"/>
      <c r="I201" s="755"/>
      <c r="J201" s="682">
        <f t="shared" si="29"/>
        <v>0</v>
      </c>
      <c r="K201" s="683"/>
      <c r="L201" s="684"/>
      <c r="M201" s="753"/>
      <c r="N201" s="683">
        <v>0</v>
      </c>
      <c r="O201" s="686"/>
      <c r="P201" s="683">
        <v>0</v>
      </c>
      <c r="Q201" s="687">
        <f t="shared" si="28"/>
        <v>0</v>
      </c>
      <c r="R201" s="687"/>
      <c r="S201" s="687"/>
      <c r="T201" s="688"/>
      <c r="U201" s="693"/>
      <c r="V201" s="690" t="str">
        <f t="shared" si="37"/>
        <v/>
      </c>
      <c r="W201" s="683"/>
      <c r="X201" s="474">
        <f t="shared" si="38"/>
        <v>0</v>
      </c>
      <c r="Y201" s="474">
        <f t="shared" si="39"/>
        <v>0</v>
      </c>
      <c r="Z201" s="475">
        <f t="shared" si="40"/>
        <v>0</v>
      </c>
      <c r="AA201" s="475">
        <v>0</v>
      </c>
      <c r="AB201" s="476">
        <v>0</v>
      </c>
      <c r="AC201" s="38">
        <f t="shared" si="41"/>
        <v>0</v>
      </c>
      <c r="AD201" s="692">
        <f t="shared" si="30"/>
        <v>0</v>
      </c>
      <c r="AE201" s="692">
        <f t="shared" si="31"/>
        <v>0</v>
      </c>
      <c r="AF201" s="692">
        <f t="shared" si="32"/>
        <v>0</v>
      </c>
      <c r="AG201" s="38"/>
      <c r="AH201" s="692">
        <f t="shared" si="34"/>
        <v>0</v>
      </c>
      <c r="AI201" s="692">
        <f t="shared" si="35"/>
        <v>0</v>
      </c>
      <c r="AJ201" s="692">
        <f t="shared" si="36"/>
        <v>0</v>
      </c>
      <c r="AL201" s="38">
        <f t="shared" si="33"/>
        <v>0</v>
      </c>
      <c r="AM201" s="68" t="s">
        <v>54</v>
      </c>
    </row>
    <row r="202" spans="1:39">
      <c r="A202" s="20"/>
      <c r="B202" s="20" t="s">
        <v>109</v>
      </c>
      <c r="C202" s="667"/>
      <c r="D202" s="68" t="s">
        <v>1084</v>
      </c>
      <c r="E202" s="679"/>
      <c r="F202" s="529">
        <f>VLOOKUP(D202,'May14 Revenue'!D:V,19,FALSE)</f>
        <v>-30000</v>
      </c>
      <c r="G202" s="680"/>
      <c r="H202" s="680"/>
      <c r="I202" s="755"/>
      <c r="J202" s="682">
        <f t="shared" si="29"/>
        <v>-30000</v>
      </c>
      <c r="K202" s="683"/>
      <c r="L202" s="684"/>
      <c r="M202" s="753">
        <v>35000</v>
      </c>
      <c r="N202" s="683">
        <v>0</v>
      </c>
      <c r="O202" s="686"/>
      <c r="P202" s="683">
        <v>0</v>
      </c>
      <c r="Q202" s="687">
        <f t="shared" si="28"/>
        <v>35000</v>
      </c>
      <c r="R202" s="687"/>
      <c r="S202" s="687"/>
      <c r="T202" s="688"/>
      <c r="U202" s="693"/>
      <c r="V202" s="690" t="str">
        <f t="shared" si="37"/>
        <v/>
      </c>
      <c r="W202" s="683"/>
      <c r="X202" s="474">
        <f t="shared" si="38"/>
        <v>0</v>
      </c>
      <c r="Y202" s="474">
        <f t="shared" si="39"/>
        <v>35000</v>
      </c>
      <c r="Z202" s="475">
        <f t="shared" si="40"/>
        <v>0</v>
      </c>
      <c r="AA202" s="475">
        <v>0</v>
      </c>
      <c r="AB202" s="476">
        <v>0</v>
      </c>
      <c r="AC202" s="38">
        <f t="shared" si="41"/>
        <v>0</v>
      </c>
      <c r="AD202" s="692">
        <f t="shared" si="30"/>
        <v>0</v>
      </c>
      <c r="AE202" s="692">
        <f t="shared" si="31"/>
        <v>-30000</v>
      </c>
      <c r="AF202" s="692">
        <f t="shared" si="32"/>
        <v>0</v>
      </c>
      <c r="AG202" s="38"/>
      <c r="AH202" s="692">
        <f t="shared" si="34"/>
        <v>0</v>
      </c>
      <c r="AI202" s="692">
        <f t="shared" si="35"/>
        <v>35000</v>
      </c>
      <c r="AJ202" s="692">
        <f t="shared" si="36"/>
        <v>0</v>
      </c>
      <c r="AL202" s="38">
        <f t="shared" si="33"/>
        <v>5000</v>
      </c>
      <c r="AM202" s="68" t="s">
        <v>394</v>
      </c>
    </row>
    <row r="203" spans="1:39">
      <c r="A203" s="20"/>
      <c r="B203" s="20" t="s">
        <v>110</v>
      </c>
      <c r="C203" s="667"/>
      <c r="D203" s="68" t="s">
        <v>55</v>
      </c>
      <c r="E203" s="679"/>
      <c r="F203" s="529">
        <f>VLOOKUP(D203,'May14 Revenue'!D:V,19,FALSE)</f>
        <v>0</v>
      </c>
      <c r="G203" s="680"/>
      <c r="H203" s="680"/>
      <c r="I203" s="770">
        <v>262.29000000000002</v>
      </c>
      <c r="J203" s="682">
        <f t="shared" si="29"/>
        <v>262.29000000000002</v>
      </c>
      <c r="K203" s="683"/>
      <c r="L203" s="684"/>
      <c r="M203" s="753"/>
      <c r="N203" s="683">
        <v>0</v>
      </c>
      <c r="O203" s="686"/>
      <c r="P203" s="683">
        <v>0</v>
      </c>
      <c r="Q203" s="687">
        <f t="shared" si="28"/>
        <v>0</v>
      </c>
      <c r="R203" s="687"/>
      <c r="S203" s="687"/>
      <c r="T203" s="688"/>
      <c r="U203" s="693"/>
      <c r="V203" s="690" t="str">
        <f t="shared" si="37"/>
        <v/>
      </c>
      <c r="W203" s="683"/>
      <c r="X203" s="474">
        <f t="shared" si="38"/>
        <v>0</v>
      </c>
      <c r="Y203" s="474">
        <f t="shared" si="39"/>
        <v>0</v>
      </c>
      <c r="Z203" s="475">
        <f t="shared" si="40"/>
        <v>0</v>
      </c>
      <c r="AA203" s="475">
        <v>0</v>
      </c>
      <c r="AB203" s="476">
        <v>0</v>
      </c>
      <c r="AC203" s="38">
        <f t="shared" si="41"/>
        <v>0</v>
      </c>
      <c r="AD203" s="692">
        <f t="shared" si="30"/>
        <v>262.29000000000002</v>
      </c>
      <c r="AE203" s="692">
        <f t="shared" si="31"/>
        <v>0</v>
      </c>
      <c r="AF203" s="692">
        <f t="shared" si="32"/>
        <v>0</v>
      </c>
      <c r="AG203" s="38"/>
      <c r="AH203" s="692">
        <f t="shared" si="34"/>
        <v>0</v>
      </c>
      <c r="AI203" s="692">
        <f t="shared" si="35"/>
        <v>0</v>
      </c>
      <c r="AJ203" s="692">
        <f t="shared" si="36"/>
        <v>0</v>
      </c>
      <c r="AL203" s="38">
        <f t="shared" si="33"/>
        <v>262.29000000000002</v>
      </c>
      <c r="AM203" s="68" t="s">
        <v>55</v>
      </c>
    </row>
    <row r="204" spans="1:39">
      <c r="A204" s="21"/>
      <c r="B204" s="21" t="s">
        <v>110</v>
      </c>
      <c r="C204" s="666"/>
      <c r="D204" s="68" t="s">
        <v>1052</v>
      </c>
      <c r="E204" s="679"/>
      <c r="F204" s="529">
        <f>VLOOKUP(D204,'May14 Revenue'!D:V,19,FALSE)</f>
        <v>-120000</v>
      </c>
      <c r="G204" s="680"/>
      <c r="H204" s="680"/>
      <c r="I204" s="755"/>
      <c r="J204" s="682">
        <f t="shared" si="29"/>
        <v>-120000</v>
      </c>
      <c r="K204" s="683"/>
      <c r="L204" s="684"/>
      <c r="M204" s="753">
        <v>150000</v>
      </c>
      <c r="N204" s="683">
        <v>0</v>
      </c>
      <c r="O204" s="686"/>
      <c r="P204" s="683">
        <v>0</v>
      </c>
      <c r="Q204" s="687">
        <f t="shared" si="28"/>
        <v>150000</v>
      </c>
      <c r="R204" s="687"/>
      <c r="S204" s="687"/>
      <c r="T204" s="688"/>
      <c r="U204" s="693"/>
      <c r="V204" s="690" t="str">
        <f t="shared" si="37"/>
        <v/>
      </c>
      <c r="W204" s="683"/>
      <c r="X204" s="474">
        <f t="shared" si="38"/>
        <v>150000</v>
      </c>
      <c r="Y204" s="474">
        <f t="shared" si="39"/>
        <v>0</v>
      </c>
      <c r="Z204" s="475">
        <f t="shared" si="40"/>
        <v>0</v>
      </c>
      <c r="AA204" s="475">
        <v>0</v>
      </c>
      <c r="AB204" s="476">
        <v>0</v>
      </c>
      <c r="AC204" s="38">
        <f t="shared" si="41"/>
        <v>0</v>
      </c>
      <c r="AD204" s="692">
        <f t="shared" si="30"/>
        <v>-120000</v>
      </c>
      <c r="AE204" s="692">
        <f t="shared" si="31"/>
        <v>0</v>
      </c>
      <c r="AF204" s="692">
        <f t="shared" si="32"/>
        <v>0</v>
      </c>
      <c r="AG204" s="38"/>
      <c r="AH204" s="692">
        <f t="shared" si="34"/>
        <v>150000</v>
      </c>
      <c r="AI204" s="692">
        <f t="shared" si="35"/>
        <v>0</v>
      </c>
      <c r="AJ204" s="692">
        <f t="shared" si="36"/>
        <v>0</v>
      </c>
      <c r="AL204" s="38">
        <f t="shared" si="33"/>
        <v>30000</v>
      </c>
      <c r="AM204" s="68" t="s">
        <v>985</v>
      </c>
    </row>
    <row r="205" spans="1:39">
      <c r="A205" s="20"/>
      <c r="B205" s="20" t="s">
        <v>110</v>
      </c>
      <c r="C205" s="676" t="s">
        <v>854</v>
      </c>
      <c r="D205" s="68" t="s">
        <v>855</v>
      </c>
      <c r="E205" s="679"/>
      <c r="F205" s="529">
        <f>VLOOKUP(D205,'May14 Revenue'!D:V,19,FALSE)</f>
        <v>0</v>
      </c>
      <c r="G205" s="680"/>
      <c r="H205" s="680"/>
      <c r="I205" s="755"/>
      <c r="J205" s="682">
        <f t="shared" si="29"/>
        <v>0</v>
      </c>
      <c r="K205" s="683"/>
      <c r="L205" s="684"/>
      <c r="M205" s="753"/>
      <c r="N205" s="683">
        <v>0</v>
      </c>
      <c r="O205" s="686"/>
      <c r="P205" s="683">
        <v>0</v>
      </c>
      <c r="Q205" s="687">
        <f t="shared" si="28"/>
        <v>0</v>
      </c>
      <c r="R205" s="687"/>
      <c r="S205" s="687"/>
      <c r="T205" s="688"/>
      <c r="U205" s="693"/>
      <c r="V205" s="690" t="str">
        <f t="shared" si="37"/>
        <v/>
      </c>
      <c r="W205" s="683"/>
      <c r="X205" s="474">
        <f t="shared" si="38"/>
        <v>0</v>
      </c>
      <c r="Y205" s="474">
        <f t="shared" si="39"/>
        <v>0</v>
      </c>
      <c r="Z205" s="475">
        <f t="shared" si="40"/>
        <v>0</v>
      </c>
      <c r="AA205" s="475">
        <v>0</v>
      </c>
      <c r="AB205" s="476">
        <v>0</v>
      </c>
      <c r="AC205" s="38">
        <f t="shared" si="41"/>
        <v>0</v>
      </c>
      <c r="AD205" s="692">
        <f t="shared" si="30"/>
        <v>0</v>
      </c>
      <c r="AE205" s="692">
        <f t="shared" si="31"/>
        <v>0</v>
      </c>
      <c r="AF205" s="692">
        <f t="shared" si="32"/>
        <v>0</v>
      </c>
      <c r="AG205" s="38"/>
      <c r="AH205" s="692">
        <f t="shared" si="34"/>
        <v>0</v>
      </c>
      <c r="AI205" s="692">
        <f t="shared" si="35"/>
        <v>0</v>
      </c>
      <c r="AJ205" s="692">
        <f t="shared" si="36"/>
        <v>0</v>
      </c>
      <c r="AL205" s="38">
        <f t="shared" si="33"/>
        <v>0</v>
      </c>
      <c r="AM205" s="68" t="s">
        <v>855</v>
      </c>
    </row>
    <row r="206" spans="1:39">
      <c r="A206" s="21"/>
      <c r="B206" s="21" t="s">
        <v>110</v>
      </c>
      <c r="C206" s="666"/>
      <c r="D206" s="806" t="s">
        <v>1051</v>
      </c>
      <c r="E206" s="679"/>
      <c r="F206" s="529">
        <f>VLOOKUP(D206,'May14 Revenue'!D:V,19,FALSE)</f>
        <v>0</v>
      </c>
      <c r="G206" s="680"/>
      <c r="H206" s="680"/>
      <c r="I206" s="755"/>
      <c r="J206" s="682">
        <f t="shared" si="29"/>
        <v>0</v>
      </c>
      <c r="K206" s="683"/>
      <c r="L206" s="684"/>
      <c r="M206" s="753"/>
      <c r="N206" s="683">
        <v>0</v>
      </c>
      <c r="O206" s="686"/>
      <c r="P206" s="683">
        <v>0</v>
      </c>
      <c r="Q206" s="687">
        <f t="shared" si="28"/>
        <v>0</v>
      </c>
      <c r="R206" s="687"/>
      <c r="S206" s="687"/>
      <c r="T206" s="688"/>
      <c r="U206" s="693"/>
      <c r="V206" s="690" t="str">
        <f t="shared" si="37"/>
        <v/>
      </c>
      <c r="W206" s="683"/>
      <c r="X206" s="474">
        <f t="shared" si="38"/>
        <v>0</v>
      </c>
      <c r="Y206" s="474">
        <f t="shared" si="39"/>
        <v>0</v>
      </c>
      <c r="Z206" s="475">
        <f t="shared" si="40"/>
        <v>0</v>
      </c>
      <c r="AA206" s="475">
        <v>0</v>
      </c>
      <c r="AB206" s="476">
        <v>0</v>
      </c>
      <c r="AC206" s="38">
        <f t="shared" si="41"/>
        <v>0</v>
      </c>
      <c r="AD206" s="692">
        <f t="shared" si="30"/>
        <v>0</v>
      </c>
      <c r="AE206" s="692">
        <f t="shared" si="31"/>
        <v>0</v>
      </c>
      <c r="AF206" s="692">
        <f t="shared" si="32"/>
        <v>0</v>
      </c>
      <c r="AG206" s="38"/>
      <c r="AH206" s="692">
        <f t="shared" si="34"/>
        <v>0</v>
      </c>
      <c r="AI206" s="692">
        <f t="shared" si="35"/>
        <v>0</v>
      </c>
      <c r="AJ206" s="692">
        <f t="shared" si="36"/>
        <v>0</v>
      </c>
      <c r="AL206" s="38">
        <f t="shared" si="33"/>
        <v>0</v>
      </c>
      <c r="AM206" s="806" t="s">
        <v>388</v>
      </c>
    </row>
    <row r="207" spans="1:39">
      <c r="A207" s="20"/>
      <c r="B207" s="20" t="s">
        <v>109</v>
      </c>
      <c r="C207" s="667" t="s">
        <v>577</v>
      </c>
      <c r="D207" s="68" t="s">
        <v>159</v>
      </c>
      <c r="E207" s="679"/>
      <c r="F207" s="529">
        <f>VLOOKUP(D207,'May14 Revenue'!D:V,19,FALSE)</f>
        <v>0</v>
      </c>
      <c r="G207" s="680"/>
      <c r="H207" s="680"/>
      <c r="I207" s="770">
        <v>9234.2199999999993</v>
      </c>
      <c r="J207" s="682">
        <f t="shared" si="29"/>
        <v>9234.2199999999993</v>
      </c>
      <c r="K207" s="683"/>
      <c r="L207" s="684"/>
      <c r="M207" s="753"/>
      <c r="N207" s="683">
        <v>0</v>
      </c>
      <c r="O207" s="686"/>
      <c r="P207" s="683">
        <v>0</v>
      </c>
      <c r="Q207" s="687">
        <f t="shared" si="28"/>
        <v>0</v>
      </c>
      <c r="R207" s="687"/>
      <c r="S207" s="687"/>
      <c r="T207" s="688"/>
      <c r="U207" s="693"/>
      <c r="V207" s="690" t="str">
        <f t="shared" si="37"/>
        <v/>
      </c>
      <c r="W207" s="683"/>
      <c r="X207" s="474">
        <f t="shared" si="38"/>
        <v>0</v>
      </c>
      <c r="Y207" s="474">
        <f t="shared" si="39"/>
        <v>0</v>
      </c>
      <c r="Z207" s="475">
        <f t="shared" si="40"/>
        <v>0</v>
      </c>
      <c r="AA207" s="475">
        <v>0</v>
      </c>
      <c r="AB207" s="476">
        <v>0</v>
      </c>
      <c r="AC207" s="38">
        <f t="shared" si="41"/>
        <v>0</v>
      </c>
      <c r="AD207" s="692">
        <f t="shared" si="30"/>
        <v>0</v>
      </c>
      <c r="AE207" s="692">
        <f t="shared" si="31"/>
        <v>9234.2199999999993</v>
      </c>
      <c r="AF207" s="692">
        <f t="shared" si="32"/>
        <v>0</v>
      </c>
      <c r="AG207" s="38"/>
      <c r="AH207" s="692">
        <f t="shared" si="34"/>
        <v>0</v>
      </c>
      <c r="AI207" s="692">
        <f t="shared" si="35"/>
        <v>0</v>
      </c>
      <c r="AJ207" s="692">
        <f t="shared" si="36"/>
        <v>0</v>
      </c>
      <c r="AL207" s="38">
        <f t="shared" si="33"/>
        <v>9234.2199999999993</v>
      </c>
      <c r="AM207" s="68" t="s">
        <v>159</v>
      </c>
    </row>
    <row r="208" spans="1:39">
      <c r="A208" s="20"/>
      <c r="B208" s="20" t="s">
        <v>109</v>
      </c>
      <c r="C208" s="667" t="s">
        <v>577</v>
      </c>
      <c r="D208" s="68" t="s">
        <v>160</v>
      </c>
      <c r="E208" s="679"/>
      <c r="F208" s="529">
        <f>VLOOKUP(D208,'May14 Revenue'!D:V,19,FALSE)</f>
        <v>0</v>
      </c>
      <c r="G208" s="680"/>
      <c r="H208" s="680"/>
      <c r="I208" s="770">
        <v>6651.86</v>
      </c>
      <c r="J208" s="682">
        <f t="shared" si="29"/>
        <v>6651.86</v>
      </c>
      <c r="K208" s="683"/>
      <c r="L208" s="684"/>
      <c r="M208" s="753"/>
      <c r="N208" s="683">
        <v>0</v>
      </c>
      <c r="O208" s="686"/>
      <c r="P208" s="683">
        <v>0</v>
      </c>
      <c r="Q208" s="687">
        <f t="shared" si="28"/>
        <v>0</v>
      </c>
      <c r="R208" s="687"/>
      <c r="S208" s="687"/>
      <c r="T208" s="688"/>
      <c r="U208" s="693"/>
      <c r="V208" s="690" t="str">
        <f t="shared" si="37"/>
        <v/>
      </c>
      <c r="W208" s="683"/>
      <c r="X208" s="474">
        <f t="shared" si="38"/>
        <v>0</v>
      </c>
      <c r="Y208" s="474">
        <f t="shared" si="39"/>
        <v>0</v>
      </c>
      <c r="Z208" s="475">
        <f t="shared" si="40"/>
        <v>0</v>
      </c>
      <c r="AA208" s="475">
        <v>0</v>
      </c>
      <c r="AB208" s="476">
        <v>0</v>
      </c>
      <c r="AC208" s="38">
        <f t="shared" si="41"/>
        <v>0</v>
      </c>
      <c r="AD208" s="692">
        <f t="shared" si="30"/>
        <v>0</v>
      </c>
      <c r="AE208" s="692">
        <f t="shared" si="31"/>
        <v>6651.86</v>
      </c>
      <c r="AF208" s="692">
        <f t="shared" si="32"/>
        <v>0</v>
      </c>
      <c r="AG208" s="38"/>
      <c r="AH208" s="692">
        <f t="shared" si="34"/>
        <v>0</v>
      </c>
      <c r="AI208" s="692">
        <f t="shared" si="35"/>
        <v>0</v>
      </c>
      <c r="AJ208" s="692">
        <f t="shared" si="36"/>
        <v>0</v>
      </c>
      <c r="AL208" s="38">
        <f t="shared" si="33"/>
        <v>6651.86</v>
      </c>
      <c r="AM208" s="68" t="s">
        <v>160</v>
      </c>
    </row>
    <row r="209" spans="1:39" hidden="1">
      <c r="A209" s="21"/>
      <c r="B209" s="21" t="s">
        <v>109</v>
      </c>
      <c r="C209" s="667" t="s">
        <v>577</v>
      </c>
      <c r="D209" s="68" t="s">
        <v>161</v>
      </c>
      <c r="E209" s="679"/>
      <c r="F209" s="529">
        <f>VLOOKUP(D209,'May14 Revenue'!D:V,19,FALSE)</f>
        <v>0</v>
      </c>
      <c r="G209" s="680"/>
      <c r="H209" s="680"/>
      <c r="I209" s="755"/>
      <c r="J209" s="682">
        <f t="shared" si="29"/>
        <v>0</v>
      </c>
      <c r="K209" s="683"/>
      <c r="L209" s="684"/>
      <c r="M209" s="753"/>
      <c r="N209" s="683">
        <v>0</v>
      </c>
      <c r="O209" s="686"/>
      <c r="P209" s="683">
        <v>0</v>
      </c>
      <c r="Q209" s="687">
        <f t="shared" si="28"/>
        <v>0</v>
      </c>
      <c r="R209" s="687"/>
      <c r="S209" s="687"/>
      <c r="T209" s="688"/>
      <c r="U209" s="693"/>
      <c r="V209" s="690" t="str">
        <f t="shared" si="37"/>
        <v/>
      </c>
      <c r="W209" s="683"/>
      <c r="X209" s="474">
        <f t="shared" si="38"/>
        <v>0</v>
      </c>
      <c r="Y209" s="474">
        <f t="shared" si="39"/>
        <v>0</v>
      </c>
      <c r="Z209" s="475">
        <f t="shared" si="40"/>
        <v>0</v>
      </c>
      <c r="AA209" s="475">
        <v>0</v>
      </c>
      <c r="AB209" s="476">
        <v>0</v>
      </c>
      <c r="AC209" s="38">
        <f t="shared" si="41"/>
        <v>0</v>
      </c>
      <c r="AD209" s="692">
        <f t="shared" si="30"/>
        <v>0</v>
      </c>
      <c r="AE209" s="692">
        <f t="shared" si="31"/>
        <v>0</v>
      </c>
      <c r="AF209" s="692">
        <f t="shared" si="32"/>
        <v>0</v>
      </c>
      <c r="AG209" s="38"/>
      <c r="AH209" s="692">
        <f t="shared" si="34"/>
        <v>0</v>
      </c>
      <c r="AI209" s="692">
        <f t="shared" si="35"/>
        <v>0</v>
      </c>
      <c r="AJ209" s="692">
        <f t="shared" si="36"/>
        <v>0</v>
      </c>
      <c r="AL209" s="38">
        <f t="shared" si="33"/>
        <v>0</v>
      </c>
      <c r="AM209" s="68" t="s">
        <v>161</v>
      </c>
    </row>
    <row r="210" spans="1:39" hidden="1">
      <c r="A210" s="21"/>
      <c r="B210" s="21" t="s">
        <v>109</v>
      </c>
      <c r="C210" s="667" t="s">
        <v>577</v>
      </c>
      <c r="D210" s="68" t="s">
        <v>162</v>
      </c>
      <c r="E210" s="679"/>
      <c r="F210" s="529">
        <f>VLOOKUP(D210,'May14 Revenue'!D:V,19,FALSE)</f>
        <v>0</v>
      </c>
      <c r="G210" s="680"/>
      <c r="H210" s="680"/>
      <c r="I210" s="755"/>
      <c r="J210" s="682">
        <f t="shared" si="29"/>
        <v>0</v>
      </c>
      <c r="K210" s="683"/>
      <c r="L210" s="684"/>
      <c r="M210" s="753"/>
      <c r="N210" s="683">
        <v>0</v>
      </c>
      <c r="O210" s="686"/>
      <c r="P210" s="683">
        <v>0</v>
      </c>
      <c r="Q210" s="687">
        <f t="shared" si="28"/>
        <v>0</v>
      </c>
      <c r="R210" s="687"/>
      <c r="S210" s="687"/>
      <c r="T210" s="688"/>
      <c r="U210" s="693"/>
      <c r="V210" s="690" t="str">
        <f t="shared" si="37"/>
        <v/>
      </c>
      <c r="W210" s="683"/>
      <c r="X210" s="474">
        <f t="shared" si="38"/>
        <v>0</v>
      </c>
      <c r="Y210" s="474">
        <f t="shared" si="39"/>
        <v>0</v>
      </c>
      <c r="Z210" s="475">
        <f t="shared" si="40"/>
        <v>0</v>
      </c>
      <c r="AA210" s="475">
        <v>0</v>
      </c>
      <c r="AB210" s="476">
        <v>0</v>
      </c>
      <c r="AC210" s="38">
        <f t="shared" si="41"/>
        <v>0</v>
      </c>
      <c r="AD210" s="692">
        <f t="shared" si="30"/>
        <v>0</v>
      </c>
      <c r="AE210" s="692">
        <f t="shared" si="31"/>
        <v>0</v>
      </c>
      <c r="AF210" s="692">
        <f t="shared" si="32"/>
        <v>0</v>
      </c>
      <c r="AG210" s="38"/>
      <c r="AH210" s="692">
        <f t="shared" si="34"/>
        <v>0</v>
      </c>
      <c r="AI210" s="692">
        <f t="shared" si="35"/>
        <v>0</v>
      </c>
      <c r="AJ210" s="692">
        <f t="shared" si="36"/>
        <v>0</v>
      </c>
      <c r="AL210" s="38">
        <f t="shared" si="33"/>
        <v>0</v>
      </c>
      <c r="AM210" s="68" t="s">
        <v>162</v>
      </c>
    </row>
    <row r="211" spans="1:39">
      <c r="A211" s="21"/>
      <c r="B211" s="21" t="s">
        <v>109</v>
      </c>
      <c r="C211" s="666"/>
      <c r="D211" s="68" t="s">
        <v>163</v>
      </c>
      <c r="E211" s="679"/>
      <c r="F211" s="529">
        <f>VLOOKUP(D211,'May14 Revenue'!D:V,19,FALSE)</f>
        <v>0</v>
      </c>
      <c r="G211" s="680"/>
      <c r="H211" s="680"/>
      <c r="I211" s="755"/>
      <c r="J211" s="682">
        <f t="shared" si="29"/>
        <v>0</v>
      </c>
      <c r="K211" s="683"/>
      <c r="L211" s="684"/>
      <c r="M211" s="753"/>
      <c r="N211" s="683">
        <v>0</v>
      </c>
      <c r="O211" s="686"/>
      <c r="P211" s="683">
        <v>0</v>
      </c>
      <c r="Q211" s="687">
        <f t="shared" si="28"/>
        <v>0</v>
      </c>
      <c r="R211" s="687"/>
      <c r="S211" s="687"/>
      <c r="T211" s="688"/>
      <c r="U211" s="704"/>
      <c r="V211" s="690" t="str">
        <f t="shared" si="37"/>
        <v/>
      </c>
      <c r="W211" s="705"/>
      <c r="X211" s="474">
        <f t="shared" si="38"/>
        <v>0</v>
      </c>
      <c r="Y211" s="474">
        <f t="shared" si="39"/>
        <v>0</v>
      </c>
      <c r="Z211" s="475">
        <f t="shared" si="40"/>
        <v>0</v>
      </c>
      <c r="AA211" s="475">
        <v>0</v>
      </c>
      <c r="AB211" s="476">
        <v>0</v>
      </c>
      <c r="AC211" s="38">
        <f t="shared" si="41"/>
        <v>0</v>
      </c>
      <c r="AD211" s="692">
        <f t="shared" si="30"/>
        <v>0</v>
      </c>
      <c r="AE211" s="692">
        <f t="shared" si="31"/>
        <v>0</v>
      </c>
      <c r="AF211" s="692">
        <f t="shared" si="32"/>
        <v>0</v>
      </c>
      <c r="AG211" s="38"/>
      <c r="AH211" s="692">
        <f t="shared" si="34"/>
        <v>0</v>
      </c>
      <c r="AI211" s="692">
        <f t="shared" si="35"/>
        <v>0</v>
      </c>
      <c r="AJ211" s="692">
        <f t="shared" si="36"/>
        <v>0</v>
      </c>
      <c r="AL211" s="38">
        <f t="shared" si="33"/>
        <v>0</v>
      </c>
      <c r="AM211" s="68" t="s">
        <v>163</v>
      </c>
    </row>
    <row r="212" spans="1:39">
      <c r="A212" s="21"/>
      <c r="B212" s="21" t="s">
        <v>109</v>
      </c>
      <c r="C212" s="666"/>
      <c r="D212" s="412" t="s">
        <v>164</v>
      </c>
      <c r="E212" s="679"/>
      <c r="F212" s="529">
        <f>VLOOKUP(D212,'May14 Revenue'!D:V,19,FALSE)</f>
        <v>0</v>
      </c>
      <c r="G212" s="680"/>
      <c r="H212" s="680"/>
      <c r="I212" s="755"/>
      <c r="J212" s="682">
        <f t="shared" si="29"/>
        <v>0</v>
      </c>
      <c r="K212" s="683"/>
      <c r="L212" s="684"/>
      <c r="M212" s="753"/>
      <c r="N212" s="683">
        <v>0</v>
      </c>
      <c r="O212" s="686"/>
      <c r="P212" s="683">
        <v>0</v>
      </c>
      <c r="Q212" s="687">
        <f t="shared" si="28"/>
        <v>0</v>
      </c>
      <c r="R212" s="687"/>
      <c r="S212" s="687"/>
      <c r="T212" s="688"/>
      <c r="U212" s="704"/>
      <c r="V212" s="690" t="str">
        <f t="shared" si="37"/>
        <v/>
      </c>
      <c r="W212" s="705"/>
      <c r="X212" s="474">
        <f t="shared" si="38"/>
        <v>0</v>
      </c>
      <c r="Y212" s="474">
        <f t="shared" si="39"/>
        <v>0</v>
      </c>
      <c r="Z212" s="475">
        <f t="shared" si="40"/>
        <v>0</v>
      </c>
      <c r="AA212" s="475">
        <v>0</v>
      </c>
      <c r="AB212" s="476">
        <v>0</v>
      </c>
      <c r="AC212" s="38">
        <f t="shared" si="41"/>
        <v>0</v>
      </c>
      <c r="AD212" s="692">
        <f t="shared" si="30"/>
        <v>0</v>
      </c>
      <c r="AE212" s="692">
        <f t="shared" si="31"/>
        <v>0</v>
      </c>
      <c r="AF212" s="692">
        <f t="shared" si="32"/>
        <v>0</v>
      </c>
      <c r="AG212" s="38"/>
      <c r="AH212" s="692">
        <f t="shared" si="34"/>
        <v>0</v>
      </c>
      <c r="AI212" s="692">
        <f t="shared" si="35"/>
        <v>0</v>
      </c>
      <c r="AJ212" s="692">
        <f t="shared" si="36"/>
        <v>0</v>
      </c>
      <c r="AL212" s="38">
        <f t="shared" si="33"/>
        <v>0</v>
      </c>
      <c r="AM212" s="412" t="s">
        <v>164</v>
      </c>
    </row>
    <row r="213" spans="1:39">
      <c r="A213" s="21" t="s">
        <v>109</v>
      </c>
      <c r="B213" s="21" t="s">
        <v>114</v>
      </c>
      <c r="C213" s="666" t="s">
        <v>578</v>
      </c>
      <c r="D213" s="412" t="s">
        <v>318</v>
      </c>
      <c r="E213" s="679">
        <v>37668.68</v>
      </c>
      <c r="F213" s="529">
        <f>VLOOKUP(D213,'May14 Revenue'!D:V,19,FALSE)</f>
        <v>-90000</v>
      </c>
      <c r="G213" s="680"/>
      <c r="H213" s="680"/>
      <c r="I213" s="755"/>
      <c r="J213" s="682">
        <f t="shared" si="29"/>
        <v>-52331.32</v>
      </c>
      <c r="K213" s="683"/>
      <c r="L213" s="684"/>
      <c r="M213" s="753">
        <v>90000</v>
      </c>
      <c r="N213" s="683">
        <v>0</v>
      </c>
      <c r="O213" s="686"/>
      <c r="P213" s="683">
        <v>0</v>
      </c>
      <c r="Q213" s="687">
        <f t="shared" si="28"/>
        <v>90000</v>
      </c>
      <c r="R213" s="687"/>
      <c r="S213" s="687"/>
      <c r="T213" s="688"/>
      <c r="U213" s="704"/>
      <c r="V213" s="690" t="str">
        <f t="shared" si="37"/>
        <v/>
      </c>
      <c r="W213" s="683"/>
      <c r="X213" s="474">
        <f t="shared" si="38"/>
        <v>0</v>
      </c>
      <c r="Y213" s="474">
        <f t="shared" si="39"/>
        <v>0</v>
      </c>
      <c r="Z213" s="475">
        <f t="shared" si="40"/>
        <v>90000</v>
      </c>
      <c r="AA213" s="475">
        <v>0</v>
      </c>
      <c r="AB213" s="476">
        <v>0</v>
      </c>
      <c r="AC213" s="38">
        <f t="shared" si="41"/>
        <v>0</v>
      </c>
      <c r="AD213" s="692">
        <f t="shared" si="30"/>
        <v>0</v>
      </c>
      <c r="AE213" s="692">
        <f t="shared" si="31"/>
        <v>0</v>
      </c>
      <c r="AF213" s="692">
        <f t="shared" si="32"/>
        <v>-52331.32</v>
      </c>
      <c r="AG213" s="38"/>
      <c r="AH213" s="692">
        <f t="shared" si="34"/>
        <v>0</v>
      </c>
      <c r="AI213" s="692">
        <f t="shared" si="35"/>
        <v>0</v>
      </c>
      <c r="AJ213" s="692">
        <f t="shared" si="36"/>
        <v>90000</v>
      </c>
      <c r="AL213" s="38">
        <f t="shared" si="33"/>
        <v>37668.68</v>
      </c>
      <c r="AM213" s="412" t="s">
        <v>318</v>
      </c>
    </row>
    <row r="214" spans="1:39">
      <c r="A214" s="20" t="s">
        <v>211</v>
      </c>
      <c r="B214" s="20" t="s">
        <v>109</v>
      </c>
      <c r="C214" s="667"/>
      <c r="D214" s="68" t="s">
        <v>57</v>
      </c>
      <c r="E214" s="679"/>
      <c r="F214" s="529">
        <f>VLOOKUP(D214,'May14 Revenue'!D:V,19,FALSE)</f>
        <v>0</v>
      </c>
      <c r="G214" s="680"/>
      <c r="H214" s="680"/>
      <c r="I214" s="755"/>
      <c r="J214" s="682">
        <f t="shared" si="29"/>
        <v>0</v>
      </c>
      <c r="K214" s="683"/>
      <c r="L214" s="684"/>
      <c r="M214" s="753"/>
      <c r="N214" s="683">
        <v>0</v>
      </c>
      <c r="O214" s="686"/>
      <c r="P214" s="683">
        <v>0</v>
      </c>
      <c r="Q214" s="687">
        <f t="shared" si="28"/>
        <v>0</v>
      </c>
      <c r="R214" s="687"/>
      <c r="S214" s="687"/>
      <c r="T214" s="688"/>
      <c r="U214" s="693"/>
      <c r="V214" s="690" t="str">
        <f t="shared" si="37"/>
        <v/>
      </c>
      <c r="W214" s="683"/>
      <c r="X214" s="474">
        <f t="shared" si="38"/>
        <v>0</v>
      </c>
      <c r="Y214" s="474">
        <f t="shared" si="39"/>
        <v>0</v>
      </c>
      <c r="Z214" s="475">
        <f t="shared" si="40"/>
        <v>0</v>
      </c>
      <c r="AA214" s="475">
        <v>0</v>
      </c>
      <c r="AB214" s="476">
        <v>0</v>
      </c>
      <c r="AC214" s="38">
        <f t="shared" si="41"/>
        <v>0</v>
      </c>
      <c r="AD214" s="692">
        <f t="shared" si="30"/>
        <v>0</v>
      </c>
      <c r="AE214" s="692">
        <f t="shared" si="31"/>
        <v>0</v>
      </c>
      <c r="AF214" s="692">
        <f t="shared" si="32"/>
        <v>0</v>
      </c>
      <c r="AG214" s="38"/>
      <c r="AH214" s="692">
        <f t="shared" si="34"/>
        <v>0</v>
      </c>
      <c r="AI214" s="692">
        <f t="shared" si="35"/>
        <v>0</v>
      </c>
      <c r="AJ214" s="692">
        <f t="shared" si="36"/>
        <v>0</v>
      </c>
      <c r="AL214" s="38">
        <f t="shared" si="33"/>
        <v>0</v>
      </c>
      <c r="AM214" s="68" t="s">
        <v>57</v>
      </c>
    </row>
    <row r="215" spans="1:39">
      <c r="A215" s="21"/>
      <c r="B215" s="21" t="s">
        <v>110</v>
      </c>
      <c r="C215" s="666"/>
      <c r="D215" s="806" t="s">
        <v>1050</v>
      </c>
      <c r="E215" s="679"/>
      <c r="F215" s="529">
        <f>VLOOKUP(D215,'May14 Revenue'!D:V,19,FALSE)</f>
        <v>0</v>
      </c>
      <c r="G215" s="680"/>
      <c r="H215" s="680"/>
      <c r="I215" s="755"/>
      <c r="J215" s="682">
        <f t="shared" si="29"/>
        <v>0</v>
      </c>
      <c r="K215" s="683"/>
      <c r="L215" s="684"/>
      <c r="M215" s="753"/>
      <c r="N215" s="683">
        <v>0</v>
      </c>
      <c r="O215" s="686"/>
      <c r="P215" s="683">
        <v>0</v>
      </c>
      <c r="Q215" s="687">
        <f t="shared" si="28"/>
        <v>0</v>
      </c>
      <c r="R215" s="687"/>
      <c r="S215" s="687"/>
      <c r="T215" s="688"/>
      <c r="U215" s="693"/>
      <c r="V215" s="690" t="str">
        <f t="shared" si="37"/>
        <v/>
      </c>
      <c r="W215" s="683"/>
      <c r="X215" s="474">
        <f t="shared" si="38"/>
        <v>0</v>
      </c>
      <c r="Y215" s="474">
        <f t="shared" si="39"/>
        <v>0</v>
      </c>
      <c r="Z215" s="475">
        <f t="shared" si="40"/>
        <v>0</v>
      </c>
      <c r="AA215" s="475">
        <v>0</v>
      </c>
      <c r="AB215" s="476">
        <v>0</v>
      </c>
      <c r="AC215" s="38">
        <f t="shared" si="41"/>
        <v>0</v>
      </c>
      <c r="AD215" s="692">
        <f t="shared" si="30"/>
        <v>0</v>
      </c>
      <c r="AE215" s="692">
        <f t="shared" si="31"/>
        <v>0</v>
      </c>
      <c r="AF215" s="692">
        <f t="shared" si="32"/>
        <v>0</v>
      </c>
      <c r="AG215" s="38"/>
      <c r="AH215" s="692">
        <f t="shared" si="34"/>
        <v>0</v>
      </c>
      <c r="AI215" s="692">
        <f t="shared" si="35"/>
        <v>0</v>
      </c>
      <c r="AJ215" s="692">
        <f t="shared" si="36"/>
        <v>0</v>
      </c>
      <c r="AL215" s="38">
        <f t="shared" si="33"/>
        <v>0</v>
      </c>
      <c r="AM215" s="806" t="s">
        <v>388</v>
      </c>
    </row>
    <row r="216" spans="1:39">
      <c r="A216" s="20"/>
      <c r="B216" s="20" t="s">
        <v>114</v>
      </c>
      <c r="C216" s="676" t="s">
        <v>621</v>
      </c>
      <c r="D216" s="68" t="s">
        <v>622</v>
      </c>
      <c r="E216" s="679">
        <f>8470.03-208.26</f>
        <v>8261.77</v>
      </c>
      <c r="F216" s="529">
        <f>VLOOKUP(D216,'May14 Revenue'!D:V,19,FALSE)</f>
        <v>0</v>
      </c>
      <c r="G216" s="680"/>
      <c r="H216" s="680"/>
      <c r="I216" s="755"/>
      <c r="J216" s="682">
        <f t="shared" si="29"/>
        <v>8261.77</v>
      </c>
      <c r="K216" s="683"/>
      <c r="L216" s="684"/>
      <c r="M216" s="753"/>
      <c r="N216" s="683">
        <v>0</v>
      </c>
      <c r="O216" s="686"/>
      <c r="P216" s="683">
        <v>0</v>
      </c>
      <c r="Q216" s="687">
        <f t="shared" si="28"/>
        <v>0</v>
      </c>
      <c r="R216" s="687"/>
      <c r="S216" s="687"/>
      <c r="T216" s="688"/>
      <c r="U216" s="704"/>
      <c r="V216" s="690" t="str">
        <f t="shared" si="37"/>
        <v/>
      </c>
      <c r="W216" s="683"/>
      <c r="X216" s="474">
        <f t="shared" si="38"/>
        <v>0</v>
      </c>
      <c r="Y216" s="474">
        <f t="shared" si="39"/>
        <v>0</v>
      </c>
      <c r="Z216" s="475">
        <f t="shared" si="40"/>
        <v>0</v>
      </c>
      <c r="AA216" s="475">
        <v>0</v>
      </c>
      <c r="AB216" s="476">
        <v>0</v>
      </c>
      <c r="AC216" s="38">
        <f t="shared" si="41"/>
        <v>0</v>
      </c>
      <c r="AD216" s="692">
        <f t="shared" si="30"/>
        <v>0</v>
      </c>
      <c r="AE216" s="692">
        <f t="shared" si="31"/>
        <v>0</v>
      </c>
      <c r="AF216" s="692">
        <f t="shared" si="32"/>
        <v>8261.77</v>
      </c>
      <c r="AG216" s="38"/>
      <c r="AH216" s="692">
        <f t="shared" si="34"/>
        <v>0</v>
      </c>
      <c r="AI216" s="692">
        <f t="shared" si="35"/>
        <v>0</v>
      </c>
      <c r="AJ216" s="692">
        <f t="shared" si="36"/>
        <v>0</v>
      </c>
      <c r="AL216" s="38">
        <f t="shared" si="33"/>
        <v>8261.77</v>
      </c>
      <c r="AM216" s="68" t="s">
        <v>622</v>
      </c>
    </row>
    <row r="217" spans="1:39">
      <c r="A217" s="20"/>
      <c r="B217" s="20" t="s">
        <v>110</v>
      </c>
      <c r="C217" s="667"/>
      <c r="D217" s="68" t="s">
        <v>497</v>
      </c>
      <c r="E217" s="679"/>
      <c r="F217" s="529">
        <f>VLOOKUP(D217,'May14 Revenue'!D:V,19,FALSE)</f>
        <v>0</v>
      </c>
      <c r="G217" s="680"/>
      <c r="H217" s="680"/>
      <c r="I217" s="755"/>
      <c r="J217" s="682">
        <f t="shared" si="29"/>
        <v>0</v>
      </c>
      <c r="K217" s="683"/>
      <c r="L217" s="684"/>
      <c r="M217" s="753"/>
      <c r="N217" s="683">
        <v>0</v>
      </c>
      <c r="O217" s="686"/>
      <c r="P217" s="683">
        <v>0</v>
      </c>
      <c r="Q217" s="687">
        <f t="shared" si="28"/>
        <v>0</v>
      </c>
      <c r="R217" s="687"/>
      <c r="S217" s="687"/>
      <c r="T217" s="688"/>
      <c r="U217" s="693"/>
      <c r="V217" s="690" t="str">
        <f t="shared" si="37"/>
        <v/>
      </c>
      <c r="W217" s="683"/>
      <c r="X217" s="474">
        <f t="shared" si="38"/>
        <v>0</v>
      </c>
      <c r="Y217" s="474">
        <f t="shared" si="39"/>
        <v>0</v>
      </c>
      <c r="Z217" s="475">
        <f t="shared" si="40"/>
        <v>0</v>
      </c>
      <c r="AA217" s="475">
        <v>0</v>
      </c>
      <c r="AB217" s="476">
        <v>0</v>
      </c>
      <c r="AC217" s="38">
        <f t="shared" si="41"/>
        <v>0</v>
      </c>
      <c r="AD217" s="692">
        <f t="shared" si="30"/>
        <v>0</v>
      </c>
      <c r="AE217" s="692">
        <f t="shared" si="31"/>
        <v>0</v>
      </c>
      <c r="AF217" s="692">
        <f t="shared" si="32"/>
        <v>0</v>
      </c>
      <c r="AG217" s="38"/>
      <c r="AH217" s="692">
        <f t="shared" si="34"/>
        <v>0</v>
      </c>
      <c r="AI217" s="692">
        <f t="shared" si="35"/>
        <v>0</v>
      </c>
      <c r="AJ217" s="692">
        <f t="shared" si="36"/>
        <v>0</v>
      </c>
      <c r="AL217" s="38">
        <f t="shared" si="33"/>
        <v>0</v>
      </c>
      <c r="AM217" s="68" t="s">
        <v>497</v>
      </c>
    </row>
    <row r="218" spans="1:39">
      <c r="A218" s="20"/>
      <c r="B218" s="20" t="s">
        <v>110</v>
      </c>
      <c r="C218" s="667"/>
      <c r="D218" s="68" t="s">
        <v>509</v>
      </c>
      <c r="E218" s="679">
        <f>37604+42966+39339+8698.84</f>
        <v>128607.84</v>
      </c>
      <c r="F218" s="529">
        <f>VLOOKUP(D218,'May14 Revenue'!D:V,19,FALSE)</f>
        <v>-195000</v>
      </c>
      <c r="G218" s="680"/>
      <c r="H218" s="680"/>
      <c r="I218" s="770">
        <f>13500+38964+1820.83+41126.5</f>
        <v>95411.33</v>
      </c>
      <c r="J218" s="682">
        <f t="shared" si="29"/>
        <v>29019.17</v>
      </c>
      <c r="K218" s="683"/>
      <c r="L218" s="684"/>
      <c r="M218" s="753"/>
      <c r="N218" s="683"/>
      <c r="O218" s="686"/>
      <c r="P218" s="683"/>
      <c r="Q218" s="687">
        <f t="shared" si="28"/>
        <v>0</v>
      </c>
      <c r="R218" s="687"/>
      <c r="S218" s="687"/>
      <c r="T218" s="688"/>
      <c r="U218" s="693"/>
      <c r="V218" s="690"/>
      <c r="W218" s="683"/>
      <c r="X218" s="474">
        <f t="shared" si="38"/>
        <v>0</v>
      </c>
      <c r="Y218" s="474">
        <f t="shared" si="39"/>
        <v>0</v>
      </c>
      <c r="Z218" s="475">
        <f t="shared" si="40"/>
        <v>0</v>
      </c>
      <c r="AA218" s="475">
        <v>0</v>
      </c>
      <c r="AB218" s="476">
        <v>0</v>
      </c>
      <c r="AC218" s="38">
        <f t="shared" si="41"/>
        <v>0</v>
      </c>
      <c r="AD218" s="692">
        <f t="shared" si="30"/>
        <v>29019.17</v>
      </c>
      <c r="AE218" s="692">
        <f t="shared" si="31"/>
        <v>0</v>
      </c>
      <c r="AF218" s="692">
        <f t="shared" si="32"/>
        <v>0</v>
      </c>
      <c r="AG218" s="38"/>
      <c r="AH218" s="692">
        <f t="shared" si="34"/>
        <v>0</v>
      </c>
      <c r="AI218" s="692">
        <f t="shared" si="35"/>
        <v>0</v>
      </c>
      <c r="AJ218" s="692">
        <f t="shared" si="36"/>
        <v>0</v>
      </c>
      <c r="AL218" s="38">
        <f t="shared" si="33"/>
        <v>29019.17</v>
      </c>
      <c r="AM218" s="68" t="s">
        <v>509</v>
      </c>
    </row>
    <row r="219" spans="1:39" s="627" customFormat="1">
      <c r="A219" s="610"/>
      <c r="B219" s="610" t="s">
        <v>110</v>
      </c>
      <c r="C219" s="667" t="s">
        <v>580</v>
      </c>
      <c r="D219" s="612" t="s">
        <v>476</v>
      </c>
      <c r="E219" s="679"/>
      <c r="F219" s="529">
        <f>VLOOKUP(D219,'May14 Revenue'!D:V,19,FALSE)</f>
        <v>0</v>
      </c>
      <c r="G219" s="680"/>
      <c r="H219" s="680"/>
      <c r="I219" s="755"/>
      <c r="J219" s="682">
        <f t="shared" si="29"/>
        <v>0</v>
      </c>
      <c r="K219" s="683"/>
      <c r="L219" s="684"/>
      <c r="M219" s="753"/>
      <c r="N219" s="683">
        <v>0</v>
      </c>
      <c r="O219" s="686"/>
      <c r="P219" s="683">
        <v>0</v>
      </c>
      <c r="Q219" s="687">
        <f t="shared" si="28"/>
        <v>0</v>
      </c>
      <c r="R219" s="687"/>
      <c r="S219" s="687"/>
      <c r="T219" s="688"/>
      <c r="U219" s="706"/>
      <c r="V219" s="690" t="str">
        <f t="shared" si="37"/>
        <v/>
      </c>
      <c r="W219" s="707"/>
      <c r="X219" s="474">
        <f t="shared" si="38"/>
        <v>0</v>
      </c>
      <c r="Y219" s="474">
        <f t="shared" si="39"/>
        <v>0</v>
      </c>
      <c r="Z219" s="475">
        <f t="shared" si="40"/>
        <v>0</v>
      </c>
      <c r="AA219" s="475">
        <v>0</v>
      </c>
      <c r="AB219" s="476">
        <v>0</v>
      </c>
      <c r="AC219" s="38">
        <f t="shared" si="41"/>
        <v>0</v>
      </c>
      <c r="AD219" s="692">
        <f t="shared" si="30"/>
        <v>0</v>
      </c>
      <c r="AE219" s="692">
        <f t="shared" si="31"/>
        <v>0</v>
      </c>
      <c r="AF219" s="692">
        <f t="shared" si="32"/>
        <v>0</v>
      </c>
      <c r="AG219" s="38"/>
      <c r="AH219" s="692">
        <f t="shared" si="34"/>
        <v>0</v>
      </c>
      <c r="AI219" s="692">
        <f t="shared" si="35"/>
        <v>0</v>
      </c>
      <c r="AJ219" s="692">
        <f t="shared" si="36"/>
        <v>0</v>
      </c>
      <c r="AL219" s="38">
        <f t="shared" si="33"/>
        <v>0</v>
      </c>
      <c r="AM219" s="612" t="s">
        <v>476</v>
      </c>
    </row>
    <row r="220" spans="1:39" s="232" customFormat="1" hidden="1">
      <c r="A220" s="283"/>
      <c r="B220" s="283" t="s">
        <v>114</v>
      </c>
      <c r="C220" s="667" t="s">
        <v>580</v>
      </c>
      <c r="D220" s="123" t="s">
        <v>371</v>
      </c>
      <c r="E220" s="679"/>
      <c r="F220" s="529">
        <f>VLOOKUP(D220,'May14 Revenue'!D:V,19,FALSE)</f>
        <v>0</v>
      </c>
      <c r="G220" s="680"/>
      <c r="H220" s="680"/>
      <c r="I220" s="755"/>
      <c r="J220" s="682">
        <f t="shared" si="29"/>
        <v>0</v>
      </c>
      <c r="K220" s="683"/>
      <c r="L220" s="684"/>
      <c r="M220" s="753"/>
      <c r="N220" s="683">
        <v>0</v>
      </c>
      <c r="O220" s="686"/>
      <c r="P220" s="683">
        <v>0</v>
      </c>
      <c r="Q220" s="687">
        <f>L220+M220</f>
        <v>0</v>
      </c>
      <c r="R220" s="687"/>
      <c r="S220" s="687"/>
      <c r="T220" s="688"/>
      <c r="U220" s="693"/>
      <c r="V220" s="690" t="str">
        <f t="shared" si="37"/>
        <v/>
      </c>
      <c r="W220" s="683"/>
      <c r="X220" s="474">
        <f t="shared" si="38"/>
        <v>0</v>
      </c>
      <c r="Y220" s="474">
        <f t="shared" si="39"/>
        <v>0</v>
      </c>
      <c r="Z220" s="475">
        <f t="shared" si="40"/>
        <v>0</v>
      </c>
      <c r="AA220" s="475">
        <v>0</v>
      </c>
      <c r="AB220" s="476">
        <v>0</v>
      </c>
      <c r="AC220" s="38">
        <f>(L220+M220)-(X220+Y220+Z220+AA220+AB220)</f>
        <v>0</v>
      </c>
      <c r="AD220" s="692">
        <f t="shared" si="30"/>
        <v>0</v>
      </c>
      <c r="AE220" s="692">
        <f t="shared" si="31"/>
        <v>0</v>
      </c>
      <c r="AF220" s="692">
        <f t="shared" si="32"/>
        <v>0</v>
      </c>
      <c r="AG220" s="38"/>
      <c r="AH220" s="692">
        <f t="shared" si="34"/>
        <v>0</v>
      </c>
      <c r="AI220" s="692">
        <f t="shared" si="35"/>
        <v>0</v>
      </c>
      <c r="AJ220" s="692">
        <f t="shared" si="36"/>
        <v>0</v>
      </c>
      <c r="AL220" s="38">
        <f t="shared" si="33"/>
        <v>0</v>
      </c>
      <c r="AM220" s="123" t="s">
        <v>371</v>
      </c>
    </row>
    <row r="221" spans="1:39" s="232" customFormat="1">
      <c r="A221" s="283"/>
      <c r="B221" s="283" t="s">
        <v>110</v>
      </c>
      <c r="C221" s="667" t="s">
        <v>580</v>
      </c>
      <c r="D221" s="123" t="s">
        <v>422</v>
      </c>
      <c r="E221" s="679"/>
      <c r="F221" s="529">
        <f>VLOOKUP(D221,'May14 Revenue'!D:V,19,FALSE)</f>
        <v>0</v>
      </c>
      <c r="G221" s="680"/>
      <c r="H221" s="680"/>
      <c r="I221" s="755"/>
      <c r="J221" s="682">
        <f t="shared" si="29"/>
        <v>0</v>
      </c>
      <c r="K221" s="683"/>
      <c r="L221" s="684"/>
      <c r="M221" s="753"/>
      <c r="N221" s="683">
        <v>0</v>
      </c>
      <c r="O221" s="686"/>
      <c r="P221" s="683">
        <v>0</v>
      </c>
      <c r="Q221" s="687">
        <f t="shared" si="28"/>
        <v>0</v>
      </c>
      <c r="R221" s="687"/>
      <c r="S221" s="687"/>
      <c r="T221" s="688"/>
      <c r="U221" s="693"/>
      <c r="V221" s="690" t="str">
        <f t="shared" si="37"/>
        <v/>
      </c>
      <c r="W221" s="683"/>
      <c r="X221" s="474">
        <f t="shared" si="38"/>
        <v>0</v>
      </c>
      <c r="Y221" s="474">
        <f t="shared" si="39"/>
        <v>0</v>
      </c>
      <c r="Z221" s="475">
        <f t="shared" si="40"/>
        <v>0</v>
      </c>
      <c r="AA221" s="475">
        <v>0</v>
      </c>
      <c r="AB221" s="476">
        <v>0</v>
      </c>
      <c r="AC221" s="38">
        <f t="shared" si="41"/>
        <v>0</v>
      </c>
      <c r="AD221" s="692">
        <f t="shared" si="30"/>
        <v>0</v>
      </c>
      <c r="AE221" s="692">
        <f t="shared" si="31"/>
        <v>0</v>
      </c>
      <c r="AF221" s="692">
        <f t="shared" si="32"/>
        <v>0</v>
      </c>
      <c r="AG221" s="38"/>
      <c r="AH221" s="692">
        <f t="shared" si="34"/>
        <v>0</v>
      </c>
      <c r="AI221" s="692">
        <f t="shared" si="35"/>
        <v>0</v>
      </c>
      <c r="AJ221" s="692">
        <f t="shared" si="36"/>
        <v>0</v>
      </c>
      <c r="AL221" s="38">
        <f t="shared" si="33"/>
        <v>0</v>
      </c>
      <c r="AM221" s="123" t="s">
        <v>422</v>
      </c>
    </row>
    <row r="222" spans="1:39" s="232" customFormat="1">
      <c r="A222" s="283"/>
      <c r="B222" s="283" t="s">
        <v>110</v>
      </c>
      <c r="C222" s="667" t="s">
        <v>580</v>
      </c>
      <c r="D222" s="123" t="s">
        <v>442</v>
      </c>
      <c r="E222" s="679"/>
      <c r="F222" s="529">
        <f>VLOOKUP(D222,'May14 Revenue'!D:V,19,FALSE)</f>
        <v>10563.570000000065</v>
      </c>
      <c r="G222" s="680"/>
      <c r="H222" s="680"/>
      <c r="I222" s="770">
        <v>39423</v>
      </c>
      <c r="J222" s="682">
        <f t="shared" si="29"/>
        <v>49986.570000000065</v>
      </c>
      <c r="K222" s="683"/>
      <c r="L222" s="684">
        <v>638600</v>
      </c>
      <c r="M222" s="753">
        <v>1606600</v>
      </c>
      <c r="N222" s="683">
        <v>0</v>
      </c>
      <c r="O222" s="686"/>
      <c r="P222" s="683">
        <v>0</v>
      </c>
      <c r="Q222" s="687">
        <f>L222+M222</f>
        <v>2245200</v>
      </c>
      <c r="R222" s="687"/>
      <c r="S222" s="687"/>
      <c r="T222" s="688"/>
      <c r="U222" s="693"/>
      <c r="V222" s="690" t="str">
        <f t="shared" si="37"/>
        <v/>
      </c>
      <c r="W222" s="683"/>
      <c r="X222" s="474">
        <f t="shared" si="38"/>
        <v>2245200</v>
      </c>
      <c r="Y222" s="474">
        <f t="shared" si="39"/>
        <v>0</v>
      </c>
      <c r="Z222" s="475">
        <f t="shared" si="40"/>
        <v>0</v>
      </c>
      <c r="AA222" s="475">
        <v>0</v>
      </c>
      <c r="AB222" s="476">
        <v>0</v>
      </c>
      <c r="AC222" s="38">
        <f>(L222+M222)-(X222+Y222+Z222+AA222+AB222)</f>
        <v>0</v>
      </c>
      <c r="AD222" s="692">
        <f t="shared" si="30"/>
        <v>49986.570000000065</v>
      </c>
      <c r="AE222" s="692">
        <f t="shared" si="31"/>
        <v>0</v>
      </c>
      <c r="AF222" s="692">
        <f t="shared" si="32"/>
        <v>0</v>
      </c>
      <c r="AG222" s="38"/>
      <c r="AH222" s="692">
        <f t="shared" si="34"/>
        <v>2245200</v>
      </c>
      <c r="AI222" s="692">
        <f t="shared" si="35"/>
        <v>0</v>
      </c>
      <c r="AJ222" s="692">
        <f t="shared" si="36"/>
        <v>0</v>
      </c>
      <c r="AL222" s="38">
        <f t="shared" si="33"/>
        <v>2295186.5700000003</v>
      </c>
      <c r="AM222" s="123" t="s">
        <v>442</v>
      </c>
    </row>
    <row r="223" spans="1:39" hidden="1">
      <c r="A223" s="21" t="s">
        <v>97</v>
      </c>
      <c r="B223" s="21" t="s">
        <v>109</v>
      </c>
      <c r="C223" s="666"/>
      <c r="D223" s="68" t="s">
        <v>381</v>
      </c>
      <c r="E223" s="679"/>
      <c r="F223" s="529">
        <f>VLOOKUP(D223,'May14 Revenue'!D:V,19,FALSE)</f>
        <v>0</v>
      </c>
      <c r="G223" s="680"/>
      <c r="H223" s="680"/>
      <c r="I223" s="755"/>
      <c r="J223" s="682">
        <f t="shared" si="29"/>
        <v>0</v>
      </c>
      <c r="K223" s="683"/>
      <c r="L223" s="684"/>
      <c r="M223" s="753"/>
      <c r="N223" s="683">
        <v>0</v>
      </c>
      <c r="O223" s="686"/>
      <c r="P223" s="683">
        <v>0</v>
      </c>
      <c r="Q223" s="687">
        <f t="shared" si="28"/>
        <v>0</v>
      </c>
      <c r="R223" s="687"/>
      <c r="S223" s="687"/>
      <c r="T223" s="688"/>
      <c r="U223" s="693"/>
      <c r="V223" s="690" t="str">
        <f t="shared" si="37"/>
        <v/>
      </c>
      <c r="W223" s="683"/>
      <c r="X223" s="474">
        <f t="shared" si="38"/>
        <v>0</v>
      </c>
      <c r="Y223" s="474">
        <f t="shared" si="39"/>
        <v>0</v>
      </c>
      <c r="Z223" s="475">
        <f t="shared" si="40"/>
        <v>0</v>
      </c>
      <c r="AA223" s="475">
        <v>0</v>
      </c>
      <c r="AB223" s="476">
        <v>0</v>
      </c>
      <c r="AC223" s="38">
        <f t="shared" si="41"/>
        <v>0</v>
      </c>
      <c r="AD223" s="692">
        <f t="shared" si="30"/>
        <v>0</v>
      </c>
      <c r="AE223" s="692">
        <f t="shared" si="31"/>
        <v>0</v>
      </c>
      <c r="AF223" s="692">
        <f t="shared" si="32"/>
        <v>0</v>
      </c>
      <c r="AG223" s="38"/>
      <c r="AH223" s="692">
        <f t="shared" si="34"/>
        <v>0</v>
      </c>
      <c r="AI223" s="692">
        <f t="shared" si="35"/>
        <v>0</v>
      </c>
      <c r="AJ223" s="692">
        <f t="shared" si="36"/>
        <v>0</v>
      </c>
      <c r="AL223" s="38">
        <f t="shared" si="33"/>
        <v>0</v>
      </c>
      <c r="AM223" s="68" t="s">
        <v>381</v>
      </c>
    </row>
    <row r="224" spans="1:39" hidden="1">
      <c r="A224" s="21" t="s">
        <v>97</v>
      </c>
      <c r="B224" s="21" t="s">
        <v>114</v>
      </c>
      <c r="C224" s="666"/>
      <c r="D224" s="68" t="s">
        <v>376</v>
      </c>
      <c r="E224" s="679"/>
      <c r="F224" s="529">
        <f>VLOOKUP(D224,'May14 Revenue'!D:V,19,FALSE)</f>
        <v>0</v>
      </c>
      <c r="G224" s="680"/>
      <c r="H224" s="680"/>
      <c r="I224" s="755"/>
      <c r="J224" s="682">
        <f t="shared" si="29"/>
        <v>0</v>
      </c>
      <c r="K224" s="683"/>
      <c r="L224" s="684"/>
      <c r="M224" s="753"/>
      <c r="N224" s="683">
        <v>0</v>
      </c>
      <c r="O224" s="686"/>
      <c r="P224" s="683">
        <v>0</v>
      </c>
      <c r="Q224" s="687">
        <f t="shared" ref="Q224:Q237" si="42">L224+M224</f>
        <v>0</v>
      </c>
      <c r="R224" s="687"/>
      <c r="S224" s="687"/>
      <c r="T224" s="688"/>
      <c r="U224" s="693"/>
      <c r="V224" s="690" t="str">
        <f t="shared" si="37"/>
        <v/>
      </c>
      <c r="W224" s="683"/>
      <c r="X224" s="474">
        <f t="shared" si="38"/>
        <v>0</v>
      </c>
      <c r="Y224" s="474">
        <f t="shared" si="39"/>
        <v>0</v>
      </c>
      <c r="Z224" s="475">
        <f t="shared" si="40"/>
        <v>0</v>
      </c>
      <c r="AA224" s="475">
        <v>0</v>
      </c>
      <c r="AB224" s="476">
        <v>0</v>
      </c>
      <c r="AC224" s="38">
        <f t="shared" si="41"/>
        <v>0</v>
      </c>
      <c r="AD224" s="692">
        <f t="shared" si="30"/>
        <v>0</v>
      </c>
      <c r="AE224" s="692">
        <f t="shared" si="31"/>
        <v>0</v>
      </c>
      <c r="AF224" s="692">
        <f t="shared" si="32"/>
        <v>0</v>
      </c>
      <c r="AG224" s="38"/>
      <c r="AH224" s="692">
        <f t="shared" si="34"/>
        <v>0</v>
      </c>
      <c r="AI224" s="692">
        <f t="shared" si="35"/>
        <v>0</v>
      </c>
      <c r="AJ224" s="692">
        <f t="shared" si="36"/>
        <v>0</v>
      </c>
      <c r="AL224" s="38">
        <f t="shared" si="33"/>
        <v>0</v>
      </c>
      <c r="AM224" s="68" t="s">
        <v>376</v>
      </c>
    </row>
    <row r="225" spans="1:39">
      <c r="A225" s="20"/>
      <c r="B225" s="20" t="s">
        <v>110</v>
      </c>
      <c r="C225" s="667"/>
      <c r="D225" s="68" t="s">
        <v>1032</v>
      </c>
      <c r="E225" s="679">
        <v>59.55</v>
      </c>
      <c r="F225" s="529">
        <f>VLOOKUP(D225,'May14 Revenue'!D:V,19,FALSE)</f>
        <v>0</v>
      </c>
      <c r="G225" s="680"/>
      <c r="H225" s="680"/>
      <c r="I225" s="755"/>
      <c r="J225" s="682">
        <f t="shared" si="29"/>
        <v>59.55</v>
      </c>
      <c r="K225" s="683"/>
      <c r="L225" s="684"/>
      <c r="M225" s="753"/>
      <c r="N225" s="683">
        <v>0</v>
      </c>
      <c r="O225" s="686"/>
      <c r="P225" s="683">
        <v>0</v>
      </c>
      <c r="Q225" s="687">
        <f>L225+M225</f>
        <v>0</v>
      </c>
      <c r="R225" s="687"/>
      <c r="S225" s="687"/>
      <c r="T225" s="688"/>
      <c r="U225" s="693"/>
      <c r="V225" s="690" t="str">
        <f t="shared" si="37"/>
        <v/>
      </c>
      <c r="W225" s="683"/>
      <c r="X225" s="474">
        <f t="shared" si="38"/>
        <v>0</v>
      </c>
      <c r="Y225" s="474">
        <f t="shared" si="39"/>
        <v>0</v>
      </c>
      <c r="Z225" s="475">
        <f t="shared" si="40"/>
        <v>0</v>
      </c>
      <c r="AA225" s="475">
        <v>0</v>
      </c>
      <c r="AB225" s="476">
        <v>0</v>
      </c>
      <c r="AC225" s="38">
        <f>(L225+M225)-(X225+Y225+Z225+AA225+AB225)</f>
        <v>0</v>
      </c>
      <c r="AD225" s="692">
        <f t="shared" si="30"/>
        <v>59.55</v>
      </c>
      <c r="AE225" s="692">
        <f t="shared" si="31"/>
        <v>0</v>
      </c>
      <c r="AF225" s="692">
        <f t="shared" si="32"/>
        <v>0</v>
      </c>
      <c r="AG225" s="38"/>
      <c r="AH225" s="692">
        <f t="shared" si="34"/>
        <v>0</v>
      </c>
      <c r="AI225" s="692">
        <f t="shared" si="35"/>
        <v>0</v>
      </c>
      <c r="AJ225" s="692">
        <f t="shared" si="36"/>
        <v>0</v>
      </c>
      <c r="AL225" s="38">
        <f t="shared" si="33"/>
        <v>59.55</v>
      </c>
      <c r="AM225" s="68" t="s">
        <v>390</v>
      </c>
    </row>
    <row r="226" spans="1:39">
      <c r="A226" s="20"/>
      <c r="B226" s="20" t="s">
        <v>110</v>
      </c>
      <c r="C226" s="667" t="s">
        <v>581</v>
      </c>
      <c r="D226" s="123" t="s">
        <v>166</v>
      </c>
      <c r="E226" s="679"/>
      <c r="F226" s="529">
        <f>VLOOKUP(D226,'May14 Revenue'!D:V,19,FALSE)</f>
        <v>-10000</v>
      </c>
      <c r="G226" s="680"/>
      <c r="H226" s="680"/>
      <c r="I226" s="755"/>
      <c r="J226" s="682">
        <f t="shared" si="29"/>
        <v>-10000</v>
      </c>
      <c r="K226" s="683"/>
      <c r="L226" s="684"/>
      <c r="M226" s="753">
        <v>15000</v>
      </c>
      <c r="N226" s="683">
        <v>0</v>
      </c>
      <c r="O226" s="686"/>
      <c r="P226" s="683">
        <v>0</v>
      </c>
      <c r="Q226" s="687">
        <f t="shared" si="42"/>
        <v>15000</v>
      </c>
      <c r="R226" s="687"/>
      <c r="S226" s="687"/>
      <c r="T226" s="688"/>
      <c r="U226" s="693"/>
      <c r="V226" s="690" t="str">
        <f t="shared" si="37"/>
        <v/>
      </c>
      <c r="W226" s="683"/>
      <c r="X226" s="474">
        <f t="shared" si="38"/>
        <v>15000</v>
      </c>
      <c r="Y226" s="474">
        <f t="shared" si="39"/>
        <v>0</v>
      </c>
      <c r="Z226" s="475">
        <f t="shared" si="40"/>
        <v>0</v>
      </c>
      <c r="AA226" s="475">
        <v>0</v>
      </c>
      <c r="AB226" s="476">
        <v>0</v>
      </c>
      <c r="AC226" s="38">
        <f t="shared" si="41"/>
        <v>0</v>
      </c>
      <c r="AD226" s="692">
        <f t="shared" si="30"/>
        <v>-10000</v>
      </c>
      <c r="AE226" s="692">
        <f t="shared" si="31"/>
        <v>0</v>
      </c>
      <c r="AF226" s="692">
        <f t="shared" si="32"/>
        <v>0</v>
      </c>
      <c r="AG226" s="38"/>
      <c r="AH226" s="692">
        <f t="shared" si="34"/>
        <v>15000</v>
      </c>
      <c r="AI226" s="692">
        <f t="shared" si="35"/>
        <v>0</v>
      </c>
      <c r="AJ226" s="692">
        <f t="shared" si="36"/>
        <v>0</v>
      </c>
      <c r="AL226" s="38">
        <f t="shared" si="33"/>
        <v>5000</v>
      </c>
      <c r="AM226" s="123" t="s">
        <v>166</v>
      </c>
    </row>
    <row r="227" spans="1:39">
      <c r="A227" s="20"/>
      <c r="B227" s="20" t="s">
        <v>109</v>
      </c>
      <c r="C227" s="667" t="s">
        <v>581</v>
      </c>
      <c r="D227" s="123" t="s">
        <v>165</v>
      </c>
      <c r="E227" s="679"/>
      <c r="F227" s="529">
        <f>VLOOKUP(D227,'May14 Revenue'!D:V,19,FALSE)</f>
        <v>0</v>
      </c>
      <c r="G227" s="680"/>
      <c r="H227" s="680"/>
      <c r="I227" s="755"/>
      <c r="J227" s="682">
        <f t="shared" si="29"/>
        <v>0</v>
      </c>
      <c r="K227" s="683"/>
      <c r="L227" s="684"/>
      <c r="M227" s="753"/>
      <c r="N227" s="683">
        <v>0</v>
      </c>
      <c r="O227" s="686"/>
      <c r="P227" s="683">
        <v>0</v>
      </c>
      <c r="Q227" s="687">
        <f t="shared" si="42"/>
        <v>0</v>
      </c>
      <c r="R227" s="687"/>
      <c r="S227" s="687"/>
      <c r="T227" s="688"/>
      <c r="U227" s="693"/>
      <c r="V227" s="690" t="str">
        <f t="shared" si="37"/>
        <v/>
      </c>
      <c r="W227" s="683"/>
      <c r="X227" s="474">
        <f t="shared" si="38"/>
        <v>0</v>
      </c>
      <c r="Y227" s="474">
        <f t="shared" si="39"/>
        <v>0</v>
      </c>
      <c r="Z227" s="475">
        <f t="shared" si="40"/>
        <v>0</v>
      </c>
      <c r="AA227" s="475">
        <v>0</v>
      </c>
      <c r="AB227" s="476">
        <v>0</v>
      </c>
      <c r="AC227" s="38">
        <f t="shared" si="41"/>
        <v>0</v>
      </c>
      <c r="AD227" s="692">
        <f t="shared" si="30"/>
        <v>0</v>
      </c>
      <c r="AE227" s="692">
        <f t="shared" si="31"/>
        <v>0</v>
      </c>
      <c r="AF227" s="692">
        <f t="shared" si="32"/>
        <v>0</v>
      </c>
      <c r="AG227" s="38"/>
      <c r="AH227" s="692">
        <f t="shared" si="34"/>
        <v>0</v>
      </c>
      <c r="AI227" s="692">
        <f t="shared" si="35"/>
        <v>0</v>
      </c>
      <c r="AJ227" s="692">
        <f t="shared" si="36"/>
        <v>0</v>
      </c>
      <c r="AL227" s="38">
        <f t="shared" si="33"/>
        <v>0</v>
      </c>
      <c r="AM227" s="123" t="s">
        <v>165</v>
      </c>
    </row>
    <row r="228" spans="1:39" hidden="1">
      <c r="A228" s="20"/>
      <c r="B228" s="20" t="s">
        <v>109</v>
      </c>
      <c r="C228" s="667"/>
      <c r="D228" s="123" t="s">
        <v>310</v>
      </c>
      <c r="E228" s="679"/>
      <c r="F228" s="529">
        <f>VLOOKUP(D228,'May14 Revenue'!D:V,19,FALSE)</f>
        <v>0</v>
      </c>
      <c r="G228" s="680"/>
      <c r="H228" s="680"/>
      <c r="I228" s="755"/>
      <c r="J228" s="682">
        <f t="shared" ref="J228:J238" si="43">SUM(E228:I228)</f>
        <v>0</v>
      </c>
      <c r="K228" s="683"/>
      <c r="L228" s="684"/>
      <c r="M228" s="753"/>
      <c r="N228" s="683">
        <v>0</v>
      </c>
      <c r="O228" s="686"/>
      <c r="P228" s="683">
        <v>0</v>
      </c>
      <c r="Q228" s="687">
        <f t="shared" si="42"/>
        <v>0</v>
      </c>
      <c r="R228" s="687"/>
      <c r="S228" s="687"/>
      <c r="T228" s="688"/>
      <c r="U228" s="693"/>
      <c r="V228" s="690" t="str">
        <f t="shared" si="37"/>
        <v/>
      </c>
      <c r="W228" s="683"/>
      <c r="X228" s="474">
        <f t="shared" si="38"/>
        <v>0</v>
      </c>
      <c r="Y228" s="474">
        <f t="shared" si="39"/>
        <v>0</v>
      </c>
      <c r="Z228" s="475">
        <f t="shared" si="40"/>
        <v>0</v>
      </c>
      <c r="AA228" s="475">
        <v>0</v>
      </c>
      <c r="AB228" s="476">
        <v>0</v>
      </c>
      <c r="AC228" s="38">
        <f t="shared" si="41"/>
        <v>0</v>
      </c>
      <c r="AD228" s="692">
        <f t="shared" ref="AD228:AD238" si="44">IF(B228="D",J228,0)</f>
        <v>0</v>
      </c>
      <c r="AE228" s="692">
        <f t="shared" ref="AE228:AE238" si="45">IF(B228="M",J228,0)</f>
        <v>0</v>
      </c>
      <c r="AF228" s="692">
        <f t="shared" ref="AF228:AF238" si="46">IF(B228="V",J228,0)</f>
        <v>0</v>
      </c>
      <c r="AG228" s="38"/>
      <c r="AH228" s="692">
        <f t="shared" si="34"/>
        <v>0</v>
      </c>
      <c r="AI228" s="692">
        <f t="shared" si="35"/>
        <v>0</v>
      </c>
      <c r="AJ228" s="692">
        <f t="shared" si="36"/>
        <v>0</v>
      </c>
      <c r="AL228" s="38">
        <f t="shared" ref="AL228:AL238" si="47">SUM(AD228:AJ228)</f>
        <v>0</v>
      </c>
      <c r="AM228" s="123" t="s">
        <v>310</v>
      </c>
    </row>
    <row r="229" spans="1:39" hidden="1">
      <c r="A229" s="20"/>
      <c r="B229" s="20" t="s">
        <v>109</v>
      </c>
      <c r="C229" s="667"/>
      <c r="D229" s="123" t="s">
        <v>441</v>
      </c>
      <c r="E229" s="679"/>
      <c r="F229" s="529">
        <f>VLOOKUP(D229,'May14 Revenue'!D:V,19,FALSE)</f>
        <v>0</v>
      </c>
      <c r="G229" s="680"/>
      <c r="H229" s="680"/>
      <c r="I229" s="755"/>
      <c r="J229" s="682">
        <f t="shared" si="43"/>
        <v>0</v>
      </c>
      <c r="K229" s="683"/>
      <c r="L229" s="684"/>
      <c r="M229" s="753"/>
      <c r="N229" s="683">
        <v>0</v>
      </c>
      <c r="O229" s="686"/>
      <c r="P229" s="683">
        <v>0</v>
      </c>
      <c r="Q229" s="687">
        <f t="shared" si="42"/>
        <v>0</v>
      </c>
      <c r="R229" s="687"/>
      <c r="S229" s="687"/>
      <c r="T229" s="688"/>
      <c r="U229" s="693"/>
      <c r="V229" s="690" t="str">
        <f t="shared" si="37"/>
        <v/>
      </c>
      <c r="W229" s="683"/>
      <c r="X229" s="474">
        <f t="shared" si="38"/>
        <v>0</v>
      </c>
      <c r="Y229" s="474">
        <f t="shared" si="39"/>
        <v>0</v>
      </c>
      <c r="Z229" s="475">
        <f t="shared" si="40"/>
        <v>0</v>
      </c>
      <c r="AA229" s="475">
        <v>0</v>
      </c>
      <c r="AB229" s="476">
        <v>0</v>
      </c>
      <c r="AC229" s="38">
        <f t="shared" si="41"/>
        <v>0</v>
      </c>
      <c r="AD229" s="692">
        <f t="shared" si="44"/>
        <v>0</v>
      </c>
      <c r="AE229" s="692">
        <f t="shared" si="45"/>
        <v>0</v>
      </c>
      <c r="AF229" s="692">
        <f t="shared" si="46"/>
        <v>0</v>
      </c>
      <c r="AG229" s="38"/>
      <c r="AH229" s="692">
        <f t="shared" ref="AH229:AH238" si="48">IF(B229="D",Q229,0)</f>
        <v>0</v>
      </c>
      <c r="AI229" s="692">
        <f t="shared" ref="AI229:AI238" si="49">IF(B229="M",Q229,0)</f>
        <v>0</v>
      </c>
      <c r="AJ229" s="692">
        <f t="shared" ref="AJ229:AJ238" si="50">IF(B229="V",Q229,0)</f>
        <v>0</v>
      </c>
      <c r="AL229" s="38">
        <f t="shared" si="47"/>
        <v>0</v>
      </c>
      <c r="AM229" s="123" t="s">
        <v>441</v>
      </c>
    </row>
    <row r="230" spans="1:39">
      <c r="A230" s="20"/>
      <c r="B230" s="20" t="s">
        <v>109</v>
      </c>
      <c r="C230" s="667"/>
      <c r="D230" s="68" t="s">
        <v>121</v>
      </c>
      <c r="E230" s="679"/>
      <c r="F230" s="529">
        <f>VLOOKUP(D230,'May14 Revenue'!D:V,19,FALSE)</f>
        <v>0</v>
      </c>
      <c r="G230" s="680"/>
      <c r="H230" s="680"/>
      <c r="I230" s="755"/>
      <c r="J230" s="682">
        <f t="shared" si="43"/>
        <v>0</v>
      </c>
      <c r="K230" s="683"/>
      <c r="L230" s="684"/>
      <c r="M230" s="753"/>
      <c r="N230" s="683">
        <v>0</v>
      </c>
      <c r="O230" s="686"/>
      <c r="P230" s="683">
        <v>0</v>
      </c>
      <c r="Q230" s="687">
        <f t="shared" si="42"/>
        <v>0</v>
      </c>
      <c r="R230" s="687"/>
      <c r="S230" s="687"/>
      <c r="T230" s="688"/>
      <c r="U230" s="693"/>
      <c r="V230" s="690" t="str">
        <f t="shared" ref="V230:V238" si="51">IF(T230="","",T230-Q230)</f>
        <v/>
      </c>
      <c r="W230" s="683"/>
      <c r="X230" s="474">
        <f t="shared" ref="X230:X238" si="52">IF(B230="D",Q230,0)</f>
        <v>0</v>
      </c>
      <c r="Y230" s="474">
        <f t="shared" ref="Y230:Y238" si="53">IF(B230="M",Q230,0)</f>
        <v>0</v>
      </c>
      <c r="Z230" s="475">
        <f t="shared" ref="Z230:Z238" si="54">IF(B230="V",Q230,0)</f>
        <v>0</v>
      </c>
      <c r="AA230" s="475">
        <v>0</v>
      </c>
      <c r="AB230" s="476">
        <v>0</v>
      </c>
      <c r="AC230" s="38">
        <f t="shared" ref="AC230:AC237" si="55">(L230+M230)-(X230+Y230+Z230+AA230+AB230)</f>
        <v>0</v>
      </c>
      <c r="AD230" s="692">
        <f t="shared" si="44"/>
        <v>0</v>
      </c>
      <c r="AE230" s="692">
        <f t="shared" si="45"/>
        <v>0</v>
      </c>
      <c r="AF230" s="692">
        <f t="shared" si="46"/>
        <v>0</v>
      </c>
      <c r="AG230" s="38"/>
      <c r="AH230" s="692">
        <f t="shared" si="48"/>
        <v>0</v>
      </c>
      <c r="AI230" s="692">
        <f t="shared" si="49"/>
        <v>0</v>
      </c>
      <c r="AJ230" s="692">
        <f t="shared" si="50"/>
        <v>0</v>
      </c>
      <c r="AL230" s="38">
        <f t="shared" si="47"/>
        <v>0</v>
      </c>
      <c r="AM230" s="68" t="s">
        <v>121</v>
      </c>
    </row>
    <row r="231" spans="1:39">
      <c r="A231" s="20"/>
      <c r="B231" s="20" t="s">
        <v>110</v>
      </c>
      <c r="C231" s="667"/>
      <c r="D231" s="68" t="s">
        <v>168</v>
      </c>
      <c r="E231" s="679"/>
      <c r="F231" s="529">
        <f>VLOOKUP(D231,'May14 Revenue'!D:V,19,FALSE)</f>
        <v>0</v>
      </c>
      <c r="G231" s="680"/>
      <c r="H231" s="680"/>
      <c r="I231" s="755"/>
      <c r="J231" s="682">
        <f t="shared" si="43"/>
        <v>0</v>
      </c>
      <c r="K231" s="683"/>
      <c r="L231" s="684"/>
      <c r="M231" s="753"/>
      <c r="N231" s="683">
        <v>0</v>
      </c>
      <c r="O231" s="686"/>
      <c r="P231" s="683">
        <v>0</v>
      </c>
      <c r="Q231" s="687">
        <f t="shared" si="42"/>
        <v>0</v>
      </c>
      <c r="R231" s="687"/>
      <c r="S231" s="687"/>
      <c r="T231" s="688"/>
      <c r="U231" s="693"/>
      <c r="V231" s="690" t="str">
        <f t="shared" si="51"/>
        <v/>
      </c>
      <c r="W231" s="683"/>
      <c r="X231" s="474">
        <f t="shared" si="52"/>
        <v>0</v>
      </c>
      <c r="Y231" s="474">
        <f t="shared" si="53"/>
        <v>0</v>
      </c>
      <c r="Z231" s="475">
        <f t="shared" si="54"/>
        <v>0</v>
      </c>
      <c r="AA231" s="475">
        <v>0</v>
      </c>
      <c r="AB231" s="476">
        <v>0</v>
      </c>
      <c r="AC231" s="38">
        <f t="shared" si="55"/>
        <v>0</v>
      </c>
      <c r="AD231" s="692">
        <f t="shared" si="44"/>
        <v>0</v>
      </c>
      <c r="AE231" s="692">
        <f t="shared" si="45"/>
        <v>0</v>
      </c>
      <c r="AF231" s="692">
        <f t="shared" si="46"/>
        <v>0</v>
      </c>
      <c r="AG231" s="38"/>
      <c r="AH231" s="692">
        <f t="shared" si="48"/>
        <v>0</v>
      </c>
      <c r="AI231" s="692">
        <f t="shared" si="49"/>
        <v>0</v>
      </c>
      <c r="AJ231" s="692">
        <f t="shared" si="50"/>
        <v>0</v>
      </c>
      <c r="AL231" s="38">
        <f t="shared" si="47"/>
        <v>0</v>
      </c>
      <c r="AM231" s="68" t="s">
        <v>168</v>
      </c>
    </row>
    <row r="232" spans="1:39">
      <c r="A232" s="20"/>
      <c r="B232" s="20" t="s">
        <v>109</v>
      </c>
      <c r="C232" s="667" t="s">
        <v>582</v>
      </c>
      <c r="D232" s="68" t="s">
        <v>167</v>
      </c>
      <c r="E232" s="679"/>
      <c r="F232" s="529">
        <f>VLOOKUP(D232,'May14 Revenue'!D:V,19,FALSE)</f>
        <v>0</v>
      </c>
      <c r="G232" s="680"/>
      <c r="H232" s="680"/>
      <c r="I232" s="755"/>
      <c r="J232" s="682">
        <f t="shared" si="43"/>
        <v>0</v>
      </c>
      <c r="K232" s="683"/>
      <c r="L232" s="684"/>
      <c r="M232" s="753"/>
      <c r="N232" s="683">
        <v>0</v>
      </c>
      <c r="O232" s="686"/>
      <c r="P232" s="683">
        <v>0</v>
      </c>
      <c r="Q232" s="687">
        <f t="shared" si="42"/>
        <v>0</v>
      </c>
      <c r="R232" s="687"/>
      <c r="S232" s="687"/>
      <c r="T232" s="688"/>
      <c r="U232" s="693"/>
      <c r="V232" s="690" t="str">
        <f t="shared" si="51"/>
        <v/>
      </c>
      <c r="W232" s="683"/>
      <c r="X232" s="474">
        <f t="shared" si="52"/>
        <v>0</v>
      </c>
      <c r="Y232" s="474">
        <f t="shared" si="53"/>
        <v>0</v>
      </c>
      <c r="Z232" s="475">
        <f t="shared" si="54"/>
        <v>0</v>
      </c>
      <c r="AA232" s="475">
        <v>0</v>
      </c>
      <c r="AB232" s="476">
        <v>0</v>
      </c>
      <c r="AC232" s="38">
        <f t="shared" si="55"/>
        <v>0</v>
      </c>
      <c r="AD232" s="692">
        <f t="shared" si="44"/>
        <v>0</v>
      </c>
      <c r="AE232" s="692">
        <f t="shared" si="45"/>
        <v>0</v>
      </c>
      <c r="AF232" s="692">
        <f t="shared" si="46"/>
        <v>0</v>
      </c>
      <c r="AG232" s="38"/>
      <c r="AH232" s="692">
        <f t="shared" si="48"/>
        <v>0</v>
      </c>
      <c r="AI232" s="692">
        <f t="shared" si="49"/>
        <v>0</v>
      </c>
      <c r="AJ232" s="692">
        <f t="shared" si="50"/>
        <v>0</v>
      </c>
      <c r="AL232" s="38">
        <f t="shared" si="47"/>
        <v>0</v>
      </c>
      <c r="AM232" s="68" t="s">
        <v>167</v>
      </c>
    </row>
    <row r="233" spans="1:39">
      <c r="A233" s="20" t="s">
        <v>218</v>
      </c>
      <c r="B233" s="20" t="s">
        <v>110</v>
      </c>
      <c r="C233" s="667"/>
      <c r="D233" s="68" t="s">
        <v>60</v>
      </c>
      <c r="E233" s="679"/>
      <c r="F233" s="529">
        <f>VLOOKUP(D233,'May14 Revenue'!D:V,19,FALSE)</f>
        <v>-16000</v>
      </c>
      <c r="G233" s="680"/>
      <c r="H233" s="680"/>
      <c r="I233" s="755"/>
      <c r="J233" s="682">
        <f t="shared" si="43"/>
        <v>-16000</v>
      </c>
      <c r="K233" s="683"/>
      <c r="L233" s="684"/>
      <c r="M233" s="753">
        <v>24000</v>
      </c>
      <c r="N233" s="683">
        <v>0</v>
      </c>
      <c r="O233" s="686"/>
      <c r="P233" s="683">
        <v>0</v>
      </c>
      <c r="Q233" s="687">
        <f t="shared" si="42"/>
        <v>24000</v>
      </c>
      <c r="R233" s="687"/>
      <c r="S233" s="687"/>
      <c r="T233" s="688"/>
      <c r="U233" s="693"/>
      <c r="V233" s="690" t="str">
        <f t="shared" si="51"/>
        <v/>
      </c>
      <c r="W233" s="697"/>
      <c r="X233" s="474">
        <f t="shared" si="52"/>
        <v>24000</v>
      </c>
      <c r="Y233" s="474">
        <f t="shared" si="53"/>
        <v>0</v>
      </c>
      <c r="Z233" s="475">
        <f t="shared" si="54"/>
        <v>0</v>
      </c>
      <c r="AA233" s="475">
        <v>0</v>
      </c>
      <c r="AB233" s="476">
        <v>0</v>
      </c>
      <c r="AC233" s="38">
        <f t="shared" si="55"/>
        <v>0</v>
      </c>
      <c r="AD233" s="692">
        <f t="shared" si="44"/>
        <v>-16000</v>
      </c>
      <c r="AE233" s="692">
        <f t="shared" si="45"/>
        <v>0</v>
      </c>
      <c r="AF233" s="692">
        <f t="shared" si="46"/>
        <v>0</v>
      </c>
      <c r="AG233" s="38"/>
      <c r="AH233" s="692">
        <f t="shared" si="48"/>
        <v>24000</v>
      </c>
      <c r="AI233" s="692">
        <f t="shared" si="49"/>
        <v>0</v>
      </c>
      <c r="AJ233" s="692">
        <f t="shared" si="50"/>
        <v>0</v>
      </c>
      <c r="AL233" s="38">
        <f t="shared" si="47"/>
        <v>8000</v>
      </c>
      <c r="AM233" s="68" t="s">
        <v>60</v>
      </c>
    </row>
    <row r="234" spans="1:39">
      <c r="A234" s="20"/>
      <c r="B234" s="20" t="s">
        <v>110</v>
      </c>
      <c r="C234" s="667" t="s">
        <v>583</v>
      </c>
      <c r="D234" s="68" t="s">
        <v>169</v>
      </c>
      <c r="E234" s="679"/>
      <c r="F234" s="529">
        <f>VLOOKUP(D234,'May14 Revenue'!D:V,19,FALSE)</f>
        <v>0</v>
      </c>
      <c r="G234" s="680"/>
      <c r="H234" s="680"/>
      <c r="I234" s="755"/>
      <c r="J234" s="682">
        <f t="shared" si="43"/>
        <v>0</v>
      </c>
      <c r="K234" s="683"/>
      <c r="L234" s="684"/>
      <c r="M234" s="753"/>
      <c r="N234" s="683">
        <v>0</v>
      </c>
      <c r="O234" s="686"/>
      <c r="P234" s="683">
        <v>0</v>
      </c>
      <c r="Q234" s="687">
        <f t="shared" si="42"/>
        <v>0</v>
      </c>
      <c r="R234" s="687"/>
      <c r="S234" s="687"/>
      <c r="T234" s="688"/>
      <c r="U234" s="693"/>
      <c r="V234" s="690" t="str">
        <f t="shared" si="51"/>
        <v/>
      </c>
      <c r="W234" s="683"/>
      <c r="X234" s="474">
        <f t="shared" si="52"/>
        <v>0</v>
      </c>
      <c r="Y234" s="474">
        <f t="shared" si="53"/>
        <v>0</v>
      </c>
      <c r="Z234" s="475">
        <f t="shared" si="54"/>
        <v>0</v>
      </c>
      <c r="AA234" s="475">
        <v>0</v>
      </c>
      <c r="AB234" s="476">
        <v>0</v>
      </c>
      <c r="AC234" s="38">
        <f t="shared" si="55"/>
        <v>0</v>
      </c>
      <c r="AD234" s="692">
        <f t="shared" si="44"/>
        <v>0</v>
      </c>
      <c r="AE234" s="692">
        <f t="shared" si="45"/>
        <v>0</v>
      </c>
      <c r="AF234" s="692">
        <f t="shared" si="46"/>
        <v>0</v>
      </c>
      <c r="AG234" s="38"/>
      <c r="AH234" s="692">
        <f t="shared" si="48"/>
        <v>0</v>
      </c>
      <c r="AI234" s="692">
        <f t="shared" si="49"/>
        <v>0</v>
      </c>
      <c r="AJ234" s="692">
        <f t="shared" si="50"/>
        <v>0</v>
      </c>
      <c r="AL234" s="38">
        <f t="shared" si="47"/>
        <v>0</v>
      </c>
      <c r="AM234" s="68" t="s">
        <v>169</v>
      </c>
    </row>
    <row r="235" spans="1:39">
      <c r="A235" s="21"/>
      <c r="B235" s="21" t="s">
        <v>110</v>
      </c>
      <c r="C235" s="666"/>
      <c r="D235" s="821" t="s">
        <v>981</v>
      </c>
      <c r="E235" s="679"/>
      <c r="F235" s="529">
        <f>VLOOKUP(D235,'May14 Revenue'!D:V,19,FALSE)</f>
        <v>0</v>
      </c>
      <c r="G235" s="680"/>
      <c r="H235" s="680"/>
      <c r="I235" s="770">
        <v>3961</v>
      </c>
      <c r="J235" s="682">
        <f t="shared" si="43"/>
        <v>3961</v>
      </c>
      <c r="K235" s="683"/>
      <c r="L235" s="684"/>
      <c r="M235" s="753"/>
      <c r="N235" s="683">
        <v>0</v>
      </c>
      <c r="O235" s="686"/>
      <c r="P235" s="683">
        <v>0</v>
      </c>
      <c r="Q235" s="687">
        <f t="shared" si="42"/>
        <v>0</v>
      </c>
      <c r="R235" s="687"/>
      <c r="S235" s="687"/>
      <c r="T235" s="688"/>
      <c r="U235" s="693"/>
      <c r="V235" s="690" t="str">
        <f t="shared" si="51"/>
        <v/>
      </c>
      <c r="W235" s="683"/>
      <c r="X235" s="474">
        <f t="shared" si="52"/>
        <v>0</v>
      </c>
      <c r="Y235" s="474">
        <f t="shared" si="53"/>
        <v>0</v>
      </c>
      <c r="Z235" s="475">
        <f t="shared" si="54"/>
        <v>0</v>
      </c>
      <c r="AA235" s="475">
        <v>0</v>
      </c>
      <c r="AB235" s="476">
        <v>0</v>
      </c>
      <c r="AC235" s="38">
        <f t="shared" si="55"/>
        <v>0</v>
      </c>
      <c r="AD235" s="692">
        <f t="shared" si="44"/>
        <v>3961</v>
      </c>
      <c r="AE235" s="692">
        <f t="shared" si="45"/>
        <v>0</v>
      </c>
      <c r="AF235" s="692">
        <f t="shared" si="46"/>
        <v>0</v>
      </c>
      <c r="AG235" s="38"/>
      <c r="AH235" s="692">
        <f t="shared" si="48"/>
        <v>0</v>
      </c>
      <c r="AI235" s="692">
        <f t="shared" si="49"/>
        <v>0</v>
      </c>
      <c r="AJ235" s="692">
        <f t="shared" si="50"/>
        <v>0</v>
      </c>
      <c r="AL235" s="38">
        <f t="shared" si="47"/>
        <v>3961</v>
      </c>
      <c r="AM235" s="821" t="s">
        <v>981</v>
      </c>
    </row>
    <row r="236" spans="1:39">
      <c r="A236" s="21"/>
      <c r="B236" s="21" t="s">
        <v>114</v>
      </c>
      <c r="C236" s="666"/>
      <c r="D236" s="68" t="s">
        <v>591</v>
      </c>
      <c r="E236" s="679"/>
      <c r="F236" s="529">
        <f>VLOOKUP(D236,'May14 Revenue'!D:V,19,FALSE)</f>
        <v>2688.21</v>
      </c>
      <c r="G236" s="680"/>
      <c r="H236" s="680"/>
      <c r="I236" s="755"/>
      <c r="J236" s="682">
        <f t="shared" si="43"/>
        <v>2688.21</v>
      </c>
      <c r="K236" s="683"/>
      <c r="L236" s="684"/>
      <c r="M236" s="753"/>
      <c r="N236" s="683">
        <v>0</v>
      </c>
      <c r="O236" s="686"/>
      <c r="P236" s="683">
        <v>0</v>
      </c>
      <c r="Q236" s="687">
        <f>L236+M236</f>
        <v>0</v>
      </c>
      <c r="R236" s="687"/>
      <c r="S236" s="687"/>
      <c r="T236" s="688"/>
      <c r="U236" s="693"/>
      <c r="V236" s="690" t="str">
        <f t="shared" si="51"/>
        <v/>
      </c>
      <c r="W236" s="683"/>
      <c r="X236" s="474">
        <f t="shared" si="52"/>
        <v>0</v>
      </c>
      <c r="Y236" s="474">
        <f t="shared" si="53"/>
        <v>0</v>
      </c>
      <c r="Z236" s="475">
        <f t="shared" si="54"/>
        <v>0</v>
      </c>
      <c r="AA236" s="475">
        <v>0</v>
      </c>
      <c r="AB236" s="476">
        <v>0</v>
      </c>
      <c r="AC236" s="38">
        <f>(L236+M236)-(X236+Y236+Z236+AA236+AB236)</f>
        <v>0</v>
      </c>
      <c r="AD236" s="692">
        <f t="shared" si="44"/>
        <v>0</v>
      </c>
      <c r="AE236" s="692">
        <f t="shared" si="45"/>
        <v>0</v>
      </c>
      <c r="AF236" s="692">
        <f t="shared" si="46"/>
        <v>2688.21</v>
      </c>
      <c r="AG236" s="38"/>
      <c r="AH236" s="692">
        <f t="shared" si="48"/>
        <v>0</v>
      </c>
      <c r="AI236" s="692">
        <f t="shared" si="49"/>
        <v>0</v>
      </c>
      <c r="AJ236" s="692">
        <f t="shared" si="50"/>
        <v>0</v>
      </c>
      <c r="AL236" s="38">
        <f t="shared" si="47"/>
        <v>2688.21</v>
      </c>
      <c r="AM236" s="68" t="s">
        <v>591</v>
      </c>
    </row>
    <row r="237" spans="1:39">
      <c r="A237" s="21"/>
      <c r="B237" s="21" t="s">
        <v>110</v>
      </c>
      <c r="C237" s="672"/>
      <c r="D237" s="519" t="s">
        <v>1194</v>
      </c>
      <c r="E237" s="679"/>
      <c r="F237" s="529">
        <v>0</v>
      </c>
      <c r="G237" s="680"/>
      <c r="H237" s="680"/>
      <c r="I237" s="755">
        <f>53739.94+19217.72+99932.55+115357.47+16035.3+27477.39</f>
        <v>331760.37000000005</v>
      </c>
      <c r="J237" s="682">
        <f t="shared" si="43"/>
        <v>331760.37000000005</v>
      </c>
      <c r="K237" s="683"/>
      <c r="L237" s="684"/>
      <c r="M237" s="753"/>
      <c r="N237" s="683">
        <v>0</v>
      </c>
      <c r="O237" s="686"/>
      <c r="P237" s="683">
        <v>0</v>
      </c>
      <c r="Q237" s="687">
        <f t="shared" si="42"/>
        <v>0</v>
      </c>
      <c r="R237" s="687"/>
      <c r="S237" s="687"/>
      <c r="T237" s="688"/>
      <c r="U237" s="693"/>
      <c r="V237" s="690" t="str">
        <f t="shared" si="51"/>
        <v/>
      </c>
      <c r="W237" s="683"/>
      <c r="X237" s="474">
        <f t="shared" si="52"/>
        <v>0</v>
      </c>
      <c r="Y237" s="474">
        <f t="shared" si="53"/>
        <v>0</v>
      </c>
      <c r="Z237" s="475">
        <f t="shared" si="54"/>
        <v>0</v>
      </c>
      <c r="AA237" s="475">
        <v>0</v>
      </c>
      <c r="AB237" s="476">
        <v>0</v>
      </c>
      <c r="AC237" s="38">
        <f t="shared" si="55"/>
        <v>0</v>
      </c>
      <c r="AD237" s="692">
        <f t="shared" si="44"/>
        <v>331760.37000000005</v>
      </c>
      <c r="AE237" s="692">
        <f t="shared" si="45"/>
        <v>0</v>
      </c>
      <c r="AF237" s="692">
        <f t="shared" si="46"/>
        <v>0</v>
      </c>
      <c r="AG237" s="38"/>
      <c r="AH237" s="692">
        <f t="shared" si="48"/>
        <v>0</v>
      </c>
      <c r="AI237" s="692">
        <f t="shared" si="49"/>
        <v>0</v>
      </c>
      <c r="AJ237" s="692">
        <f t="shared" si="50"/>
        <v>0</v>
      </c>
      <c r="AL237" s="38">
        <f t="shared" si="47"/>
        <v>331760.37000000005</v>
      </c>
      <c r="AM237" s="519" t="s">
        <v>433</v>
      </c>
    </row>
    <row r="238" spans="1:39" s="146" customFormat="1" ht="13" thickBot="1">
      <c r="A238" s="21"/>
      <c r="B238" s="21" t="s">
        <v>110</v>
      </c>
      <c r="C238" s="666"/>
      <c r="D238" s="68" t="s">
        <v>1020</v>
      </c>
      <c r="E238" s="679"/>
      <c r="F238" s="529">
        <f>VLOOKUP(D238,'May14 Revenue'!D:V,19,FALSE)</f>
        <v>0</v>
      </c>
      <c r="G238" s="680"/>
      <c r="H238" s="680"/>
      <c r="I238" s="755">
        <f>416225-152046</f>
        <v>264179</v>
      </c>
      <c r="J238" s="682">
        <f t="shared" si="43"/>
        <v>264179</v>
      </c>
      <c r="K238" s="683"/>
      <c r="L238" s="684"/>
      <c r="M238" s="753"/>
      <c r="N238" s="683">
        <v>0</v>
      </c>
      <c r="O238" s="686"/>
      <c r="P238" s="683">
        <v>0</v>
      </c>
      <c r="Q238" s="687">
        <f>L238+M238</f>
        <v>0</v>
      </c>
      <c r="R238" s="687"/>
      <c r="S238" s="687"/>
      <c r="T238" s="688"/>
      <c r="U238" s="693"/>
      <c r="V238" s="690" t="str">
        <f t="shared" si="51"/>
        <v/>
      </c>
      <c r="W238" s="683"/>
      <c r="X238" s="474">
        <f t="shared" si="52"/>
        <v>0</v>
      </c>
      <c r="Y238" s="474">
        <f t="shared" si="53"/>
        <v>0</v>
      </c>
      <c r="Z238" s="475">
        <f t="shared" si="54"/>
        <v>0</v>
      </c>
      <c r="AA238" s="475">
        <v>0</v>
      </c>
      <c r="AB238" s="476">
        <v>0</v>
      </c>
      <c r="AC238" s="38">
        <f>(L238+M238)-(X238+Y238+Z238+AA238+AB238)</f>
        <v>0</v>
      </c>
      <c r="AD238" s="692">
        <f t="shared" si="44"/>
        <v>264179</v>
      </c>
      <c r="AE238" s="692">
        <f t="shared" si="45"/>
        <v>0</v>
      </c>
      <c r="AF238" s="692">
        <f t="shared" si="46"/>
        <v>0</v>
      </c>
      <c r="AG238" s="38"/>
      <c r="AH238" s="692">
        <f t="shared" si="48"/>
        <v>0</v>
      </c>
      <c r="AI238" s="692">
        <f t="shared" si="49"/>
        <v>0</v>
      </c>
      <c r="AJ238" s="692">
        <f t="shared" si="50"/>
        <v>0</v>
      </c>
      <c r="AL238" s="38">
        <f t="shared" si="47"/>
        <v>264179</v>
      </c>
      <c r="AM238" s="68" t="s">
        <v>593</v>
      </c>
    </row>
    <row r="239" spans="1:39" ht="13" thickBot="1">
      <c r="A239" s="107"/>
      <c r="B239" s="108"/>
      <c r="C239" s="673"/>
      <c r="D239" s="71" t="s">
        <v>86</v>
      </c>
      <c r="E239" s="454">
        <f t="shared" ref="E239:J239" si="56">SUM(E16:E238)</f>
        <v>759166.0900000002</v>
      </c>
      <c r="F239" s="454">
        <f t="shared" si="56"/>
        <v>-1759409.4700000002</v>
      </c>
      <c r="G239" s="454">
        <f t="shared" si="56"/>
        <v>0</v>
      </c>
      <c r="H239" s="454">
        <f t="shared" si="56"/>
        <v>0</v>
      </c>
      <c r="I239" s="454">
        <f t="shared" si="56"/>
        <v>14980470.409999998</v>
      </c>
      <c r="J239" s="454">
        <f t="shared" si="56"/>
        <v>13980227.030000005</v>
      </c>
      <c r="K239" s="454"/>
      <c r="L239" s="454">
        <f>SUM(L16:L238)</f>
        <v>673600</v>
      </c>
      <c r="M239" s="454">
        <f>SUM(M16:M238)</f>
        <v>6570600</v>
      </c>
      <c r="N239" s="454">
        <f>SUM(N16:N238)</f>
        <v>0</v>
      </c>
      <c r="O239" s="100">
        <f>SUM(O16:O238)</f>
        <v>0</v>
      </c>
      <c r="P239" s="157">
        <f>SUM(P17:P238)</f>
        <v>0</v>
      </c>
      <c r="Q239" s="100">
        <f>SUM(Q16:Q238)</f>
        <v>7244200</v>
      </c>
      <c r="R239" s="100"/>
      <c r="S239" s="100"/>
      <c r="T239" s="100">
        <f>SUM(T16:T238)</f>
        <v>0</v>
      </c>
      <c r="U239" s="708"/>
      <c r="V239" s="100">
        <f>SUM(V16:V238)</f>
        <v>-70000</v>
      </c>
      <c r="W239" s="683"/>
      <c r="X239" s="314">
        <f>SUM(X16:X238)</f>
        <v>6469200</v>
      </c>
      <c r="Y239" s="314">
        <f>SUM(Y16:Y238)</f>
        <v>606000</v>
      </c>
      <c r="Z239" s="314">
        <f>SUM(Z16:Z238)</f>
        <v>169000</v>
      </c>
      <c r="AA239" s="314">
        <f>SUM(AA16:AA238)</f>
        <v>0</v>
      </c>
      <c r="AB239" s="314">
        <f>SUM(AB16:AB238)</f>
        <v>0</v>
      </c>
      <c r="AC239" s="38"/>
      <c r="AD239" s="314">
        <f>SUM(AD16:AD238)</f>
        <v>13597148.650000004</v>
      </c>
      <c r="AE239" s="314">
        <f>SUM(AE16:AE238)</f>
        <v>383253.47999999986</v>
      </c>
      <c r="AF239" s="314">
        <f>SUM(AF16:AF238)</f>
        <v>-175.10000000000127</v>
      </c>
      <c r="AG239" s="38"/>
      <c r="AH239" s="314">
        <f>SUM(AH16:AH238)</f>
        <v>6469200</v>
      </c>
      <c r="AI239" s="314">
        <f>SUM(AI16:AI238)</f>
        <v>606000</v>
      </c>
      <c r="AJ239" s="314">
        <f>SUM(AJ16:AJ238)</f>
        <v>169000</v>
      </c>
    </row>
    <row r="240" spans="1:39" ht="13" thickBot="1">
      <c r="A240" s="65"/>
      <c r="B240" s="65"/>
      <c r="C240" s="674"/>
      <c r="D240" s="141"/>
      <c r="E240" s="709" t="s">
        <v>293</v>
      </c>
      <c r="F240" s="160">
        <f>F239+E239</f>
        <v>-1000243.38</v>
      </c>
      <c r="G240" s="153"/>
      <c r="H240" s="153" t="s">
        <v>225</v>
      </c>
      <c r="I240" s="153">
        <f>I239+H239+G239</f>
        <v>14980470.409999998</v>
      </c>
      <c r="J240" s="323"/>
      <c r="K240" s="153"/>
      <c r="L240" s="153" t="s">
        <v>296</v>
      </c>
      <c r="M240" s="100">
        <f>M239+L239</f>
        <v>7244200</v>
      </c>
      <c r="N240" s="153"/>
      <c r="O240" s="641"/>
      <c r="P240" s="153"/>
      <c r="Q240" s="153"/>
      <c r="R240" s="153"/>
      <c r="S240" s="153"/>
      <c r="T240" s="153"/>
      <c r="U240" s="153"/>
      <c r="V240" s="153"/>
      <c r="W240" s="153"/>
      <c r="X240" s="139"/>
      <c r="Y240" s="139"/>
      <c r="Z240" s="139"/>
      <c r="AA240" s="139"/>
      <c r="AB240" s="104"/>
      <c r="AC240" s="38"/>
      <c r="AD240" s="711"/>
      <c r="AE240" s="711"/>
      <c r="AF240" s="711"/>
      <c r="AG240" s="38"/>
      <c r="AH240" s="38"/>
      <c r="AI240" s="38"/>
      <c r="AJ240" s="38"/>
    </row>
    <row r="241" spans="1:38" ht="13" thickBot="1">
      <c r="A241" s="65"/>
      <c r="B241" s="65"/>
      <c r="C241" s="674"/>
      <c r="E241" s="159"/>
      <c r="F241" s="153"/>
      <c r="G241" s="153"/>
      <c r="H241" s="153"/>
      <c r="I241" s="153"/>
      <c r="J241" s="153"/>
      <c r="K241" s="153"/>
      <c r="L241" s="153"/>
      <c r="M241" s="710"/>
      <c r="N241" s="153"/>
      <c r="O241" s="153"/>
      <c r="P241" s="153"/>
      <c r="Q241" s="153"/>
      <c r="R241" s="153"/>
      <c r="S241" s="153"/>
      <c r="T241" s="153"/>
      <c r="U241" s="153"/>
      <c r="V241" s="153"/>
      <c r="W241" s="153"/>
      <c r="X241" s="331" t="s">
        <v>345</v>
      </c>
      <c r="Y241" s="139"/>
      <c r="Z241" s="139"/>
      <c r="AA241" s="139"/>
      <c r="AB241" s="104"/>
      <c r="AC241" s="164" t="s">
        <v>633</v>
      </c>
      <c r="AD241" s="798"/>
      <c r="AE241" s="798"/>
      <c r="AF241" s="798"/>
      <c r="AG241" s="38"/>
      <c r="AH241" s="711"/>
      <c r="AI241" s="711"/>
      <c r="AJ241" s="711"/>
    </row>
    <row r="242" spans="1:38" ht="17" thickTop="1" thickBot="1">
      <c r="E242" s="712"/>
      <c r="F242" s="713"/>
      <c r="G242" s="714"/>
      <c r="H242" s="715"/>
      <c r="I242" s="715"/>
      <c r="J242" s="164"/>
      <c r="K242" s="169"/>
      <c r="L242" s="233"/>
      <c r="M242" s="233"/>
      <c r="N242" s="38"/>
      <c r="O242" s="642"/>
      <c r="P242" s="139"/>
      <c r="Q242" s="139"/>
      <c r="R242" s="139"/>
      <c r="S242" s="139"/>
      <c r="T242" s="33"/>
      <c r="U242" s="33"/>
      <c r="V242" s="33"/>
      <c r="W242" s="169"/>
      <c r="X242" s="332"/>
      <c r="Y242" s="333"/>
      <c r="Z242" s="491"/>
      <c r="AA242" s="491"/>
      <c r="AB242" s="334"/>
      <c r="AC242" s="164" t="s">
        <v>634</v>
      </c>
      <c r="AD242" s="798"/>
      <c r="AE242" s="798"/>
      <c r="AF242" s="802"/>
      <c r="AG242" s="38"/>
      <c r="AH242" s="38"/>
      <c r="AI242" s="38"/>
      <c r="AJ242" s="38"/>
    </row>
    <row r="243" spans="1:38" ht="17" thickBot="1">
      <c r="E243" s="712"/>
      <c r="F243" s="713"/>
      <c r="G243" s="714"/>
      <c r="H243" s="715"/>
      <c r="J243" s="79">
        <f>J239</f>
        <v>13980227.030000005</v>
      </c>
      <c r="K243" s="715" t="s">
        <v>1107</v>
      </c>
      <c r="L243" s="169"/>
      <c r="M243" s="493"/>
      <c r="N243" s="38"/>
      <c r="O243" s="80"/>
      <c r="P243" s="104"/>
      <c r="Q243" s="139"/>
      <c r="R243" s="139"/>
      <c r="S243" s="139"/>
      <c r="T243" s="33"/>
      <c r="U243" s="33"/>
      <c r="V243" s="33"/>
      <c r="W243" s="169"/>
      <c r="X243" s="487"/>
      <c r="Y243" s="488"/>
      <c r="Z243" s="492" t="s">
        <v>399</v>
      </c>
      <c r="AA243" s="492" t="s">
        <v>400</v>
      </c>
      <c r="AB243" s="488"/>
      <c r="AC243" s="717" t="s">
        <v>475</v>
      </c>
      <c r="AD243" s="718">
        <f>SUM(AD239:AD242)</f>
        <v>13597148.650000004</v>
      </c>
      <c r="AE243" s="718">
        <f>AE239</f>
        <v>383253.47999999986</v>
      </c>
      <c r="AF243" s="718">
        <f>SUM(AF239:AF242)</f>
        <v>-175.10000000000127</v>
      </c>
      <c r="AG243" s="718"/>
      <c r="AH243" s="718">
        <f>AH239</f>
        <v>6469200</v>
      </c>
      <c r="AI243" s="718">
        <f>AI239</f>
        <v>606000</v>
      </c>
      <c r="AJ243" s="719">
        <f>AJ239</f>
        <v>169000</v>
      </c>
      <c r="AL243" s="38">
        <f>SUM(AL17:AL242)</f>
        <v>21224427.030000005</v>
      </c>
    </row>
    <row r="244" spans="1:38" ht="15" thickBot="1">
      <c r="D244" s="143"/>
      <c r="E244" s="759"/>
      <c r="F244" s="713"/>
      <c r="G244" s="714"/>
      <c r="H244" s="720"/>
      <c r="J244" s="653">
        <f>SUM('June GL'!H3)</f>
        <v>-13980227.029999999</v>
      </c>
      <c r="K244" s="757" t="s">
        <v>251</v>
      </c>
      <c r="L244" s="722"/>
      <c r="M244" s="642"/>
      <c r="N244" s="33"/>
      <c r="O244" s="80"/>
      <c r="P244" s="104"/>
      <c r="Q244" s="139"/>
      <c r="R244" s="139"/>
      <c r="S244" s="139"/>
      <c r="T244" s="33"/>
      <c r="U244" s="33"/>
      <c r="V244" s="33"/>
      <c r="W244" s="169"/>
      <c r="X244" s="158" t="s">
        <v>609</v>
      </c>
      <c r="Y244" s="104" t="s">
        <v>352</v>
      </c>
      <c r="Z244" s="104">
        <f>X239+Y239+Z239</f>
        <v>7244200</v>
      </c>
      <c r="AA244" s="104"/>
      <c r="AB244" s="136"/>
      <c r="AC244" s="723"/>
      <c r="AD244" s="38"/>
      <c r="AE244" s="38"/>
      <c r="AF244" s="38"/>
      <c r="AG244" s="38"/>
      <c r="AH244" s="38"/>
      <c r="AI244" s="38"/>
      <c r="AJ244" s="38"/>
    </row>
    <row r="245" spans="1:38" ht="15" thickTop="1">
      <c r="D245" s="143"/>
      <c r="E245" s="712"/>
      <c r="F245" s="713"/>
      <c r="G245" s="714"/>
      <c r="H245" s="714" t="s">
        <v>249</v>
      </c>
      <c r="I245" s="35"/>
      <c r="J245" s="173">
        <f>J244+J243</f>
        <v>0</v>
      </c>
      <c r="K245" s="714" t="s">
        <v>454</v>
      </c>
      <c r="L245" s="722"/>
      <c r="M245" s="80"/>
      <c r="N245" s="104"/>
      <c r="O245" s="824"/>
      <c r="P245" s="104"/>
      <c r="Q245" s="826"/>
      <c r="R245" s="139"/>
      <c r="S245" s="139"/>
      <c r="T245" s="139"/>
      <c r="U245" s="139"/>
      <c r="V245" s="139"/>
      <c r="W245" s="169"/>
      <c r="X245" s="158"/>
      <c r="Y245" s="104"/>
      <c r="Z245" s="104"/>
      <c r="AA245" s="104"/>
      <c r="AB245" s="136"/>
      <c r="AC245" s="723"/>
      <c r="AD245" s="38"/>
      <c r="AE245" s="38"/>
      <c r="AF245" s="38" t="s">
        <v>86</v>
      </c>
      <c r="AG245" s="38"/>
      <c r="AH245" s="233">
        <f>SUM(AD243+AH243)</f>
        <v>20066348.650000006</v>
      </c>
      <c r="AI245" s="233">
        <f t="shared" ref="AI245:AJ245" si="57">SUM(AE243+AI243)</f>
        <v>989253.47999999986</v>
      </c>
      <c r="AJ245" s="233">
        <f t="shared" si="57"/>
        <v>168824.9</v>
      </c>
    </row>
    <row r="246" spans="1:38" ht="14">
      <c r="D246" s="143"/>
      <c r="E246" s="712"/>
      <c r="F246" s="713"/>
      <c r="G246" s="714"/>
      <c r="H246" s="714"/>
      <c r="J246" s="80"/>
      <c r="K246" s="714"/>
      <c r="L246" s="722"/>
      <c r="M246" s="104"/>
      <c r="N246" s="38"/>
      <c r="O246" s="139"/>
      <c r="P246" s="104"/>
      <c r="Q246" s="139"/>
      <c r="R246" s="139"/>
      <c r="S246" s="139"/>
      <c r="T246" s="139"/>
      <c r="U246" s="139"/>
      <c r="V246" s="139"/>
      <c r="W246" s="169"/>
      <c r="X246" s="158" t="s">
        <v>600</v>
      </c>
      <c r="Y246" s="104" t="s">
        <v>355</v>
      </c>
      <c r="Z246" s="104"/>
      <c r="AA246" s="104">
        <f>X239</f>
        <v>6469200</v>
      </c>
      <c r="AB246" s="136"/>
      <c r="AC246" s="38"/>
      <c r="AD246" s="797" t="s">
        <v>882</v>
      </c>
      <c r="AE246" s="38"/>
      <c r="AF246" s="38"/>
      <c r="AG246" s="38"/>
      <c r="AH246" s="233"/>
      <c r="AI246" s="233"/>
      <c r="AJ246" s="233"/>
    </row>
    <row r="247" spans="1:38" ht="15" thickBot="1">
      <c r="D247" s="143" t="s">
        <v>823</v>
      </c>
      <c r="E247" s="712"/>
      <c r="F247" s="713"/>
      <c r="G247" s="714"/>
      <c r="H247" s="714"/>
      <c r="J247" s="661">
        <f>M240</f>
        <v>7244200</v>
      </c>
      <c r="K247" s="714" t="s">
        <v>1108</v>
      </c>
      <c r="L247" s="645"/>
      <c r="M247" s="173"/>
      <c r="N247" s="38"/>
      <c r="O247" s="139"/>
      <c r="P247" s="104"/>
      <c r="Q247" s="139"/>
      <c r="R247" s="139"/>
      <c r="S247" s="139"/>
      <c r="T247" s="726"/>
      <c r="U247" s="139"/>
      <c r="V247" s="727"/>
      <c r="W247" s="169"/>
      <c r="X247" s="158"/>
      <c r="Y247" s="104" t="s">
        <v>356</v>
      </c>
      <c r="Z247" s="104"/>
      <c r="AA247" s="104">
        <f>AA239</f>
        <v>0</v>
      </c>
      <c r="AB247" s="136"/>
      <c r="AC247" s="38"/>
      <c r="AD247" s="38"/>
      <c r="AE247" s="38"/>
      <c r="AF247" s="38"/>
      <c r="AG247" s="38"/>
      <c r="AH247" s="799" t="s">
        <v>897</v>
      </c>
      <c r="AI247" s="801">
        <f>SUM(AH245:AJ245)</f>
        <v>21224427.030000005</v>
      </c>
      <c r="AJ247" s="800"/>
    </row>
    <row r="248" spans="1:38" ht="16" thickTop="1" thickBot="1">
      <c r="D248" s="143"/>
      <c r="E248" s="712"/>
      <c r="F248" s="713"/>
      <c r="G248" s="714"/>
      <c r="H248" s="714"/>
      <c r="J248" s="824">
        <f>SUM(J245:J247)</f>
        <v>7244200</v>
      </c>
      <c r="K248" s="714"/>
      <c r="L248" s="722"/>
      <c r="M248" s="173"/>
      <c r="N248" s="38"/>
      <c r="O248" s="33"/>
      <c r="P248" s="38"/>
      <c r="Q248" s="139"/>
      <c r="R248" s="139"/>
      <c r="S248" s="139"/>
      <c r="T248" s="139"/>
      <c r="U248" s="139"/>
      <c r="V248" s="139"/>
      <c r="W248" s="169"/>
      <c r="X248" s="158"/>
      <c r="Y248" s="104"/>
      <c r="Z248" s="104"/>
      <c r="AA248" s="104"/>
      <c r="AB248" s="136"/>
      <c r="AC248" s="38"/>
      <c r="AD248" s="38"/>
      <c r="AE248" s="38"/>
      <c r="AF248" s="38"/>
      <c r="AG248" s="38"/>
    </row>
    <row r="249" spans="1:38" ht="15" thickBot="1">
      <c r="E249" s="712"/>
      <c r="F249" s="713"/>
      <c r="G249" s="714"/>
      <c r="H249" s="714"/>
      <c r="J249" s="754">
        <f>J243+J247</f>
        <v>21224427.030000005</v>
      </c>
      <c r="K249" s="714" t="s">
        <v>1109</v>
      </c>
      <c r="L249" s="722"/>
      <c r="M249" s="173"/>
      <c r="N249" s="38"/>
      <c r="O249" s="33"/>
      <c r="P249" s="38"/>
      <c r="Q249" s="139"/>
      <c r="R249" s="139"/>
      <c r="S249" s="139"/>
      <c r="T249" s="139"/>
      <c r="U249" s="139"/>
      <c r="V249" s="139"/>
      <c r="W249" s="169"/>
      <c r="X249" s="158" t="s">
        <v>601</v>
      </c>
      <c r="Y249" s="104" t="s">
        <v>357</v>
      </c>
      <c r="Z249" s="104"/>
      <c r="AA249" s="104">
        <f>Y239</f>
        <v>606000</v>
      </c>
      <c r="AB249" s="136"/>
      <c r="AC249" s="38"/>
      <c r="AD249" s="38"/>
      <c r="AE249" s="38"/>
      <c r="AF249" s="38"/>
      <c r="AG249" s="38"/>
      <c r="AH249" s="796" t="s">
        <v>857</v>
      </c>
      <c r="AI249" s="38">
        <f>AI247-AJ245</f>
        <v>21055602.130000006</v>
      </c>
      <c r="AJ249" s="38"/>
    </row>
    <row r="250" spans="1:38">
      <c r="D250" s="161"/>
      <c r="E250" s="712"/>
      <c r="F250" s="713"/>
      <c r="G250" s="714"/>
      <c r="H250" s="714"/>
      <c r="J250" s="637"/>
      <c r="K250" s="714"/>
      <c r="L250" s="173"/>
      <c r="M250" s="731"/>
      <c r="N250" s="38"/>
      <c r="O250" s="33"/>
      <c r="P250" s="38"/>
      <c r="Q250" s="139"/>
      <c r="R250" s="139"/>
      <c r="S250" s="139"/>
      <c r="T250" s="139"/>
      <c r="U250" s="139"/>
      <c r="V250" s="139"/>
      <c r="W250" s="169"/>
      <c r="X250" s="415"/>
      <c r="Y250" s="104" t="s">
        <v>358</v>
      </c>
      <c r="Z250" s="104"/>
      <c r="AA250" s="104">
        <f>AB239</f>
        <v>0</v>
      </c>
      <c r="AB250" s="136"/>
      <c r="AC250" s="38"/>
      <c r="AD250" s="38"/>
      <c r="AE250" s="38"/>
      <c r="AF250" s="38"/>
      <c r="AG250" s="38"/>
      <c r="AH250" s="38"/>
      <c r="AI250" s="38"/>
      <c r="AJ250" s="38"/>
    </row>
    <row r="251" spans="1:38">
      <c r="E251" s="712"/>
      <c r="F251" s="713"/>
      <c r="G251" s="714"/>
      <c r="H251" s="714"/>
      <c r="J251" s="658">
        <f>SUM(AD243:AJ243)</f>
        <v>21224427.030000005</v>
      </c>
      <c r="K251" s="714" t="s">
        <v>518</v>
      </c>
      <c r="L251" s="732"/>
      <c r="M251" s="637"/>
      <c r="N251" s="38"/>
      <c r="O251" s="33"/>
      <c r="P251" s="38"/>
      <c r="Q251" s="139"/>
      <c r="R251" s="139"/>
      <c r="S251" s="139"/>
      <c r="T251" s="139"/>
      <c r="U251" s="139"/>
      <c r="V251" s="139"/>
      <c r="W251" s="169"/>
      <c r="X251" s="415"/>
      <c r="Y251" s="104"/>
      <c r="Z251" s="104"/>
      <c r="AA251" s="104"/>
      <c r="AB251" s="136"/>
      <c r="AC251" s="38"/>
      <c r="AD251" s="38"/>
      <c r="AE251" s="38"/>
      <c r="AF251" s="38"/>
      <c r="AG251" s="38"/>
      <c r="AH251" s="38"/>
      <c r="AI251" s="38"/>
      <c r="AJ251" s="38"/>
    </row>
    <row r="252" spans="1:38" ht="13" thickBot="1">
      <c r="E252" s="712"/>
      <c r="F252" s="713"/>
      <c r="G252" s="714"/>
      <c r="H252" s="714"/>
      <c r="J252" s="169"/>
      <c r="K252" s="714" t="s">
        <v>454</v>
      </c>
      <c r="L252" s="733"/>
      <c r="M252" s="795"/>
      <c r="N252" s="38"/>
      <c r="O252" s="33"/>
      <c r="P252" s="38"/>
      <c r="Q252" s="139"/>
      <c r="R252" s="139"/>
      <c r="S252" s="139"/>
      <c r="T252" s="139"/>
      <c r="U252" s="139"/>
      <c r="V252" s="139"/>
      <c r="W252" s="169"/>
      <c r="X252" s="158" t="s">
        <v>602</v>
      </c>
      <c r="Y252" s="488" t="s">
        <v>359</v>
      </c>
      <c r="Z252" s="488"/>
      <c r="AA252" s="488">
        <f>Z239</f>
        <v>169000</v>
      </c>
      <c r="AB252" s="414"/>
      <c r="AC252" s="38"/>
      <c r="AD252" s="38"/>
      <c r="AE252" s="38"/>
      <c r="AF252" s="38"/>
      <c r="AG252" s="38"/>
      <c r="AH252" s="38"/>
      <c r="AI252" s="38"/>
      <c r="AJ252" s="38"/>
    </row>
    <row r="253" spans="1:38" ht="15" thickBot="1">
      <c r="E253" s="712"/>
      <c r="F253" s="713"/>
      <c r="G253" s="714"/>
      <c r="H253" s="714"/>
      <c r="J253" s="736"/>
      <c r="K253" s="714" t="s">
        <v>519</v>
      </c>
      <c r="L253" s="169"/>
      <c r="M253" s="169"/>
      <c r="N253" s="38"/>
      <c r="O253" s="33"/>
      <c r="P253" s="38"/>
      <c r="Q253" s="33"/>
      <c r="R253" s="33"/>
      <c r="S253" s="33"/>
      <c r="T253" s="33"/>
      <c r="U253" s="33"/>
      <c r="V253" s="33"/>
      <c r="W253" s="169"/>
      <c r="X253" s="416"/>
      <c r="Y253" s="104"/>
      <c r="Z253" s="80">
        <f>SUM(Z244:Z252)</f>
        <v>7244200</v>
      </c>
      <c r="AA253" s="80">
        <f>SUM(AA244:AA252)</f>
        <v>7244200</v>
      </c>
      <c r="AB253" s="136"/>
      <c r="AC253" s="38"/>
      <c r="AD253" s="38"/>
      <c r="AE253" s="38"/>
      <c r="AF253" s="38"/>
      <c r="AG253" s="38"/>
      <c r="AH253" s="38"/>
      <c r="AI253" s="822">
        <f>SUM(AI245/AI249)</f>
        <v>4.6982910956059158E-2</v>
      </c>
      <c r="AJ253" s="38"/>
    </row>
    <row r="254" spans="1:38">
      <c r="E254" s="712"/>
      <c r="F254" s="713"/>
      <c r="G254" s="714"/>
      <c r="H254" s="714"/>
      <c r="I254" s="714"/>
      <c r="J254" s="169"/>
      <c r="K254" s="169"/>
      <c r="L254" s="169"/>
      <c r="M254" s="169"/>
      <c r="N254" s="38"/>
      <c r="O254" s="33"/>
      <c r="P254" s="38"/>
      <c r="Q254" s="33"/>
      <c r="R254" s="33"/>
      <c r="S254" s="33"/>
      <c r="T254" s="33"/>
      <c r="U254" s="33"/>
      <c r="V254" s="33"/>
      <c r="W254" s="169"/>
      <c r="X254" s="416"/>
      <c r="Y254" s="104"/>
      <c r="Z254" s="104"/>
      <c r="AA254" s="104"/>
      <c r="AB254" s="136"/>
      <c r="AC254" s="38"/>
      <c r="AD254" s="38"/>
      <c r="AE254" s="38"/>
      <c r="AF254" s="38"/>
      <c r="AG254" s="38"/>
      <c r="AH254" s="38"/>
      <c r="AI254" s="38"/>
      <c r="AJ254" s="38"/>
    </row>
    <row r="255" spans="1:38" ht="13" thickBot="1">
      <c r="E255" s="712"/>
      <c r="F255" s="713"/>
      <c r="G255" s="714"/>
      <c r="H255" s="714"/>
      <c r="I255" s="714"/>
      <c r="J255" s="169"/>
      <c r="K255" s="169"/>
      <c r="L255" s="169"/>
      <c r="M255" s="169"/>
      <c r="N255" s="38"/>
      <c r="O255" s="33"/>
      <c r="P255" s="38"/>
      <c r="Q255" s="33"/>
      <c r="R255" s="33"/>
      <c r="S255" s="33"/>
      <c r="T255" s="33"/>
      <c r="U255" s="33"/>
      <c r="V255" s="33"/>
      <c r="W255" s="169"/>
      <c r="X255" s="330"/>
      <c r="Y255" s="279"/>
      <c r="Z255" s="279"/>
      <c r="AA255" s="279"/>
      <c r="AB255" s="280"/>
      <c r="AC255" s="38"/>
      <c r="AD255" s="38"/>
      <c r="AE255" s="38"/>
      <c r="AF255" s="38"/>
      <c r="AG255" s="38"/>
      <c r="AH255" s="38"/>
      <c r="AI255" s="38"/>
      <c r="AJ255" s="38"/>
    </row>
    <row r="256" spans="1:38">
      <c r="E256" s="712"/>
      <c r="F256" s="713"/>
      <c r="G256" s="714"/>
      <c r="H256" s="714"/>
      <c r="I256" s="714"/>
      <c r="J256" s="169"/>
      <c r="K256" s="169"/>
      <c r="L256" s="169"/>
      <c r="M256" s="169"/>
      <c r="N256" s="38"/>
      <c r="O256" s="33"/>
      <c r="P256" s="38"/>
      <c r="Q256" s="33"/>
      <c r="R256" s="33"/>
      <c r="S256" s="33"/>
      <c r="T256" s="33"/>
      <c r="U256" s="33"/>
      <c r="V256" s="33"/>
      <c r="W256" s="169"/>
      <c r="X256" s="104"/>
      <c r="Y256" s="104"/>
      <c r="Z256" s="104"/>
      <c r="AA256" s="104"/>
      <c r="AB256" s="104"/>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row r="260" spans="5:36">
      <c r="E260" s="712"/>
      <c r="F260" s="713"/>
      <c r="G260" s="714"/>
      <c r="H260" s="714"/>
      <c r="I260" s="714"/>
      <c r="J260" s="169"/>
      <c r="K260" s="169"/>
      <c r="L260" s="169"/>
      <c r="M260" s="169"/>
      <c r="N260" s="38"/>
      <c r="O260" s="33"/>
      <c r="P260" s="38"/>
      <c r="Q260" s="33"/>
      <c r="R260" s="33"/>
      <c r="S260" s="33"/>
      <c r="T260" s="33"/>
      <c r="U260" s="33"/>
      <c r="V260" s="33"/>
      <c r="W260" s="169"/>
      <c r="AC260" s="38"/>
      <c r="AD260" s="38"/>
      <c r="AE260" s="38"/>
      <c r="AF260" s="38"/>
      <c r="AG260" s="38"/>
      <c r="AH260" s="38"/>
      <c r="AI260" s="38"/>
      <c r="AJ260" s="38"/>
    </row>
    <row r="261" spans="5:36">
      <c r="E261" s="712"/>
      <c r="F261" s="713"/>
      <c r="G261" s="714"/>
      <c r="H261" s="714"/>
      <c r="I261" s="714"/>
      <c r="J261" s="169"/>
      <c r="K261" s="169"/>
      <c r="L261" s="169"/>
      <c r="M261" s="169"/>
      <c r="N261" s="38"/>
      <c r="O261" s="33"/>
      <c r="P261" s="38"/>
      <c r="Q261" s="33"/>
      <c r="R261" s="33"/>
      <c r="S261" s="33"/>
      <c r="T261" s="33"/>
      <c r="U261" s="33"/>
      <c r="V261" s="33"/>
      <c r="W261" s="169"/>
      <c r="AC261" s="38"/>
      <c r="AD261" s="38"/>
      <c r="AE261" s="38"/>
      <c r="AF261" s="38"/>
      <c r="AG261" s="38"/>
      <c r="AH261" s="38"/>
      <c r="AI261" s="38"/>
      <c r="AJ261" s="38"/>
    </row>
    <row r="262" spans="5:36">
      <c r="E262" s="712"/>
      <c r="F262" s="713"/>
      <c r="G262" s="714"/>
      <c r="H262" s="714"/>
      <c r="I262" s="714"/>
      <c r="J262" s="169"/>
      <c r="K262" s="169"/>
      <c r="L262" s="169"/>
      <c r="M262" s="169"/>
      <c r="N262" s="38"/>
      <c r="O262" s="33"/>
      <c r="P262" s="38"/>
      <c r="Q262" s="33"/>
      <c r="R262" s="33"/>
      <c r="S262" s="33"/>
      <c r="T262" s="33"/>
      <c r="U262" s="33"/>
      <c r="V262" s="33"/>
      <c r="W262" s="169"/>
      <c r="AC262" s="38"/>
      <c r="AD262" s="38"/>
      <c r="AE262" s="38"/>
      <c r="AF262" s="38"/>
      <c r="AG262" s="38"/>
      <c r="AH262" s="38"/>
      <c r="AI262" s="38"/>
      <c r="AJ262" s="38"/>
    </row>
  </sheetData>
  <pageMargins left="0.7" right="0.7" top="0.75" bottom="0.75" header="0.3" footer="0.3"/>
  <legacyDrawing r:id="rId1"/>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2" x14ac:dyDescent="0"/>
  <sheetData/>
  <customSheetViews>
    <customSheetView guid="{005F2F7B-A3A9-4755-A4DF-7CE06C365CC2}" state="hidden"/>
    <customSheetView guid="{041E0462-B6EA-414A-9F2E-C14ADEFAE5F2}" state="hidden"/>
    <customSheetView guid="{86CCC894-C193-4761-8385-3C374FD67B70}" showPageBreaks="1" state="hidden">
      <pageSetup orientation="portrait" horizontalDpi="1200" verticalDpi="1200"/>
    </customSheetView>
  </customSheetViews>
  <pageMargins left="0.7" right="0.7" top="0.75" bottom="0.75" header="0.3" footer="0.3"/>
  <pageSetup orientation="portrait" horizontalDpi="1200" verticalDpi="1200"/>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77"/>
  <sheetViews>
    <sheetView topLeftCell="D187" zoomScale="85" zoomScaleNormal="85" zoomScalePageLayoutView="85" workbookViewId="0">
      <selection activeCell="D38" sqref="D38"/>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4.19921875" style="152" customWidth="1"/>
    <col min="7" max="8" width="15.3984375" style="17" customWidth="1"/>
    <col min="9" max="9" width="18" style="131" bestFit="1" customWidth="1"/>
    <col min="10" max="10" width="15.796875" style="24" bestFit="1" customWidth="1"/>
    <col min="11" max="11" width="3" style="24" customWidth="1"/>
    <col min="12" max="12" width="15.3984375" style="24" customWidth="1"/>
    <col min="13" max="13" width="17.19921875" style="24" bestFit="1" customWidth="1"/>
    <col min="14" max="14" width="1.796875" style="16" customWidth="1"/>
    <col min="15" max="15" width="15.3984375" style="146" customWidth="1"/>
    <col min="16" max="16" width="1.796875" style="16" customWidth="1"/>
    <col min="17" max="17" width="18.796875" style="146" bestFit="1" customWidth="1"/>
    <col min="18" max="18" width="18.796875" style="269" customWidth="1"/>
    <col min="19" max="19" width="1.796875" style="146" customWidth="1"/>
    <col min="20" max="20" width="21.59765625" style="146" bestFit="1" customWidth="1"/>
    <col min="21" max="21" width="1.796875" style="24" customWidth="1"/>
    <col min="22" max="22" width="18.796875" style="38" bestFit="1" customWidth="1"/>
    <col min="23" max="26" width="15.3984375" style="38" customWidth="1"/>
    <col min="27" max="27" width="15.3984375" style="16" customWidth="1"/>
    <col min="28" max="28" width="16.796875" style="559" bestFit="1" customWidth="1"/>
    <col min="29" max="29" width="15.3984375" style="559" customWidth="1"/>
    <col min="30" max="30" width="15.796875" style="559" customWidth="1"/>
    <col min="31" max="31" width="2.3984375" style="559" customWidth="1"/>
    <col min="32" max="32" width="16.796875" style="559" bestFit="1" customWidth="1"/>
    <col min="33" max="34" width="14.19921875" style="559" customWidth="1"/>
    <col min="35" max="35" width="9.3984375" style="16"/>
    <col min="36" max="36" width="32.3984375" style="147" customWidth="1"/>
    <col min="37" max="16384" width="9.3984375" style="16"/>
  </cols>
  <sheetData>
    <row r="1" spans="1:36">
      <c r="D1" s="147" t="s">
        <v>71</v>
      </c>
      <c r="F1" s="29"/>
      <c r="G1" s="162"/>
      <c r="H1" s="163"/>
      <c r="J1" s="169"/>
      <c r="K1" s="169"/>
      <c r="L1" s="169"/>
      <c r="M1" s="169"/>
      <c r="N1" s="169"/>
      <c r="U1" s="40"/>
      <c r="AJ1" s="147" t="s">
        <v>71</v>
      </c>
    </row>
    <row r="2" spans="1:36">
      <c r="D2" s="147" t="s">
        <v>72</v>
      </c>
      <c r="F2" s="29"/>
      <c r="G2" s="162"/>
      <c r="H2" s="163"/>
      <c r="J2" s="169"/>
      <c r="K2" s="169"/>
      <c r="L2" s="169"/>
      <c r="M2" s="169"/>
      <c r="N2" s="169"/>
      <c r="U2" s="40"/>
      <c r="AJ2" s="147" t="s">
        <v>72</v>
      </c>
    </row>
    <row r="3" spans="1:36">
      <c r="D3" s="147" t="s">
        <v>648</v>
      </c>
      <c r="F3" s="29"/>
      <c r="G3" s="18"/>
      <c r="H3" s="168"/>
      <c r="J3" s="169"/>
      <c r="K3" s="169"/>
      <c r="L3" s="169"/>
      <c r="M3" s="169"/>
      <c r="N3" s="169"/>
      <c r="AJ3" s="147" t="s">
        <v>636</v>
      </c>
    </row>
    <row r="4" spans="1:36">
      <c r="D4" s="148" t="s">
        <v>228</v>
      </c>
      <c r="G4" s="164"/>
      <c r="H4" s="168"/>
      <c r="I4" s="161"/>
      <c r="J4" s="169"/>
      <c r="K4" s="169"/>
      <c r="L4" s="169"/>
      <c r="M4" s="169"/>
      <c r="N4" s="169"/>
      <c r="AJ4" s="148" t="s">
        <v>228</v>
      </c>
    </row>
    <row r="5" spans="1:36" ht="13" thickBot="1">
      <c r="D5" s="148"/>
      <c r="G5" s="161"/>
      <c r="H5" s="630"/>
      <c r="I5" s="161"/>
      <c r="J5" s="169"/>
      <c r="K5" s="169"/>
      <c r="L5" s="169"/>
      <c r="M5" s="169"/>
      <c r="N5" s="169"/>
      <c r="AJ5" s="148"/>
    </row>
    <row r="6" spans="1:36">
      <c r="B6" s="460"/>
      <c r="C6" s="668"/>
      <c r="D6" s="461" t="s">
        <v>84</v>
      </c>
      <c r="E6" s="462" t="s">
        <v>85</v>
      </c>
      <c r="G6" s="161"/>
      <c r="H6" s="630"/>
      <c r="I6" s="161"/>
      <c r="J6" s="169"/>
      <c r="K6" s="169"/>
      <c r="L6" s="169"/>
      <c r="M6" s="169"/>
      <c r="N6" s="169"/>
      <c r="O6" s="152"/>
      <c r="P6" s="18"/>
      <c r="Q6" s="152"/>
      <c r="R6" s="760"/>
      <c r="S6" s="152"/>
      <c r="T6" s="152"/>
      <c r="AJ6" s="461" t="s">
        <v>84</v>
      </c>
    </row>
    <row r="7" spans="1:36">
      <c r="B7" s="459"/>
      <c r="C7" s="113"/>
      <c r="D7" s="458" t="s">
        <v>74</v>
      </c>
      <c r="E7" s="463" t="s">
        <v>77</v>
      </c>
      <c r="G7" s="161"/>
      <c r="H7" s="630"/>
      <c r="I7" s="161"/>
      <c r="J7" s="169"/>
      <c r="K7" s="169"/>
      <c r="L7" s="169"/>
      <c r="M7" s="169"/>
      <c r="N7" s="169"/>
      <c r="AJ7" s="458" t="s">
        <v>74</v>
      </c>
    </row>
    <row r="8" spans="1:36">
      <c r="B8" s="459"/>
      <c r="C8" s="113"/>
      <c r="D8" s="458" t="s">
        <v>75</v>
      </c>
      <c r="E8" s="287" t="s">
        <v>115</v>
      </c>
      <c r="F8" s="29"/>
      <c r="G8" s="161"/>
      <c r="H8" s="630"/>
      <c r="I8" s="135"/>
      <c r="J8" s="172"/>
      <c r="K8" s="41"/>
      <c r="L8" s="37"/>
      <c r="M8" s="37"/>
      <c r="U8" s="41"/>
      <c r="AJ8" s="458" t="s">
        <v>75</v>
      </c>
    </row>
    <row r="9" spans="1:36">
      <c r="B9" s="459"/>
      <c r="C9" s="669"/>
      <c r="D9" s="568" t="s">
        <v>73</v>
      </c>
      <c r="E9" s="572" t="s">
        <v>446</v>
      </c>
      <c r="F9" s="29"/>
      <c r="G9" s="164"/>
      <c r="H9" s="630"/>
      <c r="I9" s="135"/>
      <c r="J9" s="75"/>
      <c r="K9" s="41"/>
      <c r="L9" s="77"/>
      <c r="M9" s="77"/>
      <c r="N9" s="27"/>
      <c r="O9" s="151"/>
      <c r="P9" s="27"/>
      <c r="Q9" s="151"/>
      <c r="R9" s="761"/>
      <c r="S9" s="151"/>
      <c r="T9" s="151"/>
      <c r="U9" s="41"/>
      <c r="AJ9" s="568" t="s">
        <v>73</v>
      </c>
    </row>
    <row r="10" spans="1:36">
      <c r="B10" s="459"/>
      <c r="C10" s="113"/>
      <c r="D10" s="458" t="s">
        <v>76</v>
      </c>
      <c r="E10" s="465" t="s">
        <v>79</v>
      </c>
      <c r="F10" s="29"/>
      <c r="G10" s="161"/>
      <c r="H10" s="134"/>
      <c r="I10" s="135"/>
      <c r="J10" s="78"/>
      <c r="L10" s="79"/>
      <c r="M10" s="79"/>
      <c r="N10" s="27"/>
      <c r="O10" s="151"/>
      <c r="P10" s="27"/>
      <c r="Q10" s="151"/>
      <c r="R10" s="761"/>
      <c r="S10" s="151"/>
      <c r="T10" s="151"/>
      <c r="AJ10" s="458" t="s">
        <v>76</v>
      </c>
    </row>
    <row r="11" spans="1:36">
      <c r="B11" s="459"/>
      <c r="C11" s="113"/>
      <c r="D11" s="458" t="s">
        <v>81</v>
      </c>
      <c r="E11" s="466" t="s">
        <v>80</v>
      </c>
      <c r="F11" s="29"/>
      <c r="G11" s="161"/>
      <c r="H11" s="134"/>
      <c r="I11" s="10"/>
      <c r="J11" s="78"/>
      <c r="L11" s="79"/>
      <c r="M11" s="79"/>
      <c r="N11" s="27"/>
      <c r="O11" s="151"/>
      <c r="P11" s="27"/>
      <c r="Q11" s="151"/>
      <c r="R11" s="761"/>
      <c r="S11" s="151"/>
      <c r="T11" s="151"/>
      <c r="AJ11" s="458" t="s">
        <v>81</v>
      </c>
    </row>
    <row r="12" spans="1:36">
      <c r="B12" s="459"/>
      <c r="C12" s="113"/>
      <c r="D12" s="458" t="s">
        <v>83</v>
      </c>
      <c r="E12" s="467" t="s">
        <v>82</v>
      </c>
      <c r="F12" s="165"/>
      <c r="G12" s="147"/>
      <c r="H12" s="134"/>
      <c r="J12" s="78"/>
      <c r="L12" s="80"/>
      <c r="M12" s="80"/>
      <c r="N12" s="81"/>
      <c r="O12" s="12"/>
      <c r="P12" s="81"/>
      <c r="Q12" s="12"/>
      <c r="R12" s="762"/>
      <c r="S12" s="12"/>
      <c r="T12" s="12"/>
      <c r="AJ12" s="458" t="s">
        <v>83</v>
      </c>
    </row>
    <row r="13" spans="1:36">
      <c r="B13" s="459"/>
      <c r="C13" s="113"/>
      <c r="D13" s="458" t="s">
        <v>88</v>
      </c>
      <c r="E13" s="468" t="s">
        <v>89</v>
      </c>
      <c r="F13" s="29"/>
      <c r="J13" s="76"/>
      <c r="L13" s="174"/>
      <c r="M13" s="76"/>
      <c r="N13" s="27"/>
      <c r="O13" s="151"/>
      <c r="P13" s="27"/>
      <c r="Q13" s="151"/>
      <c r="R13" s="761"/>
      <c r="S13" s="151"/>
      <c r="T13" s="151"/>
      <c r="AJ13" s="458" t="s">
        <v>88</v>
      </c>
    </row>
    <row r="14" spans="1:36">
      <c r="B14" s="459"/>
      <c r="C14" s="113"/>
      <c r="D14" s="458" t="s">
        <v>116</v>
      </c>
      <c r="E14" s="99" t="s">
        <v>117</v>
      </c>
      <c r="F14" s="29"/>
      <c r="G14" s="166"/>
      <c r="H14" s="145"/>
      <c r="J14" s="76"/>
      <c r="L14" s="173"/>
      <c r="M14" s="173"/>
      <c r="N14" s="27"/>
      <c r="O14" s="151"/>
      <c r="P14" s="27"/>
      <c r="Q14" s="151"/>
      <c r="R14" s="761"/>
      <c r="S14" s="151"/>
      <c r="T14" s="151"/>
      <c r="AJ14" s="458" t="s">
        <v>116</v>
      </c>
    </row>
    <row r="15" spans="1:36" ht="13" thickBot="1">
      <c r="B15" s="469"/>
      <c r="C15" s="670"/>
      <c r="D15" s="470" t="s">
        <v>103</v>
      </c>
      <c r="E15" s="471" t="s">
        <v>101</v>
      </c>
      <c r="F15" s="29"/>
      <c r="G15" s="166"/>
      <c r="H15" s="150"/>
      <c r="J15" s="76"/>
      <c r="AJ15" s="470" t="s">
        <v>103</v>
      </c>
    </row>
    <row r="16" spans="1:36" ht="13" thickBot="1">
      <c r="A16" s="152"/>
      <c r="B16" s="152"/>
      <c r="C16" s="67"/>
      <c r="D16" s="54"/>
      <c r="E16" s="34"/>
      <c r="G16" s="167"/>
      <c r="H16" s="49"/>
      <c r="I16" s="67"/>
      <c r="J16" s="50"/>
      <c r="K16" s="50"/>
      <c r="L16" s="50"/>
      <c r="M16" s="745"/>
      <c r="N16" s="146"/>
      <c r="P16" s="146"/>
      <c r="U16" s="50"/>
      <c r="V16" s="33"/>
      <c r="W16" s="33"/>
      <c r="X16" s="33"/>
      <c r="Y16" s="33"/>
      <c r="AJ16" s="54"/>
    </row>
    <row r="17" spans="1:36" ht="13" thickBot="1">
      <c r="D17" s="526"/>
      <c r="E17" s="582" t="s">
        <v>635</v>
      </c>
      <c r="F17" s="583" t="s">
        <v>254</v>
      </c>
      <c r="G17" s="96" t="s">
        <v>285</v>
      </c>
      <c r="H17" s="96" t="s">
        <v>285</v>
      </c>
      <c r="I17" s="96" t="s">
        <v>285</v>
      </c>
      <c r="J17" s="96" t="s">
        <v>285</v>
      </c>
      <c r="K17" s="581"/>
      <c r="L17" s="96" t="s">
        <v>285</v>
      </c>
      <c r="M17" s="96" t="s">
        <v>285</v>
      </c>
      <c r="N17" s="93"/>
      <c r="O17" s="96" t="s">
        <v>285</v>
      </c>
      <c r="P17" s="93"/>
      <c r="Q17" s="13"/>
      <c r="R17" s="763"/>
      <c r="S17" s="101"/>
      <c r="T17" s="96"/>
      <c r="U17" s="93"/>
      <c r="V17" s="96"/>
      <c r="W17" s="96"/>
      <c r="X17" s="304"/>
      <c r="Y17" s="304"/>
      <c r="Z17" s="304"/>
      <c r="AC17" s="560" t="s">
        <v>266</v>
      </c>
      <c r="AG17" s="561" t="s">
        <v>267</v>
      </c>
      <c r="AJ17" s="526"/>
    </row>
    <row r="18" spans="1:36" ht="13" thickBot="1">
      <c r="A18" s="22" t="s">
        <v>95</v>
      </c>
      <c r="B18" s="22" t="s">
        <v>100</v>
      </c>
      <c r="C18" s="36" t="s">
        <v>522</v>
      </c>
      <c r="D18" s="36" t="s">
        <v>67</v>
      </c>
      <c r="E18" s="450" t="s">
        <v>230</v>
      </c>
      <c r="F18" s="528" t="s">
        <v>229</v>
      </c>
      <c r="G18" s="176" t="s">
        <v>288</v>
      </c>
      <c r="H18" s="545" t="s">
        <v>289</v>
      </c>
      <c r="I18" s="442" t="s">
        <v>290</v>
      </c>
      <c r="J18" s="313" t="s">
        <v>105</v>
      </c>
      <c r="K18" s="93"/>
      <c r="L18" s="94" t="s">
        <v>104</v>
      </c>
      <c r="M18" s="95" t="s">
        <v>106</v>
      </c>
      <c r="N18" s="102"/>
      <c r="O18" s="427" t="s">
        <v>372</v>
      </c>
      <c r="P18" s="102"/>
      <c r="Q18" s="313" t="s">
        <v>642</v>
      </c>
      <c r="R18" s="56" t="s">
        <v>645</v>
      </c>
      <c r="S18" s="149"/>
      <c r="T18" s="327" t="s">
        <v>344</v>
      </c>
      <c r="U18" s="93"/>
      <c r="V18" s="103" t="s">
        <v>111</v>
      </c>
      <c r="W18" s="74" t="s">
        <v>112</v>
      </c>
      <c r="X18" s="103" t="s">
        <v>113</v>
      </c>
      <c r="Y18" s="103" t="s">
        <v>223</v>
      </c>
      <c r="Z18" s="307" t="s">
        <v>224</v>
      </c>
      <c r="AB18" s="562" t="s">
        <v>263</v>
      </c>
      <c r="AC18" s="563" t="s">
        <v>264</v>
      </c>
      <c r="AD18" s="563" t="s">
        <v>265</v>
      </c>
      <c r="AF18" s="562" t="s">
        <v>263</v>
      </c>
      <c r="AG18" s="563" t="s">
        <v>264</v>
      </c>
      <c r="AH18" s="563" t="s">
        <v>265</v>
      </c>
      <c r="AJ18" s="36" t="s">
        <v>67</v>
      </c>
    </row>
    <row r="19" spans="1:36">
      <c r="A19" s="372" t="s">
        <v>109</v>
      </c>
      <c r="B19" s="472" t="s">
        <v>109</v>
      </c>
      <c r="C19" s="666"/>
      <c r="D19" s="373" t="s">
        <v>382</v>
      </c>
      <c r="E19" s="679"/>
      <c r="F19" s="529">
        <f>VLOOKUP(D19,'Q1 2012 DMV-Revenue'!D:T,17,FALSE)</f>
        <v>2344.42</v>
      </c>
      <c r="G19" s="680"/>
      <c r="H19" s="680"/>
      <c r="I19" s="681"/>
      <c r="J19" s="682">
        <f t="shared" ref="J19:J77" si="0">SUM(E19:I19)</f>
        <v>2344.42</v>
      </c>
      <c r="K19" s="683"/>
      <c r="L19" s="684"/>
      <c r="M19" s="753">
        <v>0</v>
      </c>
      <c r="N19" s="683">
        <v>0</v>
      </c>
      <c r="O19" s="686"/>
      <c r="P19" s="683">
        <v>0</v>
      </c>
      <c r="Q19" s="687">
        <f t="shared" ref="Q19:Q149" si="1">L19+M19</f>
        <v>0</v>
      </c>
      <c r="R19" s="764">
        <v>0</v>
      </c>
      <c r="S19" s="689"/>
      <c r="T19" s="690">
        <f t="shared" ref="T19:T80" si="2">IF(R19="","",R19-Q19)</f>
        <v>0</v>
      </c>
      <c r="U19" s="691"/>
      <c r="V19" s="474">
        <f t="shared" ref="V19:V77" si="3">IF(B19="D",Q19,0)</f>
        <v>0</v>
      </c>
      <c r="W19" s="474">
        <f t="shared" ref="W19:W77" si="4">IF(B19="M",Q19,0)</f>
        <v>0</v>
      </c>
      <c r="X19" s="475">
        <f t="shared" ref="X19:X77" si="5">IF(B19="V",Q19,0)</f>
        <v>0</v>
      </c>
      <c r="Y19" s="475">
        <v>0</v>
      </c>
      <c r="Z19" s="476">
        <v>0</v>
      </c>
      <c r="AA19" s="38">
        <f t="shared" ref="AA19:AA77" si="6">(L19+M19)-(V19+W19+X19+Y19+Z19)</f>
        <v>0</v>
      </c>
      <c r="AB19" s="692">
        <v>464.06</v>
      </c>
      <c r="AC19" s="692">
        <f>IF(B19="M",J19,0)-AB19</f>
        <v>1880.3600000000001</v>
      </c>
      <c r="AD19" s="692">
        <f t="shared" ref="AD19:AD77" si="7">IF(B19="V",J19,0)</f>
        <v>0</v>
      </c>
      <c r="AE19" s="38"/>
      <c r="AF19" s="692">
        <f t="shared" ref="AF19:AF77" si="8">IF(B19="D",Q19,0)</f>
        <v>0</v>
      </c>
      <c r="AG19" s="692">
        <f t="shared" ref="AG19:AG77" si="9">IF(B19="M",Q19,0)</f>
        <v>0</v>
      </c>
      <c r="AH19" s="692">
        <f t="shared" ref="AH19:AH77" si="10">IF(B19="V",Q19,0)</f>
        <v>0</v>
      </c>
      <c r="AJ19" s="373" t="s">
        <v>382</v>
      </c>
    </row>
    <row r="20" spans="1:36">
      <c r="A20" s="20" t="s">
        <v>109</v>
      </c>
      <c r="B20" s="20" t="s">
        <v>110</v>
      </c>
      <c r="C20" s="671" t="s">
        <v>523</v>
      </c>
      <c r="D20" s="123" t="s">
        <v>317</v>
      </c>
      <c r="E20" s="679"/>
      <c r="F20" s="529">
        <f>VLOOKUP(D20,'Q1 2012 DMV-Revenue'!D:T,17,FALSE)</f>
        <v>-240.97999999999956</v>
      </c>
      <c r="G20" s="680"/>
      <c r="H20" s="680"/>
      <c r="I20" s="681"/>
      <c r="J20" s="682">
        <f t="shared" si="0"/>
        <v>-240.97999999999956</v>
      </c>
      <c r="K20" s="683"/>
      <c r="L20" s="684"/>
      <c r="M20" s="753">
        <v>12000</v>
      </c>
      <c r="N20" s="683">
        <v>0</v>
      </c>
      <c r="O20" s="686"/>
      <c r="P20" s="683">
        <v>0</v>
      </c>
      <c r="Q20" s="687">
        <f t="shared" si="1"/>
        <v>12000</v>
      </c>
      <c r="R20" s="764">
        <v>12757.51</v>
      </c>
      <c r="S20" s="693"/>
      <c r="T20" s="690">
        <f t="shared" si="2"/>
        <v>757.51000000000022</v>
      </c>
      <c r="U20" s="683"/>
      <c r="V20" s="474">
        <f t="shared" si="3"/>
        <v>12000</v>
      </c>
      <c r="W20" s="474">
        <f t="shared" si="4"/>
        <v>0</v>
      </c>
      <c r="X20" s="475">
        <f t="shared" si="5"/>
        <v>0</v>
      </c>
      <c r="Y20" s="475">
        <v>0</v>
      </c>
      <c r="Z20" s="476">
        <v>0</v>
      </c>
      <c r="AA20" s="38">
        <f t="shared" si="6"/>
        <v>0</v>
      </c>
      <c r="AB20" s="692">
        <f t="shared" ref="AB20:AB77" si="11">IF(B20="D",J20,0)</f>
        <v>-240.97999999999956</v>
      </c>
      <c r="AC20" s="692">
        <f t="shared" ref="AC20:AC77" si="12">IF(B20="M",J20,0)</f>
        <v>0</v>
      </c>
      <c r="AD20" s="692">
        <f t="shared" si="7"/>
        <v>0</v>
      </c>
      <c r="AE20" s="38"/>
      <c r="AF20" s="692">
        <f t="shared" si="8"/>
        <v>12000</v>
      </c>
      <c r="AG20" s="692">
        <f t="shared" si="9"/>
        <v>0</v>
      </c>
      <c r="AH20" s="692">
        <f t="shared" si="10"/>
        <v>0</v>
      </c>
      <c r="AJ20" s="123" t="s">
        <v>317</v>
      </c>
    </row>
    <row r="21" spans="1:36">
      <c r="A21" s="20" t="s">
        <v>109</v>
      </c>
      <c r="B21" s="20" t="s">
        <v>109</v>
      </c>
      <c r="C21" s="671" t="s">
        <v>523</v>
      </c>
      <c r="D21" s="68" t="s">
        <v>393</v>
      </c>
      <c r="E21" s="679"/>
      <c r="F21" s="529">
        <f>VLOOKUP(D21,'Q1 2012 DMV-Revenue'!D:T,17,FALSE)</f>
        <v>5320.07</v>
      </c>
      <c r="G21" s="680"/>
      <c r="H21" s="680"/>
      <c r="I21" s="681"/>
      <c r="J21" s="682">
        <f t="shared" si="0"/>
        <v>5320.07</v>
      </c>
      <c r="K21" s="683"/>
      <c r="L21" s="684"/>
      <c r="M21" s="753">
        <v>25000</v>
      </c>
      <c r="N21" s="683">
        <v>0</v>
      </c>
      <c r="O21" s="686"/>
      <c r="P21" s="683">
        <v>0</v>
      </c>
      <c r="Q21" s="687">
        <f t="shared" si="1"/>
        <v>25000</v>
      </c>
      <c r="R21" s="764">
        <v>40110.32</v>
      </c>
      <c r="S21" s="693"/>
      <c r="T21" s="690">
        <f t="shared" si="2"/>
        <v>15110.32</v>
      </c>
      <c r="U21" s="683"/>
      <c r="V21" s="474">
        <f t="shared" si="3"/>
        <v>0</v>
      </c>
      <c r="W21" s="474">
        <f t="shared" si="4"/>
        <v>25000</v>
      </c>
      <c r="X21" s="475">
        <f t="shared" si="5"/>
        <v>0</v>
      </c>
      <c r="Y21" s="475">
        <v>0</v>
      </c>
      <c r="Z21" s="476">
        <v>0</v>
      </c>
      <c r="AA21" s="38">
        <f t="shared" si="6"/>
        <v>0</v>
      </c>
      <c r="AB21" s="692">
        <f t="shared" si="11"/>
        <v>0</v>
      </c>
      <c r="AC21" s="692">
        <f t="shared" si="12"/>
        <v>5320.07</v>
      </c>
      <c r="AD21" s="692">
        <f t="shared" si="7"/>
        <v>0</v>
      </c>
      <c r="AE21" s="38"/>
      <c r="AF21" s="692">
        <f t="shared" si="8"/>
        <v>0</v>
      </c>
      <c r="AG21" s="692">
        <f t="shared" si="9"/>
        <v>25000</v>
      </c>
      <c r="AH21" s="692">
        <f t="shared" si="10"/>
        <v>0</v>
      </c>
      <c r="AJ21" s="68" t="s">
        <v>393</v>
      </c>
    </row>
    <row r="22" spans="1:36">
      <c r="A22" s="20" t="s">
        <v>109</v>
      </c>
      <c r="B22" s="20" t="s">
        <v>109</v>
      </c>
      <c r="C22" s="671" t="s">
        <v>523</v>
      </c>
      <c r="D22" s="68" t="s">
        <v>129</v>
      </c>
      <c r="E22" s="679"/>
      <c r="F22" s="529">
        <f>VLOOKUP(D22,'Q1 2012 DMV-Revenue'!D:T,17,FALSE)</f>
        <v>25.6</v>
      </c>
      <c r="G22" s="680"/>
      <c r="H22" s="680"/>
      <c r="I22" s="681"/>
      <c r="J22" s="682">
        <f t="shared" si="0"/>
        <v>25.6</v>
      </c>
      <c r="K22" s="683"/>
      <c r="L22" s="684"/>
      <c r="M22" s="753">
        <v>0</v>
      </c>
      <c r="N22" s="683">
        <v>0</v>
      </c>
      <c r="O22" s="686"/>
      <c r="P22" s="683">
        <v>0</v>
      </c>
      <c r="Q22" s="687">
        <f t="shared" si="1"/>
        <v>0</v>
      </c>
      <c r="R22" s="764">
        <v>46.13</v>
      </c>
      <c r="S22" s="693"/>
      <c r="T22" s="690">
        <f t="shared" si="2"/>
        <v>46.13</v>
      </c>
      <c r="U22" s="683"/>
      <c r="V22" s="474">
        <f t="shared" si="3"/>
        <v>0</v>
      </c>
      <c r="W22" s="474">
        <f t="shared" si="4"/>
        <v>0</v>
      </c>
      <c r="X22" s="475">
        <f t="shared" si="5"/>
        <v>0</v>
      </c>
      <c r="Y22" s="475">
        <v>0</v>
      </c>
      <c r="Z22" s="476">
        <v>0</v>
      </c>
      <c r="AA22" s="38">
        <f t="shared" si="6"/>
        <v>0</v>
      </c>
      <c r="AB22" s="692">
        <f t="shared" si="11"/>
        <v>0</v>
      </c>
      <c r="AC22" s="692">
        <f t="shared" si="12"/>
        <v>25.6</v>
      </c>
      <c r="AD22" s="692">
        <f t="shared" si="7"/>
        <v>0</v>
      </c>
      <c r="AE22" s="38"/>
      <c r="AF22" s="692">
        <f t="shared" si="8"/>
        <v>0</v>
      </c>
      <c r="AG22" s="692">
        <f t="shared" si="9"/>
        <v>0</v>
      </c>
      <c r="AH22" s="692">
        <f t="shared" si="10"/>
        <v>0</v>
      </c>
      <c r="AJ22" s="68" t="s">
        <v>129</v>
      </c>
    </row>
    <row r="23" spans="1:36">
      <c r="A23" s="20"/>
      <c r="B23" s="20" t="s">
        <v>110</v>
      </c>
      <c r="C23" s="667" t="s">
        <v>524</v>
      </c>
      <c r="D23" s="123" t="s">
        <v>380</v>
      </c>
      <c r="E23" s="679"/>
      <c r="F23" s="529">
        <f>VLOOKUP(D23,'Q1 2012 DMV-Revenue'!D:T,17,FALSE)</f>
        <v>-3000</v>
      </c>
      <c r="G23" s="680"/>
      <c r="H23" s="680"/>
      <c r="I23" s="681"/>
      <c r="J23" s="682">
        <f t="shared" si="0"/>
        <v>-3000</v>
      </c>
      <c r="K23" s="683"/>
      <c r="L23" s="684"/>
      <c r="M23" s="753">
        <v>7000</v>
      </c>
      <c r="N23" s="683">
        <v>0</v>
      </c>
      <c r="O23" s="686"/>
      <c r="P23" s="683">
        <v>0</v>
      </c>
      <c r="Q23" s="687">
        <f t="shared" si="1"/>
        <v>7000</v>
      </c>
      <c r="R23" s="764">
        <v>3679.48</v>
      </c>
      <c r="S23" s="693"/>
      <c r="T23" s="690">
        <f t="shared" si="2"/>
        <v>-3320.52</v>
      </c>
      <c r="U23" s="683"/>
      <c r="V23" s="474">
        <f t="shared" si="3"/>
        <v>7000</v>
      </c>
      <c r="W23" s="474">
        <f t="shared" si="4"/>
        <v>0</v>
      </c>
      <c r="X23" s="475">
        <f t="shared" si="5"/>
        <v>0</v>
      </c>
      <c r="Y23" s="475">
        <v>0</v>
      </c>
      <c r="Z23" s="476">
        <v>0</v>
      </c>
      <c r="AA23" s="38">
        <f t="shared" si="6"/>
        <v>0</v>
      </c>
      <c r="AB23" s="692">
        <f t="shared" si="11"/>
        <v>-3000</v>
      </c>
      <c r="AC23" s="692">
        <f t="shared" si="12"/>
        <v>0</v>
      </c>
      <c r="AD23" s="692">
        <f t="shared" si="7"/>
        <v>0</v>
      </c>
      <c r="AE23" s="38"/>
      <c r="AF23" s="692">
        <f t="shared" si="8"/>
        <v>7000</v>
      </c>
      <c r="AG23" s="692">
        <f t="shared" si="9"/>
        <v>0</v>
      </c>
      <c r="AH23" s="692">
        <f t="shared" si="10"/>
        <v>0</v>
      </c>
      <c r="AJ23" s="123" t="s">
        <v>380</v>
      </c>
    </row>
    <row r="24" spans="1:36">
      <c r="A24" s="20"/>
      <c r="B24" s="20" t="s">
        <v>110</v>
      </c>
      <c r="C24" s="667" t="s">
        <v>524</v>
      </c>
      <c r="D24" s="123" t="s">
        <v>132</v>
      </c>
      <c r="E24" s="679"/>
      <c r="F24" s="529">
        <f>VLOOKUP(D24,'Q1 2012 DMV-Revenue'!D:T,17,FALSE)</f>
        <v>-4000</v>
      </c>
      <c r="G24" s="680"/>
      <c r="H24" s="680"/>
      <c r="I24" s="681"/>
      <c r="J24" s="682">
        <f t="shared" si="0"/>
        <v>-4000</v>
      </c>
      <c r="K24" s="683"/>
      <c r="L24" s="684"/>
      <c r="M24" s="753">
        <v>9000</v>
      </c>
      <c r="N24" s="683">
        <v>0</v>
      </c>
      <c r="O24" s="686"/>
      <c r="P24" s="683">
        <v>0</v>
      </c>
      <c r="Q24" s="687">
        <f t="shared" si="1"/>
        <v>9000</v>
      </c>
      <c r="R24" s="764">
        <v>5828.58</v>
      </c>
      <c r="S24" s="693"/>
      <c r="T24" s="690">
        <f t="shared" si="2"/>
        <v>-3171.42</v>
      </c>
      <c r="U24" s="683"/>
      <c r="V24" s="474">
        <f t="shared" si="3"/>
        <v>9000</v>
      </c>
      <c r="W24" s="474">
        <f t="shared" si="4"/>
        <v>0</v>
      </c>
      <c r="X24" s="475">
        <f t="shared" si="5"/>
        <v>0</v>
      </c>
      <c r="Y24" s="475">
        <v>0</v>
      </c>
      <c r="Z24" s="476">
        <v>0</v>
      </c>
      <c r="AA24" s="38">
        <f t="shared" si="6"/>
        <v>0</v>
      </c>
      <c r="AB24" s="692">
        <f t="shared" si="11"/>
        <v>-4000</v>
      </c>
      <c r="AC24" s="692">
        <f t="shared" si="12"/>
        <v>0</v>
      </c>
      <c r="AD24" s="692">
        <f t="shared" si="7"/>
        <v>0</v>
      </c>
      <c r="AE24" s="38"/>
      <c r="AF24" s="692">
        <f t="shared" si="8"/>
        <v>9000</v>
      </c>
      <c r="AG24" s="692">
        <f t="shared" si="9"/>
        <v>0</v>
      </c>
      <c r="AH24" s="692">
        <f t="shared" si="10"/>
        <v>0</v>
      </c>
      <c r="AJ24" s="123" t="s">
        <v>132</v>
      </c>
    </row>
    <row r="25" spans="1:36">
      <c r="A25" s="20"/>
      <c r="B25" s="20" t="s">
        <v>110</v>
      </c>
      <c r="C25" s="667" t="s">
        <v>524</v>
      </c>
      <c r="D25" s="123" t="s">
        <v>133</v>
      </c>
      <c r="E25" s="679"/>
      <c r="F25" s="529">
        <f>VLOOKUP(D25,'Q1 2012 DMV-Revenue'!D:T,17,FALSE)</f>
        <v>-6000</v>
      </c>
      <c r="G25" s="680"/>
      <c r="H25" s="680"/>
      <c r="I25" s="681"/>
      <c r="J25" s="682">
        <f t="shared" si="0"/>
        <v>-6000</v>
      </c>
      <c r="K25" s="683"/>
      <c r="L25" s="684"/>
      <c r="M25" s="753">
        <v>10000</v>
      </c>
      <c r="N25" s="683">
        <v>0</v>
      </c>
      <c r="O25" s="686"/>
      <c r="P25" s="683">
        <v>0</v>
      </c>
      <c r="Q25" s="687">
        <f t="shared" si="1"/>
        <v>10000</v>
      </c>
      <c r="R25" s="764">
        <v>5855.2</v>
      </c>
      <c r="S25" s="693"/>
      <c r="T25" s="690">
        <f t="shared" si="2"/>
        <v>-4144.8</v>
      </c>
      <c r="U25" s="683"/>
      <c r="V25" s="474">
        <f t="shared" si="3"/>
        <v>10000</v>
      </c>
      <c r="W25" s="474">
        <f t="shared" si="4"/>
        <v>0</v>
      </c>
      <c r="X25" s="475">
        <f t="shared" si="5"/>
        <v>0</v>
      </c>
      <c r="Y25" s="475">
        <v>0</v>
      </c>
      <c r="Z25" s="476">
        <v>0</v>
      </c>
      <c r="AA25" s="38">
        <f t="shared" si="6"/>
        <v>0</v>
      </c>
      <c r="AB25" s="692">
        <f t="shared" si="11"/>
        <v>-6000</v>
      </c>
      <c r="AC25" s="692">
        <f t="shared" si="12"/>
        <v>0</v>
      </c>
      <c r="AD25" s="692">
        <f t="shared" si="7"/>
        <v>0</v>
      </c>
      <c r="AE25" s="38"/>
      <c r="AF25" s="692">
        <f t="shared" si="8"/>
        <v>10000</v>
      </c>
      <c r="AG25" s="692">
        <f t="shared" si="9"/>
        <v>0</v>
      </c>
      <c r="AH25" s="692">
        <f t="shared" si="10"/>
        <v>0</v>
      </c>
      <c r="AJ25" s="123" t="s">
        <v>133</v>
      </c>
    </row>
    <row r="26" spans="1:36" s="232" customFormat="1">
      <c r="A26" s="283" t="s">
        <v>211</v>
      </c>
      <c r="B26" s="283" t="s">
        <v>109</v>
      </c>
      <c r="C26" s="667" t="s">
        <v>525</v>
      </c>
      <c r="D26" s="123" t="s">
        <v>419</v>
      </c>
      <c r="E26" s="679"/>
      <c r="F26" s="529">
        <f>VLOOKUP(D26,'Q1 2012 DMV-Revenue'!D:T,17,FALSE)</f>
        <v>-35000</v>
      </c>
      <c r="G26" s="680"/>
      <c r="H26" s="680"/>
      <c r="I26" s="681"/>
      <c r="J26" s="682">
        <f t="shared" si="0"/>
        <v>-35000</v>
      </c>
      <c r="K26" s="683"/>
      <c r="L26" s="684"/>
      <c r="M26" s="753">
        <v>40000</v>
      </c>
      <c r="N26" s="683">
        <v>0</v>
      </c>
      <c r="O26" s="686"/>
      <c r="P26" s="683">
        <v>0</v>
      </c>
      <c r="Q26" s="687">
        <f t="shared" si="1"/>
        <v>40000</v>
      </c>
      <c r="R26" s="764">
        <v>0</v>
      </c>
      <c r="S26" s="693"/>
      <c r="T26" s="690">
        <f t="shared" si="2"/>
        <v>-40000</v>
      </c>
      <c r="U26" s="683"/>
      <c r="V26" s="474">
        <f t="shared" si="3"/>
        <v>0</v>
      </c>
      <c r="W26" s="474">
        <f t="shared" si="4"/>
        <v>40000</v>
      </c>
      <c r="X26" s="475">
        <f t="shared" si="5"/>
        <v>0</v>
      </c>
      <c r="Y26" s="475">
        <v>0</v>
      </c>
      <c r="Z26" s="476">
        <v>0</v>
      </c>
      <c r="AA26" s="38">
        <f t="shared" si="6"/>
        <v>0</v>
      </c>
      <c r="AB26" s="692">
        <f t="shared" si="11"/>
        <v>0</v>
      </c>
      <c r="AC26" s="692">
        <f t="shared" si="12"/>
        <v>-35000</v>
      </c>
      <c r="AD26" s="692">
        <f t="shared" si="7"/>
        <v>0</v>
      </c>
      <c r="AE26" s="38"/>
      <c r="AF26" s="692">
        <f t="shared" si="8"/>
        <v>0</v>
      </c>
      <c r="AG26" s="692">
        <f t="shared" si="9"/>
        <v>40000</v>
      </c>
      <c r="AH26" s="692">
        <f t="shared" si="10"/>
        <v>0</v>
      </c>
      <c r="AJ26" s="123" t="s">
        <v>419</v>
      </c>
    </row>
    <row r="27" spans="1:36" s="232" customFormat="1">
      <c r="A27" s="283"/>
      <c r="B27" s="283" t="s">
        <v>109</v>
      </c>
      <c r="C27" s="667" t="s">
        <v>525</v>
      </c>
      <c r="D27" s="413" t="s">
        <v>420</v>
      </c>
      <c r="E27" s="679"/>
      <c r="F27" s="529" t="str">
        <f>VLOOKUP(D27,'Q1 2012 DMV-Revenue'!D:T,17,FALSE)</f>
        <v/>
      </c>
      <c r="G27" s="680"/>
      <c r="H27" s="680"/>
      <c r="I27" s="681"/>
      <c r="J27" s="682">
        <f t="shared" si="0"/>
        <v>0</v>
      </c>
      <c r="K27" s="683"/>
      <c r="L27" s="684"/>
      <c r="M27" s="753">
        <v>0</v>
      </c>
      <c r="N27" s="683">
        <v>0</v>
      </c>
      <c r="O27" s="686"/>
      <c r="P27" s="683">
        <v>0</v>
      </c>
      <c r="Q27" s="687">
        <f t="shared" si="1"/>
        <v>0</v>
      </c>
      <c r="R27" s="764">
        <v>0</v>
      </c>
      <c r="S27" s="693"/>
      <c r="T27" s="690">
        <f t="shared" si="2"/>
        <v>0</v>
      </c>
      <c r="U27" s="683"/>
      <c r="V27" s="474">
        <f t="shared" si="3"/>
        <v>0</v>
      </c>
      <c r="W27" s="474">
        <f t="shared" si="4"/>
        <v>0</v>
      </c>
      <c r="X27" s="475">
        <f t="shared" si="5"/>
        <v>0</v>
      </c>
      <c r="Y27" s="475">
        <v>0</v>
      </c>
      <c r="Z27" s="476">
        <v>0</v>
      </c>
      <c r="AA27" s="38">
        <f t="shared" si="6"/>
        <v>0</v>
      </c>
      <c r="AB27" s="692">
        <f t="shared" si="11"/>
        <v>0</v>
      </c>
      <c r="AC27" s="692">
        <f t="shared" si="12"/>
        <v>0</v>
      </c>
      <c r="AD27" s="692">
        <f t="shared" si="7"/>
        <v>0</v>
      </c>
      <c r="AE27" s="38"/>
      <c r="AF27" s="692">
        <f t="shared" si="8"/>
        <v>0</v>
      </c>
      <c r="AG27" s="692">
        <f t="shared" si="9"/>
        <v>0</v>
      </c>
      <c r="AH27" s="692">
        <f t="shared" si="10"/>
        <v>0</v>
      </c>
      <c r="AJ27" s="413" t="s">
        <v>420</v>
      </c>
    </row>
    <row r="28" spans="1:36" s="232" customFormat="1">
      <c r="A28" s="283"/>
      <c r="B28" s="283" t="s">
        <v>109</v>
      </c>
      <c r="C28" s="667" t="s">
        <v>525</v>
      </c>
      <c r="D28" s="413" t="s">
        <v>421</v>
      </c>
      <c r="E28" s="679"/>
      <c r="F28" s="529" t="str">
        <f>VLOOKUP(D28,'Q1 2012 DMV-Revenue'!D:T,17,FALSE)</f>
        <v/>
      </c>
      <c r="G28" s="680"/>
      <c r="H28" s="680"/>
      <c r="I28" s="681"/>
      <c r="J28" s="682">
        <f t="shared" si="0"/>
        <v>0</v>
      </c>
      <c r="K28" s="683"/>
      <c r="L28" s="684"/>
      <c r="M28" s="753">
        <v>0</v>
      </c>
      <c r="N28" s="683">
        <v>0</v>
      </c>
      <c r="O28" s="686"/>
      <c r="P28" s="683">
        <v>0</v>
      </c>
      <c r="Q28" s="687">
        <f t="shared" si="1"/>
        <v>0</v>
      </c>
      <c r="R28" s="764">
        <v>0</v>
      </c>
      <c r="S28" s="693"/>
      <c r="T28" s="690">
        <f t="shared" si="2"/>
        <v>0</v>
      </c>
      <c r="U28" s="683"/>
      <c r="V28" s="474">
        <f t="shared" si="3"/>
        <v>0</v>
      </c>
      <c r="W28" s="474">
        <f t="shared" si="4"/>
        <v>0</v>
      </c>
      <c r="X28" s="475">
        <f t="shared" si="5"/>
        <v>0</v>
      </c>
      <c r="Y28" s="475">
        <v>0</v>
      </c>
      <c r="Z28" s="476">
        <v>0</v>
      </c>
      <c r="AA28" s="38">
        <f t="shared" si="6"/>
        <v>0</v>
      </c>
      <c r="AB28" s="692">
        <f t="shared" si="11"/>
        <v>0</v>
      </c>
      <c r="AC28" s="692">
        <f t="shared" si="12"/>
        <v>0</v>
      </c>
      <c r="AD28" s="692">
        <f t="shared" si="7"/>
        <v>0</v>
      </c>
      <c r="AE28" s="38"/>
      <c r="AF28" s="692">
        <f t="shared" si="8"/>
        <v>0</v>
      </c>
      <c r="AG28" s="692">
        <f t="shared" si="9"/>
        <v>0</v>
      </c>
      <c r="AH28" s="692">
        <f t="shared" si="10"/>
        <v>0</v>
      </c>
      <c r="AJ28" s="413" t="s">
        <v>421</v>
      </c>
    </row>
    <row r="29" spans="1:36">
      <c r="A29" s="20"/>
      <c r="B29" s="20" t="s">
        <v>110</v>
      </c>
      <c r="C29" s="667"/>
      <c r="D29" s="68" t="s">
        <v>191</v>
      </c>
      <c r="E29" s="679"/>
      <c r="F29" s="529" t="str">
        <f>VLOOKUP(D29,'Q1 2012 DMV-Revenue'!D:T,17,FALSE)</f>
        <v/>
      </c>
      <c r="G29" s="680"/>
      <c r="H29" s="680"/>
      <c r="I29" s="681"/>
      <c r="J29" s="682">
        <f t="shared" si="0"/>
        <v>0</v>
      </c>
      <c r="K29" s="683"/>
      <c r="L29" s="684"/>
      <c r="M29" s="753">
        <v>0</v>
      </c>
      <c r="N29" s="683">
        <v>0</v>
      </c>
      <c r="O29" s="686"/>
      <c r="P29" s="683">
        <v>0</v>
      </c>
      <c r="Q29" s="687">
        <f t="shared" si="1"/>
        <v>0</v>
      </c>
      <c r="R29" s="764">
        <v>760.05</v>
      </c>
      <c r="S29" s="693"/>
      <c r="T29" s="690">
        <f t="shared" si="2"/>
        <v>760.05</v>
      </c>
      <c r="U29" s="683"/>
      <c r="V29" s="474">
        <f t="shared" si="3"/>
        <v>0</v>
      </c>
      <c r="W29" s="474">
        <f t="shared" si="4"/>
        <v>0</v>
      </c>
      <c r="X29" s="475">
        <f t="shared" si="5"/>
        <v>0</v>
      </c>
      <c r="Y29" s="475">
        <v>0</v>
      </c>
      <c r="Z29" s="476">
        <v>0</v>
      </c>
      <c r="AA29" s="38">
        <f t="shared" si="6"/>
        <v>0</v>
      </c>
      <c r="AB29" s="692">
        <f t="shared" si="11"/>
        <v>0</v>
      </c>
      <c r="AC29" s="692">
        <f t="shared" si="12"/>
        <v>0</v>
      </c>
      <c r="AD29" s="692">
        <f t="shared" si="7"/>
        <v>0</v>
      </c>
      <c r="AE29" s="38"/>
      <c r="AF29" s="692">
        <f t="shared" si="8"/>
        <v>0</v>
      </c>
      <c r="AG29" s="692">
        <f t="shared" si="9"/>
        <v>0</v>
      </c>
      <c r="AH29" s="692">
        <f t="shared" si="10"/>
        <v>0</v>
      </c>
      <c r="AJ29" s="68" t="s">
        <v>191</v>
      </c>
    </row>
    <row r="30" spans="1:36">
      <c r="A30" s="20"/>
      <c r="B30" s="20" t="s">
        <v>110</v>
      </c>
      <c r="C30" s="667"/>
      <c r="D30" s="68" t="s">
        <v>589</v>
      </c>
      <c r="E30" s="679"/>
      <c r="F30" s="529">
        <f>VLOOKUP(D30,'Q1 2012 DMV-Revenue'!D:T,17,FALSE)</f>
        <v>16912.98</v>
      </c>
      <c r="G30" s="680"/>
      <c r="H30" s="680"/>
      <c r="I30" s="681"/>
      <c r="J30" s="682">
        <f t="shared" si="0"/>
        <v>16912.98</v>
      </c>
      <c r="K30" s="683"/>
      <c r="L30" s="684"/>
      <c r="M30" s="753">
        <v>5000</v>
      </c>
      <c r="N30" s="683">
        <v>0</v>
      </c>
      <c r="O30" s="686"/>
      <c r="P30" s="683">
        <v>0</v>
      </c>
      <c r="Q30" s="687">
        <f t="shared" si="1"/>
        <v>5000</v>
      </c>
      <c r="R30" s="764">
        <v>0</v>
      </c>
      <c r="S30" s="693"/>
      <c r="T30" s="690">
        <f t="shared" si="2"/>
        <v>-5000</v>
      </c>
      <c r="U30" s="683"/>
      <c r="V30" s="474">
        <f t="shared" si="3"/>
        <v>5000</v>
      </c>
      <c r="W30" s="474">
        <f t="shared" si="4"/>
        <v>0</v>
      </c>
      <c r="X30" s="475">
        <f t="shared" si="5"/>
        <v>0</v>
      </c>
      <c r="Y30" s="475">
        <v>0</v>
      </c>
      <c r="Z30" s="476">
        <v>0</v>
      </c>
      <c r="AA30" s="38">
        <f t="shared" si="6"/>
        <v>0</v>
      </c>
      <c r="AB30" s="692">
        <f t="shared" si="11"/>
        <v>16912.98</v>
      </c>
      <c r="AC30" s="692">
        <f t="shared" si="12"/>
        <v>0</v>
      </c>
      <c r="AD30" s="692">
        <f t="shared" si="7"/>
        <v>0</v>
      </c>
      <c r="AE30" s="38"/>
      <c r="AF30" s="692">
        <f t="shared" si="8"/>
        <v>5000</v>
      </c>
      <c r="AG30" s="692">
        <f t="shared" si="9"/>
        <v>0</v>
      </c>
      <c r="AH30" s="692">
        <f t="shared" si="10"/>
        <v>0</v>
      </c>
      <c r="AJ30" s="68" t="s">
        <v>589</v>
      </c>
    </row>
    <row r="31" spans="1:36">
      <c r="A31" s="20"/>
      <c r="B31" s="20" t="s">
        <v>109</v>
      </c>
      <c r="C31" s="667" t="s">
        <v>526</v>
      </c>
      <c r="D31" s="68" t="s">
        <v>385</v>
      </c>
      <c r="E31" s="679"/>
      <c r="F31" s="529" t="str">
        <f>VLOOKUP(D31,'Q1 2012 DMV-Revenue'!D:T,17,FALSE)</f>
        <v/>
      </c>
      <c r="G31" s="680"/>
      <c r="H31" s="680"/>
      <c r="I31" s="681"/>
      <c r="J31" s="682">
        <f t="shared" si="0"/>
        <v>0</v>
      </c>
      <c r="K31" s="683"/>
      <c r="L31" s="684"/>
      <c r="M31" s="753">
        <v>0</v>
      </c>
      <c r="N31" s="683">
        <v>0</v>
      </c>
      <c r="O31" s="686"/>
      <c r="P31" s="683">
        <v>0</v>
      </c>
      <c r="Q31" s="687">
        <f t="shared" si="1"/>
        <v>0</v>
      </c>
      <c r="R31" s="764">
        <v>2085.96</v>
      </c>
      <c r="S31" s="693"/>
      <c r="T31" s="690">
        <f t="shared" si="2"/>
        <v>2085.96</v>
      </c>
      <c r="U31" s="691"/>
      <c r="V31" s="474">
        <f t="shared" si="3"/>
        <v>0</v>
      </c>
      <c r="W31" s="474">
        <f t="shared" si="4"/>
        <v>0</v>
      </c>
      <c r="X31" s="475">
        <f t="shared" si="5"/>
        <v>0</v>
      </c>
      <c r="Y31" s="475">
        <v>0</v>
      </c>
      <c r="Z31" s="476">
        <v>0</v>
      </c>
      <c r="AA31" s="38">
        <f t="shared" si="6"/>
        <v>0</v>
      </c>
      <c r="AB31" s="692">
        <f t="shared" si="11"/>
        <v>0</v>
      </c>
      <c r="AC31" s="692">
        <f t="shared" si="12"/>
        <v>0</v>
      </c>
      <c r="AD31" s="692">
        <f t="shared" si="7"/>
        <v>0</v>
      </c>
      <c r="AE31" s="38"/>
      <c r="AF31" s="692">
        <f t="shared" si="8"/>
        <v>0</v>
      </c>
      <c r="AG31" s="692">
        <f t="shared" si="9"/>
        <v>0</v>
      </c>
      <c r="AH31" s="692">
        <f t="shared" si="10"/>
        <v>0</v>
      </c>
      <c r="AJ31" s="68" t="s">
        <v>385</v>
      </c>
    </row>
    <row r="32" spans="1:36" s="232" customFormat="1">
      <c r="A32" s="283"/>
      <c r="B32" s="283" t="s">
        <v>110</v>
      </c>
      <c r="C32" s="667" t="s">
        <v>527</v>
      </c>
      <c r="D32" s="123" t="s">
        <v>401</v>
      </c>
      <c r="E32" s="679"/>
      <c r="F32" s="529">
        <f>VLOOKUP(D32,'Q1 2012 DMV-Revenue'!D:T,17,FALSE)</f>
        <v>43149.119999999995</v>
      </c>
      <c r="G32" s="680"/>
      <c r="H32" s="680"/>
      <c r="I32" s="681"/>
      <c r="J32" s="682">
        <f t="shared" si="0"/>
        <v>43149.119999999995</v>
      </c>
      <c r="K32" s="683"/>
      <c r="L32" s="684"/>
      <c r="M32" s="753">
        <v>375000</v>
      </c>
      <c r="N32" s="683">
        <v>0</v>
      </c>
      <c r="O32" s="686"/>
      <c r="P32" s="683">
        <v>0</v>
      </c>
      <c r="Q32" s="687">
        <f t="shared" si="1"/>
        <v>375000</v>
      </c>
      <c r="R32" s="764">
        <v>378403.33</v>
      </c>
      <c r="S32" s="693"/>
      <c r="T32" s="690">
        <f t="shared" si="2"/>
        <v>3403.3300000000163</v>
      </c>
      <c r="U32" s="683"/>
      <c r="V32" s="474">
        <f t="shared" si="3"/>
        <v>375000</v>
      </c>
      <c r="W32" s="474">
        <f t="shared" si="4"/>
        <v>0</v>
      </c>
      <c r="X32" s="475">
        <f t="shared" si="5"/>
        <v>0</v>
      </c>
      <c r="Y32" s="475">
        <v>0</v>
      </c>
      <c r="Z32" s="476">
        <v>0</v>
      </c>
      <c r="AA32" s="38">
        <f t="shared" si="6"/>
        <v>0</v>
      </c>
      <c r="AB32" s="692">
        <f t="shared" si="11"/>
        <v>43149.119999999995</v>
      </c>
      <c r="AC32" s="692">
        <f t="shared" si="12"/>
        <v>0</v>
      </c>
      <c r="AD32" s="692">
        <f t="shared" si="7"/>
        <v>0</v>
      </c>
      <c r="AE32" s="38"/>
      <c r="AF32" s="692">
        <f t="shared" si="8"/>
        <v>375000</v>
      </c>
      <c r="AG32" s="692">
        <f t="shared" si="9"/>
        <v>0</v>
      </c>
      <c r="AH32" s="692">
        <f t="shared" si="10"/>
        <v>0</v>
      </c>
      <c r="AJ32" s="123" t="s">
        <v>401</v>
      </c>
    </row>
    <row r="33" spans="1:36" s="232" customFormat="1">
      <c r="A33" s="283"/>
      <c r="B33" s="283" t="s">
        <v>110</v>
      </c>
      <c r="C33" s="667" t="s">
        <v>528</v>
      </c>
      <c r="D33" s="123" t="s">
        <v>403</v>
      </c>
      <c r="E33" s="679"/>
      <c r="F33" s="529">
        <f>VLOOKUP(D33,'Q1 2012 DMV-Revenue'!D:T,17,FALSE)</f>
        <v>-72.889999999999418</v>
      </c>
      <c r="G33" s="680"/>
      <c r="H33" s="680"/>
      <c r="I33" s="681"/>
      <c r="J33" s="682">
        <f t="shared" si="0"/>
        <v>-72.889999999999418</v>
      </c>
      <c r="K33" s="683"/>
      <c r="L33" s="684"/>
      <c r="M33" s="753">
        <v>55000</v>
      </c>
      <c r="N33" s="683">
        <v>0</v>
      </c>
      <c r="O33" s="686"/>
      <c r="P33" s="683">
        <v>0</v>
      </c>
      <c r="Q33" s="687">
        <f t="shared" si="1"/>
        <v>55000</v>
      </c>
      <c r="R33" s="764">
        <v>58467.7</v>
      </c>
      <c r="S33" s="693"/>
      <c r="T33" s="690">
        <f t="shared" si="2"/>
        <v>3467.6999999999971</v>
      </c>
      <c r="U33" s="683"/>
      <c r="V33" s="474">
        <f t="shared" si="3"/>
        <v>55000</v>
      </c>
      <c r="W33" s="474">
        <f t="shared" si="4"/>
        <v>0</v>
      </c>
      <c r="X33" s="475">
        <f t="shared" si="5"/>
        <v>0</v>
      </c>
      <c r="Y33" s="475">
        <v>0</v>
      </c>
      <c r="Z33" s="476">
        <v>0</v>
      </c>
      <c r="AA33" s="38">
        <f t="shared" si="6"/>
        <v>0</v>
      </c>
      <c r="AB33" s="692">
        <f t="shared" si="11"/>
        <v>-72.889999999999418</v>
      </c>
      <c r="AC33" s="692">
        <f t="shared" si="12"/>
        <v>0</v>
      </c>
      <c r="AD33" s="692">
        <f t="shared" si="7"/>
        <v>0</v>
      </c>
      <c r="AE33" s="38"/>
      <c r="AF33" s="692">
        <f t="shared" si="8"/>
        <v>55000</v>
      </c>
      <c r="AG33" s="692">
        <f t="shared" si="9"/>
        <v>0</v>
      </c>
      <c r="AH33" s="692">
        <f t="shared" si="10"/>
        <v>0</v>
      </c>
      <c r="AJ33" s="123" t="s">
        <v>403</v>
      </c>
    </row>
    <row r="34" spans="1:36" s="232" customFormat="1">
      <c r="A34" s="283"/>
      <c r="B34" s="283" t="s">
        <v>110</v>
      </c>
      <c r="C34" s="667" t="s">
        <v>528</v>
      </c>
      <c r="D34" s="123" t="s">
        <v>404</v>
      </c>
      <c r="E34" s="679"/>
      <c r="F34" s="529">
        <f>VLOOKUP(D34,'Q1 2012 DMV-Revenue'!D:T,17,FALSE)</f>
        <v>2752.0899999999965</v>
      </c>
      <c r="G34" s="680"/>
      <c r="H34" s="680"/>
      <c r="I34" s="681"/>
      <c r="J34" s="682">
        <f t="shared" si="0"/>
        <v>2752.0899999999965</v>
      </c>
      <c r="K34" s="683"/>
      <c r="L34" s="684"/>
      <c r="M34" s="753">
        <v>65000</v>
      </c>
      <c r="N34" s="683">
        <v>0</v>
      </c>
      <c r="O34" s="686"/>
      <c r="P34" s="683">
        <v>0</v>
      </c>
      <c r="Q34" s="687">
        <f t="shared" si="1"/>
        <v>65000</v>
      </c>
      <c r="R34" s="764">
        <v>69250.240000000005</v>
      </c>
      <c r="S34" s="693"/>
      <c r="T34" s="690">
        <f t="shared" si="2"/>
        <v>4250.2400000000052</v>
      </c>
      <c r="U34" s="683"/>
      <c r="V34" s="474">
        <f t="shared" si="3"/>
        <v>65000</v>
      </c>
      <c r="W34" s="474">
        <f t="shared" si="4"/>
        <v>0</v>
      </c>
      <c r="X34" s="475">
        <f t="shared" si="5"/>
        <v>0</v>
      </c>
      <c r="Y34" s="475">
        <v>0</v>
      </c>
      <c r="Z34" s="476">
        <v>0</v>
      </c>
      <c r="AA34" s="38">
        <f t="shared" si="6"/>
        <v>0</v>
      </c>
      <c r="AB34" s="692">
        <f t="shared" si="11"/>
        <v>2752.0899999999965</v>
      </c>
      <c r="AC34" s="692">
        <f t="shared" si="12"/>
        <v>0</v>
      </c>
      <c r="AD34" s="692">
        <f t="shared" si="7"/>
        <v>0</v>
      </c>
      <c r="AE34" s="38"/>
      <c r="AF34" s="692">
        <f t="shared" si="8"/>
        <v>65000</v>
      </c>
      <c r="AG34" s="692">
        <f t="shared" si="9"/>
        <v>0</v>
      </c>
      <c r="AH34" s="692">
        <f t="shared" si="10"/>
        <v>0</v>
      </c>
      <c r="AJ34" s="123" t="s">
        <v>404</v>
      </c>
    </row>
    <row r="35" spans="1:36" s="232" customFormat="1">
      <c r="A35" s="283"/>
      <c r="B35" s="283" t="s">
        <v>110</v>
      </c>
      <c r="C35" s="667" t="s">
        <v>528</v>
      </c>
      <c r="D35" s="123" t="s">
        <v>405</v>
      </c>
      <c r="E35" s="679"/>
      <c r="F35" s="529">
        <f>VLOOKUP(D35,'Q1 2012 DMV-Revenue'!D:T,17,FALSE)</f>
        <v>353.68000000000029</v>
      </c>
      <c r="G35" s="680"/>
      <c r="H35" s="680"/>
      <c r="I35" s="681"/>
      <c r="J35" s="682">
        <f t="shared" si="0"/>
        <v>353.68000000000029</v>
      </c>
      <c r="K35" s="683"/>
      <c r="L35" s="684"/>
      <c r="M35" s="753">
        <v>14000</v>
      </c>
      <c r="N35" s="683">
        <v>0</v>
      </c>
      <c r="O35" s="686"/>
      <c r="P35" s="683">
        <v>0</v>
      </c>
      <c r="Q35" s="687">
        <f t="shared" si="1"/>
        <v>14000</v>
      </c>
      <c r="R35" s="764">
        <v>14837.76</v>
      </c>
      <c r="S35" s="693"/>
      <c r="T35" s="690">
        <f t="shared" si="2"/>
        <v>837.76000000000022</v>
      </c>
      <c r="U35" s="683"/>
      <c r="V35" s="474">
        <f t="shared" si="3"/>
        <v>14000</v>
      </c>
      <c r="W35" s="474">
        <f t="shared" si="4"/>
        <v>0</v>
      </c>
      <c r="X35" s="475">
        <f t="shared" si="5"/>
        <v>0</v>
      </c>
      <c r="Y35" s="475">
        <v>0</v>
      </c>
      <c r="Z35" s="476">
        <v>0</v>
      </c>
      <c r="AA35" s="38">
        <f t="shared" si="6"/>
        <v>0</v>
      </c>
      <c r="AB35" s="692">
        <f t="shared" si="11"/>
        <v>353.68000000000029</v>
      </c>
      <c r="AC35" s="692">
        <f t="shared" si="12"/>
        <v>0</v>
      </c>
      <c r="AD35" s="692">
        <f t="shared" si="7"/>
        <v>0</v>
      </c>
      <c r="AE35" s="38"/>
      <c r="AF35" s="692">
        <f t="shared" si="8"/>
        <v>14000</v>
      </c>
      <c r="AG35" s="692">
        <f t="shared" si="9"/>
        <v>0</v>
      </c>
      <c r="AH35" s="692">
        <f t="shared" si="10"/>
        <v>0</v>
      </c>
      <c r="AJ35" s="123" t="s">
        <v>405</v>
      </c>
    </row>
    <row r="36" spans="1:36" s="232" customFormat="1">
      <c r="A36" s="283"/>
      <c r="B36" s="283" t="s">
        <v>110</v>
      </c>
      <c r="C36" s="667" t="s">
        <v>528</v>
      </c>
      <c r="D36" s="123" t="s">
        <v>406</v>
      </c>
      <c r="E36" s="679"/>
      <c r="F36" s="529">
        <f>VLOOKUP(D36,'Q1 2012 DMV-Revenue'!D:T,17,FALSE)</f>
        <v>8.7100000000000364</v>
      </c>
      <c r="G36" s="680"/>
      <c r="H36" s="680"/>
      <c r="I36" s="681"/>
      <c r="J36" s="682">
        <f t="shared" si="0"/>
        <v>8.7100000000000364</v>
      </c>
      <c r="K36" s="683"/>
      <c r="L36" s="684"/>
      <c r="M36" s="753">
        <v>5000</v>
      </c>
      <c r="N36" s="683">
        <v>0</v>
      </c>
      <c r="O36" s="686"/>
      <c r="P36" s="683">
        <v>0</v>
      </c>
      <c r="Q36" s="687">
        <f t="shared" si="1"/>
        <v>5000</v>
      </c>
      <c r="R36" s="764">
        <v>4840.83</v>
      </c>
      <c r="S36" s="693"/>
      <c r="T36" s="690">
        <f t="shared" si="2"/>
        <v>-159.17000000000007</v>
      </c>
      <c r="U36" s="683"/>
      <c r="V36" s="474">
        <f t="shared" si="3"/>
        <v>5000</v>
      </c>
      <c r="W36" s="474">
        <f t="shared" si="4"/>
        <v>0</v>
      </c>
      <c r="X36" s="475">
        <f t="shared" si="5"/>
        <v>0</v>
      </c>
      <c r="Y36" s="475">
        <v>0</v>
      </c>
      <c r="Z36" s="476">
        <v>0</v>
      </c>
      <c r="AA36" s="38">
        <f t="shared" si="6"/>
        <v>0</v>
      </c>
      <c r="AB36" s="692">
        <f t="shared" si="11"/>
        <v>8.7100000000000364</v>
      </c>
      <c r="AC36" s="692">
        <f t="shared" si="12"/>
        <v>0</v>
      </c>
      <c r="AD36" s="692">
        <f t="shared" si="7"/>
        <v>0</v>
      </c>
      <c r="AE36" s="38"/>
      <c r="AF36" s="692">
        <f t="shared" si="8"/>
        <v>5000</v>
      </c>
      <c r="AG36" s="692">
        <f t="shared" si="9"/>
        <v>0</v>
      </c>
      <c r="AH36" s="692">
        <f t="shared" si="10"/>
        <v>0</v>
      </c>
      <c r="AJ36" s="123" t="s">
        <v>406</v>
      </c>
    </row>
    <row r="37" spans="1:36" s="232" customFormat="1">
      <c r="A37" s="283"/>
      <c r="B37" s="283" t="s">
        <v>110</v>
      </c>
      <c r="C37" s="667" t="s">
        <v>528</v>
      </c>
      <c r="D37" s="123" t="s">
        <v>407</v>
      </c>
      <c r="E37" s="679"/>
      <c r="F37" s="529">
        <f>VLOOKUP(D37,'Q1 2012 DMV-Revenue'!D:T,17,FALSE)</f>
        <v>68.559999999999945</v>
      </c>
      <c r="G37" s="680"/>
      <c r="H37" s="680"/>
      <c r="I37" s="681"/>
      <c r="J37" s="682">
        <f t="shared" si="0"/>
        <v>68.559999999999945</v>
      </c>
      <c r="K37" s="683"/>
      <c r="L37" s="684"/>
      <c r="M37" s="753">
        <v>2000</v>
      </c>
      <c r="N37" s="683">
        <v>0</v>
      </c>
      <c r="O37" s="686"/>
      <c r="P37" s="683">
        <v>0</v>
      </c>
      <c r="Q37" s="687">
        <f t="shared" si="1"/>
        <v>2000</v>
      </c>
      <c r="R37" s="764">
        <v>2507.84</v>
      </c>
      <c r="S37" s="693"/>
      <c r="T37" s="690">
        <f t="shared" si="2"/>
        <v>507.84000000000015</v>
      </c>
      <c r="U37" s="683"/>
      <c r="V37" s="474">
        <f t="shared" si="3"/>
        <v>2000</v>
      </c>
      <c r="W37" s="474">
        <f t="shared" si="4"/>
        <v>0</v>
      </c>
      <c r="X37" s="475">
        <f t="shared" si="5"/>
        <v>0</v>
      </c>
      <c r="Y37" s="475">
        <v>0</v>
      </c>
      <c r="Z37" s="476">
        <v>0</v>
      </c>
      <c r="AA37" s="38">
        <f t="shared" si="6"/>
        <v>0</v>
      </c>
      <c r="AB37" s="692">
        <f t="shared" si="11"/>
        <v>68.559999999999945</v>
      </c>
      <c r="AC37" s="692">
        <f t="shared" si="12"/>
        <v>0</v>
      </c>
      <c r="AD37" s="692">
        <f t="shared" si="7"/>
        <v>0</v>
      </c>
      <c r="AE37" s="38"/>
      <c r="AF37" s="692">
        <f t="shared" si="8"/>
        <v>2000</v>
      </c>
      <c r="AG37" s="692">
        <f t="shared" si="9"/>
        <v>0</v>
      </c>
      <c r="AH37" s="692">
        <f t="shared" si="10"/>
        <v>0</v>
      </c>
      <c r="AJ37" s="123" t="s">
        <v>407</v>
      </c>
    </row>
    <row r="38" spans="1:36" s="232" customFormat="1">
      <c r="A38" s="283"/>
      <c r="B38" s="283" t="s">
        <v>110</v>
      </c>
      <c r="C38" s="667" t="s">
        <v>528</v>
      </c>
      <c r="D38" s="123" t="s">
        <v>820</v>
      </c>
      <c r="E38" s="679"/>
      <c r="F38" s="529">
        <f>VLOOKUP(D38,'Q1 2012 DMV-Revenue'!D:T,17,FALSE)</f>
        <v>-480.29000000000087</v>
      </c>
      <c r="G38" s="680"/>
      <c r="H38" s="680"/>
      <c r="I38" s="681"/>
      <c r="J38" s="682">
        <f t="shared" si="0"/>
        <v>-480.29000000000087</v>
      </c>
      <c r="K38" s="683"/>
      <c r="L38" s="684"/>
      <c r="M38" s="753">
        <v>12000</v>
      </c>
      <c r="N38" s="683">
        <v>0</v>
      </c>
      <c r="O38" s="686"/>
      <c r="P38" s="683">
        <v>0</v>
      </c>
      <c r="Q38" s="687">
        <f t="shared" si="1"/>
        <v>12000</v>
      </c>
      <c r="R38" s="764">
        <v>0</v>
      </c>
      <c r="S38" s="693"/>
      <c r="T38" s="690">
        <f t="shared" si="2"/>
        <v>-12000</v>
      </c>
      <c r="U38" s="683"/>
      <c r="V38" s="474">
        <f t="shared" si="3"/>
        <v>12000</v>
      </c>
      <c r="W38" s="474">
        <f t="shared" si="4"/>
        <v>0</v>
      </c>
      <c r="X38" s="475">
        <f t="shared" si="5"/>
        <v>0</v>
      </c>
      <c r="Y38" s="475">
        <v>0</v>
      </c>
      <c r="Z38" s="476">
        <v>0</v>
      </c>
      <c r="AA38" s="38">
        <f t="shared" si="6"/>
        <v>0</v>
      </c>
      <c r="AB38" s="692">
        <f t="shared" si="11"/>
        <v>-480.29000000000087</v>
      </c>
      <c r="AC38" s="692">
        <f t="shared" si="12"/>
        <v>0</v>
      </c>
      <c r="AD38" s="692">
        <f t="shared" si="7"/>
        <v>0</v>
      </c>
      <c r="AE38" s="38"/>
      <c r="AF38" s="692">
        <f t="shared" si="8"/>
        <v>12000</v>
      </c>
      <c r="AG38" s="692">
        <f t="shared" si="9"/>
        <v>0</v>
      </c>
      <c r="AH38" s="692">
        <f t="shared" si="10"/>
        <v>0</v>
      </c>
      <c r="AJ38" s="123" t="s">
        <v>447</v>
      </c>
    </row>
    <row r="39" spans="1:36" s="232" customFormat="1">
      <c r="A39" s="283"/>
      <c r="B39" s="283" t="s">
        <v>110</v>
      </c>
      <c r="C39" s="667" t="s">
        <v>527</v>
      </c>
      <c r="D39" s="123" t="s">
        <v>460</v>
      </c>
      <c r="E39" s="679"/>
      <c r="F39" s="529">
        <f>VLOOKUP(D39,'Q1 2012 DMV-Revenue'!D:T,17,FALSE)</f>
        <v>1555.7900000000009</v>
      </c>
      <c r="G39" s="680"/>
      <c r="H39" s="680"/>
      <c r="I39" s="681"/>
      <c r="J39" s="682">
        <f t="shared" si="0"/>
        <v>1555.7900000000009</v>
      </c>
      <c r="K39" s="683"/>
      <c r="L39" s="684"/>
      <c r="M39" s="753">
        <v>35000</v>
      </c>
      <c r="N39" s="683">
        <v>0</v>
      </c>
      <c r="O39" s="686"/>
      <c r="P39" s="683">
        <v>0</v>
      </c>
      <c r="Q39" s="687">
        <f t="shared" si="1"/>
        <v>35000</v>
      </c>
      <c r="R39" s="764">
        <v>32958.769999999997</v>
      </c>
      <c r="S39" s="693"/>
      <c r="T39" s="690">
        <f t="shared" si="2"/>
        <v>-2041.2300000000032</v>
      </c>
      <c r="U39" s="683"/>
      <c r="V39" s="474">
        <f t="shared" si="3"/>
        <v>35000</v>
      </c>
      <c r="W39" s="474">
        <f t="shared" si="4"/>
        <v>0</v>
      </c>
      <c r="X39" s="475">
        <f t="shared" si="5"/>
        <v>0</v>
      </c>
      <c r="Y39" s="475">
        <v>0</v>
      </c>
      <c r="Z39" s="476">
        <v>0</v>
      </c>
      <c r="AA39" s="38">
        <f t="shared" si="6"/>
        <v>0</v>
      </c>
      <c r="AB39" s="692">
        <f t="shared" si="11"/>
        <v>1555.7900000000009</v>
      </c>
      <c r="AC39" s="692">
        <f t="shared" si="12"/>
        <v>0</v>
      </c>
      <c r="AD39" s="692">
        <f t="shared" si="7"/>
        <v>0</v>
      </c>
      <c r="AE39" s="38"/>
      <c r="AF39" s="692">
        <f t="shared" si="8"/>
        <v>35000</v>
      </c>
      <c r="AG39" s="692">
        <f t="shared" si="9"/>
        <v>0</v>
      </c>
      <c r="AH39" s="692">
        <f t="shared" si="10"/>
        <v>0</v>
      </c>
      <c r="AJ39" s="123" t="s">
        <v>460</v>
      </c>
    </row>
    <row r="40" spans="1:36" s="232" customFormat="1">
      <c r="A40" s="283"/>
      <c r="B40" s="283" t="s">
        <v>110</v>
      </c>
      <c r="C40" s="676" t="s">
        <v>528</v>
      </c>
      <c r="D40" s="123" t="s">
        <v>623</v>
      </c>
      <c r="E40" s="679"/>
      <c r="F40" s="529" t="str">
        <f>VLOOKUP(D40,'Q1 2012 DMV-Revenue'!D:T,17,FALSE)</f>
        <v/>
      </c>
      <c r="G40" s="694">
        <v>13694.47</v>
      </c>
      <c r="H40" s="680"/>
      <c r="I40" s="681"/>
      <c r="J40" s="682">
        <f t="shared" si="0"/>
        <v>13694.47</v>
      </c>
      <c r="K40" s="683"/>
      <c r="L40" s="684"/>
      <c r="M40" s="753">
        <v>0</v>
      </c>
      <c r="N40" s="683">
        <v>0</v>
      </c>
      <c r="O40" s="686"/>
      <c r="P40" s="683">
        <v>0</v>
      </c>
      <c r="Q40" s="687">
        <f t="shared" si="1"/>
        <v>0</v>
      </c>
      <c r="R40" s="764">
        <v>0</v>
      </c>
      <c r="S40" s="693"/>
      <c r="T40" s="690">
        <f t="shared" si="2"/>
        <v>0</v>
      </c>
      <c r="U40" s="683"/>
      <c r="V40" s="474">
        <f t="shared" si="3"/>
        <v>0</v>
      </c>
      <c r="W40" s="474">
        <f t="shared" si="4"/>
        <v>0</v>
      </c>
      <c r="X40" s="475">
        <f t="shared" si="5"/>
        <v>0</v>
      </c>
      <c r="Y40" s="475">
        <v>0</v>
      </c>
      <c r="Z40" s="476">
        <v>0</v>
      </c>
      <c r="AA40" s="38">
        <f t="shared" si="6"/>
        <v>0</v>
      </c>
      <c r="AB40" s="692">
        <f t="shared" si="11"/>
        <v>13694.47</v>
      </c>
      <c r="AC40" s="692">
        <f t="shared" si="12"/>
        <v>0</v>
      </c>
      <c r="AD40" s="692">
        <f t="shared" si="7"/>
        <v>0</v>
      </c>
      <c r="AE40" s="38"/>
      <c r="AF40" s="692">
        <f t="shared" si="8"/>
        <v>0</v>
      </c>
      <c r="AG40" s="692">
        <f t="shared" si="9"/>
        <v>0</v>
      </c>
      <c r="AH40" s="692">
        <f t="shared" si="10"/>
        <v>0</v>
      </c>
      <c r="AJ40" s="123" t="s">
        <v>623</v>
      </c>
    </row>
    <row r="41" spans="1:36" s="232" customFormat="1">
      <c r="A41" s="403"/>
      <c r="B41" s="403" t="s">
        <v>114</v>
      </c>
      <c r="C41" s="666" t="s">
        <v>529</v>
      </c>
      <c r="D41" s="123" t="s">
        <v>108</v>
      </c>
      <c r="E41" s="679"/>
      <c r="F41" s="529">
        <f>VLOOKUP(D41,'Q1 2012 DMV-Revenue'!D:T,17,FALSE)</f>
        <v>583.74</v>
      </c>
      <c r="G41" s="680"/>
      <c r="H41" s="680"/>
      <c r="I41" s="681"/>
      <c r="J41" s="682">
        <f t="shared" si="0"/>
        <v>583.74</v>
      </c>
      <c r="K41" s="683"/>
      <c r="L41" s="684"/>
      <c r="M41" s="753">
        <v>0</v>
      </c>
      <c r="N41" s="683">
        <v>0</v>
      </c>
      <c r="O41" s="686"/>
      <c r="P41" s="683">
        <v>0</v>
      </c>
      <c r="Q41" s="687">
        <f t="shared" si="1"/>
        <v>0</v>
      </c>
      <c r="R41" s="764">
        <v>1260.72</v>
      </c>
      <c r="S41" s="693"/>
      <c r="T41" s="690">
        <f t="shared" si="2"/>
        <v>1260.72</v>
      </c>
      <c r="U41" s="683"/>
      <c r="V41" s="474">
        <f t="shared" si="3"/>
        <v>0</v>
      </c>
      <c r="W41" s="474">
        <f t="shared" si="4"/>
        <v>0</v>
      </c>
      <c r="X41" s="475">
        <f t="shared" si="5"/>
        <v>0</v>
      </c>
      <c r="Y41" s="475">
        <v>0</v>
      </c>
      <c r="Z41" s="476">
        <v>0</v>
      </c>
      <c r="AA41" s="38">
        <f t="shared" si="6"/>
        <v>0</v>
      </c>
      <c r="AB41" s="692">
        <f t="shared" si="11"/>
        <v>0</v>
      </c>
      <c r="AC41" s="692">
        <f t="shared" si="12"/>
        <v>0</v>
      </c>
      <c r="AD41" s="692">
        <f t="shared" si="7"/>
        <v>583.74</v>
      </c>
      <c r="AE41" s="38"/>
      <c r="AF41" s="692">
        <f t="shared" si="8"/>
        <v>0</v>
      </c>
      <c r="AG41" s="692">
        <f t="shared" si="9"/>
        <v>0</v>
      </c>
      <c r="AH41" s="692">
        <f t="shared" si="10"/>
        <v>0</v>
      </c>
      <c r="AJ41" s="123" t="s">
        <v>108</v>
      </c>
    </row>
    <row r="42" spans="1:36">
      <c r="A42" s="21"/>
      <c r="B42" s="21" t="s">
        <v>110</v>
      </c>
      <c r="C42" s="666"/>
      <c r="D42" s="68" t="s">
        <v>234</v>
      </c>
      <c r="E42" s="679"/>
      <c r="F42" s="529">
        <f>VLOOKUP(D42,'Q1 2012 DMV-Revenue'!D:T,17,FALSE)</f>
        <v>5002.07</v>
      </c>
      <c r="G42" s="680"/>
      <c r="H42" s="680"/>
      <c r="I42" s="681"/>
      <c r="J42" s="682">
        <f t="shared" si="0"/>
        <v>5002.07</v>
      </c>
      <c r="K42" s="683"/>
      <c r="L42" s="684"/>
      <c r="M42" s="753">
        <v>0</v>
      </c>
      <c r="N42" s="683">
        <v>0</v>
      </c>
      <c r="O42" s="686"/>
      <c r="P42" s="683">
        <v>0</v>
      </c>
      <c r="Q42" s="687">
        <f t="shared" si="1"/>
        <v>0</v>
      </c>
      <c r="R42" s="764">
        <v>0</v>
      </c>
      <c r="S42" s="693"/>
      <c r="T42" s="690">
        <f t="shared" si="2"/>
        <v>0</v>
      </c>
      <c r="U42" s="683"/>
      <c r="V42" s="474">
        <f t="shared" si="3"/>
        <v>0</v>
      </c>
      <c r="W42" s="474">
        <f t="shared" si="4"/>
        <v>0</v>
      </c>
      <c r="X42" s="475">
        <f t="shared" si="5"/>
        <v>0</v>
      </c>
      <c r="Y42" s="475">
        <v>0</v>
      </c>
      <c r="Z42" s="476">
        <v>0</v>
      </c>
      <c r="AA42" s="38">
        <f t="shared" si="6"/>
        <v>0</v>
      </c>
      <c r="AB42" s="692">
        <f t="shared" si="11"/>
        <v>5002.07</v>
      </c>
      <c r="AC42" s="692">
        <f t="shared" si="12"/>
        <v>0</v>
      </c>
      <c r="AD42" s="692">
        <f t="shared" si="7"/>
        <v>0</v>
      </c>
      <c r="AE42" s="38"/>
      <c r="AF42" s="692">
        <f t="shared" si="8"/>
        <v>0</v>
      </c>
      <c r="AG42" s="692">
        <f t="shared" si="9"/>
        <v>0</v>
      </c>
      <c r="AH42" s="692">
        <f t="shared" si="10"/>
        <v>0</v>
      </c>
      <c r="AJ42" s="68" t="s">
        <v>234</v>
      </c>
    </row>
    <row r="43" spans="1:36">
      <c r="A43" s="21"/>
      <c r="B43" s="21" t="s">
        <v>110</v>
      </c>
      <c r="C43" s="666"/>
      <c r="D43" s="68" t="s">
        <v>649</v>
      </c>
      <c r="E43" s="679"/>
      <c r="F43" s="529">
        <v>0</v>
      </c>
      <c r="G43" s="680"/>
      <c r="H43" s="680"/>
      <c r="I43" s="681"/>
      <c r="J43" s="682">
        <f t="shared" si="0"/>
        <v>0</v>
      </c>
      <c r="K43" s="683"/>
      <c r="L43" s="684"/>
      <c r="M43" s="753">
        <v>0</v>
      </c>
      <c r="N43" s="683">
        <v>0</v>
      </c>
      <c r="O43" s="686"/>
      <c r="P43" s="683">
        <v>0</v>
      </c>
      <c r="Q43" s="687">
        <f t="shared" si="1"/>
        <v>0</v>
      </c>
      <c r="R43" s="764">
        <v>0</v>
      </c>
      <c r="S43" s="693"/>
      <c r="T43" s="690">
        <f t="shared" si="2"/>
        <v>0</v>
      </c>
      <c r="U43" s="683"/>
      <c r="V43" s="474">
        <f t="shared" si="3"/>
        <v>0</v>
      </c>
      <c r="W43" s="474">
        <f t="shared" si="4"/>
        <v>0</v>
      </c>
      <c r="X43" s="475">
        <f t="shared" si="5"/>
        <v>0</v>
      </c>
      <c r="Y43" s="475">
        <v>0</v>
      </c>
      <c r="Z43" s="476">
        <v>0</v>
      </c>
      <c r="AA43" s="38">
        <f t="shared" si="6"/>
        <v>0</v>
      </c>
      <c r="AB43" s="692">
        <f t="shared" si="11"/>
        <v>0</v>
      </c>
      <c r="AC43" s="692">
        <f t="shared" si="12"/>
        <v>0</v>
      </c>
      <c r="AD43" s="692">
        <f t="shared" si="7"/>
        <v>0</v>
      </c>
      <c r="AE43" s="38"/>
      <c r="AF43" s="692">
        <f t="shared" si="8"/>
        <v>0</v>
      </c>
      <c r="AG43" s="692">
        <f t="shared" si="9"/>
        <v>0</v>
      </c>
      <c r="AH43" s="692">
        <f t="shared" si="10"/>
        <v>0</v>
      </c>
      <c r="AJ43" s="68" t="s">
        <v>3</v>
      </c>
    </row>
    <row r="44" spans="1:36">
      <c r="A44" s="20"/>
      <c r="B44" s="20" t="s">
        <v>109</v>
      </c>
      <c r="C44" s="667"/>
      <c r="D44" s="68" t="s">
        <v>598</v>
      </c>
      <c r="E44" s="679">
        <f>24281.86</f>
        <v>24281.86</v>
      </c>
      <c r="F44" s="529">
        <f>VLOOKUP(D44,'Q1 2012 DMV-Revenue'!D:T,17,FALSE)</f>
        <v>8171.2900000000009</v>
      </c>
      <c r="G44" s="680"/>
      <c r="H44" s="680"/>
      <c r="I44" s="681"/>
      <c r="J44" s="682">
        <f t="shared" si="0"/>
        <v>32453.15</v>
      </c>
      <c r="K44" s="683"/>
      <c r="L44" s="684"/>
      <c r="M44" s="753">
        <v>8000</v>
      </c>
      <c r="N44" s="683">
        <v>0</v>
      </c>
      <c r="O44" s="686"/>
      <c r="P44" s="683">
        <v>0</v>
      </c>
      <c r="Q44" s="687">
        <f t="shared" si="1"/>
        <v>8000</v>
      </c>
      <c r="R44" s="764">
        <v>0</v>
      </c>
      <c r="S44" s="693"/>
      <c r="T44" s="690">
        <f t="shared" si="2"/>
        <v>-8000</v>
      </c>
      <c r="U44" s="683"/>
      <c r="V44" s="474">
        <f t="shared" si="3"/>
        <v>0</v>
      </c>
      <c r="W44" s="474">
        <f t="shared" si="4"/>
        <v>8000</v>
      </c>
      <c r="X44" s="475">
        <f t="shared" si="5"/>
        <v>0</v>
      </c>
      <c r="Y44" s="475">
        <v>0</v>
      </c>
      <c r="Z44" s="476">
        <v>0</v>
      </c>
      <c r="AA44" s="38">
        <f t="shared" si="6"/>
        <v>0</v>
      </c>
      <c r="AB44" s="692">
        <f t="shared" si="11"/>
        <v>0</v>
      </c>
      <c r="AC44" s="692">
        <f t="shared" si="12"/>
        <v>32453.15</v>
      </c>
      <c r="AD44" s="692">
        <f t="shared" si="7"/>
        <v>0</v>
      </c>
      <c r="AE44" s="38"/>
      <c r="AF44" s="692">
        <f t="shared" si="8"/>
        <v>0</v>
      </c>
      <c r="AG44" s="692">
        <f t="shared" si="9"/>
        <v>8000</v>
      </c>
      <c r="AH44" s="692">
        <f t="shared" si="10"/>
        <v>0</v>
      </c>
      <c r="AJ44" s="68" t="s">
        <v>598</v>
      </c>
    </row>
    <row r="45" spans="1:36">
      <c r="A45" s="20"/>
      <c r="B45" s="20" t="s">
        <v>109</v>
      </c>
      <c r="C45" s="667"/>
      <c r="D45" s="68" t="s">
        <v>470</v>
      </c>
      <c r="E45" s="679"/>
      <c r="F45" s="529" t="str">
        <f>VLOOKUP(D45,'Q1 2012 DMV-Revenue'!D:T,17,FALSE)</f>
        <v/>
      </c>
      <c r="G45" s="680"/>
      <c r="H45" s="680"/>
      <c r="I45" s="681"/>
      <c r="J45" s="682">
        <f t="shared" si="0"/>
        <v>0</v>
      </c>
      <c r="K45" s="683"/>
      <c r="L45" s="684"/>
      <c r="M45" s="753">
        <v>0</v>
      </c>
      <c r="N45" s="683">
        <v>0</v>
      </c>
      <c r="O45" s="686"/>
      <c r="P45" s="683">
        <v>0</v>
      </c>
      <c r="Q45" s="687">
        <f t="shared" si="1"/>
        <v>0</v>
      </c>
      <c r="R45" s="764">
        <v>0</v>
      </c>
      <c r="S45" s="693"/>
      <c r="T45" s="690">
        <f t="shared" si="2"/>
        <v>0</v>
      </c>
      <c r="U45" s="683"/>
      <c r="V45" s="474">
        <f t="shared" si="3"/>
        <v>0</v>
      </c>
      <c r="W45" s="474">
        <f t="shared" si="4"/>
        <v>0</v>
      </c>
      <c r="X45" s="475">
        <f t="shared" si="5"/>
        <v>0</v>
      </c>
      <c r="Y45" s="475">
        <v>0</v>
      </c>
      <c r="Z45" s="476">
        <v>0</v>
      </c>
      <c r="AA45" s="38">
        <f t="shared" si="6"/>
        <v>0</v>
      </c>
      <c r="AB45" s="692">
        <f t="shared" si="11"/>
        <v>0</v>
      </c>
      <c r="AC45" s="692">
        <f t="shared" si="12"/>
        <v>0</v>
      </c>
      <c r="AD45" s="692">
        <f t="shared" si="7"/>
        <v>0</v>
      </c>
      <c r="AE45" s="38"/>
      <c r="AF45" s="692">
        <f t="shared" si="8"/>
        <v>0</v>
      </c>
      <c r="AG45" s="692">
        <f t="shared" si="9"/>
        <v>0</v>
      </c>
      <c r="AH45" s="692">
        <f t="shared" si="10"/>
        <v>0</v>
      </c>
      <c r="AJ45" s="68" t="s">
        <v>470</v>
      </c>
    </row>
    <row r="46" spans="1:36">
      <c r="A46" s="20"/>
      <c r="B46" s="20" t="s">
        <v>110</v>
      </c>
      <c r="C46" s="667"/>
      <c r="D46" s="68" t="s">
        <v>311</v>
      </c>
      <c r="E46" s="679"/>
      <c r="F46" s="529" t="str">
        <f>VLOOKUP(D46,'Q1 2012 DMV-Revenue'!D:T,17,FALSE)</f>
        <v/>
      </c>
      <c r="G46" s="680"/>
      <c r="H46" s="680"/>
      <c r="I46" s="681"/>
      <c r="J46" s="682">
        <f t="shared" si="0"/>
        <v>0</v>
      </c>
      <c r="K46" s="683"/>
      <c r="L46" s="684"/>
      <c r="M46" s="753">
        <v>0</v>
      </c>
      <c r="N46" s="683">
        <v>0</v>
      </c>
      <c r="O46" s="686"/>
      <c r="P46" s="683">
        <v>0</v>
      </c>
      <c r="Q46" s="687">
        <f t="shared" si="1"/>
        <v>0</v>
      </c>
      <c r="R46" s="764">
        <v>0</v>
      </c>
      <c r="S46" s="693"/>
      <c r="T46" s="690">
        <f t="shared" si="2"/>
        <v>0</v>
      </c>
      <c r="U46" s="683"/>
      <c r="V46" s="474">
        <f t="shared" si="3"/>
        <v>0</v>
      </c>
      <c r="W46" s="474">
        <f t="shared" si="4"/>
        <v>0</v>
      </c>
      <c r="X46" s="475">
        <f t="shared" si="5"/>
        <v>0</v>
      </c>
      <c r="Y46" s="475">
        <v>0</v>
      </c>
      <c r="Z46" s="476">
        <v>0</v>
      </c>
      <c r="AA46" s="38">
        <f t="shared" si="6"/>
        <v>0</v>
      </c>
      <c r="AB46" s="692">
        <f t="shared" si="11"/>
        <v>0</v>
      </c>
      <c r="AC46" s="692">
        <f t="shared" si="12"/>
        <v>0</v>
      </c>
      <c r="AD46" s="692">
        <f t="shared" si="7"/>
        <v>0</v>
      </c>
      <c r="AE46" s="38"/>
      <c r="AF46" s="692">
        <f t="shared" si="8"/>
        <v>0</v>
      </c>
      <c r="AG46" s="692">
        <f t="shared" si="9"/>
        <v>0</v>
      </c>
      <c r="AH46" s="692">
        <f t="shared" si="10"/>
        <v>0</v>
      </c>
      <c r="AJ46" s="68" t="s">
        <v>311</v>
      </c>
    </row>
    <row r="47" spans="1:36">
      <c r="A47" s="20"/>
      <c r="B47" s="20" t="s">
        <v>110</v>
      </c>
      <c r="C47" s="667"/>
      <c r="D47" s="68" t="s">
        <v>451</v>
      </c>
      <c r="E47" s="679"/>
      <c r="F47" s="529">
        <f>VLOOKUP(D47,'Q1 2012 DMV-Revenue'!D:T,17,FALSE)</f>
        <v>-20000</v>
      </c>
      <c r="G47" s="680"/>
      <c r="H47" s="680"/>
      <c r="I47" s="681"/>
      <c r="J47" s="682">
        <f t="shared" si="0"/>
        <v>-20000</v>
      </c>
      <c r="K47" s="683"/>
      <c r="L47" s="684"/>
      <c r="M47" s="753">
        <v>20000</v>
      </c>
      <c r="N47" s="683">
        <v>0</v>
      </c>
      <c r="O47" s="686"/>
      <c r="P47" s="683">
        <v>0</v>
      </c>
      <c r="Q47" s="687">
        <f t="shared" si="1"/>
        <v>20000</v>
      </c>
      <c r="R47" s="764">
        <v>0</v>
      </c>
      <c r="S47" s="693"/>
      <c r="T47" s="690">
        <f t="shared" si="2"/>
        <v>-20000</v>
      </c>
      <c r="U47" s="683"/>
      <c r="V47" s="474">
        <f t="shared" si="3"/>
        <v>20000</v>
      </c>
      <c r="W47" s="474">
        <f t="shared" si="4"/>
        <v>0</v>
      </c>
      <c r="X47" s="475">
        <f t="shared" si="5"/>
        <v>0</v>
      </c>
      <c r="Y47" s="475">
        <v>0</v>
      </c>
      <c r="Z47" s="476">
        <v>0</v>
      </c>
      <c r="AA47" s="38">
        <f t="shared" si="6"/>
        <v>0</v>
      </c>
      <c r="AB47" s="692">
        <f t="shared" si="11"/>
        <v>-20000</v>
      </c>
      <c r="AC47" s="692">
        <f t="shared" si="12"/>
        <v>0</v>
      </c>
      <c r="AD47" s="692">
        <f t="shared" si="7"/>
        <v>0</v>
      </c>
      <c r="AE47" s="38"/>
      <c r="AF47" s="692">
        <f t="shared" si="8"/>
        <v>20000</v>
      </c>
      <c r="AG47" s="692">
        <f t="shared" si="9"/>
        <v>0</v>
      </c>
      <c r="AH47" s="692">
        <f t="shared" si="10"/>
        <v>0</v>
      </c>
      <c r="AJ47" s="68" t="s">
        <v>451</v>
      </c>
    </row>
    <row r="48" spans="1:36">
      <c r="A48" s="20"/>
      <c r="B48" s="20" t="s">
        <v>109</v>
      </c>
      <c r="C48" s="667"/>
      <c r="D48" s="68" t="s">
        <v>469</v>
      </c>
      <c r="E48" s="679"/>
      <c r="F48" s="529">
        <f>VLOOKUP(D48,'Q1 2012 DMV-Revenue'!D:T,17,FALSE)</f>
        <v>-1452</v>
      </c>
      <c r="G48" s="694">
        <v>4185</v>
      </c>
      <c r="H48" s="680"/>
      <c r="I48" s="681"/>
      <c r="J48" s="682">
        <f t="shared" si="0"/>
        <v>2733</v>
      </c>
      <c r="K48" s="683"/>
      <c r="L48" s="684"/>
      <c r="M48" s="753">
        <v>0</v>
      </c>
      <c r="N48" s="683">
        <v>0</v>
      </c>
      <c r="O48" s="686"/>
      <c r="P48" s="683">
        <v>0</v>
      </c>
      <c r="Q48" s="687">
        <f t="shared" si="1"/>
        <v>0</v>
      </c>
      <c r="R48" s="764">
        <v>0</v>
      </c>
      <c r="S48" s="693"/>
      <c r="T48" s="690">
        <f t="shared" si="2"/>
        <v>0</v>
      </c>
      <c r="U48" s="683"/>
      <c r="V48" s="474">
        <f t="shared" si="3"/>
        <v>0</v>
      </c>
      <c r="W48" s="474">
        <f t="shared" si="4"/>
        <v>0</v>
      </c>
      <c r="X48" s="475">
        <f t="shared" si="5"/>
        <v>0</v>
      </c>
      <c r="Y48" s="475">
        <v>0</v>
      </c>
      <c r="Z48" s="476">
        <v>0</v>
      </c>
      <c r="AA48" s="38">
        <f t="shared" si="6"/>
        <v>0</v>
      </c>
      <c r="AB48" s="692">
        <f t="shared" si="11"/>
        <v>0</v>
      </c>
      <c r="AC48" s="692">
        <f t="shared" si="12"/>
        <v>2733</v>
      </c>
      <c r="AD48" s="692">
        <f t="shared" si="7"/>
        <v>0</v>
      </c>
      <c r="AE48" s="38"/>
      <c r="AF48" s="692">
        <f t="shared" si="8"/>
        <v>0</v>
      </c>
      <c r="AG48" s="692">
        <f t="shared" si="9"/>
        <v>0</v>
      </c>
      <c r="AH48" s="692">
        <f t="shared" si="10"/>
        <v>0</v>
      </c>
      <c r="AJ48" s="68" t="s">
        <v>469</v>
      </c>
    </row>
    <row r="49" spans="1:36">
      <c r="A49" s="20"/>
      <c r="B49" s="20" t="s">
        <v>110</v>
      </c>
      <c r="C49" s="667" t="s">
        <v>530</v>
      </c>
      <c r="D49" s="68" t="s">
        <v>69</v>
      </c>
      <c r="E49" s="679"/>
      <c r="F49" s="529" t="str">
        <f>VLOOKUP(D49,'Q1 2012 DMV-Revenue'!D:T,17,FALSE)</f>
        <v/>
      </c>
      <c r="G49" s="680"/>
      <c r="H49" s="680"/>
      <c r="I49" s="681"/>
      <c r="J49" s="682">
        <f t="shared" si="0"/>
        <v>0</v>
      </c>
      <c r="K49" s="683"/>
      <c r="L49" s="684"/>
      <c r="M49" s="753">
        <v>0</v>
      </c>
      <c r="N49" s="683">
        <v>0</v>
      </c>
      <c r="O49" s="686"/>
      <c r="P49" s="683">
        <v>0</v>
      </c>
      <c r="Q49" s="687">
        <f t="shared" si="1"/>
        <v>0</v>
      </c>
      <c r="R49" s="764">
        <v>2514.0700000000002</v>
      </c>
      <c r="S49" s="693"/>
      <c r="T49" s="690">
        <f t="shared" si="2"/>
        <v>2514.0700000000002</v>
      </c>
      <c r="U49" s="683"/>
      <c r="V49" s="474">
        <f t="shared" si="3"/>
        <v>0</v>
      </c>
      <c r="W49" s="474">
        <f t="shared" si="4"/>
        <v>0</v>
      </c>
      <c r="X49" s="475">
        <f t="shared" si="5"/>
        <v>0</v>
      </c>
      <c r="Y49" s="475">
        <v>0</v>
      </c>
      <c r="Z49" s="476">
        <v>0</v>
      </c>
      <c r="AA49" s="38">
        <f t="shared" si="6"/>
        <v>0</v>
      </c>
      <c r="AB49" s="692">
        <f t="shared" si="11"/>
        <v>0</v>
      </c>
      <c r="AC49" s="692">
        <f t="shared" si="12"/>
        <v>0</v>
      </c>
      <c r="AD49" s="692">
        <f t="shared" si="7"/>
        <v>0</v>
      </c>
      <c r="AE49" s="38"/>
      <c r="AF49" s="692">
        <f t="shared" si="8"/>
        <v>0</v>
      </c>
      <c r="AG49" s="692">
        <f t="shared" si="9"/>
        <v>0</v>
      </c>
      <c r="AH49" s="692">
        <f t="shared" si="10"/>
        <v>0</v>
      </c>
      <c r="AJ49" s="68" t="s">
        <v>69</v>
      </c>
    </row>
    <row r="50" spans="1:36">
      <c r="A50" s="20"/>
      <c r="B50" s="20" t="s">
        <v>110</v>
      </c>
      <c r="C50" s="667" t="s">
        <v>531</v>
      </c>
      <c r="D50" s="68" t="s">
        <v>237</v>
      </c>
      <c r="E50" s="679"/>
      <c r="F50" s="529">
        <f>VLOOKUP(D50,'Q1 2012 DMV-Revenue'!D:T,17,FALSE)</f>
        <v>2032.2000000000007</v>
      </c>
      <c r="G50" s="694">
        <v>14815.13</v>
      </c>
      <c r="H50" s="680"/>
      <c r="I50" s="681"/>
      <c r="J50" s="682">
        <f t="shared" si="0"/>
        <v>16847.330000000002</v>
      </c>
      <c r="K50" s="683"/>
      <c r="L50" s="684"/>
      <c r="M50" s="753">
        <v>0</v>
      </c>
      <c r="N50" s="683">
        <v>0</v>
      </c>
      <c r="O50" s="686"/>
      <c r="P50" s="683">
        <v>0</v>
      </c>
      <c r="Q50" s="687">
        <f t="shared" si="1"/>
        <v>0</v>
      </c>
      <c r="R50" s="764">
        <v>0</v>
      </c>
      <c r="S50" s="693"/>
      <c r="T50" s="690">
        <f t="shared" si="2"/>
        <v>0</v>
      </c>
      <c r="U50" s="683"/>
      <c r="V50" s="474">
        <f t="shared" si="3"/>
        <v>0</v>
      </c>
      <c r="W50" s="474">
        <f t="shared" si="4"/>
        <v>0</v>
      </c>
      <c r="X50" s="475">
        <f t="shared" si="5"/>
        <v>0</v>
      </c>
      <c r="Y50" s="475">
        <v>0</v>
      </c>
      <c r="Z50" s="476">
        <v>0</v>
      </c>
      <c r="AA50" s="38">
        <f t="shared" si="6"/>
        <v>0</v>
      </c>
      <c r="AB50" s="692">
        <f t="shared" si="11"/>
        <v>16847.330000000002</v>
      </c>
      <c r="AC50" s="692">
        <f t="shared" si="12"/>
        <v>0</v>
      </c>
      <c r="AD50" s="692">
        <f t="shared" si="7"/>
        <v>0</v>
      </c>
      <c r="AE50" s="38"/>
      <c r="AF50" s="692">
        <f t="shared" si="8"/>
        <v>0</v>
      </c>
      <c r="AG50" s="692">
        <f t="shared" si="9"/>
        <v>0</v>
      </c>
      <c r="AH50" s="692">
        <f t="shared" si="10"/>
        <v>0</v>
      </c>
      <c r="AJ50" s="68" t="s">
        <v>237</v>
      </c>
    </row>
    <row r="51" spans="1:36">
      <c r="A51" s="20" t="s">
        <v>211</v>
      </c>
      <c r="B51" s="20" t="s">
        <v>110</v>
      </c>
      <c r="C51" s="667" t="s">
        <v>532</v>
      </c>
      <c r="D51" s="68" t="s">
        <v>7</v>
      </c>
      <c r="E51" s="679">
        <v>33315.17</v>
      </c>
      <c r="F51" s="529" t="str">
        <f>VLOOKUP(D51,'Q1 2012 DMV-Revenue'!D:T,17,FALSE)</f>
        <v/>
      </c>
      <c r="G51" s="680"/>
      <c r="H51" s="680"/>
      <c r="I51" s="681"/>
      <c r="J51" s="682">
        <f t="shared" si="0"/>
        <v>33315.17</v>
      </c>
      <c r="K51" s="683"/>
      <c r="L51" s="684"/>
      <c r="M51" s="753">
        <v>0</v>
      </c>
      <c r="N51" s="683">
        <v>0</v>
      </c>
      <c r="O51" s="686"/>
      <c r="P51" s="683">
        <v>0</v>
      </c>
      <c r="Q51" s="687">
        <f t="shared" si="1"/>
        <v>0</v>
      </c>
      <c r="R51" s="764">
        <v>0</v>
      </c>
      <c r="S51" s="693"/>
      <c r="T51" s="690">
        <f t="shared" si="2"/>
        <v>0</v>
      </c>
      <c r="U51" s="697"/>
      <c r="V51" s="474">
        <f t="shared" si="3"/>
        <v>0</v>
      </c>
      <c r="W51" s="474">
        <f t="shared" si="4"/>
        <v>0</v>
      </c>
      <c r="X51" s="475">
        <f t="shared" si="5"/>
        <v>0</v>
      </c>
      <c r="Y51" s="475">
        <v>0</v>
      </c>
      <c r="Z51" s="476">
        <v>0</v>
      </c>
      <c r="AA51" s="38">
        <f t="shared" si="6"/>
        <v>0</v>
      </c>
      <c r="AB51" s="692">
        <f t="shared" si="11"/>
        <v>33315.17</v>
      </c>
      <c r="AC51" s="692">
        <f t="shared" si="12"/>
        <v>0</v>
      </c>
      <c r="AD51" s="692">
        <f t="shared" si="7"/>
        <v>0</v>
      </c>
      <c r="AE51" s="38"/>
      <c r="AF51" s="692">
        <f t="shared" si="8"/>
        <v>0</v>
      </c>
      <c r="AG51" s="692">
        <f t="shared" si="9"/>
        <v>0</v>
      </c>
      <c r="AH51" s="692">
        <f t="shared" si="10"/>
        <v>0</v>
      </c>
      <c r="AJ51" s="68" t="s">
        <v>7</v>
      </c>
    </row>
    <row r="52" spans="1:36" s="232" customFormat="1">
      <c r="A52" s="283" t="s">
        <v>97</v>
      </c>
      <c r="B52" s="283" t="s">
        <v>109</v>
      </c>
      <c r="C52" s="667" t="s">
        <v>533</v>
      </c>
      <c r="D52" s="123" t="s">
        <v>415</v>
      </c>
      <c r="E52" s="679"/>
      <c r="F52" s="529" t="str">
        <f>VLOOKUP(D52,'Q1 2012 DMV-Revenue'!D:T,17,FALSE)</f>
        <v/>
      </c>
      <c r="G52" s="680"/>
      <c r="H52" s="680"/>
      <c r="I52" s="681"/>
      <c r="J52" s="682">
        <f t="shared" si="0"/>
        <v>0</v>
      </c>
      <c r="K52" s="683"/>
      <c r="L52" s="684"/>
      <c r="M52" s="753">
        <v>0</v>
      </c>
      <c r="N52" s="683">
        <v>0</v>
      </c>
      <c r="O52" s="686"/>
      <c r="P52" s="683">
        <v>0</v>
      </c>
      <c r="Q52" s="687">
        <f t="shared" si="1"/>
        <v>0</v>
      </c>
      <c r="R52" s="764">
        <v>0</v>
      </c>
      <c r="S52" s="693"/>
      <c r="T52" s="690">
        <f t="shared" si="2"/>
        <v>0</v>
      </c>
      <c r="U52" s="683"/>
      <c r="V52" s="474">
        <f t="shared" si="3"/>
        <v>0</v>
      </c>
      <c r="W52" s="474">
        <f t="shared" si="4"/>
        <v>0</v>
      </c>
      <c r="X52" s="475">
        <f t="shared" si="5"/>
        <v>0</v>
      </c>
      <c r="Y52" s="475">
        <v>0</v>
      </c>
      <c r="Z52" s="476">
        <v>0</v>
      </c>
      <c r="AA52" s="38">
        <f t="shared" si="6"/>
        <v>0</v>
      </c>
      <c r="AB52" s="692">
        <f t="shared" si="11"/>
        <v>0</v>
      </c>
      <c r="AC52" s="692">
        <f t="shared" si="12"/>
        <v>0</v>
      </c>
      <c r="AD52" s="692">
        <f t="shared" si="7"/>
        <v>0</v>
      </c>
      <c r="AE52" s="38"/>
      <c r="AF52" s="692">
        <f t="shared" si="8"/>
        <v>0</v>
      </c>
      <c r="AG52" s="692">
        <f t="shared" si="9"/>
        <v>0</v>
      </c>
      <c r="AH52" s="692">
        <f t="shared" si="10"/>
        <v>0</v>
      </c>
      <c r="AJ52" s="123" t="s">
        <v>415</v>
      </c>
    </row>
    <row r="53" spans="1:36" s="232" customFormat="1">
      <c r="A53" s="283"/>
      <c r="B53" s="283" t="s">
        <v>109</v>
      </c>
      <c r="C53" s="667" t="s">
        <v>533</v>
      </c>
      <c r="D53" s="123" t="s">
        <v>416</v>
      </c>
      <c r="E53" s="679"/>
      <c r="F53" s="529" t="str">
        <f>VLOOKUP(D53,'Q1 2012 DMV-Revenue'!D:T,17,FALSE)</f>
        <v/>
      </c>
      <c r="G53" s="680"/>
      <c r="H53" s="680"/>
      <c r="I53" s="681"/>
      <c r="J53" s="682">
        <f t="shared" si="0"/>
        <v>0</v>
      </c>
      <c r="K53" s="683"/>
      <c r="L53" s="684"/>
      <c r="M53" s="753">
        <v>0</v>
      </c>
      <c r="N53" s="683">
        <v>0</v>
      </c>
      <c r="O53" s="686"/>
      <c r="P53" s="683">
        <v>0</v>
      </c>
      <c r="Q53" s="687">
        <f t="shared" si="1"/>
        <v>0</v>
      </c>
      <c r="R53" s="764">
        <v>0</v>
      </c>
      <c r="S53" s="693"/>
      <c r="T53" s="690">
        <f t="shared" si="2"/>
        <v>0</v>
      </c>
      <c r="U53" s="683"/>
      <c r="V53" s="474">
        <f t="shared" si="3"/>
        <v>0</v>
      </c>
      <c r="W53" s="474">
        <f t="shared" si="4"/>
        <v>0</v>
      </c>
      <c r="X53" s="475">
        <f t="shared" si="5"/>
        <v>0</v>
      </c>
      <c r="Y53" s="475">
        <v>0</v>
      </c>
      <c r="Z53" s="476">
        <v>0</v>
      </c>
      <c r="AA53" s="38">
        <f t="shared" si="6"/>
        <v>0</v>
      </c>
      <c r="AB53" s="692">
        <f t="shared" si="11"/>
        <v>0</v>
      </c>
      <c r="AC53" s="692">
        <f t="shared" si="12"/>
        <v>0</v>
      </c>
      <c r="AD53" s="692">
        <f t="shared" si="7"/>
        <v>0</v>
      </c>
      <c r="AE53" s="38"/>
      <c r="AF53" s="692">
        <f t="shared" si="8"/>
        <v>0</v>
      </c>
      <c r="AG53" s="692">
        <f t="shared" si="9"/>
        <v>0</v>
      </c>
      <c r="AH53" s="692">
        <f t="shared" si="10"/>
        <v>0</v>
      </c>
      <c r="AJ53" s="123" t="s">
        <v>416</v>
      </c>
    </row>
    <row r="54" spans="1:36" s="232" customFormat="1">
      <c r="A54" s="283"/>
      <c r="B54" s="283" t="s">
        <v>109</v>
      </c>
      <c r="C54" s="667" t="s">
        <v>533</v>
      </c>
      <c r="D54" s="123" t="s">
        <v>417</v>
      </c>
      <c r="E54" s="679"/>
      <c r="F54" s="529" t="str">
        <f>VLOOKUP(D54,'Q1 2012 DMV-Revenue'!D:T,17,FALSE)</f>
        <v/>
      </c>
      <c r="G54" s="680"/>
      <c r="H54" s="680"/>
      <c r="I54" s="681"/>
      <c r="J54" s="682">
        <f t="shared" si="0"/>
        <v>0</v>
      </c>
      <c r="K54" s="683"/>
      <c r="L54" s="684"/>
      <c r="M54" s="753">
        <v>0</v>
      </c>
      <c r="N54" s="683">
        <v>0</v>
      </c>
      <c r="O54" s="686"/>
      <c r="P54" s="683">
        <v>0</v>
      </c>
      <c r="Q54" s="687">
        <f t="shared" si="1"/>
        <v>0</v>
      </c>
      <c r="R54" s="764">
        <v>0</v>
      </c>
      <c r="S54" s="693"/>
      <c r="T54" s="690">
        <f t="shared" si="2"/>
        <v>0</v>
      </c>
      <c r="U54" s="683"/>
      <c r="V54" s="474">
        <f t="shared" si="3"/>
        <v>0</v>
      </c>
      <c r="W54" s="474">
        <f t="shared" si="4"/>
        <v>0</v>
      </c>
      <c r="X54" s="475">
        <f t="shared" si="5"/>
        <v>0</v>
      </c>
      <c r="Y54" s="475">
        <v>0</v>
      </c>
      <c r="Z54" s="476">
        <v>0</v>
      </c>
      <c r="AA54" s="38">
        <f t="shared" si="6"/>
        <v>0</v>
      </c>
      <c r="AB54" s="692">
        <f t="shared" si="11"/>
        <v>0</v>
      </c>
      <c r="AC54" s="692">
        <f t="shared" si="12"/>
        <v>0</v>
      </c>
      <c r="AD54" s="692">
        <f t="shared" si="7"/>
        <v>0</v>
      </c>
      <c r="AE54" s="38"/>
      <c r="AF54" s="692">
        <f t="shared" si="8"/>
        <v>0</v>
      </c>
      <c r="AG54" s="692">
        <f t="shared" si="9"/>
        <v>0</v>
      </c>
      <c r="AH54" s="692">
        <f t="shared" si="10"/>
        <v>0</v>
      </c>
      <c r="AJ54" s="123" t="s">
        <v>417</v>
      </c>
    </row>
    <row r="55" spans="1:36" s="232" customFormat="1">
      <c r="A55" s="283"/>
      <c r="B55" s="283" t="s">
        <v>109</v>
      </c>
      <c r="C55" s="667" t="s">
        <v>533</v>
      </c>
      <c r="D55" s="123" t="s">
        <v>418</v>
      </c>
      <c r="E55" s="679"/>
      <c r="F55" s="529" t="str">
        <f>VLOOKUP(D55,'Q1 2012 DMV-Revenue'!D:T,17,FALSE)</f>
        <v/>
      </c>
      <c r="G55" s="680"/>
      <c r="H55" s="680"/>
      <c r="I55" s="681"/>
      <c r="J55" s="682">
        <f t="shared" si="0"/>
        <v>0</v>
      </c>
      <c r="K55" s="683"/>
      <c r="L55" s="684"/>
      <c r="M55" s="753">
        <v>0</v>
      </c>
      <c r="N55" s="683">
        <v>0</v>
      </c>
      <c r="O55" s="686"/>
      <c r="P55" s="683">
        <v>0</v>
      </c>
      <c r="Q55" s="687">
        <f t="shared" si="1"/>
        <v>0</v>
      </c>
      <c r="R55" s="764">
        <v>0</v>
      </c>
      <c r="S55" s="693"/>
      <c r="T55" s="690">
        <f t="shared" si="2"/>
        <v>0</v>
      </c>
      <c r="U55" s="683"/>
      <c r="V55" s="474">
        <f t="shared" si="3"/>
        <v>0</v>
      </c>
      <c r="W55" s="474">
        <f t="shared" si="4"/>
        <v>0</v>
      </c>
      <c r="X55" s="475">
        <f t="shared" si="5"/>
        <v>0</v>
      </c>
      <c r="Y55" s="475">
        <v>0</v>
      </c>
      <c r="Z55" s="476">
        <v>0</v>
      </c>
      <c r="AA55" s="38">
        <f t="shared" si="6"/>
        <v>0</v>
      </c>
      <c r="AB55" s="692">
        <f t="shared" si="11"/>
        <v>0</v>
      </c>
      <c r="AC55" s="692">
        <f t="shared" si="12"/>
        <v>0</v>
      </c>
      <c r="AD55" s="692">
        <f t="shared" si="7"/>
        <v>0</v>
      </c>
      <c r="AE55" s="38"/>
      <c r="AF55" s="692">
        <f t="shared" si="8"/>
        <v>0</v>
      </c>
      <c r="AG55" s="692">
        <f t="shared" si="9"/>
        <v>0</v>
      </c>
      <c r="AH55" s="692">
        <f t="shared" si="10"/>
        <v>0</v>
      </c>
      <c r="AJ55" s="123" t="s">
        <v>418</v>
      </c>
    </row>
    <row r="56" spans="1:36">
      <c r="A56" s="20" t="s">
        <v>211</v>
      </c>
      <c r="B56" s="20" t="s">
        <v>109</v>
      </c>
      <c r="C56" s="667" t="s">
        <v>534</v>
      </c>
      <c r="D56" s="68" t="s">
        <v>9</v>
      </c>
      <c r="E56" s="679"/>
      <c r="F56" s="529" t="str">
        <f>VLOOKUP(D56,'Q1 2012 DMV-Revenue'!D:T,17,FALSE)</f>
        <v/>
      </c>
      <c r="G56" s="680"/>
      <c r="H56" s="680"/>
      <c r="I56" s="681"/>
      <c r="J56" s="682">
        <f t="shared" si="0"/>
        <v>0</v>
      </c>
      <c r="K56" s="683"/>
      <c r="L56" s="684"/>
      <c r="M56" s="753">
        <v>0</v>
      </c>
      <c r="N56" s="683">
        <v>0</v>
      </c>
      <c r="O56" s="686"/>
      <c r="P56" s="683">
        <v>0</v>
      </c>
      <c r="Q56" s="687">
        <f t="shared" si="1"/>
        <v>0</v>
      </c>
      <c r="R56" s="764">
        <v>0</v>
      </c>
      <c r="S56" s="693"/>
      <c r="T56" s="690">
        <f t="shared" si="2"/>
        <v>0</v>
      </c>
      <c r="U56" s="697"/>
      <c r="V56" s="474">
        <f t="shared" si="3"/>
        <v>0</v>
      </c>
      <c r="W56" s="474">
        <f t="shared" si="4"/>
        <v>0</v>
      </c>
      <c r="X56" s="475">
        <f t="shared" si="5"/>
        <v>0</v>
      </c>
      <c r="Y56" s="475">
        <v>0</v>
      </c>
      <c r="Z56" s="476">
        <v>0</v>
      </c>
      <c r="AA56" s="38">
        <f t="shared" si="6"/>
        <v>0</v>
      </c>
      <c r="AB56" s="692">
        <f t="shared" si="11"/>
        <v>0</v>
      </c>
      <c r="AC56" s="692">
        <f t="shared" si="12"/>
        <v>0</v>
      </c>
      <c r="AD56" s="692">
        <f t="shared" si="7"/>
        <v>0</v>
      </c>
      <c r="AE56" s="38"/>
      <c r="AF56" s="692">
        <f t="shared" si="8"/>
        <v>0</v>
      </c>
      <c r="AG56" s="692">
        <f t="shared" si="9"/>
        <v>0</v>
      </c>
      <c r="AH56" s="692">
        <f t="shared" si="10"/>
        <v>0</v>
      </c>
      <c r="AJ56" s="68" t="s">
        <v>9</v>
      </c>
    </row>
    <row r="57" spans="1:36">
      <c r="A57" s="20" t="s">
        <v>211</v>
      </c>
      <c r="B57" s="20" t="s">
        <v>114</v>
      </c>
      <c r="C57" s="667"/>
      <c r="D57" s="68" t="s">
        <v>487</v>
      </c>
      <c r="E57" s="679"/>
      <c r="F57" s="529" t="str">
        <f>VLOOKUP(D57,'Q1 2012 DMV-Revenue'!D:T,17,FALSE)</f>
        <v/>
      </c>
      <c r="G57" s="680"/>
      <c r="H57" s="680"/>
      <c r="I57" s="681"/>
      <c r="J57" s="682">
        <f t="shared" si="0"/>
        <v>0</v>
      </c>
      <c r="K57" s="683"/>
      <c r="L57" s="684"/>
      <c r="M57" s="753">
        <v>0</v>
      </c>
      <c r="N57" s="683">
        <v>0</v>
      </c>
      <c r="O57" s="686"/>
      <c r="P57" s="683">
        <v>0</v>
      </c>
      <c r="Q57" s="687">
        <f t="shared" si="1"/>
        <v>0</v>
      </c>
      <c r="R57" s="764">
        <v>0</v>
      </c>
      <c r="S57" s="693"/>
      <c r="T57" s="690">
        <f t="shared" si="2"/>
        <v>0</v>
      </c>
      <c r="U57" s="683"/>
      <c r="V57" s="474">
        <f t="shared" si="3"/>
        <v>0</v>
      </c>
      <c r="W57" s="474">
        <f t="shared" si="4"/>
        <v>0</v>
      </c>
      <c r="X57" s="475">
        <f t="shared" si="5"/>
        <v>0</v>
      </c>
      <c r="Y57" s="475">
        <v>0</v>
      </c>
      <c r="Z57" s="476">
        <v>0</v>
      </c>
      <c r="AA57" s="38">
        <f t="shared" si="6"/>
        <v>0</v>
      </c>
      <c r="AB57" s="692">
        <f t="shared" si="11"/>
        <v>0</v>
      </c>
      <c r="AC57" s="692">
        <f t="shared" si="12"/>
        <v>0</v>
      </c>
      <c r="AD57" s="692">
        <f t="shared" si="7"/>
        <v>0</v>
      </c>
      <c r="AE57" s="38"/>
      <c r="AF57" s="692">
        <f t="shared" si="8"/>
        <v>0</v>
      </c>
      <c r="AG57" s="692">
        <f t="shared" si="9"/>
        <v>0</v>
      </c>
      <c r="AH57" s="692">
        <f t="shared" si="10"/>
        <v>0</v>
      </c>
      <c r="AJ57" s="68" t="s">
        <v>487</v>
      </c>
    </row>
    <row r="58" spans="1:36">
      <c r="A58" s="20"/>
      <c r="B58" s="20" t="s">
        <v>109</v>
      </c>
      <c r="C58" s="667"/>
      <c r="D58" s="68" t="s">
        <v>373</v>
      </c>
      <c r="E58" s="679"/>
      <c r="F58" s="529" t="str">
        <f>VLOOKUP(D58,'Q1 2012 DMV-Revenue'!D:T,17,FALSE)</f>
        <v/>
      </c>
      <c r="G58" s="680"/>
      <c r="H58" s="680"/>
      <c r="I58" s="681"/>
      <c r="J58" s="682">
        <f t="shared" si="0"/>
        <v>0</v>
      </c>
      <c r="K58" s="683"/>
      <c r="L58" s="684"/>
      <c r="M58" s="753">
        <v>0</v>
      </c>
      <c r="N58" s="683">
        <v>0</v>
      </c>
      <c r="O58" s="686"/>
      <c r="P58" s="683">
        <v>0</v>
      </c>
      <c r="Q58" s="687">
        <f t="shared" si="1"/>
        <v>0</v>
      </c>
      <c r="R58" s="764">
        <v>0</v>
      </c>
      <c r="S58" s="693"/>
      <c r="T58" s="690">
        <f t="shared" si="2"/>
        <v>0</v>
      </c>
      <c r="U58" s="683"/>
      <c r="V58" s="474">
        <f t="shared" si="3"/>
        <v>0</v>
      </c>
      <c r="W58" s="474">
        <f t="shared" si="4"/>
        <v>0</v>
      </c>
      <c r="X58" s="475">
        <f t="shared" si="5"/>
        <v>0</v>
      </c>
      <c r="Y58" s="475">
        <v>0</v>
      </c>
      <c r="Z58" s="476">
        <v>0</v>
      </c>
      <c r="AA58" s="38">
        <f t="shared" si="6"/>
        <v>0</v>
      </c>
      <c r="AB58" s="692">
        <f t="shared" si="11"/>
        <v>0</v>
      </c>
      <c r="AC58" s="692">
        <f t="shared" si="12"/>
        <v>0</v>
      </c>
      <c r="AD58" s="692">
        <f t="shared" si="7"/>
        <v>0</v>
      </c>
      <c r="AE58" s="38"/>
      <c r="AF58" s="692">
        <f t="shared" si="8"/>
        <v>0</v>
      </c>
      <c r="AG58" s="692">
        <f t="shared" si="9"/>
        <v>0</v>
      </c>
      <c r="AH58" s="692">
        <f t="shared" si="10"/>
        <v>0</v>
      </c>
      <c r="AJ58" s="68" t="s">
        <v>373</v>
      </c>
    </row>
    <row r="59" spans="1:36">
      <c r="A59" s="20"/>
      <c r="B59" s="20" t="s">
        <v>109</v>
      </c>
      <c r="C59" s="667"/>
      <c r="D59" s="68" t="s">
        <v>374</v>
      </c>
      <c r="E59" s="679"/>
      <c r="F59" s="529" t="str">
        <f>VLOOKUP(D59,'Q1 2012 DMV-Revenue'!D:T,17,FALSE)</f>
        <v/>
      </c>
      <c r="G59" s="680"/>
      <c r="H59" s="680"/>
      <c r="I59" s="681"/>
      <c r="J59" s="682">
        <f t="shared" si="0"/>
        <v>0</v>
      </c>
      <c r="K59" s="683"/>
      <c r="L59" s="684"/>
      <c r="M59" s="753">
        <v>0</v>
      </c>
      <c r="N59" s="683">
        <v>0</v>
      </c>
      <c r="O59" s="686"/>
      <c r="P59" s="683">
        <v>0</v>
      </c>
      <c r="Q59" s="687">
        <f t="shared" si="1"/>
        <v>0</v>
      </c>
      <c r="R59" s="764">
        <v>0</v>
      </c>
      <c r="S59" s="693"/>
      <c r="T59" s="690">
        <f t="shared" si="2"/>
        <v>0</v>
      </c>
      <c r="U59" s="683"/>
      <c r="V59" s="474">
        <f t="shared" si="3"/>
        <v>0</v>
      </c>
      <c r="W59" s="474">
        <f t="shared" si="4"/>
        <v>0</v>
      </c>
      <c r="X59" s="475">
        <f t="shared" si="5"/>
        <v>0</v>
      </c>
      <c r="Y59" s="475">
        <v>0</v>
      </c>
      <c r="Z59" s="476">
        <v>0</v>
      </c>
      <c r="AA59" s="38">
        <f t="shared" si="6"/>
        <v>0</v>
      </c>
      <c r="AB59" s="692">
        <f t="shared" si="11"/>
        <v>0</v>
      </c>
      <c r="AC59" s="692">
        <f t="shared" si="12"/>
        <v>0</v>
      </c>
      <c r="AD59" s="692">
        <f t="shared" si="7"/>
        <v>0</v>
      </c>
      <c r="AE59" s="38"/>
      <c r="AF59" s="692">
        <f t="shared" si="8"/>
        <v>0</v>
      </c>
      <c r="AG59" s="692">
        <f t="shared" si="9"/>
        <v>0</v>
      </c>
      <c r="AH59" s="692">
        <f t="shared" si="10"/>
        <v>0</v>
      </c>
      <c r="AJ59" s="68" t="s">
        <v>374</v>
      </c>
    </row>
    <row r="60" spans="1:36">
      <c r="A60" s="20"/>
      <c r="B60" s="20" t="s">
        <v>109</v>
      </c>
      <c r="C60" s="667"/>
      <c r="D60" s="68" t="s">
        <v>375</v>
      </c>
      <c r="E60" s="679"/>
      <c r="F60" s="529" t="str">
        <f>VLOOKUP(D60,'Q1 2012 DMV-Revenue'!D:T,17,FALSE)</f>
        <v/>
      </c>
      <c r="G60" s="680"/>
      <c r="H60" s="680"/>
      <c r="I60" s="681"/>
      <c r="J60" s="682">
        <f t="shared" si="0"/>
        <v>0</v>
      </c>
      <c r="K60" s="683"/>
      <c r="L60" s="684"/>
      <c r="M60" s="753">
        <v>0</v>
      </c>
      <c r="N60" s="683">
        <v>0</v>
      </c>
      <c r="O60" s="686"/>
      <c r="P60" s="683">
        <v>0</v>
      </c>
      <c r="Q60" s="687">
        <f t="shared" si="1"/>
        <v>0</v>
      </c>
      <c r="R60" s="764">
        <v>0</v>
      </c>
      <c r="S60" s="693"/>
      <c r="T60" s="690">
        <f t="shared" si="2"/>
        <v>0</v>
      </c>
      <c r="U60" s="683"/>
      <c r="V60" s="474">
        <f t="shared" si="3"/>
        <v>0</v>
      </c>
      <c r="W60" s="474">
        <f t="shared" si="4"/>
        <v>0</v>
      </c>
      <c r="X60" s="475">
        <f t="shared" si="5"/>
        <v>0</v>
      </c>
      <c r="Y60" s="475">
        <v>0</v>
      </c>
      <c r="Z60" s="476">
        <v>0</v>
      </c>
      <c r="AA60" s="38">
        <f t="shared" si="6"/>
        <v>0</v>
      </c>
      <c r="AB60" s="692">
        <f t="shared" si="11"/>
        <v>0</v>
      </c>
      <c r="AC60" s="692">
        <f t="shared" si="12"/>
        <v>0</v>
      </c>
      <c r="AD60" s="692">
        <f t="shared" si="7"/>
        <v>0</v>
      </c>
      <c r="AE60" s="38"/>
      <c r="AF60" s="692">
        <f t="shared" si="8"/>
        <v>0</v>
      </c>
      <c r="AG60" s="692">
        <f t="shared" si="9"/>
        <v>0</v>
      </c>
      <c r="AH60" s="692">
        <f t="shared" si="10"/>
        <v>0</v>
      </c>
      <c r="AJ60" s="68" t="s">
        <v>375</v>
      </c>
    </row>
    <row r="61" spans="1:36">
      <c r="A61" s="21"/>
      <c r="B61" s="21" t="s">
        <v>110</v>
      </c>
      <c r="C61" s="666" t="s">
        <v>535</v>
      </c>
      <c r="D61" s="123" t="s">
        <v>517</v>
      </c>
      <c r="E61" s="679"/>
      <c r="F61" s="529">
        <f>VLOOKUP(D61,'Q1 2012 DMV-Revenue'!D:T,17,FALSE)</f>
        <v>-134702.60999999999</v>
      </c>
      <c r="G61" s="680"/>
      <c r="H61" s="680"/>
      <c r="I61" s="681"/>
      <c r="J61" s="682">
        <f t="shared" si="0"/>
        <v>-134702.60999999999</v>
      </c>
      <c r="K61" s="683"/>
      <c r="L61" s="684"/>
      <c r="M61" s="753">
        <v>85000</v>
      </c>
      <c r="N61" s="683">
        <v>0</v>
      </c>
      <c r="O61" s="686"/>
      <c r="P61" s="683">
        <v>0</v>
      </c>
      <c r="Q61" s="687">
        <f t="shared" si="1"/>
        <v>85000</v>
      </c>
      <c r="R61" s="764">
        <v>7712.8</v>
      </c>
      <c r="S61" s="693"/>
      <c r="T61" s="690">
        <f t="shared" si="2"/>
        <v>-77287.199999999997</v>
      </c>
      <c r="U61" s="697"/>
      <c r="V61" s="474">
        <f t="shared" si="3"/>
        <v>85000</v>
      </c>
      <c r="W61" s="474">
        <f t="shared" si="4"/>
        <v>0</v>
      </c>
      <c r="X61" s="475">
        <f t="shared" si="5"/>
        <v>0</v>
      </c>
      <c r="Y61" s="475">
        <v>0</v>
      </c>
      <c r="Z61" s="476">
        <v>0</v>
      </c>
      <c r="AA61" s="38">
        <f t="shared" si="6"/>
        <v>0</v>
      </c>
      <c r="AB61" s="692">
        <f t="shared" si="11"/>
        <v>-134702.60999999999</v>
      </c>
      <c r="AC61" s="692">
        <f t="shared" si="12"/>
        <v>0</v>
      </c>
      <c r="AD61" s="692">
        <f t="shared" si="7"/>
        <v>0</v>
      </c>
      <c r="AE61" s="38"/>
      <c r="AF61" s="692">
        <f t="shared" si="8"/>
        <v>85000</v>
      </c>
      <c r="AG61" s="692">
        <f t="shared" si="9"/>
        <v>0</v>
      </c>
      <c r="AH61" s="692">
        <f t="shared" si="10"/>
        <v>0</v>
      </c>
      <c r="AJ61" s="123" t="s">
        <v>517</v>
      </c>
    </row>
    <row r="62" spans="1:36">
      <c r="A62" s="21"/>
      <c r="B62" s="21" t="s">
        <v>110</v>
      </c>
      <c r="C62" s="666" t="s">
        <v>535</v>
      </c>
      <c r="D62" s="123" t="s">
        <v>437</v>
      </c>
      <c r="E62" s="679"/>
      <c r="F62" s="529">
        <f>VLOOKUP(D62,'Q1 2012 DMV-Revenue'!D:T,17,FALSE)</f>
        <v>23118.57</v>
      </c>
      <c r="G62" s="680"/>
      <c r="H62" s="680"/>
      <c r="I62" s="681"/>
      <c r="J62" s="682">
        <f t="shared" si="0"/>
        <v>23118.57</v>
      </c>
      <c r="K62" s="683"/>
      <c r="L62" s="684"/>
      <c r="M62" s="753">
        <v>0</v>
      </c>
      <c r="N62" s="683">
        <v>0</v>
      </c>
      <c r="O62" s="686"/>
      <c r="P62" s="683">
        <v>0</v>
      </c>
      <c r="Q62" s="687">
        <f t="shared" si="1"/>
        <v>0</v>
      </c>
      <c r="R62" s="764">
        <v>7635.2</v>
      </c>
      <c r="S62" s="693"/>
      <c r="T62" s="690">
        <f t="shared" si="2"/>
        <v>7635.2</v>
      </c>
      <c r="U62" s="697"/>
      <c r="V62" s="474">
        <f t="shared" si="3"/>
        <v>0</v>
      </c>
      <c r="W62" s="474">
        <f t="shared" si="4"/>
        <v>0</v>
      </c>
      <c r="X62" s="475">
        <f t="shared" si="5"/>
        <v>0</v>
      </c>
      <c r="Y62" s="475">
        <v>0</v>
      </c>
      <c r="Z62" s="476">
        <v>0</v>
      </c>
      <c r="AA62" s="38">
        <f t="shared" si="6"/>
        <v>0</v>
      </c>
      <c r="AB62" s="692">
        <f t="shared" si="11"/>
        <v>23118.57</v>
      </c>
      <c r="AC62" s="692">
        <f t="shared" si="12"/>
        <v>0</v>
      </c>
      <c r="AD62" s="692">
        <f t="shared" si="7"/>
        <v>0</v>
      </c>
      <c r="AE62" s="38"/>
      <c r="AF62" s="692">
        <f t="shared" si="8"/>
        <v>0</v>
      </c>
      <c r="AG62" s="692">
        <f t="shared" si="9"/>
        <v>0</v>
      </c>
      <c r="AH62" s="692">
        <f t="shared" si="10"/>
        <v>0</v>
      </c>
      <c r="AJ62" s="123" t="s">
        <v>437</v>
      </c>
    </row>
    <row r="63" spans="1:36">
      <c r="A63" s="21"/>
      <c r="B63" s="21" t="s">
        <v>110</v>
      </c>
      <c r="C63" s="666" t="s">
        <v>535</v>
      </c>
      <c r="D63" s="123" t="s">
        <v>436</v>
      </c>
      <c r="E63" s="679"/>
      <c r="F63" s="529">
        <f>VLOOKUP(D63,'Q1 2012 DMV-Revenue'!D:T,17,FALSE)</f>
        <v>15077.34</v>
      </c>
      <c r="G63" s="680"/>
      <c r="H63" s="680"/>
      <c r="I63" s="681"/>
      <c r="J63" s="682">
        <f t="shared" si="0"/>
        <v>15077.34</v>
      </c>
      <c r="K63" s="683"/>
      <c r="L63" s="684"/>
      <c r="M63" s="753">
        <v>0</v>
      </c>
      <c r="N63" s="683">
        <v>0</v>
      </c>
      <c r="O63" s="686"/>
      <c r="P63" s="683">
        <v>0</v>
      </c>
      <c r="Q63" s="687">
        <f t="shared" si="1"/>
        <v>0</v>
      </c>
      <c r="R63" s="764">
        <v>12697.04</v>
      </c>
      <c r="S63" s="693"/>
      <c r="T63" s="690">
        <f t="shared" si="2"/>
        <v>12697.04</v>
      </c>
      <c r="U63" s="697"/>
      <c r="V63" s="474">
        <f t="shared" si="3"/>
        <v>0</v>
      </c>
      <c r="W63" s="474">
        <f t="shared" si="4"/>
        <v>0</v>
      </c>
      <c r="X63" s="475">
        <f t="shared" si="5"/>
        <v>0</v>
      </c>
      <c r="Y63" s="475">
        <v>0</v>
      </c>
      <c r="Z63" s="476">
        <v>0</v>
      </c>
      <c r="AA63" s="38">
        <f t="shared" si="6"/>
        <v>0</v>
      </c>
      <c r="AB63" s="692">
        <f t="shared" si="11"/>
        <v>15077.34</v>
      </c>
      <c r="AC63" s="692">
        <f t="shared" si="12"/>
        <v>0</v>
      </c>
      <c r="AD63" s="692">
        <f t="shared" si="7"/>
        <v>0</v>
      </c>
      <c r="AE63" s="38"/>
      <c r="AF63" s="692">
        <f t="shared" si="8"/>
        <v>0</v>
      </c>
      <c r="AG63" s="692">
        <f t="shared" si="9"/>
        <v>0</v>
      </c>
      <c r="AH63" s="692">
        <f t="shared" si="10"/>
        <v>0</v>
      </c>
      <c r="AJ63" s="123" t="s">
        <v>436</v>
      </c>
    </row>
    <row r="64" spans="1:36">
      <c r="A64" s="21"/>
      <c r="B64" s="21" t="s">
        <v>110</v>
      </c>
      <c r="C64" s="666" t="s">
        <v>535</v>
      </c>
      <c r="D64" s="123" t="s">
        <v>391</v>
      </c>
      <c r="E64" s="679"/>
      <c r="F64" s="529">
        <f>VLOOKUP(D64,'Q1 2012 DMV-Revenue'!D:T,17,FALSE)</f>
        <v>7016.47</v>
      </c>
      <c r="G64" s="680"/>
      <c r="H64" s="680"/>
      <c r="I64" s="681"/>
      <c r="J64" s="682">
        <f t="shared" si="0"/>
        <v>7016.47</v>
      </c>
      <c r="K64" s="683"/>
      <c r="L64" s="684"/>
      <c r="M64" s="753">
        <v>0</v>
      </c>
      <c r="N64" s="683">
        <v>0</v>
      </c>
      <c r="O64" s="686"/>
      <c r="P64" s="683">
        <v>0</v>
      </c>
      <c r="Q64" s="687">
        <f t="shared" si="1"/>
        <v>0</v>
      </c>
      <c r="R64" s="764">
        <v>1993.28</v>
      </c>
      <c r="S64" s="693"/>
      <c r="T64" s="690">
        <f t="shared" si="2"/>
        <v>1993.28</v>
      </c>
      <c r="U64" s="697"/>
      <c r="V64" s="474">
        <f t="shared" si="3"/>
        <v>0</v>
      </c>
      <c r="W64" s="474">
        <f t="shared" si="4"/>
        <v>0</v>
      </c>
      <c r="X64" s="475">
        <f t="shared" si="5"/>
        <v>0</v>
      </c>
      <c r="Y64" s="475">
        <v>0</v>
      </c>
      <c r="Z64" s="476">
        <v>0</v>
      </c>
      <c r="AA64" s="38">
        <f t="shared" si="6"/>
        <v>0</v>
      </c>
      <c r="AB64" s="692">
        <f t="shared" si="11"/>
        <v>7016.47</v>
      </c>
      <c r="AC64" s="692">
        <f t="shared" si="12"/>
        <v>0</v>
      </c>
      <c r="AD64" s="692">
        <f t="shared" si="7"/>
        <v>0</v>
      </c>
      <c r="AE64" s="38"/>
      <c r="AF64" s="692">
        <f t="shared" si="8"/>
        <v>0</v>
      </c>
      <c r="AG64" s="692">
        <f t="shared" si="9"/>
        <v>0</v>
      </c>
      <c r="AH64" s="692">
        <f t="shared" si="10"/>
        <v>0</v>
      </c>
      <c r="AJ64" s="123" t="s">
        <v>391</v>
      </c>
    </row>
    <row r="65" spans="1:36">
      <c r="A65" s="21"/>
      <c r="B65" s="21" t="s">
        <v>110</v>
      </c>
      <c r="C65" s="666" t="s">
        <v>535</v>
      </c>
      <c r="D65" s="123" t="s">
        <v>392</v>
      </c>
      <c r="E65" s="679"/>
      <c r="F65" s="529">
        <f>VLOOKUP(D65,'Q1 2012 DMV-Revenue'!D:T,17,FALSE)</f>
        <v>116321.19</v>
      </c>
      <c r="G65" s="680"/>
      <c r="H65" s="680"/>
      <c r="I65" s="681"/>
      <c r="J65" s="682">
        <f t="shared" si="0"/>
        <v>116321.19</v>
      </c>
      <c r="K65" s="683"/>
      <c r="L65" s="684"/>
      <c r="M65" s="753">
        <v>0</v>
      </c>
      <c r="N65" s="683">
        <v>0</v>
      </c>
      <c r="O65" s="686"/>
      <c r="P65" s="683">
        <v>0</v>
      </c>
      <c r="Q65" s="687">
        <f t="shared" si="1"/>
        <v>0</v>
      </c>
      <c r="R65" s="764">
        <v>51053.8</v>
      </c>
      <c r="S65" s="693"/>
      <c r="T65" s="690">
        <f t="shared" si="2"/>
        <v>51053.8</v>
      </c>
      <c r="U65" s="697"/>
      <c r="V65" s="474">
        <f t="shared" si="3"/>
        <v>0</v>
      </c>
      <c r="W65" s="474">
        <f t="shared" si="4"/>
        <v>0</v>
      </c>
      <c r="X65" s="475">
        <f t="shared" si="5"/>
        <v>0</v>
      </c>
      <c r="Y65" s="475">
        <v>0</v>
      </c>
      <c r="Z65" s="476">
        <v>0</v>
      </c>
      <c r="AA65" s="38">
        <f t="shared" si="6"/>
        <v>0</v>
      </c>
      <c r="AB65" s="692">
        <f t="shared" si="11"/>
        <v>116321.19</v>
      </c>
      <c r="AC65" s="692">
        <f t="shared" si="12"/>
        <v>0</v>
      </c>
      <c r="AD65" s="692">
        <f t="shared" si="7"/>
        <v>0</v>
      </c>
      <c r="AE65" s="38"/>
      <c r="AF65" s="692">
        <f t="shared" si="8"/>
        <v>0</v>
      </c>
      <c r="AG65" s="692">
        <f t="shared" si="9"/>
        <v>0</v>
      </c>
      <c r="AH65" s="692">
        <f t="shared" si="10"/>
        <v>0</v>
      </c>
      <c r="AJ65" s="123" t="s">
        <v>392</v>
      </c>
    </row>
    <row r="66" spans="1:36">
      <c r="A66" s="21"/>
      <c r="B66" s="21" t="s">
        <v>110</v>
      </c>
      <c r="C66" s="666" t="s">
        <v>535</v>
      </c>
      <c r="D66" s="123" t="s">
        <v>483</v>
      </c>
      <c r="E66" s="679"/>
      <c r="F66" s="529">
        <f>VLOOKUP(D66,'Q1 2012 DMV-Revenue'!D:T,17,FALSE)</f>
        <v>5942.4400000000005</v>
      </c>
      <c r="G66" s="680"/>
      <c r="H66" s="680"/>
      <c r="I66" s="681"/>
      <c r="J66" s="682">
        <f t="shared" si="0"/>
        <v>5942.4400000000005</v>
      </c>
      <c r="K66" s="683"/>
      <c r="L66" s="684"/>
      <c r="M66" s="753">
        <v>0</v>
      </c>
      <c r="N66" s="683"/>
      <c r="O66" s="686"/>
      <c r="P66" s="683"/>
      <c r="Q66" s="687">
        <f t="shared" si="1"/>
        <v>0</v>
      </c>
      <c r="R66" s="764">
        <v>5372.36</v>
      </c>
      <c r="S66" s="693"/>
      <c r="T66" s="690">
        <f t="shared" si="2"/>
        <v>5372.36</v>
      </c>
      <c r="U66" s="697"/>
      <c r="V66" s="474">
        <f t="shared" si="3"/>
        <v>0</v>
      </c>
      <c r="W66" s="474">
        <f t="shared" si="4"/>
        <v>0</v>
      </c>
      <c r="X66" s="475">
        <f t="shared" si="5"/>
        <v>0</v>
      </c>
      <c r="Y66" s="475">
        <v>0</v>
      </c>
      <c r="Z66" s="476">
        <v>0</v>
      </c>
      <c r="AA66" s="38">
        <f t="shared" si="6"/>
        <v>0</v>
      </c>
      <c r="AB66" s="692">
        <f t="shared" si="11"/>
        <v>5942.4400000000005</v>
      </c>
      <c r="AC66" s="692">
        <f t="shared" si="12"/>
        <v>0</v>
      </c>
      <c r="AD66" s="692">
        <f t="shared" si="7"/>
        <v>0</v>
      </c>
      <c r="AE66" s="38"/>
      <c r="AF66" s="692">
        <f t="shared" si="8"/>
        <v>0</v>
      </c>
      <c r="AG66" s="692">
        <f t="shared" si="9"/>
        <v>0</v>
      </c>
      <c r="AH66" s="692">
        <f t="shared" si="10"/>
        <v>0</v>
      </c>
      <c r="AJ66" s="123" t="s">
        <v>483</v>
      </c>
    </row>
    <row r="67" spans="1:36">
      <c r="A67" s="21"/>
      <c r="B67" s="21" t="s">
        <v>110</v>
      </c>
      <c r="C67" s="666"/>
      <c r="D67" s="373" t="s">
        <v>587</v>
      </c>
      <c r="E67" s="679"/>
      <c r="F67" s="529">
        <f>VLOOKUP(D67,'Q1 2012 DMV-Revenue'!D:T,17,FALSE)</f>
        <v>0</v>
      </c>
      <c r="G67" s="680"/>
      <c r="H67" s="680"/>
      <c r="I67" s="681"/>
      <c r="J67" s="682">
        <f t="shared" si="0"/>
        <v>0</v>
      </c>
      <c r="K67" s="683"/>
      <c r="L67" s="684"/>
      <c r="M67" s="753">
        <v>0</v>
      </c>
      <c r="N67" s="683"/>
      <c r="O67" s="686"/>
      <c r="P67" s="683"/>
      <c r="Q67" s="687">
        <f t="shared" si="1"/>
        <v>0</v>
      </c>
      <c r="R67" s="764">
        <v>0</v>
      </c>
      <c r="S67" s="693"/>
      <c r="T67" s="690">
        <f t="shared" si="2"/>
        <v>0</v>
      </c>
      <c r="U67" s="697"/>
      <c r="V67" s="474">
        <f t="shared" si="3"/>
        <v>0</v>
      </c>
      <c r="W67" s="474">
        <f t="shared" si="4"/>
        <v>0</v>
      </c>
      <c r="X67" s="475">
        <f t="shared" si="5"/>
        <v>0</v>
      </c>
      <c r="Y67" s="475">
        <v>0</v>
      </c>
      <c r="Z67" s="476">
        <v>0</v>
      </c>
      <c r="AA67" s="38">
        <f t="shared" si="6"/>
        <v>0</v>
      </c>
      <c r="AB67" s="692">
        <f t="shared" si="11"/>
        <v>0</v>
      </c>
      <c r="AC67" s="692">
        <f t="shared" si="12"/>
        <v>0</v>
      </c>
      <c r="AD67" s="692">
        <f t="shared" si="7"/>
        <v>0</v>
      </c>
      <c r="AE67" s="38"/>
      <c r="AF67" s="692">
        <f t="shared" si="8"/>
        <v>0</v>
      </c>
      <c r="AG67" s="692">
        <f t="shared" si="9"/>
        <v>0</v>
      </c>
      <c r="AH67" s="692">
        <f t="shared" si="10"/>
        <v>0</v>
      </c>
      <c r="AJ67" s="373" t="s">
        <v>587</v>
      </c>
    </row>
    <row r="68" spans="1:36">
      <c r="A68" s="20"/>
      <c r="B68" s="20" t="s">
        <v>110</v>
      </c>
      <c r="C68" s="667" t="s">
        <v>536</v>
      </c>
      <c r="D68" s="68" t="s">
        <v>450</v>
      </c>
      <c r="E68" s="679"/>
      <c r="F68" s="529">
        <f>VLOOKUP(D68,'Q1 2012 DMV-Revenue'!D:T,17,FALSE)</f>
        <v>1363.49</v>
      </c>
      <c r="G68" s="680"/>
      <c r="H68" s="680"/>
      <c r="I68" s="681"/>
      <c r="J68" s="682">
        <f t="shared" si="0"/>
        <v>1363.49</v>
      </c>
      <c r="K68" s="683"/>
      <c r="L68" s="684"/>
      <c r="M68" s="753">
        <v>0</v>
      </c>
      <c r="N68" s="683">
        <v>0</v>
      </c>
      <c r="O68" s="686"/>
      <c r="P68" s="683">
        <v>0</v>
      </c>
      <c r="Q68" s="687">
        <f t="shared" si="1"/>
        <v>0</v>
      </c>
      <c r="R68" s="764">
        <v>723.26</v>
      </c>
      <c r="S68" s="693"/>
      <c r="T68" s="690">
        <f t="shared" si="2"/>
        <v>723.26</v>
      </c>
      <c r="U68" s="683"/>
      <c r="V68" s="474">
        <f t="shared" si="3"/>
        <v>0</v>
      </c>
      <c r="W68" s="474">
        <f t="shared" si="4"/>
        <v>0</v>
      </c>
      <c r="X68" s="475">
        <f t="shared" si="5"/>
        <v>0</v>
      </c>
      <c r="Y68" s="475">
        <v>0</v>
      </c>
      <c r="Z68" s="476">
        <v>0</v>
      </c>
      <c r="AA68" s="38">
        <f t="shared" si="6"/>
        <v>0</v>
      </c>
      <c r="AB68" s="692">
        <f t="shared" si="11"/>
        <v>1363.49</v>
      </c>
      <c r="AC68" s="692">
        <f t="shared" si="12"/>
        <v>0</v>
      </c>
      <c r="AD68" s="692">
        <f t="shared" si="7"/>
        <v>0</v>
      </c>
      <c r="AE68" s="38"/>
      <c r="AF68" s="692">
        <f t="shared" si="8"/>
        <v>0</v>
      </c>
      <c r="AG68" s="692">
        <f t="shared" si="9"/>
        <v>0</v>
      </c>
      <c r="AH68" s="692">
        <f t="shared" si="10"/>
        <v>0</v>
      </c>
      <c r="AJ68" s="68" t="s">
        <v>450</v>
      </c>
    </row>
    <row r="69" spans="1:36">
      <c r="A69" s="21" t="s">
        <v>109</v>
      </c>
      <c r="B69" s="21" t="s">
        <v>110</v>
      </c>
      <c r="C69" s="666"/>
      <c r="D69" s="68" t="s">
        <v>438</v>
      </c>
      <c r="E69" s="679"/>
      <c r="F69" s="529" t="str">
        <f>VLOOKUP(D69,'Q1 2012 DMV-Revenue'!D:T,17,FALSE)</f>
        <v/>
      </c>
      <c r="G69" s="680"/>
      <c r="H69" s="680"/>
      <c r="I69" s="681"/>
      <c r="J69" s="682">
        <f t="shared" si="0"/>
        <v>0</v>
      </c>
      <c r="K69" s="683"/>
      <c r="L69" s="684"/>
      <c r="M69" s="753">
        <v>0</v>
      </c>
      <c r="N69" s="683">
        <v>0</v>
      </c>
      <c r="O69" s="686"/>
      <c r="P69" s="683">
        <v>0</v>
      </c>
      <c r="Q69" s="687">
        <f t="shared" si="1"/>
        <v>0</v>
      </c>
      <c r="R69" s="764">
        <v>0</v>
      </c>
      <c r="S69" s="693"/>
      <c r="T69" s="690">
        <f t="shared" si="2"/>
        <v>0</v>
      </c>
      <c r="U69" s="697"/>
      <c r="V69" s="474">
        <f t="shared" si="3"/>
        <v>0</v>
      </c>
      <c r="W69" s="474">
        <f t="shared" si="4"/>
        <v>0</v>
      </c>
      <c r="X69" s="475">
        <f t="shared" si="5"/>
        <v>0</v>
      </c>
      <c r="Y69" s="475">
        <v>0</v>
      </c>
      <c r="Z69" s="476">
        <v>0</v>
      </c>
      <c r="AA69" s="38">
        <f t="shared" si="6"/>
        <v>0</v>
      </c>
      <c r="AB69" s="692">
        <f t="shared" si="11"/>
        <v>0</v>
      </c>
      <c r="AC69" s="692">
        <f t="shared" si="12"/>
        <v>0</v>
      </c>
      <c r="AD69" s="692">
        <f t="shared" si="7"/>
        <v>0</v>
      </c>
      <c r="AE69" s="38"/>
      <c r="AF69" s="692">
        <f t="shared" si="8"/>
        <v>0</v>
      </c>
      <c r="AG69" s="692">
        <f t="shared" si="9"/>
        <v>0</v>
      </c>
      <c r="AH69" s="692">
        <f t="shared" si="10"/>
        <v>0</v>
      </c>
      <c r="AJ69" s="68" t="s">
        <v>438</v>
      </c>
    </row>
    <row r="70" spans="1:36">
      <c r="A70" s="21"/>
      <c r="B70" s="21" t="s">
        <v>110</v>
      </c>
      <c r="C70" s="666" t="s">
        <v>537</v>
      </c>
      <c r="D70" s="68" t="s">
        <v>12</v>
      </c>
      <c r="E70" s="679"/>
      <c r="F70" s="529" t="str">
        <f>VLOOKUP(D70,'Q1 2012 DMV-Revenue'!D:T,17,FALSE)</f>
        <v/>
      </c>
      <c r="G70" s="680"/>
      <c r="H70" s="680"/>
      <c r="I70" s="681"/>
      <c r="J70" s="682">
        <f t="shared" si="0"/>
        <v>0</v>
      </c>
      <c r="K70" s="683"/>
      <c r="L70" s="684"/>
      <c r="M70" s="753">
        <v>0</v>
      </c>
      <c r="N70" s="683">
        <v>0</v>
      </c>
      <c r="O70" s="686"/>
      <c r="P70" s="683">
        <v>0</v>
      </c>
      <c r="Q70" s="687">
        <f t="shared" si="1"/>
        <v>0</v>
      </c>
      <c r="R70" s="764">
        <v>0</v>
      </c>
      <c r="S70" s="693"/>
      <c r="T70" s="690">
        <f t="shared" si="2"/>
        <v>0</v>
      </c>
      <c r="U70" s="683"/>
      <c r="V70" s="474">
        <f t="shared" si="3"/>
        <v>0</v>
      </c>
      <c r="W70" s="474">
        <f t="shared" si="4"/>
        <v>0</v>
      </c>
      <c r="X70" s="475">
        <f t="shared" si="5"/>
        <v>0</v>
      </c>
      <c r="Y70" s="475">
        <v>0</v>
      </c>
      <c r="Z70" s="476">
        <v>0</v>
      </c>
      <c r="AA70" s="38">
        <f t="shared" si="6"/>
        <v>0</v>
      </c>
      <c r="AB70" s="692">
        <f t="shared" si="11"/>
        <v>0</v>
      </c>
      <c r="AC70" s="692">
        <f t="shared" si="12"/>
        <v>0</v>
      </c>
      <c r="AD70" s="692">
        <f t="shared" si="7"/>
        <v>0</v>
      </c>
      <c r="AE70" s="38"/>
      <c r="AF70" s="692">
        <f t="shared" si="8"/>
        <v>0</v>
      </c>
      <c r="AG70" s="692">
        <f t="shared" si="9"/>
        <v>0</v>
      </c>
      <c r="AH70" s="692">
        <f t="shared" si="10"/>
        <v>0</v>
      </c>
      <c r="AJ70" s="68" t="s">
        <v>12</v>
      </c>
    </row>
    <row r="71" spans="1:36" s="232" customFormat="1">
      <c r="A71" s="283" t="s">
        <v>211</v>
      </c>
      <c r="B71" s="283" t="s">
        <v>110</v>
      </c>
      <c r="C71" s="667" t="s">
        <v>538</v>
      </c>
      <c r="D71" s="123" t="s">
        <v>170</v>
      </c>
      <c r="E71" s="679"/>
      <c r="F71" s="529">
        <f>VLOOKUP(D71,'Q1 2012 DMV-Revenue'!D:T,17,FALSE)</f>
        <v>-36606.919999999984</v>
      </c>
      <c r="G71" s="680"/>
      <c r="H71" s="680"/>
      <c r="I71" s="681"/>
      <c r="J71" s="682">
        <f t="shared" si="0"/>
        <v>-36606.919999999984</v>
      </c>
      <c r="K71" s="683"/>
      <c r="L71" s="684"/>
      <c r="M71" s="753">
        <v>100000</v>
      </c>
      <c r="N71" s="683">
        <v>0</v>
      </c>
      <c r="O71" s="686"/>
      <c r="P71" s="683">
        <v>0</v>
      </c>
      <c r="Q71" s="687">
        <f t="shared" si="1"/>
        <v>100000</v>
      </c>
      <c r="R71" s="764">
        <v>0</v>
      </c>
      <c r="S71" s="693"/>
      <c r="T71" s="690">
        <f t="shared" si="2"/>
        <v>-100000</v>
      </c>
      <c r="U71" s="683"/>
      <c r="V71" s="474">
        <f t="shared" si="3"/>
        <v>100000</v>
      </c>
      <c r="W71" s="474">
        <f t="shared" si="4"/>
        <v>0</v>
      </c>
      <c r="X71" s="475">
        <f t="shared" si="5"/>
        <v>0</v>
      </c>
      <c r="Y71" s="475">
        <v>0</v>
      </c>
      <c r="Z71" s="476">
        <v>0</v>
      </c>
      <c r="AA71" s="38">
        <f t="shared" si="6"/>
        <v>0</v>
      </c>
      <c r="AB71" s="692">
        <f t="shared" si="11"/>
        <v>-36606.919999999984</v>
      </c>
      <c r="AC71" s="692">
        <f t="shared" si="12"/>
        <v>0</v>
      </c>
      <c r="AD71" s="692">
        <f t="shared" si="7"/>
        <v>0</v>
      </c>
      <c r="AE71" s="38"/>
      <c r="AF71" s="692">
        <f t="shared" si="8"/>
        <v>100000</v>
      </c>
      <c r="AG71" s="692">
        <f t="shared" si="9"/>
        <v>0</v>
      </c>
      <c r="AH71" s="692">
        <f t="shared" si="10"/>
        <v>0</v>
      </c>
      <c r="AJ71" s="123" t="s">
        <v>170</v>
      </c>
    </row>
    <row r="72" spans="1:36" s="232" customFormat="1">
      <c r="A72" s="283" t="s">
        <v>211</v>
      </c>
      <c r="B72" s="283" t="s">
        <v>110</v>
      </c>
      <c r="C72" s="667" t="s">
        <v>538</v>
      </c>
      <c r="D72" s="123" t="s">
        <v>171</v>
      </c>
      <c r="E72" s="679"/>
      <c r="F72" s="529">
        <f>VLOOKUP(D72,'Q1 2012 DMV-Revenue'!D:T,17,FALSE)</f>
        <v>1068.31</v>
      </c>
      <c r="G72" s="680"/>
      <c r="H72" s="680"/>
      <c r="I72" s="681"/>
      <c r="J72" s="682">
        <f t="shared" si="0"/>
        <v>1068.31</v>
      </c>
      <c r="K72" s="683"/>
      <c r="L72" s="684"/>
      <c r="M72" s="753">
        <v>0</v>
      </c>
      <c r="N72" s="683">
        <v>0</v>
      </c>
      <c r="O72" s="686"/>
      <c r="P72" s="683">
        <v>0</v>
      </c>
      <c r="Q72" s="687">
        <f t="shared" si="1"/>
        <v>0</v>
      </c>
      <c r="R72" s="764">
        <v>0</v>
      </c>
      <c r="S72" s="693"/>
      <c r="T72" s="690">
        <f t="shared" si="2"/>
        <v>0</v>
      </c>
      <c r="U72" s="683"/>
      <c r="V72" s="474">
        <f t="shared" si="3"/>
        <v>0</v>
      </c>
      <c r="W72" s="474">
        <f t="shared" si="4"/>
        <v>0</v>
      </c>
      <c r="X72" s="475">
        <f t="shared" si="5"/>
        <v>0</v>
      </c>
      <c r="Y72" s="475">
        <v>0</v>
      </c>
      <c r="Z72" s="476">
        <v>0</v>
      </c>
      <c r="AA72" s="38">
        <f t="shared" si="6"/>
        <v>0</v>
      </c>
      <c r="AB72" s="692">
        <f t="shared" si="11"/>
        <v>1068.31</v>
      </c>
      <c r="AC72" s="692">
        <f t="shared" si="12"/>
        <v>0</v>
      </c>
      <c r="AD72" s="692">
        <f t="shared" si="7"/>
        <v>0</v>
      </c>
      <c r="AE72" s="38"/>
      <c r="AF72" s="692">
        <f t="shared" si="8"/>
        <v>0</v>
      </c>
      <c r="AG72" s="692">
        <f t="shared" si="9"/>
        <v>0</v>
      </c>
      <c r="AH72" s="692">
        <f t="shared" si="10"/>
        <v>0</v>
      </c>
      <c r="AJ72" s="123" t="s">
        <v>171</v>
      </c>
    </row>
    <row r="73" spans="1:36" s="232" customFormat="1">
      <c r="A73" s="283" t="s">
        <v>211</v>
      </c>
      <c r="B73" s="283" t="s">
        <v>110</v>
      </c>
      <c r="C73" s="667" t="s">
        <v>538</v>
      </c>
      <c r="D73" s="123" t="s">
        <v>13</v>
      </c>
      <c r="E73" s="679"/>
      <c r="F73" s="529">
        <f>VLOOKUP(D73,'Q1 2012 DMV-Revenue'!D:T,17,FALSE)</f>
        <v>73181.5</v>
      </c>
      <c r="G73" s="680"/>
      <c r="H73" s="680"/>
      <c r="I73" s="681"/>
      <c r="J73" s="682">
        <f t="shared" si="0"/>
        <v>73181.5</v>
      </c>
      <c r="K73" s="683"/>
      <c r="L73" s="684"/>
      <c r="M73" s="753">
        <v>0</v>
      </c>
      <c r="N73" s="683">
        <v>0</v>
      </c>
      <c r="O73" s="686"/>
      <c r="P73" s="683">
        <v>0</v>
      </c>
      <c r="Q73" s="687">
        <f t="shared" si="1"/>
        <v>0</v>
      </c>
      <c r="R73" s="764">
        <v>0</v>
      </c>
      <c r="S73" s="693"/>
      <c r="T73" s="690">
        <f t="shared" si="2"/>
        <v>0</v>
      </c>
      <c r="U73" s="683"/>
      <c r="V73" s="474">
        <f t="shared" si="3"/>
        <v>0</v>
      </c>
      <c r="W73" s="474">
        <f t="shared" si="4"/>
        <v>0</v>
      </c>
      <c r="X73" s="475">
        <f t="shared" si="5"/>
        <v>0</v>
      </c>
      <c r="Y73" s="475">
        <v>0</v>
      </c>
      <c r="Z73" s="476">
        <v>0</v>
      </c>
      <c r="AA73" s="38">
        <f t="shared" si="6"/>
        <v>0</v>
      </c>
      <c r="AB73" s="692">
        <f t="shared" si="11"/>
        <v>73181.5</v>
      </c>
      <c r="AC73" s="692">
        <f t="shared" si="12"/>
        <v>0</v>
      </c>
      <c r="AD73" s="692">
        <f t="shared" si="7"/>
        <v>0</v>
      </c>
      <c r="AE73" s="38"/>
      <c r="AF73" s="692">
        <f t="shared" si="8"/>
        <v>0</v>
      </c>
      <c r="AG73" s="692">
        <f t="shared" si="9"/>
        <v>0</v>
      </c>
      <c r="AH73" s="692">
        <f t="shared" si="10"/>
        <v>0</v>
      </c>
      <c r="AJ73" s="123" t="s">
        <v>13</v>
      </c>
    </row>
    <row r="74" spans="1:36" s="232" customFormat="1">
      <c r="A74" s="283" t="s">
        <v>211</v>
      </c>
      <c r="B74" s="283" t="s">
        <v>110</v>
      </c>
      <c r="C74" s="667" t="s">
        <v>538</v>
      </c>
      <c r="D74" s="123" t="s">
        <v>172</v>
      </c>
      <c r="E74" s="679"/>
      <c r="F74" s="529">
        <f>VLOOKUP(D74,'Q1 2012 DMV-Revenue'!D:T,17,FALSE)</f>
        <v>14.34</v>
      </c>
      <c r="G74" s="680"/>
      <c r="H74" s="680"/>
      <c r="I74" s="681"/>
      <c r="J74" s="682">
        <f t="shared" si="0"/>
        <v>14.34</v>
      </c>
      <c r="K74" s="683"/>
      <c r="L74" s="684"/>
      <c r="M74" s="753">
        <v>0</v>
      </c>
      <c r="N74" s="683">
        <v>0</v>
      </c>
      <c r="O74" s="686"/>
      <c r="P74" s="683">
        <v>0</v>
      </c>
      <c r="Q74" s="687">
        <f t="shared" si="1"/>
        <v>0</v>
      </c>
      <c r="R74" s="764">
        <v>0</v>
      </c>
      <c r="S74" s="693"/>
      <c r="T74" s="690">
        <f t="shared" si="2"/>
        <v>0</v>
      </c>
      <c r="U74" s="683"/>
      <c r="V74" s="474">
        <f t="shared" si="3"/>
        <v>0</v>
      </c>
      <c r="W74" s="474">
        <f t="shared" si="4"/>
        <v>0</v>
      </c>
      <c r="X74" s="475">
        <f t="shared" si="5"/>
        <v>0</v>
      </c>
      <c r="Y74" s="475">
        <v>0</v>
      </c>
      <c r="Z74" s="476">
        <v>0</v>
      </c>
      <c r="AA74" s="38">
        <f t="shared" si="6"/>
        <v>0</v>
      </c>
      <c r="AB74" s="692">
        <f t="shared" si="11"/>
        <v>14.34</v>
      </c>
      <c r="AC74" s="692">
        <f t="shared" si="12"/>
        <v>0</v>
      </c>
      <c r="AD74" s="692">
        <f t="shared" si="7"/>
        <v>0</v>
      </c>
      <c r="AE74" s="38"/>
      <c r="AF74" s="692">
        <f t="shared" si="8"/>
        <v>0</v>
      </c>
      <c r="AG74" s="692">
        <f t="shared" si="9"/>
        <v>0</v>
      </c>
      <c r="AH74" s="692">
        <f t="shared" si="10"/>
        <v>0</v>
      </c>
      <c r="AJ74" s="123" t="s">
        <v>172</v>
      </c>
    </row>
    <row r="75" spans="1:36" s="232" customFormat="1">
      <c r="A75" s="283" t="s">
        <v>211</v>
      </c>
      <c r="B75" s="283" t="s">
        <v>110</v>
      </c>
      <c r="C75" s="667" t="s">
        <v>538</v>
      </c>
      <c r="D75" s="123" t="s">
        <v>173</v>
      </c>
      <c r="E75" s="679"/>
      <c r="F75" s="529">
        <f>VLOOKUP(D75,'Q1 2012 DMV-Revenue'!D:T,17,FALSE)</f>
        <v>26733.42</v>
      </c>
      <c r="G75" s="680"/>
      <c r="H75" s="680"/>
      <c r="I75" s="681"/>
      <c r="J75" s="682">
        <f t="shared" si="0"/>
        <v>26733.42</v>
      </c>
      <c r="K75" s="683"/>
      <c r="L75" s="684"/>
      <c r="M75" s="753">
        <v>0</v>
      </c>
      <c r="N75" s="683">
        <v>0</v>
      </c>
      <c r="O75" s="686"/>
      <c r="P75" s="683">
        <v>0</v>
      </c>
      <c r="Q75" s="687">
        <f t="shared" si="1"/>
        <v>0</v>
      </c>
      <c r="R75" s="764">
        <v>0</v>
      </c>
      <c r="S75" s="693"/>
      <c r="T75" s="690">
        <f t="shared" si="2"/>
        <v>0</v>
      </c>
      <c r="U75" s="683"/>
      <c r="V75" s="474">
        <f t="shared" si="3"/>
        <v>0</v>
      </c>
      <c r="W75" s="474">
        <f t="shared" si="4"/>
        <v>0</v>
      </c>
      <c r="X75" s="475">
        <f t="shared" si="5"/>
        <v>0</v>
      </c>
      <c r="Y75" s="475">
        <v>0</v>
      </c>
      <c r="Z75" s="476">
        <v>0</v>
      </c>
      <c r="AA75" s="38">
        <f t="shared" si="6"/>
        <v>0</v>
      </c>
      <c r="AB75" s="692">
        <f t="shared" si="11"/>
        <v>26733.42</v>
      </c>
      <c r="AC75" s="692">
        <f t="shared" si="12"/>
        <v>0</v>
      </c>
      <c r="AD75" s="692">
        <f t="shared" si="7"/>
        <v>0</v>
      </c>
      <c r="AE75" s="38"/>
      <c r="AF75" s="692">
        <f t="shared" si="8"/>
        <v>0</v>
      </c>
      <c r="AG75" s="692">
        <f t="shared" si="9"/>
        <v>0</v>
      </c>
      <c r="AH75" s="692">
        <f t="shared" si="10"/>
        <v>0</v>
      </c>
      <c r="AJ75" s="123" t="s">
        <v>173</v>
      </c>
    </row>
    <row r="76" spans="1:36" s="232" customFormat="1">
      <c r="A76" s="283" t="s">
        <v>211</v>
      </c>
      <c r="B76" s="283" t="s">
        <v>110</v>
      </c>
      <c r="C76" s="667" t="s">
        <v>538</v>
      </c>
      <c r="D76" s="123" t="s">
        <v>174</v>
      </c>
      <c r="E76" s="679"/>
      <c r="F76" s="529">
        <f>VLOOKUP(D76,'Q1 2012 DMV-Revenue'!D:T,17,FALSE)</f>
        <v>1.51</v>
      </c>
      <c r="G76" s="680"/>
      <c r="H76" s="680"/>
      <c r="I76" s="681"/>
      <c r="J76" s="682">
        <f t="shared" si="0"/>
        <v>1.51</v>
      </c>
      <c r="K76" s="683"/>
      <c r="L76" s="684"/>
      <c r="M76" s="753">
        <v>0</v>
      </c>
      <c r="N76" s="683">
        <v>0</v>
      </c>
      <c r="O76" s="686"/>
      <c r="P76" s="683">
        <v>0</v>
      </c>
      <c r="Q76" s="687">
        <f t="shared" si="1"/>
        <v>0</v>
      </c>
      <c r="R76" s="764">
        <v>0</v>
      </c>
      <c r="S76" s="693"/>
      <c r="T76" s="690">
        <f t="shared" si="2"/>
        <v>0</v>
      </c>
      <c r="U76" s="683"/>
      <c r="V76" s="474">
        <f t="shared" si="3"/>
        <v>0</v>
      </c>
      <c r="W76" s="474">
        <f t="shared" si="4"/>
        <v>0</v>
      </c>
      <c r="X76" s="475">
        <f t="shared" si="5"/>
        <v>0</v>
      </c>
      <c r="Y76" s="475">
        <v>0</v>
      </c>
      <c r="Z76" s="476">
        <v>0</v>
      </c>
      <c r="AA76" s="38">
        <f t="shared" si="6"/>
        <v>0</v>
      </c>
      <c r="AB76" s="692">
        <f t="shared" si="11"/>
        <v>1.51</v>
      </c>
      <c r="AC76" s="692">
        <f t="shared" si="12"/>
        <v>0</v>
      </c>
      <c r="AD76" s="692">
        <f t="shared" si="7"/>
        <v>0</v>
      </c>
      <c r="AE76" s="38"/>
      <c r="AF76" s="692">
        <f t="shared" si="8"/>
        <v>0</v>
      </c>
      <c r="AG76" s="692">
        <f t="shared" si="9"/>
        <v>0</v>
      </c>
      <c r="AH76" s="692">
        <f t="shared" si="10"/>
        <v>0</v>
      </c>
      <c r="AJ76" s="123" t="s">
        <v>174</v>
      </c>
    </row>
    <row r="77" spans="1:36">
      <c r="A77" s="21"/>
      <c r="B77" s="21" t="s">
        <v>109</v>
      </c>
      <c r="C77" s="666"/>
      <c r="D77" s="68" t="s">
        <v>94</v>
      </c>
      <c r="E77" s="679"/>
      <c r="F77" s="529" t="str">
        <f>VLOOKUP(D77,'Q1 2012 DMV-Revenue'!D:T,17,FALSE)</f>
        <v/>
      </c>
      <c r="G77" s="680"/>
      <c r="H77" s="680"/>
      <c r="I77" s="681"/>
      <c r="J77" s="682">
        <f t="shared" si="0"/>
        <v>0</v>
      </c>
      <c r="K77" s="683"/>
      <c r="L77" s="684"/>
      <c r="M77" s="753">
        <v>0</v>
      </c>
      <c r="N77" s="683">
        <v>0</v>
      </c>
      <c r="O77" s="686"/>
      <c r="P77" s="683">
        <v>0</v>
      </c>
      <c r="Q77" s="687">
        <f t="shared" si="1"/>
        <v>0</v>
      </c>
      <c r="R77" s="764">
        <v>0</v>
      </c>
      <c r="S77" s="693"/>
      <c r="T77" s="690">
        <f t="shared" si="2"/>
        <v>0</v>
      </c>
      <c r="U77" s="697"/>
      <c r="V77" s="474">
        <f t="shared" si="3"/>
        <v>0</v>
      </c>
      <c r="W77" s="474">
        <f t="shared" si="4"/>
        <v>0</v>
      </c>
      <c r="X77" s="475">
        <f t="shared" si="5"/>
        <v>0</v>
      </c>
      <c r="Y77" s="475">
        <v>0</v>
      </c>
      <c r="Z77" s="476">
        <v>0</v>
      </c>
      <c r="AA77" s="38">
        <f t="shared" si="6"/>
        <v>0</v>
      </c>
      <c r="AB77" s="692">
        <f t="shared" si="11"/>
        <v>0</v>
      </c>
      <c r="AC77" s="692">
        <f t="shared" si="12"/>
        <v>0</v>
      </c>
      <c r="AD77" s="692">
        <f t="shared" si="7"/>
        <v>0</v>
      </c>
      <c r="AE77" s="38"/>
      <c r="AF77" s="692">
        <f t="shared" si="8"/>
        <v>0</v>
      </c>
      <c r="AG77" s="692">
        <f t="shared" si="9"/>
        <v>0</v>
      </c>
      <c r="AH77" s="692">
        <f t="shared" si="10"/>
        <v>0</v>
      </c>
      <c r="AJ77" s="68" t="s">
        <v>94</v>
      </c>
    </row>
    <row r="78" spans="1:36">
      <c r="A78" s="20" t="s">
        <v>211</v>
      </c>
      <c r="B78" s="20" t="s">
        <v>109</v>
      </c>
      <c r="C78" s="667"/>
      <c r="D78" s="68" t="s">
        <v>14</v>
      </c>
      <c r="E78" s="679"/>
      <c r="F78" s="529" t="str">
        <f>VLOOKUP(D78,'Q1 2012 DMV-Revenue'!D:T,17,FALSE)</f>
        <v/>
      </c>
      <c r="G78" s="680"/>
      <c r="H78" s="680"/>
      <c r="I78" s="681"/>
      <c r="J78" s="682">
        <f t="shared" ref="J78:J142" si="13">SUM(E78:I78)</f>
        <v>0</v>
      </c>
      <c r="K78" s="683"/>
      <c r="L78" s="684"/>
      <c r="M78" s="753">
        <v>0</v>
      </c>
      <c r="N78" s="683">
        <v>0</v>
      </c>
      <c r="O78" s="686"/>
      <c r="P78" s="683">
        <v>0</v>
      </c>
      <c r="Q78" s="687">
        <f t="shared" si="1"/>
        <v>0</v>
      </c>
      <c r="R78" s="764">
        <v>0</v>
      </c>
      <c r="S78" s="693"/>
      <c r="T78" s="690">
        <f t="shared" si="2"/>
        <v>0</v>
      </c>
      <c r="U78" s="683"/>
      <c r="V78" s="474">
        <f t="shared" ref="V78:V136" si="14">IF(B78="D",Q78,0)</f>
        <v>0</v>
      </c>
      <c r="W78" s="474">
        <f t="shared" ref="W78:W133" si="15">IF(B78="M",Q78,0)</f>
        <v>0</v>
      </c>
      <c r="X78" s="475">
        <f t="shared" ref="X78:X133" si="16">IF(B78="V",Q78,0)</f>
        <v>0</v>
      </c>
      <c r="Y78" s="475">
        <v>0</v>
      </c>
      <c r="Z78" s="476">
        <v>0</v>
      </c>
      <c r="AA78" s="38">
        <f t="shared" ref="AA78:AA136" si="17">(L78+M78)-(V78+W78+X78+Y78+Z78)</f>
        <v>0</v>
      </c>
      <c r="AB78" s="692">
        <f t="shared" ref="AB78:AB133" si="18">IF(B78="D",J78,0)</f>
        <v>0</v>
      </c>
      <c r="AC78" s="692">
        <f t="shared" ref="AC78:AC133" si="19">IF(B78="M",J78,0)</f>
        <v>0</v>
      </c>
      <c r="AD78" s="692">
        <f t="shared" ref="AD78:AD133" si="20">IF(B78="V",J78,0)</f>
        <v>0</v>
      </c>
      <c r="AE78" s="38"/>
      <c r="AF78" s="692">
        <f t="shared" ref="AF78:AF133" si="21">IF(B78="D",Q78,0)</f>
        <v>0</v>
      </c>
      <c r="AG78" s="692">
        <f t="shared" ref="AG78:AG133" si="22">IF(B78="M",Q78,0)</f>
        <v>0</v>
      </c>
      <c r="AH78" s="692">
        <f t="shared" ref="AH78:AH133" si="23">IF(B78="V",Q78,0)</f>
        <v>0</v>
      </c>
      <c r="AJ78" s="68" t="s">
        <v>14</v>
      </c>
    </row>
    <row r="79" spans="1:36">
      <c r="A79" s="20"/>
      <c r="B79" s="20" t="s">
        <v>110</v>
      </c>
      <c r="C79" s="667"/>
      <c r="D79" s="68" t="s">
        <v>15</v>
      </c>
      <c r="E79" s="679"/>
      <c r="F79" s="529" t="str">
        <f>VLOOKUP(D79,'Q1 2012 DMV-Revenue'!D:T,17,FALSE)</f>
        <v/>
      </c>
      <c r="G79" s="694">
        <v>8879.9500000000007</v>
      </c>
      <c r="H79" s="680"/>
      <c r="I79" s="681"/>
      <c r="J79" s="682">
        <f t="shared" si="13"/>
        <v>8879.9500000000007</v>
      </c>
      <c r="K79" s="683"/>
      <c r="L79" s="684"/>
      <c r="M79" s="753">
        <v>0</v>
      </c>
      <c r="N79" s="683">
        <v>0</v>
      </c>
      <c r="O79" s="686"/>
      <c r="P79" s="683">
        <v>0</v>
      </c>
      <c r="Q79" s="687">
        <f t="shared" si="1"/>
        <v>0</v>
      </c>
      <c r="R79" s="764">
        <v>0</v>
      </c>
      <c r="S79" s="693"/>
      <c r="T79" s="690">
        <f t="shared" ref="T79:T143" si="24">IF(R79="","",R79-Q79)</f>
        <v>0</v>
      </c>
      <c r="U79" s="683"/>
      <c r="V79" s="474">
        <f t="shared" si="14"/>
        <v>0</v>
      </c>
      <c r="W79" s="474">
        <f t="shared" si="15"/>
        <v>0</v>
      </c>
      <c r="X79" s="475">
        <f t="shared" si="16"/>
        <v>0</v>
      </c>
      <c r="Y79" s="475">
        <v>0</v>
      </c>
      <c r="Z79" s="476">
        <v>0</v>
      </c>
      <c r="AA79" s="38">
        <f t="shared" si="17"/>
        <v>0</v>
      </c>
      <c r="AB79" s="692">
        <f t="shared" si="18"/>
        <v>8879.9500000000007</v>
      </c>
      <c r="AC79" s="692">
        <f t="shared" si="19"/>
        <v>0</v>
      </c>
      <c r="AD79" s="692">
        <f t="shared" si="20"/>
        <v>0</v>
      </c>
      <c r="AE79" s="38"/>
      <c r="AF79" s="692">
        <f t="shared" si="21"/>
        <v>0</v>
      </c>
      <c r="AG79" s="692">
        <f t="shared" si="22"/>
        <v>0</v>
      </c>
      <c r="AH79" s="692">
        <f t="shared" si="23"/>
        <v>0</v>
      </c>
      <c r="AJ79" s="68" t="s">
        <v>15</v>
      </c>
    </row>
    <row r="80" spans="1:36">
      <c r="A80" s="20"/>
      <c r="B80" s="20"/>
      <c r="C80" s="667"/>
      <c r="D80" s="68" t="s">
        <v>646</v>
      </c>
      <c r="E80" s="679"/>
      <c r="F80" s="529"/>
      <c r="G80" s="680"/>
      <c r="H80" s="680"/>
      <c r="I80" s="681"/>
      <c r="J80" s="682"/>
      <c r="K80" s="683"/>
      <c r="L80" s="684"/>
      <c r="M80" s="753"/>
      <c r="N80" s="683"/>
      <c r="O80" s="686"/>
      <c r="P80" s="683"/>
      <c r="Q80" s="687"/>
      <c r="R80" s="764">
        <v>360.29</v>
      </c>
      <c r="S80" s="693"/>
      <c r="T80" s="690">
        <f t="shared" si="2"/>
        <v>360.29</v>
      </c>
      <c r="U80" s="683"/>
      <c r="V80" s="474"/>
      <c r="W80" s="474"/>
      <c r="X80" s="475"/>
      <c r="Y80" s="475"/>
      <c r="Z80" s="476"/>
      <c r="AA80" s="38"/>
      <c r="AB80" s="692"/>
      <c r="AC80" s="692"/>
      <c r="AD80" s="692"/>
      <c r="AE80" s="38"/>
      <c r="AF80" s="692"/>
      <c r="AG80" s="692"/>
      <c r="AH80" s="692"/>
      <c r="AJ80" s="68"/>
    </row>
    <row r="81" spans="1:36">
      <c r="A81" s="20" t="s">
        <v>109</v>
      </c>
      <c r="B81" s="20" t="s">
        <v>109</v>
      </c>
      <c r="C81" s="667" t="s">
        <v>539</v>
      </c>
      <c r="D81" s="68" t="s">
        <v>510</v>
      </c>
      <c r="E81" s="679">
        <f>2565.54+1479.56</f>
        <v>4045.1</v>
      </c>
      <c r="F81" s="529">
        <f>VLOOKUP(D81,'Q1 2012 DMV-Revenue'!D:T,17,FALSE)</f>
        <v>3825.96</v>
      </c>
      <c r="G81" s="680"/>
      <c r="H81" s="680"/>
      <c r="I81" s="681"/>
      <c r="J81" s="682">
        <f t="shared" si="13"/>
        <v>7871.0599999999995</v>
      </c>
      <c r="K81" s="683"/>
      <c r="L81" s="684"/>
      <c r="M81" s="753">
        <v>0</v>
      </c>
      <c r="N81" s="683">
        <v>0</v>
      </c>
      <c r="O81" s="686"/>
      <c r="P81" s="683">
        <v>0</v>
      </c>
      <c r="Q81" s="687">
        <f t="shared" si="1"/>
        <v>0</v>
      </c>
      <c r="R81" s="764">
        <v>0</v>
      </c>
      <c r="S81" s="693"/>
      <c r="T81" s="690">
        <f t="shared" si="24"/>
        <v>0</v>
      </c>
      <c r="U81" s="683"/>
      <c r="V81" s="474">
        <f t="shared" si="14"/>
        <v>0</v>
      </c>
      <c r="W81" s="474">
        <f t="shared" si="15"/>
        <v>0</v>
      </c>
      <c r="X81" s="475">
        <f t="shared" si="16"/>
        <v>0</v>
      </c>
      <c r="Y81" s="475">
        <v>0</v>
      </c>
      <c r="Z81" s="476">
        <v>0</v>
      </c>
      <c r="AA81" s="38">
        <f t="shared" si="17"/>
        <v>0</v>
      </c>
      <c r="AB81" s="692">
        <f t="shared" si="18"/>
        <v>0</v>
      </c>
      <c r="AC81" s="692">
        <f t="shared" si="19"/>
        <v>7871.0599999999995</v>
      </c>
      <c r="AD81" s="692">
        <f t="shared" si="20"/>
        <v>0</v>
      </c>
      <c r="AE81" s="38"/>
      <c r="AF81" s="692">
        <f t="shared" si="21"/>
        <v>0</v>
      </c>
      <c r="AG81" s="692">
        <f t="shared" si="22"/>
        <v>0</v>
      </c>
      <c r="AH81" s="692">
        <f t="shared" si="23"/>
        <v>0</v>
      </c>
      <c r="AJ81" s="68" t="s">
        <v>510</v>
      </c>
    </row>
    <row r="82" spans="1:36">
      <c r="A82" s="20"/>
      <c r="B82" s="20" t="s">
        <v>109</v>
      </c>
      <c r="C82" s="667"/>
      <c r="D82" s="68" t="s">
        <v>16</v>
      </c>
      <c r="E82" s="679"/>
      <c r="F82" s="529" t="str">
        <f>VLOOKUP(D82,'Q1 2012 DMV-Revenue'!D:T,17,FALSE)</f>
        <v/>
      </c>
      <c r="G82" s="694">
        <v>41.13</v>
      </c>
      <c r="H82" s="680"/>
      <c r="I82" s="681"/>
      <c r="J82" s="682">
        <f t="shared" si="13"/>
        <v>41.13</v>
      </c>
      <c r="K82" s="683"/>
      <c r="L82" s="684"/>
      <c r="M82" s="753">
        <v>0</v>
      </c>
      <c r="N82" s="683">
        <v>0</v>
      </c>
      <c r="O82" s="686"/>
      <c r="P82" s="683">
        <v>0</v>
      </c>
      <c r="Q82" s="687">
        <f t="shared" si="1"/>
        <v>0</v>
      </c>
      <c r="R82" s="764">
        <v>0</v>
      </c>
      <c r="S82" s="693"/>
      <c r="T82" s="690">
        <f t="shared" si="24"/>
        <v>0</v>
      </c>
      <c r="U82" s="683"/>
      <c r="V82" s="474">
        <f t="shared" si="14"/>
        <v>0</v>
      </c>
      <c r="W82" s="474">
        <f t="shared" si="15"/>
        <v>0</v>
      </c>
      <c r="X82" s="475">
        <f t="shared" si="16"/>
        <v>0</v>
      </c>
      <c r="Y82" s="475">
        <v>0</v>
      </c>
      <c r="Z82" s="476">
        <v>0</v>
      </c>
      <c r="AA82" s="38">
        <f t="shared" si="17"/>
        <v>0</v>
      </c>
      <c r="AB82" s="692">
        <f t="shared" si="18"/>
        <v>0</v>
      </c>
      <c r="AC82" s="692">
        <f t="shared" si="19"/>
        <v>41.13</v>
      </c>
      <c r="AD82" s="692">
        <f t="shared" si="20"/>
        <v>0</v>
      </c>
      <c r="AE82" s="38"/>
      <c r="AF82" s="692">
        <f t="shared" si="21"/>
        <v>0</v>
      </c>
      <c r="AG82" s="692">
        <f t="shared" si="22"/>
        <v>0</v>
      </c>
      <c r="AH82" s="692">
        <f t="shared" si="23"/>
        <v>0</v>
      </c>
      <c r="AJ82" s="68" t="s">
        <v>16</v>
      </c>
    </row>
    <row r="83" spans="1:36">
      <c r="A83" s="20"/>
      <c r="B83" s="20" t="s">
        <v>109</v>
      </c>
      <c r="C83" s="667"/>
      <c r="D83" s="68" t="s">
        <v>208</v>
      </c>
      <c r="E83" s="679"/>
      <c r="F83" s="529" t="str">
        <f>VLOOKUP(D83,'Q1 2012 DMV-Revenue'!D:T,17,FALSE)</f>
        <v/>
      </c>
      <c r="G83" s="680"/>
      <c r="H83" s="680"/>
      <c r="I83" s="681"/>
      <c r="J83" s="682">
        <f t="shared" si="13"/>
        <v>0</v>
      </c>
      <c r="K83" s="683"/>
      <c r="L83" s="684"/>
      <c r="M83" s="753">
        <v>0</v>
      </c>
      <c r="N83" s="683">
        <v>0</v>
      </c>
      <c r="O83" s="686"/>
      <c r="P83" s="683">
        <v>0</v>
      </c>
      <c r="Q83" s="687">
        <f t="shared" si="1"/>
        <v>0</v>
      </c>
      <c r="R83" s="764">
        <v>0</v>
      </c>
      <c r="S83" s="693"/>
      <c r="T83" s="690">
        <f t="shared" si="24"/>
        <v>0</v>
      </c>
      <c r="U83" s="683"/>
      <c r="V83" s="474">
        <f t="shared" si="14"/>
        <v>0</v>
      </c>
      <c r="W83" s="474">
        <f t="shared" si="15"/>
        <v>0</v>
      </c>
      <c r="X83" s="475">
        <f t="shared" si="16"/>
        <v>0</v>
      </c>
      <c r="Y83" s="475">
        <v>0</v>
      </c>
      <c r="Z83" s="476">
        <v>0</v>
      </c>
      <c r="AA83" s="38">
        <f t="shared" si="17"/>
        <v>0</v>
      </c>
      <c r="AB83" s="692">
        <f t="shared" si="18"/>
        <v>0</v>
      </c>
      <c r="AC83" s="692">
        <f t="shared" si="19"/>
        <v>0</v>
      </c>
      <c r="AD83" s="692">
        <f t="shared" si="20"/>
        <v>0</v>
      </c>
      <c r="AE83" s="38"/>
      <c r="AF83" s="692">
        <f t="shared" si="21"/>
        <v>0</v>
      </c>
      <c r="AG83" s="692">
        <f t="shared" si="22"/>
        <v>0</v>
      </c>
      <c r="AH83" s="692">
        <f t="shared" si="23"/>
        <v>0</v>
      </c>
      <c r="AJ83" s="68" t="s">
        <v>208</v>
      </c>
    </row>
    <row r="84" spans="1:36">
      <c r="A84" s="20"/>
      <c r="B84" s="20" t="s">
        <v>110</v>
      </c>
      <c r="C84" s="667"/>
      <c r="D84" s="68" t="s">
        <v>597</v>
      </c>
      <c r="E84" s="679"/>
      <c r="F84" s="529" t="str">
        <f>VLOOKUP(D84,'Q1 2012 DMV-Revenue'!D:T,17,FALSE)</f>
        <v/>
      </c>
      <c r="G84" s="680"/>
      <c r="H84" s="680"/>
      <c r="I84" s="681"/>
      <c r="J84" s="682">
        <f t="shared" si="13"/>
        <v>0</v>
      </c>
      <c r="K84" s="683"/>
      <c r="L84" s="684"/>
      <c r="M84" s="753">
        <v>60000</v>
      </c>
      <c r="N84" s="683">
        <v>0</v>
      </c>
      <c r="O84" s="686"/>
      <c r="P84" s="683">
        <v>0</v>
      </c>
      <c r="Q84" s="687">
        <f t="shared" si="1"/>
        <v>60000</v>
      </c>
      <c r="R84" s="764">
        <v>80887.509999999995</v>
      </c>
      <c r="S84" s="693"/>
      <c r="T84" s="690">
        <f t="shared" si="24"/>
        <v>20887.509999999995</v>
      </c>
      <c r="U84" s="683"/>
      <c r="V84" s="474">
        <f t="shared" si="14"/>
        <v>60000</v>
      </c>
      <c r="W84" s="474">
        <f t="shared" si="15"/>
        <v>0</v>
      </c>
      <c r="X84" s="475">
        <f t="shared" si="16"/>
        <v>0</v>
      </c>
      <c r="Y84" s="475">
        <v>0</v>
      </c>
      <c r="Z84" s="476">
        <v>0</v>
      </c>
      <c r="AA84" s="38">
        <f t="shared" si="17"/>
        <v>0</v>
      </c>
      <c r="AB84" s="692">
        <f t="shared" si="18"/>
        <v>0</v>
      </c>
      <c r="AC84" s="692">
        <f t="shared" si="19"/>
        <v>0</v>
      </c>
      <c r="AD84" s="692">
        <f t="shared" si="20"/>
        <v>0</v>
      </c>
      <c r="AE84" s="38"/>
      <c r="AF84" s="692">
        <f t="shared" si="21"/>
        <v>60000</v>
      </c>
      <c r="AG84" s="692">
        <f t="shared" si="22"/>
        <v>0</v>
      </c>
      <c r="AH84" s="692">
        <f t="shared" si="23"/>
        <v>0</v>
      </c>
      <c r="AJ84" s="68" t="s">
        <v>597</v>
      </c>
    </row>
    <row r="85" spans="1:36" s="232" customFormat="1">
      <c r="A85" s="283"/>
      <c r="B85" s="283" t="s">
        <v>109</v>
      </c>
      <c r="C85" s="667" t="s">
        <v>540</v>
      </c>
      <c r="D85" s="373" t="s">
        <v>410</v>
      </c>
      <c r="E85" s="679"/>
      <c r="F85" s="529">
        <f>VLOOKUP(D85,'Q1 2012 DMV-Revenue'!D:T,17,FALSE)</f>
        <v>-4000</v>
      </c>
      <c r="G85" s="680"/>
      <c r="H85" s="680"/>
      <c r="I85" s="681"/>
      <c r="J85" s="682">
        <f t="shared" si="13"/>
        <v>-4000</v>
      </c>
      <c r="K85" s="683"/>
      <c r="L85" s="684"/>
      <c r="M85" s="753">
        <v>7000</v>
      </c>
      <c r="N85" s="683">
        <v>0</v>
      </c>
      <c r="O85" s="686"/>
      <c r="P85" s="683">
        <v>0</v>
      </c>
      <c r="Q85" s="687">
        <f t="shared" si="1"/>
        <v>7000</v>
      </c>
      <c r="R85" s="764">
        <v>2750.3</v>
      </c>
      <c r="S85" s="693"/>
      <c r="T85" s="690">
        <f t="shared" si="24"/>
        <v>-4249.7</v>
      </c>
      <c r="U85" s="683"/>
      <c r="V85" s="474">
        <f t="shared" si="14"/>
        <v>0</v>
      </c>
      <c r="W85" s="474">
        <f t="shared" si="15"/>
        <v>7000</v>
      </c>
      <c r="X85" s="475">
        <f t="shared" si="16"/>
        <v>0</v>
      </c>
      <c r="Y85" s="475">
        <v>0</v>
      </c>
      <c r="Z85" s="476">
        <v>0</v>
      </c>
      <c r="AA85" s="38">
        <f t="shared" si="17"/>
        <v>0</v>
      </c>
      <c r="AB85" s="692">
        <f t="shared" si="18"/>
        <v>0</v>
      </c>
      <c r="AC85" s="692">
        <f t="shared" si="19"/>
        <v>-4000</v>
      </c>
      <c r="AD85" s="692">
        <f t="shared" si="20"/>
        <v>0</v>
      </c>
      <c r="AE85" s="38"/>
      <c r="AF85" s="692">
        <f t="shared" si="21"/>
        <v>0</v>
      </c>
      <c r="AG85" s="692">
        <f t="shared" si="22"/>
        <v>7000</v>
      </c>
      <c r="AH85" s="692">
        <f t="shared" si="23"/>
        <v>0</v>
      </c>
      <c r="AJ85" s="373" t="s">
        <v>410</v>
      </c>
    </row>
    <row r="86" spans="1:36" s="232" customFormat="1">
      <c r="A86" s="283"/>
      <c r="B86" s="283" t="s">
        <v>109</v>
      </c>
      <c r="C86" s="667" t="s">
        <v>540</v>
      </c>
      <c r="D86" s="373" t="s">
        <v>413</v>
      </c>
      <c r="E86" s="679"/>
      <c r="F86" s="529">
        <f>VLOOKUP(D86,'Q1 2012 DMV-Revenue'!D:T,17,FALSE)</f>
        <v>427.72</v>
      </c>
      <c r="G86" s="680"/>
      <c r="H86" s="680"/>
      <c r="I86" s="681"/>
      <c r="J86" s="682">
        <f t="shared" si="13"/>
        <v>427.72</v>
      </c>
      <c r="K86" s="683"/>
      <c r="L86" s="684"/>
      <c r="M86" s="753">
        <v>0</v>
      </c>
      <c r="N86" s="683">
        <v>0</v>
      </c>
      <c r="O86" s="686"/>
      <c r="P86" s="683">
        <v>0</v>
      </c>
      <c r="Q86" s="687">
        <f t="shared" si="1"/>
        <v>0</v>
      </c>
      <c r="R86" s="764">
        <f>312.5+99.23+14+5.87</f>
        <v>431.6</v>
      </c>
      <c r="S86" s="693"/>
      <c r="T86" s="690">
        <f t="shared" si="24"/>
        <v>431.6</v>
      </c>
      <c r="U86" s="683"/>
      <c r="V86" s="474">
        <f t="shared" si="14"/>
        <v>0</v>
      </c>
      <c r="W86" s="474">
        <f t="shared" si="15"/>
        <v>0</v>
      </c>
      <c r="X86" s="475">
        <f t="shared" si="16"/>
        <v>0</v>
      </c>
      <c r="Y86" s="475">
        <v>0</v>
      </c>
      <c r="Z86" s="476">
        <v>0</v>
      </c>
      <c r="AA86" s="38">
        <f t="shared" si="17"/>
        <v>0</v>
      </c>
      <c r="AB86" s="692">
        <f t="shared" si="18"/>
        <v>0</v>
      </c>
      <c r="AC86" s="692">
        <f t="shared" si="19"/>
        <v>427.72</v>
      </c>
      <c r="AD86" s="692">
        <f t="shared" si="20"/>
        <v>0</v>
      </c>
      <c r="AE86" s="38"/>
      <c r="AF86" s="692">
        <f t="shared" si="21"/>
        <v>0</v>
      </c>
      <c r="AG86" s="692">
        <f t="shared" si="22"/>
        <v>0</v>
      </c>
      <c r="AH86" s="692">
        <f t="shared" si="23"/>
        <v>0</v>
      </c>
      <c r="AJ86" s="373" t="s">
        <v>413</v>
      </c>
    </row>
    <row r="87" spans="1:36" s="232" customFormat="1">
      <c r="A87" s="283"/>
      <c r="B87" s="283" t="s">
        <v>109</v>
      </c>
      <c r="C87" s="667" t="s">
        <v>540</v>
      </c>
      <c r="D87" s="373" t="s">
        <v>620</v>
      </c>
      <c r="E87" s="679"/>
      <c r="F87" s="529">
        <f>VLOOKUP(D87,'Q1 2012 DMV-Revenue'!D:T,17,FALSE)</f>
        <v>393.39</v>
      </c>
      <c r="G87" s="680"/>
      <c r="H87" s="680"/>
      <c r="I87" s="681"/>
      <c r="J87" s="682">
        <f t="shared" si="13"/>
        <v>393.39</v>
      </c>
      <c r="K87" s="683"/>
      <c r="L87" s="684"/>
      <c r="M87" s="753">
        <v>0</v>
      </c>
      <c r="N87" s="683">
        <v>0</v>
      </c>
      <c r="O87" s="686"/>
      <c r="P87" s="683">
        <v>0</v>
      </c>
      <c r="Q87" s="687">
        <f t="shared" si="1"/>
        <v>0</v>
      </c>
      <c r="R87" s="764">
        <f>490.39+0.95</f>
        <v>491.34</v>
      </c>
      <c r="S87" s="693"/>
      <c r="T87" s="690">
        <f t="shared" si="24"/>
        <v>491.34</v>
      </c>
      <c r="U87" s="683"/>
      <c r="V87" s="474">
        <f t="shared" si="14"/>
        <v>0</v>
      </c>
      <c r="W87" s="474">
        <f t="shared" si="15"/>
        <v>0</v>
      </c>
      <c r="X87" s="475">
        <f t="shared" si="16"/>
        <v>0</v>
      </c>
      <c r="Y87" s="475">
        <v>0</v>
      </c>
      <c r="Z87" s="476">
        <v>0</v>
      </c>
      <c r="AA87" s="38">
        <f t="shared" si="17"/>
        <v>0</v>
      </c>
      <c r="AB87" s="692">
        <f t="shared" si="18"/>
        <v>0</v>
      </c>
      <c r="AC87" s="692">
        <f t="shared" si="19"/>
        <v>393.39</v>
      </c>
      <c r="AD87" s="692">
        <f t="shared" si="20"/>
        <v>0</v>
      </c>
      <c r="AE87" s="38"/>
      <c r="AF87" s="692">
        <f t="shared" si="21"/>
        <v>0</v>
      </c>
      <c r="AG87" s="692">
        <f t="shared" si="22"/>
        <v>0</v>
      </c>
      <c r="AH87" s="692">
        <f t="shared" si="23"/>
        <v>0</v>
      </c>
      <c r="AJ87" s="373" t="s">
        <v>620</v>
      </c>
    </row>
    <row r="88" spans="1:36">
      <c r="A88" s="20"/>
      <c r="B88" s="20" t="s">
        <v>110</v>
      </c>
      <c r="C88" s="667" t="s">
        <v>541</v>
      </c>
      <c r="D88" s="351" t="s">
        <v>507</v>
      </c>
      <c r="E88" s="679"/>
      <c r="F88" s="529" t="str">
        <f>VLOOKUP(D88,'Q1 2012 DMV-Revenue'!D:T,17,FALSE)</f>
        <v/>
      </c>
      <c r="G88" s="680"/>
      <c r="H88" s="680"/>
      <c r="I88" s="681"/>
      <c r="J88" s="682">
        <f t="shared" si="13"/>
        <v>0</v>
      </c>
      <c r="K88" s="683"/>
      <c r="L88" s="684"/>
      <c r="M88" s="753">
        <v>0</v>
      </c>
      <c r="N88" s="683">
        <v>0</v>
      </c>
      <c r="O88" s="686"/>
      <c r="P88" s="683">
        <v>0</v>
      </c>
      <c r="Q88" s="687">
        <f t="shared" si="1"/>
        <v>0</v>
      </c>
      <c r="R88" s="764">
        <v>347.32</v>
      </c>
      <c r="S88" s="693"/>
      <c r="T88" s="690">
        <f t="shared" si="24"/>
        <v>347.32</v>
      </c>
      <c r="U88" s="683"/>
      <c r="V88" s="474">
        <f t="shared" si="14"/>
        <v>0</v>
      </c>
      <c r="W88" s="474">
        <f t="shared" si="15"/>
        <v>0</v>
      </c>
      <c r="X88" s="475">
        <f t="shared" si="16"/>
        <v>0</v>
      </c>
      <c r="Y88" s="475">
        <v>0</v>
      </c>
      <c r="Z88" s="476">
        <v>0</v>
      </c>
      <c r="AA88" s="38">
        <f t="shared" si="17"/>
        <v>0</v>
      </c>
      <c r="AB88" s="692">
        <f t="shared" si="18"/>
        <v>0</v>
      </c>
      <c r="AC88" s="692">
        <f t="shared" si="19"/>
        <v>0</v>
      </c>
      <c r="AD88" s="692">
        <f t="shared" si="20"/>
        <v>0</v>
      </c>
      <c r="AE88" s="38"/>
      <c r="AF88" s="692">
        <f t="shared" si="21"/>
        <v>0</v>
      </c>
      <c r="AG88" s="692">
        <f t="shared" si="22"/>
        <v>0</v>
      </c>
      <c r="AH88" s="692">
        <f t="shared" si="23"/>
        <v>0</v>
      </c>
      <c r="AJ88" s="351" t="s">
        <v>507</v>
      </c>
    </row>
    <row r="89" spans="1:36">
      <c r="A89" s="20"/>
      <c r="B89" s="20" t="s">
        <v>110</v>
      </c>
      <c r="C89" s="667" t="s">
        <v>541</v>
      </c>
      <c r="D89" s="351" t="s">
        <v>506</v>
      </c>
      <c r="E89" s="679"/>
      <c r="F89" s="529" t="str">
        <f>VLOOKUP(D89,'Q1 2012 DMV-Revenue'!D:T,17,FALSE)</f>
        <v/>
      </c>
      <c r="G89" s="680"/>
      <c r="H89" s="680"/>
      <c r="I89" s="681"/>
      <c r="J89" s="682">
        <f t="shared" si="13"/>
        <v>0</v>
      </c>
      <c r="K89" s="683"/>
      <c r="L89" s="684"/>
      <c r="M89" s="753">
        <v>0</v>
      </c>
      <c r="N89" s="683">
        <v>0</v>
      </c>
      <c r="O89" s="686"/>
      <c r="P89" s="683">
        <v>0</v>
      </c>
      <c r="Q89" s="687">
        <f t="shared" si="1"/>
        <v>0</v>
      </c>
      <c r="R89" s="764">
        <v>438.36</v>
      </c>
      <c r="S89" s="693"/>
      <c r="T89" s="690">
        <f t="shared" si="24"/>
        <v>438.36</v>
      </c>
      <c r="U89" s="683"/>
      <c r="V89" s="474">
        <f t="shared" si="14"/>
        <v>0</v>
      </c>
      <c r="W89" s="474">
        <f t="shared" si="15"/>
        <v>0</v>
      </c>
      <c r="X89" s="475">
        <f t="shared" si="16"/>
        <v>0</v>
      </c>
      <c r="Y89" s="475">
        <v>0</v>
      </c>
      <c r="Z89" s="476">
        <v>0</v>
      </c>
      <c r="AA89" s="38">
        <f t="shared" si="17"/>
        <v>0</v>
      </c>
      <c r="AB89" s="692">
        <f t="shared" si="18"/>
        <v>0</v>
      </c>
      <c r="AC89" s="692">
        <f t="shared" si="19"/>
        <v>0</v>
      </c>
      <c r="AD89" s="692">
        <f t="shared" si="20"/>
        <v>0</v>
      </c>
      <c r="AE89" s="38"/>
      <c r="AF89" s="692">
        <f t="shared" si="21"/>
        <v>0</v>
      </c>
      <c r="AG89" s="692">
        <f t="shared" si="22"/>
        <v>0</v>
      </c>
      <c r="AH89" s="692">
        <f t="shared" si="23"/>
        <v>0</v>
      </c>
      <c r="AJ89" s="351" t="s">
        <v>506</v>
      </c>
    </row>
    <row r="90" spans="1:36">
      <c r="A90" s="20"/>
      <c r="B90" s="20" t="s">
        <v>110</v>
      </c>
      <c r="C90" s="667" t="s">
        <v>542</v>
      </c>
      <c r="D90" s="68" t="s">
        <v>305</v>
      </c>
      <c r="E90" s="679"/>
      <c r="F90" s="529" t="str">
        <f>VLOOKUP(D90,'Q1 2012 DMV-Revenue'!D:T,17,FALSE)</f>
        <v/>
      </c>
      <c r="G90" s="680"/>
      <c r="H90" s="680"/>
      <c r="I90" s="681"/>
      <c r="J90" s="682">
        <f t="shared" si="13"/>
        <v>0</v>
      </c>
      <c r="K90" s="683"/>
      <c r="L90" s="684"/>
      <c r="M90" s="753">
        <v>0</v>
      </c>
      <c r="N90" s="683">
        <v>0</v>
      </c>
      <c r="O90" s="686"/>
      <c r="P90" s="683">
        <v>0</v>
      </c>
      <c r="Q90" s="687">
        <f t="shared" si="1"/>
        <v>0</v>
      </c>
      <c r="R90" s="764">
        <v>0</v>
      </c>
      <c r="S90" s="693"/>
      <c r="T90" s="690">
        <f t="shared" si="24"/>
        <v>0</v>
      </c>
      <c r="U90" s="683"/>
      <c r="V90" s="474">
        <f t="shared" si="14"/>
        <v>0</v>
      </c>
      <c r="W90" s="474">
        <f t="shared" si="15"/>
        <v>0</v>
      </c>
      <c r="X90" s="475">
        <f t="shared" si="16"/>
        <v>0</v>
      </c>
      <c r="Y90" s="475">
        <v>0</v>
      </c>
      <c r="Z90" s="476">
        <v>0</v>
      </c>
      <c r="AA90" s="38">
        <f t="shared" si="17"/>
        <v>0</v>
      </c>
      <c r="AB90" s="692">
        <f t="shared" si="18"/>
        <v>0</v>
      </c>
      <c r="AC90" s="692">
        <f t="shared" si="19"/>
        <v>0</v>
      </c>
      <c r="AD90" s="692">
        <f t="shared" si="20"/>
        <v>0</v>
      </c>
      <c r="AE90" s="38"/>
      <c r="AF90" s="692">
        <f t="shared" si="21"/>
        <v>0</v>
      </c>
      <c r="AG90" s="692">
        <f t="shared" si="22"/>
        <v>0</v>
      </c>
      <c r="AH90" s="692">
        <f t="shared" si="23"/>
        <v>0</v>
      </c>
      <c r="AJ90" s="68" t="s">
        <v>305</v>
      </c>
    </row>
    <row r="91" spans="1:36">
      <c r="A91" s="20"/>
      <c r="B91" s="20" t="s">
        <v>110</v>
      </c>
      <c r="C91" s="667" t="s">
        <v>543</v>
      </c>
      <c r="D91" s="68" t="s">
        <v>199</v>
      </c>
      <c r="E91" s="679"/>
      <c r="F91" s="529" t="str">
        <f>VLOOKUP(D91,'Q1 2012 DMV-Revenue'!D:T,17,FALSE)</f>
        <v/>
      </c>
      <c r="G91" s="680"/>
      <c r="H91" s="680"/>
      <c r="I91" s="681"/>
      <c r="J91" s="682">
        <f t="shared" si="13"/>
        <v>0</v>
      </c>
      <c r="K91" s="683"/>
      <c r="L91" s="684"/>
      <c r="M91" s="753">
        <v>0</v>
      </c>
      <c r="N91" s="683">
        <v>0</v>
      </c>
      <c r="O91" s="686"/>
      <c r="P91" s="683">
        <v>0</v>
      </c>
      <c r="Q91" s="687">
        <f t="shared" si="1"/>
        <v>0</v>
      </c>
      <c r="R91" s="764">
        <v>94.83</v>
      </c>
      <c r="S91" s="693"/>
      <c r="T91" s="690">
        <f t="shared" si="24"/>
        <v>94.83</v>
      </c>
      <c r="U91" s="683"/>
      <c r="V91" s="474">
        <f t="shared" si="14"/>
        <v>0</v>
      </c>
      <c r="W91" s="474">
        <f t="shared" si="15"/>
        <v>0</v>
      </c>
      <c r="X91" s="475">
        <f t="shared" si="16"/>
        <v>0</v>
      </c>
      <c r="Y91" s="475">
        <v>0</v>
      </c>
      <c r="Z91" s="476">
        <v>0</v>
      </c>
      <c r="AA91" s="38">
        <f t="shared" si="17"/>
        <v>0</v>
      </c>
      <c r="AB91" s="692">
        <f t="shared" si="18"/>
        <v>0</v>
      </c>
      <c r="AC91" s="692">
        <f t="shared" si="19"/>
        <v>0</v>
      </c>
      <c r="AD91" s="692">
        <f t="shared" si="20"/>
        <v>0</v>
      </c>
      <c r="AE91" s="38"/>
      <c r="AF91" s="692">
        <f t="shared" si="21"/>
        <v>0</v>
      </c>
      <c r="AG91" s="692">
        <f t="shared" si="22"/>
        <v>0</v>
      </c>
      <c r="AH91" s="692">
        <f t="shared" si="23"/>
        <v>0</v>
      </c>
      <c r="AJ91" s="68" t="s">
        <v>199</v>
      </c>
    </row>
    <row r="92" spans="1:36">
      <c r="A92" s="20"/>
      <c r="B92" s="20" t="s">
        <v>110</v>
      </c>
      <c r="C92" s="667" t="s">
        <v>543</v>
      </c>
      <c r="D92" s="68" t="s">
        <v>200</v>
      </c>
      <c r="E92" s="679"/>
      <c r="F92" s="529" t="str">
        <f>VLOOKUP(D92,'Q1 2012 DMV-Revenue'!D:T,17,FALSE)</f>
        <v/>
      </c>
      <c r="G92" s="680"/>
      <c r="H92" s="680"/>
      <c r="I92" s="681"/>
      <c r="J92" s="682">
        <f t="shared" si="13"/>
        <v>0</v>
      </c>
      <c r="K92" s="683"/>
      <c r="L92" s="684"/>
      <c r="M92" s="753">
        <v>0</v>
      </c>
      <c r="N92" s="683">
        <v>0</v>
      </c>
      <c r="O92" s="686"/>
      <c r="P92" s="683">
        <v>0</v>
      </c>
      <c r="Q92" s="687">
        <f t="shared" si="1"/>
        <v>0</v>
      </c>
      <c r="R92" s="764">
        <v>79.8</v>
      </c>
      <c r="S92" s="693"/>
      <c r="T92" s="690">
        <f t="shared" si="24"/>
        <v>79.8</v>
      </c>
      <c r="U92" s="683"/>
      <c r="V92" s="474">
        <f t="shared" si="14"/>
        <v>0</v>
      </c>
      <c r="W92" s="474">
        <f t="shared" si="15"/>
        <v>0</v>
      </c>
      <c r="X92" s="475">
        <f t="shared" si="16"/>
        <v>0</v>
      </c>
      <c r="Y92" s="475">
        <v>0</v>
      </c>
      <c r="Z92" s="476">
        <v>0</v>
      </c>
      <c r="AA92" s="38">
        <f t="shared" si="17"/>
        <v>0</v>
      </c>
      <c r="AB92" s="692">
        <f t="shared" si="18"/>
        <v>0</v>
      </c>
      <c r="AC92" s="692">
        <f t="shared" si="19"/>
        <v>0</v>
      </c>
      <c r="AD92" s="692">
        <f t="shared" si="20"/>
        <v>0</v>
      </c>
      <c r="AE92" s="38"/>
      <c r="AF92" s="692">
        <f t="shared" si="21"/>
        <v>0</v>
      </c>
      <c r="AG92" s="692">
        <f t="shared" si="22"/>
        <v>0</v>
      </c>
      <c r="AH92" s="692">
        <f t="shared" si="23"/>
        <v>0</v>
      </c>
      <c r="AJ92" s="68" t="s">
        <v>200</v>
      </c>
    </row>
    <row r="93" spans="1:36">
      <c r="A93" s="20"/>
      <c r="B93" s="20" t="s">
        <v>110</v>
      </c>
      <c r="C93" s="667" t="s">
        <v>543</v>
      </c>
      <c r="D93" s="68" t="s">
        <v>201</v>
      </c>
      <c r="E93" s="679"/>
      <c r="F93" s="529" t="str">
        <f>VLOOKUP(D93,'Q1 2012 DMV-Revenue'!D:T,17,FALSE)</f>
        <v/>
      </c>
      <c r="G93" s="680"/>
      <c r="H93" s="680"/>
      <c r="I93" s="681"/>
      <c r="J93" s="682">
        <f t="shared" si="13"/>
        <v>0</v>
      </c>
      <c r="K93" s="683"/>
      <c r="L93" s="684"/>
      <c r="M93" s="753">
        <v>0</v>
      </c>
      <c r="N93" s="683">
        <v>0</v>
      </c>
      <c r="O93" s="686"/>
      <c r="P93" s="683">
        <v>0</v>
      </c>
      <c r="Q93" s="687">
        <f t="shared" si="1"/>
        <v>0</v>
      </c>
      <c r="R93" s="764">
        <v>13.33</v>
      </c>
      <c r="S93" s="693"/>
      <c r="T93" s="690">
        <f t="shared" si="24"/>
        <v>13.33</v>
      </c>
      <c r="U93" s="683"/>
      <c r="V93" s="474">
        <f t="shared" si="14"/>
        <v>0</v>
      </c>
      <c r="W93" s="474">
        <f t="shared" si="15"/>
        <v>0</v>
      </c>
      <c r="X93" s="475">
        <f t="shared" si="16"/>
        <v>0</v>
      </c>
      <c r="Y93" s="475">
        <v>0</v>
      </c>
      <c r="Z93" s="476">
        <v>0</v>
      </c>
      <c r="AA93" s="38">
        <f t="shared" si="17"/>
        <v>0</v>
      </c>
      <c r="AB93" s="692">
        <f t="shared" si="18"/>
        <v>0</v>
      </c>
      <c r="AC93" s="692">
        <f t="shared" si="19"/>
        <v>0</v>
      </c>
      <c r="AD93" s="692">
        <f t="shared" si="20"/>
        <v>0</v>
      </c>
      <c r="AE93" s="38"/>
      <c r="AF93" s="692">
        <f t="shared" si="21"/>
        <v>0</v>
      </c>
      <c r="AG93" s="692">
        <f t="shared" si="22"/>
        <v>0</v>
      </c>
      <c r="AH93" s="692">
        <f t="shared" si="23"/>
        <v>0</v>
      </c>
      <c r="AJ93" s="68" t="s">
        <v>201</v>
      </c>
    </row>
    <row r="94" spans="1:36">
      <c r="A94" s="20" t="s">
        <v>97</v>
      </c>
      <c r="B94" s="20" t="s">
        <v>114</v>
      </c>
      <c r="C94" s="667"/>
      <c r="D94" s="68" t="s">
        <v>387</v>
      </c>
      <c r="E94" s="679"/>
      <c r="F94" s="529">
        <f>VLOOKUP(D94,'Q1 2012 DMV-Revenue'!D:T,17,FALSE)</f>
        <v>-25000</v>
      </c>
      <c r="G94" s="680"/>
      <c r="H94" s="680"/>
      <c r="I94" s="681"/>
      <c r="J94" s="682">
        <f t="shared" si="13"/>
        <v>-25000</v>
      </c>
      <c r="K94" s="683"/>
      <c r="L94" s="684"/>
      <c r="M94" s="753">
        <v>30000</v>
      </c>
      <c r="N94" s="683">
        <v>0</v>
      </c>
      <c r="O94" s="686"/>
      <c r="P94" s="683">
        <v>0</v>
      </c>
      <c r="Q94" s="687">
        <f t="shared" si="1"/>
        <v>30000</v>
      </c>
      <c r="R94" s="764">
        <v>0</v>
      </c>
      <c r="S94" s="693"/>
      <c r="T94" s="690">
        <f t="shared" si="24"/>
        <v>-30000</v>
      </c>
      <c r="U94" s="683"/>
      <c r="V94" s="474">
        <f t="shared" si="14"/>
        <v>0</v>
      </c>
      <c r="W94" s="474">
        <f t="shared" si="15"/>
        <v>0</v>
      </c>
      <c r="X94" s="475">
        <f t="shared" si="16"/>
        <v>30000</v>
      </c>
      <c r="Y94" s="475">
        <v>0</v>
      </c>
      <c r="Z94" s="476">
        <v>0</v>
      </c>
      <c r="AA94" s="38">
        <f t="shared" si="17"/>
        <v>0</v>
      </c>
      <c r="AB94" s="692">
        <f t="shared" si="18"/>
        <v>0</v>
      </c>
      <c r="AC94" s="692">
        <f t="shared" si="19"/>
        <v>0</v>
      </c>
      <c r="AD94" s="692">
        <f t="shared" si="20"/>
        <v>-25000</v>
      </c>
      <c r="AE94" s="38"/>
      <c r="AF94" s="692">
        <f t="shared" si="21"/>
        <v>0</v>
      </c>
      <c r="AG94" s="692">
        <f t="shared" si="22"/>
        <v>0</v>
      </c>
      <c r="AH94" s="692">
        <f t="shared" si="23"/>
        <v>30000</v>
      </c>
      <c r="AJ94" s="68" t="s">
        <v>387</v>
      </c>
    </row>
    <row r="95" spans="1:36">
      <c r="A95" s="20" t="s">
        <v>97</v>
      </c>
      <c r="B95" s="20" t="s">
        <v>114</v>
      </c>
      <c r="C95" s="667"/>
      <c r="D95" s="68" t="s">
        <v>482</v>
      </c>
      <c r="E95" s="679"/>
      <c r="F95" s="529" t="str">
        <f>VLOOKUP(D95,'Q1 2012 DMV-Revenue'!D:T,17,FALSE)</f>
        <v/>
      </c>
      <c r="G95" s="680"/>
      <c r="H95" s="680"/>
      <c r="I95" s="681"/>
      <c r="J95" s="682">
        <f t="shared" si="13"/>
        <v>0</v>
      </c>
      <c r="K95" s="683"/>
      <c r="L95" s="684"/>
      <c r="M95" s="753">
        <v>0</v>
      </c>
      <c r="N95" s="683"/>
      <c r="O95" s="686"/>
      <c r="P95" s="683"/>
      <c r="Q95" s="687">
        <f t="shared" si="1"/>
        <v>0</v>
      </c>
      <c r="R95" s="764">
        <v>0</v>
      </c>
      <c r="S95" s="693"/>
      <c r="T95" s="690">
        <f t="shared" si="24"/>
        <v>0</v>
      </c>
      <c r="U95" s="683"/>
      <c r="V95" s="474">
        <f t="shared" si="14"/>
        <v>0</v>
      </c>
      <c r="W95" s="474">
        <f t="shared" si="15"/>
        <v>0</v>
      </c>
      <c r="X95" s="475">
        <f t="shared" si="16"/>
        <v>0</v>
      </c>
      <c r="Y95" s="475">
        <v>0</v>
      </c>
      <c r="Z95" s="476">
        <v>0</v>
      </c>
      <c r="AA95" s="38">
        <f t="shared" si="17"/>
        <v>0</v>
      </c>
      <c r="AB95" s="692">
        <f t="shared" ref="AB95:AB111" si="25">IF(B95="D",J95,0)</f>
        <v>0</v>
      </c>
      <c r="AC95" s="692">
        <f t="shared" ref="AC95:AC111" si="26">IF(B95="M",J95,0)</f>
        <v>0</v>
      </c>
      <c r="AD95" s="692">
        <f t="shared" si="20"/>
        <v>0</v>
      </c>
      <c r="AE95" s="38"/>
      <c r="AF95" s="692">
        <f t="shared" si="21"/>
        <v>0</v>
      </c>
      <c r="AG95" s="692">
        <f t="shared" si="22"/>
        <v>0</v>
      </c>
      <c r="AH95" s="692">
        <f t="shared" si="23"/>
        <v>0</v>
      </c>
      <c r="AJ95" s="68" t="s">
        <v>482</v>
      </c>
    </row>
    <row r="96" spans="1:36">
      <c r="A96" s="20" t="s">
        <v>109</v>
      </c>
      <c r="B96" s="20" t="s">
        <v>109</v>
      </c>
      <c r="C96" s="667"/>
      <c r="D96" s="68" t="s">
        <v>66</v>
      </c>
      <c r="E96" s="679"/>
      <c r="F96" s="529" t="str">
        <f>VLOOKUP(D96,'Q1 2012 DMV-Revenue'!D:T,17,FALSE)</f>
        <v/>
      </c>
      <c r="G96" s="680"/>
      <c r="H96" s="680"/>
      <c r="I96" s="681"/>
      <c r="J96" s="682">
        <f t="shared" si="13"/>
        <v>0</v>
      </c>
      <c r="K96" s="683"/>
      <c r="L96" s="684"/>
      <c r="M96" s="753">
        <v>0</v>
      </c>
      <c r="N96" s="683">
        <v>0</v>
      </c>
      <c r="O96" s="686"/>
      <c r="P96" s="683">
        <v>0</v>
      </c>
      <c r="Q96" s="687">
        <f t="shared" si="1"/>
        <v>0</v>
      </c>
      <c r="R96" s="764">
        <v>0</v>
      </c>
      <c r="S96" s="693"/>
      <c r="T96" s="690">
        <f t="shared" si="24"/>
        <v>0</v>
      </c>
      <c r="U96" s="683"/>
      <c r="V96" s="474">
        <f t="shared" si="14"/>
        <v>0</v>
      </c>
      <c r="W96" s="474">
        <f t="shared" si="15"/>
        <v>0</v>
      </c>
      <c r="X96" s="475">
        <f t="shared" si="16"/>
        <v>0</v>
      </c>
      <c r="Y96" s="475">
        <v>0</v>
      </c>
      <c r="Z96" s="476">
        <v>0</v>
      </c>
      <c r="AA96" s="38">
        <f t="shared" si="17"/>
        <v>0</v>
      </c>
      <c r="AB96" s="692">
        <f t="shared" si="25"/>
        <v>0</v>
      </c>
      <c r="AC96" s="692">
        <f t="shared" si="26"/>
        <v>0</v>
      </c>
      <c r="AD96" s="692">
        <f t="shared" si="20"/>
        <v>0</v>
      </c>
      <c r="AE96" s="38"/>
      <c r="AF96" s="692">
        <f t="shared" si="21"/>
        <v>0</v>
      </c>
      <c r="AG96" s="692">
        <f t="shared" si="22"/>
        <v>0</v>
      </c>
      <c r="AH96" s="692">
        <f t="shared" si="23"/>
        <v>0</v>
      </c>
      <c r="AJ96" s="68" t="s">
        <v>66</v>
      </c>
    </row>
    <row r="97" spans="1:36">
      <c r="A97" s="20" t="s">
        <v>109</v>
      </c>
      <c r="B97" s="20" t="s">
        <v>109</v>
      </c>
      <c r="C97" s="667" t="s">
        <v>544</v>
      </c>
      <c r="D97" s="68" t="s">
        <v>383</v>
      </c>
      <c r="E97" s="679">
        <f>355.42+263.62</f>
        <v>619.04</v>
      </c>
      <c r="F97" s="529">
        <f>VLOOKUP(D97,'Q1 2012 DMV-Revenue'!D:T,17,FALSE)</f>
        <v>167.97</v>
      </c>
      <c r="G97" s="680"/>
      <c r="H97" s="680"/>
      <c r="I97" s="681"/>
      <c r="J97" s="682">
        <f t="shared" si="13"/>
        <v>787.01</v>
      </c>
      <c r="K97" s="683"/>
      <c r="L97" s="684"/>
      <c r="M97" s="753">
        <v>0</v>
      </c>
      <c r="N97" s="683">
        <v>0</v>
      </c>
      <c r="O97" s="686"/>
      <c r="P97" s="683">
        <v>0</v>
      </c>
      <c r="Q97" s="687">
        <f t="shared" si="1"/>
        <v>0</v>
      </c>
      <c r="R97" s="764">
        <v>0</v>
      </c>
      <c r="S97" s="693"/>
      <c r="T97" s="690">
        <f t="shared" si="24"/>
        <v>0</v>
      </c>
      <c r="U97" s="683"/>
      <c r="V97" s="474">
        <f t="shared" si="14"/>
        <v>0</v>
      </c>
      <c r="W97" s="474">
        <f t="shared" si="15"/>
        <v>0</v>
      </c>
      <c r="X97" s="475">
        <f t="shared" si="16"/>
        <v>0</v>
      </c>
      <c r="Y97" s="475">
        <v>0</v>
      </c>
      <c r="Z97" s="476">
        <v>0</v>
      </c>
      <c r="AA97" s="38">
        <f t="shared" si="17"/>
        <v>0</v>
      </c>
      <c r="AB97" s="692">
        <f t="shared" si="25"/>
        <v>0</v>
      </c>
      <c r="AC97" s="692">
        <f t="shared" si="26"/>
        <v>787.01</v>
      </c>
      <c r="AD97" s="692">
        <f t="shared" si="20"/>
        <v>0</v>
      </c>
      <c r="AE97" s="38"/>
      <c r="AF97" s="692">
        <f t="shared" si="21"/>
        <v>0</v>
      </c>
      <c r="AG97" s="692">
        <f t="shared" si="22"/>
        <v>0</v>
      </c>
      <c r="AH97" s="692">
        <f t="shared" si="23"/>
        <v>0</v>
      </c>
      <c r="AJ97" s="68" t="s">
        <v>383</v>
      </c>
    </row>
    <row r="98" spans="1:36">
      <c r="A98" s="21" t="s">
        <v>109</v>
      </c>
      <c r="B98" s="21" t="s">
        <v>110</v>
      </c>
      <c r="C98" s="666"/>
      <c r="D98" s="68" t="s">
        <v>65</v>
      </c>
      <c r="E98" s="679"/>
      <c r="F98" s="529" t="str">
        <f>VLOOKUP(D98,'Q1 2012 DMV-Revenue'!D:T,17,FALSE)</f>
        <v/>
      </c>
      <c r="G98" s="680"/>
      <c r="H98" s="680"/>
      <c r="I98" s="681"/>
      <c r="J98" s="682">
        <f t="shared" si="13"/>
        <v>0</v>
      </c>
      <c r="K98" s="683"/>
      <c r="L98" s="684"/>
      <c r="M98" s="753">
        <v>0</v>
      </c>
      <c r="N98" s="683">
        <v>0</v>
      </c>
      <c r="O98" s="686"/>
      <c r="P98" s="683">
        <v>0</v>
      </c>
      <c r="Q98" s="687">
        <f t="shared" si="1"/>
        <v>0</v>
      </c>
      <c r="R98" s="764">
        <v>0</v>
      </c>
      <c r="S98" s="693"/>
      <c r="T98" s="690">
        <f t="shared" si="24"/>
        <v>0</v>
      </c>
      <c r="U98" s="683"/>
      <c r="V98" s="474">
        <f t="shared" si="14"/>
        <v>0</v>
      </c>
      <c r="W98" s="474">
        <f t="shared" si="15"/>
        <v>0</v>
      </c>
      <c r="X98" s="475">
        <f t="shared" si="16"/>
        <v>0</v>
      </c>
      <c r="Y98" s="475">
        <v>0</v>
      </c>
      <c r="Z98" s="476">
        <v>0</v>
      </c>
      <c r="AA98" s="38">
        <f t="shared" si="17"/>
        <v>0</v>
      </c>
      <c r="AB98" s="692">
        <f t="shared" si="25"/>
        <v>0</v>
      </c>
      <c r="AC98" s="692">
        <f t="shared" si="26"/>
        <v>0</v>
      </c>
      <c r="AD98" s="692">
        <f t="shared" si="20"/>
        <v>0</v>
      </c>
      <c r="AE98" s="38"/>
      <c r="AF98" s="692">
        <f t="shared" si="21"/>
        <v>0</v>
      </c>
      <c r="AG98" s="692">
        <f t="shared" si="22"/>
        <v>0</v>
      </c>
      <c r="AH98" s="692">
        <f t="shared" si="23"/>
        <v>0</v>
      </c>
      <c r="AJ98" s="68" t="s">
        <v>65</v>
      </c>
    </row>
    <row r="99" spans="1:36">
      <c r="A99" s="21" t="s">
        <v>211</v>
      </c>
      <c r="B99" s="21" t="s">
        <v>109</v>
      </c>
      <c r="C99" s="666" t="s">
        <v>545</v>
      </c>
      <c r="D99" s="68" t="s">
        <v>181</v>
      </c>
      <c r="E99" s="679"/>
      <c r="F99" s="529">
        <f>VLOOKUP(D99,'Q1 2012 DMV-Revenue'!D:T,17,FALSE)</f>
        <v>-12000</v>
      </c>
      <c r="G99" s="680"/>
      <c r="H99" s="680"/>
      <c r="I99" s="681"/>
      <c r="J99" s="682">
        <f t="shared" si="13"/>
        <v>-12000</v>
      </c>
      <c r="K99" s="683"/>
      <c r="L99" s="684"/>
      <c r="M99" s="753">
        <v>12000</v>
      </c>
      <c r="N99" s="683">
        <v>0</v>
      </c>
      <c r="O99" s="686"/>
      <c r="P99" s="683">
        <v>0</v>
      </c>
      <c r="Q99" s="687">
        <f t="shared" si="1"/>
        <v>12000</v>
      </c>
      <c r="R99" s="764">
        <v>0</v>
      </c>
      <c r="S99" s="693"/>
      <c r="T99" s="690">
        <f t="shared" si="24"/>
        <v>-12000</v>
      </c>
      <c r="U99" s="683"/>
      <c r="V99" s="474">
        <f t="shared" si="14"/>
        <v>0</v>
      </c>
      <c r="W99" s="474">
        <f t="shared" si="15"/>
        <v>12000</v>
      </c>
      <c r="X99" s="475">
        <f t="shared" si="16"/>
        <v>0</v>
      </c>
      <c r="Y99" s="475">
        <v>0</v>
      </c>
      <c r="Z99" s="476">
        <v>0</v>
      </c>
      <c r="AA99" s="38">
        <f t="shared" si="17"/>
        <v>0</v>
      </c>
      <c r="AB99" s="692">
        <f t="shared" si="25"/>
        <v>0</v>
      </c>
      <c r="AC99" s="692">
        <f t="shared" si="26"/>
        <v>-12000</v>
      </c>
      <c r="AD99" s="692">
        <f t="shared" si="20"/>
        <v>0</v>
      </c>
      <c r="AE99" s="38"/>
      <c r="AF99" s="692">
        <f t="shared" si="21"/>
        <v>0</v>
      </c>
      <c r="AG99" s="692">
        <f t="shared" si="22"/>
        <v>12000</v>
      </c>
      <c r="AH99" s="692">
        <f t="shared" si="23"/>
        <v>0</v>
      </c>
      <c r="AJ99" s="68" t="s">
        <v>181</v>
      </c>
    </row>
    <row r="100" spans="1:36">
      <c r="A100" s="21" t="s">
        <v>211</v>
      </c>
      <c r="B100" s="21" t="s">
        <v>110</v>
      </c>
      <c r="C100" s="666"/>
      <c r="D100" s="68" t="s">
        <v>504</v>
      </c>
      <c r="E100" s="679"/>
      <c r="F100" s="529" t="str">
        <f>VLOOKUP(D100,'Q1 2012 DMV-Revenue'!D:T,17,FALSE)</f>
        <v/>
      </c>
      <c r="G100" s="680"/>
      <c r="H100" s="680"/>
      <c r="I100" s="681"/>
      <c r="J100" s="682">
        <f t="shared" si="13"/>
        <v>0</v>
      </c>
      <c r="K100" s="683"/>
      <c r="L100" s="684"/>
      <c r="M100" s="753">
        <v>0</v>
      </c>
      <c r="N100" s="683">
        <v>0</v>
      </c>
      <c r="O100" s="686"/>
      <c r="P100" s="683">
        <v>0</v>
      </c>
      <c r="Q100" s="687">
        <f t="shared" si="1"/>
        <v>0</v>
      </c>
      <c r="R100" s="764">
        <v>0</v>
      </c>
      <c r="S100" s="693"/>
      <c r="T100" s="690">
        <f t="shared" si="24"/>
        <v>0</v>
      </c>
      <c r="U100" s="683"/>
      <c r="V100" s="474">
        <f t="shared" si="14"/>
        <v>0</v>
      </c>
      <c r="W100" s="474">
        <f t="shared" si="15"/>
        <v>0</v>
      </c>
      <c r="X100" s="475">
        <f t="shared" si="16"/>
        <v>0</v>
      </c>
      <c r="Y100" s="475">
        <v>0</v>
      </c>
      <c r="Z100" s="476">
        <v>0</v>
      </c>
      <c r="AA100" s="38">
        <f t="shared" si="17"/>
        <v>0</v>
      </c>
      <c r="AB100" s="692">
        <f t="shared" si="25"/>
        <v>0</v>
      </c>
      <c r="AC100" s="692">
        <f t="shared" si="26"/>
        <v>0</v>
      </c>
      <c r="AD100" s="692">
        <f t="shared" si="20"/>
        <v>0</v>
      </c>
      <c r="AE100" s="38"/>
      <c r="AF100" s="692">
        <f t="shared" si="21"/>
        <v>0</v>
      </c>
      <c r="AG100" s="692">
        <f t="shared" si="22"/>
        <v>0</v>
      </c>
      <c r="AH100" s="692">
        <f t="shared" si="23"/>
        <v>0</v>
      </c>
      <c r="AJ100" s="68" t="s">
        <v>504</v>
      </c>
    </row>
    <row r="101" spans="1:36">
      <c r="A101" s="20" t="s">
        <v>211</v>
      </c>
      <c r="B101" s="20" t="s">
        <v>109</v>
      </c>
      <c r="C101" s="667" t="s">
        <v>546</v>
      </c>
      <c r="D101" s="68" t="s">
        <v>142</v>
      </c>
      <c r="E101" s="679"/>
      <c r="F101" s="529">
        <f>VLOOKUP(D101,'Q1 2012 DMV-Revenue'!D:T,17,FALSE)</f>
        <v>-2011.3600000000001</v>
      </c>
      <c r="G101" s="680"/>
      <c r="H101" s="680"/>
      <c r="I101" s="681"/>
      <c r="J101" s="682">
        <f t="shared" si="13"/>
        <v>-2011.3600000000001</v>
      </c>
      <c r="K101" s="683"/>
      <c r="L101" s="684"/>
      <c r="M101" s="753">
        <v>0</v>
      </c>
      <c r="N101" s="683">
        <v>0</v>
      </c>
      <c r="O101" s="686"/>
      <c r="P101" s="683">
        <v>0</v>
      </c>
      <c r="Q101" s="687">
        <f t="shared" si="1"/>
        <v>0</v>
      </c>
      <c r="R101" s="764">
        <v>0</v>
      </c>
      <c r="S101" s="693"/>
      <c r="T101" s="690">
        <f t="shared" si="24"/>
        <v>0</v>
      </c>
      <c r="U101" s="697"/>
      <c r="V101" s="474">
        <f t="shared" si="14"/>
        <v>0</v>
      </c>
      <c r="W101" s="474">
        <f t="shared" si="15"/>
        <v>0</v>
      </c>
      <c r="X101" s="475">
        <f t="shared" si="16"/>
        <v>0</v>
      </c>
      <c r="Y101" s="475">
        <v>0</v>
      </c>
      <c r="Z101" s="476">
        <v>0</v>
      </c>
      <c r="AA101" s="38">
        <f t="shared" si="17"/>
        <v>0</v>
      </c>
      <c r="AB101" s="692">
        <f t="shared" si="25"/>
        <v>0</v>
      </c>
      <c r="AC101" s="692">
        <f t="shared" si="26"/>
        <v>-2011.3600000000001</v>
      </c>
      <c r="AD101" s="692">
        <f t="shared" si="20"/>
        <v>0</v>
      </c>
      <c r="AE101" s="38"/>
      <c r="AF101" s="692">
        <f t="shared" si="21"/>
        <v>0</v>
      </c>
      <c r="AG101" s="692">
        <f t="shared" si="22"/>
        <v>0</v>
      </c>
      <c r="AH101" s="692">
        <f t="shared" si="23"/>
        <v>0</v>
      </c>
      <c r="AJ101" s="68" t="s">
        <v>142</v>
      </c>
    </row>
    <row r="102" spans="1:36">
      <c r="A102" s="20" t="s">
        <v>211</v>
      </c>
      <c r="B102" s="20" t="s">
        <v>109</v>
      </c>
      <c r="C102" s="667" t="s">
        <v>546</v>
      </c>
      <c r="D102" s="68" t="s">
        <v>143</v>
      </c>
      <c r="E102" s="679"/>
      <c r="F102" s="529">
        <f>VLOOKUP(D102,'Q1 2012 DMV-Revenue'!D:T,17,FALSE)</f>
        <v>193.01</v>
      </c>
      <c r="G102" s="680"/>
      <c r="H102" s="680"/>
      <c r="I102" s="681"/>
      <c r="J102" s="682">
        <f t="shared" si="13"/>
        <v>193.01</v>
      </c>
      <c r="K102" s="683"/>
      <c r="L102" s="684"/>
      <c r="M102" s="753">
        <v>0</v>
      </c>
      <c r="N102" s="683">
        <v>0</v>
      </c>
      <c r="O102" s="686"/>
      <c r="P102" s="683">
        <v>0</v>
      </c>
      <c r="Q102" s="687">
        <f t="shared" si="1"/>
        <v>0</v>
      </c>
      <c r="R102" s="764">
        <v>0</v>
      </c>
      <c r="S102" s="693"/>
      <c r="T102" s="690">
        <f t="shared" si="24"/>
        <v>0</v>
      </c>
      <c r="U102" s="697"/>
      <c r="V102" s="474">
        <f t="shared" si="14"/>
        <v>0</v>
      </c>
      <c r="W102" s="474">
        <f t="shared" si="15"/>
        <v>0</v>
      </c>
      <c r="X102" s="475">
        <f t="shared" si="16"/>
        <v>0</v>
      </c>
      <c r="Y102" s="475">
        <v>0</v>
      </c>
      <c r="Z102" s="476">
        <v>0</v>
      </c>
      <c r="AA102" s="38">
        <f t="shared" si="17"/>
        <v>0</v>
      </c>
      <c r="AB102" s="692">
        <f t="shared" si="25"/>
        <v>0</v>
      </c>
      <c r="AC102" s="692">
        <f t="shared" si="26"/>
        <v>193.01</v>
      </c>
      <c r="AD102" s="692">
        <f t="shared" si="20"/>
        <v>0</v>
      </c>
      <c r="AE102" s="38"/>
      <c r="AF102" s="692">
        <f t="shared" si="21"/>
        <v>0</v>
      </c>
      <c r="AG102" s="692">
        <f t="shared" si="22"/>
        <v>0</v>
      </c>
      <c r="AH102" s="692">
        <f t="shared" si="23"/>
        <v>0</v>
      </c>
      <c r="AJ102" s="68" t="s">
        <v>143</v>
      </c>
    </row>
    <row r="103" spans="1:36">
      <c r="A103" s="20" t="s">
        <v>109</v>
      </c>
      <c r="B103" s="20" t="s">
        <v>109</v>
      </c>
      <c r="C103" s="667"/>
      <c r="D103" s="68" t="s">
        <v>498</v>
      </c>
      <c r="E103" s="679"/>
      <c r="F103" s="529" t="str">
        <f>VLOOKUP(D103,'Q1 2012 DMV-Revenue'!D:T,17,FALSE)</f>
        <v/>
      </c>
      <c r="G103" s="680"/>
      <c r="H103" s="680"/>
      <c r="I103" s="681"/>
      <c r="J103" s="682">
        <f t="shared" si="13"/>
        <v>0</v>
      </c>
      <c r="K103" s="683"/>
      <c r="L103" s="684"/>
      <c r="M103" s="753">
        <v>0</v>
      </c>
      <c r="N103" s="683">
        <v>0</v>
      </c>
      <c r="O103" s="686"/>
      <c r="P103" s="683">
        <v>0</v>
      </c>
      <c r="Q103" s="687">
        <f t="shared" si="1"/>
        <v>0</v>
      </c>
      <c r="R103" s="764">
        <v>0</v>
      </c>
      <c r="S103" s="693"/>
      <c r="T103" s="690">
        <f t="shared" si="24"/>
        <v>0</v>
      </c>
      <c r="U103" s="683"/>
      <c r="V103" s="474">
        <f t="shared" si="14"/>
        <v>0</v>
      </c>
      <c r="W103" s="474">
        <f t="shared" si="15"/>
        <v>0</v>
      </c>
      <c r="X103" s="475">
        <f t="shared" si="16"/>
        <v>0</v>
      </c>
      <c r="Y103" s="475">
        <v>0</v>
      </c>
      <c r="Z103" s="476">
        <v>0</v>
      </c>
      <c r="AA103" s="38">
        <f t="shared" si="17"/>
        <v>0</v>
      </c>
      <c r="AB103" s="692">
        <f t="shared" si="25"/>
        <v>0</v>
      </c>
      <c r="AC103" s="692">
        <f t="shared" si="26"/>
        <v>0</v>
      </c>
      <c r="AD103" s="692">
        <f t="shared" si="20"/>
        <v>0</v>
      </c>
      <c r="AE103" s="38"/>
      <c r="AF103" s="692">
        <f t="shared" si="21"/>
        <v>0</v>
      </c>
      <c r="AG103" s="692">
        <f t="shared" si="22"/>
        <v>0</v>
      </c>
      <c r="AH103" s="692">
        <f t="shared" si="23"/>
        <v>0</v>
      </c>
      <c r="AJ103" s="68" t="s">
        <v>498</v>
      </c>
    </row>
    <row r="104" spans="1:36">
      <c r="A104" s="21"/>
      <c r="B104" s="21" t="s">
        <v>110</v>
      </c>
      <c r="C104" s="666"/>
      <c r="D104" s="68" t="s">
        <v>20</v>
      </c>
      <c r="E104" s="679"/>
      <c r="F104" s="529" t="str">
        <f>VLOOKUP(D104,'Q1 2012 DMV-Revenue'!D:T,17,FALSE)</f>
        <v/>
      </c>
      <c r="G104" s="680"/>
      <c r="H104" s="680"/>
      <c r="I104" s="681"/>
      <c r="J104" s="682">
        <f t="shared" si="13"/>
        <v>0</v>
      </c>
      <c r="K104" s="683"/>
      <c r="L104" s="684"/>
      <c r="M104" s="753">
        <v>0</v>
      </c>
      <c r="N104" s="683">
        <v>0</v>
      </c>
      <c r="O104" s="686"/>
      <c r="P104" s="683">
        <v>0</v>
      </c>
      <c r="Q104" s="687">
        <f t="shared" si="1"/>
        <v>0</v>
      </c>
      <c r="R104" s="764">
        <v>0</v>
      </c>
      <c r="S104" s="693"/>
      <c r="T104" s="690">
        <f t="shared" si="24"/>
        <v>0</v>
      </c>
      <c r="U104" s="683"/>
      <c r="V104" s="474">
        <f t="shared" si="14"/>
        <v>0</v>
      </c>
      <c r="W104" s="474">
        <f t="shared" si="15"/>
        <v>0</v>
      </c>
      <c r="X104" s="475">
        <f t="shared" si="16"/>
        <v>0</v>
      </c>
      <c r="Y104" s="475">
        <v>0</v>
      </c>
      <c r="Z104" s="476">
        <v>0</v>
      </c>
      <c r="AA104" s="38">
        <f t="shared" si="17"/>
        <v>0</v>
      </c>
      <c r="AB104" s="692">
        <f t="shared" si="25"/>
        <v>0</v>
      </c>
      <c r="AC104" s="692">
        <f t="shared" si="26"/>
        <v>0</v>
      </c>
      <c r="AD104" s="692">
        <f t="shared" si="20"/>
        <v>0</v>
      </c>
      <c r="AE104" s="38"/>
      <c r="AF104" s="692">
        <f t="shared" si="21"/>
        <v>0</v>
      </c>
      <c r="AG104" s="692">
        <f t="shared" si="22"/>
        <v>0</v>
      </c>
      <c r="AH104" s="692">
        <f t="shared" si="23"/>
        <v>0</v>
      </c>
      <c r="AJ104" s="68" t="s">
        <v>20</v>
      </c>
    </row>
    <row r="105" spans="1:36">
      <c r="A105" s="21"/>
      <c r="B105" s="21" t="s">
        <v>110</v>
      </c>
      <c r="C105" s="666" t="s">
        <v>547</v>
      </c>
      <c r="D105" s="68" t="s">
        <v>203</v>
      </c>
      <c r="E105" s="679"/>
      <c r="F105" s="529" t="str">
        <f>VLOOKUP(D105,'Q1 2012 DMV-Revenue'!D:T,17,FALSE)</f>
        <v/>
      </c>
      <c r="G105" s="680"/>
      <c r="H105" s="680"/>
      <c r="I105" s="681"/>
      <c r="J105" s="682">
        <f>SUM(H105:I105)</f>
        <v>0</v>
      </c>
      <c r="K105" s="683"/>
      <c r="L105" s="684"/>
      <c r="M105" s="753">
        <v>0</v>
      </c>
      <c r="N105" s="683">
        <v>0</v>
      </c>
      <c r="O105" s="686"/>
      <c r="P105" s="683">
        <v>0</v>
      </c>
      <c r="Q105" s="687">
        <f t="shared" si="1"/>
        <v>0</v>
      </c>
      <c r="R105" s="764">
        <v>0</v>
      </c>
      <c r="S105" s="693"/>
      <c r="T105" s="690">
        <f t="shared" si="24"/>
        <v>0</v>
      </c>
      <c r="U105" s="683"/>
      <c r="V105" s="474">
        <f t="shared" si="14"/>
        <v>0</v>
      </c>
      <c r="W105" s="474">
        <f t="shared" si="15"/>
        <v>0</v>
      </c>
      <c r="X105" s="475">
        <f t="shared" si="16"/>
        <v>0</v>
      </c>
      <c r="Y105" s="475">
        <v>0</v>
      </c>
      <c r="Z105" s="476">
        <v>0</v>
      </c>
      <c r="AA105" s="38">
        <f t="shared" si="17"/>
        <v>0</v>
      </c>
      <c r="AB105" s="692">
        <f t="shared" si="25"/>
        <v>0</v>
      </c>
      <c r="AC105" s="692">
        <f t="shared" si="26"/>
        <v>0</v>
      </c>
      <c r="AD105" s="692">
        <f t="shared" si="20"/>
        <v>0</v>
      </c>
      <c r="AE105" s="38"/>
      <c r="AF105" s="692">
        <f t="shared" si="21"/>
        <v>0</v>
      </c>
      <c r="AG105" s="692">
        <f t="shared" si="22"/>
        <v>0</v>
      </c>
      <c r="AH105" s="692">
        <f t="shared" si="23"/>
        <v>0</v>
      </c>
      <c r="AJ105" s="68" t="s">
        <v>203</v>
      </c>
    </row>
    <row r="106" spans="1:36">
      <c r="A106" s="21"/>
      <c r="B106" s="21" t="s">
        <v>110</v>
      </c>
      <c r="C106" s="666" t="s">
        <v>547</v>
      </c>
      <c r="D106" s="68" t="s">
        <v>202</v>
      </c>
      <c r="E106" s="679"/>
      <c r="F106" s="529" t="str">
        <f>VLOOKUP(D106,'Q1 2012 DMV-Revenue'!D:T,17,FALSE)</f>
        <v/>
      </c>
      <c r="G106" s="680"/>
      <c r="H106" s="680"/>
      <c r="I106" s="681"/>
      <c r="J106" s="682">
        <f t="shared" si="13"/>
        <v>0</v>
      </c>
      <c r="K106" s="683"/>
      <c r="L106" s="684"/>
      <c r="M106" s="753">
        <v>0</v>
      </c>
      <c r="N106" s="683">
        <v>0</v>
      </c>
      <c r="O106" s="686"/>
      <c r="P106" s="683">
        <v>0</v>
      </c>
      <c r="Q106" s="687">
        <f t="shared" si="1"/>
        <v>0</v>
      </c>
      <c r="R106" s="764">
        <v>0</v>
      </c>
      <c r="S106" s="693"/>
      <c r="T106" s="690">
        <f t="shared" si="24"/>
        <v>0</v>
      </c>
      <c r="U106" s="683"/>
      <c r="V106" s="474">
        <f t="shared" si="14"/>
        <v>0</v>
      </c>
      <c r="W106" s="474">
        <f t="shared" si="15"/>
        <v>0</v>
      </c>
      <c r="X106" s="475">
        <f t="shared" si="16"/>
        <v>0</v>
      </c>
      <c r="Y106" s="475">
        <v>0</v>
      </c>
      <c r="Z106" s="476">
        <v>0</v>
      </c>
      <c r="AA106" s="38">
        <f t="shared" si="17"/>
        <v>0</v>
      </c>
      <c r="AB106" s="692">
        <f t="shared" si="25"/>
        <v>0</v>
      </c>
      <c r="AC106" s="692">
        <f t="shared" si="26"/>
        <v>0</v>
      </c>
      <c r="AD106" s="692">
        <f t="shared" si="20"/>
        <v>0</v>
      </c>
      <c r="AE106" s="38"/>
      <c r="AF106" s="692">
        <f t="shared" si="21"/>
        <v>0</v>
      </c>
      <c r="AG106" s="692">
        <f t="shared" si="22"/>
        <v>0</v>
      </c>
      <c r="AH106" s="692">
        <f t="shared" si="23"/>
        <v>0</v>
      </c>
      <c r="AJ106" s="68" t="s">
        <v>202</v>
      </c>
    </row>
    <row r="107" spans="1:36">
      <c r="A107" s="20" t="s">
        <v>211</v>
      </c>
      <c r="B107" s="20" t="s">
        <v>110</v>
      </c>
      <c r="C107" s="667"/>
      <c r="D107" s="373" t="s">
        <v>466</v>
      </c>
      <c r="E107" s="679"/>
      <c r="F107" s="529" t="str">
        <f>VLOOKUP(D107,'Q1 2012 DMV-Revenue'!D:T,17,FALSE)</f>
        <v/>
      </c>
      <c r="G107" s="680"/>
      <c r="H107" s="680"/>
      <c r="I107" s="681"/>
      <c r="J107" s="682">
        <f t="shared" si="13"/>
        <v>0</v>
      </c>
      <c r="K107" s="683"/>
      <c r="L107" s="684"/>
      <c r="M107" s="753">
        <v>0</v>
      </c>
      <c r="N107" s="683">
        <v>0</v>
      </c>
      <c r="O107" s="686"/>
      <c r="P107" s="683">
        <v>0</v>
      </c>
      <c r="Q107" s="687">
        <f t="shared" si="1"/>
        <v>0</v>
      </c>
      <c r="R107" s="764">
        <v>0</v>
      </c>
      <c r="S107" s="693"/>
      <c r="T107" s="690">
        <f t="shared" si="24"/>
        <v>0</v>
      </c>
      <c r="U107" s="683"/>
      <c r="V107" s="474">
        <f t="shared" si="14"/>
        <v>0</v>
      </c>
      <c r="W107" s="474">
        <f t="shared" si="15"/>
        <v>0</v>
      </c>
      <c r="X107" s="475">
        <f t="shared" si="16"/>
        <v>0</v>
      </c>
      <c r="Y107" s="475">
        <v>0</v>
      </c>
      <c r="Z107" s="476">
        <v>0</v>
      </c>
      <c r="AA107" s="38">
        <f t="shared" si="17"/>
        <v>0</v>
      </c>
      <c r="AB107" s="692">
        <f t="shared" si="25"/>
        <v>0</v>
      </c>
      <c r="AC107" s="692">
        <f t="shared" si="26"/>
        <v>0</v>
      </c>
      <c r="AD107" s="692">
        <f t="shared" si="20"/>
        <v>0</v>
      </c>
      <c r="AE107" s="38"/>
      <c r="AF107" s="692">
        <f t="shared" si="21"/>
        <v>0</v>
      </c>
      <c r="AG107" s="692">
        <f t="shared" si="22"/>
        <v>0</v>
      </c>
      <c r="AH107" s="692">
        <f t="shared" si="23"/>
        <v>0</v>
      </c>
      <c r="AJ107" s="373" t="s">
        <v>466</v>
      </c>
    </row>
    <row r="108" spans="1:36">
      <c r="A108" s="20"/>
      <c r="B108" s="20" t="s">
        <v>110</v>
      </c>
      <c r="C108" s="667"/>
      <c r="D108" s="373" t="s">
        <v>627</v>
      </c>
      <c r="E108" s="679">
        <v>963.95</v>
      </c>
      <c r="F108" s="529">
        <f>VLOOKUP(D108,'Q1 2012 DMV-Revenue'!D:T,17,FALSE)</f>
        <v>90.61</v>
      </c>
      <c r="G108" s="680"/>
      <c r="H108" s="680"/>
      <c r="I108" s="681"/>
      <c r="J108" s="682">
        <f t="shared" ref="J108" si="27">SUM(E108:I108)</f>
        <v>1054.56</v>
      </c>
      <c r="K108" s="683"/>
      <c r="L108" s="684"/>
      <c r="M108" s="753">
        <v>0</v>
      </c>
      <c r="N108" s="683">
        <v>0</v>
      </c>
      <c r="O108" s="686"/>
      <c r="P108" s="683">
        <v>0</v>
      </c>
      <c r="Q108" s="687">
        <f t="shared" si="1"/>
        <v>0</v>
      </c>
      <c r="R108" s="764">
        <v>96.71</v>
      </c>
      <c r="S108" s="693"/>
      <c r="T108" s="690">
        <f t="shared" si="24"/>
        <v>96.71</v>
      </c>
      <c r="U108" s="683"/>
      <c r="V108" s="474">
        <f t="shared" si="14"/>
        <v>0</v>
      </c>
      <c r="W108" s="474">
        <f t="shared" si="15"/>
        <v>0</v>
      </c>
      <c r="X108" s="475">
        <f t="shared" si="16"/>
        <v>0</v>
      </c>
      <c r="Y108" s="475">
        <v>0</v>
      </c>
      <c r="Z108" s="476">
        <v>0</v>
      </c>
      <c r="AA108" s="38">
        <f t="shared" si="17"/>
        <v>0</v>
      </c>
      <c r="AB108" s="692">
        <f t="shared" si="25"/>
        <v>1054.56</v>
      </c>
      <c r="AC108" s="692">
        <f t="shared" si="26"/>
        <v>0</v>
      </c>
      <c r="AD108" s="692">
        <f t="shared" si="20"/>
        <v>0</v>
      </c>
      <c r="AE108" s="38"/>
      <c r="AF108" s="692">
        <f t="shared" si="21"/>
        <v>0</v>
      </c>
      <c r="AG108" s="692">
        <f t="shared" si="22"/>
        <v>0</v>
      </c>
      <c r="AH108" s="692">
        <f t="shared" si="23"/>
        <v>0</v>
      </c>
      <c r="AJ108" s="373" t="s">
        <v>627</v>
      </c>
    </row>
    <row r="109" spans="1:36" s="232" customFormat="1">
      <c r="A109" s="283"/>
      <c r="B109" s="283" t="s">
        <v>110</v>
      </c>
      <c r="C109" s="667"/>
      <c r="D109" s="123" t="s">
        <v>386</v>
      </c>
      <c r="E109" s="679"/>
      <c r="F109" s="529" t="str">
        <f>VLOOKUP(D109,'Q1 2012 DMV-Revenue'!D:T,17,FALSE)</f>
        <v/>
      </c>
      <c r="G109" s="694">
        <v>2964477.83</v>
      </c>
      <c r="H109" s="680"/>
      <c r="I109" s="681"/>
      <c r="J109" s="682">
        <f t="shared" si="13"/>
        <v>2964477.83</v>
      </c>
      <c r="K109" s="683"/>
      <c r="L109" s="684"/>
      <c r="M109" s="753">
        <v>0</v>
      </c>
      <c r="N109" s="683">
        <v>0</v>
      </c>
      <c r="O109" s="686"/>
      <c r="P109" s="683">
        <v>0</v>
      </c>
      <c r="Q109" s="687">
        <f t="shared" si="1"/>
        <v>0</v>
      </c>
      <c r="R109" s="764">
        <v>0</v>
      </c>
      <c r="S109" s="693"/>
      <c r="T109" s="690">
        <f t="shared" si="24"/>
        <v>0</v>
      </c>
      <c r="U109" s="683"/>
      <c r="V109" s="474">
        <f t="shared" si="14"/>
        <v>0</v>
      </c>
      <c r="W109" s="474">
        <f t="shared" si="15"/>
        <v>0</v>
      </c>
      <c r="X109" s="475">
        <f t="shared" si="16"/>
        <v>0</v>
      </c>
      <c r="Y109" s="475">
        <v>0</v>
      </c>
      <c r="Z109" s="476">
        <v>0</v>
      </c>
      <c r="AA109" s="38">
        <f t="shared" si="17"/>
        <v>0</v>
      </c>
      <c r="AB109" s="692">
        <f t="shared" si="25"/>
        <v>2964477.83</v>
      </c>
      <c r="AC109" s="692">
        <f t="shared" si="26"/>
        <v>0</v>
      </c>
      <c r="AD109" s="692">
        <f t="shared" si="20"/>
        <v>0</v>
      </c>
      <c r="AE109" s="38"/>
      <c r="AF109" s="692">
        <f t="shared" si="21"/>
        <v>0</v>
      </c>
      <c r="AG109" s="692">
        <f t="shared" si="22"/>
        <v>0</v>
      </c>
      <c r="AH109" s="692">
        <f t="shared" si="23"/>
        <v>0</v>
      </c>
      <c r="AJ109" s="123" t="s">
        <v>386</v>
      </c>
    </row>
    <row r="110" spans="1:36" s="232" customFormat="1">
      <c r="A110" s="283"/>
      <c r="B110" s="283" t="s">
        <v>110</v>
      </c>
      <c r="C110" s="667"/>
      <c r="D110" s="123" t="s">
        <v>331</v>
      </c>
      <c r="E110" s="679"/>
      <c r="F110" s="529" t="str">
        <f>VLOOKUP(D110,'Q1 2012 DMV-Revenue'!D:T,17,FALSE)</f>
        <v/>
      </c>
      <c r="G110" s="694">
        <v>38155.370000000003</v>
      </c>
      <c r="H110" s="680"/>
      <c r="I110" s="681"/>
      <c r="J110" s="682">
        <f t="shared" si="13"/>
        <v>38155.370000000003</v>
      </c>
      <c r="K110" s="683"/>
      <c r="L110" s="684"/>
      <c r="M110" s="753">
        <v>0</v>
      </c>
      <c r="N110" s="683">
        <v>0</v>
      </c>
      <c r="O110" s="686"/>
      <c r="P110" s="683">
        <v>0</v>
      </c>
      <c r="Q110" s="687">
        <f t="shared" si="1"/>
        <v>0</v>
      </c>
      <c r="R110" s="764">
        <v>0</v>
      </c>
      <c r="S110" s="693"/>
      <c r="T110" s="690">
        <f t="shared" si="24"/>
        <v>0</v>
      </c>
      <c r="U110" s="683"/>
      <c r="V110" s="474">
        <f t="shared" si="14"/>
        <v>0</v>
      </c>
      <c r="W110" s="474">
        <f t="shared" si="15"/>
        <v>0</v>
      </c>
      <c r="X110" s="475">
        <f t="shared" si="16"/>
        <v>0</v>
      </c>
      <c r="Y110" s="475">
        <v>0</v>
      </c>
      <c r="Z110" s="476">
        <v>0</v>
      </c>
      <c r="AA110" s="38">
        <f t="shared" si="17"/>
        <v>0</v>
      </c>
      <c r="AB110" s="692">
        <f t="shared" si="25"/>
        <v>38155.370000000003</v>
      </c>
      <c r="AC110" s="692">
        <f t="shared" si="26"/>
        <v>0</v>
      </c>
      <c r="AD110" s="692">
        <f t="shared" si="20"/>
        <v>0</v>
      </c>
      <c r="AE110" s="38"/>
      <c r="AF110" s="692">
        <f t="shared" si="21"/>
        <v>0</v>
      </c>
      <c r="AG110" s="692">
        <f t="shared" si="22"/>
        <v>0</v>
      </c>
      <c r="AH110" s="692">
        <f t="shared" si="23"/>
        <v>0</v>
      </c>
      <c r="AJ110" s="123" t="s">
        <v>331</v>
      </c>
    </row>
    <row r="111" spans="1:36" s="232" customFormat="1">
      <c r="A111" s="283"/>
      <c r="B111" s="283" t="s">
        <v>110</v>
      </c>
      <c r="C111" s="667"/>
      <c r="D111" s="413" t="s">
        <v>332</v>
      </c>
      <c r="E111" s="679"/>
      <c r="F111" s="529" t="str">
        <f>VLOOKUP(D111,'Q1 2012 DMV-Revenue'!D:T,17,FALSE)</f>
        <v/>
      </c>
      <c r="G111" s="694">
        <f>11833.26+1460814.2</f>
        <v>1472647.46</v>
      </c>
      <c r="H111" s="680"/>
      <c r="I111" s="681"/>
      <c r="J111" s="682">
        <f t="shared" si="13"/>
        <v>1472647.46</v>
      </c>
      <c r="K111" s="683"/>
      <c r="L111" s="684"/>
      <c r="M111" s="753">
        <v>0</v>
      </c>
      <c r="N111" s="683">
        <v>0</v>
      </c>
      <c r="O111" s="686"/>
      <c r="P111" s="683">
        <v>0</v>
      </c>
      <c r="Q111" s="687">
        <f t="shared" si="1"/>
        <v>0</v>
      </c>
      <c r="R111" s="764">
        <v>0</v>
      </c>
      <c r="S111" s="693"/>
      <c r="T111" s="690">
        <f t="shared" si="24"/>
        <v>0</v>
      </c>
      <c r="U111" s="683"/>
      <c r="V111" s="474">
        <f t="shared" si="14"/>
        <v>0</v>
      </c>
      <c r="W111" s="474">
        <f t="shared" si="15"/>
        <v>0</v>
      </c>
      <c r="X111" s="475">
        <f t="shared" si="16"/>
        <v>0</v>
      </c>
      <c r="Y111" s="475">
        <v>0</v>
      </c>
      <c r="Z111" s="476">
        <v>0</v>
      </c>
      <c r="AA111" s="38">
        <f t="shared" si="17"/>
        <v>0</v>
      </c>
      <c r="AB111" s="692">
        <f t="shared" si="25"/>
        <v>1472647.46</v>
      </c>
      <c r="AC111" s="692">
        <f t="shared" si="26"/>
        <v>0</v>
      </c>
      <c r="AD111" s="692">
        <f t="shared" si="20"/>
        <v>0</v>
      </c>
      <c r="AE111" s="38"/>
      <c r="AF111" s="692">
        <f t="shared" si="21"/>
        <v>0</v>
      </c>
      <c r="AG111" s="692">
        <f t="shared" si="22"/>
        <v>0</v>
      </c>
      <c r="AH111" s="692">
        <f t="shared" si="23"/>
        <v>0</v>
      </c>
      <c r="AJ111" s="413" t="s">
        <v>332</v>
      </c>
    </row>
    <row r="112" spans="1:36" s="232" customFormat="1">
      <c r="A112" s="283"/>
      <c r="B112" s="283" t="s">
        <v>110</v>
      </c>
      <c r="C112" s="667"/>
      <c r="D112" s="123" t="s">
        <v>333</v>
      </c>
      <c r="E112" s="679"/>
      <c r="F112" s="529" t="str">
        <f>VLOOKUP(D112,'Q1 2012 DMV-Revenue'!D:T,17,FALSE)</f>
        <v/>
      </c>
      <c r="G112" s="694">
        <v>1594.29</v>
      </c>
      <c r="H112" s="680"/>
      <c r="I112" s="681"/>
      <c r="J112" s="682">
        <f t="shared" si="13"/>
        <v>1594.29</v>
      </c>
      <c r="K112" s="683"/>
      <c r="L112" s="684"/>
      <c r="M112" s="753">
        <v>0</v>
      </c>
      <c r="N112" s="683">
        <v>0</v>
      </c>
      <c r="O112" s="686"/>
      <c r="P112" s="683">
        <v>0</v>
      </c>
      <c r="Q112" s="687">
        <f t="shared" si="1"/>
        <v>0</v>
      </c>
      <c r="R112" s="764">
        <v>0</v>
      </c>
      <c r="S112" s="693"/>
      <c r="T112" s="690">
        <f t="shared" si="24"/>
        <v>0</v>
      </c>
      <c r="U112" s="683"/>
      <c r="V112" s="474">
        <f t="shared" si="14"/>
        <v>0</v>
      </c>
      <c r="W112" s="474">
        <f t="shared" si="15"/>
        <v>0</v>
      </c>
      <c r="X112" s="475">
        <f t="shared" si="16"/>
        <v>0</v>
      </c>
      <c r="Y112" s="475">
        <v>0</v>
      </c>
      <c r="Z112" s="476">
        <v>0</v>
      </c>
      <c r="AA112" s="38">
        <f t="shared" si="17"/>
        <v>0</v>
      </c>
      <c r="AB112" s="692">
        <f t="shared" si="18"/>
        <v>1594.29</v>
      </c>
      <c r="AC112" s="692">
        <f t="shared" si="19"/>
        <v>0</v>
      </c>
      <c r="AD112" s="692">
        <f t="shared" si="20"/>
        <v>0</v>
      </c>
      <c r="AE112" s="38"/>
      <c r="AF112" s="692">
        <f t="shared" si="21"/>
        <v>0</v>
      </c>
      <c r="AG112" s="692">
        <f t="shared" si="22"/>
        <v>0</v>
      </c>
      <c r="AH112" s="692">
        <f t="shared" si="23"/>
        <v>0</v>
      </c>
      <c r="AJ112" s="123" t="s">
        <v>333</v>
      </c>
    </row>
    <row r="113" spans="1:36" s="232" customFormat="1">
      <c r="A113" s="283"/>
      <c r="B113" s="283" t="s">
        <v>110</v>
      </c>
      <c r="C113" s="667"/>
      <c r="D113" s="123" t="s">
        <v>334</v>
      </c>
      <c r="E113" s="679"/>
      <c r="F113" s="529" t="str">
        <f>VLOOKUP(D113,'Q1 2012 DMV-Revenue'!D:T,17,FALSE)</f>
        <v/>
      </c>
      <c r="G113" s="694">
        <v>345143.41</v>
      </c>
      <c r="H113" s="680"/>
      <c r="I113" s="681"/>
      <c r="J113" s="682">
        <f t="shared" si="13"/>
        <v>345143.41</v>
      </c>
      <c r="K113" s="683"/>
      <c r="L113" s="684"/>
      <c r="M113" s="753">
        <v>0</v>
      </c>
      <c r="N113" s="683">
        <v>0</v>
      </c>
      <c r="O113" s="686"/>
      <c r="P113" s="683">
        <v>0</v>
      </c>
      <c r="Q113" s="687">
        <f t="shared" si="1"/>
        <v>0</v>
      </c>
      <c r="R113" s="764">
        <v>0</v>
      </c>
      <c r="S113" s="693"/>
      <c r="T113" s="690">
        <f t="shared" si="24"/>
        <v>0</v>
      </c>
      <c r="U113" s="683"/>
      <c r="V113" s="474">
        <f t="shared" si="14"/>
        <v>0</v>
      </c>
      <c r="W113" s="474">
        <f t="shared" si="15"/>
        <v>0</v>
      </c>
      <c r="X113" s="475">
        <f t="shared" si="16"/>
        <v>0</v>
      </c>
      <c r="Y113" s="475">
        <v>0</v>
      </c>
      <c r="Z113" s="476">
        <v>0</v>
      </c>
      <c r="AA113" s="38">
        <f t="shared" si="17"/>
        <v>0</v>
      </c>
      <c r="AB113" s="692">
        <f t="shared" si="18"/>
        <v>345143.41</v>
      </c>
      <c r="AC113" s="692">
        <f t="shared" si="19"/>
        <v>0</v>
      </c>
      <c r="AD113" s="692">
        <f t="shared" si="20"/>
        <v>0</v>
      </c>
      <c r="AE113" s="38"/>
      <c r="AF113" s="692">
        <f t="shared" si="21"/>
        <v>0</v>
      </c>
      <c r="AG113" s="692">
        <f t="shared" si="22"/>
        <v>0</v>
      </c>
      <c r="AH113" s="692">
        <f t="shared" si="23"/>
        <v>0</v>
      </c>
      <c r="AJ113" s="123" t="s">
        <v>334</v>
      </c>
    </row>
    <row r="114" spans="1:36" s="232" customFormat="1">
      <c r="A114" s="283"/>
      <c r="B114" s="283" t="s">
        <v>110</v>
      </c>
      <c r="C114" s="667"/>
      <c r="D114" s="123" t="s">
        <v>335</v>
      </c>
      <c r="E114" s="679"/>
      <c r="F114" s="529" t="str">
        <f>VLOOKUP(D114,'Q1 2012 DMV-Revenue'!D:T,17,FALSE)</f>
        <v/>
      </c>
      <c r="G114" s="694">
        <v>1236.31</v>
      </c>
      <c r="H114" s="680"/>
      <c r="I114" s="681"/>
      <c r="J114" s="682">
        <f t="shared" si="13"/>
        <v>1236.31</v>
      </c>
      <c r="K114" s="683"/>
      <c r="L114" s="684"/>
      <c r="M114" s="753">
        <v>0</v>
      </c>
      <c r="N114" s="683">
        <v>0</v>
      </c>
      <c r="O114" s="686"/>
      <c r="P114" s="683">
        <v>0</v>
      </c>
      <c r="Q114" s="687">
        <f t="shared" si="1"/>
        <v>0</v>
      </c>
      <c r="R114" s="764">
        <v>0</v>
      </c>
      <c r="S114" s="693"/>
      <c r="T114" s="690">
        <f t="shared" si="24"/>
        <v>0</v>
      </c>
      <c r="U114" s="683"/>
      <c r="V114" s="474">
        <f t="shared" si="14"/>
        <v>0</v>
      </c>
      <c r="W114" s="474">
        <f t="shared" si="15"/>
        <v>0</v>
      </c>
      <c r="X114" s="475">
        <f t="shared" si="16"/>
        <v>0</v>
      </c>
      <c r="Y114" s="475">
        <v>0</v>
      </c>
      <c r="Z114" s="476">
        <v>0</v>
      </c>
      <c r="AA114" s="38">
        <f t="shared" si="17"/>
        <v>0</v>
      </c>
      <c r="AB114" s="692">
        <f t="shared" si="18"/>
        <v>1236.31</v>
      </c>
      <c r="AC114" s="692">
        <f t="shared" si="19"/>
        <v>0</v>
      </c>
      <c r="AD114" s="692">
        <f t="shared" si="20"/>
        <v>0</v>
      </c>
      <c r="AE114" s="38"/>
      <c r="AF114" s="692">
        <f t="shared" si="21"/>
        <v>0</v>
      </c>
      <c r="AG114" s="692">
        <f t="shared" si="22"/>
        <v>0</v>
      </c>
      <c r="AH114" s="692">
        <f t="shared" si="23"/>
        <v>0</v>
      </c>
      <c r="AJ114" s="123" t="s">
        <v>335</v>
      </c>
    </row>
    <row r="115" spans="1:36" s="232" customFormat="1">
      <c r="A115" s="283"/>
      <c r="B115" s="283" t="s">
        <v>110</v>
      </c>
      <c r="C115" s="667"/>
      <c r="D115" s="123" t="s">
        <v>336</v>
      </c>
      <c r="E115" s="679"/>
      <c r="F115" s="529" t="str">
        <f>VLOOKUP(D115,'Q1 2012 DMV-Revenue'!D:T,17,FALSE)</f>
        <v/>
      </c>
      <c r="G115" s="694">
        <v>403854.13</v>
      </c>
      <c r="H115" s="680"/>
      <c r="I115" s="681"/>
      <c r="J115" s="682">
        <f t="shared" si="13"/>
        <v>403854.13</v>
      </c>
      <c r="K115" s="683"/>
      <c r="L115" s="684"/>
      <c r="M115" s="753">
        <v>0</v>
      </c>
      <c r="N115" s="683">
        <v>0</v>
      </c>
      <c r="O115" s="686"/>
      <c r="P115" s="683">
        <v>0</v>
      </c>
      <c r="Q115" s="687">
        <f t="shared" si="1"/>
        <v>0</v>
      </c>
      <c r="R115" s="764">
        <v>0</v>
      </c>
      <c r="S115" s="693"/>
      <c r="T115" s="690">
        <f t="shared" si="24"/>
        <v>0</v>
      </c>
      <c r="U115" s="683"/>
      <c r="V115" s="474">
        <f t="shared" si="14"/>
        <v>0</v>
      </c>
      <c r="W115" s="474">
        <f t="shared" si="15"/>
        <v>0</v>
      </c>
      <c r="X115" s="475">
        <f t="shared" si="16"/>
        <v>0</v>
      </c>
      <c r="Y115" s="475">
        <v>0</v>
      </c>
      <c r="Z115" s="476">
        <v>0</v>
      </c>
      <c r="AA115" s="38">
        <f t="shared" si="17"/>
        <v>0</v>
      </c>
      <c r="AB115" s="692">
        <f t="shared" si="18"/>
        <v>403854.13</v>
      </c>
      <c r="AC115" s="692">
        <f t="shared" si="19"/>
        <v>0</v>
      </c>
      <c r="AD115" s="692">
        <f t="shared" si="20"/>
        <v>0</v>
      </c>
      <c r="AE115" s="38"/>
      <c r="AF115" s="692">
        <f t="shared" si="21"/>
        <v>0</v>
      </c>
      <c r="AG115" s="692">
        <f t="shared" si="22"/>
        <v>0</v>
      </c>
      <c r="AH115" s="692">
        <f t="shared" si="23"/>
        <v>0</v>
      </c>
      <c r="AJ115" s="123" t="s">
        <v>336</v>
      </c>
    </row>
    <row r="116" spans="1:36" s="232" customFormat="1">
      <c r="A116" s="283"/>
      <c r="B116" s="283" t="s">
        <v>110</v>
      </c>
      <c r="C116" s="667"/>
      <c r="D116" s="123" t="s">
        <v>337</v>
      </c>
      <c r="E116" s="679"/>
      <c r="F116" s="529" t="str">
        <f>VLOOKUP(D116,'Q1 2012 DMV-Revenue'!D:T,17,FALSE)</f>
        <v/>
      </c>
      <c r="G116" s="694">
        <v>926.59</v>
      </c>
      <c r="H116" s="680"/>
      <c r="I116" s="681"/>
      <c r="J116" s="682">
        <f t="shared" si="13"/>
        <v>926.59</v>
      </c>
      <c r="K116" s="683"/>
      <c r="L116" s="684"/>
      <c r="M116" s="753">
        <v>0</v>
      </c>
      <c r="N116" s="683">
        <v>0</v>
      </c>
      <c r="O116" s="686"/>
      <c r="P116" s="683">
        <v>0</v>
      </c>
      <c r="Q116" s="687">
        <f t="shared" si="1"/>
        <v>0</v>
      </c>
      <c r="R116" s="764">
        <v>0</v>
      </c>
      <c r="S116" s="693"/>
      <c r="T116" s="690">
        <f t="shared" si="24"/>
        <v>0</v>
      </c>
      <c r="U116" s="683"/>
      <c r="V116" s="474">
        <f t="shared" si="14"/>
        <v>0</v>
      </c>
      <c r="W116" s="474">
        <f t="shared" si="15"/>
        <v>0</v>
      </c>
      <c r="X116" s="475">
        <f t="shared" si="16"/>
        <v>0</v>
      </c>
      <c r="Y116" s="475">
        <v>0</v>
      </c>
      <c r="Z116" s="476">
        <v>0</v>
      </c>
      <c r="AA116" s="38">
        <f t="shared" si="17"/>
        <v>0</v>
      </c>
      <c r="AB116" s="692">
        <f t="shared" si="18"/>
        <v>926.59</v>
      </c>
      <c r="AC116" s="692">
        <f t="shared" si="19"/>
        <v>0</v>
      </c>
      <c r="AD116" s="692">
        <f t="shared" si="20"/>
        <v>0</v>
      </c>
      <c r="AE116" s="38"/>
      <c r="AF116" s="692">
        <f t="shared" si="21"/>
        <v>0</v>
      </c>
      <c r="AG116" s="692">
        <f t="shared" si="22"/>
        <v>0</v>
      </c>
      <c r="AH116" s="692">
        <f t="shared" si="23"/>
        <v>0</v>
      </c>
      <c r="AJ116" s="123" t="s">
        <v>337</v>
      </c>
    </row>
    <row r="117" spans="1:36" s="232" customFormat="1">
      <c r="A117" s="283"/>
      <c r="B117" s="283" t="s">
        <v>110</v>
      </c>
      <c r="C117" s="667"/>
      <c r="D117" s="123" t="s">
        <v>338</v>
      </c>
      <c r="E117" s="679"/>
      <c r="F117" s="529" t="str">
        <f>VLOOKUP(D117,'Q1 2012 DMV-Revenue'!D:T,17,FALSE)</f>
        <v/>
      </c>
      <c r="G117" s="694">
        <v>110401.65</v>
      </c>
      <c r="H117" s="680"/>
      <c r="I117" s="681"/>
      <c r="J117" s="682">
        <f t="shared" si="13"/>
        <v>110401.65</v>
      </c>
      <c r="K117" s="683"/>
      <c r="L117" s="684"/>
      <c r="M117" s="753">
        <v>0</v>
      </c>
      <c r="N117" s="683">
        <v>0</v>
      </c>
      <c r="O117" s="686"/>
      <c r="P117" s="683">
        <v>0</v>
      </c>
      <c r="Q117" s="687">
        <f t="shared" si="1"/>
        <v>0</v>
      </c>
      <c r="R117" s="764">
        <v>0</v>
      </c>
      <c r="S117" s="693"/>
      <c r="T117" s="690">
        <f t="shared" si="24"/>
        <v>0</v>
      </c>
      <c r="U117" s="683"/>
      <c r="V117" s="474">
        <f t="shared" si="14"/>
        <v>0</v>
      </c>
      <c r="W117" s="474">
        <f t="shared" si="15"/>
        <v>0</v>
      </c>
      <c r="X117" s="475">
        <f t="shared" si="16"/>
        <v>0</v>
      </c>
      <c r="Y117" s="475">
        <v>0</v>
      </c>
      <c r="Z117" s="476">
        <v>0</v>
      </c>
      <c r="AA117" s="38">
        <f t="shared" si="17"/>
        <v>0</v>
      </c>
      <c r="AB117" s="692">
        <f t="shared" si="18"/>
        <v>110401.65</v>
      </c>
      <c r="AC117" s="692">
        <f t="shared" si="19"/>
        <v>0</v>
      </c>
      <c r="AD117" s="692">
        <f t="shared" si="20"/>
        <v>0</v>
      </c>
      <c r="AE117" s="38"/>
      <c r="AF117" s="692">
        <f t="shared" si="21"/>
        <v>0</v>
      </c>
      <c r="AG117" s="692">
        <f t="shared" si="22"/>
        <v>0</v>
      </c>
      <c r="AH117" s="692">
        <f t="shared" si="23"/>
        <v>0</v>
      </c>
      <c r="AJ117" s="123" t="s">
        <v>338</v>
      </c>
    </row>
    <row r="118" spans="1:36" s="232" customFormat="1">
      <c r="A118" s="283"/>
      <c r="B118" s="283" t="s">
        <v>110</v>
      </c>
      <c r="C118" s="667"/>
      <c r="D118" s="123" t="s">
        <v>339</v>
      </c>
      <c r="E118" s="679"/>
      <c r="F118" s="529" t="str">
        <f>VLOOKUP(D118,'Q1 2012 DMV-Revenue'!D:T,17,FALSE)</f>
        <v/>
      </c>
      <c r="G118" s="694">
        <v>93955.91</v>
      </c>
      <c r="H118" s="680"/>
      <c r="I118" s="681"/>
      <c r="J118" s="682">
        <f t="shared" si="13"/>
        <v>93955.91</v>
      </c>
      <c r="K118" s="683"/>
      <c r="L118" s="684"/>
      <c r="M118" s="753">
        <v>0</v>
      </c>
      <c r="N118" s="683">
        <v>0</v>
      </c>
      <c r="O118" s="686"/>
      <c r="P118" s="683">
        <v>0</v>
      </c>
      <c r="Q118" s="687">
        <f t="shared" si="1"/>
        <v>0</v>
      </c>
      <c r="R118" s="764">
        <v>0</v>
      </c>
      <c r="S118" s="693"/>
      <c r="T118" s="690">
        <f t="shared" si="24"/>
        <v>0</v>
      </c>
      <c r="U118" s="683"/>
      <c r="V118" s="474">
        <f t="shared" si="14"/>
        <v>0</v>
      </c>
      <c r="W118" s="474">
        <f t="shared" si="15"/>
        <v>0</v>
      </c>
      <c r="X118" s="475">
        <f t="shared" si="16"/>
        <v>0</v>
      </c>
      <c r="Y118" s="475">
        <v>0</v>
      </c>
      <c r="Z118" s="476">
        <v>0</v>
      </c>
      <c r="AA118" s="38">
        <f t="shared" si="17"/>
        <v>0</v>
      </c>
      <c r="AB118" s="692">
        <f t="shared" si="18"/>
        <v>93955.91</v>
      </c>
      <c r="AC118" s="692">
        <f t="shared" si="19"/>
        <v>0</v>
      </c>
      <c r="AD118" s="692">
        <f t="shared" si="20"/>
        <v>0</v>
      </c>
      <c r="AE118" s="38"/>
      <c r="AF118" s="692">
        <f t="shared" si="21"/>
        <v>0</v>
      </c>
      <c r="AG118" s="692">
        <f t="shared" si="22"/>
        <v>0</v>
      </c>
      <c r="AH118" s="692">
        <f t="shared" si="23"/>
        <v>0</v>
      </c>
      <c r="AJ118" s="123" t="s">
        <v>339</v>
      </c>
    </row>
    <row r="119" spans="1:36" s="232" customFormat="1">
      <c r="A119" s="283"/>
      <c r="B119" s="283" t="s">
        <v>110</v>
      </c>
      <c r="C119" s="667"/>
      <c r="D119" s="123" t="s">
        <v>340</v>
      </c>
      <c r="E119" s="679"/>
      <c r="F119" s="529" t="str">
        <f>VLOOKUP(D119,'Q1 2012 DMV-Revenue'!D:T,17,FALSE)</f>
        <v/>
      </c>
      <c r="G119" s="694">
        <v>209.5</v>
      </c>
      <c r="H119" s="680"/>
      <c r="I119" s="681"/>
      <c r="J119" s="682">
        <f t="shared" si="13"/>
        <v>209.5</v>
      </c>
      <c r="K119" s="683"/>
      <c r="L119" s="684"/>
      <c r="M119" s="753">
        <v>0</v>
      </c>
      <c r="N119" s="683">
        <v>0</v>
      </c>
      <c r="O119" s="686"/>
      <c r="P119" s="683">
        <v>0</v>
      </c>
      <c r="Q119" s="687">
        <f t="shared" si="1"/>
        <v>0</v>
      </c>
      <c r="R119" s="764">
        <v>0</v>
      </c>
      <c r="S119" s="693"/>
      <c r="T119" s="690">
        <f t="shared" si="24"/>
        <v>0</v>
      </c>
      <c r="U119" s="683"/>
      <c r="V119" s="474">
        <f t="shared" si="14"/>
        <v>0</v>
      </c>
      <c r="W119" s="474">
        <f t="shared" si="15"/>
        <v>0</v>
      </c>
      <c r="X119" s="475">
        <f t="shared" si="16"/>
        <v>0</v>
      </c>
      <c r="Y119" s="475">
        <v>0</v>
      </c>
      <c r="Z119" s="476">
        <v>0</v>
      </c>
      <c r="AA119" s="38">
        <f t="shared" si="17"/>
        <v>0</v>
      </c>
      <c r="AB119" s="692">
        <f t="shared" si="18"/>
        <v>209.5</v>
      </c>
      <c r="AC119" s="692">
        <f t="shared" si="19"/>
        <v>0</v>
      </c>
      <c r="AD119" s="692">
        <f t="shared" si="20"/>
        <v>0</v>
      </c>
      <c r="AE119" s="38"/>
      <c r="AF119" s="692">
        <f t="shared" si="21"/>
        <v>0</v>
      </c>
      <c r="AG119" s="692">
        <f t="shared" si="22"/>
        <v>0</v>
      </c>
      <c r="AH119" s="692">
        <f t="shared" si="23"/>
        <v>0</v>
      </c>
      <c r="AJ119" s="123" t="s">
        <v>340</v>
      </c>
    </row>
    <row r="120" spans="1:36" s="232" customFormat="1">
      <c r="A120" s="283"/>
      <c r="B120" s="283" t="s">
        <v>110</v>
      </c>
      <c r="C120" s="667"/>
      <c r="D120" s="123" t="s">
        <v>439</v>
      </c>
      <c r="E120" s="679"/>
      <c r="F120" s="529" t="str">
        <f>VLOOKUP(D120,'Q1 2012 DMV-Revenue'!D:T,17,FALSE)</f>
        <v/>
      </c>
      <c r="G120" s="694">
        <v>1346.97</v>
      </c>
      <c r="H120" s="680"/>
      <c r="I120" s="681"/>
      <c r="J120" s="682">
        <f t="shared" si="13"/>
        <v>1346.97</v>
      </c>
      <c r="K120" s="683"/>
      <c r="L120" s="684"/>
      <c r="M120" s="753">
        <v>0</v>
      </c>
      <c r="N120" s="683">
        <v>0</v>
      </c>
      <c r="O120" s="686"/>
      <c r="P120" s="683">
        <v>0</v>
      </c>
      <c r="Q120" s="687">
        <f t="shared" si="1"/>
        <v>0</v>
      </c>
      <c r="R120" s="764">
        <v>0</v>
      </c>
      <c r="S120" s="693"/>
      <c r="T120" s="690">
        <f t="shared" si="24"/>
        <v>0</v>
      </c>
      <c r="U120" s="683"/>
      <c r="V120" s="474">
        <f t="shared" si="14"/>
        <v>0</v>
      </c>
      <c r="W120" s="474">
        <f t="shared" si="15"/>
        <v>0</v>
      </c>
      <c r="X120" s="475">
        <f t="shared" si="16"/>
        <v>0</v>
      </c>
      <c r="Y120" s="475">
        <v>0</v>
      </c>
      <c r="Z120" s="476">
        <v>0</v>
      </c>
      <c r="AA120" s="38">
        <f t="shared" si="17"/>
        <v>0</v>
      </c>
      <c r="AB120" s="692">
        <f t="shared" si="18"/>
        <v>1346.97</v>
      </c>
      <c r="AC120" s="692">
        <f t="shared" si="19"/>
        <v>0</v>
      </c>
      <c r="AD120" s="692">
        <f t="shared" si="20"/>
        <v>0</v>
      </c>
      <c r="AE120" s="38"/>
      <c r="AF120" s="692">
        <f t="shared" si="21"/>
        <v>0</v>
      </c>
      <c r="AG120" s="692">
        <f t="shared" si="22"/>
        <v>0</v>
      </c>
      <c r="AH120" s="692">
        <f t="shared" si="23"/>
        <v>0</v>
      </c>
      <c r="AJ120" s="123" t="s">
        <v>439</v>
      </c>
    </row>
    <row r="121" spans="1:36" s="232" customFormat="1">
      <c r="A121" s="283"/>
      <c r="B121" s="283" t="s">
        <v>110</v>
      </c>
      <c r="C121" s="667"/>
      <c r="D121" s="123" t="s">
        <v>592</v>
      </c>
      <c r="E121" s="679"/>
      <c r="F121" s="529" t="str">
        <f>VLOOKUP(D121,'Q1 2012 DMV-Revenue'!D:T,17,FALSE)</f>
        <v/>
      </c>
      <c r="G121" s="694">
        <v>766.8</v>
      </c>
      <c r="H121" s="680"/>
      <c r="I121" s="681"/>
      <c r="J121" s="682">
        <f t="shared" si="13"/>
        <v>766.8</v>
      </c>
      <c r="K121" s="683"/>
      <c r="L121" s="684"/>
      <c r="M121" s="753">
        <v>0</v>
      </c>
      <c r="N121" s="683">
        <v>0</v>
      </c>
      <c r="O121" s="686"/>
      <c r="P121" s="683">
        <v>0</v>
      </c>
      <c r="Q121" s="687">
        <f t="shared" si="1"/>
        <v>0</v>
      </c>
      <c r="R121" s="764">
        <v>0</v>
      </c>
      <c r="S121" s="693"/>
      <c r="T121" s="690">
        <f t="shared" si="24"/>
        <v>0</v>
      </c>
      <c r="U121" s="683"/>
      <c r="V121" s="474">
        <f t="shared" si="14"/>
        <v>0</v>
      </c>
      <c r="W121" s="474">
        <f t="shared" si="15"/>
        <v>0</v>
      </c>
      <c r="X121" s="475">
        <f t="shared" si="16"/>
        <v>0</v>
      </c>
      <c r="Y121" s="475">
        <v>0</v>
      </c>
      <c r="Z121" s="476">
        <v>0</v>
      </c>
      <c r="AA121" s="38">
        <f t="shared" si="17"/>
        <v>0</v>
      </c>
      <c r="AB121" s="692">
        <f t="shared" si="18"/>
        <v>766.8</v>
      </c>
      <c r="AC121" s="692">
        <f t="shared" si="19"/>
        <v>0</v>
      </c>
      <c r="AD121" s="692">
        <f t="shared" si="20"/>
        <v>0</v>
      </c>
      <c r="AE121" s="38"/>
      <c r="AF121" s="692">
        <f t="shared" si="21"/>
        <v>0</v>
      </c>
      <c r="AG121" s="692">
        <f t="shared" si="22"/>
        <v>0</v>
      </c>
      <c r="AH121" s="692">
        <f t="shared" si="23"/>
        <v>0</v>
      </c>
      <c r="AJ121" s="123" t="s">
        <v>592</v>
      </c>
    </row>
    <row r="122" spans="1:36" s="232" customFormat="1">
      <c r="A122" s="283"/>
      <c r="B122" s="283" t="s">
        <v>110</v>
      </c>
      <c r="C122" s="667"/>
      <c r="D122" s="123" t="s">
        <v>512</v>
      </c>
      <c r="E122" s="679"/>
      <c r="F122" s="529" t="str">
        <f>VLOOKUP(D122,'Q1 2012 DMV-Revenue'!D:T,17,FALSE)</f>
        <v/>
      </c>
      <c r="G122" s="694">
        <f>28391.13+2958.09+1914.99+8779.1+481.36+75.2</f>
        <v>42599.869999999995</v>
      </c>
      <c r="H122" s="680"/>
      <c r="I122" s="681"/>
      <c r="J122" s="682">
        <f>SUM(E122:I122)</f>
        <v>42599.869999999995</v>
      </c>
      <c r="K122" s="683"/>
      <c r="L122" s="684"/>
      <c r="M122" s="753">
        <v>0</v>
      </c>
      <c r="N122" s="683">
        <v>0</v>
      </c>
      <c r="O122" s="686"/>
      <c r="P122" s="683"/>
      <c r="Q122" s="687">
        <f t="shared" si="1"/>
        <v>0</v>
      </c>
      <c r="R122" s="764">
        <v>0</v>
      </c>
      <c r="S122" s="693"/>
      <c r="T122" s="690">
        <f t="shared" si="24"/>
        <v>0</v>
      </c>
      <c r="U122" s="683"/>
      <c r="V122" s="474">
        <f t="shared" si="14"/>
        <v>0</v>
      </c>
      <c r="W122" s="474">
        <f t="shared" si="15"/>
        <v>0</v>
      </c>
      <c r="X122" s="475">
        <f t="shared" si="16"/>
        <v>0</v>
      </c>
      <c r="Y122" s="475">
        <v>0</v>
      </c>
      <c r="Z122" s="476">
        <v>0</v>
      </c>
      <c r="AA122" s="38">
        <f t="shared" si="17"/>
        <v>0</v>
      </c>
      <c r="AB122" s="692">
        <f t="shared" si="18"/>
        <v>42599.869999999995</v>
      </c>
      <c r="AC122" s="692">
        <f t="shared" si="19"/>
        <v>0</v>
      </c>
      <c r="AD122" s="692">
        <f t="shared" si="20"/>
        <v>0</v>
      </c>
      <c r="AE122" s="38"/>
      <c r="AF122" s="692">
        <f t="shared" si="21"/>
        <v>0</v>
      </c>
      <c r="AG122" s="692">
        <f t="shared" si="22"/>
        <v>0</v>
      </c>
      <c r="AH122" s="692">
        <f t="shared" si="23"/>
        <v>0</v>
      </c>
      <c r="AJ122" s="123" t="s">
        <v>512</v>
      </c>
    </row>
    <row r="123" spans="1:36" s="24" customFormat="1">
      <c r="A123" s="32"/>
      <c r="B123" s="32" t="s">
        <v>110</v>
      </c>
      <c r="C123" s="667"/>
      <c r="D123" s="68" t="s">
        <v>588</v>
      </c>
      <c r="E123" s="679"/>
      <c r="F123" s="529" t="str">
        <f>VLOOKUP(D123,'Q1 2012 DMV-Revenue'!D:T,17,FALSE)</f>
        <v/>
      </c>
      <c r="G123" s="694">
        <v>18.59</v>
      </c>
      <c r="H123" s="680"/>
      <c r="I123" s="681"/>
      <c r="J123" s="682">
        <f t="shared" ref="J123" si="28">SUM(E123:I123)</f>
        <v>18.59</v>
      </c>
      <c r="K123" s="683"/>
      <c r="L123" s="684"/>
      <c r="M123" s="753">
        <v>0</v>
      </c>
      <c r="N123" s="698"/>
      <c r="O123" s="699"/>
      <c r="P123" s="698"/>
      <c r="Q123" s="687">
        <f t="shared" si="1"/>
        <v>0</v>
      </c>
      <c r="R123" s="764">
        <v>0</v>
      </c>
      <c r="S123" s="693"/>
      <c r="T123" s="690">
        <f t="shared" si="24"/>
        <v>0</v>
      </c>
      <c r="U123" s="683"/>
      <c r="V123" s="474">
        <f t="shared" si="14"/>
        <v>0</v>
      </c>
      <c r="W123" s="474">
        <f t="shared" si="15"/>
        <v>0</v>
      </c>
      <c r="X123" s="475">
        <f t="shared" si="16"/>
        <v>0</v>
      </c>
      <c r="Y123" s="475">
        <v>0</v>
      </c>
      <c r="Z123" s="476">
        <v>0</v>
      </c>
      <c r="AA123" s="38">
        <f t="shared" si="17"/>
        <v>0</v>
      </c>
      <c r="AB123" s="692">
        <f t="shared" si="18"/>
        <v>18.59</v>
      </c>
      <c r="AC123" s="692">
        <f t="shared" si="19"/>
        <v>0</v>
      </c>
      <c r="AD123" s="692">
        <f t="shared" si="20"/>
        <v>0</v>
      </c>
      <c r="AE123" s="38"/>
      <c r="AF123" s="692">
        <f t="shared" si="21"/>
        <v>0</v>
      </c>
      <c r="AG123" s="692">
        <f t="shared" si="22"/>
        <v>0</v>
      </c>
      <c r="AH123" s="692">
        <f t="shared" si="23"/>
        <v>0</v>
      </c>
      <c r="AJ123" s="68" t="s">
        <v>588</v>
      </c>
    </row>
    <row r="124" spans="1:36">
      <c r="A124" s="21"/>
      <c r="B124" s="21" t="s">
        <v>109</v>
      </c>
      <c r="C124" s="666" t="s">
        <v>548</v>
      </c>
      <c r="D124" s="68" t="s">
        <v>461</v>
      </c>
      <c r="E124" s="679"/>
      <c r="F124" s="529">
        <f>VLOOKUP(D124,'Q1 2012 DMV-Revenue'!D:T,17,FALSE)</f>
        <v>645.09000000000015</v>
      </c>
      <c r="G124" s="680"/>
      <c r="H124" s="680"/>
      <c r="I124" s="681"/>
      <c r="J124" s="682">
        <f t="shared" si="13"/>
        <v>645.09000000000015</v>
      </c>
      <c r="K124" s="683"/>
      <c r="L124" s="684"/>
      <c r="M124" s="753">
        <v>0</v>
      </c>
      <c r="N124" s="683">
        <v>0</v>
      </c>
      <c r="O124" s="686"/>
      <c r="P124" s="683">
        <v>0</v>
      </c>
      <c r="Q124" s="687">
        <f t="shared" si="1"/>
        <v>0</v>
      </c>
      <c r="R124" s="764">
        <v>3661.55</v>
      </c>
      <c r="S124" s="693"/>
      <c r="T124" s="690">
        <f t="shared" si="24"/>
        <v>3661.55</v>
      </c>
      <c r="U124" s="683"/>
      <c r="V124" s="474">
        <f t="shared" si="14"/>
        <v>0</v>
      </c>
      <c r="W124" s="474">
        <f t="shared" si="15"/>
        <v>0</v>
      </c>
      <c r="X124" s="475">
        <f t="shared" si="16"/>
        <v>0</v>
      </c>
      <c r="Y124" s="475">
        <v>0</v>
      </c>
      <c r="Z124" s="476">
        <v>0</v>
      </c>
      <c r="AA124" s="38">
        <f t="shared" si="17"/>
        <v>0</v>
      </c>
      <c r="AB124" s="692">
        <f t="shared" si="18"/>
        <v>0</v>
      </c>
      <c r="AC124" s="692">
        <f t="shared" si="19"/>
        <v>645.09000000000015</v>
      </c>
      <c r="AD124" s="692">
        <f t="shared" si="20"/>
        <v>0</v>
      </c>
      <c r="AE124" s="38"/>
      <c r="AF124" s="692">
        <f t="shared" si="21"/>
        <v>0</v>
      </c>
      <c r="AG124" s="692">
        <f t="shared" si="22"/>
        <v>0</v>
      </c>
      <c r="AH124" s="692">
        <f t="shared" si="23"/>
        <v>0</v>
      </c>
      <c r="AJ124" s="68" t="s">
        <v>461</v>
      </c>
    </row>
    <row r="125" spans="1:36">
      <c r="A125" s="20"/>
      <c r="B125" s="20" t="s">
        <v>109</v>
      </c>
      <c r="C125" s="667" t="s">
        <v>549</v>
      </c>
      <c r="D125" s="68" t="s">
        <v>22</v>
      </c>
      <c r="E125" s="679"/>
      <c r="F125" s="529">
        <f>VLOOKUP(D125,'Q1 2012 DMV-Revenue'!D:T,17,FALSE)</f>
        <v>11.14</v>
      </c>
      <c r="G125" s="680"/>
      <c r="H125" s="680"/>
      <c r="I125" s="681"/>
      <c r="J125" s="682">
        <f t="shared" si="13"/>
        <v>11.14</v>
      </c>
      <c r="K125" s="683"/>
      <c r="L125" s="684"/>
      <c r="M125" s="753">
        <v>0</v>
      </c>
      <c r="N125" s="683">
        <v>0</v>
      </c>
      <c r="O125" s="686"/>
      <c r="P125" s="683">
        <v>0</v>
      </c>
      <c r="Q125" s="687">
        <f t="shared" si="1"/>
        <v>0</v>
      </c>
      <c r="R125" s="764">
        <v>0</v>
      </c>
      <c r="S125" s="693"/>
      <c r="T125" s="690">
        <f t="shared" si="24"/>
        <v>0</v>
      </c>
      <c r="U125" s="683"/>
      <c r="V125" s="474">
        <f t="shared" si="14"/>
        <v>0</v>
      </c>
      <c r="W125" s="474">
        <f t="shared" si="15"/>
        <v>0</v>
      </c>
      <c r="X125" s="475">
        <f t="shared" si="16"/>
        <v>0</v>
      </c>
      <c r="Y125" s="475">
        <v>0</v>
      </c>
      <c r="Z125" s="476">
        <v>0</v>
      </c>
      <c r="AA125" s="38">
        <f t="shared" si="17"/>
        <v>0</v>
      </c>
      <c r="AB125" s="692">
        <f t="shared" si="18"/>
        <v>0</v>
      </c>
      <c r="AC125" s="692">
        <f t="shared" si="19"/>
        <v>11.14</v>
      </c>
      <c r="AD125" s="692">
        <f t="shared" si="20"/>
        <v>0</v>
      </c>
      <c r="AE125" s="38"/>
      <c r="AF125" s="692">
        <f t="shared" si="21"/>
        <v>0</v>
      </c>
      <c r="AG125" s="692">
        <f t="shared" si="22"/>
        <v>0</v>
      </c>
      <c r="AH125" s="692">
        <f t="shared" si="23"/>
        <v>0</v>
      </c>
      <c r="AJ125" s="68" t="s">
        <v>22</v>
      </c>
    </row>
    <row r="126" spans="1:36">
      <c r="A126" s="20"/>
      <c r="B126" s="20" t="s">
        <v>110</v>
      </c>
      <c r="C126" s="667"/>
      <c r="D126" s="68" t="s">
        <v>24</v>
      </c>
      <c r="E126" s="679"/>
      <c r="F126" s="529">
        <f>VLOOKUP(D126,'Q1 2012 DMV-Revenue'!D:T,17,FALSE)</f>
        <v>335</v>
      </c>
      <c r="G126" s="694">
        <v>3425.01</v>
      </c>
      <c r="H126" s="680"/>
      <c r="I126" s="681"/>
      <c r="J126" s="682">
        <f t="shared" si="13"/>
        <v>3760.01</v>
      </c>
      <c r="K126" s="683"/>
      <c r="L126" s="684"/>
      <c r="M126" s="753">
        <v>0</v>
      </c>
      <c r="N126" s="683">
        <v>0</v>
      </c>
      <c r="O126" s="686"/>
      <c r="P126" s="683">
        <v>0</v>
      </c>
      <c r="Q126" s="687">
        <f t="shared" si="1"/>
        <v>0</v>
      </c>
      <c r="R126" s="764">
        <v>0</v>
      </c>
      <c r="S126" s="693"/>
      <c r="T126" s="690">
        <f t="shared" si="24"/>
        <v>0</v>
      </c>
      <c r="U126" s="683"/>
      <c r="V126" s="474">
        <f t="shared" si="14"/>
        <v>0</v>
      </c>
      <c r="W126" s="474">
        <f t="shared" si="15"/>
        <v>0</v>
      </c>
      <c r="X126" s="475">
        <f t="shared" si="16"/>
        <v>0</v>
      </c>
      <c r="Y126" s="475">
        <v>0</v>
      </c>
      <c r="Z126" s="476">
        <v>0</v>
      </c>
      <c r="AA126" s="38">
        <f t="shared" si="17"/>
        <v>0</v>
      </c>
      <c r="AB126" s="692">
        <f t="shared" si="18"/>
        <v>3760.01</v>
      </c>
      <c r="AC126" s="692">
        <f t="shared" si="19"/>
        <v>0</v>
      </c>
      <c r="AD126" s="692">
        <f t="shared" si="20"/>
        <v>0</v>
      </c>
      <c r="AE126" s="38"/>
      <c r="AF126" s="692">
        <f t="shared" si="21"/>
        <v>0</v>
      </c>
      <c r="AG126" s="692">
        <f t="shared" si="22"/>
        <v>0</v>
      </c>
      <c r="AH126" s="692">
        <f t="shared" si="23"/>
        <v>0</v>
      </c>
      <c r="AJ126" s="68" t="s">
        <v>24</v>
      </c>
    </row>
    <row r="127" spans="1:36">
      <c r="A127" s="21"/>
      <c r="B127" s="21" t="s">
        <v>110</v>
      </c>
      <c r="C127" s="666"/>
      <c r="D127" s="68" t="s">
        <v>183</v>
      </c>
      <c r="E127" s="679"/>
      <c r="F127" s="529" t="str">
        <f>VLOOKUP(D127,'Q1 2012 DMV-Revenue'!D:T,17,FALSE)</f>
        <v/>
      </c>
      <c r="G127" s="680"/>
      <c r="H127" s="680"/>
      <c r="I127" s="681"/>
      <c r="J127" s="682">
        <f t="shared" si="13"/>
        <v>0</v>
      </c>
      <c r="K127" s="683"/>
      <c r="L127" s="684"/>
      <c r="M127" s="753">
        <v>0</v>
      </c>
      <c r="N127" s="683">
        <v>0</v>
      </c>
      <c r="O127" s="686"/>
      <c r="P127" s="683">
        <v>0</v>
      </c>
      <c r="Q127" s="687">
        <f t="shared" si="1"/>
        <v>0</v>
      </c>
      <c r="R127" s="764">
        <v>0</v>
      </c>
      <c r="S127" s="693"/>
      <c r="T127" s="690">
        <f t="shared" si="24"/>
        <v>0</v>
      </c>
      <c r="U127" s="683"/>
      <c r="V127" s="474">
        <f t="shared" si="14"/>
        <v>0</v>
      </c>
      <c r="W127" s="474">
        <f t="shared" si="15"/>
        <v>0</v>
      </c>
      <c r="X127" s="475">
        <f t="shared" si="16"/>
        <v>0</v>
      </c>
      <c r="Y127" s="475">
        <v>0</v>
      </c>
      <c r="Z127" s="476">
        <v>0</v>
      </c>
      <c r="AA127" s="38">
        <f t="shared" si="17"/>
        <v>0</v>
      </c>
      <c r="AB127" s="692">
        <f t="shared" si="18"/>
        <v>0</v>
      </c>
      <c r="AC127" s="692">
        <f t="shared" si="19"/>
        <v>0</v>
      </c>
      <c r="AD127" s="692">
        <f t="shared" si="20"/>
        <v>0</v>
      </c>
      <c r="AE127" s="38"/>
      <c r="AF127" s="692">
        <f t="shared" si="21"/>
        <v>0</v>
      </c>
      <c r="AG127" s="692">
        <f t="shared" si="22"/>
        <v>0</v>
      </c>
      <c r="AH127" s="692">
        <f t="shared" si="23"/>
        <v>0</v>
      </c>
      <c r="AJ127" s="68" t="s">
        <v>183</v>
      </c>
    </row>
    <row r="128" spans="1:36">
      <c r="A128" s="21"/>
      <c r="B128" s="21" t="s">
        <v>110</v>
      </c>
      <c r="C128" s="666" t="s">
        <v>550</v>
      </c>
      <c r="D128" s="68" t="s">
        <v>282</v>
      </c>
      <c r="E128" s="679"/>
      <c r="F128" s="529">
        <f>VLOOKUP(D128,'Q1 2012 DMV-Revenue'!D:T,17,FALSE)</f>
        <v>6269.6699999999983</v>
      </c>
      <c r="G128" s="680"/>
      <c r="H128" s="680"/>
      <c r="I128" s="681"/>
      <c r="J128" s="682">
        <f t="shared" si="13"/>
        <v>6269.6699999999983</v>
      </c>
      <c r="K128" s="683"/>
      <c r="L128" s="684"/>
      <c r="M128" s="753">
        <v>0</v>
      </c>
      <c r="N128" s="683">
        <v>0</v>
      </c>
      <c r="O128" s="686"/>
      <c r="P128" s="683">
        <v>0</v>
      </c>
      <c r="Q128" s="687">
        <f t="shared" si="1"/>
        <v>0</v>
      </c>
      <c r="R128" s="764">
        <v>27802.45</v>
      </c>
      <c r="S128" s="693"/>
      <c r="T128" s="690">
        <f t="shared" si="24"/>
        <v>27802.45</v>
      </c>
      <c r="U128" s="683"/>
      <c r="V128" s="474">
        <f t="shared" si="14"/>
        <v>0</v>
      </c>
      <c r="W128" s="474">
        <f t="shared" si="15"/>
        <v>0</v>
      </c>
      <c r="X128" s="475">
        <f t="shared" si="16"/>
        <v>0</v>
      </c>
      <c r="Y128" s="475">
        <v>0</v>
      </c>
      <c r="Z128" s="476">
        <v>0</v>
      </c>
      <c r="AA128" s="38">
        <f t="shared" si="17"/>
        <v>0</v>
      </c>
      <c r="AB128" s="692">
        <f t="shared" si="18"/>
        <v>6269.6699999999983</v>
      </c>
      <c r="AC128" s="692">
        <f t="shared" si="19"/>
        <v>0</v>
      </c>
      <c r="AD128" s="692">
        <f t="shared" si="20"/>
        <v>0</v>
      </c>
      <c r="AE128" s="38"/>
      <c r="AF128" s="692">
        <f t="shared" si="21"/>
        <v>0</v>
      </c>
      <c r="AG128" s="692">
        <f t="shared" si="22"/>
        <v>0</v>
      </c>
      <c r="AH128" s="692">
        <f t="shared" si="23"/>
        <v>0</v>
      </c>
      <c r="AJ128" s="68" t="s">
        <v>282</v>
      </c>
    </row>
    <row r="129" spans="1:36">
      <c r="A129" s="21"/>
      <c r="B129" s="21" t="s">
        <v>109</v>
      </c>
      <c r="C129" s="666" t="s">
        <v>551</v>
      </c>
      <c r="D129" s="68" t="s">
        <v>499</v>
      </c>
      <c r="E129" s="679"/>
      <c r="F129" s="529" t="str">
        <f>VLOOKUP(D129,'Q1 2012 DMV-Revenue'!D:T,17,FALSE)</f>
        <v/>
      </c>
      <c r="G129" s="680"/>
      <c r="H129" s="680"/>
      <c r="I129" s="681"/>
      <c r="J129" s="682">
        <f t="shared" si="13"/>
        <v>0</v>
      </c>
      <c r="K129" s="683"/>
      <c r="L129" s="684"/>
      <c r="M129" s="753">
        <v>0</v>
      </c>
      <c r="N129" s="683">
        <v>0</v>
      </c>
      <c r="O129" s="686"/>
      <c r="P129" s="683">
        <v>0</v>
      </c>
      <c r="Q129" s="687">
        <f t="shared" si="1"/>
        <v>0</v>
      </c>
      <c r="R129" s="764">
        <v>0</v>
      </c>
      <c r="S129" s="693"/>
      <c r="T129" s="690">
        <f t="shared" si="24"/>
        <v>0</v>
      </c>
      <c r="U129" s="683"/>
      <c r="V129" s="474">
        <f t="shared" si="14"/>
        <v>0</v>
      </c>
      <c r="W129" s="474">
        <f t="shared" si="15"/>
        <v>0</v>
      </c>
      <c r="X129" s="475">
        <f t="shared" si="16"/>
        <v>0</v>
      </c>
      <c r="Y129" s="475">
        <v>0</v>
      </c>
      <c r="Z129" s="476">
        <v>0</v>
      </c>
      <c r="AA129" s="38">
        <f t="shared" si="17"/>
        <v>0</v>
      </c>
      <c r="AB129" s="692">
        <f t="shared" si="18"/>
        <v>0</v>
      </c>
      <c r="AC129" s="692">
        <f t="shared" si="19"/>
        <v>0</v>
      </c>
      <c r="AD129" s="692">
        <f t="shared" si="20"/>
        <v>0</v>
      </c>
      <c r="AE129" s="38"/>
      <c r="AF129" s="692">
        <f t="shared" si="21"/>
        <v>0</v>
      </c>
      <c r="AG129" s="692">
        <f t="shared" si="22"/>
        <v>0</v>
      </c>
      <c r="AH129" s="692">
        <f t="shared" si="23"/>
        <v>0</v>
      </c>
      <c r="AJ129" s="68" t="s">
        <v>499</v>
      </c>
    </row>
    <row r="130" spans="1:36">
      <c r="A130" s="21"/>
      <c r="B130" s="21" t="s">
        <v>110</v>
      </c>
      <c r="C130" s="666"/>
      <c r="D130" s="68" t="s">
        <v>28</v>
      </c>
      <c r="E130" s="679"/>
      <c r="F130" s="529">
        <f>VLOOKUP(D130,'Q1 2012 DMV-Revenue'!D:T,17,FALSE)</f>
        <v>-4000</v>
      </c>
      <c r="G130" s="680"/>
      <c r="H130" s="680"/>
      <c r="I130" s="681"/>
      <c r="J130" s="682">
        <f t="shared" si="13"/>
        <v>-4000</v>
      </c>
      <c r="K130" s="683"/>
      <c r="L130" s="684"/>
      <c r="M130" s="753">
        <v>0</v>
      </c>
      <c r="N130" s="683">
        <v>0</v>
      </c>
      <c r="O130" s="686"/>
      <c r="P130" s="683">
        <v>0</v>
      </c>
      <c r="Q130" s="687">
        <f t="shared" si="1"/>
        <v>0</v>
      </c>
      <c r="R130" s="764">
        <v>1346.1</v>
      </c>
      <c r="S130" s="693"/>
      <c r="T130" s="690">
        <f t="shared" si="24"/>
        <v>1346.1</v>
      </c>
      <c r="U130" s="683"/>
      <c r="V130" s="474">
        <f t="shared" si="14"/>
        <v>0</v>
      </c>
      <c r="W130" s="474">
        <f t="shared" si="15"/>
        <v>0</v>
      </c>
      <c r="X130" s="475">
        <f t="shared" si="16"/>
        <v>0</v>
      </c>
      <c r="Y130" s="475">
        <v>0</v>
      </c>
      <c r="Z130" s="476">
        <v>0</v>
      </c>
      <c r="AA130" s="38">
        <f t="shared" si="17"/>
        <v>0</v>
      </c>
      <c r="AB130" s="692">
        <f t="shared" si="18"/>
        <v>-4000</v>
      </c>
      <c r="AC130" s="692">
        <f t="shared" si="19"/>
        <v>0</v>
      </c>
      <c r="AD130" s="692">
        <f t="shared" si="20"/>
        <v>0</v>
      </c>
      <c r="AE130" s="38"/>
      <c r="AF130" s="692">
        <f t="shared" si="21"/>
        <v>0</v>
      </c>
      <c r="AG130" s="692">
        <f t="shared" si="22"/>
        <v>0</v>
      </c>
      <c r="AH130" s="692">
        <f t="shared" si="23"/>
        <v>0</v>
      </c>
      <c r="AJ130" s="68" t="s">
        <v>28</v>
      </c>
    </row>
    <row r="131" spans="1:36">
      <c r="A131" s="21"/>
      <c r="B131" s="21" t="s">
        <v>114</v>
      </c>
      <c r="C131" s="666" t="s">
        <v>552</v>
      </c>
      <c r="D131" s="68" t="s">
        <v>513</v>
      </c>
      <c r="E131" s="679"/>
      <c r="F131" s="529">
        <f>VLOOKUP(D131,'Q1 2012 DMV-Revenue'!D:T,17,FALSE)</f>
        <v>-2000</v>
      </c>
      <c r="G131" s="680"/>
      <c r="H131" s="680"/>
      <c r="I131" s="681"/>
      <c r="J131" s="682">
        <f>SUM(E131:I131)</f>
        <v>-2000</v>
      </c>
      <c r="K131" s="683"/>
      <c r="L131" s="684"/>
      <c r="M131" s="753">
        <v>0</v>
      </c>
      <c r="N131" s="683">
        <v>0</v>
      </c>
      <c r="O131" s="686"/>
      <c r="P131" s="683">
        <v>0</v>
      </c>
      <c r="Q131" s="687">
        <f>L131+M131</f>
        <v>0</v>
      </c>
      <c r="R131" s="764">
        <v>0</v>
      </c>
      <c r="S131" s="693"/>
      <c r="T131" s="690">
        <f t="shared" si="24"/>
        <v>0</v>
      </c>
      <c r="U131" s="683"/>
      <c r="V131" s="474">
        <f t="shared" si="14"/>
        <v>0</v>
      </c>
      <c r="W131" s="474">
        <f t="shared" si="15"/>
        <v>0</v>
      </c>
      <c r="X131" s="475">
        <f t="shared" si="16"/>
        <v>0</v>
      </c>
      <c r="Y131" s="475">
        <v>0</v>
      </c>
      <c r="Z131" s="476">
        <v>0</v>
      </c>
      <c r="AA131" s="38">
        <f t="shared" si="17"/>
        <v>0</v>
      </c>
      <c r="AB131" s="692">
        <f t="shared" si="18"/>
        <v>0</v>
      </c>
      <c r="AC131" s="692">
        <f t="shared" si="19"/>
        <v>0</v>
      </c>
      <c r="AD131" s="692">
        <f t="shared" si="20"/>
        <v>-2000</v>
      </c>
      <c r="AE131" s="38"/>
      <c r="AF131" s="692">
        <f t="shared" si="21"/>
        <v>0</v>
      </c>
      <c r="AG131" s="692">
        <f t="shared" si="22"/>
        <v>0</v>
      </c>
      <c r="AH131" s="692">
        <f t="shared" si="23"/>
        <v>0</v>
      </c>
      <c r="AJ131" s="68" t="s">
        <v>513</v>
      </c>
    </row>
    <row r="132" spans="1:36">
      <c r="A132" s="21"/>
      <c r="B132" s="21" t="s">
        <v>109</v>
      </c>
      <c r="C132" s="666" t="s">
        <v>553</v>
      </c>
      <c r="D132" s="68" t="s">
        <v>308</v>
      </c>
      <c r="E132" s="679"/>
      <c r="F132" s="529">
        <f>VLOOKUP(D132,'Q1 2012 DMV-Revenue'!D:T,17,FALSE)</f>
        <v>-1390.9299999999998</v>
      </c>
      <c r="G132" s="680"/>
      <c r="H132" s="680"/>
      <c r="I132" s="681"/>
      <c r="J132" s="682">
        <f t="shared" si="13"/>
        <v>-1390.9299999999998</v>
      </c>
      <c r="K132" s="683"/>
      <c r="L132" s="684"/>
      <c r="M132" s="753">
        <v>0</v>
      </c>
      <c r="N132" s="683">
        <v>0</v>
      </c>
      <c r="O132" s="686"/>
      <c r="P132" s="683">
        <v>0</v>
      </c>
      <c r="Q132" s="687">
        <f t="shared" si="1"/>
        <v>0</v>
      </c>
      <c r="R132" s="764">
        <v>0</v>
      </c>
      <c r="S132" s="693"/>
      <c r="T132" s="690">
        <f t="shared" si="24"/>
        <v>0</v>
      </c>
      <c r="U132" s="683"/>
      <c r="V132" s="474">
        <f t="shared" si="14"/>
        <v>0</v>
      </c>
      <c r="W132" s="474">
        <f t="shared" si="15"/>
        <v>0</v>
      </c>
      <c r="X132" s="475">
        <f t="shared" si="16"/>
        <v>0</v>
      </c>
      <c r="Y132" s="475">
        <v>0</v>
      </c>
      <c r="Z132" s="476">
        <v>0</v>
      </c>
      <c r="AA132" s="38">
        <f t="shared" si="17"/>
        <v>0</v>
      </c>
      <c r="AB132" s="692">
        <f t="shared" si="18"/>
        <v>0</v>
      </c>
      <c r="AC132" s="692">
        <f t="shared" si="19"/>
        <v>-1390.9299999999998</v>
      </c>
      <c r="AD132" s="692">
        <f t="shared" si="20"/>
        <v>0</v>
      </c>
      <c r="AE132" s="38"/>
      <c r="AF132" s="692">
        <f t="shared" si="21"/>
        <v>0</v>
      </c>
      <c r="AG132" s="692">
        <f t="shared" si="22"/>
        <v>0</v>
      </c>
      <c r="AH132" s="692">
        <f t="shared" si="23"/>
        <v>0</v>
      </c>
      <c r="AJ132" s="68" t="s">
        <v>308</v>
      </c>
    </row>
    <row r="133" spans="1:36" s="232" customFormat="1">
      <c r="A133" s="283" t="s">
        <v>211</v>
      </c>
      <c r="B133" s="283" t="s">
        <v>109</v>
      </c>
      <c r="C133" s="667" t="s">
        <v>554</v>
      </c>
      <c r="D133" s="123" t="s">
        <v>389</v>
      </c>
      <c r="E133" s="679"/>
      <c r="F133" s="529">
        <f>VLOOKUP(D133,'Q1 2012 DMV-Revenue'!D:T,17,FALSE)</f>
        <v>-40000</v>
      </c>
      <c r="G133" s="680"/>
      <c r="H133" s="680"/>
      <c r="I133" s="681"/>
      <c r="J133" s="682">
        <f t="shared" si="13"/>
        <v>-40000</v>
      </c>
      <c r="K133" s="683"/>
      <c r="L133" s="684"/>
      <c r="M133" s="753">
        <v>0</v>
      </c>
      <c r="N133" s="683">
        <v>0</v>
      </c>
      <c r="O133" s="686"/>
      <c r="P133" s="683">
        <v>0</v>
      </c>
      <c r="Q133" s="687">
        <f t="shared" si="1"/>
        <v>0</v>
      </c>
      <c r="R133" s="764">
        <v>0</v>
      </c>
      <c r="S133" s="693"/>
      <c r="T133" s="690">
        <f t="shared" si="24"/>
        <v>0</v>
      </c>
      <c r="U133" s="683"/>
      <c r="V133" s="474">
        <f t="shared" si="14"/>
        <v>0</v>
      </c>
      <c r="W133" s="474">
        <f t="shared" si="15"/>
        <v>0</v>
      </c>
      <c r="X133" s="475">
        <f t="shared" si="16"/>
        <v>0</v>
      </c>
      <c r="Y133" s="475">
        <v>0</v>
      </c>
      <c r="Z133" s="476">
        <v>0</v>
      </c>
      <c r="AA133" s="38">
        <f t="shared" si="17"/>
        <v>0</v>
      </c>
      <c r="AB133" s="692">
        <f t="shared" si="18"/>
        <v>0</v>
      </c>
      <c r="AC133" s="692">
        <f t="shared" si="19"/>
        <v>-40000</v>
      </c>
      <c r="AD133" s="692">
        <f t="shared" si="20"/>
        <v>0</v>
      </c>
      <c r="AE133" s="38"/>
      <c r="AF133" s="692">
        <f t="shared" si="21"/>
        <v>0</v>
      </c>
      <c r="AG133" s="692">
        <f t="shared" si="22"/>
        <v>0</v>
      </c>
      <c r="AH133" s="692">
        <f t="shared" si="23"/>
        <v>0</v>
      </c>
      <c r="AJ133" s="123" t="s">
        <v>389</v>
      </c>
    </row>
    <row r="134" spans="1:36" s="232" customFormat="1">
      <c r="A134" s="283"/>
      <c r="B134" s="283" t="s">
        <v>110</v>
      </c>
      <c r="C134" s="667"/>
      <c r="D134" s="123" t="s">
        <v>807</v>
      </c>
      <c r="E134" s="679"/>
      <c r="F134" s="529"/>
      <c r="G134" s="680"/>
      <c r="H134" s="680"/>
      <c r="I134" s="681"/>
      <c r="J134" s="682">
        <f t="shared" ref="J134:J135" si="29">SUM(E134:I134)</f>
        <v>0</v>
      </c>
      <c r="K134" s="683"/>
      <c r="L134" s="684"/>
      <c r="M134" s="753">
        <v>0</v>
      </c>
      <c r="N134" s="683">
        <v>0</v>
      </c>
      <c r="O134" s="686"/>
      <c r="P134" s="683">
        <v>0</v>
      </c>
      <c r="Q134" s="687">
        <f t="shared" ref="Q134:Q135" si="30">L134+M134</f>
        <v>0</v>
      </c>
      <c r="R134" s="764">
        <v>1468.16</v>
      </c>
      <c r="S134" s="693"/>
      <c r="T134" s="690">
        <f t="shared" ref="T134:T135" si="31">IF(R134="","",R134-Q134)</f>
        <v>1468.16</v>
      </c>
      <c r="U134" s="683"/>
      <c r="V134" s="474">
        <f t="shared" ref="V134:V135" si="32">IF(B134="D",Q134,0)</f>
        <v>0</v>
      </c>
      <c r="W134" s="474">
        <f t="shared" ref="W134:W135" si="33">IF(B134="M",Q134,0)</f>
        <v>0</v>
      </c>
      <c r="X134" s="475">
        <f t="shared" ref="X134:X135" si="34">IF(B134="V",Q134,0)</f>
        <v>0</v>
      </c>
      <c r="Y134" s="475">
        <v>0</v>
      </c>
      <c r="Z134" s="476">
        <v>0</v>
      </c>
      <c r="AA134" s="38">
        <f t="shared" ref="AA134:AA135" si="35">(L134+M134)-(V134+W134+X134+Y134+Z134)</f>
        <v>0</v>
      </c>
      <c r="AB134" s="692">
        <f t="shared" ref="AB134:AB135" si="36">IF(B134="D",J134,0)</f>
        <v>0</v>
      </c>
      <c r="AC134" s="692">
        <f t="shared" ref="AC134:AC135" si="37">IF(B134="M",J134,0)</f>
        <v>0</v>
      </c>
      <c r="AD134" s="692">
        <f t="shared" ref="AD134:AD135" si="38">IF(B134="V",J134,0)</f>
        <v>0</v>
      </c>
      <c r="AE134" s="38"/>
      <c r="AF134" s="692">
        <f t="shared" ref="AF134:AF135" si="39">IF(B134="D",Q134,0)</f>
        <v>0</v>
      </c>
      <c r="AG134" s="692">
        <f t="shared" ref="AG134:AG135" si="40">IF(B134="M",Q134,0)</f>
        <v>0</v>
      </c>
      <c r="AH134" s="692">
        <f t="shared" ref="AH134:AH135" si="41">IF(B134="V",Q134,0)</f>
        <v>0</v>
      </c>
      <c r="AI134" s="16"/>
      <c r="AJ134" s="123"/>
    </row>
    <row r="135" spans="1:36" s="232" customFormat="1">
      <c r="A135" s="283"/>
      <c r="B135" s="283" t="s">
        <v>109</v>
      </c>
      <c r="C135" s="667"/>
      <c r="D135" s="123" t="s">
        <v>808</v>
      </c>
      <c r="E135" s="679"/>
      <c r="F135" s="529"/>
      <c r="G135" s="680"/>
      <c r="H135" s="680"/>
      <c r="I135" s="681"/>
      <c r="J135" s="682">
        <f t="shared" si="29"/>
        <v>0</v>
      </c>
      <c r="K135" s="683"/>
      <c r="L135" s="684"/>
      <c r="M135" s="753">
        <v>0</v>
      </c>
      <c r="N135" s="683">
        <v>0</v>
      </c>
      <c r="O135" s="686"/>
      <c r="P135" s="683">
        <v>0</v>
      </c>
      <c r="Q135" s="687">
        <f t="shared" si="30"/>
        <v>0</v>
      </c>
      <c r="R135" s="764">
        <v>9105.49</v>
      </c>
      <c r="S135" s="693"/>
      <c r="T135" s="690">
        <f t="shared" si="31"/>
        <v>9105.49</v>
      </c>
      <c r="U135" s="683"/>
      <c r="V135" s="474">
        <f t="shared" si="32"/>
        <v>0</v>
      </c>
      <c r="W135" s="474">
        <f t="shared" si="33"/>
        <v>0</v>
      </c>
      <c r="X135" s="475">
        <f t="shared" si="34"/>
        <v>0</v>
      </c>
      <c r="Y135" s="475">
        <v>0</v>
      </c>
      <c r="Z135" s="476">
        <v>0</v>
      </c>
      <c r="AA135" s="38">
        <f t="shared" si="35"/>
        <v>0</v>
      </c>
      <c r="AB135" s="692">
        <f t="shared" si="36"/>
        <v>0</v>
      </c>
      <c r="AC135" s="692">
        <f t="shared" si="37"/>
        <v>0</v>
      </c>
      <c r="AD135" s="692">
        <f t="shared" si="38"/>
        <v>0</v>
      </c>
      <c r="AE135" s="38"/>
      <c r="AF135" s="692">
        <f t="shared" si="39"/>
        <v>0</v>
      </c>
      <c r="AG135" s="692">
        <f t="shared" si="40"/>
        <v>0</v>
      </c>
      <c r="AH135" s="692">
        <f t="shared" si="41"/>
        <v>0</v>
      </c>
      <c r="AI135" s="16"/>
      <c r="AJ135" s="123"/>
    </row>
    <row r="136" spans="1:36" s="232" customFormat="1">
      <c r="A136" s="283"/>
      <c r="B136" s="283" t="s">
        <v>110</v>
      </c>
      <c r="C136" s="667"/>
      <c r="D136" s="68" t="s">
        <v>488</v>
      </c>
      <c r="E136" s="679"/>
      <c r="F136" s="529" t="str">
        <f>VLOOKUP(D136,'Q1 2012 DMV-Revenue'!D:T,17,FALSE)</f>
        <v/>
      </c>
      <c r="G136" s="680"/>
      <c r="H136" s="680"/>
      <c r="I136" s="681"/>
      <c r="J136" s="682">
        <f t="shared" si="13"/>
        <v>0</v>
      </c>
      <c r="K136" s="683"/>
      <c r="L136" s="684"/>
      <c r="M136" s="753">
        <v>0</v>
      </c>
      <c r="N136" s="683">
        <v>0</v>
      </c>
      <c r="O136" s="686"/>
      <c r="P136" s="683">
        <v>0</v>
      </c>
      <c r="Q136" s="687">
        <f t="shared" si="1"/>
        <v>0</v>
      </c>
      <c r="R136" s="764">
        <v>0</v>
      </c>
      <c r="S136" s="693"/>
      <c r="T136" s="690">
        <f t="shared" si="24"/>
        <v>0</v>
      </c>
      <c r="U136" s="683"/>
      <c r="V136" s="474">
        <f t="shared" si="14"/>
        <v>0</v>
      </c>
      <c r="W136" s="474">
        <f t="shared" ref="W136:W194" si="42">IF(B136="M",Q136,0)</f>
        <v>0</v>
      </c>
      <c r="X136" s="475">
        <f t="shared" ref="X136:X194" si="43">IF(B136="V",Q136,0)</f>
        <v>0</v>
      </c>
      <c r="Y136" s="475">
        <v>0</v>
      </c>
      <c r="Z136" s="476">
        <v>0</v>
      </c>
      <c r="AA136" s="38">
        <f t="shared" si="17"/>
        <v>0</v>
      </c>
      <c r="AB136" s="692">
        <f t="shared" ref="AB136:AB194" si="44">IF(B136="D",J136,0)</f>
        <v>0</v>
      </c>
      <c r="AC136" s="692">
        <f t="shared" ref="AC136:AC194" si="45">IF(B136="M",J136,0)</f>
        <v>0</v>
      </c>
      <c r="AD136" s="692">
        <f t="shared" ref="AD136:AD194" si="46">IF(B136="V",J136,0)</f>
        <v>0</v>
      </c>
      <c r="AE136" s="38"/>
      <c r="AF136" s="692">
        <f t="shared" ref="AF136:AF194" si="47">IF(B136="D",Q136,0)</f>
        <v>0</v>
      </c>
      <c r="AG136" s="692">
        <f t="shared" ref="AG136:AG194" si="48">IF(B136="M",Q136,0)</f>
        <v>0</v>
      </c>
      <c r="AH136" s="692">
        <f t="shared" ref="AH136:AH194" si="49">IF(B136="V",Q136,0)</f>
        <v>0</v>
      </c>
      <c r="AJ136" s="68" t="s">
        <v>488</v>
      </c>
    </row>
    <row r="137" spans="1:36" s="232" customFormat="1">
      <c r="A137" s="283"/>
      <c r="B137" s="283" t="s">
        <v>110</v>
      </c>
      <c r="C137" s="667" t="s">
        <v>555</v>
      </c>
      <c r="D137" s="123" t="s">
        <v>192</v>
      </c>
      <c r="E137" s="679"/>
      <c r="F137" s="529" t="str">
        <f>VLOOKUP(D137,'Q1 2012 DMV-Revenue'!D:T,17,FALSE)</f>
        <v/>
      </c>
      <c r="G137" s="694">
        <v>5434.53</v>
      </c>
      <c r="H137" s="680"/>
      <c r="I137" s="681"/>
      <c r="J137" s="682">
        <f t="shared" si="13"/>
        <v>5434.53</v>
      </c>
      <c r="K137" s="683"/>
      <c r="L137" s="684"/>
      <c r="M137" s="753">
        <v>0</v>
      </c>
      <c r="N137" s="683">
        <v>0</v>
      </c>
      <c r="O137" s="686"/>
      <c r="P137" s="683">
        <v>0</v>
      </c>
      <c r="Q137" s="687">
        <f t="shared" si="1"/>
        <v>0</v>
      </c>
      <c r="R137" s="764">
        <v>0</v>
      </c>
      <c r="S137" s="693"/>
      <c r="T137" s="690">
        <f t="shared" si="24"/>
        <v>0</v>
      </c>
      <c r="U137" s="683"/>
      <c r="V137" s="474">
        <f t="shared" ref="V137:V196" si="50">IF(B137="D",Q137,0)</f>
        <v>0</v>
      </c>
      <c r="W137" s="474">
        <f t="shared" si="42"/>
        <v>0</v>
      </c>
      <c r="X137" s="475">
        <f t="shared" si="43"/>
        <v>0</v>
      </c>
      <c r="Y137" s="475">
        <v>0</v>
      </c>
      <c r="Z137" s="476">
        <v>0</v>
      </c>
      <c r="AA137" s="38">
        <f t="shared" ref="AA137:AA196" si="51">(L137+M137)-(V137+W137+X137+Y137+Z137)</f>
        <v>0</v>
      </c>
      <c r="AB137" s="692">
        <f t="shared" si="44"/>
        <v>5434.53</v>
      </c>
      <c r="AC137" s="692">
        <f t="shared" si="45"/>
        <v>0</v>
      </c>
      <c r="AD137" s="692">
        <f t="shared" si="46"/>
        <v>0</v>
      </c>
      <c r="AE137" s="38"/>
      <c r="AF137" s="692">
        <f t="shared" si="47"/>
        <v>0</v>
      </c>
      <c r="AG137" s="692">
        <f t="shared" si="48"/>
        <v>0</v>
      </c>
      <c r="AH137" s="692">
        <f t="shared" si="49"/>
        <v>0</v>
      </c>
      <c r="AJ137" s="123" t="s">
        <v>192</v>
      </c>
    </row>
    <row r="138" spans="1:36" s="232" customFormat="1">
      <c r="A138" s="283"/>
      <c r="B138" s="283" t="s">
        <v>110</v>
      </c>
      <c r="C138" s="667" t="s">
        <v>555</v>
      </c>
      <c r="D138" s="123" t="s">
        <v>193</v>
      </c>
      <c r="E138" s="679"/>
      <c r="F138" s="529" t="str">
        <f>VLOOKUP(D138,'Q1 2012 DMV-Revenue'!D:T,17,FALSE)</f>
        <v/>
      </c>
      <c r="G138" s="694">
        <v>503.94</v>
      </c>
      <c r="H138" s="680"/>
      <c r="I138" s="681"/>
      <c r="J138" s="682">
        <f t="shared" si="13"/>
        <v>503.94</v>
      </c>
      <c r="K138" s="683"/>
      <c r="L138" s="684"/>
      <c r="M138" s="753">
        <v>0</v>
      </c>
      <c r="N138" s="683">
        <v>0</v>
      </c>
      <c r="O138" s="686"/>
      <c r="P138" s="683">
        <v>0</v>
      </c>
      <c r="Q138" s="687">
        <f t="shared" si="1"/>
        <v>0</v>
      </c>
      <c r="R138" s="764">
        <v>0</v>
      </c>
      <c r="S138" s="693"/>
      <c r="T138" s="690">
        <f t="shared" si="24"/>
        <v>0</v>
      </c>
      <c r="U138" s="683"/>
      <c r="V138" s="474">
        <f t="shared" si="50"/>
        <v>0</v>
      </c>
      <c r="W138" s="474">
        <f t="shared" si="42"/>
        <v>0</v>
      </c>
      <c r="X138" s="475">
        <f t="shared" si="43"/>
        <v>0</v>
      </c>
      <c r="Y138" s="475">
        <v>0</v>
      </c>
      <c r="Z138" s="476">
        <v>0</v>
      </c>
      <c r="AA138" s="38">
        <f t="shared" si="51"/>
        <v>0</v>
      </c>
      <c r="AB138" s="692">
        <f t="shared" si="44"/>
        <v>503.94</v>
      </c>
      <c r="AC138" s="692">
        <f t="shared" si="45"/>
        <v>0</v>
      </c>
      <c r="AD138" s="692">
        <f t="shared" si="46"/>
        <v>0</v>
      </c>
      <c r="AE138" s="38"/>
      <c r="AF138" s="692">
        <f t="shared" si="47"/>
        <v>0</v>
      </c>
      <c r="AG138" s="692">
        <f t="shared" si="48"/>
        <v>0</v>
      </c>
      <c r="AH138" s="692">
        <f t="shared" si="49"/>
        <v>0</v>
      </c>
      <c r="AJ138" s="123" t="s">
        <v>193</v>
      </c>
    </row>
    <row r="139" spans="1:36" s="232" customFormat="1">
      <c r="A139" s="283"/>
      <c r="B139" s="283" t="s">
        <v>110</v>
      </c>
      <c r="C139" s="667" t="s">
        <v>555</v>
      </c>
      <c r="D139" s="123" t="s">
        <v>194</v>
      </c>
      <c r="E139" s="679"/>
      <c r="F139" s="529" t="str">
        <f>VLOOKUP(D139,'Q1 2012 DMV-Revenue'!D:T,17,FALSE)</f>
        <v/>
      </c>
      <c r="G139" s="694">
        <v>123.41</v>
      </c>
      <c r="H139" s="680"/>
      <c r="I139" s="681"/>
      <c r="J139" s="682">
        <f t="shared" si="13"/>
        <v>123.41</v>
      </c>
      <c r="K139" s="683"/>
      <c r="L139" s="684"/>
      <c r="M139" s="753">
        <v>0</v>
      </c>
      <c r="N139" s="683">
        <v>0</v>
      </c>
      <c r="O139" s="686"/>
      <c r="P139" s="683">
        <v>0</v>
      </c>
      <c r="Q139" s="687">
        <f t="shared" si="1"/>
        <v>0</v>
      </c>
      <c r="R139" s="764">
        <v>0</v>
      </c>
      <c r="S139" s="693"/>
      <c r="T139" s="690">
        <f t="shared" si="24"/>
        <v>0</v>
      </c>
      <c r="U139" s="683"/>
      <c r="V139" s="474">
        <f t="shared" si="50"/>
        <v>0</v>
      </c>
      <c r="W139" s="474">
        <f t="shared" si="42"/>
        <v>0</v>
      </c>
      <c r="X139" s="475">
        <f t="shared" si="43"/>
        <v>0</v>
      </c>
      <c r="Y139" s="475">
        <v>0</v>
      </c>
      <c r="Z139" s="476">
        <v>0</v>
      </c>
      <c r="AA139" s="38">
        <f t="shared" si="51"/>
        <v>0</v>
      </c>
      <c r="AB139" s="692">
        <f t="shared" si="44"/>
        <v>123.41</v>
      </c>
      <c r="AC139" s="692">
        <f t="shared" si="45"/>
        <v>0</v>
      </c>
      <c r="AD139" s="692">
        <f t="shared" si="46"/>
        <v>0</v>
      </c>
      <c r="AE139" s="38"/>
      <c r="AF139" s="692">
        <f t="shared" si="47"/>
        <v>0</v>
      </c>
      <c r="AG139" s="692">
        <f t="shared" si="48"/>
        <v>0</v>
      </c>
      <c r="AH139" s="692">
        <f t="shared" si="49"/>
        <v>0</v>
      </c>
      <c r="AJ139" s="123" t="s">
        <v>194</v>
      </c>
    </row>
    <row r="140" spans="1:36" s="232" customFormat="1">
      <c r="A140" s="283"/>
      <c r="B140" s="283" t="s">
        <v>110</v>
      </c>
      <c r="C140" s="667" t="s">
        <v>555</v>
      </c>
      <c r="D140" s="123" t="s">
        <v>195</v>
      </c>
      <c r="E140" s="679"/>
      <c r="F140" s="529" t="str">
        <f>VLOOKUP(D140,'Q1 2012 DMV-Revenue'!D:T,17,FALSE)</f>
        <v/>
      </c>
      <c r="G140" s="694">
        <v>18.11</v>
      </c>
      <c r="H140" s="680"/>
      <c r="I140" s="681"/>
      <c r="J140" s="682">
        <f t="shared" si="13"/>
        <v>18.11</v>
      </c>
      <c r="K140" s="683"/>
      <c r="L140" s="684"/>
      <c r="M140" s="753">
        <v>0</v>
      </c>
      <c r="N140" s="683">
        <v>0</v>
      </c>
      <c r="O140" s="686"/>
      <c r="P140" s="683">
        <v>0</v>
      </c>
      <c r="Q140" s="687">
        <f t="shared" si="1"/>
        <v>0</v>
      </c>
      <c r="R140" s="764">
        <v>0</v>
      </c>
      <c r="S140" s="693"/>
      <c r="T140" s="690">
        <f t="shared" si="24"/>
        <v>0</v>
      </c>
      <c r="U140" s="683"/>
      <c r="V140" s="474">
        <f t="shared" si="50"/>
        <v>0</v>
      </c>
      <c r="W140" s="474">
        <f t="shared" si="42"/>
        <v>0</v>
      </c>
      <c r="X140" s="475">
        <f t="shared" si="43"/>
        <v>0</v>
      </c>
      <c r="Y140" s="475">
        <v>0</v>
      </c>
      <c r="Z140" s="476">
        <v>0</v>
      </c>
      <c r="AA140" s="38">
        <f t="shared" si="51"/>
        <v>0</v>
      </c>
      <c r="AB140" s="692">
        <f t="shared" si="44"/>
        <v>18.11</v>
      </c>
      <c r="AC140" s="692">
        <f t="shared" si="45"/>
        <v>0</v>
      </c>
      <c r="AD140" s="692">
        <f t="shared" si="46"/>
        <v>0</v>
      </c>
      <c r="AE140" s="38"/>
      <c r="AF140" s="692">
        <f t="shared" si="47"/>
        <v>0</v>
      </c>
      <c r="AG140" s="692">
        <f t="shared" si="48"/>
        <v>0</v>
      </c>
      <c r="AH140" s="692">
        <f t="shared" si="49"/>
        <v>0</v>
      </c>
      <c r="AJ140" s="123" t="s">
        <v>195</v>
      </c>
    </row>
    <row r="141" spans="1:36" s="232" customFormat="1">
      <c r="A141" s="283"/>
      <c r="B141" s="283" t="s">
        <v>110</v>
      </c>
      <c r="C141" s="667" t="s">
        <v>555</v>
      </c>
      <c r="D141" s="123" t="s">
        <v>196</v>
      </c>
      <c r="E141" s="679"/>
      <c r="F141" s="529" t="str">
        <f>VLOOKUP(D141,'Q1 2012 DMV-Revenue'!D:T,17,FALSE)</f>
        <v/>
      </c>
      <c r="G141" s="694">
        <v>186.08</v>
      </c>
      <c r="H141" s="680"/>
      <c r="I141" s="681"/>
      <c r="J141" s="682">
        <f t="shared" si="13"/>
        <v>186.08</v>
      </c>
      <c r="K141" s="683"/>
      <c r="L141" s="684"/>
      <c r="M141" s="753">
        <v>0</v>
      </c>
      <c r="N141" s="683">
        <v>0</v>
      </c>
      <c r="O141" s="686"/>
      <c r="P141" s="683">
        <v>0</v>
      </c>
      <c r="Q141" s="687">
        <f t="shared" si="1"/>
        <v>0</v>
      </c>
      <c r="R141" s="764">
        <v>0</v>
      </c>
      <c r="S141" s="693"/>
      <c r="T141" s="690">
        <f t="shared" si="24"/>
        <v>0</v>
      </c>
      <c r="U141" s="683"/>
      <c r="V141" s="474">
        <f t="shared" si="50"/>
        <v>0</v>
      </c>
      <c r="W141" s="474">
        <f t="shared" si="42"/>
        <v>0</v>
      </c>
      <c r="X141" s="475">
        <f t="shared" si="43"/>
        <v>0</v>
      </c>
      <c r="Y141" s="475">
        <v>0</v>
      </c>
      <c r="Z141" s="476">
        <v>0</v>
      </c>
      <c r="AA141" s="38">
        <f t="shared" si="51"/>
        <v>0</v>
      </c>
      <c r="AB141" s="692">
        <f t="shared" si="44"/>
        <v>186.08</v>
      </c>
      <c r="AC141" s="692">
        <f t="shared" si="45"/>
        <v>0</v>
      </c>
      <c r="AD141" s="692">
        <f t="shared" si="46"/>
        <v>0</v>
      </c>
      <c r="AE141" s="38"/>
      <c r="AF141" s="692">
        <f t="shared" si="47"/>
        <v>0</v>
      </c>
      <c r="AG141" s="692">
        <f t="shared" si="48"/>
        <v>0</v>
      </c>
      <c r="AH141" s="692">
        <f t="shared" si="49"/>
        <v>0</v>
      </c>
      <c r="AJ141" s="123" t="s">
        <v>196</v>
      </c>
    </row>
    <row r="142" spans="1:36" s="232" customFormat="1">
      <c r="A142" s="283"/>
      <c r="B142" s="283" t="s">
        <v>110</v>
      </c>
      <c r="C142" s="667" t="s">
        <v>555</v>
      </c>
      <c r="D142" s="123" t="s">
        <v>197</v>
      </c>
      <c r="E142" s="679"/>
      <c r="F142" s="529" t="str">
        <f>VLOOKUP(D142,'Q1 2012 DMV-Revenue'!D:T,17,FALSE)</f>
        <v/>
      </c>
      <c r="G142" s="694">
        <v>19.89</v>
      </c>
      <c r="H142" s="680"/>
      <c r="I142" s="681"/>
      <c r="J142" s="682">
        <f t="shared" si="13"/>
        <v>19.89</v>
      </c>
      <c r="K142" s="683"/>
      <c r="L142" s="684"/>
      <c r="M142" s="753">
        <v>0</v>
      </c>
      <c r="N142" s="683">
        <v>0</v>
      </c>
      <c r="O142" s="686"/>
      <c r="P142" s="683">
        <v>0</v>
      </c>
      <c r="Q142" s="687">
        <f t="shared" si="1"/>
        <v>0</v>
      </c>
      <c r="R142" s="764">
        <v>0</v>
      </c>
      <c r="S142" s="693"/>
      <c r="T142" s="690">
        <f t="shared" si="24"/>
        <v>0</v>
      </c>
      <c r="U142" s="683"/>
      <c r="V142" s="474">
        <f t="shared" si="50"/>
        <v>0</v>
      </c>
      <c r="W142" s="474">
        <f t="shared" si="42"/>
        <v>0</v>
      </c>
      <c r="X142" s="475">
        <f t="shared" si="43"/>
        <v>0</v>
      </c>
      <c r="Y142" s="475">
        <v>0</v>
      </c>
      <c r="Z142" s="476">
        <v>0</v>
      </c>
      <c r="AA142" s="38">
        <f t="shared" si="51"/>
        <v>0</v>
      </c>
      <c r="AB142" s="692">
        <f t="shared" si="44"/>
        <v>19.89</v>
      </c>
      <c r="AC142" s="692">
        <f t="shared" si="45"/>
        <v>0</v>
      </c>
      <c r="AD142" s="692">
        <f t="shared" si="46"/>
        <v>0</v>
      </c>
      <c r="AE142" s="38"/>
      <c r="AF142" s="692">
        <f t="shared" si="47"/>
        <v>0</v>
      </c>
      <c r="AG142" s="692">
        <f t="shared" si="48"/>
        <v>0</v>
      </c>
      <c r="AH142" s="692">
        <f t="shared" si="49"/>
        <v>0</v>
      </c>
      <c r="AJ142" s="123" t="s">
        <v>197</v>
      </c>
    </row>
    <row r="143" spans="1:36" s="232" customFormat="1">
      <c r="A143" s="283"/>
      <c r="B143" s="283" t="s">
        <v>110</v>
      </c>
      <c r="C143" s="667" t="s">
        <v>555</v>
      </c>
      <c r="D143" s="123" t="s">
        <v>440</v>
      </c>
      <c r="E143" s="679"/>
      <c r="F143" s="529" t="str">
        <f>VLOOKUP(D143,'Q1 2012 DMV-Revenue'!D:T,17,FALSE)</f>
        <v/>
      </c>
      <c r="G143" s="694">
        <f>1391.75+266.01+260.96</f>
        <v>1918.72</v>
      </c>
      <c r="H143" s="680"/>
      <c r="I143" s="681"/>
      <c r="J143" s="682">
        <f t="shared" ref="J143:J206" si="52">SUM(E143:I143)</f>
        <v>1918.72</v>
      </c>
      <c r="K143" s="683"/>
      <c r="L143" s="684"/>
      <c r="M143" s="753">
        <v>0</v>
      </c>
      <c r="N143" s="683">
        <v>0</v>
      </c>
      <c r="O143" s="686"/>
      <c r="P143" s="683">
        <v>0</v>
      </c>
      <c r="Q143" s="687">
        <f t="shared" si="1"/>
        <v>0</v>
      </c>
      <c r="R143" s="764">
        <v>0</v>
      </c>
      <c r="S143" s="693"/>
      <c r="T143" s="690">
        <f t="shared" si="24"/>
        <v>0</v>
      </c>
      <c r="U143" s="683"/>
      <c r="V143" s="474">
        <f t="shared" si="50"/>
        <v>0</v>
      </c>
      <c r="W143" s="474">
        <f t="shared" si="42"/>
        <v>0</v>
      </c>
      <c r="X143" s="475">
        <f t="shared" si="43"/>
        <v>0</v>
      </c>
      <c r="Y143" s="475">
        <v>0</v>
      </c>
      <c r="Z143" s="476">
        <v>0</v>
      </c>
      <c r="AA143" s="38">
        <f t="shared" si="51"/>
        <v>0</v>
      </c>
      <c r="AB143" s="692">
        <f t="shared" si="44"/>
        <v>1918.72</v>
      </c>
      <c r="AC143" s="692">
        <f t="shared" si="45"/>
        <v>0</v>
      </c>
      <c r="AD143" s="692">
        <f t="shared" si="46"/>
        <v>0</v>
      </c>
      <c r="AE143" s="38"/>
      <c r="AF143" s="692">
        <f t="shared" si="47"/>
        <v>0</v>
      </c>
      <c r="AG143" s="692">
        <f t="shared" si="48"/>
        <v>0</v>
      </c>
      <c r="AH143" s="692">
        <f t="shared" si="49"/>
        <v>0</v>
      </c>
      <c r="AJ143" s="123" t="s">
        <v>440</v>
      </c>
    </row>
    <row r="144" spans="1:36" s="232" customFormat="1">
      <c r="A144" s="283"/>
      <c r="B144" s="283" t="s">
        <v>110</v>
      </c>
      <c r="C144" s="667" t="s">
        <v>555</v>
      </c>
      <c r="D144" s="123" t="s">
        <v>481</v>
      </c>
      <c r="E144" s="679"/>
      <c r="F144" s="529" t="str">
        <f>VLOOKUP(D144,'Q1 2012 DMV-Revenue'!D:T,17,FALSE)</f>
        <v/>
      </c>
      <c r="G144" s="694">
        <v>648.79999999999995</v>
      </c>
      <c r="H144" s="680"/>
      <c r="I144" s="681"/>
      <c r="J144" s="682">
        <f t="shared" si="52"/>
        <v>648.79999999999995</v>
      </c>
      <c r="K144" s="683"/>
      <c r="L144" s="684"/>
      <c r="M144" s="753">
        <v>0</v>
      </c>
      <c r="N144" s="683">
        <v>0</v>
      </c>
      <c r="O144" s="686"/>
      <c r="P144" s="683">
        <v>0</v>
      </c>
      <c r="Q144" s="687">
        <f t="shared" si="1"/>
        <v>0</v>
      </c>
      <c r="R144" s="764">
        <v>0</v>
      </c>
      <c r="S144" s="693"/>
      <c r="T144" s="690">
        <f t="shared" ref="T144:T207" si="53">IF(R144="","",R144-Q144)</f>
        <v>0</v>
      </c>
      <c r="U144" s="683"/>
      <c r="V144" s="474">
        <f t="shared" si="50"/>
        <v>0</v>
      </c>
      <c r="W144" s="474">
        <f t="shared" si="42"/>
        <v>0</v>
      </c>
      <c r="X144" s="475">
        <f t="shared" si="43"/>
        <v>0</v>
      </c>
      <c r="Y144" s="475">
        <v>0</v>
      </c>
      <c r="Z144" s="476">
        <v>0</v>
      </c>
      <c r="AA144" s="38">
        <f t="shared" si="51"/>
        <v>0</v>
      </c>
      <c r="AB144" s="692">
        <f t="shared" si="44"/>
        <v>648.79999999999995</v>
      </c>
      <c r="AC144" s="692">
        <f t="shared" si="45"/>
        <v>0</v>
      </c>
      <c r="AD144" s="692">
        <f t="shared" si="46"/>
        <v>0</v>
      </c>
      <c r="AE144" s="38"/>
      <c r="AF144" s="692">
        <f t="shared" si="47"/>
        <v>0</v>
      </c>
      <c r="AG144" s="692">
        <f t="shared" si="48"/>
        <v>0</v>
      </c>
      <c r="AH144" s="692">
        <f t="shared" si="49"/>
        <v>0</v>
      </c>
      <c r="AJ144" s="123" t="s">
        <v>481</v>
      </c>
    </row>
    <row r="145" spans="1:36" s="232" customFormat="1">
      <c r="A145" s="283"/>
      <c r="B145" s="283" t="s">
        <v>109</v>
      </c>
      <c r="C145" s="667" t="s">
        <v>555</v>
      </c>
      <c r="D145" s="123" t="s">
        <v>248</v>
      </c>
      <c r="E145" s="679"/>
      <c r="F145" s="529" t="str">
        <f>VLOOKUP(D145,'Q1 2012 DMV-Revenue'!D:T,17,FALSE)</f>
        <v/>
      </c>
      <c r="G145" s="680"/>
      <c r="H145" s="680"/>
      <c r="I145" s="681"/>
      <c r="J145" s="682">
        <f t="shared" si="52"/>
        <v>0</v>
      </c>
      <c r="K145" s="683"/>
      <c r="L145" s="684"/>
      <c r="M145" s="753">
        <v>0</v>
      </c>
      <c r="N145" s="683">
        <v>0</v>
      </c>
      <c r="O145" s="686"/>
      <c r="P145" s="683">
        <v>0</v>
      </c>
      <c r="Q145" s="687">
        <f t="shared" si="1"/>
        <v>0</v>
      </c>
      <c r="R145" s="764">
        <v>0</v>
      </c>
      <c r="S145" s="693"/>
      <c r="T145" s="690">
        <f t="shared" si="53"/>
        <v>0</v>
      </c>
      <c r="U145" s="683"/>
      <c r="V145" s="474">
        <f t="shared" si="50"/>
        <v>0</v>
      </c>
      <c r="W145" s="474">
        <f t="shared" si="42"/>
        <v>0</v>
      </c>
      <c r="X145" s="475">
        <f t="shared" si="43"/>
        <v>0</v>
      </c>
      <c r="Y145" s="475">
        <v>0</v>
      </c>
      <c r="Z145" s="476">
        <v>0</v>
      </c>
      <c r="AA145" s="38">
        <f t="shared" si="51"/>
        <v>0</v>
      </c>
      <c r="AB145" s="692">
        <f t="shared" si="44"/>
        <v>0</v>
      </c>
      <c r="AC145" s="692">
        <f t="shared" si="45"/>
        <v>0</v>
      </c>
      <c r="AD145" s="692">
        <f t="shared" si="46"/>
        <v>0</v>
      </c>
      <c r="AE145" s="38"/>
      <c r="AF145" s="692">
        <f t="shared" si="47"/>
        <v>0</v>
      </c>
      <c r="AG145" s="692">
        <f t="shared" si="48"/>
        <v>0</v>
      </c>
      <c r="AH145" s="692">
        <f t="shared" si="49"/>
        <v>0</v>
      </c>
      <c r="AJ145" s="123" t="s">
        <v>248</v>
      </c>
    </row>
    <row r="146" spans="1:36" s="232" customFormat="1">
      <c r="A146" s="283"/>
      <c r="B146" s="20" t="s">
        <v>109</v>
      </c>
      <c r="C146" s="667"/>
      <c r="D146" s="68" t="s">
        <v>465</v>
      </c>
      <c r="E146" s="679"/>
      <c r="F146" s="529" t="str">
        <f>VLOOKUP(D146,'Q1 2012 DMV-Revenue'!D:T,17,FALSE)</f>
        <v/>
      </c>
      <c r="G146" s="680"/>
      <c r="H146" s="680"/>
      <c r="I146" s="681"/>
      <c r="J146" s="682">
        <f t="shared" si="52"/>
        <v>0</v>
      </c>
      <c r="K146" s="683"/>
      <c r="L146" s="684"/>
      <c r="M146" s="753">
        <v>0</v>
      </c>
      <c r="N146" s="683">
        <v>0</v>
      </c>
      <c r="O146" s="686"/>
      <c r="P146" s="683">
        <v>0</v>
      </c>
      <c r="Q146" s="687">
        <f t="shared" si="1"/>
        <v>0</v>
      </c>
      <c r="R146" s="764">
        <v>0</v>
      </c>
      <c r="S146" s="693"/>
      <c r="T146" s="690">
        <f t="shared" si="53"/>
        <v>0</v>
      </c>
      <c r="U146" s="683"/>
      <c r="V146" s="474">
        <f t="shared" si="50"/>
        <v>0</v>
      </c>
      <c r="W146" s="474">
        <f t="shared" si="42"/>
        <v>0</v>
      </c>
      <c r="X146" s="475">
        <f t="shared" si="43"/>
        <v>0</v>
      </c>
      <c r="Y146" s="475">
        <v>0</v>
      </c>
      <c r="Z146" s="476">
        <v>0</v>
      </c>
      <c r="AA146" s="38">
        <f t="shared" si="51"/>
        <v>0</v>
      </c>
      <c r="AB146" s="692">
        <f t="shared" si="44"/>
        <v>0</v>
      </c>
      <c r="AC146" s="692">
        <f t="shared" si="45"/>
        <v>0</v>
      </c>
      <c r="AD146" s="692">
        <f t="shared" si="46"/>
        <v>0</v>
      </c>
      <c r="AE146" s="38"/>
      <c r="AF146" s="692">
        <f t="shared" si="47"/>
        <v>0</v>
      </c>
      <c r="AG146" s="692">
        <f t="shared" si="48"/>
        <v>0</v>
      </c>
      <c r="AH146" s="692">
        <f t="shared" si="49"/>
        <v>0</v>
      </c>
      <c r="AJ146" s="68" t="s">
        <v>465</v>
      </c>
    </row>
    <row r="147" spans="1:36">
      <c r="A147" s="21"/>
      <c r="B147" s="21" t="s">
        <v>109</v>
      </c>
      <c r="C147" s="666"/>
      <c r="D147" s="68" t="s">
        <v>31</v>
      </c>
      <c r="E147" s="679"/>
      <c r="F147" s="529" t="str">
        <f>VLOOKUP(D147,'Q1 2012 DMV-Revenue'!D:T,17,FALSE)</f>
        <v/>
      </c>
      <c r="G147" s="680"/>
      <c r="H147" s="680"/>
      <c r="I147" s="681"/>
      <c r="J147" s="682">
        <f t="shared" si="52"/>
        <v>0</v>
      </c>
      <c r="K147" s="683"/>
      <c r="L147" s="684"/>
      <c r="M147" s="753">
        <v>0</v>
      </c>
      <c r="N147" s="683">
        <v>0</v>
      </c>
      <c r="O147" s="686"/>
      <c r="P147" s="683">
        <v>0</v>
      </c>
      <c r="Q147" s="687">
        <f t="shared" si="1"/>
        <v>0</v>
      </c>
      <c r="R147" s="764">
        <v>0</v>
      </c>
      <c r="S147" s="693"/>
      <c r="T147" s="690">
        <f t="shared" si="53"/>
        <v>0</v>
      </c>
      <c r="U147" s="683"/>
      <c r="V147" s="474">
        <f t="shared" si="50"/>
        <v>0</v>
      </c>
      <c r="W147" s="474">
        <f t="shared" si="42"/>
        <v>0</v>
      </c>
      <c r="X147" s="475">
        <f t="shared" si="43"/>
        <v>0</v>
      </c>
      <c r="Y147" s="475">
        <v>0</v>
      </c>
      <c r="Z147" s="476">
        <v>0</v>
      </c>
      <c r="AA147" s="38">
        <f t="shared" si="51"/>
        <v>0</v>
      </c>
      <c r="AB147" s="692">
        <f t="shared" si="44"/>
        <v>0</v>
      </c>
      <c r="AC147" s="692">
        <f t="shared" si="45"/>
        <v>0</v>
      </c>
      <c r="AD147" s="692">
        <f t="shared" si="46"/>
        <v>0</v>
      </c>
      <c r="AE147" s="38"/>
      <c r="AF147" s="692">
        <f t="shared" si="47"/>
        <v>0</v>
      </c>
      <c r="AG147" s="692">
        <f t="shared" si="48"/>
        <v>0</v>
      </c>
      <c r="AH147" s="692">
        <f t="shared" si="49"/>
        <v>0</v>
      </c>
      <c r="AJ147" s="68" t="s">
        <v>31</v>
      </c>
    </row>
    <row r="148" spans="1:36">
      <c r="A148" s="21"/>
      <c r="B148" s="21" t="s">
        <v>110</v>
      </c>
      <c r="C148" s="666" t="s">
        <v>556</v>
      </c>
      <c r="D148" s="68" t="s">
        <v>261</v>
      </c>
      <c r="E148" s="679"/>
      <c r="F148" s="529">
        <f>VLOOKUP(D148,'Q1 2012 DMV-Revenue'!D:T,17,FALSE)</f>
        <v>5682.929999999993</v>
      </c>
      <c r="G148" s="680"/>
      <c r="H148" s="680"/>
      <c r="I148" s="681"/>
      <c r="J148" s="682">
        <f t="shared" si="52"/>
        <v>5682.929999999993</v>
      </c>
      <c r="K148" s="683"/>
      <c r="L148" s="684"/>
      <c r="M148" s="753">
        <v>0</v>
      </c>
      <c r="N148" s="683">
        <v>0</v>
      </c>
      <c r="O148" s="686"/>
      <c r="P148" s="683">
        <v>0</v>
      </c>
      <c r="Q148" s="687">
        <f t="shared" si="1"/>
        <v>0</v>
      </c>
      <c r="R148" s="764">
        <v>97609.02</v>
      </c>
      <c r="S148" s="693"/>
      <c r="T148" s="690">
        <f t="shared" si="53"/>
        <v>97609.02</v>
      </c>
      <c r="U148" s="683"/>
      <c r="V148" s="474">
        <f t="shared" si="50"/>
        <v>0</v>
      </c>
      <c r="W148" s="474">
        <f t="shared" si="42"/>
        <v>0</v>
      </c>
      <c r="X148" s="475">
        <f t="shared" si="43"/>
        <v>0</v>
      </c>
      <c r="Y148" s="475">
        <v>0</v>
      </c>
      <c r="Z148" s="476">
        <v>0</v>
      </c>
      <c r="AA148" s="38">
        <f t="shared" si="51"/>
        <v>0</v>
      </c>
      <c r="AB148" s="692">
        <f t="shared" si="44"/>
        <v>5682.929999999993</v>
      </c>
      <c r="AC148" s="692">
        <f t="shared" si="45"/>
        <v>0</v>
      </c>
      <c r="AD148" s="692">
        <f t="shared" si="46"/>
        <v>0</v>
      </c>
      <c r="AE148" s="38"/>
      <c r="AF148" s="692">
        <f t="shared" si="47"/>
        <v>0</v>
      </c>
      <c r="AG148" s="692">
        <f t="shared" si="48"/>
        <v>0</v>
      </c>
      <c r="AH148" s="692">
        <f t="shared" si="49"/>
        <v>0</v>
      </c>
      <c r="AJ148" s="68" t="s">
        <v>261</v>
      </c>
    </row>
    <row r="149" spans="1:36" s="269" customFormat="1">
      <c r="A149" s="21"/>
      <c r="B149" s="21" t="s">
        <v>110</v>
      </c>
      <c r="C149" s="666" t="s">
        <v>556</v>
      </c>
      <c r="D149" s="68" t="s">
        <v>262</v>
      </c>
      <c r="E149" s="679"/>
      <c r="F149" s="529">
        <f>VLOOKUP(D149,'Q1 2012 DMV-Revenue'!D:T,17,FALSE)</f>
        <v>2311.66</v>
      </c>
      <c r="G149" s="680"/>
      <c r="H149" s="680"/>
      <c r="I149" s="681"/>
      <c r="J149" s="682">
        <f t="shared" si="52"/>
        <v>2311.66</v>
      </c>
      <c r="K149" s="683"/>
      <c r="L149" s="684"/>
      <c r="M149" s="753">
        <v>0</v>
      </c>
      <c r="N149" s="683">
        <v>0</v>
      </c>
      <c r="O149" s="686"/>
      <c r="P149" s="683">
        <v>0</v>
      </c>
      <c r="Q149" s="687">
        <f t="shared" si="1"/>
        <v>0</v>
      </c>
      <c r="R149" s="764">
        <v>0</v>
      </c>
      <c r="S149" s="693"/>
      <c r="T149" s="690">
        <f t="shared" si="53"/>
        <v>0</v>
      </c>
      <c r="U149" s="683"/>
      <c r="V149" s="474">
        <f t="shared" si="50"/>
        <v>0</v>
      </c>
      <c r="W149" s="474">
        <f t="shared" si="42"/>
        <v>0</v>
      </c>
      <c r="X149" s="475">
        <f t="shared" si="43"/>
        <v>0</v>
      </c>
      <c r="Y149" s="475">
        <v>0</v>
      </c>
      <c r="Z149" s="476">
        <v>0</v>
      </c>
      <c r="AA149" s="38">
        <f t="shared" si="51"/>
        <v>0</v>
      </c>
      <c r="AB149" s="692">
        <f t="shared" si="44"/>
        <v>2311.66</v>
      </c>
      <c r="AC149" s="692">
        <f t="shared" si="45"/>
        <v>0</v>
      </c>
      <c r="AD149" s="692">
        <f t="shared" si="46"/>
        <v>0</v>
      </c>
      <c r="AE149" s="38"/>
      <c r="AF149" s="692">
        <f t="shared" si="47"/>
        <v>0</v>
      </c>
      <c r="AG149" s="692">
        <f t="shared" si="48"/>
        <v>0</v>
      </c>
      <c r="AH149" s="692">
        <f t="shared" si="49"/>
        <v>0</v>
      </c>
      <c r="AJ149" s="68" t="s">
        <v>262</v>
      </c>
    </row>
    <row r="150" spans="1:36" s="269" customFormat="1">
      <c r="A150" s="21"/>
      <c r="B150" s="21" t="s">
        <v>114</v>
      </c>
      <c r="C150" s="675" t="s">
        <v>619</v>
      </c>
      <c r="D150" s="68" t="s">
        <v>626</v>
      </c>
      <c r="E150" s="679"/>
      <c r="F150" s="529" t="str">
        <f>VLOOKUP(D150,'Q1 2012 DMV-Revenue'!D:T,17,FALSE)</f>
        <v/>
      </c>
      <c r="G150" s="694">
        <v>6624.14</v>
      </c>
      <c r="H150" s="680"/>
      <c r="I150" s="681"/>
      <c r="J150" s="682">
        <f t="shared" ref="J150" si="54">SUM(E150:I150)</f>
        <v>6624.14</v>
      </c>
      <c r="K150" s="683"/>
      <c r="L150" s="684"/>
      <c r="M150" s="753">
        <v>0</v>
      </c>
      <c r="N150" s="683">
        <v>0</v>
      </c>
      <c r="O150" s="686"/>
      <c r="P150" s="683">
        <v>0</v>
      </c>
      <c r="Q150" s="687">
        <f t="shared" ref="Q150:Q206" si="55">L150+M150</f>
        <v>0</v>
      </c>
      <c r="R150" s="764">
        <v>0</v>
      </c>
      <c r="S150" s="693"/>
      <c r="T150" s="690">
        <f t="shared" si="53"/>
        <v>0</v>
      </c>
      <c r="U150" s="683"/>
      <c r="V150" s="474">
        <f t="shared" si="50"/>
        <v>0</v>
      </c>
      <c r="W150" s="474">
        <f t="shared" si="42"/>
        <v>0</v>
      </c>
      <c r="X150" s="475">
        <f t="shared" si="43"/>
        <v>0</v>
      </c>
      <c r="Y150" s="475">
        <v>0</v>
      </c>
      <c r="Z150" s="476">
        <v>0</v>
      </c>
      <c r="AA150" s="38">
        <f t="shared" si="51"/>
        <v>0</v>
      </c>
      <c r="AB150" s="692">
        <f t="shared" si="44"/>
        <v>0</v>
      </c>
      <c r="AC150" s="692">
        <f t="shared" si="45"/>
        <v>0</v>
      </c>
      <c r="AD150" s="692">
        <f t="shared" si="46"/>
        <v>6624.14</v>
      </c>
      <c r="AE150" s="38"/>
      <c r="AF150" s="692">
        <f t="shared" si="47"/>
        <v>0</v>
      </c>
      <c r="AG150" s="692">
        <f t="shared" si="48"/>
        <v>0</v>
      </c>
      <c r="AH150" s="692">
        <f t="shared" si="49"/>
        <v>0</v>
      </c>
      <c r="AJ150" s="68" t="s">
        <v>626</v>
      </c>
    </row>
    <row r="151" spans="1:36">
      <c r="A151" s="21"/>
      <c r="B151" s="21" t="s">
        <v>109</v>
      </c>
      <c r="C151" s="666"/>
      <c r="D151" s="68" t="s">
        <v>190</v>
      </c>
      <c r="E151" s="679"/>
      <c r="F151" s="529" t="str">
        <f>VLOOKUP(D151,'Q1 2012 DMV-Revenue'!D:T,17,FALSE)</f>
        <v/>
      </c>
      <c r="G151" s="680"/>
      <c r="H151" s="680"/>
      <c r="I151" s="681"/>
      <c r="J151" s="682">
        <f t="shared" si="52"/>
        <v>0</v>
      </c>
      <c r="K151" s="683"/>
      <c r="L151" s="684"/>
      <c r="M151" s="753">
        <v>0</v>
      </c>
      <c r="N151" s="683">
        <v>0</v>
      </c>
      <c r="O151" s="686"/>
      <c r="P151" s="683">
        <v>0</v>
      </c>
      <c r="Q151" s="687">
        <f t="shared" si="55"/>
        <v>0</v>
      </c>
      <c r="R151" s="764">
        <v>0</v>
      </c>
      <c r="S151" s="693"/>
      <c r="T151" s="690">
        <f t="shared" si="53"/>
        <v>0</v>
      </c>
      <c r="U151" s="683"/>
      <c r="V151" s="474">
        <f t="shared" si="50"/>
        <v>0</v>
      </c>
      <c r="W151" s="474">
        <f t="shared" si="42"/>
        <v>0</v>
      </c>
      <c r="X151" s="475">
        <f t="shared" si="43"/>
        <v>0</v>
      </c>
      <c r="Y151" s="475">
        <v>0</v>
      </c>
      <c r="Z151" s="476">
        <v>0</v>
      </c>
      <c r="AA151" s="38">
        <f t="shared" si="51"/>
        <v>0</v>
      </c>
      <c r="AB151" s="692">
        <f t="shared" si="44"/>
        <v>0</v>
      </c>
      <c r="AC151" s="692">
        <f t="shared" si="45"/>
        <v>0</v>
      </c>
      <c r="AD151" s="692">
        <f t="shared" si="46"/>
        <v>0</v>
      </c>
      <c r="AE151" s="38"/>
      <c r="AF151" s="692">
        <f t="shared" si="47"/>
        <v>0</v>
      </c>
      <c r="AG151" s="692">
        <f t="shared" si="48"/>
        <v>0</v>
      </c>
      <c r="AH151" s="692">
        <f t="shared" si="49"/>
        <v>0</v>
      </c>
      <c r="AJ151" s="68" t="s">
        <v>190</v>
      </c>
    </row>
    <row r="152" spans="1:36">
      <c r="A152" s="21"/>
      <c r="B152" s="21" t="s">
        <v>109</v>
      </c>
      <c r="C152" s="666"/>
      <c r="D152" s="68" t="s">
        <v>231</v>
      </c>
      <c r="E152" s="679"/>
      <c r="F152" s="529" t="str">
        <f>VLOOKUP(D152,'Q1 2012 DMV-Revenue'!D:T,17,FALSE)</f>
        <v/>
      </c>
      <c r="G152" s="680"/>
      <c r="H152" s="680"/>
      <c r="I152" s="681"/>
      <c r="J152" s="682">
        <f t="shared" si="52"/>
        <v>0</v>
      </c>
      <c r="K152" s="683"/>
      <c r="L152" s="684"/>
      <c r="M152" s="753">
        <v>0</v>
      </c>
      <c r="N152" s="683">
        <v>0</v>
      </c>
      <c r="O152" s="686"/>
      <c r="P152" s="683">
        <v>0</v>
      </c>
      <c r="Q152" s="687">
        <f t="shared" si="55"/>
        <v>0</v>
      </c>
      <c r="R152" s="764">
        <v>0</v>
      </c>
      <c r="S152" s="693"/>
      <c r="T152" s="690">
        <f t="shared" si="53"/>
        <v>0</v>
      </c>
      <c r="U152" s="683"/>
      <c r="V152" s="474">
        <f t="shared" si="50"/>
        <v>0</v>
      </c>
      <c r="W152" s="474">
        <f t="shared" si="42"/>
        <v>0</v>
      </c>
      <c r="X152" s="475">
        <f t="shared" si="43"/>
        <v>0</v>
      </c>
      <c r="Y152" s="475">
        <v>0</v>
      </c>
      <c r="Z152" s="476">
        <v>0</v>
      </c>
      <c r="AA152" s="38">
        <f t="shared" si="51"/>
        <v>0</v>
      </c>
      <c r="AB152" s="692">
        <f t="shared" si="44"/>
        <v>0</v>
      </c>
      <c r="AC152" s="692">
        <f t="shared" si="45"/>
        <v>0</v>
      </c>
      <c r="AD152" s="692">
        <f t="shared" si="46"/>
        <v>0</v>
      </c>
      <c r="AE152" s="38"/>
      <c r="AF152" s="692">
        <f t="shared" si="47"/>
        <v>0</v>
      </c>
      <c r="AG152" s="692">
        <f t="shared" si="48"/>
        <v>0</v>
      </c>
      <c r="AH152" s="692">
        <f t="shared" si="49"/>
        <v>0</v>
      </c>
      <c r="AJ152" s="68" t="s">
        <v>231</v>
      </c>
    </row>
    <row r="153" spans="1:36">
      <c r="A153" s="21"/>
      <c r="B153" s="21" t="s">
        <v>109</v>
      </c>
      <c r="C153" s="666"/>
      <c r="D153" s="68" t="s">
        <v>396</v>
      </c>
      <c r="E153" s="679"/>
      <c r="F153" s="529" t="str">
        <f>VLOOKUP(D153,'Q1 2012 DMV-Revenue'!D:T,17,FALSE)</f>
        <v/>
      </c>
      <c r="G153" s="680"/>
      <c r="H153" s="680"/>
      <c r="I153" s="681"/>
      <c r="J153" s="682">
        <f t="shared" si="52"/>
        <v>0</v>
      </c>
      <c r="K153" s="683"/>
      <c r="L153" s="684"/>
      <c r="M153" s="753">
        <v>0</v>
      </c>
      <c r="N153" s="683">
        <v>0</v>
      </c>
      <c r="O153" s="686"/>
      <c r="P153" s="683">
        <v>0</v>
      </c>
      <c r="Q153" s="687">
        <f t="shared" si="55"/>
        <v>0</v>
      </c>
      <c r="R153" s="764">
        <v>0</v>
      </c>
      <c r="S153" s="693"/>
      <c r="T153" s="690">
        <f t="shared" si="53"/>
        <v>0</v>
      </c>
      <c r="U153" s="683"/>
      <c r="V153" s="474">
        <f t="shared" si="50"/>
        <v>0</v>
      </c>
      <c r="W153" s="474">
        <f t="shared" si="42"/>
        <v>0</v>
      </c>
      <c r="X153" s="475">
        <f t="shared" si="43"/>
        <v>0</v>
      </c>
      <c r="Y153" s="475">
        <v>0</v>
      </c>
      <c r="Z153" s="476">
        <v>0</v>
      </c>
      <c r="AA153" s="38">
        <f t="shared" si="51"/>
        <v>0</v>
      </c>
      <c r="AB153" s="692">
        <f t="shared" si="44"/>
        <v>0</v>
      </c>
      <c r="AC153" s="692">
        <f t="shared" si="45"/>
        <v>0</v>
      </c>
      <c r="AD153" s="692">
        <f t="shared" si="46"/>
        <v>0</v>
      </c>
      <c r="AE153" s="38"/>
      <c r="AF153" s="692">
        <f t="shared" si="47"/>
        <v>0</v>
      </c>
      <c r="AG153" s="692">
        <f t="shared" si="48"/>
        <v>0</v>
      </c>
      <c r="AH153" s="692">
        <f t="shared" si="49"/>
        <v>0</v>
      </c>
      <c r="AJ153" s="68" t="s">
        <v>396</v>
      </c>
    </row>
    <row r="154" spans="1:36">
      <c r="A154" s="20"/>
      <c r="B154" s="20" t="s">
        <v>109</v>
      </c>
      <c r="C154" s="667" t="s">
        <v>557</v>
      </c>
      <c r="D154" s="68" t="s">
        <v>32</v>
      </c>
      <c r="E154" s="679"/>
      <c r="F154" s="529" t="str">
        <f>VLOOKUP(D154,'Q1 2012 DMV-Revenue'!D:T,17,FALSE)</f>
        <v/>
      </c>
      <c r="G154" s="680"/>
      <c r="H154" s="680"/>
      <c r="I154" s="681"/>
      <c r="J154" s="682">
        <f t="shared" si="52"/>
        <v>0</v>
      </c>
      <c r="K154" s="683"/>
      <c r="L154" s="684"/>
      <c r="M154" s="753">
        <v>0</v>
      </c>
      <c r="N154" s="683">
        <v>0</v>
      </c>
      <c r="O154" s="686"/>
      <c r="P154" s="683">
        <v>0</v>
      </c>
      <c r="Q154" s="687">
        <f t="shared" si="55"/>
        <v>0</v>
      </c>
      <c r="R154" s="764">
        <v>0</v>
      </c>
      <c r="S154" s="693"/>
      <c r="T154" s="690">
        <f t="shared" si="53"/>
        <v>0</v>
      </c>
      <c r="U154" s="683"/>
      <c r="V154" s="474">
        <f t="shared" si="50"/>
        <v>0</v>
      </c>
      <c r="W154" s="474">
        <f t="shared" si="42"/>
        <v>0</v>
      </c>
      <c r="X154" s="475">
        <f t="shared" si="43"/>
        <v>0</v>
      </c>
      <c r="Y154" s="475">
        <v>0</v>
      </c>
      <c r="Z154" s="476">
        <v>0</v>
      </c>
      <c r="AA154" s="38">
        <f t="shared" si="51"/>
        <v>0</v>
      </c>
      <c r="AB154" s="692">
        <f t="shared" si="44"/>
        <v>0</v>
      </c>
      <c r="AC154" s="692">
        <f t="shared" si="45"/>
        <v>0</v>
      </c>
      <c r="AD154" s="692">
        <f t="shared" si="46"/>
        <v>0</v>
      </c>
      <c r="AE154" s="38"/>
      <c r="AF154" s="692">
        <f t="shared" si="47"/>
        <v>0</v>
      </c>
      <c r="AG154" s="692">
        <f t="shared" si="48"/>
        <v>0</v>
      </c>
      <c r="AH154" s="692">
        <f t="shared" si="49"/>
        <v>0</v>
      </c>
      <c r="AJ154" s="68" t="s">
        <v>32</v>
      </c>
    </row>
    <row r="155" spans="1:36">
      <c r="A155" s="21"/>
      <c r="B155" s="21" t="s">
        <v>110</v>
      </c>
      <c r="C155" s="666"/>
      <c r="D155" s="68" t="s">
        <v>448</v>
      </c>
      <c r="E155" s="679"/>
      <c r="F155" s="529" t="str">
        <f>VLOOKUP(D155,'Q1 2012 DMV-Revenue'!D:T,17,FALSE)</f>
        <v/>
      </c>
      <c r="G155" s="680"/>
      <c r="H155" s="680"/>
      <c r="I155" s="681"/>
      <c r="J155" s="682">
        <f t="shared" si="52"/>
        <v>0</v>
      </c>
      <c r="K155" s="683"/>
      <c r="L155" s="684"/>
      <c r="M155" s="753">
        <v>0</v>
      </c>
      <c r="N155" s="683">
        <v>0</v>
      </c>
      <c r="O155" s="686"/>
      <c r="P155" s="683">
        <v>0</v>
      </c>
      <c r="Q155" s="687">
        <f t="shared" si="55"/>
        <v>0</v>
      </c>
      <c r="R155" s="764">
        <v>0</v>
      </c>
      <c r="S155" s="693"/>
      <c r="T155" s="690">
        <f t="shared" si="53"/>
        <v>0</v>
      </c>
      <c r="U155" s="683"/>
      <c r="V155" s="474">
        <f t="shared" si="50"/>
        <v>0</v>
      </c>
      <c r="W155" s="474">
        <f t="shared" si="42"/>
        <v>0</v>
      </c>
      <c r="X155" s="475">
        <f t="shared" si="43"/>
        <v>0</v>
      </c>
      <c r="Y155" s="475">
        <v>0</v>
      </c>
      <c r="Z155" s="476">
        <v>0</v>
      </c>
      <c r="AA155" s="38">
        <f t="shared" si="51"/>
        <v>0</v>
      </c>
      <c r="AB155" s="692">
        <f t="shared" si="44"/>
        <v>0</v>
      </c>
      <c r="AC155" s="692">
        <f t="shared" si="45"/>
        <v>0</v>
      </c>
      <c r="AD155" s="692">
        <f t="shared" si="46"/>
        <v>0</v>
      </c>
      <c r="AE155" s="38"/>
      <c r="AF155" s="692">
        <f t="shared" si="47"/>
        <v>0</v>
      </c>
      <c r="AG155" s="692">
        <f t="shared" si="48"/>
        <v>0</v>
      </c>
      <c r="AH155" s="692">
        <f t="shared" si="49"/>
        <v>0</v>
      </c>
      <c r="AJ155" s="68" t="s">
        <v>448</v>
      </c>
    </row>
    <row r="156" spans="1:36">
      <c r="A156" s="21"/>
      <c r="B156" s="21" t="s">
        <v>110</v>
      </c>
      <c r="C156" s="666" t="s">
        <v>558</v>
      </c>
      <c r="D156" s="68" t="s">
        <v>122</v>
      </c>
      <c r="E156" s="679"/>
      <c r="F156" s="529">
        <f>VLOOKUP(D156,'Q1 2012 DMV-Revenue'!D:T,17,FALSE)</f>
        <v>-15000</v>
      </c>
      <c r="G156" s="680"/>
      <c r="H156" s="680"/>
      <c r="I156" s="681"/>
      <c r="J156" s="682">
        <f t="shared" si="52"/>
        <v>-15000</v>
      </c>
      <c r="K156" s="683"/>
      <c r="L156" s="684"/>
      <c r="M156" s="753">
        <v>20000</v>
      </c>
      <c r="N156" s="683">
        <v>0</v>
      </c>
      <c r="O156" s="686"/>
      <c r="P156" s="683">
        <v>0</v>
      </c>
      <c r="Q156" s="687">
        <f t="shared" si="55"/>
        <v>20000</v>
      </c>
      <c r="R156" s="764">
        <v>0</v>
      </c>
      <c r="S156" s="693"/>
      <c r="T156" s="690">
        <f t="shared" si="53"/>
        <v>-20000</v>
      </c>
      <c r="U156" s="683"/>
      <c r="V156" s="474">
        <f t="shared" si="50"/>
        <v>20000</v>
      </c>
      <c r="W156" s="474">
        <f t="shared" si="42"/>
        <v>0</v>
      </c>
      <c r="X156" s="475">
        <f t="shared" si="43"/>
        <v>0</v>
      </c>
      <c r="Y156" s="475">
        <v>0</v>
      </c>
      <c r="Z156" s="476">
        <v>0</v>
      </c>
      <c r="AA156" s="38">
        <f t="shared" si="51"/>
        <v>0</v>
      </c>
      <c r="AB156" s="692">
        <f t="shared" si="44"/>
        <v>-15000</v>
      </c>
      <c r="AC156" s="692">
        <f t="shared" si="45"/>
        <v>0</v>
      </c>
      <c r="AD156" s="692">
        <f t="shared" si="46"/>
        <v>0</v>
      </c>
      <c r="AE156" s="38"/>
      <c r="AF156" s="692">
        <f t="shared" si="47"/>
        <v>20000</v>
      </c>
      <c r="AG156" s="692">
        <f t="shared" si="48"/>
        <v>0</v>
      </c>
      <c r="AH156" s="692">
        <f t="shared" si="49"/>
        <v>0</v>
      </c>
      <c r="AJ156" s="68" t="s">
        <v>122</v>
      </c>
    </row>
    <row r="157" spans="1:36">
      <c r="A157" s="21"/>
      <c r="B157" s="21" t="s">
        <v>114</v>
      </c>
      <c r="C157" s="666" t="s">
        <v>558</v>
      </c>
      <c r="D157" s="68" t="s">
        <v>629</v>
      </c>
      <c r="E157" s="679"/>
      <c r="F157" s="529" t="str">
        <f>VLOOKUP(D157,'Q1 2012 DMV-Revenue'!D:T,17,FALSE)</f>
        <v/>
      </c>
      <c r="G157" s="680"/>
      <c r="H157" s="680"/>
      <c r="I157" s="681"/>
      <c r="J157" s="682">
        <f t="shared" ref="J157" si="56">SUM(E157:I157)</f>
        <v>0</v>
      </c>
      <c r="K157" s="683"/>
      <c r="L157" s="684"/>
      <c r="M157" s="753">
        <v>0</v>
      </c>
      <c r="N157" s="683">
        <v>0</v>
      </c>
      <c r="O157" s="686"/>
      <c r="P157" s="683">
        <v>0</v>
      </c>
      <c r="Q157" s="687">
        <f t="shared" si="55"/>
        <v>0</v>
      </c>
      <c r="R157" s="764">
        <v>0</v>
      </c>
      <c r="S157" s="693"/>
      <c r="T157" s="690">
        <f t="shared" si="53"/>
        <v>0</v>
      </c>
      <c r="U157" s="683"/>
      <c r="V157" s="474">
        <f t="shared" si="50"/>
        <v>0</v>
      </c>
      <c r="W157" s="474">
        <f t="shared" si="42"/>
        <v>0</v>
      </c>
      <c r="X157" s="475">
        <f t="shared" si="43"/>
        <v>0</v>
      </c>
      <c r="Y157" s="475">
        <v>0</v>
      </c>
      <c r="Z157" s="476">
        <v>0</v>
      </c>
      <c r="AA157" s="38">
        <f t="shared" si="51"/>
        <v>0</v>
      </c>
      <c r="AB157" s="692">
        <f t="shared" si="44"/>
        <v>0</v>
      </c>
      <c r="AC157" s="692">
        <f t="shared" si="45"/>
        <v>0</v>
      </c>
      <c r="AD157" s="692">
        <f t="shared" si="46"/>
        <v>0</v>
      </c>
      <c r="AE157" s="38"/>
      <c r="AF157" s="692">
        <f t="shared" si="47"/>
        <v>0</v>
      </c>
      <c r="AG157" s="692">
        <f t="shared" si="48"/>
        <v>0</v>
      </c>
      <c r="AH157" s="692">
        <f t="shared" si="49"/>
        <v>0</v>
      </c>
      <c r="AJ157" s="68" t="s">
        <v>629</v>
      </c>
    </row>
    <row r="158" spans="1:36">
      <c r="A158" s="21"/>
      <c r="B158" s="21" t="s">
        <v>109</v>
      </c>
      <c r="C158" s="666" t="s">
        <v>559</v>
      </c>
      <c r="D158" s="68" t="s">
        <v>33</v>
      </c>
      <c r="E158" s="679"/>
      <c r="F158" s="529">
        <f>VLOOKUP(D158,'Q1 2012 DMV-Revenue'!D:T,17,FALSE)</f>
        <v>-15000</v>
      </c>
      <c r="G158" s="680"/>
      <c r="H158" s="680"/>
      <c r="I158" s="681"/>
      <c r="J158" s="682">
        <f t="shared" si="52"/>
        <v>-15000</v>
      </c>
      <c r="K158" s="683"/>
      <c r="L158" s="684"/>
      <c r="M158" s="753">
        <v>20000</v>
      </c>
      <c r="N158" s="683">
        <v>0</v>
      </c>
      <c r="O158" s="686"/>
      <c r="P158" s="683">
        <v>0</v>
      </c>
      <c r="Q158" s="687">
        <f t="shared" si="55"/>
        <v>20000</v>
      </c>
      <c r="R158" s="764">
        <v>4204</v>
      </c>
      <c r="S158" s="693"/>
      <c r="T158" s="690">
        <f t="shared" si="53"/>
        <v>-15796</v>
      </c>
      <c r="U158" s="683"/>
      <c r="V158" s="474">
        <f t="shared" si="50"/>
        <v>0</v>
      </c>
      <c r="W158" s="474">
        <f t="shared" si="42"/>
        <v>20000</v>
      </c>
      <c r="X158" s="475">
        <f t="shared" si="43"/>
        <v>0</v>
      </c>
      <c r="Y158" s="475">
        <v>0</v>
      </c>
      <c r="Z158" s="476">
        <v>0</v>
      </c>
      <c r="AA158" s="38">
        <f t="shared" si="51"/>
        <v>0</v>
      </c>
      <c r="AB158" s="692">
        <f t="shared" si="44"/>
        <v>0</v>
      </c>
      <c r="AC158" s="692">
        <f t="shared" si="45"/>
        <v>-15000</v>
      </c>
      <c r="AD158" s="692">
        <f t="shared" si="46"/>
        <v>0</v>
      </c>
      <c r="AE158" s="38"/>
      <c r="AF158" s="692">
        <f t="shared" si="47"/>
        <v>0</v>
      </c>
      <c r="AG158" s="692">
        <f t="shared" si="48"/>
        <v>20000</v>
      </c>
      <c r="AH158" s="692">
        <f t="shared" si="49"/>
        <v>0</v>
      </c>
      <c r="AJ158" s="68" t="s">
        <v>33</v>
      </c>
    </row>
    <row r="159" spans="1:36">
      <c r="A159" s="21"/>
      <c r="B159" s="21" t="s">
        <v>109</v>
      </c>
      <c r="C159" s="666" t="s">
        <v>560</v>
      </c>
      <c r="D159" s="68" t="s">
        <v>379</v>
      </c>
      <c r="E159" s="679"/>
      <c r="F159" s="529">
        <f>VLOOKUP(D159,'Q1 2012 DMV-Revenue'!D:T,17,FALSE)</f>
        <v>367.25</v>
      </c>
      <c r="G159" s="680"/>
      <c r="H159" s="680"/>
      <c r="I159" s="681"/>
      <c r="J159" s="682">
        <f t="shared" si="52"/>
        <v>367.25</v>
      </c>
      <c r="K159" s="683"/>
      <c r="L159" s="684"/>
      <c r="M159" s="753">
        <v>0</v>
      </c>
      <c r="N159" s="683">
        <v>0</v>
      </c>
      <c r="O159" s="686"/>
      <c r="P159" s="683">
        <v>0</v>
      </c>
      <c r="Q159" s="687">
        <f t="shared" si="55"/>
        <v>0</v>
      </c>
      <c r="R159" s="764">
        <v>163.55000000000001</v>
      </c>
      <c r="S159" s="693"/>
      <c r="T159" s="690">
        <f t="shared" si="53"/>
        <v>163.55000000000001</v>
      </c>
      <c r="U159" s="683"/>
      <c r="V159" s="474">
        <f t="shared" si="50"/>
        <v>0</v>
      </c>
      <c r="W159" s="474">
        <f t="shared" si="42"/>
        <v>0</v>
      </c>
      <c r="X159" s="475">
        <f t="shared" si="43"/>
        <v>0</v>
      </c>
      <c r="Y159" s="475">
        <v>0</v>
      </c>
      <c r="Z159" s="476">
        <v>0</v>
      </c>
      <c r="AA159" s="38">
        <f t="shared" si="51"/>
        <v>0</v>
      </c>
      <c r="AB159" s="692">
        <f t="shared" si="44"/>
        <v>0</v>
      </c>
      <c r="AC159" s="692">
        <f t="shared" si="45"/>
        <v>367.25</v>
      </c>
      <c r="AD159" s="692">
        <f t="shared" si="46"/>
        <v>0</v>
      </c>
      <c r="AE159" s="38"/>
      <c r="AF159" s="692">
        <f t="shared" si="47"/>
        <v>0</v>
      </c>
      <c r="AG159" s="692">
        <f t="shared" si="48"/>
        <v>0</v>
      </c>
      <c r="AH159" s="692">
        <f t="shared" si="49"/>
        <v>0</v>
      </c>
      <c r="AJ159" s="68" t="s">
        <v>379</v>
      </c>
    </row>
    <row r="160" spans="1:36" s="232" customFormat="1">
      <c r="A160" s="283"/>
      <c r="B160" s="283" t="s">
        <v>110</v>
      </c>
      <c r="C160" s="667" t="s">
        <v>561</v>
      </c>
      <c r="D160" s="455" t="s">
        <v>322</v>
      </c>
      <c r="E160" s="679"/>
      <c r="F160" s="529" t="str">
        <f>VLOOKUP(D160,'Q1 2012 DMV-Revenue'!D:T,17,FALSE)</f>
        <v/>
      </c>
      <c r="G160" s="680"/>
      <c r="H160" s="680"/>
      <c r="I160" s="681"/>
      <c r="J160" s="682">
        <f t="shared" si="52"/>
        <v>0</v>
      </c>
      <c r="K160" s="683"/>
      <c r="L160" s="684"/>
      <c r="M160" s="753">
        <v>15000</v>
      </c>
      <c r="N160" s="683">
        <v>0</v>
      </c>
      <c r="O160" s="686"/>
      <c r="P160" s="683">
        <v>0</v>
      </c>
      <c r="Q160" s="687">
        <f t="shared" si="55"/>
        <v>15000</v>
      </c>
      <c r="R160" s="764">
        <v>0</v>
      </c>
      <c r="S160" s="693"/>
      <c r="T160" s="690">
        <f t="shared" si="53"/>
        <v>-15000</v>
      </c>
      <c r="U160" s="683"/>
      <c r="V160" s="474">
        <f t="shared" si="50"/>
        <v>15000</v>
      </c>
      <c r="W160" s="474">
        <f t="shared" si="42"/>
        <v>0</v>
      </c>
      <c r="X160" s="475">
        <f t="shared" si="43"/>
        <v>0</v>
      </c>
      <c r="Y160" s="475">
        <v>0</v>
      </c>
      <c r="Z160" s="476">
        <v>0</v>
      </c>
      <c r="AA160" s="38">
        <f t="shared" si="51"/>
        <v>0</v>
      </c>
      <c r="AB160" s="692">
        <f t="shared" si="44"/>
        <v>0</v>
      </c>
      <c r="AC160" s="692">
        <f t="shared" si="45"/>
        <v>0</v>
      </c>
      <c r="AD160" s="692">
        <f t="shared" si="46"/>
        <v>0</v>
      </c>
      <c r="AE160" s="38"/>
      <c r="AF160" s="692">
        <f t="shared" si="47"/>
        <v>15000</v>
      </c>
      <c r="AG160" s="692">
        <f t="shared" si="48"/>
        <v>0</v>
      </c>
      <c r="AH160" s="692">
        <f t="shared" si="49"/>
        <v>0</v>
      </c>
      <c r="AJ160" s="455" t="s">
        <v>322</v>
      </c>
    </row>
    <row r="161" spans="1:36" s="232" customFormat="1">
      <c r="A161" s="283"/>
      <c r="B161" s="283" t="s">
        <v>110</v>
      </c>
      <c r="C161" s="667" t="s">
        <v>561</v>
      </c>
      <c r="D161" s="455" t="s">
        <v>323</v>
      </c>
      <c r="E161" s="679"/>
      <c r="F161" s="529" t="str">
        <f>VLOOKUP(D161,'Q1 2012 DMV-Revenue'!D:T,17,FALSE)</f>
        <v/>
      </c>
      <c r="G161" s="680"/>
      <c r="H161" s="680"/>
      <c r="I161" s="681"/>
      <c r="J161" s="682">
        <f t="shared" si="52"/>
        <v>0</v>
      </c>
      <c r="K161" s="683"/>
      <c r="L161" s="684"/>
      <c r="M161" s="753">
        <v>0</v>
      </c>
      <c r="N161" s="683">
        <v>0</v>
      </c>
      <c r="O161" s="686"/>
      <c r="P161" s="683">
        <v>0</v>
      </c>
      <c r="Q161" s="687">
        <f t="shared" si="55"/>
        <v>0</v>
      </c>
      <c r="R161" s="764">
        <v>0</v>
      </c>
      <c r="S161" s="693"/>
      <c r="T161" s="690">
        <f t="shared" si="53"/>
        <v>0</v>
      </c>
      <c r="U161" s="683"/>
      <c r="V161" s="474">
        <f t="shared" si="50"/>
        <v>0</v>
      </c>
      <c r="W161" s="474">
        <f t="shared" si="42"/>
        <v>0</v>
      </c>
      <c r="X161" s="475">
        <f t="shared" si="43"/>
        <v>0</v>
      </c>
      <c r="Y161" s="475">
        <v>0</v>
      </c>
      <c r="Z161" s="476">
        <v>0</v>
      </c>
      <c r="AA161" s="38">
        <f t="shared" si="51"/>
        <v>0</v>
      </c>
      <c r="AB161" s="692">
        <f t="shared" si="44"/>
        <v>0</v>
      </c>
      <c r="AC161" s="692">
        <f t="shared" si="45"/>
        <v>0</v>
      </c>
      <c r="AD161" s="692">
        <f t="shared" si="46"/>
        <v>0</v>
      </c>
      <c r="AE161" s="38"/>
      <c r="AF161" s="692">
        <f t="shared" si="47"/>
        <v>0</v>
      </c>
      <c r="AG161" s="692">
        <f t="shared" si="48"/>
        <v>0</v>
      </c>
      <c r="AH161" s="692">
        <f t="shared" si="49"/>
        <v>0</v>
      </c>
      <c r="AJ161" s="455" t="s">
        <v>323</v>
      </c>
    </row>
    <row r="162" spans="1:36" s="232" customFormat="1">
      <c r="A162" s="283"/>
      <c r="B162" s="283" t="s">
        <v>109</v>
      </c>
      <c r="C162" s="667" t="s">
        <v>561</v>
      </c>
      <c r="D162" s="455" t="s">
        <v>423</v>
      </c>
      <c r="E162" s="679"/>
      <c r="F162" s="529" t="str">
        <f>VLOOKUP(D162,'Q1 2012 DMV-Revenue'!D:T,17,FALSE)</f>
        <v/>
      </c>
      <c r="G162" s="680"/>
      <c r="H162" s="680"/>
      <c r="I162" s="681"/>
      <c r="J162" s="682">
        <f t="shared" si="52"/>
        <v>0</v>
      </c>
      <c r="K162" s="683"/>
      <c r="L162" s="684"/>
      <c r="M162" s="753">
        <v>0</v>
      </c>
      <c r="N162" s="683">
        <v>0</v>
      </c>
      <c r="O162" s="686"/>
      <c r="P162" s="683">
        <v>0</v>
      </c>
      <c r="Q162" s="687">
        <f t="shared" si="55"/>
        <v>0</v>
      </c>
      <c r="R162" s="764">
        <v>0</v>
      </c>
      <c r="S162" s="693"/>
      <c r="T162" s="690">
        <f t="shared" si="53"/>
        <v>0</v>
      </c>
      <c r="U162" s="683"/>
      <c r="V162" s="474">
        <f t="shared" si="50"/>
        <v>0</v>
      </c>
      <c r="W162" s="474">
        <f t="shared" si="42"/>
        <v>0</v>
      </c>
      <c r="X162" s="475">
        <f t="shared" si="43"/>
        <v>0</v>
      </c>
      <c r="Y162" s="475">
        <v>0</v>
      </c>
      <c r="Z162" s="476">
        <v>0</v>
      </c>
      <c r="AA162" s="38">
        <f t="shared" si="51"/>
        <v>0</v>
      </c>
      <c r="AB162" s="692">
        <f t="shared" si="44"/>
        <v>0</v>
      </c>
      <c r="AC162" s="692">
        <f t="shared" si="45"/>
        <v>0</v>
      </c>
      <c r="AD162" s="692">
        <f t="shared" si="46"/>
        <v>0</v>
      </c>
      <c r="AE162" s="38"/>
      <c r="AF162" s="692">
        <f t="shared" si="47"/>
        <v>0</v>
      </c>
      <c r="AG162" s="692">
        <f t="shared" si="48"/>
        <v>0</v>
      </c>
      <c r="AH162" s="692">
        <f t="shared" si="49"/>
        <v>0</v>
      </c>
      <c r="AJ162" s="455" t="s">
        <v>423</v>
      </c>
    </row>
    <row r="163" spans="1:36" s="232" customFormat="1">
      <c r="A163" s="283"/>
      <c r="B163" s="283" t="s">
        <v>110</v>
      </c>
      <c r="C163" s="667" t="s">
        <v>561</v>
      </c>
      <c r="D163" s="748" t="s">
        <v>624</v>
      </c>
      <c r="E163" s="679"/>
      <c r="F163" s="529" t="str">
        <f>VLOOKUP(D163,'Q1 2012 DMV-Revenue'!D:T,17,FALSE)</f>
        <v/>
      </c>
      <c r="G163" s="680"/>
      <c r="H163" s="680"/>
      <c r="I163" s="681"/>
      <c r="J163" s="682">
        <f t="shared" si="52"/>
        <v>0</v>
      </c>
      <c r="K163" s="683"/>
      <c r="L163" s="684"/>
      <c r="M163" s="753">
        <v>0</v>
      </c>
      <c r="N163" s="683">
        <v>0</v>
      </c>
      <c r="O163" s="686"/>
      <c r="P163" s="683">
        <v>0</v>
      </c>
      <c r="Q163" s="687">
        <f t="shared" si="55"/>
        <v>0</v>
      </c>
      <c r="R163" s="764">
        <v>0</v>
      </c>
      <c r="S163" s="693"/>
      <c r="T163" s="690">
        <f t="shared" si="53"/>
        <v>0</v>
      </c>
      <c r="U163" s="683"/>
      <c r="V163" s="474">
        <f t="shared" si="50"/>
        <v>0</v>
      </c>
      <c r="W163" s="474">
        <f t="shared" si="42"/>
        <v>0</v>
      </c>
      <c r="X163" s="475">
        <f t="shared" si="43"/>
        <v>0</v>
      </c>
      <c r="Y163" s="475">
        <v>0</v>
      </c>
      <c r="Z163" s="476">
        <v>0</v>
      </c>
      <c r="AA163" s="38">
        <f t="shared" si="51"/>
        <v>0</v>
      </c>
      <c r="AB163" s="692">
        <f t="shared" si="44"/>
        <v>0</v>
      </c>
      <c r="AC163" s="692">
        <f t="shared" si="45"/>
        <v>0</v>
      </c>
      <c r="AD163" s="692">
        <f t="shared" si="46"/>
        <v>0</v>
      </c>
      <c r="AE163" s="38"/>
      <c r="AF163" s="692">
        <f t="shared" si="47"/>
        <v>0</v>
      </c>
      <c r="AG163" s="692">
        <f t="shared" si="48"/>
        <v>0</v>
      </c>
      <c r="AH163" s="692">
        <f t="shared" si="49"/>
        <v>0</v>
      </c>
      <c r="AJ163" s="748" t="s">
        <v>624</v>
      </c>
    </row>
    <row r="164" spans="1:36" s="232" customFormat="1">
      <c r="A164" s="283"/>
      <c r="B164" s="283" t="s">
        <v>109</v>
      </c>
      <c r="C164" s="667" t="s">
        <v>561</v>
      </c>
      <c r="D164" s="748" t="s">
        <v>625</v>
      </c>
      <c r="E164" s="679"/>
      <c r="F164" s="529" t="str">
        <f>VLOOKUP(D164,'Q1 2012 DMV-Revenue'!D:T,17,FALSE)</f>
        <v/>
      </c>
      <c r="G164" s="680"/>
      <c r="H164" s="680"/>
      <c r="I164" s="681"/>
      <c r="J164" s="682">
        <f t="shared" si="52"/>
        <v>0</v>
      </c>
      <c r="K164" s="683"/>
      <c r="L164" s="684"/>
      <c r="M164" s="753">
        <v>0</v>
      </c>
      <c r="N164" s="683">
        <v>0</v>
      </c>
      <c r="O164" s="686"/>
      <c r="P164" s="683">
        <v>0</v>
      </c>
      <c r="Q164" s="687">
        <f t="shared" si="55"/>
        <v>0</v>
      </c>
      <c r="R164" s="764">
        <v>0</v>
      </c>
      <c r="S164" s="693"/>
      <c r="T164" s="690">
        <f t="shared" si="53"/>
        <v>0</v>
      </c>
      <c r="U164" s="683"/>
      <c r="V164" s="474">
        <f t="shared" si="50"/>
        <v>0</v>
      </c>
      <c r="W164" s="474">
        <f t="shared" si="42"/>
        <v>0</v>
      </c>
      <c r="X164" s="475">
        <f t="shared" si="43"/>
        <v>0</v>
      </c>
      <c r="Y164" s="475">
        <v>0</v>
      </c>
      <c r="Z164" s="476">
        <v>0</v>
      </c>
      <c r="AA164" s="38">
        <f t="shared" si="51"/>
        <v>0</v>
      </c>
      <c r="AB164" s="692">
        <f t="shared" si="44"/>
        <v>0</v>
      </c>
      <c r="AC164" s="692">
        <f t="shared" si="45"/>
        <v>0</v>
      </c>
      <c r="AD164" s="692">
        <f t="shared" si="46"/>
        <v>0</v>
      </c>
      <c r="AE164" s="38"/>
      <c r="AF164" s="692">
        <f t="shared" si="47"/>
        <v>0</v>
      </c>
      <c r="AG164" s="692">
        <f t="shared" si="48"/>
        <v>0</v>
      </c>
      <c r="AH164" s="692">
        <f t="shared" si="49"/>
        <v>0</v>
      </c>
      <c r="AJ164" s="748" t="s">
        <v>625</v>
      </c>
    </row>
    <row r="165" spans="1:36" s="232" customFormat="1">
      <c r="A165" s="283"/>
      <c r="B165" s="283" t="s">
        <v>114</v>
      </c>
      <c r="C165" s="667"/>
      <c r="D165" s="500" t="s">
        <v>408</v>
      </c>
      <c r="E165" s="679"/>
      <c r="F165" s="529" t="str">
        <f>VLOOKUP(D165,'Q1 2012 DMV-Revenue'!D:T,17,FALSE)</f>
        <v/>
      </c>
      <c r="G165" s="694">
        <v>21187.48</v>
      </c>
      <c r="H165" s="680"/>
      <c r="I165" s="681"/>
      <c r="J165" s="682">
        <f t="shared" si="52"/>
        <v>21187.48</v>
      </c>
      <c r="K165" s="683"/>
      <c r="L165" s="684"/>
      <c r="M165" s="753">
        <v>0</v>
      </c>
      <c r="N165" s="683">
        <v>0</v>
      </c>
      <c r="O165" s="686"/>
      <c r="P165" s="683">
        <v>0</v>
      </c>
      <c r="Q165" s="687">
        <f t="shared" si="55"/>
        <v>0</v>
      </c>
      <c r="R165" s="764">
        <v>0</v>
      </c>
      <c r="S165" s="693"/>
      <c r="T165" s="690">
        <f t="shared" si="53"/>
        <v>0</v>
      </c>
      <c r="U165" s="683"/>
      <c r="V165" s="474">
        <f t="shared" si="50"/>
        <v>0</v>
      </c>
      <c r="W165" s="474">
        <f t="shared" si="42"/>
        <v>0</v>
      </c>
      <c r="X165" s="475">
        <f t="shared" si="43"/>
        <v>0</v>
      </c>
      <c r="Y165" s="475">
        <v>0</v>
      </c>
      <c r="Z165" s="476">
        <v>0</v>
      </c>
      <c r="AA165" s="38">
        <f t="shared" si="51"/>
        <v>0</v>
      </c>
      <c r="AB165" s="692">
        <f t="shared" si="44"/>
        <v>0</v>
      </c>
      <c r="AC165" s="692">
        <f t="shared" si="45"/>
        <v>0</v>
      </c>
      <c r="AD165" s="692">
        <f t="shared" si="46"/>
        <v>21187.48</v>
      </c>
      <c r="AE165" s="38"/>
      <c r="AF165" s="692">
        <f t="shared" si="47"/>
        <v>0</v>
      </c>
      <c r="AG165" s="692">
        <f t="shared" si="48"/>
        <v>0</v>
      </c>
      <c r="AH165" s="692">
        <f t="shared" si="49"/>
        <v>0</v>
      </c>
      <c r="AJ165" s="500" t="s">
        <v>408</v>
      </c>
    </row>
    <row r="166" spans="1:36" s="232" customFormat="1">
      <c r="A166" s="283"/>
      <c r="B166" s="283" t="s">
        <v>110</v>
      </c>
      <c r="C166" s="667"/>
      <c r="D166" s="567" t="s">
        <v>445</v>
      </c>
      <c r="E166" s="679"/>
      <c r="F166" s="529" t="str">
        <f>VLOOKUP(D166,'Q1 2012 DMV-Revenue'!D:T,17,FALSE)</f>
        <v/>
      </c>
      <c r="G166" s="680"/>
      <c r="H166" s="680"/>
      <c r="I166" s="681"/>
      <c r="J166" s="682">
        <f t="shared" si="52"/>
        <v>0</v>
      </c>
      <c r="K166" s="683"/>
      <c r="L166" s="684"/>
      <c r="M166" s="753">
        <v>0</v>
      </c>
      <c r="N166" s="683">
        <v>0</v>
      </c>
      <c r="O166" s="686"/>
      <c r="P166" s="683">
        <v>0</v>
      </c>
      <c r="Q166" s="687">
        <f t="shared" si="55"/>
        <v>0</v>
      </c>
      <c r="R166" s="764">
        <v>0</v>
      </c>
      <c r="S166" s="693"/>
      <c r="T166" s="690">
        <f t="shared" si="53"/>
        <v>0</v>
      </c>
      <c r="U166" s="683"/>
      <c r="V166" s="474">
        <f t="shared" si="50"/>
        <v>0</v>
      </c>
      <c r="W166" s="474">
        <f t="shared" si="42"/>
        <v>0</v>
      </c>
      <c r="X166" s="475">
        <f t="shared" si="43"/>
        <v>0</v>
      </c>
      <c r="Y166" s="475">
        <v>0</v>
      </c>
      <c r="Z166" s="476">
        <v>0</v>
      </c>
      <c r="AA166" s="38">
        <f t="shared" si="51"/>
        <v>0</v>
      </c>
      <c r="AB166" s="692">
        <f t="shared" si="44"/>
        <v>0</v>
      </c>
      <c r="AC166" s="692">
        <f t="shared" si="45"/>
        <v>0</v>
      </c>
      <c r="AD166" s="692">
        <f t="shared" si="46"/>
        <v>0</v>
      </c>
      <c r="AE166" s="38"/>
      <c r="AF166" s="692">
        <f t="shared" si="47"/>
        <v>0</v>
      </c>
      <c r="AG166" s="692">
        <f t="shared" si="48"/>
        <v>0</v>
      </c>
      <c r="AH166" s="692">
        <f t="shared" si="49"/>
        <v>0</v>
      </c>
      <c r="AJ166" s="567" t="s">
        <v>445</v>
      </c>
    </row>
    <row r="167" spans="1:36" s="232" customFormat="1">
      <c r="A167" s="283"/>
      <c r="B167" s="283" t="s">
        <v>110</v>
      </c>
      <c r="C167" s="667"/>
      <c r="D167" s="567" t="s">
        <v>489</v>
      </c>
      <c r="E167" s="679"/>
      <c r="F167" s="529" t="str">
        <f>VLOOKUP(D167,'Q1 2012 DMV-Revenue'!D:T,17,FALSE)</f>
        <v/>
      </c>
      <c r="G167" s="680"/>
      <c r="H167" s="680"/>
      <c r="I167" s="681"/>
      <c r="J167" s="682">
        <f t="shared" si="52"/>
        <v>0</v>
      </c>
      <c r="K167" s="683"/>
      <c r="L167" s="684"/>
      <c r="M167" s="753">
        <v>0</v>
      </c>
      <c r="N167" s="683"/>
      <c r="O167" s="686"/>
      <c r="P167" s="683"/>
      <c r="Q167" s="687">
        <f t="shared" si="55"/>
        <v>0</v>
      </c>
      <c r="R167" s="764">
        <v>0</v>
      </c>
      <c r="S167" s="693"/>
      <c r="T167" s="690">
        <f t="shared" si="53"/>
        <v>0</v>
      </c>
      <c r="U167" s="683"/>
      <c r="V167" s="474">
        <f t="shared" si="50"/>
        <v>0</v>
      </c>
      <c r="W167" s="474">
        <f t="shared" si="42"/>
        <v>0</v>
      </c>
      <c r="X167" s="475">
        <f t="shared" si="43"/>
        <v>0</v>
      </c>
      <c r="Y167" s="475">
        <v>0</v>
      </c>
      <c r="Z167" s="476">
        <v>0</v>
      </c>
      <c r="AA167" s="38">
        <f t="shared" si="51"/>
        <v>0</v>
      </c>
      <c r="AB167" s="692">
        <f t="shared" si="44"/>
        <v>0</v>
      </c>
      <c r="AC167" s="692">
        <f t="shared" si="45"/>
        <v>0</v>
      </c>
      <c r="AD167" s="692">
        <f t="shared" si="46"/>
        <v>0</v>
      </c>
      <c r="AE167" s="38"/>
      <c r="AF167" s="692">
        <f t="shared" si="47"/>
        <v>0</v>
      </c>
      <c r="AG167" s="692">
        <f t="shared" si="48"/>
        <v>0</v>
      </c>
      <c r="AH167" s="692">
        <f t="shared" si="49"/>
        <v>0</v>
      </c>
      <c r="AJ167" s="567" t="s">
        <v>489</v>
      </c>
    </row>
    <row r="168" spans="1:36" s="232" customFormat="1">
      <c r="A168" s="283"/>
      <c r="B168" s="283" t="s">
        <v>109</v>
      </c>
      <c r="C168" s="667" t="s">
        <v>562</v>
      </c>
      <c r="D168" s="567" t="s">
        <v>480</v>
      </c>
      <c r="E168" s="679"/>
      <c r="F168" s="529">
        <f>VLOOKUP(D168,'Q1 2012 DMV-Revenue'!D:T,17,FALSE)</f>
        <v>187.77000000000044</v>
      </c>
      <c r="G168" s="680"/>
      <c r="H168" s="680"/>
      <c r="I168" s="681"/>
      <c r="J168" s="682">
        <f t="shared" si="52"/>
        <v>187.77000000000044</v>
      </c>
      <c r="K168" s="683"/>
      <c r="L168" s="684"/>
      <c r="M168" s="753">
        <v>10000</v>
      </c>
      <c r="N168" s="683">
        <v>0</v>
      </c>
      <c r="O168" s="686"/>
      <c r="P168" s="683">
        <v>0</v>
      </c>
      <c r="Q168" s="687">
        <f t="shared" si="55"/>
        <v>10000</v>
      </c>
      <c r="R168" s="764">
        <v>0</v>
      </c>
      <c r="S168" s="693"/>
      <c r="T168" s="690">
        <f t="shared" si="53"/>
        <v>-10000</v>
      </c>
      <c r="U168" s="683"/>
      <c r="V168" s="474">
        <f t="shared" si="50"/>
        <v>0</v>
      </c>
      <c r="W168" s="474">
        <f t="shared" si="42"/>
        <v>10000</v>
      </c>
      <c r="X168" s="475">
        <f t="shared" si="43"/>
        <v>0</v>
      </c>
      <c r="Y168" s="475">
        <v>0</v>
      </c>
      <c r="Z168" s="476">
        <v>0</v>
      </c>
      <c r="AA168" s="38">
        <f t="shared" si="51"/>
        <v>0</v>
      </c>
      <c r="AB168" s="692">
        <f t="shared" si="44"/>
        <v>0</v>
      </c>
      <c r="AC168" s="692">
        <f t="shared" si="45"/>
        <v>187.77000000000044</v>
      </c>
      <c r="AD168" s="692">
        <f t="shared" si="46"/>
        <v>0</v>
      </c>
      <c r="AE168" s="38"/>
      <c r="AF168" s="692">
        <f t="shared" si="47"/>
        <v>0</v>
      </c>
      <c r="AG168" s="692">
        <f t="shared" si="48"/>
        <v>10000</v>
      </c>
      <c r="AH168" s="692">
        <f t="shared" si="49"/>
        <v>0</v>
      </c>
      <c r="AJ168" s="567" t="s">
        <v>480</v>
      </c>
    </row>
    <row r="169" spans="1:36" s="232" customFormat="1">
      <c r="A169" s="403"/>
      <c r="B169" s="403" t="s">
        <v>109</v>
      </c>
      <c r="C169" s="666" t="s">
        <v>563</v>
      </c>
      <c r="D169" s="123" t="s">
        <v>327</v>
      </c>
      <c r="E169" s="679"/>
      <c r="F169" s="529">
        <f>VLOOKUP(D169,'Q1 2012 DMV-Revenue'!D:T,17,FALSE)</f>
        <v>-13453.929999999993</v>
      </c>
      <c r="G169" s="680"/>
      <c r="H169" s="680"/>
      <c r="I169" s="681"/>
      <c r="J169" s="682">
        <f t="shared" si="52"/>
        <v>-13453.929999999993</v>
      </c>
      <c r="K169" s="683"/>
      <c r="L169" s="684"/>
      <c r="M169" s="753">
        <v>85000</v>
      </c>
      <c r="N169" s="683">
        <v>0</v>
      </c>
      <c r="O169" s="686"/>
      <c r="P169" s="683">
        <v>0</v>
      </c>
      <c r="Q169" s="687">
        <f t="shared" si="55"/>
        <v>85000</v>
      </c>
      <c r="R169" s="764">
        <v>55705.5</v>
      </c>
      <c r="S169" s="693"/>
      <c r="T169" s="690">
        <f t="shared" si="53"/>
        <v>-29294.5</v>
      </c>
      <c r="U169" s="683"/>
      <c r="V169" s="474">
        <f t="shared" si="50"/>
        <v>0</v>
      </c>
      <c r="W169" s="474">
        <f t="shared" si="42"/>
        <v>85000</v>
      </c>
      <c r="X169" s="475">
        <f t="shared" si="43"/>
        <v>0</v>
      </c>
      <c r="Y169" s="475">
        <v>0</v>
      </c>
      <c r="Z169" s="476">
        <v>0</v>
      </c>
      <c r="AA169" s="38">
        <f t="shared" si="51"/>
        <v>0</v>
      </c>
      <c r="AB169" s="692">
        <f t="shared" si="44"/>
        <v>0</v>
      </c>
      <c r="AC169" s="692">
        <f t="shared" si="45"/>
        <v>-13453.929999999993</v>
      </c>
      <c r="AD169" s="692">
        <f t="shared" si="46"/>
        <v>0</v>
      </c>
      <c r="AE169" s="38"/>
      <c r="AF169" s="692">
        <f t="shared" si="47"/>
        <v>0</v>
      </c>
      <c r="AG169" s="692">
        <f t="shared" si="48"/>
        <v>85000</v>
      </c>
      <c r="AH169" s="692">
        <f t="shared" si="49"/>
        <v>0</v>
      </c>
      <c r="AJ169" s="123" t="s">
        <v>327</v>
      </c>
    </row>
    <row r="170" spans="1:36" s="232" customFormat="1">
      <c r="A170" s="403"/>
      <c r="B170" s="403" t="s">
        <v>110</v>
      </c>
      <c r="C170" s="666" t="s">
        <v>563</v>
      </c>
      <c r="D170" s="123" t="s">
        <v>637</v>
      </c>
      <c r="E170" s="679">
        <v>87.25</v>
      </c>
      <c r="F170" s="529">
        <f>VLOOKUP(D170,'Q1 2012 DMV-Revenue'!D:T,17,FALSE)</f>
        <v>604.48</v>
      </c>
      <c r="G170" s="680"/>
      <c r="H170" s="680"/>
      <c r="I170" s="681"/>
      <c r="J170" s="682">
        <f t="shared" si="52"/>
        <v>691.73</v>
      </c>
      <c r="K170" s="683"/>
      <c r="L170" s="684"/>
      <c r="M170" s="753">
        <v>0</v>
      </c>
      <c r="N170" s="683">
        <v>0</v>
      </c>
      <c r="O170" s="686"/>
      <c r="P170" s="683">
        <v>0</v>
      </c>
      <c r="Q170" s="687">
        <f t="shared" si="55"/>
        <v>0</v>
      </c>
      <c r="R170" s="764">
        <v>0</v>
      </c>
      <c r="S170" s="693"/>
      <c r="T170" s="690">
        <f t="shared" si="53"/>
        <v>0</v>
      </c>
      <c r="U170" s="683"/>
      <c r="V170" s="474">
        <f t="shared" si="50"/>
        <v>0</v>
      </c>
      <c r="W170" s="474">
        <f t="shared" si="42"/>
        <v>0</v>
      </c>
      <c r="X170" s="475">
        <f t="shared" si="43"/>
        <v>0</v>
      </c>
      <c r="Y170" s="475">
        <v>0</v>
      </c>
      <c r="Z170" s="476">
        <v>0</v>
      </c>
      <c r="AA170" s="38">
        <f t="shared" si="51"/>
        <v>0</v>
      </c>
      <c r="AB170" s="692">
        <f t="shared" si="44"/>
        <v>691.73</v>
      </c>
      <c r="AC170" s="692">
        <f t="shared" si="45"/>
        <v>0</v>
      </c>
      <c r="AD170" s="692">
        <f t="shared" si="46"/>
        <v>0</v>
      </c>
      <c r="AE170" s="38"/>
      <c r="AF170" s="692">
        <f t="shared" si="47"/>
        <v>0</v>
      </c>
      <c r="AG170" s="692">
        <f t="shared" si="48"/>
        <v>0</v>
      </c>
      <c r="AH170" s="692">
        <f t="shared" si="49"/>
        <v>0</v>
      </c>
      <c r="AJ170" s="123" t="s">
        <v>637</v>
      </c>
    </row>
    <row r="171" spans="1:36">
      <c r="A171" s="21" t="s">
        <v>212</v>
      </c>
      <c r="B171" s="21" t="s">
        <v>110</v>
      </c>
      <c r="C171" s="666"/>
      <c r="D171" s="68" t="s">
        <v>232</v>
      </c>
      <c r="E171" s="679"/>
      <c r="F171" s="529">
        <f>VLOOKUP(D171,'Q1 2012 DMV-Revenue'!D:T,17,FALSE)</f>
        <v>-5984.6900000000005</v>
      </c>
      <c r="G171" s="680"/>
      <c r="H171" s="680"/>
      <c r="I171" s="681"/>
      <c r="J171" s="682">
        <f t="shared" si="52"/>
        <v>-5984.6900000000005</v>
      </c>
      <c r="K171" s="683"/>
      <c r="L171" s="684"/>
      <c r="M171" s="753">
        <v>0</v>
      </c>
      <c r="N171" s="683">
        <v>0</v>
      </c>
      <c r="O171" s="686"/>
      <c r="P171" s="683">
        <v>0</v>
      </c>
      <c r="Q171" s="687">
        <f t="shared" si="55"/>
        <v>0</v>
      </c>
      <c r="R171" s="764">
        <v>0</v>
      </c>
      <c r="S171" s="693"/>
      <c r="T171" s="690">
        <f t="shared" si="53"/>
        <v>0</v>
      </c>
      <c r="U171" s="683"/>
      <c r="V171" s="474">
        <f t="shared" si="50"/>
        <v>0</v>
      </c>
      <c r="W171" s="474">
        <f t="shared" si="42"/>
        <v>0</v>
      </c>
      <c r="X171" s="475">
        <f t="shared" si="43"/>
        <v>0</v>
      </c>
      <c r="Y171" s="475">
        <v>0</v>
      </c>
      <c r="Z171" s="476">
        <v>0</v>
      </c>
      <c r="AA171" s="38">
        <f t="shared" si="51"/>
        <v>0</v>
      </c>
      <c r="AB171" s="692">
        <f t="shared" si="44"/>
        <v>-5984.6900000000005</v>
      </c>
      <c r="AC171" s="692">
        <f t="shared" si="45"/>
        <v>0</v>
      </c>
      <c r="AD171" s="692">
        <f t="shared" si="46"/>
        <v>0</v>
      </c>
      <c r="AE171" s="38"/>
      <c r="AF171" s="692">
        <f t="shared" si="47"/>
        <v>0</v>
      </c>
      <c r="AG171" s="692">
        <f t="shared" si="48"/>
        <v>0</v>
      </c>
      <c r="AH171" s="692">
        <f t="shared" si="49"/>
        <v>0</v>
      </c>
      <c r="AJ171" s="68" t="s">
        <v>232</v>
      </c>
    </row>
    <row r="172" spans="1:36">
      <c r="A172" s="21"/>
      <c r="B172" s="21" t="s">
        <v>110</v>
      </c>
      <c r="C172" s="666"/>
      <c r="D172" s="68" t="s">
        <v>68</v>
      </c>
      <c r="E172" s="679"/>
      <c r="F172" s="529" t="str">
        <f>VLOOKUP(D172,'Q1 2012 DMV-Revenue'!D:T,17,FALSE)</f>
        <v/>
      </c>
      <c r="G172" s="680"/>
      <c r="H172" s="680"/>
      <c r="I172" s="681"/>
      <c r="J172" s="682">
        <f t="shared" si="52"/>
        <v>0</v>
      </c>
      <c r="K172" s="683"/>
      <c r="L172" s="684"/>
      <c r="M172" s="753">
        <v>0</v>
      </c>
      <c r="N172" s="683">
        <v>0</v>
      </c>
      <c r="O172" s="686"/>
      <c r="P172" s="683">
        <v>0</v>
      </c>
      <c r="Q172" s="687">
        <f t="shared" si="55"/>
        <v>0</v>
      </c>
      <c r="R172" s="764">
        <v>0</v>
      </c>
      <c r="S172" s="693"/>
      <c r="T172" s="690">
        <f t="shared" si="53"/>
        <v>0</v>
      </c>
      <c r="U172" s="683"/>
      <c r="V172" s="474">
        <f t="shared" si="50"/>
        <v>0</v>
      </c>
      <c r="W172" s="474">
        <f t="shared" si="42"/>
        <v>0</v>
      </c>
      <c r="X172" s="475">
        <f t="shared" si="43"/>
        <v>0</v>
      </c>
      <c r="Y172" s="475">
        <v>0</v>
      </c>
      <c r="Z172" s="476">
        <v>0</v>
      </c>
      <c r="AA172" s="38">
        <f t="shared" si="51"/>
        <v>0</v>
      </c>
      <c r="AB172" s="692">
        <f t="shared" si="44"/>
        <v>0</v>
      </c>
      <c r="AC172" s="692">
        <f t="shared" si="45"/>
        <v>0</v>
      </c>
      <c r="AD172" s="692">
        <f t="shared" si="46"/>
        <v>0</v>
      </c>
      <c r="AE172" s="38"/>
      <c r="AF172" s="692">
        <f t="shared" si="47"/>
        <v>0</v>
      </c>
      <c r="AG172" s="692">
        <f t="shared" si="48"/>
        <v>0</v>
      </c>
      <c r="AH172" s="692">
        <f t="shared" si="49"/>
        <v>0</v>
      </c>
      <c r="AJ172" s="68" t="s">
        <v>68</v>
      </c>
    </row>
    <row r="173" spans="1:36">
      <c r="A173" s="21"/>
      <c r="B173" s="21" t="s">
        <v>109</v>
      </c>
      <c r="C173" s="666" t="s">
        <v>564</v>
      </c>
      <c r="D173" s="68" t="s">
        <v>306</v>
      </c>
      <c r="E173" s="679"/>
      <c r="F173" s="529">
        <f>VLOOKUP(D173,'Q1 2012 DMV-Revenue'!D:T,17,FALSE)</f>
        <v>-10000</v>
      </c>
      <c r="G173" s="680"/>
      <c r="H173" s="680"/>
      <c r="I173" s="681"/>
      <c r="J173" s="682">
        <f t="shared" si="52"/>
        <v>-10000</v>
      </c>
      <c r="K173" s="683"/>
      <c r="L173" s="684"/>
      <c r="M173" s="753">
        <v>0</v>
      </c>
      <c r="N173" s="683">
        <v>0</v>
      </c>
      <c r="O173" s="686"/>
      <c r="P173" s="683">
        <v>0</v>
      </c>
      <c r="Q173" s="687">
        <f t="shared" si="55"/>
        <v>0</v>
      </c>
      <c r="R173" s="764">
        <v>0</v>
      </c>
      <c r="S173" s="693"/>
      <c r="T173" s="690">
        <f t="shared" si="53"/>
        <v>0</v>
      </c>
      <c r="U173" s="683"/>
      <c r="V173" s="474">
        <f t="shared" si="50"/>
        <v>0</v>
      </c>
      <c r="W173" s="474">
        <f t="shared" si="42"/>
        <v>0</v>
      </c>
      <c r="X173" s="475">
        <f t="shared" si="43"/>
        <v>0</v>
      </c>
      <c r="Y173" s="475">
        <v>0</v>
      </c>
      <c r="Z173" s="476">
        <v>0</v>
      </c>
      <c r="AA173" s="38">
        <f t="shared" si="51"/>
        <v>0</v>
      </c>
      <c r="AB173" s="692">
        <f t="shared" si="44"/>
        <v>0</v>
      </c>
      <c r="AC173" s="692">
        <f t="shared" si="45"/>
        <v>-10000</v>
      </c>
      <c r="AD173" s="692">
        <f t="shared" si="46"/>
        <v>0</v>
      </c>
      <c r="AE173" s="38"/>
      <c r="AF173" s="692">
        <f t="shared" si="47"/>
        <v>0</v>
      </c>
      <c r="AG173" s="692">
        <f t="shared" si="48"/>
        <v>0</v>
      </c>
      <c r="AH173" s="692">
        <f t="shared" si="49"/>
        <v>0</v>
      </c>
      <c r="AJ173" s="68" t="s">
        <v>306</v>
      </c>
    </row>
    <row r="174" spans="1:36">
      <c r="A174" s="21"/>
      <c r="B174" s="21" t="s">
        <v>109</v>
      </c>
      <c r="C174" s="666" t="s">
        <v>564</v>
      </c>
      <c r="D174" s="68" t="s">
        <v>307</v>
      </c>
      <c r="E174" s="679"/>
      <c r="F174" s="529" t="str">
        <f>VLOOKUP(D174,'Q1 2012 DMV-Revenue'!D:T,17,FALSE)</f>
        <v/>
      </c>
      <c r="G174" s="680"/>
      <c r="H174" s="680"/>
      <c r="I174" s="681"/>
      <c r="J174" s="682">
        <f t="shared" si="52"/>
        <v>0</v>
      </c>
      <c r="K174" s="683"/>
      <c r="L174" s="684"/>
      <c r="M174" s="753">
        <v>0</v>
      </c>
      <c r="N174" s="683">
        <v>0</v>
      </c>
      <c r="O174" s="686"/>
      <c r="P174" s="683">
        <v>0</v>
      </c>
      <c r="Q174" s="687">
        <f t="shared" si="55"/>
        <v>0</v>
      </c>
      <c r="R174" s="764">
        <v>0</v>
      </c>
      <c r="S174" s="693"/>
      <c r="T174" s="690">
        <f t="shared" si="53"/>
        <v>0</v>
      </c>
      <c r="U174" s="683"/>
      <c r="V174" s="474">
        <f t="shared" si="50"/>
        <v>0</v>
      </c>
      <c r="W174" s="474">
        <f t="shared" si="42"/>
        <v>0</v>
      </c>
      <c r="X174" s="475">
        <f t="shared" si="43"/>
        <v>0</v>
      </c>
      <c r="Y174" s="475">
        <v>0</v>
      </c>
      <c r="Z174" s="476">
        <v>0</v>
      </c>
      <c r="AA174" s="38">
        <f t="shared" si="51"/>
        <v>0</v>
      </c>
      <c r="AB174" s="692">
        <f t="shared" si="44"/>
        <v>0</v>
      </c>
      <c r="AC174" s="692">
        <f t="shared" si="45"/>
        <v>0</v>
      </c>
      <c r="AD174" s="692">
        <f t="shared" si="46"/>
        <v>0</v>
      </c>
      <c r="AE174" s="38"/>
      <c r="AF174" s="692">
        <f t="shared" si="47"/>
        <v>0</v>
      </c>
      <c r="AG174" s="692">
        <f t="shared" si="48"/>
        <v>0</v>
      </c>
      <c r="AH174" s="692">
        <f t="shared" si="49"/>
        <v>0</v>
      </c>
      <c r="AJ174" s="68" t="s">
        <v>307</v>
      </c>
    </row>
    <row r="175" spans="1:36">
      <c r="A175" s="21"/>
      <c r="B175" s="21" t="s">
        <v>109</v>
      </c>
      <c r="C175" s="666" t="s">
        <v>565</v>
      </c>
      <c r="D175" s="68" t="s">
        <v>485</v>
      </c>
      <c r="E175" s="679"/>
      <c r="F175" s="529">
        <f>VLOOKUP(D175,'Q1 2012 DMV-Revenue'!D:T,17,FALSE)</f>
        <v>-33822.06</v>
      </c>
      <c r="G175" s="680"/>
      <c r="H175" s="680"/>
      <c r="I175" s="681"/>
      <c r="J175" s="682">
        <f t="shared" si="52"/>
        <v>-33822.06</v>
      </c>
      <c r="K175" s="683"/>
      <c r="L175" s="684"/>
      <c r="M175" s="753">
        <v>30000</v>
      </c>
      <c r="N175" s="683"/>
      <c r="O175" s="686"/>
      <c r="P175" s="683"/>
      <c r="Q175" s="687">
        <f t="shared" si="55"/>
        <v>30000</v>
      </c>
      <c r="R175" s="764">
        <v>0</v>
      </c>
      <c r="S175" s="693"/>
      <c r="T175" s="690">
        <f t="shared" si="53"/>
        <v>-30000</v>
      </c>
      <c r="U175" s="683"/>
      <c r="V175" s="474">
        <f t="shared" si="50"/>
        <v>0</v>
      </c>
      <c r="W175" s="474">
        <f t="shared" si="42"/>
        <v>30000</v>
      </c>
      <c r="X175" s="475">
        <f t="shared" si="43"/>
        <v>0</v>
      </c>
      <c r="Y175" s="475">
        <v>0</v>
      </c>
      <c r="Z175" s="476">
        <v>0</v>
      </c>
      <c r="AA175" s="38">
        <f t="shared" si="51"/>
        <v>0</v>
      </c>
      <c r="AB175" s="692">
        <f t="shared" si="44"/>
        <v>0</v>
      </c>
      <c r="AC175" s="692">
        <f t="shared" si="45"/>
        <v>-33822.06</v>
      </c>
      <c r="AD175" s="692">
        <f t="shared" si="46"/>
        <v>0</v>
      </c>
      <c r="AE175" s="38"/>
      <c r="AF175" s="692">
        <f t="shared" si="47"/>
        <v>0</v>
      </c>
      <c r="AG175" s="692">
        <f t="shared" si="48"/>
        <v>30000</v>
      </c>
      <c r="AH175" s="692">
        <f t="shared" si="49"/>
        <v>0</v>
      </c>
      <c r="AJ175" s="68" t="s">
        <v>485</v>
      </c>
    </row>
    <row r="176" spans="1:36" s="232" customFormat="1">
      <c r="A176" s="403"/>
      <c r="B176" s="403" t="s">
        <v>109</v>
      </c>
      <c r="C176" s="666"/>
      <c r="D176" s="123" t="s">
        <v>220</v>
      </c>
      <c r="E176" s="679"/>
      <c r="F176" s="529" t="str">
        <f>VLOOKUP(D176,'Q1 2012 DMV-Revenue'!D:T,17,FALSE)</f>
        <v/>
      </c>
      <c r="G176" s="680"/>
      <c r="H176" s="680"/>
      <c r="I176" s="681"/>
      <c r="J176" s="682">
        <f t="shared" si="52"/>
        <v>0</v>
      </c>
      <c r="K176" s="683"/>
      <c r="L176" s="684"/>
      <c r="M176" s="753">
        <v>0</v>
      </c>
      <c r="N176" s="683">
        <v>0</v>
      </c>
      <c r="O176" s="686"/>
      <c r="P176" s="683">
        <v>0</v>
      </c>
      <c r="Q176" s="687">
        <f t="shared" si="55"/>
        <v>0</v>
      </c>
      <c r="R176" s="764">
        <v>0</v>
      </c>
      <c r="S176" s="693"/>
      <c r="T176" s="690">
        <f t="shared" si="53"/>
        <v>0</v>
      </c>
      <c r="U176" s="683"/>
      <c r="V176" s="474">
        <f t="shared" si="50"/>
        <v>0</v>
      </c>
      <c r="W176" s="474">
        <f t="shared" si="42"/>
        <v>0</v>
      </c>
      <c r="X176" s="475">
        <f t="shared" si="43"/>
        <v>0</v>
      </c>
      <c r="Y176" s="475">
        <v>0</v>
      </c>
      <c r="Z176" s="476">
        <v>0</v>
      </c>
      <c r="AA176" s="38">
        <f t="shared" si="51"/>
        <v>0</v>
      </c>
      <c r="AB176" s="692">
        <f t="shared" si="44"/>
        <v>0</v>
      </c>
      <c r="AC176" s="692">
        <f t="shared" si="45"/>
        <v>0</v>
      </c>
      <c r="AD176" s="692">
        <f t="shared" si="46"/>
        <v>0</v>
      </c>
      <c r="AE176" s="38"/>
      <c r="AF176" s="692">
        <f t="shared" si="47"/>
        <v>0</v>
      </c>
      <c r="AG176" s="692">
        <f t="shared" si="48"/>
        <v>0</v>
      </c>
      <c r="AH176" s="692">
        <f t="shared" si="49"/>
        <v>0</v>
      </c>
      <c r="AJ176" s="123" t="s">
        <v>220</v>
      </c>
    </row>
    <row r="177" spans="1:36" s="24" customFormat="1">
      <c r="A177" s="472"/>
      <c r="B177" s="21" t="s">
        <v>109</v>
      </c>
      <c r="C177" s="666"/>
      <c r="D177" s="68" t="s">
        <v>505</v>
      </c>
      <c r="E177" s="679"/>
      <c r="F177" s="529" t="str">
        <f>VLOOKUP(D177,'Q1 2012 DMV-Revenue'!D:T,17,FALSE)</f>
        <v/>
      </c>
      <c r="G177" s="680"/>
      <c r="H177" s="680"/>
      <c r="I177" s="681"/>
      <c r="J177" s="703">
        <f t="shared" ref="J177" si="57">SUM(E177:I177)</f>
        <v>0</v>
      </c>
      <c r="K177" s="698"/>
      <c r="L177" s="684"/>
      <c r="M177" s="753">
        <v>6500</v>
      </c>
      <c r="N177" s="698">
        <v>0</v>
      </c>
      <c r="O177" s="686"/>
      <c r="P177" s="698">
        <v>0</v>
      </c>
      <c r="Q177" s="700">
        <f t="shared" si="55"/>
        <v>6500</v>
      </c>
      <c r="R177" s="764">
        <v>6455.08</v>
      </c>
      <c r="S177" s="701"/>
      <c r="T177" s="702">
        <f t="shared" si="53"/>
        <v>-44.920000000000073</v>
      </c>
      <c r="U177" s="698"/>
      <c r="V177" s="474">
        <f t="shared" si="50"/>
        <v>0</v>
      </c>
      <c r="W177" s="474">
        <f t="shared" si="42"/>
        <v>6500</v>
      </c>
      <c r="X177" s="475">
        <f t="shared" si="43"/>
        <v>0</v>
      </c>
      <c r="Y177" s="475">
        <v>0</v>
      </c>
      <c r="Z177" s="476">
        <v>0</v>
      </c>
      <c r="AA177" s="38">
        <f t="shared" si="51"/>
        <v>0</v>
      </c>
      <c r="AB177" s="692">
        <f t="shared" si="44"/>
        <v>0</v>
      </c>
      <c r="AC177" s="692">
        <f t="shared" si="45"/>
        <v>0</v>
      </c>
      <c r="AD177" s="692">
        <f t="shared" si="46"/>
        <v>0</v>
      </c>
      <c r="AE177" s="38"/>
      <c r="AF177" s="692">
        <f t="shared" si="47"/>
        <v>0</v>
      </c>
      <c r="AG177" s="692">
        <f t="shared" si="48"/>
        <v>6500</v>
      </c>
      <c r="AH177" s="692">
        <f t="shared" si="49"/>
        <v>0</v>
      </c>
      <c r="AJ177" s="68" t="s">
        <v>505</v>
      </c>
    </row>
    <row r="178" spans="1:36">
      <c r="A178" s="21"/>
      <c r="B178" s="21" t="s">
        <v>109</v>
      </c>
      <c r="C178" s="666"/>
      <c r="D178" s="68" t="s">
        <v>38</v>
      </c>
      <c r="E178" s="679"/>
      <c r="F178" s="529" t="str">
        <f>VLOOKUP(D178,'Q1 2012 DMV-Revenue'!D:T,17,FALSE)</f>
        <v/>
      </c>
      <c r="G178" s="680"/>
      <c r="H178" s="680"/>
      <c r="I178" s="681"/>
      <c r="J178" s="682">
        <f t="shared" si="52"/>
        <v>0</v>
      </c>
      <c r="K178" s="683"/>
      <c r="L178" s="684"/>
      <c r="M178" s="753">
        <v>0</v>
      </c>
      <c r="N178" s="683">
        <v>0</v>
      </c>
      <c r="O178" s="686"/>
      <c r="P178" s="683">
        <v>0</v>
      </c>
      <c r="Q178" s="687">
        <f t="shared" si="55"/>
        <v>0</v>
      </c>
      <c r="R178" s="764">
        <v>0</v>
      </c>
      <c r="S178" s="693"/>
      <c r="T178" s="690">
        <f t="shared" si="53"/>
        <v>0</v>
      </c>
      <c r="U178" s="683"/>
      <c r="V178" s="474">
        <f t="shared" si="50"/>
        <v>0</v>
      </c>
      <c r="W178" s="474">
        <f t="shared" si="42"/>
        <v>0</v>
      </c>
      <c r="X178" s="475">
        <f t="shared" si="43"/>
        <v>0</v>
      </c>
      <c r="Y178" s="475">
        <v>0</v>
      </c>
      <c r="Z178" s="476">
        <v>0</v>
      </c>
      <c r="AA178" s="38">
        <f t="shared" si="51"/>
        <v>0</v>
      </c>
      <c r="AB178" s="692">
        <f t="shared" si="44"/>
        <v>0</v>
      </c>
      <c r="AC178" s="692">
        <f t="shared" si="45"/>
        <v>0</v>
      </c>
      <c r="AD178" s="692">
        <f t="shared" si="46"/>
        <v>0</v>
      </c>
      <c r="AE178" s="38"/>
      <c r="AF178" s="692">
        <f t="shared" si="47"/>
        <v>0</v>
      </c>
      <c r="AG178" s="692">
        <f t="shared" si="48"/>
        <v>0</v>
      </c>
      <c r="AH178" s="692">
        <f t="shared" si="49"/>
        <v>0</v>
      </c>
      <c r="AJ178" s="68" t="s">
        <v>38</v>
      </c>
    </row>
    <row r="179" spans="1:36">
      <c r="A179" s="21"/>
      <c r="B179" s="21" t="s">
        <v>110</v>
      </c>
      <c r="C179" s="666"/>
      <c r="D179" s="68" t="s">
        <v>185</v>
      </c>
      <c r="E179" s="679"/>
      <c r="F179" s="529">
        <f>VLOOKUP(D179,'Q1 2012 DMV-Revenue'!D:T,17,FALSE)</f>
        <v>217</v>
      </c>
      <c r="G179" s="680"/>
      <c r="H179" s="680"/>
      <c r="I179" s="681"/>
      <c r="J179" s="682">
        <f t="shared" si="52"/>
        <v>217</v>
      </c>
      <c r="K179" s="683"/>
      <c r="L179" s="684"/>
      <c r="M179" s="753">
        <v>0</v>
      </c>
      <c r="N179" s="683">
        <v>0</v>
      </c>
      <c r="O179" s="686"/>
      <c r="P179" s="683">
        <v>0</v>
      </c>
      <c r="Q179" s="687">
        <f t="shared" si="55"/>
        <v>0</v>
      </c>
      <c r="R179" s="764">
        <v>0</v>
      </c>
      <c r="S179" s="693"/>
      <c r="T179" s="690">
        <f t="shared" si="53"/>
        <v>0</v>
      </c>
      <c r="U179" s="683"/>
      <c r="V179" s="474">
        <f t="shared" si="50"/>
        <v>0</v>
      </c>
      <c r="W179" s="474">
        <f t="shared" si="42"/>
        <v>0</v>
      </c>
      <c r="X179" s="475">
        <f t="shared" si="43"/>
        <v>0</v>
      </c>
      <c r="Y179" s="475">
        <v>0</v>
      </c>
      <c r="Z179" s="476">
        <v>0</v>
      </c>
      <c r="AA179" s="38">
        <f t="shared" si="51"/>
        <v>0</v>
      </c>
      <c r="AB179" s="692">
        <f t="shared" si="44"/>
        <v>217</v>
      </c>
      <c r="AC179" s="692">
        <f t="shared" si="45"/>
        <v>0</v>
      </c>
      <c r="AD179" s="692">
        <f t="shared" si="46"/>
        <v>0</v>
      </c>
      <c r="AE179" s="38"/>
      <c r="AF179" s="692">
        <f t="shared" si="47"/>
        <v>0</v>
      </c>
      <c r="AG179" s="692">
        <f t="shared" si="48"/>
        <v>0</v>
      </c>
      <c r="AH179" s="692">
        <f t="shared" si="49"/>
        <v>0</v>
      </c>
      <c r="AJ179" s="68" t="s">
        <v>185</v>
      </c>
    </row>
    <row r="180" spans="1:36">
      <c r="A180" s="21"/>
      <c r="B180" s="21" t="s">
        <v>110</v>
      </c>
      <c r="C180" s="666"/>
      <c r="D180" s="68" t="s">
        <v>186</v>
      </c>
      <c r="E180" s="679"/>
      <c r="F180" s="529">
        <f>VLOOKUP(D180,'Q1 2012 DMV-Revenue'!D:T,17,FALSE)</f>
        <v>309.39</v>
      </c>
      <c r="G180" s="680"/>
      <c r="H180" s="680"/>
      <c r="I180" s="681"/>
      <c r="J180" s="682">
        <f t="shared" si="52"/>
        <v>309.39</v>
      </c>
      <c r="K180" s="683"/>
      <c r="L180" s="684"/>
      <c r="M180" s="753">
        <v>0</v>
      </c>
      <c r="N180" s="683">
        <v>0</v>
      </c>
      <c r="O180" s="686"/>
      <c r="P180" s="683">
        <v>0</v>
      </c>
      <c r="Q180" s="687">
        <f t="shared" si="55"/>
        <v>0</v>
      </c>
      <c r="R180" s="764">
        <v>0</v>
      </c>
      <c r="S180" s="693"/>
      <c r="T180" s="690">
        <f t="shared" si="53"/>
        <v>0</v>
      </c>
      <c r="U180" s="683"/>
      <c r="V180" s="474">
        <f t="shared" si="50"/>
        <v>0</v>
      </c>
      <c r="W180" s="474">
        <f t="shared" si="42"/>
        <v>0</v>
      </c>
      <c r="X180" s="475">
        <f t="shared" si="43"/>
        <v>0</v>
      </c>
      <c r="Y180" s="475">
        <v>0</v>
      </c>
      <c r="Z180" s="476">
        <v>0</v>
      </c>
      <c r="AA180" s="38">
        <f t="shared" si="51"/>
        <v>0</v>
      </c>
      <c r="AB180" s="692">
        <f t="shared" si="44"/>
        <v>309.39</v>
      </c>
      <c r="AC180" s="692">
        <f t="shared" si="45"/>
        <v>0</v>
      </c>
      <c r="AD180" s="692">
        <f t="shared" si="46"/>
        <v>0</v>
      </c>
      <c r="AE180" s="38"/>
      <c r="AF180" s="692">
        <f t="shared" si="47"/>
        <v>0</v>
      </c>
      <c r="AG180" s="692">
        <f t="shared" si="48"/>
        <v>0</v>
      </c>
      <c r="AH180" s="692">
        <f t="shared" si="49"/>
        <v>0</v>
      </c>
      <c r="AJ180" s="68" t="s">
        <v>186</v>
      </c>
    </row>
    <row r="181" spans="1:36">
      <c r="A181" s="21"/>
      <c r="B181" s="21" t="s">
        <v>110</v>
      </c>
      <c r="C181" s="666"/>
      <c r="D181" s="68" t="s">
        <v>449</v>
      </c>
      <c r="E181" s="679"/>
      <c r="F181" s="529" t="str">
        <f>VLOOKUP(D181,'Q1 2012 DMV-Revenue'!D:T,17,FALSE)</f>
        <v/>
      </c>
      <c r="G181" s="680"/>
      <c r="H181" s="680"/>
      <c r="I181" s="681"/>
      <c r="J181" s="682">
        <f t="shared" si="52"/>
        <v>0</v>
      </c>
      <c r="K181" s="683"/>
      <c r="L181" s="684"/>
      <c r="M181" s="753">
        <v>0</v>
      </c>
      <c r="N181" s="683">
        <v>0</v>
      </c>
      <c r="O181" s="686"/>
      <c r="P181" s="683">
        <v>0</v>
      </c>
      <c r="Q181" s="687">
        <f t="shared" si="55"/>
        <v>0</v>
      </c>
      <c r="R181" s="764">
        <v>0</v>
      </c>
      <c r="S181" s="693"/>
      <c r="T181" s="690">
        <f t="shared" si="53"/>
        <v>0</v>
      </c>
      <c r="U181" s="683"/>
      <c r="V181" s="474">
        <f t="shared" si="50"/>
        <v>0</v>
      </c>
      <c r="W181" s="474">
        <f t="shared" si="42"/>
        <v>0</v>
      </c>
      <c r="X181" s="475">
        <f t="shared" si="43"/>
        <v>0</v>
      </c>
      <c r="Y181" s="475">
        <v>0</v>
      </c>
      <c r="Z181" s="476">
        <v>0</v>
      </c>
      <c r="AA181" s="38">
        <f t="shared" si="51"/>
        <v>0</v>
      </c>
      <c r="AB181" s="692">
        <f t="shared" si="44"/>
        <v>0</v>
      </c>
      <c r="AC181" s="692">
        <f t="shared" si="45"/>
        <v>0</v>
      </c>
      <c r="AD181" s="692">
        <f t="shared" si="46"/>
        <v>0</v>
      </c>
      <c r="AE181" s="38"/>
      <c r="AF181" s="692">
        <f t="shared" si="47"/>
        <v>0</v>
      </c>
      <c r="AG181" s="692">
        <f t="shared" si="48"/>
        <v>0</v>
      </c>
      <c r="AH181" s="692">
        <f t="shared" si="49"/>
        <v>0</v>
      </c>
      <c r="AJ181" s="68" t="s">
        <v>449</v>
      </c>
    </row>
    <row r="182" spans="1:36">
      <c r="A182" s="21"/>
      <c r="B182" s="21" t="s">
        <v>110</v>
      </c>
      <c r="C182" s="666" t="s">
        <v>566</v>
      </c>
      <c r="D182" s="68" t="s">
        <v>39</v>
      </c>
      <c r="E182" s="679"/>
      <c r="F182" s="529" t="str">
        <f>VLOOKUP(D182,'Q1 2012 DMV-Revenue'!D:T,17,FALSE)</f>
        <v/>
      </c>
      <c r="G182" s="694">
        <f>1180.28+360.49</f>
        <v>1540.77</v>
      </c>
      <c r="H182" s="680"/>
      <c r="I182" s="681"/>
      <c r="J182" s="682">
        <f t="shared" si="52"/>
        <v>1540.77</v>
      </c>
      <c r="K182" s="683"/>
      <c r="L182" s="684"/>
      <c r="M182" s="753">
        <v>0</v>
      </c>
      <c r="N182" s="683">
        <v>0</v>
      </c>
      <c r="O182" s="686"/>
      <c r="P182" s="683">
        <v>0</v>
      </c>
      <c r="Q182" s="687">
        <f t="shared" si="55"/>
        <v>0</v>
      </c>
      <c r="R182" s="764">
        <v>0</v>
      </c>
      <c r="S182" s="693"/>
      <c r="T182" s="690">
        <f t="shared" si="53"/>
        <v>0</v>
      </c>
      <c r="U182" s="683"/>
      <c r="V182" s="474">
        <f t="shared" si="50"/>
        <v>0</v>
      </c>
      <c r="W182" s="474">
        <f t="shared" si="42"/>
        <v>0</v>
      </c>
      <c r="X182" s="475">
        <f t="shared" si="43"/>
        <v>0</v>
      </c>
      <c r="Y182" s="475">
        <v>0</v>
      </c>
      <c r="Z182" s="476">
        <v>0</v>
      </c>
      <c r="AA182" s="38">
        <f t="shared" si="51"/>
        <v>0</v>
      </c>
      <c r="AB182" s="692">
        <f t="shared" ref="AB182" si="58">IF(B182="D",J182,0)</f>
        <v>1540.77</v>
      </c>
      <c r="AC182" s="692">
        <f t="shared" ref="AC182" si="59">IF(B182="M",J182,0)</f>
        <v>0</v>
      </c>
      <c r="AD182" s="692">
        <f t="shared" si="46"/>
        <v>0</v>
      </c>
      <c r="AE182" s="38"/>
      <c r="AF182" s="692">
        <f t="shared" si="47"/>
        <v>0</v>
      </c>
      <c r="AG182" s="692">
        <f t="shared" si="48"/>
        <v>0</v>
      </c>
      <c r="AH182" s="692">
        <f t="shared" si="49"/>
        <v>0</v>
      </c>
      <c r="AJ182" s="68" t="s">
        <v>39</v>
      </c>
    </row>
    <row r="183" spans="1:36">
      <c r="A183" s="21"/>
      <c r="B183" s="21" t="s">
        <v>110</v>
      </c>
      <c r="C183" s="666" t="s">
        <v>567</v>
      </c>
      <c r="D183" s="68" t="s">
        <v>435</v>
      </c>
      <c r="E183" s="679"/>
      <c r="F183" s="529">
        <f>VLOOKUP(D183,'Q1 2012 DMV-Revenue'!D:T,17,FALSE)</f>
        <v>332</v>
      </c>
      <c r="G183" s="680"/>
      <c r="H183" s="680"/>
      <c r="I183" s="681"/>
      <c r="J183" s="682">
        <f t="shared" si="52"/>
        <v>332</v>
      </c>
      <c r="K183" s="683"/>
      <c r="L183" s="684"/>
      <c r="M183" s="753">
        <v>15000</v>
      </c>
      <c r="N183" s="683">
        <v>0</v>
      </c>
      <c r="O183" s="686"/>
      <c r="P183" s="683">
        <v>0</v>
      </c>
      <c r="Q183" s="687">
        <f t="shared" si="55"/>
        <v>15000</v>
      </c>
      <c r="R183" s="764">
        <v>0</v>
      </c>
      <c r="S183" s="693"/>
      <c r="T183" s="690">
        <f t="shared" si="53"/>
        <v>-15000</v>
      </c>
      <c r="U183" s="683"/>
      <c r="V183" s="474">
        <f t="shared" si="50"/>
        <v>15000</v>
      </c>
      <c r="W183" s="474">
        <f t="shared" si="42"/>
        <v>0</v>
      </c>
      <c r="X183" s="475">
        <f t="shared" si="43"/>
        <v>0</v>
      </c>
      <c r="Y183" s="475">
        <v>0</v>
      </c>
      <c r="Z183" s="476">
        <v>0</v>
      </c>
      <c r="AA183" s="38">
        <f t="shared" si="51"/>
        <v>0</v>
      </c>
      <c r="AB183" s="692">
        <f t="shared" si="44"/>
        <v>332</v>
      </c>
      <c r="AC183" s="692">
        <f t="shared" si="45"/>
        <v>0</v>
      </c>
      <c r="AD183" s="692">
        <f t="shared" si="46"/>
        <v>0</v>
      </c>
      <c r="AE183" s="38"/>
      <c r="AF183" s="692">
        <f t="shared" si="47"/>
        <v>15000</v>
      </c>
      <c r="AG183" s="692">
        <f t="shared" si="48"/>
        <v>0</v>
      </c>
      <c r="AH183" s="692">
        <f t="shared" si="49"/>
        <v>0</v>
      </c>
      <c r="AJ183" s="68" t="s">
        <v>435</v>
      </c>
    </row>
    <row r="184" spans="1:36">
      <c r="A184" s="21"/>
      <c r="B184" s="21" t="s">
        <v>110</v>
      </c>
      <c r="C184" s="675" t="s">
        <v>584</v>
      </c>
      <c r="D184" s="68" t="s">
        <v>99</v>
      </c>
      <c r="E184" s="679"/>
      <c r="F184" s="529">
        <f>VLOOKUP(D184,'Q1 2012 DMV-Revenue'!D:T,17,FALSE)</f>
        <v>-13172.330000000002</v>
      </c>
      <c r="G184" s="680"/>
      <c r="H184" s="680"/>
      <c r="I184" s="681"/>
      <c r="J184" s="682">
        <f t="shared" si="52"/>
        <v>-13172.330000000002</v>
      </c>
      <c r="K184" s="683"/>
      <c r="L184" s="684"/>
      <c r="M184" s="753">
        <v>30000</v>
      </c>
      <c r="N184" s="683">
        <v>0</v>
      </c>
      <c r="O184" s="686"/>
      <c r="P184" s="683">
        <v>0</v>
      </c>
      <c r="Q184" s="687">
        <f t="shared" si="55"/>
        <v>30000</v>
      </c>
      <c r="R184" s="764">
        <v>0</v>
      </c>
      <c r="S184" s="693"/>
      <c r="T184" s="690">
        <f t="shared" si="53"/>
        <v>-30000</v>
      </c>
      <c r="U184" s="683"/>
      <c r="V184" s="474">
        <f t="shared" si="50"/>
        <v>30000</v>
      </c>
      <c r="W184" s="474">
        <f t="shared" si="42"/>
        <v>0</v>
      </c>
      <c r="X184" s="475">
        <f t="shared" si="43"/>
        <v>0</v>
      </c>
      <c r="Y184" s="475">
        <v>0</v>
      </c>
      <c r="Z184" s="476">
        <v>0</v>
      </c>
      <c r="AA184" s="38">
        <f t="shared" si="51"/>
        <v>0</v>
      </c>
      <c r="AB184" s="692">
        <f t="shared" si="44"/>
        <v>-13172.330000000002</v>
      </c>
      <c r="AC184" s="692">
        <f t="shared" si="45"/>
        <v>0</v>
      </c>
      <c r="AD184" s="692">
        <f t="shared" si="46"/>
        <v>0</v>
      </c>
      <c r="AE184" s="38"/>
      <c r="AF184" s="692">
        <f t="shared" si="47"/>
        <v>30000</v>
      </c>
      <c r="AG184" s="692">
        <f t="shared" si="48"/>
        <v>0</v>
      </c>
      <c r="AH184" s="692">
        <f t="shared" si="49"/>
        <v>0</v>
      </c>
      <c r="AJ184" s="68" t="s">
        <v>99</v>
      </c>
    </row>
    <row r="185" spans="1:36" s="232" customFormat="1">
      <c r="A185" s="403"/>
      <c r="B185" s="403" t="s">
        <v>110</v>
      </c>
      <c r="C185" s="666"/>
      <c r="D185" s="123" t="s">
        <v>378</v>
      </c>
      <c r="E185" s="679"/>
      <c r="F185" s="529" t="str">
        <f>VLOOKUP(D185,'Q1 2012 DMV-Revenue'!D:T,17,FALSE)</f>
        <v/>
      </c>
      <c r="G185" s="680"/>
      <c r="H185" s="680"/>
      <c r="I185" s="681"/>
      <c r="J185" s="682">
        <f t="shared" si="52"/>
        <v>0</v>
      </c>
      <c r="K185" s="683"/>
      <c r="L185" s="684"/>
      <c r="M185" s="753">
        <v>0</v>
      </c>
      <c r="N185" s="683">
        <v>0</v>
      </c>
      <c r="O185" s="686"/>
      <c r="P185" s="683">
        <v>0</v>
      </c>
      <c r="Q185" s="687">
        <f t="shared" si="55"/>
        <v>0</v>
      </c>
      <c r="R185" s="764">
        <v>0</v>
      </c>
      <c r="S185" s="693"/>
      <c r="T185" s="690">
        <f t="shared" si="53"/>
        <v>0</v>
      </c>
      <c r="U185" s="683"/>
      <c r="V185" s="474">
        <f t="shared" si="50"/>
        <v>0</v>
      </c>
      <c r="W185" s="474">
        <f t="shared" si="42"/>
        <v>0</v>
      </c>
      <c r="X185" s="475">
        <f t="shared" si="43"/>
        <v>0</v>
      </c>
      <c r="Y185" s="475">
        <v>0</v>
      </c>
      <c r="Z185" s="476">
        <v>0</v>
      </c>
      <c r="AA185" s="38">
        <f t="shared" si="51"/>
        <v>0</v>
      </c>
      <c r="AB185" s="692">
        <f t="shared" si="44"/>
        <v>0</v>
      </c>
      <c r="AC185" s="692">
        <f t="shared" si="45"/>
        <v>0</v>
      </c>
      <c r="AD185" s="692">
        <f t="shared" si="46"/>
        <v>0</v>
      </c>
      <c r="AE185" s="38"/>
      <c r="AF185" s="692">
        <f t="shared" si="47"/>
        <v>0</v>
      </c>
      <c r="AG185" s="692">
        <f t="shared" si="48"/>
        <v>0</v>
      </c>
      <c r="AH185" s="692">
        <f t="shared" si="49"/>
        <v>0</v>
      </c>
      <c r="AJ185" s="123" t="s">
        <v>378</v>
      </c>
    </row>
    <row r="186" spans="1:36" s="232" customFormat="1">
      <c r="A186" s="403"/>
      <c r="B186" s="403" t="s">
        <v>110</v>
      </c>
      <c r="C186" s="666" t="s">
        <v>568</v>
      </c>
      <c r="D186" s="123" t="s">
        <v>303</v>
      </c>
      <c r="E186" s="679"/>
      <c r="F186" s="529">
        <f>VLOOKUP(D186,'Q1 2012 DMV-Revenue'!D:T,17,FALSE)</f>
        <v>-1742.4400000000023</v>
      </c>
      <c r="G186" s="680"/>
      <c r="H186" s="680"/>
      <c r="I186" s="681"/>
      <c r="J186" s="682">
        <f t="shared" si="52"/>
        <v>-1742.4400000000023</v>
      </c>
      <c r="K186" s="683"/>
      <c r="L186" s="684"/>
      <c r="M186" s="753">
        <v>100000</v>
      </c>
      <c r="N186" s="683">
        <v>0</v>
      </c>
      <c r="O186" s="686"/>
      <c r="P186" s="683">
        <v>0</v>
      </c>
      <c r="Q186" s="687">
        <f t="shared" si="55"/>
        <v>100000</v>
      </c>
      <c r="R186" s="764">
        <v>0</v>
      </c>
      <c r="S186" s="693"/>
      <c r="T186" s="690">
        <f t="shared" si="53"/>
        <v>-100000</v>
      </c>
      <c r="U186" s="683"/>
      <c r="V186" s="474">
        <f t="shared" si="50"/>
        <v>100000</v>
      </c>
      <c r="W186" s="474">
        <f t="shared" si="42"/>
        <v>0</v>
      </c>
      <c r="X186" s="475">
        <f t="shared" si="43"/>
        <v>0</v>
      </c>
      <c r="Y186" s="475">
        <v>0</v>
      </c>
      <c r="Z186" s="476">
        <v>0</v>
      </c>
      <c r="AA186" s="38">
        <f t="shared" si="51"/>
        <v>0</v>
      </c>
      <c r="AB186" s="692">
        <f t="shared" si="44"/>
        <v>-1742.4400000000023</v>
      </c>
      <c r="AC186" s="692">
        <f t="shared" si="45"/>
        <v>0</v>
      </c>
      <c r="AD186" s="692">
        <f t="shared" si="46"/>
        <v>0</v>
      </c>
      <c r="AE186" s="38"/>
      <c r="AF186" s="692">
        <f t="shared" si="47"/>
        <v>100000</v>
      </c>
      <c r="AG186" s="692">
        <f t="shared" si="48"/>
        <v>0</v>
      </c>
      <c r="AH186" s="692">
        <f t="shared" si="49"/>
        <v>0</v>
      </c>
      <c r="AJ186" s="123" t="s">
        <v>303</v>
      </c>
    </row>
    <row r="187" spans="1:36" s="232" customFormat="1">
      <c r="A187" s="403"/>
      <c r="B187" s="403" t="s">
        <v>110</v>
      </c>
      <c r="C187" s="666"/>
      <c r="D187" s="123" t="s">
        <v>206</v>
      </c>
      <c r="E187" s="679"/>
      <c r="F187" s="529" t="str">
        <f>VLOOKUP(D187,'Q1 2012 DMV-Revenue'!D:T,17,FALSE)</f>
        <v/>
      </c>
      <c r="G187" s="680"/>
      <c r="H187" s="680"/>
      <c r="I187" s="681"/>
      <c r="J187" s="682">
        <f t="shared" si="52"/>
        <v>0</v>
      </c>
      <c r="K187" s="683"/>
      <c r="L187" s="684"/>
      <c r="M187" s="753">
        <v>0</v>
      </c>
      <c r="N187" s="683">
        <v>0</v>
      </c>
      <c r="O187" s="686"/>
      <c r="P187" s="683">
        <v>0</v>
      </c>
      <c r="Q187" s="687">
        <f t="shared" si="55"/>
        <v>0</v>
      </c>
      <c r="R187" s="764">
        <v>0</v>
      </c>
      <c r="S187" s="693"/>
      <c r="T187" s="690">
        <f t="shared" si="53"/>
        <v>0</v>
      </c>
      <c r="U187" s="683"/>
      <c r="V187" s="474">
        <f t="shared" si="50"/>
        <v>0</v>
      </c>
      <c r="W187" s="474">
        <f t="shared" si="42"/>
        <v>0</v>
      </c>
      <c r="X187" s="475">
        <f t="shared" si="43"/>
        <v>0</v>
      </c>
      <c r="Y187" s="475">
        <v>0</v>
      </c>
      <c r="Z187" s="476">
        <v>0</v>
      </c>
      <c r="AA187" s="38">
        <f t="shared" si="51"/>
        <v>0</v>
      </c>
      <c r="AB187" s="692">
        <f t="shared" si="44"/>
        <v>0</v>
      </c>
      <c r="AC187" s="692">
        <f t="shared" si="45"/>
        <v>0</v>
      </c>
      <c r="AD187" s="692">
        <f t="shared" si="46"/>
        <v>0</v>
      </c>
      <c r="AE187" s="38"/>
      <c r="AF187" s="692">
        <f t="shared" si="47"/>
        <v>0</v>
      </c>
      <c r="AG187" s="692">
        <f t="shared" si="48"/>
        <v>0</v>
      </c>
      <c r="AH187" s="692">
        <f t="shared" si="49"/>
        <v>0</v>
      </c>
      <c r="AJ187" s="123" t="s">
        <v>206</v>
      </c>
    </row>
    <row r="188" spans="1:36" s="232" customFormat="1">
      <c r="A188" s="403"/>
      <c r="B188" s="403" t="s">
        <v>109</v>
      </c>
      <c r="C188" s="666" t="s">
        <v>569</v>
      </c>
      <c r="D188" s="123" t="s">
        <v>468</v>
      </c>
      <c r="E188" s="679"/>
      <c r="F188" s="529">
        <f>VLOOKUP(D188,'Q1 2012 DMV-Revenue'!D:T,17,FALSE)</f>
        <v>-3424.4700000000012</v>
      </c>
      <c r="G188" s="694">
        <v>29180.71</v>
      </c>
      <c r="H188" s="680"/>
      <c r="I188" s="681"/>
      <c r="J188" s="682">
        <f t="shared" si="52"/>
        <v>25756.239999999998</v>
      </c>
      <c r="K188" s="683"/>
      <c r="L188" s="684"/>
      <c r="M188" s="753">
        <v>0</v>
      </c>
      <c r="N188" s="683">
        <v>0</v>
      </c>
      <c r="O188" s="686"/>
      <c r="P188" s="683">
        <v>0</v>
      </c>
      <c r="Q188" s="687">
        <f t="shared" si="55"/>
        <v>0</v>
      </c>
      <c r="R188" s="764">
        <v>0</v>
      </c>
      <c r="S188" s="693"/>
      <c r="T188" s="690">
        <f t="shared" si="53"/>
        <v>0</v>
      </c>
      <c r="U188" s="683"/>
      <c r="V188" s="474">
        <f t="shared" si="50"/>
        <v>0</v>
      </c>
      <c r="W188" s="474">
        <f t="shared" si="42"/>
        <v>0</v>
      </c>
      <c r="X188" s="475">
        <f t="shared" si="43"/>
        <v>0</v>
      </c>
      <c r="Y188" s="475">
        <v>0</v>
      </c>
      <c r="Z188" s="476">
        <v>0</v>
      </c>
      <c r="AA188" s="38">
        <f t="shared" si="51"/>
        <v>0</v>
      </c>
      <c r="AB188" s="692">
        <f t="shared" si="44"/>
        <v>0</v>
      </c>
      <c r="AC188" s="692">
        <f t="shared" si="45"/>
        <v>25756.239999999998</v>
      </c>
      <c r="AD188" s="692">
        <f t="shared" si="46"/>
        <v>0</v>
      </c>
      <c r="AE188" s="38"/>
      <c r="AF188" s="692">
        <f t="shared" si="47"/>
        <v>0</v>
      </c>
      <c r="AG188" s="692">
        <f t="shared" si="48"/>
        <v>0</v>
      </c>
      <c r="AH188" s="692">
        <f t="shared" si="49"/>
        <v>0</v>
      </c>
      <c r="AJ188" s="123" t="s">
        <v>468</v>
      </c>
    </row>
    <row r="189" spans="1:36" s="232" customFormat="1">
      <c r="A189" s="403"/>
      <c r="B189" s="403" t="s">
        <v>114</v>
      </c>
      <c r="C189" s="666"/>
      <c r="D189" s="123" t="s">
        <v>241</v>
      </c>
      <c r="E189" s="679"/>
      <c r="F189" s="529" t="str">
        <f>VLOOKUP(D189,'Q1 2012 DMV-Revenue'!D:T,17,FALSE)</f>
        <v/>
      </c>
      <c r="G189" s="680"/>
      <c r="H189" s="680"/>
      <c r="I189" s="681"/>
      <c r="J189" s="682">
        <f t="shared" si="52"/>
        <v>0</v>
      </c>
      <c r="K189" s="683"/>
      <c r="L189" s="684"/>
      <c r="M189" s="753">
        <v>0</v>
      </c>
      <c r="N189" s="683">
        <v>0</v>
      </c>
      <c r="O189" s="686"/>
      <c r="P189" s="683">
        <v>0</v>
      </c>
      <c r="Q189" s="687">
        <f t="shared" si="55"/>
        <v>0</v>
      </c>
      <c r="R189" s="764">
        <v>0</v>
      </c>
      <c r="S189" s="693"/>
      <c r="T189" s="690">
        <f t="shared" si="53"/>
        <v>0</v>
      </c>
      <c r="U189" s="683"/>
      <c r="V189" s="474">
        <f t="shared" si="50"/>
        <v>0</v>
      </c>
      <c r="W189" s="474">
        <f t="shared" si="42"/>
        <v>0</v>
      </c>
      <c r="X189" s="475">
        <f t="shared" si="43"/>
        <v>0</v>
      </c>
      <c r="Y189" s="475">
        <v>0</v>
      </c>
      <c r="Z189" s="476">
        <v>0</v>
      </c>
      <c r="AA189" s="38">
        <f t="shared" si="51"/>
        <v>0</v>
      </c>
      <c r="AB189" s="692">
        <f t="shared" si="44"/>
        <v>0</v>
      </c>
      <c r="AC189" s="692">
        <f t="shared" si="45"/>
        <v>0</v>
      </c>
      <c r="AD189" s="692">
        <f t="shared" si="46"/>
        <v>0</v>
      </c>
      <c r="AE189" s="38"/>
      <c r="AF189" s="692">
        <f t="shared" si="47"/>
        <v>0</v>
      </c>
      <c r="AG189" s="692">
        <f t="shared" si="48"/>
        <v>0</v>
      </c>
      <c r="AH189" s="692">
        <f t="shared" si="49"/>
        <v>0</v>
      </c>
      <c r="AJ189" s="123" t="s">
        <v>241</v>
      </c>
    </row>
    <row r="190" spans="1:36">
      <c r="A190" s="20"/>
      <c r="B190" s="20" t="s">
        <v>109</v>
      </c>
      <c r="C190" s="667" t="s">
        <v>570</v>
      </c>
      <c r="D190" s="68" t="s">
        <v>41</v>
      </c>
      <c r="E190" s="679"/>
      <c r="F190" s="529" t="str">
        <f>VLOOKUP(D190,'Q1 2012 DMV-Revenue'!D:T,17,FALSE)</f>
        <v/>
      </c>
      <c r="G190" s="680"/>
      <c r="H190" s="680"/>
      <c r="I190" s="681"/>
      <c r="J190" s="682">
        <f t="shared" si="52"/>
        <v>0</v>
      </c>
      <c r="K190" s="683"/>
      <c r="L190" s="684"/>
      <c r="M190" s="753">
        <v>0</v>
      </c>
      <c r="N190" s="683">
        <v>0</v>
      </c>
      <c r="O190" s="686"/>
      <c r="P190" s="683">
        <v>0</v>
      </c>
      <c r="Q190" s="687">
        <f t="shared" si="55"/>
        <v>0</v>
      </c>
      <c r="R190" s="764">
        <v>0</v>
      </c>
      <c r="S190" s="693"/>
      <c r="T190" s="690">
        <f t="shared" si="53"/>
        <v>0</v>
      </c>
      <c r="U190" s="683"/>
      <c r="V190" s="474">
        <f t="shared" si="50"/>
        <v>0</v>
      </c>
      <c r="W190" s="474">
        <f t="shared" si="42"/>
        <v>0</v>
      </c>
      <c r="X190" s="475">
        <f t="shared" si="43"/>
        <v>0</v>
      </c>
      <c r="Y190" s="475">
        <v>0</v>
      </c>
      <c r="Z190" s="476">
        <v>0</v>
      </c>
      <c r="AA190" s="38">
        <f t="shared" si="51"/>
        <v>0</v>
      </c>
      <c r="AB190" s="692">
        <f t="shared" si="44"/>
        <v>0</v>
      </c>
      <c r="AC190" s="692">
        <f t="shared" si="45"/>
        <v>0</v>
      </c>
      <c r="AD190" s="692">
        <f t="shared" si="46"/>
        <v>0</v>
      </c>
      <c r="AE190" s="38"/>
      <c r="AF190" s="692">
        <f t="shared" si="47"/>
        <v>0</v>
      </c>
      <c r="AG190" s="692">
        <f t="shared" si="48"/>
        <v>0</v>
      </c>
      <c r="AH190" s="692">
        <f t="shared" si="49"/>
        <v>0</v>
      </c>
      <c r="AJ190" s="68" t="s">
        <v>41</v>
      </c>
    </row>
    <row r="191" spans="1:36">
      <c r="A191" s="20"/>
      <c r="B191" s="20" t="s">
        <v>109</v>
      </c>
      <c r="C191" s="667" t="s">
        <v>570</v>
      </c>
      <c r="D191" s="68" t="s">
        <v>221</v>
      </c>
      <c r="E191" s="679"/>
      <c r="F191" s="529" t="str">
        <f>VLOOKUP(D191,'Q1 2012 DMV-Revenue'!D:T,17,FALSE)</f>
        <v/>
      </c>
      <c r="G191" s="680"/>
      <c r="H191" s="680"/>
      <c r="I191" s="681"/>
      <c r="J191" s="682">
        <f t="shared" si="52"/>
        <v>0</v>
      </c>
      <c r="K191" s="683"/>
      <c r="L191" s="684"/>
      <c r="M191" s="753">
        <v>0</v>
      </c>
      <c r="N191" s="683">
        <v>0</v>
      </c>
      <c r="O191" s="686"/>
      <c r="P191" s="683">
        <v>0</v>
      </c>
      <c r="Q191" s="687">
        <f t="shared" si="55"/>
        <v>0</v>
      </c>
      <c r="R191" s="764">
        <v>0</v>
      </c>
      <c r="S191" s="693"/>
      <c r="T191" s="690">
        <f t="shared" si="53"/>
        <v>0</v>
      </c>
      <c r="U191" s="683"/>
      <c r="V191" s="474">
        <f t="shared" si="50"/>
        <v>0</v>
      </c>
      <c r="W191" s="474">
        <f t="shared" si="42"/>
        <v>0</v>
      </c>
      <c r="X191" s="475">
        <f t="shared" si="43"/>
        <v>0</v>
      </c>
      <c r="Y191" s="475">
        <v>0</v>
      </c>
      <c r="Z191" s="476">
        <v>0</v>
      </c>
      <c r="AA191" s="38">
        <f t="shared" si="51"/>
        <v>0</v>
      </c>
      <c r="AB191" s="692">
        <f t="shared" si="44"/>
        <v>0</v>
      </c>
      <c r="AC191" s="692">
        <f t="shared" si="45"/>
        <v>0</v>
      </c>
      <c r="AD191" s="692">
        <f t="shared" si="46"/>
        <v>0</v>
      </c>
      <c r="AE191" s="38"/>
      <c r="AF191" s="692">
        <f t="shared" si="47"/>
        <v>0</v>
      </c>
      <c r="AG191" s="692">
        <f t="shared" si="48"/>
        <v>0</v>
      </c>
      <c r="AH191" s="692">
        <f t="shared" si="49"/>
        <v>0</v>
      </c>
      <c r="AJ191" s="68" t="s">
        <v>221</v>
      </c>
    </row>
    <row r="192" spans="1:36">
      <c r="A192" s="20"/>
      <c r="B192" s="20" t="s">
        <v>110</v>
      </c>
      <c r="C192" s="667"/>
      <c r="D192" s="68" t="s">
        <v>508</v>
      </c>
      <c r="E192" s="679"/>
      <c r="F192" s="529" t="str">
        <f>VLOOKUP(D192,'Q1 2012 DMV-Revenue'!D:T,17,FALSE)</f>
        <v/>
      </c>
      <c r="G192" s="680"/>
      <c r="H192" s="680"/>
      <c r="I192" s="681"/>
      <c r="J192" s="682">
        <f t="shared" ref="J192" si="60">SUM(E192:I192)</f>
        <v>0</v>
      </c>
      <c r="K192" s="683"/>
      <c r="L192" s="684"/>
      <c r="M192" s="753">
        <v>0</v>
      </c>
      <c r="N192" s="683">
        <v>0</v>
      </c>
      <c r="O192" s="686"/>
      <c r="P192" s="683">
        <v>0</v>
      </c>
      <c r="Q192" s="687">
        <f t="shared" si="55"/>
        <v>0</v>
      </c>
      <c r="R192" s="764">
        <v>0</v>
      </c>
      <c r="S192" s="693"/>
      <c r="T192" s="690">
        <f t="shared" si="53"/>
        <v>0</v>
      </c>
      <c r="U192" s="683"/>
      <c r="V192" s="474">
        <f t="shared" si="50"/>
        <v>0</v>
      </c>
      <c r="W192" s="474">
        <f t="shared" si="42"/>
        <v>0</v>
      </c>
      <c r="X192" s="475">
        <f t="shared" si="43"/>
        <v>0</v>
      </c>
      <c r="Y192" s="475">
        <v>0</v>
      </c>
      <c r="Z192" s="476">
        <v>0</v>
      </c>
      <c r="AA192" s="38">
        <f t="shared" si="51"/>
        <v>0</v>
      </c>
      <c r="AB192" s="692">
        <f t="shared" si="44"/>
        <v>0</v>
      </c>
      <c r="AC192" s="692">
        <f t="shared" si="45"/>
        <v>0</v>
      </c>
      <c r="AD192" s="692">
        <f t="shared" si="46"/>
        <v>0</v>
      </c>
      <c r="AE192" s="38"/>
      <c r="AF192" s="692">
        <f t="shared" si="47"/>
        <v>0</v>
      </c>
      <c r="AG192" s="692">
        <f t="shared" si="48"/>
        <v>0</v>
      </c>
      <c r="AH192" s="692">
        <f t="shared" si="49"/>
        <v>0</v>
      </c>
      <c r="AJ192" s="68" t="s">
        <v>508</v>
      </c>
    </row>
    <row r="193" spans="1:36">
      <c r="A193" s="21"/>
      <c r="B193" s="21" t="s">
        <v>110</v>
      </c>
      <c r="C193" s="666"/>
      <c r="D193" s="68" t="s">
        <v>43</v>
      </c>
      <c r="E193" s="679"/>
      <c r="F193" s="529">
        <f>VLOOKUP(D193,'Q1 2012 DMV-Revenue'!D:T,17,FALSE)</f>
        <v>912.41</v>
      </c>
      <c r="G193" s="694">
        <v>458.97</v>
      </c>
      <c r="H193" s="680"/>
      <c r="I193" s="681"/>
      <c r="J193" s="682">
        <f t="shared" si="52"/>
        <v>1371.38</v>
      </c>
      <c r="K193" s="683"/>
      <c r="L193" s="684"/>
      <c r="M193" s="753">
        <v>0</v>
      </c>
      <c r="N193" s="683">
        <v>0</v>
      </c>
      <c r="O193" s="686"/>
      <c r="P193" s="683">
        <v>0</v>
      </c>
      <c r="Q193" s="687">
        <f t="shared" si="55"/>
        <v>0</v>
      </c>
      <c r="R193" s="764">
        <v>0</v>
      </c>
      <c r="S193" s="693"/>
      <c r="T193" s="690">
        <f t="shared" si="53"/>
        <v>0</v>
      </c>
      <c r="U193" s="683"/>
      <c r="V193" s="474">
        <f t="shared" si="50"/>
        <v>0</v>
      </c>
      <c r="W193" s="474">
        <f t="shared" si="42"/>
        <v>0</v>
      </c>
      <c r="X193" s="475">
        <f t="shared" si="43"/>
        <v>0</v>
      </c>
      <c r="Y193" s="475">
        <v>0</v>
      </c>
      <c r="Z193" s="476">
        <v>0</v>
      </c>
      <c r="AA193" s="38">
        <f t="shared" si="51"/>
        <v>0</v>
      </c>
      <c r="AB193" s="692">
        <f t="shared" si="44"/>
        <v>1371.38</v>
      </c>
      <c r="AC193" s="692">
        <f t="shared" si="45"/>
        <v>0</v>
      </c>
      <c r="AD193" s="692">
        <f t="shared" si="46"/>
        <v>0</v>
      </c>
      <c r="AE193" s="38"/>
      <c r="AF193" s="692">
        <f t="shared" si="47"/>
        <v>0</v>
      </c>
      <c r="AG193" s="692">
        <f t="shared" si="48"/>
        <v>0</v>
      </c>
      <c r="AH193" s="692">
        <f t="shared" si="49"/>
        <v>0</v>
      </c>
      <c r="AJ193" s="68" t="s">
        <v>43</v>
      </c>
    </row>
    <row r="194" spans="1:36">
      <c r="A194" s="21"/>
      <c r="B194" s="21" t="s">
        <v>109</v>
      </c>
      <c r="C194" s="666" t="s">
        <v>571</v>
      </c>
      <c r="D194" s="68" t="s">
        <v>44</v>
      </c>
      <c r="E194" s="679"/>
      <c r="F194" s="529" t="str">
        <f>VLOOKUP(D194,'Q1 2012 DMV-Revenue'!D:T,17,FALSE)</f>
        <v/>
      </c>
      <c r="G194" s="694">
        <f>187.2+8006.4+0.8</f>
        <v>8194.4</v>
      </c>
      <c r="H194" s="680"/>
      <c r="I194" s="681"/>
      <c r="J194" s="682">
        <f t="shared" si="52"/>
        <v>8194.4</v>
      </c>
      <c r="K194" s="683"/>
      <c r="L194" s="684"/>
      <c r="M194" s="753">
        <v>0</v>
      </c>
      <c r="N194" s="683">
        <v>0</v>
      </c>
      <c r="O194" s="686"/>
      <c r="P194" s="683">
        <v>0</v>
      </c>
      <c r="Q194" s="687">
        <f t="shared" si="55"/>
        <v>0</v>
      </c>
      <c r="R194" s="764">
        <v>0</v>
      </c>
      <c r="S194" s="693"/>
      <c r="T194" s="690">
        <f t="shared" si="53"/>
        <v>0</v>
      </c>
      <c r="U194" s="683"/>
      <c r="V194" s="474">
        <f t="shared" si="50"/>
        <v>0</v>
      </c>
      <c r="W194" s="474">
        <f t="shared" si="42"/>
        <v>0</v>
      </c>
      <c r="X194" s="475">
        <f t="shared" si="43"/>
        <v>0</v>
      </c>
      <c r="Y194" s="475">
        <v>0</v>
      </c>
      <c r="Z194" s="476">
        <v>0</v>
      </c>
      <c r="AA194" s="38">
        <f t="shared" si="51"/>
        <v>0</v>
      </c>
      <c r="AB194" s="692">
        <f t="shared" si="44"/>
        <v>0</v>
      </c>
      <c r="AC194" s="692">
        <f t="shared" si="45"/>
        <v>8194.4</v>
      </c>
      <c r="AD194" s="692">
        <f t="shared" si="46"/>
        <v>0</v>
      </c>
      <c r="AE194" s="38"/>
      <c r="AF194" s="692">
        <f t="shared" si="47"/>
        <v>0</v>
      </c>
      <c r="AG194" s="692">
        <f t="shared" si="48"/>
        <v>0</v>
      </c>
      <c r="AH194" s="692">
        <f t="shared" si="49"/>
        <v>0</v>
      </c>
      <c r="AJ194" s="68" t="s">
        <v>44</v>
      </c>
    </row>
    <row r="195" spans="1:36">
      <c r="A195" s="21"/>
      <c r="B195" s="21" t="s">
        <v>114</v>
      </c>
      <c r="C195" s="666" t="s">
        <v>571</v>
      </c>
      <c r="D195" s="68" t="s">
        <v>44</v>
      </c>
      <c r="E195" s="679"/>
      <c r="F195" s="529" t="str">
        <f>VLOOKUP(D195,'Q1 2012 DMV-Revenue'!D:T,17,FALSE)</f>
        <v/>
      </c>
      <c r="G195" s="694">
        <f>2.7+322.2</f>
        <v>324.89999999999998</v>
      </c>
      <c r="H195" s="680"/>
      <c r="I195" s="681"/>
      <c r="J195" s="682">
        <f t="shared" ref="J195" si="61">SUM(E195:I195)</f>
        <v>324.89999999999998</v>
      </c>
      <c r="K195" s="683"/>
      <c r="L195" s="684"/>
      <c r="M195" s="753">
        <v>0</v>
      </c>
      <c r="N195" s="683">
        <v>0</v>
      </c>
      <c r="O195" s="686"/>
      <c r="P195" s="683">
        <v>0</v>
      </c>
      <c r="Q195" s="687">
        <f t="shared" si="55"/>
        <v>0</v>
      </c>
      <c r="R195" s="764">
        <v>0</v>
      </c>
      <c r="S195" s="693"/>
      <c r="T195" s="690">
        <f t="shared" si="53"/>
        <v>0</v>
      </c>
      <c r="U195" s="683"/>
      <c r="V195" s="474">
        <f t="shared" si="50"/>
        <v>0</v>
      </c>
      <c r="W195" s="474">
        <f t="shared" ref="W195:W253" si="62">IF(B195="M",Q195,0)</f>
        <v>0</v>
      </c>
      <c r="X195" s="475">
        <f t="shared" ref="X195:X253" si="63">IF(B195="V",Q195,0)</f>
        <v>0</v>
      </c>
      <c r="Y195" s="475">
        <v>0</v>
      </c>
      <c r="Z195" s="476">
        <v>0</v>
      </c>
      <c r="AA195" s="38">
        <f t="shared" si="51"/>
        <v>0</v>
      </c>
      <c r="AB195" s="692">
        <f t="shared" ref="AB195:AB253" si="64">IF(B195="D",J195,0)</f>
        <v>0</v>
      </c>
      <c r="AC195" s="692">
        <f t="shared" ref="AC195:AC253" si="65">IF(B195="M",J195,0)</f>
        <v>0</v>
      </c>
      <c r="AD195" s="692">
        <f t="shared" ref="AD195:AD253" si="66">IF(B195="V",J195,0)</f>
        <v>324.89999999999998</v>
      </c>
      <c r="AE195" s="38"/>
      <c r="AF195" s="692">
        <f t="shared" ref="AF195:AF253" si="67">IF(B195="D",Q195,0)</f>
        <v>0</v>
      </c>
      <c r="AG195" s="692">
        <f t="shared" ref="AG195:AG253" si="68">IF(B195="M",Q195,0)</f>
        <v>0</v>
      </c>
      <c r="AH195" s="692">
        <f t="shared" ref="AH195:AH253" si="69">IF(B195="V",Q195,0)</f>
        <v>0</v>
      </c>
      <c r="AJ195" s="68" t="s">
        <v>44</v>
      </c>
    </row>
    <row r="196" spans="1:36">
      <c r="A196" s="21"/>
      <c r="B196" s="21" t="s">
        <v>110</v>
      </c>
      <c r="C196" s="666" t="s">
        <v>572</v>
      </c>
      <c r="D196" s="68" t="s">
        <v>388</v>
      </c>
      <c r="E196" s="679"/>
      <c r="F196" s="529">
        <f>VLOOKUP(D196,'Q1 2012 DMV-Revenue'!D:T,17,FALSE)</f>
        <v>-25000</v>
      </c>
      <c r="G196" s="680"/>
      <c r="H196" s="680"/>
      <c r="I196" s="681"/>
      <c r="J196" s="682">
        <f t="shared" si="52"/>
        <v>-25000</v>
      </c>
      <c r="K196" s="683"/>
      <c r="L196" s="684"/>
      <c r="M196" s="753">
        <v>35000</v>
      </c>
      <c r="N196" s="683">
        <v>0</v>
      </c>
      <c r="O196" s="686"/>
      <c r="P196" s="683">
        <v>0</v>
      </c>
      <c r="Q196" s="687">
        <f t="shared" si="55"/>
        <v>35000</v>
      </c>
      <c r="R196" s="764">
        <v>13338.33</v>
      </c>
      <c r="S196" s="693"/>
      <c r="T196" s="690">
        <f t="shared" si="53"/>
        <v>-21661.67</v>
      </c>
      <c r="U196" s="683"/>
      <c r="V196" s="474">
        <f t="shared" si="50"/>
        <v>35000</v>
      </c>
      <c r="W196" s="474">
        <f t="shared" si="62"/>
        <v>0</v>
      </c>
      <c r="X196" s="475">
        <f t="shared" si="63"/>
        <v>0</v>
      </c>
      <c r="Y196" s="475">
        <v>0</v>
      </c>
      <c r="Z196" s="476">
        <v>0</v>
      </c>
      <c r="AA196" s="38">
        <f t="shared" si="51"/>
        <v>0</v>
      </c>
      <c r="AB196" s="692">
        <f t="shared" si="64"/>
        <v>-25000</v>
      </c>
      <c r="AC196" s="692">
        <f t="shared" si="65"/>
        <v>0</v>
      </c>
      <c r="AD196" s="692">
        <f t="shared" si="66"/>
        <v>0</v>
      </c>
      <c r="AE196" s="38"/>
      <c r="AF196" s="692">
        <f t="shared" si="67"/>
        <v>35000</v>
      </c>
      <c r="AG196" s="692">
        <f t="shared" si="68"/>
        <v>0</v>
      </c>
      <c r="AH196" s="692">
        <f t="shared" si="69"/>
        <v>0</v>
      </c>
      <c r="AJ196" s="68" t="s">
        <v>388</v>
      </c>
    </row>
    <row r="197" spans="1:36">
      <c r="A197" s="21"/>
      <c r="B197" s="21" t="s">
        <v>110</v>
      </c>
      <c r="C197" s="666"/>
      <c r="D197" s="68" t="s">
        <v>45</v>
      </c>
      <c r="E197" s="679"/>
      <c r="F197" s="529">
        <f>VLOOKUP(D197,'Q1 2012 DMV-Revenue'!D:T,17,FALSE)</f>
        <v>1933.5200000000004</v>
      </c>
      <c r="G197" s="680"/>
      <c r="H197" s="680"/>
      <c r="I197" s="681"/>
      <c r="J197" s="682">
        <f t="shared" si="52"/>
        <v>1933.5200000000004</v>
      </c>
      <c r="K197" s="683"/>
      <c r="L197" s="684"/>
      <c r="M197" s="753">
        <v>12000</v>
      </c>
      <c r="N197" s="683">
        <v>0</v>
      </c>
      <c r="O197" s="686"/>
      <c r="P197" s="683">
        <v>0</v>
      </c>
      <c r="Q197" s="687">
        <f t="shared" si="55"/>
        <v>12000</v>
      </c>
      <c r="R197" s="764">
        <f>12161.5+569.81</f>
        <v>12731.31</v>
      </c>
      <c r="S197" s="693"/>
      <c r="T197" s="690">
        <f t="shared" si="53"/>
        <v>731.30999999999949</v>
      </c>
      <c r="U197" s="683"/>
      <c r="V197" s="474">
        <f t="shared" ref="V197:V253" si="70">IF(B197="D",Q197,0)</f>
        <v>12000</v>
      </c>
      <c r="W197" s="474">
        <f t="shared" si="62"/>
        <v>0</v>
      </c>
      <c r="X197" s="475">
        <f t="shared" si="63"/>
        <v>0</v>
      </c>
      <c r="Y197" s="475">
        <v>0</v>
      </c>
      <c r="Z197" s="476">
        <v>0</v>
      </c>
      <c r="AA197" s="38">
        <f t="shared" ref="AA197:AA253" si="71">(L197+M197)-(V197+W197+X197+Y197+Z197)</f>
        <v>0</v>
      </c>
      <c r="AB197" s="692">
        <f t="shared" si="64"/>
        <v>1933.5200000000004</v>
      </c>
      <c r="AC197" s="692">
        <f t="shared" si="65"/>
        <v>0</v>
      </c>
      <c r="AD197" s="692">
        <f t="shared" si="66"/>
        <v>0</v>
      </c>
      <c r="AE197" s="38"/>
      <c r="AF197" s="692">
        <f t="shared" si="67"/>
        <v>12000</v>
      </c>
      <c r="AG197" s="692">
        <f t="shared" si="68"/>
        <v>0</v>
      </c>
      <c r="AH197" s="692">
        <f t="shared" si="69"/>
        <v>0</v>
      </c>
      <c r="AJ197" s="68" t="s">
        <v>45</v>
      </c>
    </row>
    <row r="198" spans="1:36">
      <c r="A198" s="21"/>
      <c r="B198" s="21" t="s">
        <v>109</v>
      </c>
      <c r="C198" s="666"/>
      <c r="D198" s="68" t="s">
        <v>47</v>
      </c>
      <c r="E198" s="679"/>
      <c r="F198" s="529" t="str">
        <f>VLOOKUP(D198,'Q1 2012 DMV-Revenue'!D:T,17,FALSE)</f>
        <v/>
      </c>
      <c r="G198" s="680"/>
      <c r="H198" s="680"/>
      <c r="I198" s="681"/>
      <c r="J198" s="682">
        <f t="shared" si="52"/>
        <v>0</v>
      </c>
      <c r="K198" s="683"/>
      <c r="L198" s="684"/>
      <c r="M198" s="753">
        <v>0</v>
      </c>
      <c r="N198" s="683">
        <v>0</v>
      </c>
      <c r="O198" s="686"/>
      <c r="P198" s="683">
        <v>0</v>
      </c>
      <c r="Q198" s="687">
        <f t="shared" si="55"/>
        <v>0</v>
      </c>
      <c r="R198" s="764">
        <v>0</v>
      </c>
      <c r="S198" s="693"/>
      <c r="T198" s="690">
        <f t="shared" si="53"/>
        <v>0</v>
      </c>
      <c r="U198" s="683"/>
      <c r="V198" s="474">
        <f t="shared" si="70"/>
        <v>0</v>
      </c>
      <c r="W198" s="474">
        <f t="shared" si="62"/>
        <v>0</v>
      </c>
      <c r="X198" s="475">
        <f t="shared" si="63"/>
        <v>0</v>
      </c>
      <c r="Y198" s="475">
        <v>0</v>
      </c>
      <c r="Z198" s="476">
        <v>0</v>
      </c>
      <c r="AA198" s="38">
        <f t="shared" si="71"/>
        <v>0</v>
      </c>
      <c r="AB198" s="692">
        <f t="shared" si="64"/>
        <v>0</v>
      </c>
      <c r="AC198" s="692">
        <f t="shared" si="65"/>
        <v>0</v>
      </c>
      <c r="AD198" s="692">
        <f t="shared" si="66"/>
        <v>0</v>
      </c>
      <c r="AE198" s="38"/>
      <c r="AF198" s="692">
        <f t="shared" si="67"/>
        <v>0</v>
      </c>
      <c r="AG198" s="692">
        <f t="shared" si="68"/>
        <v>0</v>
      </c>
      <c r="AH198" s="692">
        <f t="shared" si="69"/>
        <v>0</v>
      </c>
      <c r="AJ198" s="68" t="s">
        <v>47</v>
      </c>
    </row>
    <row r="199" spans="1:36">
      <c r="A199" s="20" t="s">
        <v>211</v>
      </c>
      <c r="B199" s="20" t="s">
        <v>110</v>
      </c>
      <c r="C199" s="667"/>
      <c r="D199" s="68" t="s">
        <v>233</v>
      </c>
      <c r="E199" s="679"/>
      <c r="F199" s="529" t="str">
        <f>VLOOKUP(D199,'Q1 2012 DMV-Revenue'!D:T,17,FALSE)</f>
        <v/>
      </c>
      <c r="G199" s="680"/>
      <c r="H199" s="680"/>
      <c r="I199" s="681"/>
      <c r="J199" s="682">
        <f t="shared" si="52"/>
        <v>0</v>
      </c>
      <c r="K199" s="683"/>
      <c r="L199" s="684"/>
      <c r="M199" s="753">
        <v>0</v>
      </c>
      <c r="N199" s="683">
        <v>0</v>
      </c>
      <c r="O199" s="686"/>
      <c r="P199" s="683">
        <v>0</v>
      </c>
      <c r="Q199" s="687">
        <f t="shared" si="55"/>
        <v>0</v>
      </c>
      <c r="R199" s="764">
        <v>0</v>
      </c>
      <c r="S199" s="693"/>
      <c r="T199" s="690">
        <f t="shared" si="53"/>
        <v>0</v>
      </c>
      <c r="U199" s="697"/>
      <c r="V199" s="474">
        <f t="shared" si="70"/>
        <v>0</v>
      </c>
      <c r="W199" s="474">
        <f t="shared" si="62"/>
        <v>0</v>
      </c>
      <c r="X199" s="475">
        <f t="shared" si="63"/>
        <v>0</v>
      </c>
      <c r="Y199" s="475">
        <v>0</v>
      </c>
      <c r="Z199" s="476">
        <v>0</v>
      </c>
      <c r="AA199" s="38">
        <f t="shared" si="71"/>
        <v>0</v>
      </c>
      <c r="AB199" s="692">
        <f t="shared" si="64"/>
        <v>0</v>
      </c>
      <c r="AC199" s="692">
        <f t="shared" si="65"/>
        <v>0</v>
      </c>
      <c r="AD199" s="692">
        <f t="shared" si="66"/>
        <v>0</v>
      </c>
      <c r="AE199" s="38"/>
      <c r="AF199" s="692">
        <f t="shared" si="67"/>
        <v>0</v>
      </c>
      <c r="AG199" s="692">
        <f t="shared" si="68"/>
        <v>0</v>
      </c>
      <c r="AH199" s="692">
        <f t="shared" si="69"/>
        <v>0</v>
      </c>
      <c r="AJ199" s="68" t="s">
        <v>233</v>
      </c>
    </row>
    <row r="200" spans="1:36">
      <c r="A200" s="20" t="s">
        <v>211</v>
      </c>
      <c r="B200" s="20" t="s">
        <v>110</v>
      </c>
      <c r="C200" s="667"/>
      <c r="D200" s="68" t="s">
        <v>503</v>
      </c>
      <c r="E200" s="679"/>
      <c r="F200" s="529" t="str">
        <f>VLOOKUP(D200,'Q1 2012 DMV-Revenue'!D:T,17,FALSE)</f>
        <v/>
      </c>
      <c r="G200" s="680"/>
      <c r="H200" s="680"/>
      <c r="I200" s="681"/>
      <c r="J200" s="682">
        <f t="shared" ref="J200" si="72">SUM(E200:I200)</f>
        <v>0</v>
      </c>
      <c r="K200" s="683"/>
      <c r="L200" s="684"/>
      <c r="M200" s="753">
        <v>0</v>
      </c>
      <c r="N200" s="683">
        <v>0</v>
      </c>
      <c r="O200" s="686"/>
      <c r="P200" s="683">
        <v>0</v>
      </c>
      <c r="Q200" s="687">
        <f t="shared" si="55"/>
        <v>0</v>
      </c>
      <c r="R200" s="764">
        <v>0</v>
      </c>
      <c r="S200" s="693"/>
      <c r="T200" s="690">
        <f t="shared" si="53"/>
        <v>0</v>
      </c>
      <c r="U200" s="697"/>
      <c r="V200" s="474">
        <f t="shared" si="70"/>
        <v>0</v>
      </c>
      <c r="W200" s="474">
        <f t="shared" si="62"/>
        <v>0</v>
      </c>
      <c r="X200" s="475">
        <f t="shared" si="63"/>
        <v>0</v>
      </c>
      <c r="Y200" s="475">
        <v>0</v>
      </c>
      <c r="Z200" s="476">
        <v>0</v>
      </c>
      <c r="AA200" s="38">
        <f t="shared" si="71"/>
        <v>0</v>
      </c>
      <c r="AB200" s="692">
        <f t="shared" si="64"/>
        <v>0</v>
      </c>
      <c r="AC200" s="692">
        <f t="shared" si="65"/>
        <v>0</v>
      </c>
      <c r="AD200" s="692">
        <f t="shared" si="66"/>
        <v>0</v>
      </c>
      <c r="AE200" s="38"/>
      <c r="AF200" s="692">
        <f t="shared" si="67"/>
        <v>0</v>
      </c>
      <c r="AG200" s="692">
        <f t="shared" si="68"/>
        <v>0</v>
      </c>
      <c r="AH200" s="692">
        <f t="shared" si="69"/>
        <v>0</v>
      </c>
      <c r="AJ200" s="68" t="s">
        <v>503</v>
      </c>
    </row>
    <row r="201" spans="1:36">
      <c r="A201" s="20" t="s">
        <v>211</v>
      </c>
      <c r="B201" s="20" t="s">
        <v>109</v>
      </c>
      <c r="C201" s="667"/>
      <c r="D201" s="68" t="s">
        <v>48</v>
      </c>
      <c r="E201" s="679"/>
      <c r="F201" s="529" t="str">
        <f>VLOOKUP(D201,'Q1 2012 DMV-Revenue'!D:T,17,FALSE)</f>
        <v/>
      </c>
      <c r="G201" s="680"/>
      <c r="H201" s="680"/>
      <c r="I201" s="681"/>
      <c r="J201" s="682">
        <f t="shared" si="52"/>
        <v>0</v>
      </c>
      <c r="K201" s="683"/>
      <c r="L201" s="684"/>
      <c r="M201" s="753">
        <v>0</v>
      </c>
      <c r="N201" s="683">
        <v>0</v>
      </c>
      <c r="O201" s="686"/>
      <c r="P201" s="683">
        <v>0</v>
      </c>
      <c r="Q201" s="687">
        <f t="shared" si="55"/>
        <v>0</v>
      </c>
      <c r="R201" s="764">
        <v>0</v>
      </c>
      <c r="S201" s="693"/>
      <c r="T201" s="690">
        <f t="shared" si="53"/>
        <v>0</v>
      </c>
      <c r="U201" s="697"/>
      <c r="V201" s="474">
        <f t="shared" si="70"/>
        <v>0</v>
      </c>
      <c r="W201" s="474">
        <f t="shared" si="62"/>
        <v>0</v>
      </c>
      <c r="X201" s="475">
        <f t="shared" si="63"/>
        <v>0</v>
      </c>
      <c r="Y201" s="475">
        <v>0</v>
      </c>
      <c r="Z201" s="476">
        <v>0</v>
      </c>
      <c r="AA201" s="38">
        <f t="shared" si="71"/>
        <v>0</v>
      </c>
      <c r="AB201" s="692">
        <f t="shared" si="64"/>
        <v>0</v>
      </c>
      <c r="AC201" s="692">
        <f t="shared" si="65"/>
        <v>0</v>
      </c>
      <c r="AD201" s="692">
        <f t="shared" si="66"/>
        <v>0</v>
      </c>
      <c r="AE201" s="38"/>
      <c r="AF201" s="692">
        <f t="shared" si="67"/>
        <v>0</v>
      </c>
      <c r="AG201" s="692">
        <f t="shared" si="68"/>
        <v>0</v>
      </c>
      <c r="AH201" s="692">
        <f t="shared" si="69"/>
        <v>0</v>
      </c>
      <c r="AJ201" s="68" t="s">
        <v>48</v>
      </c>
    </row>
    <row r="202" spans="1:36">
      <c r="A202" s="20"/>
      <c r="B202" s="20" t="s">
        <v>110</v>
      </c>
      <c r="C202" s="667" t="s">
        <v>573</v>
      </c>
      <c r="D202" s="68" t="s">
        <v>102</v>
      </c>
      <c r="E202" s="679"/>
      <c r="F202" s="529">
        <f>VLOOKUP(D202,'Q1 2012 DMV-Revenue'!D:T,17,FALSE)</f>
        <v>92272.560000000056</v>
      </c>
      <c r="G202" s="680"/>
      <c r="H202" s="680"/>
      <c r="I202" s="681"/>
      <c r="J202" s="682">
        <f t="shared" si="52"/>
        <v>92272.560000000056</v>
      </c>
      <c r="K202" s="683"/>
      <c r="L202" s="684"/>
      <c r="M202" s="753">
        <v>700000</v>
      </c>
      <c r="N202" s="683">
        <v>0</v>
      </c>
      <c r="O202" s="686"/>
      <c r="P202" s="683">
        <v>0</v>
      </c>
      <c r="Q202" s="687">
        <f t="shared" si="55"/>
        <v>700000</v>
      </c>
      <c r="R202" s="764">
        <v>736882.66</v>
      </c>
      <c r="S202" s="693"/>
      <c r="T202" s="690">
        <f t="shared" si="53"/>
        <v>36882.660000000033</v>
      </c>
      <c r="U202" s="697"/>
      <c r="V202" s="474">
        <f t="shared" si="70"/>
        <v>700000</v>
      </c>
      <c r="W202" s="474">
        <f t="shared" si="62"/>
        <v>0</v>
      </c>
      <c r="X202" s="475">
        <f t="shared" si="63"/>
        <v>0</v>
      </c>
      <c r="Y202" s="475">
        <v>0</v>
      </c>
      <c r="Z202" s="476">
        <v>0</v>
      </c>
      <c r="AA202" s="38">
        <f t="shared" si="71"/>
        <v>0</v>
      </c>
      <c r="AB202" s="692">
        <f t="shared" si="64"/>
        <v>92272.560000000056</v>
      </c>
      <c r="AC202" s="692">
        <f t="shared" si="65"/>
        <v>0</v>
      </c>
      <c r="AD202" s="692">
        <f t="shared" si="66"/>
        <v>0</v>
      </c>
      <c r="AE202" s="38"/>
      <c r="AF202" s="692">
        <f t="shared" si="67"/>
        <v>700000</v>
      </c>
      <c r="AG202" s="692">
        <f t="shared" si="68"/>
        <v>0</v>
      </c>
      <c r="AH202" s="692">
        <f t="shared" si="69"/>
        <v>0</v>
      </c>
      <c r="AJ202" s="68" t="s">
        <v>102</v>
      </c>
    </row>
    <row r="203" spans="1:36">
      <c r="A203" s="20"/>
      <c r="B203" s="20" t="s">
        <v>110</v>
      </c>
      <c r="C203" s="667" t="s">
        <v>573</v>
      </c>
      <c r="D203" s="68" t="s">
        <v>511</v>
      </c>
      <c r="E203" s="679"/>
      <c r="F203" s="529">
        <f>VLOOKUP(D203,'Q1 2012 DMV-Revenue'!D:T,17,FALSE)</f>
        <v>-30000</v>
      </c>
      <c r="G203" s="680"/>
      <c r="H203" s="680"/>
      <c r="I203" s="681"/>
      <c r="J203" s="682">
        <f t="shared" ref="J203" si="73">SUM(E203:I203)</f>
        <v>-30000</v>
      </c>
      <c r="K203" s="683"/>
      <c r="L203" s="684"/>
      <c r="M203" s="753">
        <v>30000</v>
      </c>
      <c r="N203" s="683">
        <v>0</v>
      </c>
      <c r="O203" s="686"/>
      <c r="P203" s="683">
        <v>0</v>
      </c>
      <c r="Q203" s="687">
        <f t="shared" si="55"/>
        <v>30000</v>
      </c>
      <c r="R203" s="764">
        <v>0</v>
      </c>
      <c r="S203" s="693"/>
      <c r="T203" s="690">
        <f t="shared" si="53"/>
        <v>-30000</v>
      </c>
      <c r="U203" s="697"/>
      <c r="V203" s="474">
        <f t="shared" si="70"/>
        <v>30000</v>
      </c>
      <c r="W203" s="474">
        <f t="shared" si="62"/>
        <v>0</v>
      </c>
      <c r="X203" s="475">
        <f t="shared" si="63"/>
        <v>0</v>
      </c>
      <c r="Y203" s="475">
        <v>0</v>
      </c>
      <c r="Z203" s="476">
        <v>0</v>
      </c>
      <c r="AA203" s="38">
        <f t="shared" si="71"/>
        <v>0</v>
      </c>
      <c r="AB203" s="692">
        <f t="shared" si="64"/>
        <v>-30000</v>
      </c>
      <c r="AC203" s="692">
        <f t="shared" si="65"/>
        <v>0</v>
      </c>
      <c r="AD203" s="692">
        <f t="shared" si="66"/>
        <v>0</v>
      </c>
      <c r="AE203" s="38"/>
      <c r="AF203" s="692">
        <f t="shared" si="67"/>
        <v>30000</v>
      </c>
      <c r="AG203" s="692">
        <f t="shared" si="68"/>
        <v>0</v>
      </c>
      <c r="AH203" s="692">
        <f t="shared" si="69"/>
        <v>0</v>
      </c>
      <c r="AJ203" s="68" t="s">
        <v>511</v>
      </c>
    </row>
    <row r="204" spans="1:36">
      <c r="A204" s="21"/>
      <c r="B204" s="21" t="s">
        <v>110</v>
      </c>
      <c r="C204" s="666"/>
      <c r="D204" s="68" t="s">
        <v>50</v>
      </c>
      <c r="E204" s="679"/>
      <c r="F204" s="529" t="str">
        <f>VLOOKUP(D204,'Q1 2012 DMV-Revenue'!D:T,17,FALSE)</f>
        <v/>
      </c>
      <c r="G204" s="680"/>
      <c r="H204" s="680"/>
      <c r="I204" s="681"/>
      <c r="J204" s="682">
        <f t="shared" si="52"/>
        <v>0</v>
      </c>
      <c r="K204" s="683"/>
      <c r="L204" s="684"/>
      <c r="M204" s="753">
        <v>0</v>
      </c>
      <c r="N204" s="683">
        <v>0</v>
      </c>
      <c r="O204" s="686"/>
      <c r="P204" s="683">
        <v>0</v>
      </c>
      <c r="Q204" s="687">
        <f t="shared" si="55"/>
        <v>0</v>
      </c>
      <c r="R204" s="764">
        <v>1282.6099999999999</v>
      </c>
      <c r="S204" s="693"/>
      <c r="T204" s="690">
        <f t="shared" si="53"/>
        <v>1282.6099999999999</v>
      </c>
      <c r="U204" s="683"/>
      <c r="V204" s="474">
        <f t="shared" si="70"/>
        <v>0</v>
      </c>
      <c r="W204" s="474">
        <f t="shared" si="62"/>
        <v>0</v>
      </c>
      <c r="X204" s="475">
        <f t="shared" si="63"/>
        <v>0</v>
      </c>
      <c r="Y204" s="475">
        <v>0</v>
      </c>
      <c r="Z204" s="476">
        <v>0</v>
      </c>
      <c r="AA204" s="38">
        <f t="shared" si="71"/>
        <v>0</v>
      </c>
      <c r="AB204" s="692">
        <f t="shared" si="64"/>
        <v>0</v>
      </c>
      <c r="AC204" s="692">
        <f t="shared" si="65"/>
        <v>0</v>
      </c>
      <c r="AD204" s="692">
        <f t="shared" si="66"/>
        <v>0</v>
      </c>
      <c r="AE204" s="38"/>
      <c r="AF204" s="692">
        <f t="shared" si="67"/>
        <v>0</v>
      </c>
      <c r="AG204" s="692">
        <f t="shared" si="68"/>
        <v>0</v>
      </c>
      <c r="AH204" s="692">
        <f t="shared" si="69"/>
        <v>0</v>
      </c>
      <c r="AJ204" s="68" t="s">
        <v>50</v>
      </c>
    </row>
    <row r="205" spans="1:36">
      <c r="A205" s="21"/>
      <c r="B205" s="21" t="s">
        <v>109</v>
      </c>
      <c r="C205" s="666"/>
      <c r="D205" s="68" t="s">
        <v>51</v>
      </c>
      <c r="E205" s="679"/>
      <c r="F205" s="529" t="str">
        <f>VLOOKUP(D205,'Q1 2012 DMV-Revenue'!D:T,17,FALSE)</f>
        <v/>
      </c>
      <c r="G205" s="680"/>
      <c r="H205" s="680"/>
      <c r="I205" s="681"/>
      <c r="J205" s="682">
        <f t="shared" si="52"/>
        <v>0</v>
      </c>
      <c r="K205" s="683"/>
      <c r="L205" s="684"/>
      <c r="M205" s="753">
        <v>0</v>
      </c>
      <c r="N205" s="683">
        <v>0</v>
      </c>
      <c r="O205" s="686"/>
      <c r="P205" s="683">
        <v>0</v>
      </c>
      <c r="Q205" s="687">
        <f t="shared" si="55"/>
        <v>0</v>
      </c>
      <c r="R205" s="764">
        <v>0</v>
      </c>
      <c r="S205" s="693"/>
      <c r="T205" s="690">
        <f t="shared" si="53"/>
        <v>0</v>
      </c>
      <c r="U205" s="683"/>
      <c r="V205" s="474">
        <f t="shared" si="70"/>
        <v>0</v>
      </c>
      <c r="W205" s="474">
        <f t="shared" si="62"/>
        <v>0</v>
      </c>
      <c r="X205" s="475">
        <f t="shared" si="63"/>
        <v>0</v>
      </c>
      <c r="Y205" s="475">
        <v>0</v>
      </c>
      <c r="Z205" s="476">
        <v>0</v>
      </c>
      <c r="AA205" s="38">
        <f t="shared" si="71"/>
        <v>0</v>
      </c>
      <c r="AB205" s="692">
        <f t="shared" si="64"/>
        <v>0</v>
      </c>
      <c r="AC205" s="692">
        <f t="shared" si="65"/>
        <v>0</v>
      </c>
      <c r="AD205" s="692">
        <f t="shared" si="66"/>
        <v>0</v>
      </c>
      <c r="AE205" s="38"/>
      <c r="AF205" s="692">
        <f t="shared" si="67"/>
        <v>0</v>
      </c>
      <c r="AG205" s="692">
        <f t="shared" si="68"/>
        <v>0</v>
      </c>
      <c r="AH205" s="692">
        <f t="shared" si="69"/>
        <v>0</v>
      </c>
      <c r="AJ205" s="68" t="s">
        <v>51</v>
      </c>
    </row>
    <row r="206" spans="1:36">
      <c r="A206" s="21"/>
      <c r="B206" s="21" t="s">
        <v>109</v>
      </c>
      <c r="C206" s="666"/>
      <c r="D206" s="68" t="s">
        <v>107</v>
      </c>
      <c r="E206" s="679"/>
      <c r="F206" s="529" t="str">
        <f>VLOOKUP(D206,'Q1 2012 DMV-Revenue'!D:T,17,FALSE)</f>
        <v/>
      </c>
      <c r="G206" s="680"/>
      <c r="H206" s="680"/>
      <c r="I206" s="681"/>
      <c r="J206" s="682">
        <f t="shared" si="52"/>
        <v>0</v>
      </c>
      <c r="K206" s="683"/>
      <c r="L206" s="684"/>
      <c r="M206" s="753">
        <v>0</v>
      </c>
      <c r="N206" s="683">
        <v>0</v>
      </c>
      <c r="O206" s="686"/>
      <c r="P206" s="683">
        <v>0</v>
      </c>
      <c r="Q206" s="687">
        <f t="shared" si="55"/>
        <v>0</v>
      </c>
      <c r="R206" s="764">
        <v>0</v>
      </c>
      <c r="S206" s="693"/>
      <c r="T206" s="690">
        <f t="shared" si="53"/>
        <v>0</v>
      </c>
      <c r="U206" s="683"/>
      <c r="V206" s="474">
        <f t="shared" si="70"/>
        <v>0</v>
      </c>
      <c r="W206" s="474">
        <f t="shared" si="62"/>
        <v>0</v>
      </c>
      <c r="X206" s="475">
        <f t="shared" si="63"/>
        <v>0</v>
      </c>
      <c r="Y206" s="475">
        <v>0</v>
      </c>
      <c r="Z206" s="476">
        <v>0</v>
      </c>
      <c r="AA206" s="38">
        <f t="shared" si="71"/>
        <v>0</v>
      </c>
      <c r="AB206" s="692">
        <f t="shared" si="64"/>
        <v>0</v>
      </c>
      <c r="AC206" s="692">
        <f t="shared" si="65"/>
        <v>0</v>
      </c>
      <c r="AD206" s="692">
        <f t="shared" si="66"/>
        <v>0</v>
      </c>
      <c r="AE206" s="38"/>
      <c r="AF206" s="692">
        <f t="shared" si="67"/>
        <v>0</v>
      </c>
      <c r="AG206" s="692">
        <f t="shared" si="68"/>
        <v>0</v>
      </c>
      <c r="AH206" s="692">
        <f t="shared" si="69"/>
        <v>0</v>
      </c>
      <c r="AJ206" s="68" t="s">
        <v>107</v>
      </c>
    </row>
    <row r="207" spans="1:36">
      <c r="A207" s="20"/>
      <c r="B207" s="20" t="s">
        <v>109</v>
      </c>
      <c r="C207" s="667" t="s">
        <v>574</v>
      </c>
      <c r="D207" s="68" t="s">
        <v>156</v>
      </c>
      <c r="E207" s="679"/>
      <c r="F207" s="529" t="str">
        <f>VLOOKUP(D207,'Q1 2012 DMV-Revenue'!D:T,17,FALSE)</f>
        <v/>
      </c>
      <c r="G207" s="680"/>
      <c r="H207" s="680"/>
      <c r="I207" s="681"/>
      <c r="J207" s="682">
        <f t="shared" ref="J207:J247" si="74">SUM(E207:I207)</f>
        <v>0</v>
      </c>
      <c r="K207" s="683"/>
      <c r="L207" s="684"/>
      <c r="M207" s="753">
        <v>0</v>
      </c>
      <c r="N207" s="683">
        <v>0</v>
      </c>
      <c r="O207" s="686"/>
      <c r="P207" s="683">
        <v>0</v>
      </c>
      <c r="Q207" s="687">
        <f t="shared" ref="Q207:Q253" si="75">L207+M207</f>
        <v>0</v>
      </c>
      <c r="R207" s="764">
        <v>0</v>
      </c>
      <c r="S207" s="693"/>
      <c r="T207" s="690">
        <f t="shared" si="53"/>
        <v>0</v>
      </c>
      <c r="U207" s="683"/>
      <c r="V207" s="474">
        <f t="shared" si="70"/>
        <v>0</v>
      </c>
      <c r="W207" s="474">
        <f t="shared" si="62"/>
        <v>0</v>
      </c>
      <c r="X207" s="475">
        <f t="shared" si="63"/>
        <v>0</v>
      </c>
      <c r="Y207" s="475">
        <v>0</v>
      </c>
      <c r="Z207" s="476">
        <v>0</v>
      </c>
      <c r="AA207" s="38">
        <f t="shared" si="71"/>
        <v>0</v>
      </c>
      <c r="AB207" s="692">
        <f t="shared" si="64"/>
        <v>0</v>
      </c>
      <c r="AC207" s="692">
        <f t="shared" si="65"/>
        <v>0</v>
      </c>
      <c r="AD207" s="692">
        <f t="shared" si="66"/>
        <v>0</v>
      </c>
      <c r="AE207" s="38"/>
      <c r="AF207" s="692">
        <f t="shared" si="67"/>
        <v>0</v>
      </c>
      <c r="AG207" s="692">
        <f t="shared" si="68"/>
        <v>0</v>
      </c>
      <c r="AH207" s="692">
        <f t="shared" si="69"/>
        <v>0</v>
      </c>
      <c r="AJ207" s="68" t="s">
        <v>156</v>
      </c>
    </row>
    <row r="208" spans="1:36">
      <c r="A208" s="20"/>
      <c r="B208" s="20" t="s">
        <v>109</v>
      </c>
      <c r="C208" s="667" t="s">
        <v>574</v>
      </c>
      <c r="D208" s="68" t="s">
        <v>157</v>
      </c>
      <c r="E208" s="679"/>
      <c r="F208" s="529" t="str">
        <f>VLOOKUP(D208,'Q1 2012 DMV-Revenue'!D:T,17,FALSE)</f>
        <v/>
      </c>
      <c r="G208" s="680"/>
      <c r="H208" s="680"/>
      <c r="I208" s="681"/>
      <c r="J208" s="682">
        <f t="shared" si="74"/>
        <v>0</v>
      </c>
      <c r="K208" s="683"/>
      <c r="L208" s="684"/>
      <c r="M208" s="753">
        <v>0</v>
      </c>
      <c r="N208" s="683">
        <v>0</v>
      </c>
      <c r="O208" s="686"/>
      <c r="P208" s="683">
        <v>0</v>
      </c>
      <c r="Q208" s="687">
        <f t="shared" si="75"/>
        <v>0</v>
      </c>
      <c r="R208" s="764">
        <v>0</v>
      </c>
      <c r="S208" s="693"/>
      <c r="T208" s="690">
        <f t="shared" ref="T208:T253" si="76">IF(R208="","",R208-Q208)</f>
        <v>0</v>
      </c>
      <c r="U208" s="683"/>
      <c r="V208" s="474">
        <f t="shared" si="70"/>
        <v>0</v>
      </c>
      <c r="W208" s="474">
        <f t="shared" si="62"/>
        <v>0</v>
      </c>
      <c r="X208" s="475">
        <f t="shared" si="63"/>
        <v>0</v>
      </c>
      <c r="Y208" s="475">
        <v>0</v>
      </c>
      <c r="Z208" s="476">
        <v>0</v>
      </c>
      <c r="AA208" s="38">
        <f t="shared" si="71"/>
        <v>0</v>
      </c>
      <c r="AB208" s="692">
        <f t="shared" si="64"/>
        <v>0</v>
      </c>
      <c r="AC208" s="692">
        <f t="shared" si="65"/>
        <v>0</v>
      </c>
      <c r="AD208" s="692">
        <f t="shared" si="66"/>
        <v>0</v>
      </c>
      <c r="AE208" s="38"/>
      <c r="AF208" s="692">
        <f t="shared" si="67"/>
        <v>0</v>
      </c>
      <c r="AG208" s="692">
        <f t="shared" si="68"/>
        <v>0</v>
      </c>
      <c r="AH208" s="692">
        <f t="shared" si="69"/>
        <v>0</v>
      </c>
      <c r="AJ208" s="68" t="s">
        <v>157</v>
      </c>
    </row>
    <row r="209" spans="1:36">
      <c r="A209" s="20"/>
      <c r="B209" s="20" t="s">
        <v>109</v>
      </c>
      <c r="C209" s="667" t="s">
        <v>574</v>
      </c>
      <c r="D209" s="68" t="s">
        <v>158</v>
      </c>
      <c r="E209" s="679"/>
      <c r="F209" s="529" t="str">
        <f>VLOOKUP(D209,'Q1 2012 DMV-Revenue'!D:T,17,FALSE)</f>
        <v/>
      </c>
      <c r="G209" s="680"/>
      <c r="H209" s="680"/>
      <c r="I209" s="681"/>
      <c r="J209" s="682">
        <f t="shared" si="74"/>
        <v>0</v>
      </c>
      <c r="K209" s="683"/>
      <c r="L209" s="684"/>
      <c r="M209" s="753">
        <v>0</v>
      </c>
      <c r="N209" s="683">
        <v>0</v>
      </c>
      <c r="O209" s="686"/>
      <c r="P209" s="683">
        <v>0</v>
      </c>
      <c r="Q209" s="687">
        <f t="shared" si="75"/>
        <v>0</v>
      </c>
      <c r="R209" s="764">
        <v>0</v>
      </c>
      <c r="S209" s="693"/>
      <c r="T209" s="690">
        <f t="shared" si="76"/>
        <v>0</v>
      </c>
      <c r="U209" s="683"/>
      <c r="V209" s="474">
        <f t="shared" si="70"/>
        <v>0</v>
      </c>
      <c r="W209" s="474">
        <f t="shared" si="62"/>
        <v>0</v>
      </c>
      <c r="X209" s="475">
        <f t="shared" si="63"/>
        <v>0</v>
      </c>
      <c r="Y209" s="475">
        <v>0</v>
      </c>
      <c r="Z209" s="476">
        <v>0</v>
      </c>
      <c r="AA209" s="38">
        <f t="shared" si="71"/>
        <v>0</v>
      </c>
      <c r="AB209" s="692">
        <f t="shared" si="64"/>
        <v>0</v>
      </c>
      <c r="AC209" s="692">
        <f t="shared" si="65"/>
        <v>0</v>
      </c>
      <c r="AD209" s="692">
        <f t="shared" si="66"/>
        <v>0</v>
      </c>
      <c r="AE209" s="38"/>
      <c r="AF209" s="692">
        <f t="shared" si="67"/>
        <v>0</v>
      </c>
      <c r="AG209" s="692">
        <f t="shared" si="68"/>
        <v>0</v>
      </c>
      <c r="AH209" s="692">
        <f t="shared" si="69"/>
        <v>0</v>
      </c>
      <c r="AJ209" s="68" t="s">
        <v>158</v>
      </c>
    </row>
    <row r="210" spans="1:36">
      <c r="A210" s="21" t="s">
        <v>97</v>
      </c>
      <c r="B210" s="21" t="s">
        <v>109</v>
      </c>
      <c r="C210" s="666"/>
      <c r="D210" s="68" t="s">
        <v>52</v>
      </c>
      <c r="E210" s="679"/>
      <c r="F210" s="529" t="str">
        <f>VLOOKUP(D210,'Q1 2012 DMV-Revenue'!D:T,17,FALSE)</f>
        <v/>
      </c>
      <c r="G210" s="680"/>
      <c r="H210" s="680"/>
      <c r="I210" s="681"/>
      <c r="J210" s="682">
        <f t="shared" si="74"/>
        <v>0</v>
      </c>
      <c r="K210" s="683"/>
      <c r="L210" s="684"/>
      <c r="M210" s="753">
        <v>0</v>
      </c>
      <c r="N210" s="683">
        <v>0</v>
      </c>
      <c r="O210" s="686"/>
      <c r="P210" s="683">
        <v>0</v>
      </c>
      <c r="Q210" s="687">
        <f t="shared" si="75"/>
        <v>0</v>
      </c>
      <c r="R210" s="764">
        <v>0</v>
      </c>
      <c r="S210" s="693"/>
      <c r="T210" s="690">
        <f t="shared" si="76"/>
        <v>0</v>
      </c>
      <c r="U210" s="683"/>
      <c r="V210" s="474">
        <f t="shared" si="70"/>
        <v>0</v>
      </c>
      <c r="W210" s="474">
        <f t="shared" si="62"/>
        <v>0</v>
      </c>
      <c r="X210" s="475">
        <f t="shared" si="63"/>
        <v>0</v>
      </c>
      <c r="Y210" s="475">
        <v>0</v>
      </c>
      <c r="Z210" s="476">
        <v>0</v>
      </c>
      <c r="AA210" s="38">
        <f t="shared" si="71"/>
        <v>0</v>
      </c>
      <c r="AB210" s="692">
        <f t="shared" si="64"/>
        <v>0</v>
      </c>
      <c r="AC210" s="692">
        <f t="shared" si="65"/>
        <v>0</v>
      </c>
      <c r="AD210" s="692">
        <f t="shared" si="66"/>
        <v>0</v>
      </c>
      <c r="AE210" s="38"/>
      <c r="AF210" s="692">
        <f t="shared" si="67"/>
        <v>0</v>
      </c>
      <c r="AG210" s="692">
        <f t="shared" si="68"/>
        <v>0</v>
      </c>
      <c r="AH210" s="692">
        <f t="shared" si="69"/>
        <v>0</v>
      </c>
      <c r="AJ210" s="68" t="s">
        <v>52</v>
      </c>
    </row>
    <row r="211" spans="1:36">
      <c r="A211" s="21"/>
      <c r="B211" s="21" t="s">
        <v>109</v>
      </c>
      <c r="C211" s="666"/>
      <c r="D211" s="68" t="s">
        <v>467</v>
      </c>
      <c r="E211" s="679"/>
      <c r="F211" s="529" t="str">
        <f>VLOOKUP(D211,'Q1 2012 DMV-Revenue'!D:T,17,FALSE)</f>
        <v/>
      </c>
      <c r="G211" s="680"/>
      <c r="H211" s="680"/>
      <c r="I211" s="681"/>
      <c r="J211" s="682">
        <f t="shared" si="74"/>
        <v>0</v>
      </c>
      <c r="K211" s="683"/>
      <c r="L211" s="684"/>
      <c r="M211" s="753">
        <v>0</v>
      </c>
      <c r="N211" s="683">
        <v>0</v>
      </c>
      <c r="O211" s="686"/>
      <c r="P211" s="683">
        <v>0</v>
      </c>
      <c r="Q211" s="687">
        <f t="shared" si="75"/>
        <v>0</v>
      </c>
      <c r="R211" s="764">
        <v>0</v>
      </c>
      <c r="S211" s="693"/>
      <c r="T211" s="690">
        <f t="shared" si="76"/>
        <v>0</v>
      </c>
      <c r="U211" s="683"/>
      <c r="V211" s="474">
        <f t="shared" si="70"/>
        <v>0</v>
      </c>
      <c r="W211" s="474">
        <f t="shared" si="62"/>
        <v>0</v>
      </c>
      <c r="X211" s="475">
        <f t="shared" si="63"/>
        <v>0</v>
      </c>
      <c r="Y211" s="475">
        <v>0</v>
      </c>
      <c r="Z211" s="476">
        <v>0</v>
      </c>
      <c r="AA211" s="38">
        <f t="shared" si="71"/>
        <v>0</v>
      </c>
      <c r="AB211" s="692">
        <f t="shared" si="64"/>
        <v>0</v>
      </c>
      <c r="AC211" s="692">
        <f t="shared" si="65"/>
        <v>0</v>
      </c>
      <c r="AD211" s="692">
        <f t="shared" si="66"/>
        <v>0</v>
      </c>
      <c r="AE211" s="38"/>
      <c r="AF211" s="692">
        <f t="shared" si="67"/>
        <v>0</v>
      </c>
      <c r="AG211" s="692">
        <f t="shared" si="68"/>
        <v>0</v>
      </c>
      <c r="AH211" s="692">
        <f t="shared" si="69"/>
        <v>0</v>
      </c>
      <c r="AJ211" s="68" t="s">
        <v>467</v>
      </c>
    </row>
    <row r="212" spans="1:36">
      <c r="A212" s="21"/>
      <c r="B212" s="21" t="s">
        <v>109</v>
      </c>
      <c r="C212" s="666" t="s">
        <v>575</v>
      </c>
      <c r="D212" s="68" t="s">
        <v>54</v>
      </c>
      <c r="E212" s="679"/>
      <c r="F212" s="529" t="str">
        <f>VLOOKUP(D212,'Q1 2012 DMV-Revenue'!D:T,17,FALSE)</f>
        <v/>
      </c>
      <c r="G212" s="680"/>
      <c r="H212" s="680"/>
      <c r="I212" s="681"/>
      <c r="J212" s="682">
        <f t="shared" si="74"/>
        <v>0</v>
      </c>
      <c r="K212" s="683"/>
      <c r="L212" s="684"/>
      <c r="M212" s="753">
        <v>0</v>
      </c>
      <c r="N212" s="683">
        <v>0</v>
      </c>
      <c r="O212" s="686"/>
      <c r="P212" s="683">
        <v>0</v>
      </c>
      <c r="Q212" s="687">
        <f t="shared" si="75"/>
        <v>0</v>
      </c>
      <c r="R212" s="764">
        <v>0</v>
      </c>
      <c r="S212" s="693"/>
      <c r="T212" s="690">
        <f t="shared" si="76"/>
        <v>0</v>
      </c>
      <c r="U212" s="683"/>
      <c r="V212" s="474">
        <f t="shared" si="70"/>
        <v>0</v>
      </c>
      <c r="W212" s="474">
        <f t="shared" si="62"/>
        <v>0</v>
      </c>
      <c r="X212" s="475">
        <f t="shared" si="63"/>
        <v>0</v>
      </c>
      <c r="Y212" s="475">
        <v>0</v>
      </c>
      <c r="Z212" s="476">
        <v>0</v>
      </c>
      <c r="AA212" s="38">
        <f t="shared" si="71"/>
        <v>0</v>
      </c>
      <c r="AB212" s="692">
        <f t="shared" si="64"/>
        <v>0</v>
      </c>
      <c r="AC212" s="692">
        <f t="shared" si="65"/>
        <v>0</v>
      </c>
      <c r="AD212" s="692">
        <f t="shared" si="66"/>
        <v>0</v>
      </c>
      <c r="AE212" s="38"/>
      <c r="AF212" s="692">
        <f t="shared" si="67"/>
        <v>0</v>
      </c>
      <c r="AG212" s="692">
        <f t="shared" si="68"/>
        <v>0</v>
      </c>
      <c r="AH212" s="692">
        <f t="shared" si="69"/>
        <v>0</v>
      </c>
      <c r="AJ212" s="68" t="s">
        <v>54</v>
      </c>
    </row>
    <row r="213" spans="1:36">
      <c r="A213" s="20"/>
      <c r="B213" s="20" t="s">
        <v>110</v>
      </c>
      <c r="C213" s="667" t="s">
        <v>576</v>
      </c>
      <c r="D213" s="68" t="s">
        <v>394</v>
      </c>
      <c r="E213" s="679"/>
      <c r="F213" s="529" t="str">
        <f>VLOOKUP(D213,'Q1 2012 DMV-Revenue'!D:T,17,FALSE)</f>
        <v/>
      </c>
      <c r="G213" s="680"/>
      <c r="H213" s="680"/>
      <c r="I213" s="681"/>
      <c r="J213" s="682">
        <f t="shared" si="74"/>
        <v>0</v>
      </c>
      <c r="K213" s="683"/>
      <c r="L213" s="684"/>
      <c r="M213" s="753">
        <v>0</v>
      </c>
      <c r="N213" s="683">
        <v>0</v>
      </c>
      <c r="O213" s="686"/>
      <c r="P213" s="683">
        <v>0</v>
      </c>
      <c r="Q213" s="687">
        <f t="shared" si="75"/>
        <v>0</v>
      </c>
      <c r="R213" s="764">
        <v>0</v>
      </c>
      <c r="S213" s="693"/>
      <c r="T213" s="690">
        <f t="shared" si="76"/>
        <v>0</v>
      </c>
      <c r="U213" s="683"/>
      <c r="V213" s="474">
        <f t="shared" si="70"/>
        <v>0</v>
      </c>
      <c r="W213" s="474">
        <f t="shared" si="62"/>
        <v>0</v>
      </c>
      <c r="X213" s="475">
        <f t="shared" si="63"/>
        <v>0</v>
      </c>
      <c r="Y213" s="475">
        <v>0</v>
      </c>
      <c r="Z213" s="476">
        <v>0</v>
      </c>
      <c r="AA213" s="38">
        <f t="shared" si="71"/>
        <v>0</v>
      </c>
      <c r="AB213" s="692">
        <f t="shared" si="64"/>
        <v>0</v>
      </c>
      <c r="AC213" s="692">
        <f t="shared" si="65"/>
        <v>0</v>
      </c>
      <c r="AD213" s="692">
        <f t="shared" si="66"/>
        <v>0</v>
      </c>
      <c r="AE213" s="38"/>
      <c r="AF213" s="692">
        <f t="shared" si="67"/>
        <v>0</v>
      </c>
      <c r="AG213" s="692">
        <f t="shared" si="68"/>
        <v>0</v>
      </c>
      <c r="AH213" s="692">
        <f t="shared" si="69"/>
        <v>0</v>
      </c>
      <c r="AJ213" s="68" t="s">
        <v>394</v>
      </c>
    </row>
    <row r="214" spans="1:36">
      <c r="A214" s="20"/>
      <c r="B214" s="20" t="s">
        <v>110</v>
      </c>
      <c r="C214" s="667"/>
      <c r="D214" s="68" t="s">
        <v>55</v>
      </c>
      <c r="E214" s="679"/>
      <c r="F214" s="529" t="str">
        <f>VLOOKUP(D214,'Q1 2012 DMV-Revenue'!D:T,17,FALSE)</f>
        <v/>
      </c>
      <c r="G214" s="680"/>
      <c r="H214" s="680"/>
      <c r="I214" s="681"/>
      <c r="J214" s="682">
        <f t="shared" si="74"/>
        <v>0</v>
      </c>
      <c r="K214" s="683"/>
      <c r="L214" s="684"/>
      <c r="M214" s="753">
        <v>0</v>
      </c>
      <c r="N214" s="683">
        <v>0</v>
      </c>
      <c r="O214" s="686"/>
      <c r="P214" s="683">
        <v>0</v>
      </c>
      <c r="Q214" s="687">
        <f t="shared" si="75"/>
        <v>0</v>
      </c>
      <c r="R214" s="764">
        <v>0</v>
      </c>
      <c r="S214" s="693"/>
      <c r="T214" s="690">
        <f t="shared" si="76"/>
        <v>0</v>
      </c>
      <c r="U214" s="683"/>
      <c r="V214" s="474">
        <f t="shared" si="70"/>
        <v>0</v>
      </c>
      <c r="W214" s="474">
        <f t="shared" si="62"/>
        <v>0</v>
      </c>
      <c r="X214" s="475">
        <f t="shared" si="63"/>
        <v>0</v>
      </c>
      <c r="Y214" s="475">
        <v>0</v>
      </c>
      <c r="Z214" s="476">
        <v>0</v>
      </c>
      <c r="AA214" s="38">
        <f t="shared" si="71"/>
        <v>0</v>
      </c>
      <c r="AB214" s="692">
        <f t="shared" si="64"/>
        <v>0</v>
      </c>
      <c r="AC214" s="692">
        <f t="shared" si="65"/>
        <v>0</v>
      </c>
      <c r="AD214" s="692">
        <f t="shared" si="66"/>
        <v>0</v>
      </c>
      <c r="AE214" s="38"/>
      <c r="AF214" s="692">
        <f t="shared" si="67"/>
        <v>0</v>
      </c>
      <c r="AG214" s="692">
        <f t="shared" si="68"/>
        <v>0</v>
      </c>
      <c r="AH214" s="692">
        <f t="shared" si="69"/>
        <v>0</v>
      </c>
      <c r="AJ214" s="68" t="s">
        <v>55</v>
      </c>
    </row>
    <row r="215" spans="1:36">
      <c r="A215" s="21" t="s">
        <v>97</v>
      </c>
      <c r="B215" s="21" t="s">
        <v>110</v>
      </c>
      <c r="C215" s="666"/>
      <c r="D215" s="68" t="s">
        <v>175</v>
      </c>
      <c r="E215" s="679"/>
      <c r="F215" s="529" t="str">
        <f>VLOOKUP(D215,'Q1 2012 DMV-Revenue'!D:T,17,FALSE)</f>
        <v/>
      </c>
      <c r="G215" s="680"/>
      <c r="H215" s="680"/>
      <c r="I215" s="681"/>
      <c r="J215" s="682">
        <f t="shared" si="74"/>
        <v>0</v>
      </c>
      <c r="K215" s="683"/>
      <c r="L215" s="684"/>
      <c r="M215" s="753">
        <v>0</v>
      </c>
      <c r="N215" s="683">
        <v>0</v>
      </c>
      <c r="O215" s="686"/>
      <c r="P215" s="683">
        <v>0</v>
      </c>
      <c r="Q215" s="687">
        <f t="shared" si="75"/>
        <v>0</v>
      </c>
      <c r="R215" s="764">
        <v>0</v>
      </c>
      <c r="S215" s="693"/>
      <c r="T215" s="690">
        <f t="shared" si="76"/>
        <v>0</v>
      </c>
      <c r="U215" s="683"/>
      <c r="V215" s="474">
        <f t="shared" si="70"/>
        <v>0</v>
      </c>
      <c r="W215" s="474">
        <f t="shared" si="62"/>
        <v>0</v>
      </c>
      <c r="X215" s="475">
        <f t="shared" si="63"/>
        <v>0</v>
      </c>
      <c r="Y215" s="475">
        <v>0</v>
      </c>
      <c r="Z215" s="476">
        <v>0</v>
      </c>
      <c r="AA215" s="38">
        <f t="shared" si="71"/>
        <v>0</v>
      </c>
      <c r="AB215" s="692">
        <f t="shared" si="64"/>
        <v>0</v>
      </c>
      <c r="AC215" s="692">
        <f t="shared" si="65"/>
        <v>0</v>
      </c>
      <c r="AD215" s="692">
        <f t="shared" si="66"/>
        <v>0</v>
      </c>
      <c r="AE215" s="38"/>
      <c r="AF215" s="692">
        <f t="shared" si="67"/>
        <v>0</v>
      </c>
      <c r="AG215" s="692">
        <f t="shared" si="68"/>
        <v>0</v>
      </c>
      <c r="AH215" s="692">
        <f t="shared" si="69"/>
        <v>0</v>
      </c>
      <c r="AJ215" s="68" t="s">
        <v>175</v>
      </c>
    </row>
    <row r="216" spans="1:36">
      <c r="A216" s="21"/>
      <c r="B216" s="21" t="s">
        <v>109</v>
      </c>
      <c r="C216" s="666"/>
      <c r="D216" s="68" t="s">
        <v>595</v>
      </c>
      <c r="E216" s="679"/>
      <c r="F216" s="529" t="str">
        <f>VLOOKUP(D216,'Q1 2012 DMV-Revenue'!D:T,17,FALSE)</f>
        <v/>
      </c>
      <c r="G216" s="680"/>
      <c r="H216" s="680"/>
      <c r="I216" s="681"/>
      <c r="J216" s="682">
        <f>SUM(E216:I216)</f>
        <v>0</v>
      </c>
      <c r="K216" s="683"/>
      <c r="L216" s="684"/>
      <c r="M216" s="753">
        <v>0</v>
      </c>
      <c r="N216" s="683">
        <v>0</v>
      </c>
      <c r="O216" s="686"/>
      <c r="P216" s="683">
        <v>0</v>
      </c>
      <c r="Q216" s="687">
        <f t="shared" si="75"/>
        <v>0</v>
      </c>
      <c r="R216" s="764">
        <v>0</v>
      </c>
      <c r="S216" s="693"/>
      <c r="T216" s="690">
        <f t="shared" si="76"/>
        <v>0</v>
      </c>
      <c r="U216" s="683"/>
      <c r="V216" s="474">
        <f t="shared" si="70"/>
        <v>0</v>
      </c>
      <c r="W216" s="474">
        <f t="shared" si="62"/>
        <v>0</v>
      </c>
      <c r="X216" s="475">
        <f t="shared" si="63"/>
        <v>0</v>
      </c>
      <c r="Y216" s="475">
        <v>0</v>
      </c>
      <c r="Z216" s="476">
        <v>0</v>
      </c>
      <c r="AA216" s="38">
        <f t="shared" si="71"/>
        <v>0</v>
      </c>
      <c r="AB216" s="692">
        <f t="shared" si="64"/>
        <v>0</v>
      </c>
      <c r="AC216" s="692">
        <f t="shared" si="65"/>
        <v>0</v>
      </c>
      <c r="AD216" s="692">
        <f t="shared" si="66"/>
        <v>0</v>
      </c>
      <c r="AE216" s="38"/>
      <c r="AF216" s="692">
        <f t="shared" si="67"/>
        <v>0</v>
      </c>
      <c r="AG216" s="692">
        <f t="shared" si="68"/>
        <v>0</v>
      </c>
      <c r="AH216" s="692">
        <f t="shared" si="69"/>
        <v>0</v>
      </c>
      <c r="AJ216" s="68" t="s">
        <v>595</v>
      </c>
    </row>
    <row r="217" spans="1:36">
      <c r="A217" s="20"/>
      <c r="B217" s="20" t="s">
        <v>109</v>
      </c>
      <c r="C217" s="667" t="s">
        <v>577</v>
      </c>
      <c r="D217" s="68" t="s">
        <v>159</v>
      </c>
      <c r="E217" s="679"/>
      <c r="F217" s="529" t="str">
        <f>VLOOKUP(D217,'Q1 2012 DMV-Revenue'!D:T,17,FALSE)</f>
        <v/>
      </c>
      <c r="G217" s="694">
        <v>22212.21</v>
      </c>
      <c r="H217" s="680"/>
      <c r="I217" s="681"/>
      <c r="J217" s="682">
        <f t="shared" si="74"/>
        <v>22212.21</v>
      </c>
      <c r="K217" s="683"/>
      <c r="L217" s="684"/>
      <c r="M217" s="753">
        <v>0</v>
      </c>
      <c r="N217" s="683">
        <v>0</v>
      </c>
      <c r="O217" s="686"/>
      <c r="P217" s="683">
        <v>0</v>
      </c>
      <c r="Q217" s="687">
        <f t="shared" si="75"/>
        <v>0</v>
      </c>
      <c r="R217" s="764">
        <v>0</v>
      </c>
      <c r="S217" s="693"/>
      <c r="T217" s="690">
        <f t="shared" si="76"/>
        <v>0</v>
      </c>
      <c r="U217" s="683"/>
      <c r="V217" s="474">
        <f t="shared" si="70"/>
        <v>0</v>
      </c>
      <c r="W217" s="474">
        <f t="shared" si="62"/>
        <v>0</v>
      </c>
      <c r="X217" s="475">
        <f t="shared" si="63"/>
        <v>0</v>
      </c>
      <c r="Y217" s="475">
        <v>0</v>
      </c>
      <c r="Z217" s="476">
        <v>0</v>
      </c>
      <c r="AA217" s="38">
        <f t="shared" si="71"/>
        <v>0</v>
      </c>
      <c r="AB217" s="692">
        <f t="shared" si="64"/>
        <v>0</v>
      </c>
      <c r="AC217" s="692">
        <f t="shared" si="65"/>
        <v>22212.21</v>
      </c>
      <c r="AD217" s="692">
        <f t="shared" si="66"/>
        <v>0</v>
      </c>
      <c r="AE217" s="38"/>
      <c r="AF217" s="692">
        <f t="shared" si="67"/>
        <v>0</v>
      </c>
      <c r="AG217" s="692">
        <f t="shared" si="68"/>
        <v>0</v>
      </c>
      <c r="AH217" s="692">
        <f t="shared" si="69"/>
        <v>0</v>
      </c>
      <c r="AJ217" s="68" t="s">
        <v>159</v>
      </c>
    </row>
    <row r="218" spans="1:36">
      <c r="A218" s="20"/>
      <c r="B218" s="20" t="s">
        <v>109</v>
      </c>
      <c r="C218" s="667" t="s">
        <v>577</v>
      </c>
      <c r="D218" s="68" t="s">
        <v>160</v>
      </c>
      <c r="E218" s="679"/>
      <c r="F218" s="529">
        <f>VLOOKUP(D218,'Q1 2012 DMV-Revenue'!D:T,17,FALSE)</f>
        <v>-15000</v>
      </c>
      <c r="G218" s="694">
        <v>12955.03</v>
      </c>
      <c r="H218" s="680"/>
      <c r="I218" s="681"/>
      <c r="J218" s="682">
        <f t="shared" si="74"/>
        <v>-2044.9699999999993</v>
      </c>
      <c r="K218" s="683"/>
      <c r="L218" s="684"/>
      <c r="M218" s="753">
        <v>0</v>
      </c>
      <c r="N218" s="683">
        <v>0</v>
      </c>
      <c r="O218" s="686"/>
      <c r="P218" s="683">
        <v>0</v>
      </c>
      <c r="Q218" s="687">
        <f t="shared" si="75"/>
        <v>0</v>
      </c>
      <c r="R218" s="764">
        <v>0</v>
      </c>
      <c r="S218" s="693"/>
      <c r="T218" s="690">
        <f t="shared" si="76"/>
        <v>0</v>
      </c>
      <c r="U218" s="683"/>
      <c r="V218" s="474">
        <f t="shared" si="70"/>
        <v>0</v>
      </c>
      <c r="W218" s="474">
        <f t="shared" si="62"/>
        <v>0</v>
      </c>
      <c r="X218" s="475">
        <f t="shared" si="63"/>
        <v>0</v>
      </c>
      <c r="Y218" s="475">
        <v>0</v>
      </c>
      <c r="Z218" s="476">
        <v>0</v>
      </c>
      <c r="AA218" s="38">
        <f t="shared" si="71"/>
        <v>0</v>
      </c>
      <c r="AB218" s="692">
        <f t="shared" si="64"/>
        <v>0</v>
      </c>
      <c r="AC218" s="692">
        <f t="shared" si="65"/>
        <v>-2044.9699999999993</v>
      </c>
      <c r="AD218" s="692">
        <f t="shared" si="66"/>
        <v>0</v>
      </c>
      <c r="AE218" s="38"/>
      <c r="AF218" s="692">
        <f t="shared" si="67"/>
        <v>0</v>
      </c>
      <c r="AG218" s="692">
        <f t="shared" si="68"/>
        <v>0</v>
      </c>
      <c r="AH218" s="692">
        <f t="shared" si="69"/>
        <v>0</v>
      </c>
      <c r="AJ218" s="68" t="s">
        <v>160</v>
      </c>
    </row>
    <row r="219" spans="1:36">
      <c r="A219" s="21"/>
      <c r="B219" s="21" t="s">
        <v>109</v>
      </c>
      <c r="C219" s="667" t="s">
        <v>577</v>
      </c>
      <c r="D219" s="68" t="s">
        <v>161</v>
      </c>
      <c r="E219" s="679"/>
      <c r="F219" s="529">
        <f>VLOOKUP(D219,'Q1 2012 DMV-Revenue'!D:T,17,FALSE)</f>
        <v>1588.3999999999996</v>
      </c>
      <c r="G219" s="694">
        <v>16952.82</v>
      </c>
      <c r="H219" s="680"/>
      <c r="I219" s="681"/>
      <c r="J219" s="682">
        <f t="shared" si="74"/>
        <v>18541.22</v>
      </c>
      <c r="K219" s="683"/>
      <c r="L219" s="684"/>
      <c r="M219" s="753">
        <v>0</v>
      </c>
      <c r="N219" s="683">
        <v>0</v>
      </c>
      <c r="O219" s="686"/>
      <c r="P219" s="683">
        <v>0</v>
      </c>
      <c r="Q219" s="687">
        <f t="shared" si="75"/>
        <v>0</v>
      </c>
      <c r="R219" s="764">
        <v>0</v>
      </c>
      <c r="S219" s="693"/>
      <c r="T219" s="690">
        <f t="shared" si="76"/>
        <v>0</v>
      </c>
      <c r="U219" s="683"/>
      <c r="V219" s="474">
        <f t="shared" si="70"/>
        <v>0</v>
      </c>
      <c r="W219" s="474">
        <f t="shared" si="62"/>
        <v>0</v>
      </c>
      <c r="X219" s="475">
        <f t="shared" si="63"/>
        <v>0</v>
      </c>
      <c r="Y219" s="475">
        <v>0</v>
      </c>
      <c r="Z219" s="476">
        <v>0</v>
      </c>
      <c r="AA219" s="38">
        <f t="shared" si="71"/>
        <v>0</v>
      </c>
      <c r="AB219" s="692">
        <f t="shared" si="64"/>
        <v>0</v>
      </c>
      <c r="AC219" s="692">
        <f t="shared" si="65"/>
        <v>18541.22</v>
      </c>
      <c r="AD219" s="692">
        <f t="shared" si="66"/>
        <v>0</v>
      </c>
      <c r="AE219" s="38"/>
      <c r="AF219" s="692">
        <f t="shared" si="67"/>
        <v>0</v>
      </c>
      <c r="AG219" s="692">
        <f t="shared" si="68"/>
        <v>0</v>
      </c>
      <c r="AH219" s="692">
        <f t="shared" si="69"/>
        <v>0</v>
      </c>
      <c r="AJ219" s="68" t="s">
        <v>161</v>
      </c>
    </row>
    <row r="220" spans="1:36">
      <c r="A220" s="21"/>
      <c r="B220" s="21" t="s">
        <v>109</v>
      </c>
      <c r="C220" s="667" t="s">
        <v>577</v>
      </c>
      <c r="D220" s="68" t="s">
        <v>162</v>
      </c>
      <c r="E220" s="679"/>
      <c r="F220" s="529">
        <f>VLOOKUP(D220,'Q1 2012 DMV-Revenue'!D:T,17,FALSE)</f>
        <v>597.69000000000005</v>
      </c>
      <c r="G220" s="694">
        <v>667.29</v>
      </c>
      <c r="H220" s="680"/>
      <c r="I220" s="681"/>
      <c r="J220" s="682">
        <f t="shared" si="74"/>
        <v>1264.98</v>
      </c>
      <c r="K220" s="683"/>
      <c r="L220" s="684"/>
      <c r="M220" s="753">
        <v>0</v>
      </c>
      <c r="N220" s="683">
        <v>0</v>
      </c>
      <c r="O220" s="686"/>
      <c r="P220" s="683">
        <v>0</v>
      </c>
      <c r="Q220" s="687">
        <f t="shared" si="75"/>
        <v>0</v>
      </c>
      <c r="R220" s="764">
        <v>0</v>
      </c>
      <c r="S220" s="693"/>
      <c r="T220" s="690">
        <f t="shared" si="76"/>
        <v>0</v>
      </c>
      <c r="U220" s="683"/>
      <c r="V220" s="474">
        <f t="shared" si="70"/>
        <v>0</v>
      </c>
      <c r="W220" s="474">
        <f t="shared" si="62"/>
        <v>0</v>
      </c>
      <c r="X220" s="475">
        <f t="shared" si="63"/>
        <v>0</v>
      </c>
      <c r="Y220" s="475">
        <v>0</v>
      </c>
      <c r="Z220" s="476">
        <v>0</v>
      </c>
      <c r="AA220" s="38">
        <f t="shared" si="71"/>
        <v>0</v>
      </c>
      <c r="AB220" s="692">
        <f t="shared" si="64"/>
        <v>0</v>
      </c>
      <c r="AC220" s="692">
        <f t="shared" si="65"/>
        <v>1264.98</v>
      </c>
      <c r="AD220" s="692">
        <f t="shared" si="66"/>
        <v>0</v>
      </c>
      <c r="AE220" s="38"/>
      <c r="AF220" s="692">
        <f t="shared" si="67"/>
        <v>0</v>
      </c>
      <c r="AG220" s="692">
        <f t="shared" si="68"/>
        <v>0</v>
      </c>
      <c r="AH220" s="692">
        <f t="shared" si="69"/>
        <v>0</v>
      </c>
      <c r="AJ220" s="68" t="s">
        <v>162</v>
      </c>
    </row>
    <row r="221" spans="1:36">
      <c r="A221" s="21"/>
      <c r="B221" s="21" t="s">
        <v>109</v>
      </c>
      <c r="C221" s="666"/>
      <c r="D221" s="68" t="s">
        <v>163</v>
      </c>
      <c r="E221" s="679"/>
      <c r="F221" s="529">
        <f>VLOOKUP(D221,'Q1 2012 DMV-Revenue'!D:T,17,FALSE)</f>
        <v>12791.93</v>
      </c>
      <c r="G221" s="694">
        <v>4737.07</v>
      </c>
      <c r="H221" s="680"/>
      <c r="I221" s="681"/>
      <c r="J221" s="682">
        <f t="shared" si="74"/>
        <v>17529</v>
      </c>
      <c r="K221" s="683"/>
      <c r="L221" s="684"/>
      <c r="M221" s="753">
        <v>0</v>
      </c>
      <c r="N221" s="683">
        <v>0</v>
      </c>
      <c r="O221" s="686"/>
      <c r="P221" s="683">
        <v>0</v>
      </c>
      <c r="Q221" s="687">
        <f t="shared" si="75"/>
        <v>0</v>
      </c>
      <c r="R221" s="764">
        <v>0</v>
      </c>
      <c r="S221" s="704"/>
      <c r="T221" s="690">
        <f t="shared" si="76"/>
        <v>0</v>
      </c>
      <c r="U221" s="705"/>
      <c r="V221" s="474">
        <f t="shared" si="70"/>
        <v>0</v>
      </c>
      <c r="W221" s="474">
        <f t="shared" si="62"/>
        <v>0</v>
      </c>
      <c r="X221" s="475">
        <f t="shared" si="63"/>
        <v>0</v>
      </c>
      <c r="Y221" s="475">
        <v>0</v>
      </c>
      <c r="Z221" s="476">
        <v>0</v>
      </c>
      <c r="AA221" s="38">
        <f t="shared" si="71"/>
        <v>0</v>
      </c>
      <c r="AB221" s="692">
        <f t="shared" si="64"/>
        <v>0</v>
      </c>
      <c r="AC221" s="692">
        <f t="shared" si="65"/>
        <v>17529</v>
      </c>
      <c r="AD221" s="692">
        <f t="shared" si="66"/>
        <v>0</v>
      </c>
      <c r="AE221" s="38"/>
      <c r="AF221" s="692">
        <f t="shared" si="67"/>
        <v>0</v>
      </c>
      <c r="AG221" s="692">
        <f t="shared" si="68"/>
        <v>0</v>
      </c>
      <c r="AH221" s="692">
        <f t="shared" si="69"/>
        <v>0</v>
      </c>
      <c r="AJ221" s="68" t="s">
        <v>163</v>
      </c>
    </row>
    <row r="222" spans="1:36">
      <c r="A222" s="21"/>
      <c r="B222" s="21" t="s">
        <v>109</v>
      </c>
      <c r="C222" s="666"/>
      <c r="D222" s="412" t="s">
        <v>164</v>
      </c>
      <c r="E222" s="679"/>
      <c r="F222" s="529">
        <f>VLOOKUP(D222,'Q1 2012 DMV-Revenue'!D:T,17,FALSE)</f>
        <v>-14818.99</v>
      </c>
      <c r="G222" s="694">
        <v>31.91</v>
      </c>
      <c r="H222" s="680"/>
      <c r="I222" s="681"/>
      <c r="J222" s="682">
        <f t="shared" si="74"/>
        <v>-14787.08</v>
      </c>
      <c r="K222" s="683"/>
      <c r="L222" s="684"/>
      <c r="M222" s="753">
        <v>0</v>
      </c>
      <c r="N222" s="683">
        <v>0</v>
      </c>
      <c r="O222" s="686"/>
      <c r="P222" s="683">
        <v>0</v>
      </c>
      <c r="Q222" s="687">
        <f t="shared" si="75"/>
        <v>0</v>
      </c>
      <c r="R222" s="764">
        <v>0</v>
      </c>
      <c r="S222" s="704"/>
      <c r="T222" s="690">
        <f t="shared" si="76"/>
        <v>0</v>
      </c>
      <c r="U222" s="705"/>
      <c r="V222" s="474">
        <f t="shared" si="70"/>
        <v>0</v>
      </c>
      <c r="W222" s="474">
        <f t="shared" si="62"/>
        <v>0</v>
      </c>
      <c r="X222" s="475">
        <f t="shared" si="63"/>
        <v>0</v>
      </c>
      <c r="Y222" s="475">
        <v>0</v>
      </c>
      <c r="Z222" s="476">
        <v>0</v>
      </c>
      <c r="AA222" s="38">
        <f t="shared" si="71"/>
        <v>0</v>
      </c>
      <c r="AB222" s="692">
        <f t="shared" si="64"/>
        <v>0</v>
      </c>
      <c r="AC222" s="692">
        <f t="shared" si="65"/>
        <v>-14787.08</v>
      </c>
      <c r="AD222" s="692">
        <f t="shared" si="66"/>
        <v>0</v>
      </c>
      <c r="AE222" s="38"/>
      <c r="AF222" s="692">
        <f t="shared" si="67"/>
        <v>0</v>
      </c>
      <c r="AG222" s="692">
        <f t="shared" si="68"/>
        <v>0</v>
      </c>
      <c r="AH222" s="692">
        <f t="shared" si="69"/>
        <v>0</v>
      </c>
      <c r="AJ222" s="412" t="s">
        <v>164</v>
      </c>
    </row>
    <row r="223" spans="1:36">
      <c r="A223" s="21" t="s">
        <v>109</v>
      </c>
      <c r="B223" s="21" t="s">
        <v>114</v>
      </c>
      <c r="C223" s="666" t="s">
        <v>578</v>
      </c>
      <c r="D223" s="412" t="s">
        <v>318</v>
      </c>
      <c r="E223" s="679"/>
      <c r="F223" s="529">
        <f>VLOOKUP(D223,'Q1 2012 DMV-Revenue'!D:T,17,FALSE)</f>
        <v>-20000</v>
      </c>
      <c r="G223" s="680"/>
      <c r="H223" s="680"/>
      <c r="I223" s="681"/>
      <c r="J223" s="682">
        <f t="shared" si="74"/>
        <v>-20000</v>
      </c>
      <c r="K223" s="683"/>
      <c r="L223" s="684"/>
      <c r="M223" s="753">
        <v>40000</v>
      </c>
      <c r="N223" s="683">
        <v>0</v>
      </c>
      <c r="O223" s="686"/>
      <c r="P223" s="683">
        <v>0</v>
      </c>
      <c r="Q223" s="687">
        <f t="shared" si="75"/>
        <v>40000</v>
      </c>
      <c r="R223" s="764">
        <v>0</v>
      </c>
      <c r="S223" s="704"/>
      <c r="T223" s="690">
        <f t="shared" si="76"/>
        <v>-40000</v>
      </c>
      <c r="U223" s="683"/>
      <c r="V223" s="474">
        <f t="shared" si="70"/>
        <v>0</v>
      </c>
      <c r="W223" s="474">
        <f t="shared" si="62"/>
        <v>0</v>
      </c>
      <c r="X223" s="475">
        <f t="shared" si="63"/>
        <v>40000</v>
      </c>
      <c r="Y223" s="475">
        <v>0</v>
      </c>
      <c r="Z223" s="476">
        <v>0</v>
      </c>
      <c r="AA223" s="38">
        <f t="shared" si="71"/>
        <v>0</v>
      </c>
      <c r="AB223" s="692">
        <f t="shared" si="64"/>
        <v>0</v>
      </c>
      <c r="AC223" s="692">
        <f t="shared" si="65"/>
        <v>0</v>
      </c>
      <c r="AD223" s="692">
        <f t="shared" si="66"/>
        <v>-20000</v>
      </c>
      <c r="AE223" s="38"/>
      <c r="AF223" s="692">
        <f t="shared" si="67"/>
        <v>0</v>
      </c>
      <c r="AG223" s="692">
        <f t="shared" si="68"/>
        <v>0</v>
      </c>
      <c r="AH223" s="692">
        <f t="shared" si="69"/>
        <v>40000</v>
      </c>
      <c r="AJ223" s="412" t="s">
        <v>318</v>
      </c>
    </row>
    <row r="224" spans="1:36">
      <c r="A224" s="20" t="s">
        <v>211</v>
      </c>
      <c r="B224" s="20" t="s">
        <v>109</v>
      </c>
      <c r="C224" s="667"/>
      <c r="D224" s="68" t="s">
        <v>57</v>
      </c>
      <c r="E224" s="679"/>
      <c r="F224" s="529" t="str">
        <f>VLOOKUP(D224,'Q1 2012 DMV-Revenue'!D:T,17,FALSE)</f>
        <v/>
      </c>
      <c r="G224" s="680"/>
      <c r="H224" s="680"/>
      <c r="I224" s="681"/>
      <c r="J224" s="682">
        <f t="shared" si="74"/>
        <v>0</v>
      </c>
      <c r="K224" s="683"/>
      <c r="L224" s="684"/>
      <c r="M224" s="753">
        <v>0</v>
      </c>
      <c r="N224" s="683">
        <v>0</v>
      </c>
      <c r="O224" s="686"/>
      <c r="P224" s="683">
        <v>0</v>
      </c>
      <c r="Q224" s="687">
        <f t="shared" si="75"/>
        <v>0</v>
      </c>
      <c r="R224" s="764">
        <v>0</v>
      </c>
      <c r="S224" s="693"/>
      <c r="T224" s="690">
        <f t="shared" si="76"/>
        <v>0</v>
      </c>
      <c r="U224" s="683"/>
      <c r="V224" s="474">
        <f t="shared" si="70"/>
        <v>0</v>
      </c>
      <c r="W224" s="474">
        <f t="shared" si="62"/>
        <v>0</v>
      </c>
      <c r="X224" s="475">
        <f t="shared" si="63"/>
        <v>0</v>
      </c>
      <c r="Y224" s="475">
        <v>0</v>
      </c>
      <c r="Z224" s="476">
        <v>0</v>
      </c>
      <c r="AA224" s="38">
        <f t="shared" si="71"/>
        <v>0</v>
      </c>
      <c r="AB224" s="692">
        <f t="shared" si="64"/>
        <v>0</v>
      </c>
      <c r="AC224" s="692">
        <f t="shared" si="65"/>
        <v>0</v>
      </c>
      <c r="AD224" s="692">
        <f t="shared" si="66"/>
        <v>0</v>
      </c>
      <c r="AE224" s="38"/>
      <c r="AF224" s="692">
        <f t="shared" si="67"/>
        <v>0</v>
      </c>
      <c r="AG224" s="692">
        <f t="shared" si="68"/>
        <v>0</v>
      </c>
      <c r="AH224" s="692">
        <f t="shared" si="69"/>
        <v>0</v>
      </c>
      <c r="AJ224" s="68" t="s">
        <v>57</v>
      </c>
    </row>
    <row r="225" spans="1:36">
      <c r="A225" s="20" t="s">
        <v>109</v>
      </c>
      <c r="B225" s="20" t="s">
        <v>110</v>
      </c>
      <c r="C225" s="667" t="s">
        <v>579</v>
      </c>
      <c r="D225" s="68" t="s">
        <v>239</v>
      </c>
      <c r="E225" s="679"/>
      <c r="F225" s="529" t="str">
        <f>VLOOKUP(D225,'Q1 2012 DMV-Revenue'!D:T,17,FALSE)</f>
        <v/>
      </c>
      <c r="G225" s="680"/>
      <c r="H225" s="680"/>
      <c r="I225" s="681"/>
      <c r="J225" s="682">
        <f t="shared" si="74"/>
        <v>0</v>
      </c>
      <c r="K225" s="683"/>
      <c r="L225" s="684"/>
      <c r="M225" s="753">
        <v>0</v>
      </c>
      <c r="N225" s="683">
        <v>0</v>
      </c>
      <c r="O225" s="686"/>
      <c r="P225" s="683">
        <v>0</v>
      </c>
      <c r="Q225" s="687">
        <f t="shared" si="75"/>
        <v>0</v>
      </c>
      <c r="R225" s="764">
        <v>0</v>
      </c>
      <c r="S225" s="693"/>
      <c r="T225" s="690">
        <f t="shared" si="76"/>
        <v>0</v>
      </c>
      <c r="U225" s="683"/>
      <c r="V225" s="474">
        <f t="shared" si="70"/>
        <v>0</v>
      </c>
      <c r="W225" s="474">
        <f t="shared" si="62"/>
        <v>0</v>
      </c>
      <c r="X225" s="475">
        <f t="shared" si="63"/>
        <v>0</v>
      </c>
      <c r="Y225" s="475">
        <v>0</v>
      </c>
      <c r="Z225" s="476">
        <v>0</v>
      </c>
      <c r="AA225" s="38">
        <f t="shared" si="71"/>
        <v>0</v>
      </c>
      <c r="AB225" s="692">
        <f t="shared" si="64"/>
        <v>0</v>
      </c>
      <c r="AC225" s="692">
        <f t="shared" si="65"/>
        <v>0</v>
      </c>
      <c r="AD225" s="692">
        <f t="shared" si="66"/>
        <v>0</v>
      </c>
      <c r="AE225" s="38"/>
      <c r="AF225" s="692">
        <f t="shared" si="67"/>
        <v>0</v>
      </c>
      <c r="AG225" s="692">
        <f t="shared" si="68"/>
        <v>0</v>
      </c>
      <c r="AH225" s="692">
        <f t="shared" si="69"/>
        <v>0</v>
      </c>
      <c r="AJ225" s="68" t="s">
        <v>239</v>
      </c>
    </row>
    <row r="226" spans="1:36">
      <c r="A226" s="20"/>
      <c r="B226" s="20" t="s">
        <v>114</v>
      </c>
      <c r="C226" s="676" t="s">
        <v>621</v>
      </c>
      <c r="D226" s="68" t="s">
        <v>622</v>
      </c>
      <c r="E226" s="679"/>
      <c r="F226" s="529" t="str">
        <f>VLOOKUP(D226,'Q1 2012 DMV-Revenue'!D:T,17,FALSE)</f>
        <v/>
      </c>
      <c r="G226" s="680"/>
      <c r="H226" s="680"/>
      <c r="I226" s="681"/>
      <c r="J226" s="682">
        <f t="shared" si="74"/>
        <v>0</v>
      </c>
      <c r="K226" s="683"/>
      <c r="L226" s="684"/>
      <c r="M226" s="753">
        <v>0</v>
      </c>
      <c r="N226" s="683">
        <v>0</v>
      </c>
      <c r="O226" s="686"/>
      <c r="P226" s="683">
        <v>0</v>
      </c>
      <c r="Q226" s="687">
        <f t="shared" si="75"/>
        <v>0</v>
      </c>
      <c r="R226" s="764">
        <v>0</v>
      </c>
      <c r="S226" s="704"/>
      <c r="T226" s="690">
        <f t="shared" si="76"/>
        <v>0</v>
      </c>
      <c r="U226" s="683"/>
      <c r="V226" s="474">
        <f t="shared" si="70"/>
        <v>0</v>
      </c>
      <c r="W226" s="474">
        <f t="shared" si="62"/>
        <v>0</v>
      </c>
      <c r="X226" s="475">
        <f t="shared" si="63"/>
        <v>0</v>
      </c>
      <c r="Y226" s="475">
        <v>0</v>
      </c>
      <c r="Z226" s="476">
        <v>0</v>
      </c>
      <c r="AA226" s="38">
        <f t="shared" si="71"/>
        <v>0</v>
      </c>
      <c r="AB226" s="692">
        <f t="shared" si="64"/>
        <v>0</v>
      </c>
      <c r="AC226" s="692">
        <f t="shared" si="65"/>
        <v>0</v>
      </c>
      <c r="AD226" s="692">
        <f t="shared" si="66"/>
        <v>0</v>
      </c>
      <c r="AE226" s="38"/>
      <c r="AF226" s="692">
        <f t="shared" si="67"/>
        <v>0</v>
      </c>
      <c r="AG226" s="692">
        <f t="shared" si="68"/>
        <v>0</v>
      </c>
      <c r="AH226" s="692">
        <f t="shared" si="69"/>
        <v>0</v>
      </c>
      <c r="AJ226" s="68" t="s">
        <v>622</v>
      </c>
    </row>
    <row r="227" spans="1:36">
      <c r="A227" s="20"/>
      <c r="B227" s="20" t="s">
        <v>110</v>
      </c>
      <c r="C227" s="667"/>
      <c r="D227" s="68" t="s">
        <v>497</v>
      </c>
      <c r="E227" s="679"/>
      <c r="F227" s="529">
        <f>VLOOKUP(D227,'Q1 2012 DMV-Revenue'!D:T,17,FALSE)</f>
        <v>475.03</v>
      </c>
      <c r="G227" s="680"/>
      <c r="H227" s="680"/>
      <c r="I227" s="681"/>
      <c r="J227" s="682">
        <f t="shared" si="74"/>
        <v>475.03</v>
      </c>
      <c r="K227" s="683"/>
      <c r="L227" s="684"/>
      <c r="M227" s="753">
        <v>0</v>
      </c>
      <c r="N227" s="683">
        <v>0</v>
      </c>
      <c r="O227" s="686"/>
      <c r="P227" s="683">
        <v>0</v>
      </c>
      <c r="Q227" s="687">
        <f t="shared" si="75"/>
        <v>0</v>
      </c>
      <c r="R227" s="764">
        <v>0</v>
      </c>
      <c r="S227" s="693"/>
      <c r="T227" s="690">
        <f t="shared" si="76"/>
        <v>0</v>
      </c>
      <c r="U227" s="683"/>
      <c r="V227" s="474">
        <f t="shared" si="70"/>
        <v>0</v>
      </c>
      <c r="W227" s="474">
        <f t="shared" si="62"/>
        <v>0</v>
      </c>
      <c r="X227" s="475">
        <f t="shared" si="63"/>
        <v>0</v>
      </c>
      <c r="Y227" s="475">
        <v>0</v>
      </c>
      <c r="Z227" s="476">
        <v>0</v>
      </c>
      <c r="AA227" s="38">
        <f t="shared" si="71"/>
        <v>0</v>
      </c>
      <c r="AB227" s="692">
        <f t="shared" si="64"/>
        <v>475.03</v>
      </c>
      <c r="AC227" s="692">
        <f t="shared" si="65"/>
        <v>0</v>
      </c>
      <c r="AD227" s="692">
        <f t="shared" si="66"/>
        <v>0</v>
      </c>
      <c r="AE227" s="38"/>
      <c r="AF227" s="692">
        <f t="shared" si="67"/>
        <v>0</v>
      </c>
      <c r="AG227" s="692">
        <f t="shared" si="68"/>
        <v>0</v>
      </c>
      <c r="AH227" s="692">
        <f t="shared" si="69"/>
        <v>0</v>
      </c>
      <c r="AJ227" s="68" t="s">
        <v>497</v>
      </c>
    </row>
    <row r="228" spans="1:36">
      <c r="A228" s="20"/>
      <c r="B228" s="20" t="s">
        <v>110</v>
      </c>
      <c r="C228" s="667"/>
      <c r="D228" s="68" t="s">
        <v>509</v>
      </c>
      <c r="E228" s="679"/>
      <c r="F228" s="529">
        <f>VLOOKUP(D228,'Q1 2012 DMV-Revenue'!D:T,17,FALSE)</f>
        <v>0</v>
      </c>
      <c r="G228" s="680"/>
      <c r="H228" s="680"/>
      <c r="I228" s="681"/>
      <c r="J228" s="682">
        <f t="shared" si="74"/>
        <v>0</v>
      </c>
      <c r="K228" s="683"/>
      <c r="L228" s="684"/>
      <c r="M228" s="753">
        <v>0</v>
      </c>
      <c r="N228" s="683"/>
      <c r="O228" s="686"/>
      <c r="P228" s="683"/>
      <c r="Q228" s="687">
        <f t="shared" si="75"/>
        <v>0</v>
      </c>
      <c r="R228" s="764">
        <v>11704.73</v>
      </c>
      <c r="S228" s="693"/>
      <c r="T228" s="690">
        <f t="shared" si="76"/>
        <v>11704.73</v>
      </c>
      <c r="U228" s="683"/>
      <c r="V228" s="474">
        <f t="shared" si="70"/>
        <v>0</v>
      </c>
      <c r="W228" s="474">
        <f t="shared" si="62"/>
        <v>0</v>
      </c>
      <c r="X228" s="475">
        <f t="shared" si="63"/>
        <v>0</v>
      </c>
      <c r="Y228" s="475">
        <v>0</v>
      </c>
      <c r="Z228" s="476">
        <v>0</v>
      </c>
      <c r="AA228" s="38">
        <f t="shared" si="71"/>
        <v>0</v>
      </c>
      <c r="AB228" s="692">
        <f t="shared" si="64"/>
        <v>0</v>
      </c>
      <c r="AC228" s="692">
        <f t="shared" si="65"/>
        <v>0</v>
      </c>
      <c r="AD228" s="692">
        <f t="shared" si="66"/>
        <v>0</v>
      </c>
      <c r="AE228" s="38"/>
      <c r="AF228" s="692">
        <f t="shared" si="67"/>
        <v>0</v>
      </c>
      <c r="AG228" s="692">
        <f t="shared" si="68"/>
        <v>0</v>
      </c>
      <c r="AH228" s="692">
        <f t="shared" si="69"/>
        <v>0</v>
      </c>
      <c r="AJ228" s="68" t="s">
        <v>509</v>
      </c>
    </row>
    <row r="229" spans="1:36" s="627" customFormat="1">
      <c r="A229" s="610"/>
      <c r="B229" s="610" t="s">
        <v>110</v>
      </c>
      <c r="C229" s="667" t="s">
        <v>580</v>
      </c>
      <c r="D229" s="612" t="s">
        <v>476</v>
      </c>
      <c r="E229" s="679"/>
      <c r="F229" s="529" t="str">
        <f>VLOOKUP(D229,'Q1 2012 DMV-Revenue'!D:T,17,FALSE)</f>
        <v/>
      </c>
      <c r="G229" s="680"/>
      <c r="H229" s="680"/>
      <c r="I229" s="681"/>
      <c r="J229" s="682">
        <f t="shared" si="74"/>
        <v>0</v>
      </c>
      <c r="K229" s="683"/>
      <c r="L229" s="684">
        <v>325774</v>
      </c>
      <c r="M229" s="753">
        <v>0</v>
      </c>
      <c r="N229" s="683">
        <v>0</v>
      </c>
      <c r="O229" s="686"/>
      <c r="P229" s="683">
        <v>0</v>
      </c>
      <c r="Q229" s="687">
        <v>0</v>
      </c>
      <c r="R229" s="764">
        <v>0</v>
      </c>
      <c r="S229" s="706"/>
      <c r="T229" s="690">
        <f t="shared" si="76"/>
        <v>0</v>
      </c>
      <c r="U229" s="707"/>
      <c r="V229" s="474">
        <f t="shared" si="70"/>
        <v>0</v>
      </c>
      <c r="W229" s="474">
        <f t="shared" si="62"/>
        <v>0</v>
      </c>
      <c r="X229" s="475">
        <f t="shared" si="63"/>
        <v>0</v>
      </c>
      <c r="Y229" s="475">
        <v>0</v>
      </c>
      <c r="Z229" s="476">
        <v>0</v>
      </c>
      <c r="AA229" s="38">
        <f t="shared" si="71"/>
        <v>325774</v>
      </c>
      <c r="AB229" s="692">
        <f t="shared" si="64"/>
        <v>0</v>
      </c>
      <c r="AC229" s="692">
        <f t="shared" si="65"/>
        <v>0</v>
      </c>
      <c r="AD229" s="692">
        <f t="shared" si="66"/>
        <v>0</v>
      </c>
      <c r="AE229" s="38"/>
      <c r="AF229" s="692">
        <f t="shared" si="67"/>
        <v>0</v>
      </c>
      <c r="AG229" s="692">
        <f t="shared" si="68"/>
        <v>0</v>
      </c>
      <c r="AH229" s="692">
        <f t="shared" si="69"/>
        <v>0</v>
      </c>
      <c r="AJ229" s="612" t="s">
        <v>476</v>
      </c>
    </row>
    <row r="230" spans="1:36" s="232" customFormat="1">
      <c r="A230" s="283"/>
      <c r="B230" s="283" t="s">
        <v>114</v>
      </c>
      <c r="C230" s="667" t="s">
        <v>580</v>
      </c>
      <c r="D230" s="123" t="s">
        <v>371</v>
      </c>
      <c r="E230" s="679"/>
      <c r="F230" s="529">
        <f>VLOOKUP(D230,'Q1 2012 DMV-Revenue'!D:T,17,FALSE)</f>
        <v>2501.9699999999998</v>
      </c>
      <c r="G230" s="680"/>
      <c r="H230" s="680"/>
      <c r="I230" s="681"/>
      <c r="J230" s="682">
        <f t="shared" si="74"/>
        <v>2501.9699999999998</v>
      </c>
      <c r="K230" s="683"/>
      <c r="L230" s="684"/>
      <c r="M230" s="753">
        <v>0</v>
      </c>
      <c r="N230" s="683">
        <v>0</v>
      </c>
      <c r="O230" s="686"/>
      <c r="P230" s="683">
        <v>0</v>
      </c>
      <c r="Q230" s="687">
        <f t="shared" si="75"/>
        <v>0</v>
      </c>
      <c r="R230" s="764">
        <f>669.5+2145.87</f>
        <v>2815.37</v>
      </c>
      <c r="S230" s="693"/>
      <c r="T230" s="690">
        <f t="shared" si="76"/>
        <v>2815.37</v>
      </c>
      <c r="U230" s="683"/>
      <c r="V230" s="474">
        <f t="shared" si="70"/>
        <v>0</v>
      </c>
      <c r="W230" s="474">
        <f t="shared" si="62"/>
        <v>0</v>
      </c>
      <c r="X230" s="475">
        <f t="shared" si="63"/>
        <v>0</v>
      </c>
      <c r="Y230" s="475">
        <v>0</v>
      </c>
      <c r="Z230" s="476">
        <v>0</v>
      </c>
      <c r="AA230" s="38">
        <f t="shared" si="71"/>
        <v>0</v>
      </c>
      <c r="AB230" s="692">
        <f t="shared" si="64"/>
        <v>0</v>
      </c>
      <c r="AC230" s="692">
        <f t="shared" si="65"/>
        <v>0</v>
      </c>
      <c r="AD230" s="692">
        <f t="shared" si="66"/>
        <v>2501.9699999999998</v>
      </c>
      <c r="AE230" s="38"/>
      <c r="AF230" s="692">
        <f t="shared" si="67"/>
        <v>0</v>
      </c>
      <c r="AG230" s="692">
        <f t="shared" si="68"/>
        <v>0</v>
      </c>
      <c r="AH230" s="692">
        <f t="shared" si="69"/>
        <v>0</v>
      </c>
      <c r="AJ230" s="123" t="s">
        <v>371</v>
      </c>
    </row>
    <row r="231" spans="1:36" s="232" customFormat="1">
      <c r="A231" s="283"/>
      <c r="B231" s="283" t="s">
        <v>110</v>
      </c>
      <c r="C231" s="667" t="s">
        <v>580</v>
      </c>
      <c r="D231" s="123" t="s">
        <v>422</v>
      </c>
      <c r="E231" s="679"/>
      <c r="F231" s="529" t="str">
        <f>VLOOKUP(D231,'Q1 2012 DMV-Revenue'!D:T,17,FALSE)</f>
        <v/>
      </c>
      <c r="G231" s="680"/>
      <c r="H231" s="680"/>
      <c r="I231" s="681"/>
      <c r="J231" s="682">
        <f t="shared" si="74"/>
        <v>0</v>
      </c>
      <c r="K231" s="683"/>
      <c r="L231" s="684"/>
      <c r="M231" s="753">
        <v>0</v>
      </c>
      <c r="N231" s="683">
        <v>0</v>
      </c>
      <c r="O231" s="686"/>
      <c r="P231" s="683">
        <v>0</v>
      </c>
      <c r="Q231" s="687">
        <f t="shared" si="75"/>
        <v>0</v>
      </c>
      <c r="R231" s="764">
        <v>135.6</v>
      </c>
      <c r="S231" s="693"/>
      <c r="T231" s="690">
        <f t="shared" si="76"/>
        <v>135.6</v>
      </c>
      <c r="U231" s="683"/>
      <c r="V231" s="474">
        <f t="shared" si="70"/>
        <v>0</v>
      </c>
      <c r="W231" s="474">
        <f t="shared" si="62"/>
        <v>0</v>
      </c>
      <c r="X231" s="475">
        <f t="shared" si="63"/>
        <v>0</v>
      </c>
      <c r="Y231" s="475">
        <v>0</v>
      </c>
      <c r="Z231" s="476">
        <v>0</v>
      </c>
      <c r="AA231" s="38">
        <f t="shared" si="71"/>
        <v>0</v>
      </c>
      <c r="AB231" s="692">
        <f t="shared" si="64"/>
        <v>0</v>
      </c>
      <c r="AC231" s="692">
        <f t="shared" si="65"/>
        <v>0</v>
      </c>
      <c r="AD231" s="692">
        <f t="shared" si="66"/>
        <v>0</v>
      </c>
      <c r="AE231" s="38"/>
      <c r="AF231" s="692">
        <f t="shared" si="67"/>
        <v>0</v>
      </c>
      <c r="AG231" s="692">
        <f t="shared" si="68"/>
        <v>0</v>
      </c>
      <c r="AH231" s="692">
        <f t="shared" si="69"/>
        <v>0</v>
      </c>
      <c r="AJ231" s="123" t="s">
        <v>422</v>
      </c>
    </row>
    <row r="232" spans="1:36" s="232" customFormat="1">
      <c r="A232" s="283"/>
      <c r="B232" s="283" t="s">
        <v>110</v>
      </c>
      <c r="C232" s="667" t="s">
        <v>580</v>
      </c>
      <c r="D232" s="123" t="s">
        <v>442</v>
      </c>
      <c r="E232" s="679"/>
      <c r="F232" s="529">
        <f>VLOOKUP(D232,'Q1 2012 DMV-Revenue'!D:T,17,FALSE)</f>
        <v>-2146.2000000000116</v>
      </c>
      <c r="G232" s="680"/>
      <c r="H232" s="680"/>
      <c r="I232" s="681"/>
      <c r="J232" s="682">
        <f t="shared" si="74"/>
        <v>-2146.2000000000116</v>
      </c>
      <c r="K232" s="683"/>
      <c r="L232" s="684">
        <v>325774</v>
      </c>
      <c r="M232" s="753">
        <v>0</v>
      </c>
      <c r="N232" s="683">
        <v>0</v>
      </c>
      <c r="O232" s="686"/>
      <c r="P232" s="683">
        <v>0</v>
      </c>
      <c r="Q232" s="687">
        <f t="shared" si="75"/>
        <v>325774</v>
      </c>
      <c r="R232" s="764">
        <v>307760.56</v>
      </c>
      <c r="S232" s="693"/>
      <c r="T232" s="690">
        <f t="shared" si="76"/>
        <v>-18013.440000000002</v>
      </c>
      <c r="U232" s="683"/>
      <c r="V232" s="474">
        <f t="shared" si="70"/>
        <v>325774</v>
      </c>
      <c r="W232" s="474">
        <f t="shared" si="62"/>
        <v>0</v>
      </c>
      <c r="X232" s="475">
        <f t="shared" si="63"/>
        <v>0</v>
      </c>
      <c r="Y232" s="475">
        <v>0</v>
      </c>
      <c r="Z232" s="476">
        <v>0</v>
      </c>
      <c r="AA232" s="38">
        <f t="shared" si="71"/>
        <v>0</v>
      </c>
      <c r="AB232" s="692">
        <f t="shared" si="64"/>
        <v>-2146.2000000000116</v>
      </c>
      <c r="AC232" s="692">
        <f t="shared" si="65"/>
        <v>0</v>
      </c>
      <c r="AD232" s="692">
        <f t="shared" si="66"/>
        <v>0</v>
      </c>
      <c r="AE232" s="38"/>
      <c r="AF232" s="692">
        <f t="shared" si="67"/>
        <v>325774</v>
      </c>
      <c r="AG232" s="692">
        <f t="shared" si="68"/>
        <v>0</v>
      </c>
      <c r="AH232" s="692">
        <f t="shared" si="69"/>
        <v>0</v>
      </c>
      <c r="AJ232" s="123" t="s">
        <v>442</v>
      </c>
    </row>
    <row r="233" spans="1:36">
      <c r="A233" s="20"/>
      <c r="B233" s="20" t="s">
        <v>109</v>
      </c>
      <c r="C233" s="667"/>
      <c r="D233" s="68" t="s">
        <v>304</v>
      </c>
      <c r="E233" s="679"/>
      <c r="F233" s="529" t="str">
        <f>VLOOKUP(D233,'Q1 2012 DMV-Revenue'!D:T,17,FALSE)</f>
        <v/>
      </c>
      <c r="G233" s="680"/>
      <c r="H233" s="680"/>
      <c r="I233" s="681"/>
      <c r="J233" s="682">
        <f t="shared" si="74"/>
        <v>0</v>
      </c>
      <c r="K233" s="683"/>
      <c r="L233" s="684"/>
      <c r="M233" s="753">
        <v>0</v>
      </c>
      <c r="N233" s="683">
        <v>0</v>
      </c>
      <c r="O233" s="686"/>
      <c r="P233" s="683">
        <v>0</v>
      </c>
      <c r="Q233" s="687">
        <f t="shared" si="75"/>
        <v>0</v>
      </c>
      <c r="R233" s="764">
        <v>0</v>
      </c>
      <c r="S233" s="693"/>
      <c r="T233" s="690">
        <f t="shared" si="76"/>
        <v>0</v>
      </c>
      <c r="U233" s="683"/>
      <c r="V233" s="474">
        <f t="shared" si="70"/>
        <v>0</v>
      </c>
      <c r="W233" s="474">
        <f t="shared" si="62"/>
        <v>0</v>
      </c>
      <c r="X233" s="475">
        <f t="shared" si="63"/>
        <v>0</v>
      </c>
      <c r="Y233" s="475">
        <v>0</v>
      </c>
      <c r="Z233" s="476">
        <v>0</v>
      </c>
      <c r="AA233" s="38">
        <f t="shared" si="71"/>
        <v>0</v>
      </c>
      <c r="AB233" s="692">
        <f t="shared" si="64"/>
        <v>0</v>
      </c>
      <c r="AC233" s="692">
        <f t="shared" si="65"/>
        <v>0</v>
      </c>
      <c r="AD233" s="692">
        <f t="shared" si="66"/>
        <v>0</v>
      </c>
      <c r="AE233" s="38"/>
      <c r="AF233" s="692">
        <f t="shared" si="67"/>
        <v>0</v>
      </c>
      <c r="AG233" s="692">
        <f t="shared" si="68"/>
        <v>0</v>
      </c>
      <c r="AH233" s="692">
        <f t="shared" si="69"/>
        <v>0</v>
      </c>
      <c r="AJ233" s="68" t="s">
        <v>304</v>
      </c>
    </row>
    <row r="234" spans="1:36">
      <c r="A234" s="21" t="s">
        <v>97</v>
      </c>
      <c r="B234" s="21" t="s">
        <v>109</v>
      </c>
      <c r="C234" s="666"/>
      <c r="D234" s="68" t="s">
        <v>381</v>
      </c>
      <c r="E234" s="679">
        <f>321.01+1091.78</f>
        <v>1412.79</v>
      </c>
      <c r="F234" s="529" t="str">
        <f>VLOOKUP(D234,'Q1 2012 DMV-Revenue'!D:T,17,FALSE)</f>
        <v/>
      </c>
      <c r="G234" s="680"/>
      <c r="H234" s="680"/>
      <c r="I234" s="681"/>
      <c r="J234" s="682">
        <f t="shared" si="74"/>
        <v>1412.79</v>
      </c>
      <c r="K234" s="683"/>
      <c r="L234" s="684"/>
      <c r="M234" s="753">
        <v>0</v>
      </c>
      <c r="N234" s="683">
        <v>0</v>
      </c>
      <c r="O234" s="686"/>
      <c r="P234" s="683">
        <v>0</v>
      </c>
      <c r="Q234" s="687">
        <f t="shared" si="75"/>
        <v>0</v>
      </c>
      <c r="R234" s="764">
        <v>0</v>
      </c>
      <c r="S234" s="693"/>
      <c r="T234" s="690">
        <f t="shared" si="76"/>
        <v>0</v>
      </c>
      <c r="U234" s="683"/>
      <c r="V234" s="474">
        <f t="shared" si="70"/>
        <v>0</v>
      </c>
      <c r="W234" s="474">
        <f t="shared" si="62"/>
        <v>0</v>
      </c>
      <c r="X234" s="475">
        <f t="shared" si="63"/>
        <v>0</v>
      </c>
      <c r="Y234" s="475">
        <v>0</v>
      </c>
      <c r="Z234" s="476">
        <v>0</v>
      </c>
      <c r="AA234" s="38">
        <f t="shared" si="71"/>
        <v>0</v>
      </c>
      <c r="AB234" s="692">
        <f t="shared" si="64"/>
        <v>0</v>
      </c>
      <c r="AC234" s="692">
        <f>IF(B234="M",J234,0)-AD234</f>
        <v>1392.08</v>
      </c>
      <c r="AD234" s="692">
        <f>2.44+18.27</f>
        <v>20.71</v>
      </c>
      <c r="AE234" s="38"/>
      <c r="AF234" s="692">
        <f t="shared" si="67"/>
        <v>0</v>
      </c>
      <c r="AG234" s="692">
        <f t="shared" si="68"/>
        <v>0</v>
      </c>
      <c r="AH234" s="692">
        <f t="shared" si="69"/>
        <v>0</v>
      </c>
      <c r="AJ234" s="68" t="s">
        <v>381</v>
      </c>
    </row>
    <row r="235" spans="1:36">
      <c r="A235" s="21" t="s">
        <v>97</v>
      </c>
      <c r="B235" s="21" t="s">
        <v>114</v>
      </c>
      <c r="C235" s="666"/>
      <c r="D235" s="68" t="s">
        <v>376</v>
      </c>
      <c r="E235" s="679"/>
      <c r="F235" s="529" t="str">
        <f>VLOOKUP(D235,'Q1 2012 DMV-Revenue'!D:T,17,FALSE)</f>
        <v/>
      </c>
      <c r="G235" s="680"/>
      <c r="H235" s="680"/>
      <c r="I235" s="681"/>
      <c r="J235" s="682">
        <f t="shared" si="74"/>
        <v>0</v>
      </c>
      <c r="K235" s="683"/>
      <c r="L235" s="684"/>
      <c r="M235" s="753">
        <v>0</v>
      </c>
      <c r="N235" s="683">
        <v>0</v>
      </c>
      <c r="O235" s="686"/>
      <c r="P235" s="683">
        <v>0</v>
      </c>
      <c r="Q235" s="687">
        <f t="shared" si="75"/>
        <v>0</v>
      </c>
      <c r="R235" s="764">
        <v>0</v>
      </c>
      <c r="S235" s="693"/>
      <c r="T235" s="690">
        <f t="shared" si="76"/>
        <v>0</v>
      </c>
      <c r="U235" s="683"/>
      <c r="V235" s="474">
        <f t="shared" si="70"/>
        <v>0</v>
      </c>
      <c r="W235" s="474">
        <f t="shared" si="62"/>
        <v>0</v>
      </c>
      <c r="X235" s="475">
        <f t="shared" si="63"/>
        <v>0</v>
      </c>
      <c r="Y235" s="475">
        <v>0</v>
      </c>
      <c r="Z235" s="476">
        <v>0</v>
      </c>
      <c r="AA235" s="38">
        <f t="shared" si="71"/>
        <v>0</v>
      </c>
      <c r="AB235" s="692">
        <f t="shared" si="64"/>
        <v>0</v>
      </c>
      <c r="AC235" s="692">
        <f t="shared" si="65"/>
        <v>0</v>
      </c>
      <c r="AD235" s="692">
        <f t="shared" si="66"/>
        <v>0</v>
      </c>
      <c r="AE235" s="38"/>
      <c r="AF235" s="692">
        <f t="shared" si="67"/>
        <v>0</v>
      </c>
      <c r="AG235" s="692">
        <f t="shared" si="68"/>
        <v>0</v>
      </c>
      <c r="AH235" s="692">
        <f t="shared" si="69"/>
        <v>0</v>
      </c>
      <c r="AJ235" s="68" t="s">
        <v>376</v>
      </c>
    </row>
    <row r="236" spans="1:36">
      <c r="A236" s="20"/>
      <c r="B236" s="20" t="s">
        <v>110</v>
      </c>
      <c r="C236" s="667"/>
      <c r="D236" s="68" t="s">
        <v>390</v>
      </c>
      <c r="E236" s="679"/>
      <c r="F236" s="529" t="str">
        <f>VLOOKUP(D236,'Q1 2012 DMV-Revenue'!D:T,17,FALSE)</f>
        <v/>
      </c>
      <c r="G236" s="680"/>
      <c r="H236" s="680"/>
      <c r="I236" s="681"/>
      <c r="J236" s="682">
        <f t="shared" si="74"/>
        <v>0</v>
      </c>
      <c r="K236" s="683"/>
      <c r="L236" s="684"/>
      <c r="M236" s="753">
        <v>0</v>
      </c>
      <c r="N236" s="683">
        <v>0</v>
      </c>
      <c r="O236" s="686"/>
      <c r="P236" s="683">
        <v>0</v>
      </c>
      <c r="Q236" s="687">
        <f t="shared" si="75"/>
        <v>0</v>
      </c>
      <c r="R236" s="764">
        <v>0</v>
      </c>
      <c r="S236" s="693"/>
      <c r="T236" s="690">
        <f t="shared" si="76"/>
        <v>0</v>
      </c>
      <c r="U236" s="683"/>
      <c r="V236" s="474">
        <f t="shared" si="70"/>
        <v>0</v>
      </c>
      <c r="W236" s="474">
        <f t="shared" si="62"/>
        <v>0</v>
      </c>
      <c r="X236" s="475">
        <f t="shared" si="63"/>
        <v>0</v>
      </c>
      <c r="Y236" s="475">
        <v>0</v>
      </c>
      <c r="Z236" s="476">
        <v>0</v>
      </c>
      <c r="AA236" s="38">
        <f t="shared" si="71"/>
        <v>0</v>
      </c>
      <c r="AB236" s="692">
        <f t="shared" si="64"/>
        <v>0</v>
      </c>
      <c r="AC236" s="692">
        <f t="shared" si="65"/>
        <v>0</v>
      </c>
      <c r="AD236" s="692">
        <f t="shared" si="66"/>
        <v>0</v>
      </c>
      <c r="AE236" s="38"/>
      <c r="AF236" s="692">
        <f t="shared" si="67"/>
        <v>0</v>
      </c>
      <c r="AG236" s="692">
        <f t="shared" si="68"/>
        <v>0</v>
      </c>
      <c r="AH236" s="692">
        <f t="shared" si="69"/>
        <v>0</v>
      </c>
      <c r="AJ236" s="68" t="s">
        <v>390</v>
      </c>
    </row>
    <row r="237" spans="1:36">
      <c r="A237" s="20"/>
      <c r="B237" s="20" t="s">
        <v>110</v>
      </c>
      <c r="C237" s="667" t="s">
        <v>581</v>
      </c>
      <c r="D237" s="123" t="s">
        <v>166</v>
      </c>
      <c r="E237" s="679"/>
      <c r="F237" s="529" t="str">
        <f>VLOOKUP(D237,'Q1 2012 DMV-Revenue'!D:T,17,FALSE)</f>
        <v/>
      </c>
      <c r="G237" s="680"/>
      <c r="H237" s="680"/>
      <c r="I237" s="681"/>
      <c r="J237" s="682">
        <f t="shared" si="74"/>
        <v>0</v>
      </c>
      <c r="K237" s="683"/>
      <c r="L237" s="684"/>
      <c r="M237" s="753">
        <v>0</v>
      </c>
      <c r="N237" s="683">
        <v>0</v>
      </c>
      <c r="O237" s="686"/>
      <c r="P237" s="683">
        <v>0</v>
      </c>
      <c r="Q237" s="687">
        <f t="shared" si="75"/>
        <v>0</v>
      </c>
      <c r="R237" s="764">
        <v>0</v>
      </c>
      <c r="S237" s="693"/>
      <c r="T237" s="690">
        <f t="shared" si="76"/>
        <v>0</v>
      </c>
      <c r="U237" s="683"/>
      <c r="V237" s="474">
        <f t="shared" si="70"/>
        <v>0</v>
      </c>
      <c r="W237" s="474">
        <f t="shared" si="62"/>
        <v>0</v>
      </c>
      <c r="X237" s="475">
        <f t="shared" si="63"/>
        <v>0</v>
      </c>
      <c r="Y237" s="475">
        <v>0</v>
      </c>
      <c r="Z237" s="476">
        <v>0</v>
      </c>
      <c r="AA237" s="38">
        <f t="shared" si="71"/>
        <v>0</v>
      </c>
      <c r="AB237" s="692">
        <f t="shared" si="64"/>
        <v>0</v>
      </c>
      <c r="AC237" s="692">
        <f t="shared" si="65"/>
        <v>0</v>
      </c>
      <c r="AD237" s="692">
        <f t="shared" si="66"/>
        <v>0</v>
      </c>
      <c r="AE237" s="38"/>
      <c r="AF237" s="692">
        <f t="shared" si="67"/>
        <v>0</v>
      </c>
      <c r="AG237" s="692">
        <f t="shared" si="68"/>
        <v>0</v>
      </c>
      <c r="AH237" s="692">
        <f t="shared" si="69"/>
        <v>0</v>
      </c>
      <c r="AJ237" s="123" t="s">
        <v>166</v>
      </c>
    </row>
    <row r="238" spans="1:36">
      <c r="A238" s="20"/>
      <c r="B238" s="20" t="s">
        <v>109</v>
      </c>
      <c r="C238" s="667" t="s">
        <v>581</v>
      </c>
      <c r="D238" s="123" t="s">
        <v>165</v>
      </c>
      <c r="E238" s="679"/>
      <c r="F238" s="529" t="str">
        <f>VLOOKUP(D238,'Q1 2012 DMV-Revenue'!D:T,17,FALSE)</f>
        <v/>
      </c>
      <c r="G238" s="680"/>
      <c r="H238" s="680"/>
      <c r="I238" s="681"/>
      <c r="J238" s="682">
        <f t="shared" si="74"/>
        <v>0</v>
      </c>
      <c r="K238" s="683"/>
      <c r="L238" s="684"/>
      <c r="M238" s="753">
        <v>0</v>
      </c>
      <c r="N238" s="683">
        <v>0</v>
      </c>
      <c r="O238" s="686"/>
      <c r="P238" s="683">
        <v>0</v>
      </c>
      <c r="Q238" s="687">
        <f t="shared" si="75"/>
        <v>0</v>
      </c>
      <c r="R238" s="764">
        <v>0</v>
      </c>
      <c r="S238" s="693"/>
      <c r="T238" s="690">
        <f t="shared" si="76"/>
        <v>0</v>
      </c>
      <c r="U238" s="683"/>
      <c r="V238" s="474">
        <f t="shared" si="70"/>
        <v>0</v>
      </c>
      <c r="W238" s="474">
        <f t="shared" si="62"/>
        <v>0</v>
      </c>
      <c r="X238" s="475">
        <f t="shared" si="63"/>
        <v>0</v>
      </c>
      <c r="Y238" s="475">
        <v>0</v>
      </c>
      <c r="Z238" s="476">
        <v>0</v>
      </c>
      <c r="AA238" s="38">
        <f t="shared" si="71"/>
        <v>0</v>
      </c>
      <c r="AB238" s="692">
        <f t="shared" si="64"/>
        <v>0</v>
      </c>
      <c r="AC238" s="692">
        <f t="shared" si="65"/>
        <v>0</v>
      </c>
      <c r="AD238" s="692">
        <f t="shared" si="66"/>
        <v>0</v>
      </c>
      <c r="AE238" s="38"/>
      <c r="AF238" s="692">
        <f t="shared" si="67"/>
        <v>0</v>
      </c>
      <c r="AG238" s="692">
        <f t="shared" si="68"/>
        <v>0</v>
      </c>
      <c r="AH238" s="692">
        <f t="shared" si="69"/>
        <v>0</v>
      </c>
      <c r="AJ238" s="123" t="s">
        <v>165</v>
      </c>
    </row>
    <row r="239" spans="1:36">
      <c r="A239" s="20"/>
      <c r="B239" s="20" t="s">
        <v>109</v>
      </c>
      <c r="C239" s="667"/>
      <c r="D239" s="123" t="s">
        <v>310</v>
      </c>
      <c r="E239" s="679"/>
      <c r="F239" s="529" t="str">
        <f>VLOOKUP(D239,'Q1 2012 DMV-Revenue'!D:T,17,FALSE)</f>
        <v/>
      </c>
      <c r="G239" s="680"/>
      <c r="H239" s="680"/>
      <c r="I239" s="681"/>
      <c r="J239" s="682">
        <f t="shared" si="74"/>
        <v>0</v>
      </c>
      <c r="K239" s="683"/>
      <c r="L239" s="684"/>
      <c r="M239" s="753">
        <v>0</v>
      </c>
      <c r="N239" s="683">
        <v>0</v>
      </c>
      <c r="O239" s="686"/>
      <c r="P239" s="683">
        <v>0</v>
      </c>
      <c r="Q239" s="687">
        <f t="shared" si="75"/>
        <v>0</v>
      </c>
      <c r="R239" s="764">
        <v>0</v>
      </c>
      <c r="S239" s="693"/>
      <c r="T239" s="690">
        <f t="shared" si="76"/>
        <v>0</v>
      </c>
      <c r="U239" s="683"/>
      <c r="V239" s="474">
        <f t="shared" si="70"/>
        <v>0</v>
      </c>
      <c r="W239" s="474">
        <f t="shared" si="62"/>
        <v>0</v>
      </c>
      <c r="X239" s="475">
        <f t="shared" si="63"/>
        <v>0</v>
      </c>
      <c r="Y239" s="475">
        <v>0</v>
      </c>
      <c r="Z239" s="476">
        <v>0</v>
      </c>
      <c r="AA239" s="38">
        <f t="shared" si="71"/>
        <v>0</v>
      </c>
      <c r="AB239" s="692">
        <f t="shared" si="64"/>
        <v>0</v>
      </c>
      <c r="AC239" s="692">
        <f t="shared" si="65"/>
        <v>0</v>
      </c>
      <c r="AD239" s="692">
        <f t="shared" si="66"/>
        <v>0</v>
      </c>
      <c r="AE239" s="38"/>
      <c r="AF239" s="692">
        <f t="shared" si="67"/>
        <v>0</v>
      </c>
      <c r="AG239" s="692">
        <f t="shared" si="68"/>
        <v>0</v>
      </c>
      <c r="AH239" s="692">
        <f t="shared" si="69"/>
        <v>0</v>
      </c>
      <c r="AJ239" s="123" t="s">
        <v>310</v>
      </c>
    </row>
    <row r="240" spans="1:36">
      <c r="A240" s="20"/>
      <c r="B240" s="20" t="s">
        <v>109</v>
      </c>
      <c r="C240" s="667"/>
      <c r="D240" s="123" t="s">
        <v>441</v>
      </c>
      <c r="E240" s="679"/>
      <c r="F240" s="529" t="str">
        <f>VLOOKUP(D240,'Q1 2012 DMV-Revenue'!D:T,17,FALSE)</f>
        <v/>
      </c>
      <c r="G240" s="680"/>
      <c r="H240" s="680"/>
      <c r="I240" s="681"/>
      <c r="J240" s="682">
        <f t="shared" si="74"/>
        <v>0</v>
      </c>
      <c r="K240" s="683"/>
      <c r="L240" s="684"/>
      <c r="M240" s="753">
        <v>0</v>
      </c>
      <c r="N240" s="683">
        <v>0</v>
      </c>
      <c r="O240" s="686"/>
      <c r="P240" s="683">
        <v>0</v>
      </c>
      <c r="Q240" s="687">
        <f t="shared" si="75"/>
        <v>0</v>
      </c>
      <c r="R240" s="764">
        <v>0</v>
      </c>
      <c r="S240" s="693"/>
      <c r="T240" s="690">
        <f t="shared" si="76"/>
        <v>0</v>
      </c>
      <c r="U240" s="683"/>
      <c r="V240" s="474">
        <f t="shared" si="70"/>
        <v>0</v>
      </c>
      <c r="W240" s="474">
        <f t="shared" si="62"/>
        <v>0</v>
      </c>
      <c r="X240" s="475">
        <f t="shared" si="63"/>
        <v>0</v>
      </c>
      <c r="Y240" s="475">
        <v>0</v>
      </c>
      <c r="Z240" s="476">
        <v>0</v>
      </c>
      <c r="AA240" s="38">
        <f t="shared" si="71"/>
        <v>0</v>
      </c>
      <c r="AB240" s="692">
        <f t="shared" si="64"/>
        <v>0</v>
      </c>
      <c r="AC240" s="692">
        <f t="shared" si="65"/>
        <v>0</v>
      </c>
      <c r="AD240" s="692">
        <f t="shared" si="66"/>
        <v>0</v>
      </c>
      <c r="AE240" s="38"/>
      <c r="AF240" s="692">
        <f t="shared" si="67"/>
        <v>0</v>
      </c>
      <c r="AG240" s="692">
        <f t="shared" si="68"/>
        <v>0</v>
      </c>
      <c r="AH240" s="692">
        <f t="shared" si="69"/>
        <v>0</v>
      </c>
      <c r="AJ240" s="123" t="s">
        <v>441</v>
      </c>
    </row>
    <row r="241" spans="1:36">
      <c r="A241" s="20"/>
      <c r="B241" s="20" t="s">
        <v>109</v>
      </c>
      <c r="C241" s="667"/>
      <c r="D241" s="68" t="s">
        <v>121</v>
      </c>
      <c r="E241" s="679"/>
      <c r="F241" s="529" t="str">
        <f>VLOOKUP(D241,'Q1 2012 DMV-Revenue'!D:T,17,FALSE)</f>
        <v/>
      </c>
      <c r="G241" s="680"/>
      <c r="H241" s="680"/>
      <c r="I241" s="681"/>
      <c r="J241" s="682">
        <f t="shared" si="74"/>
        <v>0</v>
      </c>
      <c r="K241" s="683"/>
      <c r="L241" s="684"/>
      <c r="M241" s="753">
        <v>0</v>
      </c>
      <c r="N241" s="683">
        <v>0</v>
      </c>
      <c r="O241" s="686"/>
      <c r="P241" s="683">
        <v>0</v>
      </c>
      <c r="Q241" s="687">
        <f t="shared" si="75"/>
        <v>0</v>
      </c>
      <c r="R241" s="764">
        <v>0</v>
      </c>
      <c r="S241" s="693"/>
      <c r="T241" s="690">
        <f t="shared" si="76"/>
        <v>0</v>
      </c>
      <c r="U241" s="683"/>
      <c r="V241" s="474">
        <f t="shared" si="70"/>
        <v>0</v>
      </c>
      <c r="W241" s="474">
        <f t="shared" si="62"/>
        <v>0</v>
      </c>
      <c r="X241" s="475">
        <f t="shared" si="63"/>
        <v>0</v>
      </c>
      <c r="Y241" s="475">
        <v>0</v>
      </c>
      <c r="Z241" s="476">
        <v>0</v>
      </c>
      <c r="AA241" s="38">
        <f t="shared" si="71"/>
        <v>0</v>
      </c>
      <c r="AB241" s="692">
        <f t="shared" si="64"/>
        <v>0</v>
      </c>
      <c r="AC241" s="692">
        <f t="shared" si="65"/>
        <v>0</v>
      </c>
      <c r="AD241" s="692">
        <f t="shared" si="66"/>
        <v>0</v>
      </c>
      <c r="AE241" s="38"/>
      <c r="AF241" s="692">
        <f t="shared" si="67"/>
        <v>0</v>
      </c>
      <c r="AG241" s="692">
        <f t="shared" si="68"/>
        <v>0</v>
      </c>
      <c r="AH241" s="692">
        <f t="shared" si="69"/>
        <v>0</v>
      </c>
      <c r="AJ241" s="68" t="s">
        <v>121</v>
      </c>
    </row>
    <row r="242" spans="1:36">
      <c r="A242" s="20"/>
      <c r="B242" s="20" t="s">
        <v>110</v>
      </c>
      <c r="C242" s="667"/>
      <c r="D242" s="68" t="s">
        <v>168</v>
      </c>
      <c r="E242" s="679"/>
      <c r="F242" s="529" t="str">
        <f>VLOOKUP(D242,'Q1 2012 DMV-Revenue'!D:T,17,FALSE)</f>
        <v/>
      </c>
      <c r="G242" s="680"/>
      <c r="H242" s="680"/>
      <c r="I242" s="681"/>
      <c r="J242" s="682">
        <f t="shared" si="74"/>
        <v>0</v>
      </c>
      <c r="K242" s="683"/>
      <c r="L242" s="684"/>
      <c r="M242" s="753">
        <v>0</v>
      </c>
      <c r="N242" s="683">
        <v>0</v>
      </c>
      <c r="O242" s="686"/>
      <c r="P242" s="683">
        <v>0</v>
      </c>
      <c r="Q242" s="687">
        <f t="shared" si="75"/>
        <v>0</v>
      </c>
      <c r="R242" s="764">
        <v>0</v>
      </c>
      <c r="S242" s="693"/>
      <c r="T242" s="690">
        <f t="shared" si="76"/>
        <v>0</v>
      </c>
      <c r="U242" s="683"/>
      <c r="V242" s="474">
        <f t="shared" si="70"/>
        <v>0</v>
      </c>
      <c r="W242" s="474">
        <f t="shared" si="62"/>
        <v>0</v>
      </c>
      <c r="X242" s="475">
        <f t="shared" si="63"/>
        <v>0</v>
      </c>
      <c r="Y242" s="475">
        <v>0</v>
      </c>
      <c r="Z242" s="476">
        <v>0</v>
      </c>
      <c r="AA242" s="38">
        <f t="shared" si="71"/>
        <v>0</v>
      </c>
      <c r="AB242" s="692">
        <f t="shared" si="64"/>
        <v>0</v>
      </c>
      <c r="AC242" s="692">
        <f t="shared" si="65"/>
        <v>0</v>
      </c>
      <c r="AD242" s="692">
        <f t="shared" si="66"/>
        <v>0</v>
      </c>
      <c r="AE242" s="38"/>
      <c r="AF242" s="692">
        <f t="shared" si="67"/>
        <v>0</v>
      </c>
      <c r="AG242" s="692">
        <f t="shared" si="68"/>
        <v>0</v>
      </c>
      <c r="AH242" s="692">
        <f t="shared" si="69"/>
        <v>0</v>
      </c>
      <c r="AJ242" s="68" t="s">
        <v>168</v>
      </c>
    </row>
    <row r="243" spans="1:36">
      <c r="A243" s="20"/>
      <c r="B243" s="20" t="s">
        <v>109</v>
      </c>
      <c r="C243" s="667" t="s">
        <v>582</v>
      </c>
      <c r="D243" s="68" t="s">
        <v>167</v>
      </c>
      <c r="E243" s="679"/>
      <c r="F243" s="529" t="str">
        <f>VLOOKUP(D243,'Q1 2012 DMV-Revenue'!D:T,17,FALSE)</f>
        <v/>
      </c>
      <c r="G243" s="680"/>
      <c r="H243" s="680"/>
      <c r="I243" s="681"/>
      <c r="J243" s="682">
        <f t="shared" si="74"/>
        <v>0</v>
      </c>
      <c r="K243" s="683"/>
      <c r="L243" s="684"/>
      <c r="M243" s="753">
        <v>0</v>
      </c>
      <c r="N243" s="683">
        <v>0</v>
      </c>
      <c r="O243" s="686"/>
      <c r="P243" s="683">
        <v>0</v>
      </c>
      <c r="Q243" s="687">
        <f t="shared" si="75"/>
        <v>0</v>
      </c>
      <c r="R243" s="764">
        <v>0</v>
      </c>
      <c r="S243" s="693"/>
      <c r="T243" s="690">
        <f t="shared" si="76"/>
        <v>0</v>
      </c>
      <c r="U243" s="683"/>
      <c r="V243" s="474">
        <f t="shared" si="70"/>
        <v>0</v>
      </c>
      <c r="W243" s="474">
        <f t="shared" si="62"/>
        <v>0</v>
      </c>
      <c r="X243" s="475">
        <f t="shared" si="63"/>
        <v>0</v>
      </c>
      <c r="Y243" s="475">
        <v>0</v>
      </c>
      <c r="Z243" s="476">
        <v>0</v>
      </c>
      <c r="AA243" s="38">
        <f t="shared" si="71"/>
        <v>0</v>
      </c>
      <c r="AB243" s="692">
        <f t="shared" si="64"/>
        <v>0</v>
      </c>
      <c r="AC243" s="692">
        <f t="shared" si="65"/>
        <v>0</v>
      </c>
      <c r="AD243" s="692">
        <f t="shared" si="66"/>
        <v>0</v>
      </c>
      <c r="AE243" s="38"/>
      <c r="AF243" s="692">
        <f t="shared" si="67"/>
        <v>0</v>
      </c>
      <c r="AG243" s="692">
        <f t="shared" si="68"/>
        <v>0</v>
      </c>
      <c r="AH243" s="692">
        <f t="shared" si="69"/>
        <v>0</v>
      </c>
      <c r="AJ243" s="68" t="s">
        <v>167</v>
      </c>
    </row>
    <row r="244" spans="1:36">
      <c r="A244" s="20" t="s">
        <v>218</v>
      </c>
      <c r="B244" s="20" t="s">
        <v>110</v>
      </c>
      <c r="C244" s="667"/>
      <c r="D244" s="68" t="s">
        <v>240</v>
      </c>
      <c r="E244" s="679"/>
      <c r="F244" s="529" t="str">
        <f>VLOOKUP(D244,'Q1 2012 DMV-Revenue'!D:T,17,FALSE)</f>
        <v/>
      </c>
      <c r="G244" s="680"/>
      <c r="H244" s="680"/>
      <c r="I244" s="681"/>
      <c r="J244" s="682">
        <f t="shared" si="74"/>
        <v>0</v>
      </c>
      <c r="K244" s="683"/>
      <c r="L244" s="684"/>
      <c r="M244" s="753">
        <v>0</v>
      </c>
      <c r="N244" s="683">
        <v>0</v>
      </c>
      <c r="O244" s="686"/>
      <c r="P244" s="683">
        <v>0</v>
      </c>
      <c r="Q244" s="687">
        <f t="shared" si="75"/>
        <v>0</v>
      </c>
      <c r="R244" s="764">
        <v>0</v>
      </c>
      <c r="S244" s="693"/>
      <c r="T244" s="690">
        <f t="shared" si="76"/>
        <v>0</v>
      </c>
      <c r="U244" s="697"/>
      <c r="V244" s="474">
        <f t="shared" si="70"/>
        <v>0</v>
      </c>
      <c r="W244" s="474">
        <f t="shared" si="62"/>
        <v>0</v>
      </c>
      <c r="X244" s="475">
        <f t="shared" si="63"/>
        <v>0</v>
      </c>
      <c r="Y244" s="475">
        <v>0</v>
      </c>
      <c r="Z244" s="476">
        <v>0</v>
      </c>
      <c r="AA244" s="38">
        <f t="shared" si="71"/>
        <v>0</v>
      </c>
      <c r="AB244" s="692">
        <f t="shared" si="64"/>
        <v>0</v>
      </c>
      <c r="AC244" s="692">
        <f t="shared" si="65"/>
        <v>0</v>
      </c>
      <c r="AD244" s="692">
        <f t="shared" si="66"/>
        <v>0</v>
      </c>
      <c r="AE244" s="38"/>
      <c r="AF244" s="692">
        <f t="shared" si="67"/>
        <v>0</v>
      </c>
      <c r="AG244" s="692">
        <f t="shared" si="68"/>
        <v>0</v>
      </c>
      <c r="AH244" s="692">
        <f t="shared" si="69"/>
        <v>0</v>
      </c>
      <c r="AJ244" s="68" t="s">
        <v>240</v>
      </c>
    </row>
    <row r="245" spans="1:36">
      <c r="A245" s="20" t="s">
        <v>218</v>
      </c>
      <c r="B245" s="20" t="s">
        <v>110</v>
      </c>
      <c r="C245" s="667"/>
      <c r="D245" s="68" t="s">
        <v>60</v>
      </c>
      <c r="E245" s="679"/>
      <c r="F245" s="529">
        <f>VLOOKUP(D245,'Q1 2012 DMV-Revenue'!D:T,17,FALSE)</f>
        <v>-8000</v>
      </c>
      <c r="G245" s="680"/>
      <c r="H245" s="680"/>
      <c r="I245" s="681"/>
      <c r="J245" s="682">
        <f t="shared" si="74"/>
        <v>-8000</v>
      </c>
      <c r="K245" s="683"/>
      <c r="L245" s="684"/>
      <c r="M245" s="753">
        <v>10000</v>
      </c>
      <c r="N245" s="683">
        <v>0</v>
      </c>
      <c r="O245" s="686"/>
      <c r="P245" s="683">
        <v>0</v>
      </c>
      <c r="Q245" s="687">
        <f t="shared" si="75"/>
        <v>10000</v>
      </c>
      <c r="R245" s="764">
        <v>0</v>
      </c>
      <c r="S245" s="693"/>
      <c r="T245" s="690">
        <f t="shared" si="76"/>
        <v>-10000</v>
      </c>
      <c r="U245" s="697"/>
      <c r="V245" s="474">
        <f t="shared" si="70"/>
        <v>10000</v>
      </c>
      <c r="W245" s="474">
        <f t="shared" si="62"/>
        <v>0</v>
      </c>
      <c r="X245" s="475">
        <f t="shared" si="63"/>
        <v>0</v>
      </c>
      <c r="Y245" s="475">
        <v>0</v>
      </c>
      <c r="Z245" s="476">
        <v>0</v>
      </c>
      <c r="AA245" s="38">
        <f t="shared" si="71"/>
        <v>0</v>
      </c>
      <c r="AB245" s="692">
        <f t="shared" si="64"/>
        <v>-8000</v>
      </c>
      <c r="AC245" s="692">
        <f t="shared" si="65"/>
        <v>0</v>
      </c>
      <c r="AD245" s="692">
        <f t="shared" si="66"/>
        <v>0</v>
      </c>
      <c r="AE245" s="38"/>
      <c r="AF245" s="692">
        <f t="shared" si="67"/>
        <v>10000</v>
      </c>
      <c r="AG245" s="692">
        <f t="shared" si="68"/>
        <v>0</v>
      </c>
      <c r="AH245" s="692">
        <f t="shared" si="69"/>
        <v>0</v>
      </c>
      <c r="AJ245" s="68" t="s">
        <v>60</v>
      </c>
    </row>
    <row r="246" spans="1:36">
      <c r="A246" s="20"/>
      <c r="B246" s="20" t="s">
        <v>110</v>
      </c>
      <c r="C246" s="667" t="s">
        <v>583</v>
      </c>
      <c r="D246" s="68" t="s">
        <v>169</v>
      </c>
      <c r="E246" s="679"/>
      <c r="F246" s="529" t="str">
        <f>VLOOKUP(D246,'Q1 2012 DMV-Revenue'!D:T,17,FALSE)</f>
        <v/>
      </c>
      <c r="G246" s="694">
        <v>258</v>
      </c>
      <c r="H246" s="680"/>
      <c r="I246" s="681"/>
      <c r="J246" s="682">
        <f t="shared" si="74"/>
        <v>258</v>
      </c>
      <c r="K246" s="683"/>
      <c r="L246" s="684"/>
      <c r="M246" s="753">
        <v>0</v>
      </c>
      <c r="N246" s="683">
        <v>0</v>
      </c>
      <c r="O246" s="686"/>
      <c r="P246" s="683">
        <v>0</v>
      </c>
      <c r="Q246" s="687">
        <f t="shared" si="75"/>
        <v>0</v>
      </c>
      <c r="R246" s="764">
        <v>0</v>
      </c>
      <c r="S246" s="693"/>
      <c r="T246" s="690">
        <f t="shared" si="76"/>
        <v>0</v>
      </c>
      <c r="U246" s="683"/>
      <c r="V246" s="474">
        <f t="shared" si="70"/>
        <v>0</v>
      </c>
      <c r="W246" s="474">
        <f t="shared" si="62"/>
        <v>0</v>
      </c>
      <c r="X246" s="475">
        <f t="shared" si="63"/>
        <v>0</v>
      </c>
      <c r="Y246" s="475">
        <v>0</v>
      </c>
      <c r="Z246" s="476">
        <v>0</v>
      </c>
      <c r="AA246" s="38">
        <f t="shared" si="71"/>
        <v>0</v>
      </c>
      <c r="AB246" s="692">
        <f t="shared" si="64"/>
        <v>258</v>
      </c>
      <c r="AC246" s="692">
        <f t="shared" si="65"/>
        <v>0</v>
      </c>
      <c r="AD246" s="692">
        <f t="shared" si="66"/>
        <v>0</v>
      </c>
      <c r="AE246" s="38"/>
      <c r="AF246" s="692">
        <f t="shared" si="67"/>
        <v>0</v>
      </c>
      <c r="AG246" s="692">
        <f t="shared" si="68"/>
        <v>0</v>
      </c>
      <c r="AH246" s="692">
        <f t="shared" si="69"/>
        <v>0</v>
      </c>
      <c r="AJ246" s="68" t="s">
        <v>169</v>
      </c>
    </row>
    <row r="247" spans="1:36">
      <c r="A247" s="21"/>
      <c r="B247" s="21" t="s">
        <v>110</v>
      </c>
      <c r="C247" s="666"/>
      <c r="D247" s="68" t="s">
        <v>590</v>
      </c>
      <c r="E247" s="679"/>
      <c r="F247" s="529" t="str">
        <f>VLOOKUP(D247,'Q1 2012 DMV-Revenue'!D:T,17,FALSE)</f>
        <v/>
      </c>
      <c r="G247" s="680"/>
      <c r="H247" s="680"/>
      <c r="I247" s="681"/>
      <c r="J247" s="682">
        <f t="shared" si="74"/>
        <v>0</v>
      </c>
      <c r="K247" s="683"/>
      <c r="L247" s="684"/>
      <c r="M247" s="753">
        <v>0</v>
      </c>
      <c r="N247" s="683">
        <v>0</v>
      </c>
      <c r="O247" s="686"/>
      <c r="P247" s="683">
        <v>0</v>
      </c>
      <c r="Q247" s="687">
        <f t="shared" si="75"/>
        <v>0</v>
      </c>
      <c r="R247" s="764">
        <v>0</v>
      </c>
      <c r="S247" s="693"/>
      <c r="T247" s="690">
        <f t="shared" si="76"/>
        <v>0</v>
      </c>
      <c r="U247" s="683"/>
      <c r="V247" s="474">
        <f t="shared" si="70"/>
        <v>0</v>
      </c>
      <c r="W247" s="474">
        <f t="shared" si="62"/>
        <v>0</v>
      </c>
      <c r="X247" s="475">
        <f t="shared" si="63"/>
        <v>0</v>
      </c>
      <c r="Y247" s="475">
        <v>0</v>
      </c>
      <c r="Z247" s="476">
        <v>0</v>
      </c>
      <c r="AA247" s="38">
        <f t="shared" si="71"/>
        <v>0</v>
      </c>
      <c r="AB247" s="692">
        <f t="shared" si="64"/>
        <v>0</v>
      </c>
      <c r="AC247" s="692">
        <f t="shared" si="65"/>
        <v>0</v>
      </c>
      <c r="AD247" s="692">
        <f t="shared" si="66"/>
        <v>0</v>
      </c>
      <c r="AE247" s="38"/>
      <c r="AF247" s="692">
        <f t="shared" si="67"/>
        <v>0</v>
      </c>
      <c r="AG247" s="692">
        <f t="shared" si="68"/>
        <v>0</v>
      </c>
      <c r="AH247" s="692">
        <f t="shared" si="69"/>
        <v>0</v>
      </c>
      <c r="AJ247" s="68" t="s">
        <v>590</v>
      </c>
    </row>
    <row r="248" spans="1:36">
      <c r="A248" s="21"/>
      <c r="B248" s="21" t="s">
        <v>114</v>
      </c>
      <c r="C248" s="666"/>
      <c r="D248" s="68" t="s">
        <v>591</v>
      </c>
      <c r="E248" s="679"/>
      <c r="F248" s="529">
        <f>VLOOKUP(D248,'Q1 2012 DMV-Revenue'!D:T,17,FALSE)</f>
        <v>-354.5</v>
      </c>
      <c r="G248" s="680"/>
      <c r="H248" s="680"/>
      <c r="I248" s="681"/>
      <c r="J248" s="682">
        <f t="shared" ref="J248:J252" si="77">SUM(E248:I248)</f>
        <v>-354.5</v>
      </c>
      <c r="K248" s="683"/>
      <c r="L248" s="684"/>
      <c r="M248" s="753">
        <v>0</v>
      </c>
      <c r="N248" s="683">
        <v>0</v>
      </c>
      <c r="O248" s="686"/>
      <c r="P248" s="683">
        <v>0</v>
      </c>
      <c r="Q248" s="687">
        <f t="shared" si="75"/>
        <v>0</v>
      </c>
      <c r="R248" s="769">
        <f>527.3+421.48+77.7+42.84</f>
        <v>1069.32</v>
      </c>
      <c r="S248" s="693"/>
      <c r="T248" s="690">
        <f t="shared" si="76"/>
        <v>1069.32</v>
      </c>
      <c r="U248" s="683"/>
      <c r="V248" s="474">
        <f t="shared" si="70"/>
        <v>0</v>
      </c>
      <c r="W248" s="474">
        <f t="shared" si="62"/>
        <v>0</v>
      </c>
      <c r="X248" s="475">
        <f t="shared" si="63"/>
        <v>0</v>
      </c>
      <c r="Y248" s="475">
        <v>0</v>
      </c>
      <c r="Z248" s="476">
        <v>0</v>
      </c>
      <c r="AA248" s="38">
        <f t="shared" si="71"/>
        <v>0</v>
      </c>
      <c r="AB248" s="692">
        <f t="shared" si="64"/>
        <v>0</v>
      </c>
      <c r="AC248" s="692">
        <f t="shared" si="65"/>
        <v>0</v>
      </c>
      <c r="AD248" s="692">
        <f t="shared" si="66"/>
        <v>-354.5</v>
      </c>
      <c r="AE248" s="38"/>
      <c r="AF248" s="692">
        <f t="shared" si="67"/>
        <v>0</v>
      </c>
      <c r="AG248" s="692">
        <f t="shared" si="68"/>
        <v>0</v>
      </c>
      <c r="AH248" s="692">
        <f t="shared" si="69"/>
        <v>0</v>
      </c>
      <c r="AJ248" s="68" t="s">
        <v>591</v>
      </c>
    </row>
    <row r="249" spans="1:36">
      <c r="A249" s="21"/>
      <c r="B249" s="21" t="s">
        <v>114</v>
      </c>
      <c r="C249" s="672"/>
      <c r="D249" s="519" t="s">
        <v>433</v>
      </c>
      <c r="E249" s="679"/>
      <c r="F249" s="529" t="str">
        <f>VLOOKUP(D249,'Q1 2012 DMV-Revenue'!D:T,17,FALSE)</f>
        <v/>
      </c>
      <c r="G249" s="680"/>
      <c r="H249" s="680"/>
      <c r="I249" s="681"/>
      <c r="J249" s="682">
        <f t="shared" si="77"/>
        <v>0</v>
      </c>
      <c r="K249" s="683"/>
      <c r="L249" s="684"/>
      <c r="M249" s="753">
        <v>0</v>
      </c>
      <c r="N249" s="683">
        <v>0</v>
      </c>
      <c r="O249" s="686"/>
      <c r="P249" s="683">
        <v>0</v>
      </c>
      <c r="Q249" s="687">
        <f t="shared" si="75"/>
        <v>0</v>
      </c>
      <c r="R249" s="764">
        <v>0</v>
      </c>
      <c r="S249" s="693"/>
      <c r="T249" s="690">
        <f t="shared" si="76"/>
        <v>0</v>
      </c>
      <c r="U249" s="683"/>
      <c r="V249" s="474">
        <f t="shared" si="70"/>
        <v>0</v>
      </c>
      <c r="W249" s="474">
        <f t="shared" si="62"/>
        <v>0</v>
      </c>
      <c r="X249" s="475">
        <f t="shared" si="63"/>
        <v>0</v>
      </c>
      <c r="Y249" s="475">
        <v>0</v>
      </c>
      <c r="Z249" s="476">
        <v>0</v>
      </c>
      <c r="AA249" s="38">
        <f t="shared" si="71"/>
        <v>0</v>
      </c>
      <c r="AB249" s="692">
        <f t="shared" si="64"/>
        <v>0</v>
      </c>
      <c r="AC249" s="692">
        <f t="shared" si="65"/>
        <v>0</v>
      </c>
      <c r="AD249" s="692">
        <f t="shared" si="66"/>
        <v>0</v>
      </c>
      <c r="AE249" s="38"/>
      <c r="AF249" s="692">
        <f t="shared" si="67"/>
        <v>0</v>
      </c>
      <c r="AG249" s="692">
        <f t="shared" si="68"/>
        <v>0</v>
      </c>
      <c r="AH249" s="692">
        <f t="shared" si="69"/>
        <v>0</v>
      </c>
      <c r="AJ249" s="519" t="s">
        <v>433</v>
      </c>
    </row>
    <row r="250" spans="1:36">
      <c r="A250" s="21"/>
      <c r="B250" s="21" t="s">
        <v>114</v>
      </c>
      <c r="C250" s="672"/>
      <c r="D250" s="519" t="s">
        <v>594</v>
      </c>
      <c r="E250" s="679"/>
      <c r="F250" s="529" t="str">
        <f>VLOOKUP(D250,'Q1 2012 DMV-Revenue'!D:T,17,FALSE)</f>
        <v/>
      </c>
      <c r="G250" s="680"/>
      <c r="H250" s="680"/>
      <c r="I250" s="681"/>
      <c r="J250" s="682">
        <f t="shared" si="77"/>
        <v>0</v>
      </c>
      <c r="K250" s="683"/>
      <c r="L250" s="684"/>
      <c r="M250" s="753">
        <v>0</v>
      </c>
      <c r="N250" s="683">
        <v>0</v>
      </c>
      <c r="O250" s="686"/>
      <c r="P250" s="683">
        <v>0</v>
      </c>
      <c r="Q250" s="687">
        <f t="shared" si="75"/>
        <v>0</v>
      </c>
      <c r="R250" s="764">
        <v>0</v>
      </c>
      <c r="S250" s="693"/>
      <c r="T250" s="690">
        <f t="shared" si="76"/>
        <v>0</v>
      </c>
      <c r="U250" s="683"/>
      <c r="V250" s="474">
        <f t="shared" si="70"/>
        <v>0</v>
      </c>
      <c r="W250" s="474">
        <f t="shared" si="62"/>
        <v>0</v>
      </c>
      <c r="X250" s="475">
        <f t="shared" si="63"/>
        <v>0</v>
      </c>
      <c r="Y250" s="475">
        <v>0</v>
      </c>
      <c r="Z250" s="476">
        <v>0</v>
      </c>
      <c r="AA250" s="38">
        <f t="shared" si="71"/>
        <v>0</v>
      </c>
      <c r="AB250" s="692">
        <f t="shared" si="64"/>
        <v>0</v>
      </c>
      <c r="AC250" s="692">
        <f t="shared" si="65"/>
        <v>0</v>
      </c>
      <c r="AD250" s="692">
        <f t="shared" si="66"/>
        <v>0</v>
      </c>
      <c r="AE250" s="38"/>
      <c r="AF250" s="692">
        <f t="shared" si="67"/>
        <v>0</v>
      </c>
      <c r="AG250" s="692">
        <f t="shared" si="68"/>
        <v>0</v>
      </c>
      <c r="AH250" s="692">
        <f t="shared" si="69"/>
        <v>0</v>
      </c>
      <c r="AJ250" s="519" t="s">
        <v>594</v>
      </c>
    </row>
    <row r="251" spans="1:36">
      <c r="A251" s="21"/>
      <c r="B251" s="21" t="s">
        <v>110</v>
      </c>
      <c r="C251" s="672"/>
      <c r="D251" s="519" t="s">
        <v>596</v>
      </c>
      <c r="E251" s="679"/>
      <c r="F251" s="529" t="str">
        <f>VLOOKUP(D251,'Q1 2012 DMV-Revenue'!D:T,17,FALSE)</f>
        <v/>
      </c>
      <c r="G251" s="680"/>
      <c r="H251" s="680"/>
      <c r="I251" s="681"/>
      <c r="J251" s="682">
        <f t="shared" ref="J251" si="78">SUM(E251:I251)</f>
        <v>0</v>
      </c>
      <c r="K251" s="683"/>
      <c r="L251" s="684"/>
      <c r="M251" s="753">
        <v>0</v>
      </c>
      <c r="N251" s="683">
        <v>0</v>
      </c>
      <c r="O251" s="686"/>
      <c r="P251" s="683">
        <v>0</v>
      </c>
      <c r="Q251" s="687">
        <f t="shared" si="75"/>
        <v>0</v>
      </c>
      <c r="R251" s="764">
        <v>0</v>
      </c>
      <c r="S251" s="693"/>
      <c r="T251" s="690">
        <f t="shared" si="76"/>
        <v>0</v>
      </c>
      <c r="U251" s="683"/>
      <c r="V251" s="474">
        <f t="shared" si="70"/>
        <v>0</v>
      </c>
      <c r="W251" s="474">
        <f t="shared" si="62"/>
        <v>0</v>
      </c>
      <c r="X251" s="475">
        <f t="shared" si="63"/>
        <v>0</v>
      </c>
      <c r="Y251" s="475">
        <v>0</v>
      </c>
      <c r="Z251" s="476">
        <v>0</v>
      </c>
      <c r="AA251" s="38">
        <f t="shared" si="71"/>
        <v>0</v>
      </c>
      <c r="AB251" s="692">
        <f t="shared" si="64"/>
        <v>0</v>
      </c>
      <c r="AC251" s="692">
        <f t="shared" si="65"/>
        <v>0</v>
      </c>
      <c r="AD251" s="692">
        <f t="shared" si="66"/>
        <v>0</v>
      </c>
      <c r="AE251" s="38"/>
      <c r="AF251" s="692">
        <f t="shared" si="67"/>
        <v>0</v>
      </c>
      <c r="AG251" s="692">
        <f t="shared" si="68"/>
        <v>0</v>
      </c>
      <c r="AH251" s="692">
        <f t="shared" si="69"/>
        <v>0</v>
      </c>
      <c r="AJ251" s="519" t="s">
        <v>596</v>
      </c>
    </row>
    <row r="252" spans="1:36" s="146" customFormat="1">
      <c r="A252" s="21"/>
      <c r="B252" s="21" t="s">
        <v>109</v>
      </c>
      <c r="C252" s="666"/>
      <c r="D252" s="68" t="s">
        <v>93</v>
      </c>
      <c r="E252" s="679"/>
      <c r="F252" s="529" t="str">
        <f>VLOOKUP(D252,'Q1 2012 DMV-Revenue'!D:T,17,FALSE)</f>
        <v/>
      </c>
      <c r="G252" s="680"/>
      <c r="H252" s="680"/>
      <c r="I252" s="681"/>
      <c r="J252" s="682">
        <f t="shared" si="77"/>
        <v>0</v>
      </c>
      <c r="K252" s="683"/>
      <c r="L252" s="684"/>
      <c r="M252" s="753">
        <v>0</v>
      </c>
      <c r="N252" s="683">
        <v>0</v>
      </c>
      <c r="O252" s="686"/>
      <c r="P252" s="683">
        <v>0</v>
      </c>
      <c r="Q252" s="687">
        <f t="shared" si="75"/>
        <v>0</v>
      </c>
      <c r="R252" s="764">
        <v>0</v>
      </c>
      <c r="S252" s="693"/>
      <c r="T252" s="690">
        <f t="shared" si="76"/>
        <v>0</v>
      </c>
      <c r="U252" s="683"/>
      <c r="V252" s="474">
        <f t="shared" si="70"/>
        <v>0</v>
      </c>
      <c r="W252" s="474">
        <f t="shared" si="62"/>
        <v>0</v>
      </c>
      <c r="X252" s="475">
        <f t="shared" si="63"/>
        <v>0</v>
      </c>
      <c r="Y252" s="475">
        <v>0</v>
      </c>
      <c r="Z252" s="476">
        <v>0</v>
      </c>
      <c r="AA252" s="38">
        <f t="shared" si="71"/>
        <v>0</v>
      </c>
      <c r="AB252" s="692">
        <f t="shared" si="64"/>
        <v>0</v>
      </c>
      <c r="AC252" s="692">
        <f t="shared" si="65"/>
        <v>0</v>
      </c>
      <c r="AD252" s="692">
        <f t="shared" si="66"/>
        <v>0</v>
      </c>
      <c r="AE252" s="38"/>
      <c r="AF252" s="692">
        <f t="shared" si="67"/>
        <v>0</v>
      </c>
      <c r="AG252" s="692">
        <f t="shared" si="68"/>
        <v>0</v>
      </c>
      <c r="AH252" s="692">
        <f t="shared" si="69"/>
        <v>0</v>
      </c>
      <c r="AJ252" s="68" t="s">
        <v>93</v>
      </c>
    </row>
    <row r="253" spans="1:36" s="146" customFormat="1" ht="13" thickBot="1">
      <c r="A253" s="21"/>
      <c r="B253" s="21" t="s">
        <v>110</v>
      </c>
      <c r="C253" s="666"/>
      <c r="D253" s="68" t="s">
        <v>593</v>
      </c>
      <c r="E253" s="679"/>
      <c r="F253" s="529" t="str">
        <f>VLOOKUP(D253,'Q1 2012 DMV-Revenue'!D:T,17,FALSE)</f>
        <v/>
      </c>
      <c r="G253" s="680"/>
      <c r="H253" s="680"/>
      <c r="I253" s="681"/>
      <c r="J253" s="682">
        <f t="shared" ref="J253" si="79">SUM(E253:I253)</f>
        <v>0</v>
      </c>
      <c r="K253" s="683"/>
      <c r="L253" s="684"/>
      <c r="M253" s="753">
        <v>0</v>
      </c>
      <c r="N253" s="683">
        <v>0</v>
      </c>
      <c r="O253" s="686"/>
      <c r="P253" s="683">
        <v>0</v>
      </c>
      <c r="Q253" s="687">
        <f t="shared" si="75"/>
        <v>0</v>
      </c>
      <c r="R253" s="764">
        <v>14.93</v>
      </c>
      <c r="S253" s="693"/>
      <c r="T253" s="690">
        <f t="shared" si="76"/>
        <v>14.93</v>
      </c>
      <c r="U253" s="683"/>
      <c r="V253" s="474">
        <f t="shared" si="70"/>
        <v>0</v>
      </c>
      <c r="W253" s="474">
        <f t="shared" si="62"/>
        <v>0</v>
      </c>
      <c r="X253" s="475">
        <f t="shared" si="63"/>
        <v>0</v>
      </c>
      <c r="Y253" s="475">
        <v>0</v>
      </c>
      <c r="Z253" s="476">
        <v>0</v>
      </c>
      <c r="AA253" s="38">
        <f t="shared" si="71"/>
        <v>0</v>
      </c>
      <c r="AB253" s="692">
        <f t="shared" si="64"/>
        <v>0</v>
      </c>
      <c r="AC253" s="692">
        <f t="shared" si="65"/>
        <v>0</v>
      </c>
      <c r="AD253" s="692">
        <f t="shared" si="66"/>
        <v>0</v>
      </c>
      <c r="AE253" s="38"/>
      <c r="AF253" s="692">
        <f t="shared" si="67"/>
        <v>0</v>
      </c>
      <c r="AG253" s="692">
        <f t="shared" si="68"/>
        <v>0</v>
      </c>
      <c r="AH253" s="692">
        <f t="shared" si="69"/>
        <v>0</v>
      </c>
      <c r="AJ253" s="68" t="s">
        <v>593</v>
      </c>
    </row>
    <row r="254" spans="1:36" ht="13" thickBot="1">
      <c r="A254" s="107"/>
      <c r="B254" s="108"/>
      <c r="C254" s="673"/>
      <c r="D254" s="71" t="s">
        <v>86</v>
      </c>
      <c r="E254" s="454">
        <f t="shared" ref="E254:J254" si="80">SUM(E19:E253)</f>
        <v>64725.159999999996</v>
      </c>
      <c r="F254" s="454">
        <f t="shared" si="80"/>
        <v>-65313.139999999934</v>
      </c>
      <c r="G254" s="454">
        <f t="shared" si="80"/>
        <v>5656554.5500000007</v>
      </c>
      <c r="H254" s="454">
        <f t="shared" si="80"/>
        <v>0</v>
      </c>
      <c r="I254" s="454">
        <f t="shared" si="80"/>
        <v>0</v>
      </c>
      <c r="J254" s="454">
        <f t="shared" si="80"/>
        <v>5655966.5699999994</v>
      </c>
      <c r="K254" s="454"/>
      <c r="L254" s="454">
        <f>SUM(L19:L253)</f>
        <v>651548</v>
      </c>
      <c r="M254" s="454">
        <f>SUM(M19:M253)</f>
        <v>2151500</v>
      </c>
      <c r="N254" s="454">
        <f>SUM(N19:N253)</f>
        <v>0</v>
      </c>
      <c r="O254" s="100">
        <f>SUM(O19:O253)</f>
        <v>0</v>
      </c>
      <c r="P254" s="157">
        <f>SUM(P20:P253)</f>
        <v>0</v>
      </c>
      <c r="Q254" s="100">
        <f>SUM(Q19:Q253)</f>
        <v>2477274</v>
      </c>
      <c r="R254" s="765">
        <f>SUM(R19:R253)</f>
        <v>2104599.9400000004</v>
      </c>
      <c r="S254" s="708"/>
      <c r="T254" s="100">
        <f>SUM(T19:T253)</f>
        <v>-372674.06</v>
      </c>
      <c r="U254" s="683"/>
      <c r="V254" s="314">
        <f>SUM(V19:V253)</f>
        <v>2163774</v>
      </c>
      <c r="W254" s="314">
        <f>SUM(W19:W253)</f>
        <v>243500</v>
      </c>
      <c r="X254" s="314">
        <f>SUM(X19:X253)</f>
        <v>70000</v>
      </c>
      <c r="Y254" s="314">
        <f>SUM(Y19:Y253)</f>
        <v>0</v>
      </c>
      <c r="Z254" s="314">
        <f>SUM(Z19:Z253)</f>
        <v>0</v>
      </c>
      <c r="AA254" s="38"/>
      <c r="AB254" s="314">
        <f>SUM(AB19:AB253)</f>
        <v>5707361.5799999982</v>
      </c>
      <c r="AC254" s="314">
        <f>SUM(AC19:AC253)</f>
        <v>-35283.450000000012</v>
      </c>
      <c r="AD254" s="314">
        <f>SUM(AD19:AD253)</f>
        <v>-16111.56</v>
      </c>
      <c r="AE254" s="38"/>
      <c r="AF254" s="314">
        <f>SUM(AF19:AF253)</f>
        <v>2163774</v>
      </c>
      <c r="AG254" s="314">
        <f>SUM(AG19:AG253)</f>
        <v>243500</v>
      </c>
      <c r="AH254" s="314">
        <f>SUM(AH19:AH253)</f>
        <v>70000</v>
      </c>
      <c r="AJ254" s="71" t="s">
        <v>86</v>
      </c>
    </row>
    <row r="255" spans="1:36" ht="13" thickBot="1">
      <c r="A255" s="65"/>
      <c r="B255" s="65"/>
      <c r="C255" s="674"/>
      <c r="D255" s="141"/>
      <c r="E255" s="709" t="s">
        <v>293</v>
      </c>
      <c r="F255" s="160">
        <f>F254+E254</f>
        <v>-587.97999999993772</v>
      </c>
      <c r="G255" s="153"/>
      <c r="H255" s="153" t="s">
        <v>225</v>
      </c>
      <c r="I255" s="160">
        <f>I254+H254+G254</f>
        <v>5656554.5500000007</v>
      </c>
      <c r="J255" s="323"/>
      <c r="K255" s="153"/>
      <c r="L255" s="153" t="s">
        <v>296</v>
      </c>
      <c r="M255" s="100">
        <f>M254+L254</f>
        <v>2803048</v>
      </c>
      <c r="N255" s="153"/>
      <c r="O255" s="641"/>
      <c r="P255" s="153"/>
      <c r="Q255" s="153"/>
      <c r="R255" s="766"/>
      <c r="S255" s="153"/>
      <c r="T255" s="153"/>
      <c r="U255" s="153"/>
      <c r="V255" s="139"/>
      <c r="W255" s="139"/>
      <c r="X255" s="139"/>
      <c r="Y255" s="139"/>
      <c r="Z255" s="104"/>
      <c r="AA255" s="38"/>
      <c r="AB255" s="711"/>
      <c r="AC255" s="711"/>
      <c r="AD255" s="711"/>
      <c r="AE255" s="38"/>
      <c r="AF255" s="38"/>
      <c r="AG255" s="38"/>
      <c r="AH255" s="38"/>
      <c r="AJ255" s="141"/>
    </row>
    <row r="256" spans="1:36" ht="13" thickBot="1">
      <c r="A256" s="65"/>
      <c r="B256" s="65"/>
      <c r="C256" s="674"/>
      <c r="E256" s="159"/>
      <c r="F256" s="153"/>
      <c r="G256" s="153"/>
      <c r="H256" s="153"/>
      <c r="I256" s="153"/>
      <c r="J256" s="153"/>
      <c r="K256" s="153"/>
      <c r="L256" s="153"/>
      <c r="M256" s="710"/>
      <c r="N256" s="153"/>
      <c r="O256" s="153"/>
      <c r="P256" s="153"/>
      <c r="Q256" s="153"/>
      <c r="R256" s="766"/>
      <c r="S256" s="153"/>
      <c r="T256" s="153"/>
      <c r="U256" s="153"/>
      <c r="V256" s="331" t="s">
        <v>345</v>
      </c>
      <c r="W256" s="139"/>
      <c r="X256" s="139"/>
      <c r="Y256" s="139"/>
      <c r="Z256" s="104"/>
      <c r="AA256" s="164" t="s">
        <v>633</v>
      </c>
      <c r="AB256" s="751">
        <v>0</v>
      </c>
      <c r="AC256" s="104"/>
      <c r="AD256" s="751">
        <v>0</v>
      </c>
      <c r="AE256" s="38"/>
      <c r="AF256" s="711"/>
      <c r="AG256" s="711"/>
      <c r="AH256" s="711"/>
    </row>
    <row r="257" spans="4:36" ht="17" thickTop="1" thickBot="1">
      <c r="E257" s="712"/>
      <c r="F257" s="713"/>
      <c r="G257" s="714"/>
      <c r="H257" s="715"/>
      <c r="I257" s="79"/>
      <c r="J257" s="164"/>
      <c r="K257" s="169"/>
      <c r="L257" s="233"/>
      <c r="M257" s="233"/>
      <c r="N257" s="38"/>
      <c r="O257" s="642"/>
      <c r="P257" s="139"/>
      <c r="Q257" s="139"/>
      <c r="R257" s="268"/>
      <c r="S257" s="33"/>
      <c r="T257" s="33"/>
      <c r="U257" s="169"/>
      <c r="V257" s="332"/>
      <c r="W257" s="333"/>
      <c r="X257" s="491"/>
      <c r="Y257" s="491"/>
      <c r="Z257" s="334"/>
      <c r="AA257" s="164" t="s">
        <v>634</v>
      </c>
      <c r="AB257" s="104">
        <v>0</v>
      </c>
      <c r="AC257" s="38"/>
      <c r="AD257" s="104">
        <f>-SUM(AB257)</f>
        <v>0</v>
      </c>
      <c r="AE257" s="38"/>
      <c r="AF257" s="38"/>
      <c r="AG257" s="38"/>
      <c r="AH257" s="38"/>
    </row>
    <row r="258" spans="4:36" ht="17" thickBot="1">
      <c r="E258" s="712"/>
      <c r="F258" s="713"/>
      <c r="G258" s="714"/>
      <c r="H258" s="715"/>
      <c r="I258" s="716" t="s">
        <v>638</v>
      </c>
      <c r="J258" s="79">
        <f>J254</f>
        <v>5655966.5699999994</v>
      </c>
      <c r="K258" s="169"/>
      <c r="L258" s="169"/>
      <c r="M258" s="493"/>
      <c r="N258" s="38"/>
      <c r="O258" s="80"/>
      <c r="P258" s="104"/>
      <c r="Q258" s="139"/>
      <c r="R258" s="268"/>
      <c r="S258" s="33"/>
      <c r="T258" s="33"/>
      <c r="U258" s="169"/>
      <c r="V258" s="487"/>
      <c r="W258" s="488"/>
      <c r="X258" s="492" t="s">
        <v>399</v>
      </c>
      <c r="Y258" s="492" t="s">
        <v>400</v>
      </c>
      <c r="Z258" s="488"/>
      <c r="AA258" s="717" t="s">
        <v>475</v>
      </c>
      <c r="AB258" s="718">
        <f>SUM(AB254:AB257)</f>
        <v>5707361.5799999982</v>
      </c>
      <c r="AC258" s="718">
        <f>AC254</f>
        <v>-35283.450000000012</v>
      </c>
      <c r="AD258" s="718">
        <f>SUM(AD254:AD257)</f>
        <v>-16111.56</v>
      </c>
      <c r="AE258" s="718"/>
      <c r="AF258" s="718">
        <f>AF254</f>
        <v>2163774</v>
      </c>
      <c r="AG258" s="718">
        <f>AG254</f>
        <v>243500</v>
      </c>
      <c r="AH258" s="719">
        <f>AH254</f>
        <v>70000</v>
      </c>
    </row>
    <row r="259" spans="4:36" ht="15" thickBot="1">
      <c r="D259" s="143" t="s">
        <v>608</v>
      </c>
      <c r="E259" s="712"/>
      <c r="F259" s="713"/>
      <c r="G259" s="714"/>
      <c r="H259" s="720"/>
      <c r="I259" s="721" t="s">
        <v>251</v>
      </c>
      <c r="J259" s="750">
        <v>-8133240.5599999996</v>
      </c>
      <c r="K259" s="169"/>
      <c r="L259" s="722"/>
      <c r="M259" s="642"/>
      <c r="N259" s="33"/>
      <c r="O259" s="80"/>
      <c r="P259" s="104"/>
      <c r="Q259" s="139"/>
      <c r="R259" s="268"/>
      <c r="S259" s="33"/>
      <c r="T259" s="33"/>
      <c r="U259" s="169"/>
      <c r="V259" s="158" t="s">
        <v>609</v>
      </c>
      <c r="W259" s="104" t="s">
        <v>352</v>
      </c>
      <c r="X259" s="104">
        <f>V254+W254+X254</f>
        <v>2477274</v>
      </c>
      <c r="Y259" s="104"/>
      <c r="Z259" s="136"/>
      <c r="AA259" s="723"/>
      <c r="AB259" s="38"/>
      <c r="AC259" s="38"/>
      <c r="AD259" s="38"/>
      <c r="AE259" s="38"/>
      <c r="AF259" s="38"/>
      <c r="AG259" s="38"/>
      <c r="AH259" s="38"/>
      <c r="AJ259" s="143" t="s">
        <v>608</v>
      </c>
    </row>
    <row r="260" spans="4:36" ht="15" thickTop="1">
      <c r="D260" s="143" t="s">
        <v>607</v>
      </c>
      <c r="E260" s="712"/>
      <c r="F260" s="713"/>
      <c r="G260" s="714"/>
      <c r="H260" s="714" t="s">
        <v>249</v>
      </c>
      <c r="I260" s="723" t="s">
        <v>454</v>
      </c>
      <c r="J260" s="173">
        <f>J259+J258</f>
        <v>-2477273.9900000002</v>
      </c>
      <c r="K260" s="169"/>
      <c r="L260" s="722"/>
      <c r="M260" s="80"/>
      <c r="N260" s="104"/>
      <c r="O260" s="173"/>
      <c r="P260" s="104"/>
      <c r="Q260" s="139"/>
      <c r="R260" s="767"/>
      <c r="S260" s="139"/>
      <c r="T260" s="139"/>
      <c r="U260" s="169"/>
      <c r="V260" s="158"/>
      <c r="W260" s="104"/>
      <c r="X260" s="104"/>
      <c r="Y260" s="104"/>
      <c r="Z260" s="136"/>
      <c r="AA260" s="723"/>
      <c r="AB260" s="38"/>
      <c r="AC260" s="38"/>
      <c r="AD260" s="38"/>
      <c r="AE260" s="38"/>
      <c r="AF260" s="38"/>
      <c r="AG260" s="38"/>
      <c r="AH260" s="38"/>
      <c r="AJ260" s="143" t="s">
        <v>607</v>
      </c>
    </row>
    <row r="261" spans="4:36" ht="14">
      <c r="D261" s="143" t="s">
        <v>606</v>
      </c>
      <c r="E261" s="712"/>
      <c r="F261" s="713"/>
      <c r="G261" s="714"/>
      <c r="H261" s="714"/>
      <c r="I261" s="724"/>
      <c r="J261" s="80"/>
      <c r="K261" s="169"/>
      <c r="L261" s="722"/>
      <c r="M261" s="104"/>
      <c r="N261" s="38"/>
      <c r="O261" s="139"/>
      <c r="P261" s="104"/>
      <c r="Q261" s="139"/>
      <c r="R261" s="767"/>
      <c r="S261" s="139"/>
      <c r="T261" s="139"/>
      <c r="U261" s="169"/>
      <c r="V261" s="158" t="s">
        <v>600</v>
      </c>
      <c r="W261" s="104" t="s">
        <v>355</v>
      </c>
      <c r="X261" s="104"/>
      <c r="Y261" s="104">
        <f>V254</f>
        <v>2163774</v>
      </c>
      <c r="Z261" s="136"/>
      <c r="AA261" s="38"/>
      <c r="AB261" s="752" t="s">
        <v>632</v>
      </c>
      <c r="AC261" s="38"/>
      <c r="AD261" s="38"/>
      <c r="AE261" s="38"/>
      <c r="AF261" s="38"/>
      <c r="AG261" s="38"/>
      <c r="AH261" s="38"/>
      <c r="AJ261" s="143" t="s">
        <v>606</v>
      </c>
    </row>
    <row r="262" spans="4:36" ht="15" thickBot="1">
      <c r="D262" s="143" t="s">
        <v>606</v>
      </c>
      <c r="E262" s="712"/>
      <c r="F262" s="713"/>
      <c r="G262" s="714"/>
      <c r="H262" s="714"/>
      <c r="I262" s="725" t="s">
        <v>639</v>
      </c>
      <c r="J262" s="661">
        <f>M255</f>
        <v>2803048</v>
      </c>
      <c r="K262" s="169"/>
      <c r="L262" s="645"/>
      <c r="M262" s="173"/>
      <c r="N262" s="38"/>
      <c r="O262" s="139"/>
      <c r="P262" s="104"/>
      <c r="Q262" s="139"/>
      <c r="R262" s="768"/>
      <c r="S262" s="139"/>
      <c r="T262" s="727"/>
      <c r="U262" s="169"/>
      <c r="V262" s="158"/>
      <c r="W262" s="104" t="s">
        <v>356</v>
      </c>
      <c r="X262" s="104"/>
      <c r="Y262" s="104">
        <f>Y254</f>
        <v>0</v>
      </c>
      <c r="Z262" s="136"/>
      <c r="AA262" s="38"/>
      <c r="AB262" s="38"/>
      <c r="AC262" s="38"/>
      <c r="AD262" s="38"/>
      <c r="AE262" s="38"/>
      <c r="AF262" s="38"/>
      <c r="AG262" s="38"/>
      <c r="AH262" s="38"/>
      <c r="AJ262" s="143" t="s">
        <v>606</v>
      </c>
    </row>
    <row r="263" spans="4:36" ht="16" thickTop="1" thickBot="1">
      <c r="D263" s="143"/>
      <c r="E263" s="712"/>
      <c r="F263" s="713"/>
      <c r="G263" s="714"/>
      <c r="H263" s="714"/>
      <c r="I263" s="722"/>
      <c r="J263" s="173">
        <v>0</v>
      </c>
      <c r="K263" s="169"/>
      <c r="L263" s="722"/>
      <c r="M263" s="173"/>
      <c r="N263" s="38"/>
      <c r="O263" s="33"/>
      <c r="P263" s="38"/>
      <c r="Q263" s="139"/>
      <c r="R263" s="767"/>
      <c r="S263" s="139"/>
      <c r="T263" s="139"/>
      <c r="U263" s="169"/>
      <c r="V263" s="158"/>
      <c r="W263" s="104"/>
      <c r="X263" s="104"/>
      <c r="Y263" s="104"/>
      <c r="Z263" s="136"/>
      <c r="AA263" s="38"/>
      <c r="AB263" s="38"/>
      <c r="AC263" s="38"/>
      <c r="AD263" s="38"/>
      <c r="AE263" s="38"/>
      <c r="AF263" s="38"/>
      <c r="AG263" s="38"/>
      <c r="AH263" s="38"/>
      <c r="AJ263" s="143"/>
    </row>
    <row r="264" spans="4:36" ht="15" thickBot="1">
      <c r="E264" s="712"/>
      <c r="F264" s="713"/>
      <c r="G264" s="714"/>
      <c r="H264" s="714"/>
      <c r="I264" s="728" t="s">
        <v>640</v>
      </c>
      <c r="J264" s="754">
        <f>J258+J262</f>
        <v>8459014.5700000003</v>
      </c>
      <c r="K264" s="169"/>
      <c r="L264" s="722"/>
      <c r="M264" s="173"/>
      <c r="N264" s="38"/>
      <c r="O264" s="33"/>
      <c r="P264" s="38"/>
      <c r="Q264" s="139"/>
      <c r="R264" s="767"/>
      <c r="S264" s="139"/>
      <c r="T264" s="139"/>
      <c r="U264" s="169"/>
      <c r="V264" s="158" t="s">
        <v>601</v>
      </c>
      <c r="W264" s="104" t="s">
        <v>357</v>
      </c>
      <c r="X264" s="104"/>
      <c r="Y264" s="104">
        <f>W254</f>
        <v>243500</v>
      </c>
      <c r="Z264" s="136"/>
      <c r="AA264" s="38"/>
      <c r="AB264" s="38"/>
      <c r="AC264" s="38"/>
      <c r="AD264" s="38"/>
      <c r="AE264" s="38"/>
      <c r="AF264" s="38"/>
      <c r="AG264" s="38"/>
      <c r="AH264" s="38"/>
    </row>
    <row r="265" spans="4:36">
      <c r="E265" s="712"/>
      <c r="F265" s="713"/>
      <c r="G265" s="714"/>
      <c r="H265" s="714"/>
      <c r="I265" s="730"/>
      <c r="J265" s="637"/>
      <c r="K265" s="169"/>
      <c r="L265" s="173"/>
      <c r="M265" s="731"/>
      <c r="N265" s="38"/>
      <c r="O265" s="33"/>
      <c r="P265" s="38"/>
      <c r="Q265" s="139"/>
      <c r="R265" s="767"/>
      <c r="S265" s="139"/>
      <c r="T265" s="139"/>
      <c r="U265" s="169"/>
      <c r="V265" s="415"/>
      <c r="W265" s="104" t="s">
        <v>358</v>
      </c>
      <c r="X265" s="104"/>
      <c r="Y265" s="104">
        <f>Z254</f>
        <v>0</v>
      </c>
      <c r="Z265" s="136"/>
      <c r="AA265" s="38"/>
      <c r="AB265" s="38"/>
      <c r="AC265" s="38"/>
      <c r="AD265" s="38"/>
      <c r="AE265" s="38"/>
      <c r="AF265" s="38"/>
      <c r="AG265" s="38"/>
      <c r="AH265" s="38"/>
    </row>
    <row r="266" spans="4:36">
      <c r="E266" s="712"/>
      <c r="F266" s="713"/>
      <c r="G266" s="714"/>
      <c r="H266" s="714"/>
      <c r="I266" s="730" t="s">
        <v>518</v>
      </c>
      <c r="J266" s="658">
        <f>SUM(AB258:AH258)</f>
        <v>8133240.5699999984</v>
      </c>
      <c r="K266" s="169"/>
      <c r="L266" s="732"/>
      <c r="M266" s="637"/>
      <c r="N266" s="38"/>
      <c r="O266" s="33"/>
      <c r="P266" s="38"/>
      <c r="Q266" s="139"/>
      <c r="R266" s="767"/>
      <c r="S266" s="139"/>
      <c r="T266" s="139"/>
      <c r="U266" s="169"/>
      <c r="V266" s="415"/>
      <c r="W266" s="104"/>
      <c r="X266" s="104"/>
      <c r="Y266" s="104"/>
      <c r="Z266" s="136"/>
      <c r="AA266" s="38"/>
      <c r="AB266" s="38"/>
      <c r="AC266" s="38"/>
      <c r="AD266" s="38"/>
      <c r="AE266" s="38"/>
      <c r="AF266" s="38"/>
      <c r="AG266" s="38"/>
      <c r="AH266" s="38"/>
    </row>
    <row r="267" spans="4:36" ht="13" thickBot="1">
      <c r="E267" s="712"/>
      <c r="F267" s="713"/>
      <c r="G267" s="714"/>
      <c r="H267" s="714"/>
      <c r="I267" s="723" t="s">
        <v>454</v>
      </c>
      <c r="J267" s="169"/>
      <c r="K267" s="169"/>
      <c r="L267" s="733"/>
      <c r="M267" s="734"/>
      <c r="N267" s="38"/>
      <c r="O267" s="33"/>
      <c r="P267" s="38"/>
      <c r="Q267" s="139"/>
      <c r="R267" s="767"/>
      <c r="S267" s="139"/>
      <c r="T267" s="139"/>
      <c r="U267" s="169"/>
      <c r="V267" s="158" t="s">
        <v>602</v>
      </c>
      <c r="W267" s="488" t="s">
        <v>359</v>
      </c>
      <c r="X267" s="488"/>
      <c r="Y267" s="488">
        <f>X254</f>
        <v>70000</v>
      </c>
      <c r="Z267" s="414"/>
      <c r="AA267" s="38"/>
      <c r="AB267" s="38"/>
      <c r="AC267" s="38"/>
      <c r="AD267" s="38"/>
      <c r="AE267" s="38"/>
      <c r="AF267" s="38"/>
      <c r="AG267" s="38"/>
      <c r="AH267" s="38"/>
    </row>
    <row r="268" spans="4:36" ht="15" thickBot="1">
      <c r="E268" s="712"/>
      <c r="F268" s="713"/>
      <c r="G268" s="714"/>
      <c r="H268" s="714"/>
      <c r="I268" s="735" t="s">
        <v>519</v>
      </c>
      <c r="J268" s="736"/>
      <c r="K268" s="169"/>
      <c r="L268" s="169"/>
      <c r="M268" s="169"/>
      <c r="N268" s="38"/>
      <c r="O268" s="33"/>
      <c r="P268" s="38"/>
      <c r="Q268" s="33"/>
      <c r="R268" s="268"/>
      <c r="S268" s="33"/>
      <c r="T268" s="33"/>
      <c r="U268" s="169"/>
      <c r="V268" s="416"/>
      <c r="W268" s="104"/>
      <c r="X268" s="80">
        <f>SUM(X259:X267)</f>
        <v>2477274</v>
      </c>
      <c r="Y268" s="80">
        <f>SUM(Y259:Y267)</f>
        <v>2477274</v>
      </c>
      <c r="Z268" s="136"/>
      <c r="AA268" s="38"/>
      <c r="AB268" s="38"/>
      <c r="AC268" s="38"/>
      <c r="AD268" s="38"/>
      <c r="AE268" s="38"/>
      <c r="AF268" s="38"/>
      <c r="AG268" s="38"/>
      <c r="AH268" s="38"/>
    </row>
    <row r="269" spans="4:36">
      <c r="E269" s="712"/>
      <c r="F269" s="713"/>
      <c r="G269" s="714"/>
      <c r="H269" s="714"/>
      <c r="I269" s="132"/>
      <c r="J269" s="169"/>
      <c r="K269" s="169"/>
      <c r="L269" s="169"/>
      <c r="M269" s="169"/>
      <c r="N269" s="38"/>
      <c r="O269" s="33"/>
      <c r="P269" s="38"/>
      <c r="Q269" s="33"/>
      <c r="R269" s="268"/>
      <c r="S269" s="33"/>
      <c r="T269" s="33"/>
      <c r="U269" s="169"/>
      <c r="V269" s="416"/>
      <c r="W269" s="104"/>
      <c r="X269" s="104"/>
      <c r="Y269" s="104"/>
      <c r="Z269" s="136"/>
      <c r="AA269" s="38"/>
      <c r="AB269" s="38"/>
      <c r="AC269" s="38"/>
      <c r="AD269" s="38"/>
      <c r="AE269" s="38"/>
      <c r="AF269" s="38"/>
      <c r="AG269" s="38"/>
      <c r="AH269" s="38"/>
    </row>
    <row r="270" spans="4:36" ht="13" thickBot="1">
      <c r="E270" s="712"/>
      <c r="F270" s="713"/>
      <c r="G270" s="714"/>
      <c r="H270" s="714"/>
      <c r="I270" s="132"/>
      <c r="J270" s="169"/>
      <c r="K270" s="169"/>
      <c r="L270" s="169"/>
      <c r="M270" s="169"/>
      <c r="N270" s="38"/>
      <c r="O270" s="33"/>
      <c r="P270" s="38"/>
      <c r="Q270" s="33"/>
      <c r="R270" s="268"/>
      <c r="S270" s="33"/>
      <c r="T270" s="33"/>
      <c r="U270" s="169"/>
      <c r="V270" s="330"/>
      <c r="W270" s="279"/>
      <c r="X270" s="279"/>
      <c r="Y270" s="279"/>
      <c r="Z270" s="280"/>
      <c r="AA270" s="38"/>
      <c r="AB270" s="38"/>
      <c r="AC270" s="38"/>
      <c r="AD270" s="38"/>
      <c r="AE270" s="38"/>
      <c r="AF270" s="38"/>
      <c r="AG270" s="38"/>
      <c r="AH270" s="38"/>
    </row>
    <row r="271" spans="4:36">
      <c r="E271" s="712"/>
      <c r="F271" s="713"/>
      <c r="G271" s="714"/>
      <c r="H271" s="714"/>
      <c r="I271" s="132"/>
      <c r="J271" s="169"/>
      <c r="K271" s="169"/>
      <c r="L271" s="169"/>
      <c r="M271" s="169"/>
      <c r="N271" s="38"/>
      <c r="O271" s="33"/>
      <c r="P271" s="38"/>
      <c r="Q271" s="33"/>
      <c r="R271" s="268"/>
      <c r="S271" s="33"/>
      <c r="T271" s="33"/>
      <c r="U271" s="169"/>
      <c r="V271" s="104"/>
      <c r="W271" s="104"/>
      <c r="X271" s="104"/>
      <c r="Y271" s="104"/>
      <c r="Z271" s="104"/>
      <c r="AA271" s="38"/>
      <c r="AB271" s="38"/>
      <c r="AC271" s="38"/>
      <c r="AD271" s="38"/>
      <c r="AE271" s="38"/>
      <c r="AF271" s="38"/>
      <c r="AG271" s="38"/>
      <c r="AH271" s="38"/>
    </row>
    <row r="272" spans="4:36">
      <c r="E272" s="712"/>
      <c r="F272" s="713"/>
      <c r="G272" s="714"/>
      <c r="H272" s="714"/>
      <c r="I272" s="132"/>
      <c r="J272" s="169"/>
      <c r="K272" s="169"/>
      <c r="L272" s="169"/>
      <c r="M272" s="169"/>
      <c r="N272" s="38"/>
      <c r="O272" s="33"/>
      <c r="P272" s="38"/>
      <c r="Q272" s="33"/>
      <c r="R272" s="268"/>
      <c r="S272" s="33"/>
      <c r="T272" s="33"/>
      <c r="U272" s="169"/>
      <c r="AA272" s="38"/>
      <c r="AB272" s="38"/>
      <c r="AC272" s="38"/>
      <c r="AD272" s="38"/>
      <c r="AE272" s="38"/>
      <c r="AF272" s="38"/>
      <c r="AG272" s="38"/>
      <c r="AH272" s="38"/>
    </row>
    <row r="273" spans="5:34">
      <c r="E273" s="712"/>
      <c r="F273" s="713"/>
      <c r="G273" s="714"/>
      <c r="H273" s="714"/>
      <c r="I273" s="132"/>
      <c r="J273" s="169"/>
      <c r="K273" s="169"/>
      <c r="L273" s="169"/>
      <c r="M273" s="169"/>
      <c r="N273" s="38"/>
      <c r="O273" s="33"/>
      <c r="P273" s="38"/>
      <c r="Q273" s="33"/>
      <c r="R273" s="268"/>
      <c r="S273" s="33"/>
      <c r="T273" s="33"/>
      <c r="U273" s="169"/>
      <c r="AA273" s="38"/>
      <c r="AB273" s="38"/>
      <c r="AC273" s="38"/>
      <c r="AD273" s="38"/>
      <c r="AE273" s="38"/>
      <c r="AF273" s="38"/>
      <c r="AG273" s="38"/>
      <c r="AH273" s="38"/>
    </row>
    <row r="274" spans="5:34">
      <c r="E274" s="712"/>
      <c r="F274" s="713"/>
      <c r="G274" s="714"/>
      <c r="H274" s="714"/>
      <c r="I274" s="132"/>
      <c r="J274" s="169"/>
      <c r="K274" s="169"/>
      <c r="L274" s="169"/>
      <c r="M274" s="169"/>
      <c r="N274" s="38"/>
      <c r="O274" s="33"/>
      <c r="P274" s="38"/>
      <c r="Q274" s="33"/>
      <c r="R274" s="268"/>
      <c r="S274" s="33"/>
      <c r="T274" s="33"/>
      <c r="U274" s="169"/>
      <c r="AA274" s="38"/>
      <c r="AB274" s="38"/>
      <c r="AC274" s="38"/>
      <c r="AD274" s="38"/>
      <c r="AE274" s="38"/>
      <c r="AF274" s="38"/>
      <c r="AG274" s="38"/>
      <c r="AH274" s="38"/>
    </row>
    <row r="275" spans="5:34">
      <c r="E275" s="712"/>
      <c r="F275" s="713"/>
      <c r="G275" s="714"/>
      <c r="H275" s="714"/>
      <c r="I275" s="132"/>
      <c r="J275" s="169"/>
      <c r="K275" s="169"/>
      <c r="L275" s="169"/>
      <c r="M275" s="169"/>
      <c r="N275" s="38"/>
      <c r="O275" s="33"/>
      <c r="P275" s="38"/>
      <c r="Q275" s="33"/>
      <c r="R275" s="268"/>
      <c r="S275" s="33"/>
      <c r="T275" s="33"/>
      <c r="U275" s="169"/>
      <c r="AA275" s="38"/>
      <c r="AB275" s="38"/>
      <c r="AC275" s="38"/>
      <c r="AD275" s="38"/>
      <c r="AE275" s="38"/>
      <c r="AF275" s="38"/>
      <c r="AG275" s="38"/>
      <c r="AH275" s="38"/>
    </row>
    <row r="276" spans="5:34">
      <c r="E276" s="712"/>
      <c r="F276" s="713"/>
      <c r="G276" s="714"/>
      <c r="H276" s="714"/>
      <c r="I276" s="132"/>
      <c r="J276" s="169"/>
      <c r="K276" s="169"/>
      <c r="L276" s="169"/>
      <c r="M276" s="169"/>
      <c r="N276" s="38"/>
      <c r="O276" s="33"/>
      <c r="P276" s="38"/>
      <c r="Q276" s="33"/>
      <c r="R276" s="268"/>
      <c r="S276" s="33"/>
      <c r="T276" s="33"/>
      <c r="U276" s="169"/>
      <c r="AA276" s="38"/>
      <c r="AB276" s="38"/>
      <c r="AC276" s="38"/>
      <c r="AD276" s="38"/>
      <c r="AE276" s="38"/>
      <c r="AF276" s="38"/>
      <c r="AG276" s="38"/>
      <c r="AH276" s="38"/>
    </row>
    <row r="277" spans="5:34">
      <c r="E277" s="712"/>
      <c r="F277" s="713"/>
      <c r="G277" s="714"/>
      <c r="H277" s="714"/>
      <c r="I277" s="132"/>
      <c r="J277" s="169"/>
      <c r="K277" s="169"/>
      <c r="L277" s="169"/>
      <c r="M277" s="169"/>
      <c r="N277" s="38"/>
      <c r="O277" s="33"/>
      <c r="P277" s="38"/>
      <c r="Q277" s="33"/>
      <c r="R277" s="268"/>
      <c r="S277" s="33"/>
      <c r="T277" s="33"/>
      <c r="U277" s="169"/>
      <c r="AA277" s="38"/>
      <c r="AB277" s="38"/>
      <c r="AC277" s="38"/>
      <c r="AD277" s="38"/>
      <c r="AE277" s="38"/>
      <c r="AF277" s="38"/>
      <c r="AG277" s="38"/>
      <c r="AH277" s="38"/>
    </row>
  </sheetData>
  <customSheetViews>
    <customSheetView guid="{005F2F7B-A3A9-4755-A4DF-7CE06C365CC2}" scale="85" topLeftCell="A202">
      <selection activeCell="D38" sqref="D38"/>
      <pageSetup orientation="portrait" horizontalDpi="1200" verticalDpi="1200"/>
    </customSheetView>
    <customSheetView guid="{D3CBD86D-0B34-40AC-BD97-D8082E871349}" topLeftCell="A46">
      <selection activeCell="A81" sqref="A81"/>
    </customSheetView>
    <customSheetView guid="{041E0462-B6EA-414A-9F2E-C14ADEFAE5F2}" scale="80" topLeftCell="D100">
      <selection activeCell="R109" sqref="R109"/>
      <pageSetup orientation="portrait" horizontalDpi="1200" verticalDpi="1200"/>
    </customSheetView>
    <customSheetView guid="{86CCC894-C193-4761-8385-3C374FD67B70}" scale="85" showPageBreaks="1" topLeftCell="A202">
      <selection activeCell="D38" sqref="D38"/>
      <pageSetup orientation="portrait" horizontalDpi="1200" verticalDpi="1200"/>
    </customSheetView>
  </customSheetViews>
  <pageMargins left="0.7" right="0.7" top="0.75" bottom="0.75" header="0.3" footer="0.3"/>
  <pageSetup orientation="portrait" horizontalDpi="1200" verticalDpi="1200"/>
  <legacyDrawing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8"/>
  <sheetViews>
    <sheetView workbookViewId="0">
      <selection activeCell="H74" sqref="H74"/>
    </sheetView>
  </sheetViews>
  <sheetFormatPr baseColWidth="10" defaultColWidth="9.3984375" defaultRowHeight="12" x14ac:dyDescent="0"/>
  <cols>
    <col min="1" max="1" width="5.796875" style="16" bestFit="1" customWidth="1"/>
    <col min="2" max="2" width="9.3984375" style="16"/>
    <col min="3" max="3" width="20.3984375" style="16" bestFit="1" customWidth="1"/>
    <col min="4" max="4" width="54.796875" style="16" bestFit="1" customWidth="1"/>
    <col min="5" max="5" width="16.59765625" style="16" bestFit="1" customWidth="1"/>
    <col min="6" max="7" width="9.3984375" style="16"/>
    <col min="8" max="8" width="14.19921875" style="16" bestFit="1" customWidth="1"/>
    <col min="9" max="16384" width="9.3984375" style="16"/>
  </cols>
  <sheetData>
    <row r="1" spans="1:5" ht="14">
      <c r="A1" s="772" t="s">
        <v>650</v>
      </c>
      <c r="B1" s="772" t="s">
        <v>651</v>
      </c>
      <c r="C1" s="772" t="s">
        <v>652</v>
      </c>
      <c r="D1" s="772" t="s">
        <v>653</v>
      </c>
      <c r="E1" s="774" t="s">
        <v>654</v>
      </c>
    </row>
    <row r="2" spans="1:5" ht="14">
      <c r="A2" s="773" t="s">
        <v>655</v>
      </c>
      <c r="B2" s="772">
        <v>5</v>
      </c>
      <c r="C2" s="773" t="s">
        <v>600</v>
      </c>
      <c r="D2" s="773" t="s">
        <v>656</v>
      </c>
      <c r="E2" s="775">
        <v>-5905090.1399999997</v>
      </c>
    </row>
    <row r="3" spans="1:5" ht="14">
      <c r="A3" s="773" t="s">
        <v>655</v>
      </c>
      <c r="B3" s="772">
        <v>5</v>
      </c>
      <c r="C3" s="773" t="s">
        <v>601</v>
      </c>
      <c r="D3" s="773" t="s">
        <v>657</v>
      </c>
      <c r="E3" s="775">
        <v>-302021.52</v>
      </c>
    </row>
    <row r="4" spans="1:5" ht="14" hidden="1">
      <c r="A4" s="773" t="s">
        <v>655</v>
      </c>
      <c r="B4" s="772">
        <v>5</v>
      </c>
      <c r="C4" s="773" t="s">
        <v>658</v>
      </c>
      <c r="D4" s="773" t="s">
        <v>659</v>
      </c>
      <c r="E4" s="775">
        <v>-87247.41</v>
      </c>
    </row>
    <row r="5" spans="1:5" ht="14" hidden="1">
      <c r="A5" s="773" t="s">
        <v>655</v>
      </c>
      <c r="B5" s="772">
        <v>5</v>
      </c>
      <c r="C5" s="773" t="s">
        <v>660</v>
      </c>
      <c r="D5" s="773" t="s">
        <v>737</v>
      </c>
      <c r="E5" s="775">
        <v>-27864.03</v>
      </c>
    </row>
    <row r="6" spans="1:5" ht="14" hidden="1">
      <c r="A6" s="773" t="s">
        <v>655</v>
      </c>
      <c r="B6" s="772">
        <v>5</v>
      </c>
      <c r="C6" s="773" t="s">
        <v>738</v>
      </c>
      <c r="D6" s="773" t="s">
        <v>739</v>
      </c>
      <c r="E6" s="775">
        <v>-90.59</v>
      </c>
    </row>
    <row r="7" spans="1:5" ht="14" hidden="1">
      <c r="A7" s="773" t="s">
        <v>655</v>
      </c>
      <c r="B7" s="772">
        <v>5</v>
      </c>
      <c r="C7" s="773" t="s">
        <v>661</v>
      </c>
      <c r="D7" s="773" t="s">
        <v>740</v>
      </c>
      <c r="E7" s="775">
        <v>-457.3</v>
      </c>
    </row>
    <row r="8" spans="1:5" ht="14" hidden="1">
      <c r="A8" s="773" t="s">
        <v>655</v>
      </c>
      <c r="B8" s="772">
        <v>5</v>
      </c>
      <c r="C8" s="773" t="s">
        <v>662</v>
      </c>
      <c r="D8" s="773" t="s">
        <v>741</v>
      </c>
      <c r="E8" s="775">
        <v>-3864.71</v>
      </c>
    </row>
    <row r="9" spans="1:5" ht="14" hidden="1">
      <c r="A9" s="773" t="s">
        <v>655</v>
      </c>
      <c r="B9" s="772">
        <v>5</v>
      </c>
      <c r="C9" s="773" t="s">
        <v>663</v>
      </c>
      <c r="D9" s="773" t="s">
        <v>742</v>
      </c>
      <c r="E9" s="775">
        <v>-1614.86</v>
      </c>
    </row>
    <row r="10" spans="1:5" ht="14" hidden="1">
      <c r="A10" s="773" t="s">
        <v>655</v>
      </c>
      <c r="B10" s="772">
        <v>5</v>
      </c>
      <c r="C10" s="773" t="s">
        <v>664</v>
      </c>
      <c r="D10" s="773" t="s">
        <v>743</v>
      </c>
      <c r="E10" s="775">
        <v>-2754.28</v>
      </c>
    </row>
    <row r="11" spans="1:5" ht="14" hidden="1">
      <c r="A11" s="773" t="s">
        <v>655</v>
      </c>
      <c r="B11" s="772">
        <v>5</v>
      </c>
      <c r="C11" s="773" t="s">
        <v>665</v>
      </c>
      <c r="D11" s="773" t="s">
        <v>744</v>
      </c>
      <c r="E11" s="775">
        <v>-3242.71</v>
      </c>
    </row>
    <row r="12" spans="1:5" ht="14" hidden="1">
      <c r="A12" s="773" t="s">
        <v>655</v>
      </c>
      <c r="B12" s="772">
        <v>5</v>
      </c>
      <c r="C12" s="773" t="s">
        <v>666</v>
      </c>
      <c r="D12" s="773" t="s">
        <v>745</v>
      </c>
      <c r="E12" s="775">
        <v>-84.88</v>
      </c>
    </row>
    <row r="13" spans="1:5" ht="14" hidden="1">
      <c r="A13" s="773" t="s">
        <v>655</v>
      </c>
      <c r="B13" s="772">
        <v>5</v>
      </c>
      <c r="C13" s="773" t="s">
        <v>667</v>
      </c>
      <c r="D13" s="773" t="s">
        <v>746</v>
      </c>
      <c r="E13" s="775">
        <v>-1730.5</v>
      </c>
    </row>
    <row r="14" spans="1:5" ht="14" hidden="1">
      <c r="A14" s="773" t="s">
        <v>655</v>
      </c>
      <c r="B14" s="772">
        <v>5</v>
      </c>
      <c r="C14" s="773" t="s">
        <v>668</v>
      </c>
      <c r="D14" s="773" t="s">
        <v>747</v>
      </c>
      <c r="E14" s="775">
        <v>-174.09</v>
      </c>
    </row>
    <row r="15" spans="1:5" ht="14" hidden="1">
      <c r="A15" s="773" t="s">
        <v>655</v>
      </c>
      <c r="B15" s="772">
        <v>5</v>
      </c>
      <c r="C15" s="773" t="s">
        <v>669</v>
      </c>
      <c r="D15" s="773" t="s">
        <v>748</v>
      </c>
      <c r="E15" s="775">
        <v>-2718.89</v>
      </c>
    </row>
    <row r="16" spans="1:5" ht="14" hidden="1">
      <c r="A16" s="773" t="s">
        <v>655</v>
      </c>
      <c r="B16" s="772">
        <v>5</v>
      </c>
      <c r="C16" s="773" t="s">
        <v>749</v>
      </c>
      <c r="D16" s="773" t="s">
        <v>750</v>
      </c>
      <c r="E16" s="775">
        <v>-30.76</v>
      </c>
    </row>
    <row r="17" spans="1:5" ht="14" hidden="1">
      <c r="A17" s="773" t="s">
        <v>655</v>
      </c>
      <c r="B17" s="772">
        <v>5</v>
      </c>
      <c r="C17" s="773" t="s">
        <v>670</v>
      </c>
      <c r="D17" s="773" t="s">
        <v>751</v>
      </c>
      <c r="E17" s="775">
        <v>-1282.0999999999999</v>
      </c>
    </row>
    <row r="18" spans="1:5" ht="14" hidden="1">
      <c r="A18" s="773" t="s">
        <v>655</v>
      </c>
      <c r="B18" s="772">
        <v>5</v>
      </c>
      <c r="C18" s="773" t="s">
        <v>671</v>
      </c>
      <c r="D18" s="773" t="s">
        <v>752</v>
      </c>
      <c r="E18" s="775">
        <v>-3744.25</v>
      </c>
    </row>
    <row r="19" spans="1:5" ht="14" hidden="1">
      <c r="A19" s="773" t="s">
        <v>655</v>
      </c>
      <c r="B19" s="772">
        <v>5</v>
      </c>
      <c r="C19" s="773" t="s">
        <v>672</v>
      </c>
      <c r="D19" s="773" t="s">
        <v>753</v>
      </c>
      <c r="E19" s="775">
        <v>651.77</v>
      </c>
    </row>
    <row r="20" spans="1:5" ht="14" hidden="1">
      <c r="A20" s="773" t="s">
        <v>655</v>
      </c>
      <c r="B20" s="772">
        <v>5</v>
      </c>
      <c r="C20" s="773" t="s">
        <v>673</v>
      </c>
      <c r="D20" s="773" t="s">
        <v>754</v>
      </c>
      <c r="E20" s="775">
        <v>-51222</v>
      </c>
    </row>
    <row r="21" spans="1:5" ht="14" hidden="1">
      <c r="A21" s="773" t="s">
        <v>655</v>
      </c>
      <c r="B21" s="772">
        <v>5</v>
      </c>
      <c r="C21" s="773" t="s">
        <v>674</v>
      </c>
      <c r="D21" s="773" t="s">
        <v>755</v>
      </c>
      <c r="E21" s="775">
        <v>-2486.65</v>
      </c>
    </row>
    <row r="22" spans="1:5" ht="14" hidden="1">
      <c r="A22" s="773" t="s">
        <v>655</v>
      </c>
      <c r="B22" s="772">
        <v>5</v>
      </c>
      <c r="C22" s="773" t="s">
        <v>675</v>
      </c>
      <c r="D22" s="773" t="s">
        <v>756</v>
      </c>
      <c r="E22" s="775">
        <v>-802.76</v>
      </c>
    </row>
    <row r="23" spans="1:5" ht="14" hidden="1">
      <c r="A23" s="773" t="s">
        <v>655</v>
      </c>
      <c r="B23" s="772">
        <v>5</v>
      </c>
      <c r="C23" s="773" t="s">
        <v>676</v>
      </c>
      <c r="D23" s="773" t="s">
        <v>757</v>
      </c>
      <c r="E23" s="775">
        <v>-2088.56</v>
      </c>
    </row>
    <row r="24" spans="1:5" ht="14" hidden="1">
      <c r="A24" s="773" t="s">
        <v>655</v>
      </c>
      <c r="B24" s="772">
        <v>5</v>
      </c>
      <c r="C24" s="773" t="s">
        <v>677</v>
      </c>
      <c r="D24" s="773" t="s">
        <v>758</v>
      </c>
      <c r="E24" s="775">
        <v>-33.61</v>
      </c>
    </row>
    <row r="25" spans="1:5" ht="14" hidden="1">
      <c r="A25" s="773" t="s">
        <v>655</v>
      </c>
      <c r="B25" s="772">
        <v>5</v>
      </c>
      <c r="C25" s="773" t="s">
        <v>678</v>
      </c>
      <c r="D25" s="773" t="s">
        <v>759</v>
      </c>
      <c r="E25" s="775">
        <v>-416.86</v>
      </c>
    </row>
    <row r="26" spans="1:5" ht="14" hidden="1">
      <c r="A26" s="773" t="s">
        <v>655</v>
      </c>
      <c r="B26" s="772">
        <v>5</v>
      </c>
      <c r="C26" s="773" t="s">
        <v>679</v>
      </c>
      <c r="D26" s="773" t="s">
        <v>760</v>
      </c>
      <c r="E26" s="775">
        <v>-9.69</v>
      </c>
    </row>
    <row r="27" spans="1:5" ht="14" hidden="1">
      <c r="A27" s="773" t="s">
        <v>655</v>
      </c>
      <c r="B27" s="772">
        <v>5</v>
      </c>
      <c r="C27" s="773" t="s">
        <v>680</v>
      </c>
      <c r="D27" s="773" t="s">
        <v>761</v>
      </c>
      <c r="E27" s="775">
        <v>-19.399999999999999</v>
      </c>
    </row>
    <row r="28" spans="1:5" ht="14" hidden="1">
      <c r="A28" s="773" t="s">
        <v>655</v>
      </c>
      <c r="B28" s="772">
        <v>5</v>
      </c>
      <c r="C28" s="773" t="s">
        <v>681</v>
      </c>
      <c r="D28" s="773" t="s">
        <v>762</v>
      </c>
      <c r="E28" s="775">
        <v>-2183.54</v>
      </c>
    </row>
    <row r="29" spans="1:5" ht="14" hidden="1">
      <c r="A29" s="773" t="s">
        <v>655</v>
      </c>
      <c r="B29" s="772">
        <v>5</v>
      </c>
      <c r="C29" s="773" t="s">
        <v>682</v>
      </c>
      <c r="D29" s="773" t="s">
        <v>763</v>
      </c>
      <c r="E29" s="775">
        <v>-140.11000000000001</v>
      </c>
    </row>
    <row r="30" spans="1:5" ht="14" hidden="1">
      <c r="A30" s="773" t="s">
        <v>655</v>
      </c>
      <c r="B30" s="772">
        <v>5</v>
      </c>
      <c r="C30" s="773" t="s">
        <v>683</v>
      </c>
      <c r="D30" s="773" t="s">
        <v>764</v>
      </c>
      <c r="E30" s="775">
        <v>-3020.57</v>
      </c>
    </row>
    <row r="31" spans="1:5" ht="14" hidden="1">
      <c r="A31" s="773" t="s">
        <v>655</v>
      </c>
      <c r="B31" s="772">
        <v>5</v>
      </c>
      <c r="C31" s="773" t="s">
        <v>684</v>
      </c>
      <c r="D31" s="773" t="s">
        <v>765</v>
      </c>
      <c r="E31" s="775">
        <v>-528.29999999999995</v>
      </c>
    </row>
    <row r="32" spans="1:5" ht="14" hidden="1">
      <c r="A32" s="773" t="s">
        <v>655</v>
      </c>
      <c r="B32" s="772">
        <v>5</v>
      </c>
      <c r="C32" s="773" t="s">
        <v>685</v>
      </c>
      <c r="D32" s="773" t="s">
        <v>766</v>
      </c>
      <c r="E32" s="775">
        <v>-2630.77</v>
      </c>
    </row>
    <row r="33" spans="1:5" ht="14" hidden="1">
      <c r="A33" s="773" t="s">
        <v>655</v>
      </c>
      <c r="B33" s="772">
        <v>5</v>
      </c>
      <c r="C33" s="773" t="s">
        <v>686</v>
      </c>
      <c r="D33" s="773" t="s">
        <v>767</v>
      </c>
      <c r="E33" s="775">
        <v>-722.34</v>
      </c>
    </row>
    <row r="34" spans="1:5" ht="14" hidden="1">
      <c r="A34" s="773" t="s">
        <v>655</v>
      </c>
      <c r="B34" s="772">
        <v>5</v>
      </c>
      <c r="C34" s="773" t="s">
        <v>687</v>
      </c>
      <c r="D34" s="773" t="s">
        <v>768</v>
      </c>
      <c r="E34" s="775">
        <v>-53.53</v>
      </c>
    </row>
    <row r="35" spans="1:5" ht="14" hidden="1">
      <c r="A35" s="773" t="s">
        <v>655</v>
      </c>
      <c r="B35" s="772">
        <v>5</v>
      </c>
      <c r="C35" s="773" t="s">
        <v>688</v>
      </c>
      <c r="D35" s="773" t="s">
        <v>769</v>
      </c>
      <c r="E35" s="775">
        <v>-24592.54</v>
      </c>
    </row>
    <row r="36" spans="1:5" ht="14" hidden="1">
      <c r="A36" s="773" t="s">
        <v>655</v>
      </c>
      <c r="B36" s="772">
        <v>5</v>
      </c>
      <c r="C36" s="773" t="s">
        <v>689</v>
      </c>
      <c r="D36" s="773" t="s">
        <v>770</v>
      </c>
      <c r="E36" s="775">
        <v>-1973.31</v>
      </c>
    </row>
    <row r="37" spans="1:5" ht="14" hidden="1">
      <c r="A37" s="773" t="s">
        <v>655</v>
      </c>
      <c r="B37" s="772">
        <v>5</v>
      </c>
      <c r="C37" s="773" t="s">
        <v>690</v>
      </c>
      <c r="D37" s="773" t="s">
        <v>771</v>
      </c>
      <c r="E37" s="775">
        <v>-1817.93</v>
      </c>
    </row>
    <row r="38" spans="1:5" ht="14" hidden="1">
      <c r="A38" s="773" t="s">
        <v>655</v>
      </c>
      <c r="B38" s="772">
        <v>5</v>
      </c>
      <c r="C38" s="773" t="s">
        <v>691</v>
      </c>
      <c r="D38" s="773" t="s">
        <v>772</v>
      </c>
      <c r="E38" s="775">
        <v>176.13</v>
      </c>
    </row>
    <row r="39" spans="1:5" ht="14" hidden="1">
      <c r="A39" s="773" t="s">
        <v>655</v>
      </c>
      <c r="B39" s="772">
        <v>5</v>
      </c>
      <c r="C39" s="773" t="s">
        <v>692</v>
      </c>
      <c r="D39" s="773" t="s">
        <v>773</v>
      </c>
      <c r="E39" s="775">
        <v>-4494.6499999999996</v>
      </c>
    </row>
    <row r="40" spans="1:5" ht="14" hidden="1">
      <c r="A40" s="773" t="s">
        <v>655</v>
      </c>
      <c r="B40" s="772">
        <v>5</v>
      </c>
      <c r="C40" s="773" t="s">
        <v>693</v>
      </c>
      <c r="D40" s="773" t="s">
        <v>774</v>
      </c>
      <c r="E40" s="775">
        <v>-158.02000000000001</v>
      </c>
    </row>
    <row r="41" spans="1:5" ht="14" hidden="1">
      <c r="A41" s="773" t="s">
        <v>655</v>
      </c>
      <c r="B41" s="772">
        <v>5</v>
      </c>
      <c r="C41" s="773" t="s">
        <v>694</v>
      </c>
      <c r="D41" s="773" t="s">
        <v>775</v>
      </c>
      <c r="E41" s="775">
        <v>-148.91999999999999</v>
      </c>
    </row>
    <row r="42" spans="1:5" ht="14" hidden="1">
      <c r="A42" s="773" t="s">
        <v>655</v>
      </c>
      <c r="B42" s="772">
        <v>5</v>
      </c>
      <c r="C42" s="773" t="s">
        <v>695</v>
      </c>
      <c r="D42" s="773" t="s">
        <v>776</v>
      </c>
      <c r="E42" s="775">
        <v>-15.18</v>
      </c>
    </row>
    <row r="43" spans="1:5" ht="14" hidden="1">
      <c r="A43" s="773" t="s">
        <v>655</v>
      </c>
      <c r="B43" s="772">
        <v>5</v>
      </c>
      <c r="C43" s="773" t="s">
        <v>696</v>
      </c>
      <c r="D43" s="773" t="s">
        <v>777</v>
      </c>
      <c r="E43" s="775">
        <v>-2285</v>
      </c>
    </row>
    <row r="44" spans="1:5" ht="14" hidden="1">
      <c r="A44" s="773" t="s">
        <v>655</v>
      </c>
      <c r="B44" s="772">
        <v>5</v>
      </c>
      <c r="C44" s="773" t="s">
        <v>697</v>
      </c>
      <c r="D44" s="773" t="s">
        <v>778</v>
      </c>
      <c r="E44" s="775">
        <v>-4180.82</v>
      </c>
    </row>
    <row r="45" spans="1:5" ht="14" hidden="1">
      <c r="A45" s="773" t="s">
        <v>655</v>
      </c>
      <c r="B45" s="772">
        <v>5</v>
      </c>
      <c r="C45" s="773" t="s">
        <v>698</v>
      </c>
      <c r="D45" s="773" t="s">
        <v>779</v>
      </c>
      <c r="E45" s="775">
        <v>-337.19</v>
      </c>
    </row>
    <row r="46" spans="1:5" ht="14" hidden="1">
      <c r="A46" s="773" t="s">
        <v>655</v>
      </c>
      <c r="B46" s="772">
        <v>5</v>
      </c>
      <c r="C46" s="773" t="s">
        <v>699</v>
      </c>
      <c r="D46" s="773" t="s">
        <v>780</v>
      </c>
      <c r="E46" s="775">
        <v>-9808.07</v>
      </c>
    </row>
    <row r="47" spans="1:5" ht="14" hidden="1">
      <c r="A47" s="773" t="s">
        <v>655</v>
      </c>
      <c r="B47" s="772">
        <v>5</v>
      </c>
      <c r="C47" s="773" t="s">
        <v>700</v>
      </c>
      <c r="D47" s="773" t="s">
        <v>781</v>
      </c>
      <c r="E47" s="775">
        <v>-148.81</v>
      </c>
    </row>
    <row r="48" spans="1:5" ht="14" hidden="1">
      <c r="A48" s="773" t="s">
        <v>655</v>
      </c>
      <c r="B48" s="772">
        <v>5</v>
      </c>
      <c r="C48" s="773" t="s">
        <v>701</v>
      </c>
      <c r="D48" s="773" t="s">
        <v>782</v>
      </c>
      <c r="E48" s="775">
        <v>-5.84</v>
      </c>
    </row>
    <row r="49" spans="1:5" ht="14" hidden="1">
      <c r="A49" s="773" t="s">
        <v>655</v>
      </c>
      <c r="B49" s="772">
        <v>5</v>
      </c>
      <c r="C49" s="773" t="s">
        <v>702</v>
      </c>
      <c r="D49" s="773" t="s">
        <v>783</v>
      </c>
      <c r="E49" s="775">
        <v>-9.3000000000000007</v>
      </c>
    </row>
    <row r="50" spans="1:5" ht="14" hidden="1">
      <c r="A50" s="773" t="s">
        <v>655</v>
      </c>
      <c r="B50" s="772">
        <v>5</v>
      </c>
      <c r="C50" s="773" t="s">
        <v>703</v>
      </c>
      <c r="D50" s="773" t="s">
        <v>784</v>
      </c>
      <c r="E50" s="775">
        <v>-734.44</v>
      </c>
    </row>
    <row r="51" spans="1:5" ht="14" hidden="1">
      <c r="A51" s="773" t="s">
        <v>655</v>
      </c>
      <c r="B51" s="772">
        <v>5</v>
      </c>
      <c r="C51" s="773" t="s">
        <v>704</v>
      </c>
      <c r="D51" s="773" t="s">
        <v>785</v>
      </c>
      <c r="E51" s="775">
        <v>-801.4</v>
      </c>
    </row>
    <row r="52" spans="1:5" ht="14" hidden="1">
      <c r="A52" s="773" t="s">
        <v>655</v>
      </c>
      <c r="B52" s="772">
        <v>5</v>
      </c>
      <c r="C52" s="773" t="s">
        <v>705</v>
      </c>
      <c r="D52" s="773" t="s">
        <v>786</v>
      </c>
      <c r="E52" s="775">
        <v>-27.77</v>
      </c>
    </row>
    <row r="53" spans="1:5" ht="14" hidden="1">
      <c r="A53" s="773" t="s">
        <v>655</v>
      </c>
      <c r="B53" s="772">
        <v>5</v>
      </c>
      <c r="C53" s="773" t="s">
        <v>706</v>
      </c>
      <c r="D53" s="773" t="s">
        <v>787</v>
      </c>
      <c r="E53" s="775">
        <v>-52.11</v>
      </c>
    </row>
    <row r="54" spans="1:5" ht="14" hidden="1">
      <c r="A54" s="773" t="s">
        <v>655</v>
      </c>
      <c r="B54" s="772">
        <v>5</v>
      </c>
      <c r="C54" s="773" t="s">
        <v>707</v>
      </c>
      <c r="D54" s="773" t="s">
        <v>788</v>
      </c>
      <c r="E54" s="775">
        <v>-37.049999999999997</v>
      </c>
    </row>
    <row r="55" spans="1:5" ht="14" hidden="1">
      <c r="A55" s="773" t="s">
        <v>655</v>
      </c>
      <c r="B55" s="772">
        <v>5</v>
      </c>
      <c r="C55" s="773" t="s">
        <v>708</v>
      </c>
      <c r="D55" s="773" t="s">
        <v>789</v>
      </c>
      <c r="E55" s="775">
        <v>-2757.6</v>
      </c>
    </row>
    <row r="56" spans="1:5" ht="14" hidden="1">
      <c r="A56" s="773" t="s">
        <v>655</v>
      </c>
      <c r="B56" s="772">
        <v>5</v>
      </c>
      <c r="C56" s="773" t="s">
        <v>709</v>
      </c>
      <c r="D56" s="773" t="s">
        <v>790</v>
      </c>
      <c r="E56" s="775">
        <v>-114.12</v>
      </c>
    </row>
    <row r="57" spans="1:5" ht="14" hidden="1">
      <c r="A57" s="773" t="s">
        <v>655</v>
      </c>
      <c r="B57" s="772">
        <v>5</v>
      </c>
      <c r="C57" s="773" t="s">
        <v>710</v>
      </c>
      <c r="D57" s="773" t="s">
        <v>791</v>
      </c>
      <c r="E57" s="775">
        <v>-17495.41</v>
      </c>
    </row>
    <row r="58" spans="1:5" ht="14" hidden="1">
      <c r="A58" s="773" t="s">
        <v>655</v>
      </c>
      <c r="B58" s="772">
        <v>5</v>
      </c>
      <c r="C58" s="773" t="s">
        <v>711</v>
      </c>
      <c r="D58" s="773" t="s">
        <v>792</v>
      </c>
      <c r="E58" s="775">
        <v>-59.66</v>
      </c>
    </row>
    <row r="59" spans="1:5" ht="14" hidden="1">
      <c r="A59" s="773" t="s">
        <v>655</v>
      </c>
      <c r="B59" s="772">
        <v>5</v>
      </c>
      <c r="C59" s="773" t="s">
        <v>712</v>
      </c>
      <c r="D59" s="773" t="s">
        <v>793</v>
      </c>
      <c r="E59" s="775">
        <v>-112.49</v>
      </c>
    </row>
    <row r="60" spans="1:5" ht="14" hidden="1">
      <c r="A60" s="773" t="s">
        <v>655</v>
      </c>
      <c r="B60" s="772">
        <v>5</v>
      </c>
      <c r="C60" s="773" t="s">
        <v>713</v>
      </c>
      <c r="D60" s="773" t="s">
        <v>794</v>
      </c>
      <c r="E60" s="775">
        <v>-218.66</v>
      </c>
    </row>
    <row r="61" spans="1:5" ht="14" hidden="1">
      <c r="A61" s="773" t="s">
        <v>655</v>
      </c>
      <c r="B61" s="772">
        <v>5</v>
      </c>
      <c r="C61" s="773" t="s">
        <v>714</v>
      </c>
      <c r="D61" s="773" t="s">
        <v>795</v>
      </c>
      <c r="E61" s="775">
        <v>-9.36</v>
      </c>
    </row>
    <row r="62" spans="1:5" ht="14" hidden="1">
      <c r="A62" s="773" t="s">
        <v>655</v>
      </c>
      <c r="B62" s="772">
        <v>5</v>
      </c>
      <c r="C62" s="773" t="s">
        <v>715</v>
      </c>
      <c r="D62" s="773" t="s">
        <v>796</v>
      </c>
      <c r="E62" s="775">
        <v>-385.05</v>
      </c>
    </row>
    <row r="63" spans="1:5" ht="14" hidden="1">
      <c r="A63" s="773" t="s">
        <v>655</v>
      </c>
      <c r="B63" s="772">
        <v>5</v>
      </c>
      <c r="C63" s="773" t="s">
        <v>716</v>
      </c>
      <c r="D63" s="773" t="s">
        <v>797</v>
      </c>
      <c r="E63" s="775">
        <v>-3305.69</v>
      </c>
    </row>
    <row r="64" spans="1:5" ht="14" hidden="1">
      <c r="A64" s="773" t="s">
        <v>655</v>
      </c>
      <c r="B64" s="772">
        <v>5</v>
      </c>
      <c r="C64" s="773" t="s">
        <v>717</v>
      </c>
      <c r="D64" s="773" t="s">
        <v>798</v>
      </c>
      <c r="E64" s="775">
        <v>-25648.71</v>
      </c>
    </row>
    <row r="65" spans="1:8" ht="14" hidden="1">
      <c r="A65" s="773" t="s">
        <v>655</v>
      </c>
      <c r="B65" s="772">
        <v>5</v>
      </c>
      <c r="C65" s="773" t="s">
        <v>718</v>
      </c>
      <c r="D65" s="773" t="s">
        <v>799</v>
      </c>
      <c r="E65" s="775">
        <v>-6658.79</v>
      </c>
    </row>
    <row r="66" spans="1:8" ht="14" hidden="1">
      <c r="A66" s="773" t="s">
        <v>655</v>
      </c>
      <c r="B66" s="772">
        <v>5</v>
      </c>
      <c r="C66" s="773" t="s">
        <v>719</v>
      </c>
      <c r="D66" s="773" t="s">
        <v>800</v>
      </c>
      <c r="E66" s="775">
        <v>-1475.52</v>
      </c>
    </row>
    <row r="67" spans="1:8" ht="14">
      <c r="A67" s="773" t="s">
        <v>655</v>
      </c>
      <c r="B67" s="772">
        <v>5</v>
      </c>
      <c r="C67" s="773" t="s">
        <v>720</v>
      </c>
      <c r="D67" s="773" t="s">
        <v>721</v>
      </c>
      <c r="E67" s="775">
        <v>-96725.35</v>
      </c>
    </row>
    <row r="68" spans="1:8" ht="14">
      <c r="A68" s="773" t="s">
        <v>655</v>
      </c>
      <c r="B68" s="772">
        <v>5</v>
      </c>
      <c r="C68" s="773" t="s">
        <v>722</v>
      </c>
      <c r="D68" s="773" t="s">
        <v>723</v>
      </c>
      <c r="E68" s="775">
        <v>-169025</v>
      </c>
    </row>
    <row r="69" spans="1:8" ht="14">
      <c r="A69" s="773" t="s">
        <v>655</v>
      </c>
      <c r="B69" s="772">
        <v>5</v>
      </c>
      <c r="C69" s="773" t="s">
        <v>602</v>
      </c>
      <c r="D69" s="773" t="s">
        <v>724</v>
      </c>
      <c r="E69" s="775">
        <v>-39466.269999999997</v>
      </c>
    </row>
    <row r="70" spans="1:8" ht="14">
      <c r="A70" s="773" t="s">
        <v>655</v>
      </c>
      <c r="B70" s="772">
        <v>5</v>
      </c>
      <c r="C70" s="773" t="s">
        <v>725</v>
      </c>
      <c r="D70" s="773" t="s">
        <v>726</v>
      </c>
      <c r="E70" s="775">
        <v>194353</v>
      </c>
    </row>
    <row r="71" spans="1:8" ht="14">
      <c r="A71" s="773" t="s">
        <v>655</v>
      </c>
      <c r="B71" s="772">
        <v>5</v>
      </c>
      <c r="C71" s="773" t="s">
        <v>727</v>
      </c>
      <c r="D71" s="773" t="s">
        <v>728</v>
      </c>
      <c r="E71" s="775">
        <v>41000</v>
      </c>
    </row>
    <row r="72" spans="1:8" ht="14">
      <c r="A72" s="773" t="s">
        <v>655</v>
      </c>
      <c r="B72" s="772">
        <v>5</v>
      </c>
      <c r="C72" s="773" t="s">
        <v>729</v>
      </c>
      <c r="D72" s="773" t="s">
        <v>730</v>
      </c>
      <c r="E72" s="775">
        <v>-171.14</v>
      </c>
    </row>
    <row r="73" spans="1:8" ht="14">
      <c r="A73" s="773" t="s">
        <v>655</v>
      </c>
      <c r="B73" s="772">
        <v>5</v>
      </c>
      <c r="C73" s="773" t="s">
        <v>731</v>
      </c>
      <c r="D73" s="773" t="s">
        <v>732</v>
      </c>
      <c r="E73" s="775">
        <v>-1082790.24</v>
      </c>
    </row>
    <row r="74" spans="1:8" ht="14">
      <c r="A74" s="773" t="s">
        <v>655</v>
      </c>
      <c r="B74" s="772">
        <v>5</v>
      </c>
      <c r="C74" s="773" t="s">
        <v>733</v>
      </c>
      <c r="D74" s="773" t="s">
        <v>734</v>
      </c>
      <c r="E74" s="775">
        <v>112753</v>
      </c>
      <c r="H74" s="771">
        <f>SUM(E73,E69,E2,E3)</f>
        <v>-7329368.1699999999</v>
      </c>
    </row>
    <row r="75" spans="1:8" ht="14">
      <c r="A75" s="773" t="s">
        <v>655</v>
      </c>
      <c r="B75" s="772">
        <v>5</v>
      </c>
      <c r="C75" s="773" t="s">
        <v>735</v>
      </c>
      <c r="D75" s="773" t="s">
        <v>801</v>
      </c>
      <c r="E75" s="775">
        <v>-1047.72</v>
      </c>
    </row>
    <row r="76" spans="1:8" ht="14">
      <c r="A76" s="773" t="s">
        <v>655</v>
      </c>
      <c r="B76" s="772">
        <v>5</v>
      </c>
      <c r="C76" s="773" t="s">
        <v>805</v>
      </c>
      <c r="D76" s="773" t="s">
        <v>806</v>
      </c>
      <c r="E76" s="775">
        <v>-3231.49</v>
      </c>
    </row>
    <row r="77" spans="1:8" ht="14">
      <c r="A77" s="773" t="s">
        <v>655</v>
      </c>
      <c r="B77" s="772">
        <v>5</v>
      </c>
      <c r="C77" s="773" t="s">
        <v>736</v>
      </c>
      <c r="D77" s="773" t="s">
        <v>802</v>
      </c>
      <c r="E77" s="775">
        <v>-6022.09</v>
      </c>
    </row>
    <row r="78" spans="1:8" ht="14">
      <c r="E78" s="775">
        <v>1948.12</v>
      </c>
    </row>
  </sheetData>
  <customSheetViews>
    <customSheetView guid="{005F2F7B-A3A9-4755-A4DF-7CE06C365CC2}" hiddenRows="1">
      <selection activeCell="H74" sqref="H74"/>
    </customSheetView>
    <customSheetView guid="{041E0462-B6EA-414A-9F2E-C14ADEFAE5F2}" topLeftCell="A55">
      <selection activeCell="E80" sqref="E80"/>
    </customSheetView>
    <customSheetView guid="{86CCC894-C193-4761-8385-3C374FD67B70}" showPageBreaks="1" hiddenRows="1">
      <selection activeCell="H74" sqref="H74"/>
      <pageSetup orientation="portrait" horizontalDpi="1200" verticalDpi="1200"/>
    </customSheetView>
  </customSheetViews>
  <pageMargins left="0.7" right="0.7" top="0.75" bottom="0.75" header="0.3" footer="0.3"/>
  <pageSetup orientation="portrait" horizontalDpi="1200" verticalDpi="1200"/>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H306"/>
  <sheetViews>
    <sheetView topLeftCell="D206" zoomScale="85" zoomScaleNormal="85" zoomScalePageLayoutView="85" workbookViewId="0">
      <selection activeCell="E230" sqref="E230"/>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32.3984375" style="147" customWidth="1"/>
    <col min="5" max="5" width="14.19921875" style="35" customWidth="1"/>
    <col min="6" max="6" width="15.3984375" style="152" bestFit="1" customWidth="1"/>
    <col min="7" max="7" width="16.796875" style="17" bestFit="1" customWidth="1"/>
    <col min="8" max="8" width="16.3984375" style="17" bestFit="1" customWidth="1"/>
    <col min="9" max="9" width="18" style="131" bestFit="1" customWidth="1"/>
    <col min="10" max="10" width="19.3984375" style="24" bestFit="1" customWidth="1"/>
    <col min="11" max="11" width="3" style="24" customWidth="1"/>
    <col min="12" max="12" width="15.3984375" style="24" customWidth="1"/>
    <col min="13" max="13" width="17.19921875" style="24" bestFit="1" customWidth="1"/>
    <col min="14" max="14" width="1.796875" style="16" customWidth="1"/>
    <col min="15" max="15" width="13.59765625" style="146" customWidth="1"/>
    <col min="16" max="16" width="1.796875" style="16" customWidth="1"/>
    <col min="17" max="17" width="17.59765625" style="146" bestFit="1" customWidth="1"/>
    <col min="18" max="18" width="14.19921875" style="146" customWidth="1"/>
    <col min="19" max="19" width="1.796875" style="146" customWidth="1"/>
    <col min="20" max="20" width="15.3984375" style="146" customWidth="1"/>
    <col min="21" max="21" width="1.796875" style="24" customWidth="1"/>
    <col min="22" max="26" width="15.3984375" style="38" customWidth="1"/>
    <col min="27" max="27" width="15.3984375" style="16" customWidth="1"/>
    <col min="28" max="29" width="15.3984375" style="559" customWidth="1"/>
    <col min="30" max="30" width="15.796875" style="559" customWidth="1"/>
    <col min="31" max="31" width="2.3984375" style="559" customWidth="1"/>
    <col min="32" max="32" width="14.19921875" style="559" bestFit="1" customWidth="1"/>
    <col min="33" max="34" width="14.19921875" style="559" customWidth="1"/>
    <col min="35" max="16384" width="9.3984375" style="16"/>
  </cols>
  <sheetData>
    <row r="1" spans="1:25">
      <c r="D1" s="147" t="s">
        <v>71</v>
      </c>
      <c r="F1" s="29"/>
      <c r="G1" s="162"/>
      <c r="H1" s="163"/>
      <c r="J1" s="169"/>
      <c r="K1" s="169"/>
      <c r="L1" s="169"/>
      <c r="M1" s="169"/>
      <c r="N1" s="169"/>
      <c r="U1" s="40"/>
    </row>
    <row r="2" spans="1:25">
      <c r="D2" s="147" t="s">
        <v>72</v>
      </c>
      <c r="F2" s="29"/>
      <c r="G2" s="162"/>
      <c r="H2" s="163"/>
      <c r="J2" s="169"/>
      <c r="K2" s="169"/>
      <c r="L2" s="169"/>
      <c r="M2" s="169"/>
      <c r="N2" s="169"/>
      <c r="U2" s="40"/>
    </row>
    <row r="3" spans="1:25">
      <c r="D3" s="147" t="s">
        <v>610</v>
      </c>
      <c r="F3" s="29"/>
      <c r="G3" s="18"/>
      <c r="H3" s="168"/>
      <c r="J3" s="169"/>
      <c r="K3" s="169"/>
      <c r="L3" s="169"/>
      <c r="M3" s="169"/>
      <c r="N3" s="169"/>
    </row>
    <row r="4" spans="1:25">
      <c r="D4" s="148" t="s">
        <v>228</v>
      </c>
      <c r="G4" s="164"/>
      <c r="H4" s="168"/>
      <c r="I4" s="161"/>
      <c r="J4" s="169"/>
      <c r="K4" s="169"/>
      <c r="L4" s="169"/>
      <c r="M4" s="169"/>
      <c r="N4" s="169"/>
    </row>
    <row r="5" spans="1:25" ht="13" thickBot="1">
      <c r="D5" s="148"/>
      <c r="G5" s="161"/>
      <c r="H5" s="630"/>
      <c r="I5" s="161"/>
      <c r="J5" s="169"/>
      <c r="K5" s="169"/>
      <c r="L5" s="169"/>
      <c r="M5" s="169"/>
      <c r="N5" s="169"/>
    </row>
    <row r="6" spans="1:25">
      <c r="B6" s="460"/>
      <c r="C6" s="668"/>
      <c r="D6" s="461" t="s">
        <v>84</v>
      </c>
      <c r="E6" s="462" t="s">
        <v>85</v>
      </c>
      <c r="G6" s="161"/>
      <c r="H6" s="630"/>
      <c r="I6" s="161"/>
      <c r="J6" s="169"/>
      <c r="K6" s="169"/>
      <c r="L6" s="169"/>
      <c r="M6" s="169"/>
      <c r="N6" s="169"/>
      <c r="O6" s="152"/>
      <c r="P6" s="18"/>
      <c r="Q6" s="152"/>
      <c r="R6" s="152"/>
      <c r="S6" s="152"/>
      <c r="T6" s="152"/>
    </row>
    <row r="7" spans="1:25">
      <c r="B7" s="459"/>
      <c r="C7" s="113"/>
      <c r="D7" s="458" t="s">
        <v>74</v>
      </c>
      <c r="E7" s="463" t="s">
        <v>77</v>
      </c>
      <c r="G7" s="161"/>
      <c r="H7" s="630"/>
      <c r="I7" s="161"/>
      <c r="J7" s="169"/>
      <c r="K7" s="169"/>
      <c r="L7" s="169"/>
      <c r="M7" s="169"/>
      <c r="N7" s="169"/>
    </row>
    <row r="8" spans="1:25">
      <c r="B8" s="459"/>
      <c r="C8" s="113"/>
      <c r="D8" s="458" t="s">
        <v>75</v>
      </c>
      <c r="E8" s="287" t="s">
        <v>115</v>
      </c>
      <c r="F8" s="29"/>
      <c r="G8" s="161"/>
      <c r="H8" s="630"/>
      <c r="I8" s="135"/>
      <c r="J8" s="172"/>
      <c r="K8" s="41"/>
      <c r="L8" s="37"/>
      <c r="M8" s="37"/>
      <c r="U8" s="41"/>
    </row>
    <row r="9" spans="1:25">
      <c r="B9" s="459"/>
      <c r="C9" s="669"/>
      <c r="D9" s="568" t="s">
        <v>73</v>
      </c>
      <c r="E9" s="572" t="s">
        <v>446</v>
      </c>
      <c r="F9" s="29"/>
      <c r="G9" s="164"/>
      <c r="H9" s="630"/>
      <c r="I9" s="135"/>
      <c r="J9" s="75"/>
      <c r="K9" s="41"/>
      <c r="L9" s="77"/>
      <c r="M9" s="77"/>
      <c r="N9" s="27"/>
      <c r="O9" s="151"/>
      <c r="P9" s="27"/>
      <c r="Q9" s="151"/>
      <c r="R9" s="151"/>
      <c r="S9" s="151"/>
      <c r="T9" s="151"/>
      <c r="U9" s="41"/>
    </row>
    <row r="10" spans="1:25">
      <c r="B10" s="459"/>
      <c r="C10" s="113"/>
      <c r="D10" s="458" t="s">
        <v>76</v>
      </c>
      <c r="E10" s="465" t="s">
        <v>79</v>
      </c>
      <c r="F10" s="29"/>
      <c r="G10" s="161"/>
      <c r="H10" s="134"/>
      <c r="I10" s="135"/>
      <c r="J10" s="78"/>
      <c r="L10" s="79"/>
      <c r="M10" s="79"/>
      <c r="N10" s="27"/>
      <c r="O10" s="151"/>
      <c r="P10" s="27"/>
      <c r="Q10" s="151"/>
      <c r="R10" s="151"/>
      <c r="S10" s="151"/>
      <c r="T10" s="151"/>
    </row>
    <row r="11" spans="1:25">
      <c r="B11" s="459"/>
      <c r="C11" s="113"/>
      <c r="D11" s="458" t="s">
        <v>81</v>
      </c>
      <c r="E11" s="466" t="s">
        <v>80</v>
      </c>
      <c r="F11" s="29"/>
      <c r="G11" s="161"/>
      <c r="H11" s="134"/>
      <c r="I11" s="10"/>
      <c r="J11" s="78"/>
      <c r="L11" s="79"/>
      <c r="M11" s="79"/>
      <c r="N11" s="27"/>
      <c r="O11" s="151"/>
      <c r="P11" s="27"/>
      <c r="Q11" s="151"/>
      <c r="R11" s="151"/>
      <c r="S11" s="151"/>
      <c r="T11" s="151"/>
    </row>
    <row r="12" spans="1:25">
      <c r="B12" s="459"/>
      <c r="C12" s="113"/>
      <c r="D12" s="458" t="s">
        <v>83</v>
      </c>
      <c r="E12" s="467" t="s">
        <v>82</v>
      </c>
      <c r="F12" s="165"/>
      <c r="G12" s="147"/>
      <c r="H12" s="134"/>
      <c r="J12" s="78"/>
      <c r="L12" s="80"/>
      <c r="M12" s="80"/>
      <c r="N12" s="81"/>
      <c r="O12" s="12"/>
      <c r="P12" s="81"/>
      <c r="Q12" s="12"/>
      <c r="R12" s="12"/>
      <c r="S12" s="12"/>
      <c r="T12" s="12"/>
    </row>
    <row r="13" spans="1:25">
      <c r="B13" s="459"/>
      <c r="C13" s="113"/>
      <c r="D13" s="458" t="s">
        <v>88</v>
      </c>
      <c r="E13" s="468" t="s">
        <v>89</v>
      </c>
      <c r="F13" s="29"/>
      <c r="J13" s="76"/>
      <c r="L13" s="174"/>
      <c r="M13" s="76"/>
      <c r="N13" s="27"/>
      <c r="O13" s="151"/>
      <c r="P13" s="27"/>
      <c r="Q13" s="151"/>
      <c r="R13" s="151"/>
      <c r="S13" s="151"/>
      <c r="T13" s="151"/>
    </row>
    <row r="14" spans="1:25">
      <c r="B14" s="459"/>
      <c r="C14" s="113"/>
      <c r="D14" s="458" t="s">
        <v>116</v>
      </c>
      <c r="E14" s="99" t="s">
        <v>117</v>
      </c>
      <c r="F14" s="29"/>
      <c r="G14" s="166"/>
      <c r="H14" s="145"/>
      <c r="J14" s="76"/>
      <c r="L14" s="173"/>
      <c r="M14" s="173"/>
      <c r="N14" s="27"/>
      <c r="O14" s="151"/>
      <c r="P14" s="27"/>
      <c r="Q14" s="151"/>
      <c r="R14" s="151"/>
      <c r="S14" s="151"/>
      <c r="T14" s="151"/>
    </row>
    <row r="15" spans="1:25" ht="13" thickBot="1">
      <c r="B15" s="469"/>
      <c r="C15" s="670"/>
      <c r="D15" s="470" t="s">
        <v>103</v>
      </c>
      <c r="E15" s="471" t="s">
        <v>101</v>
      </c>
      <c r="F15" s="29"/>
      <c r="G15" s="166"/>
      <c r="H15" s="150"/>
      <c r="J15" s="76"/>
    </row>
    <row r="16" spans="1:25" ht="13" thickBot="1">
      <c r="A16" s="152"/>
      <c r="B16" s="152"/>
      <c r="C16" s="67"/>
      <c r="D16" s="54"/>
      <c r="E16" s="34"/>
      <c r="G16" s="167"/>
      <c r="H16" s="49"/>
      <c r="I16" s="67"/>
      <c r="J16" s="50"/>
      <c r="K16" s="50"/>
      <c r="L16" s="50"/>
      <c r="M16" s="745"/>
      <c r="N16" s="146"/>
      <c r="P16" s="146"/>
      <c r="U16" s="50"/>
      <c r="V16" s="33"/>
      <c r="W16" s="33"/>
      <c r="X16" s="33"/>
      <c r="Y16" s="33"/>
    </row>
    <row r="17" spans="1:34" ht="13" thickBot="1">
      <c r="D17" s="526"/>
      <c r="E17" s="582" t="s">
        <v>611</v>
      </c>
      <c r="F17" s="583" t="s">
        <v>227</v>
      </c>
      <c r="G17" s="96" t="s">
        <v>254</v>
      </c>
      <c r="H17" s="96" t="s">
        <v>254</v>
      </c>
      <c r="I17" s="304" t="s">
        <v>254</v>
      </c>
      <c r="J17" s="304" t="s">
        <v>254</v>
      </c>
      <c r="K17" s="581"/>
      <c r="L17" s="304" t="s">
        <v>254</v>
      </c>
      <c r="M17" s="304" t="s">
        <v>254</v>
      </c>
      <c r="N17" s="93"/>
      <c r="O17" s="13"/>
      <c r="P17" s="93"/>
      <c r="Q17" s="13"/>
      <c r="R17" s="96"/>
      <c r="S17" s="101"/>
      <c r="T17" s="96"/>
      <c r="U17" s="93"/>
      <c r="V17" s="96"/>
      <c r="W17" s="96"/>
      <c r="X17" s="304"/>
      <c r="Y17" s="304"/>
      <c r="Z17" s="304"/>
      <c r="AC17" s="560" t="s">
        <v>266</v>
      </c>
      <c r="AG17" s="561" t="s">
        <v>267</v>
      </c>
    </row>
    <row r="18" spans="1:34" ht="13" thickBot="1">
      <c r="A18" s="22" t="s">
        <v>95</v>
      </c>
      <c r="B18" s="22" t="s">
        <v>100</v>
      </c>
      <c r="C18" s="36" t="s">
        <v>522</v>
      </c>
      <c r="D18" s="36" t="s">
        <v>67</v>
      </c>
      <c r="E18" s="450" t="s">
        <v>230</v>
      </c>
      <c r="F18" s="528" t="s">
        <v>229</v>
      </c>
      <c r="G18" s="176" t="s">
        <v>222</v>
      </c>
      <c r="H18" s="545" t="s">
        <v>255</v>
      </c>
      <c r="I18" s="442" t="s">
        <v>256</v>
      </c>
      <c r="J18" s="313" t="s">
        <v>105</v>
      </c>
      <c r="K18" s="93"/>
      <c r="L18" s="94" t="s">
        <v>104</v>
      </c>
      <c r="M18" s="95" t="s">
        <v>106</v>
      </c>
      <c r="N18" s="102"/>
      <c r="O18" s="427" t="s">
        <v>372</v>
      </c>
      <c r="P18" s="102"/>
      <c r="Q18" s="313" t="s">
        <v>612</v>
      </c>
      <c r="R18" s="156" t="s">
        <v>613</v>
      </c>
      <c r="S18" s="149"/>
      <c r="T18" s="327" t="s">
        <v>291</v>
      </c>
      <c r="U18" s="93"/>
      <c r="V18" s="103" t="s">
        <v>111</v>
      </c>
      <c r="W18" s="74" t="s">
        <v>112</v>
      </c>
      <c r="X18" s="103" t="s">
        <v>113</v>
      </c>
      <c r="Y18" s="103" t="s">
        <v>223</v>
      </c>
      <c r="Z18" s="307" t="s">
        <v>224</v>
      </c>
      <c r="AB18" s="562" t="s">
        <v>263</v>
      </c>
      <c r="AC18" s="563" t="s">
        <v>264</v>
      </c>
      <c r="AD18" s="563" t="s">
        <v>265</v>
      </c>
      <c r="AF18" s="562" t="s">
        <v>263</v>
      </c>
      <c r="AG18" s="563" t="s">
        <v>264</v>
      </c>
      <c r="AH18" s="563" t="s">
        <v>265</v>
      </c>
    </row>
    <row r="19" spans="1:34">
      <c r="A19" s="472" t="s">
        <v>109</v>
      </c>
      <c r="B19" s="472" t="s">
        <v>110</v>
      </c>
      <c r="C19" s="666"/>
      <c r="D19" s="373" t="s">
        <v>320</v>
      </c>
      <c r="E19" s="679"/>
      <c r="F19" s="529" t="str">
        <f>VLOOKUP(D19,'Q4 DMV -  Revenue'!D:T,17,FALSE)</f>
        <v/>
      </c>
      <c r="G19" s="680"/>
      <c r="H19" s="680"/>
      <c r="I19" s="681"/>
      <c r="J19" s="682">
        <f t="shared" ref="J19:J87" si="0">SUM(E19:I19)</f>
        <v>0</v>
      </c>
      <c r="K19" s="683"/>
      <c r="L19" s="684"/>
      <c r="M19" s="753">
        <v>0</v>
      </c>
      <c r="N19" s="683">
        <v>0</v>
      </c>
      <c r="O19" s="686"/>
      <c r="P19" s="683">
        <v>0</v>
      </c>
      <c r="Q19" s="687">
        <f t="shared" ref="Q19:Q169" si="1">L19+M19</f>
        <v>0</v>
      </c>
      <c r="R19" s="688"/>
      <c r="S19" s="689"/>
      <c r="T19" s="690" t="str">
        <f>IF(R19="","",R19-Q19)</f>
        <v/>
      </c>
      <c r="U19" s="691"/>
      <c r="V19" s="474">
        <f t="shared" ref="V19:V87" si="2">IF(B19="D",Q19,0)</f>
        <v>0</v>
      </c>
      <c r="W19" s="474">
        <f t="shared" ref="W19:W86" si="3">IF(B19="M",Q19,0)</f>
        <v>0</v>
      </c>
      <c r="X19" s="475">
        <f t="shared" ref="X19:X86" si="4">IF(B19="V",Q19,0)</f>
        <v>0</v>
      </c>
      <c r="Y19" s="475">
        <v>0</v>
      </c>
      <c r="Z19" s="476">
        <v>0</v>
      </c>
      <c r="AA19" s="38">
        <f>(L19+M19)-(V19+W19+X19+Y19+Z19)</f>
        <v>0</v>
      </c>
      <c r="AB19" s="692">
        <f t="shared" ref="AB19:AB86" si="5">IF(B19="D",J19,0)</f>
        <v>0</v>
      </c>
      <c r="AC19" s="692">
        <f t="shared" ref="AC19:AC86" si="6">IF(B19="M",J19,0)</f>
        <v>0</v>
      </c>
      <c r="AD19" s="692">
        <f t="shared" ref="AD19:AD86" si="7">IF(B19="V",J19,0)</f>
        <v>0</v>
      </c>
      <c r="AE19" s="38"/>
      <c r="AF19" s="692">
        <f t="shared" ref="AF19:AF86" si="8">IF(B19="D",Q19,0)</f>
        <v>0</v>
      </c>
      <c r="AG19" s="692">
        <f t="shared" ref="AG19:AG86" si="9">IF(B19="M",Q19,0)</f>
        <v>0</v>
      </c>
      <c r="AH19" s="692">
        <f t="shared" ref="AH19:AH86" si="10">IF(B19="V",Q19,0)</f>
        <v>0</v>
      </c>
    </row>
    <row r="20" spans="1:34">
      <c r="A20" s="372" t="s">
        <v>109</v>
      </c>
      <c r="B20" s="472" t="s">
        <v>109</v>
      </c>
      <c r="C20" s="666"/>
      <c r="D20" s="373" t="s">
        <v>382</v>
      </c>
      <c r="E20" s="679"/>
      <c r="F20" s="529" t="str">
        <f>VLOOKUP(D20,'Q4 DMV -  Revenue'!D:T,17,FALSE)</f>
        <v/>
      </c>
      <c r="G20" s="680"/>
      <c r="H20" s="680"/>
      <c r="I20" s="681"/>
      <c r="J20" s="682">
        <f t="shared" si="0"/>
        <v>0</v>
      </c>
      <c r="K20" s="683"/>
      <c r="L20" s="684"/>
      <c r="M20" s="753">
        <v>0</v>
      </c>
      <c r="N20" s="683">
        <v>0</v>
      </c>
      <c r="O20" s="686"/>
      <c r="P20" s="683">
        <v>0</v>
      </c>
      <c r="Q20" s="687">
        <f t="shared" si="1"/>
        <v>0</v>
      </c>
      <c r="R20" s="688">
        <v>2344.42</v>
      </c>
      <c r="S20" s="689"/>
      <c r="T20" s="690">
        <f t="shared" ref="T20:T88" si="11">IF(R20="","",R20-Q20)</f>
        <v>2344.42</v>
      </c>
      <c r="U20" s="691"/>
      <c r="V20" s="474">
        <f t="shared" si="2"/>
        <v>0</v>
      </c>
      <c r="W20" s="474">
        <f t="shared" si="3"/>
        <v>0</v>
      </c>
      <c r="X20" s="475">
        <f t="shared" si="4"/>
        <v>0</v>
      </c>
      <c r="Y20" s="475">
        <v>0</v>
      </c>
      <c r="Z20" s="476">
        <v>0</v>
      </c>
      <c r="AA20" s="38">
        <f t="shared" ref="AA20:AA87" si="12">(L20+M20)-(V20+W20+X20+Y20+Z20)</f>
        <v>0</v>
      </c>
      <c r="AB20" s="692">
        <f t="shared" ref="AB20" si="13">IF(B20="D",J20,0)</f>
        <v>0</v>
      </c>
      <c r="AC20" s="692">
        <f t="shared" ref="AC20" si="14">IF(B20="M",J20,0)</f>
        <v>0</v>
      </c>
      <c r="AD20" s="692">
        <f t="shared" si="7"/>
        <v>0</v>
      </c>
      <c r="AE20" s="38"/>
      <c r="AF20" s="692">
        <f t="shared" si="8"/>
        <v>0</v>
      </c>
      <c r="AG20" s="692">
        <f t="shared" si="9"/>
        <v>0</v>
      </c>
      <c r="AH20" s="692">
        <f t="shared" si="10"/>
        <v>0</v>
      </c>
    </row>
    <row r="21" spans="1:34">
      <c r="A21" s="20" t="s">
        <v>109</v>
      </c>
      <c r="B21" s="20" t="s">
        <v>110</v>
      </c>
      <c r="C21" s="671" t="s">
        <v>523</v>
      </c>
      <c r="D21" s="123" t="s">
        <v>317</v>
      </c>
      <c r="E21" s="679"/>
      <c r="F21" s="529" t="str">
        <f>VLOOKUP(D21,'Q4 DMV -  Revenue'!D:T,17,FALSE)</f>
        <v/>
      </c>
      <c r="G21" s="737">
        <f>9480.41+3807.32</f>
        <v>13287.73</v>
      </c>
      <c r="H21" s="694">
        <f>8732.54+3533.01</f>
        <v>12265.550000000001</v>
      </c>
      <c r="I21" s="681"/>
      <c r="J21" s="682">
        <f t="shared" si="0"/>
        <v>25553.279999999999</v>
      </c>
      <c r="K21" s="683"/>
      <c r="L21" s="684"/>
      <c r="M21" s="753">
        <v>12000</v>
      </c>
      <c r="N21" s="683">
        <v>0</v>
      </c>
      <c r="O21" s="686"/>
      <c r="P21" s="683">
        <v>0</v>
      </c>
      <c r="Q21" s="687">
        <f t="shared" si="1"/>
        <v>12000</v>
      </c>
      <c r="R21" s="688">
        <f>3381+8378.02</f>
        <v>11759.02</v>
      </c>
      <c r="S21" s="693"/>
      <c r="T21" s="690">
        <f t="shared" si="11"/>
        <v>-240.97999999999956</v>
      </c>
      <c r="U21" s="683"/>
      <c r="V21" s="474">
        <f t="shared" si="2"/>
        <v>12000</v>
      </c>
      <c r="W21" s="474">
        <f t="shared" si="3"/>
        <v>0</v>
      </c>
      <c r="X21" s="475">
        <f t="shared" si="4"/>
        <v>0</v>
      </c>
      <c r="Y21" s="475">
        <v>0</v>
      </c>
      <c r="Z21" s="476">
        <v>0</v>
      </c>
      <c r="AA21" s="38">
        <f t="shared" si="12"/>
        <v>0</v>
      </c>
      <c r="AB21" s="692">
        <f t="shared" si="5"/>
        <v>25553.279999999999</v>
      </c>
      <c r="AC21" s="692">
        <f t="shared" si="6"/>
        <v>0</v>
      </c>
      <c r="AD21" s="692">
        <f t="shared" si="7"/>
        <v>0</v>
      </c>
      <c r="AE21" s="38"/>
      <c r="AF21" s="692">
        <f t="shared" si="8"/>
        <v>12000</v>
      </c>
      <c r="AG21" s="692">
        <f t="shared" si="9"/>
        <v>0</v>
      </c>
      <c r="AH21" s="692">
        <f t="shared" si="10"/>
        <v>0</v>
      </c>
    </row>
    <row r="22" spans="1:34">
      <c r="A22" s="20" t="s">
        <v>109</v>
      </c>
      <c r="B22" s="20" t="s">
        <v>109</v>
      </c>
      <c r="C22" s="671" t="s">
        <v>523</v>
      </c>
      <c r="D22" s="68" t="s">
        <v>393</v>
      </c>
      <c r="E22" s="679"/>
      <c r="F22" s="529" t="str">
        <f>VLOOKUP(D22,'Q4 DMV -  Revenue'!D:T,17,FALSE)</f>
        <v/>
      </c>
      <c r="G22" s="694">
        <v>25270.05</v>
      </c>
      <c r="H22" s="694">
        <v>25354.34</v>
      </c>
      <c r="I22" s="681"/>
      <c r="J22" s="682">
        <f t="shared" si="0"/>
        <v>50624.39</v>
      </c>
      <c r="K22" s="683"/>
      <c r="L22" s="684"/>
      <c r="M22" s="753">
        <v>25000</v>
      </c>
      <c r="N22" s="683">
        <v>0</v>
      </c>
      <c r="O22" s="686"/>
      <c r="P22" s="683">
        <v>0</v>
      </c>
      <c r="Q22" s="687">
        <f t="shared" si="1"/>
        <v>25000</v>
      </c>
      <c r="R22" s="688">
        <v>30320.07</v>
      </c>
      <c r="S22" s="693"/>
      <c r="T22" s="690">
        <f t="shared" si="11"/>
        <v>5320.07</v>
      </c>
      <c r="U22" s="683"/>
      <c r="V22" s="474">
        <f t="shared" si="2"/>
        <v>0</v>
      </c>
      <c r="W22" s="474">
        <f t="shared" si="3"/>
        <v>25000</v>
      </c>
      <c r="X22" s="475">
        <f t="shared" si="4"/>
        <v>0</v>
      </c>
      <c r="Y22" s="475">
        <v>0</v>
      </c>
      <c r="Z22" s="476">
        <v>0</v>
      </c>
      <c r="AA22" s="38">
        <f t="shared" si="12"/>
        <v>0</v>
      </c>
      <c r="AB22" s="692">
        <f t="shared" si="5"/>
        <v>0</v>
      </c>
      <c r="AC22" s="692">
        <f t="shared" si="6"/>
        <v>50624.39</v>
      </c>
      <c r="AD22" s="692">
        <f t="shared" si="7"/>
        <v>0</v>
      </c>
      <c r="AE22" s="38"/>
      <c r="AF22" s="692">
        <f t="shared" si="8"/>
        <v>0</v>
      </c>
      <c r="AG22" s="692">
        <f t="shared" si="9"/>
        <v>25000</v>
      </c>
      <c r="AH22" s="692">
        <f t="shared" si="10"/>
        <v>0</v>
      </c>
    </row>
    <row r="23" spans="1:34">
      <c r="A23" s="20" t="s">
        <v>109</v>
      </c>
      <c r="B23" s="20" t="s">
        <v>109</v>
      </c>
      <c r="C23" s="671" t="s">
        <v>523</v>
      </c>
      <c r="D23" s="68" t="s">
        <v>129</v>
      </c>
      <c r="E23" s="679"/>
      <c r="F23" s="529" t="str">
        <f>VLOOKUP(D23,'Q4 DMV -  Revenue'!D:T,17,FALSE)</f>
        <v/>
      </c>
      <c r="G23" s="694">
        <v>59.61</v>
      </c>
      <c r="H23" s="694">
        <v>44.78</v>
      </c>
      <c r="I23" s="681"/>
      <c r="J23" s="682">
        <f t="shared" si="0"/>
        <v>104.39</v>
      </c>
      <c r="K23" s="683"/>
      <c r="L23" s="684"/>
      <c r="M23" s="753">
        <v>0</v>
      </c>
      <c r="N23" s="683">
        <v>0</v>
      </c>
      <c r="O23" s="686"/>
      <c r="P23" s="683">
        <v>0</v>
      </c>
      <c r="Q23" s="687">
        <f t="shared" si="1"/>
        <v>0</v>
      </c>
      <c r="R23" s="688">
        <v>25.6</v>
      </c>
      <c r="S23" s="693"/>
      <c r="T23" s="690">
        <f t="shared" si="11"/>
        <v>25.6</v>
      </c>
      <c r="U23" s="683"/>
      <c r="V23" s="474">
        <f t="shared" si="2"/>
        <v>0</v>
      </c>
      <c r="W23" s="474">
        <f t="shared" si="3"/>
        <v>0</v>
      </c>
      <c r="X23" s="475">
        <f t="shared" si="4"/>
        <v>0</v>
      </c>
      <c r="Y23" s="475">
        <v>0</v>
      </c>
      <c r="Z23" s="476">
        <v>0</v>
      </c>
      <c r="AA23" s="38">
        <f t="shared" si="12"/>
        <v>0</v>
      </c>
      <c r="AB23" s="692">
        <f t="shared" si="5"/>
        <v>0</v>
      </c>
      <c r="AC23" s="692">
        <f t="shared" si="6"/>
        <v>104.39</v>
      </c>
      <c r="AD23" s="692">
        <f t="shared" si="7"/>
        <v>0</v>
      </c>
      <c r="AE23" s="38"/>
      <c r="AF23" s="692">
        <f t="shared" si="8"/>
        <v>0</v>
      </c>
      <c r="AG23" s="692">
        <f t="shared" si="9"/>
        <v>0</v>
      </c>
      <c r="AH23" s="692">
        <f t="shared" si="10"/>
        <v>0</v>
      </c>
    </row>
    <row r="24" spans="1:34">
      <c r="A24" s="20"/>
      <c r="B24" s="20" t="s">
        <v>110</v>
      </c>
      <c r="C24" s="667" t="s">
        <v>524</v>
      </c>
      <c r="D24" s="123" t="s">
        <v>380</v>
      </c>
      <c r="E24" s="679"/>
      <c r="F24" s="529">
        <f>VLOOKUP(D24,'Q4 DMV -  Revenue'!D:T,17,FALSE)</f>
        <v>515.01000000000022</v>
      </c>
      <c r="G24" s="694">
        <v>3343.95</v>
      </c>
      <c r="H24" s="694">
        <v>3826.97</v>
      </c>
      <c r="I24" s="681"/>
      <c r="J24" s="682">
        <f t="shared" si="0"/>
        <v>7685.93</v>
      </c>
      <c r="K24" s="683"/>
      <c r="L24" s="684"/>
      <c r="M24" s="753">
        <v>3000</v>
      </c>
      <c r="N24" s="683">
        <v>0</v>
      </c>
      <c r="O24" s="686"/>
      <c r="P24" s="683">
        <v>0</v>
      </c>
      <c r="Q24" s="687">
        <f t="shared" si="1"/>
        <v>3000</v>
      </c>
      <c r="R24" s="688">
        <v>0</v>
      </c>
      <c r="S24" s="693"/>
      <c r="T24" s="690">
        <f t="shared" si="11"/>
        <v>-3000</v>
      </c>
      <c r="U24" s="683"/>
      <c r="V24" s="474">
        <f t="shared" si="2"/>
        <v>3000</v>
      </c>
      <c r="W24" s="474">
        <f t="shared" si="3"/>
        <v>0</v>
      </c>
      <c r="X24" s="475">
        <f t="shared" si="4"/>
        <v>0</v>
      </c>
      <c r="Y24" s="475">
        <v>0</v>
      </c>
      <c r="Z24" s="476">
        <v>0</v>
      </c>
      <c r="AA24" s="38">
        <f t="shared" si="12"/>
        <v>0</v>
      </c>
      <c r="AB24" s="692">
        <f t="shared" si="5"/>
        <v>7685.93</v>
      </c>
      <c r="AC24" s="692">
        <f t="shared" si="6"/>
        <v>0</v>
      </c>
      <c r="AD24" s="692">
        <f t="shared" si="7"/>
        <v>0</v>
      </c>
      <c r="AE24" s="38"/>
      <c r="AF24" s="692">
        <f t="shared" si="8"/>
        <v>3000</v>
      </c>
      <c r="AG24" s="692">
        <f t="shared" si="9"/>
        <v>0</v>
      </c>
      <c r="AH24" s="692">
        <f t="shared" si="10"/>
        <v>0</v>
      </c>
    </row>
    <row r="25" spans="1:34">
      <c r="A25" s="20"/>
      <c r="B25" s="20" t="s">
        <v>110</v>
      </c>
      <c r="C25" s="667" t="s">
        <v>524</v>
      </c>
      <c r="D25" s="123" t="s">
        <v>132</v>
      </c>
      <c r="E25" s="679"/>
      <c r="F25" s="529">
        <f>VLOOKUP(D25,'Q4 DMV -  Revenue'!D:T,17,FALSE)</f>
        <v>355.90999999999985</v>
      </c>
      <c r="G25" s="694">
        <v>4725.58</v>
      </c>
      <c r="H25" s="694">
        <v>5284.89</v>
      </c>
      <c r="I25" s="681"/>
      <c r="J25" s="682">
        <f t="shared" si="0"/>
        <v>10366.380000000001</v>
      </c>
      <c r="K25" s="683"/>
      <c r="L25" s="684"/>
      <c r="M25" s="753">
        <v>4000</v>
      </c>
      <c r="N25" s="683">
        <v>0</v>
      </c>
      <c r="O25" s="686"/>
      <c r="P25" s="683">
        <v>0</v>
      </c>
      <c r="Q25" s="687">
        <f t="shared" si="1"/>
        <v>4000</v>
      </c>
      <c r="R25" s="688">
        <v>0</v>
      </c>
      <c r="S25" s="693"/>
      <c r="T25" s="690">
        <f t="shared" si="11"/>
        <v>-4000</v>
      </c>
      <c r="U25" s="683"/>
      <c r="V25" s="474">
        <f t="shared" si="2"/>
        <v>4000</v>
      </c>
      <c r="W25" s="474">
        <f t="shared" si="3"/>
        <v>0</v>
      </c>
      <c r="X25" s="475">
        <f t="shared" si="4"/>
        <v>0</v>
      </c>
      <c r="Y25" s="475">
        <v>0</v>
      </c>
      <c r="Z25" s="476">
        <v>0</v>
      </c>
      <c r="AA25" s="38">
        <f t="shared" si="12"/>
        <v>0</v>
      </c>
      <c r="AB25" s="692">
        <f t="shared" si="5"/>
        <v>10366.380000000001</v>
      </c>
      <c r="AC25" s="692">
        <f t="shared" si="6"/>
        <v>0</v>
      </c>
      <c r="AD25" s="692">
        <f t="shared" si="7"/>
        <v>0</v>
      </c>
      <c r="AE25" s="38"/>
      <c r="AF25" s="692">
        <f t="shared" si="8"/>
        <v>4000</v>
      </c>
      <c r="AG25" s="692">
        <f t="shared" si="9"/>
        <v>0</v>
      </c>
      <c r="AH25" s="692">
        <f t="shared" si="10"/>
        <v>0</v>
      </c>
    </row>
    <row r="26" spans="1:34">
      <c r="A26" s="20"/>
      <c r="B26" s="20" t="s">
        <v>110</v>
      </c>
      <c r="C26" s="667" t="s">
        <v>524</v>
      </c>
      <c r="D26" s="123" t="s">
        <v>133</v>
      </c>
      <c r="E26" s="679"/>
      <c r="F26" s="529">
        <f>VLOOKUP(D26,'Q4 DMV -  Revenue'!D:T,17,FALSE)</f>
        <v>748</v>
      </c>
      <c r="G26" s="694">
        <v>5904.5</v>
      </c>
      <c r="H26" s="694">
        <v>6699.6</v>
      </c>
      <c r="I26" s="681"/>
      <c r="J26" s="682">
        <f t="shared" si="0"/>
        <v>13352.1</v>
      </c>
      <c r="K26" s="683"/>
      <c r="L26" s="684"/>
      <c r="M26" s="753">
        <v>6000</v>
      </c>
      <c r="N26" s="683">
        <v>0</v>
      </c>
      <c r="O26" s="686"/>
      <c r="P26" s="683">
        <v>0</v>
      </c>
      <c r="Q26" s="687">
        <f t="shared" si="1"/>
        <v>6000</v>
      </c>
      <c r="R26" s="688">
        <v>0</v>
      </c>
      <c r="S26" s="693"/>
      <c r="T26" s="690">
        <f t="shared" si="11"/>
        <v>-6000</v>
      </c>
      <c r="U26" s="683"/>
      <c r="V26" s="474">
        <f t="shared" si="2"/>
        <v>6000</v>
      </c>
      <c r="W26" s="474">
        <f t="shared" si="3"/>
        <v>0</v>
      </c>
      <c r="X26" s="475">
        <f t="shared" si="4"/>
        <v>0</v>
      </c>
      <c r="Y26" s="475">
        <v>0</v>
      </c>
      <c r="Z26" s="476">
        <v>0</v>
      </c>
      <c r="AA26" s="38">
        <f t="shared" si="12"/>
        <v>0</v>
      </c>
      <c r="AB26" s="692">
        <f t="shared" si="5"/>
        <v>13352.1</v>
      </c>
      <c r="AC26" s="692">
        <f t="shared" si="6"/>
        <v>0</v>
      </c>
      <c r="AD26" s="692">
        <f t="shared" si="7"/>
        <v>0</v>
      </c>
      <c r="AE26" s="38"/>
      <c r="AF26" s="692">
        <f t="shared" si="8"/>
        <v>6000</v>
      </c>
      <c r="AG26" s="692">
        <f t="shared" si="9"/>
        <v>0</v>
      </c>
      <c r="AH26" s="692">
        <f t="shared" si="10"/>
        <v>0</v>
      </c>
    </row>
    <row r="27" spans="1:34" s="232" customFormat="1">
      <c r="A27" s="283" t="s">
        <v>211</v>
      </c>
      <c r="B27" s="283" t="s">
        <v>109</v>
      </c>
      <c r="C27" s="667" t="s">
        <v>525</v>
      </c>
      <c r="D27" s="123" t="s">
        <v>419</v>
      </c>
      <c r="E27" s="679"/>
      <c r="F27" s="529">
        <f>VLOOKUP(D27,'Q4 DMV -  Revenue'!D:T,17,FALSE)</f>
        <v>38539.379999999997</v>
      </c>
      <c r="G27" s="680"/>
      <c r="H27" s="680"/>
      <c r="I27" s="681"/>
      <c r="J27" s="682">
        <f t="shared" si="0"/>
        <v>38539.379999999997</v>
      </c>
      <c r="K27" s="683"/>
      <c r="L27" s="684"/>
      <c r="M27" s="753">
        <v>35000</v>
      </c>
      <c r="N27" s="683">
        <v>0</v>
      </c>
      <c r="O27" s="686"/>
      <c r="P27" s="683">
        <v>0</v>
      </c>
      <c r="Q27" s="687">
        <f t="shared" si="1"/>
        <v>35000</v>
      </c>
      <c r="R27" s="688">
        <v>0</v>
      </c>
      <c r="S27" s="693"/>
      <c r="T27" s="690">
        <f t="shared" si="11"/>
        <v>-35000</v>
      </c>
      <c r="U27" s="683"/>
      <c r="V27" s="474">
        <f t="shared" si="2"/>
        <v>0</v>
      </c>
      <c r="W27" s="474">
        <f t="shared" si="3"/>
        <v>35000</v>
      </c>
      <c r="X27" s="475">
        <f t="shared" si="4"/>
        <v>0</v>
      </c>
      <c r="Y27" s="475">
        <v>0</v>
      </c>
      <c r="Z27" s="476">
        <v>0</v>
      </c>
      <c r="AA27" s="38">
        <f t="shared" si="12"/>
        <v>0</v>
      </c>
      <c r="AB27" s="692">
        <f t="shared" si="5"/>
        <v>0</v>
      </c>
      <c r="AC27" s="692">
        <f t="shared" si="6"/>
        <v>38539.379999999997</v>
      </c>
      <c r="AD27" s="692">
        <f t="shared" si="7"/>
        <v>0</v>
      </c>
      <c r="AE27" s="38"/>
      <c r="AF27" s="692">
        <f t="shared" si="8"/>
        <v>0</v>
      </c>
      <c r="AG27" s="692">
        <f t="shared" si="9"/>
        <v>35000</v>
      </c>
      <c r="AH27" s="692">
        <f t="shared" si="10"/>
        <v>0</v>
      </c>
    </row>
    <row r="28" spans="1:34" s="232" customFormat="1">
      <c r="A28" s="283"/>
      <c r="B28" s="283" t="s">
        <v>109</v>
      </c>
      <c r="C28" s="667" t="s">
        <v>525</v>
      </c>
      <c r="D28" s="413" t="s">
        <v>420</v>
      </c>
      <c r="E28" s="679"/>
      <c r="F28" s="529">
        <f>VLOOKUP(D28,'Q4 DMV -  Revenue'!D:T,17,FALSE)</f>
        <v>488.08</v>
      </c>
      <c r="G28" s="680"/>
      <c r="H28" s="680"/>
      <c r="I28" s="681"/>
      <c r="J28" s="682">
        <f t="shared" si="0"/>
        <v>488.08</v>
      </c>
      <c r="K28" s="683"/>
      <c r="L28" s="684"/>
      <c r="M28" s="753">
        <v>0</v>
      </c>
      <c r="N28" s="683">
        <v>0</v>
      </c>
      <c r="O28" s="686"/>
      <c r="P28" s="683">
        <v>0</v>
      </c>
      <c r="Q28" s="687">
        <f t="shared" si="1"/>
        <v>0</v>
      </c>
      <c r="R28" s="688"/>
      <c r="S28" s="693"/>
      <c r="T28" s="690" t="str">
        <f t="shared" si="11"/>
        <v/>
      </c>
      <c r="U28" s="683"/>
      <c r="V28" s="474">
        <f t="shared" si="2"/>
        <v>0</v>
      </c>
      <c r="W28" s="474">
        <f t="shared" si="3"/>
        <v>0</v>
      </c>
      <c r="X28" s="475">
        <f t="shared" si="4"/>
        <v>0</v>
      </c>
      <c r="Y28" s="475">
        <v>0</v>
      </c>
      <c r="Z28" s="476">
        <v>0</v>
      </c>
      <c r="AA28" s="38">
        <f t="shared" si="12"/>
        <v>0</v>
      </c>
      <c r="AB28" s="692">
        <f t="shared" si="5"/>
        <v>0</v>
      </c>
      <c r="AC28" s="692">
        <f t="shared" si="6"/>
        <v>488.08</v>
      </c>
      <c r="AD28" s="692">
        <f t="shared" si="7"/>
        <v>0</v>
      </c>
      <c r="AE28" s="38"/>
      <c r="AF28" s="692">
        <f t="shared" si="8"/>
        <v>0</v>
      </c>
      <c r="AG28" s="692">
        <f t="shared" si="9"/>
        <v>0</v>
      </c>
      <c r="AH28" s="692">
        <f t="shared" si="10"/>
        <v>0</v>
      </c>
    </row>
    <row r="29" spans="1:34" s="232" customFormat="1">
      <c r="A29" s="283"/>
      <c r="B29" s="283" t="s">
        <v>109</v>
      </c>
      <c r="C29" s="667" t="s">
        <v>525</v>
      </c>
      <c r="D29" s="413" t="s">
        <v>421</v>
      </c>
      <c r="E29" s="679"/>
      <c r="F29" s="529">
        <f>VLOOKUP(D29,'Q4 DMV -  Revenue'!D:T,17,FALSE)</f>
        <v>120.98</v>
      </c>
      <c r="G29" s="680"/>
      <c r="H29" s="680"/>
      <c r="I29" s="681"/>
      <c r="J29" s="682">
        <f t="shared" si="0"/>
        <v>120.98</v>
      </c>
      <c r="K29" s="683"/>
      <c r="L29" s="684"/>
      <c r="M29" s="753">
        <v>0</v>
      </c>
      <c r="N29" s="683">
        <v>0</v>
      </c>
      <c r="O29" s="686"/>
      <c r="P29" s="683">
        <v>0</v>
      </c>
      <c r="Q29" s="687">
        <f t="shared" si="1"/>
        <v>0</v>
      </c>
      <c r="R29" s="688"/>
      <c r="S29" s="693"/>
      <c r="T29" s="690" t="str">
        <f t="shared" si="11"/>
        <v/>
      </c>
      <c r="U29" s="683"/>
      <c r="V29" s="474">
        <f t="shared" si="2"/>
        <v>0</v>
      </c>
      <c r="W29" s="474">
        <f t="shared" si="3"/>
        <v>0</v>
      </c>
      <c r="X29" s="475">
        <f t="shared" si="4"/>
        <v>0</v>
      </c>
      <c r="Y29" s="475">
        <v>0</v>
      </c>
      <c r="Z29" s="476">
        <v>0</v>
      </c>
      <c r="AA29" s="38">
        <f t="shared" si="12"/>
        <v>0</v>
      </c>
      <c r="AB29" s="692">
        <f t="shared" si="5"/>
        <v>0</v>
      </c>
      <c r="AC29" s="692">
        <f t="shared" si="6"/>
        <v>120.98</v>
      </c>
      <c r="AD29" s="692">
        <f t="shared" si="7"/>
        <v>0</v>
      </c>
      <c r="AE29" s="38"/>
      <c r="AF29" s="692">
        <f t="shared" si="8"/>
        <v>0</v>
      </c>
      <c r="AG29" s="692">
        <f t="shared" si="9"/>
        <v>0</v>
      </c>
      <c r="AH29" s="692">
        <f t="shared" si="10"/>
        <v>0</v>
      </c>
    </row>
    <row r="30" spans="1:34">
      <c r="A30" s="20"/>
      <c r="B30" s="20" t="s">
        <v>110</v>
      </c>
      <c r="C30" s="667"/>
      <c r="D30" s="68" t="s">
        <v>191</v>
      </c>
      <c r="E30" s="679"/>
      <c r="F30" s="529" t="str">
        <f>VLOOKUP(D30,'Q4 DMV -  Revenue'!D:T,17,FALSE)</f>
        <v/>
      </c>
      <c r="G30" s="680"/>
      <c r="H30" s="680"/>
      <c r="I30" s="681"/>
      <c r="J30" s="682">
        <f t="shared" si="0"/>
        <v>0</v>
      </c>
      <c r="K30" s="683"/>
      <c r="L30" s="684"/>
      <c r="M30" s="753">
        <v>0</v>
      </c>
      <c r="N30" s="683">
        <v>0</v>
      </c>
      <c r="O30" s="686"/>
      <c r="P30" s="683">
        <v>0</v>
      </c>
      <c r="Q30" s="687">
        <f t="shared" si="1"/>
        <v>0</v>
      </c>
      <c r="R30" s="688"/>
      <c r="S30" s="693"/>
      <c r="T30" s="690" t="str">
        <f t="shared" si="11"/>
        <v/>
      </c>
      <c r="U30" s="683"/>
      <c r="V30" s="474">
        <f t="shared" si="2"/>
        <v>0</v>
      </c>
      <c r="W30" s="474">
        <f t="shared" si="3"/>
        <v>0</v>
      </c>
      <c r="X30" s="475">
        <f t="shared" si="4"/>
        <v>0</v>
      </c>
      <c r="Y30" s="475">
        <v>0</v>
      </c>
      <c r="Z30" s="476">
        <v>0</v>
      </c>
      <c r="AA30" s="38">
        <f t="shared" si="12"/>
        <v>0</v>
      </c>
      <c r="AB30" s="692">
        <f t="shared" si="5"/>
        <v>0</v>
      </c>
      <c r="AC30" s="692">
        <f t="shared" si="6"/>
        <v>0</v>
      </c>
      <c r="AD30" s="692">
        <f t="shared" si="7"/>
        <v>0</v>
      </c>
      <c r="AE30" s="38"/>
      <c r="AF30" s="692">
        <f t="shared" si="8"/>
        <v>0</v>
      </c>
      <c r="AG30" s="692">
        <f t="shared" si="9"/>
        <v>0</v>
      </c>
      <c r="AH30" s="692">
        <f t="shared" si="10"/>
        <v>0</v>
      </c>
    </row>
    <row r="31" spans="1:34">
      <c r="A31" s="20"/>
      <c r="B31" s="20" t="s">
        <v>109</v>
      </c>
      <c r="C31" s="667"/>
      <c r="D31" s="68" t="s">
        <v>1</v>
      </c>
      <c r="E31" s="679"/>
      <c r="F31" s="529" t="str">
        <f>VLOOKUP(D31,'Q4 DMV -  Revenue'!D:T,17,FALSE)</f>
        <v/>
      </c>
      <c r="G31" s="680"/>
      <c r="H31" s="680"/>
      <c r="I31" s="681"/>
      <c r="J31" s="682">
        <f t="shared" si="0"/>
        <v>0</v>
      </c>
      <c r="K31" s="683"/>
      <c r="L31" s="684"/>
      <c r="M31" s="753">
        <v>0</v>
      </c>
      <c r="N31" s="683">
        <v>0</v>
      </c>
      <c r="O31" s="686"/>
      <c r="P31" s="683">
        <v>0</v>
      </c>
      <c r="Q31" s="687">
        <f t="shared" si="1"/>
        <v>0</v>
      </c>
      <c r="R31" s="688"/>
      <c r="S31" s="693"/>
      <c r="T31" s="690" t="str">
        <f t="shared" si="11"/>
        <v/>
      </c>
      <c r="U31" s="683"/>
      <c r="V31" s="474">
        <f t="shared" si="2"/>
        <v>0</v>
      </c>
      <c r="W31" s="474">
        <f t="shared" si="3"/>
        <v>0</v>
      </c>
      <c r="X31" s="475">
        <f t="shared" si="4"/>
        <v>0</v>
      </c>
      <c r="Y31" s="475">
        <v>0</v>
      </c>
      <c r="Z31" s="476">
        <v>0</v>
      </c>
      <c r="AA31" s="38">
        <f t="shared" si="12"/>
        <v>0</v>
      </c>
      <c r="AB31" s="692">
        <f t="shared" si="5"/>
        <v>0</v>
      </c>
      <c r="AC31" s="692">
        <f t="shared" si="6"/>
        <v>0</v>
      </c>
      <c r="AD31" s="692">
        <f t="shared" si="7"/>
        <v>0</v>
      </c>
      <c r="AE31" s="38"/>
      <c r="AF31" s="692">
        <f t="shared" si="8"/>
        <v>0</v>
      </c>
      <c r="AG31" s="692">
        <f t="shared" si="9"/>
        <v>0</v>
      </c>
      <c r="AH31" s="692">
        <f t="shared" si="10"/>
        <v>0</v>
      </c>
    </row>
    <row r="32" spans="1:34">
      <c r="A32" s="20"/>
      <c r="B32" s="20" t="s">
        <v>110</v>
      </c>
      <c r="C32" s="667"/>
      <c r="D32" s="68" t="s">
        <v>589</v>
      </c>
      <c r="E32" s="679"/>
      <c r="F32" s="529" t="str">
        <f>VLOOKUP(D32,'Q4 DMV -  Revenue'!D:T,17,FALSE)</f>
        <v/>
      </c>
      <c r="G32" s="680"/>
      <c r="H32" s="680"/>
      <c r="I32" s="681"/>
      <c r="J32" s="682">
        <f t="shared" si="0"/>
        <v>0</v>
      </c>
      <c r="K32" s="683"/>
      <c r="L32" s="684"/>
      <c r="M32" s="753">
        <v>0</v>
      </c>
      <c r="N32" s="683">
        <v>0</v>
      </c>
      <c r="O32" s="686"/>
      <c r="P32" s="683">
        <v>0</v>
      </c>
      <c r="Q32" s="687">
        <f t="shared" si="1"/>
        <v>0</v>
      </c>
      <c r="R32" s="688">
        <v>16912.98</v>
      </c>
      <c r="S32" s="693"/>
      <c r="T32" s="690">
        <f t="shared" si="11"/>
        <v>16912.98</v>
      </c>
      <c r="U32" s="683"/>
      <c r="V32" s="474">
        <f t="shared" si="2"/>
        <v>0</v>
      </c>
      <c r="W32" s="474">
        <f t="shared" si="3"/>
        <v>0</v>
      </c>
      <c r="X32" s="475">
        <f t="shared" si="4"/>
        <v>0</v>
      </c>
      <c r="Y32" s="475">
        <v>0</v>
      </c>
      <c r="Z32" s="476">
        <v>0</v>
      </c>
      <c r="AA32" s="38">
        <f t="shared" si="12"/>
        <v>0</v>
      </c>
      <c r="AB32" s="692">
        <f t="shared" si="5"/>
        <v>0</v>
      </c>
      <c r="AC32" s="692">
        <f t="shared" si="6"/>
        <v>0</v>
      </c>
      <c r="AD32" s="692">
        <f t="shared" si="7"/>
        <v>0</v>
      </c>
      <c r="AE32" s="38"/>
      <c r="AF32" s="692">
        <f t="shared" si="8"/>
        <v>0</v>
      </c>
      <c r="AG32" s="692">
        <f t="shared" si="9"/>
        <v>0</v>
      </c>
      <c r="AH32" s="692">
        <f t="shared" si="10"/>
        <v>0</v>
      </c>
    </row>
    <row r="33" spans="1:34">
      <c r="A33" s="20"/>
      <c r="B33" s="20" t="s">
        <v>109</v>
      </c>
      <c r="C33" s="667" t="s">
        <v>526</v>
      </c>
      <c r="D33" s="68" t="s">
        <v>385</v>
      </c>
      <c r="E33" s="679"/>
      <c r="F33" s="529" t="str">
        <f>VLOOKUP(D33,'Q4 DMV -  Revenue'!D:T,17,FALSE)</f>
        <v/>
      </c>
      <c r="G33" s="694">
        <v>1720.33</v>
      </c>
      <c r="H33" s="694">
        <v>1574.74</v>
      </c>
      <c r="I33" s="741">
        <v>1562.37</v>
      </c>
      <c r="J33" s="682">
        <f t="shared" si="0"/>
        <v>4857.4399999999996</v>
      </c>
      <c r="K33" s="683"/>
      <c r="L33" s="684"/>
      <c r="M33" s="753">
        <v>0</v>
      </c>
      <c r="N33" s="683">
        <v>0</v>
      </c>
      <c r="O33" s="686"/>
      <c r="P33" s="683">
        <v>0</v>
      </c>
      <c r="Q33" s="687">
        <f t="shared" si="1"/>
        <v>0</v>
      </c>
      <c r="R33" s="688"/>
      <c r="S33" s="693"/>
      <c r="T33" s="690" t="str">
        <f t="shared" si="11"/>
        <v/>
      </c>
      <c r="U33" s="691"/>
      <c r="V33" s="474">
        <f t="shared" si="2"/>
        <v>0</v>
      </c>
      <c r="W33" s="474">
        <f t="shared" si="3"/>
        <v>0</v>
      </c>
      <c r="X33" s="475">
        <f t="shared" si="4"/>
        <v>0</v>
      </c>
      <c r="Y33" s="475">
        <v>0</v>
      </c>
      <c r="Z33" s="476">
        <v>0</v>
      </c>
      <c r="AA33" s="38">
        <f t="shared" si="12"/>
        <v>0</v>
      </c>
      <c r="AB33" s="692">
        <f t="shared" si="5"/>
        <v>0</v>
      </c>
      <c r="AC33" s="692">
        <f t="shared" si="6"/>
        <v>4857.4399999999996</v>
      </c>
      <c r="AD33" s="692">
        <f t="shared" si="7"/>
        <v>0</v>
      </c>
      <c r="AE33" s="38"/>
      <c r="AF33" s="692">
        <f t="shared" si="8"/>
        <v>0</v>
      </c>
      <c r="AG33" s="692">
        <f t="shared" si="9"/>
        <v>0</v>
      </c>
      <c r="AH33" s="692">
        <f t="shared" si="10"/>
        <v>0</v>
      </c>
    </row>
    <row r="34" spans="1:34" s="232" customFormat="1">
      <c r="A34" s="283"/>
      <c r="B34" s="283" t="s">
        <v>110</v>
      </c>
      <c r="C34" s="667" t="s">
        <v>527</v>
      </c>
      <c r="D34" s="123" t="s">
        <v>401</v>
      </c>
      <c r="E34" s="679"/>
      <c r="F34" s="529" t="str">
        <f>VLOOKUP(D34,'Q4 DMV -  Revenue'!D:T,17,FALSE)</f>
        <v/>
      </c>
      <c r="G34" s="737">
        <v>399087.38</v>
      </c>
      <c r="H34" s="694">
        <v>367314.98</v>
      </c>
      <c r="I34" s="681"/>
      <c r="J34" s="682">
        <f t="shared" si="0"/>
        <v>766402.36</v>
      </c>
      <c r="K34" s="683"/>
      <c r="L34" s="684"/>
      <c r="M34" s="753">
        <v>350000</v>
      </c>
      <c r="N34" s="683">
        <v>0</v>
      </c>
      <c r="O34" s="686"/>
      <c r="P34" s="683">
        <v>0</v>
      </c>
      <c r="Q34" s="687">
        <f t="shared" si="1"/>
        <v>350000</v>
      </c>
      <c r="R34" s="688">
        <v>393149.12</v>
      </c>
      <c r="S34" s="693"/>
      <c r="T34" s="690">
        <f t="shared" si="11"/>
        <v>43149.119999999995</v>
      </c>
      <c r="U34" s="683"/>
      <c r="V34" s="474">
        <f t="shared" si="2"/>
        <v>350000</v>
      </c>
      <c r="W34" s="474">
        <f t="shared" si="3"/>
        <v>0</v>
      </c>
      <c r="X34" s="475">
        <f t="shared" si="4"/>
        <v>0</v>
      </c>
      <c r="Y34" s="475">
        <v>0</v>
      </c>
      <c r="Z34" s="476">
        <v>0</v>
      </c>
      <c r="AA34" s="38">
        <f t="shared" si="12"/>
        <v>0</v>
      </c>
      <c r="AB34" s="692">
        <f t="shared" si="5"/>
        <v>766402.36</v>
      </c>
      <c r="AC34" s="692">
        <f t="shared" si="6"/>
        <v>0</v>
      </c>
      <c r="AD34" s="692">
        <f t="shared" si="7"/>
        <v>0</v>
      </c>
      <c r="AE34" s="38"/>
      <c r="AF34" s="692">
        <f t="shared" si="8"/>
        <v>350000</v>
      </c>
      <c r="AG34" s="692">
        <f t="shared" si="9"/>
        <v>0</v>
      </c>
      <c r="AH34" s="692">
        <f t="shared" si="10"/>
        <v>0</v>
      </c>
    </row>
    <row r="35" spans="1:34" s="232" customFormat="1">
      <c r="A35" s="283"/>
      <c r="B35" s="283" t="s">
        <v>110</v>
      </c>
      <c r="C35" s="667" t="s">
        <v>527</v>
      </c>
      <c r="D35" s="123" t="s">
        <v>402</v>
      </c>
      <c r="E35" s="679"/>
      <c r="F35" s="529" t="str">
        <f>VLOOKUP(D35,'Q4 DMV -  Revenue'!D:T,17,FALSE)</f>
        <v/>
      </c>
      <c r="G35" s="695">
        <v>0</v>
      </c>
      <c r="H35" s="695">
        <v>0</v>
      </c>
      <c r="I35" s="696"/>
      <c r="J35" s="682">
        <f t="shared" si="0"/>
        <v>0</v>
      </c>
      <c r="K35" s="683"/>
      <c r="L35" s="684"/>
      <c r="M35" s="753">
        <v>0</v>
      </c>
      <c r="N35" s="683">
        <v>0</v>
      </c>
      <c r="O35" s="686"/>
      <c r="P35" s="683">
        <v>0</v>
      </c>
      <c r="Q35" s="687">
        <f t="shared" si="1"/>
        <v>0</v>
      </c>
      <c r="R35" s="688"/>
      <c r="S35" s="693"/>
      <c r="T35" s="690" t="str">
        <f t="shared" si="11"/>
        <v/>
      </c>
      <c r="U35" s="683"/>
      <c r="V35" s="474">
        <f t="shared" si="2"/>
        <v>0</v>
      </c>
      <c r="W35" s="474">
        <f t="shared" si="3"/>
        <v>0</v>
      </c>
      <c r="X35" s="475">
        <f t="shared" si="4"/>
        <v>0</v>
      </c>
      <c r="Y35" s="475">
        <v>0</v>
      </c>
      <c r="Z35" s="476">
        <v>0</v>
      </c>
      <c r="AA35" s="38">
        <f t="shared" si="12"/>
        <v>0</v>
      </c>
      <c r="AB35" s="692">
        <f t="shared" si="5"/>
        <v>0</v>
      </c>
      <c r="AC35" s="692">
        <f t="shared" si="6"/>
        <v>0</v>
      </c>
      <c r="AD35" s="692">
        <f t="shared" si="7"/>
        <v>0</v>
      </c>
      <c r="AE35" s="38"/>
      <c r="AF35" s="692">
        <f t="shared" si="8"/>
        <v>0</v>
      </c>
      <c r="AG35" s="692">
        <f t="shared" si="9"/>
        <v>0</v>
      </c>
      <c r="AH35" s="692">
        <f t="shared" si="10"/>
        <v>0</v>
      </c>
    </row>
    <row r="36" spans="1:34" s="232" customFormat="1">
      <c r="A36" s="283"/>
      <c r="B36" s="283" t="s">
        <v>110</v>
      </c>
      <c r="C36" s="667" t="s">
        <v>528</v>
      </c>
      <c r="D36" s="123" t="s">
        <v>403</v>
      </c>
      <c r="E36" s="679"/>
      <c r="F36" s="529" t="str">
        <f>VLOOKUP(D36,'Q4 DMV -  Revenue'!D:T,17,FALSE)</f>
        <v/>
      </c>
      <c r="G36" s="737">
        <v>55697.89</v>
      </c>
      <c r="H36" s="694">
        <v>54888.2</v>
      </c>
      <c r="I36" s="681"/>
      <c r="J36" s="682">
        <f t="shared" si="0"/>
        <v>110586.09</v>
      </c>
      <c r="K36" s="683"/>
      <c r="L36" s="684"/>
      <c r="M36" s="753">
        <v>55000</v>
      </c>
      <c r="N36" s="683">
        <v>0</v>
      </c>
      <c r="O36" s="686"/>
      <c r="P36" s="683">
        <v>0</v>
      </c>
      <c r="Q36" s="687">
        <f t="shared" si="1"/>
        <v>55000</v>
      </c>
      <c r="R36" s="688">
        <v>54927.11</v>
      </c>
      <c r="S36" s="693"/>
      <c r="T36" s="690">
        <f t="shared" si="11"/>
        <v>-72.889999999999418</v>
      </c>
      <c r="U36" s="683"/>
      <c r="V36" s="474">
        <f t="shared" si="2"/>
        <v>55000</v>
      </c>
      <c r="W36" s="474">
        <f t="shared" si="3"/>
        <v>0</v>
      </c>
      <c r="X36" s="475">
        <f t="shared" si="4"/>
        <v>0</v>
      </c>
      <c r="Y36" s="475">
        <v>0</v>
      </c>
      <c r="Z36" s="476">
        <v>0</v>
      </c>
      <c r="AA36" s="38">
        <f t="shared" si="12"/>
        <v>0</v>
      </c>
      <c r="AB36" s="692">
        <f t="shared" si="5"/>
        <v>110586.09</v>
      </c>
      <c r="AC36" s="692">
        <f t="shared" si="6"/>
        <v>0</v>
      </c>
      <c r="AD36" s="692">
        <f t="shared" si="7"/>
        <v>0</v>
      </c>
      <c r="AE36" s="38"/>
      <c r="AF36" s="692">
        <f t="shared" si="8"/>
        <v>55000</v>
      </c>
      <c r="AG36" s="692">
        <f t="shared" si="9"/>
        <v>0</v>
      </c>
      <c r="AH36" s="692">
        <f t="shared" si="10"/>
        <v>0</v>
      </c>
    </row>
    <row r="37" spans="1:34" s="232" customFormat="1">
      <c r="A37" s="283"/>
      <c r="B37" s="283" t="s">
        <v>110</v>
      </c>
      <c r="C37" s="667" t="s">
        <v>528</v>
      </c>
      <c r="D37" s="123" t="s">
        <v>404</v>
      </c>
      <c r="E37" s="679"/>
      <c r="F37" s="529" t="str">
        <f>VLOOKUP(D37,'Q4 DMV -  Revenue'!D:T,17,FALSE)</f>
        <v/>
      </c>
      <c r="G37" s="737">
        <v>69556.67</v>
      </c>
      <c r="H37" s="694">
        <v>67478.3</v>
      </c>
      <c r="I37" s="681"/>
      <c r="J37" s="682">
        <f t="shared" si="0"/>
        <v>137034.97</v>
      </c>
      <c r="K37" s="683"/>
      <c r="L37" s="684"/>
      <c r="M37" s="753">
        <v>65000</v>
      </c>
      <c r="N37" s="683">
        <v>0</v>
      </c>
      <c r="O37" s="686"/>
      <c r="P37" s="683">
        <v>0</v>
      </c>
      <c r="Q37" s="687">
        <f t="shared" si="1"/>
        <v>65000</v>
      </c>
      <c r="R37" s="688">
        <v>67752.09</v>
      </c>
      <c r="S37" s="693"/>
      <c r="T37" s="690">
        <f t="shared" si="11"/>
        <v>2752.0899999999965</v>
      </c>
      <c r="U37" s="683"/>
      <c r="V37" s="474">
        <f t="shared" si="2"/>
        <v>65000</v>
      </c>
      <c r="W37" s="474">
        <f t="shared" si="3"/>
        <v>0</v>
      </c>
      <c r="X37" s="475">
        <f t="shared" si="4"/>
        <v>0</v>
      </c>
      <c r="Y37" s="475">
        <v>0</v>
      </c>
      <c r="Z37" s="476">
        <v>0</v>
      </c>
      <c r="AA37" s="38">
        <f t="shared" si="12"/>
        <v>0</v>
      </c>
      <c r="AB37" s="692">
        <f t="shared" si="5"/>
        <v>137034.97</v>
      </c>
      <c r="AC37" s="692">
        <f t="shared" si="6"/>
        <v>0</v>
      </c>
      <c r="AD37" s="692">
        <f t="shared" si="7"/>
        <v>0</v>
      </c>
      <c r="AE37" s="38"/>
      <c r="AF37" s="692">
        <f t="shared" si="8"/>
        <v>65000</v>
      </c>
      <c r="AG37" s="692">
        <f t="shared" si="9"/>
        <v>0</v>
      </c>
      <c r="AH37" s="692">
        <f t="shared" si="10"/>
        <v>0</v>
      </c>
    </row>
    <row r="38" spans="1:34" s="232" customFormat="1">
      <c r="A38" s="283"/>
      <c r="B38" s="283" t="s">
        <v>110</v>
      </c>
      <c r="C38" s="667" t="s">
        <v>528</v>
      </c>
      <c r="D38" s="123" t="s">
        <v>405</v>
      </c>
      <c r="E38" s="679"/>
      <c r="F38" s="529" t="str">
        <f>VLOOKUP(D38,'Q4 DMV -  Revenue'!D:T,17,FALSE)</f>
        <v/>
      </c>
      <c r="G38" s="737">
        <v>15094.43</v>
      </c>
      <c r="H38" s="694">
        <v>13582.74</v>
      </c>
      <c r="I38" s="681"/>
      <c r="J38" s="682">
        <f t="shared" si="0"/>
        <v>28677.17</v>
      </c>
      <c r="K38" s="683"/>
      <c r="L38" s="684"/>
      <c r="M38" s="753">
        <v>14000</v>
      </c>
      <c r="N38" s="683">
        <v>0</v>
      </c>
      <c r="O38" s="686"/>
      <c r="P38" s="683">
        <v>0</v>
      </c>
      <c r="Q38" s="687">
        <f t="shared" si="1"/>
        <v>14000</v>
      </c>
      <c r="R38" s="688">
        <v>14353.68</v>
      </c>
      <c r="S38" s="693"/>
      <c r="T38" s="690">
        <f t="shared" si="11"/>
        <v>353.68000000000029</v>
      </c>
      <c r="U38" s="683"/>
      <c r="V38" s="474">
        <f t="shared" si="2"/>
        <v>14000</v>
      </c>
      <c r="W38" s="474">
        <f t="shared" si="3"/>
        <v>0</v>
      </c>
      <c r="X38" s="475">
        <f t="shared" si="4"/>
        <v>0</v>
      </c>
      <c r="Y38" s="475">
        <v>0</v>
      </c>
      <c r="Z38" s="476">
        <v>0</v>
      </c>
      <c r="AA38" s="38">
        <f t="shared" si="12"/>
        <v>0</v>
      </c>
      <c r="AB38" s="692">
        <f t="shared" si="5"/>
        <v>28677.17</v>
      </c>
      <c r="AC38" s="692">
        <f t="shared" si="6"/>
        <v>0</v>
      </c>
      <c r="AD38" s="692">
        <f t="shared" si="7"/>
        <v>0</v>
      </c>
      <c r="AE38" s="38"/>
      <c r="AF38" s="692">
        <f t="shared" si="8"/>
        <v>14000</v>
      </c>
      <c r="AG38" s="692">
        <f t="shared" si="9"/>
        <v>0</v>
      </c>
      <c r="AH38" s="692">
        <f t="shared" si="10"/>
        <v>0</v>
      </c>
    </row>
    <row r="39" spans="1:34" s="232" customFormat="1">
      <c r="A39" s="283"/>
      <c r="B39" s="283" t="s">
        <v>110</v>
      </c>
      <c r="C39" s="667" t="s">
        <v>528</v>
      </c>
      <c r="D39" s="123" t="s">
        <v>406</v>
      </c>
      <c r="E39" s="679"/>
      <c r="F39" s="529" t="str">
        <f>VLOOKUP(D39,'Q4 DMV -  Revenue'!D:T,17,FALSE)</f>
        <v/>
      </c>
      <c r="G39" s="737">
        <v>5470.26</v>
      </c>
      <c r="H39" s="694">
        <v>5392.15</v>
      </c>
      <c r="I39" s="681"/>
      <c r="J39" s="682">
        <f t="shared" si="0"/>
        <v>10862.41</v>
      </c>
      <c r="K39" s="683"/>
      <c r="L39" s="684"/>
      <c r="M39" s="753">
        <v>5000</v>
      </c>
      <c r="N39" s="683">
        <v>0</v>
      </c>
      <c r="O39" s="686"/>
      <c r="P39" s="683">
        <v>0</v>
      </c>
      <c r="Q39" s="687">
        <f t="shared" si="1"/>
        <v>5000</v>
      </c>
      <c r="R39" s="688">
        <v>5008.71</v>
      </c>
      <c r="S39" s="693"/>
      <c r="T39" s="690">
        <f t="shared" si="11"/>
        <v>8.7100000000000364</v>
      </c>
      <c r="U39" s="683"/>
      <c r="V39" s="474">
        <f t="shared" si="2"/>
        <v>5000</v>
      </c>
      <c r="W39" s="474">
        <f t="shared" si="3"/>
        <v>0</v>
      </c>
      <c r="X39" s="475">
        <f t="shared" si="4"/>
        <v>0</v>
      </c>
      <c r="Y39" s="475">
        <v>0</v>
      </c>
      <c r="Z39" s="476">
        <v>0</v>
      </c>
      <c r="AA39" s="38">
        <f t="shared" si="12"/>
        <v>0</v>
      </c>
      <c r="AB39" s="692">
        <f t="shared" si="5"/>
        <v>10862.41</v>
      </c>
      <c r="AC39" s="692">
        <f t="shared" si="6"/>
        <v>0</v>
      </c>
      <c r="AD39" s="692">
        <f t="shared" si="7"/>
        <v>0</v>
      </c>
      <c r="AE39" s="38"/>
      <c r="AF39" s="692">
        <f t="shared" si="8"/>
        <v>5000</v>
      </c>
      <c r="AG39" s="692">
        <f t="shared" si="9"/>
        <v>0</v>
      </c>
      <c r="AH39" s="692">
        <f t="shared" si="10"/>
        <v>0</v>
      </c>
    </row>
    <row r="40" spans="1:34" s="232" customFormat="1">
      <c r="A40" s="283"/>
      <c r="B40" s="283" t="s">
        <v>110</v>
      </c>
      <c r="C40" s="667" t="s">
        <v>528</v>
      </c>
      <c r="D40" s="123" t="s">
        <v>407</v>
      </c>
      <c r="E40" s="679"/>
      <c r="F40" s="529" t="str">
        <f>VLOOKUP(D40,'Q4 DMV -  Revenue'!D:T,17,FALSE)</f>
        <v/>
      </c>
      <c r="G40" s="737">
        <v>2524.91</v>
      </c>
      <c r="H40" s="694">
        <v>2401.7399999999998</v>
      </c>
      <c r="I40" s="681"/>
      <c r="J40" s="682">
        <f t="shared" si="0"/>
        <v>4926.6499999999996</v>
      </c>
      <c r="K40" s="683"/>
      <c r="L40" s="684"/>
      <c r="M40" s="753">
        <v>2000</v>
      </c>
      <c r="N40" s="683">
        <v>0</v>
      </c>
      <c r="O40" s="686"/>
      <c r="P40" s="683">
        <v>0</v>
      </c>
      <c r="Q40" s="687">
        <f t="shared" si="1"/>
        <v>2000</v>
      </c>
      <c r="R40" s="688">
        <v>2068.56</v>
      </c>
      <c r="S40" s="693"/>
      <c r="T40" s="690">
        <f t="shared" si="11"/>
        <v>68.559999999999945</v>
      </c>
      <c r="U40" s="683"/>
      <c r="V40" s="474">
        <f t="shared" si="2"/>
        <v>2000</v>
      </c>
      <c r="W40" s="474">
        <f t="shared" si="3"/>
        <v>0</v>
      </c>
      <c r="X40" s="475">
        <f t="shared" si="4"/>
        <v>0</v>
      </c>
      <c r="Y40" s="475">
        <v>0</v>
      </c>
      <c r="Z40" s="476">
        <v>0</v>
      </c>
      <c r="AA40" s="38">
        <f t="shared" si="12"/>
        <v>0</v>
      </c>
      <c r="AB40" s="692">
        <f t="shared" si="5"/>
        <v>4926.6499999999996</v>
      </c>
      <c r="AC40" s="692">
        <f t="shared" si="6"/>
        <v>0</v>
      </c>
      <c r="AD40" s="692">
        <f t="shared" si="7"/>
        <v>0</v>
      </c>
      <c r="AE40" s="38"/>
      <c r="AF40" s="692">
        <f t="shared" si="8"/>
        <v>2000</v>
      </c>
      <c r="AG40" s="692">
        <f t="shared" si="9"/>
        <v>0</v>
      </c>
      <c r="AH40" s="692">
        <f t="shared" si="10"/>
        <v>0</v>
      </c>
    </row>
    <row r="41" spans="1:34" s="232" customFormat="1">
      <c r="A41" s="283"/>
      <c r="B41" s="283" t="s">
        <v>110</v>
      </c>
      <c r="C41" s="667" t="s">
        <v>528</v>
      </c>
      <c r="D41" s="123" t="s">
        <v>820</v>
      </c>
      <c r="E41" s="679"/>
      <c r="F41" s="529">
        <f>VLOOKUP(D41,'Q4 DMV -  Revenue'!D:T,17,FALSE)</f>
        <v>2083.4300000000003</v>
      </c>
      <c r="G41" s="694">
        <v>13000.6</v>
      </c>
      <c r="H41" s="694">
        <v>11459.6</v>
      </c>
      <c r="I41" s="681"/>
      <c r="J41" s="682">
        <f t="shared" si="0"/>
        <v>26543.63</v>
      </c>
      <c r="K41" s="683"/>
      <c r="L41" s="684"/>
      <c r="M41" s="753">
        <v>12000</v>
      </c>
      <c r="N41" s="683">
        <v>0</v>
      </c>
      <c r="O41" s="686"/>
      <c r="P41" s="683">
        <v>0</v>
      </c>
      <c r="Q41" s="687">
        <f t="shared" si="1"/>
        <v>12000</v>
      </c>
      <c r="R41" s="688">
        <v>11519.71</v>
      </c>
      <c r="S41" s="693"/>
      <c r="T41" s="690">
        <f t="shared" si="11"/>
        <v>-480.29000000000087</v>
      </c>
      <c r="U41" s="683"/>
      <c r="V41" s="474">
        <f t="shared" si="2"/>
        <v>12000</v>
      </c>
      <c r="W41" s="474">
        <f t="shared" si="3"/>
        <v>0</v>
      </c>
      <c r="X41" s="475">
        <f t="shared" si="4"/>
        <v>0</v>
      </c>
      <c r="Y41" s="475">
        <v>0</v>
      </c>
      <c r="Z41" s="476">
        <v>0</v>
      </c>
      <c r="AA41" s="38">
        <f t="shared" si="12"/>
        <v>0</v>
      </c>
      <c r="AB41" s="692">
        <f t="shared" si="5"/>
        <v>26543.63</v>
      </c>
      <c r="AC41" s="692">
        <f t="shared" si="6"/>
        <v>0</v>
      </c>
      <c r="AD41" s="692">
        <f t="shared" si="7"/>
        <v>0</v>
      </c>
      <c r="AE41" s="38"/>
      <c r="AF41" s="692">
        <f t="shared" si="8"/>
        <v>12000</v>
      </c>
      <c r="AG41" s="692">
        <f t="shared" si="9"/>
        <v>0</v>
      </c>
      <c r="AH41" s="692">
        <f t="shared" si="10"/>
        <v>0</v>
      </c>
    </row>
    <row r="42" spans="1:34" s="232" customFormat="1">
      <c r="A42" s="283"/>
      <c r="B42" s="283" t="s">
        <v>110</v>
      </c>
      <c r="C42" s="667" t="s">
        <v>527</v>
      </c>
      <c r="D42" s="123" t="s">
        <v>460</v>
      </c>
      <c r="E42" s="679"/>
      <c r="F42" s="529" t="str">
        <f>VLOOKUP(D42,'Q4 DMV -  Revenue'!D:T,17,FALSE)</f>
        <v/>
      </c>
      <c r="G42" s="694">
        <v>37608.57</v>
      </c>
      <c r="H42" s="694">
        <v>35237.21</v>
      </c>
      <c r="I42" s="681"/>
      <c r="J42" s="682">
        <f t="shared" si="0"/>
        <v>72845.78</v>
      </c>
      <c r="K42" s="683"/>
      <c r="L42" s="684"/>
      <c r="M42" s="753">
        <v>35000</v>
      </c>
      <c r="N42" s="683">
        <v>0</v>
      </c>
      <c r="O42" s="686"/>
      <c r="P42" s="683">
        <v>0</v>
      </c>
      <c r="Q42" s="687">
        <f t="shared" si="1"/>
        <v>35000</v>
      </c>
      <c r="R42" s="688">
        <v>36555.79</v>
      </c>
      <c r="S42" s="693"/>
      <c r="T42" s="690">
        <f t="shared" si="11"/>
        <v>1555.7900000000009</v>
      </c>
      <c r="U42" s="683"/>
      <c r="V42" s="474">
        <f t="shared" si="2"/>
        <v>35000</v>
      </c>
      <c r="W42" s="474">
        <f t="shared" si="3"/>
        <v>0</v>
      </c>
      <c r="X42" s="475">
        <f t="shared" si="4"/>
        <v>0</v>
      </c>
      <c r="Y42" s="475">
        <v>0</v>
      </c>
      <c r="Z42" s="476">
        <v>0</v>
      </c>
      <c r="AA42" s="38">
        <f t="shared" si="12"/>
        <v>0</v>
      </c>
      <c r="AB42" s="692">
        <f t="shared" si="5"/>
        <v>72845.78</v>
      </c>
      <c r="AC42" s="692">
        <f t="shared" si="6"/>
        <v>0</v>
      </c>
      <c r="AD42" s="692">
        <f t="shared" si="7"/>
        <v>0</v>
      </c>
      <c r="AE42" s="38"/>
      <c r="AF42" s="692">
        <f t="shared" si="8"/>
        <v>35000</v>
      </c>
      <c r="AG42" s="692">
        <f t="shared" si="9"/>
        <v>0</v>
      </c>
      <c r="AH42" s="692">
        <f t="shared" si="10"/>
        <v>0</v>
      </c>
    </row>
    <row r="43" spans="1:34" s="232" customFormat="1">
      <c r="A43" s="283"/>
      <c r="B43" s="283" t="s">
        <v>110</v>
      </c>
      <c r="C43" s="676" t="s">
        <v>528</v>
      </c>
      <c r="D43" s="123" t="s">
        <v>623</v>
      </c>
      <c r="E43" s="679">
        <f>658.5+406.93+376.76</f>
        <v>1442.19</v>
      </c>
      <c r="F43" s="529">
        <f>VLOOKUP(D43,'Q4 DMV -  Revenue'!D:T,17,FALSE)</f>
        <v>20831.14</v>
      </c>
      <c r="G43" s="694">
        <v>14311.27</v>
      </c>
      <c r="H43" s="694">
        <v>15151.74</v>
      </c>
      <c r="I43" s="741">
        <v>14622.62</v>
      </c>
      <c r="J43" s="682">
        <f t="shared" ref="J43" si="15">SUM(E43:I43)</f>
        <v>66358.959999999992</v>
      </c>
      <c r="K43" s="683"/>
      <c r="L43" s="684"/>
      <c r="M43" s="753">
        <v>0</v>
      </c>
      <c r="N43" s="683">
        <v>0</v>
      </c>
      <c r="O43" s="686"/>
      <c r="P43" s="683">
        <v>0</v>
      </c>
      <c r="Q43" s="687">
        <f t="shared" ref="Q43" si="16">L43+M43</f>
        <v>0</v>
      </c>
      <c r="R43" s="688"/>
      <c r="S43" s="693"/>
      <c r="T43" s="690" t="str">
        <f t="shared" ref="T43" si="17">IF(R43="","",R43-Q43)</f>
        <v/>
      </c>
      <c r="U43" s="683"/>
      <c r="V43" s="474">
        <f t="shared" ref="V43" si="18">IF(B43="D",Q43,0)</f>
        <v>0</v>
      </c>
      <c r="W43" s="474">
        <f t="shared" ref="W43" si="19">IF(B43="M",Q43,0)</f>
        <v>0</v>
      </c>
      <c r="X43" s="475">
        <f t="shared" ref="X43" si="20">IF(B43="V",Q43,0)</f>
        <v>0</v>
      </c>
      <c r="Y43" s="475">
        <v>0</v>
      </c>
      <c r="Z43" s="476">
        <v>0</v>
      </c>
      <c r="AA43" s="38">
        <f t="shared" ref="AA43" si="21">(L43+M43)-(V43+W43+X43+Y43+Z43)</f>
        <v>0</v>
      </c>
      <c r="AB43" s="692">
        <f t="shared" ref="AB43" si="22">IF(B43="D",J43,0)</f>
        <v>66358.959999999992</v>
      </c>
      <c r="AC43" s="692">
        <f t="shared" ref="AC43" si="23">IF(B43="M",J43,0)</f>
        <v>0</v>
      </c>
      <c r="AD43" s="692">
        <f t="shared" ref="AD43" si="24">IF(B43="V",J43,0)</f>
        <v>0</v>
      </c>
      <c r="AE43" s="38"/>
      <c r="AF43" s="692">
        <f t="shared" ref="AF43" si="25">IF(B43="D",Q43,0)</f>
        <v>0</v>
      </c>
      <c r="AG43" s="692">
        <f t="shared" ref="AG43" si="26">IF(B43="M",Q43,0)</f>
        <v>0</v>
      </c>
      <c r="AH43" s="692">
        <f t="shared" ref="AH43" si="27">IF(B43="V",Q43,0)</f>
        <v>0</v>
      </c>
    </row>
    <row r="44" spans="1:34" s="232" customFormat="1">
      <c r="A44" s="403"/>
      <c r="B44" s="403" t="s">
        <v>114</v>
      </c>
      <c r="C44" s="666" t="s">
        <v>529</v>
      </c>
      <c r="D44" s="123" t="s">
        <v>108</v>
      </c>
      <c r="E44" s="679"/>
      <c r="F44" s="529">
        <f>VLOOKUP(D44,'Q4 DMV -  Revenue'!D:T,17,FALSE)</f>
        <v>165.47000000000003</v>
      </c>
      <c r="G44" s="737">
        <v>810.11</v>
      </c>
      <c r="H44" s="694">
        <v>839.1</v>
      </c>
      <c r="I44" s="681"/>
      <c r="J44" s="682">
        <f t="shared" si="0"/>
        <v>1814.68</v>
      </c>
      <c r="K44" s="683"/>
      <c r="L44" s="684"/>
      <c r="M44" s="753">
        <v>0</v>
      </c>
      <c r="N44" s="683">
        <v>0</v>
      </c>
      <c r="O44" s="686"/>
      <c r="P44" s="683">
        <v>0</v>
      </c>
      <c r="Q44" s="687">
        <f t="shared" si="1"/>
        <v>0</v>
      </c>
      <c r="R44" s="688">
        <v>583.74</v>
      </c>
      <c r="S44" s="693"/>
      <c r="T44" s="690">
        <f t="shared" si="11"/>
        <v>583.74</v>
      </c>
      <c r="U44" s="683"/>
      <c r="V44" s="474">
        <f t="shared" si="2"/>
        <v>0</v>
      </c>
      <c r="W44" s="474">
        <f t="shared" si="3"/>
        <v>0</v>
      </c>
      <c r="X44" s="475">
        <f t="shared" si="4"/>
        <v>0</v>
      </c>
      <c r="Y44" s="475">
        <v>0</v>
      </c>
      <c r="Z44" s="476">
        <v>0</v>
      </c>
      <c r="AA44" s="38">
        <f t="shared" si="12"/>
        <v>0</v>
      </c>
      <c r="AB44" s="692">
        <f t="shared" si="5"/>
        <v>0</v>
      </c>
      <c r="AC44" s="692">
        <f t="shared" si="6"/>
        <v>0</v>
      </c>
      <c r="AD44" s="692">
        <f t="shared" si="7"/>
        <v>1814.68</v>
      </c>
      <c r="AE44" s="38"/>
      <c r="AF44" s="692">
        <f t="shared" si="8"/>
        <v>0</v>
      </c>
      <c r="AG44" s="692">
        <f t="shared" si="9"/>
        <v>0</v>
      </c>
      <c r="AH44" s="692">
        <f t="shared" si="10"/>
        <v>0</v>
      </c>
    </row>
    <row r="45" spans="1:34">
      <c r="A45" s="21"/>
      <c r="B45" s="21" t="s">
        <v>110</v>
      </c>
      <c r="C45" s="666"/>
      <c r="D45" s="68" t="s">
        <v>234</v>
      </c>
      <c r="E45" s="679"/>
      <c r="F45" s="529">
        <f>VLOOKUP(D45,'Q4 DMV -  Revenue'!D:T,17,FALSE)</f>
        <v>4478.1000000000004</v>
      </c>
      <c r="G45" s="680"/>
      <c r="H45" s="680"/>
      <c r="I45" s="681"/>
      <c r="J45" s="682">
        <f t="shared" si="0"/>
        <v>4478.1000000000004</v>
      </c>
      <c r="K45" s="683"/>
      <c r="L45" s="684"/>
      <c r="M45" s="753">
        <v>0</v>
      </c>
      <c r="N45" s="683">
        <v>0</v>
      </c>
      <c r="O45" s="686"/>
      <c r="P45" s="683">
        <v>0</v>
      </c>
      <c r="Q45" s="687">
        <f t="shared" si="1"/>
        <v>0</v>
      </c>
      <c r="R45" s="688">
        <v>5002.07</v>
      </c>
      <c r="S45" s="693"/>
      <c r="T45" s="690">
        <f t="shared" si="11"/>
        <v>5002.07</v>
      </c>
      <c r="U45" s="683"/>
      <c r="V45" s="474">
        <f t="shared" si="2"/>
        <v>0</v>
      </c>
      <c r="W45" s="474">
        <f t="shared" si="3"/>
        <v>0</v>
      </c>
      <c r="X45" s="475">
        <f t="shared" si="4"/>
        <v>0</v>
      </c>
      <c r="Y45" s="475">
        <v>0</v>
      </c>
      <c r="Z45" s="476">
        <v>0</v>
      </c>
      <c r="AA45" s="38">
        <f t="shared" si="12"/>
        <v>0</v>
      </c>
      <c r="AB45" s="692">
        <f t="shared" si="5"/>
        <v>4478.1000000000004</v>
      </c>
      <c r="AC45" s="692">
        <f t="shared" si="6"/>
        <v>0</v>
      </c>
      <c r="AD45" s="692">
        <f t="shared" si="7"/>
        <v>0</v>
      </c>
      <c r="AE45" s="38"/>
      <c r="AF45" s="692">
        <f t="shared" si="8"/>
        <v>0</v>
      </c>
      <c r="AG45" s="692">
        <f t="shared" si="9"/>
        <v>0</v>
      </c>
      <c r="AH45" s="692">
        <f t="shared" si="10"/>
        <v>0</v>
      </c>
    </row>
    <row r="46" spans="1:34">
      <c r="A46" s="21"/>
      <c r="B46" s="21" t="s">
        <v>110</v>
      </c>
      <c r="C46" s="666"/>
      <c r="D46" s="68" t="s">
        <v>3</v>
      </c>
      <c r="E46" s="679"/>
      <c r="F46" s="529" t="str">
        <f>VLOOKUP(D46,'Q4 DMV -  Revenue'!D:T,17,FALSE)</f>
        <v/>
      </c>
      <c r="G46" s="680"/>
      <c r="H46" s="680"/>
      <c r="I46" s="681"/>
      <c r="J46" s="682">
        <f t="shared" si="0"/>
        <v>0</v>
      </c>
      <c r="K46" s="683"/>
      <c r="L46" s="684"/>
      <c r="M46" s="753">
        <v>0</v>
      </c>
      <c r="N46" s="683">
        <v>0</v>
      </c>
      <c r="O46" s="686"/>
      <c r="P46" s="683">
        <v>0</v>
      </c>
      <c r="Q46" s="687">
        <f t="shared" si="1"/>
        <v>0</v>
      </c>
      <c r="R46" s="688"/>
      <c r="S46" s="693"/>
      <c r="T46" s="690" t="str">
        <f t="shared" si="11"/>
        <v/>
      </c>
      <c r="U46" s="683"/>
      <c r="V46" s="474">
        <f t="shared" si="2"/>
        <v>0</v>
      </c>
      <c r="W46" s="474">
        <f t="shared" si="3"/>
        <v>0</v>
      </c>
      <c r="X46" s="475">
        <f t="shared" si="4"/>
        <v>0</v>
      </c>
      <c r="Y46" s="475">
        <v>0</v>
      </c>
      <c r="Z46" s="476">
        <v>0</v>
      </c>
      <c r="AA46" s="38">
        <f t="shared" si="12"/>
        <v>0</v>
      </c>
      <c r="AB46" s="692">
        <f t="shared" si="5"/>
        <v>0</v>
      </c>
      <c r="AC46" s="692">
        <f t="shared" si="6"/>
        <v>0</v>
      </c>
      <c r="AD46" s="692">
        <f t="shared" si="7"/>
        <v>0</v>
      </c>
      <c r="AE46" s="38"/>
      <c r="AF46" s="692">
        <f t="shared" si="8"/>
        <v>0</v>
      </c>
      <c r="AG46" s="692">
        <f t="shared" si="9"/>
        <v>0</v>
      </c>
      <c r="AH46" s="692">
        <f t="shared" si="10"/>
        <v>0</v>
      </c>
    </row>
    <row r="47" spans="1:34">
      <c r="A47" s="20"/>
      <c r="B47" s="20" t="s">
        <v>109</v>
      </c>
      <c r="C47" s="667"/>
      <c r="D47" s="68" t="s">
        <v>4</v>
      </c>
      <c r="E47" s="679"/>
      <c r="F47" s="529" t="str">
        <f>VLOOKUP(D47,'Q4 DMV -  Revenue'!D:T,17,FALSE)</f>
        <v/>
      </c>
      <c r="G47" s="680"/>
      <c r="H47" s="680"/>
      <c r="I47" s="681"/>
      <c r="J47" s="682">
        <f t="shared" si="0"/>
        <v>0</v>
      </c>
      <c r="K47" s="683"/>
      <c r="L47" s="684"/>
      <c r="M47" s="753">
        <v>0</v>
      </c>
      <c r="N47" s="683">
        <v>0</v>
      </c>
      <c r="O47" s="686"/>
      <c r="P47" s="683">
        <v>0</v>
      </c>
      <c r="Q47" s="687">
        <f t="shared" si="1"/>
        <v>0</v>
      </c>
      <c r="R47" s="688"/>
      <c r="S47" s="693"/>
      <c r="T47" s="690" t="str">
        <f t="shared" si="11"/>
        <v/>
      </c>
      <c r="U47" s="683"/>
      <c r="V47" s="474">
        <f t="shared" si="2"/>
        <v>0</v>
      </c>
      <c r="W47" s="474">
        <f t="shared" si="3"/>
        <v>0</v>
      </c>
      <c r="X47" s="475">
        <f t="shared" si="4"/>
        <v>0</v>
      </c>
      <c r="Y47" s="475">
        <v>0</v>
      </c>
      <c r="Z47" s="476">
        <v>0</v>
      </c>
      <c r="AA47" s="38">
        <f t="shared" si="12"/>
        <v>0</v>
      </c>
      <c r="AB47" s="692">
        <f t="shared" si="5"/>
        <v>0</v>
      </c>
      <c r="AC47" s="692">
        <f t="shared" si="6"/>
        <v>0</v>
      </c>
      <c r="AD47" s="692">
        <f t="shared" si="7"/>
        <v>0</v>
      </c>
      <c r="AE47" s="38"/>
      <c r="AF47" s="692">
        <f t="shared" si="8"/>
        <v>0</v>
      </c>
      <c r="AG47" s="692">
        <f t="shared" si="9"/>
        <v>0</v>
      </c>
      <c r="AH47" s="692">
        <f t="shared" si="10"/>
        <v>0</v>
      </c>
    </row>
    <row r="48" spans="1:34">
      <c r="A48" s="20"/>
      <c r="B48" s="20" t="s">
        <v>109</v>
      </c>
      <c r="C48" s="667"/>
      <c r="D48" s="68" t="s">
        <v>598</v>
      </c>
      <c r="E48" s="679"/>
      <c r="F48" s="529">
        <f>VLOOKUP(D48,'Q4 DMV -  Revenue'!D:T,17,FALSE)</f>
        <v>770.92999999999984</v>
      </c>
      <c r="G48" s="680"/>
      <c r="H48" s="680"/>
      <c r="I48" s="681"/>
      <c r="J48" s="682">
        <f t="shared" si="0"/>
        <v>770.92999999999984</v>
      </c>
      <c r="K48" s="683"/>
      <c r="L48" s="684"/>
      <c r="M48" s="753">
        <v>0</v>
      </c>
      <c r="N48" s="683">
        <v>0</v>
      </c>
      <c r="O48" s="686"/>
      <c r="P48" s="683">
        <v>0</v>
      </c>
      <c r="Q48" s="687">
        <f t="shared" si="1"/>
        <v>0</v>
      </c>
      <c r="R48" s="688">
        <f>4659.39+3511.9</f>
        <v>8171.2900000000009</v>
      </c>
      <c r="S48" s="693"/>
      <c r="T48" s="690">
        <f t="shared" si="11"/>
        <v>8171.2900000000009</v>
      </c>
      <c r="U48" s="683"/>
      <c r="V48" s="474">
        <f t="shared" si="2"/>
        <v>0</v>
      </c>
      <c r="W48" s="474">
        <f t="shared" si="3"/>
        <v>0</v>
      </c>
      <c r="X48" s="475">
        <f t="shared" si="4"/>
        <v>0</v>
      </c>
      <c r="Y48" s="475">
        <v>0</v>
      </c>
      <c r="Z48" s="476">
        <v>0</v>
      </c>
      <c r="AA48" s="38">
        <f t="shared" si="12"/>
        <v>0</v>
      </c>
      <c r="AB48" s="692">
        <f t="shared" si="5"/>
        <v>0</v>
      </c>
      <c r="AC48" s="692">
        <f t="shared" si="6"/>
        <v>770.92999999999984</v>
      </c>
      <c r="AD48" s="692">
        <f t="shared" si="7"/>
        <v>0</v>
      </c>
      <c r="AE48" s="38"/>
      <c r="AF48" s="692">
        <f t="shared" si="8"/>
        <v>0</v>
      </c>
      <c r="AG48" s="692">
        <f t="shared" si="9"/>
        <v>0</v>
      </c>
      <c r="AH48" s="692">
        <f t="shared" si="10"/>
        <v>0</v>
      </c>
    </row>
    <row r="49" spans="1:34">
      <c r="A49" s="20"/>
      <c r="B49" s="20" t="s">
        <v>109</v>
      </c>
      <c r="C49" s="667"/>
      <c r="D49" s="68" t="s">
        <v>470</v>
      </c>
      <c r="E49" s="679"/>
      <c r="F49" s="529" t="str">
        <f>VLOOKUP(D49,'Q4 DMV -  Revenue'!D:T,17,FALSE)</f>
        <v/>
      </c>
      <c r="G49" s="680"/>
      <c r="H49" s="680"/>
      <c r="I49" s="681"/>
      <c r="J49" s="682">
        <f t="shared" si="0"/>
        <v>0</v>
      </c>
      <c r="K49" s="683"/>
      <c r="L49" s="684"/>
      <c r="M49" s="753">
        <v>0</v>
      </c>
      <c r="N49" s="683">
        <v>0</v>
      </c>
      <c r="O49" s="686"/>
      <c r="P49" s="683">
        <v>0</v>
      </c>
      <c r="Q49" s="687">
        <f t="shared" si="1"/>
        <v>0</v>
      </c>
      <c r="R49" s="688"/>
      <c r="S49" s="693"/>
      <c r="T49" s="690" t="str">
        <f t="shared" si="11"/>
        <v/>
      </c>
      <c r="U49" s="683"/>
      <c r="V49" s="474">
        <f t="shared" si="2"/>
        <v>0</v>
      </c>
      <c r="W49" s="474">
        <f t="shared" si="3"/>
        <v>0</v>
      </c>
      <c r="X49" s="475">
        <f t="shared" si="4"/>
        <v>0</v>
      </c>
      <c r="Y49" s="475">
        <v>0</v>
      </c>
      <c r="Z49" s="476">
        <v>0</v>
      </c>
      <c r="AA49" s="38">
        <f t="shared" si="12"/>
        <v>0</v>
      </c>
      <c r="AB49" s="692">
        <f t="shared" si="5"/>
        <v>0</v>
      </c>
      <c r="AC49" s="692">
        <f t="shared" si="6"/>
        <v>0</v>
      </c>
      <c r="AD49" s="692">
        <f t="shared" si="7"/>
        <v>0</v>
      </c>
      <c r="AE49" s="38"/>
      <c r="AF49" s="692">
        <f t="shared" si="8"/>
        <v>0</v>
      </c>
      <c r="AG49" s="692">
        <f t="shared" si="9"/>
        <v>0</v>
      </c>
      <c r="AH49" s="692">
        <f t="shared" si="10"/>
        <v>0</v>
      </c>
    </row>
    <row r="50" spans="1:34">
      <c r="A50" s="20"/>
      <c r="B50" s="20" t="s">
        <v>110</v>
      </c>
      <c r="C50" s="667"/>
      <c r="D50" s="68" t="s">
        <v>311</v>
      </c>
      <c r="E50" s="679"/>
      <c r="F50" s="529">
        <f>VLOOKUP(D50,'Q4 DMV -  Revenue'!D:T,17,FALSE)</f>
        <v>-3500</v>
      </c>
      <c r="G50" s="680"/>
      <c r="H50" s="680"/>
      <c r="I50" s="681"/>
      <c r="J50" s="682">
        <f t="shared" si="0"/>
        <v>-3500</v>
      </c>
      <c r="K50" s="683"/>
      <c r="L50" s="684"/>
      <c r="M50" s="753">
        <v>0</v>
      </c>
      <c r="N50" s="683">
        <v>0</v>
      </c>
      <c r="O50" s="686"/>
      <c r="P50" s="683">
        <v>0</v>
      </c>
      <c r="Q50" s="687">
        <f t="shared" si="1"/>
        <v>0</v>
      </c>
      <c r="R50" s="688"/>
      <c r="S50" s="693"/>
      <c r="T50" s="690" t="str">
        <f t="shared" si="11"/>
        <v/>
      </c>
      <c r="U50" s="683"/>
      <c r="V50" s="474">
        <f t="shared" si="2"/>
        <v>0</v>
      </c>
      <c r="W50" s="474">
        <f t="shared" si="3"/>
        <v>0</v>
      </c>
      <c r="X50" s="475">
        <f t="shared" si="4"/>
        <v>0</v>
      </c>
      <c r="Y50" s="475">
        <v>0</v>
      </c>
      <c r="Z50" s="476">
        <v>0</v>
      </c>
      <c r="AA50" s="38">
        <f t="shared" si="12"/>
        <v>0</v>
      </c>
      <c r="AB50" s="692">
        <f t="shared" si="5"/>
        <v>-3500</v>
      </c>
      <c r="AC50" s="692">
        <f t="shared" si="6"/>
        <v>0</v>
      </c>
      <c r="AD50" s="692">
        <f t="shared" si="7"/>
        <v>0</v>
      </c>
      <c r="AE50" s="38"/>
      <c r="AF50" s="692">
        <f t="shared" si="8"/>
        <v>0</v>
      </c>
      <c r="AG50" s="692">
        <f t="shared" si="9"/>
        <v>0</v>
      </c>
      <c r="AH50" s="692">
        <f t="shared" si="10"/>
        <v>0</v>
      </c>
    </row>
    <row r="51" spans="1:34">
      <c r="A51" s="20"/>
      <c r="B51" s="20" t="s">
        <v>110</v>
      </c>
      <c r="C51" s="667"/>
      <c r="D51" s="68" t="s">
        <v>451</v>
      </c>
      <c r="E51" s="679">
        <f>7240.32+2339.9+6001+10515.16+10211</f>
        <v>36307.379999999997</v>
      </c>
      <c r="F51" s="529" t="str">
        <f>VLOOKUP(D51,'Q4 DMV -  Revenue'!D:T,17,FALSE)</f>
        <v/>
      </c>
      <c r="G51" s="694">
        <v>13513</v>
      </c>
      <c r="H51" s="680"/>
      <c r="I51" s="681"/>
      <c r="J51" s="682">
        <f t="shared" si="0"/>
        <v>49820.38</v>
      </c>
      <c r="K51" s="683"/>
      <c r="L51" s="684"/>
      <c r="M51" s="753">
        <v>20000</v>
      </c>
      <c r="N51" s="683">
        <v>0</v>
      </c>
      <c r="O51" s="686"/>
      <c r="P51" s="683">
        <v>0</v>
      </c>
      <c r="Q51" s="687">
        <f t="shared" si="1"/>
        <v>20000</v>
      </c>
      <c r="R51" s="688">
        <v>0</v>
      </c>
      <c r="S51" s="693"/>
      <c r="T51" s="690">
        <f t="shared" si="11"/>
        <v>-20000</v>
      </c>
      <c r="U51" s="683"/>
      <c r="V51" s="474">
        <f t="shared" si="2"/>
        <v>20000</v>
      </c>
      <c r="W51" s="474">
        <f t="shared" si="3"/>
        <v>0</v>
      </c>
      <c r="X51" s="475">
        <f t="shared" si="4"/>
        <v>0</v>
      </c>
      <c r="Y51" s="475">
        <v>0</v>
      </c>
      <c r="Z51" s="476">
        <v>0</v>
      </c>
      <c r="AA51" s="38">
        <f t="shared" si="12"/>
        <v>0</v>
      </c>
      <c r="AB51" s="692">
        <f t="shared" si="5"/>
        <v>49820.38</v>
      </c>
      <c r="AC51" s="692">
        <f t="shared" si="6"/>
        <v>0</v>
      </c>
      <c r="AD51" s="692">
        <f t="shared" si="7"/>
        <v>0</v>
      </c>
      <c r="AE51" s="38"/>
      <c r="AF51" s="692">
        <f t="shared" si="8"/>
        <v>20000</v>
      </c>
      <c r="AG51" s="692">
        <f t="shared" si="9"/>
        <v>0</v>
      </c>
      <c r="AH51" s="692">
        <f t="shared" si="10"/>
        <v>0</v>
      </c>
    </row>
    <row r="52" spans="1:34">
      <c r="A52" s="20"/>
      <c r="B52" s="20" t="s">
        <v>109</v>
      </c>
      <c r="C52" s="667"/>
      <c r="D52" s="68" t="s">
        <v>469</v>
      </c>
      <c r="E52" s="679"/>
      <c r="F52" s="529">
        <f>VLOOKUP(D52,'Q4 DMV -  Revenue'!D:T,17,FALSE)</f>
        <v>887.98999999999978</v>
      </c>
      <c r="G52" s="694">
        <v>10769.93</v>
      </c>
      <c r="H52" s="694">
        <v>8116.3</v>
      </c>
      <c r="I52" s="681"/>
      <c r="J52" s="682">
        <f t="shared" si="0"/>
        <v>19774.22</v>
      </c>
      <c r="K52" s="683"/>
      <c r="L52" s="684"/>
      <c r="M52" s="753">
        <v>8000</v>
      </c>
      <c r="N52" s="683">
        <v>0</v>
      </c>
      <c r="O52" s="686"/>
      <c r="P52" s="683">
        <v>0</v>
      </c>
      <c r="Q52" s="687">
        <f t="shared" si="1"/>
        <v>8000</v>
      </c>
      <c r="R52" s="688">
        <v>6548</v>
      </c>
      <c r="S52" s="693"/>
      <c r="T52" s="690">
        <f t="shared" si="11"/>
        <v>-1452</v>
      </c>
      <c r="U52" s="683"/>
      <c r="V52" s="474">
        <f t="shared" si="2"/>
        <v>0</v>
      </c>
      <c r="W52" s="474">
        <f t="shared" si="3"/>
        <v>8000</v>
      </c>
      <c r="X52" s="475">
        <f t="shared" si="4"/>
        <v>0</v>
      </c>
      <c r="Y52" s="475">
        <v>0</v>
      </c>
      <c r="Z52" s="476">
        <v>0</v>
      </c>
      <c r="AA52" s="38">
        <f t="shared" si="12"/>
        <v>0</v>
      </c>
      <c r="AB52" s="692">
        <f t="shared" si="5"/>
        <v>0</v>
      </c>
      <c r="AC52" s="692">
        <f t="shared" si="6"/>
        <v>19774.22</v>
      </c>
      <c r="AD52" s="692">
        <f t="shared" si="7"/>
        <v>0</v>
      </c>
      <c r="AE52" s="38"/>
      <c r="AF52" s="692">
        <f t="shared" si="8"/>
        <v>0</v>
      </c>
      <c r="AG52" s="692">
        <f t="shared" si="9"/>
        <v>8000</v>
      </c>
      <c r="AH52" s="692">
        <f t="shared" si="10"/>
        <v>0</v>
      </c>
    </row>
    <row r="53" spans="1:34">
      <c r="A53" s="20"/>
      <c r="B53" s="20" t="s">
        <v>109</v>
      </c>
      <c r="C53" s="667"/>
      <c r="D53" s="68" t="s">
        <v>462</v>
      </c>
      <c r="E53" s="679"/>
      <c r="F53" s="529" t="str">
        <f>VLOOKUP(D53,'Q4 DMV -  Revenue'!D:T,17,FALSE)</f>
        <v/>
      </c>
      <c r="G53" s="680"/>
      <c r="H53" s="680"/>
      <c r="I53" s="681"/>
      <c r="J53" s="682">
        <f t="shared" si="0"/>
        <v>0</v>
      </c>
      <c r="K53" s="683"/>
      <c r="L53" s="684"/>
      <c r="M53" s="753">
        <v>0</v>
      </c>
      <c r="N53" s="683">
        <v>0</v>
      </c>
      <c r="O53" s="686"/>
      <c r="P53" s="683">
        <v>0</v>
      </c>
      <c r="Q53" s="687">
        <f t="shared" si="1"/>
        <v>0</v>
      </c>
      <c r="R53" s="688"/>
      <c r="S53" s="693"/>
      <c r="T53" s="690" t="str">
        <f t="shared" si="11"/>
        <v/>
      </c>
      <c r="U53" s="683"/>
      <c r="V53" s="474">
        <f t="shared" si="2"/>
        <v>0</v>
      </c>
      <c r="W53" s="474">
        <f t="shared" si="3"/>
        <v>0</v>
      </c>
      <c r="X53" s="475">
        <f t="shared" si="4"/>
        <v>0</v>
      </c>
      <c r="Y53" s="475">
        <v>0</v>
      </c>
      <c r="Z53" s="476">
        <v>0</v>
      </c>
      <c r="AA53" s="38">
        <f t="shared" si="12"/>
        <v>0</v>
      </c>
      <c r="AB53" s="692">
        <f t="shared" si="5"/>
        <v>0</v>
      </c>
      <c r="AC53" s="692">
        <f t="shared" si="6"/>
        <v>0</v>
      </c>
      <c r="AD53" s="692">
        <f t="shared" si="7"/>
        <v>0</v>
      </c>
      <c r="AE53" s="38"/>
      <c r="AF53" s="692">
        <f t="shared" si="8"/>
        <v>0</v>
      </c>
      <c r="AG53" s="692">
        <f t="shared" si="9"/>
        <v>0</v>
      </c>
      <c r="AH53" s="692">
        <f t="shared" si="10"/>
        <v>0</v>
      </c>
    </row>
    <row r="54" spans="1:34">
      <c r="A54" s="20"/>
      <c r="B54" s="20" t="s">
        <v>110</v>
      </c>
      <c r="C54" s="667" t="s">
        <v>530</v>
      </c>
      <c r="D54" s="68" t="s">
        <v>69</v>
      </c>
      <c r="E54" s="679"/>
      <c r="F54" s="529" t="str">
        <f>VLOOKUP(D54,'Q4 DMV -  Revenue'!D:T,17,FALSE)</f>
        <v/>
      </c>
      <c r="G54" s="694">
        <v>2723.62</v>
      </c>
      <c r="H54" s="694">
        <v>2382.7399999999998</v>
      </c>
      <c r="I54" s="681"/>
      <c r="J54" s="682">
        <f t="shared" si="0"/>
        <v>5106.3599999999997</v>
      </c>
      <c r="K54" s="683"/>
      <c r="L54" s="684"/>
      <c r="M54" s="753">
        <v>0</v>
      </c>
      <c r="N54" s="683">
        <v>0</v>
      </c>
      <c r="O54" s="686"/>
      <c r="P54" s="683">
        <v>0</v>
      </c>
      <c r="Q54" s="687">
        <f t="shared" si="1"/>
        <v>0</v>
      </c>
      <c r="R54" s="688"/>
      <c r="S54" s="693"/>
      <c r="T54" s="690" t="str">
        <f t="shared" si="11"/>
        <v/>
      </c>
      <c r="U54" s="683"/>
      <c r="V54" s="474">
        <f t="shared" si="2"/>
        <v>0</v>
      </c>
      <c r="W54" s="474">
        <f t="shared" si="3"/>
        <v>0</v>
      </c>
      <c r="X54" s="475">
        <f t="shared" si="4"/>
        <v>0</v>
      </c>
      <c r="Y54" s="475">
        <v>0</v>
      </c>
      <c r="Z54" s="476">
        <v>0</v>
      </c>
      <c r="AA54" s="38">
        <f t="shared" si="12"/>
        <v>0</v>
      </c>
      <c r="AB54" s="692">
        <f t="shared" si="5"/>
        <v>5106.3599999999997</v>
      </c>
      <c r="AC54" s="692">
        <f t="shared" si="6"/>
        <v>0</v>
      </c>
      <c r="AD54" s="692">
        <f t="shared" si="7"/>
        <v>0</v>
      </c>
      <c r="AE54" s="38"/>
      <c r="AF54" s="692">
        <f t="shared" si="8"/>
        <v>0</v>
      </c>
      <c r="AG54" s="692">
        <f t="shared" si="9"/>
        <v>0</v>
      </c>
      <c r="AH54" s="692">
        <f t="shared" si="10"/>
        <v>0</v>
      </c>
    </row>
    <row r="55" spans="1:34">
      <c r="A55" s="20"/>
      <c r="B55" s="20" t="s">
        <v>110</v>
      </c>
      <c r="C55" s="667" t="s">
        <v>531</v>
      </c>
      <c r="D55" s="68" t="s">
        <v>237</v>
      </c>
      <c r="E55" s="679"/>
      <c r="F55" s="529" t="str">
        <f>VLOOKUP(D55,'Q4 DMV -  Revenue'!D:T,17,FALSE)</f>
        <v/>
      </c>
      <c r="G55" s="694">
        <v>12153.83</v>
      </c>
      <c r="H55" s="694">
        <v>13362.86</v>
      </c>
      <c r="I55" s="681"/>
      <c r="J55" s="682">
        <f t="shared" si="0"/>
        <v>25516.690000000002</v>
      </c>
      <c r="K55" s="683"/>
      <c r="L55" s="684"/>
      <c r="M55" s="753">
        <v>12000</v>
      </c>
      <c r="N55" s="683">
        <v>0</v>
      </c>
      <c r="O55" s="686"/>
      <c r="P55" s="683">
        <v>0</v>
      </c>
      <c r="Q55" s="687">
        <f t="shared" si="1"/>
        <v>12000</v>
      </c>
      <c r="R55" s="688">
        <v>14032.2</v>
      </c>
      <c r="S55" s="693"/>
      <c r="T55" s="690">
        <f t="shared" si="11"/>
        <v>2032.2000000000007</v>
      </c>
      <c r="U55" s="683"/>
      <c r="V55" s="474">
        <f t="shared" si="2"/>
        <v>12000</v>
      </c>
      <c r="W55" s="474">
        <f t="shared" si="3"/>
        <v>0</v>
      </c>
      <c r="X55" s="475">
        <f t="shared" si="4"/>
        <v>0</v>
      </c>
      <c r="Y55" s="475">
        <v>0</v>
      </c>
      <c r="Z55" s="476">
        <v>0</v>
      </c>
      <c r="AA55" s="38">
        <f t="shared" si="12"/>
        <v>0</v>
      </c>
      <c r="AB55" s="692">
        <f t="shared" si="5"/>
        <v>25516.690000000002</v>
      </c>
      <c r="AC55" s="692">
        <f t="shared" si="6"/>
        <v>0</v>
      </c>
      <c r="AD55" s="692">
        <f t="shared" si="7"/>
        <v>0</v>
      </c>
      <c r="AE55" s="38"/>
      <c r="AF55" s="692">
        <f t="shared" si="8"/>
        <v>12000</v>
      </c>
      <c r="AG55" s="692">
        <f t="shared" si="9"/>
        <v>0</v>
      </c>
      <c r="AH55" s="692">
        <f t="shared" si="10"/>
        <v>0</v>
      </c>
    </row>
    <row r="56" spans="1:34">
      <c r="A56" s="20" t="s">
        <v>211</v>
      </c>
      <c r="B56" s="20" t="s">
        <v>110</v>
      </c>
      <c r="C56" s="667" t="s">
        <v>532</v>
      </c>
      <c r="D56" s="68" t="s">
        <v>7</v>
      </c>
      <c r="E56" s="679"/>
      <c r="F56" s="529" t="str">
        <f>VLOOKUP(D56,'Q4 DMV -  Revenue'!D:T,17,FALSE)</f>
        <v/>
      </c>
      <c r="G56" s="680"/>
      <c r="H56" s="680"/>
      <c r="I56" s="681"/>
      <c r="J56" s="682">
        <f t="shared" si="0"/>
        <v>0</v>
      </c>
      <c r="K56" s="683"/>
      <c r="L56" s="684"/>
      <c r="M56" s="753">
        <v>0</v>
      </c>
      <c r="N56" s="683">
        <v>0</v>
      </c>
      <c r="O56" s="686"/>
      <c r="P56" s="683">
        <v>0</v>
      </c>
      <c r="Q56" s="687">
        <f t="shared" si="1"/>
        <v>0</v>
      </c>
      <c r="R56" s="688"/>
      <c r="S56" s="693"/>
      <c r="T56" s="690" t="str">
        <f t="shared" si="11"/>
        <v/>
      </c>
      <c r="U56" s="697"/>
      <c r="V56" s="474">
        <f t="shared" si="2"/>
        <v>0</v>
      </c>
      <c r="W56" s="474">
        <f t="shared" si="3"/>
        <v>0</v>
      </c>
      <c r="X56" s="475">
        <f t="shared" si="4"/>
        <v>0</v>
      </c>
      <c r="Y56" s="475">
        <v>0</v>
      </c>
      <c r="Z56" s="476">
        <v>0</v>
      </c>
      <c r="AA56" s="38">
        <f t="shared" si="12"/>
        <v>0</v>
      </c>
      <c r="AB56" s="692">
        <f t="shared" si="5"/>
        <v>0</v>
      </c>
      <c r="AC56" s="692">
        <f t="shared" si="6"/>
        <v>0</v>
      </c>
      <c r="AD56" s="692">
        <f t="shared" si="7"/>
        <v>0</v>
      </c>
      <c r="AE56" s="38"/>
      <c r="AF56" s="692">
        <f t="shared" si="8"/>
        <v>0</v>
      </c>
      <c r="AG56" s="692">
        <f t="shared" si="9"/>
        <v>0</v>
      </c>
      <c r="AH56" s="692">
        <f t="shared" si="10"/>
        <v>0</v>
      </c>
    </row>
    <row r="57" spans="1:34" s="232" customFormat="1">
      <c r="A57" s="283" t="s">
        <v>97</v>
      </c>
      <c r="B57" s="283" t="s">
        <v>109</v>
      </c>
      <c r="C57" s="667" t="s">
        <v>533</v>
      </c>
      <c r="D57" s="123" t="s">
        <v>415</v>
      </c>
      <c r="E57" s="679"/>
      <c r="F57" s="529">
        <f>VLOOKUP(D57,'Q4 DMV -  Revenue'!D:T,17,FALSE)</f>
        <v>-146.49</v>
      </c>
      <c r="G57" s="680"/>
      <c r="H57" s="680"/>
      <c r="I57" s="681"/>
      <c r="J57" s="682">
        <f t="shared" si="0"/>
        <v>-146.49</v>
      </c>
      <c r="K57" s="683"/>
      <c r="L57" s="684"/>
      <c r="M57" s="753">
        <v>0</v>
      </c>
      <c r="N57" s="683">
        <v>0</v>
      </c>
      <c r="O57" s="686"/>
      <c r="P57" s="683">
        <v>0</v>
      </c>
      <c r="Q57" s="687">
        <f t="shared" si="1"/>
        <v>0</v>
      </c>
      <c r="R57" s="688"/>
      <c r="S57" s="693"/>
      <c r="T57" s="690" t="str">
        <f t="shared" si="11"/>
        <v/>
      </c>
      <c r="U57" s="683"/>
      <c r="V57" s="474">
        <f t="shared" si="2"/>
        <v>0</v>
      </c>
      <c r="W57" s="474">
        <f t="shared" si="3"/>
        <v>0</v>
      </c>
      <c r="X57" s="475">
        <f t="shared" si="4"/>
        <v>0</v>
      </c>
      <c r="Y57" s="475">
        <v>0</v>
      </c>
      <c r="Z57" s="476">
        <v>0</v>
      </c>
      <c r="AA57" s="38">
        <f t="shared" si="12"/>
        <v>0</v>
      </c>
      <c r="AB57" s="692">
        <f t="shared" si="5"/>
        <v>0</v>
      </c>
      <c r="AC57" s="692">
        <f t="shared" si="6"/>
        <v>-146.49</v>
      </c>
      <c r="AD57" s="692">
        <f t="shared" si="7"/>
        <v>0</v>
      </c>
      <c r="AE57" s="38"/>
      <c r="AF57" s="692">
        <f t="shared" si="8"/>
        <v>0</v>
      </c>
      <c r="AG57" s="692">
        <f t="shared" si="9"/>
        <v>0</v>
      </c>
      <c r="AH57" s="692">
        <f t="shared" si="10"/>
        <v>0</v>
      </c>
    </row>
    <row r="58" spans="1:34" s="232" customFormat="1">
      <c r="A58" s="283"/>
      <c r="B58" s="283" t="s">
        <v>109</v>
      </c>
      <c r="C58" s="667" t="s">
        <v>533</v>
      </c>
      <c r="D58" s="123" t="s">
        <v>416</v>
      </c>
      <c r="E58" s="679"/>
      <c r="F58" s="529">
        <f>VLOOKUP(D58,'Q4 DMV -  Revenue'!D:T,17,FALSE)</f>
        <v>3.22</v>
      </c>
      <c r="G58" s="694">
        <v>469.55</v>
      </c>
      <c r="H58" s="694">
        <v>312.83999999999997</v>
      </c>
      <c r="I58" s="681"/>
      <c r="J58" s="682">
        <f t="shared" si="0"/>
        <v>785.61</v>
      </c>
      <c r="K58" s="683"/>
      <c r="L58" s="684"/>
      <c r="M58" s="753">
        <v>0</v>
      </c>
      <c r="N58" s="683">
        <v>0</v>
      </c>
      <c r="O58" s="686"/>
      <c r="P58" s="683">
        <v>0</v>
      </c>
      <c r="Q58" s="687">
        <f t="shared" si="1"/>
        <v>0</v>
      </c>
      <c r="R58" s="688"/>
      <c r="S58" s="693"/>
      <c r="T58" s="690" t="str">
        <f t="shared" si="11"/>
        <v/>
      </c>
      <c r="U58" s="683"/>
      <c r="V58" s="474">
        <f t="shared" si="2"/>
        <v>0</v>
      </c>
      <c r="W58" s="474">
        <f t="shared" si="3"/>
        <v>0</v>
      </c>
      <c r="X58" s="475">
        <f t="shared" si="4"/>
        <v>0</v>
      </c>
      <c r="Y58" s="475">
        <v>0</v>
      </c>
      <c r="Z58" s="476">
        <v>0</v>
      </c>
      <c r="AA58" s="38">
        <f t="shared" si="12"/>
        <v>0</v>
      </c>
      <c r="AB58" s="692">
        <f t="shared" si="5"/>
        <v>0</v>
      </c>
      <c r="AC58" s="692">
        <f t="shared" si="6"/>
        <v>785.61</v>
      </c>
      <c r="AD58" s="692">
        <f t="shared" si="7"/>
        <v>0</v>
      </c>
      <c r="AE58" s="38"/>
      <c r="AF58" s="692">
        <f t="shared" si="8"/>
        <v>0</v>
      </c>
      <c r="AG58" s="692">
        <f t="shared" si="9"/>
        <v>0</v>
      </c>
      <c r="AH58" s="692">
        <f t="shared" si="10"/>
        <v>0</v>
      </c>
    </row>
    <row r="59" spans="1:34" s="232" customFormat="1">
      <c r="A59" s="283"/>
      <c r="B59" s="283" t="s">
        <v>109</v>
      </c>
      <c r="C59" s="667" t="s">
        <v>533</v>
      </c>
      <c r="D59" s="123" t="s">
        <v>417</v>
      </c>
      <c r="E59" s="679"/>
      <c r="F59" s="529">
        <f>VLOOKUP(D59,'Q4 DMV -  Revenue'!D:T,17,FALSE)</f>
        <v>-132.53</v>
      </c>
      <c r="G59" s="680"/>
      <c r="H59" s="680"/>
      <c r="I59" s="681"/>
      <c r="J59" s="682">
        <f t="shared" si="0"/>
        <v>-132.53</v>
      </c>
      <c r="K59" s="683"/>
      <c r="L59" s="684"/>
      <c r="M59" s="753">
        <v>0</v>
      </c>
      <c r="N59" s="683">
        <v>0</v>
      </c>
      <c r="O59" s="686"/>
      <c r="P59" s="683">
        <v>0</v>
      </c>
      <c r="Q59" s="687">
        <f t="shared" si="1"/>
        <v>0</v>
      </c>
      <c r="R59" s="688"/>
      <c r="S59" s="693"/>
      <c r="T59" s="690" t="str">
        <f t="shared" si="11"/>
        <v/>
      </c>
      <c r="U59" s="683"/>
      <c r="V59" s="474">
        <f t="shared" si="2"/>
        <v>0</v>
      </c>
      <c r="W59" s="474">
        <f t="shared" si="3"/>
        <v>0</v>
      </c>
      <c r="X59" s="475">
        <f t="shared" si="4"/>
        <v>0</v>
      </c>
      <c r="Y59" s="475">
        <v>0</v>
      </c>
      <c r="Z59" s="476">
        <v>0</v>
      </c>
      <c r="AA59" s="38">
        <f t="shared" si="12"/>
        <v>0</v>
      </c>
      <c r="AB59" s="692">
        <f t="shared" si="5"/>
        <v>0</v>
      </c>
      <c r="AC59" s="692">
        <f t="shared" si="6"/>
        <v>-132.53</v>
      </c>
      <c r="AD59" s="692">
        <f t="shared" si="7"/>
        <v>0</v>
      </c>
      <c r="AE59" s="38"/>
      <c r="AF59" s="692">
        <f t="shared" si="8"/>
        <v>0</v>
      </c>
      <c r="AG59" s="692">
        <f t="shared" si="9"/>
        <v>0</v>
      </c>
      <c r="AH59" s="692">
        <f t="shared" si="10"/>
        <v>0</v>
      </c>
    </row>
    <row r="60" spans="1:34" s="232" customFormat="1">
      <c r="A60" s="283"/>
      <c r="B60" s="283" t="s">
        <v>109</v>
      </c>
      <c r="C60" s="667" t="s">
        <v>533</v>
      </c>
      <c r="D60" s="123" t="s">
        <v>418</v>
      </c>
      <c r="E60" s="679"/>
      <c r="F60" s="529" t="str">
        <f>VLOOKUP(D60,'Q4 DMV -  Revenue'!D:T,17,FALSE)</f>
        <v/>
      </c>
      <c r="G60" s="680"/>
      <c r="H60" s="680"/>
      <c r="I60" s="681"/>
      <c r="J60" s="682">
        <f t="shared" si="0"/>
        <v>0</v>
      </c>
      <c r="K60" s="683"/>
      <c r="L60" s="684"/>
      <c r="M60" s="753">
        <v>0</v>
      </c>
      <c r="N60" s="683">
        <v>0</v>
      </c>
      <c r="O60" s="686"/>
      <c r="P60" s="683">
        <v>0</v>
      </c>
      <c r="Q60" s="687">
        <f t="shared" si="1"/>
        <v>0</v>
      </c>
      <c r="R60" s="688"/>
      <c r="S60" s="693"/>
      <c r="T60" s="690" t="str">
        <f t="shared" si="11"/>
        <v/>
      </c>
      <c r="U60" s="683"/>
      <c r="V60" s="474">
        <f t="shared" si="2"/>
        <v>0</v>
      </c>
      <c r="W60" s="474">
        <f t="shared" si="3"/>
        <v>0</v>
      </c>
      <c r="X60" s="475">
        <f t="shared" si="4"/>
        <v>0</v>
      </c>
      <c r="Y60" s="475">
        <v>0</v>
      </c>
      <c r="Z60" s="476">
        <v>0</v>
      </c>
      <c r="AA60" s="38">
        <f t="shared" si="12"/>
        <v>0</v>
      </c>
      <c r="AB60" s="692">
        <f t="shared" si="5"/>
        <v>0</v>
      </c>
      <c r="AC60" s="692">
        <f t="shared" si="6"/>
        <v>0</v>
      </c>
      <c r="AD60" s="692">
        <f t="shared" si="7"/>
        <v>0</v>
      </c>
      <c r="AE60" s="38"/>
      <c r="AF60" s="692">
        <f t="shared" si="8"/>
        <v>0</v>
      </c>
      <c r="AG60" s="692">
        <f t="shared" si="9"/>
        <v>0</v>
      </c>
      <c r="AH60" s="692">
        <f t="shared" si="10"/>
        <v>0</v>
      </c>
    </row>
    <row r="61" spans="1:34">
      <c r="A61" s="21" t="s">
        <v>109</v>
      </c>
      <c r="B61" s="21" t="s">
        <v>110</v>
      </c>
      <c r="C61" s="666"/>
      <c r="D61" s="68" t="s">
        <v>8</v>
      </c>
      <c r="E61" s="679"/>
      <c r="F61" s="529" t="str">
        <f>VLOOKUP(D61,'Q4 DMV -  Revenue'!D:T,17,FALSE)</f>
        <v/>
      </c>
      <c r="G61" s="680"/>
      <c r="H61" s="680"/>
      <c r="I61" s="681"/>
      <c r="J61" s="682">
        <f t="shared" si="0"/>
        <v>0</v>
      </c>
      <c r="K61" s="683"/>
      <c r="L61" s="684"/>
      <c r="M61" s="753">
        <v>0</v>
      </c>
      <c r="N61" s="683">
        <v>0</v>
      </c>
      <c r="O61" s="686"/>
      <c r="P61" s="683">
        <v>0</v>
      </c>
      <c r="Q61" s="687">
        <f t="shared" si="1"/>
        <v>0</v>
      </c>
      <c r="R61" s="688"/>
      <c r="S61" s="693"/>
      <c r="T61" s="690" t="str">
        <f t="shared" si="11"/>
        <v/>
      </c>
      <c r="U61" s="683"/>
      <c r="V61" s="474">
        <f t="shared" si="2"/>
        <v>0</v>
      </c>
      <c r="W61" s="474">
        <f t="shared" si="3"/>
        <v>0</v>
      </c>
      <c r="X61" s="475">
        <f t="shared" si="4"/>
        <v>0</v>
      </c>
      <c r="Y61" s="475">
        <v>0</v>
      </c>
      <c r="Z61" s="476">
        <v>0</v>
      </c>
      <c r="AA61" s="38">
        <f t="shared" si="12"/>
        <v>0</v>
      </c>
      <c r="AB61" s="692">
        <f t="shared" si="5"/>
        <v>0</v>
      </c>
      <c r="AC61" s="692">
        <f t="shared" si="6"/>
        <v>0</v>
      </c>
      <c r="AD61" s="692">
        <f t="shared" si="7"/>
        <v>0</v>
      </c>
      <c r="AE61" s="38"/>
      <c r="AF61" s="692">
        <f t="shared" si="8"/>
        <v>0</v>
      </c>
      <c r="AG61" s="692">
        <f t="shared" si="9"/>
        <v>0</v>
      </c>
      <c r="AH61" s="692">
        <f t="shared" si="10"/>
        <v>0</v>
      </c>
    </row>
    <row r="62" spans="1:34">
      <c r="A62" s="20" t="s">
        <v>211</v>
      </c>
      <c r="B62" s="20" t="s">
        <v>109</v>
      </c>
      <c r="C62" s="667" t="s">
        <v>534</v>
      </c>
      <c r="D62" s="68" t="s">
        <v>9</v>
      </c>
      <c r="E62" s="679"/>
      <c r="F62" s="529" t="str">
        <f>VLOOKUP(D62,'Q4 DMV -  Revenue'!D:T,17,FALSE)</f>
        <v/>
      </c>
      <c r="G62" s="680"/>
      <c r="H62" s="680"/>
      <c r="I62" s="681"/>
      <c r="J62" s="682">
        <f t="shared" si="0"/>
        <v>0</v>
      </c>
      <c r="K62" s="683"/>
      <c r="L62" s="684"/>
      <c r="M62" s="753">
        <v>0</v>
      </c>
      <c r="N62" s="683">
        <v>0</v>
      </c>
      <c r="O62" s="686"/>
      <c r="P62" s="683">
        <v>0</v>
      </c>
      <c r="Q62" s="687">
        <f t="shared" si="1"/>
        <v>0</v>
      </c>
      <c r="R62" s="688"/>
      <c r="S62" s="693"/>
      <c r="T62" s="690" t="str">
        <f t="shared" si="11"/>
        <v/>
      </c>
      <c r="U62" s="697"/>
      <c r="V62" s="474">
        <f t="shared" si="2"/>
        <v>0</v>
      </c>
      <c r="W62" s="474">
        <f t="shared" si="3"/>
        <v>0</v>
      </c>
      <c r="X62" s="475">
        <f t="shared" si="4"/>
        <v>0</v>
      </c>
      <c r="Y62" s="475">
        <v>0</v>
      </c>
      <c r="Z62" s="476">
        <v>0</v>
      </c>
      <c r="AA62" s="38">
        <f t="shared" si="12"/>
        <v>0</v>
      </c>
      <c r="AB62" s="692">
        <f t="shared" si="5"/>
        <v>0</v>
      </c>
      <c r="AC62" s="692">
        <f t="shared" si="6"/>
        <v>0</v>
      </c>
      <c r="AD62" s="692">
        <f t="shared" si="7"/>
        <v>0</v>
      </c>
      <c r="AE62" s="38"/>
      <c r="AF62" s="692">
        <f t="shared" si="8"/>
        <v>0</v>
      </c>
      <c r="AG62" s="692">
        <f t="shared" si="9"/>
        <v>0</v>
      </c>
      <c r="AH62" s="692">
        <f t="shared" si="10"/>
        <v>0</v>
      </c>
    </row>
    <row r="63" spans="1:34">
      <c r="A63" s="20" t="s">
        <v>211</v>
      </c>
      <c r="B63" s="20" t="s">
        <v>114</v>
      </c>
      <c r="C63" s="667"/>
      <c r="D63" s="68" t="s">
        <v>487</v>
      </c>
      <c r="E63" s="679"/>
      <c r="F63" s="529" t="str">
        <f>VLOOKUP(D63,'Q4 DMV -  Revenue'!D:T,17,FALSE)</f>
        <v/>
      </c>
      <c r="G63" s="680"/>
      <c r="H63" s="680"/>
      <c r="I63" s="681"/>
      <c r="J63" s="682">
        <f t="shared" si="0"/>
        <v>0</v>
      </c>
      <c r="K63" s="683"/>
      <c r="L63" s="684"/>
      <c r="M63" s="753">
        <v>0</v>
      </c>
      <c r="N63" s="683">
        <v>0</v>
      </c>
      <c r="O63" s="686"/>
      <c r="P63" s="683">
        <v>0</v>
      </c>
      <c r="Q63" s="687">
        <f t="shared" si="1"/>
        <v>0</v>
      </c>
      <c r="R63" s="688"/>
      <c r="S63" s="693"/>
      <c r="T63" s="690" t="str">
        <f t="shared" si="11"/>
        <v/>
      </c>
      <c r="U63" s="683"/>
      <c r="V63" s="474">
        <f t="shared" si="2"/>
        <v>0</v>
      </c>
      <c r="W63" s="474">
        <f t="shared" si="3"/>
        <v>0</v>
      </c>
      <c r="X63" s="475">
        <f t="shared" si="4"/>
        <v>0</v>
      </c>
      <c r="Y63" s="475">
        <v>0</v>
      </c>
      <c r="Z63" s="476">
        <v>0</v>
      </c>
      <c r="AA63" s="38">
        <f t="shared" si="12"/>
        <v>0</v>
      </c>
      <c r="AB63" s="692">
        <f t="shared" si="5"/>
        <v>0</v>
      </c>
      <c r="AC63" s="692">
        <f t="shared" si="6"/>
        <v>0</v>
      </c>
      <c r="AD63" s="692">
        <f t="shared" si="7"/>
        <v>0</v>
      </c>
      <c r="AE63" s="38"/>
      <c r="AF63" s="692">
        <f t="shared" si="8"/>
        <v>0</v>
      </c>
      <c r="AG63" s="692">
        <f t="shared" si="9"/>
        <v>0</v>
      </c>
      <c r="AH63" s="692">
        <f t="shared" si="10"/>
        <v>0</v>
      </c>
    </row>
    <row r="64" spans="1:34">
      <c r="A64" s="20"/>
      <c r="B64" s="20" t="s">
        <v>109</v>
      </c>
      <c r="C64" s="667"/>
      <c r="D64" s="68" t="s">
        <v>373</v>
      </c>
      <c r="E64" s="679"/>
      <c r="F64" s="529" t="str">
        <f>VLOOKUP(D64,'Q4 DMV -  Revenue'!D:T,17,FALSE)</f>
        <v/>
      </c>
      <c r="G64" s="680"/>
      <c r="H64" s="680"/>
      <c r="I64" s="681"/>
      <c r="J64" s="682">
        <f t="shared" si="0"/>
        <v>0</v>
      </c>
      <c r="K64" s="683"/>
      <c r="L64" s="684"/>
      <c r="M64" s="753">
        <v>0</v>
      </c>
      <c r="N64" s="683">
        <v>0</v>
      </c>
      <c r="O64" s="686"/>
      <c r="P64" s="683">
        <v>0</v>
      </c>
      <c r="Q64" s="687">
        <f t="shared" si="1"/>
        <v>0</v>
      </c>
      <c r="R64" s="688"/>
      <c r="S64" s="693"/>
      <c r="T64" s="690" t="str">
        <f t="shared" si="11"/>
        <v/>
      </c>
      <c r="U64" s="683"/>
      <c r="V64" s="474">
        <f t="shared" si="2"/>
        <v>0</v>
      </c>
      <c r="W64" s="474">
        <f t="shared" si="3"/>
        <v>0</v>
      </c>
      <c r="X64" s="475">
        <f t="shared" si="4"/>
        <v>0</v>
      </c>
      <c r="Y64" s="475">
        <v>0</v>
      </c>
      <c r="Z64" s="476">
        <v>0</v>
      </c>
      <c r="AA64" s="38">
        <f t="shared" si="12"/>
        <v>0</v>
      </c>
      <c r="AB64" s="692">
        <f t="shared" si="5"/>
        <v>0</v>
      </c>
      <c r="AC64" s="692">
        <f t="shared" si="6"/>
        <v>0</v>
      </c>
      <c r="AD64" s="692">
        <f t="shared" si="7"/>
        <v>0</v>
      </c>
      <c r="AE64" s="38"/>
      <c r="AF64" s="692">
        <f t="shared" si="8"/>
        <v>0</v>
      </c>
      <c r="AG64" s="692">
        <f t="shared" si="9"/>
        <v>0</v>
      </c>
      <c r="AH64" s="692">
        <f t="shared" si="10"/>
        <v>0</v>
      </c>
    </row>
    <row r="65" spans="1:34">
      <c r="A65" s="20"/>
      <c r="B65" s="20" t="s">
        <v>109</v>
      </c>
      <c r="C65" s="667"/>
      <c r="D65" s="68" t="s">
        <v>374</v>
      </c>
      <c r="E65" s="679"/>
      <c r="F65" s="529" t="str">
        <f>VLOOKUP(D65,'Q4 DMV -  Revenue'!D:T,17,FALSE)</f>
        <v/>
      </c>
      <c r="G65" s="680"/>
      <c r="H65" s="680"/>
      <c r="I65" s="681"/>
      <c r="J65" s="682">
        <f t="shared" si="0"/>
        <v>0</v>
      </c>
      <c r="K65" s="683"/>
      <c r="L65" s="684"/>
      <c r="M65" s="753">
        <v>0</v>
      </c>
      <c r="N65" s="683">
        <v>0</v>
      </c>
      <c r="O65" s="686"/>
      <c r="P65" s="683">
        <v>0</v>
      </c>
      <c r="Q65" s="687">
        <f t="shared" si="1"/>
        <v>0</v>
      </c>
      <c r="R65" s="688"/>
      <c r="S65" s="693"/>
      <c r="T65" s="690" t="str">
        <f t="shared" si="11"/>
        <v/>
      </c>
      <c r="U65" s="683"/>
      <c r="V65" s="474">
        <f t="shared" si="2"/>
        <v>0</v>
      </c>
      <c r="W65" s="474">
        <f t="shared" si="3"/>
        <v>0</v>
      </c>
      <c r="X65" s="475">
        <f t="shared" si="4"/>
        <v>0</v>
      </c>
      <c r="Y65" s="475">
        <v>0</v>
      </c>
      <c r="Z65" s="476">
        <v>0</v>
      </c>
      <c r="AA65" s="38">
        <f t="shared" si="12"/>
        <v>0</v>
      </c>
      <c r="AB65" s="692">
        <f t="shared" si="5"/>
        <v>0</v>
      </c>
      <c r="AC65" s="692">
        <f t="shared" si="6"/>
        <v>0</v>
      </c>
      <c r="AD65" s="692">
        <f t="shared" si="7"/>
        <v>0</v>
      </c>
      <c r="AE65" s="38"/>
      <c r="AF65" s="692">
        <f t="shared" si="8"/>
        <v>0</v>
      </c>
      <c r="AG65" s="692">
        <f t="shared" si="9"/>
        <v>0</v>
      </c>
      <c r="AH65" s="692">
        <f t="shared" si="10"/>
        <v>0</v>
      </c>
    </row>
    <row r="66" spans="1:34">
      <c r="A66" s="20"/>
      <c r="B66" s="20" t="s">
        <v>109</v>
      </c>
      <c r="C66" s="667"/>
      <c r="D66" s="68" t="s">
        <v>375</v>
      </c>
      <c r="E66" s="679"/>
      <c r="F66" s="529" t="str">
        <f>VLOOKUP(D66,'Q4 DMV -  Revenue'!D:T,17,FALSE)</f>
        <v/>
      </c>
      <c r="G66" s="680"/>
      <c r="H66" s="680"/>
      <c r="I66" s="681"/>
      <c r="J66" s="682">
        <f t="shared" si="0"/>
        <v>0</v>
      </c>
      <c r="K66" s="683"/>
      <c r="L66" s="684"/>
      <c r="M66" s="753">
        <v>0</v>
      </c>
      <c r="N66" s="683">
        <v>0</v>
      </c>
      <c r="O66" s="686"/>
      <c r="P66" s="683">
        <v>0</v>
      </c>
      <c r="Q66" s="687">
        <f t="shared" si="1"/>
        <v>0</v>
      </c>
      <c r="R66" s="688"/>
      <c r="S66" s="693"/>
      <c r="T66" s="690" t="str">
        <f t="shared" si="11"/>
        <v/>
      </c>
      <c r="U66" s="683"/>
      <c r="V66" s="474">
        <f t="shared" si="2"/>
        <v>0</v>
      </c>
      <c r="W66" s="474">
        <f t="shared" si="3"/>
        <v>0</v>
      </c>
      <c r="X66" s="475">
        <f t="shared" si="4"/>
        <v>0</v>
      </c>
      <c r="Y66" s="475">
        <v>0</v>
      </c>
      <c r="Z66" s="476">
        <v>0</v>
      </c>
      <c r="AA66" s="38">
        <f t="shared" si="12"/>
        <v>0</v>
      </c>
      <c r="AB66" s="692">
        <f t="shared" si="5"/>
        <v>0</v>
      </c>
      <c r="AC66" s="692">
        <f t="shared" si="6"/>
        <v>0</v>
      </c>
      <c r="AD66" s="692">
        <f t="shared" si="7"/>
        <v>0</v>
      </c>
      <c r="AE66" s="38"/>
      <c r="AF66" s="692">
        <f t="shared" si="8"/>
        <v>0</v>
      </c>
      <c r="AG66" s="692">
        <f t="shared" si="9"/>
        <v>0</v>
      </c>
      <c r="AH66" s="692">
        <f t="shared" si="10"/>
        <v>0</v>
      </c>
    </row>
    <row r="67" spans="1:34">
      <c r="A67" s="21" t="s">
        <v>109</v>
      </c>
      <c r="B67" s="21" t="s">
        <v>110</v>
      </c>
      <c r="C67" s="666"/>
      <c r="D67" s="68" t="s">
        <v>502</v>
      </c>
      <c r="E67" s="679"/>
      <c r="F67" s="529" t="str">
        <f>VLOOKUP(D67,'Q4 DMV -  Revenue'!D:T,17,FALSE)</f>
        <v/>
      </c>
      <c r="G67" s="680"/>
      <c r="H67" s="680"/>
      <c r="I67" s="681"/>
      <c r="J67" s="682">
        <f t="shared" si="0"/>
        <v>0</v>
      </c>
      <c r="K67" s="683"/>
      <c r="L67" s="684"/>
      <c r="M67" s="753">
        <v>0</v>
      </c>
      <c r="N67" s="683">
        <v>0</v>
      </c>
      <c r="O67" s="686"/>
      <c r="P67" s="683">
        <v>0</v>
      </c>
      <c r="Q67" s="687">
        <f t="shared" si="1"/>
        <v>0</v>
      </c>
      <c r="R67" s="688"/>
      <c r="S67" s="693"/>
      <c r="T67" s="690" t="str">
        <f t="shared" si="11"/>
        <v/>
      </c>
      <c r="U67" s="683"/>
      <c r="V67" s="474">
        <f t="shared" si="2"/>
        <v>0</v>
      </c>
      <c r="W67" s="474">
        <f t="shared" si="3"/>
        <v>0</v>
      </c>
      <c r="X67" s="475">
        <f t="shared" si="4"/>
        <v>0</v>
      </c>
      <c r="Y67" s="475">
        <v>0</v>
      </c>
      <c r="Z67" s="476">
        <v>0</v>
      </c>
      <c r="AA67" s="38">
        <f t="shared" si="12"/>
        <v>0</v>
      </c>
      <c r="AB67" s="692">
        <f t="shared" si="5"/>
        <v>0</v>
      </c>
      <c r="AC67" s="692">
        <f t="shared" si="6"/>
        <v>0</v>
      </c>
      <c r="AD67" s="692">
        <f t="shared" si="7"/>
        <v>0</v>
      </c>
      <c r="AE67" s="38"/>
      <c r="AF67" s="692">
        <f t="shared" si="8"/>
        <v>0</v>
      </c>
      <c r="AG67" s="692">
        <f t="shared" si="9"/>
        <v>0</v>
      </c>
      <c r="AH67" s="692">
        <f t="shared" si="10"/>
        <v>0</v>
      </c>
    </row>
    <row r="68" spans="1:34">
      <c r="A68" s="21"/>
      <c r="B68" s="21" t="s">
        <v>110</v>
      </c>
      <c r="C68" s="666" t="s">
        <v>535</v>
      </c>
      <c r="D68" s="123" t="s">
        <v>517</v>
      </c>
      <c r="E68" s="679"/>
      <c r="F68" s="529" t="str">
        <f>VLOOKUP(D68,'Q4 DMV -  Revenue'!D:T,17,FALSE)</f>
        <v/>
      </c>
      <c r="G68" s="737">
        <v>3508.03</v>
      </c>
      <c r="H68" s="680"/>
      <c r="I68" s="681"/>
      <c r="J68" s="682">
        <f t="shared" si="0"/>
        <v>3508.03</v>
      </c>
      <c r="K68" s="683"/>
      <c r="L68" s="684"/>
      <c r="M68" s="753">
        <v>150000</v>
      </c>
      <c r="N68" s="683">
        <v>0</v>
      </c>
      <c r="O68" s="686"/>
      <c r="P68" s="683">
        <v>0</v>
      </c>
      <c r="Q68" s="687">
        <f t="shared" si="1"/>
        <v>150000</v>
      </c>
      <c r="R68" s="688">
        <f>5526.19+9771.2</f>
        <v>15297.39</v>
      </c>
      <c r="S68" s="693"/>
      <c r="T68" s="690">
        <f t="shared" si="11"/>
        <v>-134702.60999999999</v>
      </c>
      <c r="U68" s="697"/>
      <c r="V68" s="474">
        <f t="shared" si="2"/>
        <v>150000</v>
      </c>
      <c r="W68" s="474">
        <f t="shared" si="3"/>
        <v>0</v>
      </c>
      <c r="X68" s="475">
        <f t="shared" si="4"/>
        <v>0</v>
      </c>
      <c r="Y68" s="475">
        <v>0</v>
      </c>
      <c r="Z68" s="476">
        <v>0</v>
      </c>
      <c r="AA68" s="38">
        <f t="shared" si="12"/>
        <v>0</v>
      </c>
      <c r="AB68" s="692">
        <f t="shared" si="5"/>
        <v>3508.03</v>
      </c>
      <c r="AC68" s="692">
        <f t="shared" si="6"/>
        <v>0</v>
      </c>
      <c r="AD68" s="692">
        <f t="shared" si="7"/>
        <v>0</v>
      </c>
      <c r="AE68" s="38"/>
      <c r="AF68" s="692">
        <f t="shared" si="8"/>
        <v>150000</v>
      </c>
      <c r="AG68" s="692">
        <f t="shared" si="9"/>
        <v>0</v>
      </c>
      <c r="AH68" s="692">
        <f t="shared" si="10"/>
        <v>0</v>
      </c>
    </row>
    <row r="69" spans="1:34">
      <c r="A69" s="21"/>
      <c r="B69" s="21" t="s">
        <v>110</v>
      </c>
      <c r="C69" s="666" t="s">
        <v>535</v>
      </c>
      <c r="D69" s="123" t="s">
        <v>437</v>
      </c>
      <c r="E69" s="679"/>
      <c r="F69" s="529" t="str">
        <f>VLOOKUP(D69,'Q4 DMV -  Revenue'!D:T,17,FALSE)</f>
        <v/>
      </c>
      <c r="G69" s="737">
        <v>7694.45</v>
      </c>
      <c r="H69" s="680"/>
      <c r="I69" s="681"/>
      <c r="J69" s="682">
        <f t="shared" si="0"/>
        <v>7694.45</v>
      </c>
      <c r="K69" s="683"/>
      <c r="L69" s="684"/>
      <c r="M69" s="753">
        <v>0</v>
      </c>
      <c r="N69" s="683">
        <v>0</v>
      </c>
      <c r="O69" s="686"/>
      <c r="P69" s="683">
        <v>0</v>
      </c>
      <c r="Q69" s="687">
        <f t="shared" si="1"/>
        <v>0</v>
      </c>
      <c r="R69" s="688">
        <f>10808.41+12310.16</f>
        <v>23118.57</v>
      </c>
      <c r="S69" s="693"/>
      <c r="T69" s="690">
        <f t="shared" si="11"/>
        <v>23118.57</v>
      </c>
      <c r="U69" s="697"/>
      <c r="V69" s="474">
        <f t="shared" si="2"/>
        <v>0</v>
      </c>
      <c r="W69" s="474">
        <f t="shared" si="3"/>
        <v>0</v>
      </c>
      <c r="X69" s="475">
        <f t="shared" si="4"/>
        <v>0</v>
      </c>
      <c r="Y69" s="475">
        <v>0</v>
      </c>
      <c r="Z69" s="476">
        <v>0</v>
      </c>
      <c r="AA69" s="38">
        <f t="shared" si="12"/>
        <v>0</v>
      </c>
      <c r="AB69" s="692">
        <f t="shared" si="5"/>
        <v>7694.45</v>
      </c>
      <c r="AC69" s="692">
        <f t="shared" si="6"/>
        <v>0</v>
      </c>
      <c r="AD69" s="692">
        <f t="shared" si="7"/>
        <v>0</v>
      </c>
      <c r="AE69" s="38"/>
      <c r="AF69" s="692">
        <f t="shared" si="8"/>
        <v>0</v>
      </c>
      <c r="AG69" s="692">
        <f t="shared" si="9"/>
        <v>0</v>
      </c>
      <c r="AH69" s="692">
        <f t="shared" si="10"/>
        <v>0</v>
      </c>
    </row>
    <row r="70" spans="1:34">
      <c r="A70" s="21"/>
      <c r="B70" s="21" t="s">
        <v>110</v>
      </c>
      <c r="C70" s="666" t="s">
        <v>535</v>
      </c>
      <c r="D70" s="123" t="s">
        <v>436</v>
      </c>
      <c r="E70" s="679"/>
      <c r="F70" s="529" t="str">
        <f>VLOOKUP(D70,'Q4 DMV -  Revenue'!D:T,17,FALSE)</f>
        <v/>
      </c>
      <c r="G70" s="737">
        <v>11686.99</v>
      </c>
      <c r="H70" s="680"/>
      <c r="I70" s="681"/>
      <c r="J70" s="682">
        <f t="shared" si="0"/>
        <v>11686.99</v>
      </c>
      <c r="K70" s="683"/>
      <c r="L70" s="684"/>
      <c r="M70" s="753">
        <v>0</v>
      </c>
      <c r="N70" s="683">
        <v>0</v>
      </c>
      <c r="O70" s="686"/>
      <c r="P70" s="683">
        <v>0</v>
      </c>
      <c r="Q70" s="687">
        <f t="shared" si="1"/>
        <v>0</v>
      </c>
      <c r="R70" s="688">
        <f>7184.43+7892.91</f>
        <v>15077.34</v>
      </c>
      <c r="S70" s="693"/>
      <c r="T70" s="690">
        <f t="shared" si="11"/>
        <v>15077.34</v>
      </c>
      <c r="U70" s="697"/>
      <c r="V70" s="474">
        <f t="shared" si="2"/>
        <v>0</v>
      </c>
      <c r="W70" s="474">
        <f t="shared" si="3"/>
        <v>0</v>
      </c>
      <c r="X70" s="475">
        <f t="shared" si="4"/>
        <v>0</v>
      </c>
      <c r="Y70" s="475">
        <v>0</v>
      </c>
      <c r="Z70" s="476">
        <v>0</v>
      </c>
      <c r="AA70" s="38">
        <f t="shared" si="12"/>
        <v>0</v>
      </c>
      <c r="AB70" s="692">
        <f t="shared" si="5"/>
        <v>11686.99</v>
      </c>
      <c r="AC70" s="692">
        <f t="shared" si="6"/>
        <v>0</v>
      </c>
      <c r="AD70" s="692">
        <f t="shared" si="7"/>
        <v>0</v>
      </c>
      <c r="AE70" s="38"/>
      <c r="AF70" s="692">
        <f t="shared" si="8"/>
        <v>0</v>
      </c>
      <c r="AG70" s="692">
        <f t="shared" si="9"/>
        <v>0</v>
      </c>
      <c r="AH70" s="692">
        <f t="shared" si="10"/>
        <v>0</v>
      </c>
    </row>
    <row r="71" spans="1:34">
      <c r="A71" s="21"/>
      <c r="B71" s="21" t="s">
        <v>110</v>
      </c>
      <c r="C71" s="666" t="s">
        <v>535</v>
      </c>
      <c r="D71" s="123" t="s">
        <v>391</v>
      </c>
      <c r="E71" s="679"/>
      <c r="F71" s="529" t="str">
        <f>VLOOKUP(D71,'Q4 DMV -  Revenue'!D:T,17,FALSE)</f>
        <v/>
      </c>
      <c r="G71" s="737">
        <f>1548.51+2123.41</f>
        <v>3671.92</v>
      </c>
      <c r="H71" s="680"/>
      <c r="I71" s="681"/>
      <c r="J71" s="682">
        <f t="shared" si="0"/>
        <v>3671.92</v>
      </c>
      <c r="K71" s="683"/>
      <c r="L71" s="684"/>
      <c r="M71" s="753">
        <v>0</v>
      </c>
      <c r="N71" s="683">
        <v>0</v>
      </c>
      <c r="O71" s="686"/>
      <c r="P71" s="683">
        <v>0</v>
      </c>
      <c r="Q71" s="687">
        <f t="shared" si="1"/>
        <v>0</v>
      </c>
      <c r="R71" s="688">
        <f>2308.94+1277.45+2151.2+1278.88</f>
        <v>7016.47</v>
      </c>
      <c r="S71" s="693"/>
      <c r="T71" s="690">
        <f t="shared" si="11"/>
        <v>7016.47</v>
      </c>
      <c r="U71" s="697"/>
      <c r="V71" s="474">
        <f t="shared" si="2"/>
        <v>0</v>
      </c>
      <c r="W71" s="474">
        <f t="shared" si="3"/>
        <v>0</v>
      </c>
      <c r="X71" s="475">
        <f t="shared" si="4"/>
        <v>0</v>
      </c>
      <c r="Y71" s="475">
        <v>0</v>
      </c>
      <c r="Z71" s="476">
        <v>0</v>
      </c>
      <c r="AA71" s="38">
        <f t="shared" si="12"/>
        <v>0</v>
      </c>
      <c r="AB71" s="692">
        <f t="shared" si="5"/>
        <v>3671.92</v>
      </c>
      <c r="AC71" s="692">
        <f t="shared" si="6"/>
        <v>0</v>
      </c>
      <c r="AD71" s="692">
        <f t="shared" si="7"/>
        <v>0</v>
      </c>
      <c r="AE71" s="38"/>
      <c r="AF71" s="692">
        <f t="shared" si="8"/>
        <v>0</v>
      </c>
      <c r="AG71" s="692">
        <f t="shared" si="9"/>
        <v>0</v>
      </c>
      <c r="AH71" s="692">
        <f t="shared" si="10"/>
        <v>0</v>
      </c>
    </row>
    <row r="72" spans="1:34">
      <c r="A72" s="21"/>
      <c r="B72" s="21" t="s">
        <v>110</v>
      </c>
      <c r="C72" s="666" t="s">
        <v>535</v>
      </c>
      <c r="D72" s="123" t="s">
        <v>392</v>
      </c>
      <c r="E72" s="679"/>
      <c r="F72" s="529" t="str">
        <f>VLOOKUP(D72,'Q4 DMV -  Revenue'!D:T,17,FALSE)</f>
        <v/>
      </c>
      <c r="G72" s="737">
        <v>70310.37</v>
      </c>
      <c r="H72" s="680"/>
      <c r="I72" s="681"/>
      <c r="J72" s="682">
        <f t="shared" si="0"/>
        <v>70310.37</v>
      </c>
      <c r="K72" s="683"/>
      <c r="L72" s="684"/>
      <c r="M72" s="753">
        <v>0</v>
      </c>
      <c r="N72" s="683">
        <v>0</v>
      </c>
      <c r="O72" s="686"/>
      <c r="P72" s="683">
        <v>0</v>
      </c>
      <c r="Q72" s="687">
        <f t="shared" si="1"/>
        <v>0</v>
      </c>
      <c r="R72" s="688">
        <f>61355.12+54966.07</f>
        <v>116321.19</v>
      </c>
      <c r="S72" s="693"/>
      <c r="T72" s="690">
        <f t="shared" si="11"/>
        <v>116321.19</v>
      </c>
      <c r="U72" s="697"/>
      <c r="V72" s="474">
        <f t="shared" si="2"/>
        <v>0</v>
      </c>
      <c r="W72" s="474">
        <f t="shared" si="3"/>
        <v>0</v>
      </c>
      <c r="X72" s="475">
        <f t="shared" si="4"/>
        <v>0</v>
      </c>
      <c r="Y72" s="475">
        <v>0</v>
      </c>
      <c r="Z72" s="476">
        <v>0</v>
      </c>
      <c r="AA72" s="38">
        <f t="shared" si="12"/>
        <v>0</v>
      </c>
      <c r="AB72" s="692">
        <f t="shared" si="5"/>
        <v>70310.37</v>
      </c>
      <c r="AC72" s="692">
        <f t="shared" si="6"/>
        <v>0</v>
      </c>
      <c r="AD72" s="692">
        <f t="shared" si="7"/>
        <v>0</v>
      </c>
      <c r="AE72" s="38"/>
      <c r="AF72" s="692">
        <f t="shared" si="8"/>
        <v>0</v>
      </c>
      <c r="AG72" s="692">
        <f t="shared" si="9"/>
        <v>0</v>
      </c>
      <c r="AH72" s="692">
        <f t="shared" si="10"/>
        <v>0</v>
      </c>
    </row>
    <row r="73" spans="1:34">
      <c r="A73" s="21"/>
      <c r="B73" s="21" t="s">
        <v>110</v>
      </c>
      <c r="C73" s="666" t="s">
        <v>535</v>
      </c>
      <c r="D73" s="123" t="s">
        <v>483</v>
      </c>
      <c r="E73" s="679"/>
      <c r="F73" s="529" t="str">
        <f>VLOOKUP(D73,'Q4 DMV -  Revenue'!D:T,17,FALSE)</f>
        <v/>
      </c>
      <c r="G73" s="680"/>
      <c r="H73" s="680"/>
      <c r="I73" s="681"/>
      <c r="J73" s="682">
        <f t="shared" si="0"/>
        <v>0</v>
      </c>
      <c r="K73" s="683"/>
      <c r="L73" s="684"/>
      <c r="M73" s="753">
        <v>0</v>
      </c>
      <c r="N73" s="683"/>
      <c r="O73" s="686"/>
      <c r="P73" s="683"/>
      <c r="Q73" s="687">
        <f t="shared" si="1"/>
        <v>0</v>
      </c>
      <c r="R73" s="688">
        <f>118.4+2334.06+148.64+3341.34</f>
        <v>5942.4400000000005</v>
      </c>
      <c r="S73" s="693"/>
      <c r="T73" s="690">
        <f t="shared" si="11"/>
        <v>5942.4400000000005</v>
      </c>
      <c r="U73" s="697"/>
      <c r="V73" s="474">
        <f t="shared" si="2"/>
        <v>0</v>
      </c>
      <c r="W73" s="474">
        <f t="shared" si="3"/>
        <v>0</v>
      </c>
      <c r="X73" s="475">
        <f t="shared" si="4"/>
        <v>0</v>
      </c>
      <c r="Y73" s="475">
        <v>0</v>
      </c>
      <c r="Z73" s="476">
        <v>0</v>
      </c>
      <c r="AA73" s="38">
        <f t="shared" si="12"/>
        <v>0</v>
      </c>
      <c r="AB73" s="692">
        <f t="shared" si="5"/>
        <v>0</v>
      </c>
      <c r="AC73" s="692">
        <f t="shared" si="6"/>
        <v>0</v>
      </c>
      <c r="AD73" s="692">
        <f t="shared" si="7"/>
        <v>0</v>
      </c>
      <c r="AE73" s="38"/>
      <c r="AF73" s="692">
        <f t="shared" si="8"/>
        <v>0</v>
      </c>
      <c r="AG73" s="692">
        <f t="shared" si="9"/>
        <v>0</v>
      </c>
      <c r="AH73" s="692">
        <f t="shared" si="10"/>
        <v>0</v>
      </c>
    </row>
    <row r="74" spans="1:34">
      <c r="A74" s="21"/>
      <c r="B74" s="21" t="s">
        <v>110</v>
      </c>
      <c r="C74" s="666"/>
      <c r="D74" s="373" t="s">
        <v>587</v>
      </c>
      <c r="E74" s="679"/>
      <c r="F74" s="529">
        <f>VLOOKUP(D74,'Q4 DMV -  Revenue'!D:T,17,FALSE)</f>
        <v>0</v>
      </c>
      <c r="G74" s="737">
        <v>2138.15</v>
      </c>
      <c r="H74" s="680"/>
      <c r="I74" s="681"/>
      <c r="J74" s="682">
        <f t="shared" ref="J74" si="28">SUM(E74:I74)</f>
        <v>2138.15</v>
      </c>
      <c r="K74" s="683"/>
      <c r="L74" s="684"/>
      <c r="M74" s="753">
        <v>0</v>
      </c>
      <c r="N74" s="683"/>
      <c r="O74" s="686"/>
      <c r="P74" s="683"/>
      <c r="Q74" s="687">
        <f t="shared" si="1"/>
        <v>0</v>
      </c>
      <c r="R74" s="688"/>
      <c r="S74" s="693"/>
      <c r="T74" s="690"/>
      <c r="U74" s="697"/>
      <c r="V74" s="474">
        <f t="shared" si="2"/>
        <v>0</v>
      </c>
      <c r="W74" s="474">
        <f t="shared" si="3"/>
        <v>0</v>
      </c>
      <c r="X74" s="475">
        <f t="shared" si="4"/>
        <v>0</v>
      </c>
      <c r="Y74" s="475">
        <v>0</v>
      </c>
      <c r="Z74" s="476">
        <v>0</v>
      </c>
      <c r="AA74" s="38">
        <f t="shared" si="12"/>
        <v>0</v>
      </c>
      <c r="AB74" s="692">
        <f t="shared" si="5"/>
        <v>2138.15</v>
      </c>
      <c r="AC74" s="692">
        <f t="shared" si="6"/>
        <v>0</v>
      </c>
      <c r="AD74" s="692">
        <f t="shared" si="7"/>
        <v>0</v>
      </c>
      <c r="AE74" s="38"/>
      <c r="AF74" s="692">
        <f t="shared" si="8"/>
        <v>0</v>
      </c>
      <c r="AG74" s="692">
        <f t="shared" si="9"/>
        <v>0</v>
      </c>
      <c r="AH74" s="692">
        <f t="shared" si="10"/>
        <v>0</v>
      </c>
    </row>
    <row r="75" spans="1:34">
      <c r="A75" s="20"/>
      <c r="B75" s="20" t="s">
        <v>110</v>
      </c>
      <c r="C75" s="667" t="s">
        <v>536</v>
      </c>
      <c r="D75" s="68" t="s">
        <v>450</v>
      </c>
      <c r="E75" s="679"/>
      <c r="F75" s="529" t="str">
        <f>VLOOKUP(D75,'Q4 DMV -  Revenue'!D:T,17,FALSE)</f>
        <v/>
      </c>
      <c r="G75" s="694">
        <v>1022</v>
      </c>
      <c r="H75" s="680"/>
      <c r="I75" s="681"/>
      <c r="J75" s="682">
        <f t="shared" si="0"/>
        <v>1022</v>
      </c>
      <c r="K75" s="683"/>
      <c r="L75" s="684"/>
      <c r="M75" s="753">
        <v>0</v>
      </c>
      <c r="N75" s="683">
        <v>0</v>
      </c>
      <c r="O75" s="686"/>
      <c r="P75" s="683">
        <v>0</v>
      </c>
      <c r="Q75" s="687">
        <f t="shared" si="1"/>
        <v>0</v>
      </c>
      <c r="R75" s="688">
        <f>762.4+601.09</f>
        <v>1363.49</v>
      </c>
      <c r="S75" s="693"/>
      <c r="T75" s="690">
        <f t="shared" si="11"/>
        <v>1363.49</v>
      </c>
      <c r="U75" s="683"/>
      <c r="V75" s="474">
        <f t="shared" si="2"/>
        <v>0</v>
      </c>
      <c r="W75" s="474">
        <f t="shared" si="3"/>
        <v>0</v>
      </c>
      <c r="X75" s="475">
        <f t="shared" si="4"/>
        <v>0</v>
      </c>
      <c r="Y75" s="475">
        <v>0</v>
      </c>
      <c r="Z75" s="476">
        <v>0</v>
      </c>
      <c r="AA75" s="38">
        <f t="shared" si="12"/>
        <v>0</v>
      </c>
      <c r="AB75" s="692">
        <f t="shared" si="5"/>
        <v>1022</v>
      </c>
      <c r="AC75" s="692">
        <f t="shared" si="6"/>
        <v>0</v>
      </c>
      <c r="AD75" s="692">
        <f t="shared" si="7"/>
        <v>0</v>
      </c>
      <c r="AE75" s="38"/>
      <c r="AF75" s="692">
        <f t="shared" si="8"/>
        <v>0</v>
      </c>
      <c r="AG75" s="692">
        <f t="shared" si="9"/>
        <v>0</v>
      </c>
      <c r="AH75" s="692">
        <f t="shared" si="10"/>
        <v>0</v>
      </c>
    </row>
    <row r="76" spans="1:34">
      <c r="A76" s="21" t="s">
        <v>109</v>
      </c>
      <c r="B76" s="21" t="s">
        <v>110</v>
      </c>
      <c r="C76" s="666"/>
      <c r="D76" s="68" t="s">
        <v>438</v>
      </c>
      <c r="E76" s="679"/>
      <c r="F76" s="529" t="str">
        <f>VLOOKUP(D76,'Q4 DMV -  Revenue'!D:T,17,FALSE)</f>
        <v/>
      </c>
      <c r="G76" s="680"/>
      <c r="H76" s="680"/>
      <c r="I76" s="681"/>
      <c r="J76" s="682">
        <f t="shared" si="0"/>
        <v>0</v>
      </c>
      <c r="K76" s="683"/>
      <c r="L76" s="684"/>
      <c r="M76" s="753">
        <v>0</v>
      </c>
      <c r="N76" s="683">
        <v>0</v>
      </c>
      <c r="O76" s="686"/>
      <c r="P76" s="683">
        <v>0</v>
      </c>
      <c r="Q76" s="687">
        <f t="shared" si="1"/>
        <v>0</v>
      </c>
      <c r="R76" s="688"/>
      <c r="S76" s="693"/>
      <c r="T76" s="690" t="str">
        <f t="shared" si="11"/>
        <v/>
      </c>
      <c r="U76" s="697"/>
      <c r="V76" s="474">
        <f t="shared" si="2"/>
        <v>0</v>
      </c>
      <c r="W76" s="474">
        <f t="shared" si="3"/>
        <v>0</v>
      </c>
      <c r="X76" s="475">
        <f t="shared" si="4"/>
        <v>0</v>
      </c>
      <c r="Y76" s="475">
        <v>0</v>
      </c>
      <c r="Z76" s="476">
        <v>0</v>
      </c>
      <c r="AA76" s="38">
        <f t="shared" si="12"/>
        <v>0</v>
      </c>
      <c r="AB76" s="692">
        <f t="shared" si="5"/>
        <v>0</v>
      </c>
      <c r="AC76" s="692">
        <f t="shared" si="6"/>
        <v>0</v>
      </c>
      <c r="AD76" s="692">
        <f t="shared" si="7"/>
        <v>0</v>
      </c>
      <c r="AE76" s="38"/>
      <c r="AF76" s="692">
        <f t="shared" si="8"/>
        <v>0</v>
      </c>
      <c r="AG76" s="692">
        <f t="shared" si="9"/>
        <v>0</v>
      </c>
      <c r="AH76" s="692">
        <f t="shared" si="10"/>
        <v>0</v>
      </c>
    </row>
    <row r="77" spans="1:34">
      <c r="A77" s="21"/>
      <c r="B77" s="21" t="s">
        <v>110</v>
      </c>
      <c r="C77" s="666"/>
      <c r="D77" s="68" t="s">
        <v>628</v>
      </c>
      <c r="E77" s="679"/>
      <c r="F77" s="529">
        <v>381.31</v>
      </c>
      <c r="G77" s="680"/>
      <c r="H77" s="680"/>
      <c r="I77" s="681"/>
      <c r="J77" s="682">
        <f t="shared" ref="J77" si="29">SUM(E77:I77)</f>
        <v>381.31</v>
      </c>
      <c r="K77" s="683"/>
      <c r="L77" s="684"/>
      <c r="M77" s="753">
        <v>0</v>
      </c>
      <c r="N77" s="683">
        <v>0</v>
      </c>
      <c r="O77" s="686"/>
      <c r="P77" s="683">
        <v>0</v>
      </c>
      <c r="Q77" s="687">
        <f t="shared" ref="Q77" si="30">L77+M77</f>
        <v>0</v>
      </c>
      <c r="R77" s="688"/>
      <c r="S77" s="693"/>
      <c r="T77" s="690" t="str">
        <f t="shared" ref="T77" si="31">IF(R77="","",R77-Q77)</f>
        <v/>
      </c>
      <c r="U77" s="697"/>
      <c r="V77" s="474">
        <f t="shared" ref="V77" si="32">IF(B77="D",Q77,0)</f>
        <v>0</v>
      </c>
      <c r="W77" s="474">
        <f t="shared" ref="W77" si="33">IF(B77="M",Q77,0)</f>
        <v>0</v>
      </c>
      <c r="X77" s="475">
        <f t="shared" ref="X77" si="34">IF(B77="V",Q77,0)</f>
        <v>0</v>
      </c>
      <c r="Y77" s="475">
        <v>0</v>
      </c>
      <c r="Z77" s="476">
        <v>0</v>
      </c>
      <c r="AA77" s="38">
        <f t="shared" ref="AA77" si="35">(L77+M77)-(V77+W77+X77+Y77+Z77)</f>
        <v>0</v>
      </c>
      <c r="AB77" s="692">
        <f t="shared" ref="AB77" si="36">IF(B77="D",J77,0)</f>
        <v>381.31</v>
      </c>
      <c r="AC77" s="692">
        <f t="shared" ref="AC77" si="37">IF(B77="M",J77,0)</f>
        <v>0</v>
      </c>
      <c r="AD77" s="692">
        <f t="shared" ref="AD77" si="38">IF(B77="V",J77,0)</f>
        <v>0</v>
      </c>
      <c r="AE77" s="38"/>
      <c r="AF77" s="692">
        <f t="shared" ref="AF77" si="39">IF(B77="D",Q77,0)</f>
        <v>0</v>
      </c>
      <c r="AG77" s="692">
        <f t="shared" ref="AG77" si="40">IF(B77="M",Q77,0)</f>
        <v>0</v>
      </c>
      <c r="AH77" s="692">
        <f t="shared" ref="AH77" si="41">IF(B77="V",Q77,0)</f>
        <v>0</v>
      </c>
    </row>
    <row r="78" spans="1:34">
      <c r="A78" s="21"/>
      <c r="B78" s="21" t="s">
        <v>110</v>
      </c>
      <c r="C78" s="666"/>
      <c r="D78" s="68" t="s">
        <v>11</v>
      </c>
      <c r="E78" s="679"/>
      <c r="F78" s="529" t="str">
        <f>VLOOKUP(D78,'Q4 DMV -  Revenue'!D:T,17,FALSE)</f>
        <v/>
      </c>
      <c r="G78" s="680"/>
      <c r="H78" s="680"/>
      <c r="I78" s="681"/>
      <c r="J78" s="682">
        <f t="shared" si="0"/>
        <v>0</v>
      </c>
      <c r="K78" s="683"/>
      <c r="L78" s="684"/>
      <c r="M78" s="753">
        <v>0</v>
      </c>
      <c r="N78" s="683">
        <v>0</v>
      </c>
      <c r="O78" s="686"/>
      <c r="P78" s="683">
        <v>0</v>
      </c>
      <c r="Q78" s="687">
        <f t="shared" si="1"/>
        <v>0</v>
      </c>
      <c r="R78" s="688"/>
      <c r="S78" s="693"/>
      <c r="T78" s="690" t="str">
        <f t="shared" si="11"/>
        <v/>
      </c>
      <c r="U78" s="697"/>
      <c r="V78" s="474">
        <f t="shared" si="2"/>
        <v>0</v>
      </c>
      <c r="W78" s="474">
        <f t="shared" si="3"/>
        <v>0</v>
      </c>
      <c r="X78" s="475">
        <f t="shared" si="4"/>
        <v>0</v>
      </c>
      <c r="Y78" s="475">
        <v>0</v>
      </c>
      <c r="Z78" s="476">
        <v>0</v>
      </c>
      <c r="AA78" s="38">
        <f t="shared" si="12"/>
        <v>0</v>
      </c>
      <c r="AB78" s="692">
        <f t="shared" si="5"/>
        <v>0</v>
      </c>
      <c r="AC78" s="692">
        <f t="shared" si="6"/>
        <v>0</v>
      </c>
      <c r="AD78" s="692">
        <f t="shared" si="7"/>
        <v>0</v>
      </c>
      <c r="AE78" s="38"/>
      <c r="AF78" s="692">
        <f t="shared" si="8"/>
        <v>0</v>
      </c>
      <c r="AG78" s="692">
        <f t="shared" si="9"/>
        <v>0</v>
      </c>
      <c r="AH78" s="692">
        <f t="shared" si="10"/>
        <v>0</v>
      </c>
    </row>
    <row r="79" spans="1:34">
      <c r="A79" s="21"/>
      <c r="B79" s="21" t="s">
        <v>110</v>
      </c>
      <c r="C79" s="666" t="s">
        <v>537</v>
      </c>
      <c r="D79" s="68" t="s">
        <v>12</v>
      </c>
      <c r="E79" s="679"/>
      <c r="F79" s="529" t="str">
        <f>VLOOKUP(D79,'Q4 DMV -  Revenue'!D:T,17,FALSE)</f>
        <v/>
      </c>
      <c r="G79" s="694">
        <v>565.74</v>
      </c>
      <c r="H79" s="680"/>
      <c r="I79" s="681"/>
      <c r="J79" s="682">
        <f t="shared" si="0"/>
        <v>565.74</v>
      </c>
      <c r="K79" s="683"/>
      <c r="L79" s="684"/>
      <c r="M79" s="753">
        <v>0</v>
      </c>
      <c r="N79" s="683">
        <v>0</v>
      </c>
      <c r="O79" s="686"/>
      <c r="P79" s="683">
        <v>0</v>
      </c>
      <c r="Q79" s="687">
        <f t="shared" si="1"/>
        <v>0</v>
      </c>
      <c r="R79" s="688"/>
      <c r="S79" s="693"/>
      <c r="T79" s="690" t="str">
        <f t="shared" si="11"/>
        <v/>
      </c>
      <c r="U79" s="683"/>
      <c r="V79" s="474">
        <f t="shared" si="2"/>
        <v>0</v>
      </c>
      <c r="W79" s="474">
        <f t="shared" si="3"/>
        <v>0</v>
      </c>
      <c r="X79" s="475">
        <f t="shared" si="4"/>
        <v>0</v>
      </c>
      <c r="Y79" s="475">
        <v>0</v>
      </c>
      <c r="Z79" s="476">
        <v>0</v>
      </c>
      <c r="AA79" s="38">
        <f t="shared" si="12"/>
        <v>0</v>
      </c>
      <c r="AB79" s="692">
        <f t="shared" si="5"/>
        <v>565.74</v>
      </c>
      <c r="AC79" s="692">
        <f t="shared" si="6"/>
        <v>0</v>
      </c>
      <c r="AD79" s="692">
        <f t="shared" si="7"/>
        <v>0</v>
      </c>
      <c r="AE79" s="38"/>
      <c r="AF79" s="692">
        <f t="shared" si="8"/>
        <v>0</v>
      </c>
      <c r="AG79" s="692">
        <f t="shared" si="9"/>
        <v>0</v>
      </c>
      <c r="AH79" s="692">
        <f t="shared" si="10"/>
        <v>0</v>
      </c>
    </row>
    <row r="80" spans="1:34" s="232" customFormat="1">
      <c r="A80" s="283" t="s">
        <v>211</v>
      </c>
      <c r="B80" s="283" t="s">
        <v>110</v>
      </c>
      <c r="C80" s="667" t="s">
        <v>538</v>
      </c>
      <c r="D80" s="123" t="s">
        <v>170</v>
      </c>
      <c r="E80" s="679"/>
      <c r="F80" s="529" t="str">
        <f>VLOOKUP(D80,'Q4 DMV -  Revenue'!D:T,17,FALSE)</f>
        <v/>
      </c>
      <c r="G80" s="680"/>
      <c r="H80" s="680"/>
      <c r="I80" s="681"/>
      <c r="J80" s="682">
        <f t="shared" si="0"/>
        <v>0</v>
      </c>
      <c r="K80" s="683"/>
      <c r="L80" s="684"/>
      <c r="M80" s="753">
        <v>300000</v>
      </c>
      <c r="N80" s="683">
        <v>0</v>
      </c>
      <c r="O80" s="686"/>
      <c r="P80" s="683">
        <v>0</v>
      </c>
      <c r="Q80" s="687">
        <f t="shared" si="1"/>
        <v>300000</v>
      </c>
      <c r="R80" s="688">
        <v>263393.08</v>
      </c>
      <c r="S80" s="693"/>
      <c r="T80" s="690">
        <f t="shared" si="11"/>
        <v>-36606.919999999984</v>
      </c>
      <c r="U80" s="683"/>
      <c r="V80" s="474">
        <f t="shared" si="2"/>
        <v>300000</v>
      </c>
      <c r="W80" s="474">
        <f t="shared" si="3"/>
        <v>0</v>
      </c>
      <c r="X80" s="475">
        <f t="shared" si="4"/>
        <v>0</v>
      </c>
      <c r="Y80" s="475">
        <v>0</v>
      </c>
      <c r="Z80" s="476">
        <v>0</v>
      </c>
      <c r="AA80" s="38">
        <f t="shared" si="12"/>
        <v>0</v>
      </c>
      <c r="AB80" s="692">
        <f t="shared" si="5"/>
        <v>0</v>
      </c>
      <c r="AC80" s="692">
        <f t="shared" si="6"/>
        <v>0</v>
      </c>
      <c r="AD80" s="692">
        <f t="shared" si="7"/>
        <v>0</v>
      </c>
      <c r="AE80" s="38"/>
      <c r="AF80" s="692">
        <f t="shared" si="8"/>
        <v>300000</v>
      </c>
      <c r="AG80" s="692">
        <f t="shared" si="9"/>
        <v>0</v>
      </c>
      <c r="AH80" s="692">
        <f t="shared" si="10"/>
        <v>0</v>
      </c>
    </row>
    <row r="81" spans="1:34" s="232" customFormat="1">
      <c r="A81" s="283" t="s">
        <v>211</v>
      </c>
      <c r="B81" s="283" t="s">
        <v>110</v>
      </c>
      <c r="C81" s="667" t="s">
        <v>538</v>
      </c>
      <c r="D81" s="123" t="s">
        <v>171</v>
      </c>
      <c r="E81" s="679"/>
      <c r="F81" s="529" t="str">
        <f>VLOOKUP(D81,'Q4 DMV -  Revenue'!D:T,17,FALSE)</f>
        <v/>
      </c>
      <c r="G81" s="680"/>
      <c r="H81" s="680"/>
      <c r="I81" s="681"/>
      <c r="J81" s="682">
        <f t="shared" si="0"/>
        <v>0</v>
      </c>
      <c r="K81" s="683"/>
      <c r="L81" s="684"/>
      <c r="M81" s="753">
        <v>0</v>
      </c>
      <c r="N81" s="683">
        <v>0</v>
      </c>
      <c r="O81" s="686"/>
      <c r="P81" s="683">
        <v>0</v>
      </c>
      <c r="Q81" s="687">
        <f t="shared" si="1"/>
        <v>0</v>
      </c>
      <c r="R81" s="688">
        <v>1068.31</v>
      </c>
      <c r="S81" s="693"/>
      <c r="T81" s="690">
        <f t="shared" si="11"/>
        <v>1068.31</v>
      </c>
      <c r="U81" s="683"/>
      <c r="V81" s="474">
        <f t="shared" si="2"/>
        <v>0</v>
      </c>
      <c r="W81" s="474">
        <f t="shared" si="3"/>
        <v>0</v>
      </c>
      <c r="X81" s="475">
        <f t="shared" si="4"/>
        <v>0</v>
      </c>
      <c r="Y81" s="475">
        <v>0</v>
      </c>
      <c r="Z81" s="476">
        <v>0</v>
      </c>
      <c r="AA81" s="38">
        <f t="shared" si="12"/>
        <v>0</v>
      </c>
      <c r="AB81" s="692">
        <f t="shared" si="5"/>
        <v>0</v>
      </c>
      <c r="AC81" s="692">
        <f t="shared" si="6"/>
        <v>0</v>
      </c>
      <c r="AD81" s="692">
        <f t="shared" si="7"/>
        <v>0</v>
      </c>
      <c r="AE81" s="38"/>
      <c r="AF81" s="692">
        <f t="shared" si="8"/>
        <v>0</v>
      </c>
      <c r="AG81" s="692">
        <f t="shared" si="9"/>
        <v>0</v>
      </c>
      <c r="AH81" s="692">
        <f t="shared" si="10"/>
        <v>0</v>
      </c>
    </row>
    <row r="82" spans="1:34" s="232" customFormat="1">
      <c r="A82" s="283" t="s">
        <v>211</v>
      </c>
      <c r="B82" s="283" t="s">
        <v>110</v>
      </c>
      <c r="C82" s="667" t="s">
        <v>538</v>
      </c>
      <c r="D82" s="123" t="s">
        <v>13</v>
      </c>
      <c r="E82" s="679"/>
      <c r="F82" s="529" t="str">
        <f>VLOOKUP(D82,'Q4 DMV -  Revenue'!D:T,17,FALSE)</f>
        <v/>
      </c>
      <c r="G82" s="680"/>
      <c r="H82" s="680"/>
      <c r="I82" s="681"/>
      <c r="J82" s="682">
        <f t="shared" si="0"/>
        <v>0</v>
      </c>
      <c r="K82" s="683"/>
      <c r="L82" s="684"/>
      <c r="M82" s="753">
        <v>0</v>
      </c>
      <c r="N82" s="683">
        <v>0</v>
      </c>
      <c r="O82" s="686"/>
      <c r="P82" s="683">
        <v>0</v>
      </c>
      <c r="Q82" s="687">
        <f t="shared" si="1"/>
        <v>0</v>
      </c>
      <c r="R82" s="688">
        <v>73181.5</v>
      </c>
      <c r="S82" s="693"/>
      <c r="T82" s="690">
        <f t="shared" si="11"/>
        <v>73181.5</v>
      </c>
      <c r="U82" s="683"/>
      <c r="V82" s="474">
        <f t="shared" si="2"/>
        <v>0</v>
      </c>
      <c r="W82" s="474">
        <f t="shared" si="3"/>
        <v>0</v>
      </c>
      <c r="X82" s="475">
        <f t="shared" si="4"/>
        <v>0</v>
      </c>
      <c r="Y82" s="475">
        <v>0</v>
      </c>
      <c r="Z82" s="476">
        <v>0</v>
      </c>
      <c r="AA82" s="38">
        <f t="shared" si="12"/>
        <v>0</v>
      </c>
      <c r="AB82" s="692">
        <f t="shared" si="5"/>
        <v>0</v>
      </c>
      <c r="AC82" s="692">
        <f t="shared" si="6"/>
        <v>0</v>
      </c>
      <c r="AD82" s="692">
        <f t="shared" si="7"/>
        <v>0</v>
      </c>
      <c r="AE82" s="38"/>
      <c r="AF82" s="692">
        <f t="shared" si="8"/>
        <v>0</v>
      </c>
      <c r="AG82" s="692">
        <f t="shared" si="9"/>
        <v>0</v>
      </c>
      <c r="AH82" s="692">
        <f t="shared" si="10"/>
        <v>0</v>
      </c>
    </row>
    <row r="83" spans="1:34" s="232" customFormat="1">
      <c r="A83" s="283" t="s">
        <v>211</v>
      </c>
      <c r="B83" s="283" t="s">
        <v>110</v>
      </c>
      <c r="C83" s="667" t="s">
        <v>538</v>
      </c>
      <c r="D83" s="123" t="s">
        <v>172</v>
      </c>
      <c r="E83" s="679"/>
      <c r="F83" s="529" t="str">
        <f>VLOOKUP(D83,'Q4 DMV -  Revenue'!D:T,17,FALSE)</f>
        <v/>
      </c>
      <c r="G83" s="680"/>
      <c r="H83" s="680"/>
      <c r="I83" s="681"/>
      <c r="J83" s="682">
        <f t="shared" si="0"/>
        <v>0</v>
      </c>
      <c r="K83" s="683"/>
      <c r="L83" s="684"/>
      <c r="M83" s="753">
        <v>0</v>
      </c>
      <c r="N83" s="683">
        <v>0</v>
      </c>
      <c r="O83" s="686"/>
      <c r="P83" s="683">
        <v>0</v>
      </c>
      <c r="Q83" s="687">
        <f t="shared" si="1"/>
        <v>0</v>
      </c>
      <c r="R83" s="688">
        <v>14.34</v>
      </c>
      <c r="S83" s="693"/>
      <c r="T83" s="690">
        <f t="shared" si="11"/>
        <v>14.34</v>
      </c>
      <c r="U83" s="683"/>
      <c r="V83" s="474">
        <f t="shared" si="2"/>
        <v>0</v>
      </c>
      <c r="W83" s="474">
        <f t="shared" si="3"/>
        <v>0</v>
      </c>
      <c r="X83" s="475">
        <f t="shared" si="4"/>
        <v>0</v>
      </c>
      <c r="Y83" s="475">
        <v>0</v>
      </c>
      <c r="Z83" s="476">
        <v>0</v>
      </c>
      <c r="AA83" s="38">
        <f t="shared" si="12"/>
        <v>0</v>
      </c>
      <c r="AB83" s="692">
        <f t="shared" si="5"/>
        <v>0</v>
      </c>
      <c r="AC83" s="692">
        <f t="shared" si="6"/>
        <v>0</v>
      </c>
      <c r="AD83" s="692">
        <f t="shared" si="7"/>
        <v>0</v>
      </c>
      <c r="AE83" s="38"/>
      <c r="AF83" s="692">
        <f t="shared" si="8"/>
        <v>0</v>
      </c>
      <c r="AG83" s="692">
        <f t="shared" si="9"/>
        <v>0</v>
      </c>
      <c r="AH83" s="692">
        <f t="shared" si="10"/>
        <v>0</v>
      </c>
    </row>
    <row r="84" spans="1:34" s="232" customFormat="1">
      <c r="A84" s="283" t="s">
        <v>211</v>
      </c>
      <c r="B84" s="283" t="s">
        <v>110</v>
      </c>
      <c r="C84" s="667" t="s">
        <v>538</v>
      </c>
      <c r="D84" s="123" t="s">
        <v>173</v>
      </c>
      <c r="E84" s="679"/>
      <c r="F84" s="529" t="str">
        <f>VLOOKUP(D84,'Q4 DMV -  Revenue'!D:T,17,FALSE)</f>
        <v/>
      </c>
      <c r="G84" s="680"/>
      <c r="H84" s="680"/>
      <c r="I84" s="681"/>
      <c r="J84" s="682">
        <f t="shared" si="0"/>
        <v>0</v>
      </c>
      <c r="K84" s="683"/>
      <c r="L84" s="684"/>
      <c r="M84" s="753">
        <v>0</v>
      </c>
      <c r="N84" s="683">
        <v>0</v>
      </c>
      <c r="O84" s="686"/>
      <c r="P84" s="683">
        <v>0</v>
      </c>
      <c r="Q84" s="687">
        <f t="shared" si="1"/>
        <v>0</v>
      </c>
      <c r="R84" s="688">
        <v>26733.42</v>
      </c>
      <c r="S84" s="693"/>
      <c r="T84" s="690">
        <f t="shared" si="11"/>
        <v>26733.42</v>
      </c>
      <c r="U84" s="683"/>
      <c r="V84" s="474">
        <f t="shared" si="2"/>
        <v>0</v>
      </c>
      <c r="W84" s="474">
        <f t="shared" si="3"/>
        <v>0</v>
      </c>
      <c r="X84" s="475">
        <f t="shared" si="4"/>
        <v>0</v>
      </c>
      <c r="Y84" s="475">
        <v>0</v>
      </c>
      <c r="Z84" s="476">
        <v>0</v>
      </c>
      <c r="AA84" s="38">
        <f t="shared" si="12"/>
        <v>0</v>
      </c>
      <c r="AB84" s="692">
        <f t="shared" si="5"/>
        <v>0</v>
      </c>
      <c r="AC84" s="692">
        <f t="shared" si="6"/>
        <v>0</v>
      </c>
      <c r="AD84" s="692">
        <f t="shared" si="7"/>
        <v>0</v>
      </c>
      <c r="AE84" s="38"/>
      <c r="AF84" s="692">
        <f t="shared" si="8"/>
        <v>0</v>
      </c>
      <c r="AG84" s="692">
        <f t="shared" si="9"/>
        <v>0</v>
      </c>
      <c r="AH84" s="692">
        <f t="shared" si="10"/>
        <v>0</v>
      </c>
    </row>
    <row r="85" spans="1:34" s="232" customFormat="1">
      <c r="A85" s="283" t="s">
        <v>211</v>
      </c>
      <c r="B85" s="283" t="s">
        <v>110</v>
      </c>
      <c r="C85" s="667" t="s">
        <v>538</v>
      </c>
      <c r="D85" s="123" t="s">
        <v>174</v>
      </c>
      <c r="E85" s="679"/>
      <c r="F85" s="529" t="str">
        <f>VLOOKUP(D85,'Q4 DMV -  Revenue'!D:T,17,FALSE)</f>
        <v/>
      </c>
      <c r="G85" s="680"/>
      <c r="H85" s="680"/>
      <c r="I85" s="681"/>
      <c r="J85" s="682">
        <f t="shared" si="0"/>
        <v>0</v>
      </c>
      <c r="K85" s="683"/>
      <c r="L85" s="684"/>
      <c r="M85" s="753">
        <v>0</v>
      </c>
      <c r="N85" s="683">
        <v>0</v>
      </c>
      <c r="O85" s="686"/>
      <c r="P85" s="683">
        <v>0</v>
      </c>
      <c r="Q85" s="687">
        <f t="shared" si="1"/>
        <v>0</v>
      </c>
      <c r="R85" s="688">
        <v>1.51</v>
      </c>
      <c r="S85" s="693"/>
      <c r="T85" s="690">
        <f t="shared" si="11"/>
        <v>1.51</v>
      </c>
      <c r="U85" s="683"/>
      <c r="V85" s="474">
        <f t="shared" si="2"/>
        <v>0</v>
      </c>
      <c r="W85" s="474">
        <f t="shared" si="3"/>
        <v>0</v>
      </c>
      <c r="X85" s="475">
        <f t="shared" si="4"/>
        <v>0</v>
      </c>
      <c r="Y85" s="475">
        <v>0</v>
      </c>
      <c r="Z85" s="476">
        <v>0</v>
      </c>
      <c r="AA85" s="38">
        <f t="shared" si="12"/>
        <v>0</v>
      </c>
      <c r="AB85" s="692">
        <f t="shared" si="5"/>
        <v>0</v>
      </c>
      <c r="AC85" s="692">
        <f t="shared" si="6"/>
        <v>0</v>
      </c>
      <c r="AD85" s="692">
        <f t="shared" si="7"/>
        <v>0</v>
      </c>
      <c r="AE85" s="38"/>
      <c r="AF85" s="692">
        <f t="shared" si="8"/>
        <v>0</v>
      </c>
      <c r="AG85" s="692">
        <f t="shared" si="9"/>
        <v>0</v>
      </c>
      <c r="AH85" s="692">
        <f t="shared" si="10"/>
        <v>0</v>
      </c>
    </row>
    <row r="86" spans="1:34">
      <c r="A86" s="21"/>
      <c r="B86" s="21" t="s">
        <v>109</v>
      </c>
      <c r="C86" s="666"/>
      <c r="D86" s="68" t="s">
        <v>94</v>
      </c>
      <c r="E86" s="679"/>
      <c r="F86" s="529" t="str">
        <f>VLOOKUP(D86,'Q4 DMV -  Revenue'!D:T,17,FALSE)</f>
        <v/>
      </c>
      <c r="G86" s="680"/>
      <c r="H86" s="680"/>
      <c r="I86" s="681"/>
      <c r="J86" s="682">
        <f t="shared" si="0"/>
        <v>0</v>
      </c>
      <c r="K86" s="683"/>
      <c r="L86" s="684"/>
      <c r="M86" s="753">
        <v>0</v>
      </c>
      <c r="N86" s="683">
        <v>0</v>
      </c>
      <c r="O86" s="686"/>
      <c r="P86" s="683">
        <v>0</v>
      </c>
      <c r="Q86" s="687">
        <f t="shared" si="1"/>
        <v>0</v>
      </c>
      <c r="R86" s="688"/>
      <c r="S86" s="693"/>
      <c r="T86" s="690" t="str">
        <f t="shared" si="11"/>
        <v/>
      </c>
      <c r="U86" s="697"/>
      <c r="V86" s="474">
        <f t="shared" si="2"/>
        <v>0</v>
      </c>
      <c r="W86" s="474">
        <f t="shared" si="3"/>
        <v>0</v>
      </c>
      <c r="X86" s="475">
        <f t="shared" si="4"/>
        <v>0</v>
      </c>
      <c r="Y86" s="475">
        <v>0</v>
      </c>
      <c r="Z86" s="476">
        <v>0</v>
      </c>
      <c r="AA86" s="38">
        <f t="shared" si="12"/>
        <v>0</v>
      </c>
      <c r="AB86" s="692">
        <f t="shared" si="5"/>
        <v>0</v>
      </c>
      <c r="AC86" s="692">
        <f t="shared" si="6"/>
        <v>0</v>
      </c>
      <c r="AD86" s="692">
        <f t="shared" si="7"/>
        <v>0</v>
      </c>
      <c r="AE86" s="38"/>
      <c r="AF86" s="692">
        <f t="shared" si="8"/>
        <v>0</v>
      </c>
      <c r="AG86" s="692">
        <f t="shared" si="9"/>
        <v>0</v>
      </c>
      <c r="AH86" s="692">
        <f t="shared" si="10"/>
        <v>0</v>
      </c>
    </row>
    <row r="87" spans="1:34">
      <c r="A87" s="21" t="s">
        <v>109</v>
      </c>
      <c r="B87" s="21" t="s">
        <v>110</v>
      </c>
      <c r="C87" s="666"/>
      <c r="D87" s="68" t="s">
        <v>319</v>
      </c>
      <c r="E87" s="679"/>
      <c r="F87" s="529" t="str">
        <f>VLOOKUP(D87,'Q4 DMV -  Revenue'!D:T,17,FALSE)</f>
        <v/>
      </c>
      <c r="G87" s="680"/>
      <c r="H87" s="680"/>
      <c r="I87" s="681"/>
      <c r="J87" s="682">
        <f t="shared" si="0"/>
        <v>0</v>
      </c>
      <c r="K87" s="683"/>
      <c r="L87" s="684"/>
      <c r="M87" s="753">
        <v>0</v>
      </c>
      <c r="N87" s="683">
        <v>0</v>
      </c>
      <c r="O87" s="686"/>
      <c r="P87" s="683">
        <v>0</v>
      </c>
      <c r="Q87" s="687">
        <f t="shared" si="1"/>
        <v>0</v>
      </c>
      <c r="R87" s="688"/>
      <c r="S87" s="693"/>
      <c r="T87" s="690" t="str">
        <f t="shared" si="11"/>
        <v/>
      </c>
      <c r="U87" s="697"/>
      <c r="V87" s="474">
        <f t="shared" si="2"/>
        <v>0</v>
      </c>
      <c r="W87" s="474">
        <f t="shared" ref="W87:W154" si="42">IF(B87="M",Q87,0)</f>
        <v>0</v>
      </c>
      <c r="X87" s="475">
        <f t="shared" ref="X87:X154" si="43">IF(B87="V",Q87,0)</f>
        <v>0</v>
      </c>
      <c r="Y87" s="475">
        <v>0</v>
      </c>
      <c r="Z87" s="476">
        <v>0</v>
      </c>
      <c r="AA87" s="38">
        <f t="shared" si="12"/>
        <v>0</v>
      </c>
      <c r="AB87" s="692">
        <f t="shared" ref="AB87:AB154" si="44">IF(B87="D",J87,0)</f>
        <v>0</v>
      </c>
      <c r="AC87" s="692">
        <f t="shared" ref="AC87:AC154" si="45">IF(B87="M",J87,0)</f>
        <v>0</v>
      </c>
      <c r="AD87" s="692">
        <f t="shared" ref="AD87:AD154" si="46">IF(B87="V",J87,0)</f>
        <v>0</v>
      </c>
      <c r="AE87" s="38"/>
      <c r="AF87" s="692">
        <f t="shared" ref="AF87:AF154" si="47">IF(B87="D",Q87,0)</f>
        <v>0</v>
      </c>
      <c r="AG87" s="692">
        <f t="shared" ref="AG87:AG154" si="48">IF(B87="M",Q87,0)</f>
        <v>0</v>
      </c>
      <c r="AH87" s="692">
        <f t="shared" ref="AH87:AH154" si="49">IF(B87="V",Q87,0)</f>
        <v>0</v>
      </c>
    </row>
    <row r="88" spans="1:34">
      <c r="A88" s="20" t="s">
        <v>211</v>
      </c>
      <c r="B88" s="20" t="s">
        <v>109</v>
      </c>
      <c r="C88" s="667"/>
      <c r="D88" s="68" t="s">
        <v>14</v>
      </c>
      <c r="E88" s="679">
        <v>59.35</v>
      </c>
      <c r="F88" s="529">
        <f>VLOOKUP(D88,'Q4 DMV -  Revenue'!D:T,17,FALSE)</f>
        <v>47.67</v>
      </c>
      <c r="G88" s="680"/>
      <c r="H88" s="680"/>
      <c r="I88" s="681"/>
      <c r="J88" s="682">
        <f t="shared" ref="J88:J162" si="50">SUM(E88:I88)</f>
        <v>107.02000000000001</v>
      </c>
      <c r="K88" s="683"/>
      <c r="L88" s="684"/>
      <c r="M88" s="753">
        <v>0</v>
      </c>
      <c r="N88" s="683">
        <v>0</v>
      </c>
      <c r="O88" s="686"/>
      <c r="P88" s="683">
        <v>0</v>
      </c>
      <c r="Q88" s="687">
        <f t="shared" si="1"/>
        <v>0</v>
      </c>
      <c r="R88" s="688"/>
      <c r="S88" s="693"/>
      <c r="T88" s="690" t="str">
        <f t="shared" si="11"/>
        <v/>
      </c>
      <c r="U88" s="683"/>
      <c r="V88" s="474">
        <f t="shared" ref="V88:V155" si="51">IF(B88="D",Q88,0)</f>
        <v>0</v>
      </c>
      <c r="W88" s="474">
        <f t="shared" si="42"/>
        <v>0</v>
      </c>
      <c r="X88" s="475">
        <f t="shared" si="43"/>
        <v>0</v>
      </c>
      <c r="Y88" s="475">
        <v>0</v>
      </c>
      <c r="Z88" s="476">
        <v>0</v>
      </c>
      <c r="AA88" s="38">
        <f t="shared" ref="AA88:AA155" si="52">(L88+M88)-(V88+W88+X88+Y88+Z88)</f>
        <v>0</v>
      </c>
      <c r="AB88" s="692">
        <f t="shared" si="44"/>
        <v>0</v>
      </c>
      <c r="AC88" s="692">
        <f t="shared" si="45"/>
        <v>107.02000000000001</v>
      </c>
      <c r="AD88" s="692">
        <f t="shared" si="46"/>
        <v>0</v>
      </c>
      <c r="AE88" s="38"/>
      <c r="AF88" s="692">
        <f t="shared" si="47"/>
        <v>0</v>
      </c>
      <c r="AG88" s="692">
        <f t="shared" si="48"/>
        <v>0</v>
      </c>
      <c r="AH88" s="692">
        <f t="shared" si="49"/>
        <v>0</v>
      </c>
    </row>
    <row r="89" spans="1:34">
      <c r="A89" s="20"/>
      <c r="B89" s="20" t="s">
        <v>110</v>
      </c>
      <c r="C89" s="667"/>
      <c r="D89" s="68" t="s">
        <v>15</v>
      </c>
      <c r="E89" s="679"/>
      <c r="F89" s="529" t="str">
        <f>VLOOKUP(D89,'Q4 DMV -  Revenue'!D:T,17,FALSE)</f>
        <v/>
      </c>
      <c r="G89" s="694">
        <v>9256.82</v>
      </c>
      <c r="H89" s="694">
        <v>9126.48</v>
      </c>
      <c r="I89" s="741">
        <v>9157.3799999999992</v>
      </c>
      <c r="J89" s="682">
        <f t="shared" si="50"/>
        <v>27540.68</v>
      </c>
      <c r="K89" s="683"/>
      <c r="L89" s="684"/>
      <c r="M89" s="753">
        <v>0</v>
      </c>
      <c r="N89" s="683">
        <v>0</v>
      </c>
      <c r="O89" s="686"/>
      <c r="P89" s="683">
        <v>0</v>
      </c>
      <c r="Q89" s="687">
        <f t="shared" si="1"/>
        <v>0</v>
      </c>
      <c r="R89" s="688"/>
      <c r="S89" s="693"/>
      <c r="T89" s="690" t="str">
        <f t="shared" ref="T89:T163" si="53">IF(R89="","",R89-Q89)</f>
        <v/>
      </c>
      <c r="U89" s="683"/>
      <c r="V89" s="474">
        <f t="shared" si="51"/>
        <v>0</v>
      </c>
      <c r="W89" s="474">
        <f t="shared" si="42"/>
        <v>0</v>
      </c>
      <c r="X89" s="475">
        <f t="shared" si="43"/>
        <v>0</v>
      </c>
      <c r="Y89" s="475">
        <v>0</v>
      </c>
      <c r="Z89" s="476">
        <v>0</v>
      </c>
      <c r="AA89" s="38">
        <f t="shared" si="52"/>
        <v>0</v>
      </c>
      <c r="AB89" s="692">
        <f t="shared" si="44"/>
        <v>27540.68</v>
      </c>
      <c r="AC89" s="692">
        <f t="shared" si="45"/>
        <v>0</v>
      </c>
      <c r="AD89" s="692">
        <f t="shared" si="46"/>
        <v>0</v>
      </c>
      <c r="AE89" s="38"/>
      <c r="AF89" s="692">
        <f t="shared" si="47"/>
        <v>0</v>
      </c>
      <c r="AG89" s="692">
        <f t="shared" si="48"/>
        <v>0</v>
      </c>
      <c r="AH89" s="692">
        <f t="shared" si="49"/>
        <v>0</v>
      </c>
    </row>
    <row r="90" spans="1:34">
      <c r="A90" s="20" t="s">
        <v>109</v>
      </c>
      <c r="B90" s="20" t="s">
        <v>109</v>
      </c>
      <c r="C90" s="667" t="s">
        <v>539</v>
      </c>
      <c r="D90" s="68" t="s">
        <v>510</v>
      </c>
      <c r="E90" s="679"/>
      <c r="F90" s="529" t="str">
        <f>VLOOKUP(D90,'Q4 DMV -  Revenue'!D:T,17,FALSE)</f>
        <v/>
      </c>
      <c r="G90" s="680"/>
      <c r="H90" s="680"/>
      <c r="I90" s="681"/>
      <c r="J90" s="682">
        <f t="shared" si="50"/>
        <v>0</v>
      </c>
      <c r="K90" s="683"/>
      <c r="L90" s="684"/>
      <c r="M90" s="753">
        <v>0</v>
      </c>
      <c r="N90" s="683">
        <v>0</v>
      </c>
      <c r="O90" s="686"/>
      <c r="P90" s="683">
        <v>0</v>
      </c>
      <c r="Q90" s="687">
        <f t="shared" si="1"/>
        <v>0</v>
      </c>
      <c r="R90" s="688">
        <f>1455.72+1205.07+1165.17</f>
        <v>3825.96</v>
      </c>
      <c r="S90" s="693"/>
      <c r="T90" s="690">
        <f t="shared" si="53"/>
        <v>3825.96</v>
      </c>
      <c r="U90" s="683"/>
      <c r="V90" s="474">
        <f t="shared" si="51"/>
        <v>0</v>
      </c>
      <c r="W90" s="474">
        <f t="shared" si="42"/>
        <v>0</v>
      </c>
      <c r="X90" s="475">
        <f t="shared" si="43"/>
        <v>0</v>
      </c>
      <c r="Y90" s="475">
        <v>0</v>
      </c>
      <c r="Z90" s="476">
        <v>0</v>
      </c>
      <c r="AA90" s="38">
        <f t="shared" si="52"/>
        <v>0</v>
      </c>
      <c r="AB90" s="692">
        <f t="shared" si="44"/>
        <v>0</v>
      </c>
      <c r="AC90" s="692">
        <f t="shared" si="45"/>
        <v>0</v>
      </c>
      <c r="AD90" s="692">
        <f t="shared" si="46"/>
        <v>0</v>
      </c>
      <c r="AE90" s="38"/>
      <c r="AF90" s="692">
        <f t="shared" si="47"/>
        <v>0</v>
      </c>
      <c r="AG90" s="692">
        <f t="shared" si="48"/>
        <v>0</v>
      </c>
      <c r="AH90" s="692">
        <f t="shared" si="49"/>
        <v>0</v>
      </c>
    </row>
    <row r="91" spans="1:34">
      <c r="A91" s="20"/>
      <c r="B91" s="20" t="s">
        <v>109</v>
      </c>
      <c r="C91" s="667"/>
      <c r="D91" s="68" t="s">
        <v>16</v>
      </c>
      <c r="E91" s="679"/>
      <c r="F91" s="529" t="str">
        <f>VLOOKUP(D91,'Q4 DMV -  Revenue'!D:T,17,FALSE)</f>
        <v/>
      </c>
      <c r="G91" s="680"/>
      <c r="H91" s="694">
        <v>51.97</v>
      </c>
      <c r="I91" s="681"/>
      <c r="J91" s="682">
        <f t="shared" si="50"/>
        <v>51.97</v>
      </c>
      <c r="K91" s="683"/>
      <c r="L91" s="684"/>
      <c r="M91" s="753">
        <v>0</v>
      </c>
      <c r="N91" s="683">
        <v>0</v>
      </c>
      <c r="O91" s="686"/>
      <c r="P91" s="683">
        <v>0</v>
      </c>
      <c r="Q91" s="687">
        <f t="shared" si="1"/>
        <v>0</v>
      </c>
      <c r="R91" s="688"/>
      <c r="S91" s="693"/>
      <c r="T91" s="690" t="str">
        <f t="shared" si="53"/>
        <v/>
      </c>
      <c r="U91" s="683"/>
      <c r="V91" s="474">
        <f t="shared" si="51"/>
        <v>0</v>
      </c>
      <c r="W91" s="474">
        <f t="shared" si="42"/>
        <v>0</v>
      </c>
      <c r="X91" s="475">
        <f t="shared" si="43"/>
        <v>0</v>
      </c>
      <c r="Y91" s="475">
        <v>0</v>
      </c>
      <c r="Z91" s="476">
        <v>0</v>
      </c>
      <c r="AA91" s="38">
        <f t="shared" si="52"/>
        <v>0</v>
      </c>
      <c r="AB91" s="692">
        <f t="shared" si="44"/>
        <v>0</v>
      </c>
      <c r="AC91" s="692">
        <f t="shared" si="45"/>
        <v>51.97</v>
      </c>
      <c r="AD91" s="692">
        <f t="shared" si="46"/>
        <v>0</v>
      </c>
      <c r="AE91" s="38"/>
      <c r="AF91" s="692">
        <f t="shared" si="47"/>
        <v>0</v>
      </c>
      <c r="AG91" s="692">
        <f t="shared" si="48"/>
        <v>0</v>
      </c>
      <c r="AH91" s="692">
        <f t="shared" si="49"/>
        <v>0</v>
      </c>
    </row>
    <row r="92" spans="1:34">
      <c r="A92" s="20"/>
      <c r="B92" s="20" t="s">
        <v>109</v>
      </c>
      <c r="C92" s="667"/>
      <c r="D92" s="68" t="s">
        <v>208</v>
      </c>
      <c r="E92" s="679"/>
      <c r="F92" s="529" t="str">
        <f>VLOOKUP(D92,'Q4 DMV -  Revenue'!D:T,17,FALSE)</f>
        <v/>
      </c>
      <c r="G92" s="680"/>
      <c r="H92" s="680"/>
      <c r="I92" s="681"/>
      <c r="J92" s="682">
        <f t="shared" si="50"/>
        <v>0</v>
      </c>
      <c r="K92" s="683"/>
      <c r="L92" s="684"/>
      <c r="M92" s="753">
        <v>0</v>
      </c>
      <c r="N92" s="683">
        <v>0</v>
      </c>
      <c r="O92" s="686"/>
      <c r="P92" s="683">
        <v>0</v>
      </c>
      <c r="Q92" s="687">
        <f t="shared" si="1"/>
        <v>0</v>
      </c>
      <c r="R92" s="688"/>
      <c r="S92" s="693"/>
      <c r="T92" s="690" t="str">
        <f t="shared" si="53"/>
        <v/>
      </c>
      <c r="U92" s="683"/>
      <c r="V92" s="474">
        <f t="shared" si="51"/>
        <v>0</v>
      </c>
      <c r="W92" s="474">
        <f t="shared" si="42"/>
        <v>0</v>
      </c>
      <c r="X92" s="475">
        <f t="shared" si="43"/>
        <v>0</v>
      </c>
      <c r="Y92" s="475">
        <v>0</v>
      </c>
      <c r="Z92" s="476">
        <v>0</v>
      </c>
      <c r="AA92" s="38">
        <f t="shared" si="52"/>
        <v>0</v>
      </c>
      <c r="AB92" s="692">
        <f t="shared" si="44"/>
        <v>0</v>
      </c>
      <c r="AC92" s="692">
        <f t="shared" si="45"/>
        <v>0</v>
      </c>
      <c r="AD92" s="692">
        <f t="shared" si="46"/>
        <v>0</v>
      </c>
      <c r="AE92" s="38"/>
      <c r="AF92" s="692">
        <f t="shared" si="47"/>
        <v>0</v>
      </c>
      <c r="AG92" s="692">
        <f t="shared" si="48"/>
        <v>0</v>
      </c>
      <c r="AH92" s="692">
        <f t="shared" si="49"/>
        <v>0</v>
      </c>
    </row>
    <row r="93" spans="1:34">
      <c r="A93" s="20"/>
      <c r="B93" s="20" t="s">
        <v>110</v>
      </c>
      <c r="C93" s="667"/>
      <c r="D93" s="68" t="s">
        <v>597</v>
      </c>
      <c r="E93" s="679"/>
      <c r="F93" s="529" t="str">
        <f>VLOOKUP(D93,'Q4 DMV -  Revenue'!D:T,17,FALSE)</f>
        <v/>
      </c>
      <c r="G93" s="694">
        <v>60905.53</v>
      </c>
      <c r="H93" s="694">
        <f>56892.75-1009.5</f>
        <v>55883.25</v>
      </c>
      <c r="I93" s="741">
        <v>73821.09</v>
      </c>
      <c r="J93" s="682">
        <f t="shared" si="50"/>
        <v>190609.87</v>
      </c>
      <c r="K93" s="683"/>
      <c r="L93" s="684"/>
      <c r="M93" s="753">
        <v>0</v>
      </c>
      <c r="N93" s="683">
        <v>0</v>
      </c>
      <c r="O93" s="686"/>
      <c r="P93" s="683">
        <v>0</v>
      </c>
      <c r="Q93" s="687">
        <f t="shared" si="1"/>
        <v>0</v>
      </c>
      <c r="R93" s="688"/>
      <c r="S93" s="693"/>
      <c r="T93" s="690" t="str">
        <f t="shared" si="53"/>
        <v/>
      </c>
      <c r="U93" s="683"/>
      <c r="V93" s="474">
        <f t="shared" si="51"/>
        <v>0</v>
      </c>
      <c r="W93" s="474">
        <f t="shared" si="42"/>
        <v>0</v>
      </c>
      <c r="X93" s="475">
        <f t="shared" si="43"/>
        <v>0</v>
      </c>
      <c r="Y93" s="475">
        <v>0</v>
      </c>
      <c r="Z93" s="476">
        <v>0</v>
      </c>
      <c r="AA93" s="38">
        <f t="shared" si="52"/>
        <v>0</v>
      </c>
      <c r="AB93" s="692">
        <f t="shared" si="44"/>
        <v>190609.87</v>
      </c>
      <c r="AC93" s="692">
        <f t="shared" si="45"/>
        <v>0</v>
      </c>
      <c r="AD93" s="692">
        <f t="shared" si="46"/>
        <v>0</v>
      </c>
      <c r="AE93" s="38"/>
      <c r="AF93" s="692">
        <f t="shared" si="47"/>
        <v>0</v>
      </c>
      <c r="AG93" s="692">
        <f t="shared" si="48"/>
        <v>0</v>
      </c>
      <c r="AH93" s="692">
        <f t="shared" si="49"/>
        <v>0</v>
      </c>
    </row>
    <row r="94" spans="1:34" s="232" customFormat="1">
      <c r="A94" s="283"/>
      <c r="B94" s="283" t="s">
        <v>109</v>
      </c>
      <c r="C94" s="667" t="s">
        <v>540</v>
      </c>
      <c r="D94" s="373" t="s">
        <v>410</v>
      </c>
      <c r="E94" s="679"/>
      <c r="F94" s="529" t="str">
        <f>VLOOKUP(D94,'Q4 DMV -  Revenue'!D:T,17,FALSE)</f>
        <v/>
      </c>
      <c r="G94" s="694">
        <v>3997.6</v>
      </c>
      <c r="H94" s="694">
        <v>3528.1</v>
      </c>
      <c r="I94" s="681"/>
      <c r="J94" s="682">
        <f t="shared" si="50"/>
        <v>7525.7</v>
      </c>
      <c r="K94" s="683"/>
      <c r="L94" s="684"/>
      <c r="M94" s="753">
        <v>4000</v>
      </c>
      <c r="N94" s="683">
        <v>0</v>
      </c>
      <c r="O94" s="686"/>
      <c r="P94" s="683">
        <v>0</v>
      </c>
      <c r="Q94" s="687">
        <f t="shared" si="1"/>
        <v>4000</v>
      </c>
      <c r="R94" s="688">
        <v>0</v>
      </c>
      <c r="S94" s="693"/>
      <c r="T94" s="690">
        <f t="shared" si="53"/>
        <v>-4000</v>
      </c>
      <c r="U94" s="683"/>
      <c r="V94" s="474">
        <f t="shared" si="51"/>
        <v>0</v>
      </c>
      <c r="W94" s="474">
        <f t="shared" si="42"/>
        <v>4000</v>
      </c>
      <c r="X94" s="475">
        <f t="shared" si="43"/>
        <v>0</v>
      </c>
      <c r="Y94" s="475">
        <v>0</v>
      </c>
      <c r="Z94" s="476">
        <v>0</v>
      </c>
      <c r="AA94" s="38">
        <f t="shared" si="52"/>
        <v>0</v>
      </c>
      <c r="AB94" s="692">
        <f t="shared" si="44"/>
        <v>0</v>
      </c>
      <c r="AC94" s="692">
        <f t="shared" si="45"/>
        <v>7525.7</v>
      </c>
      <c r="AD94" s="692">
        <f t="shared" si="46"/>
        <v>0</v>
      </c>
      <c r="AE94" s="38"/>
      <c r="AF94" s="692">
        <f t="shared" si="47"/>
        <v>0</v>
      </c>
      <c r="AG94" s="692">
        <f t="shared" si="48"/>
        <v>4000</v>
      </c>
      <c r="AH94" s="692">
        <f t="shared" si="49"/>
        <v>0</v>
      </c>
    </row>
    <row r="95" spans="1:34" s="232" customFormat="1">
      <c r="A95" s="283"/>
      <c r="B95" s="283" t="s">
        <v>109</v>
      </c>
      <c r="C95" s="667" t="s">
        <v>540</v>
      </c>
      <c r="D95" s="373" t="s">
        <v>413</v>
      </c>
      <c r="E95" s="679"/>
      <c r="F95" s="529" t="str">
        <f>VLOOKUP(D95,'Q4 DMV -  Revenue'!D:T,17,FALSE)</f>
        <v/>
      </c>
      <c r="G95" s="694">
        <v>489.99</v>
      </c>
      <c r="H95" s="694">
        <v>505.58</v>
      </c>
      <c r="I95" s="681"/>
      <c r="J95" s="682">
        <f t="shared" si="50"/>
        <v>995.56999999999994</v>
      </c>
      <c r="K95" s="683"/>
      <c r="L95" s="684"/>
      <c r="M95" s="753">
        <v>0</v>
      </c>
      <c r="N95" s="683">
        <v>0</v>
      </c>
      <c r="O95" s="686"/>
      <c r="P95" s="683">
        <v>0</v>
      </c>
      <c r="Q95" s="687">
        <f t="shared" si="1"/>
        <v>0</v>
      </c>
      <c r="R95" s="688">
        <v>427.72</v>
      </c>
      <c r="S95" s="693"/>
      <c r="T95" s="690">
        <f t="shared" si="53"/>
        <v>427.72</v>
      </c>
      <c r="U95" s="683"/>
      <c r="V95" s="474">
        <f t="shared" si="51"/>
        <v>0</v>
      </c>
      <c r="W95" s="474">
        <f t="shared" si="42"/>
        <v>0</v>
      </c>
      <c r="X95" s="475">
        <f t="shared" si="43"/>
        <v>0</v>
      </c>
      <c r="Y95" s="475">
        <v>0</v>
      </c>
      <c r="Z95" s="476">
        <v>0</v>
      </c>
      <c r="AA95" s="38">
        <f t="shared" si="52"/>
        <v>0</v>
      </c>
      <c r="AB95" s="692">
        <f t="shared" si="44"/>
        <v>0</v>
      </c>
      <c r="AC95" s="692">
        <f t="shared" si="45"/>
        <v>995.56999999999994</v>
      </c>
      <c r="AD95" s="692">
        <f t="shared" si="46"/>
        <v>0</v>
      </c>
      <c r="AE95" s="38"/>
      <c r="AF95" s="692">
        <f t="shared" si="47"/>
        <v>0</v>
      </c>
      <c r="AG95" s="692">
        <f t="shared" si="48"/>
        <v>0</v>
      </c>
      <c r="AH95" s="692">
        <f t="shared" si="49"/>
        <v>0</v>
      </c>
    </row>
    <row r="96" spans="1:34" s="232" customFormat="1">
      <c r="A96" s="283"/>
      <c r="B96" s="283" t="s">
        <v>109</v>
      </c>
      <c r="C96" s="667" t="s">
        <v>540</v>
      </c>
      <c r="D96" s="373" t="s">
        <v>620</v>
      </c>
      <c r="E96" s="679"/>
      <c r="F96" s="529">
        <f>VLOOKUP(D96,'Q4 DMV -  Revenue'!D:T,17,FALSE)</f>
        <v>279.02</v>
      </c>
      <c r="G96" s="694">
        <v>696.79</v>
      </c>
      <c r="H96" s="694">
        <v>379.91</v>
      </c>
      <c r="I96" s="681"/>
      <c r="J96" s="682">
        <f t="shared" ref="J96" si="54">SUM(E96:I96)</f>
        <v>1355.72</v>
      </c>
      <c r="K96" s="683"/>
      <c r="L96" s="684"/>
      <c r="M96" s="753">
        <v>0</v>
      </c>
      <c r="N96" s="683">
        <v>0</v>
      </c>
      <c r="O96" s="686"/>
      <c r="P96" s="683">
        <v>0</v>
      </c>
      <c r="Q96" s="687">
        <f t="shared" ref="Q96" si="55">L96+M96</f>
        <v>0</v>
      </c>
      <c r="R96" s="688">
        <v>393.39</v>
      </c>
      <c r="S96" s="693"/>
      <c r="T96" s="690">
        <f t="shared" ref="T96" si="56">IF(R96="","",R96-Q96)</f>
        <v>393.39</v>
      </c>
      <c r="U96" s="683"/>
      <c r="V96" s="474">
        <f t="shared" ref="V96" si="57">IF(B96="D",Q96,0)</f>
        <v>0</v>
      </c>
      <c r="W96" s="474">
        <f t="shared" ref="W96" si="58">IF(B96="M",Q96,0)</f>
        <v>0</v>
      </c>
      <c r="X96" s="475">
        <f t="shared" ref="X96" si="59">IF(B96="V",Q96,0)</f>
        <v>0</v>
      </c>
      <c r="Y96" s="475">
        <v>0</v>
      </c>
      <c r="Z96" s="476">
        <v>0</v>
      </c>
      <c r="AA96" s="38">
        <f t="shared" ref="AA96" si="60">(L96+M96)-(V96+W96+X96+Y96+Z96)</f>
        <v>0</v>
      </c>
      <c r="AB96" s="692">
        <f t="shared" ref="AB96" si="61">IF(B96="D",J96,0)</f>
        <v>0</v>
      </c>
      <c r="AC96" s="692">
        <f t="shared" ref="AC96" si="62">IF(B96="M",J96,0)</f>
        <v>1355.72</v>
      </c>
      <c r="AD96" s="692">
        <f t="shared" ref="AD96" si="63">IF(B96="V",J96,0)</f>
        <v>0</v>
      </c>
      <c r="AE96" s="38"/>
      <c r="AF96" s="692">
        <f t="shared" ref="AF96" si="64">IF(B96="D",Q96,0)</f>
        <v>0</v>
      </c>
      <c r="AG96" s="692">
        <f t="shared" ref="AG96" si="65">IF(B96="M",Q96,0)</f>
        <v>0</v>
      </c>
      <c r="AH96" s="692">
        <f t="shared" ref="AH96" si="66">IF(B96="V",Q96,0)</f>
        <v>0</v>
      </c>
    </row>
    <row r="97" spans="1:34">
      <c r="A97" s="20"/>
      <c r="B97" s="20" t="s">
        <v>110</v>
      </c>
      <c r="C97" s="667" t="s">
        <v>541</v>
      </c>
      <c r="D97" s="351" t="s">
        <v>507</v>
      </c>
      <c r="E97" s="679"/>
      <c r="F97" s="529" t="str">
        <f>VLOOKUP(D97,'Q4 DMV -  Revenue'!D:T,17,FALSE)</f>
        <v/>
      </c>
      <c r="G97" s="680"/>
      <c r="H97" s="680"/>
      <c r="I97" s="681"/>
      <c r="J97" s="682">
        <f t="shared" si="50"/>
        <v>0</v>
      </c>
      <c r="K97" s="683"/>
      <c r="L97" s="684"/>
      <c r="M97" s="753">
        <v>0</v>
      </c>
      <c r="N97" s="683">
        <v>0</v>
      </c>
      <c r="O97" s="686"/>
      <c r="P97" s="683">
        <v>0</v>
      </c>
      <c r="Q97" s="687">
        <f t="shared" si="1"/>
        <v>0</v>
      </c>
      <c r="R97" s="688"/>
      <c r="S97" s="693"/>
      <c r="T97" s="690" t="str">
        <f t="shared" si="53"/>
        <v/>
      </c>
      <c r="U97" s="683"/>
      <c r="V97" s="474">
        <f t="shared" si="51"/>
        <v>0</v>
      </c>
      <c r="W97" s="474">
        <f t="shared" si="42"/>
        <v>0</v>
      </c>
      <c r="X97" s="475">
        <f t="shared" si="43"/>
        <v>0</v>
      </c>
      <c r="Y97" s="475">
        <v>0</v>
      </c>
      <c r="Z97" s="476">
        <v>0</v>
      </c>
      <c r="AA97" s="38">
        <f t="shared" si="52"/>
        <v>0</v>
      </c>
      <c r="AB97" s="692">
        <f t="shared" si="44"/>
        <v>0</v>
      </c>
      <c r="AC97" s="692">
        <f t="shared" si="45"/>
        <v>0</v>
      </c>
      <c r="AD97" s="692">
        <f t="shared" si="46"/>
        <v>0</v>
      </c>
      <c r="AE97" s="38"/>
      <c r="AF97" s="692">
        <f t="shared" si="47"/>
        <v>0</v>
      </c>
      <c r="AG97" s="692">
        <f t="shared" si="48"/>
        <v>0</v>
      </c>
      <c r="AH97" s="692">
        <f t="shared" si="49"/>
        <v>0</v>
      </c>
    </row>
    <row r="98" spans="1:34">
      <c r="A98" s="20"/>
      <c r="B98" s="20" t="s">
        <v>110</v>
      </c>
      <c r="C98" s="667" t="s">
        <v>541</v>
      </c>
      <c r="D98" s="351" t="s">
        <v>506</v>
      </c>
      <c r="E98" s="679"/>
      <c r="F98" s="529" t="str">
        <f>VLOOKUP(D98,'Q4 DMV -  Revenue'!D:T,17,FALSE)</f>
        <v/>
      </c>
      <c r="G98" s="680"/>
      <c r="H98" s="680"/>
      <c r="I98" s="681"/>
      <c r="J98" s="682">
        <f t="shared" si="50"/>
        <v>0</v>
      </c>
      <c r="K98" s="683"/>
      <c r="L98" s="684"/>
      <c r="M98" s="753">
        <v>0</v>
      </c>
      <c r="N98" s="683">
        <v>0</v>
      </c>
      <c r="O98" s="686"/>
      <c r="P98" s="683">
        <v>0</v>
      </c>
      <c r="Q98" s="687">
        <f t="shared" si="1"/>
        <v>0</v>
      </c>
      <c r="R98" s="688"/>
      <c r="S98" s="693"/>
      <c r="T98" s="690" t="str">
        <f t="shared" si="53"/>
        <v/>
      </c>
      <c r="U98" s="683"/>
      <c r="V98" s="474">
        <f t="shared" si="51"/>
        <v>0</v>
      </c>
      <c r="W98" s="474">
        <f t="shared" si="42"/>
        <v>0</v>
      </c>
      <c r="X98" s="475">
        <f t="shared" si="43"/>
        <v>0</v>
      </c>
      <c r="Y98" s="475">
        <v>0</v>
      </c>
      <c r="Z98" s="476">
        <v>0</v>
      </c>
      <c r="AA98" s="38">
        <f t="shared" si="52"/>
        <v>0</v>
      </c>
      <c r="AB98" s="692">
        <f t="shared" si="44"/>
        <v>0</v>
      </c>
      <c r="AC98" s="692">
        <f t="shared" si="45"/>
        <v>0</v>
      </c>
      <c r="AD98" s="692">
        <f t="shared" si="46"/>
        <v>0</v>
      </c>
      <c r="AE98" s="38"/>
      <c r="AF98" s="692">
        <f t="shared" si="47"/>
        <v>0</v>
      </c>
      <c r="AG98" s="692">
        <f t="shared" si="48"/>
        <v>0</v>
      </c>
      <c r="AH98" s="692">
        <f t="shared" si="49"/>
        <v>0</v>
      </c>
    </row>
    <row r="99" spans="1:34">
      <c r="A99" s="20"/>
      <c r="B99" s="20" t="s">
        <v>110</v>
      </c>
      <c r="C99" s="667"/>
      <c r="D99" s="351" t="s">
        <v>409</v>
      </c>
      <c r="E99" s="679"/>
      <c r="F99" s="529" t="str">
        <f>VLOOKUP(D99,'Q4 DMV -  Revenue'!D:T,17,FALSE)</f>
        <v/>
      </c>
      <c r="G99" s="680"/>
      <c r="H99" s="680"/>
      <c r="I99" s="681"/>
      <c r="J99" s="682">
        <f t="shared" si="50"/>
        <v>0</v>
      </c>
      <c r="K99" s="683"/>
      <c r="L99" s="684"/>
      <c r="M99" s="753">
        <v>0</v>
      </c>
      <c r="N99" s="683">
        <v>0</v>
      </c>
      <c r="O99" s="686"/>
      <c r="P99" s="683">
        <v>0</v>
      </c>
      <c r="Q99" s="687">
        <f t="shared" si="1"/>
        <v>0</v>
      </c>
      <c r="R99" s="688"/>
      <c r="S99" s="693"/>
      <c r="T99" s="690" t="str">
        <f t="shared" si="53"/>
        <v/>
      </c>
      <c r="U99" s="683"/>
      <c r="V99" s="474">
        <f t="shared" si="51"/>
        <v>0</v>
      </c>
      <c r="W99" s="474">
        <f t="shared" si="42"/>
        <v>0</v>
      </c>
      <c r="X99" s="475">
        <f t="shared" si="43"/>
        <v>0</v>
      </c>
      <c r="Y99" s="475">
        <v>0</v>
      </c>
      <c r="Z99" s="476">
        <v>0</v>
      </c>
      <c r="AA99" s="38">
        <f t="shared" si="52"/>
        <v>0</v>
      </c>
      <c r="AB99" s="692">
        <f t="shared" si="44"/>
        <v>0</v>
      </c>
      <c r="AC99" s="692">
        <f t="shared" si="45"/>
        <v>0</v>
      </c>
      <c r="AD99" s="692">
        <f t="shared" si="46"/>
        <v>0</v>
      </c>
      <c r="AE99" s="38"/>
      <c r="AF99" s="692">
        <f t="shared" si="47"/>
        <v>0</v>
      </c>
      <c r="AG99" s="692">
        <f t="shared" si="48"/>
        <v>0</v>
      </c>
      <c r="AH99" s="692">
        <f t="shared" si="49"/>
        <v>0</v>
      </c>
    </row>
    <row r="100" spans="1:34">
      <c r="A100" s="20"/>
      <c r="B100" s="20" t="s">
        <v>110</v>
      </c>
      <c r="C100" s="667" t="s">
        <v>542</v>
      </c>
      <c r="D100" s="68" t="s">
        <v>305</v>
      </c>
      <c r="E100" s="679"/>
      <c r="F100" s="529" t="str">
        <f>VLOOKUP(D100,'Q4 DMV -  Revenue'!D:T,17,FALSE)</f>
        <v/>
      </c>
      <c r="G100" s="694">
        <v>1349.4</v>
      </c>
      <c r="H100" s="694">
        <v>1035.99</v>
      </c>
      <c r="I100" s="741">
        <v>623.30999999999995</v>
      </c>
      <c r="J100" s="682">
        <f t="shared" si="50"/>
        <v>3008.7000000000003</v>
      </c>
      <c r="K100" s="683"/>
      <c r="L100" s="684"/>
      <c r="M100" s="753">
        <v>0</v>
      </c>
      <c r="N100" s="683">
        <v>0</v>
      </c>
      <c r="O100" s="686"/>
      <c r="P100" s="683">
        <v>0</v>
      </c>
      <c r="Q100" s="687">
        <f t="shared" si="1"/>
        <v>0</v>
      </c>
      <c r="R100" s="688"/>
      <c r="S100" s="693"/>
      <c r="T100" s="690" t="str">
        <f t="shared" si="53"/>
        <v/>
      </c>
      <c r="U100" s="683"/>
      <c r="V100" s="474">
        <f t="shared" si="51"/>
        <v>0</v>
      </c>
      <c r="W100" s="474">
        <f t="shared" si="42"/>
        <v>0</v>
      </c>
      <c r="X100" s="475">
        <f t="shared" si="43"/>
        <v>0</v>
      </c>
      <c r="Y100" s="475">
        <v>0</v>
      </c>
      <c r="Z100" s="476">
        <v>0</v>
      </c>
      <c r="AA100" s="38">
        <f t="shared" si="52"/>
        <v>0</v>
      </c>
      <c r="AB100" s="692">
        <f t="shared" si="44"/>
        <v>3008.7000000000003</v>
      </c>
      <c r="AC100" s="692">
        <f t="shared" si="45"/>
        <v>0</v>
      </c>
      <c r="AD100" s="692">
        <f t="shared" si="46"/>
        <v>0</v>
      </c>
      <c r="AE100" s="38"/>
      <c r="AF100" s="692">
        <f t="shared" si="47"/>
        <v>0</v>
      </c>
      <c r="AG100" s="692">
        <f t="shared" si="48"/>
        <v>0</v>
      </c>
      <c r="AH100" s="692">
        <f t="shared" si="49"/>
        <v>0</v>
      </c>
    </row>
    <row r="101" spans="1:34">
      <c r="A101" s="20"/>
      <c r="B101" s="20" t="s">
        <v>110</v>
      </c>
      <c r="C101" s="667" t="s">
        <v>543</v>
      </c>
      <c r="D101" s="68" t="s">
        <v>199</v>
      </c>
      <c r="E101" s="679"/>
      <c r="F101" s="529" t="str">
        <f>VLOOKUP(D101,'Q4 DMV -  Revenue'!D:T,17,FALSE)</f>
        <v/>
      </c>
      <c r="G101" s="680"/>
      <c r="H101" s="680"/>
      <c r="I101" s="681"/>
      <c r="J101" s="682">
        <f t="shared" si="50"/>
        <v>0</v>
      </c>
      <c r="K101" s="683"/>
      <c r="L101" s="684"/>
      <c r="M101" s="753">
        <v>0</v>
      </c>
      <c r="N101" s="683">
        <v>0</v>
      </c>
      <c r="O101" s="686"/>
      <c r="P101" s="683">
        <v>0</v>
      </c>
      <c r="Q101" s="687">
        <f t="shared" si="1"/>
        <v>0</v>
      </c>
      <c r="R101" s="688"/>
      <c r="S101" s="693"/>
      <c r="T101" s="690" t="str">
        <f t="shared" si="53"/>
        <v/>
      </c>
      <c r="U101" s="683"/>
      <c r="V101" s="474">
        <f t="shared" si="51"/>
        <v>0</v>
      </c>
      <c r="W101" s="474">
        <f t="shared" si="42"/>
        <v>0</v>
      </c>
      <c r="X101" s="475">
        <f t="shared" si="43"/>
        <v>0</v>
      </c>
      <c r="Y101" s="475">
        <v>0</v>
      </c>
      <c r="Z101" s="476">
        <v>0</v>
      </c>
      <c r="AA101" s="38">
        <f t="shared" si="52"/>
        <v>0</v>
      </c>
      <c r="AB101" s="692">
        <f t="shared" si="44"/>
        <v>0</v>
      </c>
      <c r="AC101" s="692">
        <f t="shared" si="45"/>
        <v>0</v>
      </c>
      <c r="AD101" s="692">
        <f t="shared" si="46"/>
        <v>0</v>
      </c>
      <c r="AE101" s="38"/>
      <c r="AF101" s="692">
        <f t="shared" si="47"/>
        <v>0</v>
      </c>
      <c r="AG101" s="692">
        <f t="shared" si="48"/>
        <v>0</v>
      </c>
      <c r="AH101" s="692">
        <f t="shared" si="49"/>
        <v>0</v>
      </c>
    </row>
    <row r="102" spans="1:34">
      <c r="A102" s="20"/>
      <c r="B102" s="20" t="s">
        <v>110</v>
      </c>
      <c r="C102" s="667" t="s">
        <v>543</v>
      </c>
      <c r="D102" s="68" t="s">
        <v>200</v>
      </c>
      <c r="E102" s="679"/>
      <c r="F102" s="529" t="str">
        <f>VLOOKUP(D102,'Q4 DMV -  Revenue'!D:T,17,FALSE)</f>
        <v/>
      </c>
      <c r="G102" s="680"/>
      <c r="H102" s="680"/>
      <c r="I102" s="681"/>
      <c r="J102" s="682">
        <f t="shared" si="50"/>
        <v>0</v>
      </c>
      <c r="K102" s="683"/>
      <c r="L102" s="684"/>
      <c r="M102" s="753">
        <v>0</v>
      </c>
      <c r="N102" s="683">
        <v>0</v>
      </c>
      <c r="O102" s="686"/>
      <c r="P102" s="683">
        <v>0</v>
      </c>
      <c r="Q102" s="687">
        <f t="shared" si="1"/>
        <v>0</v>
      </c>
      <c r="R102" s="688"/>
      <c r="S102" s="693"/>
      <c r="T102" s="690" t="str">
        <f t="shared" si="53"/>
        <v/>
      </c>
      <c r="U102" s="683"/>
      <c r="V102" s="474">
        <f t="shared" si="51"/>
        <v>0</v>
      </c>
      <c r="W102" s="474">
        <f t="shared" si="42"/>
        <v>0</v>
      </c>
      <c r="X102" s="475">
        <f t="shared" si="43"/>
        <v>0</v>
      </c>
      <c r="Y102" s="475">
        <v>0</v>
      </c>
      <c r="Z102" s="476">
        <v>0</v>
      </c>
      <c r="AA102" s="38">
        <f t="shared" si="52"/>
        <v>0</v>
      </c>
      <c r="AB102" s="692">
        <f t="shared" si="44"/>
        <v>0</v>
      </c>
      <c r="AC102" s="692">
        <f t="shared" si="45"/>
        <v>0</v>
      </c>
      <c r="AD102" s="692">
        <f t="shared" si="46"/>
        <v>0</v>
      </c>
      <c r="AE102" s="38"/>
      <c r="AF102" s="692">
        <f t="shared" si="47"/>
        <v>0</v>
      </c>
      <c r="AG102" s="692">
        <f t="shared" si="48"/>
        <v>0</v>
      </c>
      <c r="AH102" s="692">
        <f t="shared" si="49"/>
        <v>0</v>
      </c>
    </row>
    <row r="103" spans="1:34">
      <c r="A103" s="20"/>
      <c r="B103" s="20" t="s">
        <v>110</v>
      </c>
      <c r="C103" s="667" t="s">
        <v>543</v>
      </c>
      <c r="D103" s="68" t="s">
        <v>201</v>
      </c>
      <c r="E103" s="679"/>
      <c r="F103" s="529" t="str">
        <f>VLOOKUP(D103,'Q4 DMV -  Revenue'!D:T,17,FALSE)</f>
        <v/>
      </c>
      <c r="G103" s="680"/>
      <c r="H103" s="680"/>
      <c r="I103" s="681"/>
      <c r="J103" s="682">
        <f t="shared" si="50"/>
        <v>0</v>
      </c>
      <c r="K103" s="683"/>
      <c r="L103" s="684"/>
      <c r="M103" s="753">
        <v>0</v>
      </c>
      <c r="N103" s="683">
        <v>0</v>
      </c>
      <c r="O103" s="686"/>
      <c r="P103" s="683">
        <v>0</v>
      </c>
      <c r="Q103" s="687">
        <f t="shared" si="1"/>
        <v>0</v>
      </c>
      <c r="R103" s="688"/>
      <c r="S103" s="693"/>
      <c r="T103" s="690" t="str">
        <f t="shared" si="53"/>
        <v/>
      </c>
      <c r="U103" s="683"/>
      <c r="V103" s="474">
        <f t="shared" si="51"/>
        <v>0</v>
      </c>
      <c r="W103" s="474">
        <f t="shared" si="42"/>
        <v>0</v>
      </c>
      <c r="X103" s="475">
        <f t="shared" si="43"/>
        <v>0</v>
      </c>
      <c r="Y103" s="475">
        <v>0</v>
      </c>
      <c r="Z103" s="476">
        <v>0</v>
      </c>
      <c r="AA103" s="38">
        <f t="shared" si="52"/>
        <v>0</v>
      </c>
      <c r="AB103" s="692">
        <f t="shared" si="44"/>
        <v>0</v>
      </c>
      <c r="AC103" s="692">
        <f t="shared" si="45"/>
        <v>0</v>
      </c>
      <c r="AD103" s="692">
        <f t="shared" si="46"/>
        <v>0</v>
      </c>
      <c r="AE103" s="38"/>
      <c r="AF103" s="692">
        <f t="shared" si="47"/>
        <v>0</v>
      </c>
      <c r="AG103" s="692">
        <f t="shared" si="48"/>
        <v>0</v>
      </c>
      <c r="AH103" s="692">
        <f t="shared" si="49"/>
        <v>0</v>
      </c>
    </row>
    <row r="104" spans="1:34">
      <c r="A104" s="20"/>
      <c r="B104" s="20" t="s">
        <v>110</v>
      </c>
      <c r="C104" s="667"/>
      <c r="D104" s="68" t="s">
        <v>64</v>
      </c>
      <c r="E104" s="679"/>
      <c r="F104" s="529" t="str">
        <f>VLOOKUP(D104,'Q4 DMV -  Revenue'!D:T,17,FALSE)</f>
        <v/>
      </c>
      <c r="G104" s="680"/>
      <c r="H104" s="680"/>
      <c r="I104" s="681"/>
      <c r="J104" s="682">
        <f t="shared" si="50"/>
        <v>0</v>
      </c>
      <c r="K104" s="683"/>
      <c r="L104" s="684"/>
      <c r="M104" s="753">
        <v>0</v>
      </c>
      <c r="N104" s="683">
        <v>0</v>
      </c>
      <c r="O104" s="686"/>
      <c r="P104" s="683">
        <v>0</v>
      </c>
      <c r="Q104" s="687">
        <f t="shared" si="1"/>
        <v>0</v>
      </c>
      <c r="R104" s="688"/>
      <c r="S104" s="693"/>
      <c r="T104" s="690" t="str">
        <f t="shared" si="53"/>
        <v/>
      </c>
      <c r="U104" s="683"/>
      <c r="V104" s="474">
        <f t="shared" si="51"/>
        <v>0</v>
      </c>
      <c r="W104" s="474">
        <f t="shared" si="42"/>
        <v>0</v>
      </c>
      <c r="X104" s="475">
        <f t="shared" si="43"/>
        <v>0</v>
      </c>
      <c r="Y104" s="475">
        <v>0</v>
      </c>
      <c r="Z104" s="476">
        <v>0</v>
      </c>
      <c r="AA104" s="38">
        <f t="shared" si="52"/>
        <v>0</v>
      </c>
      <c r="AB104" s="692">
        <f t="shared" si="44"/>
        <v>0</v>
      </c>
      <c r="AC104" s="692">
        <f t="shared" si="45"/>
        <v>0</v>
      </c>
      <c r="AD104" s="692">
        <f t="shared" si="46"/>
        <v>0</v>
      </c>
      <c r="AE104" s="38"/>
      <c r="AF104" s="692">
        <f t="shared" si="47"/>
        <v>0</v>
      </c>
      <c r="AG104" s="692">
        <f t="shared" si="48"/>
        <v>0</v>
      </c>
      <c r="AH104" s="692">
        <f t="shared" si="49"/>
        <v>0</v>
      </c>
    </row>
    <row r="105" spans="1:34">
      <c r="A105" s="20" t="s">
        <v>211</v>
      </c>
      <c r="B105" s="20" t="s">
        <v>109</v>
      </c>
      <c r="C105" s="667"/>
      <c r="D105" s="68" t="s">
        <v>18</v>
      </c>
      <c r="E105" s="679"/>
      <c r="F105" s="529" t="str">
        <f>VLOOKUP(D105,'Q4 DMV -  Revenue'!D:T,17,FALSE)</f>
        <v/>
      </c>
      <c r="G105" s="680"/>
      <c r="H105" s="680"/>
      <c r="I105" s="681"/>
      <c r="J105" s="682">
        <f t="shared" si="50"/>
        <v>0</v>
      </c>
      <c r="K105" s="683"/>
      <c r="L105" s="684"/>
      <c r="M105" s="753">
        <v>0</v>
      </c>
      <c r="N105" s="683">
        <v>0</v>
      </c>
      <c r="O105" s="686"/>
      <c r="P105" s="683">
        <v>0</v>
      </c>
      <c r="Q105" s="687">
        <f t="shared" si="1"/>
        <v>0</v>
      </c>
      <c r="R105" s="688"/>
      <c r="S105" s="693"/>
      <c r="T105" s="690" t="str">
        <f t="shared" si="53"/>
        <v/>
      </c>
      <c r="U105" s="697"/>
      <c r="V105" s="474">
        <f t="shared" si="51"/>
        <v>0</v>
      </c>
      <c r="W105" s="474">
        <f t="shared" si="42"/>
        <v>0</v>
      </c>
      <c r="X105" s="475">
        <f t="shared" si="43"/>
        <v>0</v>
      </c>
      <c r="Y105" s="475">
        <v>0</v>
      </c>
      <c r="Z105" s="476">
        <v>0</v>
      </c>
      <c r="AA105" s="38">
        <f t="shared" si="52"/>
        <v>0</v>
      </c>
      <c r="AB105" s="692">
        <f t="shared" si="44"/>
        <v>0</v>
      </c>
      <c r="AC105" s="692">
        <f t="shared" si="45"/>
        <v>0</v>
      </c>
      <c r="AD105" s="692">
        <f t="shared" si="46"/>
        <v>0</v>
      </c>
      <c r="AE105" s="38"/>
      <c r="AF105" s="692">
        <f t="shared" si="47"/>
        <v>0</v>
      </c>
      <c r="AG105" s="692">
        <f t="shared" si="48"/>
        <v>0</v>
      </c>
      <c r="AH105" s="692">
        <f t="shared" si="49"/>
        <v>0</v>
      </c>
    </row>
    <row r="106" spans="1:34">
      <c r="A106" s="20" t="s">
        <v>97</v>
      </c>
      <c r="B106" s="20" t="s">
        <v>109</v>
      </c>
      <c r="C106" s="667"/>
      <c r="D106" s="68" t="s">
        <v>19</v>
      </c>
      <c r="E106" s="679"/>
      <c r="F106" s="529" t="str">
        <f>VLOOKUP(D106,'Q4 DMV -  Revenue'!D:T,17,FALSE)</f>
        <v/>
      </c>
      <c r="G106" s="680"/>
      <c r="H106" s="680"/>
      <c r="I106" s="681"/>
      <c r="J106" s="682">
        <f t="shared" si="50"/>
        <v>0</v>
      </c>
      <c r="K106" s="683"/>
      <c r="L106" s="684"/>
      <c r="M106" s="753">
        <v>0</v>
      </c>
      <c r="N106" s="683">
        <v>0</v>
      </c>
      <c r="O106" s="686"/>
      <c r="P106" s="683">
        <v>0</v>
      </c>
      <c r="Q106" s="687">
        <f t="shared" si="1"/>
        <v>0</v>
      </c>
      <c r="R106" s="688"/>
      <c r="S106" s="693"/>
      <c r="T106" s="690" t="str">
        <f t="shared" si="53"/>
        <v/>
      </c>
      <c r="U106" s="683"/>
      <c r="V106" s="474">
        <f t="shared" si="51"/>
        <v>0</v>
      </c>
      <c r="W106" s="474">
        <f t="shared" si="42"/>
        <v>0</v>
      </c>
      <c r="X106" s="475">
        <f t="shared" si="43"/>
        <v>0</v>
      </c>
      <c r="Y106" s="475">
        <v>0</v>
      </c>
      <c r="Z106" s="476">
        <v>0</v>
      </c>
      <c r="AA106" s="38">
        <f t="shared" si="52"/>
        <v>0</v>
      </c>
      <c r="AB106" s="692">
        <f t="shared" si="44"/>
        <v>0</v>
      </c>
      <c r="AC106" s="692">
        <f t="shared" si="45"/>
        <v>0</v>
      </c>
      <c r="AD106" s="692">
        <f t="shared" si="46"/>
        <v>0</v>
      </c>
      <c r="AE106" s="38"/>
      <c r="AF106" s="692">
        <f t="shared" si="47"/>
        <v>0</v>
      </c>
      <c r="AG106" s="692">
        <f t="shared" si="48"/>
        <v>0</v>
      </c>
      <c r="AH106" s="692">
        <f t="shared" si="49"/>
        <v>0</v>
      </c>
    </row>
    <row r="107" spans="1:34">
      <c r="A107" s="20" t="s">
        <v>97</v>
      </c>
      <c r="B107" s="20" t="s">
        <v>109</v>
      </c>
      <c r="C107" s="667"/>
      <c r="D107" s="68" t="s">
        <v>463</v>
      </c>
      <c r="E107" s="679"/>
      <c r="F107" s="529" t="str">
        <f>VLOOKUP(D107,'Q4 DMV -  Revenue'!D:T,17,FALSE)</f>
        <v/>
      </c>
      <c r="G107" s="680"/>
      <c r="H107" s="680"/>
      <c r="I107" s="681"/>
      <c r="J107" s="682">
        <f t="shared" si="50"/>
        <v>0</v>
      </c>
      <c r="K107" s="683"/>
      <c r="L107" s="684"/>
      <c r="M107" s="753">
        <v>0</v>
      </c>
      <c r="N107" s="683">
        <v>0</v>
      </c>
      <c r="O107" s="686"/>
      <c r="P107" s="683">
        <v>0</v>
      </c>
      <c r="Q107" s="687">
        <f t="shared" si="1"/>
        <v>0</v>
      </c>
      <c r="R107" s="688"/>
      <c r="S107" s="693"/>
      <c r="T107" s="690" t="str">
        <f t="shared" si="53"/>
        <v/>
      </c>
      <c r="U107" s="683"/>
      <c r="V107" s="474">
        <f t="shared" si="51"/>
        <v>0</v>
      </c>
      <c r="W107" s="474">
        <f t="shared" si="42"/>
        <v>0</v>
      </c>
      <c r="X107" s="475">
        <f t="shared" si="43"/>
        <v>0</v>
      </c>
      <c r="Y107" s="475">
        <v>0</v>
      </c>
      <c r="Z107" s="476">
        <v>0</v>
      </c>
      <c r="AA107" s="38">
        <f t="shared" si="52"/>
        <v>0</v>
      </c>
      <c r="AB107" s="692">
        <f t="shared" si="44"/>
        <v>0</v>
      </c>
      <c r="AC107" s="692">
        <f t="shared" si="45"/>
        <v>0</v>
      </c>
      <c r="AD107" s="692">
        <f t="shared" si="46"/>
        <v>0</v>
      </c>
      <c r="AE107" s="38"/>
      <c r="AF107" s="692">
        <f t="shared" si="47"/>
        <v>0</v>
      </c>
      <c r="AG107" s="692">
        <f t="shared" si="48"/>
        <v>0</v>
      </c>
      <c r="AH107" s="692">
        <f t="shared" si="49"/>
        <v>0</v>
      </c>
    </row>
    <row r="108" spans="1:34">
      <c r="A108" s="20" t="s">
        <v>97</v>
      </c>
      <c r="B108" s="20" t="s">
        <v>114</v>
      </c>
      <c r="C108" s="667"/>
      <c r="D108" s="68" t="s">
        <v>387</v>
      </c>
      <c r="E108" s="679"/>
      <c r="F108" s="529">
        <f>VLOOKUP(D108,'Q4 DMV -  Revenue'!D:T,17,FALSE)</f>
        <v>24173.66</v>
      </c>
      <c r="G108" s="680"/>
      <c r="H108" s="680"/>
      <c r="I108" s="681"/>
      <c r="J108" s="682">
        <f t="shared" si="50"/>
        <v>24173.66</v>
      </c>
      <c r="K108" s="683"/>
      <c r="L108" s="684"/>
      <c r="M108" s="753">
        <v>25000</v>
      </c>
      <c r="N108" s="683">
        <v>0</v>
      </c>
      <c r="O108" s="686"/>
      <c r="P108" s="683">
        <v>0</v>
      </c>
      <c r="Q108" s="687">
        <f t="shared" si="1"/>
        <v>25000</v>
      </c>
      <c r="R108" s="688">
        <v>0</v>
      </c>
      <c r="S108" s="693"/>
      <c r="T108" s="690">
        <f t="shared" si="53"/>
        <v>-25000</v>
      </c>
      <c r="U108" s="683"/>
      <c r="V108" s="474">
        <f t="shared" si="51"/>
        <v>0</v>
      </c>
      <c r="W108" s="474">
        <f t="shared" si="42"/>
        <v>0</v>
      </c>
      <c r="X108" s="475">
        <f t="shared" si="43"/>
        <v>25000</v>
      </c>
      <c r="Y108" s="475">
        <v>0</v>
      </c>
      <c r="Z108" s="476">
        <v>0</v>
      </c>
      <c r="AA108" s="38">
        <f t="shared" si="52"/>
        <v>0</v>
      </c>
      <c r="AB108" s="692">
        <f t="shared" si="44"/>
        <v>0</v>
      </c>
      <c r="AC108" s="692">
        <f t="shared" si="45"/>
        <v>0</v>
      </c>
      <c r="AD108" s="692">
        <f t="shared" si="46"/>
        <v>24173.66</v>
      </c>
      <c r="AE108" s="38"/>
      <c r="AF108" s="692">
        <f t="shared" si="47"/>
        <v>0</v>
      </c>
      <c r="AG108" s="692">
        <f t="shared" si="48"/>
        <v>0</v>
      </c>
      <c r="AH108" s="692">
        <f t="shared" si="49"/>
        <v>25000</v>
      </c>
    </row>
    <row r="109" spans="1:34">
      <c r="A109" s="20" t="s">
        <v>97</v>
      </c>
      <c r="B109" s="20" t="s">
        <v>114</v>
      </c>
      <c r="C109" s="667"/>
      <c r="D109" s="68" t="s">
        <v>482</v>
      </c>
      <c r="E109" s="679"/>
      <c r="F109" s="529" t="str">
        <f>VLOOKUP(D109,'Q4 DMV -  Revenue'!D:T,17,FALSE)</f>
        <v/>
      </c>
      <c r="G109" s="680"/>
      <c r="H109" s="680"/>
      <c r="I109" s="681"/>
      <c r="J109" s="682">
        <f t="shared" si="50"/>
        <v>0</v>
      </c>
      <c r="K109" s="683"/>
      <c r="L109" s="684"/>
      <c r="M109" s="753">
        <v>0</v>
      </c>
      <c r="N109" s="683"/>
      <c r="O109" s="686"/>
      <c r="P109" s="683"/>
      <c r="Q109" s="687">
        <f t="shared" si="1"/>
        <v>0</v>
      </c>
      <c r="R109" s="688"/>
      <c r="S109" s="693"/>
      <c r="T109" s="690" t="str">
        <f t="shared" si="53"/>
        <v/>
      </c>
      <c r="U109" s="683"/>
      <c r="V109" s="474">
        <f t="shared" si="51"/>
        <v>0</v>
      </c>
      <c r="W109" s="474">
        <f t="shared" si="42"/>
        <v>0</v>
      </c>
      <c r="X109" s="475">
        <f t="shared" si="43"/>
        <v>0</v>
      </c>
      <c r="Y109" s="475">
        <v>0</v>
      </c>
      <c r="Z109" s="476">
        <v>0</v>
      </c>
      <c r="AA109" s="38">
        <f t="shared" si="52"/>
        <v>0</v>
      </c>
      <c r="AB109" s="692">
        <f t="shared" si="44"/>
        <v>0</v>
      </c>
      <c r="AC109" s="692">
        <f t="shared" si="45"/>
        <v>0</v>
      </c>
      <c r="AD109" s="692">
        <f t="shared" si="46"/>
        <v>0</v>
      </c>
      <c r="AE109" s="38"/>
      <c r="AF109" s="692">
        <f t="shared" si="47"/>
        <v>0</v>
      </c>
      <c r="AG109" s="692">
        <f t="shared" si="48"/>
        <v>0</v>
      </c>
      <c r="AH109" s="692">
        <f t="shared" si="49"/>
        <v>0</v>
      </c>
    </row>
    <row r="110" spans="1:34">
      <c r="A110" s="20" t="s">
        <v>109</v>
      </c>
      <c r="B110" s="20" t="s">
        <v>109</v>
      </c>
      <c r="C110" s="667"/>
      <c r="D110" s="68" t="s">
        <v>66</v>
      </c>
      <c r="E110" s="679"/>
      <c r="F110" s="529" t="str">
        <f>VLOOKUP(D110,'Q4 DMV -  Revenue'!D:T,17,FALSE)</f>
        <v/>
      </c>
      <c r="G110" s="680"/>
      <c r="H110" s="680"/>
      <c r="I110" s="681"/>
      <c r="J110" s="682">
        <f t="shared" si="50"/>
        <v>0</v>
      </c>
      <c r="K110" s="683"/>
      <c r="L110" s="684"/>
      <c r="M110" s="753">
        <v>0</v>
      </c>
      <c r="N110" s="683">
        <v>0</v>
      </c>
      <c r="O110" s="686"/>
      <c r="P110" s="683">
        <v>0</v>
      </c>
      <c r="Q110" s="687">
        <f t="shared" si="1"/>
        <v>0</v>
      </c>
      <c r="R110" s="688"/>
      <c r="S110" s="693"/>
      <c r="T110" s="690" t="str">
        <f t="shared" si="53"/>
        <v/>
      </c>
      <c r="U110" s="683"/>
      <c r="V110" s="474">
        <f t="shared" si="51"/>
        <v>0</v>
      </c>
      <c r="W110" s="474">
        <f t="shared" si="42"/>
        <v>0</v>
      </c>
      <c r="X110" s="475">
        <f t="shared" si="43"/>
        <v>0</v>
      </c>
      <c r="Y110" s="475">
        <v>0</v>
      </c>
      <c r="Z110" s="476">
        <v>0</v>
      </c>
      <c r="AA110" s="38">
        <f t="shared" si="52"/>
        <v>0</v>
      </c>
      <c r="AB110" s="692">
        <f t="shared" si="44"/>
        <v>0</v>
      </c>
      <c r="AC110" s="692">
        <f t="shared" si="45"/>
        <v>0</v>
      </c>
      <c r="AD110" s="692">
        <f t="shared" si="46"/>
        <v>0</v>
      </c>
      <c r="AE110" s="38"/>
      <c r="AF110" s="692">
        <f t="shared" si="47"/>
        <v>0</v>
      </c>
      <c r="AG110" s="692">
        <f t="shared" si="48"/>
        <v>0</v>
      </c>
      <c r="AH110" s="692">
        <f t="shared" si="49"/>
        <v>0</v>
      </c>
    </row>
    <row r="111" spans="1:34">
      <c r="A111" s="20" t="s">
        <v>109</v>
      </c>
      <c r="B111" s="20" t="s">
        <v>109</v>
      </c>
      <c r="C111" s="667" t="s">
        <v>544</v>
      </c>
      <c r="D111" s="68" t="s">
        <v>383</v>
      </c>
      <c r="E111" s="679">
        <v>280.95</v>
      </c>
      <c r="F111" s="529">
        <f>VLOOKUP(D111,'Q4 DMV -  Revenue'!D:T,17,FALSE)</f>
        <v>-2174.35</v>
      </c>
      <c r="G111" s="694">
        <v>245.65</v>
      </c>
      <c r="H111" s="680"/>
      <c r="I111" s="741">
        <v>155.69</v>
      </c>
      <c r="J111" s="682">
        <f t="shared" si="50"/>
        <v>-1492.0599999999997</v>
      </c>
      <c r="K111" s="683"/>
      <c r="L111" s="684"/>
      <c r="M111" s="753">
        <v>0</v>
      </c>
      <c r="N111" s="683">
        <v>0</v>
      </c>
      <c r="O111" s="686"/>
      <c r="P111" s="683">
        <v>0</v>
      </c>
      <c r="Q111" s="687">
        <f t="shared" si="1"/>
        <v>0</v>
      </c>
      <c r="R111" s="688">
        <v>167.97</v>
      </c>
      <c r="S111" s="693"/>
      <c r="T111" s="690">
        <f t="shared" si="53"/>
        <v>167.97</v>
      </c>
      <c r="U111" s="683"/>
      <c r="V111" s="474">
        <f t="shared" si="51"/>
        <v>0</v>
      </c>
      <c r="W111" s="474">
        <f t="shared" si="42"/>
        <v>0</v>
      </c>
      <c r="X111" s="475">
        <f t="shared" si="43"/>
        <v>0</v>
      </c>
      <c r="Y111" s="475">
        <v>0</v>
      </c>
      <c r="Z111" s="476">
        <v>0</v>
      </c>
      <c r="AA111" s="38">
        <f t="shared" si="52"/>
        <v>0</v>
      </c>
      <c r="AB111" s="692">
        <f t="shared" si="44"/>
        <v>0</v>
      </c>
      <c r="AC111" s="692">
        <f t="shared" si="45"/>
        <v>-1492.0599999999997</v>
      </c>
      <c r="AD111" s="692">
        <f t="shared" si="46"/>
        <v>0</v>
      </c>
      <c r="AE111" s="38"/>
      <c r="AF111" s="692">
        <f t="shared" si="47"/>
        <v>0</v>
      </c>
      <c r="AG111" s="692">
        <f t="shared" si="48"/>
        <v>0</v>
      </c>
      <c r="AH111" s="692">
        <f t="shared" si="49"/>
        <v>0</v>
      </c>
    </row>
    <row r="112" spans="1:34">
      <c r="A112" s="21" t="s">
        <v>109</v>
      </c>
      <c r="B112" s="21" t="s">
        <v>110</v>
      </c>
      <c r="C112" s="666"/>
      <c r="D112" s="68" t="s">
        <v>65</v>
      </c>
      <c r="E112" s="679"/>
      <c r="F112" s="529" t="str">
        <f>VLOOKUP(D112,'Q4 DMV -  Revenue'!D:T,17,FALSE)</f>
        <v/>
      </c>
      <c r="G112" s="680"/>
      <c r="H112" s="680"/>
      <c r="I112" s="681"/>
      <c r="J112" s="682">
        <f t="shared" si="50"/>
        <v>0</v>
      </c>
      <c r="K112" s="683"/>
      <c r="L112" s="684"/>
      <c r="M112" s="753">
        <v>0</v>
      </c>
      <c r="N112" s="683">
        <v>0</v>
      </c>
      <c r="O112" s="686"/>
      <c r="P112" s="683">
        <v>0</v>
      </c>
      <c r="Q112" s="687">
        <f t="shared" si="1"/>
        <v>0</v>
      </c>
      <c r="R112" s="688"/>
      <c r="S112" s="693"/>
      <c r="T112" s="690" t="str">
        <f t="shared" si="53"/>
        <v/>
      </c>
      <c r="U112" s="683"/>
      <c r="V112" s="474">
        <f t="shared" si="51"/>
        <v>0</v>
      </c>
      <c r="W112" s="474">
        <f t="shared" si="42"/>
        <v>0</v>
      </c>
      <c r="X112" s="475">
        <f t="shared" si="43"/>
        <v>0</v>
      </c>
      <c r="Y112" s="475">
        <v>0</v>
      </c>
      <c r="Z112" s="476">
        <v>0</v>
      </c>
      <c r="AA112" s="38">
        <f t="shared" si="52"/>
        <v>0</v>
      </c>
      <c r="AB112" s="692">
        <f t="shared" si="44"/>
        <v>0</v>
      </c>
      <c r="AC112" s="692">
        <f t="shared" si="45"/>
        <v>0</v>
      </c>
      <c r="AD112" s="692">
        <f t="shared" si="46"/>
        <v>0</v>
      </c>
      <c r="AE112" s="38"/>
      <c r="AF112" s="692">
        <f t="shared" si="47"/>
        <v>0</v>
      </c>
      <c r="AG112" s="692">
        <f t="shared" si="48"/>
        <v>0</v>
      </c>
      <c r="AH112" s="692">
        <f t="shared" si="49"/>
        <v>0</v>
      </c>
    </row>
    <row r="113" spans="1:34">
      <c r="A113" s="21" t="s">
        <v>211</v>
      </c>
      <c r="B113" s="21" t="s">
        <v>109</v>
      </c>
      <c r="C113" s="666" t="s">
        <v>545</v>
      </c>
      <c r="D113" s="68" t="s">
        <v>181</v>
      </c>
      <c r="E113" s="679">
        <v>592.13</v>
      </c>
      <c r="F113" s="529">
        <f>VLOOKUP(D113,'Q4 DMV -  Revenue'!D:T,17,FALSE)</f>
        <v>-406.95000000000073</v>
      </c>
      <c r="G113" s="680"/>
      <c r="H113" s="680"/>
      <c r="I113" s="681"/>
      <c r="J113" s="682">
        <f t="shared" si="50"/>
        <v>185.17999999999927</v>
      </c>
      <c r="K113" s="683"/>
      <c r="L113" s="684"/>
      <c r="M113" s="753">
        <v>12000</v>
      </c>
      <c r="N113" s="683">
        <v>0</v>
      </c>
      <c r="O113" s="686"/>
      <c r="P113" s="683">
        <v>0</v>
      </c>
      <c r="Q113" s="687">
        <f t="shared" si="1"/>
        <v>12000</v>
      </c>
      <c r="R113" s="688">
        <v>0</v>
      </c>
      <c r="S113" s="693"/>
      <c r="T113" s="690">
        <f t="shared" si="53"/>
        <v>-12000</v>
      </c>
      <c r="U113" s="683"/>
      <c r="V113" s="474">
        <f t="shared" si="51"/>
        <v>0</v>
      </c>
      <c r="W113" s="474">
        <f t="shared" si="42"/>
        <v>12000</v>
      </c>
      <c r="X113" s="475">
        <f t="shared" si="43"/>
        <v>0</v>
      </c>
      <c r="Y113" s="475">
        <v>0</v>
      </c>
      <c r="Z113" s="476">
        <v>0</v>
      </c>
      <c r="AA113" s="38">
        <f t="shared" si="52"/>
        <v>0</v>
      </c>
      <c r="AB113" s="692">
        <v>115.57</v>
      </c>
      <c r="AC113" s="692">
        <f>IF(B113="M",J113,0)-AB113</f>
        <v>69.609999999999275</v>
      </c>
      <c r="AD113" s="692">
        <f t="shared" si="46"/>
        <v>0</v>
      </c>
      <c r="AE113" s="38"/>
      <c r="AF113" s="692">
        <f t="shared" si="47"/>
        <v>0</v>
      </c>
      <c r="AG113" s="692">
        <f t="shared" si="48"/>
        <v>12000</v>
      </c>
      <c r="AH113" s="692">
        <f t="shared" si="49"/>
        <v>0</v>
      </c>
    </row>
    <row r="114" spans="1:34">
      <c r="A114" s="21" t="s">
        <v>211</v>
      </c>
      <c r="B114" s="21" t="s">
        <v>110</v>
      </c>
      <c r="C114" s="666"/>
      <c r="D114" s="68" t="s">
        <v>504</v>
      </c>
      <c r="E114" s="679"/>
      <c r="F114" s="529" t="str">
        <f>VLOOKUP(D114,'Q4 DMV -  Revenue'!D:T,17,FALSE)</f>
        <v/>
      </c>
      <c r="G114" s="680"/>
      <c r="H114" s="680"/>
      <c r="I114" s="681"/>
      <c r="J114" s="682">
        <f t="shared" si="50"/>
        <v>0</v>
      </c>
      <c r="K114" s="683"/>
      <c r="L114" s="684"/>
      <c r="M114" s="753">
        <v>0</v>
      </c>
      <c r="N114" s="683">
        <v>0</v>
      </c>
      <c r="O114" s="686"/>
      <c r="P114" s="683">
        <v>0</v>
      </c>
      <c r="Q114" s="687">
        <f t="shared" si="1"/>
        <v>0</v>
      </c>
      <c r="R114" s="688"/>
      <c r="S114" s="693"/>
      <c r="T114" s="690" t="str">
        <f t="shared" si="53"/>
        <v/>
      </c>
      <c r="U114" s="683"/>
      <c r="V114" s="474">
        <f t="shared" si="51"/>
        <v>0</v>
      </c>
      <c r="W114" s="474">
        <f t="shared" si="42"/>
        <v>0</v>
      </c>
      <c r="X114" s="475">
        <f t="shared" si="43"/>
        <v>0</v>
      </c>
      <c r="Y114" s="475">
        <v>0</v>
      </c>
      <c r="Z114" s="476">
        <v>0</v>
      </c>
      <c r="AA114" s="38">
        <f t="shared" si="52"/>
        <v>0</v>
      </c>
      <c r="AB114" s="692">
        <f t="shared" si="44"/>
        <v>0</v>
      </c>
      <c r="AC114" s="692">
        <f t="shared" si="45"/>
        <v>0</v>
      </c>
      <c r="AD114" s="692">
        <f t="shared" si="46"/>
        <v>0</v>
      </c>
      <c r="AE114" s="38"/>
      <c r="AF114" s="692">
        <f t="shared" si="47"/>
        <v>0</v>
      </c>
      <c r="AG114" s="692">
        <f t="shared" si="48"/>
        <v>0</v>
      </c>
      <c r="AH114" s="692">
        <f t="shared" si="49"/>
        <v>0</v>
      </c>
    </row>
    <row r="115" spans="1:34">
      <c r="A115" s="20" t="s">
        <v>211</v>
      </c>
      <c r="B115" s="20" t="s">
        <v>109</v>
      </c>
      <c r="C115" s="667" t="s">
        <v>546</v>
      </c>
      <c r="D115" s="68" t="s">
        <v>142</v>
      </c>
      <c r="E115" s="679"/>
      <c r="F115" s="529">
        <f>VLOOKUP(D115,'Q4 DMV -  Revenue'!D:T,17,FALSE)</f>
        <v>1429.9700000000003</v>
      </c>
      <c r="G115" s="680"/>
      <c r="H115" s="680"/>
      <c r="I115" s="681"/>
      <c r="J115" s="682">
        <f t="shared" si="50"/>
        <v>1429.9700000000003</v>
      </c>
      <c r="K115" s="683"/>
      <c r="L115" s="684"/>
      <c r="M115" s="753">
        <v>5000</v>
      </c>
      <c r="N115" s="683">
        <v>0</v>
      </c>
      <c r="O115" s="686"/>
      <c r="P115" s="683">
        <v>0</v>
      </c>
      <c r="Q115" s="687">
        <f t="shared" si="1"/>
        <v>5000</v>
      </c>
      <c r="R115" s="688">
        <v>2988.64</v>
      </c>
      <c r="S115" s="693"/>
      <c r="T115" s="690">
        <f t="shared" si="53"/>
        <v>-2011.3600000000001</v>
      </c>
      <c r="U115" s="697"/>
      <c r="V115" s="474">
        <f t="shared" si="51"/>
        <v>0</v>
      </c>
      <c r="W115" s="474">
        <f t="shared" si="42"/>
        <v>5000</v>
      </c>
      <c r="X115" s="475">
        <f t="shared" si="43"/>
        <v>0</v>
      </c>
      <c r="Y115" s="475">
        <v>0</v>
      </c>
      <c r="Z115" s="476">
        <v>0</v>
      </c>
      <c r="AA115" s="38">
        <f t="shared" si="52"/>
        <v>0</v>
      </c>
      <c r="AB115" s="692">
        <f t="shared" si="44"/>
        <v>0</v>
      </c>
      <c r="AC115" s="692">
        <f t="shared" si="45"/>
        <v>1429.9700000000003</v>
      </c>
      <c r="AD115" s="692">
        <f t="shared" si="46"/>
        <v>0</v>
      </c>
      <c r="AE115" s="38"/>
      <c r="AF115" s="692">
        <f t="shared" si="47"/>
        <v>0</v>
      </c>
      <c r="AG115" s="692">
        <f t="shared" si="48"/>
        <v>5000</v>
      </c>
      <c r="AH115" s="692">
        <f t="shared" si="49"/>
        <v>0</v>
      </c>
    </row>
    <row r="116" spans="1:34">
      <c r="A116" s="20" t="s">
        <v>211</v>
      </c>
      <c r="B116" s="20" t="s">
        <v>109</v>
      </c>
      <c r="C116" s="667" t="s">
        <v>546</v>
      </c>
      <c r="D116" s="68" t="s">
        <v>143</v>
      </c>
      <c r="E116" s="679"/>
      <c r="F116" s="529">
        <f>VLOOKUP(D116,'Q4 DMV -  Revenue'!D:T,17,FALSE)</f>
        <v>212.41</v>
      </c>
      <c r="G116" s="680"/>
      <c r="H116" s="680"/>
      <c r="I116" s="681"/>
      <c r="J116" s="682">
        <f t="shared" si="50"/>
        <v>212.41</v>
      </c>
      <c r="K116" s="683"/>
      <c r="L116" s="684"/>
      <c r="M116" s="753">
        <v>0</v>
      </c>
      <c r="N116" s="683">
        <v>0</v>
      </c>
      <c r="O116" s="686"/>
      <c r="P116" s="683">
        <v>0</v>
      </c>
      <c r="Q116" s="687">
        <f t="shared" si="1"/>
        <v>0</v>
      </c>
      <c r="R116" s="688">
        <v>193.01</v>
      </c>
      <c r="S116" s="693"/>
      <c r="T116" s="690">
        <f t="shared" si="53"/>
        <v>193.01</v>
      </c>
      <c r="U116" s="697"/>
      <c r="V116" s="474">
        <f t="shared" si="51"/>
        <v>0</v>
      </c>
      <c r="W116" s="474">
        <f t="shared" si="42"/>
        <v>0</v>
      </c>
      <c r="X116" s="475">
        <f t="shared" si="43"/>
        <v>0</v>
      </c>
      <c r="Y116" s="475">
        <v>0</v>
      </c>
      <c r="Z116" s="476">
        <v>0</v>
      </c>
      <c r="AA116" s="38">
        <f t="shared" si="52"/>
        <v>0</v>
      </c>
      <c r="AB116" s="692">
        <f t="shared" si="44"/>
        <v>0</v>
      </c>
      <c r="AC116" s="692">
        <f t="shared" si="45"/>
        <v>212.41</v>
      </c>
      <c r="AD116" s="692">
        <f t="shared" si="46"/>
        <v>0</v>
      </c>
      <c r="AE116" s="38"/>
      <c r="AF116" s="692">
        <f t="shared" si="47"/>
        <v>0</v>
      </c>
      <c r="AG116" s="692">
        <f t="shared" si="48"/>
        <v>0</v>
      </c>
      <c r="AH116" s="692">
        <f t="shared" si="49"/>
        <v>0</v>
      </c>
    </row>
    <row r="117" spans="1:34">
      <c r="A117" s="20" t="s">
        <v>109</v>
      </c>
      <c r="B117" s="20" t="s">
        <v>109</v>
      </c>
      <c r="C117" s="667"/>
      <c r="D117" s="68" t="s">
        <v>498</v>
      </c>
      <c r="E117" s="679"/>
      <c r="F117" s="529">
        <f>VLOOKUP(D117,'Q4 DMV -  Revenue'!D:T,17,FALSE)</f>
        <v>474.84</v>
      </c>
      <c r="G117" s="680"/>
      <c r="H117" s="680"/>
      <c r="I117" s="681"/>
      <c r="J117" s="682">
        <f t="shared" si="50"/>
        <v>474.84</v>
      </c>
      <c r="K117" s="683"/>
      <c r="L117" s="684"/>
      <c r="M117" s="753">
        <v>0</v>
      </c>
      <c r="N117" s="683">
        <v>0</v>
      </c>
      <c r="O117" s="686"/>
      <c r="P117" s="683">
        <v>0</v>
      </c>
      <c r="Q117" s="687">
        <f t="shared" si="1"/>
        <v>0</v>
      </c>
      <c r="R117" s="688"/>
      <c r="S117" s="693"/>
      <c r="T117" s="690" t="str">
        <f t="shared" si="53"/>
        <v/>
      </c>
      <c r="U117" s="683"/>
      <c r="V117" s="474">
        <f t="shared" si="51"/>
        <v>0</v>
      </c>
      <c r="W117" s="474">
        <f t="shared" si="42"/>
        <v>0</v>
      </c>
      <c r="X117" s="475">
        <f t="shared" si="43"/>
        <v>0</v>
      </c>
      <c r="Y117" s="475">
        <v>0</v>
      </c>
      <c r="Z117" s="476">
        <v>0</v>
      </c>
      <c r="AA117" s="38">
        <f t="shared" si="52"/>
        <v>0</v>
      </c>
      <c r="AB117" s="692">
        <f t="shared" si="44"/>
        <v>0</v>
      </c>
      <c r="AC117" s="692">
        <f t="shared" si="45"/>
        <v>474.84</v>
      </c>
      <c r="AD117" s="692">
        <f t="shared" si="46"/>
        <v>0</v>
      </c>
      <c r="AE117" s="38"/>
      <c r="AF117" s="692">
        <f t="shared" si="47"/>
        <v>0</v>
      </c>
      <c r="AG117" s="692">
        <f t="shared" si="48"/>
        <v>0</v>
      </c>
      <c r="AH117" s="692">
        <f t="shared" si="49"/>
        <v>0</v>
      </c>
    </row>
    <row r="118" spans="1:34">
      <c r="A118" s="21"/>
      <c r="B118" s="21" t="s">
        <v>110</v>
      </c>
      <c r="C118" s="666"/>
      <c r="D118" s="68" t="s">
        <v>20</v>
      </c>
      <c r="E118" s="679"/>
      <c r="F118" s="529" t="str">
        <f>VLOOKUP(D118,'Q4 DMV -  Revenue'!D:T,17,FALSE)</f>
        <v/>
      </c>
      <c r="G118" s="680"/>
      <c r="H118" s="680"/>
      <c r="I118" s="681"/>
      <c r="J118" s="682">
        <f t="shared" si="50"/>
        <v>0</v>
      </c>
      <c r="K118" s="683"/>
      <c r="L118" s="684"/>
      <c r="M118" s="753">
        <v>0</v>
      </c>
      <c r="N118" s="683">
        <v>0</v>
      </c>
      <c r="O118" s="686"/>
      <c r="P118" s="683">
        <v>0</v>
      </c>
      <c r="Q118" s="687">
        <f t="shared" si="1"/>
        <v>0</v>
      </c>
      <c r="R118" s="688"/>
      <c r="S118" s="693"/>
      <c r="T118" s="690" t="str">
        <f t="shared" si="53"/>
        <v/>
      </c>
      <c r="U118" s="683"/>
      <c r="V118" s="474">
        <f t="shared" si="51"/>
        <v>0</v>
      </c>
      <c r="W118" s="474">
        <f t="shared" si="42"/>
        <v>0</v>
      </c>
      <c r="X118" s="475">
        <f t="shared" si="43"/>
        <v>0</v>
      </c>
      <c r="Y118" s="475">
        <v>0</v>
      </c>
      <c r="Z118" s="476">
        <v>0</v>
      </c>
      <c r="AA118" s="38">
        <f t="shared" si="52"/>
        <v>0</v>
      </c>
      <c r="AB118" s="692">
        <f t="shared" si="44"/>
        <v>0</v>
      </c>
      <c r="AC118" s="692">
        <f t="shared" si="45"/>
        <v>0</v>
      </c>
      <c r="AD118" s="692">
        <f t="shared" si="46"/>
        <v>0</v>
      </c>
      <c r="AE118" s="38"/>
      <c r="AF118" s="692">
        <f t="shared" si="47"/>
        <v>0</v>
      </c>
      <c r="AG118" s="692">
        <f t="shared" si="48"/>
        <v>0</v>
      </c>
      <c r="AH118" s="692">
        <f t="shared" si="49"/>
        <v>0</v>
      </c>
    </row>
    <row r="119" spans="1:34">
      <c r="A119" s="21"/>
      <c r="B119" s="21" t="s">
        <v>110</v>
      </c>
      <c r="C119" s="666" t="s">
        <v>547</v>
      </c>
      <c r="D119" s="68" t="s">
        <v>203</v>
      </c>
      <c r="E119" s="679"/>
      <c r="F119" s="529" t="str">
        <f>VLOOKUP(D119,'Q4 DMV -  Revenue'!D:T,17,FALSE)</f>
        <v/>
      </c>
      <c r="G119" s="694">
        <v>319.64999999999998</v>
      </c>
      <c r="H119" s="694">
        <v>297.60000000000002</v>
      </c>
      <c r="I119" s="681"/>
      <c r="J119" s="682">
        <f>SUM(H119:I119)</f>
        <v>297.60000000000002</v>
      </c>
      <c r="K119" s="683"/>
      <c r="L119" s="684"/>
      <c r="M119" s="753">
        <v>0</v>
      </c>
      <c r="N119" s="683">
        <v>0</v>
      </c>
      <c r="O119" s="686"/>
      <c r="P119" s="683">
        <v>0</v>
      </c>
      <c r="Q119" s="687">
        <f t="shared" si="1"/>
        <v>0</v>
      </c>
      <c r="R119" s="688"/>
      <c r="S119" s="693"/>
      <c r="T119" s="690" t="str">
        <f t="shared" si="53"/>
        <v/>
      </c>
      <c r="U119" s="683"/>
      <c r="V119" s="474">
        <f t="shared" si="51"/>
        <v>0</v>
      </c>
      <c r="W119" s="474">
        <f t="shared" si="42"/>
        <v>0</v>
      </c>
      <c r="X119" s="475">
        <f t="shared" si="43"/>
        <v>0</v>
      </c>
      <c r="Y119" s="475">
        <v>0</v>
      </c>
      <c r="Z119" s="476">
        <v>0</v>
      </c>
      <c r="AA119" s="38">
        <f t="shared" si="52"/>
        <v>0</v>
      </c>
      <c r="AB119" s="692">
        <v>297.60000000000002</v>
      </c>
      <c r="AC119" s="692">
        <f t="shared" si="45"/>
        <v>0</v>
      </c>
      <c r="AD119" s="692">
        <f t="shared" si="46"/>
        <v>0</v>
      </c>
      <c r="AE119" s="38"/>
      <c r="AF119" s="692">
        <f t="shared" si="47"/>
        <v>0</v>
      </c>
      <c r="AG119" s="692">
        <f t="shared" si="48"/>
        <v>0</v>
      </c>
      <c r="AH119" s="692">
        <f t="shared" si="49"/>
        <v>0</v>
      </c>
    </row>
    <row r="120" spans="1:34">
      <c r="A120" s="21"/>
      <c r="B120" s="21" t="s">
        <v>110</v>
      </c>
      <c r="C120" s="666" t="s">
        <v>547</v>
      </c>
      <c r="D120" s="68" t="s">
        <v>202</v>
      </c>
      <c r="E120" s="679"/>
      <c r="F120" s="529">
        <f>VLOOKUP(D120,'Q4 DMV -  Revenue'!D:T,17,FALSE)</f>
        <v>-700</v>
      </c>
      <c r="G120" s="680"/>
      <c r="H120" s="680"/>
      <c r="I120" s="681"/>
      <c r="J120" s="682">
        <f t="shared" si="50"/>
        <v>-700</v>
      </c>
      <c r="K120" s="683"/>
      <c r="L120" s="684"/>
      <c r="M120" s="753">
        <v>0</v>
      </c>
      <c r="N120" s="683">
        <v>0</v>
      </c>
      <c r="O120" s="686"/>
      <c r="P120" s="683">
        <v>0</v>
      </c>
      <c r="Q120" s="687">
        <f t="shared" si="1"/>
        <v>0</v>
      </c>
      <c r="R120" s="688"/>
      <c r="S120" s="693"/>
      <c r="T120" s="690" t="str">
        <f t="shared" si="53"/>
        <v/>
      </c>
      <c r="U120" s="683"/>
      <c r="V120" s="474">
        <f t="shared" si="51"/>
        <v>0</v>
      </c>
      <c r="W120" s="474">
        <f t="shared" si="42"/>
        <v>0</v>
      </c>
      <c r="X120" s="475">
        <f t="shared" si="43"/>
        <v>0</v>
      </c>
      <c r="Y120" s="475">
        <v>0</v>
      </c>
      <c r="Z120" s="476">
        <v>0</v>
      </c>
      <c r="AA120" s="38">
        <f t="shared" si="52"/>
        <v>0</v>
      </c>
      <c r="AB120" s="692">
        <f t="shared" si="44"/>
        <v>-700</v>
      </c>
      <c r="AC120" s="692">
        <f t="shared" si="45"/>
        <v>0</v>
      </c>
      <c r="AD120" s="692">
        <f t="shared" si="46"/>
        <v>0</v>
      </c>
      <c r="AE120" s="38"/>
      <c r="AF120" s="692">
        <f t="shared" si="47"/>
        <v>0</v>
      </c>
      <c r="AG120" s="692">
        <f t="shared" si="48"/>
        <v>0</v>
      </c>
      <c r="AH120" s="692">
        <f t="shared" si="49"/>
        <v>0</v>
      </c>
    </row>
    <row r="121" spans="1:34">
      <c r="A121" s="20" t="s">
        <v>211</v>
      </c>
      <c r="B121" s="20" t="s">
        <v>110</v>
      </c>
      <c r="C121" s="667"/>
      <c r="D121" s="373" t="s">
        <v>466</v>
      </c>
      <c r="E121" s="679"/>
      <c r="F121" s="529" t="str">
        <f>VLOOKUP(D121,'Q4 DMV -  Revenue'!D:T,17,FALSE)</f>
        <v/>
      </c>
      <c r="G121" s="680"/>
      <c r="H121" s="680"/>
      <c r="I121" s="681"/>
      <c r="J121" s="682">
        <f t="shared" ref="J121" si="67">SUM(E121:I121)</f>
        <v>0</v>
      </c>
      <c r="K121" s="683"/>
      <c r="L121" s="684"/>
      <c r="M121" s="753">
        <v>0</v>
      </c>
      <c r="N121" s="683">
        <v>0</v>
      </c>
      <c r="O121" s="686"/>
      <c r="P121" s="683">
        <v>0</v>
      </c>
      <c r="Q121" s="687">
        <f t="shared" ref="Q121" si="68">L121+M121</f>
        <v>0</v>
      </c>
      <c r="R121" s="688"/>
      <c r="S121" s="693"/>
      <c r="T121" s="690" t="str">
        <f t="shared" ref="T121" si="69">IF(R121="","",R121-Q121)</f>
        <v/>
      </c>
      <c r="U121" s="683"/>
      <c r="V121" s="474">
        <f t="shared" ref="V121" si="70">IF(B121="D",Q121,0)</f>
        <v>0</v>
      </c>
      <c r="W121" s="474">
        <f t="shared" ref="W121" si="71">IF(B121="M",Q121,0)</f>
        <v>0</v>
      </c>
      <c r="X121" s="475">
        <f t="shared" ref="X121" si="72">IF(B121="V",Q121,0)</f>
        <v>0</v>
      </c>
      <c r="Y121" s="475">
        <v>0</v>
      </c>
      <c r="Z121" s="476">
        <v>0</v>
      </c>
      <c r="AA121" s="38">
        <f t="shared" ref="AA121" si="73">(L121+M121)-(V121+W121+X121+Y121+Z121)</f>
        <v>0</v>
      </c>
      <c r="AB121" s="692">
        <f t="shared" ref="AB121" si="74">IF(B121="D",J121,0)</f>
        <v>0</v>
      </c>
      <c r="AC121" s="692">
        <f t="shared" ref="AC121" si="75">IF(B121="M",J121,0)</f>
        <v>0</v>
      </c>
      <c r="AD121" s="692">
        <f t="shared" ref="AD121" si="76">IF(B121="V",J121,0)</f>
        <v>0</v>
      </c>
      <c r="AE121" s="38"/>
      <c r="AF121" s="692">
        <f t="shared" ref="AF121" si="77">IF(B121="D",Q121,0)</f>
        <v>0</v>
      </c>
      <c r="AG121" s="692">
        <f t="shared" ref="AG121" si="78">IF(B121="M",Q121,0)</f>
        <v>0</v>
      </c>
      <c r="AH121" s="692">
        <f t="shared" ref="AH121" si="79">IF(B121="V",Q121,0)</f>
        <v>0</v>
      </c>
    </row>
    <row r="122" spans="1:34">
      <c r="A122" s="20"/>
      <c r="B122" s="20" t="s">
        <v>110</v>
      </c>
      <c r="C122" s="667"/>
      <c r="D122" s="373" t="s">
        <v>627</v>
      </c>
      <c r="E122" s="679"/>
      <c r="F122" s="529"/>
      <c r="G122" s="680"/>
      <c r="H122" s="694">
        <v>66.3</v>
      </c>
      <c r="I122" s="681"/>
      <c r="J122" s="682">
        <f t="shared" ref="J122" si="80">SUM(E122:I122)</f>
        <v>66.3</v>
      </c>
      <c r="K122" s="683"/>
      <c r="L122" s="684"/>
      <c r="M122" s="753">
        <v>0</v>
      </c>
      <c r="N122" s="683">
        <v>0</v>
      </c>
      <c r="O122" s="686"/>
      <c r="P122" s="683">
        <v>0</v>
      </c>
      <c r="Q122" s="687">
        <f t="shared" ref="Q122" si="81">L122+M122</f>
        <v>0</v>
      </c>
      <c r="R122" s="688">
        <v>90.61</v>
      </c>
      <c r="S122" s="693"/>
      <c r="T122" s="690">
        <f t="shared" ref="T122" si="82">IF(R122="","",R122-Q122)</f>
        <v>90.61</v>
      </c>
      <c r="U122" s="683"/>
      <c r="V122" s="474">
        <f t="shared" ref="V122" si="83">IF(B122="D",Q122,0)</f>
        <v>0</v>
      </c>
      <c r="W122" s="474">
        <f t="shared" ref="W122" si="84">IF(B122="M",Q122,0)</f>
        <v>0</v>
      </c>
      <c r="X122" s="475">
        <f t="shared" ref="X122" si="85">IF(B122="V",Q122,0)</f>
        <v>0</v>
      </c>
      <c r="Y122" s="475">
        <v>0</v>
      </c>
      <c r="Z122" s="476">
        <v>0</v>
      </c>
      <c r="AA122" s="38">
        <f t="shared" ref="AA122" si="86">(L122+M122)-(V122+W122+X122+Y122+Z122)</f>
        <v>0</v>
      </c>
      <c r="AB122" s="692">
        <f t="shared" ref="AB122" si="87">IF(B122="D",J122,0)</f>
        <v>66.3</v>
      </c>
      <c r="AC122" s="692">
        <f t="shared" ref="AC122" si="88">IF(B122="M",J122,0)</f>
        <v>0</v>
      </c>
      <c r="AD122" s="692">
        <f t="shared" ref="AD122" si="89">IF(B122="V",J122,0)</f>
        <v>0</v>
      </c>
      <c r="AE122" s="38"/>
      <c r="AF122" s="692">
        <f t="shared" ref="AF122" si="90">IF(B122="D",Q122,0)</f>
        <v>0</v>
      </c>
      <c r="AG122" s="692">
        <f t="shared" ref="AG122" si="91">IF(B122="M",Q122,0)</f>
        <v>0</v>
      </c>
      <c r="AH122" s="692">
        <f t="shared" ref="AH122" si="92">IF(B122="V",Q122,0)</f>
        <v>0</v>
      </c>
    </row>
    <row r="123" spans="1:34" s="232" customFormat="1">
      <c r="A123" s="283"/>
      <c r="B123" s="283" t="s">
        <v>110</v>
      </c>
      <c r="C123" s="667"/>
      <c r="D123" s="123" t="s">
        <v>386</v>
      </c>
      <c r="E123" s="679"/>
      <c r="F123" s="529" t="str">
        <f>VLOOKUP(D123,'Q4 DMV -  Revenue'!D:T,17,FALSE)</f>
        <v/>
      </c>
      <c r="G123" s="694">
        <v>3176898.28</v>
      </c>
      <c r="H123" s="737">
        <v>2490065.46</v>
      </c>
      <c r="I123" s="741">
        <v>2367406.52</v>
      </c>
      <c r="J123" s="682">
        <f t="shared" si="50"/>
        <v>8034370.2599999998</v>
      </c>
      <c r="K123" s="683"/>
      <c r="L123" s="684"/>
      <c r="M123" s="753">
        <v>0</v>
      </c>
      <c r="N123" s="683">
        <v>0</v>
      </c>
      <c r="O123" s="686"/>
      <c r="P123" s="683">
        <v>0</v>
      </c>
      <c r="Q123" s="687">
        <f t="shared" si="1"/>
        <v>0</v>
      </c>
      <c r="R123" s="688"/>
      <c r="S123" s="693"/>
      <c r="T123" s="690" t="str">
        <f t="shared" si="53"/>
        <v/>
      </c>
      <c r="U123" s="683"/>
      <c r="V123" s="474">
        <f t="shared" si="51"/>
        <v>0</v>
      </c>
      <c r="W123" s="474">
        <f t="shared" si="42"/>
        <v>0</v>
      </c>
      <c r="X123" s="475">
        <f t="shared" si="43"/>
        <v>0</v>
      </c>
      <c r="Y123" s="475">
        <v>0</v>
      </c>
      <c r="Z123" s="476">
        <v>0</v>
      </c>
      <c r="AA123" s="38">
        <f t="shared" si="52"/>
        <v>0</v>
      </c>
      <c r="AB123" s="692">
        <f t="shared" si="44"/>
        <v>8034370.2599999998</v>
      </c>
      <c r="AC123" s="692">
        <f t="shared" si="45"/>
        <v>0</v>
      </c>
      <c r="AD123" s="692">
        <f t="shared" si="46"/>
        <v>0</v>
      </c>
      <c r="AE123" s="38"/>
      <c r="AF123" s="692">
        <f t="shared" si="47"/>
        <v>0</v>
      </c>
      <c r="AG123" s="692">
        <f t="shared" si="48"/>
        <v>0</v>
      </c>
      <c r="AH123" s="692">
        <f t="shared" si="49"/>
        <v>0</v>
      </c>
    </row>
    <row r="124" spans="1:34" s="232" customFormat="1">
      <c r="A124" s="283"/>
      <c r="B124" s="283" t="s">
        <v>110</v>
      </c>
      <c r="C124" s="667"/>
      <c r="D124" s="123" t="s">
        <v>331</v>
      </c>
      <c r="E124" s="679"/>
      <c r="F124" s="529" t="str">
        <f>VLOOKUP(D124,'Q4 DMV -  Revenue'!D:T,17,FALSE)</f>
        <v/>
      </c>
      <c r="G124" s="694">
        <v>41710.51</v>
      </c>
      <c r="H124" s="737">
        <v>32188.22</v>
      </c>
      <c r="I124" s="741">
        <v>31880.240000000002</v>
      </c>
      <c r="J124" s="682">
        <f t="shared" si="50"/>
        <v>105778.97000000002</v>
      </c>
      <c r="K124" s="683"/>
      <c r="L124" s="684"/>
      <c r="M124" s="753">
        <v>0</v>
      </c>
      <c r="N124" s="683">
        <v>0</v>
      </c>
      <c r="O124" s="686"/>
      <c r="P124" s="683">
        <v>0</v>
      </c>
      <c r="Q124" s="687">
        <f t="shared" si="1"/>
        <v>0</v>
      </c>
      <c r="R124" s="688"/>
      <c r="S124" s="693"/>
      <c r="T124" s="690" t="str">
        <f t="shared" si="53"/>
        <v/>
      </c>
      <c r="U124" s="683"/>
      <c r="V124" s="474">
        <f t="shared" si="51"/>
        <v>0</v>
      </c>
      <c r="W124" s="474">
        <f t="shared" si="42"/>
        <v>0</v>
      </c>
      <c r="X124" s="475">
        <f t="shared" si="43"/>
        <v>0</v>
      </c>
      <c r="Y124" s="475">
        <v>0</v>
      </c>
      <c r="Z124" s="476">
        <v>0</v>
      </c>
      <c r="AA124" s="38">
        <f t="shared" si="52"/>
        <v>0</v>
      </c>
      <c r="AB124" s="692">
        <f t="shared" si="44"/>
        <v>105778.97000000002</v>
      </c>
      <c r="AC124" s="692">
        <f t="shared" si="45"/>
        <v>0</v>
      </c>
      <c r="AD124" s="692">
        <f t="shared" si="46"/>
        <v>0</v>
      </c>
      <c r="AE124" s="38"/>
      <c r="AF124" s="692">
        <f t="shared" si="47"/>
        <v>0</v>
      </c>
      <c r="AG124" s="692">
        <f t="shared" si="48"/>
        <v>0</v>
      </c>
      <c r="AH124" s="692">
        <f t="shared" si="49"/>
        <v>0</v>
      </c>
    </row>
    <row r="125" spans="1:34" s="232" customFormat="1">
      <c r="A125" s="283"/>
      <c r="B125" s="283" t="s">
        <v>110</v>
      </c>
      <c r="C125" s="667"/>
      <c r="D125" s="413" t="s">
        <v>332</v>
      </c>
      <c r="E125" s="679"/>
      <c r="F125" s="529" t="str">
        <f>VLOOKUP(D125,'Q4 DMV -  Revenue'!D:T,17,FALSE)</f>
        <v/>
      </c>
      <c r="G125" s="694">
        <f>1448017.17+12739.95</f>
        <v>1460757.1199999999</v>
      </c>
      <c r="H125" s="737">
        <v>1165334.75</v>
      </c>
      <c r="I125" s="741">
        <f>8312.57+1100312.85</f>
        <v>1108625.4200000002</v>
      </c>
      <c r="J125" s="682">
        <f t="shared" si="50"/>
        <v>3734717.29</v>
      </c>
      <c r="K125" s="683"/>
      <c r="L125" s="684"/>
      <c r="M125" s="753">
        <v>0</v>
      </c>
      <c r="N125" s="683">
        <v>0</v>
      </c>
      <c r="O125" s="686"/>
      <c r="P125" s="683">
        <v>0</v>
      </c>
      <c r="Q125" s="687">
        <f t="shared" si="1"/>
        <v>0</v>
      </c>
      <c r="R125" s="688"/>
      <c r="S125" s="693"/>
      <c r="T125" s="690" t="str">
        <f t="shared" si="53"/>
        <v/>
      </c>
      <c r="U125" s="683"/>
      <c r="V125" s="474">
        <f t="shared" si="51"/>
        <v>0</v>
      </c>
      <c r="W125" s="474">
        <f t="shared" si="42"/>
        <v>0</v>
      </c>
      <c r="X125" s="475">
        <f t="shared" si="43"/>
        <v>0</v>
      </c>
      <c r="Y125" s="475">
        <v>0</v>
      </c>
      <c r="Z125" s="476">
        <v>0</v>
      </c>
      <c r="AA125" s="38">
        <f t="shared" si="52"/>
        <v>0</v>
      </c>
      <c r="AB125" s="692">
        <f t="shared" si="44"/>
        <v>3734717.29</v>
      </c>
      <c r="AC125" s="692">
        <f t="shared" si="45"/>
        <v>0</v>
      </c>
      <c r="AD125" s="692">
        <f t="shared" si="46"/>
        <v>0</v>
      </c>
      <c r="AE125" s="38"/>
      <c r="AF125" s="692">
        <f t="shared" si="47"/>
        <v>0</v>
      </c>
      <c r="AG125" s="692">
        <f t="shared" si="48"/>
        <v>0</v>
      </c>
      <c r="AH125" s="692">
        <f t="shared" si="49"/>
        <v>0</v>
      </c>
    </row>
    <row r="126" spans="1:34" s="232" customFormat="1">
      <c r="A126" s="283"/>
      <c r="B126" s="283" t="s">
        <v>110</v>
      </c>
      <c r="C126" s="667"/>
      <c r="D126" s="123" t="s">
        <v>333</v>
      </c>
      <c r="E126" s="679"/>
      <c r="F126" s="529" t="str">
        <f>VLOOKUP(D126,'Q4 DMV -  Revenue'!D:T,17,FALSE)</f>
        <v/>
      </c>
      <c r="G126" s="694">
        <v>1689.62</v>
      </c>
      <c r="H126" s="737">
        <v>1383.35</v>
      </c>
      <c r="I126" s="741">
        <v>1157.6500000000001</v>
      </c>
      <c r="J126" s="682">
        <f t="shared" si="50"/>
        <v>4230.62</v>
      </c>
      <c r="K126" s="683"/>
      <c r="L126" s="684"/>
      <c r="M126" s="753">
        <v>0</v>
      </c>
      <c r="N126" s="683">
        <v>0</v>
      </c>
      <c r="O126" s="686"/>
      <c r="P126" s="683">
        <v>0</v>
      </c>
      <c r="Q126" s="687">
        <f t="shared" si="1"/>
        <v>0</v>
      </c>
      <c r="R126" s="688"/>
      <c r="S126" s="693"/>
      <c r="T126" s="690" t="str">
        <f t="shared" si="53"/>
        <v/>
      </c>
      <c r="U126" s="683"/>
      <c r="V126" s="474">
        <f t="shared" si="51"/>
        <v>0</v>
      </c>
      <c r="W126" s="474">
        <f t="shared" si="42"/>
        <v>0</v>
      </c>
      <c r="X126" s="475">
        <f t="shared" si="43"/>
        <v>0</v>
      </c>
      <c r="Y126" s="475">
        <v>0</v>
      </c>
      <c r="Z126" s="476">
        <v>0</v>
      </c>
      <c r="AA126" s="38">
        <f t="shared" si="52"/>
        <v>0</v>
      </c>
      <c r="AB126" s="692">
        <f t="shared" si="44"/>
        <v>4230.62</v>
      </c>
      <c r="AC126" s="692">
        <f t="shared" si="45"/>
        <v>0</v>
      </c>
      <c r="AD126" s="692">
        <f t="shared" si="46"/>
        <v>0</v>
      </c>
      <c r="AE126" s="38"/>
      <c r="AF126" s="692">
        <f t="shared" si="47"/>
        <v>0</v>
      </c>
      <c r="AG126" s="692">
        <f t="shared" si="48"/>
        <v>0</v>
      </c>
      <c r="AH126" s="692">
        <f t="shared" si="49"/>
        <v>0</v>
      </c>
    </row>
    <row r="127" spans="1:34" s="232" customFormat="1">
      <c r="A127" s="283"/>
      <c r="B127" s="283" t="s">
        <v>110</v>
      </c>
      <c r="C127" s="667"/>
      <c r="D127" s="123" t="s">
        <v>334</v>
      </c>
      <c r="E127" s="679"/>
      <c r="F127" s="529" t="str">
        <f>VLOOKUP(D127,'Q4 DMV -  Revenue'!D:T,17,FALSE)</f>
        <v/>
      </c>
      <c r="G127" s="694">
        <v>362879.56</v>
      </c>
      <c r="H127" s="737">
        <v>275802.42</v>
      </c>
      <c r="I127" s="741">
        <v>263152.44</v>
      </c>
      <c r="J127" s="682">
        <f t="shared" si="50"/>
        <v>901834.41999999993</v>
      </c>
      <c r="K127" s="683"/>
      <c r="L127" s="684"/>
      <c r="M127" s="753">
        <v>0</v>
      </c>
      <c r="N127" s="683">
        <v>0</v>
      </c>
      <c r="O127" s="686"/>
      <c r="P127" s="683">
        <v>0</v>
      </c>
      <c r="Q127" s="687">
        <f t="shared" si="1"/>
        <v>0</v>
      </c>
      <c r="R127" s="688"/>
      <c r="S127" s="693"/>
      <c r="T127" s="690" t="str">
        <f t="shared" si="53"/>
        <v/>
      </c>
      <c r="U127" s="683"/>
      <c r="V127" s="474">
        <f t="shared" si="51"/>
        <v>0</v>
      </c>
      <c r="W127" s="474">
        <f t="shared" si="42"/>
        <v>0</v>
      </c>
      <c r="X127" s="475">
        <f t="shared" si="43"/>
        <v>0</v>
      </c>
      <c r="Y127" s="475">
        <v>0</v>
      </c>
      <c r="Z127" s="476">
        <v>0</v>
      </c>
      <c r="AA127" s="38">
        <f t="shared" si="52"/>
        <v>0</v>
      </c>
      <c r="AB127" s="692">
        <f t="shared" si="44"/>
        <v>901834.41999999993</v>
      </c>
      <c r="AC127" s="692">
        <f t="shared" si="45"/>
        <v>0</v>
      </c>
      <c r="AD127" s="692">
        <f t="shared" si="46"/>
        <v>0</v>
      </c>
      <c r="AE127" s="38"/>
      <c r="AF127" s="692">
        <f t="shared" si="47"/>
        <v>0</v>
      </c>
      <c r="AG127" s="692">
        <f t="shared" si="48"/>
        <v>0</v>
      </c>
      <c r="AH127" s="692">
        <f t="shared" si="49"/>
        <v>0</v>
      </c>
    </row>
    <row r="128" spans="1:34" s="232" customFormat="1">
      <c r="A128" s="283"/>
      <c r="B128" s="283" t="s">
        <v>110</v>
      </c>
      <c r="C128" s="667"/>
      <c r="D128" s="123" t="s">
        <v>335</v>
      </c>
      <c r="E128" s="679"/>
      <c r="F128" s="529" t="str">
        <f>VLOOKUP(D128,'Q4 DMV -  Revenue'!D:T,17,FALSE)</f>
        <v/>
      </c>
      <c r="G128" s="694">
        <v>999.94</v>
      </c>
      <c r="H128" s="737">
        <v>751.73</v>
      </c>
      <c r="I128" s="741">
        <v>934</v>
      </c>
      <c r="J128" s="682">
        <f t="shared" si="50"/>
        <v>2685.67</v>
      </c>
      <c r="K128" s="683"/>
      <c r="L128" s="684"/>
      <c r="M128" s="753">
        <v>0</v>
      </c>
      <c r="N128" s="683">
        <v>0</v>
      </c>
      <c r="O128" s="686"/>
      <c r="P128" s="683">
        <v>0</v>
      </c>
      <c r="Q128" s="687">
        <f t="shared" si="1"/>
        <v>0</v>
      </c>
      <c r="R128" s="688"/>
      <c r="S128" s="693"/>
      <c r="T128" s="690" t="str">
        <f t="shared" si="53"/>
        <v/>
      </c>
      <c r="U128" s="683"/>
      <c r="V128" s="474">
        <f t="shared" si="51"/>
        <v>0</v>
      </c>
      <c r="W128" s="474">
        <f t="shared" si="42"/>
        <v>0</v>
      </c>
      <c r="X128" s="475">
        <f t="shared" si="43"/>
        <v>0</v>
      </c>
      <c r="Y128" s="475">
        <v>0</v>
      </c>
      <c r="Z128" s="476">
        <v>0</v>
      </c>
      <c r="AA128" s="38">
        <f t="shared" si="52"/>
        <v>0</v>
      </c>
      <c r="AB128" s="692">
        <f t="shared" si="44"/>
        <v>2685.67</v>
      </c>
      <c r="AC128" s="692">
        <f t="shared" si="45"/>
        <v>0</v>
      </c>
      <c r="AD128" s="692">
        <f t="shared" si="46"/>
        <v>0</v>
      </c>
      <c r="AE128" s="38"/>
      <c r="AF128" s="692">
        <f t="shared" si="47"/>
        <v>0</v>
      </c>
      <c r="AG128" s="692">
        <f t="shared" si="48"/>
        <v>0</v>
      </c>
      <c r="AH128" s="692">
        <f t="shared" si="49"/>
        <v>0</v>
      </c>
    </row>
    <row r="129" spans="1:34" s="232" customFormat="1">
      <c r="A129" s="283"/>
      <c r="B129" s="283" t="s">
        <v>110</v>
      </c>
      <c r="C129" s="667"/>
      <c r="D129" s="123" t="s">
        <v>336</v>
      </c>
      <c r="E129" s="679"/>
      <c r="F129" s="529" t="str">
        <f>VLOOKUP(D129,'Q4 DMV -  Revenue'!D:T,17,FALSE)</f>
        <v/>
      </c>
      <c r="G129" s="694">
        <v>424672.8</v>
      </c>
      <c r="H129" s="737">
        <v>325601.18</v>
      </c>
      <c r="I129" s="741">
        <v>332999.40999999997</v>
      </c>
      <c r="J129" s="682">
        <f t="shared" si="50"/>
        <v>1083273.3899999999</v>
      </c>
      <c r="K129" s="683"/>
      <c r="L129" s="684"/>
      <c r="M129" s="753">
        <v>0</v>
      </c>
      <c r="N129" s="683">
        <v>0</v>
      </c>
      <c r="O129" s="686"/>
      <c r="P129" s="683">
        <v>0</v>
      </c>
      <c r="Q129" s="687">
        <f t="shared" si="1"/>
        <v>0</v>
      </c>
      <c r="R129" s="688"/>
      <c r="S129" s="693"/>
      <c r="T129" s="690" t="str">
        <f t="shared" si="53"/>
        <v/>
      </c>
      <c r="U129" s="683"/>
      <c r="V129" s="474">
        <f t="shared" si="51"/>
        <v>0</v>
      </c>
      <c r="W129" s="474">
        <f t="shared" si="42"/>
        <v>0</v>
      </c>
      <c r="X129" s="475">
        <f t="shared" si="43"/>
        <v>0</v>
      </c>
      <c r="Y129" s="475">
        <v>0</v>
      </c>
      <c r="Z129" s="476">
        <v>0</v>
      </c>
      <c r="AA129" s="38">
        <f t="shared" si="52"/>
        <v>0</v>
      </c>
      <c r="AB129" s="692">
        <f t="shared" si="44"/>
        <v>1083273.3899999999</v>
      </c>
      <c r="AC129" s="692">
        <f t="shared" si="45"/>
        <v>0</v>
      </c>
      <c r="AD129" s="692">
        <f t="shared" si="46"/>
        <v>0</v>
      </c>
      <c r="AE129" s="38"/>
      <c r="AF129" s="692">
        <f t="shared" si="47"/>
        <v>0</v>
      </c>
      <c r="AG129" s="692">
        <f t="shared" si="48"/>
        <v>0</v>
      </c>
      <c r="AH129" s="692">
        <f t="shared" si="49"/>
        <v>0</v>
      </c>
    </row>
    <row r="130" spans="1:34" s="232" customFormat="1">
      <c r="A130" s="283"/>
      <c r="B130" s="283" t="s">
        <v>110</v>
      </c>
      <c r="C130" s="667"/>
      <c r="D130" s="123" t="s">
        <v>337</v>
      </c>
      <c r="E130" s="679"/>
      <c r="F130" s="529" t="str">
        <f>VLOOKUP(D130,'Q4 DMV -  Revenue'!D:T,17,FALSE)</f>
        <v/>
      </c>
      <c r="G130" s="694">
        <v>1028.68</v>
      </c>
      <c r="H130" s="737">
        <v>850.27</v>
      </c>
      <c r="I130" s="741">
        <v>798.6</v>
      </c>
      <c r="J130" s="682">
        <f t="shared" si="50"/>
        <v>2677.55</v>
      </c>
      <c r="K130" s="683"/>
      <c r="L130" s="684"/>
      <c r="M130" s="753">
        <v>0</v>
      </c>
      <c r="N130" s="683">
        <v>0</v>
      </c>
      <c r="O130" s="686"/>
      <c r="P130" s="683">
        <v>0</v>
      </c>
      <c r="Q130" s="687">
        <f t="shared" si="1"/>
        <v>0</v>
      </c>
      <c r="R130" s="688"/>
      <c r="S130" s="693"/>
      <c r="T130" s="690" t="str">
        <f t="shared" si="53"/>
        <v/>
      </c>
      <c r="U130" s="683"/>
      <c r="V130" s="474">
        <f t="shared" si="51"/>
        <v>0</v>
      </c>
      <c r="W130" s="474">
        <f t="shared" si="42"/>
        <v>0</v>
      </c>
      <c r="X130" s="475">
        <f t="shared" si="43"/>
        <v>0</v>
      </c>
      <c r="Y130" s="475">
        <v>0</v>
      </c>
      <c r="Z130" s="476">
        <v>0</v>
      </c>
      <c r="AA130" s="38">
        <f t="shared" si="52"/>
        <v>0</v>
      </c>
      <c r="AB130" s="692">
        <f t="shared" si="44"/>
        <v>2677.55</v>
      </c>
      <c r="AC130" s="692">
        <f t="shared" si="45"/>
        <v>0</v>
      </c>
      <c r="AD130" s="692">
        <f t="shared" si="46"/>
        <v>0</v>
      </c>
      <c r="AE130" s="38"/>
      <c r="AF130" s="692">
        <f t="shared" si="47"/>
        <v>0</v>
      </c>
      <c r="AG130" s="692">
        <f t="shared" si="48"/>
        <v>0</v>
      </c>
      <c r="AH130" s="692">
        <f t="shared" si="49"/>
        <v>0</v>
      </c>
    </row>
    <row r="131" spans="1:34" s="232" customFormat="1">
      <c r="A131" s="283"/>
      <c r="B131" s="283" t="s">
        <v>110</v>
      </c>
      <c r="C131" s="667"/>
      <c r="D131" s="123" t="s">
        <v>338</v>
      </c>
      <c r="E131" s="679"/>
      <c r="F131" s="529" t="str">
        <f>VLOOKUP(D131,'Q4 DMV -  Revenue'!D:T,17,FALSE)</f>
        <v/>
      </c>
      <c r="G131" s="694">
        <v>110149</v>
      </c>
      <c r="H131" s="737">
        <v>95437.71</v>
      </c>
      <c r="I131" s="741">
        <v>87671.99</v>
      </c>
      <c r="J131" s="682">
        <f t="shared" si="50"/>
        <v>293258.7</v>
      </c>
      <c r="K131" s="683"/>
      <c r="L131" s="684"/>
      <c r="M131" s="753">
        <v>0</v>
      </c>
      <c r="N131" s="683">
        <v>0</v>
      </c>
      <c r="O131" s="686"/>
      <c r="P131" s="683">
        <v>0</v>
      </c>
      <c r="Q131" s="687">
        <f t="shared" si="1"/>
        <v>0</v>
      </c>
      <c r="R131" s="688"/>
      <c r="S131" s="693"/>
      <c r="T131" s="690" t="str">
        <f t="shared" si="53"/>
        <v/>
      </c>
      <c r="U131" s="683"/>
      <c r="V131" s="474">
        <f t="shared" si="51"/>
        <v>0</v>
      </c>
      <c r="W131" s="474">
        <f t="shared" si="42"/>
        <v>0</v>
      </c>
      <c r="X131" s="475">
        <f t="shared" si="43"/>
        <v>0</v>
      </c>
      <c r="Y131" s="475">
        <v>0</v>
      </c>
      <c r="Z131" s="476">
        <v>0</v>
      </c>
      <c r="AA131" s="38">
        <f t="shared" si="52"/>
        <v>0</v>
      </c>
      <c r="AB131" s="692">
        <f t="shared" si="44"/>
        <v>293258.7</v>
      </c>
      <c r="AC131" s="692">
        <f t="shared" si="45"/>
        <v>0</v>
      </c>
      <c r="AD131" s="692">
        <f t="shared" si="46"/>
        <v>0</v>
      </c>
      <c r="AE131" s="38"/>
      <c r="AF131" s="692">
        <f t="shared" si="47"/>
        <v>0</v>
      </c>
      <c r="AG131" s="692">
        <f t="shared" si="48"/>
        <v>0</v>
      </c>
      <c r="AH131" s="692">
        <f t="shared" si="49"/>
        <v>0</v>
      </c>
    </row>
    <row r="132" spans="1:34" s="232" customFormat="1">
      <c r="A132" s="283"/>
      <c r="B132" s="283" t="s">
        <v>110</v>
      </c>
      <c r="C132" s="667"/>
      <c r="D132" s="123" t="s">
        <v>339</v>
      </c>
      <c r="E132" s="679"/>
      <c r="F132" s="529" t="str">
        <f>VLOOKUP(D132,'Q4 DMV -  Revenue'!D:T,17,FALSE)</f>
        <v/>
      </c>
      <c r="G132" s="694">
        <v>90857.32</v>
      </c>
      <c r="H132" s="737">
        <v>71326.12</v>
      </c>
      <c r="I132" s="741">
        <v>74769.740000000005</v>
      </c>
      <c r="J132" s="682">
        <f t="shared" si="50"/>
        <v>236953.18</v>
      </c>
      <c r="K132" s="683"/>
      <c r="L132" s="684"/>
      <c r="M132" s="753">
        <v>0</v>
      </c>
      <c r="N132" s="683">
        <v>0</v>
      </c>
      <c r="O132" s="686"/>
      <c r="P132" s="683">
        <v>0</v>
      </c>
      <c r="Q132" s="687">
        <f t="shared" si="1"/>
        <v>0</v>
      </c>
      <c r="R132" s="688"/>
      <c r="S132" s="693"/>
      <c r="T132" s="690" t="str">
        <f t="shared" si="53"/>
        <v/>
      </c>
      <c r="U132" s="683"/>
      <c r="V132" s="474">
        <f t="shared" si="51"/>
        <v>0</v>
      </c>
      <c r="W132" s="474">
        <f t="shared" si="42"/>
        <v>0</v>
      </c>
      <c r="X132" s="475">
        <f t="shared" si="43"/>
        <v>0</v>
      </c>
      <c r="Y132" s="475">
        <v>0</v>
      </c>
      <c r="Z132" s="476">
        <v>0</v>
      </c>
      <c r="AA132" s="38">
        <f t="shared" si="52"/>
        <v>0</v>
      </c>
      <c r="AB132" s="692">
        <f t="shared" si="44"/>
        <v>236953.18</v>
      </c>
      <c r="AC132" s="692">
        <f t="shared" si="45"/>
        <v>0</v>
      </c>
      <c r="AD132" s="692">
        <f t="shared" si="46"/>
        <v>0</v>
      </c>
      <c r="AE132" s="38"/>
      <c r="AF132" s="692">
        <f t="shared" si="47"/>
        <v>0</v>
      </c>
      <c r="AG132" s="692">
        <f t="shared" si="48"/>
        <v>0</v>
      </c>
      <c r="AH132" s="692">
        <f t="shared" si="49"/>
        <v>0</v>
      </c>
    </row>
    <row r="133" spans="1:34" s="232" customFormat="1">
      <c r="A133" s="283"/>
      <c r="B133" s="283" t="s">
        <v>110</v>
      </c>
      <c r="C133" s="667"/>
      <c r="D133" s="123" t="s">
        <v>340</v>
      </c>
      <c r="E133" s="679"/>
      <c r="F133" s="529" t="str">
        <f>VLOOKUP(D133,'Q4 DMV -  Revenue'!D:T,17,FALSE)</f>
        <v/>
      </c>
      <c r="G133" s="694">
        <v>141.30000000000001</v>
      </c>
      <c r="H133" s="737">
        <v>166.3</v>
      </c>
      <c r="I133" s="741">
        <v>199.84</v>
      </c>
      <c r="J133" s="682">
        <f t="shared" si="50"/>
        <v>507.44000000000005</v>
      </c>
      <c r="K133" s="683"/>
      <c r="L133" s="684"/>
      <c r="M133" s="753">
        <v>0</v>
      </c>
      <c r="N133" s="683">
        <v>0</v>
      </c>
      <c r="O133" s="686"/>
      <c r="P133" s="683">
        <v>0</v>
      </c>
      <c r="Q133" s="687">
        <f t="shared" si="1"/>
        <v>0</v>
      </c>
      <c r="R133" s="688"/>
      <c r="S133" s="693"/>
      <c r="T133" s="690" t="str">
        <f t="shared" si="53"/>
        <v/>
      </c>
      <c r="U133" s="683"/>
      <c r="V133" s="474">
        <f t="shared" si="51"/>
        <v>0</v>
      </c>
      <c r="W133" s="474">
        <f t="shared" si="42"/>
        <v>0</v>
      </c>
      <c r="X133" s="475">
        <f t="shared" si="43"/>
        <v>0</v>
      </c>
      <c r="Y133" s="475">
        <v>0</v>
      </c>
      <c r="Z133" s="476">
        <v>0</v>
      </c>
      <c r="AA133" s="38">
        <f t="shared" si="52"/>
        <v>0</v>
      </c>
      <c r="AB133" s="692">
        <f t="shared" si="44"/>
        <v>507.44000000000005</v>
      </c>
      <c r="AC133" s="692">
        <f t="shared" si="45"/>
        <v>0</v>
      </c>
      <c r="AD133" s="692">
        <f t="shared" si="46"/>
        <v>0</v>
      </c>
      <c r="AE133" s="38"/>
      <c r="AF133" s="692">
        <f t="shared" si="47"/>
        <v>0</v>
      </c>
      <c r="AG133" s="692">
        <f t="shared" si="48"/>
        <v>0</v>
      </c>
      <c r="AH133" s="692">
        <f t="shared" si="49"/>
        <v>0</v>
      </c>
    </row>
    <row r="134" spans="1:34" s="232" customFormat="1">
      <c r="A134" s="283"/>
      <c r="B134" s="283" t="s">
        <v>110</v>
      </c>
      <c r="C134" s="667"/>
      <c r="D134" s="123" t="s">
        <v>439</v>
      </c>
      <c r="E134" s="679"/>
      <c r="F134" s="529" t="str">
        <f>VLOOKUP(D134,'Q4 DMV -  Revenue'!D:T,17,FALSE)</f>
        <v/>
      </c>
      <c r="G134" s="694">
        <v>1801.55</v>
      </c>
      <c r="H134" s="737">
        <v>1022.28</v>
      </c>
      <c r="I134" s="741">
        <v>998.19</v>
      </c>
      <c r="J134" s="682">
        <f t="shared" si="50"/>
        <v>3822.02</v>
      </c>
      <c r="K134" s="683"/>
      <c r="L134" s="684"/>
      <c r="M134" s="753">
        <v>0</v>
      </c>
      <c r="N134" s="683">
        <v>0</v>
      </c>
      <c r="O134" s="686"/>
      <c r="P134" s="683">
        <v>0</v>
      </c>
      <c r="Q134" s="687">
        <f t="shared" si="1"/>
        <v>0</v>
      </c>
      <c r="R134" s="688"/>
      <c r="S134" s="693"/>
      <c r="T134" s="690" t="str">
        <f t="shared" si="53"/>
        <v/>
      </c>
      <c r="U134" s="683"/>
      <c r="V134" s="474">
        <f t="shared" si="51"/>
        <v>0</v>
      </c>
      <c r="W134" s="474">
        <f t="shared" si="42"/>
        <v>0</v>
      </c>
      <c r="X134" s="475">
        <f t="shared" si="43"/>
        <v>0</v>
      </c>
      <c r="Y134" s="475">
        <v>0</v>
      </c>
      <c r="Z134" s="476">
        <v>0</v>
      </c>
      <c r="AA134" s="38">
        <f t="shared" si="52"/>
        <v>0</v>
      </c>
      <c r="AB134" s="692">
        <f t="shared" si="44"/>
        <v>3822.02</v>
      </c>
      <c r="AC134" s="692">
        <f t="shared" si="45"/>
        <v>0</v>
      </c>
      <c r="AD134" s="692">
        <f t="shared" si="46"/>
        <v>0</v>
      </c>
      <c r="AE134" s="38"/>
      <c r="AF134" s="692">
        <f t="shared" si="47"/>
        <v>0</v>
      </c>
      <c r="AG134" s="692">
        <f t="shared" si="48"/>
        <v>0</v>
      </c>
      <c r="AH134" s="692">
        <f t="shared" si="49"/>
        <v>0</v>
      </c>
    </row>
    <row r="135" spans="1:34" s="232" customFormat="1">
      <c r="A135" s="283"/>
      <c r="B135" s="283" t="s">
        <v>110</v>
      </c>
      <c r="C135" s="667"/>
      <c r="D135" s="123" t="s">
        <v>592</v>
      </c>
      <c r="E135" s="679"/>
      <c r="F135" s="529" t="str">
        <f>VLOOKUP(D135,'Q4 DMV -  Revenue'!D:T,17,FALSE)</f>
        <v/>
      </c>
      <c r="G135" s="694">
        <v>715.73</v>
      </c>
      <c r="H135" s="737">
        <v>479.63</v>
      </c>
      <c r="I135" s="741">
        <v>587.12</v>
      </c>
      <c r="J135" s="682">
        <f t="shared" si="50"/>
        <v>1782.48</v>
      </c>
      <c r="K135" s="683"/>
      <c r="L135" s="684"/>
      <c r="M135" s="753">
        <v>0</v>
      </c>
      <c r="N135" s="683">
        <v>0</v>
      </c>
      <c r="O135" s="686"/>
      <c r="P135" s="683">
        <v>0</v>
      </c>
      <c r="Q135" s="687">
        <f t="shared" si="1"/>
        <v>0</v>
      </c>
      <c r="R135" s="688"/>
      <c r="S135" s="693"/>
      <c r="T135" s="690" t="str">
        <f t="shared" si="53"/>
        <v/>
      </c>
      <c r="U135" s="683"/>
      <c r="V135" s="474">
        <f t="shared" si="51"/>
        <v>0</v>
      </c>
      <c r="W135" s="474">
        <f t="shared" si="42"/>
        <v>0</v>
      </c>
      <c r="X135" s="475">
        <f t="shared" si="43"/>
        <v>0</v>
      </c>
      <c r="Y135" s="475">
        <v>0</v>
      </c>
      <c r="Z135" s="476">
        <v>0</v>
      </c>
      <c r="AA135" s="38">
        <f t="shared" si="52"/>
        <v>0</v>
      </c>
      <c r="AB135" s="692">
        <f t="shared" si="44"/>
        <v>1782.48</v>
      </c>
      <c r="AC135" s="692">
        <f t="shared" si="45"/>
        <v>0</v>
      </c>
      <c r="AD135" s="692">
        <f t="shared" si="46"/>
        <v>0</v>
      </c>
      <c r="AE135" s="38"/>
      <c r="AF135" s="692">
        <f t="shared" si="47"/>
        <v>0</v>
      </c>
      <c r="AG135" s="692">
        <f t="shared" si="48"/>
        <v>0</v>
      </c>
      <c r="AH135" s="692">
        <f t="shared" si="49"/>
        <v>0</v>
      </c>
    </row>
    <row r="136" spans="1:34" s="232" customFormat="1">
      <c r="A136" s="283"/>
      <c r="B136" s="283" t="s">
        <v>110</v>
      </c>
      <c r="C136" s="667"/>
      <c r="D136" s="123" t="s">
        <v>512</v>
      </c>
      <c r="E136" s="679"/>
      <c r="F136" s="529" t="str">
        <f>VLOOKUP(D136,'Q4 DMV -  Revenue'!D:T,17,FALSE)</f>
        <v/>
      </c>
      <c r="G136" s="694">
        <f>26530.04+2503.39+2153.07+8990.62+516.22+138.95</f>
        <v>40832.29</v>
      </c>
      <c r="H136" s="737">
        <f>24073.55+2917.27+1458.1+7488.94+486.5+102.13</f>
        <v>36526.49</v>
      </c>
      <c r="I136" s="741">
        <f>22103.87+2722.63+1395.36+6748.68+402.16+77.27</f>
        <v>33449.97</v>
      </c>
      <c r="J136" s="682">
        <f>SUM(E136:I136)</f>
        <v>110808.75</v>
      </c>
      <c r="K136" s="683"/>
      <c r="L136" s="684"/>
      <c r="M136" s="753">
        <v>0</v>
      </c>
      <c r="N136" s="683">
        <v>0</v>
      </c>
      <c r="O136" s="686"/>
      <c r="P136" s="683"/>
      <c r="Q136" s="687">
        <f t="shared" si="1"/>
        <v>0</v>
      </c>
      <c r="R136" s="688"/>
      <c r="S136" s="693"/>
      <c r="T136" s="690" t="str">
        <f t="shared" si="53"/>
        <v/>
      </c>
      <c r="U136" s="683"/>
      <c r="V136" s="474">
        <f t="shared" si="51"/>
        <v>0</v>
      </c>
      <c r="W136" s="474">
        <f t="shared" si="42"/>
        <v>0</v>
      </c>
      <c r="X136" s="475">
        <f t="shared" si="43"/>
        <v>0</v>
      </c>
      <c r="Y136" s="475">
        <v>0</v>
      </c>
      <c r="Z136" s="476">
        <v>0</v>
      </c>
      <c r="AA136" s="38">
        <f t="shared" si="52"/>
        <v>0</v>
      </c>
      <c r="AB136" s="692">
        <f t="shared" si="44"/>
        <v>110808.75</v>
      </c>
      <c r="AC136" s="692">
        <f t="shared" si="45"/>
        <v>0</v>
      </c>
      <c r="AD136" s="692">
        <f t="shared" si="46"/>
        <v>0</v>
      </c>
      <c r="AE136" s="38"/>
      <c r="AF136" s="692">
        <f t="shared" si="47"/>
        <v>0</v>
      </c>
      <c r="AG136" s="692">
        <f t="shared" si="48"/>
        <v>0</v>
      </c>
      <c r="AH136" s="692">
        <f t="shared" si="49"/>
        <v>0</v>
      </c>
    </row>
    <row r="137" spans="1:34" s="24" customFormat="1">
      <c r="A137" s="32"/>
      <c r="B137" s="32" t="s">
        <v>110</v>
      </c>
      <c r="C137" s="667"/>
      <c r="D137" s="68" t="s">
        <v>588</v>
      </c>
      <c r="E137" s="679"/>
      <c r="F137" s="529" t="str">
        <f>VLOOKUP(D137,'Q4 DMV -  Revenue'!D:T,17,FALSE)</f>
        <v/>
      </c>
      <c r="G137" s="694">
        <v>19</v>
      </c>
      <c r="H137" s="694">
        <v>21.22</v>
      </c>
      <c r="I137" s="741">
        <v>62.26</v>
      </c>
      <c r="J137" s="682">
        <f t="shared" ref="J137" si="93">SUM(E137:I137)</f>
        <v>102.47999999999999</v>
      </c>
      <c r="K137" s="683"/>
      <c r="L137" s="684"/>
      <c r="M137" s="753">
        <v>0</v>
      </c>
      <c r="N137" s="698"/>
      <c r="O137" s="699"/>
      <c r="P137" s="698"/>
      <c r="Q137" s="687">
        <f t="shared" si="1"/>
        <v>0</v>
      </c>
      <c r="R137" s="688"/>
      <c r="S137" s="693"/>
      <c r="T137" s="690" t="str">
        <f t="shared" si="53"/>
        <v/>
      </c>
      <c r="U137" s="683"/>
      <c r="V137" s="474">
        <f t="shared" si="51"/>
        <v>0</v>
      </c>
      <c r="W137" s="474">
        <f t="shared" si="42"/>
        <v>0</v>
      </c>
      <c r="X137" s="475">
        <f t="shared" si="43"/>
        <v>0</v>
      </c>
      <c r="Y137" s="475">
        <v>0</v>
      </c>
      <c r="Z137" s="476">
        <v>0</v>
      </c>
      <c r="AA137" s="38">
        <f t="shared" si="52"/>
        <v>0</v>
      </c>
      <c r="AB137" s="692">
        <f t="shared" si="44"/>
        <v>102.47999999999999</v>
      </c>
      <c r="AC137" s="692">
        <f t="shared" si="45"/>
        <v>0</v>
      </c>
      <c r="AD137" s="692">
        <f t="shared" si="46"/>
        <v>0</v>
      </c>
      <c r="AE137" s="38"/>
      <c r="AF137" s="692">
        <f t="shared" si="47"/>
        <v>0</v>
      </c>
      <c r="AG137" s="692">
        <f t="shared" si="48"/>
        <v>0</v>
      </c>
      <c r="AH137" s="692">
        <f t="shared" si="49"/>
        <v>0</v>
      </c>
    </row>
    <row r="138" spans="1:34">
      <c r="A138" s="21"/>
      <c r="B138" s="21" t="s">
        <v>109</v>
      </c>
      <c r="C138" s="666" t="s">
        <v>548</v>
      </c>
      <c r="D138" s="68" t="s">
        <v>461</v>
      </c>
      <c r="E138" s="679"/>
      <c r="F138" s="529" t="str">
        <f>VLOOKUP(D138,'Q4 DMV -  Revenue'!D:T,17,FALSE)</f>
        <v/>
      </c>
      <c r="G138" s="694">
        <v>3941.64</v>
      </c>
      <c r="H138" s="694">
        <v>4910.66</v>
      </c>
      <c r="I138" s="681"/>
      <c r="J138" s="682">
        <f t="shared" si="50"/>
        <v>8852.2999999999993</v>
      </c>
      <c r="K138" s="683"/>
      <c r="L138" s="684"/>
      <c r="M138" s="753">
        <v>4000</v>
      </c>
      <c r="N138" s="683">
        <v>0</v>
      </c>
      <c r="O138" s="686"/>
      <c r="P138" s="683">
        <v>0</v>
      </c>
      <c r="Q138" s="687">
        <f t="shared" si="1"/>
        <v>4000</v>
      </c>
      <c r="R138" s="688">
        <v>4645.09</v>
      </c>
      <c r="S138" s="693"/>
      <c r="T138" s="690">
        <f t="shared" si="53"/>
        <v>645.09000000000015</v>
      </c>
      <c r="U138" s="683"/>
      <c r="V138" s="474">
        <f t="shared" si="51"/>
        <v>0</v>
      </c>
      <c r="W138" s="474">
        <f t="shared" si="42"/>
        <v>4000</v>
      </c>
      <c r="X138" s="475">
        <f t="shared" si="43"/>
        <v>0</v>
      </c>
      <c r="Y138" s="475">
        <v>0</v>
      </c>
      <c r="Z138" s="476">
        <v>0</v>
      </c>
      <c r="AA138" s="38">
        <f t="shared" si="52"/>
        <v>0</v>
      </c>
      <c r="AB138" s="692">
        <f t="shared" si="44"/>
        <v>0</v>
      </c>
      <c r="AC138" s="692">
        <f t="shared" si="45"/>
        <v>8852.2999999999993</v>
      </c>
      <c r="AD138" s="692">
        <f t="shared" si="46"/>
        <v>0</v>
      </c>
      <c r="AE138" s="38"/>
      <c r="AF138" s="692">
        <f t="shared" si="47"/>
        <v>0</v>
      </c>
      <c r="AG138" s="692">
        <f t="shared" si="48"/>
        <v>4000</v>
      </c>
      <c r="AH138" s="692">
        <f t="shared" si="49"/>
        <v>0</v>
      </c>
    </row>
    <row r="139" spans="1:34">
      <c r="A139" s="20"/>
      <c r="B139" s="20" t="s">
        <v>109</v>
      </c>
      <c r="C139" s="667" t="s">
        <v>549</v>
      </c>
      <c r="D139" s="68" t="s">
        <v>22</v>
      </c>
      <c r="E139" s="679"/>
      <c r="F139" s="529" t="str">
        <f>VLOOKUP(D139,'Q4 DMV -  Revenue'!D:T,17,FALSE)</f>
        <v/>
      </c>
      <c r="G139" s="680"/>
      <c r="H139" s="680"/>
      <c r="I139" s="681"/>
      <c r="J139" s="682">
        <f t="shared" si="50"/>
        <v>0</v>
      </c>
      <c r="K139" s="683"/>
      <c r="L139" s="684"/>
      <c r="M139" s="753">
        <v>0</v>
      </c>
      <c r="N139" s="683">
        <v>0</v>
      </c>
      <c r="O139" s="686"/>
      <c r="P139" s="683">
        <v>0</v>
      </c>
      <c r="Q139" s="687">
        <f t="shared" si="1"/>
        <v>0</v>
      </c>
      <c r="R139" s="688">
        <v>11.14</v>
      </c>
      <c r="S139" s="693"/>
      <c r="T139" s="690">
        <f t="shared" si="53"/>
        <v>11.14</v>
      </c>
      <c r="U139" s="683"/>
      <c r="V139" s="474">
        <f t="shared" si="51"/>
        <v>0</v>
      </c>
      <c r="W139" s="474">
        <f t="shared" si="42"/>
        <v>0</v>
      </c>
      <c r="X139" s="475">
        <f t="shared" si="43"/>
        <v>0</v>
      </c>
      <c r="Y139" s="475">
        <v>0</v>
      </c>
      <c r="Z139" s="476">
        <v>0</v>
      </c>
      <c r="AA139" s="38">
        <f t="shared" si="52"/>
        <v>0</v>
      </c>
      <c r="AB139" s="692">
        <f t="shared" si="44"/>
        <v>0</v>
      </c>
      <c r="AC139" s="692">
        <f t="shared" si="45"/>
        <v>0</v>
      </c>
      <c r="AD139" s="692">
        <f t="shared" si="46"/>
        <v>0</v>
      </c>
      <c r="AE139" s="38"/>
      <c r="AF139" s="692">
        <f t="shared" si="47"/>
        <v>0</v>
      </c>
      <c r="AG139" s="692">
        <f t="shared" si="48"/>
        <v>0</v>
      </c>
      <c r="AH139" s="692">
        <f t="shared" si="49"/>
        <v>0</v>
      </c>
    </row>
    <row r="140" spans="1:34">
      <c r="A140" s="20" t="s">
        <v>211</v>
      </c>
      <c r="B140" s="20" t="s">
        <v>110</v>
      </c>
      <c r="C140" s="667"/>
      <c r="D140" s="68" t="s">
        <v>23</v>
      </c>
      <c r="E140" s="679"/>
      <c r="F140" s="529" t="str">
        <f>VLOOKUP(D140,'Q4 DMV -  Revenue'!D:T,17,FALSE)</f>
        <v/>
      </c>
      <c r="G140" s="680"/>
      <c r="H140" s="680"/>
      <c r="I140" s="681"/>
      <c r="J140" s="682">
        <f t="shared" si="50"/>
        <v>0</v>
      </c>
      <c r="K140" s="683"/>
      <c r="L140" s="684"/>
      <c r="M140" s="753">
        <v>0</v>
      </c>
      <c r="N140" s="683">
        <v>0</v>
      </c>
      <c r="O140" s="686"/>
      <c r="P140" s="683">
        <v>0</v>
      </c>
      <c r="Q140" s="687">
        <f t="shared" si="1"/>
        <v>0</v>
      </c>
      <c r="R140" s="688"/>
      <c r="S140" s="693"/>
      <c r="T140" s="690" t="str">
        <f t="shared" si="53"/>
        <v/>
      </c>
      <c r="U140" s="683"/>
      <c r="V140" s="474">
        <f t="shared" si="51"/>
        <v>0</v>
      </c>
      <c r="W140" s="474">
        <f t="shared" si="42"/>
        <v>0</v>
      </c>
      <c r="X140" s="475">
        <f t="shared" si="43"/>
        <v>0</v>
      </c>
      <c r="Y140" s="475">
        <v>0</v>
      </c>
      <c r="Z140" s="476">
        <v>0</v>
      </c>
      <c r="AA140" s="38">
        <f t="shared" si="52"/>
        <v>0</v>
      </c>
      <c r="AB140" s="692">
        <f t="shared" si="44"/>
        <v>0</v>
      </c>
      <c r="AC140" s="692">
        <f t="shared" si="45"/>
        <v>0</v>
      </c>
      <c r="AD140" s="692">
        <f t="shared" si="46"/>
        <v>0</v>
      </c>
      <c r="AE140" s="38"/>
      <c r="AF140" s="692">
        <f t="shared" si="47"/>
        <v>0</v>
      </c>
      <c r="AG140" s="692">
        <f t="shared" si="48"/>
        <v>0</v>
      </c>
      <c r="AH140" s="692">
        <f t="shared" si="49"/>
        <v>0</v>
      </c>
    </row>
    <row r="141" spans="1:34">
      <c r="A141" s="20" t="s">
        <v>109</v>
      </c>
      <c r="B141" s="20" t="s">
        <v>110</v>
      </c>
      <c r="C141" s="667"/>
      <c r="D141" s="68" t="s">
        <v>321</v>
      </c>
      <c r="E141" s="679"/>
      <c r="F141" s="529" t="str">
        <f>VLOOKUP(D141,'Q4 DMV -  Revenue'!D:T,17,FALSE)</f>
        <v/>
      </c>
      <c r="G141" s="680"/>
      <c r="H141" s="680"/>
      <c r="I141" s="681"/>
      <c r="J141" s="682">
        <f t="shared" si="50"/>
        <v>0</v>
      </c>
      <c r="K141" s="683"/>
      <c r="L141" s="684"/>
      <c r="M141" s="753">
        <v>0</v>
      </c>
      <c r="N141" s="683">
        <v>0</v>
      </c>
      <c r="O141" s="686"/>
      <c r="P141" s="683">
        <v>0</v>
      </c>
      <c r="Q141" s="687">
        <f t="shared" si="1"/>
        <v>0</v>
      </c>
      <c r="R141" s="688"/>
      <c r="S141" s="693"/>
      <c r="T141" s="690" t="str">
        <f t="shared" si="53"/>
        <v/>
      </c>
      <c r="U141" s="683"/>
      <c r="V141" s="474">
        <f t="shared" si="51"/>
        <v>0</v>
      </c>
      <c r="W141" s="474">
        <f t="shared" si="42"/>
        <v>0</v>
      </c>
      <c r="X141" s="475">
        <f t="shared" si="43"/>
        <v>0</v>
      </c>
      <c r="Y141" s="475">
        <v>0</v>
      </c>
      <c r="Z141" s="476">
        <v>0</v>
      </c>
      <c r="AA141" s="38">
        <f t="shared" si="52"/>
        <v>0</v>
      </c>
      <c r="AB141" s="692">
        <f t="shared" si="44"/>
        <v>0</v>
      </c>
      <c r="AC141" s="692">
        <f t="shared" si="45"/>
        <v>0</v>
      </c>
      <c r="AD141" s="692">
        <f t="shared" si="46"/>
        <v>0</v>
      </c>
      <c r="AE141" s="38"/>
      <c r="AF141" s="692">
        <f t="shared" si="47"/>
        <v>0</v>
      </c>
      <c r="AG141" s="692">
        <f t="shared" si="48"/>
        <v>0</v>
      </c>
      <c r="AH141" s="692">
        <f t="shared" si="49"/>
        <v>0</v>
      </c>
    </row>
    <row r="142" spans="1:34">
      <c r="A142" s="20"/>
      <c r="B142" s="20" t="s">
        <v>110</v>
      </c>
      <c r="C142" s="667"/>
      <c r="D142" s="68" t="s">
        <v>24</v>
      </c>
      <c r="E142" s="679"/>
      <c r="F142" s="529" t="str">
        <f>VLOOKUP(D142,'Q4 DMV -  Revenue'!D:T,17,FALSE)</f>
        <v/>
      </c>
      <c r="G142" s="694">
        <v>3347.91</v>
      </c>
      <c r="H142" s="694">
        <v>3153.89</v>
      </c>
      <c r="I142" s="681"/>
      <c r="J142" s="682">
        <f t="shared" si="50"/>
        <v>6501.7999999999993</v>
      </c>
      <c r="K142" s="683"/>
      <c r="L142" s="684"/>
      <c r="M142" s="753">
        <v>3000</v>
      </c>
      <c r="N142" s="683">
        <v>0</v>
      </c>
      <c r="O142" s="686"/>
      <c r="P142" s="683">
        <v>0</v>
      </c>
      <c r="Q142" s="687">
        <f t="shared" si="1"/>
        <v>3000</v>
      </c>
      <c r="R142" s="688">
        <v>3335</v>
      </c>
      <c r="S142" s="693"/>
      <c r="T142" s="690">
        <f t="shared" si="53"/>
        <v>335</v>
      </c>
      <c r="U142" s="683"/>
      <c r="V142" s="474">
        <f t="shared" si="51"/>
        <v>3000</v>
      </c>
      <c r="W142" s="474">
        <f t="shared" si="42"/>
        <v>0</v>
      </c>
      <c r="X142" s="475">
        <f t="shared" si="43"/>
        <v>0</v>
      </c>
      <c r="Y142" s="475">
        <v>0</v>
      </c>
      <c r="Z142" s="476">
        <v>0</v>
      </c>
      <c r="AA142" s="38">
        <f t="shared" si="52"/>
        <v>0</v>
      </c>
      <c r="AB142" s="692">
        <f t="shared" si="44"/>
        <v>6501.7999999999993</v>
      </c>
      <c r="AC142" s="692">
        <f t="shared" si="45"/>
        <v>0</v>
      </c>
      <c r="AD142" s="692">
        <f t="shared" si="46"/>
        <v>0</v>
      </c>
      <c r="AE142" s="38"/>
      <c r="AF142" s="692">
        <f t="shared" si="47"/>
        <v>3000</v>
      </c>
      <c r="AG142" s="692">
        <f t="shared" si="48"/>
        <v>0</v>
      </c>
      <c r="AH142" s="692">
        <f t="shared" si="49"/>
        <v>0</v>
      </c>
    </row>
    <row r="143" spans="1:34">
      <c r="A143" s="20" t="s">
        <v>211</v>
      </c>
      <c r="B143" s="20" t="s">
        <v>110</v>
      </c>
      <c r="C143" s="667"/>
      <c r="D143" s="68" t="s">
        <v>91</v>
      </c>
      <c r="E143" s="679"/>
      <c r="F143" s="529" t="str">
        <f>VLOOKUP(D143,'Q4 DMV -  Revenue'!D:T,17,FALSE)</f>
        <v/>
      </c>
      <c r="G143" s="680"/>
      <c r="H143" s="680"/>
      <c r="I143" s="681"/>
      <c r="J143" s="682">
        <f t="shared" si="50"/>
        <v>0</v>
      </c>
      <c r="K143" s="683"/>
      <c r="L143" s="684"/>
      <c r="M143" s="753">
        <v>0</v>
      </c>
      <c r="N143" s="683">
        <v>0</v>
      </c>
      <c r="O143" s="686"/>
      <c r="P143" s="683">
        <v>0</v>
      </c>
      <c r="Q143" s="687">
        <f t="shared" si="1"/>
        <v>0</v>
      </c>
      <c r="R143" s="688"/>
      <c r="S143" s="693"/>
      <c r="T143" s="690" t="str">
        <f t="shared" si="53"/>
        <v/>
      </c>
      <c r="U143" s="697"/>
      <c r="V143" s="474">
        <f t="shared" si="51"/>
        <v>0</v>
      </c>
      <c r="W143" s="474">
        <f t="shared" si="42"/>
        <v>0</v>
      </c>
      <c r="X143" s="475">
        <f t="shared" si="43"/>
        <v>0</v>
      </c>
      <c r="Y143" s="475">
        <v>0</v>
      </c>
      <c r="Z143" s="476">
        <v>0</v>
      </c>
      <c r="AA143" s="38">
        <f t="shared" si="52"/>
        <v>0</v>
      </c>
      <c r="AB143" s="692">
        <f t="shared" si="44"/>
        <v>0</v>
      </c>
      <c r="AC143" s="692">
        <f t="shared" si="45"/>
        <v>0</v>
      </c>
      <c r="AD143" s="692">
        <f t="shared" si="46"/>
        <v>0</v>
      </c>
      <c r="AE143" s="38"/>
      <c r="AF143" s="692">
        <f t="shared" si="47"/>
        <v>0</v>
      </c>
      <c r="AG143" s="692">
        <f t="shared" si="48"/>
        <v>0</v>
      </c>
      <c r="AH143" s="692">
        <f t="shared" si="49"/>
        <v>0</v>
      </c>
    </row>
    <row r="144" spans="1:34">
      <c r="A144" s="20"/>
      <c r="B144" s="20" t="s">
        <v>110</v>
      </c>
      <c r="C144" s="667"/>
      <c r="D144" s="68" t="s">
        <v>118</v>
      </c>
      <c r="E144" s="679"/>
      <c r="F144" s="529" t="str">
        <f>VLOOKUP(D144,'Q4 DMV -  Revenue'!D:T,17,FALSE)</f>
        <v/>
      </c>
      <c r="G144" s="680"/>
      <c r="H144" s="680"/>
      <c r="I144" s="681"/>
      <c r="J144" s="682">
        <f t="shared" si="50"/>
        <v>0</v>
      </c>
      <c r="K144" s="683"/>
      <c r="L144" s="684"/>
      <c r="M144" s="753">
        <v>0</v>
      </c>
      <c r="N144" s="683">
        <v>0</v>
      </c>
      <c r="O144" s="686"/>
      <c r="P144" s="683">
        <v>0</v>
      </c>
      <c r="Q144" s="687">
        <f t="shared" si="1"/>
        <v>0</v>
      </c>
      <c r="R144" s="688"/>
      <c r="S144" s="693"/>
      <c r="T144" s="690" t="str">
        <f t="shared" si="53"/>
        <v/>
      </c>
      <c r="U144" s="697"/>
      <c r="V144" s="474">
        <f t="shared" si="51"/>
        <v>0</v>
      </c>
      <c r="W144" s="474">
        <f t="shared" si="42"/>
        <v>0</v>
      </c>
      <c r="X144" s="475">
        <f t="shared" si="43"/>
        <v>0</v>
      </c>
      <c r="Y144" s="475">
        <v>0</v>
      </c>
      <c r="Z144" s="476">
        <v>0</v>
      </c>
      <c r="AA144" s="38">
        <f t="shared" si="52"/>
        <v>0</v>
      </c>
      <c r="AB144" s="692">
        <f t="shared" si="44"/>
        <v>0</v>
      </c>
      <c r="AC144" s="692">
        <f t="shared" si="45"/>
        <v>0</v>
      </c>
      <c r="AD144" s="692">
        <f t="shared" si="46"/>
        <v>0</v>
      </c>
      <c r="AE144" s="38"/>
      <c r="AF144" s="692">
        <f t="shared" si="47"/>
        <v>0</v>
      </c>
      <c r="AG144" s="692">
        <f t="shared" si="48"/>
        <v>0</v>
      </c>
      <c r="AH144" s="692">
        <f t="shared" si="49"/>
        <v>0</v>
      </c>
    </row>
    <row r="145" spans="1:34">
      <c r="A145" s="20" t="s">
        <v>211</v>
      </c>
      <c r="B145" s="20" t="s">
        <v>110</v>
      </c>
      <c r="C145" s="667"/>
      <c r="D145" s="68" t="s">
        <v>486</v>
      </c>
      <c r="E145" s="679"/>
      <c r="F145" s="529" t="str">
        <f>VLOOKUP(D145,'Q4 DMV -  Revenue'!D:T,17,FALSE)</f>
        <v/>
      </c>
      <c r="G145" s="680"/>
      <c r="H145" s="680"/>
      <c r="I145" s="681"/>
      <c r="J145" s="682">
        <f t="shared" si="50"/>
        <v>0</v>
      </c>
      <c r="K145" s="683"/>
      <c r="L145" s="684"/>
      <c r="M145" s="753">
        <v>0</v>
      </c>
      <c r="N145" s="683">
        <v>0</v>
      </c>
      <c r="O145" s="686"/>
      <c r="P145" s="683">
        <v>0</v>
      </c>
      <c r="Q145" s="687">
        <f t="shared" si="1"/>
        <v>0</v>
      </c>
      <c r="R145" s="688"/>
      <c r="S145" s="693"/>
      <c r="T145" s="690" t="str">
        <f t="shared" si="53"/>
        <v/>
      </c>
      <c r="U145" s="683"/>
      <c r="V145" s="474">
        <f t="shared" si="51"/>
        <v>0</v>
      </c>
      <c r="W145" s="474">
        <f t="shared" si="42"/>
        <v>0</v>
      </c>
      <c r="X145" s="475">
        <f t="shared" si="43"/>
        <v>0</v>
      </c>
      <c r="Y145" s="475">
        <v>0</v>
      </c>
      <c r="Z145" s="476">
        <v>0</v>
      </c>
      <c r="AA145" s="38">
        <f t="shared" si="52"/>
        <v>0</v>
      </c>
      <c r="AB145" s="692">
        <f t="shared" si="44"/>
        <v>0</v>
      </c>
      <c r="AC145" s="692">
        <f t="shared" si="45"/>
        <v>0</v>
      </c>
      <c r="AD145" s="692">
        <f t="shared" si="46"/>
        <v>0</v>
      </c>
      <c r="AE145" s="38"/>
      <c r="AF145" s="692">
        <f t="shared" si="47"/>
        <v>0</v>
      </c>
      <c r="AG145" s="692">
        <f t="shared" si="48"/>
        <v>0</v>
      </c>
      <c r="AH145" s="692">
        <f t="shared" si="49"/>
        <v>0</v>
      </c>
    </row>
    <row r="146" spans="1:34">
      <c r="A146" s="21"/>
      <c r="B146" s="21" t="s">
        <v>110</v>
      </c>
      <c r="C146" s="666"/>
      <c r="D146" s="68" t="s">
        <v>268</v>
      </c>
      <c r="E146" s="679"/>
      <c r="F146" s="529" t="str">
        <f>VLOOKUP(D146,'Q4 DMV -  Revenue'!D:T,17,FALSE)</f>
        <v/>
      </c>
      <c r="G146" s="696"/>
      <c r="H146" s="696"/>
      <c r="I146" s="696"/>
      <c r="J146" s="682">
        <f t="shared" si="50"/>
        <v>0</v>
      </c>
      <c r="K146" s="683"/>
      <c r="L146" s="684"/>
      <c r="M146" s="753">
        <v>0</v>
      </c>
      <c r="N146" s="683">
        <v>0</v>
      </c>
      <c r="O146" s="686"/>
      <c r="P146" s="683">
        <v>0</v>
      </c>
      <c r="Q146" s="687">
        <f t="shared" si="1"/>
        <v>0</v>
      </c>
      <c r="R146" s="688"/>
      <c r="S146" s="693"/>
      <c r="T146" s="690" t="str">
        <f t="shared" si="53"/>
        <v/>
      </c>
      <c r="U146" s="683"/>
      <c r="V146" s="474">
        <f t="shared" si="51"/>
        <v>0</v>
      </c>
      <c r="W146" s="474">
        <f t="shared" si="42"/>
        <v>0</v>
      </c>
      <c r="X146" s="475">
        <f t="shared" si="43"/>
        <v>0</v>
      </c>
      <c r="Y146" s="475">
        <v>0</v>
      </c>
      <c r="Z146" s="476">
        <v>0</v>
      </c>
      <c r="AA146" s="38">
        <f t="shared" si="52"/>
        <v>0</v>
      </c>
      <c r="AB146" s="692">
        <f t="shared" si="44"/>
        <v>0</v>
      </c>
      <c r="AC146" s="692">
        <f t="shared" si="45"/>
        <v>0</v>
      </c>
      <c r="AD146" s="692">
        <f t="shared" si="46"/>
        <v>0</v>
      </c>
      <c r="AE146" s="38"/>
      <c r="AF146" s="692">
        <f t="shared" si="47"/>
        <v>0</v>
      </c>
      <c r="AG146" s="692">
        <f t="shared" si="48"/>
        <v>0</v>
      </c>
      <c r="AH146" s="692">
        <f t="shared" si="49"/>
        <v>0</v>
      </c>
    </row>
    <row r="147" spans="1:34">
      <c r="A147" s="21"/>
      <c r="B147" s="21" t="s">
        <v>110</v>
      </c>
      <c r="C147" s="666"/>
      <c r="D147" s="68" t="s">
        <v>183</v>
      </c>
      <c r="E147" s="679"/>
      <c r="F147" s="529" t="str">
        <f>VLOOKUP(D147,'Q4 DMV -  Revenue'!D:T,17,FALSE)</f>
        <v/>
      </c>
      <c r="G147" s="680"/>
      <c r="H147" s="680"/>
      <c r="I147" s="681"/>
      <c r="J147" s="682">
        <f t="shared" si="50"/>
        <v>0</v>
      </c>
      <c r="K147" s="683"/>
      <c r="L147" s="684"/>
      <c r="M147" s="753">
        <v>0</v>
      </c>
      <c r="N147" s="683">
        <v>0</v>
      </c>
      <c r="O147" s="686"/>
      <c r="P147" s="683">
        <v>0</v>
      </c>
      <c r="Q147" s="687">
        <f t="shared" si="1"/>
        <v>0</v>
      </c>
      <c r="R147" s="688"/>
      <c r="S147" s="693"/>
      <c r="T147" s="690" t="str">
        <f t="shared" si="53"/>
        <v/>
      </c>
      <c r="U147" s="683"/>
      <c r="V147" s="474">
        <f t="shared" si="51"/>
        <v>0</v>
      </c>
      <c r="W147" s="474">
        <f t="shared" si="42"/>
        <v>0</v>
      </c>
      <c r="X147" s="475">
        <f t="shared" si="43"/>
        <v>0</v>
      </c>
      <c r="Y147" s="475">
        <v>0</v>
      </c>
      <c r="Z147" s="476">
        <v>0</v>
      </c>
      <c r="AA147" s="38">
        <f t="shared" si="52"/>
        <v>0</v>
      </c>
      <c r="AB147" s="692">
        <f t="shared" si="44"/>
        <v>0</v>
      </c>
      <c r="AC147" s="692">
        <f t="shared" si="45"/>
        <v>0</v>
      </c>
      <c r="AD147" s="692">
        <f t="shared" si="46"/>
        <v>0</v>
      </c>
      <c r="AE147" s="38"/>
      <c r="AF147" s="692">
        <f t="shared" si="47"/>
        <v>0</v>
      </c>
      <c r="AG147" s="692">
        <f t="shared" si="48"/>
        <v>0</v>
      </c>
      <c r="AH147" s="692">
        <f t="shared" si="49"/>
        <v>0</v>
      </c>
    </row>
    <row r="148" spans="1:34">
      <c r="A148" s="21"/>
      <c r="B148" s="21" t="s">
        <v>110</v>
      </c>
      <c r="C148" s="666" t="s">
        <v>550</v>
      </c>
      <c r="D148" s="68" t="s">
        <v>282</v>
      </c>
      <c r="E148" s="679"/>
      <c r="F148" s="529" t="str">
        <f>VLOOKUP(D148,'Q4 DMV -  Revenue'!D:T,17,FALSE)</f>
        <v/>
      </c>
      <c r="G148" s="694">
        <v>38819.879999999997</v>
      </c>
      <c r="H148" s="694">
        <v>29147.94</v>
      </c>
      <c r="I148" s="681"/>
      <c r="J148" s="682">
        <f t="shared" si="50"/>
        <v>67967.819999999992</v>
      </c>
      <c r="K148" s="683"/>
      <c r="L148" s="684"/>
      <c r="M148" s="753">
        <v>25000</v>
      </c>
      <c r="N148" s="683">
        <v>0</v>
      </c>
      <c r="O148" s="686"/>
      <c r="P148" s="683">
        <v>0</v>
      </c>
      <c r="Q148" s="687">
        <f t="shared" si="1"/>
        <v>25000</v>
      </c>
      <c r="R148" s="688">
        <v>31269.67</v>
      </c>
      <c r="S148" s="693"/>
      <c r="T148" s="690">
        <f t="shared" si="53"/>
        <v>6269.6699999999983</v>
      </c>
      <c r="U148" s="683"/>
      <c r="V148" s="474">
        <f t="shared" si="51"/>
        <v>25000</v>
      </c>
      <c r="W148" s="474">
        <f t="shared" si="42"/>
        <v>0</v>
      </c>
      <c r="X148" s="475">
        <f t="shared" si="43"/>
        <v>0</v>
      </c>
      <c r="Y148" s="475">
        <v>0</v>
      </c>
      <c r="Z148" s="476">
        <v>0</v>
      </c>
      <c r="AA148" s="38">
        <f t="shared" si="52"/>
        <v>0</v>
      </c>
      <c r="AB148" s="692">
        <f t="shared" si="44"/>
        <v>67967.819999999992</v>
      </c>
      <c r="AC148" s="692">
        <f t="shared" si="45"/>
        <v>0</v>
      </c>
      <c r="AD148" s="692">
        <f t="shared" si="46"/>
        <v>0</v>
      </c>
      <c r="AE148" s="38"/>
      <c r="AF148" s="692">
        <f t="shared" si="47"/>
        <v>25000</v>
      </c>
      <c r="AG148" s="692">
        <f t="shared" si="48"/>
        <v>0</v>
      </c>
      <c r="AH148" s="692">
        <f t="shared" si="49"/>
        <v>0</v>
      </c>
    </row>
    <row r="149" spans="1:34">
      <c r="A149" s="21"/>
      <c r="B149" s="21" t="s">
        <v>110</v>
      </c>
      <c r="C149" s="666"/>
      <c r="D149" s="68" t="s">
        <v>27</v>
      </c>
      <c r="E149" s="679"/>
      <c r="F149" s="529" t="str">
        <f>VLOOKUP(D149,'Q4 DMV -  Revenue'!D:T,17,FALSE)</f>
        <v/>
      </c>
      <c r="G149" s="696"/>
      <c r="H149" s="696"/>
      <c r="I149" s="696"/>
      <c r="J149" s="682">
        <f t="shared" si="50"/>
        <v>0</v>
      </c>
      <c r="K149" s="683"/>
      <c r="L149" s="684"/>
      <c r="M149" s="753">
        <v>0</v>
      </c>
      <c r="N149" s="683">
        <v>0</v>
      </c>
      <c r="O149" s="686"/>
      <c r="P149" s="683">
        <v>0</v>
      </c>
      <c r="Q149" s="687">
        <f t="shared" si="1"/>
        <v>0</v>
      </c>
      <c r="R149" s="688"/>
      <c r="S149" s="693"/>
      <c r="T149" s="690" t="str">
        <f t="shared" si="53"/>
        <v/>
      </c>
      <c r="U149" s="683"/>
      <c r="V149" s="474">
        <f t="shared" si="51"/>
        <v>0</v>
      </c>
      <c r="W149" s="474">
        <f t="shared" si="42"/>
        <v>0</v>
      </c>
      <c r="X149" s="475">
        <f t="shared" si="43"/>
        <v>0</v>
      </c>
      <c r="Y149" s="475">
        <v>0</v>
      </c>
      <c r="Z149" s="476">
        <v>0</v>
      </c>
      <c r="AA149" s="38">
        <f t="shared" si="52"/>
        <v>0</v>
      </c>
      <c r="AB149" s="692">
        <f t="shared" si="44"/>
        <v>0</v>
      </c>
      <c r="AC149" s="692">
        <f t="shared" si="45"/>
        <v>0</v>
      </c>
      <c r="AD149" s="692">
        <f t="shared" si="46"/>
        <v>0</v>
      </c>
      <c r="AE149" s="38"/>
      <c r="AF149" s="692">
        <f t="shared" si="47"/>
        <v>0</v>
      </c>
      <c r="AG149" s="692">
        <f t="shared" si="48"/>
        <v>0</v>
      </c>
      <c r="AH149" s="692">
        <f t="shared" si="49"/>
        <v>0</v>
      </c>
    </row>
    <row r="150" spans="1:34">
      <c r="A150" s="21"/>
      <c r="B150" s="21" t="s">
        <v>109</v>
      </c>
      <c r="C150" s="666" t="s">
        <v>551</v>
      </c>
      <c r="D150" s="68" t="s">
        <v>499</v>
      </c>
      <c r="E150" s="679"/>
      <c r="F150" s="529" t="str">
        <f>VLOOKUP(D150,'Q4 DMV -  Revenue'!D:T,17,FALSE)</f>
        <v/>
      </c>
      <c r="G150" s="680"/>
      <c r="H150" s="680"/>
      <c r="I150" s="681"/>
      <c r="J150" s="682">
        <f t="shared" si="50"/>
        <v>0</v>
      </c>
      <c r="K150" s="683"/>
      <c r="L150" s="684"/>
      <c r="M150" s="753">
        <v>0</v>
      </c>
      <c r="N150" s="683">
        <v>0</v>
      </c>
      <c r="O150" s="686"/>
      <c r="P150" s="683">
        <v>0</v>
      </c>
      <c r="Q150" s="687">
        <f t="shared" si="1"/>
        <v>0</v>
      </c>
      <c r="R150" s="688"/>
      <c r="S150" s="693"/>
      <c r="T150" s="690" t="str">
        <f t="shared" si="53"/>
        <v/>
      </c>
      <c r="U150" s="683"/>
      <c r="V150" s="474">
        <f t="shared" si="51"/>
        <v>0</v>
      </c>
      <c r="W150" s="474">
        <f t="shared" si="42"/>
        <v>0</v>
      </c>
      <c r="X150" s="475">
        <f t="shared" si="43"/>
        <v>0</v>
      </c>
      <c r="Y150" s="475">
        <v>0</v>
      </c>
      <c r="Z150" s="476">
        <v>0</v>
      </c>
      <c r="AA150" s="38">
        <f t="shared" si="52"/>
        <v>0</v>
      </c>
      <c r="AB150" s="692">
        <f t="shared" si="44"/>
        <v>0</v>
      </c>
      <c r="AC150" s="692">
        <f t="shared" si="45"/>
        <v>0</v>
      </c>
      <c r="AD150" s="692">
        <f t="shared" si="46"/>
        <v>0</v>
      </c>
      <c r="AE150" s="38"/>
      <c r="AF150" s="692">
        <f t="shared" si="47"/>
        <v>0</v>
      </c>
      <c r="AG150" s="692">
        <f t="shared" si="48"/>
        <v>0</v>
      </c>
      <c r="AH150" s="692">
        <f t="shared" si="49"/>
        <v>0</v>
      </c>
    </row>
    <row r="151" spans="1:34">
      <c r="A151" s="21"/>
      <c r="B151" s="21" t="s">
        <v>110</v>
      </c>
      <c r="C151" s="666"/>
      <c r="D151" s="68" t="s">
        <v>28</v>
      </c>
      <c r="E151" s="679"/>
      <c r="F151" s="529" t="str">
        <f>VLOOKUP(D151,'Q4 DMV -  Revenue'!D:T,17,FALSE)</f>
        <v/>
      </c>
      <c r="G151" s="680"/>
      <c r="H151" s="680"/>
      <c r="I151" s="681"/>
      <c r="J151" s="682">
        <f t="shared" si="50"/>
        <v>0</v>
      </c>
      <c r="K151" s="683"/>
      <c r="L151" s="684"/>
      <c r="M151" s="753">
        <v>4000</v>
      </c>
      <c r="N151" s="683">
        <v>0</v>
      </c>
      <c r="O151" s="686"/>
      <c r="P151" s="683">
        <v>0</v>
      </c>
      <c r="Q151" s="687">
        <f t="shared" si="1"/>
        <v>4000</v>
      </c>
      <c r="R151" s="688">
        <v>0</v>
      </c>
      <c r="S151" s="693"/>
      <c r="T151" s="690">
        <f t="shared" si="53"/>
        <v>-4000</v>
      </c>
      <c r="U151" s="683"/>
      <c r="V151" s="474">
        <f t="shared" si="51"/>
        <v>4000</v>
      </c>
      <c r="W151" s="474">
        <f t="shared" si="42"/>
        <v>0</v>
      </c>
      <c r="X151" s="475">
        <f t="shared" si="43"/>
        <v>0</v>
      </c>
      <c r="Y151" s="475">
        <v>0</v>
      </c>
      <c r="Z151" s="476">
        <v>0</v>
      </c>
      <c r="AA151" s="38">
        <f t="shared" si="52"/>
        <v>0</v>
      </c>
      <c r="AB151" s="692">
        <f t="shared" si="44"/>
        <v>0</v>
      </c>
      <c r="AC151" s="692">
        <f t="shared" si="45"/>
        <v>0</v>
      </c>
      <c r="AD151" s="692">
        <f t="shared" si="46"/>
        <v>0</v>
      </c>
      <c r="AE151" s="38"/>
      <c r="AF151" s="692">
        <f t="shared" si="47"/>
        <v>4000</v>
      </c>
      <c r="AG151" s="692">
        <f t="shared" si="48"/>
        <v>0</v>
      </c>
      <c r="AH151" s="692">
        <f t="shared" si="49"/>
        <v>0</v>
      </c>
    </row>
    <row r="152" spans="1:34">
      <c r="A152" s="21"/>
      <c r="B152" s="21" t="s">
        <v>114</v>
      </c>
      <c r="C152" s="666" t="s">
        <v>552</v>
      </c>
      <c r="D152" s="68" t="s">
        <v>513</v>
      </c>
      <c r="E152" s="679"/>
      <c r="F152" s="529">
        <f>VLOOKUP(D152,'Q4 DMV -  Revenue'!D:T,17,FALSE)</f>
        <v>963.59999999999991</v>
      </c>
      <c r="G152" s="737">
        <v>2170</v>
      </c>
      <c r="H152" s="694">
        <v>2261.3000000000002</v>
      </c>
      <c r="I152" s="681"/>
      <c r="J152" s="682">
        <f>SUM(E152:I152)</f>
        <v>5394.9</v>
      </c>
      <c r="K152" s="683"/>
      <c r="L152" s="684"/>
      <c r="M152" s="753">
        <v>2000</v>
      </c>
      <c r="N152" s="683">
        <v>0</v>
      </c>
      <c r="O152" s="686"/>
      <c r="P152" s="683">
        <v>0</v>
      </c>
      <c r="Q152" s="687">
        <f>L152+M152</f>
        <v>2000</v>
      </c>
      <c r="R152" s="688">
        <v>0</v>
      </c>
      <c r="S152" s="693"/>
      <c r="T152" s="690">
        <f t="shared" si="53"/>
        <v>-2000</v>
      </c>
      <c r="U152" s="683"/>
      <c r="V152" s="474">
        <f t="shared" si="51"/>
        <v>0</v>
      </c>
      <c r="W152" s="474">
        <f t="shared" si="42"/>
        <v>0</v>
      </c>
      <c r="X152" s="475">
        <f t="shared" si="43"/>
        <v>2000</v>
      </c>
      <c r="Y152" s="475">
        <v>0</v>
      </c>
      <c r="Z152" s="476">
        <v>0</v>
      </c>
      <c r="AA152" s="38">
        <f t="shared" si="52"/>
        <v>0</v>
      </c>
      <c r="AB152" s="692">
        <f t="shared" si="44"/>
        <v>0</v>
      </c>
      <c r="AC152" s="692">
        <f t="shared" si="45"/>
        <v>0</v>
      </c>
      <c r="AD152" s="692">
        <f t="shared" si="46"/>
        <v>5394.9</v>
      </c>
      <c r="AE152" s="38"/>
      <c r="AF152" s="692">
        <f t="shared" si="47"/>
        <v>0</v>
      </c>
      <c r="AG152" s="692">
        <f t="shared" si="48"/>
        <v>0</v>
      </c>
      <c r="AH152" s="692">
        <f t="shared" si="49"/>
        <v>2000</v>
      </c>
    </row>
    <row r="153" spans="1:34">
      <c r="A153" s="21"/>
      <c r="B153" s="21" t="s">
        <v>109</v>
      </c>
      <c r="C153" s="666" t="s">
        <v>553</v>
      </c>
      <c r="D153" s="68" t="s">
        <v>308</v>
      </c>
      <c r="E153" s="679"/>
      <c r="F153" s="529">
        <f>VLOOKUP(D153,'Q4 DMV -  Revenue'!D:T,17,FALSE)</f>
        <v>353.76</v>
      </c>
      <c r="G153" s="694">
        <v>1459.87</v>
      </c>
      <c r="H153" s="680"/>
      <c r="I153" s="681"/>
      <c r="J153" s="682">
        <f t="shared" si="50"/>
        <v>1813.6299999999999</v>
      </c>
      <c r="K153" s="683"/>
      <c r="L153" s="684"/>
      <c r="M153" s="753">
        <v>2000</v>
      </c>
      <c r="N153" s="683">
        <v>0</v>
      </c>
      <c r="O153" s="686"/>
      <c r="P153" s="683">
        <v>0</v>
      </c>
      <c r="Q153" s="687">
        <f t="shared" si="1"/>
        <v>2000</v>
      </c>
      <c r="R153" s="688">
        <v>609.07000000000005</v>
      </c>
      <c r="S153" s="693"/>
      <c r="T153" s="690">
        <f t="shared" si="53"/>
        <v>-1390.9299999999998</v>
      </c>
      <c r="U153" s="683"/>
      <c r="V153" s="474">
        <f t="shared" si="51"/>
        <v>0</v>
      </c>
      <c r="W153" s="474">
        <f t="shared" si="42"/>
        <v>2000</v>
      </c>
      <c r="X153" s="475">
        <f t="shared" si="43"/>
        <v>0</v>
      </c>
      <c r="Y153" s="475">
        <v>0</v>
      </c>
      <c r="Z153" s="476">
        <v>0</v>
      </c>
      <c r="AA153" s="38">
        <f t="shared" si="52"/>
        <v>0</v>
      </c>
      <c r="AB153" s="692">
        <f t="shared" si="44"/>
        <v>0</v>
      </c>
      <c r="AC153" s="692">
        <f t="shared" si="45"/>
        <v>1813.6299999999999</v>
      </c>
      <c r="AD153" s="692">
        <f t="shared" si="46"/>
        <v>0</v>
      </c>
      <c r="AE153" s="38"/>
      <c r="AF153" s="692">
        <f t="shared" si="47"/>
        <v>0</v>
      </c>
      <c r="AG153" s="692">
        <f t="shared" si="48"/>
        <v>2000</v>
      </c>
      <c r="AH153" s="692">
        <f t="shared" si="49"/>
        <v>0</v>
      </c>
    </row>
    <row r="154" spans="1:34" s="232" customFormat="1">
      <c r="A154" s="283" t="s">
        <v>211</v>
      </c>
      <c r="B154" s="283" t="s">
        <v>109</v>
      </c>
      <c r="C154" s="667" t="s">
        <v>554</v>
      </c>
      <c r="D154" s="123" t="s">
        <v>389</v>
      </c>
      <c r="E154" s="679">
        <v>24.76</v>
      </c>
      <c r="F154" s="529">
        <f>VLOOKUP(D154,'Q4 DMV -  Revenue'!D:T,17,FALSE)</f>
        <v>418.90000000000146</v>
      </c>
      <c r="G154" s="680"/>
      <c r="H154" s="680"/>
      <c r="I154" s="681"/>
      <c r="J154" s="682">
        <f t="shared" si="50"/>
        <v>443.66000000000145</v>
      </c>
      <c r="K154" s="683"/>
      <c r="L154" s="684"/>
      <c r="M154" s="753">
        <v>40000</v>
      </c>
      <c r="N154" s="683">
        <v>0</v>
      </c>
      <c r="O154" s="686"/>
      <c r="P154" s="683">
        <v>0</v>
      </c>
      <c r="Q154" s="687">
        <f t="shared" si="1"/>
        <v>40000</v>
      </c>
      <c r="R154" s="688">
        <v>0</v>
      </c>
      <c r="S154" s="693"/>
      <c r="T154" s="690">
        <f t="shared" si="53"/>
        <v>-40000</v>
      </c>
      <c r="U154" s="683"/>
      <c r="V154" s="474">
        <f t="shared" si="51"/>
        <v>0</v>
      </c>
      <c r="W154" s="474">
        <f t="shared" si="42"/>
        <v>40000</v>
      </c>
      <c r="X154" s="475">
        <f t="shared" si="43"/>
        <v>0</v>
      </c>
      <c r="Y154" s="475">
        <v>0</v>
      </c>
      <c r="Z154" s="476">
        <v>0</v>
      </c>
      <c r="AA154" s="38">
        <f t="shared" si="52"/>
        <v>0</v>
      </c>
      <c r="AB154" s="692">
        <f t="shared" si="44"/>
        <v>0</v>
      </c>
      <c r="AC154" s="692">
        <f t="shared" si="45"/>
        <v>443.66000000000145</v>
      </c>
      <c r="AD154" s="692">
        <f t="shared" si="46"/>
        <v>0</v>
      </c>
      <c r="AE154" s="38"/>
      <c r="AF154" s="692">
        <f t="shared" si="47"/>
        <v>0</v>
      </c>
      <c r="AG154" s="692">
        <f t="shared" si="48"/>
        <v>40000</v>
      </c>
      <c r="AH154" s="692">
        <f t="shared" si="49"/>
        <v>0</v>
      </c>
    </row>
    <row r="155" spans="1:34" s="232" customFormat="1">
      <c r="A155" s="283"/>
      <c r="B155" s="283" t="s">
        <v>110</v>
      </c>
      <c r="C155" s="667"/>
      <c r="D155" s="68" t="s">
        <v>488</v>
      </c>
      <c r="E155" s="679"/>
      <c r="F155" s="529" t="str">
        <f>VLOOKUP(D155,'Q4 DMV -  Revenue'!D:T,17,FALSE)</f>
        <v/>
      </c>
      <c r="G155" s="680"/>
      <c r="H155" s="680"/>
      <c r="I155" s="681"/>
      <c r="J155" s="682">
        <f t="shared" si="50"/>
        <v>0</v>
      </c>
      <c r="K155" s="683"/>
      <c r="L155" s="684"/>
      <c r="M155" s="753">
        <v>0</v>
      </c>
      <c r="N155" s="683">
        <v>0</v>
      </c>
      <c r="O155" s="686"/>
      <c r="P155" s="683">
        <v>0</v>
      </c>
      <c r="Q155" s="687">
        <f t="shared" si="1"/>
        <v>0</v>
      </c>
      <c r="R155" s="688"/>
      <c r="S155" s="693"/>
      <c r="T155" s="690" t="str">
        <f t="shared" si="53"/>
        <v/>
      </c>
      <c r="U155" s="683"/>
      <c r="V155" s="474">
        <f t="shared" si="51"/>
        <v>0</v>
      </c>
      <c r="W155" s="474">
        <f t="shared" ref="W155:W220" si="94">IF(B155="M",Q155,0)</f>
        <v>0</v>
      </c>
      <c r="X155" s="475">
        <f t="shared" ref="X155:X220" si="95">IF(B155="V",Q155,0)</f>
        <v>0</v>
      </c>
      <c r="Y155" s="475">
        <v>0</v>
      </c>
      <c r="Z155" s="476">
        <v>0</v>
      </c>
      <c r="AA155" s="38">
        <f t="shared" si="52"/>
        <v>0</v>
      </c>
      <c r="AB155" s="692">
        <f t="shared" ref="AB155:AB220" si="96">IF(B155="D",J155,0)</f>
        <v>0</v>
      </c>
      <c r="AC155" s="692">
        <f t="shared" ref="AC155:AC220" si="97">IF(B155="M",J155,0)</f>
        <v>0</v>
      </c>
      <c r="AD155" s="692">
        <f t="shared" ref="AD155:AD220" si="98">IF(B155="V",J155,0)</f>
        <v>0</v>
      </c>
      <c r="AE155" s="38"/>
      <c r="AF155" s="692">
        <f t="shared" ref="AF155:AF220" si="99">IF(B155="D",Q155,0)</f>
        <v>0</v>
      </c>
      <c r="AG155" s="692">
        <f t="shared" ref="AG155:AG220" si="100">IF(B155="M",Q155,0)</f>
        <v>0</v>
      </c>
      <c r="AH155" s="692">
        <f t="shared" ref="AH155:AH220" si="101">IF(B155="V",Q155,0)</f>
        <v>0</v>
      </c>
    </row>
    <row r="156" spans="1:34">
      <c r="A156" s="20" t="s">
        <v>211</v>
      </c>
      <c r="B156" s="20" t="s">
        <v>109</v>
      </c>
      <c r="C156" s="667"/>
      <c r="D156" s="68" t="s">
        <v>236</v>
      </c>
      <c r="E156" s="679"/>
      <c r="F156" s="529" t="str">
        <f>VLOOKUP(D156,'Q4 DMV -  Revenue'!D:T,17,FALSE)</f>
        <v/>
      </c>
      <c r="G156" s="680"/>
      <c r="H156" s="680"/>
      <c r="I156" s="681"/>
      <c r="J156" s="682">
        <f t="shared" si="50"/>
        <v>0</v>
      </c>
      <c r="K156" s="683"/>
      <c r="L156" s="684"/>
      <c r="M156" s="753">
        <v>0</v>
      </c>
      <c r="N156" s="683">
        <v>0</v>
      </c>
      <c r="O156" s="686"/>
      <c r="P156" s="683">
        <v>0</v>
      </c>
      <c r="Q156" s="687">
        <f t="shared" si="1"/>
        <v>0</v>
      </c>
      <c r="R156" s="688"/>
      <c r="S156" s="693"/>
      <c r="T156" s="690" t="str">
        <f t="shared" si="53"/>
        <v/>
      </c>
      <c r="U156" s="697"/>
      <c r="V156" s="474">
        <f t="shared" ref="V156:V222" si="102">IF(B156="D",Q156,0)</f>
        <v>0</v>
      </c>
      <c r="W156" s="474">
        <f t="shared" si="94"/>
        <v>0</v>
      </c>
      <c r="X156" s="475">
        <f t="shared" si="95"/>
        <v>0</v>
      </c>
      <c r="Y156" s="475">
        <v>0</v>
      </c>
      <c r="Z156" s="476">
        <v>0</v>
      </c>
      <c r="AA156" s="38">
        <f t="shared" ref="AA156:AA222" si="103">(L156+M156)-(V156+W156+X156+Y156+Z156)</f>
        <v>0</v>
      </c>
      <c r="AB156" s="692">
        <f t="shared" si="96"/>
        <v>0</v>
      </c>
      <c r="AC156" s="692">
        <f t="shared" si="97"/>
        <v>0</v>
      </c>
      <c r="AD156" s="692">
        <f t="shared" si="98"/>
        <v>0</v>
      </c>
      <c r="AE156" s="38"/>
      <c r="AF156" s="692">
        <f t="shared" si="99"/>
        <v>0</v>
      </c>
      <c r="AG156" s="692">
        <f t="shared" si="100"/>
        <v>0</v>
      </c>
      <c r="AH156" s="692">
        <f t="shared" si="101"/>
        <v>0</v>
      </c>
    </row>
    <row r="157" spans="1:34" s="232" customFormat="1">
      <c r="A157" s="283"/>
      <c r="B157" s="283" t="s">
        <v>110</v>
      </c>
      <c r="C157" s="667" t="s">
        <v>555</v>
      </c>
      <c r="D157" s="123" t="s">
        <v>192</v>
      </c>
      <c r="E157" s="679"/>
      <c r="F157" s="529" t="str">
        <f>VLOOKUP(D157,'Q4 DMV -  Revenue'!D:T,17,FALSE)</f>
        <v/>
      </c>
      <c r="G157" s="694">
        <v>5442.44</v>
      </c>
      <c r="H157" s="694">
        <v>5170.58</v>
      </c>
      <c r="I157" s="741">
        <v>5229.62</v>
      </c>
      <c r="J157" s="682">
        <f t="shared" si="50"/>
        <v>15842.64</v>
      </c>
      <c r="K157" s="683"/>
      <c r="L157" s="684"/>
      <c r="M157" s="753">
        <v>0</v>
      </c>
      <c r="N157" s="683">
        <v>0</v>
      </c>
      <c r="O157" s="686"/>
      <c r="P157" s="683">
        <v>0</v>
      </c>
      <c r="Q157" s="687">
        <f t="shared" si="1"/>
        <v>0</v>
      </c>
      <c r="R157" s="688"/>
      <c r="S157" s="693"/>
      <c r="T157" s="690" t="str">
        <f t="shared" si="53"/>
        <v/>
      </c>
      <c r="U157" s="683"/>
      <c r="V157" s="474">
        <f t="shared" si="102"/>
        <v>0</v>
      </c>
      <c r="W157" s="474">
        <f t="shared" si="94"/>
        <v>0</v>
      </c>
      <c r="X157" s="475">
        <f t="shared" si="95"/>
        <v>0</v>
      </c>
      <c r="Y157" s="475">
        <v>0</v>
      </c>
      <c r="Z157" s="476">
        <v>0</v>
      </c>
      <c r="AA157" s="38">
        <f t="shared" si="103"/>
        <v>0</v>
      </c>
      <c r="AB157" s="692">
        <f t="shared" si="96"/>
        <v>15842.64</v>
      </c>
      <c r="AC157" s="692">
        <f t="shared" si="97"/>
        <v>0</v>
      </c>
      <c r="AD157" s="692">
        <f t="shared" si="98"/>
        <v>0</v>
      </c>
      <c r="AE157" s="38"/>
      <c r="AF157" s="692">
        <f t="shared" si="99"/>
        <v>0</v>
      </c>
      <c r="AG157" s="692">
        <f t="shared" si="100"/>
        <v>0</v>
      </c>
      <c r="AH157" s="692">
        <f t="shared" si="101"/>
        <v>0</v>
      </c>
    </row>
    <row r="158" spans="1:34" s="232" customFormat="1">
      <c r="A158" s="283"/>
      <c r="B158" s="283" t="s">
        <v>110</v>
      </c>
      <c r="C158" s="667" t="s">
        <v>555</v>
      </c>
      <c r="D158" s="123" t="s">
        <v>193</v>
      </c>
      <c r="E158" s="679"/>
      <c r="F158" s="529" t="str">
        <f>VLOOKUP(D158,'Q4 DMV -  Revenue'!D:T,17,FALSE)</f>
        <v/>
      </c>
      <c r="G158" s="694">
        <v>378.63</v>
      </c>
      <c r="H158" s="694">
        <v>424.32</v>
      </c>
      <c r="I158" s="741">
        <v>522.44000000000005</v>
      </c>
      <c r="J158" s="682">
        <f t="shared" si="50"/>
        <v>1325.39</v>
      </c>
      <c r="K158" s="683"/>
      <c r="L158" s="684"/>
      <c r="M158" s="753">
        <v>0</v>
      </c>
      <c r="N158" s="683">
        <v>0</v>
      </c>
      <c r="O158" s="686"/>
      <c r="P158" s="683">
        <v>0</v>
      </c>
      <c r="Q158" s="687">
        <f t="shared" si="1"/>
        <v>0</v>
      </c>
      <c r="R158" s="688"/>
      <c r="S158" s="693"/>
      <c r="T158" s="690" t="str">
        <f t="shared" si="53"/>
        <v/>
      </c>
      <c r="U158" s="683"/>
      <c r="V158" s="474">
        <f t="shared" si="102"/>
        <v>0</v>
      </c>
      <c r="W158" s="474">
        <f t="shared" si="94"/>
        <v>0</v>
      </c>
      <c r="X158" s="475">
        <f t="shared" si="95"/>
        <v>0</v>
      </c>
      <c r="Y158" s="475">
        <v>0</v>
      </c>
      <c r="Z158" s="476">
        <v>0</v>
      </c>
      <c r="AA158" s="38">
        <f t="shared" si="103"/>
        <v>0</v>
      </c>
      <c r="AB158" s="692">
        <f t="shared" si="96"/>
        <v>1325.39</v>
      </c>
      <c r="AC158" s="692">
        <f t="shared" si="97"/>
        <v>0</v>
      </c>
      <c r="AD158" s="692">
        <f t="shared" si="98"/>
        <v>0</v>
      </c>
      <c r="AE158" s="38"/>
      <c r="AF158" s="692">
        <f t="shared" si="99"/>
        <v>0</v>
      </c>
      <c r="AG158" s="692">
        <f t="shared" si="100"/>
        <v>0</v>
      </c>
      <c r="AH158" s="692">
        <f t="shared" si="101"/>
        <v>0</v>
      </c>
    </row>
    <row r="159" spans="1:34" s="232" customFormat="1">
      <c r="A159" s="283"/>
      <c r="B159" s="283" t="s">
        <v>110</v>
      </c>
      <c r="C159" s="667" t="s">
        <v>555</v>
      </c>
      <c r="D159" s="123" t="s">
        <v>194</v>
      </c>
      <c r="E159" s="679"/>
      <c r="F159" s="529" t="str">
        <f>VLOOKUP(D159,'Q4 DMV -  Revenue'!D:T,17,FALSE)</f>
        <v/>
      </c>
      <c r="G159" s="694">
        <v>145.78</v>
      </c>
      <c r="H159" s="694">
        <v>81.14</v>
      </c>
      <c r="I159" s="741">
        <v>100.78</v>
      </c>
      <c r="J159" s="682">
        <f t="shared" si="50"/>
        <v>327.70000000000005</v>
      </c>
      <c r="K159" s="683"/>
      <c r="L159" s="684"/>
      <c r="M159" s="753">
        <v>0</v>
      </c>
      <c r="N159" s="683">
        <v>0</v>
      </c>
      <c r="O159" s="686"/>
      <c r="P159" s="683">
        <v>0</v>
      </c>
      <c r="Q159" s="687">
        <f t="shared" si="1"/>
        <v>0</v>
      </c>
      <c r="R159" s="688"/>
      <c r="S159" s="693"/>
      <c r="T159" s="690" t="str">
        <f t="shared" si="53"/>
        <v/>
      </c>
      <c r="U159" s="683"/>
      <c r="V159" s="474">
        <f t="shared" si="102"/>
        <v>0</v>
      </c>
      <c r="W159" s="474">
        <f t="shared" si="94"/>
        <v>0</v>
      </c>
      <c r="X159" s="475">
        <f t="shared" si="95"/>
        <v>0</v>
      </c>
      <c r="Y159" s="475">
        <v>0</v>
      </c>
      <c r="Z159" s="476">
        <v>0</v>
      </c>
      <c r="AA159" s="38">
        <f t="shared" si="103"/>
        <v>0</v>
      </c>
      <c r="AB159" s="692">
        <f t="shared" si="96"/>
        <v>327.70000000000005</v>
      </c>
      <c r="AC159" s="692">
        <f t="shared" si="97"/>
        <v>0</v>
      </c>
      <c r="AD159" s="692">
        <f t="shared" si="98"/>
        <v>0</v>
      </c>
      <c r="AE159" s="38"/>
      <c r="AF159" s="692">
        <f t="shared" si="99"/>
        <v>0</v>
      </c>
      <c r="AG159" s="692">
        <f t="shared" si="100"/>
        <v>0</v>
      </c>
      <c r="AH159" s="692">
        <f t="shared" si="101"/>
        <v>0</v>
      </c>
    </row>
    <row r="160" spans="1:34" s="232" customFormat="1">
      <c r="A160" s="283"/>
      <c r="B160" s="283" t="s">
        <v>110</v>
      </c>
      <c r="C160" s="667" t="s">
        <v>555</v>
      </c>
      <c r="D160" s="123" t="s">
        <v>195</v>
      </c>
      <c r="E160" s="679"/>
      <c r="F160" s="529" t="str">
        <f>VLOOKUP(D160,'Q4 DMV -  Revenue'!D:T,17,FALSE)</f>
        <v/>
      </c>
      <c r="G160" s="694">
        <v>13.88</v>
      </c>
      <c r="H160" s="694">
        <v>12.22</v>
      </c>
      <c r="I160" s="741">
        <v>20.100000000000001</v>
      </c>
      <c r="J160" s="682">
        <f t="shared" si="50"/>
        <v>46.2</v>
      </c>
      <c r="K160" s="683"/>
      <c r="L160" s="684"/>
      <c r="M160" s="753">
        <v>0</v>
      </c>
      <c r="N160" s="683">
        <v>0</v>
      </c>
      <c r="O160" s="686"/>
      <c r="P160" s="683">
        <v>0</v>
      </c>
      <c r="Q160" s="687">
        <f t="shared" si="1"/>
        <v>0</v>
      </c>
      <c r="R160" s="688"/>
      <c r="S160" s="693"/>
      <c r="T160" s="690" t="str">
        <f t="shared" si="53"/>
        <v/>
      </c>
      <c r="U160" s="683"/>
      <c r="V160" s="474">
        <f t="shared" si="102"/>
        <v>0</v>
      </c>
      <c r="W160" s="474">
        <f t="shared" si="94"/>
        <v>0</v>
      </c>
      <c r="X160" s="475">
        <f t="shared" si="95"/>
        <v>0</v>
      </c>
      <c r="Y160" s="475">
        <v>0</v>
      </c>
      <c r="Z160" s="476">
        <v>0</v>
      </c>
      <c r="AA160" s="38">
        <f t="shared" si="103"/>
        <v>0</v>
      </c>
      <c r="AB160" s="692">
        <f t="shared" si="96"/>
        <v>46.2</v>
      </c>
      <c r="AC160" s="692">
        <f t="shared" si="97"/>
        <v>0</v>
      </c>
      <c r="AD160" s="692">
        <f t="shared" si="98"/>
        <v>0</v>
      </c>
      <c r="AE160" s="38"/>
      <c r="AF160" s="692">
        <f t="shared" si="99"/>
        <v>0</v>
      </c>
      <c r="AG160" s="692">
        <f t="shared" si="100"/>
        <v>0</v>
      </c>
      <c r="AH160" s="692">
        <f t="shared" si="101"/>
        <v>0</v>
      </c>
    </row>
    <row r="161" spans="1:34" s="232" customFormat="1">
      <c r="A161" s="283"/>
      <c r="B161" s="283" t="s">
        <v>110</v>
      </c>
      <c r="C161" s="667" t="s">
        <v>555</v>
      </c>
      <c r="D161" s="123" t="s">
        <v>196</v>
      </c>
      <c r="E161" s="679"/>
      <c r="F161" s="529" t="str">
        <f>VLOOKUP(D161,'Q4 DMV -  Revenue'!D:T,17,FALSE)</f>
        <v/>
      </c>
      <c r="G161" s="694">
        <v>148.66999999999999</v>
      </c>
      <c r="H161" s="694">
        <v>141.84</v>
      </c>
      <c r="I161" s="741">
        <v>95.84</v>
      </c>
      <c r="J161" s="682">
        <f t="shared" si="50"/>
        <v>386.35</v>
      </c>
      <c r="K161" s="683"/>
      <c r="L161" s="684"/>
      <c r="M161" s="753">
        <v>0</v>
      </c>
      <c r="N161" s="683">
        <v>0</v>
      </c>
      <c r="O161" s="686"/>
      <c r="P161" s="683">
        <v>0</v>
      </c>
      <c r="Q161" s="687">
        <f t="shared" si="1"/>
        <v>0</v>
      </c>
      <c r="R161" s="688"/>
      <c r="S161" s="693"/>
      <c r="T161" s="690" t="str">
        <f t="shared" si="53"/>
        <v/>
      </c>
      <c r="U161" s="683"/>
      <c r="V161" s="474">
        <f t="shared" si="102"/>
        <v>0</v>
      </c>
      <c r="W161" s="474">
        <f t="shared" si="94"/>
        <v>0</v>
      </c>
      <c r="X161" s="475">
        <f t="shared" si="95"/>
        <v>0</v>
      </c>
      <c r="Y161" s="475">
        <v>0</v>
      </c>
      <c r="Z161" s="476">
        <v>0</v>
      </c>
      <c r="AA161" s="38">
        <f t="shared" si="103"/>
        <v>0</v>
      </c>
      <c r="AB161" s="692">
        <f t="shared" si="96"/>
        <v>386.35</v>
      </c>
      <c r="AC161" s="692">
        <f t="shared" si="97"/>
        <v>0</v>
      </c>
      <c r="AD161" s="692">
        <f t="shared" si="98"/>
        <v>0</v>
      </c>
      <c r="AE161" s="38"/>
      <c r="AF161" s="692">
        <f t="shared" si="99"/>
        <v>0</v>
      </c>
      <c r="AG161" s="692">
        <f t="shared" si="100"/>
        <v>0</v>
      </c>
      <c r="AH161" s="692">
        <f t="shared" si="101"/>
        <v>0</v>
      </c>
    </row>
    <row r="162" spans="1:34" s="232" customFormat="1">
      <c r="A162" s="283"/>
      <c r="B162" s="283" t="s">
        <v>110</v>
      </c>
      <c r="C162" s="667" t="s">
        <v>555</v>
      </c>
      <c r="D162" s="123" t="s">
        <v>197</v>
      </c>
      <c r="E162" s="679"/>
      <c r="F162" s="529" t="str">
        <f>VLOOKUP(D162,'Q4 DMV -  Revenue'!D:T,17,FALSE)</f>
        <v/>
      </c>
      <c r="G162" s="694">
        <v>6.46</v>
      </c>
      <c r="H162" s="694">
        <v>5.0199999999999996</v>
      </c>
      <c r="I162" s="741">
        <v>10.37</v>
      </c>
      <c r="J162" s="682">
        <f t="shared" si="50"/>
        <v>21.85</v>
      </c>
      <c r="K162" s="683"/>
      <c r="L162" s="684"/>
      <c r="M162" s="753">
        <v>0</v>
      </c>
      <c r="N162" s="683">
        <v>0</v>
      </c>
      <c r="O162" s="686"/>
      <c r="P162" s="683">
        <v>0</v>
      </c>
      <c r="Q162" s="687">
        <f t="shared" si="1"/>
        <v>0</v>
      </c>
      <c r="R162" s="688"/>
      <c r="S162" s="693"/>
      <c r="T162" s="690" t="str">
        <f t="shared" si="53"/>
        <v/>
      </c>
      <c r="U162" s="683"/>
      <c r="V162" s="474">
        <f t="shared" si="102"/>
        <v>0</v>
      </c>
      <c r="W162" s="474">
        <f t="shared" si="94"/>
        <v>0</v>
      </c>
      <c r="X162" s="475">
        <f t="shared" si="95"/>
        <v>0</v>
      </c>
      <c r="Y162" s="475">
        <v>0</v>
      </c>
      <c r="Z162" s="476">
        <v>0</v>
      </c>
      <c r="AA162" s="38">
        <f t="shared" si="103"/>
        <v>0</v>
      </c>
      <c r="AB162" s="692">
        <f t="shared" si="96"/>
        <v>21.85</v>
      </c>
      <c r="AC162" s="692">
        <f t="shared" si="97"/>
        <v>0</v>
      </c>
      <c r="AD162" s="692">
        <f t="shared" si="98"/>
        <v>0</v>
      </c>
      <c r="AE162" s="38"/>
      <c r="AF162" s="692">
        <f t="shared" si="99"/>
        <v>0</v>
      </c>
      <c r="AG162" s="692">
        <f t="shared" si="100"/>
        <v>0</v>
      </c>
      <c r="AH162" s="692">
        <f t="shared" si="101"/>
        <v>0</v>
      </c>
    </row>
    <row r="163" spans="1:34" s="232" customFormat="1">
      <c r="A163" s="283"/>
      <c r="B163" s="283" t="s">
        <v>110</v>
      </c>
      <c r="C163" s="667" t="s">
        <v>555</v>
      </c>
      <c r="D163" s="123" t="s">
        <v>440</v>
      </c>
      <c r="E163" s="679"/>
      <c r="F163" s="529" t="str">
        <f>VLOOKUP(D163,'Q4 DMV -  Revenue'!D:T,17,FALSE)</f>
        <v/>
      </c>
      <c r="G163" s="694">
        <f>216.97+1426.98+482.02</f>
        <v>2125.9700000000003</v>
      </c>
      <c r="H163" s="694">
        <f>1497.26+236.61+374.8</f>
        <v>2108.67</v>
      </c>
      <c r="I163" s="741">
        <f>1382.98+292.45+385.87</f>
        <v>2061.3000000000002</v>
      </c>
      <c r="J163" s="682">
        <f t="shared" ref="J163:J233" si="104">SUM(E163:I163)</f>
        <v>6295.9400000000005</v>
      </c>
      <c r="K163" s="683"/>
      <c r="L163" s="684"/>
      <c r="M163" s="753">
        <v>0</v>
      </c>
      <c r="N163" s="683">
        <v>0</v>
      </c>
      <c r="O163" s="686"/>
      <c r="P163" s="683">
        <v>0</v>
      </c>
      <c r="Q163" s="687">
        <f t="shared" si="1"/>
        <v>0</v>
      </c>
      <c r="R163" s="688"/>
      <c r="S163" s="693"/>
      <c r="T163" s="690" t="str">
        <f t="shared" si="53"/>
        <v/>
      </c>
      <c r="U163" s="683"/>
      <c r="V163" s="474">
        <f t="shared" si="102"/>
        <v>0</v>
      </c>
      <c r="W163" s="474">
        <f t="shared" si="94"/>
        <v>0</v>
      </c>
      <c r="X163" s="475">
        <f t="shared" si="95"/>
        <v>0</v>
      </c>
      <c r="Y163" s="475">
        <v>0</v>
      </c>
      <c r="Z163" s="476">
        <v>0</v>
      </c>
      <c r="AA163" s="38">
        <f t="shared" si="103"/>
        <v>0</v>
      </c>
      <c r="AB163" s="692">
        <f t="shared" si="96"/>
        <v>6295.9400000000005</v>
      </c>
      <c r="AC163" s="692">
        <f t="shared" si="97"/>
        <v>0</v>
      </c>
      <c r="AD163" s="692">
        <f t="shared" si="98"/>
        <v>0</v>
      </c>
      <c r="AE163" s="38"/>
      <c r="AF163" s="692">
        <f t="shared" si="99"/>
        <v>0</v>
      </c>
      <c r="AG163" s="692">
        <f t="shared" si="100"/>
        <v>0</v>
      </c>
      <c r="AH163" s="692">
        <f t="shared" si="101"/>
        <v>0</v>
      </c>
    </row>
    <row r="164" spans="1:34" s="232" customFormat="1">
      <c r="A164" s="283"/>
      <c r="B164" s="283" t="s">
        <v>110</v>
      </c>
      <c r="C164" s="667" t="s">
        <v>555</v>
      </c>
      <c r="D164" s="123" t="s">
        <v>481</v>
      </c>
      <c r="E164" s="679"/>
      <c r="F164" s="529" t="str">
        <f>VLOOKUP(D164,'Q4 DMV -  Revenue'!D:T,17,FALSE)</f>
        <v/>
      </c>
      <c r="G164" s="694">
        <v>736.74</v>
      </c>
      <c r="H164" s="694">
        <v>896.28</v>
      </c>
      <c r="I164" s="741">
        <v>725.06</v>
      </c>
      <c r="J164" s="682">
        <f t="shared" si="104"/>
        <v>2358.08</v>
      </c>
      <c r="K164" s="683"/>
      <c r="L164" s="684"/>
      <c r="M164" s="753">
        <v>0</v>
      </c>
      <c r="N164" s="683">
        <v>0</v>
      </c>
      <c r="O164" s="686"/>
      <c r="P164" s="683">
        <v>0</v>
      </c>
      <c r="Q164" s="687">
        <f t="shared" si="1"/>
        <v>0</v>
      </c>
      <c r="R164" s="688"/>
      <c r="S164" s="693"/>
      <c r="T164" s="690" t="str">
        <f t="shared" ref="T164:T234" si="105">IF(R164="","",R164-Q164)</f>
        <v/>
      </c>
      <c r="U164" s="683"/>
      <c r="V164" s="474">
        <f t="shared" si="102"/>
        <v>0</v>
      </c>
      <c r="W164" s="474">
        <f t="shared" si="94"/>
        <v>0</v>
      </c>
      <c r="X164" s="475">
        <f t="shared" si="95"/>
        <v>0</v>
      </c>
      <c r="Y164" s="475">
        <v>0</v>
      </c>
      <c r="Z164" s="476">
        <v>0</v>
      </c>
      <c r="AA164" s="38">
        <f t="shared" si="103"/>
        <v>0</v>
      </c>
      <c r="AB164" s="692">
        <f t="shared" si="96"/>
        <v>2358.08</v>
      </c>
      <c r="AC164" s="692">
        <f t="shared" si="97"/>
        <v>0</v>
      </c>
      <c r="AD164" s="692">
        <f t="shared" si="98"/>
        <v>0</v>
      </c>
      <c r="AE164" s="38"/>
      <c r="AF164" s="692">
        <f t="shared" si="99"/>
        <v>0</v>
      </c>
      <c r="AG164" s="692">
        <f t="shared" si="100"/>
        <v>0</v>
      </c>
      <c r="AH164" s="692">
        <f t="shared" si="101"/>
        <v>0</v>
      </c>
    </row>
    <row r="165" spans="1:34" s="232" customFormat="1">
      <c r="A165" s="283"/>
      <c r="B165" s="283" t="s">
        <v>109</v>
      </c>
      <c r="C165" s="667" t="s">
        <v>555</v>
      </c>
      <c r="D165" s="123" t="s">
        <v>248</v>
      </c>
      <c r="E165" s="679"/>
      <c r="F165" s="529" t="str">
        <f>VLOOKUP(D165,'Q4 DMV -  Revenue'!D:T,17,FALSE)</f>
        <v/>
      </c>
      <c r="G165" s="680"/>
      <c r="H165" s="680"/>
      <c r="I165" s="681"/>
      <c r="J165" s="682">
        <f t="shared" si="104"/>
        <v>0</v>
      </c>
      <c r="K165" s="683"/>
      <c r="L165" s="684"/>
      <c r="M165" s="753">
        <v>0</v>
      </c>
      <c r="N165" s="683">
        <v>0</v>
      </c>
      <c r="O165" s="686"/>
      <c r="P165" s="683">
        <v>0</v>
      </c>
      <c r="Q165" s="687">
        <f t="shared" si="1"/>
        <v>0</v>
      </c>
      <c r="R165" s="688"/>
      <c r="S165" s="693"/>
      <c r="T165" s="690" t="str">
        <f t="shared" si="105"/>
        <v/>
      </c>
      <c r="U165" s="683"/>
      <c r="V165" s="474">
        <f t="shared" si="102"/>
        <v>0</v>
      </c>
      <c r="W165" s="474">
        <f t="shared" si="94"/>
        <v>0</v>
      </c>
      <c r="X165" s="475">
        <f t="shared" si="95"/>
        <v>0</v>
      </c>
      <c r="Y165" s="475">
        <v>0</v>
      </c>
      <c r="Z165" s="476">
        <v>0</v>
      </c>
      <c r="AA165" s="38">
        <f t="shared" si="103"/>
        <v>0</v>
      </c>
      <c r="AB165" s="692">
        <f t="shared" si="96"/>
        <v>0</v>
      </c>
      <c r="AC165" s="692">
        <f t="shared" si="97"/>
        <v>0</v>
      </c>
      <c r="AD165" s="692">
        <f t="shared" si="98"/>
        <v>0</v>
      </c>
      <c r="AE165" s="38"/>
      <c r="AF165" s="692">
        <f t="shared" si="99"/>
        <v>0</v>
      </c>
      <c r="AG165" s="692">
        <f t="shared" si="100"/>
        <v>0</v>
      </c>
      <c r="AH165" s="692">
        <f t="shared" si="101"/>
        <v>0</v>
      </c>
    </row>
    <row r="166" spans="1:34" s="232" customFormat="1">
      <c r="A166" s="283"/>
      <c r="B166" s="20" t="s">
        <v>109</v>
      </c>
      <c r="C166" s="667"/>
      <c r="D166" s="68" t="s">
        <v>465</v>
      </c>
      <c r="E166" s="679">
        <v>52681.49</v>
      </c>
      <c r="F166" s="529">
        <f>VLOOKUP(D166,'Q4 DMV -  Revenue'!D:T,17,FALSE)</f>
        <v>5812</v>
      </c>
      <c r="G166" s="680"/>
      <c r="H166" s="680"/>
      <c r="I166" s="681"/>
      <c r="J166" s="682">
        <f t="shared" si="104"/>
        <v>58493.49</v>
      </c>
      <c r="K166" s="683"/>
      <c r="L166" s="684"/>
      <c r="M166" s="753">
        <v>0</v>
      </c>
      <c r="N166" s="683">
        <v>0</v>
      </c>
      <c r="O166" s="686"/>
      <c r="P166" s="683">
        <v>0</v>
      </c>
      <c r="Q166" s="687">
        <f t="shared" si="1"/>
        <v>0</v>
      </c>
      <c r="R166" s="688"/>
      <c r="S166" s="693"/>
      <c r="T166" s="690" t="str">
        <f t="shared" si="105"/>
        <v/>
      </c>
      <c r="U166" s="683"/>
      <c r="V166" s="474">
        <f t="shared" si="102"/>
        <v>0</v>
      </c>
      <c r="W166" s="474">
        <f t="shared" si="94"/>
        <v>0</v>
      </c>
      <c r="X166" s="475">
        <f t="shared" si="95"/>
        <v>0</v>
      </c>
      <c r="Y166" s="475">
        <v>0</v>
      </c>
      <c r="Z166" s="476">
        <v>0</v>
      </c>
      <c r="AA166" s="38">
        <f t="shared" si="103"/>
        <v>0</v>
      </c>
      <c r="AB166" s="692">
        <f t="shared" si="96"/>
        <v>0</v>
      </c>
      <c r="AC166" s="692">
        <f t="shared" si="97"/>
        <v>58493.49</v>
      </c>
      <c r="AD166" s="692">
        <f t="shared" si="98"/>
        <v>0</v>
      </c>
      <c r="AE166" s="38"/>
      <c r="AF166" s="692">
        <f t="shared" si="99"/>
        <v>0</v>
      </c>
      <c r="AG166" s="692">
        <f t="shared" si="100"/>
        <v>0</v>
      </c>
      <c r="AH166" s="692">
        <f t="shared" si="101"/>
        <v>0</v>
      </c>
    </row>
    <row r="167" spans="1:34">
      <c r="A167" s="21"/>
      <c r="B167" s="21" t="s">
        <v>109</v>
      </c>
      <c r="C167" s="666"/>
      <c r="D167" s="68" t="s">
        <v>31</v>
      </c>
      <c r="E167" s="679"/>
      <c r="F167" s="529" t="str">
        <f>VLOOKUP(D167,'Q4 DMV -  Revenue'!D:T,17,FALSE)</f>
        <v/>
      </c>
      <c r="G167" s="680"/>
      <c r="H167" s="680"/>
      <c r="I167" s="681"/>
      <c r="J167" s="682">
        <f t="shared" si="104"/>
        <v>0</v>
      </c>
      <c r="K167" s="683"/>
      <c r="L167" s="684"/>
      <c r="M167" s="753">
        <v>0</v>
      </c>
      <c r="N167" s="683">
        <v>0</v>
      </c>
      <c r="O167" s="686"/>
      <c r="P167" s="683">
        <v>0</v>
      </c>
      <c r="Q167" s="687">
        <f t="shared" si="1"/>
        <v>0</v>
      </c>
      <c r="R167" s="688"/>
      <c r="S167" s="693"/>
      <c r="T167" s="690" t="str">
        <f t="shared" si="105"/>
        <v/>
      </c>
      <c r="U167" s="683"/>
      <c r="V167" s="474">
        <f t="shared" si="102"/>
        <v>0</v>
      </c>
      <c r="W167" s="474">
        <f t="shared" si="94"/>
        <v>0</v>
      </c>
      <c r="X167" s="475">
        <f t="shared" si="95"/>
        <v>0</v>
      </c>
      <c r="Y167" s="475">
        <v>0</v>
      </c>
      <c r="Z167" s="476">
        <v>0</v>
      </c>
      <c r="AA167" s="38">
        <f t="shared" si="103"/>
        <v>0</v>
      </c>
      <c r="AB167" s="692">
        <f t="shared" si="96"/>
        <v>0</v>
      </c>
      <c r="AC167" s="692">
        <f t="shared" si="97"/>
        <v>0</v>
      </c>
      <c r="AD167" s="692">
        <f t="shared" si="98"/>
        <v>0</v>
      </c>
      <c r="AE167" s="38"/>
      <c r="AF167" s="692">
        <f t="shared" si="99"/>
        <v>0</v>
      </c>
      <c r="AG167" s="692">
        <f t="shared" si="100"/>
        <v>0</v>
      </c>
      <c r="AH167" s="692">
        <f t="shared" si="101"/>
        <v>0</v>
      </c>
    </row>
    <row r="168" spans="1:34">
      <c r="A168" s="21"/>
      <c r="B168" s="21" t="s">
        <v>110</v>
      </c>
      <c r="C168" s="666" t="s">
        <v>556</v>
      </c>
      <c r="D168" s="68" t="s">
        <v>261</v>
      </c>
      <c r="E168" s="679"/>
      <c r="F168" s="529">
        <f>VLOOKUP(D168,'Q4 DMV -  Revenue'!D:T,17,FALSE)</f>
        <v>43978.91</v>
      </c>
      <c r="G168" s="737">
        <f>100284.06-G169</f>
        <v>87535.03</v>
      </c>
      <c r="H168" s="694">
        <f>94837.56-H169</f>
        <v>82067.87</v>
      </c>
      <c r="I168" s="681"/>
      <c r="J168" s="682">
        <f t="shared" si="104"/>
        <v>213581.81</v>
      </c>
      <c r="K168" s="683"/>
      <c r="L168" s="684"/>
      <c r="M168" s="753">
        <v>80000</v>
      </c>
      <c r="N168" s="683">
        <v>0</v>
      </c>
      <c r="O168" s="686"/>
      <c r="P168" s="683">
        <v>0</v>
      </c>
      <c r="Q168" s="687">
        <f t="shared" si="1"/>
        <v>80000</v>
      </c>
      <c r="R168" s="688">
        <f>97994.59-R169</f>
        <v>85682.93</v>
      </c>
      <c r="S168" s="693"/>
      <c r="T168" s="690">
        <f t="shared" si="105"/>
        <v>5682.929999999993</v>
      </c>
      <c r="U168" s="683"/>
      <c r="V168" s="474">
        <f t="shared" si="102"/>
        <v>80000</v>
      </c>
      <c r="W168" s="474">
        <f t="shared" si="94"/>
        <v>0</v>
      </c>
      <c r="X168" s="475">
        <f t="shared" si="95"/>
        <v>0</v>
      </c>
      <c r="Y168" s="475">
        <v>0</v>
      </c>
      <c r="Z168" s="476">
        <v>0</v>
      </c>
      <c r="AA168" s="38">
        <f t="shared" si="103"/>
        <v>0</v>
      </c>
      <c r="AB168" s="692">
        <f t="shared" si="96"/>
        <v>213581.81</v>
      </c>
      <c r="AC168" s="692">
        <f t="shared" si="97"/>
        <v>0</v>
      </c>
      <c r="AD168" s="692">
        <f t="shared" si="98"/>
        <v>0</v>
      </c>
      <c r="AE168" s="38"/>
      <c r="AF168" s="692">
        <f t="shared" si="99"/>
        <v>80000</v>
      </c>
      <c r="AG168" s="692">
        <f t="shared" si="100"/>
        <v>0</v>
      </c>
      <c r="AH168" s="692">
        <f t="shared" si="101"/>
        <v>0</v>
      </c>
    </row>
    <row r="169" spans="1:34" s="269" customFormat="1">
      <c r="A169" s="21"/>
      <c r="B169" s="21" t="s">
        <v>110</v>
      </c>
      <c r="C169" s="666" t="s">
        <v>556</v>
      </c>
      <c r="D169" s="68" t="s">
        <v>262</v>
      </c>
      <c r="E169" s="679"/>
      <c r="F169" s="529">
        <f>VLOOKUP(D169,'Q4 DMV -  Revenue'!D:T,17,FALSE)</f>
        <v>-15000</v>
      </c>
      <c r="G169" s="694">
        <f>11709.34+1039.69</f>
        <v>12749.03</v>
      </c>
      <c r="H169" s="694">
        <f>11901.9+867.79</f>
        <v>12769.689999999999</v>
      </c>
      <c r="I169" s="681"/>
      <c r="J169" s="682">
        <f t="shared" si="104"/>
        <v>10518.72</v>
      </c>
      <c r="K169" s="683"/>
      <c r="L169" s="684"/>
      <c r="M169" s="753">
        <v>10000</v>
      </c>
      <c r="N169" s="683">
        <v>0</v>
      </c>
      <c r="O169" s="686"/>
      <c r="P169" s="683">
        <v>0</v>
      </c>
      <c r="Q169" s="687">
        <f t="shared" si="1"/>
        <v>10000</v>
      </c>
      <c r="R169" s="688">
        <v>12311.66</v>
      </c>
      <c r="S169" s="693"/>
      <c r="T169" s="690">
        <f t="shared" si="105"/>
        <v>2311.66</v>
      </c>
      <c r="U169" s="683"/>
      <c r="V169" s="474">
        <f t="shared" si="102"/>
        <v>10000</v>
      </c>
      <c r="W169" s="474">
        <f t="shared" si="94"/>
        <v>0</v>
      </c>
      <c r="X169" s="475">
        <f t="shared" si="95"/>
        <v>0</v>
      </c>
      <c r="Y169" s="475">
        <v>0</v>
      </c>
      <c r="Z169" s="476">
        <v>0</v>
      </c>
      <c r="AA169" s="38">
        <f t="shared" si="103"/>
        <v>0</v>
      </c>
      <c r="AB169" s="692">
        <f t="shared" si="96"/>
        <v>10518.72</v>
      </c>
      <c r="AC169" s="692">
        <f t="shared" si="97"/>
        <v>0</v>
      </c>
      <c r="AD169" s="692">
        <f t="shared" si="98"/>
        <v>0</v>
      </c>
      <c r="AE169" s="38"/>
      <c r="AF169" s="692">
        <f t="shared" si="99"/>
        <v>10000</v>
      </c>
      <c r="AG169" s="692">
        <f t="shared" si="100"/>
        <v>0</v>
      </c>
      <c r="AH169" s="692">
        <f t="shared" si="101"/>
        <v>0</v>
      </c>
    </row>
    <row r="170" spans="1:34" s="269" customFormat="1">
      <c r="A170" s="21"/>
      <c r="B170" s="21" t="s">
        <v>114</v>
      </c>
      <c r="C170" s="675" t="s">
        <v>619</v>
      </c>
      <c r="D170" s="68" t="s">
        <v>626</v>
      </c>
      <c r="E170" s="679"/>
      <c r="F170" s="529">
        <f>VLOOKUP(D170,'Q4 DMV -  Revenue'!D:T,17,FALSE)</f>
        <v>10429.869999999999</v>
      </c>
      <c r="G170" s="694">
        <v>6029.77</v>
      </c>
      <c r="H170" s="694">
        <v>8838.31</v>
      </c>
      <c r="I170" s="741">
        <v>7238.74</v>
      </c>
      <c r="J170" s="682">
        <f t="shared" ref="J170" si="106">SUM(E170:I170)</f>
        <v>32536.689999999995</v>
      </c>
      <c r="K170" s="683"/>
      <c r="L170" s="684"/>
      <c r="M170" s="753">
        <v>0</v>
      </c>
      <c r="N170" s="683">
        <v>0</v>
      </c>
      <c r="O170" s="686"/>
      <c r="P170" s="683">
        <v>0</v>
      </c>
      <c r="Q170" s="687">
        <f t="shared" ref="Q170" si="107">L170+M170</f>
        <v>0</v>
      </c>
      <c r="R170" s="688"/>
      <c r="S170" s="693"/>
      <c r="T170" s="690" t="str">
        <f t="shared" ref="T170" si="108">IF(R170="","",R170-Q170)</f>
        <v/>
      </c>
      <c r="U170" s="683"/>
      <c r="V170" s="474">
        <f t="shared" ref="V170" si="109">IF(B170="D",Q170,0)</f>
        <v>0</v>
      </c>
      <c r="W170" s="474">
        <f t="shared" ref="W170" si="110">IF(B170="M",Q170,0)</f>
        <v>0</v>
      </c>
      <c r="X170" s="475">
        <f t="shared" ref="X170" si="111">IF(B170="V",Q170,0)</f>
        <v>0</v>
      </c>
      <c r="Y170" s="475">
        <v>0</v>
      </c>
      <c r="Z170" s="476">
        <v>0</v>
      </c>
      <c r="AA170" s="38">
        <f t="shared" ref="AA170" si="112">(L170+M170)-(V170+W170+X170+Y170+Z170)</f>
        <v>0</v>
      </c>
      <c r="AB170" s="692">
        <f t="shared" ref="AB170" si="113">IF(B170="D",J170,0)</f>
        <v>0</v>
      </c>
      <c r="AC170" s="692">
        <f t="shared" ref="AC170" si="114">IF(B170="M",J170,0)</f>
        <v>0</v>
      </c>
      <c r="AD170" s="692">
        <f t="shared" ref="AD170" si="115">IF(B170="V",J170,0)</f>
        <v>32536.689999999995</v>
      </c>
      <c r="AE170" s="38"/>
      <c r="AF170" s="692">
        <f t="shared" ref="AF170" si="116">IF(B170="D",Q170,0)</f>
        <v>0</v>
      </c>
      <c r="AG170" s="692">
        <f t="shared" ref="AG170" si="117">IF(B170="M",Q170,0)</f>
        <v>0</v>
      </c>
      <c r="AH170" s="692">
        <f t="shared" ref="AH170" si="118">IF(B170="V",Q170,0)</f>
        <v>0</v>
      </c>
    </row>
    <row r="171" spans="1:34">
      <c r="A171" s="21"/>
      <c r="B171" s="21" t="s">
        <v>109</v>
      </c>
      <c r="C171" s="666"/>
      <c r="D171" s="68" t="s">
        <v>190</v>
      </c>
      <c r="E171" s="679"/>
      <c r="F171" s="529" t="str">
        <f>VLOOKUP(D171,'Q4 DMV -  Revenue'!D:T,17,FALSE)</f>
        <v/>
      </c>
      <c r="G171" s="680"/>
      <c r="H171" s="680"/>
      <c r="I171" s="681"/>
      <c r="J171" s="682">
        <f t="shared" si="104"/>
        <v>0</v>
      </c>
      <c r="K171" s="683"/>
      <c r="L171" s="684"/>
      <c r="M171" s="753">
        <v>0</v>
      </c>
      <c r="N171" s="683">
        <v>0</v>
      </c>
      <c r="O171" s="686"/>
      <c r="P171" s="683">
        <v>0</v>
      </c>
      <c r="Q171" s="687">
        <f t="shared" ref="Q171:Q240" si="119">L171+M171</f>
        <v>0</v>
      </c>
      <c r="R171" s="688"/>
      <c r="S171" s="693"/>
      <c r="T171" s="690" t="str">
        <f t="shared" si="105"/>
        <v/>
      </c>
      <c r="U171" s="683"/>
      <c r="V171" s="474">
        <f t="shared" si="102"/>
        <v>0</v>
      </c>
      <c r="W171" s="474">
        <f t="shared" si="94"/>
        <v>0</v>
      </c>
      <c r="X171" s="475">
        <f t="shared" si="95"/>
        <v>0</v>
      </c>
      <c r="Y171" s="475">
        <v>0</v>
      </c>
      <c r="Z171" s="476">
        <v>0</v>
      </c>
      <c r="AA171" s="38">
        <f t="shared" si="103"/>
        <v>0</v>
      </c>
      <c r="AB171" s="692">
        <f t="shared" si="96"/>
        <v>0</v>
      </c>
      <c r="AC171" s="692">
        <f t="shared" si="97"/>
        <v>0</v>
      </c>
      <c r="AD171" s="692">
        <f t="shared" si="98"/>
        <v>0</v>
      </c>
      <c r="AE171" s="38"/>
      <c r="AF171" s="692">
        <f t="shared" si="99"/>
        <v>0</v>
      </c>
      <c r="AG171" s="692">
        <f t="shared" si="100"/>
        <v>0</v>
      </c>
      <c r="AH171" s="692">
        <f t="shared" si="101"/>
        <v>0</v>
      </c>
    </row>
    <row r="172" spans="1:34">
      <c r="A172" s="21"/>
      <c r="B172" s="21" t="s">
        <v>109</v>
      </c>
      <c r="C172" s="666"/>
      <c r="D172" s="68" t="s">
        <v>231</v>
      </c>
      <c r="E172" s="679">
        <f>1259.85+139.39</f>
        <v>1399.2399999999998</v>
      </c>
      <c r="F172" s="529" t="str">
        <f>VLOOKUP(D172,'Q4 DMV -  Revenue'!D:T,17,FALSE)</f>
        <v/>
      </c>
      <c r="G172" s="680"/>
      <c r="H172" s="680"/>
      <c r="I172" s="681"/>
      <c r="J172" s="682">
        <f t="shared" si="104"/>
        <v>1399.2399999999998</v>
      </c>
      <c r="K172" s="683"/>
      <c r="L172" s="684"/>
      <c r="M172" s="753">
        <v>0</v>
      </c>
      <c r="N172" s="683">
        <v>0</v>
      </c>
      <c r="O172" s="686"/>
      <c r="P172" s="683">
        <v>0</v>
      </c>
      <c r="Q172" s="687">
        <f t="shared" si="119"/>
        <v>0</v>
      </c>
      <c r="R172" s="688"/>
      <c r="S172" s="693"/>
      <c r="T172" s="690" t="str">
        <f t="shared" si="105"/>
        <v/>
      </c>
      <c r="U172" s="683"/>
      <c r="V172" s="474">
        <f t="shared" si="102"/>
        <v>0</v>
      </c>
      <c r="W172" s="474">
        <f t="shared" si="94"/>
        <v>0</v>
      </c>
      <c r="X172" s="475">
        <f t="shared" si="95"/>
        <v>0</v>
      </c>
      <c r="Y172" s="475">
        <v>0</v>
      </c>
      <c r="Z172" s="476">
        <v>0</v>
      </c>
      <c r="AA172" s="38">
        <f t="shared" si="103"/>
        <v>0</v>
      </c>
      <c r="AB172" s="692">
        <f t="shared" si="96"/>
        <v>0</v>
      </c>
      <c r="AC172" s="692">
        <f t="shared" si="97"/>
        <v>1399.2399999999998</v>
      </c>
      <c r="AD172" s="692">
        <f t="shared" si="98"/>
        <v>0</v>
      </c>
      <c r="AE172" s="38"/>
      <c r="AF172" s="692">
        <f t="shared" si="99"/>
        <v>0</v>
      </c>
      <c r="AG172" s="692">
        <f t="shared" si="100"/>
        <v>0</v>
      </c>
      <c r="AH172" s="692">
        <f t="shared" si="101"/>
        <v>0</v>
      </c>
    </row>
    <row r="173" spans="1:34">
      <c r="A173" s="21"/>
      <c r="B173" s="21" t="s">
        <v>109</v>
      </c>
      <c r="C173" s="666"/>
      <c r="D173" s="68" t="s">
        <v>396</v>
      </c>
      <c r="E173" s="679"/>
      <c r="F173" s="529" t="str">
        <f>VLOOKUP(D173,'Q4 DMV -  Revenue'!D:T,17,FALSE)</f>
        <v/>
      </c>
      <c r="G173" s="694">
        <v>9.7200000000000006</v>
      </c>
      <c r="H173" s="694">
        <v>16.57</v>
      </c>
      <c r="I173" s="681"/>
      <c r="J173" s="682">
        <f t="shared" si="104"/>
        <v>26.29</v>
      </c>
      <c r="K173" s="683"/>
      <c r="L173" s="684"/>
      <c r="M173" s="753">
        <v>0</v>
      </c>
      <c r="N173" s="683">
        <v>0</v>
      </c>
      <c r="O173" s="686"/>
      <c r="P173" s="683">
        <v>0</v>
      </c>
      <c r="Q173" s="687">
        <f t="shared" si="119"/>
        <v>0</v>
      </c>
      <c r="R173" s="688"/>
      <c r="S173" s="693"/>
      <c r="T173" s="690" t="str">
        <f t="shared" si="105"/>
        <v/>
      </c>
      <c r="U173" s="683"/>
      <c r="V173" s="474">
        <f t="shared" si="102"/>
        <v>0</v>
      </c>
      <c r="W173" s="474">
        <f t="shared" si="94"/>
        <v>0</v>
      </c>
      <c r="X173" s="475">
        <f t="shared" si="95"/>
        <v>0</v>
      </c>
      <c r="Y173" s="475">
        <v>0</v>
      </c>
      <c r="Z173" s="476">
        <v>0</v>
      </c>
      <c r="AA173" s="38">
        <f t="shared" si="103"/>
        <v>0</v>
      </c>
      <c r="AB173" s="692">
        <f t="shared" si="96"/>
        <v>0</v>
      </c>
      <c r="AC173" s="692">
        <f t="shared" si="97"/>
        <v>26.29</v>
      </c>
      <c r="AD173" s="692">
        <f t="shared" si="98"/>
        <v>0</v>
      </c>
      <c r="AE173" s="38"/>
      <c r="AF173" s="692">
        <f t="shared" si="99"/>
        <v>0</v>
      </c>
      <c r="AG173" s="692">
        <f t="shared" si="100"/>
        <v>0</v>
      </c>
      <c r="AH173" s="692">
        <f t="shared" si="101"/>
        <v>0</v>
      </c>
    </row>
    <row r="174" spans="1:34">
      <c r="A174" s="21"/>
      <c r="B174" s="21" t="s">
        <v>110</v>
      </c>
      <c r="C174" s="666"/>
      <c r="D174" s="68" t="s">
        <v>342</v>
      </c>
      <c r="E174" s="679"/>
      <c r="F174" s="529" t="str">
        <f>VLOOKUP(D174,'Q4 DMV -  Revenue'!D:T,17,FALSE)</f>
        <v/>
      </c>
      <c r="G174" s="680"/>
      <c r="H174" s="680"/>
      <c r="I174" s="681"/>
      <c r="J174" s="682">
        <f t="shared" si="104"/>
        <v>0</v>
      </c>
      <c r="K174" s="683"/>
      <c r="L174" s="684"/>
      <c r="M174" s="753">
        <v>0</v>
      </c>
      <c r="N174" s="683">
        <v>0</v>
      </c>
      <c r="O174" s="686"/>
      <c r="P174" s="683">
        <v>0</v>
      </c>
      <c r="Q174" s="687">
        <f t="shared" si="119"/>
        <v>0</v>
      </c>
      <c r="R174" s="688"/>
      <c r="S174" s="693"/>
      <c r="T174" s="690" t="str">
        <f t="shared" si="105"/>
        <v/>
      </c>
      <c r="U174" s="683"/>
      <c r="V174" s="474">
        <f t="shared" si="102"/>
        <v>0</v>
      </c>
      <c r="W174" s="474">
        <f t="shared" si="94"/>
        <v>0</v>
      </c>
      <c r="X174" s="475">
        <f t="shared" si="95"/>
        <v>0</v>
      </c>
      <c r="Y174" s="475">
        <v>0</v>
      </c>
      <c r="Z174" s="476">
        <v>0</v>
      </c>
      <c r="AA174" s="38">
        <f t="shared" si="103"/>
        <v>0</v>
      </c>
      <c r="AB174" s="692">
        <f t="shared" si="96"/>
        <v>0</v>
      </c>
      <c r="AC174" s="692">
        <f t="shared" si="97"/>
        <v>0</v>
      </c>
      <c r="AD174" s="692">
        <f t="shared" si="98"/>
        <v>0</v>
      </c>
      <c r="AE174" s="38"/>
      <c r="AF174" s="692">
        <f t="shared" si="99"/>
        <v>0</v>
      </c>
      <c r="AG174" s="692">
        <f t="shared" si="100"/>
        <v>0</v>
      </c>
      <c r="AH174" s="692">
        <f t="shared" si="101"/>
        <v>0</v>
      </c>
    </row>
    <row r="175" spans="1:34">
      <c r="A175" s="20"/>
      <c r="B175" s="20" t="s">
        <v>109</v>
      </c>
      <c r="C175" s="667" t="s">
        <v>557</v>
      </c>
      <c r="D175" s="68" t="s">
        <v>32</v>
      </c>
      <c r="E175" s="679"/>
      <c r="F175" s="529" t="str">
        <f>VLOOKUP(D175,'Q4 DMV -  Revenue'!D:T,17,FALSE)</f>
        <v/>
      </c>
      <c r="G175" s="694">
        <f>311.93+3.68</f>
        <v>315.61</v>
      </c>
      <c r="H175" s="694">
        <v>3803.9</v>
      </c>
      <c r="I175" s="681"/>
      <c r="J175" s="682">
        <f t="shared" si="104"/>
        <v>4119.51</v>
      </c>
      <c r="K175" s="683"/>
      <c r="L175" s="684"/>
      <c r="M175" s="753">
        <v>0</v>
      </c>
      <c r="N175" s="683">
        <v>0</v>
      </c>
      <c r="O175" s="686"/>
      <c r="P175" s="683">
        <v>0</v>
      </c>
      <c r="Q175" s="687">
        <f t="shared" si="119"/>
        <v>0</v>
      </c>
      <c r="R175" s="688"/>
      <c r="S175" s="693"/>
      <c r="T175" s="690" t="str">
        <f t="shared" si="105"/>
        <v/>
      </c>
      <c r="U175" s="683"/>
      <c r="V175" s="474">
        <f t="shared" si="102"/>
        <v>0</v>
      </c>
      <c r="W175" s="474">
        <f t="shared" si="94"/>
        <v>0</v>
      </c>
      <c r="X175" s="475">
        <f t="shared" si="95"/>
        <v>0</v>
      </c>
      <c r="Y175" s="475">
        <v>0</v>
      </c>
      <c r="Z175" s="476">
        <v>0</v>
      </c>
      <c r="AA175" s="38">
        <f t="shared" si="103"/>
        <v>0</v>
      </c>
      <c r="AB175" s="692">
        <f t="shared" si="96"/>
        <v>0</v>
      </c>
      <c r="AC175" s="692">
        <f t="shared" si="97"/>
        <v>4119.51</v>
      </c>
      <c r="AD175" s="692">
        <f t="shared" si="98"/>
        <v>0</v>
      </c>
      <c r="AE175" s="38"/>
      <c r="AF175" s="692">
        <f t="shared" si="99"/>
        <v>0</v>
      </c>
      <c r="AG175" s="692">
        <f t="shared" si="100"/>
        <v>0</v>
      </c>
      <c r="AH175" s="692">
        <f t="shared" si="101"/>
        <v>0</v>
      </c>
    </row>
    <row r="176" spans="1:34">
      <c r="A176" s="21"/>
      <c r="B176" s="21" t="s">
        <v>110</v>
      </c>
      <c r="C176" s="666"/>
      <c r="D176" s="68" t="s">
        <v>448</v>
      </c>
      <c r="E176" s="679"/>
      <c r="F176" s="529" t="str">
        <f>VLOOKUP(D176,'Q4 DMV -  Revenue'!D:T,17,FALSE)</f>
        <v/>
      </c>
      <c r="G176" s="694">
        <v>361.07</v>
      </c>
      <c r="H176" s="694">
        <v>361.07</v>
      </c>
      <c r="I176" s="741">
        <v>361.08</v>
      </c>
      <c r="J176" s="682">
        <f t="shared" si="104"/>
        <v>1083.22</v>
      </c>
      <c r="K176" s="683"/>
      <c r="L176" s="684"/>
      <c r="M176" s="753">
        <v>0</v>
      </c>
      <c r="N176" s="683">
        <v>0</v>
      </c>
      <c r="O176" s="686"/>
      <c r="P176" s="683">
        <v>0</v>
      </c>
      <c r="Q176" s="687">
        <f t="shared" si="119"/>
        <v>0</v>
      </c>
      <c r="R176" s="688"/>
      <c r="S176" s="693"/>
      <c r="T176" s="690" t="str">
        <f t="shared" si="105"/>
        <v/>
      </c>
      <c r="U176" s="683"/>
      <c r="V176" s="474">
        <f t="shared" si="102"/>
        <v>0</v>
      </c>
      <c r="W176" s="474">
        <f t="shared" si="94"/>
        <v>0</v>
      </c>
      <c r="X176" s="475">
        <f t="shared" si="95"/>
        <v>0</v>
      </c>
      <c r="Y176" s="475">
        <v>0</v>
      </c>
      <c r="Z176" s="476">
        <v>0</v>
      </c>
      <c r="AA176" s="38">
        <f t="shared" si="103"/>
        <v>0</v>
      </c>
      <c r="AB176" s="692">
        <f t="shared" si="96"/>
        <v>1083.22</v>
      </c>
      <c r="AC176" s="692">
        <f t="shared" si="97"/>
        <v>0</v>
      </c>
      <c r="AD176" s="692">
        <f t="shared" si="98"/>
        <v>0</v>
      </c>
      <c r="AE176" s="38"/>
      <c r="AF176" s="692">
        <f t="shared" si="99"/>
        <v>0</v>
      </c>
      <c r="AG176" s="692">
        <f t="shared" si="100"/>
        <v>0</v>
      </c>
      <c r="AH176" s="692">
        <f t="shared" si="101"/>
        <v>0</v>
      </c>
    </row>
    <row r="177" spans="1:34">
      <c r="A177" s="21"/>
      <c r="B177" s="21" t="s">
        <v>110</v>
      </c>
      <c r="C177" s="666" t="s">
        <v>558</v>
      </c>
      <c r="D177" s="68" t="s">
        <v>122</v>
      </c>
      <c r="E177" s="679"/>
      <c r="F177" s="529">
        <f>VLOOKUP(D177,'Q4 DMV -  Revenue'!D:T,17,FALSE)</f>
        <v>-5000</v>
      </c>
      <c r="G177" s="680"/>
      <c r="H177" s="680"/>
      <c r="I177" s="681"/>
      <c r="J177" s="682">
        <f t="shared" si="104"/>
        <v>-5000</v>
      </c>
      <c r="K177" s="683"/>
      <c r="L177" s="684"/>
      <c r="M177" s="753">
        <v>15000</v>
      </c>
      <c r="N177" s="683">
        <v>0</v>
      </c>
      <c r="O177" s="686"/>
      <c r="P177" s="683">
        <v>0</v>
      </c>
      <c r="Q177" s="687">
        <f t="shared" si="119"/>
        <v>15000</v>
      </c>
      <c r="R177" s="688">
        <v>0</v>
      </c>
      <c r="S177" s="693"/>
      <c r="T177" s="690">
        <f t="shared" si="105"/>
        <v>-15000</v>
      </c>
      <c r="U177" s="683"/>
      <c r="V177" s="474">
        <f t="shared" si="102"/>
        <v>15000</v>
      </c>
      <c r="W177" s="474">
        <f t="shared" si="94"/>
        <v>0</v>
      </c>
      <c r="X177" s="475">
        <f t="shared" si="95"/>
        <v>0</v>
      </c>
      <c r="Y177" s="475">
        <v>0</v>
      </c>
      <c r="Z177" s="476">
        <v>0</v>
      </c>
      <c r="AA177" s="38">
        <f t="shared" si="103"/>
        <v>0</v>
      </c>
      <c r="AB177" s="692">
        <f t="shared" si="96"/>
        <v>-5000</v>
      </c>
      <c r="AC177" s="692">
        <f t="shared" si="97"/>
        <v>0</v>
      </c>
      <c r="AD177" s="692">
        <f t="shared" si="98"/>
        <v>0</v>
      </c>
      <c r="AE177" s="38"/>
      <c r="AF177" s="692">
        <f t="shared" si="99"/>
        <v>15000</v>
      </c>
      <c r="AG177" s="692">
        <f t="shared" si="100"/>
        <v>0</v>
      </c>
      <c r="AH177" s="692">
        <f t="shared" si="101"/>
        <v>0</v>
      </c>
    </row>
    <row r="178" spans="1:34">
      <c r="A178" s="21"/>
      <c r="B178" s="21" t="s">
        <v>114</v>
      </c>
      <c r="C178" s="666" t="s">
        <v>558</v>
      </c>
      <c r="D178" s="68" t="s">
        <v>629</v>
      </c>
      <c r="E178" s="679"/>
      <c r="F178" s="529">
        <f>VLOOKUP(D178,'Q4 DMV -  Revenue'!D:T,17,FALSE)</f>
        <v>-200</v>
      </c>
      <c r="G178" s="680"/>
      <c r="H178" s="680"/>
      <c r="I178" s="681"/>
      <c r="J178" s="682">
        <f t="shared" ref="J178" si="120">SUM(E178:I178)</f>
        <v>-200</v>
      </c>
      <c r="K178" s="683"/>
      <c r="L178" s="684"/>
      <c r="M178" s="753">
        <v>0</v>
      </c>
      <c r="N178" s="683">
        <v>0</v>
      </c>
      <c r="O178" s="686"/>
      <c r="P178" s="683">
        <v>0</v>
      </c>
      <c r="Q178" s="687">
        <f t="shared" si="119"/>
        <v>0</v>
      </c>
      <c r="R178" s="688"/>
      <c r="S178" s="693"/>
      <c r="T178" s="690" t="str">
        <f t="shared" si="105"/>
        <v/>
      </c>
      <c r="U178" s="683"/>
      <c r="V178" s="474">
        <f t="shared" si="102"/>
        <v>0</v>
      </c>
      <c r="W178" s="474">
        <f t="shared" si="94"/>
        <v>0</v>
      </c>
      <c r="X178" s="475">
        <f t="shared" si="95"/>
        <v>0</v>
      </c>
      <c r="Y178" s="475">
        <v>0</v>
      </c>
      <c r="Z178" s="476">
        <v>0</v>
      </c>
      <c r="AA178" s="38">
        <f t="shared" si="103"/>
        <v>0</v>
      </c>
      <c r="AB178" s="692">
        <f t="shared" si="96"/>
        <v>0</v>
      </c>
      <c r="AC178" s="692">
        <f t="shared" si="97"/>
        <v>0</v>
      </c>
      <c r="AD178" s="692">
        <f t="shared" si="98"/>
        <v>-200</v>
      </c>
      <c r="AE178" s="38"/>
      <c r="AF178" s="692">
        <f t="shared" si="99"/>
        <v>0</v>
      </c>
      <c r="AG178" s="692">
        <f t="shared" si="100"/>
        <v>0</v>
      </c>
      <c r="AH178" s="692">
        <f t="shared" si="101"/>
        <v>0</v>
      </c>
    </row>
    <row r="179" spans="1:34">
      <c r="A179" s="21"/>
      <c r="B179" s="21" t="s">
        <v>109</v>
      </c>
      <c r="C179" s="666" t="s">
        <v>559</v>
      </c>
      <c r="D179" s="68" t="s">
        <v>33</v>
      </c>
      <c r="E179" s="679"/>
      <c r="F179" s="529" t="str">
        <f>VLOOKUP(D179,'Q4 DMV -  Revenue'!D:T,17,FALSE)</f>
        <v/>
      </c>
      <c r="G179" s="680"/>
      <c r="H179" s="680"/>
      <c r="I179" s="681"/>
      <c r="J179" s="682">
        <f t="shared" si="104"/>
        <v>0</v>
      </c>
      <c r="K179" s="683"/>
      <c r="L179" s="684"/>
      <c r="M179" s="753">
        <v>15000</v>
      </c>
      <c r="N179" s="683">
        <v>0</v>
      </c>
      <c r="O179" s="686"/>
      <c r="P179" s="683">
        <v>0</v>
      </c>
      <c r="Q179" s="687">
        <f t="shared" si="119"/>
        <v>15000</v>
      </c>
      <c r="R179" s="688">
        <v>0</v>
      </c>
      <c r="S179" s="693"/>
      <c r="T179" s="690">
        <f t="shared" si="105"/>
        <v>-15000</v>
      </c>
      <c r="U179" s="683"/>
      <c r="V179" s="474">
        <f t="shared" si="102"/>
        <v>0</v>
      </c>
      <c r="W179" s="474">
        <f t="shared" si="94"/>
        <v>15000</v>
      </c>
      <c r="X179" s="475">
        <f t="shared" si="95"/>
        <v>0</v>
      </c>
      <c r="Y179" s="475">
        <v>0</v>
      </c>
      <c r="Z179" s="476">
        <v>0</v>
      </c>
      <c r="AA179" s="38">
        <f t="shared" si="103"/>
        <v>0</v>
      </c>
      <c r="AB179" s="692">
        <f t="shared" si="96"/>
        <v>0</v>
      </c>
      <c r="AC179" s="692">
        <f t="shared" si="97"/>
        <v>0</v>
      </c>
      <c r="AD179" s="692">
        <f t="shared" si="98"/>
        <v>0</v>
      </c>
      <c r="AE179" s="38"/>
      <c r="AF179" s="692">
        <f t="shared" si="99"/>
        <v>0</v>
      </c>
      <c r="AG179" s="692">
        <f t="shared" si="100"/>
        <v>15000</v>
      </c>
      <c r="AH179" s="692">
        <f t="shared" si="101"/>
        <v>0</v>
      </c>
    </row>
    <row r="180" spans="1:34">
      <c r="A180" s="21"/>
      <c r="B180" s="21" t="s">
        <v>109</v>
      </c>
      <c r="C180" s="666" t="s">
        <v>560</v>
      </c>
      <c r="D180" s="68" t="s">
        <v>379</v>
      </c>
      <c r="E180" s="679"/>
      <c r="F180" s="529" t="str">
        <f>VLOOKUP(D180,'Q4 DMV -  Revenue'!D:T,17,FALSE)</f>
        <v/>
      </c>
      <c r="G180" s="694">
        <v>271.44</v>
      </c>
      <c r="H180" s="680"/>
      <c r="I180" s="681"/>
      <c r="J180" s="682">
        <f t="shared" si="104"/>
        <v>271.44</v>
      </c>
      <c r="K180" s="683"/>
      <c r="L180" s="684"/>
      <c r="M180" s="753">
        <v>0</v>
      </c>
      <c r="N180" s="683">
        <v>0</v>
      </c>
      <c r="O180" s="686"/>
      <c r="P180" s="683">
        <v>0</v>
      </c>
      <c r="Q180" s="687">
        <f t="shared" si="119"/>
        <v>0</v>
      </c>
      <c r="R180" s="688">
        <f>171.52+195.73</f>
        <v>367.25</v>
      </c>
      <c r="S180" s="693"/>
      <c r="T180" s="690">
        <f t="shared" si="105"/>
        <v>367.25</v>
      </c>
      <c r="U180" s="683"/>
      <c r="V180" s="474">
        <f t="shared" si="102"/>
        <v>0</v>
      </c>
      <c r="W180" s="474">
        <f t="shared" si="94"/>
        <v>0</v>
      </c>
      <c r="X180" s="475">
        <f t="shared" si="95"/>
        <v>0</v>
      </c>
      <c r="Y180" s="475">
        <v>0</v>
      </c>
      <c r="Z180" s="476">
        <v>0</v>
      </c>
      <c r="AA180" s="38">
        <f t="shared" si="103"/>
        <v>0</v>
      </c>
      <c r="AB180" s="692">
        <f t="shared" si="96"/>
        <v>0</v>
      </c>
      <c r="AC180" s="692">
        <f t="shared" si="97"/>
        <v>271.44</v>
      </c>
      <c r="AD180" s="692">
        <f t="shared" si="98"/>
        <v>0</v>
      </c>
      <c r="AE180" s="38"/>
      <c r="AF180" s="692">
        <f t="shared" si="99"/>
        <v>0</v>
      </c>
      <c r="AG180" s="692">
        <f t="shared" si="100"/>
        <v>0</v>
      </c>
      <c r="AH180" s="692">
        <f t="shared" si="101"/>
        <v>0</v>
      </c>
    </row>
    <row r="181" spans="1:34" s="232" customFormat="1">
      <c r="A181" s="283"/>
      <c r="B181" s="283" t="s">
        <v>110</v>
      </c>
      <c r="C181" s="667" t="s">
        <v>561</v>
      </c>
      <c r="D181" s="455" t="s">
        <v>322</v>
      </c>
      <c r="E181" s="679"/>
      <c r="F181" s="529" t="str">
        <f>VLOOKUP(D181,'Q4 DMV -  Revenue'!D:T,17,FALSE)</f>
        <v/>
      </c>
      <c r="G181" s="737">
        <f>3771.97+2545.36+2976.3</f>
        <v>9293.630000000001</v>
      </c>
      <c r="H181" s="694">
        <f>5770.29+1452.4+2388.91</f>
        <v>9611.6</v>
      </c>
      <c r="I181" s="741">
        <f>939.17+1348.1+1721.93</f>
        <v>4009.2</v>
      </c>
      <c r="J181" s="682">
        <f t="shared" si="104"/>
        <v>22914.430000000004</v>
      </c>
      <c r="K181" s="683"/>
      <c r="L181" s="684"/>
      <c r="M181" s="753">
        <v>0</v>
      </c>
      <c r="N181" s="683">
        <v>0</v>
      </c>
      <c r="O181" s="686"/>
      <c r="P181" s="683">
        <v>0</v>
      </c>
      <c r="Q181" s="687">
        <f t="shared" si="119"/>
        <v>0</v>
      </c>
      <c r="R181" s="688"/>
      <c r="S181" s="693"/>
      <c r="T181" s="690" t="str">
        <f t="shared" si="105"/>
        <v/>
      </c>
      <c r="U181" s="683"/>
      <c r="V181" s="474">
        <f t="shared" si="102"/>
        <v>0</v>
      </c>
      <c r="W181" s="474">
        <f t="shared" si="94"/>
        <v>0</v>
      </c>
      <c r="X181" s="475">
        <f t="shared" si="95"/>
        <v>0</v>
      </c>
      <c r="Y181" s="475">
        <v>0</v>
      </c>
      <c r="Z181" s="476">
        <v>0</v>
      </c>
      <c r="AA181" s="38">
        <f t="shared" si="103"/>
        <v>0</v>
      </c>
      <c r="AB181" s="692">
        <f t="shared" si="96"/>
        <v>22914.430000000004</v>
      </c>
      <c r="AC181" s="692">
        <f t="shared" si="97"/>
        <v>0</v>
      </c>
      <c r="AD181" s="692">
        <f t="shared" si="98"/>
        <v>0</v>
      </c>
      <c r="AE181" s="38"/>
      <c r="AF181" s="692">
        <f t="shared" si="99"/>
        <v>0</v>
      </c>
      <c r="AG181" s="692">
        <f t="shared" si="100"/>
        <v>0</v>
      </c>
      <c r="AH181" s="692">
        <f t="shared" si="101"/>
        <v>0</v>
      </c>
    </row>
    <row r="182" spans="1:34" s="232" customFormat="1">
      <c r="A182" s="283"/>
      <c r="B182" s="283" t="s">
        <v>110</v>
      </c>
      <c r="C182" s="667" t="s">
        <v>561</v>
      </c>
      <c r="D182" s="455" t="s">
        <v>323</v>
      </c>
      <c r="E182" s="679"/>
      <c r="F182" s="529" t="str">
        <f>VLOOKUP(D182,'Q4 DMV -  Revenue'!D:T,17,FALSE)</f>
        <v/>
      </c>
      <c r="G182" s="737">
        <f>1341.25+11106.51+955.11</f>
        <v>13402.87</v>
      </c>
      <c r="H182" s="694">
        <f>1332.18+9995.29+833.2</f>
        <v>12160.670000000002</v>
      </c>
      <c r="I182" s="741">
        <f>976.78+8310.74+566.02</f>
        <v>9853.5400000000009</v>
      </c>
      <c r="J182" s="682">
        <f t="shared" si="104"/>
        <v>35417.08</v>
      </c>
      <c r="K182" s="683"/>
      <c r="L182" s="684"/>
      <c r="M182" s="753">
        <v>0</v>
      </c>
      <c r="N182" s="683">
        <v>0</v>
      </c>
      <c r="O182" s="686"/>
      <c r="P182" s="683">
        <v>0</v>
      </c>
      <c r="Q182" s="687">
        <f t="shared" si="119"/>
        <v>0</v>
      </c>
      <c r="R182" s="688"/>
      <c r="S182" s="693"/>
      <c r="T182" s="690" t="str">
        <f t="shared" si="105"/>
        <v/>
      </c>
      <c r="U182" s="683"/>
      <c r="V182" s="474">
        <f t="shared" si="102"/>
        <v>0</v>
      </c>
      <c r="W182" s="474">
        <f t="shared" si="94"/>
        <v>0</v>
      </c>
      <c r="X182" s="475">
        <f t="shared" si="95"/>
        <v>0</v>
      </c>
      <c r="Y182" s="475">
        <v>0</v>
      </c>
      <c r="Z182" s="476">
        <v>0</v>
      </c>
      <c r="AA182" s="38">
        <f t="shared" si="103"/>
        <v>0</v>
      </c>
      <c r="AB182" s="692">
        <f t="shared" si="96"/>
        <v>35417.08</v>
      </c>
      <c r="AC182" s="692">
        <f t="shared" si="97"/>
        <v>0</v>
      </c>
      <c r="AD182" s="692">
        <f t="shared" si="98"/>
        <v>0</v>
      </c>
      <c r="AE182" s="38"/>
      <c r="AF182" s="692">
        <f t="shared" si="99"/>
        <v>0</v>
      </c>
      <c r="AG182" s="692">
        <f t="shared" si="100"/>
        <v>0</v>
      </c>
      <c r="AH182" s="692">
        <f t="shared" si="101"/>
        <v>0</v>
      </c>
    </row>
    <row r="183" spans="1:34" s="232" customFormat="1">
      <c r="A183" s="283"/>
      <c r="B183" s="283" t="s">
        <v>109</v>
      </c>
      <c r="C183" s="667" t="s">
        <v>561</v>
      </c>
      <c r="D183" s="455" t="s">
        <v>423</v>
      </c>
      <c r="E183" s="679"/>
      <c r="F183" s="529" t="str">
        <f>VLOOKUP(D183,'Q4 DMV -  Revenue'!D:T,17,FALSE)</f>
        <v/>
      </c>
      <c r="G183" s="680"/>
      <c r="H183" s="680"/>
      <c r="I183" s="681"/>
      <c r="J183" s="682">
        <f t="shared" si="104"/>
        <v>0</v>
      </c>
      <c r="K183" s="683"/>
      <c r="L183" s="684"/>
      <c r="M183" s="753">
        <v>0</v>
      </c>
      <c r="N183" s="683">
        <v>0</v>
      </c>
      <c r="O183" s="686"/>
      <c r="P183" s="683">
        <v>0</v>
      </c>
      <c r="Q183" s="687">
        <f t="shared" si="119"/>
        <v>0</v>
      </c>
      <c r="R183" s="688"/>
      <c r="S183" s="693"/>
      <c r="T183" s="690" t="str">
        <f t="shared" si="105"/>
        <v/>
      </c>
      <c r="U183" s="683"/>
      <c r="V183" s="474">
        <f t="shared" si="102"/>
        <v>0</v>
      </c>
      <c r="W183" s="474">
        <f t="shared" si="94"/>
        <v>0</v>
      </c>
      <c r="X183" s="475">
        <f t="shared" si="95"/>
        <v>0</v>
      </c>
      <c r="Y183" s="475">
        <v>0</v>
      </c>
      <c r="Z183" s="476">
        <v>0</v>
      </c>
      <c r="AA183" s="38">
        <f t="shared" si="103"/>
        <v>0</v>
      </c>
      <c r="AB183" s="692">
        <f t="shared" si="96"/>
        <v>0</v>
      </c>
      <c r="AC183" s="692">
        <f t="shared" si="97"/>
        <v>0</v>
      </c>
      <c r="AD183" s="692">
        <f t="shared" si="98"/>
        <v>0</v>
      </c>
      <c r="AE183" s="38"/>
      <c r="AF183" s="692">
        <f t="shared" si="99"/>
        <v>0</v>
      </c>
      <c r="AG183" s="692">
        <f t="shared" si="100"/>
        <v>0</v>
      </c>
      <c r="AH183" s="692">
        <f t="shared" si="101"/>
        <v>0</v>
      </c>
    </row>
    <row r="184" spans="1:34" s="232" customFormat="1">
      <c r="A184" s="283"/>
      <c r="B184" s="283" t="s">
        <v>110</v>
      </c>
      <c r="C184" s="667" t="s">
        <v>561</v>
      </c>
      <c r="D184" s="748" t="s">
        <v>624</v>
      </c>
      <c r="E184" s="679"/>
      <c r="F184" s="529"/>
      <c r="G184" s="737">
        <f>830.5+820.76</f>
        <v>1651.26</v>
      </c>
      <c r="H184" s="694">
        <f>881.8+844.48</f>
        <v>1726.28</v>
      </c>
      <c r="I184" s="741">
        <f>697.06+593.64+0.13</f>
        <v>1290.83</v>
      </c>
      <c r="J184" s="682">
        <f t="shared" si="104"/>
        <v>4668.37</v>
      </c>
      <c r="K184" s="683"/>
      <c r="L184" s="684"/>
      <c r="M184" s="753">
        <v>0</v>
      </c>
      <c r="N184" s="683">
        <v>0</v>
      </c>
      <c r="O184" s="686"/>
      <c r="P184" s="683">
        <v>0</v>
      </c>
      <c r="Q184" s="687">
        <f t="shared" si="119"/>
        <v>0</v>
      </c>
      <c r="R184" s="688"/>
      <c r="S184" s="693"/>
      <c r="T184" s="690" t="str">
        <f t="shared" si="105"/>
        <v/>
      </c>
      <c r="U184" s="683"/>
      <c r="V184" s="474">
        <f t="shared" si="102"/>
        <v>0</v>
      </c>
      <c r="W184" s="474">
        <f t="shared" si="94"/>
        <v>0</v>
      </c>
      <c r="X184" s="475">
        <f t="shared" si="95"/>
        <v>0</v>
      </c>
      <c r="Y184" s="475">
        <v>0</v>
      </c>
      <c r="Z184" s="476">
        <v>0</v>
      </c>
      <c r="AA184" s="38">
        <f t="shared" si="103"/>
        <v>0</v>
      </c>
      <c r="AB184" s="692">
        <f t="shared" si="96"/>
        <v>4668.37</v>
      </c>
      <c r="AC184" s="692">
        <f t="shared" si="97"/>
        <v>0</v>
      </c>
      <c r="AD184" s="692">
        <f t="shared" si="98"/>
        <v>0</v>
      </c>
      <c r="AE184" s="38"/>
      <c r="AF184" s="692">
        <f t="shared" si="99"/>
        <v>0</v>
      </c>
      <c r="AG184" s="692">
        <f t="shared" si="100"/>
        <v>0</v>
      </c>
      <c r="AH184" s="692">
        <f t="shared" si="101"/>
        <v>0</v>
      </c>
    </row>
    <row r="185" spans="1:34" s="232" customFormat="1">
      <c r="A185" s="283"/>
      <c r="B185" s="283" t="s">
        <v>109</v>
      </c>
      <c r="C185" s="667" t="s">
        <v>561</v>
      </c>
      <c r="D185" s="748" t="s">
        <v>625</v>
      </c>
      <c r="E185" s="679"/>
      <c r="F185" s="529"/>
      <c r="G185" s="737">
        <f>1519.71+1697.13</f>
        <v>3216.84</v>
      </c>
      <c r="H185" s="694">
        <f>1503.14+1497.44</f>
        <v>3000.58</v>
      </c>
      <c r="I185" s="741">
        <f>1157.24+1247.71</f>
        <v>2404.9499999999998</v>
      </c>
      <c r="J185" s="682">
        <f t="shared" si="104"/>
        <v>8622.369999999999</v>
      </c>
      <c r="K185" s="683"/>
      <c r="L185" s="684"/>
      <c r="M185" s="753">
        <v>0</v>
      </c>
      <c r="N185" s="683">
        <v>0</v>
      </c>
      <c r="O185" s="686"/>
      <c r="P185" s="683">
        <v>0</v>
      </c>
      <c r="Q185" s="687">
        <f t="shared" si="119"/>
        <v>0</v>
      </c>
      <c r="R185" s="688"/>
      <c r="S185" s="693"/>
      <c r="T185" s="690" t="str">
        <f t="shared" si="105"/>
        <v/>
      </c>
      <c r="U185" s="683"/>
      <c r="V185" s="474">
        <f t="shared" si="102"/>
        <v>0</v>
      </c>
      <c r="W185" s="474">
        <f t="shared" si="94"/>
        <v>0</v>
      </c>
      <c r="X185" s="475">
        <f t="shared" si="95"/>
        <v>0</v>
      </c>
      <c r="Y185" s="475">
        <v>0</v>
      </c>
      <c r="Z185" s="476">
        <v>0</v>
      </c>
      <c r="AA185" s="38">
        <f t="shared" si="103"/>
        <v>0</v>
      </c>
      <c r="AB185" s="692">
        <f t="shared" si="96"/>
        <v>0</v>
      </c>
      <c r="AC185" s="692">
        <f t="shared" si="97"/>
        <v>8622.369999999999</v>
      </c>
      <c r="AD185" s="692">
        <f t="shared" si="98"/>
        <v>0</v>
      </c>
      <c r="AE185" s="38"/>
      <c r="AF185" s="692">
        <f t="shared" si="99"/>
        <v>0</v>
      </c>
      <c r="AG185" s="692">
        <f t="shared" si="100"/>
        <v>0</v>
      </c>
      <c r="AH185" s="692">
        <f t="shared" si="101"/>
        <v>0</v>
      </c>
    </row>
    <row r="186" spans="1:34" s="232" customFormat="1">
      <c r="A186" s="283"/>
      <c r="B186" s="283" t="s">
        <v>114</v>
      </c>
      <c r="C186" s="667"/>
      <c r="D186" s="500" t="s">
        <v>408</v>
      </c>
      <c r="E186" s="679"/>
      <c r="F186" s="529" t="str">
        <f>VLOOKUP(D186,'Q4 DMV -  Revenue'!D:T,17,FALSE)</f>
        <v/>
      </c>
      <c r="G186" s="694">
        <v>2429.7800000000002</v>
      </c>
      <c r="H186" s="680"/>
      <c r="I186" s="681"/>
      <c r="J186" s="682">
        <f t="shared" si="104"/>
        <v>2429.7800000000002</v>
      </c>
      <c r="K186" s="683"/>
      <c r="L186" s="684"/>
      <c r="M186" s="753">
        <v>0</v>
      </c>
      <c r="N186" s="683">
        <v>0</v>
      </c>
      <c r="O186" s="686"/>
      <c r="P186" s="683">
        <v>0</v>
      </c>
      <c r="Q186" s="687">
        <f t="shared" si="119"/>
        <v>0</v>
      </c>
      <c r="R186" s="688"/>
      <c r="S186" s="693"/>
      <c r="T186" s="690" t="str">
        <f t="shared" si="105"/>
        <v/>
      </c>
      <c r="U186" s="683"/>
      <c r="V186" s="474">
        <f t="shared" si="102"/>
        <v>0</v>
      </c>
      <c r="W186" s="474">
        <f t="shared" si="94"/>
        <v>0</v>
      </c>
      <c r="X186" s="475">
        <f t="shared" si="95"/>
        <v>0</v>
      </c>
      <c r="Y186" s="475">
        <v>0</v>
      </c>
      <c r="Z186" s="476">
        <v>0</v>
      </c>
      <c r="AA186" s="38">
        <f t="shared" si="103"/>
        <v>0</v>
      </c>
      <c r="AB186" s="692">
        <f t="shared" si="96"/>
        <v>0</v>
      </c>
      <c r="AC186" s="692">
        <f t="shared" si="97"/>
        <v>0</v>
      </c>
      <c r="AD186" s="692">
        <f t="shared" si="98"/>
        <v>2429.7800000000002</v>
      </c>
      <c r="AE186" s="38"/>
      <c r="AF186" s="692">
        <f t="shared" si="99"/>
        <v>0</v>
      </c>
      <c r="AG186" s="692">
        <f t="shared" si="100"/>
        <v>0</v>
      </c>
      <c r="AH186" s="692">
        <f t="shared" si="101"/>
        <v>0</v>
      </c>
    </row>
    <row r="187" spans="1:34" s="232" customFormat="1">
      <c r="A187" s="283"/>
      <c r="B187" s="283" t="s">
        <v>110</v>
      </c>
      <c r="C187" s="667"/>
      <c r="D187" s="567" t="s">
        <v>445</v>
      </c>
      <c r="E187" s="679"/>
      <c r="F187" s="529" t="str">
        <f>VLOOKUP(D187,'Q4 DMV -  Revenue'!D:T,17,FALSE)</f>
        <v/>
      </c>
      <c r="G187" s="680"/>
      <c r="H187" s="680"/>
      <c r="I187" s="681"/>
      <c r="J187" s="682">
        <f t="shared" si="104"/>
        <v>0</v>
      </c>
      <c r="K187" s="683"/>
      <c r="L187" s="684"/>
      <c r="M187" s="753">
        <v>0</v>
      </c>
      <c r="N187" s="683">
        <v>0</v>
      </c>
      <c r="O187" s="686"/>
      <c r="P187" s="683">
        <v>0</v>
      </c>
      <c r="Q187" s="687">
        <f t="shared" si="119"/>
        <v>0</v>
      </c>
      <c r="R187" s="688"/>
      <c r="S187" s="693"/>
      <c r="T187" s="690" t="str">
        <f t="shared" si="105"/>
        <v/>
      </c>
      <c r="U187" s="683"/>
      <c r="V187" s="474">
        <f t="shared" si="102"/>
        <v>0</v>
      </c>
      <c r="W187" s="474">
        <f t="shared" si="94"/>
        <v>0</v>
      </c>
      <c r="X187" s="475">
        <f t="shared" si="95"/>
        <v>0</v>
      </c>
      <c r="Y187" s="475">
        <v>0</v>
      </c>
      <c r="Z187" s="476">
        <v>0</v>
      </c>
      <c r="AA187" s="38">
        <f t="shared" si="103"/>
        <v>0</v>
      </c>
      <c r="AB187" s="692">
        <f t="shared" si="96"/>
        <v>0</v>
      </c>
      <c r="AC187" s="692">
        <f t="shared" si="97"/>
        <v>0</v>
      </c>
      <c r="AD187" s="692">
        <f t="shared" si="98"/>
        <v>0</v>
      </c>
      <c r="AE187" s="38"/>
      <c r="AF187" s="692">
        <f t="shared" si="99"/>
        <v>0</v>
      </c>
      <c r="AG187" s="692">
        <f t="shared" si="100"/>
        <v>0</v>
      </c>
      <c r="AH187" s="692">
        <f t="shared" si="101"/>
        <v>0</v>
      </c>
    </row>
    <row r="188" spans="1:34" s="232" customFormat="1">
      <c r="A188" s="283"/>
      <c r="B188" s="283" t="s">
        <v>110</v>
      </c>
      <c r="C188" s="667"/>
      <c r="D188" s="567" t="s">
        <v>489</v>
      </c>
      <c r="E188" s="679"/>
      <c r="F188" s="529" t="str">
        <f>VLOOKUP(D188,'Q4 DMV -  Revenue'!D:T,17,FALSE)</f>
        <v/>
      </c>
      <c r="G188" s="680"/>
      <c r="H188" s="680"/>
      <c r="I188" s="681"/>
      <c r="J188" s="682">
        <f t="shared" si="104"/>
        <v>0</v>
      </c>
      <c r="K188" s="683"/>
      <c r="L188" s="684"/>
      <c r="M188" s="753">
        <v>0</v>
      </c>
      <c r="N188" s="683"/>
      <c r="O188" s="686"/>
      <c r="P188" s="683"/>
      <c r="Q188" s="687">
        <f t="shared" si="119"/>
        <v>0</v>
      </c>
      <c r="R188" s="688"/>
      <c r="S188" s="693"/>
      <c r="T188" s="690" t="str">
        <f t="shared" si="105"/>
        <v/>
      </c>
      <c r="U188" s="683"/>
      <c r="V188" s="474">
        <f t="shared" si="102"/>
        <v>0</v>
      </c>
      <c r="W188" s="474">
        <f t="shared" si="94"/>
        <v>0</v>
      </c>
      <c r="X188" s="475">
        <f t="shared" si="95"/>
        <v>0</v>
      </c>
      <c r="Y188" s="475">
        <v>0</v>
      </c>
      <c r="Z188" s="476">
        <v>0</v>
      </c>
      <c r="AA188" s="38">
        <f t="shared" si="103"/>
        <v>0</v>
      </c>
      <c r="AB188" s="692">
        <f t="shared" si="96"/>
        <v>0</v>
      </c>
      <c r="AC188" s="692">
        <f t="shared" si="97"/>
        <v>0</v>
      </c>
      <c r="AD188" s="692">
        <f t="shared" si="98"/>
        <v>0</v>
      </c>
      <c r="AE188" s="38"/>
      <c r="AF188" s="692">
        <f t="shared" si="99"/>
        <v>0</v>
      </c>
      <c r="AG188" s="692">
        <f t="shared" si="100"/>
        <v>0</v>
      </c>
      <c r="AH188" s="692">
        <f t="shared" si="101"/>
        <v>0</v>
      </c>
    </row>
    <row r="189" spans="1:34" s="232" customFormat="1">
      <c r="A189" s="283"/>
      <c r="B189" s="283" t="s">
        <v>109</v>
      </c>
      <c r="C189" s="667" t="s">
        <v>562</v>
      </c>
      <c r="D189" s="567" t="s">
        <v>480</v>
      </c>
      <c r="E189" s="679"/>
      <c r="F189" s="529" t="str">
        <f>VLOOKUP(D189,'Q4 DMV -  Revenue'!D:T,17,FALSE)</f>
        <v/>
      </c>
      <c r="G189" s="694">
        <v>12311.95</v>
      </c>
      <c r="H189" s="694">
        <v>10323.370000000001</v>
      </c>
      <c r="I189" s="681"/>
      <c r="J189" s="682">
        <f t="shared" si="104"/>
        <v>22635.32</v>
      </c>
      <c r="K189" s="683"/>
      <c r="L189" s="684"/>
      <c r="M189" s="753">
        <v>10000</v>
      </c>
      <c r="N189" s="683">
        <v>0</v>
      </c>
      <c r="O189" s="686"/>
      <c r="P189" s="683">
        <v>0</v>
      </c>
      <c r="Q189" s="687">
        <f t="shared" si="119"/>
        <v>10000</v>
      </c>
      <c r="R189" s="688">
        <v>10187.77</v>
      </c>
      <c r="S189" s="693"/>
      <c r="T189" s="690">
        <f t="shared" si="105"/>
        <v>187.77000000000044</v>
      </c>
      <c r="U189" s="683"/>
      <c r="V189" s="474">
        <f t="shared" si="102"/>
        <v>0</v>
      </c>
      <c r="W189" s="474">
        <f t="shared" si="94"/>
        <v>10000</v>
      </c>
      <c r="X189" s="475">
        <f t="shared" si="95"/>
        <v>0</v>
      </c>
      <c r="Y189" s="475">
        <v>0</v>
      </c>
      <c r="Z189" s="476">
        <v>0</v>
      </c>
      <c r="AA189" s="38">
        <f t="shared" si="103"/>
        <v>0</v>
      </c>
      <c r="AB189" s="692">
        <f t="shared" si="96"/>
        <v>0</v>
      </c>
      <c r="AC189" s="692">
        <f t="shared" si="97"/>
        <v>22635.32</v>
      </c>
      <c r="AD189" s="692">
        <f t="shared" si="98"/>
        <v>0</v>
      </c>
      <c r="AE189" s="38"/>
      <c r="AF189" s="692">
        <f t="shared" si="99"/>
        <v>0</v>
      </c>
      <c r="AG189" s="692">
        <f t="shared" si="100"/>
        <v>10000</v>
      </c>
      <c r="AH189" s="692">
        <f t="shared" si="101"/>
        <v>0</v>
      </c>
    </row>
    <row r="190" spans="1:34" s="232" customFormat="1">
      <c r="A190" s="403"/>
      <c r="B190" s="403" t="s">
        <v>109</v>
      </c>
      <c r="C190" s="666" t="s">
        <v>563</v>
      </c>
      <c r="D190" s="123" t="s">
        <v>327</v>
      </c>
      <c r="E190" s="679"/>
      <c r="F190" s="529" t="str">
        <f>VLOOKUP(D190,'Q4 DMV -  Revenue'!D:T,17,FALSE)</f>
        <v/>
      </c>
      <c r="G190" s="694">
        <v>103340.66</v>
      </c>
      <c r="H190" s="694">
        <v>106776.04</v>
      </c>
      <c r="I190" s="681"/>
      <c r="J190" s="682">
        <f t="shared" si="104"/>
        <v>210116.7</v>
      </c>
      <c r="K190" s="683"/>
      <c r="L190" s="684"/>
      <c r="M190" s="753">
        <v>100000</v>
      </c>
      <c r="N190" s="683">
        <v>0</v>
      </c>
      <c r="O190" s="686"/>
      <c r="P190" s="683">
        <v>0</v>
      </c>
      <c r="Q190" s="687">
        <f t="shared" si="119"/>
        <v>100000</v>
      </c>
      <c r="R190" s="688">
        <v>86546.07</v>
      </c>
      <c r="S190" s="693"/>
      <c r="T190" s="690">
        <f t="shared" si="105"/>
        <v>-13453.929999999993</v>
      </c>
      <c r="U190" s="683"/>
      <c r="V190" s="474">
        <f t="shared" si="102"/>
        <v>0</v>
      </c>
      <c r="W190" s="474">
        <f t="shared" si="94"/>
        <v>100000</v>
      </c>
      <c r="X190" s="475">
        <f t="shared" si="95"/>
        <v>0</v>
      </c>
      <c r="Y190" s="475">
        <v>0</v>
      </c>
      <c r="Z190" s="476">
        <v>0</v>
      </c>
      <c r="AA190" s="38">
        <f t="shared" si="103"/>
        <v>0</v>
      </c>
      <c r="AB190" s="692">
        <f t="shared" si="96"/>
        <v>0</v>
      </c>
      <c r="AC190" s="692">
        <f t="shared" si="97"/>
        <v>210116.7</v>
      </c>
      <c r="AD190" s="692">
        <f t="shared" si="98"/>
        <v>0</v>
      </c>
      <c r="AE190" s="38"/>
      <c r="AF190" s="692">
        <f t="shared" si="99"/>
        <v>0</v>
      </c>
      <c r="AG190" s="692">
        <f t="shared" si="100"/>
        <v>100000</v>
      </c>
      <c r="AH190" s="692">
        <f t="shared" si="101"/>
        <v>0</v>
      </c>
    </row>
    <row r="191" spans="1:34" s="232" customFormat="1">
      <c r="A191" s="403"/>
      <c r="B191" s="403" t="s">
        <v>110</v>
      </c>
      <c r="C191" s="666" t="s">
        <v>563</v>
      </c>
      <c r="D191" s="123" t="s">
        <v>637</v>
      </c>
      <c r="E191" s="679"/>
      <c r="F191" s="529"/>
      <c r="G191" s="680"/>
      <c r="H191" s="680"/>
      <c r="I191" s="681"/>
      <c r="J191" s="682">
        <f t="shared" si="104"/>
        <v>0</v>
      </c>
      <c r="K191" s="683"/>
      <c r="L191" s="684"/>
      <c r="M191" s="753">
        <v>0</v>
      </c>
      <c r="N191" s="683">
        <v>0</v>
      </c>
      <c r="O191" s="686"/>
      <c r="P191" s="683">
        <v>0</v>
      </c>
      <c r="Q191" s="687">
        <f t="shared" si="119"/>
        <v>0</v>
      </c>
      <c r="R191" s="688">
        <f>116.14+197.23+291.11</f>
        <v>604.48</v>
      </c>
      <c r="S191" s="693"/>
      <c r="T191" s="690">
        <f t="shared" si="105"/>
        <v>604.48</v>
      </c>
      <c r="U191" s="683"/>
      <c r="V191" s="474">
        <f t="shared" si="102"/>
        <v>0</v>
      </c>
      <c r="W191" s="474">
        <f t="shared" si="94"/>
        <v>0</v>
      </c>
      <c r="X191" s="475">
        <f t="shared" si="95"/>
        <v>0</v>
      </c>
      <c r="Y191" s="475">
        <v>0</v>
      </c>
      <c r="Z191" s="476">
        <v>0</v>
      </c>
      <c r="AA191" s="38">
        <f t="shared" si="103"/>
        <v>0</v>
      </c>
      <c r="AB191" s="692">
        <f t="shared" si="96"/>
        <v>0</v>
      </c>
      <c r="AC191" s="692">
        <f t="shared" si="97"/>
        <v>0</v>
      </c>
      <c r="AD191" s="692">
        <f t="shared" si="98"/>
        <v>0</v>
      </c>
      <c r="AE191" s="38"/>
      <c r="AF191" s="692">
        <f t="shared" si="99"/>
        <v>0</v>
      </c>
      <c r="AG191" s="692">
        <f t="shared" si="100"/>
        <v>0</v>
      </c>
      <c r="AH191" s="692">
        <f t="shared" si="101"/>
        <v>0</v>
      </c>
    </row>
    <row r="192" spans="1:34">
      <c r="A192" s="21" t="s">
        <v>212</v>
      </c>
      <c r="B192" s="21" t="s">
        <v>110</v>
      </c>
      <c r="C192" s="666"/>
      <c r="D192" s="68" t="s">
        <v>35</v>
      </c>
      <c r="E192" s="679"/>
      <c r="F192" s="529" t="str">
        <f>VLOOKUP(D192,'Q4 DMV -  Revenue'!D:T,17,FALSE)</f>
        <v/>
      </c>
      <c r="G192" s="680"/>
      <c r="H192" s="680"/>
      <c r="I192" s="681"/>
      <c r="J192" s="682">
        <f t="shared" si="104"/>
        <v>0</v>
      </c>
      <c r="K192" s="683"/>
      <c r="L192" s="684"/>
      <c r="M192" s="753">
        <v>0</v>
      </c>
      <c r="N192" s="683">
        <v>0</v>
      </c>
      <c r="O192" s="686"/>
      <c r="P192" s="683">
        <v>0</v>
      </c>
      <c r="Q192" s="687">
        <f t="shared" si="119"/>
        <v>0</v>
      </c>
      <c r="R192" s="688"/>
      <c r="S192" s="693"/>
      <c r="T192" s="690" t="str">
        <f t="shared" si="105"/>
        <v/>
      </c>
      <c r="U192" s="683"/>
      <c r="V192" s="474">
        <f t="shared" si="102"/>
        <v>0</v>
      </c>
      <c r="W192" s="474">
        <f t="shared" si="94"/>
        <v>0</v>
      </c>
      <c r="X192" s="475">
        <f t="shared" si="95"/>
        <v>0</v>
      </c>
      <c r="Y192" s="475">
        <v>0</v>
      </c>
      <c r="Z192" s="476">
        <v>0</v>
      </c>
      <c r="AA192" s="38">
        <f t="shared" si="103"/>
        <v>0</v>
      </c>
      <c r="AB192" s="692">
        <f t="shared" si="96"/>
        <v>0</v>
      </c>
      <c r="AC192" s="692">
        <f t="shared" si="97"/>
        <v>0</v>
      </c>
      <c r="AD192" s="692">
        <f t="shared" si="98"/>
        <v>0</v>
      </c>
      <c r="AE192" s="38"/>
      <c r="AF192" s="692">
        <f t="shared" si="99"/>
        <v>0</v>
      </c>
      <c r="AG192" s="692">
        <f t="shared" si="100"/>
        <v>0</v>
      </c>
      <c r="AH192" s="692">
        <f t="shared" si="101"/>
        <v>0</v>
      </c>
    </row>
    <row r="193" spans="1:34">
      <c r="A193" s="21" t="s">
        <v>212</v>
      </c>
      <c r="B193" s="21" t="s">
        <v>110</v>
      </c>
      <c r="C193" s="666"/>
      <c r="D193" s="68" t="s">
        <v>232</v>
      </c>
      <c r="E193" s="679"/>
      <c r="F193" s="529">
        <f>VLOOKUP(D193,'Q4 DMV -  Revenue'!D:T,17,FALSE)</f>
        <v>-9000</v>
      </c>
      <c r="G193" s="680"/>
      <c r="H193" s="680"/>
      <c r="I193" s="681"/>
      <c r="J193" s="682">
        <f t="shared" si="104"/>
        <v>-9000</v>
      </c>
      <c r="K193" s="683"/>
      <c r="L193" s="684"/>
      <c r="M193" s="753">
        <v>15000</v>
      </c>
      <c r="N193" s="683">
        <v>0</v>
      </c>
      <c r="O193" s="686"/>
      <c r="P193" s="683">
        <v>0</v>
      </c>
      <c r="Q193" s="687">
        <f t="shared" si="119"/>
        <v>15000</v>
      </c>
      <c r="R193" s="688">
        <v>9015.31</v>
      </c>
      <c r="S193" s="693"/>
      <c r="T193" s="690">
        <f t="shared" si="105"/>
        <v>-5984.6900000000005</v>
      </c>
      <c r="U193" s="683"/>
      <c r="V193" s="474">
        <f t="shared" si="102"/>
        <v>15000</v>
      </c>
      <c r="W193" s="474">
        <f t="shared" si="94"/>
        <v>0</v>
      </c>
      <c r="X193" s="475">
        <f t="shared" si="95"/>
        <v>0</v>
      </c>
      <c r="Y193" s="475">
        <v>0</v>
      </c>
      <c r="Z193" s="476">
        <v>0</v>
      </c>
      <c r="AA193" s="38">
        <f t="shared" si="103"/>
        <v>0</v>
      </c>
      <c r="AB193" s="692">
        <f t="shared" si="96"/>
        <v>-9000</v>
      </c>
      <c r="AC193" s="692">
        <f t="shared" si="97"/>
        <v>0</v>
      </c>
      <c r="AD193" s="692">
        <f t="shared" si="98"/>
        <v>0</v>
      </c>
      <c r="AE193" s="38"/>
      <c r="AF193" s="692">
        <f t="shared" si="99"/>
        <v>15000</v>
      </c>
      <c r="AG193" s="692">
        <f t="shared" si="100"/>
        <v>0</v>
      </c>
      <c r="AH193" s="692">
        <f t="shared" si="101"/>
        <v>0</v>
      </c>
    </row>
    <row r="194" spans="1:34">
      <c r="A194" s="21" t="s">
        <v>212</v>
      </c>
      <c r="B194" s="21" t="s">
        <v>110</v>
      </c>
      <c r="C194" s="666"/>
      <c r="D194" s="68" t="s">
        <v>238</v>
      </c>
      <c r="E194" s="679"/>
      <c r="F194" s="529" t="str">
        <f>VLOOKUP(D194,'Q4 DMV -  Revenue'!D:T,17,FALSE)</f>
        <v/>
      </c>
      <c r="G194" s="680"/>
      <c r="H194" s="680"/>
      <c r="I194" s="681"/>
      <c r="J194" s="682">
        <f t="shared" si="104"/>
        <v>0</v>
      </c>
      <c r="K194" s="683"/>
      <c r="L194" s="684"/>
      <c r="M194" s="753">
        <v>0</v>
      </c>
      <c r="N194" s="683">
        <v>0</v>
      </c>
      <c r="O194" s="686"/>
      <c r="P194" s="683">
        <v>0</v>
      </c>
      <c r="Q194" s="687">
        <f t="shared" si="119"/>
        <v>0</v>
      </c>
      <c r="R194" s="688"/>
      <c r="S194" s="693"/>
      <c r="T194" s="690" t="str">
        <f t="shared" si="105"/>
        <v/>
      </c>
      <c r="U194" s="683"/>
      <c r="V194" s="474">
        <f t="shared" si="102"/>
        <v>0</v>
      </c>
      <c r="W194" s="474">
        <f t="shared" si="94"/>
        <v>0</v>
      </c>
      <c r="X194" s="475">
        <f t="shared" si="95"/>
        <v>0</v>
      </c>
      <c r="Y194" s="475">
        <v>0</v>
      </c>
      <c r="Z194" s="476">
        <v>0</v>
      </c>
      <c r="AA194" s="38">
        <f t="shared" si="103"/>
        <v>0</v>
      </c>
      <c r="AB194" s="692">
        <f t="shared" si="96"/>
        <v>0</v>
      </c>
      <c r="AC194" s="692">
        <f t="shared" si="97"/>
        <v>0</v>
      </c>
      <c r="AD194" s="692">
        <f t="shared" si="98"/>
        <v>0</v>
      </c>
      <c r="AE194" s="38"/>
      <c r="AF194" s="692">
        <f t="shared" si="99"/>
        <v>0</v>
      </c>
      <c r="AG194" s="692">
        <f t="shared" si="100"/>
        <v>0</v>
      </c>
      <c r="AH194" s="692">
        <f t="shared" si="101"/>
        <v>0</v>
      </c>
    </row>
    <row r="195" spans="1:34">
      <c r="A195" s="21"/>
      <c r="B195" s="21" t="s">
        <v>110</v>
      </c>
      <c r="C195" s="666"/>
      <c r="D195" s="68" t="s">
        <v>68</v>
      </c>
      <c r="E195" s="679"/>
      <c r="F195" s="529" t="str">
        <f>VLOOKUP(D195,'Q4 DMV -  Revenue'!D:T,17,FALSE)</f>
        <v/>
      </c>
      <c r="G195" s="680"/>
      <c r="H195" s="680"/>
      <c r="I195" s="681"/>
      <c r="J195" s="682">
        <f t="shared" si="104"/>
        <v>0</v>
      </c>
      <c r="K195" s="683"/>
      <c r="L195" s="684"/>
      <c r="M195" s="753">
        <v>0</v>
      </c>
      <c r="N195" s="683">
        <v>0</v>
      </c>
      <c r="O195" s="686"/>
      <c r="P195" s="683">
        <v>0</v>
      </c>
      <c r="Q195" s="687">
        <f t="shared" si="119"/>
        <v>0</v>
      </c>
      <c r="R195" s="688"/>
      <c r="S195" s="693"/>
      <c r="T195" s="690" t="str">
        <f t="shared" si="105"/>
        <v/>
      </c>
      <c r="U195" s="683"/>
      <c r="V195" s="474">
        <f t="shared" si="102"/>
        <v>0</v>
      </c>
      <c r="W195" s="474">
        <f t="shared" si="94"/>
        <v>0</v>
      </c>
      <c r="X195" s="475">
        <f t="shared" si="95"/>
        <v>0</v>
      </c>
      <c r="Y195" s="475">
        <v>0</v>
      </c>
      <c r="Z195" s="476">
        <v>0</v>
      </c>
      <c r="AA195" s="38">
        <f t="shared" si="103"/>
        <v>0</v>
      </c>
      <c r="AB195" s="692">
        <f t="shared" si="96"/>
        <v>0</v>
      </c>
      <c r="AC195" s="692">
        <f t="shared" si="97"/>
        <v>0</v>
      </c>
      <c r="AD195" s="692">
        <f t="shared" si="98"/>
        <v>0</v>
      </c>
      <c r="AE195" s="38"/>
      <c r="AF195" s="692">
        <f t="shared" si="99"/>
        <v>0</v>
      </c>
      <c r="AG195" s="692">
        <f t="shared" si="100"/>
        <v>0</v>
      </c>
      <c r="AH195" s="692">
        <f t="shared" si="101"/>
        <v>0</v>
      </c>
    </row>
    <row r="196" spans="1:34">
      <c r="A196" s="21"/>
      <c r="B196" s="21" t="s">
        <v>110</v>
      </c>
      <c r="C196" s="666"/>
      <c r="D196" s="68" t="s">
        <v>384</v>
      </c>
      <c r="E196" s="679"/>
      <c r="F196" s="529" t="str">
        <f>VLOOKUP(D196,'Q4 DMV -  Revenue'!D:T,17,FALSE)</f>
        <v/>
      </c>
      <c r="G196" s="680"/>
      <c r="H196" s="680"/>
      <c r="I196" s="681"/>
      <c r="J196" s="682">
        <f t="shared" si="104"/>
        <v>0</v>
      </c>
      <c r="K196" s="683"/>
      <c r="L196" s="684"/>
      <c r="M196" s="753">
        <v>0</v>
      </c>
      <c r="N196" s="683">
        <v>0</v>
      </c>
      <c r="O196" s="686"/>
      <c r="P196" s="683">
        <v>0</v>
      </c>
      <c r="Q196" s="687">
        <f t="shared" si="119"/>
        <v>0</v>
      </c>
      <c r="R196" s="688"/>
      <c r="S196" s="693"/>
      <c r="T196" s="690" t="str">
        <f t="shared" si="105"/>
        <v/>
      </c>
      <c r="U196" s="683"/>
      <c r="V196" s="474">
        <f t="shared" si="102"/>
        <v>0</v>
      </c>
      <c r="W196" s="474">
        <f t="shared" si="94"/>
        <v>0</v>
      </c>
      <c r="X196" s="475">
        <f t="shared" si="95"/>
        <v>0</v>
      </c>
      <c r="Y196" s="475">
        <v>0</v>
      </c>
      <c r="Z196" s="476">
        <v>0</v>
      </c>
      <c r="AA196" s="38">
        <f t="shared" si="103"/>
        <v>0</v>
      </c>
      <c r="AB196" s="692">
        <f t="shared" si="96"/>
        <v>0</v>
      </c>
      <c r="AC196" s="692">
        <f t="shared" si="97"/>
        <v>0</v>
      </c>
      <c r="AD196" s="692">
        <f t="shared" si="98"/>
        <v>0</v>
      </c>
      <c r="AE196" s="38"/>
      <c r="AF196" s="692">
        <f t="shared" si="99"/>
        <v>0</v>
      </c>
      <c r="AG196" s="692">
        <f t="shared" si="100"/>
        <v>0</v>
      </c>
      <c r="AH196" s="692">
        <f t="shared" si="101"/>
        <v>0</v>
      </c>
    </row>
    <row r="197" spans="1:34">
      <c r="A197" s="21"/>
      <c r="B197" s="21" t="s">
        <v>109</v>
      </c>
      <c r="C197" s="666" t="s">
        <v>564</v>
      </c>
      <c r="D197" s="68" t="s">
        <v>306</v>
      </c>
      <c r="E197" s="679"/>
      <c r="F197" s="529">
        <f>VLOOKUP(D197,'Q4 DMV -  Revenue'!D:T,17,FALSE)</f>
        <v>955.2600000000001</v>
      </c>
      <c r="G197" s="680"/>
      <c r="H197" s="680"/>
      <c r="I197" s="681"/>
      <c r="J197" s="682">
        <f t="shared" si="104"/>
        <v>955.2600000000001</v>
      </c>
      <c r="K197" s="683"/>
      <c r="L197" s="684"/>
      <c r="M197" s="753">
        <v>10000</v>
      </c>
      <c r="N197" s="683">
        <v>0</v>
      </c>
      <c r="O197" s="686"/>
      <c r="P197" s="683">
        <v>0</v>
      </c>
      <c r="Q197" s="687">
        <f t="shared" si="119"/>
        <v>10000</v>
      </c>
      <c r="R197" s="688">
        <v>0</v>
      </c>
      <c r="S197" s="693"/>
      <c r="T197" s="690">
        <f t="shared" si="105"/>
        <v>-10000</v>
      </c>
      <c r="U197" s="683"/>
      <c r="V197" s="474">
        <f t="shared" si="102"/>
        <v>0</v>
      </c>
      <c r="W197" s="474">
        <f t="shared" si="94"/>
        <v>10000</v>
      </c>
      <c r="X197" s="475">
        <f t="shared" si="95"/>
        <v>0</v>
      </c>
      <c r="Y197" s="475">
        <v>0</v>
      </c>
      <c r="Z197" s="476">
        <v>0</v>
      </c>
      <c r="AA197" s="38">
        <f t="shared" si="103"/>
        <v>0</v>
      </c>
      <c r="AB197" s="692">
        <f t="shared" si="96"/>
        <v>0</v>
      </c>
      <c r="AC197" s="692">
        <f t="shared" si="97"/>
        <v>955.2600000000001</v>
      </c>
      <c r="AD197" s="692">
        <f t="shared" si="98"/>
        <v>0</v>
      </c>
      <c r="AE197" s="38"/>
      <c r="AF197" s="692">
        <f t="shared" si="99"/>
        <v>0</v>
      </c>
      <c r="AG197" s="692">
        <f t="shared" si="100"/>
        <v>10000</v>
      </c>
      <c r="AH197" s="692">
        <f t="shared" si="101"/>
        <v>0</v>
      </c>
    </row>
    <row r="198" spans="1:34">
      <c r="A198" s="21"/>
      <c r="B198" s="21" t="s">
        <v>109</v>
      </c>
      <c r="C198" s="666" t="s">
        <v>564</v>
      </c>
      <c r="D198" s="68" t="s">
        <v>307</v>
      </c>
      <c r="E198" s="679"/>
      <c r="F198" s="529" t="str">
        <f>VLOOKUP(D198,'Q4 DMV -  Revenue'!D:T,17,FALSE)</f>
        <v/>
      </c>
      <c r="G198" s="680"/>
      <c r="H198" s="680"/>
      <c r="I198" s="681"/>
      <c r="J198" s="682">
        <f t="shared" si="104"/>
        <v>0</v>
      </c>
      <c r="K198" s="683"/>
      <c r="L198" s="684"/>
      <c r="M198" s="753">
        <v>0</v>
      </c>
      <c r="N198" s="683">
        <v>0</v>
      </c>
      <c r="O198" s="686"/>
      <c r="P198" s="683">
        <v>0</v>
      </c>
      <c r="Q198" s="687">
        <f t="shared" si="119"/>
        <v>0</v>
      </c>
      <c r="R198" s="688"/>
      <c r="S198" s="693"/>
      <c r="T198" s="690" t="str">
        <f t="shared" si="105"/>
        <v/>
      </c>
      <c r="U198" s="683"/>
      <c r="V198" s="474">
        <f t="shared" si="102"/>
        <v>0</v>
      </c>
      <c r="W198" s="474">
        <f t="shared" si="94"/>
        <v>0</v>
      </c>
      <c r="X198" s="475">
        <f t="shared" si="95"/>
        <v>0</v>
      </c>
      <c r="Y198" s="475">
        <v>0</v>
      </c>
      <c r="Z198" s="476">
        <v>0</v>
      </c>
      <c r="AA198" s="38">
        <f t="shared" si="103"/>
        <v>0</v>
      </c>
      <c r="AB198" s="692">
        <f t="shared" si="96"/>
        <v>0</v>
      </c>
      <c r="AC198" s="692">
        <f t="shared" si="97"/>
        <v>0</v>
      </c>
      <c r="AD198" s="692">
        <f t="shared" si="98"/>
        <v>0</v>
      </c>
      <c r="AE198" s="38"/>
      <c r="AF198" s="692">
        <f t="shared" si="99"/>
        <v>0</v>
      </c>
      <c r="AG198" s="692">
        <f t="shared" si="100"/>
        <v>0</v>
      </c>
      <c r="AH198" s="692">
        <f t="shared" si="101"/>
        <v>0</v>
      </c>
    </row>
    <row r="199" spans="1:34">
      <c r="A199" s="21"/>
      <c r="B199" s="21" t="s">
        <v>109</v>
      </c>
      <c r="C199" s="666" t="s">
        <v>565</v>
      </c>
      <c r="D199" s="68" t="s">
        <v>485</v>
      </c>
      <c r="E199" s="679"/>
      <c r="F199" s="529">
        <f>VLOOKUP(D199,'Q4 DMV -  Revenue'!D:T,17,FALSE)</f>
        <v>3785.2900000000227</v>
      </c>
      <c r="G199" s="680"/>
      <c r="H199" s="680"/>
      <c r="I199" s="681"/>
      <c r="J199" s="682">
        <f t="shared" si="104"/>
        <v>3785.2900000000227</v>
      </c>
      <c r="K199" s="683"/>
      <c r="L199" s="684"/>
      <c r="M199" s="753">
        <v>125000</v>
      </c>
      <c r="N199" s="683"/>
      <c r="O199" s="686"/>
      <c r="P199" s="683"/>
      <c r="Q199" s="687">
        <f t="shared" si="119"/>
        <v>125000</v>
      </c>
      <c r="R199" s="688">
        <f>9990.05+5219.8+22.82+2133.61+409.98+71392.16+683.57+573.66+752.29</f>
        <v>91177.94</v>
      </c>
      <c r="S199" s="693"/>
      <c r="T199" s="690">
        <f t="shared" si="105"/>
        <v>-33822.06</v>
      </c>
      <c r="U199" s="683"/>
      <c r="V199" s="474">
        <f t="shared" si="102"/>
        <v>0</v>
      </c>
      <c r="W199" s="474">
        <f t="shared" si="94"/>
        <v>125000</v>
      </c>
      <c r="X199" s="475">
        <f t="shared" si="95"/>
        <v>0</v>
      </c>
      <c r="Y199" s="475">
        <v>0</v>
      </c>
      <c r="Z199" s="476">
        <v>0</v>
      </c>
      <c r="AA199" s="38">
        <f t="shared" si="103"/>
        <v>0</v>
      </c>
      <c r="AB199" s="692">
        <f t="shared" si="96"/>
        <v>0</v>
      </c>
      <c r="AC199" s="692">
        <f t="shared" si="97"/>
        <v>3785.2900000000227</v>
      </c>
      <c r="AD199" s="692">
        <f t="shared" si="98"/>
        <v>0</v>
      </c>
      <c r="AE199" s="38"/>
      <c r="AF199" s="692">
        <f t="shared" si="99"/>
        <v>0</v>
      </c>
      <c r="AG199" s="692">
        <f t="shared" si="100"/>
        <v>125000</v>
      </c>
      <c r="AH199" s="692">
        <f t="shared" si="101"/>
        <v>0</v>
      </c>
    </row>
    <row r="200" spans="1:34" s="232" customFormat="1">
      <c r="A200" s="403"/>
      <c r="B200" s="403" t="s">
        <v>109</v>
      </c>
      <c r="C200" s="666"/>
      <c r="D200" s="123" t="s">
        <v>220</v>
      </c>
      <c r="E200" s="679"/>
      <c r="F200" s="529" t="str">
        <f>VLOOKUP(D200,'Q4 DMV -  Revenue'!D:T,17,FALSE)</f>
        <v/>
      </c>
      <c r="G200" s="680"/>
      <c r="H200" s="680"/>
      <c r="I200" s="681"/>
      <c r="J200" s="682">
        <f t="shared" si="104"/>
        <v>0</v>
      </c>
      <c r="K200" s="683"/>
      <c r="L200" s="684"/>
      <c r="M200" s="753">
        <v>0</v>
      </c>
      <c r="N200" s="683">
        <v>0</v>
      </c>
      <c r="O200" s="686"/>
      <c r="P200" s="683">
        <v>0</v>
      </c>
      <c r="Q200" s="687">
        <f t="shared" si="119"/>
        <v>0</v>
      </c>
      <c r="R200" s="688"/>
      <c r="S200" s="693"/>
      <c r="T200" s="690" t="str">
        <f t="shared" si="105"/>
        <v/>
      </c>
      <c r="U200" s="683"/>
      <c r="V200" s="474">
        <f t="shared" si="102"/>
        <v>0</v>
      </c>
      <c r="W200" s="474">
        <f t="shared" si="94"/>
        <v>0</v>
      </c>
      <c r="X200" s="475">
        <f t="shared" si="95"/>
        <v>0</v>
      </c>
      <c r="Y200" s="475">
        <v>0</v>
      </c>
      <c r="Z200" s="476">
        <v>0</v>
      </c>
      <c r="AA200" s="38">
        <f t="shared" si="103"/>
        <v>0</v>
      </c>
      <c r="AB200" s="692">
        <f t="shared" si="96"/>
        <v>0</v>
      </c>
      <c r="AC200" s="692">
        <f t="shared" si="97"/>
        <v>0</v>
      </c>
      <c r="AD200" s="692">
        <f t="shared" si="98"/>
        <v>0</v>
      </c>
      <c r="AE200" s="38"/>
      <c r="AF200" s="692">
        <f t="shared" si="99"/>
        <v>0</v>
      </c>
      <c r="AG200" s="692">
        <f t="shared" si="100"/>
        <v>0</v>
      </c>
      <c r="AH200" s="692">
        <f t="shared" si="101"/>
        <v>0</v>
      </c>
    </row>
    <row r="201" spans="1:34" s="24" customFormat="1">
      <c r="A201" s="472"/>
      <c r="B201" s="21" t="s">
        <v>109</v>
      </c>
      <c r="C201" s="666"/>
      <c r="D201" s="68" t="s">
        <v>505</v>
      </c>
      <c r="E201" s="679"/>
      <c r="F201" s="529" t="str">
        <f>VLOOKUP(D201,'Q4 DMV -  Revenue'!D:T,17,FALSE)</f>
        <v/>
      </c>
      <c r="G201" s="694">
        <v>6726</v>
      </c>
      <c r="H201" s="694">
        <v>6726</v>
      </c>
      <c r="I201" s="741">
        <v>6726</v>
      </c>
      <c r="J201" s="703">
        <f t="shared" ref="J201" si="121">SUM(E201:I201)</f>
        <v>20178</v>
      </c>
      <c r="K201" s="698"/>
      <c r="L201" s="684"/>
      <c r="M201" s="753">
        <v>0</v>
      </c>
      <c r="N201" s="698">
        <v>0</v>
      </c>
      <c r="O201" s="686"/>
      <c r="P201" s="698">
        <v>0</v>
      </c>
      <c r="Q201" s="700">
        <f t="shared" si="119"/>
        <v>0</v>
      </c>
      <c r="R201" s="688"/>
      <c r="S201" s="701"/>
      <c r="T201" s="702" t="str">
        <f t="shared" si="105"/>
        <v/>
      </c>
      <c r="U201" s="698"/>
      <c r="V201" s="474">
        <f t="shared" si="102"/>
        <v>0</v>
      </c>
      <c r="W201" s="474">
        <f t="shared" si="94"/>
        <v>0</v>
      </c>
      <c r="X201" s="475">
        <f t="shared" si="95"/>
        <v>0</v>
      </c>
      <c r="Y201" s="475">
        <v>0</v>
      </c>
      <c r="Z201" s="476">
        <v>0</v>
      </c>
      <c r="AA201" s="38">
        <f t="shared" si="103"/>
        <v>0</v>
      </c>
      <c r="AB201" s="692">
        <f t="shared" si="96"/>
        <v>0</v>
      </c>
      <c r="AC201" s="692">
        <f t="shared" si="97"/>
        <v>20178</v>
      </c>
      <c r="AD201" s="692">
        <f t="shared" si="98"/>
        <v>0</v>
      </c>
      <c r="AE201" s="38"/>
      <c r="AF201" s="692">
        <f t="shared" si="99"/>
        <v>0</v>
      </c>
      <c r="AG201" s="692">
        <f t="shared" si="100"/>
        <v>0</v>
      </c>
      <c r="AH201" s="692">
        <f t="shared" si="101"/>
        <v>0</v>
      </c>
    </row>
    <row r="202" spans="1:34">
      <c r="A202" s="21"/>
      <c r="B202" s="21" t="s">
        <v>109</v>
      </c>
      <c r="C202" s="666"/>
      <c r="D202" s="68" t="s">
        <v>38</v>
      </c>
      <c r="E202" s="679"/>
      <c r="F202" s="529" t="str">
        <f>VLOOKUP(D202,'Q4 DMV -  Revenue'!D:T,17,FALSE)</f>
        <v/>
      </c>
      <c r="G202" s="680"/>
      <c r="H202" s="680"/>
      <c r="I202" s="681"/>
      <c r="J202" s="682">
        <f t="shared" si="104"/>
        <v>0</v>
      </c>
      <c r="K202" s="683"/>
      <c r="L202" s="684"/>
      <c r="M202" s="753">
        <v>0</v>
      </c>
      <c r="N202" s="683">
        <v>0</v>
      </c>
      <c r="O202" s="686"/>
      <c r="P202" s="683">
        <v>0</v>
      </c>
      <c r="Q202" s="687">
        <f t="shared" si="119"/>
        <v>0</v>
      </c>
      <c r="R202" s="688"/>
      <c r="S202" s="693"/>
      <c r="T202" s="690" t="str">
        <f t="shared" si="105"/>
        <v/>
      </c>
      <c r="U202" s="683"/>
      <c r="V202" s="474">
        <f t="shared" si="102"/>
        <v>0</v>
      </c>
      <c r="W202" s="474">
        <f t="shared" si="94"/>
        <v>0</v>
      </c>
      <c r="X202" s="475">
        <f t="shared" si="95"/>
        <v>0</v>
      </c>
      <c r="Y202" s="475">
        <v>0</v>
      </c>
      <c r="Z202" s="476">
        <v>0</v>
      </c>
      <c r="AA202" s="38">
        <f t="shared" si="103"/>
        <v>0</v>
      </c>
      <c r="AB202" s="692">
        <f t="shared" si="96"/>
        <v>0</v>
      </c>
      <c r="AC202" s="692">
        <f t="shared" si="97"/>
        <v>0</v>
      </c>
      <c r="AD202" s="692">
        <f t="shared" si="98"/>
        <v>0</v>
      </c>
      <c r="AE202" s="38"/>
      <c r="AF202" s="692">
        <f t="shared" si="99"/>
        <v>0</v>
      </c>
      <c r="AG202" s="692">
        <f t="shared" si="100"/>
        <v>0</v>
      </c>
      <c r="AH202" s="692">
        <f t="shared" si="101"/>
        <v>0</v>
      </c>
    </row>
    <row r="203" spans="1:34">
      <c r="A203" s="21"/>
      <c r="B203" s="21" t="s">
        <v>110</v>
      </c>
      <c r="C203" s="666"/>
      <c r="D203" s="68" t="s">
        <v>484</v>
      </c>
      <c r="E203" s="679"/>
      <c r="F203" s="529" t="str">
        <f>VLOOKUP(D203,'Q4 DMV -  Revenue'!D:T,17,FALSE)</f>
        <v/>
      </c>
      <c r="G203" s="696"/>
      <c r="H203" s="696"/>
      <c r="I203" s="696">
        <v>0</v>
      </c>
      <c r="J203" s="682">
        <f t="shared" ref="J203" si="122">SUM(E203:I203)</f>
        <v>0</v>
      </c>
      <c r="K203" s="683"/>
      <c r="L203" s="684"/>
      <c r="M203" s="753">
        <v>0</v>
      </c>
      <c r="N203" s="683">
        <v>0</v>
      </c>
      <c r="O203" s="686"/>
      <c r="P203" s="683">
        <v>0</v>
      </c>
      <c r="Q203" s="687">
        <f t="shared" si="119"/>
        <v>0</v>
      </c>
      <c r="R203" s="688"/>
      <c r="S203" s="693"/>
      <c r="T203" s="690" t="str">
        <f t="shared" si="105"/>
        <v/>
      </c>
      <c r="U203" s="683"/>
      <c r="V203" s="474">
        <f t="shared" si="102"/>
        <v>0</v>
      </c>
      <c r="W203" s="474">
        <f t="shared" si="94"/>
        <v>0</v>
      </c>
      <c r="X203" s="475">
        <f t="shared" si="95"/>
        <v>0</v>
      </c>
      <c r="Y203" s="475">
        <v>0</v>
      </c>
      <c r="Z203" s="476">
        <v>0</v>
      </c>
      <c r="AA203" s="38">
        <f t="shared" si="103"/>
        <v>0</v>
      </c>
      <c r="AB203" s="692">
        <f t="shared" si="96"/>
        <v>0</v>
      </c>
      <c r="AC203" s="692">
        <f t="shared" si="97"/>
        <v>0</v>
      </c>
      <c r="AD203" s="692">
        <f t="shared" si="98"/>
        <v>0</v>
      </c>
      <c r="AE203" s="38"/>
      <c r="AF203" s="692">
        <f t="shared" si="99"/>
        <v>0</v>
      </c>
      <c r="AG203" s="692">
        <f t="shared" si="100"/>
        <v>0</v>
      </c>
      <c r="AH203" s="692">
        <f t="shared" si="101"/>
        <v>0</v>
      </c>
    </row>
    <row r="204" spans="1:34">
      <c r="A204" s="21"/>
      <c r="B204" s="21" t="s">
        <v>110</v>
      </c>
      <c r="C204" s="666"/>
      <c r="D204" s="68" t="s">
        <v>185</v>
      </c>
      <c r="E204" s="679"/>
      <c r="F204" s="529" t="str">
        <f>VLOOKUP(D204,'Q4 DMV -  Revenue'!D:T,17,FALSE)</f>
        <v/>
      </c>
      <c r="G204" s="694">
        <v>81.2</v>
      </c>
      <c r="H204" s="680"/>
      <c r="I204" s="681"/>
      <c r="J204" s="682">
        <f t="shared" si="104"/>
        <v>81.2</v>
      </c>
      <c r="K204" s="683"/>
      <c r="L204" s="684"/>
      <c r="M204" s="753">
        <v>0</v>
      </c>
      <c r="N204" s="683">
        <v>0</v>
      </c>
      <c r="O204" s="686"/>
      <c r="P204" s="683">
        <v>0</v>
      </c>
      <c r="Q204" s="687">
        <f t="shared" si="119"/>
        <v>0</v>
      </c>
      <c r="R204" s="688">
        <f>140.7+76.3</f>
        <v>217</v>
      </c>
      <c r="S204" s="693"/>
      <c r="T204" s="690">
        <f t="shared" si="105"/>
        <v>217</v>
      </c>
      <c r="U204" s="683"/>
      <c r="V204" s="474">
        <f t="shared" si="102"/>
        <v>0</v>
      </c>
      <c r="W204" s="474">
        <f t="shared" si="94"/>
        <v>0</v>
      </c>
      <c r="X204" s="475">
        <f t="shared" si="95"/>
        <v>0</v>
      </c>
      <c r="Y204" s="475">
        <v>0</v>
      </c>
      <c r="Z204" s="476">
        <v>0</v>
      </c>
      <c r="AA204" s="38">
        <f t="shared" si="103"/>
        <v>0</v>
      </c>
      <c r="AB204" s="692">
        <f t="shared" si="96"/>
        <v>81.2</v>
      </c>
      <c r="AC204" s="692">
        <f t="shared" si="97"/>
        <v>0</v>
      </c>
      <c r="AD204" s="692">
        <f t="shared" si="98"/>
        <v>0</v>
      </c>
      <c r="AE204" s="38"/>
      <c r="AF204" s="692">
        <f t="shared" si="99"/>
        <v>0</v>
      </c>
      <c r="AG204" s="692">
        <f t="shared" si="100"/>
        <v>0</v>
      </c>
      <c r="AH204" s="692">
        <f t="shared" si="101"/>
        <v>0</v>
      </c>
    </row>
    <row r="205" spans="1:34">
      <c r="A205" s="21"/>
      <c r="B205" s="21" t="s">
        <v>110</v>
      </c>
      <c r="C205" s="666"/>
      <c r="D205" s="68" t="s">
        <v>186</v>
      </c>
      <c r="E205" s="679"/>
      <c r="F205" s="529" t="str">
        <f>VLOOKUP(D205,'Q4 DMV -  Revenue'!D:T,17,FALSE)</f>
        <v/>
      </c>
      <c r="G205" s="694">
        <v>130.34</v>
      </c>
      <c r="H205" s="680"/>
      <c r="I205" s="681"/>
      <c r="J205" s="682">
        <f t="shared" si="104"/>
        <v>130.34</v>
      </c>
      <c r="K205" s="683"/>
      <c r="L205" s="684"/>
      <c r="M205" s="753">
        <v>0</v>
      </c>
      <c r="N205" s="683">
        <v>0</v>
      </c>
      <c r="O205" s="686"/>
      <c r="P205" s="683">
        <v>0</v>
      </c>
      <c r="Q205" s="687">
        <f t="shared" si="119"/>
        <v>0</v>
      </c>
      <c r="R205" s="688">
        <f>139.54+169.85</f>
        <v>309.39</v>
      </c>
      <c r="S205" s="693"/>
      <c r="T205" s="690">
        <f t="shared" si="105"/>
        <v>309.39</v>
      </c>
      <c r="U205" s="683"/>
      <c r="V205" s="474">
        <f t="shared" si="102"/>
        <v>0</v>
      </c>
      <c r="W205" s="474">
        <f t="shared" si="94"/>
        <v>0</v>
      </c>
      <c r="X205" s="475">
        <f t="shared" si="95"/>
        <v>0</v>
      </c>
      <c r="Y205" s="475">
        <v>0</v>
      </c>
      <c r="Z205" s="476">
        <v>0</v>
      </c>
      <c r="AA205" s="38">
        <f t="shared" si="103"/>
        <v>0</v>
      </c>
      <c r="AB205" s="692">
        <f t="shared" si="96"/>
        <v>130.34</v>
      </c>
      <c r="AC205" s="692">
        <f t="shared" si="97"/>
        <v>0</v>
      </c>
      <c r="AD205" s="692">
        <f t="shared" si="98"/>
        <v>0</v>
      </c>
      <c r="AE205" s="38"/>
      <c r="AF205" s="692">
        <f t="shared" si="99"/>
        <v>0</v>
      </c>
      <c r="AG205" s="692">
        <f t="shared" si="100"/>
        <v>0</v>
      </c>
      <c r="AH205" s="692">
        <f t="shared" si="101"/>
        <v>0</v>
      </c>
    </row>
    <row r="206" spans="1:34">
      <c r="A206" s="21"/>
      <c r="B206" s="21" t="s">
        <v>110</v>
      </c>
      <c r="C206" s="666"/>
      <c r="D206" s="68" t="s">
        <v>449</v>
      </c>
      <c r="E206" s="679"/>
      <c r="F206" s="529" t="str">
        <f>VLOOKUP(D206,'Q4 DMV -  Revenue'!D:T,17,FALSE)</f>
        <v/>
      </c>
      <c r="G206" s="680"/>
      <c r="H206" s="680"/>
      <c r="I206" s="681"/>
      <c r="J206" s="682">
        <f t="shared" si="104"/>
        <v>0</v>
      </c>
      <c r="K206" s="683"/>
      <c r="L206" s="684"/>
      <c r="M206" s="753">
        <v>0</v>
      </c>
      <c r="N206" s="683">
        <v>0</v>
      </c>
      <c r="O206" s="686"/>
      <c r="P206" s="683">
        <v>0</v>
      </c>
      <c r="Q206" s="687">
        <f t="shared" si="119"/>
        <v>0</v>
      </c>
      <c r="R206" s="688"/>
      <c r="S206" s="693"/>
      <c r="T206" s="690" t="str">
        <f t="shared" si="105"/>
        <v/>
      </c>
      <c r="U206" s="683"/>
      <c r="V206" s="474">
        <f t="shared" si="102"/>
        <v>0</v>
      </c>
      <c r="W206" s="474">
        <f t="shared" si="94"/>
        <v>0</v>
      </c>
      <c r="X206" s="475">
        <f t="shared" si="95"/>
        <v>0</v>
      </c>
      <c r="Y206" s="475">
        <v>0</v>
      </c>
      <c r="Z206" s="476">
        <v>0</v>
      </c>
      <c r="AA206" s="38">
        <f t="shared" si="103"/>
        <v>0</v>
      </c>
      <c r="AB206" s="692">
        <f t="shared" si="96"/>
        <v>0</v>
      </c>
      <c r="AC206" s="692">
        <f t="shared" si="97"/>
        <v>0</v>
      </c>
      <c r="AD206" s="692">
        <f t="shared" si="98"/>
        <v>0</v>
      </c>
      <c r="AE206" s="38"/>
      <c r="AF206" s="692">
        <f t="shared" si="99"/>
        <v>0</v>
      </c>
      <c r="AG206" s="692">
        <f t="shared" si="100"/>
        <v>0</v>
      </c>
      <c r="AH206" s="692">
        <f t="shared" si="101"/>
        <v>0</v>
      </c>
    </row>
    <row r="207" spans="1:34">
      <c r="A207" s="21"/>
      <c r="B207" s="21" t="s">
        <v>110</v>
      </c>
      <c r="C207" s="666" t="s">
        <v>566</v>
      </c>
      <c r="D207" s="68" t="s">
        <v>39</v>
      </c>
      <c r="E207" s="679"/>
      <c r="F207" s="529">
        <f>VLOOKUP(D207,'Q4 DMV -  Revenue'!D:T,17,FALSE)</f>
        <v>450.87</v>
      </c>
      <c r="G207" s="694">
        <f>1718.57+304.64</f>
        <v>2023.21</v>
      </c>
      <c r="H207" s="694">
        <f>3088.6+347.29</f>
        <v>3435.89</v>
      </c>
      <c r="I207" s="741">
        <f>1400.38+427.9</f>
        <v>1828.2800000000002</v>
      </c>
      <c r="J207" s="682">
        <f t="shared" si="104"/>
        <v>7738.25</v>
      </c>
      <c r="K207" s="683"/>
      <c r="L207" s="684"/>
      <c r="M207" s="753">
        <v>0</v>
      </c>
      <c r="N207" s="683">
        <v>0</v>
      </c>
      <c r="O207" s="686"/>
      <c r="P207" s="683">
        <v>0</v>
      </c>
      <c r="Q207" s="687">
        <f t="shared" si="119"/>
        <v>0</v>
      </c>
      <c r="R207" s="688"/>
      <c r="S207" s="693"/>
      <c r="T207" s="690" t="str">
        <f t="shared" si="105"/>
        <v/>
      </c>
      <c r="U207" s="683"/>
      <c r="V207" s="474">
        <f t="shared" si="102"/>
        <v>0</v>
      </c>
      <c r="W207" s="474">
        <f t="shared" si="94"/>
        <v>0</v>
      </c>
      <c r="X207" s="475">
        <f t="shared" si="95"/>
        <v>0</v>
      </c>
      <c r="Y207" s="475">
        <v>0</v>
      </c>
      <c r="Z207" s="476">
        <v>0</v>
      </c>
      <c r="AA207" s="38">
        <f t="shared" si="103"/>
        <v>0</v>
      </c>
      <c r="AB207" s="692">
        <f>IF(B207="D",J207,0)-651.93</f>
        <v>7086.32</v>
      </c>
      <c r="AC207" s="692">
        <v>651.92999999999995</v>
      </c>
      <c r="AD207" s="692">
        <f t="shared" si="98"/>
        <v>0</v>
      </c>
      <c r="AE207" s="38"/>
      <c r="AF207" s="692">
        <f t="shared" si="99"/>
        <v>0</v>
      </c>
      <c r="AG207" s="692">
        <f t="shared" si="100"/>
        <v>0</v>
      </c>
      <c r="AH207" s="692">
        <f t="shared" si="101"/>
        <v>0</v>
      </c>
    </row>
    <row r="208" spans="1:34">
      <c r="A208" s="21"/>
      <c r="B208" s="21" t="s">
        <v>110</v>
      </c>
      <c r="C208" s="666" t="s">
        <v>567</v>
      </c>
      <c r="D208" s="68" t="s">
        <v>435</v>
      </c>
      <c r="E208" s="679"/>
      <c r="F208" s="529" t="str">
        <f>VLOOKUP(D208,'Q4 DMV -  Revenue'!D:T,17,FALSE)</f>
        <v/>
      </c>
      <c r="G208" s="747">
        <f>6965.42+8870.89</f>
        <v>15836.31</v>
      </c>
      <c r="H208" s="694">
        <f>6754.09+8569.53</f>
        <v>15323.62</v>
      </c>
      <c r="I208" s="681"/>
      <c r="J208" s="682">
        <f t="shared" si="104"/>
        <v>31159.93</v>
      </c>
      <c r="K208" s="683"/>
      <c r="L208" s="684"/>
      <c r="M208" s="753">
        <v>15000</v>
      </c>
      <c r="N208" s="683">
        <v>0</v>
      </c>
      <c r="O208" s="686"/>
      <c r="P208" s="683">
        <v>0</v>
      </c>
      <c r="Q208" s="687">
        <f t="shared" si="119"/>
        <v>15000</v>
      </c>
      <c r="R208" s="688">
        <f>8783.76+6548.24</f>
        <v>15332</v>
      </c>
      <c r="S208" s="693"/>
      <c r="T208" s="690">
        <f t="shared" si="105"/>
        <v>332</v>
      </c>
      <c r="U208" s="683"/>
      <c r="V208" s="474">
        <f t="shared" si="102"/>
        <v>15000</v>
      </c>
      <c r="W208" s="474">
        <f t="shared" si="94"/>
        <v>0</v>
      </c>
      <c r="X208" s="475">
        <f t="shared" si="95"/>
        <v>0</v>
      </c>
      <c r="Y208" s="475">
        <v>0</v>
      </c>
      <c r="Z208" s="476">
        <v>0</v>
      </c>
      <c r="AA208" s="38">
        <f t="shared" si="103"/>
        <v>0</v>
      </c>
      <c r="AB208" s="692">
        <f t="shared" si="96"/>
        <v>31159.93</v>
      </c>
      <c r="AC208" s="692">
        <f t="shared" si="97"/>
        <v>0</v>
      </c>
      <c r="AD208" s="692">
        <f t="shared" si="98"/>
        <v>0</v>
      </c>
      <c r="AE208" s="38"/>
      <c r="AF208" s="692">
        <f t="shared" si="99"/>
        <v>15000</v>
      </c>
      <c r="AG208" s="692">
        <f t="shared" si="100"/>
        <v>0</v>
      </c>
      <c r="AH208" s="692">
        <f t="shared" si="101"/>
        <v>0</v>
      </c>
    </row>
    <row r="209" spans="1:34">
      <c r="A209" s="21"/>
      <c r="B209" s="21" t="s">
        <v>110</v>
      </c>
      <c r="C209" s="675" t="s">
        <v>584</v>
      </c>
      <c r="D209" s="68" t="s">
        <v>99</v>
      </c>
      <c r="E209" s="679">
        <v>16865.02</v>
      </c>
      <c r="F209" s="529">
        <f>VLOOKUP(D209,'Q4 DMV -  Revenue'!D:T,17,FALSE)</f>
        <v>61431.750000000007</v>
      </c>
      <c r="G209" s="694">
        <v>20383.21</v>
      </c>
      <c r="H209" s="680"/>
      <c r="I209" s="681"/>
      <c r="J209" s="682">
        <f t="shared" si="104"/>
        <v>98679.98000000001</v>
      </c>
      <c r="K209" s="683"/>
      <c r="L209" s="684"/>
      <c r="M209" s="753">
        <v>30000</v>
      </c>
      <c r="N209" s="683">
        <v>0</v>
      </c>
      <c r="O209" s="686"/>
      <c r="P209" s="683">
        <v>0</v>
      </c>
      <c r="Q209" s="687">
        <f t="shared" si="119"/>
        <v>30000</v>
      </c>
      <c r="R209" s="688">
        <v>16827.669999999998</v>
      </c>
      <c r="S209" s="693"/>
      <c r="T209" s="690">
        <f t="shared" si="105"/>
        <v>-13172.330000000002</v>
      </c>
      <c r="U209" s="683"/>
      <c r="V209" s="474">
        <f t="shared" si="102"/>
        <v>30000</v>
      </c>
      <c r="W209" s="474">
        <f t="shared" si="94"/>
        <v>0</v>
      </c>
      <c r="X209" s="475">
        <f t="shared" si="95"/>
        <v>0</v>
      </c>
      <c r="Y209" s="475">
        <v>0</v>
      </c>
      <c r="Z209" s="476">
        <v>0</v>
      </c>
      <c r="AA209" s="38">
        <f t="shared" si="103"/>
        <v>0</v>
      </c>
      <c r="AB209" s="692">
        <f t="shared" si="96"/>
        <v>98679.98000000001</v>
      </c>
      <c r="AC209" s="692">
        <f t="shared" si="97"/>
        <v>0</v>
      </c>
      <c r="AD209" s="692">
        <f t="shared" si="98"/>
        <v>0</v>
      </c>
      <c r="AE209" s="38"/>
      <c r="AF209" s="692">
        <f t="shared" si="99"/>
        <v>30000</v>
      </c>
      <c r="AG209" s="692">
        <f t="shared" si="100"/>
        <v>0</v>
      </c>
      <c r="AH209" s="692">
        <f t="shared" si="101"/>
        <v>0</v>
      </c>
    </row>
    <row r="210" spans="1:34" s="232" customFormat="1">
      <c r="A210" s="403"/>
      <c r="B210" s="403" t="s">
        <v>110</v>
      </c>
      <c r="C210" s="666"/>
      <c r="D210" s="123" t="s">
        <v>378</v>
      </c>
      <c r="E210" s="679"/>
      <c r="F210" s="529" t="str">
        <f>VLOOKUP(D210,'Q4 DMV -  Revenue'!D:T,17,FALSE)</f>
        <v/>
      </c>
      <c r="G210" s="680"/>
      <c r="H210" s="680"/>
      <c r="I210" s="681"/>
      <c r="J210" s="682">
        <f t="shared" si="104"/>
        <v>0</v>
      </c>
      <c r="K210" s="683"/>
      <c r="L210" s="684"/>
      <c r="M210" s="753">
        <v>0</v>
      </c>
      <c r="N210" s="683">
        <v>0</v>
      </c>
      <c r="O210" s="686"/>
      <c r="P210" s="683">
        <v>0</v>
      </c>
      <c r="Q210" s="687">
        <f t="shared" si="119"/>
        <v>0</v>
      </c>
      <c r="R210" s="688"/>
      <c r="S210" s="693"/>
      <c r="T210" s="690" t="str">
        <f t="shared" si="105"/>
        <v/>
      </c>
      <c r="U210" s="683"/>
      <c r="V210" s="474">
        <f t="shared" si="102"/>
        <v>0</v>
      </c>
      <c r="W210" s="474">
        <f t="shared" si="94"/>
        <v>0</v>
      </c>
      <c r="X210" s="475">
        <f t="shared" si="95"/>
        <v>0</v>
      </c>
      <c r="Y210" s="475">
        <v>0</v>
      </c>
      <c r="Z210" s="476">
        <v>0</v>
      </c>
      <c r="AA210" s="38">
        <f t="shared" si="103"/>
        <v>0</v>
      </c>
      <c r="AB210" s="692">
        <f t="shared" si="96"/>
        <v>0</v>
      </c>
      <c r="AC210" s="692">
        <f t="shared" si="97"/>
        <v>0</v>
      </c>
      <c r="AD210" s="692">
        <f t="shared" si="98"/>
        <v>0</v>
      </c>
      <c r="AE210" s="38"/>
      <c r="AF210" s="692">
        <f t="shared" si="99"/>
        <v>0</v>
      </c>
      <c r="AG210" s="692">
        <f t="shared" si="100"/>
        <v>0</v>
      </c>
      <c r="AH210" s="692">
        <f t="shared" si="101"/>
        <v>0</v>
      </c>
    </row>
    <row r="211" spans="1:34" s="232" customFormat="1">
      <c r="A211" s="403"/>
      <c r="B211" s="403" t="s">
        <v>110</v>
      </c>
      <c r="C211" s="666" t="s">
        <v>568</v>
      </c>
      <c r="D211" s="123" t="s">
        <v>303</v>
      </c>
      <c r="E211" s="679"/>
      <c r="F211" s="529" t="str">
        <f>VLOOKUP(D211,'Q4 DMV -  Revenue'!D:T,17,FALSE)</f>
        <v/>
      </c>
      <c r="G211" s="694">
        <v>102836.63</v>
      </c>
      <c r="H211" s="694">
        <v>99147.64</v>
      </c>
      <c r="I211" s="681"/>
      <c r="J211" s="682">
        <f t="shared" si="104"/>
        <v>201984.27000000002</v>
      </c>
      <c r="K211" s="683"/>
      <c r="L211" s="684"/>
      <c r="M211" s="753">
        <v>100000</v>
      </c>
      <c r="N211" s="683">
        <v>0</v>
      </c>
      <c r="O211" s="686"/>
      <c r="P211" s="683">
        <v>0</v>
      </c>
      <c r="Q211" s="687">
        <f t="shared" si="119"/>
        <v>100000</v>
      </c>
      <c r="R211" s="688">
        <v>98257.56</v>
      </c>
      <c r="S211" s="693"/>
      <c r="T211" s="690">
        <f t="shared" si="105"/>
        <v>-1742.4400000000023</v>
      </c>
      <c r="U211" s="683"/>
      <c r="V211" s="474">
        <f t="shared" si="102"/>
        <v>100000</v>
      </c>
      <c r="W211" s="474">
        <f t="shared" si="94"/>
        <v>0</v>
      </c>
      <c r="X211" s="475">
        <f t="shared" si="95"/>
        <v>0</v>
      </c>
      <c r="Y211" s="475">
        <v>0</v>
      </c>
      <c r="Z211" s="476">
        <v>0</v>
      </c>
      <c r="AA211" s="38">
        <f t="shared" si="103"/>
        <v>0</v>
      </c>
      <c r="AB211" s="692">
        <f t="shared" si="96"/>
        <v>201984.27000000002</v>
      </c>
      <c r="AC211" s="692">
        <f t="shared" si="97"/>
        <v>0</v>
      </c>
      <c r="AD211" s="692">
        <f t="shared" si="98"/>
        <v>0</v>
      </c>
      <c r="AE211" s="38"/>
      <c r="AF211" s="692">
        <f t="shared" si="99"/>
        <v>100000</v>
      </c>
      <c r="AG211" s="692">
        <f t="shared" si="100"/>
        <v>0</v>
      </c>
      <c r="AH211" s="692">
        <f t="shared" si="101"/>
        <v>0</v>
      </c>
    </row>
    <row r="212" spans="1:34" s="232" customFormat="1">
      <c r="A212" s="403"/>
      <c r="B212" s="403" t="s">
        <v>110</v>
      </c>
      <c r="C212" s="666"/>
      <c r="D212" s="123" t="s">
        <v>206</v>
      </c>
      <c r="E212" s="679"/>
      <c r="F212" s="529" t="str">
        <f>VLOOKUP(D212,'Q4 DMV -  Revenue'!D:T,17,FALSE)</f>
        <v/>
      </c>
      <c r="G212" s="680"/>
      <c r="H212" s="680"/>
      <c r="I212" s="681"/>
      <c r="J212" s="682">
        <f t="shared" si="104"/>
        <v>0</v>
      </c>
      <c r="K212" s="683"/>
      <c r="L212" s="684"/>
      <c r="M212" s="753">
        <v>0</v>
      </c>
      <c r="N212" s="683">
        <v>0</v>
      </c>
      <c r="O212" s="686"/>
      <c r="P212" s="683">
        <v>0</v>
      </c>
      <c r="Q212" s="687">
        <f t="shared" si="119"/>
        <v>0</v>
      </c>
      <c r="R212" s="688"/>
      <c r="S212" s="693"/>
      <c r="T212" s="690" t="str">
        <f t="shared" si="105"/>
        <v/>
      </c>
      <c r="U212" s="683"/>
      <c r="V212" s="474">
        <f t="shared" si="102"/>
        <v>0</v>
      </c>
      <c r="W212" s="474">
        <f t="shared" si="94"/>
        <v>0</v>
      </c>
      <c r="X212" s="475">
        <f t="shared" si="95"/>
        <v>0</v>
      </c>
      <c r="Y212" s="475">
        <v>0</v>
      </c>
      <c r="Z212" s="476">
        <v>0</v>
      </c>
      <c r="AA212" s="38">
        <f t="shared" si="103"/>
        <v>0</v>
      </c>
      <c r="AB212" s="692">
        <f t="shared" si="96"/>
        <v>0</v>
      </c>
      <c r="AC212" s="692">
        <f t="shared" si="97"/>
        <v>0</v>
      </c>
      <c r="AD212" s="692">
        <f t="shared" si="98"/>
        <v>0</v>
      </c>
      <c r="AE212" s="38"/>
      <c r="AF212" s="692">
        <f t="shared" si="99"/>
        <v>0</v>
      </c>
      <c r="AG212" s="692">
        <f t="shared" si="100"/>
        <v>0</v>
      </c>
      <c r="AH212" s="692">
        <f t="shared" si="101"/>
        <v>0</v>
      </c>
    </row>
    <row r="213" spans="1:34" s="232" customFormat="1">
      <c r="A213" s="403"/>
      <c r="B213" s="403" t="s">
        <v>109</v>
      </c>
      <c r="C213" s="666" t="s">
        <v>569</v>
      </c>
      <c r="D213" s="123" t="s">
        <v>468</v>
      </c>
      <c r="E213" s="679"/>
      <c r="F213" s="529" t="str">
        <f>VLOOKUP(D213,'Q4 DMV -  Revenue'!D:T,17,FALSE)</f>
        <v/>
      </c>
      <c r="G213" s="694">
        <v>34694.9</v>
      </c>
      <c r="H213" s="694">
        <v>34456.339999999997</v>
      </c>
      <c r="I213" s="681"/>
      <c r="J213" s="682">
        <f t="shared" si="104"/>
        <v>69151.239999999991</v>
      </c>
      <c r="K213" s="683"/>
      <c r="L213" s="684"/>
      <c r="M213" s="753">
        <v>35000</v>
      </c>
      <c r="N213" s="683">
        <v>0</v>
      </c>
      <c r="O213" s="686"/>
      <c r="P213" s="683">
        <v>0</v>
      </c>
      <c r="Q213" s="687">
        <f t="shared" si="119"/>
        <v>35000</v>
      </c>
      <c r="R213" s="688">
        <v>31575.53</v>
      </c>
      <c r="S213" s="693"/>
      <c r="T213" s="690">
        <f t="shared" si="105"/>
        <v>-3424.4700000000012</v>
      </c>
      <c r="U213" s="683"/>
      <c r="V213" s="474">
        <f t="shared" si="102"/>
        <v>0</v>
      </c>
      <c r="W213" s="474">
        <f t="shared" si="94"/>
        <v>35000</v>
      </c>
      <c r="X213" s="475">
        <f t="shared" si="95"/>
        <v>0</v>
      </c>
      <c r="Y213" s="475">
        <v>0</v>
      </c>
      <c r="Z213" s="476">
        <v>0</v>
      </c>
      <c r="AA213" s="38">
        <f t="shared" si="103"/>
        <v>0</v>
      </c>
      <c r="AB213" s="692">
        <f t="shared" si="96"/>
        <v>0</v>
      </c>
      <c r="AC213" s="692">
        <f t="shared" si="97"/>
        <v>69151.239999999991</v>
      </c>
      <c r="AD213" s="692">
        <f t="shared" si="98"/>
        <v>0</v>
      </c>
      <c r="AE213" s="38"/>
      <c r="AF213" s="692">
        <f t="shared" si="99"/>
        <v>0</v>
      </c>
      <c r="AG213" s="692">
        <f t="shared" si="100"/>
        <v>35000</v>
      </c>
      <c r="AH213" s="692">
        <f t="shared" si="101"/>
        <v>0</v>
      </c>
    </row>
    <row r="214" spans="1:34" s="232" customFormat="1">
      <c r="A214" s="403"/>
      <c r="B214" s="403" t="s">
        <v>114</v>
      </c>
      <c r="C214" s="666"/>
      <c r="D214" s="123" t="s">
        <v>241</v>
      </c>
      <c r="E214" s="679"/>
      <c r="F214" s="529">
        <f>VLOOKUP(D214,'Q4 DMV -  Revenue'!D:T,17,FALSE)</f>
        <v>0</v>
      </c>
      <c r="G214" s="680"/>
      <c r="H214" s="680"/>
      <c r="I214" s="681"/>
      <c r="J214" s="682">
        <f t="shared" si="104"/>
        <v>0</v>
      </c>
      <c r="K214" s="683"/>
      <c r="L214" s="684"/>
      <c r="M214" s="753">
        <v>0</v>
      </c>
      <c r="N214" s="683">
        <v>0</v>
      </c>
      <c r="O214" s="686"/>
      <c r="P214" s="683">
        <v>0</v>
      </c>
      <c r="Q214" s="687">
        <f t="shared" si="119"/>
        <v>0</v>
      </c>
      <c r="R214" s="688"/>
      <c r="S214" s="693"/>
      <c r="T214" s="690" t="str">
        <f t="shared" si="105"/>
        <v/>
      </c>
      <c r="U214" s="683"/>
      <c r="V214" s="474">
        <f t="shared" si="102"/>
        <v>0</v>
      </c>
      <c r="W214" s="474">
        <f t="shared" si="94"/>
        <v>0</v>
      </c>
      <c r="X214" s="475">
        <f t="shared" si="95"/>
        <v>0</v>
      </c>
      <c r="Y214" s="475">
        <v>0</v>
      </c>
      <c r="Z214" s="476">
        <v>0</v>
      </c>
      <c r="AA214" s="38">
        <f t="shared" si="103"/>
        <v>0</v>
      </c>
      <c r="AB214" s="692">
        <f t="shared" si="96"/>
        <v>0</v>
      </c>
      <c r="AC214" s="692">
        <f t="shared" si="97"/>
        <v>0</v>
      </c>
      <c r="AD214" s="692">
        <f t="shared" si="98"/>
        <v>0</v>
      </c>
      <c r="AE214" s="38"/>
      <c r="AF214" s="692">
        <f t="shared" si="99"/>
        <v>0</v>
      </c>
      <c r="AG214" s="692">
        <f t="shared" si="100"/>
        <v>0</v>
      </c>
      <c r="AH214" s="692">
        <f t="shared" si="101"/>
        <v>0</v>
      </c>
    </row>
    <row r="215" spans="1:34">
      <c r="A215" s="20"/>
      <c r="B215" s="20" t="s">
        <v>109</v>
      </c>
      <c r="C215" s="667" t="s">
        <v>570</v>
      </c>
      <c r="D215" s="68" t="s">
        <v>41</v>
      </c>
      <c r="E215" s="679">
        <v>20846.89</v>
      </c>
      <c r="F215" s="529" t="str">
        <f>VLOOKUP(D215,'Q4 DMV -  Revenue'!D:T,17,FALSE)</f>
        <v/>
      </c>
      <c r="G215" s="680"/>
      <c r="H215" s="680"/>
      <c r="I215" s="681"/>
      <c r="J215" s="682">
        <f t="shared" si="104"/>
        <v>20846.89</v>
      </c>
      <c r="K215" s="683"/>
      <c r="L215" s="684"/>
      <c r="M215" s="753">
        <v>0</v>
      </c>
      <c r="N215" s="683">
        <v>0</v>
      </c>
      <c r="O215" s="686"/>
      <c r="P215" s="683">
        <v>0</v>
      </c>
      <c r="Q215" s="687">
        <f t="shared" si="119"/>
        <v>0</v>
      </c>
      <c r="R215" s="688"/>
      <c r="S215" s="693"/>
      <c r="T215" s="690" t="str">
        <f t="shared" si="105"/>
        <v/>
      </c>
      <c r="U215" s="683"/>
      <c r="V215" s="474">
        <f t="shared" si="102"/>
        <v>0</v>
      </c>
      <c r="W215" s="474">
        <f t="shared" si="94"/>
        <v>0</v>
      </c>
      <c r="X215" s="475">
        <f t="shared" si="95"/>
        <v>0</v>
      </c>
      <c r="Y215" s="475">
        <v>0</v>
      </c>
      <c r="Z215" s="476">
        <v>0</v>
      </c>
      <c r="AA215" s="38">
        <f t="shared" si="103"/>
        <v>0</v>
      </c>
      <c r="AB215" s="692">
        <f t="shared" si="96"/>
        <v>0</v>
      </c>
      <c r="AC215" s="692">
        <f t="shared" si="97"/>
        <v>20846.89</v>
      </c>
      <c r="AD215" s="692">
        <f t="shared" si="98"/>
        <v>0</v>
      </c>
      <c r="AE215" s="38"/>
      <c r="AF215" s="692">
        <f t="shared" si="99"/>
        <v>0</v>
      </c>
      <c r="AG215" s="692">
        <f t="shared" si="100"/>
        <v>0</v>
      </c>
      <c r="AH215" s="692">
        <f t="shared" si="101"/>
        <v>0</v>
      </c>
    </row>
    <row r="216" spans="1:34">
      <c r="A216" s="20"/>
      <c r="B216" s="20" t="s">
        <v>109</v>
      </c>
      <c r="C216" s="667" t="s">
        <v>570</v>
      </c>
      <c r="D216" s="68" t="s">
        <v>221</v>
      </c>
      <c r="E216" s="679">
        <v>295.27999999999997</v>
      </c>
      <c r="F216" s="529" t="str">
        <f>VLOOKUP(D216,'Q4 DMV -  Revenue'!D:T,17,FALSE)</f>
        <v/>
      </c>
      <c r="G216" s="680"/>
      <c r="H216" s="680"/>
      <c r="I216" s="681"/>
      <c r="J216" s="682">
        <f t="shared" si="104"/>
        <v>295.27999999999997</v>
      </c>
      <c r="K216" s="683"/>
      <c r="L216" s="684"/>
      <c r="M216" s="753">
        <v>0</v>
      </c>
      <c r="N216" s="683">
        <v>0</v>
      </c>
      <c r="O216" s="686"/>
      <c r="P216" s="683">
        <v>0</v>
      </c>
      <c r="Q216" s="687">
        <f t="shared" si="119"/>
        <v>0</v>
      </c>
      <c r="R216" s="688"/>
      <c r="S216" s="693"/>
      <c r="T216" s="690" t="str">
        <f t="shared" si="105"/>
        <v/>
      </c>
      <c r="U216" s="683"/>
      <c r="V216" s="474">
        <f t="shared" si="102"/>
        <v>0</v>
      </c>
      <c r="W216" s="474">
        <f t="shared" si="94"/>
        <v>0</v>
      </c>
      <c r="X216" s="475">
        <f t="shared" si="95"/>
        <v>0</v>
      </c>
      <c r="Y216" s="475">
        <v>0</v>
      </c>
      <c r="Z216" s="476">
        <v>0</v>
      </c>
      <c r="AA216" s="38">
        <f t="shared" si="103"/>
        <v>0</v>
      </c>
      <c r="AB216" s="692">
        <f t="shared" si="96"/>
        <v>0</v>
      </c>
      <c r="AC216" s="692">
        <f t="shared" si="97"/>
        <v>295.27999999999997</v>
      </c>
      <c r="AD216" s="692">
        <f t="shared" si="98"/>
        <v>0</v>
      </c>
      <c r="AE216" s="38"/>
      <c r="AF216" s="692">
        <f t="shared" si="99"/>
        <v>0</v>
      </c>
      <c r="AG216" s="692">
        <f t="shared" si="100"/>
        <v>0</v>
      </c>
      <c r="AH216" s="692">
        <f t="shared" si="101"/>
        <v>0</v>
      </c>
    </row>
    <row r="217" spans="1:34" s="146" customFormat="1">
      <c r="A217" s="21" t="s">
        <v>109</v>
      </c>
      <c r="B217" s="21" t="s">
        <v>110</v>
      </c>
      <c r="C217" s="666"/>
      <c r="D217" s="68" t="s">
        <v>98</v>
      </c>
      <c r="E217" s="679"/>
      <c r="F217" s="529" t="str">
        <f>VLOOKUP(D217,'Q4 DMV -  Revenue'!D:T,17,FALSE)</f>
        <v/>
      </c>
      <c r="G217" s="680"/>
      <c r="H217" s="680"/>
      <c r="I217" s="681"/>
      <c r="J217" s="682">
        <f t="shared" si="104"/>
        <v>0</v>
      </c>
      <c r="K217" s="683"/>
      <c r="L217" s="684"/>
      <c r="M217" s="753">
        <v>0</v>
      </c>
      <c r="N217" s="683">
        <v>0</v>
      </c>
      <c r="O217" s="686"/>
      <c r="P217" s="683">
        <v>0</v>
      </c>
      <c r="Q217" s="687">
        <f t="shared" si="119"/>
        <v>0</v>
      </c>
      <c r="R217" s="688"/>
      <c r="S217" s="693"/>
      <c r="T217" s="690" t="str">
        <f t="shared" si="105"/>
        <v/>
      </c>
      <c r="U217" s="683"/>
      <c r="V217" s="474">
        <f t="shared" si="102"/>
        <v>0</v>
      </c>
      <c r="W217" s="474">
        <f t="shared" si="94"/>
        <v>0</v>
      </c>
      <c r="X217" s="475">
        <f t="shared" si="95"/>
        <v>0</v>
      </c>
      <c r="Y217" s="475">
        <v>0</v>
      </c>
      <c r="Z217" s="476">
        <v>0</v>
      </c>
      <c r="AA217" s="38">
        <f t="shared" si="103"/>
        <v>0</v>
      </c>
      <c r="AB217" s="692">
        <f t="shared" si="96"/>
        <v>0</v>
      </c>
      <c r="AC217" s="692">
        <f t="shared" si="97"/>
        <v>0</v>
      </c>
      <c r="AD217" s="692">
        <f t="shared" si="98"/>
        <v>0</v>
      </c>
      <c r="AE217" s="38"/>
      <c r="AF217" s="692">
        <f t="shared" si="99"/>
        <v>0</v>
      </c>
      <c r="AG217" s="692">
        <f t="shared" si="100"/>
        <v>0</v>
      </c>
      <c r="AH217" s="692">
        <f t="shared" si="101"/>
        <v>0</v>
      </c>
    </row>
    <row r="218" spans="1:34">
      <c r="A218" s="20"/>
      <c r="B218" s="20" t="s">
        <v>110</v>
      </c>
      <c r="C218" s="667"/>
      <c r="D218" s="68" t="s">
        <v>508</v>
      </c>
      <c r="E218" s="679"/>
      <c r="F218" s="529">
        <f>VLOOKUP(D218,'Q4 DMV -  Revenue'!D:T,17,FALSE)</f>
        <v>10</v>
      </c>
      <c r="G218" s="680"/>
      <c r="H218" s="680"/>
      <c r="I218" s="681"/>
      <c r="J218" s="682">
        <f t="shared" ref="J218" si="123">SUM(E218:I218)</f>
        <v>10</v>
      </c>
      <c r="K218" s="683"/>
      <c r="L218" s="684"/>
      <c r="M218" s="753">
        <v>0</v>
      </c>
      <c r="N218" s="683">
        <v>0</v>
      </c>
      <c r="O218" s="686"/>
      <c r="P218" s="683">
        <v>0</v>
      </c>
      <c r="Q218" s="687">
        <f t="shared" si="119"/>
        <v>0</v>
      </c>
      <c r="R218" s="688"/>
      <c r="S218" s="693"/>
      <c r="T218" s="690" t="str">
        <f t="shared" si="105"/>
        <v/>
      </c>
      <c r="U218" s="683"/>
      <c r="V218" s="474">
        <f t="shared" si="102"/>
        <v>0</v>
      </c>
      <c r="W218" s="474">
        <f t="shared" si="94"/>
        <v>0</v>
      </c>
      <c r="X218" s="475">
        <f t="shared" si="95"/>
        <v>0</v>
      </c>
      <c r="Y218" s="475">
        <v>0</v>
      </c>
      <c r="Z218" s="476">
        <v>0</v>
      </c>
      <c r="AA218" s="38">
        <f t="shared" si="103"/>
        <v>0</v>
      </c>
      <c r="AB218" s="692">
        <f t="shared" si="96"/>
        <v>10</v>
      </c>
      <c r="AC218" s="692">
        <f t="shared" si="97"/>
        <v>0</v>
      </c>
      <c r="AD218" s="692">
        <f t="shared" si="98"/>
        <v>0</v>
      </c>
      <c r="AE218" s="38"/>
      <c r="AF218" s="692">
        <f t="shared" si="99"/>
        <v>0</v>
      </c>
      <c r="AG218" s="692">
        <f t="shared" si="100"/>
        <v>0</v>
      </c>
      <c r="AH218" s="692">
        <f t="shared" si="101"/>
        <v>0</v>
      </c>
    </row>
    <row r="219" spans="1:34">
      <c r="A219" s="21"/>
      <c r="B219" s="21" t="s">
        <v>110</v>
      </c>
      <c r="C219" s="666"/>
      <c r="D219" s="68" t="s">
        <v>43</v>
      </c>
      <c r="E219" s="679"/>
      <c r="F219" s="529">
        <f>VLOOKUP(D219,'Q4 DMV -  Revenue'!D:T,17,FALSE)</f>
        <v>-285.14999999999998</v>
      </c>
      <c r="G219" s="694">
        <v>695.76</v>
      </c>
      <c r="H219" s="694">
        <v>450.02</v>
      </c>
      <c r="I219" s="741">
        <f>174+6921.6</f>
        <v>7095.6</v>
      </c>
      <c r="J219" s="682">
        <f t="shared" si="104"/>
        <v>7956.2300000000005</v>
      </c>
      <c r="K219" s="683"/>
      <c r="L219" s="684"/>
      <c r="M219" s="753">
        <v>0</v>
      </c>
      <c r="N219" s="683">
        <v>0</v>
      </c>
      <c r="O219" s="686"/>
      <c r="P219" s="683">
        <v>0</v>
      </c>
      <c r="Q219" s="687">
        <f t="shared" si="119"/>
        <v>0</v>
      </c>
      <c r="R219" s="688">
        <v>912.41</v>
      </c>
      <c r="S219" s="693"/>
      <c r="T219" s="690">
        <f t="shared" si="105"/>
        <v>912.41</v>
      </c>
      <c r="U219" s="683"/>
      <c r="V219" s="474">
        <f t="shared" si="102"/>
        <v>0</v>
      </c>
      <c r="W219" s="474">
        <f t="shared" si="94"/>
        <v>0</v>
      </c>
      <c r="X219" s="475">
        <f t="shared" si="95"/>
        <v>0</v>
      </c>
      <c r="Y219" s="475">
        <v>0</v>
      </c>
      <c r="Z219" s="476">
        <v>0</v>
      </c>
      <c r="AA219" s="38">
        <f t="shared" si="103"/>
        <v>0</v>
      </c>
      <c r="AB219" s="692">
        <f t="shared" si="96"/>
        <v>7956.2300000000005</v>
      </c>
      <c r="AC219" s="692">
        <f t="shared" si="97"/>
        <v>0</v>
      </c>
      <c r="AD219" s="692">
        <f t="shared" si="98"/>
        <v>0</v>
      </c>
      <c r="AE219" s="38"/>
      <c r="AF219" s="692">
        <f t="shared" si="99"/>
        <v>0</v>
      </c>
      <c r="AG219" s="692">
        <f t="shared" si="100"/>
        <v>0</v>
      </c>
      <c r="AH219" s="692">
        <f t="shared" si="101"/>
        <v>0</v>
      </c>
    </row>
    <row r="220" spans="1:34">
      <c r="A220" s="21"/>
      <c r="B220" s="21" t="s">
        <v>109</v>
      </c>
      <c r="C220" s="666" t="s">
        <v>571</v>
      </c>
      <c r="D220" s="68" t="s">
        <v>44</v>
      </c>
      <c r="E220" s="679"/>
      <c r="F220" s="529" t="str">
        <f>VLOOKUP(D220,'Q4 DMV -  Revenue'!D:T,17,FALSE)</f>
        <v/>
      </c>
      <c r="G220" s="694">
        <f>502.8+8775.6</f>
        <v>9278.4</v>
      </c>
      <c r="H220" s="694">
        <v>8547.6</v>
      </c>
      <c r="I220" s="741">
        <f>1.8+298.8</f>
        <v>300.60000000000002</v>
      </c>
      <c r="J220" s="682">
        <f t="shared" si="104"/>
        <v>18126.599999999999</v>
      </c>
      <c r="K220" s="683"/>
      <c r="L220" s="684"/>
      <c r="M220" s="753">
        <v>0</v>
      </c>
      <c r="N220" s="683">
        <v>0</v>
      </c>
      <c r="O220" s="686"/>
      <c r="P220" s="683">
        <v>0</v>
      </c>
      <c r="Q220" s="687">
        <f t="shared" si="119"/>
        <v>0</v>
      </c>
      <c r="R220" s="688"/>
      <c r="S220" s="693"/>
      <c r="T220" s="690" t="str">
        <f t="shared" si="105"/>
        <v/>
      </c>
      <c r="U220" s="683"/>
      <c r="V220" s="474">
        <f t="shared" si="102"/>
        <v>0</v>
      </c>
      <c r="W220" s="474">
        <f t="shared" si="94"/>
        <v>0</v>
      </c>
      <c r="X220" s="475">
        <f t="shared" si="95"/>
        <v>0</v>
      </c>
      <c r="Y220" s="475">
        <v>0</v>
      </c>
      <c r="Z220" s="476">
        <v>0</v>
      </c>
      <c r="AA220" s="38">
        <f t="shared" si="103"/>
        <v>0</v>
      </c>
      <c r="AB220" s="692">
        <f t="shared" si="96"/>
        <v>0</v>
      </c>
      <c r="AC220" s="692">
        <f t="shared" si="97"/>
        <v>18126.599999999999</v>
      </c>
      <c r="AD220" s="692">
        <f t="shared" si="98"/>
        <v>0</v>
      </c>
      <c r="AE220" s="38"/>
      <c r="AF220" s="692">
        <f t="shared" si="99"/>
        <v>0</v>
      </c>
      <c r="AG220" s="692">
        <f t="shared" si="100"/>
        <v>0</v>
      </c>
      <c r="AH220" s="692">
        <f t="shared" si="101"/>
        <v>0</v>
      </c>
    </row>
    <row r="221" spans="1:34">
      <c r="A221" s="21"/>
      <c r="B221" s="21" t="s">
        <v>114</v>
      </c>
      <c r="C221" s="666" t="s">
        <v>571</v>
      </c>
      <c r="D221" s="68" t="s">
        <v>44</v>
      </c>
      <c r="E221" s="679"/>
      <c r="F221" s="529" t="str">
        <f>VLOOKUP(D221,'Q4 DMV -  Revenue'!D:T,17,FALSE)</f>
        <v/>
      </c>
      <c r="G221" s="694">
        <f>8.1+436.4</f>
        <v>444.5</v>
      </c>
      <c r="H221" s="694">
        <v>313.2</v>
      </c>
      <c r="I221" s="681"/>
      <c r="J221" s="682">
        <f t="shared" ref="J221" si="124">SUM(E221:I221)</f>
        <v>757.7</v>
      </c>
      <c r="K221" s="683"/>
      <c r="L221" s="684"/>
      <c r="M221" s="753">
        <v>0</v>
      </c>
      <c r="N221" s="683">
        <v>0</v>
      </c>
      <c r="O221" s="686"/>
      <c r="P221" s="683">
        <v>0</v>
      </c>
      <c r="Q221" s="687">
        <f t="shared" si="119"/>
        <v>0</v>
      </c>
      <c r="R221" s="688"/>
      <c r="S221" s="693"/>
      <c r="T221" s="690" t="str">
        <f t="shared" si="105"/>
        <v/>
      </c>
      <c r="U221" s="683"/>
      <c r="V221" s="474">
        <f t="shared" si="102"/>
        <v>0</v>
      </c>
      <c r="W221" s="474">
        <f t="shared" ref="W221:W282" si="125">IF(B221="M",Q221,0)</f>
        <v>0</v>
      </c>
      <c r="X221" s="475">
        <f t="shared" ref="X221:X282" si="126">IF(B221="V",Q221,0)</f>
        <v>0</v>
      </c>
      <c r="Y221" s="475">
        <v>0</v>
      </c>
      <c r="Z221" s="476">
        <v>0</v>
      </c>
      <c r="AA221" s="38">
        <f t="shared" si="103"/>
        <v>0</v>
      </c>
      <c r="AB221" s="692">
        <f t="shared" ref="AB221:AB282" si="127">IF(B221="D",J221,0)</f>
        <v>0</v>
      </c>
      <c r="AC221" s="692">
        <f t="shared" ref="AC221:AC282" si="128">IF(B221="M",J221,0)</f>
        <v>0</v>
      </c>
      <c r="AD221" s="692">
        <f t="shared" ref="AD221:AD282" si="129">IF(B221="V",J221,0)</f>
        <v>757.7</v>
      </c>
      <c r="AE221" s="38"/>
      <c r="AF221" s="692">
        <f t="shared" ref="AF221:AF282" si="130">IF(B221="D",Q221,0)</f>
        <v>0</v>
      </c>
      <c r="AG221" s="692">
        <f t="shared" ref="AG221:AG282" si="131">IF(B221="M",Q221,0)</f>
        <v>0</v>
      </c>
      <c r="AH221" s="692">
        <f t="shared" ref="AH221:AH282" si="132">IF(B221="V",Q221,0)</f>
        <v>0</v>
      </c>
    </row>
    <row r="222" spans="1:34">
      <c r="A222" s="21"/>
      <c r="B222" s="21" t="s">
        <v>110</v>
      </c>
      <c r="C222" s="666" t="s">
        <v>572</v>
      </c>
      <c r="D222" s="68" t="s">
        <v>388</v>
      </c>
      <c r="E222" s="679"/>
      <c r="F222" s="529" t="str">
        <f>VLOOKUP(D222,'Q4 DMV -  Revenue'!D:T,17,FALSE)</f>
        <v/>
      </c>
      <c r="G222" s="694">
        <v>13550.99</v>
      </c>
      <c r="H222" s="680"/>
      <c r="I222" s="681"/>
      <c r="J222" s="682">
        <f t="shared" si="104"/>
        <v>13550.99</v>
      </c>
      <c r="K222" s="683"/>
      <c r="L222" s="684"/>
      <c r="M222" s="753">
        <v>25000</v>
      </c>
      <c r="N222" s="683">
        <v>0</v>
      </c>
      <c r="O222" s="686"/>
      <c r="P222" s="683">
        <v>0</v>
      </c>
      <c r="Q222" s="687">
        <f t="shared" si="119"/>
        <v>25000</v>
      </c>
      <c r="R222" s="688">
        <v>0</v>
      </c>
      <c r="S222" s="693"/>
      <c r="T222" s="690">
        <f t="shared" si="105"/>
        <v>-25000</v>
      </c>
      <c r="U222" s="683"/>
      <c r="V222" s="474">
        <f t="shared" si="102"/>
        <v>25000</v>
      </c>
      <c r="W222" s="474">
        <f t="shared" si="125"/>
        <v>0</v>
      </c>
      <c r="X222" s="475">
        <f t="shared" si="126"/>
        <v>0</v>
      </c>
      <c r="Y222" s="475">
        <v>0</v>
      </c>
      <c r="Z222" s="476">
        <v>0</v>
      </c>
      <c r="AA222" s="38">
        <f t="shared" si="103"/>
        <v>0</v>
      </c>
      <c r="AB222" s="692">
        <f t="shared" si="127"/>
        <v>13550.99</v>
      </c>
      <c r="AC222" s="692">
        <f t="shared" si="128"/>
        <v>0</v>
      </c>
      <c r="AD222" s="692">
        <f t="shared" si="129"/>
        <v>0</v>
      </c>
      <c r="AE222" s="38"/>
      <c r="AF222" s="692">
        <f t="shared" si="130"/>
        <v>25000</v>
      </c>
      <c r="AG222" s="692">
        <f t="shared" si="131"/>
        <v>0</v>
      </c>
      <c r="AH222" s="692">
        <f t="shared" si="132"/>
        <v>0</v>
      </c>
    </row>
    <row r="223" spans="1:34">
      <c r="A223" s="21"/>
      <c r="B223" s="21" t="s">
        <v>110</v>
      </c>
      <c r="C223" s="666"/>
      <c r="D223" s="68" t="s">
        <v>45</v>
      </c>
      <c r="E223" s="679"/>
      <c r="F223" s="529">
        <f>VLOOKUP(D223,'Q4 DMV -  Revenue'!D:T,17,FALSE)</f>
        <v>2025.8700000000008</v>
      </c>
      <c r="G223" s="694">
        <f>11199.21+541.9</f>
        <v>11741.109999999999</v>
      </c>
      <c r="H223" s="694">
        <f>11346.67+526.86</f>
        <v>11873.53</v>
      </c>
      <c r="I223" s="681"/>
      <c r="J223" s="682">
        <f t="shared" si="104"/>
        <v>25640.510000000002</v>
      </c>
      <c r="K223" s="683"/>
      <c r="L223" s="684"/>
      <c r="M223" s="753">
        <v>11000</v>
      </c>
      <c r="N223" s="683">
        <v>0</v>
      </c>
      <c r="O223" s="686"/>
      <c r="P223" s="683">
        <v>0</v>
      </c>
      <c r="Q223" s="687">
        <f t="shared" si="119"/>
        <v>11000</v>
      </c>
      <c r="R223" s="688">
        <f>12383.34+550.18</f>
        <v>12933.52</v>
      </c>
      <c r="S223" s="693"/>
      <c r="T223" s="690">
        <f t="shared" si="105"/>
        <v>1933.5200000000004</v>
      </c>
      <c r="U223" s="683"/>
      <c r="V223" s="474">
        <f t="shared" ref="V223:V282" si="133">IF(B223="D",Q223,0)</f>
        <v>11000</v>
      </c>
      <c r="W223" s="474">
        <f t="shared" si="125"/>
        <v>0</v>
      </c>
      <c r="X223" s="475">
        <f t="shared" si="126"/>
        <v>0</v>
      </c>
      <c r="Y223" s="475">
        <v>0</v>
      </c>
      <c r="Z223" s="476">
        <v>0</v>
      </c>
      <c r="AA223" s="38">
        <f t="shared" ref="AA223:AA282" si="134">(L223+M223)-(V223+W223+X223+Y223+Z223)</f>
        <v>0</v>
      </c>
      <c r="AB223" s="692">
        <f t="shared" si="127"/>
        <v>25640.510000000002</v>
      </c>
      <c r="AC223" s="692">
        <f t="shared" si="128"/>
        <v>0</v>
      </c>
      <c r="AD223" s="692">
        <f t="shared" si="129"/>
        <v>0</v>
      </c>
      <c r="AE223" s="38"/>
      <c r="AF223" s="692">
        <f t="shared" si="130"/>
        <v>11000</v>
      </c>
      <c r="AG223" s="692">
        <f t="shared" si="131"/>
        <v>0</v>
      </c>
      <c r="AH223" s="692">
        <f t="shared" si="132"/>
        <v>0</v>
      </c>
    </row>
    <row r="224" spans="1:34">
      <c r="A224" s="20"/>
      <c r="B224" s="20" t="s">
        <v>110</v>
      </c>
      <c r="C224" s="667"/>
      <c r="D224" s="68" t="s">
        <v>46</v>
      </c>
      <c r="E224" s="679"/>
      <c r="F224" s="529" t="str">
        <f>VLOOKUP(D224,'Q4 DMV -  Revenue'!D:T,17,FALSE)</f>
        <v/>
      </c>
      <c r="G224" s="680"/>
      <c r="H224" s="680"/>
      <c r="I224" s="681"/>
      <c r="J224" s="682">
        <f t="shared" si="104"/>
        <v>0</v>
      </c>
      <c r="K224" s="683"/>
      <c r="L224" s="684"/>
      <c r="M224" s="753">
        <v>0</v>
      </c>
      <c r="N224" s="683">
        <v>0</v>
      </c>
      <c r="O224" s="686"/>
      <c r="P224" s="683">
        <v>0</v>
      </c>
      <c r="Q224" s="687">
        <f t="shared" si="119"/>
        <v>0</v>
      </c>
      <c r="R224" s="688"/>
      <c r="S224" s="693"/>
      <c r="T224" s="690" t="str">
        <f t="shared" si="105"/>
        <v/>
      </c>
      <c r="U224" s="683"/>
      <c r="V224" s="474">
        <f t="shared" si="133"/>
        <v>0</v>
      </c>
      <c r="W224" s="474">
        <f t="shared" si="125"/>
        <v>0</v>
      </c>
      <c r="X224" s="475">
        <f t="shared" si="126"/>
        <v>0</v>
      </c>
      <c r="Y224" s="475">
        <v>0</v>
      </c>
      <c r="Z224" s="476">
        <v>0</v>
      </c>
      <c r="AA224" s="38">
        <f t="shared" si="134"/>
        <v>0</v>
      </c>
      <c r="AB224" s="692">
        <f t="shared" si="127"/>
        <v>0</v>
      </c>
      <c r="AC224" s="692">
        <f t="shared" si="128"/>
        <v>0</v>
      </c>
      <c r="AD224" s="692">
        <f t="shared" si="129"/>
        <v>0</v>
      </c>
      <c r="AE224" s="38"/>
      <c r="AF224" s="692">
        <f t="shared" si="130"/>
        <v>0</v>
      </c>
      <c r="AG224" s="692">
        <f t="shared" si="131"/>
        <v>0</v>
      </c>
      <c r="AH224" s="692">
        <f t="shared" si="132"/>
        <v>0</v>
      </c>
    </row>
    <row r="225" spans="1:34">
      <c r="A225" s="21"/>
      <c r="B225" s="21" t="s">
        <v>109</v>
      </c>
      <c r="C225" s="666"/>
      <c r="D225" s="68" t="s">
        <v>47</v>
      </c>
      <c r="E225" s="679"/>
      <c r="F225" s="529" t="str">
        <f>VLOOKUP(D225,'Q4 DMV -  Revenue'!D:T,17,FALSE)</f>
        <v/>
      </c>
      <c r="G225" s="680"/>
      <c r="H225" s="680"/>
      <c r="I225" s="681"/>
      <c r="J225" s="682">
        <f t="shared" si="104"/>
        <v>0</v>
      </c>
      <c r="K225" s="683"/>
      <c r="L225" s="684"/>
      <c r="M225" s="753">
        <v>0</v>
      </c>
      <c r="N225" s="683">
        <v>0</v>
      </c>
      <c r="O225" s="686"/>
      <c r="P225" s="683">
        <v>0</v>
      </c>
      <c r="Q225" s="687">
        <f t="shared" si="119"/>
        <v>0</v>
      </c>
      <c r="R225" s="688"/>
      <c r="S225" s="693"/>
      <c r="T225" s="690" t="str">
        <f t="shared" si="105"/>
        <v/>
      </c>
      <c r="U225" s="683"/>
      <c r="V225" s="474">
        <f t="shared" si="133"/>
        <v>0</v>
      </c>
      <c r="W225" s="474">
        <f t="shared" si="125"/>
        <v>0</v>
      </c>
      <c r="X225" s="475">
        <f t="shared" si="126"/>
        <v>0</v>
      </c>
      <c r="Y225" s="475">
        <v>0</v>
      </c>
      <c r="Z225" s="476">
        <v>0</v>
      </c>
      <c r="AA225" s="38">
        <f t="shared" si="134"/>
        <v>0</v>
      </c>
      <c r="AB225" s="692">
        <f t="shared" si="127"/>
        <v>0</v>
      </c>
      <c r="AC225" s="692">
        <f t="shared" si="128"/>
        <v>0</v>
      </c>
      <c r="AD225" s="692">
        <f t="shared" si="129"/>
        <v>0</v>
      </c>
      <c r="AE225" s="38"/>
      <c r="AF225" s="692">
        <f t="shared" si="130"/>
        <v>0</v>
      </c>
      <c r="AG225" s="692">
        <f t="shared" si="131"/>
        <v>0</v>
      </c>
      <c r="AH225" s="692">
        <f t="shared" si="132"/>
        <v>0</v>
      </c>
    </row>
    <row r="226" spans="1:34">
      <c r="A226" s="20" t="s">
        <v>211</v>
      </c>
      <c r="B226" s="20" t="s">
        <v>110</v>
      </c>
      <c r="C226" s="667"/>
      <c r="D226" s="68" t="s">
        <v>233</v>
      </c>
      <c r="E226" s="679"/>
      <c r="F226" s="529" t="str">
        <f>VLOOKUP(D226,'Q4 DMV -  Revenue'!D:T,17,FALSE)</f>
        <v/>
      </c>
      <c r="G226" s="680"/>
      <c r="H226" s="680"/>
      <c r="I226" s="681"/>
      <c r="J226" s="682">
        <f t="shared" si="104"/>
        <v>0</v>
      </c>
      <c r="K226" s="683"/>
      <c r="L226" s="684"/>
      <c r="M226" s="753">
        <v>0</v>
      </c>
      <c r="N226" s="683">
        <v>0</v>
      </c>
      <c r="O226" s="686"/>
      <c r="P226" s="683">
        <v>0</v>
      </c>
      <c r="Q226" s="687">
        <f t="shared" si="119"/>
        <v>0</v>
      </c>
      <c r="R226" s="688"/>
      <c r="S226" s="693"/>
      <c r="T226" s="690" t="str">
        <f t="shared" si="105"/>
        <v/>
      </c>
      <c r="U226" s="697"/>
      <c r="V226" s="474">
        <f t="shared" si="133"/>
        <v>0</v>
      </c>
      <c r="W226" s="474">
        <f t="shared" si="125"/>
        <v>0</v>
      </c>
      <c r="X226" s="475">
        <f t="shared" si="126"/>
        <v>0</v>
      </c>
      <c r="Y226" s="475">
        <v>0</v>
      </c>
      <c r="Z226" s="476">
        <v>0</v>
      </c>
      <c r="AA226" s="38">
        <f t="shared" si="134"/>
        <v>0</v>
      </c>
      <c r="AB226" s="692">
        <f t="shared" si="127"/>
        <v>0</v>
      </c>
      <c r="AC226" s="692">
        <f t="shared" si="128"/>
        <v>0</v>
      </c>
      <c r="AD226" s="692">
        <f t="shared" si="129"/>
        <v>0</v>
      </c>
      <c r="AE226" s="38"/>
      <c r="AF226" s="692">
        <f t="shared" si="130"/>
        <v>0</v>
      </c>
      <c r="AG226" s="692">
        <f t="shared" si="131"/>
        <v>0</v>
      </c>
      <c r="AH226" s="692">
        <f t="shared" si="132"/>
        <v>0</v>
      </c>
    </row>
    <row r="227" spans="1:34">
      <c r="A227" s="20" t="s">
        <v>211</v>
      </c>
      <c r="B227" s="20" t="s">
        <v>110</v>
      </c>
      <c r="C227" s="667"/>
      <c r="D227" s="68" t="s">
        <v>503</v>
      </c>
      <c r="E227" s="679"/>
      <c r="F227" s="529" t="str">
        <f>VLOOKUP(D227,'Q4 DMV -  Revenue'!D:T,17,FALSE)</f>
        <v/>
      </c>
      <c r="G227" s="680"/>
      <c r="H227" s="680"/>
      <c r="I227" s="681"/>
      <c r="J227" s="682">
        <f t="shared" ref="J227" si="135">SUM(E227:I227)</f>
        <v>0</v>
      </c>
      <c r="K227" s="683"/>
      <c r="L227" s="684"/>
      <c r="M227" s="753">
        <v>0</v>
      </c>
      <c r="N227" s="683">
        <v>0</v>
      </c>
      <c r="O227" s="686"/>
      <c r="P227" s="683">
        <v>0</v>
      </c>
      <c r="Q227" s="687">
        <f t="shared" si="119"/>
        <v>0</v>
      </c>
      <c r="R227" s="688"/>
      <c r="S227" s="693"/>
      <c r="T227" s="690" t="str">
        <f t="shared" si="105"/>
        <v/>
      </c>
      <c r="U227" s="697"/>
      <c r="V227" s="474">
        <f t="shared" si="133"/>
        <v>0</v>
      </c>
      <c r="W227" s="474">
        <f t="shared" si="125"/>
        <v>0</v>
      </c>
      <c r="X227" s="475">
        <f t="shared" si="126"/>
        <v>0</v>
      </c>
      <c r="Y227" s="475">
        <v>0</v>
      </c>
      <c r="Z227" s="476">
        <v>0</v>
      </c>
      <c r="AA227" s="38">
        <f t="shared" si="134"/>
        <v>0</v>
      </c>
      <c r="AB227" s="692">
        <f t="shared" si="127"/>
        <v>0</v>
      </c>
      <c r="AC227" s="692">
        <f t="shared" si="128"/>
        <v>0</v>
      </c>
      <c r="AD227" s="692">
        <f t="shared" si="129"/>
        <v>0</v>
      </c>
      <c r="AE227" s="38"/>
      <c r="AF227" s="692">
        <f t="shared" si="130"/>
        <v>0</v>
      </c>
      <c r="AG227" s="692">
        <f t="shared" si="131"/>
        <v>0</v>
      </c>
      <c r="AH227" s="692">
        <f t="shared" si="132"/>
        <v>0</v>
      </c>
    </row>
    <row r="228" spans="1:34">
      <c r="A228" s="20" t="s">
        <v>211</v>
      </c>
      <c r="B228" s="20" t="s">
        <v>109</v>
      </c>
      <c r="C228" s="667"/>
      <c r="D228" s="68" t="s">
        <v>48</v>
      </c>
      <c r="E228" s="679"/>
      <c r="F228" s="529" t="str">
        <f>VLOOKUP(D228,'Q4 DMV -  Revenue'!D:T,17,FALSE)</f>
        <v/>
      </c>
      <c r="G228" s="680"/>
      <c r="H228" s="680"/>
      <c r="I228" s="681"/>
      <c r="J228" s="682">
        <f t="shared" si="104"/>
        <v>0</v>
      </c>
      <c r="K228" s="683"/>
      <c r="L228" s="684"/>
      <c r="M228" s="753">
        <v>0</v>
      </c>
      <c r="N228" s="683">
        <v>0</v>
      </c>
      <c r="O228" s="686"/>
      <c r="P228" s="683">
        <v>0</v>
      </c>
      <c r="Q228" s="687">
        <f t="shared" si="119"/>
        <v>0</v>
      </c>
      <c r="R228" s="688"/>
      <c r="S228" s="693"/>
      <c r="T228" s="690" t="str">
        <f t="shared" si="105"/>
        <v/>
      </c>
      <c r="U228" s="697"/>
      <c r="V228" s="474">
        <f t="shared" si="133"/>
        <v>0</v>
      </c>
      <c r="W228" s="474">
        <f t="shared" si="125"/>
        <v>0</v>
      </c>
      <c r="X228" s="475">
        <f t="shared" si="126"/>
        <v>0</v>
      </c>
      <c r="Y228" s="475">
        <v>0</v>
      </c>
      <c r="Z228" s="476">
        <v>0</v>
      </c>
      <c r="AA228" s="38">
        <f t="shared" si="134"/>
        <v>0</v>
      </c>
      <c r="AB228" s="692">
        <f t="shared" si="127"/>
        <v>0</v>
      </c>
      <c r="AC228" s="692">
        <f t="shared" si="128"/>
        <v>0</v>
      </c>
      <c r="AD228" s="692">
        <f t="shared" si="129"/>
        <v>0</v>
      </c>
      <c r="AE228" s="38"/>
      <c r="AF228" s="692">
        <f t="shared" si="130"/>
        <v>0</v>
      </c>
      <c r="AG228" s="692">
        <f t="shared" si="131"/>
        <v>0</v>
      </c>
      <c r="AH228" s="692">
        <f t="shared" si="132"/>
        <v>0</v>
      </c>
    </row>
    <row r="229" spans="1:34">
      <c r="A229" s="20"/>
      <c r="B229" s="20" t="s">
        <v>110</v>
      </c>
      <c r="C229" s="667" t="s">
        <v>573</v>
      </c>
      <c r="D229" s="68" t="s">
        <v>102</v>
      </c>
      <c r="E229" s="679"/>
      <c r="F229" s="529" t="str">
        <f>VLOOKUP(D229,'Q4 DMV -  Revenue'!D:T,17,FALSE)</f>
        <v/>
      </c>
      <c r="G229" s="694">
        <f>593555.17</f>
        <v>593555.17000000004</v>
      </c>
      <c r="H229" s="694">
        <v>648401.91</v>
      </c>
      <c r="I229" s="681"/>
      <c r="J229" s="682">
        <f t="shared" si="104"/>
        <v>1241957.08</v>
      </c>
      <c r="K229" s="683"/>
      <c r="L229" s="684"/>
      <c r="M229" s="753">
        <v>625000</v>
      </c>
      <c r="N229" s="683">
        <v>0</v>
      </c>
      <c r="O229" s="686"/>
      <c r="P229" s="683">
        <v>0</v>
      </c>
      <c r="Q229" s="687">
        <f t="shared" si="119"/>
        <v>625000</v>
      </c>
      <c r="R229" s="688">
        <v>717272.56</v>
      </c>
      <c r="S229" s="693"/>
      <c r="T229" s="690">
        <f t="shared" si="105"/>
        <v>92272.560000000056</v>
      </c>
      <c r="U229" s="697"/>
      <c r="V229" s="474">
        <f t="shared" si="133"/>
        <v>625000</v>
      </c>
      <c r="W229" s="474">
        <f t="shared" si="125"/>
        <v>0</v>
      </c>
      <c r="X229" s="475">
        <f t="shared" si="126"/>
        <v>0</v>
      </c>
      <c r="Y229" s="475">
        <v>0</v>
      </c>
      <c r="Z229" s="476">
        <v>0</v>
      </c>
      <c r="AA229" s="38">
        <f t="shared" si="134"/>
        <v>0</v>
      </c>
      <c r="AB229" s="692">
        <f t="shared" si="127"/>
        <v>1241957.08</v>
      </c>
      <c r="AC229" s="692">
        <f t="shared" si="128"/>
        <v>0</v>
      </c>
      <c r="AD229" s="692">
        <f t="shared" si="129"/>
        <v>0</v>
      </c>
      <c r="AE229" s="38"/>
      <c r="AF229" s="692">
        <f t="shared" si="130"/>
        <v>625000</v>
      </c>
      <c r="AG229" s="692">
        <f t="shared" si="131"/>
        <v>0</v>
      </c>
      <c r="AH229" s="692">
        <f t="shared" si="132"/>
        <v>0</v>
      </c>
    </row>
    <row r="230" spans="1:34">
      <c r="A230" s="20"/>
      <c r="B230" s="20" t="s">
        <v>110</v>
      </c>
      <c r="C230" s="667" t="s">
        <v>573</v>
      </c>
      <c r="D230" s="68" t="s">
        <v>511</v>
      </c>
      <c r="E230" s="679">
        <v>18835.72</v>
      </c>
      <c r="F230" s="529">
        <f>VLOOKUP(D230,'Q4 DMV -  Revenue'!D:T,17,FALSE)</f>
        <v>65506.14</v>
      </c>
      <c r="G230" s="694">
        <v>23067.7</v>
      </c>
      <c r="H230" s="680"/>
      <c r="I230" s="681"/>
      <c r="J230" s="682">
        <f t="shared" ref="J230" si="136">SUM(E230:I230)</f>
        <v>107409.56</v>
      </c>
      <c r="K230" s="683"/>
      <c r="L230" s="684"/>
      <c r="M230" s="753">
        <v>30000</v>
      </c>
      <c r="N230" s="683">
        <v>0</v>
      </c>
      <c r="O230" s="686"/>
      <c r="P230" s="683">
        <v>0</v>
      </c>
      <c r="Q230" s="687">
        <f t="shared" si="119"/>
        <v>30000</v>
      </c>
      <c r="R230" s="688">
        <v>0</v>
      </c>
      <c r="S230" s="693"/>
      <c r="T230" s="690">
        <f t="shared" si="105"/>
        <v>-30000</v>
      </c>
      <c r="U230" s="697"/>
      <c r="V230" s="474">
        <f t="shared" si="133"/>
        <v>30000</v>
      </c>
      <c r="W230" s="474">
        <f t="shared" si="125"/>
        <v>0</v>
      </c>
      <c r="X230" s="475">
        <f t="shared" si="126"/>
        <v>0</v>
      </c>
      <c r="Y230" s="475">
        <v>0</v>
      </c>
      <c r="Z230" s="476">
        <v>0</v>
      </c>
      <c r="AA230" s="38">
        <f t="shared" si="134"/>
        <v>0</v>
      </c>
      <c r="AB230" s="692">
        <f t="shared" si="127"/>
        <v>107409.56</v>
      </c>
      <c r="AC230" s="692">
        <f t="shared" si="128"/>
        <v>0</v>
      </c>
      <c r="AD230" s="692">
        <f t="shared" si="129"/>
        <v>0</v>
      </c>
      <c r="AE230" s="38"/>
      <c r="AF230" s="692">
        <f t="shared" si="130"/>
        <v>30000</v>
      </c>
      <c r="AG230" s="692">
        <f t="shared" si="131"/>
        <v>0</v>
      </c>
      <c r="AH230" s="692">
        <f t="shared" si="132"/>
        <v>0</v>
      </c>
    </row>
    <row r="231" spans="1:34">
      <c r="A231" s="21"/>
      <c r="B231" s="21" t="s">
        <v>110</v>
      </c>
      <c r="C231" s="666"/>
      <c r="D231" s="68" t="s">
        <v>50</v>
      </c>
      <c r="E231" s="679"/>
      <c r="F231" s="529" t="str">
        <f>VLOOKUP(D231,'Q4 DMV -  Revenue'!D:T,17,FALSE)</f>
        <v/>
      </c>
      <c r="G231" s="680"/>
      <c r="H231" s="680"/>
      <c r="I231" s="681"/>
      <c r="J231" s="682">
        <f t="shared" si="104"/>
        <v>0</v>
      </c>
      <c r="K231" s="683"/>
      <c r="L231" s="684"/>
      <c r="M231" s="753">
        <v>0</v>
      </c>
      <c r="N231" s="683">
        <v>0</v>
      </c>
      <c r="O231" s="686"/>
      <c r="P231" s="683">
        <v>0</v>
      </c>
      <c r="Q231" s="687">
        <f t="shared" si="119"/>
        <v>0</v>
      </c>
      <c r="R231" s="688"/>
      <c r="S231" s="693"/>
      <c r="T231" s="690" t="str">
        <f t="shared" si="105"/>
        <v/>
      </c>
      <c r="U231" s="683"/>
      <c r="V231" s="474">
        <f t="shared" si="133"/>
        <v>0</v>
      </c>
      <c r="W231" s="474">
        <f t="shared" si="125"/>
        <v>0</v>
      </c>
      <c r="X231" s="475">
        <f t="shared" si="126"/>
        <v>0</v>
      </c>
      <c r="Y231" s="475">
        <v>0</v>
      </c>
      <c r="Z231" s="476">
        <v>0</v>
      </c>
      <c r="AA231" s="38">
        <f t="shared" si="134"/>
        <v>0</v>
      </c>
      <c r="AB231" s="692">
        <f t="shared" si="127"/>
        <v>0</v>
      </c>
      <c r="AC231" s="692">
        <f t="shared" si="128"/>
        <v>0</v>
      </c>
      <c r="AD231" s="692">
        <f t="shared" si="129"/>
        <v>0</v>
      </c>
      <c r="AE231" s="38"/>
      <c r="AF231" s="692">
        <f t="shared" si="130"/>
        <v>0</v>
      </c>
      <c r="AG231" s="692">
        <f t="shared" si="131"/>
        <v>0</v>
      </c>
      <c r="AH231" s="692">
        <f t="shared" si="132"/>
        <v>0</v>
      </c>
    </row>
    <row r="232" spans="1:34">
      <c r="A232" s="21"/>
      <c r="B232" s="21" t="s">
        <v>109</v>
      </c>
      <c r="C232" s="666"/>
      <c r="D232" s="68" t="s">
        <v>51</v>
      </c>
      <c r="E232" s="679"/>
      <c r="F232" s="529" t="str">
        <f>VLOOKUP(D232,'Q4 DMV -  Revenue'!D:T,17,FALSE)</f>
        <v/>
      </c>
      <c r="G232" s="680"/>
      <c r="H232" s="680"/>
      <c r="I232" s="681"/>
      <c r="J232" s="682">
        <f t="shared" si="104"/>
        <v>0</v>
      </c>
      <c r="K232" s="683"/>
      <c r="L232" s="684"/>
      <c r="M232" s="753">
        <v>0</v>
      </c>
      <c r="N232" s="683">
        <v>0</v>
      </c>
      <c r="O232" s="686"/>
      <c r="P232" s="683">
        <v>0</v>
      </c>
      <c r="Q232" s="687">
        <f t="shared" si="119"/>
        <v>0</v>
      </c>
      <c r="R232" s="688"/>
      <c r="S232" s="693"/>
      <c r="T232" s="690" t="str">
        <f t="shared" si="105"/>
        <v/>
      </c>
      <c r="U232" s="683"/>
      <c r="V232" s="474">
        <f t="shared" si="133"/>
        <v>0</v>
      </c>
      <c r="W232" s="474">
        <f t="shared" si="125"/>
        <v>0</v>
      </c>
      <c r="X232" s="475">
        <f t="shared" si="126"/>
        <v>0</v>
      </c>
      <c r="Y232" s="475">
        <v>0</v>
      </c>
      <c r="Z232" s="476">
        <v>0</v>
      </c>
      <c r="AA232" s="38">
        <f t="shared" si="134"/>
        <v>0</v>
      </c>
      <c r="AB232" s="692">
        <f t="shared" si="127"/>
        <v>0</v>
      </c>
      <c r="AC232" s="692">
        <f t="shared" si="128"/>
        <v>0</v>
      </c>
      <c r="AD232" s="692">
        <f t="shared" si="129"/>
        <v>0</v>
      </c>
      <c r="AE232" s="38"/>
      <c r="AF232" s="692">
        <f t="shared" si="130"/>
        <v>0</v>
      </c>
      <c r="AG232" s="692">
        <f t="shared" si="131"/>
        <v>0</v>
      </c>
      <c r="AH232" s="692">
        <f t="shared" si="132"/>
        <v>0</v>
      </c>
    </row>
    <row r="233" spans="1:34">
      <c r="A233" s="21"/>
      <c r="B233" s="21" t="s">
        <v>109</v>
      </c>
      <c r="C233" s="666"/>
      <c r="D233" s="68" t="s">
        <v>107</v>
      </c>
      <c r="E233" s="679">
        <f>715.57+631.78+724.05+864.97+1306.16+1861.97+2187.16+2316.28+329.2+403.48+605.96+3462.83</f>
        <v>15409.410000000002</v>
      </c>
      <c r="F233" s="529">
        <f>VLOOKUP(D233,'Q4 DMV -  Revenue'!D:T,17,FALSE)</f>
        <v>-6860.84</v>
      </c>
      <c r="G233" s="694">
        <f>0.71+545.51</f>
        <v>546.22</v>
      </c>
      <c r="H233" s="694">
        <f>2.18</f>
        <v>2.1800000000000002</v>
      </c>
      <c r="I233" s="681"/>
      <c r="J233" s="682">
        <f t="shared" si="104"/>
        <v>9096.9700000000012</v>
      </c>
      <c r="K233" s="683"/>
      <c r="L233" s="684"/>
      <c r="M233" s="753">
        <v>0</v>
      </c>
      <c r="N233" s="683">
        <v>0</v>
      </c>
      <c r="O233" s="686"/>
      <c r="P233" s="683">
        <v>0</v>
      </c>
      <c r="Q233" s="687">
        <f t="shared" si="119"/>
        <v>0</v>
      </c>
      <c r="R233" s="688"/>
      <c r="S233" s="693"/>
      <c r="T233" s="690" t="str">
        <f t="shared" si="105"/>
        <v/>
      </c>
      <c r="U233" s="683"/>
      <c r="V233" s="474">
        <f t="shared" si="133"/>
        <v>0</v>
      </c>
      <c r="W233" s="474">
        <f t="shared" si="125"/>
        <v>0</v>
      </c>
      <c r="X233" s="475">
        <f t="shared" si="126"/>
        <v>0</v>
      </c>
      <c r="Y233" s="475">
        <v>0</v>
      </c>
      <c r="Z233" s="476">
        <v>0</v>
      </c>
      <c r="AA233" s="38">
        <f t="shared" si="134"/>
        <v>0</v>
      </c>
      <c r="AB233" s="692">
        <f t="shared" si="127"/>
        <v>0</v>
      </c>
      <c r="AC233" s="692">
        <f t="shared" si="128"/>
        <v>9096.9700000000012</v>
      </c>
      <c r="AD233" s="692">
        <f t="shared" si="129"/>
        <v>0</v>
      </c>
      <c r="AE233" s="38"/>
      <c r="AF233" s="692">
        <f t="shared" si="130"/>
        <v>0</v>
      </c>
      <c r="AG233" s="692">
        <f t="shared" si="131"/>
        <v>0</v>
      </c>
      <c r="AH233" s="692">
        <f t="shared" si="132"/>
        <v>0</v>
      </c>
    </row>
    <row r="234" spans="1:34">
      <c r="A234" s="20"/>
      <c r="B234" s="20" t="s">
        <v>109</v>
      </c>
      <c r="C234" s="667" t="s">
        <v>574</v>
      </c>
      <c r="D234" s="68" t="s">
        <v>156</v>
      </c>
      <c r="E234" s="679"/>
      <c r="F234" s="529" t="str">
        <f>VLOOKUP(D234,'Q4 DMV -  Revenue'!D:T,17,FALSE)</f>
        <v/>
      </c>
      <c r="G234" s="680"/>
      <c r="H234" s="680"/>
      <c r="I234" s="681"/>
      <c r="J234" s="682">
        <f t="shared" ref="J234:J276" si="137">SUM(E234:I234)</f>
        <v>0</v>
      </c>
      <c r="K234" s="683"/>
      <c r="L234" s="684"/>
      <c r="M234" s="753">
        <v>0</v>
      </c>
      <c r="N234" s="683">
        <v>0</v>
      </c>
      <c r="O234" s="686"/>
      <c r="P234" s="683">
        <v>0</v>
      </c>
      <c r="Q234" s="687">
        <f t="shared" si="119"/>
        <v>0</v>
      </c>
      <c r="R234" s="688"/>
      <c r="S234" s="693"/>
      <c r="T234" s="690" t="str">
        <f t="shared" si="105"/>
        <v/>
      </c>
      <c r="U234" s="683"/>
      <c r="V234" s="474">
        <f t="shared" si="133"/>
        <v>0</v>
      </c>
      <c r="W234" s="474">
        <f t="shared" si="125"/>
        <v>0</v>
      </c>
      <c r="X234" s="475">
        <f t="shared" si="126"/>
        <v>0</v>
      </c>
      <c r="Y234" s="475">
        <v>0</v>
      </c>
      <c r="Z234" s="476">
        <v>0</v>
      </c>
      <c r="AA234" s="38">
        <f t="shared" si="134"/>
        <v>0</v>
      </c>
      <c r="AB234" s="692">
        <f t="shared" si="127"/>
        <v>0</v>
      </c>
      <c r="AC234" s="692">
        <f t="shared" si="128"/>
        <v>0</v>
      </c>
      <c r="AD234" s="692">
        <f t="shared" si="129"/>
        <v>0</v>
      </c>
      <c r="AE234" s="38"/>
      <c r="AF234" s="692">
        <f t="shared" si="130"/>
        <v>0</v>
      </c>
      <c r="AG234" s="692">
        <f t="shared" si="131"/>
        <v>0</v>
      </c>
      <c r="AH234" s="692">
        <f t="shared" si="132"/>
        <v>0</v>
      </c>
    </row>
    <row r="235" spans="1:34">
      <c r="A235" s="20"/>
      <c r="B235" s="20" t="s">
        <v>109</v>
      </c>
      <c r="C235" s="667" t="s">
        <v>574</v>
      </c>
      <c r="D235" s="68" t="s">
        <v>157</v>
      </c>
      <c r="E235" s="679"/>
      <c r="F235" s="529" t="str">
        <f>VLOOKUP(D235,'Q4 DMV -  Revenue'!D:T,17,FALSE)</f>
        <v/>
      </c>
      <c r="G235" s="680"/>
      <c r="H235" s="680"/>
      <c r="I235" s="681"/>
      <c r="J235" s="682">
        <f t="shared" si="137"/>
        <v>0</v>
      </c>
      <c r="K235" s="683"/>
      <c r="L235" s="684"/>
      <c r="M235" s="753">
        <v>0</v>
      </c>
      <c r="N235" s="683">
        <v>0</v>
      </c>
      <c r="O235" s="686"/>
      <c r="P235" s="683">
        <v>0</v>
      </c>
      <c r="Q235" s="687">
        <f t="shared" si="119"/>
        <v>0</v>
      </c>
      <c r="R235" s="688"/>
      <c r="S235" s="693"/>
      <c r="T235" s="690" t="str">
        <f t="shared" ref="T235:T282" si="138">IF(R235="","",R235-Q235)</f>
        <v/>
      </c>
      <c r="U235" s="683"/>
      <c r="V235" s="474">
        <f t="shared" si="133"/>
        <v>0</v>
      </c>
      <c r="W235" s="474">
        <f t="shared" si="125"/>
        <v>0</v>
      </c>
      <c r="X235" s="475">
        <f t="shared" si="126"/>
        <v>0</v>
      </c>
      <c r="Y235" s="475">
        <v>0</v>
      </c>
      <c r="Z235" s="476">
        <v>0</v>
      </c>
      <c r="AA235" s="38">
        <f t="shared" si="134"/>
        <v>0</v>
      </c>
      <c r="AB235" s="692">
        <f t="shared" si="127"/>
        <v>0</v>
      </c>
      <c r="AC235" s="692">
        <f t="shared" si="128"/>
        <v>0</v>
      </c>
      <c r="AD235" s="692">
        <f t="shared" si="129"/>
        <v>0</v>
      </c>
      <c r="AE235" s="38"/>
      <c r="AF235" s="692">
        <f t="shared" si="130"/>
        <v>0</v>
      </c>
      <c r="AG235" s="692">
        <f t="shared" si="131"/>
        <v>0</v>
      </c>
      <c r="AH235" s="692">
        <f t="shared" si="132"/>
        <v>0</v>
      </c>
    </row>
    <row r="236" spans="1:34">
      <c r="A236" s="20"/>
      <c r="B236" s="20" t="s">
        <v>109</v>
      </c>
      <c r="C236" s="667" t="s">
        <v>574</v>
      </c>
      <c r="D236" s="68" t="s">
        <v>158</v>
      </c>
      <c r="E236" s="679"/>
      <c r="F236" s="529" t="str">
        <f>VLOOKUP(D236,'Q4 DMV -  Revenue'!D:T,17,FALSE)</f>
        <v/>
      </c>
      <c r="G236" s="680"/>
      <c r="H236" s="680"/>
      <c r="I236" s="681"/>
      <c r="J236" s="682">
        <f t="shared" si="137"/>
        <v>0</v>
      </c>
      <c r="K236" s="683"/>
      <c r="L236" s="684"/>
      <c r="M236" s="753">
        <v>0</v>
      </c>
      <c r="N236" s="683">
        <v>0</v>
      </c>
      <c r="O236" s="686"/>
      <c r="P236" s="683">
        <v>0</v>
      </c>
      <c r="Q236" s="687">
        <f t="shared" si="119"/>
        <v>0</v>
      </c>
      <c r="R236" s="688"/>
      <c r="S236" s="693"/>
      <c r="T236" s="690" t="str">
        <f t="shared" si="138"/>
        <v/>
      </c>
      <c r="U236" s="683"/>
      <c r="V236" s="474">
        <f t="shared" si="133"/>
        <v>0</v>
      </c>
      <c r="W236" s="474">
        <f t="shared" si="125"/>
        <v>0</v>
      </c>
      <c r="X236" s="475">
        <f t="shared" si="126"/>
        <v>0</v>
      </c>
      <c r="Y236" s="475">
        <v>0</v>
      </c>
      <c r="Z236" s="476">
        <v>0</v>
      </c>
      <c r="AA236" s="38">
        <f t="shared" si="134"/>
        <v>0</v>
      </c>
      <c r="AB236" s="692">
        <f t="shared" si="127"/>
        <v>0</v>
      </c>
      <c r="AC236" s="692">
        <f t="shared" si="128"/>
        <v>0</v>
      </c>
      <c r="AD236" s="692">
        <f t="shared" si="129"/>
        <v>0</v>
      </c>
      <c r="AE236" s="38"/>
      <c r="AF236" s="692">
        <f t="shared" si="130"/>
        <v>0</v>
      </c>
      <c r="AG236" s="692">
        <f t="shared" si="131"/>
        <v>0</v>
      </c>
      <c r="AH236" s="692">
        <f t="shared" si="132"/>
        <v>0</v>
      </c>
    </row>
    <row r="237" spans="1:34">
      <c r="A237" s="21" t="s">
        <v>97</v>
      </c>
      <c r="B237" s="21" t="s">
        <v>109</v>
      </c>
      <c r="C237" s="666"/>
      <c r="D237" s="68" t="s">
        <v>52</v>
      </c>
      <c r="E237" s="679"/>
      <c r="F237" s="529" t="str">
        <f>VLOOKUP(D237,'Q4 DMV -  Revenue'!D:T,17,FALSE)</f>
        <v/>
      </c>
      <c r="G237" s="680"/>
      <c r="H237" s="680"/>
      <c r="I237" s="681"/>
      <c r="J237" s="682">
        <f t="shared" si="137"/>
        <v>0</v>
      </c>
      <c r="K237" s="683"/>
      <c r="L237" s="684"/>
      <c r="M237" s="753">
        <v>0</v>
      </c>
      <c r="N237" s="683">
        <v>0</v>
      </c>
      <c r="O237" s="686"/>
      <c r="P237" s="683">
        <v>0</v>
      </c>
      <c r="Q237" s="687">
        <f t="shared" si="119"/>
        <v>0</v>
      </c>
      <c r="R237" s="688"/>
      <c r="S237" s="693"/>
      <c r="T237" s="690" t="str">
        <f t="shared" si="138"/>
        <v/>
      </c>
      <c r="U237" s="683"/>
      <c r="V237" s="474">
        <f t="shared" si="133"/>
        <v>0</v>
      </c>
      <c r="W237" s="474">
        <f t="shared" si="125"/>
        <v>0</v>
      </c>
      <c r="X237" s="475">
        <f t="shared" si="126"/>
        <v>0</v>
      </c>
      <c r="Y237" s="475">
        <v>0</v>
      </c>
      <c r="Z237" s="476">
        <v>0</v>
      </c>
      <c r="AA237" s="38">
        <f t="shared" si="134"/>
        <v>0</v>
      </c>
      <c r="AB237" s="692">
        <f t="shared" si="127"/>
        <v>0</v>
      </c>
      <c r="AC237" s="692">
        <f t="shared" si="128"/>
        <v>0</v>
      </c>
      <c r="AD237" s="692">
        <f t="shared" si="129"/>
        <v>0</v>
      </c>
      <c r="AE237" s="38"/>
      <c r="AF237" s="692">
        <f t="shared" si="130"/>
        <v>0</v>
      </c>
      <c r="AG237" s="692">
        <f t="shared" si="131"/>
        <v>0</v>
      </c>
      <c r="AH237" s="692">
        <f t="shared" si="132"/>
        <v>0</v>
      </c>
    </row>
    <row r="238" spans="1:34">
      <c r="A238" s="21"/>
      <c r="B238" s="21" t="s">
        <v>109</v>
      </c>
      <c r="C238" s="666"/>
      <c r="D238" s="68" t="s">
        <v>467</v>
      </c>
      <c r="E238" s="679"/>
      <c r="F238" s="529" t="str">
        <f>VLOOKUP(D238,'Q4 DMV -  Revenue'!D:T,17,FALSE)</f>
        <v/>
      </c>
      <c r="G238" s="680"/>
      <c r="H238" s="680"/>
      <c r="I238" s="681"/>
      <c r="J238" s="682">
        <f t="shared" si="137"/>
        <v>0</v>
      </c>
      <c r="K238" s="683"/>
      <c r="L238" s="684"/>
      <c r="M238" s="753">
        <v>0</v>
      </c>
      <c r="N238" s="683">
        <v>0</v>
      </c>
      <c r="O238" s="686"/>
      <c r="P238" s="683">
        <v>0</v>
      </c>
      <c r="Q238" s="687">
        <f t="shared" si="119"/>
        <v>0</v>
      </c>
      <c r="R238" s="688"/>
      <c r="S238" s="693"/>
      <c r="T238" s="690" t="str">
        <f t="shared" si="138"/>
        <v/>
      </c>
      <c r="U238" s="683"/>
      <c r="V238" s="474">
        <f t="shared" si="133"/>
        <v>0</v>
      </c>
      <c r="W238" s="474">
        <f t="shared" si="125"/>
        <v>0</v>
      </c>
      <c r="X238" s="475">
        <f t="shared" si="126"/>
        <v>0</v>
      </c>
      <c r="Y238" s="475">
        <v>0</v>
      </c>
      <c r="Z238" s="476">
        <v>0</v>
      </c>
      <c r="AA238" s="38">
        <f t="shared" si="134"/>
        <v>0</v>
      </c>
      <c r="AB238" s="692">
        <f t="shared" si="127"/>
        <v>0</v>
      </c>
      <c r="AC238" s="692">
        <f t="shared" si="128"/>
        <v>0</v>
      </c>
      <c r="AD238" s="692">
        <f t="shared" si="129"/>
        <v>0</v>
      </c>
      <c r="AE238" s="38"/>
      <c r="AF238" s="692">
        <f t="shared" si="130"/>
        <v>0</v>
      </c>
      <c r="AG238" s="692">
        <f t="shared" si="131"/>
        <v>0</v>
      </c>
      <c r="AH238" s="692">
        <f t="shared" si="132"/>
        <v>0</v>
      </c>
    </row>
    <row r="239" spans="1:34">
      <c r="A239" s="21"/>
      <c r="B239" s="21" t="s">
        <v>109</v>
      </c>
      <c r="C239" s="666" t="s">
        <v>575</v>
      </c>
      <c r="D239" s="68" t="s">
        <v>54</v>
      </c>
      <c r="E239" s="679"/>
      <c r="F239" s="529">
        <f>VLOOKUP(D239,'Q4 DMV -  Revenue'!D:T,17,FALSE)</f>
        <v>1717.7199999999998</v>
      </c>
      <c r="G239" s="737">
        <v>1349.63</v>
      </c>
      <c r="H239" s="680"/>
      <c r="I239" s="681"/>
      <c r="J239" s="682">
        <f t="shared" si="137"/>
        <v>3067.35</v>
      </c>
      <c r="K239" s="683"/>
      <c r="L239" s="684"/>
      <c r="M239" s="753">
        <v>0</v>
      </c>
      <c r="N239" s="683">
        <v>0</v>
      </c>
      <c r="O239" s="686"/>
      <c r="P239" s="683">
        <v>0</v>
      </c>
      <c r="Q239" s="687">
        <f t="shared" si="119"/>
        <v>0</v>
      </c>
      <c r="R239" s="688"/>
      <c r="S239" s="693"/>
      <c r="T239" s="690" t="str">
        <f t="shared" si="138"/>
        <v/>
      </c>
      <c r="U239" s="683"/>
      <c r="V239" s="474">
        <f t="shared" si="133"/>
        <v>0</v>
      </c>
      <c r="W239" s="474">
        <f t="shared" si="125"/>
        <v>0</v>
      </c>
      <c r="X239" s="475">
        <f t="shared" si="126"/>
        <v>0</v>
      </c>
      <c r="Y239" s="475">
        <v>0</v>
      </c>
      <c r="Z239" s="476">
        <v>0</v>
      </c>
      <c r="AA239" s="38">
        <f t="shared" si="134"/>
        <v>0</v>
      </c>
      <c r="AB239" s="692">
        <f t="shared" si="127"/>
        <v>0</v>
      </c>
      <c r="AC239" s="692">
        <f t="shared" si="128"/>
        <v>3067.35</v>
      </c>
      <c r="AD239" s="692">
        <f t="shared" si="129"/>
        <v>0</v>
      </c>
      <c r="AE239" s="38"/>
      <c r="AF239" s="692">
        <f t="shared" si="130"/>
        <v>0</v>
      </c>
      <c r="AG239" s="692">
        <f t="shared" si="131"/>
        <v>0</v>
      </c>
      <c r="AH239" s="692">
        <f t="shared" si="132"/>
        <v>0</v>
      </c>
    </row>
    <row r="240" spans="1:34">
      <c r="A240" s="20"/>
      <c r="B240" s="20" t="s">
        <v>110</v>
      </c>
      <c r="C240" s="667" t="s">
        <v>576</v>
      </c>
      <c r="D240" s="68" t="s">
        <v>394</v>
      </c>
      <c r="E240" s="679"/>
      <c r="F240" s="529" t="str">
        <f>VLOOKUP(D240,'Q4 DMV -  Revenue'!D:T,17,FALSE)</f>
        <v/>
      </c>
      <c r="G240" s="694">
        <v>642.6</v>
      </c>
      <c r="H240" s="680"/>
      <c r="I240" s="681"/>
      <c r="J240" s="682">
        <f t="shared" si="137"/>
        <v>642.6</v>
      </c>
      <c r="K240" s="683"/>
      <c r="L240" s="684"/>
      <c r="M240" s="753">
        <v>0</v>
      </c>
      <c r="N240" s="683">
        <v>0</v>
      </c>
      <c r="O240" s="686"/>
      <c r="P240" s="683">
        <v>0</v>
      </c>
      <c r="Q240" s="687">
        <f t="shared" si="119"/>
        <v>0</v>
      </c>
      <c r="R240" s="688"/>
      <c r="S240" s="693"/>
      <c r="T240" s="690" t="str">
        <f t="shared" si="138"/>
        <v/>
      </c>
      <c r="U240" s="683"/>
      <c r="V240" s="474">
        <f t="shared" si="133"/>
        <v>0</v>
      </c>
      <c r="W240" s="474">
        <f t="shared" si="125"/>
        <v>0</v>
      </c>
      <c r="X240" s="475">
        <f t="shared" si="126"/>
        <v>0</v>
      </c>
      <c r="Y240" s="475">
        <v>0</v>
      </c>
      <c r="Z240" s="476">
        <v>0</v>
      </c>
      <c r="AA240" s="38">
        <f t="shared" si="134"/>
        <v>0</v>
      </c>
      <c r="AB240" s="692">
        <f t="shared" si="127"/>
        <v>642.6</v>
      </c>
      <c r="AC240" s="692">
        <f t="shared" si="128"/>
        <v>0</v>
      </c>
      <c r="AD240" s="692">
        <f t="shared" si="129"/>
        <v>0</v>
      </c>
      <c r="AE240" s="38"/>
      <c r="AF240" s="692">
        <f t="shared" si="130"/>
        <v>0</v>
      </c>
      <c r="AG240" s="692">
        <f t="shared" si="131"/>
        <v>0</v>
      </c>
      <c r="AH240" s="692">
        <f t="shared" si="132"/>
        <v>0</v>
      </c>
    </row>
    <row r="241" spans="1:34">
      <c r="A241" s="20"/>
      <c r="B241" s="20" t="s">
        <v>110</v>
      </c>
      <c r="C241" s="667"/>
      <c r="D241" s="68" t="s">
        <v>55</v>
      </c>
      <c r="E241" s="679"/>
      <c r="F241" s="529">
        <f>VLOOKUP(D241,'Q4 DMV -  Revenue'!D:T,17,FALSE)</f>
        <v>-7500</v>
      </c>
      <c r="G241" s="694">
        <f>643.99</f>
        <v>643.99</v>
      </c>
      <c r="H241" s="694">
        <v>582.99</v>
      </c>
      <c r="I241" s="681"/>
      <c r="J241" s="682">
        <f t="shared" si="137"/>
        <v>-6273.02</v>
      </c>
      <c r="K241" s="683"/>
      <c r="L241" s="684"/>
      <c r="M241" s="753">
        <v>0</v>
      </c>
      <c r="N241" s="683">
        <v>0</v>
      </c>
      <c r="O241" s="686"/>
      <c r="P241" s="683">
        <v>0</v>
      </c>
      <c r="Q241" s="687">
        <f t="shared" ref="Q241:Q282" si="139">L241+M241</f>
        <v>0</v>
      </c>
      <c r="R241" s="688"/>
      <c r="S241" s="693"/>
      <c r="T241" s="690" t="str">
        <f t="shared" si="138"/>
        <v/>
      </c>
      <c r="U241" s="683"/>
      <c r="V241" s="474">
        <f t="shared" si="133"/>
        <v>0</v>
      </c>
      <c r="W241" s="474">
        <f t="shared" si="125"/>
        <v>0</v>
      </c>
      <c r="X241" s="475">
        <f t="shared" si="126"/>
        <v>0</v>
      </c>
      <c r="Y241" s="475">
        <v>0</v>
      </c>
      <c r="Z241" s="476">
        <v>0</v>
      </c>
      <c r="AA241" s="38">
        <f t="shared" si="134"/>
        <v>0</v>
      </c>
      <c r="AB241" s="692">
        <f t="shared" si="127"/>
        <v>-6273.02</v>
      </c>
      <c r="AC241" s="692">
        <f t="shared" si="128"/>
        <v>0</v>
      </c>
      <c r="AD241" s="692">
        <f t="shared" si="129"/>
        <v>0</v>
      </c>
      <c r="AE241" s="38"/>
      <c r="AF241" s="692">
        <f t="shared" si="130"/>
        <v>0</v>
      </c>
      <c r="AG241" s="692">
        <f t="shared" si="131"/>
        <v>0</v>
      </c>
      <c r="AH241" s="692">
        <f t="shared" si="132"/>
        <v>0</v>
      </c>
    </row>
    <row r="242" spans="1:34">
      <c r="A242" s="21" t="s">
        <v>97</v>
      </c>
      <c r="B242" s="21" t="s">
        <v>110</v>
      </c>
      <c r="C242" s="666"/>
      <c r="D242" s="68" t="s">
        <v>175</v>
      </c>
      <c r="E242" s="679"/>
      <c r="F242" s="529" t="str">
        <f>VLOOKUP(D242,'Q4 DMV -  Revenue'!D:T,17,FALSE)</f>
        <v/>
      </c>
      <c r="G242" s="680"/>
      <c r="H242" s="680"/>
      <c r="I242" s="681"/>
      <c r="J242" s="682">
        <f t="shared" si="137"/>
        <v>0</v>
      </c>
      <c r="K242" s="683"/>
      <c r="L242" s="684"/>
      <c r="M242" s="753">
        <v>0</v>
      </c>
      <c r="N242" s="683">
        <v>0</v>
      </c>
      <c r="O242" s="686"/>
      <c r="P242" s="683">
        <v>0</v>
      </c>
      <c r="Q242" s="687">
        <f t="shared" si="139"/>
        <v>0</v>
      </c>
      <c r="R242" s="688"/>
      <c r="S242" s="693"/>
      <c r="T242" s="690" t="str">
        <f t="shared" si="138"/>
        <v/>
      </c>
      <c r="U242" s="683"/>
      <c r="V242" s="474">
        <f t="shared" si="133"/>
        <v>0</v>
      </c>
      <c r="W242" s="474">
        <f t="shared" si="125"/>
        <v>0</v>
      </c>
      <c r="X242" s="475">
        <f t="shared" si="126"/>
        <v>0</v>
      </c>
      <c r="Y242" s="475">
        <v>0</v>
      </c>
      <c r="Z242" s="476">
        <v>0</v>
      </c>
      <c r="AA242" s="38">
        <f t="shared" si="134"/>
        <v>0</v>
      </c>
      <c r="AB242" s="692">
        <f t="shared" si="127"/>
        <v>0</v>
      </c>
      <c r="AC242" s="692">
        <f t="shared" si="128"/>
        <v>0</v>
      </c>
      <c r="AD242" s="692">
        <f t="shared" si="129"/>
        <v>0</v>
      </c>
      <c r="AE242" s="38"/>
      <c r="AF242" s="692">
        <f t="shared" si="130"/>
        <v>0</v>
      </c>
      <c r="AG242" s="692">
        <f t="shared" si="131"/>
        <v>0</v>
      </c>
      <c r="AH242" s="692">
        <f t="shared" si="132"/>
        <v>0</v>
      </c>
    </row>
    <row r="243" spans="1:34">
      <c r="A243" s="21"/>
      <c r="B243" s="21" t="s">
        <v>109</v>
      </c>
      <c r="C243" s="666"/>
      <c r="D243" s="68" t="s">
        <v>595</v>
      </c>
      <c r="E243" s="679"/>
      <c r="F243" s="529" t="str">
        <f>VLOOKUP(D243,'Q4 DMV -  Revenue'!D:T,17,FALSE)</f>
        <v/>
      </c>
      <c r="G243" s="680"/>
      <c r="H243" s="680"/>
      <c r="I243" s="681"/>
      <c r="J243" s="682">
        <f>SUM(E243:I243)</f>
        <v>0</v>
      </c>
      <c r="K243" s="683"/>
      <c r="L243" s="684"/>
      <c r="M243" s="753">
        <v>0</v>
      </c>
      <c r="N243" s="683">
        <v>0</v>
      </c>
      <c r="O243" s="686"/>
      <c r="P243" s="683">
        <v>0</v>
      </c>
      <c r="Q243" s="687">
        <f t="shared" si="139"/>
        <v>0</v>
      </c>
      <c r="R243" s="688"/>
      <c r="S243" s="693"/>
      <c r="T243" s="690" t="str">
        <f t="shared" si="138"/>
        <v/>
      </c>
      <c r="U243" s="683"/>
      <c r="V243" s="474">
        <f t="shared" si="133"/>
        <v>0</v>
      </c>
      <c r="W243" s="474">
        <f t="shared" si="125"/>
        <v>0</v>
      </c>
      <c r="X243" s="475">
        <f t="shared" si="126"/>
        <v>0</v>
      </c>
      <c r="Y243" s="475">
        <v>0</v>
      </c>
      <c r="Z243" s="476">
        <v>0</v>
      </c>
      <c r="AA243" s="38">
        <f t="shared" si="134"/>
        <v>0</v>
      </c>
      <c r="AB243" s="692">
        <f t="shared" si="127"/>
        <v>0</v>
      </c>
      <c r="AC243" s="692">
        <f t="shared" si="128"/>
        <v>0</v>
      </c>
      <c r="AD243" s="692">
        <f t="shared" si="129"/>
        <v>0</v>
      </c>
      <c r="AE243" s="38"/>
      <c r="AF243" s="692">
        <f t="shared" si="130"/>
        <v>0</v>
      </c>
      <c r="AG243" s="692">
        <f t="shared" si="131"/>
        <v>0</v>
      </c>
      <c r="AH243" s="692">
        <f t="shared" si="132"/>
        <v>0</v>
      </c>
    </row>
    <row r="244" spans="1:34">
      <c r="A244" s="20" t="s">
        <v>211</v>
      </c>
      <c r="B244" s="20" t="s">
        <v>109</v>
      </c>
      <c r="C244" s="667"/>
      <c r="D244" s="68" t="s">
        <v>56</v>
      </c>
      <c r="E244" s="679"/>
      <c r="F244" s="529" t="str">
        <f>VLOOKUP(D244,'Q4 DMV -  Revenue'!D:T,17,FALSE)</f>
        <v/>
      </c>
      <c r="G244" s="680"/>
      <c r="H244" s="680"/>
      <c r="I244" s="681"/>
      <c r="J244" s="682">
        <f t="shared" si="137"/>
        <v>0</v>
      </c>
      <c r="K244" s="683"/>
      <c r="L244" s="684"/>
      <c r="M244" s="753">
        <v>0</v>
      </c>
      <c r="N244" s="683">
        <v>0</v>
      </c>
      <c r="O244" s="686"/>
      <c r="P244" s="683">
        <v>0</v>
      </c>
      <c r="Q244" s="687">
        <f t="shared" si="139"/>
        <v>0</v>
      </c>
      <c r="R244" s="688"/>
      <c r="S244" s="693"/>
      <c r="T244" s="690" t="str">
        <f t="shared" si="138"/>
        <v/>
      </c>
      <c r="U244" s="697"/>
      <c r="V244" s="474">
        <f t="shared" si="133"/>
        <v>0</v>
      </c>
      <c r="W244" s="474">
        <f t="shared" si="125"/>
        <v>0</v>
      </c>
      <c r="X244" s="475">
        <f t="shared" si="126"/>
        <v>0</v>
      </c>
      <c r="Y244" s="475">
        <v>0</v>
      </c>
      <c r="Z244" s="476">
        <v>0</v>
      </c>
      <c r="AA244" s="38">
        <f t="shared" si="134"/>
        <v>0</v>
      </c>
      <c r="AB244" s="692">
        <f t="shared" si="127"/>
        <v>0</v>
      </c>
      <c r="AC244" s="692">
        <f t="shared" si="128"/>
        <v>0</v>
      </c>
      <c r="AD244" s="692">
        <f t="shared" si="129"/>
        <v>0</v>
      </c>
      <c r="AE244" s="38"/>
      <c r="AF244" s="692">
        <f t="shared" si="130"/>
        <v>0</v>
      </c>
      <c r="AG244" s="692">
        <f t="shared" si="131"/>
        <v>0</v>
      </c>
      <c r="AH244" s="692">
        <f t="shared" si="132"/>
        <v>0</v>
      </c>
    </row>
    <row r="245" spans="1:34">
      <c r="A245" s="20"/>
      <c r="B245" s="20" t="s">
        <v>109</v>
      </c>
      <c r="C245" s="667" t="s">
        <v>577</v>
      </c>
      <c r="D245" s="68" t="s">
        <v>159</v>
      </c>
      <c r="E245" s="679"/>
      <c r="F245" s="529" t="str">
        <f>VLOOKUP(D245,'Q4 DMV -  Revenue'!D:T,17,FALSE)</f>
        <v/>
      </c>
      <c r="G245" s="694">
        <v>24695.19</v>
      </c>
      <c r="H245" s="694">
        <v>24970.29</v>
      </c>
      <c r="I245" s="741">
        <v>25602.73</v>
      </c>
      <c r="J245" s="682">
        <f t="shared" si="137"/>
        <v>75268.209999999992</v>
      </c>
      <c r="K245" s="683"/>
      <c r="L245" s="684"/>
      <c r="M245" s="753">
        <v>0</v>
      </c>
      <c r="N245" s="683">
        <v>0</v>
      </c>
      <c r="O245" s="686"/>
      <c r="P245" s="683">
        <v>0</v>
      </c>
      <c r="Q245" s="687">
        <f t="shared" si="139"/>
        <v>0</v>
      </c>
      <c r="R245" s="688"/>
      <c r="S245" s="693"/>
      <c r="T245" s="690" t="str">
        <f t="shared" si="138"/>
        <v/>
      </c>
      <c r="U245" s="683"/>
      <c r="V245" s="474">
        <f t="shared" si="133"/>
        <v>0</v>
      </c>
      <c r="W245" s="474">
        <f t="shared" si="125"/>
        <v>0</v>
      </c>
      <c r="X245" s="475">
        <f t="shared" si="126"/>
        <v>0</v>
      </c>
      <c r="Y245" s="475">
        <v>0</v>
      </c>
      <c r="Z245" s="476">
        <v>0</v>
      </c>
      <c r="AA245" s="38">
        <f t="shared" si="134"/>
        <v>0</v>
      </c>
      <c r="AB245" s="692">
        <f t="shared" si="127"/>
        <v>0</v>
      </c>
      <c r="AC245" s="692">
        <f t="shared" si="128"/>
        <v>75268.209999999992</v>
      </c>
      <c r="AD245" s="692">
        <f t="shared" si="129"/>
        <v>0</v>
      </c>
      <c r="AE245" s="38"/>
      <c r="AF245" s="692">
        <f t="shared" si="130"/>
        <v>0</v>
      </c>
      <c r="AG245" s="692">
        <f t="shared" si="131"/>
        <v>0</v>
      </c>
      <c r="AH245" s="692">
        <f t="shared" si="132"/>
        <v>0</v>
      </c>
    </row>
    <row r="246" spans="1:34">
      <c r="A246" s="20"/>
      <c r="B246" s="20" t="s">
        <v>109</v>
      </c>
      <c r="C246" s="667" t="s">
        <v>577</v>
      </c>
      <c r="D246" s="68" t="s">
        <v>160</v>
      </c>
      <c r="E246" s="679"/>
      <c r="F246" s="529" t="str">
        <f>VLOOKUP(D246,'Q4 DMV -  Revenue'!D:T,17,FALSE)</f>
        <v/>
      </c>
      <c r="G246" s="694">
        <v>15300.44</v>
      </c>
      <c r="H246" s="694">
        <v>14729.85</v>
      </c>
      <c r="I246" s="681"/>
      <c r="J246" s="682">
        <f t="shared" si="137"/>
        <v>30030.29</v>
      </c>
      <c r="K246" s="683"/>
      <c r="L246" s="684"/>
      <c r="M246" s="753">
        <v>15000</v>
      </c>
      <c r="N246" s="683">
        <v>0</v>
      </c>
      <c r="O246" s="686"/>
      <c r="P246" s="683">
        <v>0</v>
      </c>
      <c r="Q246" s="687">
        <f t="shared" si="139"/>
        <v>15000</v>
      </c>
      <c r="R246" s="688">
        <v>0</v>
      </c>
      <c r="S246" s="693"/>
      <c r="T246" s="690">
        <f t="shared" si="138"/>
        <v>-15000</v>
      </c>
      <c r="U246" s="683"/>
      <c r="V246" s="474">
        <f t="shared" si="133"/>
        <v>0</v>
      </c>
      <c r="W246" s="474">
        <f t="shared" si="125"/>
        <v>15000</v>
      </c>
      <c r="X246" s="475">
        <f t="shared" si="126"/>
        <v>0</v>
      </c>
      <c r="Y246" s="475">
        <v>0</v>
      </c>
      <c r="Z246" s="476">
        <v>0</v>
      </c>
      <c r="AA246" s="38">
        <f t="shared" si="134"/>
        <v>0</v>
      </c>
      <c r="AB246" s="692">
        <f t="shared" si="127"/>
        <v>0</v>
      </c>
      <c r="AC246" s="692">
        <f t="shared" si="128"/>
        <v>30030.29</v>
      </c>
      <c r="AD246" s="692">
        <f t="shared" si="129"/>
        <v>0</v>
      </c>
      <c r="AE246" s="38"/>
      <c r="AF246" s="692">
        <f t="shared" si="130"/>
        <v>0</v>
      </c>
      <c r="AG246" s="692">
        <f t="shared" si="131"/>
        <v>15000</v>
      </c>
      <c r="AH246" s="692">
        <f t="shared" si="132"/>
        <v>0</v>
      </c>
    </row>
    <row r="247" spans="1:34">
      <c r="A247" s="21"/>
      <c r="B247" s="21" t="s">
        <v>109</v>
      </c>
      <c r="C247" s="667" t="s">
        <v>577</v>
      </c>
      <c r="D247" s="68" t="s">
        <v>161</v>
      </c>
      <c r="E247" s="679"/>
      <c r="F247" s="529" t="str">
        <f>VLOOKUP(D247,'Q4 DMV -  Revenue'!D:T,17,FALSE)</f>
        <v/>
      </c>
      <c r="G247" s="694">
        <v>15990.6</v>
      </c>
      <c r="H247" s="694">
        <v>9717.9</v>
      </c>
      <c r="I247" s="681"/>
      <c r="J247" s="682">
        <f t="shared" si="137"/>
        <v>25708.5</v>
      </c>
      <c r="K247" s="683"/>
      <c r="L247" s="684"/>
      <c r="M247" s="753">
        <v>10000</v>
      </c>
      <c r="N247" s="683">
        <v>0</v>
      </c>
      <c r="O247" s="686"/>
      <c r="P247" s="683">
        <v>0</v>
      </c>
      <c r="Q247" s="687">
        <f t="shared" si="139"/>
        <v>10000</v>
      </c>
      <c r="R247" s="688">
        <f>6644.19+4944.21</f>
        <v>11588.4</v>
      </c>
      <c r="S247" s="693"/>
      <c r="T247" s="690">
        <f t="shared" si="138"/>
        <v>1588.3999999999996</v>
      </c>
      <c r="U247" s="683"/>
      <c r="V247" s="474">
        <f t="shared" si="133"/>
        <v>0</v>
      </c>
      <c r="W247" s="474">
        <f t="shared" si="125"/>
        <v>10000</v>
      </c>
      <c r="X247" s="475">
        <f t="shared" si="126"/>
        <v>0</v>
      </c>
      <c r="Y247" s="475">
        <v>0</v>
      </c>
      <c r="Z247" s="476">
        <v>0</v>
      </c>
      <c r="AA247" s="38">
        <f t="shared" si="134"/>
        <v>0</v>
      </c>
      <c r="AB247" s="692">
        <f t="shared" si="127"/>
        <v>0</v>
      </c>
      <c r="AC247" s="692">
        <f t="shared" si="128"/>
        <v>25708.5</v>
      </c>
      <c r="AD247" s="692">
        <f t="shared" si="129"/>
        <v>0</v>
      </c>
      <c r="AE247" s="38"/>
      <c r="AF247" s="692">
        <f t="shared" si="130"/>
        <v>0</v>
      </c>
      <c r="AG247" s="692">
        <f t="shared" si="131"/>
        <v>10000</v>
      </c>
      <c r="AH247" s="692">
        <f t="shared" si="132"/>
        <v>0</v>
      </c>
    </row>
    <row r="248" spans="1:34">
      <c r="A248" s="21"/>
      <c r="B248" s="21" t="s">
        <v>109</v>
      </c>
      <c r="C248" s="667" t="s">
        <v>577</v>
      </c>
      <c r="D248" s="68" t="s">
        <v>162</v>
      </c>
      <c r="E248" s="679"/>
      <c r="F248" s="529" t="str">
        <f>VLOOKUP(D248,'Q4 DMV -  Revenue'!D:T,17,FALSE)</f>
        <v/>
      </c>
      <c r="G248" s="694">
        <v>802.14</v>
      </c>
      <c r="H248" s="694">
        <v>743.85</v>
      </c>
      <c r="I248" s="681"/>
      <c r="J248" s="682">
        <f t="shared" si="137"/>
        <v>1545.99</v>
      </c>
      <c r="K248" s="683"/>
      <c r="L248" s="684"/>
      <c r="M248" s="753">
        <v>0</v>
      </c>
      <c r="N248" s="683">
        <v>0</v>
      </c>
      <c r="O248" s="686"/>
      <c r="P248" s="683">
        <v>0</v>
      </c>
      <c r="Q248" s="687">
        <f t="shared" si="139"/>
        <v>0</v>
      </c>
      <c r="R248" s="688">
        <v>597.69000000000005</v>
      </c>
      <c r="S248" s="693"/>
      <c r="T248" s="690">
        <f t="shared" si="138"/>
        <v>597.69000000000005</v>
      </c>
      <c r="U248" s="683"/>
      <c r="V248" s="474">
        <f t="shared" si="133"/>
        <v>0</v>
      </c>
      <c r="W248" s="474">
        <f t="shared" si="125"/>
        <v>0</v>
      </c>
      <c r="X248" s="475">
        <f t="shared" si="126"/>
        <v>0</v>
      </c>
      <c r="Y248" s="475">
        <v>0</v>
      </c>
      <c r="Z248" s="476">
        <v>0</v>
      </c>
      <c r="AA248" s="38">
        <f t="shared" si="134"/>
        <v>0</v>
      </c>
      <c r="AB248" s="692">
        <f t="shared" si="127"/>
        <v>0</v>
      </c>
      <c r="AC248" s="692">
        <f t="shared" si="128"/>
        <v>1545.99</v>
      </c>
      <c r="AD248" s="692">
        <f t="shared" si="129"/>
        <v>0</v>
      </c>
      <c r="AE248" s="38"/>
      <c r="AF248" s="692">
        <f t="shared" si="130"/>
        <v>0</v>
      </c>
      <c r="AG248" s="692">
        <f t="shared" si="131"/>
        <v>0</v>
      </c>
      <c r="AH248" s="692">
        <f t="shared" si="132"/>
        <v>0</v>
      </c>
    </row>
    <row r="249" spans="1:34">
      <c r="A249" s="21"/>
      <c r="B249" s="21" t="s">
        <v>109</v>
      </c>
      <c r="C249" s="666"/>
      <c r="D249" s="68" t="s">
        <v>163</v>
      </c>
      <c r="E249" s="679"/>
      <c r="F249" s="529" t="str">
        <f>VLOOKUP(D249,'Q4 DMV -  Revenue'!D:T,17,FALSE)</f>
        <v/>
      </c>
      <c r="G249" s="680"/>
      <c r="H249" s="680"/>
      <c r="I249" s="681"/>
      <c r="J249" s="682">
        <f t="shared" si="137"/>
        <v>0</v>
      </c>
      <c r="K249" s="683"/>
      <c r="L249" s="684"/>
      <c r="M249" s="753">
        <v>0</v>
      </c>
      <c r="N249" s="683">
        <v>0</v>
      </c>
      <c r="O249" s="686"/>
      <c r="P249" s="683">
        <v>0</v>
      </c>
      <c r="Q249" s="687">
        <f t="shared" si="139"/>
        <v>0</v>
      </c>
      <c r="R249" s="688">
        <f>4709.41+4019.13+4063.39</f>
        <v>12791.93</v>
      </c>
      <c r="S249" s="704"/>
      <c r="T249" s="690">
        <f t="shared" si="138"/>
        <v>12791.93</v>
      </c>
      <c r="U249" s="705"/>
      <c r="V249" s="474">
        <f t="shared" si="133"/>
        <v>0</v>
      </c>
      <c r="W249" s="474">
        <f t="shared" si="125"/>
        <v>0</v>
      </c>
      <c r="X249" s="475">
        <f t="shared" si="126"/>
        <v>0</v>
      </c>
      <c r="Y249" s="475">
        <v>0</v>
      </c>
      <c r="Z249" s="476">
        <v>0</v>
      </c>
      <c r="AA249" s="38">
        <f t="shared" si="134"/>
        <v>0</v>
      </c>
      <c r="AB249" s="692">
        <f t="shared" si="127"/>
        <v>0</v>
      </c>
      <c r="AC249" s="692">
        <f t="shared" si="128"/>
        <v>0</v>
      </c>
      <c r="AD249" s="692">
        <f t="shared" si="129"/>
        <v>0</v>
      </c>
      <c r="AE249" s="38"/>
      <c r="AF249" s="692">
        <f t="shared" si="130"/>
        <v>0</v>
      </c>
      <c r="AG249" s="692">
        <f t="shared" si="131"/>
        <v>0</v>
      </c>
      <c r="AH249" s="692">
        <f t="shared" si="132"/>
        <v>0</v>
      </c>
    </row>
    <row r="250" spans="1:34">
      <c r="A250" s="21"/>
      <c r="B250" s="21" t="s">
        <v>109</v>
      </c>
      <c r="C250" s="666"/>
      <c r="D250" s="412" t="s">
        <v>164</v>
      </c>
      <c r="E250" s="679"/>
      <c r="F250" s="529" t="str">
        <f>VLOOKUP(D250,'Q4 DMV -  Revenue'!D:T,17,FALSE)</f>
        <v/>
      </c>
      <c r="G250" s="680"/>
      <c r="H250" s="680"/>
      <c r="I250" s="681"/>
      <c r="J250" s="682">
        <f t="shared" si="137"/>
        <v>0</v>
      </c>
      <c r="K250" s="683"/>
      <c r="L250" s="684"/>
      <c r="M250" s="753">
        <v>15000</v>
      </c>
      <c r="N250" s="683">
        <v>0</v>
      </c>
      <c r="O250" s="686"/>
      <c r="P250" s="683">
        <v>0</v>
      </c>
      <c r="Q250" s="687">
        <f t="shared" si="139"/>
        <v>15000</v>
      </c>
      <c r="R250" s="688">
        <f>57.63+28.86+94.52</f>
        <v>181.01</v>
      </c>
      <c r="S250" s="704"/>
      <c r="T250" s="690">
        <f t="shared" si="138"/>
        <v>-14818.99</v>
      </c>
      <c r="U250" s="705"/>
      <c r="V250" s="474">
        <f t="shared" si="133"/>
        <v>0</v>
      </c>
      <c r="W250" s="474">
        <f t="shared" si="125"/>
        <v>15000</v>
      </c>
      <c r="X250" s="475">
        <f t="shared" si="126"/>
        <v>0</v>
      </c>
      <c r="Y250" s="475">
        <v>0</v>
      </c>
      <c r="Z250" s="476">
        <v>0</v>
      </c>
      <c r="AA250" s="38">
        <f t="shared" si="134"/>
        <v>0</v>
      </c>
      <c r="AB250" s="692">
        <f t="shared" si="127"/>
        <v>0</v>
      </c>
      <c r="AC250" s="692">
        <f t="shared" si="128"/>
        <v>0</v>
      </c>
      <c r="AD250" s="692">
        <f t="shared" si="129"/>
        <v>0</v>
      </c>
      <c r="AE250" s="38"/>
      <c r="AF250" s="692">
        <f t="shared" si="130"/>
        <v>0</v>
      </c>
      <c r="AG250" s="692">
        <f t="shared" si="131"/>
        <v>15000</v>
      </c>
      <c r="AH250" s="692">
        <f t="shared" si="132"/>
        <v>0</v>
      </c>
    </row>
    <row r="251" spans="1:34">
      <c r="A251" s="21" t="s">
        <v>109</v>
      </c>
      <c r="B251" s="21" t="s">
        <v>114</v>
      </c>
      <c r="C251" s="666" t="s">
        <v>578</v>
      </c>
      <c r="D251" s="412" t="s">
        <v>318</v>
      </c>
      <c r="E251" s="679"/>
      <c r="F251" s="529">
        <f>VLOOKUP(D251,'Q4 DMV -  Revenue'!D:T,17,FALSE)</f>
        <v>5600</v>
      </c>
      <c r="G251" s="737">
        <v>19850</v>
      </c>
      <c r="H251" s="737">
        <v>21844</v>
      </c>
      <c r="I251" s="681"/>
      <c r="J251" s="682">
        <f t="shared" si="137"/>
        <v>47294</v>
      </c>
      <c r="K251" s="683"/>
      <c r="L251" s="684"/>
      <c r="M251" s="753">
        <v>20000</v>
      </c>
      <c r="N251" s="683">
        <v>0</v>
      </c>
      <c r="O251" s="686"/>
      <c r="P251" s="683">
        <v>0</v>
      </c>
      <c r="Q251" s="687">
        <f t="shared" si="139"/>
        <v>20000</v>
      </c>
      <c r="R251" s="688">
        <v>0</v>
      </c>
      <c r="S251" s="704"/>
      <c r="T251" s="690">
        <f t="shared" si="138"/>
        <v>-20000</v>
      </c>
      <c r="U251" s="683"/>
      <c r="V251" s="474">
        <f t="shared" si="133"/>
        <v>0</v>
      </c>
      <c r="W251" s="474">
        <f t="shared" si="125"/>
        <v>0</v>
      </c>
      <c r="X251" s="475">
        <f t="shared" si="126"/>
        <v>20000</v>
      </c>
      <c r="Y251" s="475">
        <v>0</v>
      </c>
      <c r="Z251" s="476">
        <v>0</v>
      </c>
      <c r="AA251" s="38">
        <f t="shared" si="134"/>
        <v>0</v>
      </c>
      <c r="AB251" s="692">
        <f t="shared" si="127"/>
        <v>0</v>
      </c>
      <c r="AC251" s="692">
        <f t="shared" si="128"/>
        <v>0</v>
      </c>
      <c r="AD251" s="692">
        <f t="shared" si="129"/>
        <v>47294</v>
      </c>
      <c r="AE251" s="38"/>
      <c r="AF251" s="692">
        <f t="shared" si="130"/>
        <v>0</v>
      </c>
      <c r="AG251" s="692">
        <f t="shared" si="131"/>
        <v>0</v>
      </c>
      <c r="AH251" s="692">
        <f t="shared" si="132"/>
        <v>20000</v>
      </c>
    </row>
    <row r="252" spans="1:34">
      <c r="A252" s="20" t="s">
        <v>211</v>
      </c>
      <c r="B252" s="20" t="s">
        <v>109</v>
      </c>
      <c r="C252" s="667"/>
      <c r="D252" s="68" t="s">
        <v>57</v>
      </c>
      <c r="E252" s="679">
        <f>786.7+826.88</f>
        <v>1613.58</v>
      </c>
      <c r="F252" s="529">
        <f>VLOOKUP(D252,'Q4 DMV -  Revenue'!D:T,17,FALSE)</f>
        <v>867.99</v>
      </c>
      <c r="G252" s="680"/>
      <c r="H252" s="680"/>
      <c r="I252" s="681"/>
      <c r="J252" s="682">
        <f t="shared" si="137"/>
        <v>2481.5699999999997</v>
      </c>
      <c r="K252" s="683"/>
      <c r="L252" s="684"/>
      <c r="M252" s="753">
        <v>0</v>
      </c>
      <c r="N252" s="683">
        <v>0</v>
      </c>
      <c r="O252" s="686"/>
      <c r="P252" s="683">
        <v>0</v>
      </c>
      <c r="Q252" s="687">
        <f t="shared" si="139"/>
        <v>0</v>
      </c>
      <c r="R252" s="688"/>
      <c r="S252" s="693"/>
      <c r="T252" s="690" t="str">
        <f t="shared" si="138"/>
        <v/>
      </c>
      <c r="U252" s="683"/>
      <c r="V252" s="474">
        <f t="shared" si="133"/>
        <v>0</v>
      </c>
      <c r="W252" s="474">
        <f t="shared" si="125"/>
        <v>0</v>
      </c>
      <c r="X252" s="475">
        <f t="shared" si="126"/>
        <v>0</v>
      </c>
      <c r="Y252" s="475">
        <v>0</v>
      </c>
      <c r="Z252" s="476">
        <v>0</v>
      </c>
      <c r="AA252" s="38">
        <f t="shared" si="134"/>
        <v>0</v>
      </c>
      <c r="AB252" s="692">
        <f t="shared" si="127"/>
        <v>0</v>
      </c>
      <c r="AC252" s="692">
        <f t="shared" si="128"/>
        <v>2481.5699999999997</v>
      </c>
      <c r="AD252" s="692">
        <f t="shared" si="129"/>
        <v>0</v>
      </c>
      <c r="AE252" s="38"/>
      <c r="AF252" s="692">
        <f t="shared" si="130"/>
        <v>0</v>
      </c>
      <c r="AG252" s="692">
        <f t="shared" si="131"/>
        <v>0</v>
      </c>
      <c r="AH252" s="692">
        <f t="shared" si="132"/>
        <v>0</v>
      </c>
    </row>
    <row r="253" spans="1:34">
      <c r="A253" s="20" t="s">
        <v>109</v>
      </c>
      <c r="B253" s="20" t="s">
        <v>110</v>
      </c>
      <c r="C253" s="667" t="s">
        <v>579</v>
      </c>
      <c r="D253" s="68" t="s">
        <v>239</v>
      </c>
      <c r="E253" s="679">
        <v>-5000.01</v>
      </c>
      <c r="F253" s="529" t="str">
        <f>VLOOKUP(D253,'Q4 DMV -  Revenue'!D:T,17,FALSE)</f>
        <v/>
      </c>
      <c r="G253" s="680"/>
      <c r="H253" s="680"/>
      <c r="I253" s="681"/>
      <c r="J253" s="682">
        <f t="shared" si="137"/>
        <v>-5000.01</v>
      </c>
      <c r="K253" s="683"/>
      <c r="L253" s="684"/>
      <c r="M253" s="753">
        <v>0</v>
      </c>
      <c r="N253" s="683">
        <v>0</v>
      </c>
      <c r="O253" s="686"/>
      <c r="P253" s="683">
        <v>0</v>
      </c>
      <c r="Q253" s="687">
        <f t="shared" si="139"/>
        <v>0</v>
      </c>
      <c r="R253" s="688"/>
      <c r="S253" s="693"/>
      <c r="T253" s="690" t="str">
        <f t="shared" si="138"/>
        <v/>
      </c>
      <c r="U253" s="683"/>
      <c r="V253" s="474">
        <f t="shared" si="133"/>
        <v>0</v>
      </c>
      <c r="W253" s="474">
        <f t="shared" si="125"/>
        <v>0</v>
      </c>
      <c r="X253" s="475">
        <f t="shared" si="126"/>
        <v>0</v>
      </c>
      <c r="Y253" s="475">
        <v>0</v>
      </c>
      <c r="Z253" s="476">
        <v>0</v>
      </c>
      <c r="AA253" s="38">
        <f t="shared" si="134"/>
        <v>0</v>
      </c>
      <c r="AB253" s="692">
        <f t="shared" si="127"/>
        <v>-5000.01</v>
      </c>
      <c r="AC253" s="692">
        <f t="shared" si="128"/>
        <v>0</v>
      </c>
      <c r="AD253" s="692">
        <f t="shared" si="129"/>
        <v>0</v>
      </c>
      <c r="AE253" s="38"/>
      <c r="AF253" s="692">
        <f t="shared" si="130"/>
        <v>0</v>
      </c>
      <c r="AG253" s="692">
        <f t="shared" si="131"/>
        <v>0</v>
      </c>
      <c r="AH253" s="692">
        <f t="shared" si="132"/>
        <v>0</v>
      </c>
    </row>
    <row r="254" spans="1:34">
      <c r="A254" s="20"/>
      <c r="B254" s="20" t="s">
        <v>114</v>
      </c>
      <c r="C254" s="676" t="s">
        <v>621</v>
      </c>
      <c r="D254" s="68" t="s">
        <v>622</v>
      </c>
      <c r="E254" s="679"/>
      <c r="F254" s="529" t="str">
        <f>VLOOKUP(D254,'Q4 DMV -  Revenue'!D:T,17,FALSE)</f>
        <v/>
      </c>
      <c r="G254" s="694">
        <v>119</v>
      </c>
      <c r="H254" s="694">
        <v>268</v>
      </c>
      <c r="I254" s="681"/>
      <c r="J254" s="682">
        <f t="shared" ref="J254" si="140">SUM(E254:I254)</f>
        <v>387</v>
      </c>
      <c r="K254" s="683"/>
      <c r="L254" s="684"/>
      <c r="M254" s="753">
        <v>0</v>
      </c>
      <c r="N254" s="683">
        <v>0</v>
      </c>
      <c r="O254" s="686"/>
      <c r="P254" s="683">
        <v>0</v>
      </c>
      <c r="Q254" s="687">
        <f t="shared" ref="Q254" si="141">L254+M254</f>
        <v>0</v>
      </c>
      <c r="R254" s="688"/>
      <c r="S254" s="704"/>
      <c r="T254" s="690" t="str">
        <f t="shared" ref="T254" si="142">IF(R254="","",R254-Q254)</f>
        <v/>
      </c>
      <c r="U254" s="683"/>
      <c r="V254" s="474">
        <f t="shared" ref="V254" si="143">IF(B254="D",Q254,0)</f>
        <v>0</v>
      </c>
      <c r="W254" s="474">
        <f t="shared" ref="W254" si="144">IF(B254="M",Q254,0)</f>
        <v>0</v>
      </c>
      <c r="X254" s="475">
        <f t="shared" ref="X254" si="145">IF(B254="V",Q254,0)</f>
        <v>0</v>
      </c>
      <c r="Y254" s="475">
        <v>0</v>
      </c>
      <c r="Z254" s="476">
        <v>0</v>
      </c>
      <c r="AA254" s="38">
        <f t="shared" ref="AA254" si="146">(L254+M254)-(V254+W254+X254+Y254+Z254)</f>
        <v>0</v>
      </c>
      <c r="AB254" s="692">
        <f t="shared" ref="AB254" si="147">IF(B254="D",J254,0)</f>
        <v>0</v>
      </c>
      <c r="AC254" s="692">
        <f t="shared" ref="AC254" si="148">IF(B254="M",J254,0)</f>
        <v>0</v>
      </c>
      <c r="AD254" s="692">
        <f t="shared" ref="AD254" si="149">IF(B254="V",J254,0)</f>
        <v>387</v>
      </c>
      <c r="AE254" s="38"/>
      <c r="AF254" s="692">
        <f t="shared" ref="AF254" si="150">IF(B254="D",Q254,0)</f>
        <v>0</v>
      </c>
      <c r="AG254" s="692">
        <f t="shared" ref="AG254" si="151">IF(B254="M",Q254,0)</f>
        <v>0</v>
      </c>
      <c r="AH254" s="692">
        <f t="shared" ref="AH254" si="152">IF(B254="V",Q254,0)</f>
        <v>0</v>
      </c>
    </row>
    <row r="255" spans="1:34">
      <c r="A255" s="20"/>
      <c r="B255" s="20" t="s">
        <v>110</v>
      </c>
      <c r="C255" s="667"/>
      <c r="D255" s="68" t="s">
        <v>497</v>
      </c>
      <c r="E255" s="679"/>
      <c r="F255" s="529" t="str">
        <f>VLOOKUP(D255,'Q4 DMV -  Revenue'!D:T,17,FALSE)</f>
        <v/>
      </c>
      <c r="G255" s="680"/>
      <c r="H255" s="680"/>
      <c r="I255" s="681"/>
      <c r="J255" s="682">
        <f t="shared" si="137"/>
        <v>0</v>
      </c>
      <c r="K255" s="683"/>
      <c r="L255" s="684"/>
      <c r="M255" s="753">
        <v>0</v>
      </c>
      <c r="N255" s="683">
        <v>0</v>
      </c>
      <c r="O255" s="686"/>
      <c r="P255" s="683">
        <v>0</v>
      </c>
      <c r="Q255" s="687">
        <f t="shared" si="139"/>
        <v>0</v>
      </c>
      <c r="R255" s="688">
        <f>244.57+230.46</f>
        <v>475.03</v>
      </c>
      <c r="S255" s="693"/>
      <c r="T255" s="690">
        <f t="shared" si="138"/>
        <v>475.03</v>
      </c>
      <c r="U255" s="683"/>
      <c r="V255" s="474">
        <f t="shared" si="133"/>
        <v>0</v>
      </c>
      <c r="W255" s="474">
        <f t="shared" si="125"/>
        <v>0</v>
      </c>
      <c r="X255" s="475">
        <f t="shared" si="126"/>
        <v>0</v>
      </c>
      <c r="Y255" s="475">
        <v>0</v>
      </c>
      <c r="Z255" s="476">
        <v>0</v>
      </c>
      <c r="AA255" s="38">
        <f t="shared" si="134"/>
        <v>0</v>
      </c>
      <c r="AB255" s="692">
        <f t="shared" si="127"/>
        <v>0</v>
      </c>
      <c r="AC255" s="692">
        <f t="shared" si="128"/>
        <v>0</v>
      </c>
      <c r="AD255" s="692">
        <f t="shared" si="129"/>
        <v>0</v>
      </c>
      <c r="AE255" s="38"/>
      <c r="AF255" s="692">
        <f t="shared" si="130"/>
        <v>0</v>
      </c>
      <c r="AG255" s="692">
        <f t="shared" si="131"/>
        <v>0</v>
      </c>
      <c r="AH255" s="692">
        <f t="shared" si="132"/>
        <v>0</v>
      </c>
    </row>
    <row r="256" spans="1:34">
      <c r="A256" s="20"/>
      <c r="B256" s="20" t="s">
        <v>110</v>
      </c>
      <c r="C256" s="667"/>
      <c r="D256" s="68" t="s">
        <v>509</v>
      </c>
      <c r="E256" s="679"/>
      <c r="F256" s="529">
        <f>VLOOKUP(D256,'Q4 DMV -  Revenue'!D:T,17,FALSE)</f>
        <v>0</v>
      </c>
      <c r="G256" s="680"/>
      <c r="H256" s="680"/>
      <c r="I256" s="681"/>
      <c r="J256" s="682">
        <f t="shared" si="137"/>
        <v>0</v>
      </c>
      <c r="K256" s="683"/>
      <c r="L256" s="684"/>
      <c r="M256" s="753">
        <v>0</v>
      </c>
      <c r="N256" s="683"/>
      <c r="O256" s="686"/>
      <c r="P256" s="683"/>
      <c r="Q256" s="687">
        <f t="shared" si="139"/>
        <v>0</v>
      </c>
      <c r="R256" s="688"/>
      <c r="S256" s="693"/>
      <c r="T256" s="690"/>
      <c r="U256" s="683"/>
      <c r="V256" s="474">
        <f t="shared" si="133"/>
        <v>0</v>
      </c>
      <c r="W256" s="474">
        <f t="shared" si="125"/>
        <v>0</v>
      </c>
      <c r="X256" s="475">
        <f t="shared" si="126"/>
        <v>0</v>
      </c>
      <c r="Y256" s="475">
        <v>0</v>
      </c>
      <c r="Z256" s="476">
        <v>0</v>
      </c>
      <c r="AA256" s="38">
        <f t="shared" si="134"/>
        <v>0</v>
      </c>
      <c r="AB256" s="692">
        <f t="shared" si="127"/>
        <v>0</v>
      </c>
      <c r="AC256" s="692">
        <f t="shared" si="128"/>
        <v>0</v>
      </c>
      <c r="AD256" s="692">
        <f t="shared" si="129"/>
        <v>0</v>
      </c>
      <c r="AE256" s="38"/>
      <c r="AF256" s="692">
        <f t="shared" si="130"/>
        <v>0</v>
      </c>
      <c r="AG256" s="692">
        <f t="shared" si="131"/>
        <v>0</v>
      </c>
      <c r="AH256" s="692">
        <f t="shared" si="132"/>
        <v>0</v>
      </c>
    </row>
    <row r="257" spans="1:34" s="627" customFormat="1">
      <c r="A257" s="610"/>
      <c r="B257" s="610" t="s">
        <v>110</v>
      </c>
      <c r="C257" s="667" t="s">
        <v>580</v>
      </c>
      <c r="D257" s="612" t="s">
        <v>476</v>
      </c>
      <c r="E257" s="679"/>
      <c r="F257" s="529" t="str">
        <f>VLOOKUP(D257,'Q4 DMV -  Revenue'!D:T,17,FALSE)</f>
        <v/>
      </c>
      <c r="G257" s="680"/>
      <c r="H257" s="680"/>
      <c r="I257" s="681"/>
      <c r="J257" s="682">
        <f t="shared" si="137"/>
        <v>0</v>
      </c>
      <c r="K257" s="683"/>
      <c r="L257" s="684"/>
      <c r="M257" s="753">
        <v>0</v>
      </c>
      <c r="N257" s="683">
        <v>0</v>
      </c>
      <c r="O257" s="686"/>
      <c r="P257" s="683">
        <v>0</v>
      </c>
      <c r="Q257" s="687">
        <f t="shared" si="139"/>
        <v>0</v>
      </c>
      <c r="R257" s="688"/>
      <c r="S257" s="706"/>
      <c r="T257" s="690" t="str">
        <f t="shared" si="138"/>
        <v/>
      </c>
      <c r="U257" s="707"/>
      <c r="V257" s="474">
        <f t="shared" si="133"/>
        <v>0</v>
      </c>
      <c r="W257" s="474">
        <f t="shared" si="125"/>
        <v>0</v>
      </c>
      <c r="X257" s="475">
        <f t="shared" si="126"/>
        <v>0</v>
      </c>
      <c r="Y257" s="475">
        <v>0</v>
      </c>
      <c r="Z257" s="476">
        <v>0</v>
      </c>
      <c r="AA257" s="38">
        <f t="shared" si="134"/>
        <v>0</v>
      </c>
      <c r="AB257" s="692">
        <f t="shared" si="127"/>
        <v>0</v>
      </c>
      <c r="AC257" s="692">
        <f t="shared" si="128"/>
        <v>0</v>
      </c>
      <c r="AD257" s="692">
        <f t="shared" si="129"/>
        <v>0</v>
      </c>
      <c r="AE257" s="38"/>
      <c r="AF257" s="692">
        <f t="shared" si="130"/>
        <v>0</v>
      </c>
      <c r="AG257" s="692">
        <f t="shared" si="131"/>
        <v>0</v>
      </c>
      <c r="AH257" s="692">
        <f t="shared" si="132"/>
        <v>0</v>
      </c>
    </row>
    <row r="258" spans="1:34" s="232" customFormat="1">
      <c r="A258" s="283"/>
      <c r="B258" s="283" t="s">
        <v>114</v>
      </c>
      <c r="C258" s="667" t="s">
        <v>580</v>
      </c>
      <c r="D258" s="123" t="s">
        <v>371</v>
      </c>
      <c r="E258" s="679"/>
      <c r="F258" s="529" t="str">
        <f>VLOOKUP(D258,'Q4 DMV -  Revenue'!D:T,17,FALSE)</f>
        <v/>
      </c>
      <c r="G258" s="694">
        <f>115.95+2004.81</f>
        <v>2120.7599999999998</v>
      </c>
      <c r="H258" s="694">
        <f>1836.34+350.35</f>
        <v>2186.69</v>
      </c>
      <c r="I258" s="681"/>
      <c r="J258" s="682">
        <f t="shared" si="137"/>
        <v>4307.45</v>
      </c>
      <c r="K258" s="683"/>
      <c r="L258" s="684"/>
      <c r="M258" s="753">
        <v>0</v>
      </c>
      <c r="N258" s="683">
        <v>0</v>
      </c>
      <c r="O258" s="686"/>
      <c r="P258" s="683">
        <v>0</v>
      </c>
      <c r="Q258" s="687">
        <f t="shared" si="139"/>
        <v>0</v>
      </c>
      <c r="R258" s="688">
        <f>2063.12+438.85</f>
        <v>2501.9699999999998</v>
      </c>
      <c r="S258" s="693"/>
      <c r="T258" s="690">
        <f t="shared" si="138"/>
        <v>2501.9699999999998</v>
      </c>
      <c r="U258" s="683"/>
      <c r="V258" s="474">
        <f t="shared" si="133"/>
        <v>0</v>
      </c>
      <c r="W258" s="474">
        <f t="shared" si="125"/>
        <v>0</v>
      </c>
      <c r="X258" s="475">
        <f t="shared" si="126"/>
        <v>0</v>
      </c>
      <c r="Y258" s="475">
        <v>0</v>
      </c>
      <c r="Z258" s="476">
        <v>0</v>
      </c>
      <c r="AA258" s="38">
        <f t="shared" si="134"/>
        <v>0</v>
      </c>
      <c r="AB258" s="692">
        <f t="shared" si="127"/>
        <v>0</v>
      </c>
      <c r="AC258" s="692">
        <f t="shared" si="128"/>
        <v>0</v>
      </c>
      <c r="AD258" s="692">
        <f t="shared" si="129"/>
        <v>4307.45</v>
      </c>
      <c r="AE258" s="38"/>
      <c r="AF258" s="692">
        <f t="shared" si="130"/>
        <v>0</v>
      </c>
      <c r="AG258" s="692">
        <f t="shared" si="131"/>
        <v>0</v>
      </c>
      <c r="AH258" s="692">
        <f t="shared" si="132"/>
        <v>0</v>
      </c>
    </row>
    <row r="259" spans="1:34" s="232" customFormat="1">
      <c r="A259" s="283"/>
      <c r="B259" s="283" t="s">
        <v>110</v>
      </c>
      <c r="C259" s="667" t="s">
        <v>580</v>
      </c>
      <c r="D259" s="123" t="s">
        <v>422</v>
      </c>
      <c r="E259" s="679"/>
      <c r="F259" s="529" t="str">
        <f>VLOOKUP(D259,'Q4 DMV -  Revenue'!D:T,17,FALSE)</f>
        <v/>
      </c>
      <c r="G259" s="694">
        <v>3189.93</v>
      </c>
      <c r="H259" s="694">
        <v>130.72</v>
      </c>
      <c r="I259" s="681"/>
      <c r="J259" s="682">
        <f t="shared" si="137"/>
        <v>3320.6499999999996</v>
      </c>
      <c r="K259" s="683"/>
      <c r="L259" s="684"/>
      <c r="M259" s="753">
        <v>0</v>
      </c>
      <c r="N259" s="683">
        <v>0</v>
      </c>
      <c r="O259" s="686"/>
      <c r="P259" s="683">
        <v>0</v>
      </c>
      <c r="Q259" s="687">
        <f t="shared" si="139"/>
        <v>0</v>
      </c>
      <c r="R259" s="688"/>
      <c r="S259" s="693"/>
      <c r="T259" s="690" t="str">
        <f t="shared" si="138"/>
        <v/>
      </c>
      <c r="U259" s="683"/>
      <c r="V259" s="474">
        <f t="shared" si="133"/>
        <v>0</v>
      </c>
      <c r="W259" s="474">
        <f t="shared" si="125"/>
        <v>0</v>
      </c>
      <c r="X259" s="475">
        <f t="shared" si="126"/>
        <v>0</v>
      </c>
      <c r="Y259" s="475">
        <v>0</v>
      </c>
      <c r="Z259" s="476">
        <v>0</v>
      </c>
      <c r="AA259" s="38">
        <f t="shared" si="134"/>
        <v>0</v>
      </c>
      <c r="AB259" s="692">
        <f t="shared" si="127"/>
        <v>3320.6499999999996</v>
      </c>
      <c r="AC259" s="692">
        <f t="shared" si="128"/>
        <v>0</v>
      </c>
      <c r="AD259" s="692">
        <f t="shared" si="129"/>
        <v>0</v>
      </c>
      <c r="AE259" s="38"/>
      <c r="AF259" s="692">
        <f t="shared" si="130"/>
        <v>0</v>
      </c>
      <c r="AG259" s="692">
        <f t="shared" si="131"/>
        <v>0</v>
      </c>
      <c r="AH259" s="692">
        <f t="shared" si="132"/>
        <v>0</v>
      </c>
    </row>
    <row r="260" spans="1:34" s="232" customFormat="1">
      <c r="A260" s="283"/>
      <c r="B260" s="283" t="s">
        <v>110</v>
      </c>
      <c r="C260" s="667" t="s">
        <v>580</v>
      </c>
      <c r="D260" s="123" t="s">
        <v>442</v>
      </c>
      <c r="E260" s="679"/>
      <c r="F260" s="529" t="str">
        <f>VLOOKUP(D260,'Q4 DMV -  Revenue'!D:T,17,FALSE)</f>
        <v/>
      </c>
      <c r="G260" s="739">
        <v>215236.72</v>
      </c>
      <c r="H260" s="694">
        <v>253923.38</v>
      </c>
      <c r="I260" s="681"/>
      <c r="J260" s="682">
        <f t="shared" si="137"/>
        <v>469160.1</v>
      </c>
      <c r="K260" s="683"/>
      <c r="L260" s="684">
        <v>311485</v>
      </c>
      <c r="M260" s="753">
        <v>0</v>
      </c>
      <c r="N260" s="683">
        <v>0</v>
      </c>
      <c r="O260" s="686"/>
      <c r="P260" s="683">
        <v>0</v>
      </c>
      <c r="Q260" s="687">
        <f t="shared" si="139"/>
        <v>311485</v>
      </c>
      <c r="R260" s="688">
        <v>309338.8</v>
      </c>
      <c r="S260" s="693"/>
      <c r="T260" s="690">
        <f t="shared" si="138"/>
        <v>-2146.2000000000116</v>
      </c>
      <c r="U260" s="683"/>
      <c r="V260" s="474">
        <f t="shared" si="133"/>
        <v>311485</v>
      </c>
      <c r="W260" s="474">
        <f t="shared" si="125"/>
        <v>0</v>
      </c>
      <c r="X260" s="475">
        <f t="shared" si="126"/>
        <v>0</v>
      </c>
      <c r="Y260" s="475">
        <v>0</v>
      </c>
      <c r="Z260" s="476">
        <v>0</v>
      </c>
      <c r="AA260" s="38">
        <f t="shared" si="134"/>
        <v>0</v>
      </c>
      <c r="AB260" s="692">
        <f t="shared" si="127"/>
        <v>469160.1</v>
      </c>
      <c r="AC260" s="692">
        <f t="shared" si="128"/>
        <v>0</v>
      </c>
      <c r="AD260" s="692">
        <f t="shared" si="129"/>
        <v>0</v>
      </c>
      <c r="AE260" s="38"/>
      <c r="AF260" s="692">
        <f t="shared" si="130"/>
        <v>311485</v>
      </c>
      <c r="AG260" s="692">
        <f t="shared" si="131"/>
        <v>0</v>
      </c>
      <c r="AH260" s="692">
        <f t="shared" si="132"/>
        <v>0</v>
      </c>
    </row>
    <row r="261" spans="1:34">
      <c r="A261" s="20"/>
      <c r="B261" s="20" t="s">
        <v>109</v>
      </c>
      <c r="C261" s="667"/>
      <c r="D261" s="68" t="s">
        <v>304</v>
      </c>
      <c r="E261" s="679"/>
      <c r="F261" s="529" t="str">
        <f>VLOOKUP(D261,'Q4 DMV -  Revenue'!D:T,17,FALSE)</f>
        <v/>
      </c>
      <c r="G261" s="680"/>
      <c r="H261" s="680"/>
      <c r="I261" s="681"/>
      <c r="J261" s="682">
        <f t="shared" si="137"/>
        <v>0</v>
      </c>
      <c r="K261" s="683"/>
      <c r="L261" s="684"/>
      <c r="M261" s="753">
        <v>0</v>
      </c>
      <c r="N261" s="683">
        <v>0</v>
      </c>
      <c r="O261" s="686"/>
      <c r="P261" s="683">
        <v>0</v>
      </c>
      <c r="Q261" s="687">
        <f t="shared" si="139"/>
        <v>0</v>
      </c>
      <c r="R261" s="688"/>
      <c r="S261" s="693"/>
      <c r="T261" s="690" t="str">
        <f t="shared" si="138"/>
        <v/>
      </c>
      <c r="U261" s="683"/>
      <c r="V261" s="474">
        <f t="shared" si="133"/>
        <v>0</v>
      </c>
      <c r="W261" s="474">
        <f t="shared" si="125"/>
        <v>0</v>
      </c>
      <c r="X261" s="475">
        <f t="shared" si="126"/>
        <v>0</v>
      </c>
      <c r="Y261" s="475">
        <v>0</v>
      </c>
      <c r="Z261" s="476">
        <v>0</v>
      </c>
      <c r="AA261" s="38">
        <f t="shared" si="134"/>
        <v>0</v>
      </c>
      <c r="AB261" s="692">
        <f t="shared" si="127"/>
        <v>0</v>
      </c>
      <c r="AC261" s="692">
        <f t="shared" si="128"/>
        <v>0</v>
      </c>
      <c r="AD261" s="692">
        <f t="shared" si="129"/>
        <v>0</v>
      </c>
      <c r="AE261" s="38"/>
      <c r="AF261" s="692">
        <f t="shared" si="130"/>
        <v>0</v>
      </c>
      <c r="AG261" s="692">
        <f t="shared" si="131"/>
        <v>0</v>
      </c>
      <c r="AH261" s="692">
        <f t="shared" si="132"/>
        <v>0</v>
      </c>
    </row>
    <row r="262" spans="1:34">
      <c r="A262" s="21" t="s">
        <v>97</v>
      </c>
      <c r="B262" s="21" t="s">
        <v>109</v>
      </c>
      <c r="C262" s="666"/>
      <c r="D262" s="68" t="s">
        <v>381</v>
      </c>
      <c r="E262" s="679"/>
      <c r="F262" s="529">
        <f>VLOOKUP(D262,'Q4 DMV -  Revenue'!D:T,17,FALSE)</f>
        <v>-2500</v>
      </c>
      <c r="G262" s="680"/>
      <c r="H262" s="680"/>
      <c r="I262" s="681"/>
      <c r="J262" s="682">
        <f t="shared" si="137"/>
        <v>-2500</v>
      </c>
      <c r="K262" s="683"/>
      <c r="L262" s="684"/>
      <c r="M262" s="753">
        <v>0</v>
      </c>
      <c r="N262" s="683">
        <v>0</v>
      </c>
      <c r="O262" s="686"/>
      <c r="P262" s="683">
        <v>0</v>
      </c>
      <c r="Q262" s="687">
        <f t="shared" si="139"/>
        <v>0</v>
      </c>
      <c r="R262" s="688"/>
      <c r="S262" s="693"/>
      <c r="T262" s="690" t="str">
        <f t="shared" si="138"/>
        <v/>
      </c>
      <c r="U262" s="683"/>
      <c r="V262" s="474">
        <f t="shared" si="133"/>
        <v>0</v>
      </c>
      <c r="W262" s="474">
        <f t="shared" si="125"/>
        <v>0</v>
      </c>
      <c r="X262" s="475">
        <f t="shared" si="126"/>
        <v>0</v>
      </c>
      <c r="Y262" s="475">
        <v>0</v>
      </c>
      <c r="Z262" s="476">
        <v>0</v>
      </c>
      <c r="AA262" s="38">
        <f t="shared" si="134"/>
        <v>0</v>
      </c>
      <c r="AB262" s="692">
        <f t="shared" si="127"/>
        <v>0</v>
      </c>
      <c r="AC262" s="692">
        <f t="shared" si="128"/>
        <v>-2500</v>
      </c>
      <c r="AD262" s="692">
        <f t="shared" si="129"/>
        <v>0</v>
      </c>
      <c r="AE262" s="38"/>
      <c r="AF262" s="692">
        <f t="shared" si="130"/>
        <v>0</v>
      </c>
      <c r="AG262" s="692">
        <f t="shared" si="131"/>
        <v>0</v>
      </c>
      <c r="AH262" s="692">
        <f t="shared" si="132"/>
        <v>0</v>
      </c>
    </row>
    <row r="263" spans="1:34">
      <c r="A263" s="21" t="s">
        <v>97</v>
      </c>
      <c r="B263" s="21" t="s">
        <v>114</v>
      </c>
      <c r="C263" s="666"/>
      <c r="D263" s="68" t="s">
        <v>376</v>
      </c>
      <c r="E263" s="679"/>
      <c r="F263" s="529" t="str">
        <f>VLOOKUP(D263,'Q4 DMV -  Revenue'!D:T,17,FALSE)</f>
        <v/>
      </c>
      <c r="G263" s="680"/>
      <c r="H263" s="680"/>
      <c r="I263" s="681"/>
      <c r="J263" s="682">
        <f t="shared" si="137"/>
        <v>0</v>
      </c>
      <c r="K263" s="683"/>
      <c r="L263" s="684"/>
      <c r="M263" s="753">
        <v>0</v>
      </c>
      <c r="N263" s="683">
        <v>0</v>
      </c>
      <c r="O263" s="686"/>
      <c r="P263" s="683">
        <v>0</v>
      </c>
      <c r="Q263" s="687">
        <f t="shared" si="139"/>
        <v>0</v>
      </c>
      <c r="R263" s="688"/>
      <c r="S263" s="693"/>
      <c r="T263" s="690" t="str">
        <f t="shared" si="138"/>
        <v/>
      </c>
      <c r="U263" s="683"/>
      <c r="V263" s="474">
        <f t="shared" si="133"/>
        <v>0</v>
      </c>
      <c r="W263" s="474">
        <f t="shared" si="125"/>
        <v>0</v>
      </c>
      <c r="X263" s="475">
        <f t="shared" si="126"/>
        <v>0</v>
      </c>
      <c r="Y263" s="475">
        <v>0</v>
      </c>
      <c r="Z263" s="476">
        <v>0</v>
      </c>
      <c r="AA263" s="38">
        <f t="shared" si="134"/>
        <v>0</v>
      </c>
      <c r="AB263" s="692">
        <f t="shared" si="127"/>
        <v>0</v>
      </c>
      <c r="AC263" s="692">
        <f t="shared" si="128"/>
        <v>0</v>
      </c>
      <c r="AD263" s="692">
        <f t="shared" si="129"/>
        <v>0</v>
      </c>
      <c r="AE263" s="38"/>
      <c r="AF263" s="692">
        <f t="shared" si="130"/>
        <v>0</v>
      </c>
      <c r="AG263" s="692">
        <f t="shared" si="131"/>
        <v>0</v>
      </c>
      <c r="AH263" s="692">
        <f t="shared" si="132"/>
        <v>0</v>
      </c>
    </row>
    <row r="264" spans="1:34">
      <c r="A264" s="20"/>
      <c r="B264" s="20" t="s">
        <v>110</v>
      </c>
      <c r="C264" s="667"/>
      <c r="D264" s="68" t="s">
        <v>390</v>
      </c>
      <c r="E264" s="679"/>
      <c r="F264" s="529">
        <f>VLOOKUP(D264,'Q4 DMV -  Revenue'!D:T,17,FALSE)</f>
        <v>405.54</v>
      </c>
      <c r="G264" s="680"/>
      <c r="H264" s="680"/>
      <c r="I264" s="681"/>
      <c r="J264" s="682">
        <f t="shared" si="137"/>
        <v>405.54</v>
      </c>
      <c r="K264" s="683"/>
      <c r="L264" s="684"/>
      <c r="M264" s="753">
        <v>0</v>
      </c>
      <c r="N264" s="683">
        <v>0</v>
      </c>
      <c r="O264" s="686"/>
      <c r="P264" s="683">
        <v>0</v>
      </c>
      <c r="Q264" s="687">
        <f t="shared" si="139"/>
        <v>0</v>
      </c>
      <c r="R264" s="688"/>
      <c r="S264" s="693"/>
      <c r="T264" s="690" t="str">
        <f t="shared" si="138"/>
        <v/>
      </c>
      <c r="U264" s="683"/>
      <c r="V264" s="474">
        <f t="shared" si="133"/>
        <v>0</v>
      </c>
      <c r="W264" s="474">
        <f t="shared" si="125"/>
        <v>0</v>
      </c>
      <c r="X264" s="475">
        <f t="shared" si="126"/>
        <v>0</v>
      </c>
      <c r="Y264" s="475">
        <v>0</v>
      </c>
      <c r="Z264" s="476">
        <v>0</v>
      </c>
      <c r="AA264" s="38">
        <f t="shared" si="134"/>
        <v>0</v>
      </c>
      <c r="AB264" s="692">
        <f t="shared" si="127"/>
        <v>405.54</v>
      </c>
      <c r="AC264" s="692">
        <f t="shared" si="128"/>
        <v>0</v>
      </c>
      <c r="AD264" s="692">
        <f t="shared" si="129"/>
        <v>0</v>
      </c>
      <c r="AE264" s="38"/>
      <c r="AF264" s="692">
        <f t="shared" si="130"/>
        <v>0</v>
      </c>
      <c r="AG264" s="692">
        <f t="shared" si="131"/>
        <v>0</v>
      </c>
      <c r="AH264" s="692">
        <f t="shared" si="132"/>
        <v>0</v>
      </c>
    </row>
    <row r="265" spans="1:34">
      <c r="A265" s="20"/>
      <c r="B265" s="20" t="s">
        <v>110</v>
      </c>
      <c r="C265" s="667" t="s">
        <v>581</v>
      </c>
      <c r="D265" s="123" t="s">
        <v>166</v>
      </c>
      <c r="E265" s="679"/>
      <c r="F265" s="529" t="str">
        <f>VLOOKUP(D265,'Q4 DMV -  Revenue'!D:T,17,FALSE)</f>
        <v/>
      </c>
      <c r="G265" s="680"/>
      <c r="H265" s="680"/>
      <c r="I265" s="681"/>
      <c r="J265" s="682">
        <f t="shared" si="137"/>
        <v>0</v>
      </c>
      <c r="K265" s="683"/>
      <c r="L265" s="684"/>
      <c r="M265" s="753">
        <v>0</v>
      </c>
      <c r="N265" s="683">
        <v>0</v>
      </c>
      <c r="O265" s="686"/>
      <c r="P265" s="683">
        <v>0</v>
      </c>
      <c r="Q265" s="687">
        <f t="shared" si="139"/>
        <v>0</v>
      </c>
      <c r="R265" s="688"/>
      <c r="S265" s="693"/>
      <c r="T265" s="690" t="str">
        <f t="shared" si="138"/>
        <v/>
      </c>
      <c r="U265" s="683"/>
      <c r="V265" s="474">
        <f t="shared" si="133"/>
        <v>0</v>
      </c>
      <c r="W265" s="474">
        <f t="shared" si="125"/>
        <v>0</v>
      </c>
      <c r="X265" s="475">
        <f t="shared" si="126"/>
        <v>0</v>
      </c>
      <c r="Y265" s="475">
        <v>0</v>
      </c>
      <c r="Z265" s="476">
        <v>0</v>
      </c>
      <c r="AA265" s="38">
        <f t="shared" si="134"/>
        <v>0</v>
      </c>
      <c r="AB265" s="692">
        <f t="shared" si="127"/>
        <v>0</v>
      </c>
      <c r="AC265" s="692">
        <f t="shared" si="128"/>
        <v>0</v>
      </c>
      <c r="AD265" s="692">
        <f t="shared" si="129"/>
        <v>0</v>
      </c>
      <c r="AE265" s="38"/>
      <c r="AF265" s="692">
        <f t="shared" si="130"/>
        <v>0</v>
      </c>
      <c r="AG265" s="692">
        <f t="shared" si="131"/>
        <v>0</v>
      </c>
      <c r="AH265" s="692">
        <f t="shared" si="132"/>
        <v>0</v>
      </c>
    </row>
    <row r="266" spans="1:34">
      <c r="A266" s="20"/>
      <c r="B266" s="20" t="s">
        <v>109</v>
      </c>
      <c r="C266" s="667" t="s">
        <v>581</v>
      </c>
      <c r="D266" s="123" t="s">
        <v>165</v>
      </c>
      <c r="E266" s="679"/>
      <c r="F266" s="529" t="str">
        <f>VLOOKUP(D266,'Q4 DMV -  Revenue'!D:T,17,FALSE)</f>
        <v/>
      </c>
      <c r="G266" s="680"/>
      <c r="H266" s="680"/>
      <c r="I266" s="681"/>
      <c r="J266" s="682">
        <f t="shared" si="137"/>
        <v>0</v>
      </c>
      <c r="K266" s="683"/>
      <c r="L266" s="684"/>
      <c r="M266" s="753">
        <v>0</v>
      </c>
      <c r="N266" s="683">
        <v>0</v>
      </c>
      <c r="O266" s="686"/>
      <c r="P266" s="683">
        <v>0</v>
      </c>
      <c r="Q266" s="687">
        <f t="shared" si="139"/>
        <v>0</v>
      </c>
      <c r="R266" s="688"/>
      <c r="S266" s="693"/>
      <c r="T266" s="690" t="str">
        <f t="shared" si="138"/>
        <v/>
      </c>
      <c r="U266" s="683"/>
      <c r="V266" s="474">
        <f t="shared" si="133"/>
        <v>0</v>
      </c>
      <c r="W266" s="474">
        <f t="shared" si="125"/>
        <v>0</v>
      </c>
      <c r="X266" s="475">
        <f t="shared" si="126"/>
        <v>0</v>
      </c>
      <c r="Y266" s="475">
        <v>0</v>
      </c>
      <c r="Z266" s="476">
        <v>0</v>
      </c>
      <c r="AA266" s="38">
        <f t="shared" si="134"/>
        <v>0</v>
      </c>
      <c r="AB266" s="692">
        <f t="shared" si="127"/>
        <v>0</v>
      </c>
      <c r="AC266" s="692">
        <f t="shared" si="128"/>
        <v>0</v>
      </c>
      <c r="AD266" s="692">
        <f t="shared" si="129"/>
        <v>0</v>
      </c>
      <c r="AE266" s="38"/>
      <c r="AF266" s="692">
        <f t="shared" si="130"/>
        <v>0</v>
      </c>
      <c r="AG266" s="692">
        <f t="shared" si="131"/>
        <v>0</v>
      </c>
      <c r="AH266" s="692">
        <f t="shared" si="132"/>
        <v>0</v>
      </c>
    </row>
    <row r="267" spans="1:34">
      <c r="A267" s="20"/>
      <c r="B267" s="20" t="s">
        <v>109</v>
      </c>
      <c r="C267" s="667"/>
      <c r="D267" s="123" t="s">
        <v>310</v>
      </c>
      <c r="E267" s="679"/>
      <c r="F267" s="529" t="str">
        <f>VLOOKUP(D267,'Q4 DMV -  Revenue'!D:T,17,FALSE)</f>
        <v/>
      </c>
      <c r="G267" s="680"/>
      <c r="H267" s="680"/>
      <c r="I267" s="681"/>
      <c r="J267" s="682">
        <f t="shared" si="137"/>
        <v>0</v>
      </c>
      <c r="K267" s="683"/>
      <c r="L267" s="684"/>
      <c r="M267" s="753">
        <v>0</v>
      </c>
      <c r="N267" s="683">
        <v>0</v>
      </c>
      <c r="O267" s="686"/>
      <c r="P267" s="683">
        <v>0</v>
      </c>
      <c r="Q267" s="687">
        <f t="shared" si="139"/>
        <v>0</v>
      </c>
      <c r="R267" s="688"/>
      <c r="S267" s="693"/>
      <c r="T267" s="690" t="str">
        <f t="shared" si="138"/>
        <v/>
      </c>
      <c r="U267" s="683"/>
      <c r="V267" s="474">
        <f t="shared" si="133"/>
        <v>0</v>
      </c>
      <c r="W267" s="474">
        <f t="shared" si="125"/>
        <v>0</v>
      </c>
      <c r="X267" s="475">
        <f t="shared" si="126"/>
        <v>0</v>
      </c>
      <c r="Y267" s="475">
        <v>0</v>
      </c>
      <c r="Z267" s="476">
        <v>0</v>
      </c>
      <c r="AA267" s="38">
        <f t="shared" si="134"/>
        <v>0</v>
      </c>
      <c r="AB267" s="692">
        <f t="shared" si="127"/>
        <v>0</v>
      </c>
      <c r="AC267" s="692">
        <f t="shared" si="128"/>
        <v>0</v>
      </c>
      <c r="AD267" s="692">
        <f t="shared" si="129"/>
        <v>0</v>
      </c>
      <c r="AE267" s="38"/>
      <c r="AF267" s="692">
        <f t="shared" si="130"/>
        <v>0</v>
      </c>
      <c r="AG267" s="692">
        <f t="shared" si="131"/>
        <v>0</v>
      </c>
      <c r="AH267" s="692">
        <f t="shared" si="132"/>
        <v>0</v>
      </c>
    </row>
    <row r="268" spans="1:34">
      <c r="A268" s="20"/>
      <c r="B268" s="20" t="s">
        <v>109</v>
      </c>
      <c r="C268" s="667"/>
      <c r="D268" s="123" t="s">
        <v>441</v>
      </c>
      <c r="E268" s="679">
        <f>45.12-2594.67</f>
        <v>-2549.5500000000002</v>
      </c>
      <c r="F268" s="529" t="str">
        <f>VLOOKUP(D268,'Q4 DMV -  Revenue'!D:T,17,FALSE)</f>
        <v/>
      </c>
      <c r="G268" s="680"/>
      <c r="H268" s="680"/>
      <c r="I268" s="681"/>
      <c r="J268" s="682">
        <f t="shared" si="137"/>
        <v>-2549.5500000000002</v>
      </c>
      <c r="K268" s="683"/>
      <c r="L268" s="684"/>
      <c r="M268" s="753">
        <v>0</v>
      </c>
      <c r="N268" s="683">
        <v>0</v>
      </c>
      <c r="O268" s="686"/>
      <c r="P268" s="683">
        <v>0</v>
      </c>
      <c r="Q268" s="687">
        <f t="shared" si="139"/>
        <v>0</v>
      </c>
      <c r="R268" s="688"/>
      <c r="S268" s="693"/>
      <c r="T268" s="690" t="str">
        <f t="shared" si="138"/>
        <v/>
      </c>
      <c r="U268" s="683"/>
      <c r="V268" s="474">
        <f t="shared" si="133"/>
        <v>0</v>
      </c>
      <c r="W268" s="474">
        <f t="shared" si="125"/>
        <v>0</v>
      </c>
      <c r="X268" s="475">
        <f t="shared" si="126"/>
        <v>0</v>
      </c>
      <c r="Y268" s="475">
        <v>0</v>
      </c>
      <c r="Z268" s="476">
        <v>0</v>
      </c>
      <c r="AA268" s="38">
        <f t="shared" si="134"/>
        <v>0</v>
      </c>
      <c r="AB268" s="692">
        <f t="shared" si="127"/>
        <v>0</v>
      </c>
      <c r="AC268" s="692">
        <f t="shared" si="128"/>
        <v>-2549.5500000000002</v>
      </c>
      <c r="AD268" s="692">
        <f t="shared" si="129"/>
        <v>0</v>
      </c>
      <c r="AE268" s="38"/>
      <c r="AF268" s="692">
        <f t="shared" si="130"/>
        <v>0</v>
      </c>
      <c r="AG268" s="692">
        <f t="shared" si="131"/>
        <v>0</v>
      </c>
      <c r="AH268" s="692">
        <f t="shared" si="132"/>
        <v>0</v>
      </c>
    </row>
    <row r="269" spans="1:34">
      <c r="A269" s="20"/>
      <c r="B269" s="20" t="s">
        <v>109</v>
      </c>
      <c r="C269" s="667"/>
      <c r="D269" s="68" t="s">
        <v>121</v>
      </c>
      <c r="E269" s="679">
        <f>341.73+3147.94</f>
        <v>3489.67</v>
      </c>
      <c r="F269" s="529" t="str">
        <f>VLOOKUP(D269,'Q4 DMV -  Revenue'!D:T,17,FALSE)</f>
        <v/>
      </c>
      <c r="G269" s="680"/>
      <c r="H269" s="680"/>
      <c r="I269" s="681"/>
      <c r="J269" s="682">
        <f t="shared" si="137"/>
        <v>3489.67</v>
      </c>
      <c r="K269" s="683"/>
      <c r="L269" s="684"/>
      <c r="M269" s="753">
        <v>0</v>
      </c>
      <c r="N269" s="683">
        <v>0</v>
      </c>
      <c r="O269" s="686"/>
      <c r="P269" s="683">
        <v>0</v>
      </c>
      <c r="Q269" s="687">
        <f t="shared" si="139"/>
        <v>0</v>
      </c>
      <c r="R269" s="688"/>
      <c r="S269" s="693"/>
      <c r="T269" s="690" t="str">
        <f t="shared" si="138"/>
        <v/>
      </c>
      <c r="U269" s="683"/>
      <c r="V269" s="474">
        <f t="shared" si="133"/>
        <v>0</v>
      </c>
      <c r="W269" s="474">
        <f t="shared" si="125"/>
        <v>0</v>
      </c>
      <c r="X269" s="475">
        <f t="shared" si="126"/>
        <v>0</v>
      </c>
      <c r="Y269" s="475">
        <v>0</v>
      </c>
      <c r="Z269" s="476">
        <v>0</v>
      </c>
      <c r="AA269" s="38">
        <f t="shared" si="134"/>
        <v>0</v>
      </c>
      <c r="AB269" s="692">
        <f t="shared" si="127"/>
        <v>0</v>
      </c>
      <c r="AC269" s="692">
        <f t="shared" si="128"/>
        <v>3489.67</v>
      </c>
      <c r="AD269" s="692">
        <f t="shared" si="129"/>
        <v>0</v>
      </c>
      <c r="AE269" s="38"/>
      <c r="AF269" s="692">
        <f t="shared" si="130"/>
        <v>0</v>
      </c>
      <c r="AG269" s="692">
        <f t="shared" si="131"/>
        <v>0</v>
      </c>
      <c r="AH269" s="692">
        <f t="shared" si="132"/>
        <v>0</v>
      </c>
    </row>
    <row r="270" spans="1:34">
      <c r="A270" s="20"/>
      <c r="B270" s="20" t="s">
        <v>110</v>
      </c>
      <c r="C270" s="667"/>
      <c r="D270" s="68" t="s">
        <v>168</v>
      </c>
      <c r="E270" s="679"/>
      <c r="F270" s="529" t="str">
        <f>VLOOKUP(D270,'Q4 DMV -  Revenue'!D:T,17,FALSE)</f>
        <v/>
      </c>
      <c r="G270" s="680"/>
      <c r="H270" s="680"/>
      <c r="I270" s="681"/>
      <c r="J270" s="682">
        <f t="shared" si="137"/>
        <v>0</v>
      </c>
      <c r="K270" s="683"/>
      <c r="L270" s="684"/>
      <c r="M270" s="753">
        <v>0</v>
      </c>
      <c r="N270" s="683">
        <v>0</v>
      </c>
      <c r="O270" s="686"/>
      <c r="P270" s="683">
        <v>0</v>
      </c>
      <c r="Q270" s="687">
        <f t="shared" si="139"/>
        <v>0</v>
      </c>
      <c r="R270" s="688"/>
      <c r="S270" s="693"/>
      <c r="T270" s="690" t="str">
        <f t="shared" si="138"/>
        <v/>
      </c>
      <c r="U270" s="683"/>
      <c r="V270" s="474">
        <f t="shared" si="133"/>
        <v>0</v>
      </c>
      <c r="W270" s="474">
        <f t="shared" si="125"/>
        <v>0</v>
      </c>
      <c r="X270" s="475">
        <f t="shared" si="126"/>
        <v>0</v>
      </c>
      <c r="Y270" s="475">
        <v>0</v>
      </c>
      <c r="Z270" s="476">
        <v>0</v>
      </c>
      <c r="AA270" s="38">
        <f t="shared" si="134"/>
        <v>0</v>
      </c>
      <c r="AB270" s="692">
        <f t="shared" si="127"/>
        <v>0</v>
      </c>
      <c r="AC270" s="692">
        <f t="shared" si="128"/>
        <v>0</v>
      </c>
      <c r="AD270" s="692">
        <f t="shared" si="129"/>
        <v>0</v>
      </c>
      <c r="AE270" s="38"/>
      <c r="AF270" s="692">
        <f t="shared" si="130"/>
        <v>0</v>
      </c>
      <c r="AG270" s="692">
        <f t="shared" si="131"/>
        <v>0</v>
      </c>
      <c r="AH270" s="692">
        <f t="shared" si="132"/>
        <v>0</v>
      </c>
    </row>
    <row r="271" spans="1:34">
      <c r="A271" s="20"/>
      <c r="B271" s="20" t="s">
        <v>109</v>
      </c>
      <c r="C271" s="667" t="s">
        <v>582</v>
      </c>
      <c r="D271" s="68" t="s">
        <v>167</v>
      </c>
      <c r="E271" s="679"/>
      <c r="F271" s="529">
        <f>VLOOKUP(D271,'Q4 DMV -  Revenue'!D:T,17,FALSE)</f>
        <v>62.98</v>
      </c>
      <c r="G271" s="680"/>
      <c r="H271" s="680"/>
      <c r="I271" s="681"/>
      <c r="J271" s="682">
        <f t="shared" si="137"/>
        <v>62.98</v>
      </c>
      <c r="K271" s="683"/>
      <c r="L271" s="684"/>
      <c r="M271" s="753">
        <v>0</v>
      </c>
      <c r="N271" s="683">
        <v>0</v>
      </c>
      <c r="O271" s="686"/>
      <c r="P271" s="683">
        <v>0</v>
      </c>
      <c r="Q271" s="687">
        <f t="shared" si="139"/>
        <v>0</v>
      </c>
      <c r="R271" s="688"/>
      <c r="S271" s="693"/>
      <c r="T271" s="690" t="str">
        <f t="shared" si="138"/>
        <v/>
      </c>
      <c r="U271" s="683"/>
      <c r="V271" s="474">
        <f t="shared" si="133"/>
        <v>0</v>
      </c>
      <c r="W271" s="474">
        <f t="shared" si="125"/>
        <v>0</v>
      </c>
      <c r="X271" s="475">
        <f t="shared" si="126"/>
        <v>0</v>
      </c>
      <c r="Y271" s="475">
        <v>0</v>
      </c>
      <c r="Z271" s="476">
        <v>0</v>
      </c>
      <c r="AA271" s="38">
        <f t="shared" si="134"/>
        <v>0</v>
      </c>
      <c r="AB271" s="692">
        <f t="shared" si="127"/>
        <v>0</v>
      </c>
      <c r="AC271" s="692">
        <f t="shared" si="128"/>
        <v>62.98</v>
      </c>
      <c r="AD271" s="692">
        <f t="shared" si="129"/>
        <v>0</v>
      </c>
      <c r="AE271" s="38"/>
      <c r="AF271" s="692">
        <f t="shared" si="130"/>
        <v>0</v>
      </c>
      <c r="AG271" s="692">
        <f t="shared" si="131"/>
        <v>0</v>
      </c>
      <c r="AH271" s="692">
        <f t="shared" si="132"/>
        <v>0</v>
      </c>
    </row>
    <row r="272" spans="1:34">
      <c r="A272" s="20" t="s">
        <v>218</v>
      </c>
      <c r="B272" s="20" t="s">
        <v>110</v>
      </c>
      <c r="C272" s="667"/>
      <c r="D272" s="68" t="s">
        <v>240</v>
      </c>
      <c r="E272" s="679"/>
      <c r="F272" s="529" t="str">
        <f>VLOOKUP(D272,'Q4 DMV -  Revenue'!D:T,17,FALSE)</f>
        <v/>
      </c>
      <c r="G272" s="680"/>
      <c r="H272" s="680"/>
      <c r="I272" s="681"/>
      <c r="J272" s="682">
        <f t="shared" si="137"/>
        <v>0</v>
      </c>
      <c r="K272" s="683"/>
      <c r="L272" s="684"/>
      <c r="M272" s="753">
        <v>0</v>
      </c>
      <c r="N272" s="683">
        <v>0</v>
      </c>
      <c r="O272" s="686"/>
      <c r="P272" s="683">
        <v>0</v>
      </c>
      <c r="Q272" s="687">
        <f t="shared" si="139"/>
        <v>0</v>
      </c>
      <c r="R272" s="688"/>
      <c r="S272" s="693"/>
      <c r="T272" s="690" t="str">
        <f t="shared" si="138"/>
        <v/>
      </c>
      <c r="U272" s="697"/>
      <c r="V272" s="474">
        <f t="shared" si="133"/>
        <v>0</v>
      </c>
      <c r="W272" s="474">
        <f t="shared" si="125"/>
        <v>0</v>
      </c>
      <c r="X272" s="475">
        <f t="shared" si="126"/>
        <v>0</v>
      </c>
      <c r="Y272" s="475">
        <v>0</v>
      </c>
      <c r="Z272" s="476">
        <v>0</v>
      </c>
      <c r="AA272" s="38">
        <f t="shared" si="134"/>
        <v>0</v>
      </c>
      <c r="AB272" s="692">
        <f t="shared" si="127"/>
        <v>0</v>
      </c>
      <c r="AC272" s="692">
        <f t="shared" si="128"/>
        <v>0</v>
      </c>
      <c r="AD272" s="692">
        <f t="shared" si="129"/>
        <v>0</v>
      </c>
      <c r="AE272" s="38"/>
      <c r="AF272" s="692">
        <f t="shared" si="130"/>
        <v>0</v>
      </c>
      <c r="AG272" s="692">
        <f t="shared" si="131"/>
        <v>0</v>
      </c>
      <c r="AH272" s="692">
        <f t="shared" si="132"/>
        <v>0</v>
      </c>
    </row>
    <row r="273" spans="1:34">
      <c r="A273" s="20" t="s">
        <v>218</v>
      </c>
      <c r="B273" s="20" t="s">
        <v>110</v>
      </c>
      <c r="C273" s="667"/>
      <c r="D273" s="68" t="s">
        <v>60</v>
      </c>
      <c r="E273" s="679"/>
      <c r="F273" s="529">
        <f>VLOOKUP(D273,'Q4 DMV -  Revenue'!D:T,17,FALSE)</f>
        <v>8124.41</v>
      </c>
      <c r="G273" s="680"/>
      <c r="H273" s="680"/>
      <c r="I273" s="681"/>
      <c r="J273" s="682">
        <f t="shared" si="137"/>
        <v>8124.41</v>
      </c>
      <c r="K273" s="683"/>
      <c r="L273" s="684"/>
      <c r="M273" s="753">
        <v>8000</v>
      </c>
      <c r="N273" s="683">
        <v>0</v>
      </c>
      <c r="O273" s="686"/>
      <c r="P273" s="683">
        <v>0</v>
      </c>
      <c r="Q273" s="687">
        <f t="shared" si="139"/>
        <v>8000</v>
      </c>
      <c r="R273" s="688">
        <v>0</v>
      </c>
      <c r="S273" s="693"/>
      <c r="T273" s="690">
        <f t="shared" si="138"/>
        <v>-8000</v>
      </c>
      <c r="U273" s="697"/>
      <c r="V273" s="474">
        <f t="shared" si="133"/>
        <v>8000</v>
      </c>
      <c r="W273" s="474">
        <f t="shared" si="125"/>
        <v>0</v>
      </c>
      <c r="X273" s="475">
        <f t="shared" si="126"/>
        <v>0</v>
      </c>
      <c r="Y273" s="475">
        <v>0</v>
      </c>
      <c r="Z273" s="476">
        <v>0</v>
      </c>
      <c r="AA273" s="38">
        <f t="shared" si="134"/>
        <v>0</v>
      </c>
      <c r="AB273" s="692">
        <f t="shared" si="127"/>
        <v>8124.41</v>
      </c>
      <c r="AC273" s="692">
        <f t="shared" si="128"/>
        <v>0</v>
      </c>
      <c r="AD273" s="692">
        <f t="shared" si="129"/>
        <v>0</v>
      </c>
      <c r="AE273" s="38"/>
      <c r="AF273" s="692">
        <f t="shared" si="130"/>
        <v>8000</v>
      </c>
      <c r="AG273" s="692">
        <f t="shared" si="131"/>
        <v>0</v>
      </c>
      <c r="AH273" s="692">
        <f t="shared" si="132"/>
        <v>0</v>
      </c>
    </row>
    <row r="274" spans="1:34">
      <c r="A274" s="20"/>
      <c r="B274" s="20" t="s">
        <v>110</v>
      </c>
      <c r="C274" s="667"/>
      <c r="D274" s="68" t="s">
        <v>61</v>
      </c>
      <c r="E274" s="679"/>
      <c r="F274" s="529" t="str">
        <f>VLOOKUP(D274,'Q4 DMV -  Revenue'!D:T,17,FALSE)</f>
        <v/>
      </c>
      <c r="G274" s="680"/>
      <c r="H274" s="680"/>
      <c r="I274" s="681"/>
      <c r="J274" s="682">
        <f t="shared" si="137"/>
        <v>0</v>
      </c>
      <c r="K274" s="683"/>
      <c r="L274" s="684"/>
      <c r="M274" s="753">
        <v>0</v>
      </c>
      <c r="N274" s="683">
        <v>0</v>
      </c>
      <c r="O274" s="686"/>
      <c r="P274" s="683">
        <v>0</v>
      </c>
      <c r="Q274" s="687">
        <f t="shared" si="139"/>
        <v>0</v>
      </c>
      <c r="R274" s="688"/>
      <c r="S274" s="693"/>
      <c r="T274" s="690" t="str">
        <f t="shared" si="138"/>
        <v/>
      </c>
      <c r="U274" s="697"/>
      <c r="V274" s="474">
        <f t="shared" si="133"/>
        <v>0</v>
      </c>
      <c r="W274" s="474">
        <f t="shared" si="125"/>
        <v>0</v>
      </c>
      <c r="X274" s="475">
        <f t="shared" si="126"/>
        <v>0</v>
      </c>
      <c r="Y274" s="475">
        <v>0</v>
      </c>
      <c r="Z274" s="476">
        <v>0</v>
      </c>
      <c r="AA274" s="38">
        <f t="shared" si="134"/>
        <v>0</v>
      </c>
      <c r="AB274" s="692">
        <f t="shared" si="127"/>
        <v>0</v>
      </c>
      <c r="AC274" s="692">
        <f t="shared" si="128"/>
        <v>0</v>
      </c>
      <c r="AD274" s="692">
        <f t="shared" si="129"/>
        <v>0</v>
      </c>
      <c r="AE274" s="38"/>
      <c r="AF274" s="692">
        <f t="shared" si="130"/>
        <v>0</v>
      </c>
      <c r="AG274" s="692">
        <f t="shared" si="131"/>
        <v>0</v>
      </c>
      <c r="AH274" s="692">
        <f t="shared" si="132"/>
        <v>0</v>
      </c>
    </row>
    <row r="275" spans="1:34">
      <c r="A275" s="20"/>
      <c r="B275" s="20" t="s">
        <v>110</v>
      </c>
      <c r="C275" s="667" t="s">
        <v>583</v>
      </c>
      <c r="D275" s="68" t="s">
        <v>169</v>
      </c>
      <c r="E275" s="679"/>
      <c r="F275" s="529" t="str">
        <f>VLOOKUP(D275,'Q4 DMV -  Revenue'!D:T,17,FALSE)</f>
        <v/>
      </c>
      <c r="G275" s="694">
        <v>292.06</v>
      </c>
      <c r="H275" s="737">
        <v>317.12</v>
      </c>
      <c r="I275" s="741">
        <v>291.76</v>
      </c>
      <c r="J275" s="682">
        <f t="shared" si="137"/>
        <v>900.94</v>
      </c>
      <c r="K275" s="683"/>
      <c r="L275" s="684"/>
      <c r="M275" s="753">
        <v>0</v>
      </c>
      <c r="N275" s="683">
        <v>0</v>
      </c>
      <c r="O275" s="686"/>
      <c r="P275" s="683">
        <v>0</v>
      </c>
      <c r="Q275" s="687">
        <f t="shared" si="139"/>
        <v>0</v>
      </c>
      <c r="R275" s="688"/>
      <c r="S275" s="693"/>
      <c r="T275" s="690" t="str">
        <f t="shared" si="138"/>
        <v/>
      </c>
      <c r="U275" s="683"/>
      <c r="V275" s="474">
        <f t="shared" si="133"/>
        <v>0</v>
      </c>
      <c r="W275" s="474">
        <f t="shared" si="125"/>
        <v>0</v>
      </c>
      <c r="X275" s="475">
        <f t="shared" si="126"/>
        <v>0</v>
      </c>
      <c r="Y275" s="475">
        <v>0</v>
      </c>
      <c r="Z275" s="476">
        <v>0</v>
      </c>
      <c r="AA275" s="38">
        <f t="shared" si="134"/>
        <v>0</v>
      </c>
      <c r="AB275" s="692">
        <f t="shared" si="127"/>
        <v>900.94</v>
      </c>
      <c r="AC275" s="692">
        <f t="shared" si="128"/>
        <v>0</v>
      </c>
      <c r="AD275" s="692">
        <f t="shared" si="129"/>
        <v>0</v>
      </c>
      <c r="AE275" s="38"/>
      <c r="AF275" s="692">
        <f t="shared" si="130"/>
        <v>0</v>
      </c>
      <c r="AG275" s="692">
        <f t="shared" si="131"/>
        <v>0</v>
      </c>
      <c r="AH275" s="692">
        <f t="shared" si="132"/>
        <v>0</v>
      </c>
    </row>
    <row r="276" spans="1:34">
      <c r="A276" s="21"/>
      <c r="B276" s="21" t="s">
        <v>110</v>
      </c>
      <c r="C276" s="666"/>
      <c r="D276" s="68" t="s">
        <v>590</v>
      </c>
      <c r="E276" s="679"/>
      <c r="F276" s="529" t="str">
        <f>VLOOKUP(D276,'Q4 DMV -  Revenue'!D:T,17,FALSE)</f>
        <v/>
      </c>
      <c r="G276" s="680"/>
      <c r="H276" s="680"/>
      <c r="I276" s="681"/>
      <c r="J276" s="682">
        <f t="shared" si="137"/>
        <v>0</v>
      </c>
      <c r="K276" s="683"/>
      <c r="L276" s="684"/>
      <c r="M276" s="753">
        <v>0</v>
      </c>
      <c r="N276" s="683">
        <v>0</v>
      </c>
      <c r="O276" s="686"/>
      <c r="P276" s="683">
        <v>0</v>
      </c>
      <c r="Q276" s="687">
        <f t="shared" si="139"/>
        <v>0</v>
      </c>
      <c r="R276" s="688"/>
      <c r="S276" s="693"/>
      <c r="T276" s="690" t="str">
        <f t="shared" si="138"/>
        <v/>
      </c>
      <c r="U276" s="683"/>
      <c r="V276" s="474">
        <f t="shared" si="133"/>
        <v>0</v>
      </c>
      <c r="W276" s="474">
        <f t="shared" si="125"/>
        <v>0</v>
      </c>
      <c r="X276" s="475">
        <f t="shared" si="126"/>
        <v>0</v>
      </c>
      <c r="Y276" s="475">
        <v>0</v>
      </c>
      <c r="Z276" s="476">
        <v>0</v>
      </c>
      <c r="AA276" s="38">
        <f t="shared" si="134"/>
        <v>0</v>
      </c>
      <c r="AB276" s="692">
        <f t="shared" si="127"/>
        <v>0</v>
      </c>
      <c r="AC276" s="692">
        <f t="shared" si="128"/>
        <v>0</v>
      </c>
      <c r="AD276" s="692">
        <f t="shared" si="129"/>
        <v>0</v>
      </c>
      <c r="AE276" s="38"/>
      <c r="AF276" s="692">
        <f t="shared" si="130"/>
        <v>0</v>
      </c>
      <c r="AG276" s="692">
        <f t="shared" si="131"/>
        <v>0</v>
      </c>
      <c r="AH276" s="692">
        <f t="shared" si="132"/>
        <v>0</v>
      </c>
    </row>
    <row r="277" spans="1:34">
      <c r="A277" s="21"/>
      <c r="B277" s="21" t="s">
        <v>114</v>
      </c>
      <c r="C277" s="666"/>
      <c r="D277" s="68" t="s">
        <v>591</v>
      </c>
      <c r="E277" s="679"/>
      <c r="F277" s="529" t="str">
        <f>VLOOKUP(D277,'Q4 DMV -  Revenue'!D:T,17,FALSE)</f>
        <v/>
      </c>
      <c r="G277" s="694">
        <f>1624.67+827.96</f>
        <v>2452.63</v>
      </c>
      <c r="H277" s="737">
        <f>1592.95+747.41</f>
        <v>2340.36</v>
      </c>
      <c r="I277" s="681"/>
      <c r="J277" s="682">
        <f t="shared" ref="J277:J281" si="153">SUM(E277:I277)</f>
        <v>4792.99</v>
      </c>
      <c r="K277" s="683"/>
      <c r="L277" s="684"/>
      <c r="M277" s="753">
        <v>2000</v>
      </c>
      <c r="N277" s="683">
        <v>0</v>
      </c>
      <c r="O277" s="686"/>
      <c r="P277" s="683">
        <v>0</v>
      </c>
      <c r="Q277" s="687">
        <f t="shared" si="139"/>
        <v>2000</v>
      </c>
      <c r="R277" s="688">
        <f>575.83+1069.67</f>
        <v>1645.5</v>
      </c>
      <c r="S277" s="693"/>
      <c r="T277" s="690">
        <f t="shared" si="138"/>
        <v>-354.5</v>
      </c>
      <c r="U277" s="683"/>
      <c r="V277" s="474">
        <f t="shared" si="133"/>
        <v>0</v>
      </c>
      <c r="W277" s="474">
        <f t="shared" si="125"/>
        <v>0</v>
      </c>
      <c r="X277" s="475">
        <f t="shared" si="126"/>
        <v>2000</v>
      </c>
      <c r="Y277" s="475">
        <v>0</v>
      </c>
      <c r="Z277" s="476">
        <v>0</v>
      </c>
      <c r="AA277" s="38">
        <f t="shared" si="134"/>
        <v>0</v>
      </c>
      <c r="AB277" s="692">
        <f t="shared" si="127"/>
        <v>0</v>
      </c>
      <c r="AC277" s="692">
        <f t="shared" si="128"/>
        <v>0</v>
      </c>
      <c r="AD277" s="692">
        <f t="shared" si="129"/>
        <v>4792.99</v>
      </c>
      <c r="AE277" s="38"/>
      <c r="AF277" s="692">
        <f t="shared" si="130"/>
        <v>0</v>
      </c>
      <c r="AG277" s="692">
        <f t="shared" si="131"/>
        <v>0</v>
      </c>
      <c r="AH277" s="692">
        <f t="shared" si="132"/>
        <v>2000</v>
      </c>
    </row>
    <row r="278" spans="1:34">
      <c r="A278" s="21"/>
      <c r="B278" s="21" t="s">
        <v>114</v>
      </c>
      <c r="C278" s="672"/>
      <c r="D278" s="519" t="s">
        <v>433</v>
      </c>
      <c r="E278" s="679">
        <f>811.38+2494.38+39.75</f>
        <v>3345.51</v>
      </c>
      <c r="F278" s="529">
        <f>VLOOKUP(D278,'Q4 DMV -  Revenue'!D:T,17,FALSE)</f>
        <v>8.4700000000000006</v>
      </c>
      <c r="G278" s="694">
        <v>3.16</v>
      </c>
      <c r="H278" s="680"/>
      <c r="I278" s="681"/>
      <c r="J278" s="682">
        <f t="shared" si="153"/>
        <v>3357.14</v>
      </c>
      <c r="K278" s="683"/>
      <c r="L278" s="684"/>
      <c r="M278" s="753">
        <v>0</v>
      </c>
      <c r="N278" s="683">
        <v>0</v>
      </c>
      <c r="O278" s="686"/>
      <c r="P278" s="683">
        <v>0</v>
      </c>
      <c r="Q278" s="687">
        <f t="shared" si="139"/>
        <v>0</v>
      </c>
      <c r="R278" s="688"/>
      <c r="S278" s="693"/>
      <c r="T278" s="690" t="str">
        <f t="shared" si="138"/>
        <v/>
      </c>
      <c r="U278" s="683"/>
      <c r="V278" s="474">
        <f t="shared" si="133"/>
        <v>0</v>
      </c>
      <c r="W278" s="474">
        <f t="shared" si="125"/>
        <v>0</v>
      </c>
      <c r="X278" s="475">
        <f t="shared" si="126"/>
        <v>0</v>
      </c>
      <c r="Y278" s="475">
        <v>0</v>
      </c>
      <c r="Z278" s="476">
        <v>0</v>
      </c>
      <c r="AA278" s="38">
        <f t="shared" si="134"/>
        <v>0</v>
      </c>
      <c r="AB278" s="692">
        <f t="shared" si="127"/>
        <v>0</v>
      </c>
      <c r="AC278" s="692">
        <f t="shared" si="128"/>
        <v>0</v>
      </c>
      <c r="AD278" s="692">
        <f t="shared" si="129"/>
        <v>3357.14</v>
      </c>
      <c r="AE278" s="38"/>
      <c r="AF278" s="692">
        <f t="shared" si="130"/>
        <v>0</v>
      </c>
      <c r="AG278" s="692">
        <f t="shared" si="131"/>
        <v>0</v>
      </c>
      <c r="AH278" s="692">
        <f t="shared" si="132"/>
        <v>0</v>
      </c>
    </row>
    <row r="279" spans="1:34">
      <c r="A279" s="21"/>
      <c r="B279" s="21" t="s">
        <v>114</v>
      </c>
      <c r="C279" s="672"/>
      <c r="D279" s="519" t="s">
        <v>594</v>
      </c>
      <c r="E279" s="679"/>
      <c r="F279" s="529" t="str">
        <f>VLOOKUP(D279,'Q4 DMV -  Revenue'!D:T,17,FALSE)</f>
        <v/>
      </c>
      <c r="G279" s="680"/>
      <c r="H279" s="680"/>
      <c r="I279" s="681"/>
      <c r="J279" s="682">
        <f t="shared" si="153"/>
        <v>0</v>
      </c>
      <c r="K279" s="683"/>
      <c r="L279" s="684"/>
      <c r="M279" s="753">
        <v>0</v>
      </c>
      <c r="N279" s="683">
        <v>0</v>
      </c>
      <c r="O279" s="686"/>
      <c r="P279" s="683">
        <v>0</v>
      </c>
      <c r="Q279" s="687">
        <f t="shared" si="139"/>
        <v>0</v>
      </c>
      <c r="R279" s="688"/>
      <c r="S279" s="693"/>
      <c r="T279" s="690" t="str">
        <f t="shared" si="138"/>
        <v/>
      </c>
      <c r="U279" s="683"/>
      <c r="V279" s="474">
        <f t="shared" si="133"/>
        <v>0</v>
      </c>
      <c r="W279" s="474">
        <f t="shared" si="125"/>
        <v>0</v>
      </c>
      <c r="X279" s="475">
        <f t="shared" si="126"/>
        <v>0</v>
      </c>
      <c r="Y279" s="475">
        <v>0</v>
      </c>
      <c r="Z279" s="476">
        <v>0</v>
      </c>
      <c r="AA279" s="38">
        <f t="shared" si="134"/>
        <v>0</v>
      </c>
      <c r="AB279" s="692">
        <f t="shared" si="127"/>
        <v>0</v>
      </c>
      <c r="AC279" s="692">
        <f t="shared" si="128"/>
        <v>0</v>
      </c>
      <c r="AD279" s="692">
        <f t="shared" si="129"/>
        <v>0</v>
      </c>
      <c r="AE279" s="38"/>
      <c r="AF279" s="692">
        <f t="shared" si="130"/>
        <v>0</v>
      </c>
      <c r="AG279" s="692">
        <f t="shared" si="131"/>
        <v>0</v>
      </c>
      <c r="AH279" s="692">
        <f t="shared" si="132"/>
        <v>0</v>
      </c>
    </row>
    <row r="280" spans="1:34">
      <c r="A280" s="21"/>
      <c r="B280" s="21" t="s">
        <v>110</v>
      </c>
      <c r="C280" s="672"/>
      <c r="D280" s="519" t="s">
        <v>596</v>
      </c>
      <c r="E280" s="679"/>
      <c r="F280" s="529" t="str">
        <f>VLOOKUP(D280,'Q4 DMV -  Revenue'!D:T,17,FALSE)</f>
        <v/>
      </c>
      <c r="G280" s="680"/>
      <c r="H280" s="680"/>
      <c r="I280" s="681"/>
      <c r="J280" s="682">
        <f t="shared" ref="J280" si="154">SUM(E280:I280)</f>
        <v>0</v>
      </c>
      <c r="K280" s="683"/>
      <c r="L280" s="684"/>
      <c r="M280" s="685">
        <v>0</v>
      </c>
      <c r="N280" s="683">
        <v>0</v>
      </c>
      <c r="O280" s="686"/>
      <c r="P280" s="683">
        <v>0</v>
      </c>
      <c r="Q280" s="687">
        <f t="shared" si="139"/>
        <v>0</v>
      </c>
      <c r="R280" s="688"/>
      <c r="S280" s="693"/>
      <c r="T280" s="690" t="str">
        <f t="shared" si="138"/>
        <v/>
      </c>
      <c r="U280" s="683"/>
      <c r="V280" s="474">
        <f t="shared" si="133"/>
        <v>0</v>
      </c>
      <c r="W280" s="474">
        <f t="shared" si="125"/>
        <v>0</v>
      </c>
      <c r="X280" s="475">
        <f t="shared" si="126"/>
        <v>0</v>
      </c>
      <c r="Y280" s="475">
        <v>0</v>
      </c>
      <c r="Z280" s="476">
        <v>0</v>
      </c>
      <c r="AA280" s="38">
        <f t="shared" si="134"/>
        <v>0</v>
      </c>
      <c r="AB280" s="692">
        <f t="shared" si="127"/>
        <v>0</v>
      </c>
      <c r="AC280" s="692">
        <f t="shared" si="128"/>
        <v>0</v>
      </c>
      <c r="AD280" s="692">
        <f t="shared" si="129"/>
        <v>0</v>
      </c>
      <c r="AE280" s="38"/>
      <c r="AF280" s="692">
        <f t="shared" si="130"/>
        <v>0</v>
      </c>
      <c r="AG280" s="692">
        <f t="shared" si="131"/>
        <v>0</v>
      </c>
      <c r="AH280" s="692">
        <f t="shared" si="132"/>
        <v>0</v>
      </c>
    </row>
    <row r="281" spans="1:34" s="146" customFormat="1">
      <c r="A281" s="21"/>
      <c r="B281" s="21" t="s">
        <v>109</v>
      </c>
      <c r="C281" s="666"/>
      <c r="D281" s="68" t="s">
        <v>93</v>
      </c>
      <c r="E281" s="679"/>
      <c r="F281" s="529" t="str">
        <f>VLOOKUP(D281,'Q4 DMV -  Revenue'!D:T,17,FALSE)</f>
        <v/>
      </c>
      <c r="G281" s="680"/>
      <c r="H281" s="680"/>
      <c r="I281" s="681"/>
      <c r="J281" s="682">
        <f t="shared" si="153"/>
        <v>0</v>
      </c>
      <c r="K281" s="683"/>
      <c r="L281" s="684"/>
      <c r="M281" s="685">
        <v>0</v>
      </c>
      <c r="N281" s="683">
        <v>0</v>
      </c>
      <c r="O281" s="686"/>
      <c r="P281" s="683">
        <v>0</v>
      </c>
      <c r="Q281" s="687">
        <f t="shared" si="139"/>
        <v>0</v>
      </c>
      <c r="R281" s="688"/>
      <c r="S281" s="693"/>
      <c r="T281" s="690" t="str">
        <f t="shared" si="138"/>
        <v/>
      </c>
      <c r="U281" s="683"/>
      <c r="V281" s="474">
        <f t="shared" si="133"/>
        <v>0</v>
      </c>
      <c r="W281" s="474">
        <f t="shared" si="125"/>
        <v>0</v>
      </c>
      <c r="X281" s="475">
        <f t="shared" si="126"/>
        <v>0</v>
      </c>
      <c r="Y281" s="475">
        <v>0</v>
      </c>
      <c r="Z281" s="476">
        <v>0</v>
      </c>
      <c r="AA281" s="38">
        <f t="shared" si="134"/>
        <v>0</v>
      </c>
      <c r="AB281" s="692">
        <f t="shared" si="127"/>
        <v>0</v>
      </c>
      <c r="AC281" s="692">
        <f t="shared" si="128"/>
        <v>0</v>
      </c>
      <c r="AD281" s="692">
        <f t="shared" si="129"/>
        <v>0</v>
      </c>
      <c r="AE281" s="38"/>
      <c r="AF281" s="692">
        <f t="shared" si="130"/>
        <v>0</v>
      </c>
      <c r="AG281" s="692">
        <f t="shared" si="131"/>
        <v>0</v>
      </c>
      <c r="AH281" s="692">
        <f t="shared" si="132"/>
        <v>0</v>
      </c>
    </row>
    <row r="282" spans="1:34" s="146" customFormat="1" ht="13" thickBot="1">
      <c r="A282" s="21"/>
      <c r="B282" s="21" t="s">
        <v>110</v>
      </c>
      <c r="C282" s="666"/>
      <c r="D282" s="68" t="s">
        <v>593</v>
      </c>
      <c r="E282" s="679"/>
      <c r="F282" s="529" t="str">
        <f>VLOOKUP(D282,'Q4 DMV -  Revenue'!D:T,17,FALSE)</f>
        <v/>
      </c>
      <c r="G282" s="694">
        <v>6.61</v>
      </c>
      <c r="H282" s="694">
        <v>11.08</v>
      </c>
      <c r="I282" s="746"/>
      <c r="J282" s="682">
        <f t="shared" ref="J282" si="155">SUM(E282:I282)</f>
        <v>17.690000000000001</v>
      </c>
      <c r="K282" s="683"/>
      <c r="L282" s="684"/>
      <c r="M282" s="685">
        <v>0</v>
      </c>
      <c r="N282" s="683">
        <v>0</v>
      </c>
      <c r="O282" s="686"/>
      <c r="P282" s="683">
        <v>0</v>
      </c>
      <c r="Q282" s="687">
        <f t="shared" si="139"/>
        <v>0</v>
      </c>
      <c r="R282" s="688"/>
      <c r="S282" s="693"/>
      <c r="T282" s="690" t="str">
        <f t="shared" si="138"/>
        <v/>
      </c>
      <c r="U282" s="683"/>
      <c r="V282" s="474">
        <f t="shared" si="133"/>
        <v>0</v>
      </c>
      <c r="W282" s="474">
        <f t="shared" si="125"/>
        <v>0</v>
      </c>
      <c r="X282" s="475">
        <f t="shared" si="126"/>
        <v>0</v>
      </c>
      <c r="Y282" s="475">
        <v>0</v>
      </c>
      <c r="Z282" s="476">
        <v>0</v>
      </c>
      <c r="AA282" s="38">
        <f t="shared" si="134"/>
        <v>0</v>
      </c>
      <c r="AB282" s="692">
        <f t="shared" si="127"/>
        <v>17.690000000000001</v>
      </c>
      <c r="AC282" s="692">
        <f t="shared" si="128"/>
        <v>0</v>
      </c>
      <c r="AD282" s="692">
        <f t="shared" si="129"/>
        <v>0</v>
      </c>
      <c r="AE282" s="38"/>
      <c r="AF282" s="692">
        <f t="shared" si="130"/>
        <v>0</v>
      </c>
      <c r="AG282" s="692">
        <f t="shared" si="131"/>
        <v>0</v>
      </c>
      <c r="AH282" s="692">
        <f t="shared" si="132"/>
        <v>0</v>
      </c>
    </row>
    <row r="283" spans="1:34" ht="13" thickBot="1">
      <c r="A283" s="107"/>
      <c r="B283" s="108"/>
      <c r="C283" s="673"/>
      <c r="D283" s="71" t="s">
        <v>86</v>
      </c>
      <c r="E283" s="454">
        <f t="shared" ref="E283:J283" si="156">SUM(E19:E282)</f>
        <v>165939.01000000004</v>
      </c>
      <c r="F283" s="454">
        <f t="shared" si="156"/>
        <v>256489.54000000004</v>
      </c>
      <c r="G283" s="454">
        <f t="shared" si="156"/>
        <v>8050059.1900000004</v>
      </c>
      <c r="H283" s="454">
        <f t="shared" si="156"/>
        <v>6681017.6499999994</v>
      </c>
      <c r="I283" s="454">
        <f t="shared" si="156"/>
        <v>4480404.6700000009</v>
      </c>
      <c r="J283" s="454">
        <f t="shared" si="156"/>
        <v>19633590.41</v>
      </c>
      <c r="K283" s="454"/>
      <c r="L283" s="454">
        <f>SUM(L19:L282)</f>
        <v>311485</v>
      </c>
      <c r="M283" s="454">
        <f>SUM(M19:M282)</f>
        <v>2560000</v>
      </c>
      <c r="N283" s="454">
        <f>SUM(N19:N282)</f>
        <v>0</v>
      </c>
      <c r="O283" s="100">
        <f>SUM(O19:O282)</f>
        <v>0</v>
      </c>
      <c r="P283" s="157">
        <f>SUM(P21:P282)</f>
        <v>0</v>
      </c>
      <c r="Q283" s="100">
        <f>SUM(Q19:Q282)</f>
        <v>2871485</v>
      </c>
      <c r="R283" s="100">
        <f>SUM(R19:R282)</f>
        <v>2806171.8599999989</v>
      </c>
      <c r="S283" s="708"/>
      <c r="T283" s="100">
        <f>SUM(T19:T282)</f>
        <v>-65313.139999999934</v>
      </c>
      <c r="U283" s="683"/>
      <c r="V283" s="314">
        <f>SUM(V19:V282)</f>
        <v>2352485</v>
      </c>
      <c r="W283" s="314">
        <f>SUM(W19:W282)</f>
        <v>470000</v>
      </c>
      <c r="X283" s="314">
        <f>SUM(X19:X282)</f>
        <v>49000</v>
      </c>
      <c r="Y283" s="314">
        <f t="shared" ref="Y283:Z283" si="157">SUM(Y19:Y282)</f>
        <v>0</v>
      </c>
      <c r="Z283" s="314">
        <f t="shared" si="157"/>
        <v>0</v>
      </c>
      <c r="AA283" s="38"/>
      <c r="AB283" s="314">
        <f>SUM(AB19:AB282)</f>
        <v>18783540.850000001</v>
      </c>
      <c r="AC283" s="314">
        <f>SUM(AC19:AC282)</f>
        <v>723003.57</v>
      </c>
      <c r="AD283" s="314">
        <f>SUM(AD19:AD282)</f>
        <v>127045.98999999999</v>
      </c>
      <c r="AE283" s="38"/>
      <c r="AF283" s="314">
        <f>SUM(AF19:AF282)</f>
        <v>2352485</v>
      </c>
      <c r="AG283" s="314">
        <f>SUM(AG19:AG282)</f>
        <v>470000</v>
      </c>
      <c r="AH283" s="314">
        <f>SUM(AH19:AH282)</f>
        <v>49000</v>
      </c>
    </row>
    <row r="284" spans="1:34" ht="13" thickBot="1">
      <c r="A284" s="65"/>
      <c r="B284" s="65"/>
      <c r="C284" s="674"/>
      <c r="D284" s="141"/>
      <c r="E284" s="709" t="s">
        <v>293</v>
      </c>
      <c r="F284" s="160">
        <f>F283+E283</f>
        <v>422428.55000000005</v>
      </c>
      <c r="G284" s="153"/>
      <c r="H284" s="153" t="s">
        <v>225</v>
      </c>
      <c r="I284" s="160">
        <f>I283+H283+G283</f>
        <v>19211481.510000002</v>
      </c>
      <c r="J284" s="323"/>
      <c r="K284" s="153"/>
      <c r="L284" s="153" t="s">
        <v>296</v>
      </c>
      <c r="M284" s="100">
        <f>M283+L283</f>
        <v>2871485</v>
      </c>
      <c r="N284" s="153"/>
      <c r="O284" s="641"/>
      <c r="P284" s="153"/>
      <c r="Q284" s="153"/>
      <c r="R284" s="153"/>
      <c r="S284" s="153"/>
      <c r="T284" s="153"/>
      <c r="U284" s="153"/>
      <c r="V284" s="139"/>
      <c r="W284" s="139"/>
      <c r="X284" s="139"/>
      <c r="Y284" s="139"/>
      <c r="Z284" s="104"/>
      <c r="AA284" s="38"/>
      <c r="AB284" s="711"/>
      <c r="AC284" s="711"/>
      <c r="AD284" s="711"/>
      <c r="AE284" s="38"/>
      <c r="AF284" s="38"/>
      <c r="AG284" s="38"/>
      <c r="AH284" s="38"/>
    </row>
    <row r="285" spans="1:34" ht="13" thickBot="1">
      <c r="A285" s="65"/>
      <c r="B285" s="65"/>
      <c r="C285" s="674"/>
      <c r="E285" s="159"/>
      <c r="F285" s="153"/>
      <c r="G285" s="153"/>
      <c r="H285" s="153"/>
      <c r="I285" s="153"/>
      <c r="J285" s="153"/>
      <c r="K285" s="153"/>
      <c r="L285" s="153"/>
      <c r="M285" s="710"/>
      <c r="N285" s="153"/>
      <c r="O285" s="153"/>
      <c r="P285" s="153"/>
      <c r="Q285" s="153"/>
      <c r="R285" s="153"/>
      <c r="S285" s="153"/>
      <c r="T285" s="153"/>
      <c r="U285" s="153"/>
      <c r="V285" s="331" t="s">
        <v>345</v>
      </c>
      <c r="W285" s="139"/>
      <c r="X285" s="139"/>
      <c r="Y285" s="139"/>
      <c r="Z285" s="104"/>
      <c r="AA285" s="164" t="s">
        <v>630</v>
      </c>
      <c r="AB285" s="751">
        <f>-(6569.67-G258)</f>
        <v>-4448.91</v>
      </c>
      <c r="AC285" s="104"/>
      <c r="AD285" s="751">
        <f>6569.67-G258</f>
        <v>4448.91</v>
      </c>
      <c r="AE285" s="38"/>
      <c r="AF285" s="711"/>
      <c r="AG285" s="711"/>
      <c r="AH285" s="711"/>
    </row>
    <row r="286" spans="1:34" ht="17" thickTop="1" thickBot="1">
      <c r="E286" s="712"/>
      <c r="F286" s="713"/>
      <c r="G286" s="714"/>
      <c r="H286" s="715"/>
      <c r="I286" s="79"/>
      <c r="J286" s="164"/>
      <c r="K286" s="169"/>
      <c r="L286" s="233"/>
      <c r="M286" s="233"/>
      <c r="N286" s="38"/>
      <c r="O286" s="642"/>
      <c r="P286" s="139"/>
      <c r="Q286" s="139"/>
      <c r="R286" s="33"/>
      <c r="S286" s="33"/>
      <c r="T286" s="33"/>
      <c r="U286" s="169"/>
      <c r="V286" s="332"/>
      <c r="W286" s="333"/>
      <c r="X286" s="491"/>
      <c r="Y286" s="491"/>
      <c r="Z286" s="334"/>
      <c r="AA286" s="164" t="s">
        <v>631</v>
      </c>
      <c r="AB286" s="104">
        <f>-147969.59-84869.09-79038.43</f>
        <v>-311877.11</v>
      </c>
      <c r="AC286" s="38"/>
      <c r="AD286" s="104">
        <f>-SUM(AB286)</f>
        <v>311877.11</v>
      </c>
      <c r="AE286" s="38"/>
      <c r="AF286" s="38"/>
      <c r="AG286" s="38"/>
      <c r="AH286" s="38"/>
    </row>
    <row r="287" spans="1:34" ht="17" thickBot="1">
      <c r="E287" s="712"/>
      <c r="F287" s="713"/>
      <c r="G287" s="714"/>
      <c r="H287" s="715"/>
      <c r="I287" s="716" t="s">
        <v>615</v>
      </c>
      <c r="J287" s="79">
        <f>J283</f>
        <v>19633590.41</v>
      </c>
      <c r="K287" s="169"/>
      <c r="L287" s="169"/>
      <c r="M287" s="493"/>
      <c r="N287" s="38"/>
      <c r="O287" s="80"/>
      <c r="P287" s="104"/>
      <c r="Q287" s="139"/>
      <c r="R287" s="33"/>
      <c r="S287" s="33"/>
      <c r="T287" s="33"/>
      <c r="U287" s="169"/>
      <c r="V287" s="487"/>
      <c r="W287" s="488"/>
      <c r="X287" s="492" t="s">
        <v>399</v>
      </c>
      <c r="Y287" s="492" t="s">
        <v>400</v>
      </c>
      <c r="Z287" s="488"/>
      <c r="AA287" s="717" t="s">
        <v>475</v>
      </c>
      <c r="AB287" s="718">
        <f>SUM(AB283:AB286)</f>
        <v>18467214.830000002</v>
      </c>
      <c r="AC287" s="718">
        <f>AC283</f>
        <v>723003.57</v>
      </c>
      <c r="AD287" s="718">
        <f>SUM(AD283:AD286)</f>
        <v>443372.01</v>
      </c>
      <c r="AE287" s="718"/>
      <c r="AF287" s="718">
        <f>AF283</f>
        <v>2352485</v>
      </c>
      <c r="AG287" s="718">
        <f>AG283</f>
        <v>470000</v>
      </c>
      <c r="AH287" s="719">
        <f>AH283</f>
        <v>49000</v>
      </c>
    </row>
    <row r="288" spans="1:34" ht="15" thickBot="1">
      <c r="D288" s="143" t="s">
        <v>608</v>
      </c>
      <c r="E288" s="712"/>
      <c r="F288" s="713"/>
      <c r="G288" s="714"/>
      <c r="H288" s="720"/>
      <c r="I288" s="721" t="s">
        <v>251</v>
      </c>
      <c r="J288" s="750">
        <v>-19633590.59</v>
      </c>
      <c r="K288" s="169"/>
      <c r="L288" s="722"/>
      <c r="M288" s="642"/>
      <c r="N288" s="33"/>
      <c r="O288" s="80"/>
      <c r="P288" s="104"/>
      <c r="Q288" s="139"/>
      <c r="R288" s="33"/>
      <c r="S288" s="33"/>
      <c r="T288" s="33"/>
      <c r="U288" s="169"/>
      <c r="V288" s="158" t="s">
        <v>609</v>
      </c>
      <c r="W288" s="104" t="s">
        <v>352</v>
      </c>
      <c r="X288" s="104">
        <f>V283+W283+X283</f>
        <v>2871485</v>
      </c>
      <c r="Y288" s="104"/>
      <c r="Z288" s="136"/>
      <c r="AA288" s="723"/>
      <c r="AB288" s="38"/>
      <c r="AC288" s="38"/>
      <c r="AD288" s="38"/>
      <c r="AE288" s="38"/>
      <c r="AF288" s="38"/>
      <c r="AG288" s="38"/>
      <c r="AH288" s="38"/>
    </row>
    <row r="289" spans="4:34" ht="15" thickTop="1">
      <c r="D289" s="143" t="s">
        <v>607</v>
      </c>
      <c r="E289" s="712"/>
      <c r="F289" s="713"/>
      <c r="G289" s="714"/>
      <c r="H289" s="714" t="s">
        <v>249</v>
      </c>
      <c r="I289" s="723" t="s">
        <v>454</v>
      </c>
      <c r="J289" s="173">
        <f>J288+J287</f>
        <v>-0.17999999970197678</v>
      </c>
      <c r="K289" s="169"/>
      <c r="L289" s="722"/>
      <c r="M289" s="80"/>
      <c r="N289" s="104"/>
      <c r="O289" s="173"/>
      <c r="P289" s="104"/>
      <c r="Q289" s="139"/>
      <c r="R289" s="139"/>
      <c r="S289" s="139"/>
      <c r="T289" s="139"/>
      <c r="U289" s="169"/>
      <c r="V289" s="158"/>
      <c r="W289" s="104"/>
      <c r="X289" s="104"/>
      <c r="Y289" s="104"/>
      <c r="Z289" s="136"/>
      <c r="AA289" s="723"/>
      <c r="AB289" s="38"/>
      <c r="AC289" s="38"/>
      <c r="AD289" s="38"/>
      <c r="AE289" s="38"/>
      <c r="AF289" s="38"/>
      <c r="AG289" s="38"/>
      <c r="AH289" s="38"/>
    </row>
    <row r="290" spans="4:34" ht="14">
      <c r="D290" s="143" t="s">
        <v>606</v>
      </c>
      <c r="E290" s="712"/>
      <c r="F290" s="713"/>
      <c r="G290" s="714"/>
      <c r="H290" s="714"/>
      <c r="I290" s="724"/>
      <c r="J290" s="80"/>
      <c r="K290" s="169"/>
      <c r="L290" s="722"/>
      <c r="M290" s="104"/>
      <c r="N290" s="38"/>
      <c r="O290" s="139"/>
      <c r="P290" s="104"/>
      <c r="Q290" s="139"/>
      <c r="R290" s="139"/>
      <c r="S290" s="139"/>
      <c r="T290" s="139"/>
      <c r="U290" s="169"/>
      <c r="V290" s="158" t="s">
        <v>600</v>
      </c>
      <c r="W290" s="104" t="s">
        <v>355</v>
      </c>
      <c r="X290" s="104"/>
      <c r="Y290" s="104">
        <f>V283</f>
        <v>2352485</v>
      </c>
      <c r="Z290" s="136"/>
      <c r="AA290" s="38"/>
      <c r="AB290" s="752" t="s">
        <v>632</v>
      </c>
      <c r="AC290" s="38"/>
      <c r="AD290" s="38"/>
      <c r="AE290" s="38"/>
      <c r="AF290" s="38"/>
      <c r="AG290" s="38"/>
      <c r="AH290" s="38"/>
    </row>
    <row r="291" spans="4:34" ht="15" thickBot="1">
      <c r="D291" s="143" t="s">
        <v>606</v>
      </c>
      <c r="E291" s="712"/>
      <c r="F291" s="713"/>
      <c r="G291" s="714"/>
      <c r="H291" s="714"/>
      <c r="I291" s="725" t="s">
        <v>614</v>
      </c>
      <c r="J291" s="661">
        <f>-M284</f>
        <v>-2871485</v>
      </c>
      <c r="K291" s="169"/>
      <c r="L291" s="645"/>
      <c r="M291" s="173"/>
      <c r="N291" s="38"/>
      <c r="O291" s="139"/>
      <c r="P291" s="104"/>
      <c r="Q291" s="139"/>
      <c r="R291" s="726"/>
      <c r="S291" s="139"/>
      <c r="T291" s="727"/>
      <c r="U291" s="169"/>
      <c r="V291" s="158"/>
      <c r="W291" s="104" t="s">
        <v>356</v>
      </c>
      <c r="X291" s="104"/>
      <c r="Y291" s="104">
        <f>Y283</f>
        <v>0</v>
      </c>
      <c r="Z291" s="136"/>
      <c r="AA291" s="38"/>
      <c r="AB291" s="38"/>
      <c r="AC291" s="38"/>
      <c r="AD291" s="38"/>
      <c r="AE291" s="38"/>
      <c r="AF291" s="38"/>
      <c r="AG291" s="38"/>
      <c r="AH291" s="38"/>
    </row>
    <row r="292" spans="4:34" ht="16" thickTop="1" thickBot="1">
      <c r="D292" s="143"/>
      <c r="E292" s="712"/>
      <c r="F292" s="713"/>
      <c r="G292" s="714"/>
      <c r="H292" s="714"/>
      <c r="I292" s="722"/>
      <c r="J292" s="173">
        <v>0</v>
      </c>
      <c r="K292" s="169"/>
      <c r="L292" s="722"/>
      <c r="M292" s="173"/>
      <c r="N292" s="38"/>
      <c r="O292" s="33"/>
      <c r="P292" s="38"/>
      <c r="Q292" s="139"/>
      <c r="R292" s="139"/>
      <c r="S292" s="139"/>
      <c r="T292" s="139"/>
      <c r="U292" s="169"/>
      <c r="V292" s="158"/>
      <c r="W292" s="104"/>
      <c r="X292" s="104"/>
      <c r="Y292" s="104"/>
      <c r="Z292" s="136"/>
      <c r="AA292" s="38"/>
      <c r="AB292" s="38"/>
      <c r="AC292" s="38"/>
      <c r="AD292" s="38"/>
      <c r="AE292" s="38"/>
      <c r="AF292" s="38"/>
      <c r="AG292" s="38"/>
      <c r="AH292" s="38"/>
    </row>
    <row r="293" spans="4:34" ht="15" thickBot="1">
      <c r="E293" s="712"/>
      <c r="F293" s="713"/>
      <c r="G293" s="714"/>
      <c r="H293" s="714"/>
      <c r="I293" s="728" t="s">
        <v>616</v>
      </c>
      <c r="J293" s="729">
        <f>J288+J291</f>
        <v>-22505075.59</v>
      </c>
      <c r="K293" s="169"/>
      <c r="L293" s="722"/>
      <c r="M293" s="173"/>
      <c r="N293" s="38"/>
      <c r="O293" s="33"/>
      <c r="P293" s="38"/>
      <c r="Q293" s="139"/>
      <c r="R293" s="139"/>
      <c r="S293" s="139"/>
      <c r="T293" s="139"/>
      <c r="U293" s="169"/>
      <c r="V293" s="158" t="s">
        <v>601</v>
      </c>
      <c r="W293" s="104" t="s">
        <v>357</v>
      </c>
      <c r="X293" s="104"/>
      <c r="Y293" s="104">
        <f>W283</f>
        <v>470000</v>
      </c>
      <c r="Z293" s="136"/>
      <c r="AA293" s="38"/>
      <c r="AB293" s="38"/>
      <c r="AC293" s="38"/>
      <c r="AD293" s="38"/>
      <c r="AE293" s="38"/>
      <c r="AF293" s="38"/>
      <c r="AG293" s="38"/>
      <c r="AH293" s="38"/>
    </row>
    <row r="294" spans="4:34">
      <c r="E294" s="712"/>
      <c r="F294" s="713"/>
      <c r="G294" s="714"/>
      <c r="H294" s="714"/>
      <c r="I294" s="730"/>
      <c r="J294" s="637"/>
      <c r="K294" s="169"/>
      <c r="L294" s="173"/>
      <c r="M294" s="731"/>
      <c r="N294" s="38"/>
      <c r="O294" s="33"/>
      <c r="P294" s="38"/>
      <c r="Q294" s="139"/>
      <c r="R294" s="139"/>
      <c r="S294" s="139"/>
      <c r="T294" s="139"/>
      <c r="U294" s="169"/>
      <c r="V294" s="415"/>
      <c r="W294" s="104" t="s">
        <v>358</v>
      </c>
      <c r="X294" s="104"/>
      <c r="Y294" s="104">
        <f>Z283</f>
        <v>0</v>
      </c>
      <c r="Z294" s="136"/>
      <c r="AA294" s="38"/>
      <c r="AB294" s="38"/>
      <c r="AC294" s="38"/>
      <c r="AD294" s="38"/>
      <c r="AE294" s="38"/>
      <c r="AF294" s="38"/>
      <c r="AG294" s="38"/>
      <c r="AH294" s="38"/>
    </row>
    <row r="295" spans="4:34">
      <c r="E295" s="712"/>
      <c r="F295" s="713"/>
      <c r="G295" s="714"/>
      <c r="H295" s="714"/>
      <c r="I295" s="730" t="s">
        <v>518</v>
      </c>
      <c r="J295" s="658">
        <f>SUM(AB287:AH287)</f>
        <v>22505075.410000004</v>
      </c>
      <c r="K295" s="169"/>
      <c r="L295" s="732"/>
      <c r="M295" s="637"/>
      <c r="N295" s="38"/>
      <c r="O295" s="33"/>
      <c r="P295" s="38"/>
      <c r="Q295" s="139"/>
      <c r="R295" s="139"/>
      <c r="S295" s="139"/>
      <c r="T295" s="139"/>
      <c r="U295" s="169"/>
      <c r="V295" s="415"/>
      <c r="W295" s="104"/>
      <c r="X295" s="104"/>
      <c r="Y295" s="104"/>
      <c r="Z295" s="136"/>
      <c r="AA295" s="38"/>
      <c r="AB295" s="38"/>
      <c r="AC295" s="38"/>
      <c r="AD295" s="38"/>
      <c r="AE295" s="38"/>
      <c r="AF295" s="38"/>
      <c r="AG295" s="38"/>
      <c r="AH295" s="38"/>
    </row>
    <row r="296" spans="4:34" ht="13" thickBot="1">
      <c r="E296" s="712"/>
      <c r="F296" s="713"/>
      <c r="G296" s="714"/>
      <c r="H296" s="714"/>
      <c r="I296" s="723" t="s">
        <v>454</v>
      </c>
      <c r="J296" s="169">
        <f>J295+J293</f>
        <v>-0.17999999597668648</v>
      </c>
      <c r="K296" s="169"/>
      <c r="L296" s="733"/>
      <c r="M296" s="734"/>
      <c r="N296" s="38"/>
      <c r="O296" s="33"/>
      <c r="P296" s="38"/>
      <c r="Q296" s="139"/>
      <c r="R296" s="139"/>
      <c r="S296" s="139"/>
      <c r="T296" s="139"/>
      <c r="U296" s="169"/>
      <c r="V296" s="158" t="s">
        <v>602</v>
      </c>
      <c r="W296" s="488" t="s">
        <v>359</v>
      </c>
      <c r="X296" s="488"/>
      <c r="Y296" s="488">
        <f>X283</f>
        <v>49000</v>
      </c>
      <c r="Z296" s="414"/>
      <c r="AA296" s="38"/>
      <c r="AB296" s="38"/>
      <c r="AC296" s="38"/>
      <c r="AD296" s="38"/>
      <c r="AE296" s="38"/>
      <c r="AF296" s="38"/>
      <c r="AG296" s="38"/>
      <c r="AH296" s="38"/>
    </row>
    <row r="297" spans="4:34" ht="15" thickBot="1">
      <c r="E297" s="712"/>
      <c r="F297" s="713"/>
      <c r="G297" s="714"/>
      <c r="H297" s="714"/>
      <c r="I297" s="735" t="s">
        <v>519</v>
      </c>
      <c r="J297" s="736">
        <f>J289-J296</f>
        <v>-3.7252902984619141E-9</v>
      </c>
      <c r="K297" s="169"/>
      <c r="L297" s="169"/>
      <c r="M297" s="169"/>
      <c r="N297" s="38"/>
      <c r="O297" s="33"/>
      <c r="P297" s="38"/>
      <c r="Q297" s="33"/>
      <c r="R297" s="33"/>
      <c r="S297" s="33"/>
      <c r="T297" s="33"/>
      <c r="U297" s="169"/>
      <c r="V297" s="416"/>
      <c r="W297" s="104"/>
      <c r="X297" s="80">
        <f>SUM(X288:X296)</f>
        <v>2871485</v>
      </c>
      <c r="Y297" s="80">
        <f>SUM(Y288:Y296)</f>
        <v>2871485</v>
      </c>
      <c r="Z297" s="136"/>
      <c r="AA297" s="38"/>
      <c r="AB297" s="38"/>
      <c r="AC297" s="38"/>
      <c r="AD297" s="38"/>
      <c r="AE297" s="38"/>
      <c r="AF297" s="38"/>
      <c r="AG297" s="38"/>
      <c r="AH297" s="38"/>
    </row>
    <row r="298" spans="4:34">
      <c r="E298" s="712"/>
      <c r="F298" s="713"/>
      <c r="G298" s="714"/>
      <c r="H298" s="714"/>
      <c r="I298" s="132"/>
      <c r="J298" s="169"/>
      <c r="K298" s="169"/>
      <c r="L298" s="169"/>
      <c r="M298" s="169"/>
      <c r="N298" s="38"/>
      <c r="O298" s="33"/>
      <c r="P298" s="38"/>
      <c r="Q298" s="33"/>
      <c r="R298" s="33"/>
      <c r="S298" s="33"/>
      <c r="T298" s="33"/>
      <c r="U298" s="169"/>
      <c r="V298" s="416"/>
      <c r="W298" s="104"/>
      <c r="X298" s="104"/>
      <c r="Y298" s="104"/>
      <c r="Z298" s="136"/>
      <c r="AA298" s="38"/>
      <c r="AB298" s="38"/>
      <c r="AC298" s="38"/>
      <c r="AD298" s="38"/>
      <c r="AE298" s="38"/>
      <c r="AF298" s="38"/>
      <c r="AG298" s="38"/>
      <c r="AH298" s="38"/>
    </row>
    <row r="299" spans="4:34" ht="13" thickBot="1">
      <c r="E299" s="712"/>
      <c r="F299" s="713"/>
      <c r="G299" s="714"/>
      <c r="H299" s="714"/>
      <c r="I299" s="132"/>
      <c r="J299" s="169"/>
      <c r="K299" s="169"/>
      <c r="L299" s="169"/>
      <c r="M299" s="169"/>
      <c r="N299" s="38"/>
      <c r="O299" s="33"/>
      <c r="P299" s="38"/>
      <c r="Q299" s="33"/>
      <c r="R299" s="33"/>
      <c r="S299" s="33"/>
      <c r="T299" s="33"/>
      <c r="U299" s="169"/>
      <c r="V299" s="330"/>
      <c r="W299" s="279"/>
      <c r="X299" s="279"/>
      <c r="Y299" s="279"/>
      <c r="Z299" s="280"/>
      <c r="AA299" s="38"/>
      <c r="AB299" s="38"/>
      <c r="AC299" s="38"/>
      <c r="AD299" s="38"/>
      <c r="AE299" s="38"/>
      <c r="AF299" s="38"/>
      <c r="AG299" s="38"/>
      <c r="AH299" s="38"/>
    </row>
    <row r="300" spans="4:34">
      <c r="E300" s="712"/>
      <c r="F300" s="713"/>
      <c r="G300" s="714"/>
      <c r="H300" s="714"/>
      <c r="I300" s="132"/>
      <c r="J300" s="169"/>
      <c r="K300" s="169"/>
      <c r="L300" s="169"/>
      <c r="M300" s="169"/>
      <c r="N300" s="38"/>
      <c r="O300" s="33"/>
      <c r="P300" s="38"/>
      <c r="Q300" s="33"/>
      <c r="R300" s="33"/>
      <c r="S300" s="33"/>
      <c r="T300" s="33"/>
      <c r="U300" s="169"/>
      <c r="V300" s="104"/>
      <c r="W300" s="104"/>
      <c r="X300" s="104"/>
      <c r="Y300" s="104"/>
      <c r="Z300" s="104"/>
      <c r="AA300" s="38"/>
      <c r="AB300" s="38"/>
      <c r="AC300" s="38"/>
      <c r="AD300" s="38"/>
      <c r="AE300" s="38"/>
      <c r="AF300" s="38"/>
      <c r="AG300" s="38"/>
      <c r="AH300" s="38"/>
    </row>
    <row r="301" spans="4:34">
      <c r="E301" s="712"/>
      <c r="F301" s="713"/>
      <c r="G301" s="714"/>
      <c r="H301" s="714"/>
      <c r="I301" s="132"/>
      <c r="J301" s="169"/>
      <c r="K301" s="169"/>
      <c r="L301" s="169"/>
      <c r="M301" s="169"/>
      <c r="N301" s="38"/>
      <c r="O301" s="33"/>
      <c r="P301" s="38"/>
      <c r="Q301" s="33"/>
      <c r="R301" s="33"/>
      <c r="S301" s="33"/>
      <c r="T301" s="33"/>
      <c r="U301" s="169"/>
      <c r="AA301" s="38"/>
      <c r="AB301" s="38"/>
      <c r="AC301" s="38"/>
      <c r="AD301" s="38"/>
      <c r="AE301" s="38"/>
      <c r="AF301" s="38"/>
      <c r="AG301" s="38"/>
      <c r="AH301" s="38"/>
    </row>
    <row r="302" spans="4:34">
      <c r="E302" s="712"/>
      <c r="F302" s="713"/>
      <c r="G302" s="714"/>
      <c r="H302" s="714"/>
      <c r="I302" s="132"/>
      <c r="J302" s="169"/>
      <c r="K302" s="169"/>
      <c r="L302" s="169"/>
      <c r="M302" s="169"/>
      <c r="N302" s="38"/>
      <c r="O302" s="33"/>
      <c r="P302" s="38"/>
      <c r="Q302" s="33"/>
      <c r="R302" s="33"/>
      <c r="S302" s="33"/>
      <c r="T302" s="33"/>
      <c r="U302" s="169"/>
      <c r="AA302" s="38"/>
      <c r="AB302" s="38"/>
      <c r="AC302" s="38"/>
      <c r="AD302" s="38"/>
      <c r="AE302" s="38"/>
      <c r="AF302" s="38"/>
      <c r="AG302" s="38"/>
      <c r="AH302" s="38"/>
    </row>
    <row r="303" spans="4:34">
      <c r="E303" s="712"/>
      <c r="F303" s="713"/>
      <c r="G303" s="714"/>
      <c r="H303" s="714"/>
      <c r="I303" s="132"/>
      <c r="J303" s="169"/>
      <c r="K303" s="169"/>
      <c r="L303" s="169"/>
      <c r="M303" s="169"/>
      <c r="N303" s="38"/>
      <c r="O303" s="33"/>
      <c r="P303" s="38"/>
      <c r="Q303" s="33"/>
      <c r="R303" s="33"/>
      <c r="S303" s="33"/>
      <c r="T303" s="33"/>
      <c r="U303" s="169"/>
      <c r="AA303" s="38"/>
      <c r="AB303" s="38"/>
      <c r="AC303" s="38"/>
      <c r="AD303" s="38"/>
      <c r="AE303" s="38"/>
      <c r="AF303" s="38"/>
      <c r="AG303" s="38"/>
      <c r="AH303" s="38"/>
    </row>
    <row r="304" spans="4:34">
      <c r="E304" s="712"/>
      <c r="F304" s="713"/>
      <c r="G304" s="714"/>
      <c r="H304" s="714"/>
      <c r="I304" s="132"/>
      <c r="J304" s="169"/>
      <c r="K304" s="169"/>
      <c r="L304" s="169"/>
      <c r="M304" s="169"/>
      <c r="N304" s="38"/>
      <c r="O304" s="33"/>
      <c r="P304" s="38"/>
      <c r="Q304" s="33"/>
      <c r="R304" s="33"/>
      <c r="S304" s="33"/>
      <c r="T304" s="33"/>
      <c r="U304" s="169"/>
      <c r="AA304" s="38"/>
      <c r="AB304" s="38"/>
      <c r="AC304" s="38"/>
      <c r="AD304" s="38"/>
      <c r="AE304" s="38"/>
      <c r="AF304" s="38"/>
      <c r="AG304" s="38"/>
      <c r="AH304" s="38"/>
    </row>
    <row r="305" spans="5:34">
      <c r="E305" s="712"/>
      <c r="F305" s="713"/>
      <c r="G305" s="714"/>
      <c r="H305" s="714"/>
      <c r="I305" s="132"/>
      <c r="J305" s="169"/>
      <c r="K305" s="169"/>
      <c r="L305" s="169"/>
      <c r="M305" s="169"/>
      <c r="N305" s="38"/>
      <c r="O305" s="33"/>
      <c r="P305" s="38"/>
      <c r="Q305" s="33"/>
      <c r="R305" s="33"/>
      <c r="S305" s="33"/>
      <c r="T305" s="33"/>
      <c r="U305" s="169"/>
      <c r="AA305" s="38"/>
      <c r="AB305" s="38"/>
      <c r="AC305" s="38"/>
      <c r="AD305" s="38"/>
      <c r="AE305" s="38"/>
      <c r="AF305" s="38"/>
      <c r="AG305" s="38"/>
      <c r="AH305" s="38"/>
    </row>
    <row r="306" spans="5:34">
      <c r="E306" s="712"/>
      <c r="F306" s="713"/>
      <c r="G306" s="714"/>
      <c r="H306" s="714"/>
      <c r="I306" s="132"/>
      <c r="J306" s="169"/>
      <c r="K306" s="169"/>
      <c r="L306" s="169"/>
      <c r="M306" s="169"/>
      <c r="N306" s="38"/>
      <c r="O306" s="33"/>
      <c r="P306" s="38"/>
      <c r="Q306" s="33"/>
      <c r="R306" s="33"/>
      <c r="S306" s="33"/>
      <c r="T306" s="33"/>
      <c r="U306" s="169"/>
      <c r="AA306" s="38"/>
      <c r="AB306" s="38"/>
      <c r="AC306" s="38"/>
      <c r="AD306" s="38"/>
      <c r="AE306" s="38"/>
      <c r="AF306" s="38"/>
      <c r="AG306" s="38"/>
      <c r="AH306" s="38"/>
    </row>
  </sheetData>
  <customSheetViews>
    <customSheetView guid="{005F2F7B-A3A9-4755-A4DF-7CE06C365CC2}" scale="85" showPageBreaks="1" fitToPage="1" printArea="1" topLeftCell="A26">
      <selection activeCell="D41" sqref="D41"/>
      <pageSetup scale="30" fitToHeight="6" orientation="portrait" horizontalDpi="1200" verticalDpi="1200"/>
    </customSheetView>
    <customSheetView guid="{D3CBD86D-0B34-40AC-BD97-D8082E871349}" showPageBreaks="1" topLeftCell="E196">
      <selection activeCell="R220" sqref="R220"/>
      <pageSetup orientation="portrait"/>
    </customSheetView>
    <customSheetView guid="{A6D105A8-F3F8-4045-83EA-8812D2E401D6}" topLeftCell="A227">
      <selection activeCell="I241" sqref="I241"/>
    </customSheetView>
    <customSheetView guid="{041E0462-B6EA-414A-9F2E-C14ADEFAE5F2}" scale="85" showPageBreaks="1" fitToPage="1" printArea="1" topLeftCell="A218">
      <selection activeCell="T158" sqref="T158"/>
      <pageSetup scale="30" fitToHeight="6" orientation="portrait" horizontalDpi="1200" verticalDpi="1200"/>
    </customSheetView>
    <customSheetView guid="{86CCC894-C193-4761-8385-3C374FD67B70}" scale="85" showPageBreaks="1" fitToPage="1" printArea="1" topLeftCell="A26">
      <selection activeCell="D41" sqref="D41"/>
      <pageSetup scale="30" fitToHeight="6" orientation="portrait" horizontalDpi="1200" verticalDpi="1200"/>
    </customSheetView>
  </customSheetViews>
  <pageMargins left="0.7" right="0.7" top="0.75" bottom="0.75" header="0.3" footer="0.3"/>
  <pageSetup scale="30" fitToHeight="6" orientation="portrait" horizontalDpi="1200" verticalDpi="1200"/>
  <legacyDrawing r:id="rId1"/>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H304"/>
  <sheetViews>
    <sheetView topLeftCell="A10" zoomScale="80" zoomScaleNormal="80" zoomScalePageLayoutView="80" workbookViewId="0">
      <selection activeCell="M41" activeCellId="2" sqref="I34:I44 M44 M41"/>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26.796875" style="147" customWidth="1"/>
    <col min="5" max="5" width="15.19921875" style="35" customWidth="1"/>
    <col min="6" max="6" width="14" style="152" bestFit="1" customWidth="1"/>
    <col min="7" max="8" width="15.3984375" style="17" bestFit="1" customWidth="1"/>
    <col min="9" max="9" width="18.796875" style="131" bestFit="1" customWidth="1"/>
    <col min="10" max="10" width="22" style="24" bestFit="1" customWidth="1"/>
    <col min="11" max="11" width="1.59765625" style="24" customWidth="1"/>
    <col min="12" max="12" width="13.19921875" style="24" customWidth="1"/>
    <col min="13" max="13" width="15.796875" style="24" bestFit="1" customWidth="1"/>
    <col min="14" max="14" width="1" style="16" customWidth="1"/>
    <col min="15" max="15" width="15.796875" style="146" bestFit="1" customWidth="1"/>
    <col min="16" max="16" width="1" style="16" customWidth="1"/>
    <col min="17" max="17" width="15.796875" style="146" bestFit="1" customWidth="1"/>
    <col min="18" max="18" width="19" style="146" customWidth="1"/>
    <col min="19" max="19" width="1" style="146" customWidth="1"/>
    <col min="20" max="20" width="16.796875" style="146" customWidth="1"/>
    <col min="21" max="21" width="1.59765625" style="24" customWidth="1"/>
    <col min="22" max="22" width="17.3984375" style="38" bestFit="1" customWidth="1"/>
    <col min="23" max="23" width="19.796875" style="38" customWidth="1"/>
    <col min="24" max="24" width="14.19921875" style="38" bestFit="1" customWidth="1"/>
    <col min="25" max="25" width="16.19921875" style="38" bestFit="1" customWidth="1"/>
    <col min="26" max="26" width="17" style="38" customWidth="1"/>
    <col min="27" max="27" width="9.3984375" style="16" customWidth="1"/>
    <col min="28" max="28" width="19.3984375" style="559" bestFit="1" customWidth="1"/>
    <col min="29" max="29" width="17.3984375" style="559" bestFit="1" customWidth="1"/>
    <col min="30" max="30" width="15.796875" style="559" customWidth="1"/>
    <col min="31" max="31" width="2.3984375" style="559" customWidth="1"/>
    <col min="32" max="32" width="16" style="559" bestFit="1" customWidth="1"/>
    <col min="33" max="33" width="15.59765625" style="559" bestFit="1" customWidth="1"/>
    <col min="34" max="34" width="15.19921875" style="559" bestFit="1" customWidth="1"/>
    <col min="35" max="16384" width="9.3984375" style="16"/>
  </cols>
  <sheetData>
    <row r="1" spans="1:25">
      <c r="D1" s="147" t="s">
        <v>71</v>
      </c>
      <c r="F1" s="29"/>
      <c r="G1" s="162"/>
      <c r="H1" s="163"/>
      <c r="J1" s="20" t="s">
        <v>119</v>
      </c>
      <c r="K1" s="40"/>
      <c r="L1" s="20" t="s">
        <v>119</v>
      </c>
      <c r="M1" s="20" t="s">
        <v>120</v>
      </c>
      <c r="U1" s="40"/>
    </row>
    <row r="2" spans="1:25">
      <c r="D2" s="147" t="s">
        <v>72</v>
      </c>
      <c r="F2" s="29"/>
      <c r="G2" s="162"/>
      <c r="H2" s="163"/>
      <c r="J2" s="20" t="s">
        <v>377</v>
      </c>
      <c r="K2" s="40"/>
      <c r="L2" s="20" t="s">
        <v>299</v>
      </c>
      <c r="M2" s="20" t="s">
        <v>300</v>
      </c>
      <c r="U2" s="40"/>
    </row>
    <row r="3" spans="1:25">
      <c r="D3" s="147" t="s">
        <v>520</v>
      </c>
      <c r="F3" s="29"/>
      <c r="G3" s="18"/>
      <c r="H3" s="168"/>
      <c r="J3" s="140"/>
      <c r="L3" s="140"/>
      <c r="M3" s="236"/>
    </row>
    <row r="4" spans="1:25">
      <c r="D4" s="148" t="s">
        <v>228</v>
      </c>
      <c r="G4" s="164"/>
      <c r="H4" s="168"/>
      <c r="I4" s="161"/>
    </row>
    <row r="5" spans="1:25" ht="13" thickBot="1">
      <c r="D5" s="148"/>
      <c r="G5" s="161"/>
      <c r="H5" s="630"/>
      <c r="I5" s="161"/>
    </row>
    <row r="6" spans="1:25">
      <c r="B6" s="460"/>
      <c r="C6" s="668"/>
      <c r="D6" s="461" t="s">
        <v>84</v>
      </c>
      <c r="E6" s="462" t="s">
        <v>85</v>
      </c>
      <c r="G6" s="161"/>
      <c r="H6" s="630"/>
      <c r="I6" s="161"/>
      <c r="J6" s="18"/>
      <c r="L6" s="18"/>
      <c r="M6" s="18"/>
      <c r="N6" s="18"/>
      <c r="O6" s="152"/>
      <c r="P6" s="18"/>
      <c r="Q6" s="152"/>
      <c r="R6" s="152"/>
      <c r="S6" s="152"/>
      <c r="T6" s="152"/>
    </row>
    <row r="7" spans="1:25">
      <c r="B7" s="459"/>
      <c r="C7" s="113"/>
      <c r="D7" s="458" t="s">
        <v>74</v>
      </c>
      <c r="E7" s="463" t="s">
        <v>77</v>
      </c>
      <c r="G7" s="161"/>
      <c r="H7" s="630"/>
      <c r="I7" s="161"/>
      <c r="J7" s="478"/>
      <c r="L7" s="169"/>
      <c r="M7" s="169"/>
    </row>
    <row r="8" spans="1:25">
      <c r="B8" s="459"/>
      <c r="C8" s="113"/>
      <c r="D8" s="458" t="s">
        <v>75</v>
      </c>
      <c r="E8" s="287" t="s">
        <v>115</v>
      </c>
      <c r="F8" s="29"/>
      <c r="G8" s="161"/>
      <c r="H8" s="630"/>
      <c r="I8" s="135"/>
      <c r="J8" s="172"/>
      <c r="K8" s="41"/>
      <c r="L8" s="37"/>
      <c r="M8" s="37"/>
      <c r="U8" s="41"/>
    </row>
    <row r="9" spans="1:25">
      <c r="B9" s="459"/>
      <c r="C9" s="669"/>
      <c r="D9" s="568" t="s">
        <v>73</v>
      </c>
      <c r="E9" s="572" t="s">
        <v>446</v>
      </c>
      <c r="F9" s="29"/>
      <c r="G9" s="164"/>
      <c r="H9" s="630"/>
      <c r="I9" s="135"/>
      <c r="J9" s="75"/>
      <c r="K9" s="41"/>
      <c r="L9" s="77"/>
      <c r="M9" s="77"/>
      <c r="N9" s="27"/>
      <c r="O9" s="151"/>
      <c r="P9" s="27"/>
      <c r="Q9" s="151"/>
      <c r="R9" s="151"/>
      <c r="S9" s="151"/>
      <c r="T9" s="151"/>
      <c r="U9" s="41"/>
    </row>
    <row r="10" spans="1:25">
      <c r="B10" s="459"/>
      <c r="C10" s="113"/>
      <c r="D10" s="458" t="s">
        <v>76</v>
      </c>
      <c r="E10" s="465" t="s">
        <v>79</v>
      </c>
      <c r="F10" s="29"/>
      <c r="G10" s="161"/>
      <c r="H10" s="134"/>
      <c r="I10" s="135"/>
      <c r="J10" s="78"/>
      <c r="L10" s="79"/>
      <c r="M10" s="79"/>
      <c r="N10" s="27"/>
      <c r="O10" s="151"/>
      <c r="P10" s="27"/>
      <c r="Q10" s="151"/>
      <c r="R10" s="151"/>
      <c r="S10" s="151"/>
      <c r="T10" s="151"/>
    </row>
    <row r="11" spans="1:25">
      <c r="B11" s="459"/>
      <c r="C11" s="113"/>
      <c r="D11" s="458" t="s">
        <v>81</v>
      </c>
      <c r="E11" s="466" t="s">
        <v>80</v>
      </c>
      <c r="F11" s="29"/>
      <c r="G11" s="161"/>
      <c r="H11" s="134"/>
      <c r="I11" s="10"/>
      <c r="J11" s="78"/>
      <c r="L11" s="79"/>
      <c r="M11" s="79"/>
      <c r="N11" s="27"/>
      <c r="O11" s="151"/>
      <c r="P11" s="27"/>
      <c r="Q11" s="151"/>
      <c r="R11" s="151"/>
      <c r="S11" s="151"/>
      <c r="T11" s="151"/>
    </row>
    <row r="12" spans="1:25">
      <c r="B12" s="459"/>
      <c r="C12" s="113"/>
      <c r="D12" s="458" t="s">
        <v>83</v>
      </c>
      <c r="E12" s="467" t="s">
        <v>82</v>
      </c>
      <c r="F12" s="165"/>
      <c r="G12" s="147"/>
      <c r="H12" s="134"/>
      <c r="J12" s="78"/>
      <c r="L12" s="80"/>
      <c r="M12" s="80"/>
      <c r="N12" s="81"/>
      <c r="O12" s="12"/>
      <c r="P12" s="81"/>
      <c r="Q12" s="12"/>
      <c r="R12" s="12"/>
      <c r="S12" s="12"/>
      <c r="T12" s="12"/>
    </row>
    <row r="13" spans="1:25">
      <c r="B13" s="459"/>
      <c r="C13" s="113"/>
      <c r="D13" s="458" t="s">
        <v>88</v>
      </c>
      <c r="E13" s="468" t="s">
        <v>89</v>
      </c>
      <c r="F13" s="29"/>
      <c r="J13" s="76"/>
      <c r="L13" s="174"/>
      <c r="M13" s="76"/>
      <c r="N13" s="27"/>
      <c r="O13" s="151"/>
      <c r="P13" s="27"/>
      <c r="Q13" s="151"/>
      <c r="R13" s="151"/>
      <c r="S13" s="151"/>
      <c r="T13" s="151"/>
    </row>
    <row r="14" spans="1:25">
      <c r="B14" s="459"/>
      <c r="C14" s="113"/>
      <c r="D14" s="458" t="s">
        <v>116</v>
      </c>
      <c r="E14" s="99" t="s">
        <v>117</v>
      </c>
      <c r="F14" s="29"/>
      <c r="G14" s="166"/>
      <c r="H14" s="145"/>
      <c r="J14" s="76"/>
      <c r="L14" s="173"/>
      <c r="M14" s="173"/>
      <c r="N14" s="27"/>
      <c r="O14" s="151"/>
      <c r="P14" s="27"/>
      <c r="Q14" s="151"/>
      <c r="R14" s="151"/>
      <c r="S14" s="151"/>
      <c r="T14" s="151"/>
    </row>
    <row r="15" spans="1:25" ht="13" thickBot="1">
      <c r="B15" s="469"/>
      <c r="C15" s="670"/>
      <c r="D15" s="470" t="s">
        <v>103</v>
      </c>
      <c r="E15" s="471" t="s">
        <v>101</v>
      </c>
      <c r="F15" s="29"/>
      <c r="G15" s="166"/>
      <c r="H15" s="150"/>
      <c r="J15" s="76"/>
    </row>
    <row r="16" spans="1:25" ht="13" thickBot="1">
      <c r="A16" s="152"/>
      <c r="B16" s="152"/>
      <c r="C16" s="67"/>
      <c r="D16" s="54"/>
      <c r="E16" s="34"/>
      <c r="G16" s="167"/>
      <c r="H16" s="49"/>
      <c r="I16" s="67"/>
      <c r="J16" s="50"/>
      <c r="K16" s="50"/>
      <c r="L16" s="50"/>
      <c r="M16" s="745" t="s">
        <v>603</v>
      </c>
      <c r="N16" s="146"/>
      <c r="P16" s="146"/>
      <c r="U16" s="50"/>
      <c r="V16" s="33"/>
      <c r="W16" s="33"/>
      <c r="X16" s="33"/>
      <c r="Y16" s="33"/>
    </row>
    <row r="17" spans="1:34" ht="13" thickBot="1">
      <c r="D17" s="526"/>
      <c r="E17" s="582" t="s">
        <v>521</v>
      </c>
      <c r="F17" s="583" t="s">
        <v>361</v>
      </c>
      <c r="G17" s="96" t="s">
        <v>227</v>
      </c>
      <c r="H17" s="96" t="s">
        <v>227</v>
      </c>
      <c r="I17" s="304" t="s">
        <v>227</v>
      </c>
      <c r="J17" s="304" t="s">
        <v>227</v>
      </c>
      <c r="K17" s="581"/>
      <c r="L17" s="304" t="s">
        <v>227</v>
      </c>
      <c r="M17" s="304" t="s">
        <v>227</v>
      </c>
      <c r="N17" s="93"/>
      <c r="O17" s="13"/>
      <c r="P17" s="93"/>
      <c r="Q17" s="13"/>
      <c r="R17" s="96"/>
      <c r="S17" s="101"/>
      <c r="T17" s="96"/>
      <c r="U17" s="93"/>
      <c r="V17" s="96"/>
      <c r="W17" s="96"/>
      <c r="X17" s="304"/>
      <c r="Y17" s="304"/>
      <c r="Z17" s="304"/>
      <c r="AC17" s="560" t="s">
        <v>266</v>
      </c>
      <c r="AG17" s="561" t="s">
        <v>267</v>
      </c>
    </row>
    <row r="18" spans="1:34" ht="13" thickBot="1">
      <c r="A18" s="22" t="s">
        <v>95</v>
      </c>
      <c r="B18" s="22" t="s">
        <v>100</v>
      </c>
      <c r="C18" s="36" t="s">
        <v>522</v>
      </c>
      <c r="D18" s="36" t="s">
        <v>67</v>
      </c>
      <c r="E18" s="450" t="s">
        <v>230</v>
      </c>
      <c r="F18" s="528" t="s">
        <v>229</v>
      </c>
      <c r="G18" s="176" t="s">
        <v>427</v>
      </c>
      <c r="H18" s="545" t="s">
        <v>428</v>
      </c>
      <c r="I18" s="442" t="s">
        <v>429</v>
      </c>
      <c r="J18" s="313" t="s">
        <v>105</v>
      </c>
      <c r="K18" s="93"/>
      <c r="L18" s="94" t="s">
        <v>104</v>
      </c>
      <c r="M18" s="95" t="s">
        <v>106</v>
      </c>
      <c r="N18" s="102"/>
      <c r="O18" s="427" t="s">
        <v>372</v>
      </c>
      <c r="P18" s="102"/>
      <c r="Q18" s="313" t="s">
        <v>617</v>
      </c>
      <c r="R18" s="156" t="s">
        <v>618</v>
      </c>
      <c r="S18" s="149"/>
      <c r="T18" s="327" t="s">
        <v>291</v>
      </c>
      <c r="U18" s="93"/>
      <c r="V18" s="103" t="s">
        <v>111</v>
      </c>
      <c r="W18" s="74" t="s">
        <v>112</v>
      </c>
      <c r="X18" s="103" t="s">
        <v>113</v>
      </c>
      <c r="Y18" s="103" t="s">
        <v>223</v>
      </c>
      <c r="Z18" s="307" t="s">
        <v>224</v>
      </c>
      <c r="AB18" s="562" t="s">
        <v>263</v>
      </c>
      <c r="AC18" s="563" t="s">
        <v>264</v>
      </c>
      <c r="AD18" s="563" t="s">
        <v>265</v>
      </c>
      <c r="AF18" s="562" t="s">
        <v>263</v>
      </c>
      <c r="AG18" s="563" t="s">
        <v>264</v>
      </c>
      <c r="AH18" s="563" t="s">
        <v>265</v>
      </c>
    </row>
    <row r="19" spans="1:34">
      <c r="A19" s="472" t="s">
        <v>109</v>
      </c>
      <c r="B19" s="472" t="s">
        <v>110</v>
      </c>
      <c r="C19" s="666"/>
      <c r="D19" s="373" t="s">
        <v>320</v>
      </c>
      <c r="E19" s="679"/>
      <c r="F19" s="529">
        <f>VLOOKUP(D19,'Q3 DMV -  Revenue'!D:T,17,FALSE)</f>
        <v>0</v>
      </c>
      <c r="G19" s="680"/>
      <c r="H19" s="680"/>
      <c r="I19" s="681"/>
      <c r="J19" s="682">
        <f t="shared" ref="J19:J86" si="0">SUM(E19:I19)</f>
        <v>0</v>
      </c>
      <c r="K19" s="683"/>
      <c r="L19" s="684"/>
      <c r="M19" s="685">
        <v>0</v>
      </c>
      <c r="N19" s="683">
        <v>0</v>
      </c>
      <c r="O19" s="686"/>
      <c r="P19" s="683">
        <v>0</v>
      </c>
      <c r="Q19" s="687">
        <f t="shared" ref="Q19:Q167" si="1">L19+M19</f>
        <v>0</v>
      </c>
      <c r="R19" s="688"/>
      <c r="S19" s="689"/>
      <c r="T19" s="690" t="str">
        <f>IF(R19="","",R19-Q19)</f>
        <v/>
      </c>
      <c r="U19" s="691"/>
      <c r="V19" s="474">
        <f t="shared" ref="V19:V86" si="2">IF(B19="D",Q19,0)</f>
        <v>0</v>
      </c>
      <c r="W19" s="474">
        <f t="shared" ref="W19:W85" si="3">IF(B19="M",Q19,0)</f>
        <v>0</v>
      </c>
      <c r="X19" s="475">
        <f t="shared" ref="X19:X85" si="4">IF(B19="V",Q19,0)</f>
        <v>0</v>
      </c>
      <c r="Y19" s="475">
        <v>0</v>
      </c>
      <c r="Z19" s="476">
        <v>0</v>
      </c>
      <c r="AA19" s="38">
        <f>(L19+M19)-(V19+W19+X19+Y19+Z19)</f>
        <v>0</v>
      </c>
      <c r="AB19" s="692">
        <f t="shared" ref="AB19:AB85" si="5">IF(B19="D",J19,0)</f>
        <v>0</v>
      </c>
      <c r="AC19" s="692">
        <f t="shared" ref="AC19:AC85" si="6">IF(B19="M",J19,0)</f>
        <v>0</v>
      </c>
      <c r="AD19" s="692">
        <f t="shared" ref="AD19:AD85" si="7">IF(B19="V",J19,0)</f>
        <v>0</v>
      </c>
      <c r="AE19" s="38"/>
      <c r="AF19" s="692">
        <f t="shared" ref="AF19:AF85" si="8">IF(B19="D",Q19,0)</f>
        <v>0</v>
      </c>
      <c r="AG19" s="692">
        <f t="shared" ref="AG19:AG85" si="9">IF(B19="M",Q19,0)</f>
        <v>0</v>
      </c>
      <c r="AH19" s="692">
        <f t="shared" ref="AH19:AH85" si="10">IF(B19="V",Q19,0)</f>
        <v>0</v>
      </c>
    </row>
    <row r="20" spans="1:34">
      <c r="A20" s="372" t="s">
        <v>109</v>
      </c>
      <c r="B20" s="472" t="s">
        <v>109</v>
      </c>
      <c r="C20" s="666"/>
      <c r="D20" s="373" t="s">
        <v>382</v>
      </c>
      <c r="E20" s="679">
        <f>4461.97+3965.35+3297.5</f>
        <v>11724.82</v>
      </c>
      <c r="F20" s="529">
        <f>VLOOKUP(D20,'Q3 DMV -  Revenue'!D:T,17,FALSE)</f>
        <v>2933.48</v>
      </c>
      <c r="G20" s="680"/>
      <c r="H20" s="680"/>
      <c r="I20" s="741">
        <v>2530.85</v>
      </c>
      <c r="J20" s="682">
        <f t="shared" si="0"/>
        <v>17189.149999999998</v>
      </c>
      <c r="K20" s="683"/>
      <c r="L20" s="684"/>
      <c r="M20" s="685">
        <v>0</v>
      </c>
      <c r="N20" s="683">
        <v>0</v>
      </c>
      <c r="O20" s="686">
        <v>17189.14</v>
      </c>
      <c r="P20" s="683">
        <v>0</v>
      </c>
      <c r="Q20" s="687">
        <f t="shared" si="1"/>
        <v>0</v>
      </c>
      <c r="R20" s="688"/>
      <c r="S20" s="689"/>
      <c r="T20" s="690" t="str">
        <f t="shared" ref="T20:T87" si="11">IF(R20="","",R20-Q20)</f>
        <v/>
      </c>
      <c r="U20" s="691"/>
      <c r="V20" s="474">
        <f t="shared" si="2"/>
        <v>0</v>
      </c>
      <c r="W20" s="474">
        <f t="shared" si="3"/>
        <v>0</v>
      </c>
      <c r="X20" s="475">
        <f t="shared" si="4"/>
        <v>0</v>
      </c>
      <c r="Y20" s="475">
        <v>0</v>
      </c>
      <c r="Z20" s="476">
        <v>0</v>
      </c>
      <c r="AA20" s="38">
        <f t="shared" ref="AA20:AA86" si="12">(L20+M20)-(V20+W20+X20+Y20+Z20)</f>
        <v>0</v>
      </c>
      <c r="AB20" s="692">
        <f>464.59+690.76+808.88+643.01+635.8</f>
        <v>3243.04</v>
      </c>
      <c r="AC20" s="692">
        <f>IF(B20="M",J20,0)-AB20</f>
        <v>13946.109999999997</v>
      </c>
      <c r="AD20" s="692">
        <f t="shared" si="7"/>
        <v>0</v>
      </c>
      <c r="AE20" s="38"/>
      <c r="AF20" s="692">
        <f t="shared" si="8"/>
        <v>0</v>
      </c>
      <c r="AG20" s="692">
        <f t="shared" si="9"/>
        <v>0</v>
      </c>
      <c r="AH20" s="692">
        <f t="shared" si="10"/>
        <v>0</v>
      </c>
    </row>
    <row r="21" spans="1:34">
      <c r="A21" s="20" t="s">
        <v>109</v>
      </c>
      <c r="B21" s="20" t="s">
        <v>110</v>
      </c>
      <c r="C21" s="671" t="s">
        <v>523</v>
      </c>
      <c r="D21" s="123" t="s">
        <v>317</v>
      </c>
      <c r="E21" s="679"/>
      <c r="F21" s="529">
        <f>VLOOKUP(D21,'Q3 DMV -  Revenue'!D:T,17,FALSE)</f>
        <v>-8140.2228643000017</v>
      </c>
      <c r="G21" s="694">
        <f>8933.99+3969.76</f>
        <v>12903.75</v>
      </c>
      <c r="H21" s="694">
        <f>10562.58+3918.5</f>
        <v>14481.08</v>
      </c>
      <c r="I21" s="741">
        <f>4479.18+10418.44</f>
        <v>14897.62</v>
      </c>
      <c r="J21" s="682">
        <f t="shared" si="0"/>
        <v>34142.227135699999</v>
      </c>
      <c r="K21" s="683"/>
      <c r="L21" s="684"/>
      <c r="M21" s="685">
        <v>0</v>
      </c>
      <c r="N21" s="683">
        <v>0</v>
      </c>
      <c r="O21" s="686">
        <v>100908.42</v>
      </c>
      <c r="P21" s="683">
        <v>0</v>
      </c>
      <c r="Q21" s="687">
        <f t="shared" si="1"/>
        <v>0</v>
      </c>
      <c r="R21" s="688"/>
      <c r="S21" s="693"/>
      <c r="T21" s="690" t="str">
        <f t="shared" si="11"/>
        <v/>
      </c>
      <c r="U21" s="683"/>
      <c r="V21" s="474">
        <f t="shared" si="2"/>
        <v>0</v>
      </c>
      <c r="W21" s="474">
        <f t="shared" si="3"/>
        <v>0</v>
      </c>
      <c r="X21" s="475">
        <f t="shared" si="4"/>
        <v>0</v>
      </c>
      <c r="Y21" s="475">
        <v>0</v>
      </c>
      <c r="Z21" s="476">
        <v>0</v>
      </c>
      <c r="AA21" s="38">
        <f t="shared" si="12"/>
        <v>0</v>
      </c>
      <c r="AB21" s="692">
        <f t="shared" si="5"/>
        <v>34142.227135699999</v>
      </c>
      <c r="AC21" s="692">
        <f t="shared" si="6"/>
        <v>0</v>
      </c>
      <c r="AD21" s="692">
        <f t="shared" si="7"/>
        <v>0</v>
      </c>
      <c r="AE21" s="38"/>
      <c r="AF21" s="692">
        <f t="shared" si="8"/>
        <v>0</v>
      </c>
      <c r="AG21" s="692">
        <f t="shared" si="9"/>
        <v>0</v>
      </c>
      <c r="AH21" s="692">
        <f t="shared" si="10"/>
        <v>0</v>
      </c>
    </row>
    <row r="22" spans="1:34">
      <c r="A22" s="20" t="s">
        <v>109</v>
      </c>
      <c r="B22" s="20" t="s">
        <v>109</v>
      </c>
      <c r="C22" s="671" t="s">
        <v>523</v>
      </c>
      <c r="D22" s="68" t="s">
        <v>393</v>
      </c>
      <c r="E22" s="679"/>
      <c r="F22" s="529">
        <f>VLOOKUP(D22,'Q3 DMV -  Revenue'!D:T,17,FALSE)</f>
        <v>-1878.5200000000041</v>
      </c>
      <c r="G22" s="694">
        <v>25890.97</v>
      </c>
      <c r="H22" s="694">
        <f>20495.86+1652.75</f>
        <v>22148.61</v>
      </c>
      <c r="I22" s="741">
        <v>20489.02</v>
      </c>
      <c r="J22" s="682">
        <f t="shared" si="0"/>
        <v>66650.080000000002</v>
      </c>
      <c r="K22" s="683"/>
      <c r="L22" s="684"/>
      <c r="M22" s="685">
        <v>0</v>
      </c>
      <c r="N22" s="683">
        <v>0</v>
      </c>
      <c r="O22" s="686"/>
      <c r="P22" s="683">
        <v>0</v>
      </c>
      <c r="Q22" s="687">
        <f t="shared" si="1"/>
        <v>0</v>
      </c>
      <c r="R22" s="688"/>
      <c r="S22" s="693"/>
      <c r="T22" s="690" t="str">
        <f t="shared" si="11"/>
        <v/>
      </c>
      <c r="U22" s="683"/>
      <c r="V22" s="474">
        <f t="shared" si="2"/>
        <v>0</v>
      </c>
      <c r="W22" s="474">
        <f t="shared" si="3"/>
        <v>0</v>
      </c>
      <c r="X22" s="475">
        <f t="shared" si="4"/>
        <v>0</v>
      </c>
      <c r="Y22" s="475">
        <v>0</v>
      </c>
      <c r="Z22" s="476">
        <v>0</v>
      </c>
      <c r="AA22" s="38">
        <f t="shared" si="12"/>
        <v>0</v>
      </c>
      <c r="AB22" s="692">
        <f t="shared" si="5"/>
        <v>0</v>
      </c>
      <c r="AC22" s="692">
        <f t="shared" si="6"/>
        <v>66650.080000000002</v>
      </c>
      <c r="AD22" s="692">
        <f t="shared" si="7"/>
        <v>0</v>
      </c>
      <c r="AE22" s="38"/>
      <c r="AF22" s="692">
        <f t="shared" si="8"/>
        <v>0</v>
      </c>
      <c r="AG22" s="692">
        <f t="shared" si="9"/>
        <v>0</v>
      </c>
      <c r="AH22" s="692">
        <f t="shared" si="10"/>
        <v>0</v>
      </c>
    </row>
    <row r="23" spans="1:34">
      <c r="A23" s="20" t="s">
        <v>109</v>
      </c>
      <c r="B23" s="20" t="s">
        <v>109</v>
      </c>
      <c r="C23" s="671" t="s">
        <v>523</v>
      </c>
      <c r="D23" s="68" t="s">
        <v>129</v>
      </c>
      <c r="E23" s="679"/>
      <c r="F23" s="529">
        <f>VLOOKUP(D23,'Q3 DMV -  Revenue'!D:T,17,FALSE)</f>
        <v>-26.999999999999993</v>
      </c>
      <c r="G23" s="694">
        <v>32.369999999999997</v>
      </c>
      <c r="H23" s="694">
        <v>39.21</v>
      </c>
      <c r="I23" s="741">
        <v>71.53</v>
      </c>
      <c r="J23" s="682">
        <f t="shared" si="0"/>
        <v>116.11000000000001</v>
      </c>
      <c r="K23" s="683"/>
      <c r="L23" s="684"/>
      <c r="M23" s="685">
        <v>0</v>
      </c>
      <c r="N23" s="683">
        <v>0</v>
      </c>
      <c r="O23" s="686"/>
      <c r="P23" s="683">
        <v>0</v>
      </c>
      <c r="Q23" s="687">
        <f t="shared" si="1"/>
        <v>0</v>
      </c>
      <c r="R23" s="688"/>
      <c r="S23" s="693"/>
      <c r="T23" s="690" t="str">
        <f t="shared" si="11"/>
        <v/>
      </c>
      <c r="U23" s="683"/>
      <c r="V23" s="474">
        <f t="shared" si="2"/>
        <v>0</v>
      </c>
      <c r="W23" s="474">
        <f t="shared" si="3"/>
        <v>0</v>
      </c>
      <c r="X23" s="475">
        <f t="shared" si="4"/>
        <v>0</v>
      </c>
      <c r="Y23" s="475">
        <v>0</v>
      </c>
      <c r="Z23" s="476">
        <v>0</v>
      </c>
      <c r="AA23" s="38">
        <f t="shared" si="12"/>
        <v>0</v>
      </c>
      <c r="AB23" s="692">
        <f t="shared" si="5"/>
        <v>0</v>
      </c>
      <c r="AC23" s="692">
        <f t="shared" si="6"/>
        <v>116.11000000000001</v>
      </c>
      <c r="AD23" s="692">
        <f t="shared" si="7"/>
        <v>0</v>
      </c>
      <c r="AE23" s="38"/>
      <c r="AF23" s="692">
        <f t="shared" si="8"/>
        <v>0</v>
      </c>
      <c r="AG23" s="692">
        <f t="shared" si="9"/>
        <v>0</v>
      </c>
      <c r="AH23" s="692">
        <f t="shared" si="10"/>
        <v>0</v>
      </c>
    </row>
    <row r="24" spans="1:34">
      <c r="A24" s="20"/>
      <c r="B24" s="20" t="s">
        <v>110</v>
      </c>
      <c r="C24" s="667" t="s">
        <v>524</v>
      </c>
      <c r="D24" s="123" t="s">
        <v>380</v>
      </c>
      <c r="E24" s="679"/>
      <c r="F24" s="529">
        <f>VLOOKUP(D24,'Q3 DMV -  Revenue'!D:T,17,FALSE)</f>
        <v>-160.53500000000031</v>
      </c>
      <c r="G24" s="694">
        <v>3030.2</v>
      </c>
      <c r="H24" s="694">
        <v>3244.93</v>
      </c>
      <c r="I24" s="681"/>
      <c r="J24" s="682">
        <f t="shared" si="0"/>
        <v>6114.5949999999993</v>
      </c>
      <c r="K24" s="683"/>
      <c r="L24" s="684"/>
      <c r="M24" s="685">
        <v>3000</v>
      </c>
      <c r="N24" s="683">
        <v>0</v>
      </c>
      <c r="O24" s="686">
        <v>29694.240000000002</v>
      </c>
      <c r="P24" s="683">
        <v>0</v>
      </c>
      <c r="Q24" s="687">
        <f t="shared" si="1"/>
        <v>3000</v>
      </c>
      <c r="R24" s="688">
        <v>3515.01</v>
      </c>
      <c r="S24" s="693"/>
      <c r="T24" s="690">
        <f t="shared" si="11"/>
        <v>515.01000000000022</v>
      </c>
      <c r="U24" s="683"/>
      <c r="V24" s="474">
        <f t="shared" si="2"/>
        <v>3000</v>
      </c>
      <c r="W24" s="474">
        <f t="shared" si="3"/>
        <v>0</v>
      </c>
      <c r="X24" s="475">
        <f t="shared" si="4"/>
        <v>0</v>
      </c>
      <c r="Y24" s="475">
        <v>0</v>
      </c>
      <c r="Z24" s="476">
        <v>0</v>
      </c>
      <c r="AA24" s="38">
        <f t="shared" si="12"/>
        <v>0</v>
      </c>
      <c r="AB24" s="692">
        <f t="shared" si="5"/>
        <v>6114.5949999999993</v>
      </c>
      <c r="AC24" s="692">
        <f t="shared" si="6"/>
        <v>0</v>
      </c>
      <c r="AD24" s="692">
        <f t="shared" si="7"/>
        <v>0</v>
      </c>
      <c r="AE24" s="38"/>
      <c r="AF24" s="692">
        <f t="shared" si="8"/>
        <v>3000</v>
      </c>
      <c r="AG24" s="692">
        <f t="shared" si="9"/>
        <v>0</v>
      </c>
      <c r="AH24" s="692">
        <f t="shared" si="10"/>
        <v>0</v>
      </c>
    </row>
    <row r="25" spans="1:34">
      <c r="A25" s="20"/>
      <c r="B25" s="20" t="s">
        <v>110</v>
      </c>
      <c r="C25" s="667" t="s">
        <v>524</v>
      </c>
      <c r="D25" s="123" t="s">
        <v>132</v>
      </c>
      <c r="E25" s="679"/>
      <c r="F25" s="529">
        <f>VLOOKUP(D25,'Q3 DMV -  Revenue'!D:T,17,FALSE)</f>
        <v>-477.23</v>
      </c>
      <c r="G25" s="694">
        <v>3990.97</v>
      </c>
      <c r="H25" s="694">
        <v>4152.26</v>
      </c>
      <c r="I25" s="681"/>
      <c r="J25" s="682">
        <f t="shared" si="0"/>
        <v>7666</v>
      </c>
      <c r="K25" s="683"/>
      <c r="L25" s="684"/>
      <c r="M25" s="685">
        <v>4000</v>
      </c>
      <c r="N25" s="683">
        <v>0</v>
      </c>
      <c r="O25" s="686"/>
      <c r="P25" s="683">
        <v>0</v>
      </c>
      <c r="Q25" s="687">
        <f t="shared" si="1"/>
        <v>4000</v>
      </c>
      <c r="R25" s="688">
        <v>4355.91</v>
      </c>
      <c r="S25" s="693"/>
      <c r="T25" s="690">
        <f t="shared" si="11"/>
        <v>355.90999999999985</v>
      </c>
      <c r="U25" s="683"/>
      <c r="V25" s="474">
        <f t="shared" si="2"/>
        <v>4000</v>
      </c>
      <c r="W25" s="474">
        <f t="shared" si="3"/>
        <v>0</v>
      </c>
      <c r="X25" s="475">
        <f t="shared" si="4"/>
        <v>0</v>
      </c>
      <c r="Y25" s="475">
        <v>0</v>
      </c>
      <c r="Z25" s="476">
        <v>0</v>
      </c>
      <c r="AA25" s="38">
        <f t="shared" si="12"/>
        <v>0</v>
      </c>
      <c r="AB25" s="692">
        <f t="shared" si="5"/>
        <v>7666</v>
      </c>
      <c r="AC25" s="692">
        <f t="shared" si="6"/>
        <v>0</v>
      </c>
      <c r="AD25" s="692">
        <f t="shared" si="7"/>
        <v>0</v>
      </c>
      <c r="AE25" s="38"/>
      <c r="AF25" s="692">
        <f t="shared" si="8"/>
        <v>4000</v>
      </c>
      <c r="AG25" s="692">
        <f t="shared" si="9"/>
        <v>0</v>
      </c>
      <c r="AH25" s="692">
        <f t="shared" si="10"/>
        <v>0</v>
      </c>
    </row>
    <row r="26" spans="1:34">
      <c r="A26" s="20"/>
      <c r="B26" s="20" t="s">
        <v>110</v>
      </c>
      <c r="C26" s="667" t="s">
        <v>524</v>
      </c>
      <c r="D26" s="123" t="s">
        <v>133</v>
      </c>
      <c r="E26" s="679"/>
      <c r="F26" s="529">
        <f>VLOOKUP(D26,'Q3 DMV -  Revenue'!D:T,17,FALSE)</f>
        <v>-373.94999999999982</v>
      </c>
      <c r="G26" s="694">
        <v>8625.4</v>
      </c>
      <c r="H26" s="694">
        <v>7662.2</v>
      </c>
      <c r="I26" s="681"/>
      <c r="J26" s="682">
        <f t="shared" si="0"/>
        <v>15913.650000000001</v>
      </c>
      <c r="K26" s="683"/>
      <c r="L26" s="684"/>
      <c r="M26" s="685">
        <v>7000</v>
      </c>
      <c r="N26" s="683">
        <v>0</v>
      </c>
      <c r="O26" s="686"/>
      <c r="P26" s="683">
        <v>0</v>
      </c>
      <c r="Q26" s="687">
        <f t="shared" si="1"/>
        <v>7000</v>
      </c>
      <c r="R26" s="688">
        <v>7748</v>
      </c>
      <c r="S26" s="693"/>
      <c r="T26" s="690">
        <f t="shared" si="11"/>
        <v>748</v>
      </c>
      <c r="U26" s="683"/>
      <c r="V26" s="474">
        <f t="shared" si="2"/>
        <v>7000</v>
      </c>
      <c r="W26" s="474">
        <f t="shared" si="3"/>
        <v>0</v>
      </c>
      <c r="X26" s="475">
        <f t="shared" si="4"/>
        <v>0</v>
      </c>
      <c r="Y26" s="475">
        <v>0</v>
      </c>
      <c r="Z26" s="476">
        <v>0</v>
      </c>
      <c r="AA26" s="38">
        <f t="shared" si="12"/>
        <v>0</v>
      </c>
      <c r="AB26" s="692">
        <f t="shared" si="5"/>
        <v>15913.650000000001</v>
      </c>
      <c r="AC26" s="692">
        <f t="shared" si="6"/>
        <v>0</v>
      </c>
      <c r="AD26" s="692">
        <f t="shared" si="7"/>
        <v>0</v>
      </c>
      <c r="AE26" s="38"/>
      <c r="AF26" s="692">
        <f t="shared" si="8"/>
        <v>7000</v>
      </c>
      <c r="AG26" s="692">
        <f t="shared" si="9"/>
        <v>0</v>
      </c>
      <c r="AH26" s="692">
        <f t="shared" si="10"/>
        <v>0</v>
      </c>
    </row>
    <row r="27" spans="1:34" s="232" customFormat="1">
      <c r="A27" s="283" t="s">
        <v>211</v>
      </c>
      <c r="B27" s="283" t="s">
        <v>109</v>
      </c>
      <c r="C27" s="667" t="s">
        <v>525</v>
      </c>
      <c r="D27" s="123" t="s">
        <v>419</v>
      </c>
      <c r="E27" s="679"/>
      <c r="F27" s="529">
        <f>VLOOKUP(D27,'Q3 DMV -  Revenue'!D:T,17,FALSE)</f>
        <v>4876.68</v>
      </c>
      <c r="G27" s="680"/>
      <c r="H27" s="680"/>
      <c r="I27" s="681"/>
      <c r="J27" s="682">
        <f t="shared" si="0"/>
        <v>4876.68</v>
      </c>
      <c r="K27" s="683"/>
      <c r="L27" s="684"/>
      <c r="M27" s="685">
        <v>0</v>
      </c>
      <c r="N27" s="683">
        <v>0</v>
      </c>
      <c r="O27" s="686">
        <v>4404.2299999999996</v>
      </c>
      <c r="P27" s="683">
        <v>0</v>
      </c>
      <c r="Q27" s="687">
        <f t="shared" si="1"/>
        <v>0</v>
      </c>
      <c r="R27" s="688">
        <v>38539.379999999997</v>
      </c>
      <c r="S27" s="693"/>
      <c r="T27" s="690">
        <f t="shared" si="11"/>
        <v>38539.379999999997</v>
      </c>
      <c r="U27" s="683"/>
      <c r="V27" s="474">
        <f t="shared" si="2"/>
        <v>0</v>
      </c>
      <c r="W27" s="474">
        <f t="shared" si="3"/>
        <v>0</v>
      </c>
      <c r="X27" s="475">
        <f t="shared" si="4"/>
        <v>0</v>
      </c>
      <c r="Y27" s="475">
        <v>0</v>
      </c>
      <c r="Z27" s="476">
        <v>0</v>
      </c>
      <c r="AA27" s="38">
        <f t="shared" si="12"/>
        <v>0</v>
      </c>
      <c r="AB27" s="692">
        <f t="shared" si="5"/>
        <v>0</v>
      </c>
      <c r="AC27" s="692">
        <f t="shared" si="6"/>
        <v>4876.68</v>
      </c>
      <c r="AD27" s="692">
        <f t="shared" si="7"/>
        <v>0</v>
      </c>
      <c r="AE27" s="38"/>
      <c r="AF27" s="692">
        <f t="shared" si="8"/>
        <v>0</v>
      </c>
      <c r="AG27" s="692">
        <f t="shared" si="9"/>
        <v>0</v>
      </c>
      <c r="AH27" s="692">
        <f t="shared" si="10"/>
        <v>0</v>
      </c>
    </row>
    <row r="28" spans="1:34" s="232" customFormat="1">
      <c r="A28" s="283"/>
      <c r="B28" s="283" t="s">
        <v>109</v>
      </c>
      <c r="C28" s="667" t="s">
        <v>525</v>
      </c>
      <c r="D28" s="413" t="s">
        <v>420</v>
      </c>
      <c r="E28" s="679"/>
      <c r="F28" s="529">
        <f>VLOOKUP(D28,'Q3 DMV -  Revenue'!D:T,17,FALSE)</f>
        <v>-171.26</v>
      </c>
      <c r="G28" s="680"/>
      <c r="H28" s="680"/>
      <c r="I28" s="681"/>
      <c r="J28" s="682">
        <f t="shared" si="0"/>
        <v>-171.26</v>
      </c>
      <c r="K28" s="683"/>
      <c r="L28" s="684"/>
      <c r="M28" s="685">
        <v>0</v>
      </c>
      <c r="N28" s="683">
        <v>0</v>
      </c>
      <c r="O28" s="686"/>
      <c r="P28" s="683">
        <v>0</v>
      </c>
      <c r="Q28" s="687">
        <f t="shared" si="1"/>
        <v>0</v>
      </c>
      <c r="R28" s="688">
        <v>488.08</v>
      </c>
      <c r="S28" s="693"/>
      <c r="T28" s="690">
        <f t="shared" si="11"/>
        <v>488.08</v>
      </c>
      <c r="U28" s="683"/>
      <c r="V28" s="474">
        <f t="shared" si="2"/>
        <v>0</v>
      </c>
      <c r="W28" s="474">
        <f t="shared" si="3"/>
        <v>0</v>
      </c>
      <c r="X28" s="475">
        <f t="shared" si="4"/>
        <v>0</v>
      </c>
      <c r="Y28" s="475">
        <v>0</v>
      </c>
      <c r="Z28" s="476">
        <v>0</v>
      </c>
      <c r="AA28" s="38">
        <f t="shared" si="12"/>
        <v>0</v>
      </c>
      <c r="AB28" s="692">
        <f t="shared" si="5"/>
        <v>0</v>
      </c>
      <c r="AC28" s="692">
        <f t="shared" si="6"/>
        <v>-171.26</v>
      </c>
      <c r="AD28" s="692">
        <f t="shared" si="7"/>
        <v>0</v>
      </c>
      <c r="AE28" s="38"/>
      <c r="AF28" s="692">
        <f t="shared" si="8"/>
        <v>0</v>
      </c>
      <c r="AG28" s="692">
        <f t="shared" si="9"/>
        <v>0</v>
      </c>
      <c r="AH28" s="692">
        <f t="shared" si="10"/>
        <v>0</v>
      </c>
    </row>
    <row r="29" spans="1:34" s="232" customFormat="1">
      <c r="A29" s="283"/>
      <c r="B29" s="283" t="s">
        <v>109</v>
      </c>
      <c r="C29" s="667" t="s">
        <v>525</v>
      </c>
      <c r="D29" s="413" t="s">
        <v>421</v>
      </c>
      <c r="E29" s="679"/>
      <c r="F29" s="529">
        <f>VLOOKUP(D29,'Q3 DMV -  Revenue'!D:T,17,FALSE)</f>
        <v>-301.19</v>
      </c>
      <c r="G29" s="680"/>
      <c r="H29" s="680"/>
      <c r="I29" s="681"/>
      <c r="J29" s="682">
        <f t="shared" si="0"/>
        <v>-301.19</v>
      </c>
      <c r="K29" s="683"/>
      <c r="L29" s="684"/>
      <c r="M29" s="685">
        <v>0</v>
      </c>
      <c r="N29" s="683">
        <v>0</v>
      </c>
      <c r="O29" s="686"/>
      <c r="P29" s="683">
        <v>0</v>
      </c>
      <c r="Q29" s="687">
        <f t="shared" si="1"/>
        <v>0</v>
      </c>
      <c r="R29" s="688">
        <v>120.98</v>
      </c>
      <c r="S29" s="693"/>
      <c r="T29" s="690">
        <f t="shared" si="11"/>
        <v>120.98</v>
      </c>
      <c r="U29" s="683"/>
      <c r="V29" s="474">
        <f t="shared" si="2"/>
        <v>0</v>
      </c>
      <c r="W29" s="474">
        <f t="shared" si="3"/>
        <v>0</v>
      </c>
      <c r="X29" s="475">
        <f t="shared" si="4"/>
        <v>0</v>
      </c>
      <c r="Y29" s="475">
        <v>0</v>
      </c>
      <c r="Z29" s="476">
        <v>0</v>
      </c>
      <c r="AA29" s="38">
        <f t="shared" si="12"/>
        <v>0</v>
      </c>
      <c r="AB29" s="692">
        <f t="shared" si="5"/>
        <v>0</v>
      </c>
      <c r="AC29" s="692">
        <f t="shared" si="6"/>
        <v>-301.19</v>
      </c>
      <c r="AD29" s="692">
        <f t="shared" si="7"/>
        <v>0</v>
      </c>
      <c r="AE29" s="38"/>
      <c r="AF29" s="692">
        <f t="shared" si="8"/>
        <v>0</v>
      </c>
      <c r="AG29" s="692">
        <f t="shared" si="9"/>
        <v>0</v>
      </c>
      <c r="AH29" s="692">
        <f t="shared" si="10"/>
        <v>0</v>
      </c>
    </row>
    <row r="30" spans="1:34">
      <c r="A30" s="20"/>
      <c r="B30" s="20" t="s">
        <v>110</v>
      </c>
      <c r="C30" s="667"/>
      <c r="D30" s="68" t="s">
        <v>191</v>
      </c>
      <c r="E30" s="679"/>
      <c r="F30" s="529">
        <f>VLOOKUP(D30,'Q3 DMV -  Revenue'!D:T,17,FALSE)</f>
        <v>0</v>
      </c>
      <c r="G30" s="694">
        <v>244.61</v>
      </c>
      <c r="H30" s="694">
        <v>177.59</v>
      </c>
      <c r="I30" s="741">
        <v>169.69</v>
      </c>
      <c r="J30" s="682">
        <f t="shared" si="0"/>
        <v>591.8900000000001</v>
      </c>
      <c r="K30" s="683"/>
      <c r="L30" s="684"/>
      <c r="M30" s="685">
        <v>0</v>
      </c>
      <c r="N30" s="683">
        <v>0</v>
      </c>
      <c r="O30" s="686">
        <v>591.89</v>
      </c>
      <c r="P30" s="683">
        <v>0</v>
      </c>
      <c r="Q30" s="687">
        <f t="shared" si="1"/>
        <v>0</v>
      </c>
      <c r="R30" s="688"/>
      <c r="S30" s="693"/>
      <c r="T30" s="690" t="str">
        <f t="shared" si="11"/>
        <v/>
      </c>
      <c r="U30" s="683"/>
      <c r="V30" s="474">
        <f t="shared" si="2"/>
        <v>0</v>
      </c>
      <c r="W30" s="474">
        <f t="shared" si="3"/>
        <v>0</v>
      </c>
      <c r="X30" s="475">
        <f t="shared" si="4"/>
        <v>0</v>
      </c>
      <c r="Y30" s="475">
        <v>0</v>
      </c>
      <c r="Z30" s="476">
        <v>0</v>
      </c>
      <c r="AA30" s="38">
        <f t="shared" si="12"/>
        <v>0</v>
      </c>
      <c r="AB30" s="692">
        <f t="shared" si="5"/>
        <v>591.8900000000001</v>
      </c>
      <c r="AC30" s="692">
        <f t="shared" si="6"/>
        <v>0</v>
      </c>
      <c r="AD30" s="692">
        <f t="shared" si="7"/>
        <v>0</v>
      </c>
      <c r="AE30" s="38"/>
      <c r="AF30" s="692">
        <f t="shared" si="8"/>
        <v>0</v>
      </c>
      <c r="AG30" s="692">
        <f t="shared" si="9"/>
        <v>0</v>
      </c>
      <c r="AH30" s="692">
        <f t="shared" si="10"/>
        <v>0</v>
      </c>
    </row>
    <row r="31" spans="1:34">
      <c r="A31" s="20"/>
      <c r="B31" s="20" t="s">
        <v>109</v>
      </c>
      <c r="C31" s="667"/>
      <c r="D31" s="68" t="s">
        <v>1</v>
      </c>
      <c r="E31" s="679"/>
      <c r="F31" s="529">
        <f>VLOOKUP(D31,'Q3 DMV -  Revenue'!D:T,17,FALSE)</f>
        <v>0</v>
      </c>
      <c r="G31" s="680"/>
      <c r="H31" s="680"/>
      <c r="I31" s="681"/>
      <c r="J31" s="682">
        <f t="shared" si="0"/>
        <v>0</v>
      </c>
      <c r="K31" s="683"/>
      <c r="L31" s="684"/>
      <c r="M31" s="685">
        <v>0</v>
      </c>
      <c r="N31" s="683">
        <v>0</v>
      </c>
      <c r="O31" s="686"/>
      <c r="P31" s="683">
        <v>0</v>
      </c>
      <c r="Q31" s="687">
        <f t="shared" si="1"/>
        <v>0</v>
      </c>
      <c r="R31" s="688"/>
      <c r="S31" s="693"/>
      <c r="T31" s="690" t="str">
        <f t="shared" si="11"/>
        <v/>
      </c>
      <c r="U31" s="683"/>
      <c r="V31" s="474">
        <f t="shared" si="2"/>
        <v>0</v>
      </c>
      <c r="W31" s="474">
        <f t="shared" si="3"/>
        <v>0</v>
      </c>
      <c r="X31" s="475">
        <f t="shared" si="4"/>
        <v>0</v>
      </c>
      <c r="Y31" s="475">
        <v>0</v>
      </c>
      <c r="Z31" s="476">
        <v>0</v>
      </c>
      <c r="AA31" s="38">
        <f t="shared" si="12"/>
        <v>0</v>
      </c>
      <c r="AB31" s="692">
        <f t="shared" si="5"/>
        <v>0</v>
      </c>
      <c r="AC31" s="692">
        <f t="shared" si="6"/>
        <v>0</v>
      </c>
      <c r="AD31" s="692">
        <f t="shared" si="7"/>
        <v>0</v>
      </c>
      <c r="AE31" s="38"/>
      <c r="AF31" s="692">
        <f t="shared" si="8"/>
        <v>0</v>
      </c>
      <c r="AG31" s="692">
        <f t="shared" si="9"/>
        <v>0</v>
      </c>
      <c r="AH31" s="692">
        <f t="shared" si="10"/>
        <v>0</v>
      </c>
    </row>
    <row r="32" spans="1:34">
      <c r="A32" s="20"/>
      <c r="B32" s="20" t="s">
        <v>110</v>
      </c>
      <c r="C32" s="667"/>
      <c r="D32" s="68" t="s">
        <v>589</v>
      </c>
      <c r="E32" s="679">
        <f>17931.71+14363.43</f>
        <v>32295.14</v>
      </c>
      <c r="F32" s="529">
        <f>VLOOKUP(D32,'Q3 DMV -  Revenue'!D:T,17,FALSE)</f>
        <v>14740.54</v>
      </c>
      <c r="G32" s="680"/>
      <c r="H32" s="680"/>
      <c r="I32" s="741">
        <v>18239.3</v>
      </c>
      <c r="J32" s="682">
        <f t="shared" ref="J32" si="13">SUM(E32:I32)</f>
        <v>65274.979999999996</v>
      </c>
      <c r="K32" s="683"/>
      <c r="L32" s="684"/>
      <c r="M32" s="685">
        <v>0</v>
      </c>
      <c r="N32" s="683">
        <v>0</v>
      </c>
      <c r="O32" s="686">
        <v>35274.980000000003</v>
      </c>
      <c r="P32" s="683">
        <v>0</v>
      </c>
      <c r="Q32" s="687">
        <f t="shared" ref="Q32" si="14">L32+M32</f>
        <v>0</v>
      </c>
      <c r="R32" s="688"/>
      <c r="S32" s="693"/>
      <c r="T32" s="690" t="str">
        <f t="shared" si="11"/>
        <v/>
      </c>
      <c r="U32" s="683"/>
      <c r="V32" s="474">
        <f t="shared" ref="V32" si="15">IF(B32="D",Q32,0)</f>
        <v>0</v>
      </c>
      <c r="W32" s="474">
        <f t="shared" ref="W32" si="16">IF(B32="M",Q32,0)</f>
        <v>0</v>
      </c>
      <c r="X32" s="475">
        <f t="shared" ref="X32" si="17">IF(B32="V",Q32,0)</f>
        <v>0</v>
      </c>
      <c r="Y32" s="475">
        <v>0</v>
      </c>
      <c r="Z32" s="476">
        <v>0</v>
      </c>
      <c r="AA32" s="38">
        <f t="shared" ref="AA32" si="18">(L32+M32)-(V32+W32+X32+Y32+Z32)</f>
        <v>0</v>
      </c>
      <c r="AB32" s="692">
        <f t="shared" ref="AB32" si="19">IF(B32="D",J32,0)</f>
        <v>65274.979999999996</v>
      </c>
      <c r="AC32" s="692">
        <f t="shared" ref="AC32" si="20">IF(B32="M",J32,0)</f>
        <v>0</v>
      </c>
      <c r="AD32" s="692">
        <f t="shared" ref="AD32" si="21">IF(B32="V",J32,0)</f>
        <v>0</v>
      </c>
      <c r="AE32" s="38"/>
      <c r="AF32" s="692">
        <f t="shared" ref="AF32" si="22">IF(B32="D",Q32,0)</f>
        <v>0</v>
      </c>
      <c r="AG32" s="692">
        <f t="shared" ref="AG32" si="23">IF(B32="M",Q32,0)</f>
        <v>0</v>
      </c>
      <c r="AH32" s="692">
        <f t="shared" ref="AH32" si="24">IF(B32="V",Q32,0)</f>
        <v>0</v>
      </c>
    </row>
    <row r="33" spans="1:34">
      <c r="A33" s="20"/>
      <c r="B33" s="20" t="s">
        <v>109</v>
      </c>
      <c r="C33" s="667" t="s">
        <v>526</v>
      </c>
      <c r="D33" s="68" t="s">
        <v>385</v>
      </c>
      <c r="E33" s="679"/>
      <c r="F33" s="529">
        <f>VLOOKUP(D33,'Q3 DMV -  Revenue'!D:T,17,FALSE)</f>
        <v>-50.914999999999964</v>
      </c>
      <c r="G33" s="694">
        <v>1874.54</v>
      </c>
      <c r="H33" s="737">
        <v>1753.27</v>
      </c>
      <c r="I33" s="741">
        <v>2088.5500000000002</v>
      </c>
      <c r="J33" s="682">
        <f t="shared" si="0"/>
        <v>5665.4449999999997</v>
      </c>
      <c r="K33" s="683"/>
      <c r="L33" s="684"/>
      <c r="M33" s="685">
        <v>0</v>
      </c>
      <c r="N33" s="683">
        <v>0</v>
      </c>
      <c r="O33" s="686">
        <v>5665.44</v>
      </c>
      <c r="P33" s="683">
        <v>0</v>
      </c>
      <c r="Q33" s="687">
        <f t="shared" si="1"/>
        <v>0</v>
      </c>
      <c r="R33" s="688"/>
      <c r="S33" s="693"/>
      <c r="T33" s="690" t="str">
        <f t="shared" si="11"/>
        <v/>
      </c>
      <c r="U33" s="691"/>
      <c r="V33" s="474">
        <f t="shared" si="2"/>
        <v>0</v>
      </c>
      <c r="W33" s="474">
        <f t="shared" si="3"/>
        <v>0</v>
      </c>
      <c r="X33" s="475">
        <f t="shared" si="4"/>
        <v>0</v>
      </c>
      <c r="Y33" s="475">
        <v>0</v>
      </c>
      <c r="Z33" s="476">
        <v>0</v>
      </c>
      <c r="AA33" s="38">
        <f t="shared" si="12"/>
        <v>0</v>
      </c>
      <c r="AB33" s="692">
        <f t="shared" si="5"/>
        <v>0</v>
      </c>
      <c r="AC33" s="692">
        <f t="shared" si="6"/>
        <v>5665.4449999999997</v>
      </c>
      <c r="AD33" s="692">
        <f t="shared" si="7"/>
        <v>0</v>
      </c>
      <c r="AE33" s="38"/>
      <c r="AF33" s="692">
        <f t="shared" si="8"/>
        <v>0</v>
      </c>
      <c r="AG33" s="692">
        <f t="shared" si="9"/>
        <v>0</v>
      </c>
      <c r="AH33" s="692">
        <f t="shared" si="10"/>
        <v>0</v>
      </c>
    </row>
    <row r="34" spans="1:34" s="232" customFormat="1">
      <c r="A34" s="283"/>
      <c r="B34" s="283" t="s">
        <v>110</v>
      </c>
      <c r="C34" s="667" t="s">
        <v>527</v>
      </c>
      <c r="D34" s="123" t="s">
        <v>401</v>
      </c>
      <c r="E34" s="679"/>
      <c r="F34" s="529">
        <f>VLOOKUP(D34,'Q3 DMV -  Revenue'!D:T,17,FALSE)</f>
        <v>3463.6500000000233</v>
      </c>
      <c r="G34" s="694">
        <v>289315.59999999998</v>
      </c>
      <c r="H34" s="694">
        <v>320943.99</v>
      </c>
      <c r="I34" s="741">
        <v>491117.4</v>
      </c>
      <c r="J34" s="682">
        <f t="shared" si="0"/>
        <v>1104840.6400000001</v>
      </c>
      <c r="K34" s="683"/>
      <c r="L34" s="684"/>
      <c r="M34" s="685">
        <v>0</v>
      </c>
      <c r="N34" s="683">
        <v>0</v>
      </c>
      <c r="O34" s="686">
        <v>1239853.81</v>
      </c>
      <c r="P34" s="683">
        <v>0</v>
      </c>
      <c r="Q34" s="687">
        <f t="shared" si="1"/>
        <v>0</v>
      </c>
      <c r="R34" s="688"/>
      <c r="S34" s="693"/>
      <c r="T34" s="690" t="str">
        <f t="shared" si="11"/>
        <v/>
      </c>
      <c r="U34" s="683"/>
      <c r="V34" s="474">
        <f t="shared" si="2"/>
        <v>0</v>
      </c>
      <c r="W34" s="474">
        <f t="shared" si="3"/>
        <v>0</v>
      </c>
      <c r="X34" s="475">
        <f t="shared" si="4"/>
        <v>0</v>
      </c>
      <c r="Y34" s="475">
        <v>0</v>
      </c>
      <c r="Z34" s="476">
        <v>0</v>
      </c>
      <c r="AA34" s="38">
        <f t="shared" si="12"/>
        <v>0</v>
      </c>
      <c r="AB34" s="692">
        <f t="shared" si="5"/>
        <v>1104840.6400000001</v>
      </c>
      <c r="AC34" s="692">
        <f t="shared" si="6"/>
        <v>0</v>
      </c>
      <c r="AD34" s="692">
        <f t="shared" si="7"/>
        <v>0</v>
      </c>
      <c r="AE34" s="38"/>
      <c r="AF34" s="692">
        <f t="shared" si="8"/>
        <v>0</v>
      </c>
      <c r="AG34" s="692">
        <f t="shared" si="9"/>
        <v>0</v>
      </c>
      <c r="AH34" s="692">
        <f t="shared" si="10"/>
        <v>0</v>
      </c>
    </row>
    <row r="35" spans="1:34" s="232" customFormat="1">
      <c r="A35" s="283"/>
      <c r="B35" s="283" t="s">
        <v>110</v>
      </c>
      <c r="C35" s="667" t="s">
        <v>527</v>
      </c>
      <c r="D35" s="123" t="s">
        <v>402</v>
      </c>
      <c r="E35" s="679"/>
      <c r="F35" s="529">
        <f>VLOOKUP(D35,'Q3 DMV -  Revenue'!D:T,17,FALSE)</f>
        <v>0</v>
      </c>
      <c r="G35" s="695">
        <v>0</v>
      </c>
      <c r="H35" s="695">
        <v>0</v>
      </c>
      <c r="I35" s="696"/>
      <c r="J35" s="682">
        <f t="shared" si="0"/>
        <v>0</v>
      </c>
      <c r="K35" s="683"/>
      <c r="L35" s="684"/>
      <c r="M35" s="685">
        <v>0</v>
      </c>
      <c r="N35" s="683">
        <v>0</v>
      </c>
      <c r="O35" s="686"/>
      <c r="P35" s="683">
        <v>0</v>
      </c>
      <c r="Q35" s="687">
        <f t="shared" si="1"/>
        <v>0</v>
      </c>
      <c r="R35" s="688"/>
      <c r="S35" s="693"/>
      <c r="T35" s="690" t="str">
        <f t="shared" si="11"/>
        <v/>
      </c>
      <c r="U35" s="683"/>
      <c r="V35" s="474">
        <f t="shared" si="2"/>
        <v>0</v>
      </c>
      <c r="W35" s="474">
        <f t="shared" si="3"/>
        <v>0</v>
      </c>
      <c r="X35" s="475">
        <f t="shared" si="4"/>
        <v>0</v>
      </c>
      <c r="Y35" s="475">
        <v>0</v>
      </c>
      <c r="Z35" s="476">
        <v>0</v>
      </c>
      <c r="AA35" s="38">
        <f t="shared" si="12"/>
        <v>0</v>
      </c>
      <c r="AB35" s="692">
        <f t="shared" si="5"/>
        <v>0</v>
      </c>
      <c r="AC35" s="692">
        <f t="shared" si="6"/>
        <v>0</v>
      </c>
      <c r="AD35" s="692">
        <f t="shared" si="7"/>
        <v>0</v>
      </c>
      <c r="AE35" s="38"/>
      <c r="AF35" s="692">
        <f t="shared" si="8"/>
        <v>0</v>
      </c>
      <c r="AG35" s="692">
        <f t="shared" si="9"/>
        <v>0</v>
      </c>
      <c r="AH35" s="692">
        <f t="shared" si="10"/>
        <v>0</v>
      </c>
    </row>
    <row r="36" spans="1:34" s="232" customFormat="1">
      <c r="A36" s="283"/>
      <c r="B36" s="283" t="s">
        <v>110</v>
      </c>
      <c r="C36" s="667" t="s">
        <v>528</v>
      </c>
      <c r="D36" s="123" t="s">
        <v>403</v>
      </c>
      <c r="E36" s="679"/>
      <c r="F36" s="529">
        <f>VLOOKUP(D36,'Q3 DMV -  Revenue'!D:T,17,FALSE)</f>
        <v>-1403.1650000000009</v>
      </c>
      <c r="G36" s="694">
        <v>58780.07</v>
      </c>
      <c r="H36" s="694">
        <v>58628.89</v>
      </c>
      <c r="I36" s="741">
        <v>63089.66</v>
      </c>
      <c r="J36" s="682">
        <f t="shared" si="0"/>
        <v>179095.45500000002</v>
      </c>
      <c r="K36" s="683"/>
      <c r="L36" s="684"/>
      <c r="M36" s="685">
        <v>0</v>
      </c>
      <c r="N36" s="683">
        <v>0</v>
      </c>
      <c r="O36" s="686">
        <v>496984.18</v>
      </c>
      <c r="P36" s="683">
        <v>0</v>
      </c>
      <c r="Q36" s="687">
        <f t="shared" si="1"/>
        <v>0</v>
      </c>
      <c r="R36" s="688"/>
      <c r="S36" s="693"/>
      <c r="T36" s="690" t="str">
        <f t="shared" si="11"/>
        <v/>
      </c>
      <c r="U36" s="683"/>
      <c r="V36" s="474">
        <f t="shared" si="2"/>
        <v>0</v>
      </c>
      <c r="W36" s="474">
        <f t="shared" si="3"/>
        <v>0</v>
      </c>
      <c r="X36" s="475">
        <f t="shared" si="4"/>
        <v>0</v>
      </c>
      <c r="Y36" s="475">
        <v>0</v>
      </c>
      <c r="Z36" s="476">
        <v>0</v>
      </c>
      <c r="AA36" s="38">
        <f t="shared" si="12"/>
        <v>0</v>
      </c>
      <c r="AB36" s="692">
        <f t="shared" si="5"/>
        <v>179095.45500000002</v>
      </c>
      <c r="AC36" s="692">
        <f t="shared" si="6"/>
        <v>0</v>
      </c>
      <c r="AD36" s="692">
        <f t="shared" si="7"/>
        <v>0</v>
      </c>
      <c r="AE36" s="38"/>
      <c r="AF36" s="692">
        <f t="shared" si="8"/>
        <v>0</v>
      </c>
      <c r="AG36" s="692">
        <f t="shared" si="9"/>
        <v>0</v>
      </c>
      <c r="AH36" s="692">
        <f t="shared" si="10"/>
        <v>0</v>
      </c>
    </row>
    <row r="37" spans="1:34" s="232" customFormat="1">
      <c r="A37" s="283"/>
      <c r="B37" s="283" t="s">
        <v>110</v>
      </c>
      <c r="C37" s="667" t="s">
        <v>528</v>
      </c>
      <c r="D37" s="123" t="s">
        <v>404</v>
      </c>
      <c r="E37" s="679"/>
      <c r="F37" s="529">
        <f>VLOOKUP(D37,'Q3 DMV -  Revenue'!D:T,17,FALSE)</f>
        <v>-13564.404999999992</v>
      </c>
      <c r="G37" s="694">
        <v>72052.37</v>
      </c>
      <c r="H37" s="694">
        <v>78734.36</v>
      </c>
      <c r="I37" s="741">
        <v>86267.7</v>
      </c>
      <c r="J37" s="682">
        <f t="shared" si="0"/>
        <v>223490.02500000002</v>
      </c>
      <c r="K37" s="683"/>
      <c r="L37" s="684"/>
      <c r="M37" s="685">
        <v>0</v>
      </c>
      <c r="N37" s="683">
        <v>0</v>
      </c>
      <c r="O37" s="686"/>
      <c r="P37" s="683">
        <v>0</v>
      </c>
      <c r="Q37" s="687">
        <f t="shared" si="1"/>
        <v>0</v>
      </c>
      <c r="R37" s="688"/>
      <c r="S37" s="693"/>
      <c r="T37" s="690" t="str">
        <f t="shared" si="11"/>
        <v/>
      </c>
      <c r="U37" s="683"/>
      <c r="V37" s="474">
        <f t="shared" si="2"/>
        <v>0</v>
      </c>
      <c r="W37" s="474">
        <f t="shared" si="3"/>
        <v>0</v>
      </c>
      <c r="X37" s="475">
        <f t="shared" si="4"/>
        <v>0</v>
      </c>
      <c r="Y37" s="475">
        <v>0</v>
      </c>
      <c r="Z37" s="476">
        <v>0</v>
      </c>
      <c r="AA37" s="38">
        <f t="shared" si="12"/>
        <v>0</v>
      </c>
      <c r="AB37" s="692">
        <f t="shared" si="5"/>
        <v>223490.02500000002</v>
      </c>
      <c r="AC37" s="692">
        <f t="shared" si="6"/>
        <v>0</v>
      </c>
      <c r="AD37" s="692">
        <f t="shared" si="7"/>
        <v>0</v>
      </c>
      <c r="AE37" s="38"/>
      <c r="AF37" s="692">
        <f t="shared" si="8"/>
        <v>0</v>
      </c>
      <c r="AG37" s="692">
        <f t="shared" si="9"/>
        <v>0</v>
      </c>
      <c r="AH37" s="692">
        <f t="shared" si="10"/>
        <v>0</v>
      </c>
    </row>
    <row r="38" spans="1:34" s="232" customFormat="1">
      <c r="A38" s="283"/>
      <c r="B38" s="283" t="s">
        <v>110</v>
      </c>
      <c r="C38" s="667" t="s">
        <v>528</v>
      </c>
      <c r="D38" s="123" t="s">
        <v>405</v>
      </c>
      <c r="E38" s="679"/>
      <c r="F38" s="529">
        <f>VLOOKUP(D38,'Q3 DMV -  Revenue'!D:T,17,FALSE)</f>
        <v>-2882.9999999999982</v>
      </c>
      <c r="G38" s="694">
        <v>14506.87</v>
      </c>
      <c r="H38" s="694">
        <v>15431.66</v>
      </c>
      <c r="I38" s="741">
        <v>21522.23</v>
      </c>
      <c r="J38" s="682">
        <f t="shared" si="0"/>
        <v>48577.760000000002</v>
      </c>
      <c r="K38" s="683"/>
      <c r="L38" s="684"/>
      <c r="M38" s="685">
        <v>0</v>
      </c>
      <c r="N38" s="683">
        <v>0</v>
      </c>
      <c r="O38" s="686"/>
      <c r="P38" s="683">
        <v>0</v>
      </c>
      <c r="Q38" s="687">
        <f t="shared" si="1"/>
        <v>0</v>
      </c>
      <c r="R38" s="688"/>
      <c r="S38" s="693"/>
      <c r="T38" s="690" t="str">
        <f t="shared" si="11"/>
        <v/>
      </c>
      <c r="U38" s="683"/>
      <c r="V38" s="474">
        <f t="shared" si="2"/>
        <v>0</v>
      </c>
      <c r="W38" s="474">
        <f t="shared" si="3"/>
        <v>0</v>
      </c>
      <c r="X38" s="475">
        <f t="shared" si="4"/>
        <v>0</v>
      </c>
      <c r="Y38" s="475">
        <v>0</v>
      </c>
      <c r="Z38" s="476">
        <v>0</v>
      </c>
      <c r="AA38" s="38">
        <f t="shared" si="12"/>
        <v>0</v>
      </c>
      <c r="AB38" s="692">
        <f t="shared" si="5"/>
        <v>48577.760000000002</v>
      </c>
      <c r="AC38" s="692">
        <f t="shared" si="6"/>
        <v>0</v>
      </c>
      <c r="AD38" s="692">
        <f t="shared" si="7"/>
        <v>0</v>
      </c>
      <c r="AE38" s="38"/>
      <c r="AF38" s="692">
        <f t="shared" si="8"/>
        <v>0</v>
      </c>
      <c r="AG38" s="692">
        <f t="shared" si="9"/>
        <v>0</v>
      </c>
      <c r="AH38" s="692">
        <f t="shared" si="10"/>
        <v>0</v>
      </c>
    </row>
    <row r="39" spans="1:34" s="232" customFormat="1">
      <c r="A39" s="283"/>
      <c r="B39" s="283" t="s">
        <v>110</v>
      </c>
      <c r="C39" s="667" t="s">
        <v>528</v>
      </c>
      <c r="D39" s="123" t="s">
        <v>406</v>
      </c>
      <c r="E39" s="679"/>
      <c r="F39" s="529">
        <f>VLOOKUP(D39,'Q3 DMV -  Revenue'!D:T,17,FALSE)</f>
        <v>-1034.1749999999993</v>
      </c>
      <c r="G39" s="694">
        <v>5625.34</v>
      </c>
      <c r="H39" s="694">
        <v>5949.9</v>
      </c>
      <c r="I39" s="741">
        <v>6277.17</v>
      </c>
      <c r="J39" s="682">
        <f t="shared" si="0"/>
        <v>16818.235000000001</v>
      </c>
      <c r="K39" s="683"/>
      <c r="L39" s="684"/>
      <c r="M39" s="685">
        <v>0</v>
      </c>
      <c r="N39" s="683">
        <v>0</v>
      </c>
      <c r="O39" s="686"/>
      <c r="P39" s="683">
        <v>0</v>
      </c>
      <c r="Q39" s="687">
        <f t="shared" si="1"/>
        <v>0</v>
      </c>
      <c r="R39" s="688"/>
      <c r="S39" s="693"/>
      <c r="T39" s="690" t="str">
        <f t="shared" si="11"/>
        <v/>
      </c>
      <c r="U39" s="683"/>
      <c r="V39" s="474">
        <f t="shared" si="2"/>
        <v>0</v>
      </c>
      <c r="W39" s="474">
        <f t="shared" si="3"/>
        <v>0</v>
      </c>
      <c r="X39" s="475">
        <f t="shared" si="4"/>
        <v>0</v>
      </c>
      <c r="Y39" s="475">
        <v>0</v>
      </c>
      <c r="Z39" s="476">
        <v>0</v>
      </c>
      <c r="AA39" s="38">
        <f t="shared" si="12"/>
        <v>0</v>
      </c>
      <c r="AB39" s="692">
        <f t="shared" si="5"/>
        <v>16818.235000000001</v>
      </c>
      <c r="AC39" s="692">
        <f t="shared" si="6"/>
        <v>0</v>
      </c>
      <c r="AD39" s="692">
        <f t="shared" si="7"/>
        <v>0</v>
      </c>
      <c r="AE39" s="38"/>
      <c r="AF39" s="692">
        <f t="shared" si="8"/>
        <v>0</v>
      </c>
      <c r="AG39" s="692">
        <f t="shared" si="9"/>
        <v>0</v>
      </c>
      <c r="AH39" s="692">
        <f t="shared" si="10"/>
        <v>0</v>
      </c>
    </row>
    <row r="40" spans="1:34" s="232" customFormat="1">
      <c r="A40" s="283"/>
      <c r="B40" s="283" t="s">
        <v>110</v>
      </c>
      <c r="C40" s="667" t="s">
        <v>528</v>
      </c>
      <c r="D40" s="123" t="s">
        <v>407</v>
      </c>
      <c r="E40" s="679"/>
      <c r="F40" s="529">
        <f>VLOOKUP(D40,'Q3 DMV -  Revenue'!D:T,17,FALSE)</f>
        <v>-185.05000000000018</v>
      </c>
      <c r="G40" s="694">
        <v>2263.2600000000002</v>
      </c>
      <c r="H40" s="694">
        <v>2915.58</v>
      </c>
      <c r="I40" s="741">
        <v>2566.52</v>
      </c>
      <c r="J40" s="682">
        <f t="shared" si="0"/>
        <v>7560.3099999999995</v>
      </c>
      <c r="K40" s="683"/>
      <c r="L40" s="684"/>
      <c r="M40" s="685">
        <v>0</v>
      </c>
      <c r="N40" s="683">
        <v>0</v>
      </c>
      <c r="O40" s="686"/>
      <c r="P40" s="683">
        <v>0</v>
      </c>
      <c r="Q40" s="687">
        <f t="shared" si="1"/>
        <v>0</v>
      </c>
      <c r="R40" s="688"/>
      <c r="S40" s="693"/>
      <c r="T40" s="690" t="str">
        <f t="shared" si="11"/>
        <v/>
      </c>
      <c r="U40" s="683"/>
      <c r="V40" s="474">
        <f t="shared" si="2"/>
        <v>0</v>
      </c>
      <c r="W40" s="474">
        <f t="shared" si="3"/>
        <v>0</v>
      </c>
      <c r="X40" s="475">
        <f t="shared" si="4"/>
        <v>0</v>
      </c>
      <c r="Y40" s="475">
        <v>0</v>
      </c>
      <c r="Z40" s="476">
        <v>0</v>
      </c>
      <c r="AA40" s="38">
        <f t="shared" si="12"/>
        <v>0</v>
      </c>
      <c r="AB40" s="692">
        <f t="shared" si="5"/>
        <v>7560.3099999999995</v>
      </c>
      <c r="AC40" s="692">
        <f t="shared" si="6"/>
        <v>0</v>
      </c>
      <c r="AD40" s="692">
        <f t="shared" si="7"/>
        <v>0</v>
      </c>
      <c r="AE40" s="38"/>
      <c r="AF40" s="692">
        <f t="shared" si="8"/>
        <v>0</v>
      </c>
      <c r="AG40" s="692">
        <f t="shared" si="9"/>
        <v>0</v>
      </c>
      <c r="AH40" s="692">
        <f t="shared" si="10"/>
        <v>0</v>
      </c>
    </row>
    <row r="41" spans="1:34" s="232" customFormat="1">
      <c r="A41" s="283"/>
      <c r="B41" s="283" t="s">
        <v>110</v>
      </c>
      <c r="C41" s="667" t="s">
        <v>528</v>
      </c>
      <c r="D41" s="123" t="s">
        <v>820</v>
      </c>
      <c r="E41" s="679"/>
      <c r="F41" s="529">
        <f>VLOOKUP(D41,'Q3 DMV -  Revenue'!D:T,17,FALSE)</f>
        <v>-986.48999999999796</v>
      </c>
      <c r="G41" s="737">
        <v>11354.13</v>
      </c>
      <c r="H41" s="694">
        <v>11074.77</v>
      </c>
      <c r="I41" s="681"/>
      <c r="J41" s="682">
        <f t="shared" si="0"/>
        <v>21442.410000000003</v>
      </c>
      <c r="K41" s="683"/>
      <c r="L41" s="684"/>
      <c r="M41" s="685">
        <v>11000</v>
      </c>
      <c r="N41" s="683">
        <v>0</v>
      </c>
      <c r="O41" s="686"/>
      <c r="P41" s="683">
        <v>0</v>
      </c>
      <c r="Q41" s="687">
        <f t="shared" si="1"/>
        <v>11000</v>
      </c>
      <c r="R41" s="688">
        <v>13083.43</v>
      </c>
      <c r="S41" s="693"/>
      <c r="T41" s="690">
        <f t="shared" si="11"/>
        <v>2083.4300000000003</v>
      </c>
      <c r="U41" s="683"/>
      <c r="V41" s="474">
        <f t="shared" si="2"/>
        <v>11000</v>
      </c>
      <c r="W41" s="474">
        <f t="shared" si="3"/>
        <v>0</v>
      </c>
      <c r="X41" s="475">
        <f t="shared" si="4"/>
        <v>0</v>
      </c>
      <c r="Y41" s="475">
        <v>0</v>
      </c>
      <c r="Z41" s="476">
        <v>0</v>
      </c>
      <c r="AA41" s="38">
        <f t="shared" si="12"/>
        <v>0</v>
      </c>
      <c r="AB41" s="692">
        <f t="shared" si="5"/>
        <v>21442.410000000003</v>
      </c>
      <c r="AC41" s="692">
        <f t="shared" si="6"/>
        <v>0</v>
      </c>
      <c r="AD41" s="692">
        <f t="shared" si="7"/>
        <v>0</v>
      </c>
      <c r="AE41" s="38"/>
      <c r="AF41" s="692">
        <f t="shared" si="8"/>
        <v>11000</v>
      </c>
      <c r="AG41" s="692">
        <f t="shared" si="9"/>
        <v>0</v>
      </c>
      <c r="AH41" s="692">
        <f t="shared" si="10"/>
        <v>0</v>
      </c>
    </row>
    <row r="42" spans="1:34" s="232" customFormat="1">
      <c r="A42" s="283"/>
      <c r="B42" s="283" t="s">
        <v>110</v>
      </c>
      <c r="C42" s="667" t="s">
        <v>527</v>
      </c>
      <c r="D42" s="123" t="s">
        <v>460</v>
      </c>
      <c r="E42" s="679"/>
      <c r="F42" s="529">
        <f>VLOOKUP(D42,'Q3 DMV -  Revenue'!D:T,17,FALSE)</f>
        <v>0</v>
      </c>
      <c r="G42" s="694">
        <v>30319.64</v>
      </c>
      <c r="H42" s="694">
        <v>38565.65</v>
      </c>
      <c r="I42" s="741">
        <v>66127.88</v>
      </c>
      <c r="J42" s="682">
        <f t="shared" si="0"/>
        <v>135013.17000000001</v>
      </c>
      <c r="K42" s="683"/>
      <c r="L42" s="684"/>
      <c r="M42" s="685">
        <v>0</v>
      </c>
      <c r="N42" s="683">
        <v>0</v>
      </c>
      <c r="O42" s="686"/>
      <c r="P42" s="683">
        <v>0</v>
      </c>
      <c r="Q42" s="687">
        <f t="shared" si="1"/>
        <v>0</v>
      </c>
      <c r="R42" s="688"/>
      <c r="S42" s="693"/>
      <c r="T42" s="690" t="str">
        <f t="shared" si="11"/>
        <v/>
      </c>
      <c r="U42" s="683"/>
      <c r="V42" s="474">
        <f t="shared" si="2"/>
        <v>0</v>
      </c>
      <c r="W42" s="474">
        <f t="shared" si="3"/>
        <v>0</v>
      </c>
      <c r="X42" s="475">
        <f t="shared" si="4"/>
        <v>0</v>
      </c>
      <c r="Y42" s="475">
        <v>0</v>
      </c>
      <c r="Z42" s="476">
        <v>0</v>
      </c>
      <c r="AA42" s="38">
        <f t="shared" si="12"/>
        <v>0</v>
      </c>
      <c r="AB42" s="692">
        <f t="shared" si="5"/>
        <v>135013.17000000001</v>
      </c>
      <c r="AC42" s="692">
        <f t="shared" si="6"/>
        <v>0</v>
      </c>
      <c r="AD42" s="692">
        <f t="shared" si="7"/>
        <v>0</v>
      </c>
      <c r="AE42" s="38"/>
      <c r="AF42" s="692">
        <f t="shared" si="8"/>
        <v>0</v>
      </c>
      <c r="AG42" s="692">
        <f t="shared" si="9"/>
        <v>0</v>
      </c>
      <c r="AH42" s="692">
        <f t="shared" si="10"/>
        <v>0</v>
      </c>
    </row>
    <row r="43" spans="1:34" s="232" customFormat="1">
      <c r="A43" s="283"/>
      <c r="B43" s="283" t="s">
        <v>110</v>
      </c>
      <c r="C43" s="676" t="s">
        <v>528</v>
      </c>
      <c r="D43" s="123" t="s">
        <v>623</v>
      </c>
      <c r="E43" s="679"/>
      <c r="F43" s="529"/>
      <c r="G43" s="694">
        <v>0</v>
      </c>
      <c r="H43" s="694">
        <v>0</v>
      </c>
      <c r="I43" s="741">
        <v>0</v>
      </c>
      <c r="J43" s="682">
        <f t="shared" ref="J43" si="25">SUM(E43:I43)</f>
        <v>0</v>
      </c>
      <c r="K43" s="683"/>
      <c r="L43" s="684"/>
      <c r="M43" s="685">
        <v>0</v>
      </c>
      <c r="N43" s="683">
        <v>0</v>
      </c>
      <c r="O43" s="686"/>
      <c r="P43" s="683">
        <v>0</v>
      </c>
      <c r="Q43" s="687">
        <f t="shared" ref="Q43" si="26">L43+M43</f>
        <v>0</v>
      </c>
      <c r="R43" s="688">
        <f>1811.97+6062.95+12956.22</f>
        <v>20831.14</v>
      </c>
      <c r="S43" s="693"/>
      <c r="T43" s="690">
        <f t="shared" ref="T43" si="27">IF(R43="","",R43-Q43)</f>
        <v>20831.14</v>
      </c>
      <c r="U43" s="683"/>
      <c r="V43" s="474">
        <f t="shared" ref="V43" si="28">IF(B43="D",Q43,0)</f>
        <v>0</v>
      </c>
      <c r="W43" s="474">
        <f t="shared" ref="W43" si="29">IF(B43="M",Q43,0)</f>
        <v>0</v>
      </c>
      <c r="X43" s="475">
        <f t="shared" ref="X43" si="30">IF(B43="V",Q43,0)</f>
        <v>0</v>
      </c>
      <c r="Y43" s="475">
        <v>0</v>
      </c>
      <c r="Z43" s="476">
        <v>0</v>
      </c>
      <c r="AA43" s="38">
        <f t="shared" ref="AA43" si="31">(L43+M43)-(V43+W43+X43+Y43+Z43)</f>
        <v>0</v>
      </c>
      <c r="AB43" s="692">
        <f t="shared" ref="AB43" si="32">IF(B43="D",J43,0)</f>
        <v>0</v>
      </c>
      <c r="AC43" s="692">
        <f t="shared" ref="AC43" si="33">IF(B43="M",J43,0)</f>
        <v>0</v>
      </c>
      <c r="AD43" s="692">
        <f t="shared" ref="AD43" si="34">IF(B43="V",J43,0)</f>
        <v>0</v>
      </c>
      <c r="AE43" s="38"/>
      <c r="AF43" s="692">
        <f t="shared" ref="AF43" si="35">IF(B43="D",Q43,0)</f>
        <v>0</v>
      </c>
      <c r="AG43" s="692">
        <f t="shared" ref="AG43" si="36">IF(B43="M",Q43,0)</f>
        <v>0</v>
      </c>
      <c r="AH43" s="692">
        <f t="shared" ref="AH43" si="37">IF(B43="V",Q43,0)</f>
        <v>0</v>
      </c>
    </row>
    <row r="44" spans="1:34" s="232" customFormat="1">
      <c r="A44" s="403"/>
      <c r="B44" s="403" t="s">
        <v>114</v>
      </c>
      <c r="C44" s="666" t="s">
        <v>529</v>
      </c>
      <c r="D44" s="123" t="s">
        <v>108</v>
      </c>
      <c r="E44" s="679"/>
      <c r="F44" s="529">
        <f>VLOOKUP(D44,'Q3 DMV -  Revenue'!D:T,17,FALSE)</f>
        <v>-72.470000000000027</v>
      </c>
      <c r="G44" s="694">
        <v>288.5</v>
      </c>
      <c r="H44" s="694">
        <v>761.97</v>
      </c>
      <c r="I44" s="681"/>
      <c r="J44" s="682">
        <f t="shared" si="0"/>
        <v>978</v>
      </c>
      <c r="K44" s="683"/>
      <c r="L44" s="684"/>
      <c r="M44" s="685">
        <v>500</v>
      </c>
      <c r="N44" s="683">
        <v>0</v>
      </c>
      <c r="O44" s="686">
        <v>216.03</v>
      </c>
      <c r="P44" s="683">
        <v>0</v>
      </c>
      <c r="Q44" s="687">
        <f t="shared" si="1"/>
        <v>500</v>
      </c>
      <c r="R44" s="688">
        <v>665.47</v>
      </c>
      <c r="S44" s="693"/>
      <c r="T44" s="690">
        <f t="shared" si="11"/>
        <v>165.47000000000003</v>
      </c>
      <c r="U44" s="683"/>
      <c r="V44" s="474">
        <f t="shared" si="2"/>
        <v>0</v>
      </c>
      <c r="W44" s="474">
        <f t="shared" si="3"/>
        <v>0</v>
      </c>
      <c r="X44" s="475">
        <f t="shared" si="4"/>
        <v>500</v>
      </c>
      <c r="Y44" s="475">
        <v>0</v>
      </c>
      <c r="Z44" s="476">
        <v>0</v>
      </c>
      <c r="AA44" s="38">
        <f t="shared" si="12"/>
        <v>0</v>
      </c>
      <c r="AB44" s="692">
        <f t="shared" si="5"/>
        <v>0</v>
      </c>
      <c r="AC44" s="692">
        <f t="shared" si="6"/>
        <v>0</v>
      </c>
      <c r="AD44" s="692">
        <f t="shared" si="7"/>
        <v>978</v>
      </c>
      <c r="AE44" s="38"/>
      <c r="AF44" s="692">
        <f t="shared" si="8"/>
        <v>0</v>
      </c>
      <c r="AG44" s="692">
        <f t="shared" si="9"/>
        <v>0</v>
      </c>
      <c r="AH44" s="692">
        <f t="shared" si="10"/>
        <v>500</v>
      </c>
    </row>
    <row r="45" spans="1:34">
      <c r="A45" s="21"/>
      <c r="B45" s="21" t="s">
        <v>110</v>
      </c>
      <c r="C45" s="666"/>
      <c r="D45" s="68" t="s">
        <v>234</v>
      </c>
      <c r="E45" s="679"/>
      <c r="F45" s="529">
        <f>VLOOKUP(D45,'Q3 DMV -  Revenue'!D:T,17,FALSE)</f>
        <v>7399.6100000000006</v>
      </c>
      <c r="G45" s="680"/>
      <c r="H45" s="680"/>
      <c r="I45" s="681"/>
      <c r="J45" s="682">
        <f t="shared" si="0"/>
        <v>7399.6100000000006</v>
      </c>
      <c r="K45" s="683"/>
      <c r="L45" s="684"/>
      <c r="M45" s="685">
        <v>0</v>
      </c>
      <c r="N45" s="683">
        <v>0</v>
      </c>
      <c r="O45" s="686">
        <v>7399.61</v>
      </c>
      <c r="P45" s="683">
        <v>0</v>
      </c>
      <c r="Q45" s="687">
        <f t="shared" si="1"/>
        <v>0</v>
      </c>
      <c r="R45" s="688">
        <v>4478.1000000000004</v>
      </c>
      <c r="S45" s="693"/>
      <c r="T45" s="690">
        <f t="shared" si="11"/>
        <v>4478.1000000000004</v>
      </c>
      <c r="U45" s="683"/>
      <c r="V45" s="474">
        <f t="shared" si="2"/>
        <v>0</v>
      </c>
      <c r="W45" s="474">
        <f t="shared" si="3"/>
        <v>0</v>
      </c>
      <c r="X45" s="475">
        <f t="shared" si="4"/>
        <v>0</v>
      </c>
      <c r="Y45" s="475">
        <v>0</v>
      </c>
      <c r="Z45" s="476">
        <v>0</v>
      </c>
      <c r="AA45" s="38">
        <f t="shared" si="12"/>
        <v>0</v>
      </c>
      <c r="AB45" s="692">
        <f t="shared" si="5"/>
        <v>7399.6100000000006</v>
      </c>
      <c r="AC45" s="692">
        <f t="shared" si="6"/>
        <v>0</v>
      </c>
      <c r="AD45" s="692">
        <f t="shared" si="7"/>
        <v>0</v>
      </c>
      <c r="AE45" s="38"/>
      <c r="AF45" s="692">
        <f t="shared" si="8"/>
        <v>0</v>
      </c>
      <c r="AG45" s="692">
        <f t="shared" si="9"/>
        <v>0</v>
      </c>
      <c r="AH45" s="692">
        <f t="shared" si="10"/>
        <v>0</v>
      </c>
    </row>
    <row r="46" spans="1:34">
      <c r="A46" s="21"/>
      <c r="B46" s="21" t="s">
        <v>110</v>
      </c>
      <c r="C46" s="666"/>
      <c r="D46" s="68" t="s">
        <v>3</v>
      </c>
      <c r="E46" s="679"/>
      <c r="F46" s="529">
        <f>VLOOKUP(D46,'Q3 DMV -  Revenue'!D:T,17,FALSE)</f>
        <v>0</v>
      </c>
      <c r="G46" s="680"/>
      <c r="H46" s="680"/>
      <c r="I46" s="681"/>
      <c r="J46" s="682">
        <f t="shared" si="0"/>
        <v>0</v>
      </c>
      <c r="K46" s="683"/>
      <c r="L46" s="684"/>
      <c r="M46" s="685">
        <v>0</v>
      </c>
      <c r="N46" s="683">
        <v>0</v>
      </c>
      <c r="O46" s="686"/>
      <c r="P46" s="683">
        <v>0</v>
      </c>
      <c r="Q46" s="687">
        <f t="shared" si="1"/>
        <v>0</v>
      </c>
      <c r="R46" s="688"/>
      <c r="S46" s="693"/>
      <c r="T46" s="690" t="str">
        <f t="shared" si="11"/>
        <v/>
      </c>
      <c r="U46" s="683"/>
      <c r="V46" s="474">
        <f t="shared" si="2"/>
        <v>0</v>
      </c>
      <c r="W46" s="474">
        <f t="shared" si="3"/>
        <v>0</v>
      </c>
      <c r="X46" s="475">
        <f t="shared" si="4"/>
        <v>0</v>
      </c>
      <c r="Y46" s="475">
        <v>0</v>
      </c>
      <c r="Z46" s="476">
        <v>0</v>
      </c>
      <c r="AA46" s="38">
        <f t="shared" si="12"/>
        <v>0</v>
      </c>
      <c r="AB46" s="692">
        <f t="shared" si="5"/>
        <v>0</v>
      </c>
      <c r="AC46" s="692">
        <f t="shared" si="6"/>
        <v>0</v>
      </c>
      <c r="AD46" s="692">
        <f t="shared" si="7"/>
        <v>0</v>
      </c>
      <c r="AE46" s="38"/>
      <c r="AF46" s="692">
        <f t="shared" si="8"/>
        <v>0</v>
      </c>
      <c r="AG46" s="692">
        <f t="shared" si="9"/>
        <v>0</v>
      </c>
      <c r="AH46" s="692">
        <f t="shared" si="10"/>
        <v>0</v>
      </c>
    </row>
    <row r="47" spans="1:34">
      <c r="A47" s="20"/>
      <c r="B47" s="20" t="s">
        <v>109</v>
      </c>
      <c r="C47" s="667"/>
      <c r="D47" s="68" t="s">
        <v>4</v>
      </c>
      <c r="E47" s="679"/>
      <c r="F47" s="529">
        <f>VLOOKUP(D47,'Q3 DMV -  Revenue'!D:T,17,FALSE)</f>
        <v>0</v>
      </c>
      <c r="G47" s="680"/>
      <c r="H47" s="680"/>
      <c r="I47" s="681"/>
      <c r="J47" s="682">
        <f t="shared" si="0"/>
        <v>0</v>
      </c>
      <c r="K47" s="683"/>
      <c r="L47" s="684"/>
      <c r="M47" s="685">
        <v>0</v>
      </c>
      <c r="N47" s="683">
        <v>0</v>
      </c>
      <c r="O47" s="686"/>
      <c r="P47" s="683">
        <v>0</v>
      </c>
      <c r="Q47" s="687">
        <f t="shared" si="1"/>
        <v>0</v>
      </c>
      <c r="R47" s="688"/>
      <c r="S47" s="693"/>
      <c r="T47" s="690" t="str">
        <f t="shared" si="11"/>
        <v/>
      </c>
      <c r="U47" s="683"/>
      <c r="V47" s="474">
        <f t="shared" si="2"/>
        <v>0</v>
      </c>
      <c r="W47" s="474">
        <f t="shared" si="3"/>
        <v>0</v>
      </c>
      <c r="X47" s="475">
        <f t="shared" si="4"/>
        <v>0</v>
      </c>
      <c r="Y47" s="475">
        <v>0</v>
      </c>
      <c r="Z47" s="476">
        <v>0</v>
      </c>
      <c r="AA47" s="38">
        <f t="shared" si="12"/>
        <v>0</v>
      </c>
      <c r="AB47" s="692">
        <f t="shared" si="5"/>
        <v>0</v>
      </c>
      <c r="AC47" s="692">
        <f t="shared" si="6"/>
        <v>0</v>
      </c>
      <c r="AD47" s="692">
        <f t="shared" si="7"/>
        <v>0</v>
      </c>
      <c r="AE47" s="38"/>
      <c r="AF47" s="692">
        <f t="shared" si="8"/>
        <v>0</v>
      </c>
      <c r="AG47" s="692">
        <f t="shared" si="9"/>
        <v>0</v>
      </c>
      <c r="AH47" s="692">
        <f t="shared" si="10"/>
        <v>0</v>
      </c>
    </row>
    <row r="48" spans="1:34">
      <c r="A48" s="20"/>
      <c r="B48" s="20" t="s">
        <v>109</v>
      </c>
      <c r="C48" s="667"/>
      <c r="D48" s="68" t="s">
        <v>598</v>
      </c>
      <c r="E48" s="679">
        <f>55788.7-4446.84-4265.1-2825.88</f>
        <v>44250.880000000005</v>
      </c>
      <c r="F48" s="529">
        <f>VLOOKUP(D48,'Q3 DMV -  Revenue'!D:T,17,FALSE)</f>
        <v>11537.82</v>
      </c>
      <c r="G48" s="694">
        <v>2333.4</v>
      </c>
      <c r="H48" s="694">
        <v>1723.14</v>
      </c>
      <c r="I48" s="681"/>
      <c r="J48" s="682">
        <f t="shared" si="0"/>
        <v>59845.240000000005</v>
      </c>
      <c r="K48" s="683"/>
      <c r="L48" s="684"/>
      <c r="M48" s="685">
        <v>1500</v>
      </c>
      <c r="N48" s="683">
        <v>0</v>
      </c>
      <c r="O48" s="686">
        <v>59845.279999999999</v>
      </c>
      <c r="P48" s="683">
        <v>0</v>
      </c>
      <c r="Q48" s="687">
        <f t="shared" si="1"/>
        <v>1500</v>
      </c>
      <c r="R48" s="688">
        <v>2270.9299999999998</v>
      </c>
      <c r="S48" s="693"/>
      <c r="T48" s="690">
        <f t="shared" si="11"/>
        <v>770.92999999999984</v>
      </c>
      <c r="U48" s="683"/>
      <c r="V48" s="474">
        <f t="shared" si="2"/>
        <v>0</v>
      </c>
      <c r="W48" s="474">
        <f t="shared" si="3"/>
        <v>1500</v>
      </c>
      <c r="X48" s="475">
        <f t="shared" si="4"/>
        <v>0</v>
      </c>
      <c r="Y48" s="475">
        <v>0</v>
      </c>
      <c r="Z48" s="476">
        <v>0</v>
      </c>
      <c r="AA48" s="38">
        <f t="shared" si="12"/>
        <v>0</v>
      </c>
      <c r="AB48" s="692">
        <f t="shared" si="5"/>
        <v>0</v>
      </c>
      <c r="AC48" s="692">
        <f t="shared" si="6"/>
        <v>59845.240000000005</v>
      </c>
      <c r="AD48" s="692">
        <f t="shared" si="7"/>
        <v>0</v>
      </c>
      <c r="AE48" s="38"/>
      <c r="AF48" s="692">
        <f t="shared" si="8"/>
        <v>0</v>
      </c>
      <c r="AG48" s="692">
        <f t="shared" si="9"/>
        <v>1500</v>
      </c>
      <c r="AH48" s="692">
        <f t="shared" si="10"/>
        <v>0</v>
      </c>
    </row>
    <row r="49" spans="1:34">
      <c r="A49" s="20"/>
      <c r="B49" s="20" t="s">
        <v>109</v>
      </c>
      <c r="C49" s="667"/>
      <c r="D49" s="68" t="s">
        <v>470</v>
      </c>
      <c r="E49" s="679"/>
      <c r="F49" s="529">
        <f>VLOOKUP(D49,'Q3 DMV -  Revenue'!D:T,17,FALSE)</f>
        <v>0</v>
      </c>
      <c r="G49" s="680"/>
      <c r="H49" s="680"/>
      <c r="I49" s="681"/>
      <c r="J49" s="682">
        <f t="shared" si="0"/>
        <v>0</v>
      </c>
      <c r="K49" s="683"/>
      <c r="L49" s="684"/>
      <c r="M49" s="685">
        <v>0</v>
      </c>
      <c r="N49" s="683">
        <v>0</v>
      </c>
      <c r="O49" s="686"/>
      <c r="P49" s="683">
        <v>0</v>
      </c>
      <c r="Q49" s="687">
        <f t="shared" si="1"/>
        <v>0</v>
      </c>
      <c r="R49" s="688"/>
      <c r="S49" s="693"/>
      <c r="T49" s="690" t="str">
        <f t="shared" si="11"/>
        <v/>
      </c>
      <c r="U49" s="683"/>
      <c r="V49" s="474">
        <f t="shared" si="2"/>
        <v>0</v>
      </c>
      <c r="W49" s="474">
        <f t="shared" si="3"/>
        <v>0</v>
      </c>
      <c r="X49" s="475">
        <f t="shared" si="4"/>
        <v>0</v>
      </c>
      <c r="Y49" s="475">
        <v>0</v>
      </c>
      <c r="Z49" s="476">
        <v>0</v>
      </c>
      <c r="AA49" s="38">
        <f t="shared" si="12"/>
        <v>0</v>
      </c>
      <c r="AB49" s="692">
        <f t="shared" si="5"/>
        <v>0</v>
      </c>
      <c r="AC49" s="692">
        <f t="shared" si="6"/>
        <v>0</v>
      </c>
      <c r="AD49" s="692">
        <f t="shared" si="7"/>
        <v>0</v>
      </c>
      <c r="AE49" s="38"/>
      <c r="AF49" s="692">
        <f t="shared" si="8"/>
        <v>0</v>
      </c>
      <c r="AG49" s="692">
        <f t="shared" si="9"/>
        <v>0</v>
      </c>
      <c r="AH49" s="692">
        <f t="shared" si="10"/>
        <v>0</v>
      </c>
    </row>
    <row r="50" spans="1:34">
      <c r="A50" s="20"/>
      <c r="B50" s="20" t="s">
        <v>110</v>
      </c>
      <c r="C50" s="667"/>
      <c r="D50" s="68" t="s">
        <v>311</v>
      </c>
      <c r="E50" s="679">
        <f>5025.43+4717.1</f>
        <v>9742.5300000000007</v>
      </c>
      <c r="F50" s="529">
        <f>VLOOKUP(D50,'Q3 DMV -  Revenue'!D:T,17,FALSE)</f>
        <v>11377.859999999999</v>
      </c>
      <c r="G50" s="694">
        <v>3968.09</v>
      </c>
      <c r="H50" s="694">
        <v>3572.58</v>
      </c>
      <c r="I50" s="681"/>
      <c r="J50" s="682">
        <f t="shared" si="0"/>
        <v>28661.059999999998</v>
      </c>
      <c r="K50" s="683"/>
      <c r="L50" s="684"/>
      <c r="M50" s="685">
        <v>3500</v>
      </c>
      <c r="N50" s="683">
        <v>0</v>
      </c>
      <c r="O50" s="686"/>
      <c r="P50" s="683">
        <v>0</v>
      </c>
      <c r="Q50" s="687">
        <f t="shared" si="1"/>
        <v>3500</v>
      </c>
      <c r="R50" s="688">
        <v>0</v>
      </c>
      <c r="S50" s="693"/>
      <c r="T50" s="690">
        <f t="shared" si="11"/>
        <v>-3500</v>
      </c>
      <c r="U50" s="683"/>
      <c r="V50" s="474">
        <f t="shared" si="2"/>
        <v>3500</v>
      </c>
      <c r="W50" s="474">
        <f t="shared" si="3"/>
        <v>0</v>
      </c>
      <c r="X50" s="475">
        <f t="shared" si="4"/>
        <v>0</v>
      </c>
      <c r="Y50" s="475">
        <v>0</v>
      </c>
      <c r="Z50" s="476">
        <v>0</v>
      </c>
      <c r="AA50" s="38">
        <f t="shared" si="12"/>
        <v>0</v>
      </c>
      <c r="AB50" s="692">
        <f t="shared" si="5"/>
        <v>28661.059999999998</v>
      </c>
      <c r="AC50" s="692">
        <f t="shared" si="6"/>
        <v>0</v>
      </c>
      <c r="AD50" s="692">
        <f t="shared" si="7"/>
        <v>0</v>
      </c>
      <c r="AE50" s="38"/>
      <c r="AF50" s="692">
        <f t="shared" si="8"/>
        <v>3500</v>
      </c>
      <c r="AG50" s="692">
        <f t="shared" si="9"/>
        <v>0</v>
      </c>
      <c r="AH50" s="692">
        <f t="shared" si="10"/>
        <v>0</v>
      </c>
    </row>
    <row r="51" spans="1:34">
      <c r="A51" s="20"/>
      <c r="B51" s="20" t="s">
        <v>110</v>
      </c>
      <c r="C51" s="667"/>
      <c r="D51" s="68" t="s">
        <v>451</v>
      </c>
      <c r="E51" s="679">
        <f>7450.48</f>
        <v>7450.48</v>
      </c>
      <c r="F51" s="529">
        <f>VLOOKUP(D51,'Q3 DMV -  Revenue'!D:T,17,FALSE)</f>
        <v>28300</v>
      </c>
      <c r="G51" s="694">
        <v>11176</v>
      </c>
      <c r="H51" s="694">
        <v>11157</v>
      </c>
      <c r="I51" s="741">
        <v>12177</v>
      </c>
      <c r="J51" s="682">
        <f t="shared" si="0"/>
        <v>70260.479999999996</v>
      </c>
      <c r="K51" s="683"/>
      <c r="L51" s="684"/>
      <c r="M51" s="685">
        <v>0</v>
      </c>
      <c r="N51" s="683">
        <v>0</v>
      </c>
      <c r="O51" s="686">
        <v>98921.54</v>
      </c>
      <c r="P51" s="683">
        <v>0</v>
      </c>
      <c r="Q51" s="687">
        <f t="shared" si="1"/>
        <v>0</v>
      </c>
      <c r="R51" s="688"/>
      <c r="S51" s="693"/>
      <c r="T51" s="690" t="str">
        <f t="shared" si="11"/>
        <v/>
      </c>
      <c r="U51" s="683"/>
      <c r="V51" s="474">
        <f t="shared" si="2"/>
        <v>0</v>
      </c>
      <c r="W51" s="474">
        <f t="shared" si="3"/>
        <v>0</v>
      </c>
      <c r="X51" s="475">
        <f t="shared" si="4"/>
        <v>0</v>
      </c>
      <c r="Y51" s="475">
        <v>0</v>
      </c>
      <c r="Z51" s="476">
        <v>0</v>
      </c>
      <c r="AA51" s="38">
        <f t="shared" si="12"/>
        <v>0</v>
      </c>
      <c r="AB51" s="692">
        <f t="shared" si="5"/>
        <v>70260.479999999996</v>
      </c>
      <c r="AC51" s="692">
        <f t="shared" si="6"/>
        <v>0</v>
      </c>
      <c r="AD51" s="692">
        <f t="shared" si="7"/>
        <v>0</v>
      </c>
      <c r="AE51" s="38"/>
      <c r="AF51" s="692">
        <f t="shared" si="8"/>
        <v>0</v>
      </c>
      <c r="AG51" s="692">
        <f t="shared" si="9"/>
        <v>0</v>
      </c>
      <c r="AH51" s="692">
        <f t="shared" si="10"/>
        <v>0</v>
      </c>
    </row>
    <row r="52" spans="1:34">
      <c r="A52" s="20"/>
      <c r="B52" s="20" t="s">
        <v>109</v>
      </c>
      <c r="C52" s="667"/>
      <c r="D52" s="68" t="s">
        <v>469</v>
      </c>
      <c r="E52" s="679"/>
      <c r="F52" s="529">
        <f>VLOOKUP(D52,'Q3 DMV -  Revenue'!D:T,17,FALSE)</f>
        <v>5735.73</v>
      </c>
      <c r="G52" s="694">
        <v>14624.01</v>
      </c>
      <c r="H52" s="694">
        <v>12169.57</v>
      </c>
      <c r="I52" s="681"/>
      <c r="J52" s="682">
        <f t="shared" si="0"/>
        <v>32529.309999999998</v>
      </c>
      <c r="K52" s="683"/>
      <c r="L52" s="684"/>
      <c r="M52" s="685">
        <v>11000</v>
      </c>
      <c r="N52" s="683">
        <v>0</v>
      </c>
      <c r="O52" s="686">
        <v>32529.31</v>
      </c>
      <c r="P52" s="683">
        <v>0</v>
      </c>
      <c r="Q52" s="687">
        <f t="shared" si="1"/>
        <v>11000</v>
      </c>
      <c r="R52" s="688">
        <v>11887.99</v>
      </c>
      <c r="S52" s="693"/>
      <c r="T52" s="690">
        <f t="shared" si="11"/>
        <v>887.98999999999978</v>
      </c>
      <c r="U52" s="683"/>
      <c r="V52" s="474">
        <f t="shared" si="2"/>
        <v>0</v>
      </c>
      <c r="W52" s="474">
        <f t="shared" si="3"/>
        <v>11000</v>
      </c>
      <c r="X52" s="475">
        <f t="shared" si="4"/>
        <v>0</v>
      </c>
      <c r="Y52" s="475">
        <v>0</v>
      </c>
      <c r="Z52" s="476">
        <v>0</v>
      </c>
      <c r="AA52" s="38">
        <f t="shared" si="12"/>
        <v>0</v>
      </c>
      <c r="AB52" s="692">
        <f t="shared" si="5"/>
        <v>0</v>
      </c>
      <c r="AC52" s="692">
        <f t="shared" si="6"/>
        <v>32529.309999999998</v>
      </c>
      <c r="AD52" s="692">
        <f t="shared" si="7"/>
        <v>0</v>
      </c>
      <c r="AE52" s="38"/>
      <c r="AF52" s="692">
        <f t="shared" si="8"/>
        <v>0</v>
      </c>
      <c r="AG52" s="692">
        <f t="shared" si="9"/>
        <v>11000</v>
      </c>
      <c r="AH52" s="692">
        <f t="shared" si="10"/>
        <v>0</v>
      </c>
    </row>
    <row r="53" spans="1:34">
      <c r="A53" s="20"/>
      <c r="B53" s="20" t="s">
        <v>109</v>
      </c>
      <c r="C53" s="667"/>
      <c r="D53" s="68" t="s">
        <v>462</v>
      </c>
      <c r="E53" s="679"/>
      <c r="F53" s="529">
        <f>VLOOKUP(D53,'Q3 DMV -  Revenue'!D:T,17,FALSE)</f>
        <v>0</v>
      </c>
      <c r="G53" s="680"/>
      <c r="H53" s="680"/>
      <c r="I53" s="681"/>
      <c r="J53" s="682">
        <f t="shared" si="0"/>
        <v>0</v>
      </c>
      <c r="K53" s="683"/>
      <c r="L53" s="684"/>
      <c r="M53" s="685">
        <v>0</v>
      </c>
      <c r="N53" s="683">
        <v>0</v>
      </c>
      <c r="O53" s="686"/>
      <c r="P53" s="683">
        <v>0</v>
      </c>
      <c r="Q53" s="687">
        <f t="shared" si="1"/>
        <v>0</v>
      </c>
      <c r="R53" s="688"/>
      <c r="S53" s="693"/>
      <c r="T53" s="690" t="str">
        <f t="shared" si="11"/>
        <v/>
      </c>
      <c r="U53" s="683"/>
      <c r="V53" s="474">
        <f t="shared" si="2"/>
        <v>0</v>
      </c>
      <c r="W53" s="474">
        <f t="shared" si="3"/>
        <v>0</v>
      </c>
      <c r="X53" s="475">
        <f t="shared" si="4"/>
        <v>0</v>
      </c>
      <c r="Y53" s="475">
        <v>0</v>
      </c>
      <c r="Z53" s="476">
        <v>0</v>
      </c>
      <c r="AA53" s="38">
        <f t="shared" si="12"/>
        <v>0</v>
      </c>
      <c r="AB53" s="692">
        <f t="shared" si="5"/>
        <v>0</v>
      </c>
      <c r="AC53" s="692">
        <f t="shared" si="6"/>
        <v>0</v>
      </c>
      <c r="AD53" s="692">
        <f t="shared" si="7"/>
        <v>0</v>
      </c>
      <c r="AE53" s="38"/>
      <c r="AF53" s="692">
        <f t="shared" si="8"/>
        <v>0</v>
      </c>
      <c r="AG53" s="692">
        <f t="shared" si="9"/>
        <v>0</v>
      </c>
      <c r="AH53" s="692">
        <f t="shared" si="10"/>
        <v>0</v>
      </c>
    </row>
    <row r="54" spans="1:34">
      <c r="A54" s="20"/>
      <c r="B54" s="20" t="s">
        <v>110</v>
      </c>
      <c r="C54" s="667" t="s">
        <v>530</v>
      </c>
      <c r="D54" s="68" t="s">
        <v>69</v>
      </c>
      <c r="E54" s="679"/>
      <c r="F54" s="529">
        <f>VLOOKUP(D54,'Q3 DMV -  Revenue'!D:T,17,FALSE)</f>
        <v>61.1550000000002</v>
      </c>
      <c r="G54" s="694">
        <v>3402.39</v>
      </c>
      <c r="H54" s="694">
        <v>3236.34</v>
      </c>
      <c r="I54" s="741">
        <v>2808.66</v>
      </c>
      <c r="J54" s="682">
        <f t="shared" si="0"/>
        <v>9508.5450000000001</v>
      </c>
      <c r="K54" s="683"/>
      <c r="L54" s="684"/>
      <c r="M54" s="685">
        <v>0</v>
      </c>
      <c r="N54" s="683">
        <v>0</v>
      </c>
      <c r="O54" s="686">
        <v>9508.5400000000009</v>
      </c>
      <c r="P54" s="683">
        <v>0</v>
      </c>
      <c r="Q54" s="687">
        <f t="shared" si="1"/>
        <v>0</v>
      </c>
      <c r="R54" s="688"/>
      <c r="S54" s="693"/>
      <c r="T54" s="690" t="str">
        <f t="shared" si="11"/>
        <v/>
      </c>
      <c r="U54" s="683"/>
      <c r="V54" s="474">
        <f t="shared" si="2"/>
        <v>0</v>
      </c>
      <c r="W54" s="474">
        <f t="shared" si="3"/>
        <v>0</v>
      </c>
      <c r="X54" s="475">
        <f t="shared" si="4"/>
        <v>0</v>
      </c>
      <c r="Y54" s="475">
        <v>0</v>
      </c>
      <c r="Z54" s="476">
        <v>0</v>
      </c>
      <c r="AA54" s="38">
        <f t="shared" si="12"/>
        <v>0</v>
      </c>
      <c r="AB54" s="692">
        <f t="shared" si="5"/>
        <v>9508.5450000000001</v>
      </c>
      <c r="AC54" s="692">
        <f t="shared" si="6"/>
        <v>0</v>
      </c>
      <c r="AD54" s="692">
        <f t="shared" si="7"/>
        <v>0</v>
      </c>
      <c r="AE54" s="38"/>
      <c r="AF54" s="692">
        <f t="shared" si="8"/>
        <v>0</v>
      </c>
      <c r="AG54" s="692">
        <f t="shared" si="9"/>
        <v>0</v>
      </c>
      <c r="AH54" s="692">
        <f t="shared" si="10"/>
        <v>0</v>
      </c>
    </row>
    <row r="55" spans="1:34">
      <c r="A55" s="20"/>
      <c r="B55" s="20" t="s">
        <v>110</v>
      </c>
      <c r="C55" s="667" t="s">
        <v>531</v>
      </c>
      <c r="D55" s="68" t="s">
        <v>237</v>
      </c>
      <c r="E55" s="679"/>
      <c r="F55" s="529">
        <f>VLOOKUP(D55,'Q3 DMV -  Revenue'!D:T,17,FALSE)</f>
        <v>608.74499999999898</v>
      </c>
      <c r="G55" s="694">
        <v>17145.080000000002</v>
      </c>
      <c r="H55" s="694">
        <v>17957.59</v>
      </c>
      <c r="I55" s="741">
        <v>18658.86</v>
      </c>
      <c r="J55" s="682">
        <f t="shared" si="0"/>
        <v>54370.275000000001</v>
      </c>
      <c r="K55" s="683"/>
      <c r="L55" s="684"/>
      <c r="M55" s="685">
        <v>0</v>
      </c>
      <c r="N55" s="683">
        <v>0</v>
      </c>
      <c r="O55" s="686">
        <v>58418.62</v>
      </c>
      <c r="P55" s="683">
        <v>0</v>
      </c>
      <c r="Q55" s="687">
        <f t="shared" si="1"/>
        <v>0</v>
      </c>
      <c r="R55" s="688"/>
      <c r="S55" s="693"/>
      <c r="T55" s="690" t="str">
        <f t="shared" si="11"/>
        <v/>
      </c>
      <c r="U55" s="683"/>
      <c r="V55" s="474">
        <f t="shared" si="2"/>
        <v>0</v>
      </c>
      <c r="W55" s="474">
        <f t="shared" si="3"/>
        <v>0</v>
      </c>
      <c r="X55" s="475">
        <f t="shared" si="4"/>
        <v>0</v>
      </c>
      <c r="Y55" s="475">
        <v>0</v>
      </c>
      <c r="Z55" s="476">
        <v>0</v>
      </c>
      <c r="AA55" s="38">
        <f t="shared" si="12"/>
        <v>0</v>
      </c>
      <c r="AB55" s="692">
        <f t="shared" si="5"/>
        <v>54370.275000000001</v>
      </c>
      <c r="AC55" s="692">
        <f t="shared" si="6"/>
        <v>0</v>
      </c>
      <c r="AD55" s="692">
        <f t="shared" si="7"/>
        <v>0</v>
      </c>
      <c r="AE55" s="38"/>
      <c r="AF55" s="692">
        <f t="shared" si="8"/>
        <v>0</v>
      </c>
      <c r="AG55" s="692">
        <f t="shared" si="9"/>
        <v>0</v>
      </c>
      <c r="AH55" s="692">
        <f t="shared" si="10"/>
        <v>0</v>
      </c>
    </row>
    <row r="56" spans="1:34">
      <c r="A56" s="20" t="s">
        <v>211</v>
      </c>
      <c r="B56" s="20" t="s">
        <v>110</v>
      </c>
      <c r="C56" s="667" t="s">
        <v>532</v>
      </c>
      <c r="D56" s="68" t="s">
        <v>7</v>
      </c>
      <c r="E56" s="679"/>
      <c r="F56" s="529">
        <f>VLOOKUP(D56,'Q3 DMV -  Revenue'!D:T,17,FALSE)</f>
        <v>6868.4500000000007</v>
      </c>
      <c r="G56" s="680"/>
      <c r="H56" s="680"/>
      <c r="I56" s="741">
        <v>32333.1</v>
      </c>
      <c r="J56" s="682">
        <f t="shared" si="0"/>
        <v>39201.550000000003</v>
      </c>
      <c r="K56" s="683"/>
      <c r="L56" s="684"/>
      <c r="M56" s="685">
        <v>0</v>
      </c>
      <c r="N56" s="683">
        <v>0</v>
      </c>
      <c r="O56" s="686">
        <v>39201.550000000003</v>
      </c>
      <c r="P56" s="683">
        <v>0</v>
      </c>
      <c r="Q56" s="687">
        <f t="shared" si="1"/>
        <v>0</v>
      </c>
      <c r="R56" s="688"/>
      <c r="S56" s="693"/>
      <c r="T56" s="690" t="str">
        <f t="shared" si="11"/>
        <v/>
      </c>
      <c r="U56" s="697"/>
      <c r="V56" s="474">
        <f t="shared" si="2"/>
        <v>0</v>
      </c>
      <c r="W56" s="474">
        <f t="shared" si="3"/>
        <v>0</v>
      </c>
      <c r="X56" s="475">
        <f t="shared" si="4"/>
        <v>0</v>
      </c>
      <c r="Y56" s="475">
        <v>0</v>
      </c>
      <c r="Z56" s="476">
        <v>0</v>
      </c>
      <c r="AA56" s="38">
        <f t="shared" si="12"/>
        <v>0</v>
      </c>
      <c r="AB56" s="692">
        <f t="shared" si="5"/>
        <v>39201.550000000003</v>
      </c>
      <c r="AC56" s="692">
        <f t="shared" si="6"/>
        <v>0</v>
      </c>
      <c r="AD56" s="692">
        <f t="shared" si="7"/>
        <v>0</v>
      </c>
      <c r="AE56" s="38"/>
      <c r="AF56" s="692">
        <f t="shared" si="8"/>
        <v>0</v>
      </c>
      <c r="AG56" s="692">
        <f t="shared" si="9"/>
        <v>0</v>
      </c>
      <c r="AH56" s="692">
        <f t="shared" si="10"/>
        <v>0</v>
      </c>
    </row>
    <row r="57" spans="1:34" s="232" customFormat="1">
      <c r="A57" s="283" t="s">
        <v>97</v>
      </c>
      <c r="B57" s="283" t="s">
        <v>109</v>
      </c>
      <c r="C57" s="667" t="s">
        <v>533</v>
      </c>
      <c r="D57" s="123" t="s">
        <v>415</v>
      </c>
      <c r="E57" s="679"/>
      <c r="F57" s="529">
        <f>VLOOKUP(D57,'Q3 DMV -  Revenue'!D:T,17,FALSE)</f>
        <v>179.95</v>
      </c>
      <c r="G57" s="694">
        <v>131.36000000000001</v>
      </c>
      <c r="H57" s="694">
        <v>112.49</v>
      </c>
      <c r="I57" s="741">
        <v>146.49</v>
      </c>
      <c r="J57" s="682">
        <f t="shared" si="0"/>
        <v>570.29</v>
      </c>
      <c r="K57" s="683"/>
      <c r="L57" s="684"/>
      <c r="M57" s="685">
        <v>0</v>
      </c>
      <c r="N57" s="683">
        <v>0</v>
      </c>
      <c r="O57" s="686">
        <v>3424.92</v>
      </c>
      <c r="P57" s="683">
        <v>0</v>
      </c>
      <c r="Q57" s="687">
        <f t="shared" si="1"/>
        <v>0</v>
      </c>
      <c r="R57" s="688">
        <v>-146.49</v>
      </c>
      <c r="S57" s="693"/>
      <c r="T57" s="690">
        <f t="shared" si="11"/>
        <v>-146.49</v>
      </c>
      <c r="U57" s="683"/>
      <c r="V57" s="474">
        <f t="shared" si="2"/>
        <v>0</v>
      </c>
      <c r="W57" s="474">
        <f t="shared" si="3"/>
        <v>0</v>
      </c>
      <c r="X57" s="475">
        <f t="shared" si="4"/>
        <v>0</v>
      </c>
      <c r="Y57" s="475">
        <v>0</v>
      </c>
      <c r="Z57" s="476">
        <v>0</v>
      </c>
      <c r="AA57" s="38">
        <f t="shared" si="12"/>
        <v>0</v>
      </c>
      <c r="AB57" s="692">
        <f t="shared" si="5"/>
        <v>0</v>
      </c>
      <c r="AC57" s="692">
        <f t="shared" si="6"/>
        <v>570.29</v>
      </c>
      <c r="AD57" s="692">
        <f t="shared" si="7"/>
        <v>0</v>
      </c>
      <c r="AE57" s="38"/>
      <c r="AF57" s="692">
        <f t="shared" si="8"/>
        <v>0</v>
      </c>
      <c r="AG57" s="692">
        <f t="shared" si="9"/>
        <v>0</v>
      </c>
      <c r="AH57" s="692">
        <f t="shared" si="10"/>
        <v>0</v>
      </c>
    </row>
    <row r="58" spans="1:34" s="232" customFormat="1">
      <c r="A58" s="283"/>
      <c r="B58" s="283" t="s">
        <v>109</v>
      </c>
      <c r="C58" s="667" t="s">
        <v>533</v>
      </c>
      <c r="D58" s="123" t="s">
        <v>416</v>
      </c>
      <c r="E58" s="679"/>
      <c r="F58" s="529">
        <f>VLOOKUP(D58,'Q3 DMV -  Revenue'!D:T,17,FALSE)</f>
        <v>371.78999999999996</v>
      </c>
      <c r="G58" s="694">
        <v>420.7</v>
      </c>
      <c r="H58" s="694">
        <v>369.78</v>
      </c>
      <c r="I58" s="741">
        <v>371.06</v>
      </c>
      <c r="J58" s="682">
        <f t="shared" si="0"/>
        <v>1533.33</v>
      </c>
      <c r="K58" s="683"/>
      <c r="L58" s="684"/>
      <c r="M58" s="685">
        <v>0</v>
      </c>
      <c r="N58" s="683">
        <v>0</v>
      </c>
      <c r="O58" s="686"/>
      <c r="P58" s="683">
        <v>0</v>
      </c>
      <c r="Q58" s="687">
        <f t="shared" si="1"/>
        <v>0</v>
      </c>
      <c r="R58" s="688">
        <v>3.22</v>
      </c>
      <c r="S58" s="693"/>
      <c r="T58" s="690">
        <f t="shared" si="11"/>
        <v>3.22</v>
      </c>
      <c r="U58" s="683"/>
      <c r="V58" s="474">
        <f t="shared" si="2"/>
        <v>0</v>
      </c>
      <c r="W58" s="474">
        <f t="shared" si="3"/>
        <v>0</v>
      </c>
      <c r="X58" s="475">
        <f t="shared" si="4"/>
        <v>0</v>
      </c>
      <c r="Y58" s="475">
        <v>0</v>
      </c>
      <c r="Z58" s="476">
        <v>0</v>
      </c>
      <c r="AA58" s="38">
        <f t="shared" si="12"/>
        <v>0</v>
      </c>
      <c r="AB58" s="692">
        <f t="shared" si="5"/>
        <v>0</v>
      </c>
      <c r="AC58" s="692">
        <f t="shared" si="6"/>
        <v>1533.33</v>
      </c>
      <c r="AD58" s="692">
        <f t="shared" si="7"/>
        <v>0</v>
      </c>
      <c r="AE58" s="38"/>
      <c r="AF58" s="692">
        <f t="shared" si="8"/>
        <v>0</v>
      </c>
      <c r="AG58" s="692">
        <f t="shared" si="9"/>
        <v>0</v>
      </c>
      <c r="AH58" s="692">
        <f t="shared" si="10"/>
        <v>0</v>
      </c>
    </row>
    <row r="59" spans="1:34" s="232" customFormat="1">
      <c r="A59" s="283"/>
      <c r="B59" s="283" t="s">
        <v>109</v>
      </c>
      <c r="C59" s="667" t="s">
        <v>533</v>
      </c>
      <c r="D59" s="123" t="s">
        <v>417</v>
      </c>
      <c r="E59" s="679"/>
      <c r="F59" s="529">
        <f>VLOOKUP(D59,'Q3 DMV -  Revenue'!D:T,17,FALSE)</f>
        <v>438.04499999999996</v>
      </c>
      <c r="G59" s="694">
        <v>397.32</v>
      </c>
      <c r="H59" s="694">
        <v>352.89</v>
      </c>
      <c r="I59" s="741">
        <v>132.53</v>
      </c>
      <c r="J59" s="682">
        <f t="shared" si="0"/>
        <v>1320.7850000000001</v>
      </c>
      <c r="K59" s="683"/>
      <c r="L59" s="684"/>
      <c r="M59" s="685">
        <v>0</v>
      </c>
      <c r="N59" s="683">
        <v>0</v>
      </c>
      <c r="O59" s="686"/>
      <c r="P59" s="683">
        <v>0</v>
      </c>
      <c r="Q59" s="687">
        <f t="shared" si="1"/>
        <v>0</v>
      </c>
      <c r="R59" s="688">
        <v>-132.53</v>
      </c>
      <c r="S59" s="693"/>
      <c r="T59" s="690">
        <f t="shared" si="11"/>
        <v>-132.53</v>
      </c>
      <c r="U59" s="683"/>
      <c r="V59" s="474">
        <f t="shared" si="2"/>
        <v>0</v>
      </c>
      <c r="W59" s="474">
        <f t="shared" si="3"/>
        <v>0</v>
      </c>
      <c r="X59" s="475">
        <f t="shared" si="4"/>
        <v>0</v>
      </c>
      <c r="Y59" s="475">
        <v>0</v>
      </c>
      <c r="Z59" s="476">
        <v>0</v>
      </c>
      <c r="AA59" s="38">
        <f t="shared" si="12"/>
        <v>0</v>
      </c>
      <c r="AB59" s="692">
        <f t="shared" si="5"/>
        <v>0</v>
      </c>
      <c r="AC59" s="692">
        <f t="shared" si="6"/>
        <v>1320.7850000000001</v>
      </c>
      <c r="AD59" s="692">
        <f t="shared" si="7"/>
        <v>0</v>
      </c>
      <c r="AE59" s="38"/>
      <c r="AF59" s="692">
        <f t="shared" si="8"/>
        <v>0</v>
      </c>
      <c r="AG59" s="692">
        <f t="shared" si="9"/>
        <v>0</v>
      </c>
      <c r="AH59" s="692">
        <f t="shared" si="10"/>
        <v>0</v>
      </c>
    </row>
    <row r="60" spans="1:34" s="232" customFormat="1">
      <c r="A60" s="283"/>
      <c r="B60" s="283" t="s">
        <v>109</v>
      </c>
      <c r="C60" s="667" t="s">
        <v>533</v>
      </c>
      <c r="D60" s="123" t="s">
        <v>418</v>
      </c>
      <c r="E60" s="679"/>
      <c r="F60" s="529">
        <f>VLOOKUP(D60,'Q3 DMV -  Revenue'!D:T,17,FALSE)</f>
        <v>0</v>
      </c>
      <c r="G60" s="680"/>
      <c r="H60" s="680"/>
      <c r="I60" s="681"/>
      <c r="J60" s="682">
        <f t="shared" si="0"/>
        <v>0</v>
      </c>
      <c r="K60" s="683"/>
      <c r="L60" s="684"/>
      <c r="M60" s="685">
        <v>0</v>
      </c>
      <c r="N60" s="683">
        <v>0</v>
      </c>
      <c r="O60" s="686"/>
      <c r="P60" s="683">
        <v>0</v>
      </c>
      <c r="Q60" s="687">
        <f t="shared" si="1"/>
        <v>0</v>
      </c>
      <c r="R60" s="688"/>
      <c r="S60" s="693"/>
      <c r="T60" s="690" t="str">
        <f t="shared" si="11"/>
        <v/>
      </c>
      <c r="U60" s="683"/>
      <c r="V60" s="474">
        <f t="shared" si="2"/>
        <v>0</v>
      </c>
      <c r="W60" s="474">
        <f t="shared" si="3"/>
        <v>0</v>
      </c>
      <c r="X60" s="475">
        <f t="shared" si="4"/>
        <v>0</v>
      </c>
      <c r="Y60" s="475">
        <v>0</v>
      </c>
      <c r="Z60" s="476">
        <v>0</v>
      </c>
      <c r="AA60" s="38">
        <f t="shared" si="12"/>
        <v>0</v>
      </c>
      <c r="AB60" s="692">
        <f t="shared" si="5"/>
        <v>0</v>
      </c>
      <c r="AC60" s="692">
        <f t="shared" si="6"/>
        <v>0</v>
      </c>
      <c r="AD60" s="692">
        <f t="shared" si="7"/>
        <v>0</v>
      </c>
      <c r="AE60" s="38"/>
      <c r="AF60" s="692">
        <f t="shared" si="8"/>
        <v>0</v>
      </c>
      <c r="AG60" s="692">
        <f t="shared" si="9"/>
        <v>0</v>
      </c>
      <c r="AH60" s="692">
        <f t="shared" si="10"/>
        <v>0</v>
      </c>
    </row>
    <row r="61" spans="1:34">
      <c r="A61" s="21" t="s">
        <v>109</v>
      </c>
      <c r="B61" s="21" t="s">
        <v>110</v>
      </c>
      <c r="C61" s="666"/>
      <c r="D61" s="68" t="s">
        <v>8</v>
      </c>
      <c r="E61" s="679"/>
      <c r="F61" s="529">
        <f>VLOOKUP(D61,'Q3 DMV -  Revenue'!D:T,17,FALSE)</f>
        <v>0</v>
      </c>
      <c r="G61" s="680"/>
      <c r="H61" s="680"/>
      <c r="I61" s="681"/>
      <c r="J61" s="682">
        <f t="shared" si="0"/>
        <v>0</v>
      </c>
      <c r="K61" s="683"/>
      <c r="L61" s="684"/>
      <c r="M61" s="685">
        <v>0</v>
      </c>
      <c r="N61" s="683">
        <v>0</v>
      </c>
      <c r="O61" s="686"/>
      <c r="P61" s="683">
        <v>0</v>
      </c>
      <c r="Q61" s="687">
        <f t="shared" si="1"/>
        <v>0</v>
      </c>
      <c r="R61" s="688"/>
      <c r="S61" s="693"/>
      <c r="T61" s="690" t="str">
        <f t="shared" si="11"/>
        <v/>
      </c>
      <c r="U61" s="683"/>
      <c r="V61" s="474">
        <f t="shared" si="2"/>
        <v>0</v>
      </c>
      <c r="W61" s="474">
        <f t="shared" si="3"/>
        <v>0</v>
      </c>
      <c r="X61" s="475">
        <f t="shared" si="4"/>
        <v>0</v>
      </c>
      <c r="Y61" s="475">
        <v>0</v>
      </c>
      <c r="Z61" s="476">
        <v>0</v>
      </c>
      <c r="AA61" s="38">
        <f t="shared" si="12"/>
        <v>0</v>
      </c>
      <c r="AB61" s="692">
        <f t="shared" si="5"/>
        <v>0</v>
      </c>
      <c r="AC61" s="692">
        <f t="shared" si="6"/>
        <v>0</v>
      </c>
      <c r="AD61" s="692">
        <f t="shared" si="7"/>
        <v>0</v>
      </c>
      <c r="AE61" s="38"/>
      <c r="AF61" s="692">
        <f t="shared" si="8"/>
        <v>0</v>
      </c>
      <c r="AG61" s="692">
        <f t="shared" si="9"/>
        <v>0</v>
      </c>
      <c r="AH61" s="692">
        <f t="shared" si="10"/>
        <v>0</v>
      </c>
    </row>
    <row r="62" spans="1:34">
      <c r="A62" s="20" t="s">
        <v>211</v>
      </c>
      <c r="B62" s="20" t="s">
        <v>109</v>
      </c>
      <c r="C62" s="667" t="s">
        <v>534</v>
      </c>
      <c r="D62" s="68" t="s">
        <v>9</v>
      </c>
      <c r="E62" s="679"/>
      <c r="F62" s="529">
        <f>VLOOKUP(D62,'Q3 DMV -  Revenue'!D:T,17,FALSE)</f>
        <v>1081.7999999999993</v>
      </c>
      <c r="G62" s="680"/>
      <c r="H62" s="680"/>
      <c r="I62" s="681"/>
      <c r="J62" s="682">
        <f t="shared" si="0"/>
        <v>1081.7999999999993</v>
      </c>
      <c r="K62" s="683"/>
      <c r="L62" s="684"/>
      <c r="M62" s="685">
        <v>0</v>
      </c>
      <c r="N62" s="683">
        <v>0</v>
      </c>
      <c r="O62" s="686">
        <v>1081.8</v>
      </c>
      <c r="P62" s="683">
        <v>0</v>
      </c>
      <c r="Q62" s="687">
        <f t="shared" si="1"/>
        <v>0</v>
      </c>
      <c r="R62" s="688"/>
      <c r="S62" s="693"/>
      <c r="T62" s="690" t="str">
        <f t="shared" si="11"/>
        <v/>
      </c>
      <c r="U62" s="697"/>
      <c r="V62" s="474">
        <f t="shared" si="2"/>
        <v>0</v>
      </c>
      <c r="W62" s="474">
        <f t="shared" si="3"/>
        <v>0</v>
      </c>
      <c r="X62" s="475">
        <f t="shared" si="4"/>
        <v>0</v>
      </c>
      <c r="Y62" s="475">
        <v>0</v>
      </c>
      <c r="Z62" s="476">
        <v>0</v>
      </c>
      <c r="AA62" s="38">
        <f t="shared" si="12"/>
        <v>0</v>
      </c>
      <c r="AB62" s="692">
        <f t="shared" si="5"/>
        <v>0</v>
      </c>
      <c r="AC62" s="692">
        <f t="shared" si="6"/>
        <v>1081.7999999999993</v>
      </c>
      <c r="AD62" s="692">
        <f t="shared" si="7"/>
        <v>0</v>
      </c>
      <c r="AE62" s="38"/>
      <c r="AF62" s="692">
        <f t="shared" si="8"/>
        <v>0</v>
      </c>
      <c r="AG62" s="692">
        <f t="shared" si="9"/>
        <v>0</v>
      </c>
      <c r="AH62" s="692">
        <f t="shared" si="10"/>
        <v>0</v>
      </c>
    </row>
    <row r="63" spans="1:34">
      <c r="A63" s="20" t="s">
        <v>211</v>
      </c>
      <c r="B63" s="20" t="s">
        <v>114</v>
      </c>
      <c r="C63" s="667"/>
      <c r="D63" s="68" t="s">
        <v>487</v>
      </c>
      <c r="E63" s="679"/>
      <c r="F63" s="529">
        <f>VLOOKUP(D63,'Q3 DMV -  Revenue'!D:T,17,FALSE)</f>
        <v>1026.2</v>
      </c>
      <c r="G63" s="680"/>
      <c r="H63" s="680"/>
      <c r="I63" s="681"/>
      <c r="J63" s="682">
        <f t="shared" si="0"/>
        <v>1026.2</v>
      </c>
      <c r="K63" s="683"/>
      <c r="L63" s="684"/>
      <c r="M63" s="685">
        <v>0</v>
      </c>
      <c r="N63" s="683">
        <v>0</v>
      </c>
      <c r="O63" s="686">
        <v>1026.2</v>
      </c>
      <c r="P63" s="683">
        <v>0</v>
      </c>
      <c r="Q63" s="687">
        <f t="shared" si="1"/>
        <v>0</v>
      </c>
      <c r="R63" s="688"/>
      <c r="S63" s="693"/>
      <c r="T63" s="690" t="str">
        <f t="shared" si="11"/>
        <v/>
      </c>
      <c r="U63" s="683"/>
      <c r="V63" s="474">
        <f t="shared" si="2"/>
        <v>0</v>
      </c>
      <c r="W63" s="474">
        <f t="shared" si="3"/>
        <v>0</v>
      </c>
      <c r="X63" s="475">
        <f t="shared" si="4"/>
        <v>0</v>
      </c>
      <c r="Y63" s="475">
        <v>0</v>
      </c>
      <c r="Z63" s="476">
        <v>0</v>
      </c>
      <c r="AA63" s="38">
        <f t="shared" si="12"/>
        <v>0</v>
      </c>
      <c r="AB63" s="692">
        <f t="shared" si="5"/>
        <v>0</v>
      </c>
      <c r="AC63" s="692">
        <f t="shared" si="6"/>
        <v>0</v>
      </c>
      <c r="AD63" s="692">
        <f t="shared" si="7"/>
        <v>1026.2</v>
      </c>
      <c r="AE63" s="38"/>
      <c r="AF63" s="692">
        <f t="shared" si="8"/>
        <v>0</v>
      </c>
      <c r="AG63" s="692">
        <f t="shared" si="9"/>
        <v>0</v>
      </c>
      <c r="AH63" s="692">
        <f t="shared" si="10"/>
        <v>0</v>
      </c>
    </row>
    <row r="64" spans="1:34">
      <c r="A64" s="20"/>
      <c r="B64" s="20" t="s">
        <v>109</v>
      </c>
      <c r="C64" s="667"/>
      <c r="D64" s="68" t="s">
        <v>373</v>
      </c>
      <c r="E64" s="679"/>
      <c r="F64" s="529">
        <f>VLOOKUP(D64,'Q3 DMV -  Revenue'!D:T,17,FALSE)</f>
        <v>0</v>
      </c>
      <c r="G64" s="680"/>
      <c r="H64" s="680"/>
      <c r="I64" s="681"/>
      <c r="J64" s="682">
        <f t="shared" si="0"/>
        <v>0</v>
      </c>
      <c r="K64" s="683"/>
      <c r="L64" s="684"/>
      <c r="M64" s="685">
        <v>0</v>
      </c>
      <c r="N64" s="683">
        <v>0</v>
      </c>
      <c r="O64" s="686"/>
      <c r="P64" s="683">
        <v>0</v>
      </c>
      <c r="Q64" s="687">
        <f t="shared" si="1"/>
        <v>0</v>
      </c>
      <c r="R64" s="688"/>
      <c r="S64" s="693"/>
      <c r="T64" s="690" t="str">
        <f t="shared" si="11"/>
        <v/>
      </c>
      <c r="U64" s="683"/>
      <c r="V64" s="474">
        <f t="shared" si="2"/>
        <v>0</v>
      </c>
      <c r="W64" s="474">
        <f t="shared" si="3"/>
        <v>0</v>
      </c>
      <c r="X64" s="475">
        <f t="shared" si="4"/>
        <v>0</v>
      </c>
      <c r="Y64" s="475">
        <v>0</v>
      </c>
      <c r="Z64" s="476">
        <v>0</v>
      </c>
      <c r="AA64" s="38">
        <f t="shared" si="12"/>
        <v>0</v>
      </c>
      <c r="AB64" s="692">
        <f t="shared" si="5"/>
        <v>0</v>
      </c>
      <c r="AC64" s="692">
        <f t="shared" si="6"/>
        <v>0</v>
      </c>
      <c r="AD64" s="692">
        <f t="shared" si="7"/>
        <v>0</v>
      </c>
      <c r="AE64" s="38"/>
      <c r="AF64" s="692">
        <f t="shared" si="8"/>
        <v>0</v>
      </c>
      <c r="AG64" s="692">
        <f t="shared" si="9"/>
        <v>0</v>
      </c>
      <c r="AH64" s="692">
        <f t="shared" si="10"/>
        <v>0</v>
      </c>
    </row>
    <row r="65" spans="1:34">
      <c r="A65" s="20"/>
      <c r="B65" s="20" t="s">
        <v>109</v>
      </c>
      <c r="C65" s="667"/>
      <c r="D65" s="68" t="s">
        <v>374</v>
      </c>
      <c r="E65" s="679"/>
      <c r="F65" s="529">
        <f>VLOOKUP(D65,'Q3 DMV -  Revenue'!D:T,17,FALSE)</f>
        <v>1147.0999999999999</v>
      </c>
      <c r="G65" s="694">
        <v>1514.14</v>
      </c>
      <c r="H65" s="694">
        <v>1499.98</v>
      </c>
      <c r="I65" s="741">
        <v>1833.61</v>
      </c>
      <c r="J65" s="682">
        <f t="shared" si="0"/>
        <v>5994.829999999999</v>
      </c>
      <c r="K65" s="683"/>
      <c r="L65" s="684"/>
      <c r="M65" s="685">
        <v>0</v>
      </c>
      <c r="N65" s="683">
        <v>0</v>
      </c>
      <c r="O65" s="686">
        <v>5994.83</v>
      </c>
      <c r="P65" s="683">
        <v>0</v>
      </c>
      <c r="Q65" s="687">
        <f t="shared" si="1"/>
        <v>0</v>
      </c>
      <c r="R65" s="688"/>
      <c r="S65" s="693"/>
      <c r="T65" s="690" t="str">
        <f t="shared" si="11"/>
        <v/>
      </c>
      <c r="U65" s="683"/>
      <c r="V65" s="474">
        <f t="shared" si="2"/>
        <v>0</v>
      </c>
      <c r="W65" s="474">
        <f t="shared" si="3"/>
        <v>0</v>
      </c>
      <c r="X65" s="475">
        <f t="shared" si="4"/>
        <v>0</v>
      </c>
      <c r="Y65" s="475">
        <v>0</v>
      </c>
      <c r="Z65" s="476">
        <v>0</v>
      </c>
      <c r="AA65" s="38">
        <f t="shared" si="12"/>
        <v>0</v>
      </c>
      <c r="AB65" s="692">
        <f t="shared" si="5"/>
        <v>0</v>
      </c>
      <c r="AC65" s="692">
        <f t="shared" si="6"/>
        <v>5994.829999999999</v>
      </c>
      <c r="AD65" s="692">
        <f t="shared" si="7"/>
        <v>0</v>
      </c>
      <c r="AE65" s="38"/>
      <c r="AF65" s="692">
        <f t="shared" si="8"/>
        <v>0</v>
      </c>
      <c r="AG65" s="692">
        <f t="shared" si="9"/>
        <v>0</v>
      </c>
      <c r="AH65" s="692">
        <f t="shared" si="10"/>
        <v>0</v>
      </c>
    </row>
    <row r="66" spans="1:34">
      <c r="A66" s="20"/>
      <c r="B66" s="20" t="s">
        <v>109</v>
      </c>
      <c r="C66" s="667"/>
      <c r="D66" s="68" t="s">
        <v>375</v>
      </c>
      <c r="E66" s="679"/>
      <c r="F66" s="529">
        <f>VLOOKUP(D66,'Q3 DMV -  Revenue'!D:T,17,FALSE)</f>
        <v>0</v>
      </c>
      <c r="G66" s="680"/>
      <c r="H66" s="680"/>
      <c r="I66" s="681"/>
      <c r="J66" s="682">
        <f t="shared" si="0"/>
        <v>0</v>
      </c>
      <c r="K66" s="683"/>
      <c r="L66" s="684"/>
      <c r="M66" s="685">
        <v>0</v>
      </c>
      <c r="N66" s="683">
        <v>0</v>
      </c>
      <c r="O66" s="686"/>
      <c r="P66" s="683">
        <v>0</v>
      </c>
      <c r="Q66" s="687">
        <f t="shared" si="1"/>
        <v>0</v>
      </c>
      <c r="R66" s="688"/>
      <c r="S66" s="693"/>
      <c r="T66" s="690" t="str">
        <f t="shared" si="11"/>
        <v/>
      </c>
      <c r="U66" s="683"/>
      <c r="V66" s="474">
        <f t="shared" si="2"/>
        <v>0</v>
      </c>
      <c r="W66" s="474">
        <f t="shared" si="3"/>
        <v>0</v>
      </c>
      <c r="X66" s="475">
        <f t="shared" si="4"/>
        <v>0</v>
      </c>
      <c r="Y66" s="475">
        <v>0</v>
      </c>
      <c r="Z66" s="476">
        <v>0</v>
      </c>
      <c r="AA66" s="38">
        <f t="shared" si="12"/>
        <v>0</v>
      </c>
      <c r="AB66" s="692">
        <f t="shared" si="5"/>
        <v>0</v>
      </c>
      <c r="AC66" s="692">
        <f t="shared" si="6"/>
        <v>0</v>
      </c>
      <c r="AD66" s="692">
        <f t="shared" si="7"/>
        <v>0</v>
      </c>
      <c r="AE66" s="38"/>
      <c r="AF66" s="692">
        <f t="shared" si="8"/>
        <v>0</v>
      </c>
      <c r="AG66" s="692">
        <f t="shared" si="9"/>
        <v>0</v>
      </c>
      <c r="AH66" s="692">
        <f t="shared" si="10"/>
        <v>0</v>
      </c>
    </row>
    <row r="67" spans="1:34">
      <c r="A67" s="21" t="s">
        <v>109</v>
      </c>
      <c r="B67" s="21" t="s">
        <v>110</v>
      </c>
      <c r="C67" s="666"/>
      <c r="D67" s="68" t="s">
        <v>502</v>
      </c>
      <c r="E67" s="679"/>
      <c r="F67" s="529">
        <f>VLOOKUP(D67,'Q3 DMV -  Revenue'!D:T,17,FALSE)</f>
        <v>0</v>
      </c>
      <c r="G67" s="680"/>
      <c r="H67" s="680"/>
      <c r="I67" s="681"/>
      <c r="J67" s="682">
        <f t="shared" si="0"/>
        <v>0</v>
      </c>
      <c r="K67" s="683"/>
      <c r="L67" s="684"/>
      <c r="M67" s="685">
        <v>0</v>
      </c>
      <c r="N67" s="683">
        <v>0</v>
      </c>
      <c r="O67" s="686"/>
      <c r="P67" s="683">
        <v>0</v>
      </c>
      <c r="Q67" s="687">
        <f t="shared" si="1"/>
        <v>0</v>
      </c>
      <c r="R67" s="688"/>
      <c r="S67" s="693"/>
      <c r="T67" s="690" t="str">
        <f t="shared" si="11"/>
        <v/>
      </c>
      <c r="U67" s="683"/>
      <c r="V67" s="474">
        <f t="shared" si="2"/>
        <v>0</v>
      </c>
      <c r="W67" s="474">
        <f t="shared" si="3"/>
        <v>0</v>
      </c>
      <c r="X67" s="475">
        <f t="shared" si="4"/>
        <v>0</v>
      </c>
      <c r="Y67" s="475">
        <v>0</v>
      </c>
      <c r="Z67" s="476">
        <v>0</v>
      </c>
      <c r="AA67" s="38">
        <f t="shared" si="12"/>
        <v>0</v>
      </c>
      <c r="AB67" s="692">
        <f t="shared" si="5"/>
        <v>0</v>
      </c>
      <c r="AC67" s="692">
        <f t="shared" si="6"/>
        <v>0</v>
      </c>
      <c r="AD67" s="692">
        <f t="shared" si="7"/>
        <v>0</v>
      </c>
      <c r="AE67" s="38"/>
      <c r="AF67" s="692">
        <f t="shared" si="8"/>
        <v>0</v>
      </c>
      <c r="AG67" s="692">
        <f t="shared" si="9"/>
        <v>0</v>
      </c>
      <c r="AH67" s="692">
        <f t="shared" si="10"/>
        <v>0</v>
      </c>
    </row>
    <row r="68" spans="1:34">
      <c r="A68" s="21"/>
      <c r="B68" s="21" t="s">
        <v>110</v>
      </c>
      <c r="C68" s="666" t="s">
        <v>535</v>
      </c>
      <c r="D68" s="123" t="s">
        <v>517</v>
      </c>
      <c r="E68" s="679"/>
      <c r="F68" s="529">
        <f>VLOOKUP(D68,'Q3 DMV -  Revenue'!D:T,17,FALSE)</f>
        <v>-2833.91</v>
      </c>
      <c r="G68" s="694">
        <v>7651.87</v>
      </c>
      <c r="H68" s="694">
        <v>6139.17</v>
      </c>
      <c r="I68" s="741">
        <v>15452.85</v>
      </c>
      <c r="J68" s="682">
        <f t="shared" si="0"/>
        <v>26409.980000000003</v>
      </c>
      <c r="K68" s="683"/>
      <c r="L68" s="684"/>
      <c r="M68" s="685">
        <v>0</v>
      </c>
      <c r="N68" s="683">
        <v>0</v>
      </c>
      <c r="O68" s="686">
        <v>315336.12</v>
      </c>
      <c r="P68" s="683">
        <v>0</v>
      </c>
      <c r="Q68" s="687">
        <f t="shared" si="1"/>
        <v>0</v>
      </c>
      <c r="R68" s="688"/>
      <c r="S68" s="693"/>
      <c r="T68" s="690" t="str">
        <f t="shared" si="11"/>
        <v/>
      </c>
      <c r="U68" s="697"/>
      <c r="V68" s="474">
        <f t="shared" si="2"/>
        <v>0</v>
      </c>
      <c r="W68" s="474">
        <f t="shared" si="3"/>
        <v>0</v>
      </c>
      <c r="X68" s="475">
        <f t="shared" si="4"/>
        <v>0</v>
      </c>
      <c r="Y68" s="475">
        <v>0</v>
      </c>
      <c r="Z68" s="476">
        <v>0</v>
      </c>
      <c r="AA68" s="38">
        <f t="shared" si="12"/>
        <v>0</v>
      </c>
      <c r="AB68" s="692">
        <f t="shared" si="5"/>
        <v>26409.980000000003</v>
      </c>
      <c r="AC68" s="692">
        <f t="shared" si="6"/>
        <v>0</v>
      </c>
      <c r="AD68" s="692">
        <f t="shared" si="7"/>
        <v>0</v>
      </c>
      <c r="AE68" s="38"/>
      <c r="AF68" s="692">
        <f t="shared" si="8"/>
        <v>0</v>
      </c>
      <c r="AG68" s="692">
        <f t="shared" si="9"/>
        <v>0</v>
      </c>
      <c r="AH68" s="692">
        <f t="shared" si="10"/>
        <v>0</v>
      </c>
    </row>
    <row r="69" spans="1:34">
      <c r="A69" s="21"/>
      <c r="B69" s="21" t="s">
        <v>110</v>
      </c>
      <c r="C69" s="666" t="s">
        <v>535</v>
      </c>
      <c r="D69" s="123" t="s">
        <v>437</v>
      </c>
      <c r="E69" s="679"/>
      <c r="F69" s="529">
        <f>VLOOKUP(D69,'Q3 DMV -  Revenue'!D:T,17,FALSE)</f>
        <v>-650.27499999999964</v>
      </c>
      <c r="G69" s="694">
        <v>6192.54</v>
      </c>
      <c r="H69" s="694">
        <v>6048.26</v>
      </c>
      <c r="I69" s="741">
        <v>6842.35</v>
      </c>
      <c r="J69" s="682">
        <f t="shared" si="0"/>
        <v>18432.875</v>
      </c>
      <c r="K69" s="683"/>
      <c r="L69" s="684"/>
      <c r="M69" s="685">
        <v>0</v>
      </c>
      <c r="N69" s="683">
        <v>0</v>
      </c>
      <c r="O69" s="686"/>
      <c r="P69" s="683">
        <v>0</v>
      </c>
      <c r="Q69" s="687">
        <f t="shared" si="1"/>
        <v>0</v>
      </c>
      <c r="R69" s="688"/>
      <c r="S69" s="693"/>
      <c r="T69" s="690" t="str">
        <f t="shared" si="11"/>
        <v/>
      </c>
      <c r="U69" s="697"/>
      <c r="V69" s="474">
        <f t="shared" si="2"/>
        <v>0</v>
      </c>
      <c r="W69" s="474">
        <f t="shared" si="3"/>
        <v>0</v>
      </c>
      <c r="X69" s="475">
        <f t="shared" si="4"/>
        <v>0</v>
      </c>
      <c r="Y69" s="475">
        <v>0</v>
      </c>
      <c r="Z69" s="476">
        <v>0</v>
      </c>
      <c r="AA69" s="38">
        <f t="shared" si="12"/>
        <v>0</v>
      </c>
      <c r="AB69" s="692">
        <f t="shared" si="5"/>
        <v>18432.875</v>
      </c>
      <c r="AC69" s="692">
        <f t="shared" si="6"/>
        <v>0</v>
      </c>
      <c r="AD69" s="692">
        <f t="shared" si="7"/>
        <v>0</v>
      </c>
      <c r="AE69" s="38"/>
      <c r="AF69" s="692">
        <f t="shared" si="8"/>
        <v>0</v>
      </c>
      <c r="AG69" s="692">
        <f t="shared" si="9"/>
        <v>0</v>
      </c>
      <c r="AH69" s="692">
        <f t="shared" si="10"/>
        <v>0</v>
      </c>
    </row>
    <row r="70" spans="1:34">
      <c r="A70" s="21"/>
      <c r="B70" s="21" t="s">
        <v>110</v>
      </c>
      <c r="C70" s="666" t="s">
        <v>535</v>
      </c>
      <c r="D70" s="123" t="s">
        <v>436</v>
      </c>
      <c r="E70" s="679"/>
      <c r="F70" s="529">
        <f>VLOOKUP(D70,'Q3 DMV -  Revenue'!D:T,17,FALSE)</f>
        <v>-173.10499999999956</v>
      </c>
      <c r="G70" s="694">
        <v>10315.76</v>
      </c>
      <c r="H70" s="739">
        <v>12026.72</v>
      </c>
      <c r="I70" s="741">
        <v>10759.61</v>
      </c>
      <c r="J70" s="682">
        <f t="shared" si="0"/>
        <v>32928.985000000001</v>
      </c>
      <c r="K70" s="683"/>
      <c r="L70" s="684"/>
      <c r="M70" s="685">
        <v>0</v>
      </c>
      <c r="N70" s="683">
        <v>0</v>
      </c>
      <c r="O70" s="686"/>
      <c r="P70" s="683">
        <v>0</v>
      </c>
      <c r="Q70" s="687">
        <f t="shared" si="1"/>
        <v>0</v>
      </c>
      <c r="R70" s="688"/>
      <c r="S70" s="693"/>
      <c r="T70" s="690" t="str">
        <f t="shared" si="11"/>
        <v/>
      </c>
      <c r="U70" s="697"/>
      <c r="V70" s="474">
        <f t="shared" si="2"/>
        <v>0</v>
      </c>
      <c r="W70" s="474">
        <f t="shared" si="3"/>
        <v>0</v>
      </c>
      <c r="X70" s="475">
        <f t="shared" si="4"/>
        <v>0</v>
      </c>
      <c r="Y70" s="475">
        <v>0</v>
      </c>
      <c r="Z70" s="476">
        <v>0</v>
      </c>
      <c r="AA70" s="38">
        <f t="shared" si="12"/>
        <v>0</v>
      </c>
      <c r="AB70" s="692">
        <f t="shared" si="5"/>
        <v>32928.985000000001</v>
      </c>
      <c r="AC70" s="692">
        <f t="shared" si="6"/>
        <v>0</v>
      </c>
      <c r="AD70" s="692">
        <f t="shared" si="7"/>
        <v>0</v>
      </c>
      <c r="AE70" s="38"/>
      <c r="AF70" s="692">
        <f t="shared" si="8"/>
        <v>0</v>
      </c>
      <c r="AG70" s="692">
        <f t="shared" si="9"/>
        <v>0</v>
      </c>
      <c r="AH70" s="692">
        <f t="shared" si="10"/>
        <v>0</v>
      </c>
    </row>
    <row r="71" spans="1:34">
      <c r="A71" s="21"/>
      <c r="B71" s="21" t="s">
        <v>110</v>
      </c>
      <c r="C71" s="666" t="s">
        <v>535</v>
      </c>
      <c r="D71" s="123" t="s">
        <v>391</v>
      </c>
      <c r="E71" s="679"/>
      <c r="F71" s="529">
        <f>VLOOKUP(D71,'Q3 DMV -  Revenue'!D:T,17,FALSE)</f>
        <v>977.60500000000002</v>
      </c>
      <c r="G71" s="694">
        <v>2309.14</v>
      </c>
      <c r="H71" s="694">
        <v>2954.64</v>
      </c>
      <c r="I71" s="741">
        <v>2299.2800000000002</v>
      </c>
      <c r="J71" s="682">
        <f t="shared" si="0"/>
        <v>8540.6650000000009</v>
      </c>
      <c r="K71" s="683"/>
      <c r="L71" s="684"/>
      <c r="M71" s="685">
        <v>0</v>
      </c>
      <c r="N71" s="683">
        <v>0</v>
      </c>
      <c r="O71" s="686"/>
      <c r="P71" s="683">
        <v>0</v>
      </c>
      <c r="Q71" s="687">
        <f t="shared" si="1"/>
        <v>0</v>
      </c>
      <c r="R71" s="688"/>
      <c r="S71" s="693"/>
      <c r="T71" s="690" t="str">
        <f t="shared" si="11"/>
        <v/>
      </c>
      <c r="U71" s="697"/>
      <c r="V71" s="474">
        <f t="shared" si="2"/>
        <v>0</v>
      </c>
      <c r="W71" s="474">
        <f t="shared" si="3"/>
        <v>0</v>
      </c>
      <c r="X71" s="475">
        <f t="shared" si="4"/>
        <v>0</v>
      </c>
      <c r="Y71" s="475">
        <v>0</v>
      </c>
      <c r="Z71" s="476">
        <v>0</v>
      </c>
      <c r="AA71" s="38">
        <f t="shared" si="12"/>
        <v>0</v>
      </c>
      <c r="AB71" s="692">
        <f t="shared" si="5"/>
        <v>8540.6650000000009</v>
      </c>
      <c r="AC71" s="692">
        <f t="shared" si="6"/>
        <v>0</v>
      </c>
      <c r="AD71" s="692">
        <f t="shared" si="7"/>
        <v>0</v>
      </c>
      <c r="AE71" s="38"/>
      <c r="AF71" s="692">
        <f t="shared" si="8"/>
        <v>0</v>
      </c>
      <c r="AG71" s="692">
        <f t="shared" si="9"/>
        <v>0</v>
      </c>
      <c r="AH71" s="692">
        <f t="shared" si="10"/>
        <v>0</v>
      </c>
    </row>
    <row r="72" spans="1:34">
      <c r="A72" s="21"/>
      <c r="B72" s="21" t="s">
        <v>110</v>
      </c>
      <c r="C72" s="666" t="s">
        <v>535</v>
      </c>
      <c r="D72" s="123" t="s">
        <v>392</v>
      </c>
      <c r="E72" s="679"/>
      <c r="F72" s="529">
        <f>VLOOKUP(D72,'Q3 DMV -  Revenue'!D:T,17,FALSE)</f>
        <v>-5563.5350000000035</v>
      </c>
      <c r="G72" s="694">
        <v>73805.41</v>
      </c>
      <c r="H72" s="694">
        <v>77389.009999999995</v>
      </c>
      <c r="I72" s="741">
        <v>77811.55</v>
      </c>
      <c r="J72" s="682">
        <f t="shared" si="0"/>
        <v>223442.435</v>
      </c>
      <c r="K72" s="683"/>
      <c r="L72" s="684"/>
      <c r="M72" s="685">
        <v>0</v>
      </c>
      <c r="N72" s="683">
        <v>0</v>
      </c>
      <c r="O72" s="686"/>
      <c r="P72" s="683">
        <v>0</v>
      </c>
      <c r="Q72" s="687">
        <f t="shared" si="1"/>
        <v>0</v>
      </c>
      <c r="R72" s="688"/>
      <c r="S72" s="693"/>
      <c r="T72" s="690" t="str">
        <f t="shared" si="11"/>
        <v/>
      </c>
      <c r="U72" s="697"/>
      <c r="V72" s="474">
        <f t="shared" si="2"/>
        <v>0</v>
      </c>
      <c r="W72" s="474">
        <f t="shared" si="3"/>
        <v>0</v>
      </c>
      <c r="X72" s="475">
        <f t="shared" si="4"/>
        <v>0</v>
      </c>
      <c r="Y72" s="475">
        <v>0</v>
      </c>
      <c r="Z72" s="476">
        <v>0</v>
      </c>
      <c r="AA72" s="38">
        <f t="shared" si="12"/>
        <v>0</v>
      </c>
      <c r="AB72" s="692">
        <f t="shared" si="5"/>
        <v>223442.435</v>
      </c>
      <c r="AC72" s="692">
        <f t="shared" si="6"/>
        <v>0</v>
      </c>
      <c r="AD72" s="692">
        <f t="shared" si="7"/>
        <v>0</v>
      </c>
      <c r="AE72" s="38"/>
      <c r="AF72" s="692">
        <f t="shared" si="8"/>
        <v>0</v>
      </c>
      <c r="AG72" s="692">
        <f t="shared" si="9"/>
        <v>0</v>
      </c>
      <c r="AH72" s="692">
        <f t="shared" si="10"/>
        <v>0</v>
      </c>
    </row>
    <row r="73" spans="1:34">
      <c r="A73" s="21"/>
      <c r="B73" s="21" t="s">
        <v>110</v>
      </c>
      <c r="C73" s="666" t="s">
        <v>535</v>
      </c>
      <c r="D73" s="123" t="s">
        <v>483</v>
      </c>
      <c r="E73" s="679"/>
      <c r="F73" s="529">
        <f>VLOOKUP(D73,'Q3 DMV -  Revenue'!D:T,17,FALSE)</f>
        <v>-308.35000000000002</v>
      </c>
      <c r="G73" s="680"/>
      <c r="H73" s="680"/>
      <c r="I73" s="681"/>
      <c r="J73" s="682">
        <f t="shared" si="0"/>
        <v>-308.35000000000002</v>
      </c>
      <c r="K73" s="683"/>
      <c r="L73" s="684"/>
      <c r="M73" s="685">
        <v>0</v>
      </c>
      <c r="N73" s="683"/>
      <c r="O73" s="686"/>
      <c r="P73" s="683"/>
      <c r="Q73" s="687">
        <f t="shared" si="1"/>
        <v>0</v>
      </c>
      <c r="R73" s="688"/>
      <c r="S73" s="693"/>
      <c r="T73" s="690" t="str">
        <f t="shared" si="11"/>
        <v/>
      </c>
      <c r="U73" s="697"/>
      <c r="V73" s="474">
        <f t="shared" si="2"/>
        <v>0</v>
      </c>
      <c r="W73" s="474">
        <f t="shared" si="3"/>
        <v>0</v>
      </c>
      <c r="X73" s="475">
        <f t="shared" si="4"/>
        <v>0</v>
      </c>
      <c r="Y73" s="475">
        <v>0</v>
      </c>
      <c r="Z73" s="476">
        <v>0</v>
      </c>
      <c r="AA73" s="38">
        <f t="shared" si="12"/>
        <v>0</v>
      </c>
      <c r="AB73" s="692">
        <f t="shared" si="5"/>
        <v>-308.35000000000002</v>
      </c>
      <c r="AC73" s="692">
        <f t="shared" si="6"/>
        <v>0</v>
      </c>
      <c r="AD73" s="692">
        <f t="shared" si="7"/>
        <v>0</v>
      </c>
      <c r="AE73" s="38"/>
      <c r="AF73" s="692">
        <f t="shared" si="8"/>
        <v>0</v>
      </c>
      <c r="AG73" s="692">
        <f t="shared" si="9"/>
        <v>0</v>
      </c>
      <c r="AH73" s="692">
        <f t="shared" si="10"/>
        <v>0</v>
      </c>
    </row>
    <row r="74" spans="1:34">
      <c r="A74" s="21"/>
      <c r="B74" s="21" t="s">
        <v>110</v>
      </c>
      <c r="C74" s="666"/>
      <c r="D74" s="373" t="s">
        <v>587</v>
      </c>
      <c r="E74" s="679"/>
      <c r="F74" s="529">
        <f>VLOOKUP(D74,'Q3 DMV -  Revenue'!D:T,17,FALSE)</f>
        <v>162</v>
      </c>
      <c r="G74" s="694">
        <v>597.27</v>
      </c>
      <c r="H74" s="694">
        <v>1058.53</v>
      </c>
      <c r="I74" s="741">
        <f>321.75+1469.11</f>
        <v>1790.86</v>
      </c>
      <c r="J74" s="682">
        <f t="shared" ref="J74" si="38">SUM(E74:I74)</f>
        <v>3608.66</v>
      </c>
      <c r="K74" s="683"/>
      <c r="L74" s="684"/>
      <c r="M74" s="685">
        <v>0</v>
      </c>
      <c r="N74" s="683"/>
      <c r="O74" s="686"/>
      <c r="P74" s="683"/>
      <c r="Q74" s="687">
        <f t="shared" ref="Q74" si="39">L74+M74</f>
        <v>0</v>
      </c>
      <c r="R74" s="688"/>
      <c r="S74" s="693"/>
      <c r="T74" s="690"/>
      <c r="U74" s="697"/>
      <c r="V74" s="474">
        <f t="shared" ref="V74" si="40">IF(B74="D",Q74,0)</f>
        <v>0</v>
      </c>
      <c r="W74" s="474">
        <f t="shared" ref="W74" si="41">IF(B74="M",Q74,0)</f>
        <v>0</v>
      </c>
      <c r="X74" s="475">
        <f t="shared" ref="X74" si="42">IF(B74="V",Q74,0)</f>
        <v>0</v>
      </c>
      <c r="Y74" s="475">
        <v>0</v>
      </c>
      <c r="Z74" s="476">
        <v>0</v>
      </c>
      <c r="AA74" s="38">
        <f t="shared" ref="AA74" si="43">(L74+M74)-(V74+W74+X74+Y74+Z74)</f>
        <v>0</v>
      </c>
      <c r="AB74" s="692">
        <f t="shared" ref="AB74" si="44">IF(B74="D",J74,0)</f>
        <v>3608.66</v>
      </c>
      <c r="AC74" s="692">
        <f t="shared" ref="AC74" si="45">IF(B74="M",J74,0)</f>
        <v>0</v>
      </c>
      <c r="AD74" s="692">
        <f t="shared" ref="AD74" si="46">IF(B74="V",J74,0)</f>
        <v>0</v>
      </c>
      <c r="AE74" s="38"/>
      <c r="AF74" s="692">
        <f t="shared" ref="AF74" si="47">IF(B74="D",Q74,0)</f>
        <v>0</v>
      </c>
      <c r="AG74" s="692">
        <f t="shared" ref="AG74" si="48">IF(B74="M",Q74,0)</f>
        <v>0</v>
      </c>
      <c r="AH74" s="692">
        <f t="shared" ref="AH74" si="49">IF(B74="V",Q74,0)</f>
        <v>0</v>
      </c>
    </row>
    <row r="75" spans="1:34">
      <c r="A75" s="20"/>
      <c r="B75" s="20" t="s">
        <v>110</v>
      </c>
      <c r="C75" s="667" t="s">
        <v>536</v>
      </c>
      <c r="D75" s="68" t="s">
        <v>450</v>
      </c>
      <c r="E75" s="679"/>
      <c r="F75" s="529">
        <f>VLOOKUP(D75,'Q3 DMV -  Revenue'!D:T,17,FALSE)</f>
        <v>17.299999999999727</v>
      </c>
      <c r="G75" s="694">
        <v>885.49</v>
      </c>
      <c r="H75" s="694">
        <v>963.9</v>
      </c>
      <c r="I75" s="741">
        <v>860</v>
      </c>
      <c r="J75" s="682">
        <f t="shared" si="0"/>
        <v>2726.6899999999996</v>
      </c>
      <c r="K75" s="683"/>
      <c r="L75" s="684"/>
      <c r="M75" s="685">
        <v>0</v>
      </c>
      <c r="N75" s="683">
        <v>0</v>
      </c>
      <c r="O75" s="686">
        <v>2726.69</v>
      </c>
      <c r="P75" s="683">
        <v>0</v>
      </c>
      <c r="Q75" s="687">
        <f t="shared" si="1"/>
        <v>0</v>
      </c>
      <c r="R75" s="688"/>
      <c r="S75" s="693"/>
      <c r="T75" s="690" t="str">
        <f t="shared" si="11"/>
        <v/>
      </c>
      <c r="U75" s="683"/>
      <c r="V75" s="474">
        <f t="shared" si="2"/>
        <v>0</v>
      </c>
      <c r="W75" s="474">
        <f t="shared" si="3"/>
        <v>0</v>
      </c>
      <c r="X75" s="475">
        <f t="shared" si="4"/>
        <v>0</v>
      </c>
      <c r="Y75" s="475">
        <v>0</v>
      </c>
      <c r="Z75" s="476">
        <v>0</v>
      </c>
      <c r="AA75" s="38">
        <f t="shared" si="12"/>
        <v>0</v>
      </c>
      <c r="AB75" s="692">
        <f t="shared" si="5"/>
        <v>2726.6899999999996</v>
      </c>
      <c r="AC75" s="692">
        <f t="shared" si="6"/>
        <v>0</v>
      </c>
      <c r="AD75" s="692">
        <f t="shared" si="7"/>
        <v>0</v>
      </c>
      <c r="AE75" s="38"/>
      <c r="AF75" s="692">
        <f t="shared" si="8"/>
        <v>0</v>
      </c>
      <c r="AG75" s="692">
        <f t="shared" si="9"/>
        <v>0</v>
      </c>
      <c r="AH75" s="692">
        <f t="shared" si="10"/>
        <v>0</v>
      </c>
    </row>
    <row r="76" spans="1:34">
      <c r="A76" s="21" t="s">
        <v>109</v>
      </c>
      <c r="B76" s="21" t="s">
        <v>110</v>
      </c>
      <c r="C76" s="666"/>
      <c r="D76" s="68" t="s">
        <v>438</v>
      </c>
      <c r="E76" s="679"/>
      <c r="F76" s="529">
        <f>VLOOKUP(D76,'Q3 DMV -  Revenue'!D:T,17,FALSE)</f>
        <v>0</v>
      </c>
      <c r="G76" s="680"/>
      <c r="H76" s="680"/>
      <c r="I76" s="681"/>
      <c r="J76" s="682">
        <f t="shared" si="0"/>
        <v>0</v>
      </c>
      <c r="K76" s="683"/>
      <c r="L76" s="684"/>
      <c r="M76" s="685">
        <v>0</v>
      </c>
      <c r="N76" s="683">
        <v>0</v>
      </c>
      <c r="O76" s="686">
        <v>286.89999999999998</v>
      </c>
      <c r="P76" s="683">
        <v>0</v>
      </c>
      <c r="Q76" s="687">
        <f t="shared" si="1"/>
        <v>0</v>
      </c>
      <c r="R76" s="688"/>
      <c r="S76" s="693"/>
      <c r="T76" s="690" t="str">
        <f t="shared" si="11"/>
        <v/>
      </c>
      <c r="U76" s="697"/>
      <c r="V76" s="474">
        <f t="shared" si="2"/>
        <v>0</v>
      </c>
      <c r="W76" s="474">
        <f t="shared" si="3"/>
        <v>0</v>
      </c>
      <c r="X76" s="475">
        <f t="shared" si="4"/>
        <v>0</v>
      </c>
      <c r="Y76" s="475">
        <v>0</v>
      </c>
      <c r="Z76" s="476">
        <v>0</v>
      </c>
      <c r="AA76" s="38">
        <f t="shared" si="12"/>
        <v>0</v>
      </c>
      <c r="AB76" s="692">
        <f t="shared" si="5"/>
        <v>0</v>
      </c>
      <c r="AC76" s="692">
        <f t="shared" si="6"/>
        <v>0</v>
      </c>
      <c r="AD76" s="692">
        <f t="shared" si="7"/>
        <v>0</v>
      </c>
      <c r="AE76" s="38"/>
      <c r="AF76" s="692">
        <f t="shared" si="8"/>
        <v>0</v>
      </c>
      <c r="AG76" s="692">
        <f t="shared" si="9"/>
        <v>0</v>
      </c>
      <c r="AH76" s="692">
        <f t="shared" si="10"/>
        <v>0</v>
      </c>
    </row>
    <row r="77" spans="1:34">
      <c r="A77" s="21"/>
      <c r="B77" s="21" t="s">
        <v>110</v>
      </c>
      <c r="C77" s="666"/>
      <c r="D77" s="68" t="s">
        <v>11</v>
      </c>
      <c r="E77" s="679"/>
      <c r="F77" s="529">
        <f>VLOOKUP(D77,'Q3 DMV -  Revenue'!D:T,17,FALSE)</f>
        <v>0</v>
      </c>
      <c r="G77" s="680"/>
      <c r="H77" s="680"/>
      <c r="I77" s="681"/>
      <c r="J77" s="682">
        <f t="shared" si="0"/>
        <v>0</v>
      </c>
      <c r="K77" s="683"/>
      <c r="L77" s="684"/>
      <c r="M77" s="685">
        <v>0</v>
      </c>
      <c r="N77" s="683">
        <v>0</v>
      </c>
      <c r="O77" s="686"/>
      <c r="P77" s="683">
        <v>0</v>
      </c>
      <c r="Q77" s="687">
        <f t="shared" si="1"/>
        <v>0</v>
      </c>
      <c r="R77" s="688"/>
      <c r="S77" s="693"/>
      <c r="T77" s="690" t="str">
        <f t="shared" si="11"/>
        <v/>
      </c>
      <c r="U77" s="697"/>
      <c r="V77" s="474">
        <f t="shared" si="2"/>
        <v>0</v>
      </c>
      <c r="W77" s="474">
        <f t="shared" si="3"/>
        <v>0</v>
      </c>
      <c r="X77" s="475">
        <f t="shared" si="4"/>
        <v>0</v>
      </c>
      <c r="Y77" s="475">
        <v>0</v>
      </c>
      <c r="Z77" s="476">
        <v>0</v>
      </c>
      <c r="AA77" s="38">
        <f t="shared" si="12"/>
        <v>0</v>
      </c>
      <c r="AB77" s="692">
        <f t="shared" si="5"/>
        <v>0</v>
      </c>
      <c r="AC77" s="692">
        <f t="shared" si="6"/>
        <v>0</v>
      </c>
      <c r="AD77" s="692">
        <f t="shared" si="7"/>
        <v>0</v>
      </c>
      <c r="AE77" s="38"/>
      <c r="AF77" s="692">
        <f t="shared" si="8"/>
        <v>0</v>
      </c>
      <c r="AG77" s="692">
        <f t="shared" si="9"/>
        <v>0</v>
      </c>
      <c r="AH77" s="692">
        <f t="shared" si="10"/>
        <v>0</v>
      </c>
    </row>
    <row r="78" spans="1:34">
      <c r="A78" s="21"/>
      <c r="B78" s="21" t="s">
        <v>110</v>
      </c>
      <c r="C78" s="666" t="s">
        <v>537</v>
      </c>
      <c r="D78" s="68" t="s">
        <v>12</v>
      </c>
      <c r="E78" s="679"/>
      <c r="F78" s="529">
        <f>VLOOKUP(D78,'Q3 DMV -  Revenue'!D:T,17,FALSE)</f>
        <v>-43.339999999999918</v>
      </c>
      <c r="G78" s="694">
        <v>650.86</v>
      </c>
      <c r="H78" s="694">
        <v>591.95000000000005</v>
      </c>
      <c r="I78" s="741">
        <v>636.27</v>
      </c>
      <c r="J78" s="682">
        <f t="shared" si="0"/>
        <v>1835.7400000000002</v>
      </c>
      <c r="K78" s="683"/>
      <c r="L78" s="684"/>
      <c r="M78" s="685">
        <v>0</v>
      </c>
      <c r="N78" s="683">
        <v>0</v>
      </c>
      <c r="O78" s="686">
        <v>1835.74</v>
      </c>
      <c r="P78" s="683">
        <v>0</v>
      </c>
      <c r="Q78" s="687">
        <f t="shared" si="1"/>
        <v>0</v>
      </c>
      <c r="R78" s="688"/>
      <c r="S78" s="693"/>
      <c r="T78" s="690" t="str">
        <f t="shared" si="11"/>
        <v/>
      </c>
      <c r="U78" s="683"/>
      <c r="V78" s="474">
        <f t="shared" si="2"/>
        <v>0</v>
      </c>
      <c r="W78" s="474">
        <f t="shared" si="3"/>
        <v>0</v>
      </c>
      <c r="X78" s="475">
        <f t="shared" si="4"/>
        <v>0</v>
      </c>
      <c r="Y78" s="475">
        <v>0</v>
      </c>
      <c r="Z78" s="476">
        <v>0</v>
      </c>
      <c r="AA78" s="38">
        <f t="shared" si="12"/>
        <v>0</v>
      </c>
      <c r="AB78" s="692">
        <f t="shared" si="5"/>
        <v>1835.7400000000002</v>
      </c>
      <c r="AC78" s="692">
        <f t="shared" si="6"/>
        <v>0</v>
      </c>
      <c r="AD78" s="692">
        <f t="shared" si="7"/>
        <v>0</v>
      </c>
      <c r="AE78" s="38"/>
      <c r="AF78" s="692">
        <f t="shared" si="8"/>
        <v>0</v>
      </c>
      <c r="AG78" s="692">
        <f t="shared" si="9"/>
        <v>0</v>
      </c>
      <c r="AH78" s="692">
        <f t="shared" si="10"/>
        <v>0</v>
      </c>
    </row>
    <row r="79" spans="1:34" s="232" customFormat="1">
      <c r="A79" s="283" t="s">
        <v>211</v>
      </c>
      <c r="B79" s="283" t="s">
        <v>110</v>
      </c>
      <c r="C79" s="667" t="s">
        <v>538</v>
      </c>
      <c r="D79" s="123" t="s">
        <v>170</v>
      </c>
      <c r="E79" s="679"/>
      <c r="F79" s="529">
        <f>VLOOKUP(D79,'Q3 DMV -  Revenue'!D:T,17,FALSE)</f>
        <v>-184948.07</v>
      </c>
      <c r="G79" s="680"/>
      <c r="H79" s="680"/>
      <c r="I79" s="741">
        <v>303486.26</v>
      </c>
      <c r="J79" s="682">
        <f t="shared" si="0"/>
        <v>118538.19</v>
      </c>
      <c r="K79" s="683"/>
      <c r="L79" s="684"/>
      <c r="M79" s="685">
        <v>0</v>
      </c>
      <c r="N79" s="683">
        <v>0</v>
      </c>
      <c r="O79" s="686">
        <v>358337.41</v>
      </c>
      <c r="P79" s="683">
        <v>0</v>
      </c>
      <c r="Q79" s="687">
        <f t="shared" si="1"/>
        <v>0</v>
      </c>
      <c r="R79" s="688"/>
      <c r="S79" s="693"/>
      <c r="T79" s="690" t="str">
        <f t="shared" si="11"/>
        <v/>
      </c>
      <c r="U79" s="683"/>
      <c r="V79" s="474">
        <f t="shared" si="2"/>
        <v>0</v>
      </c>
      <c r="W79" s="474">
        <f t="shared" si="3"/>
        <v>0</v>
      </c>
      <c r="X79" s="475">
        <f t="shared" si="4"/>
        <v>0</v>
      </c>
      <c r="Y79" s="475">
        <v>0</v>
      </c>
      <c r="Z79" s="476">
        <v>0</v>
      </c>
      <c r="AA79" s="38">
        <f t="shared" si="12"/>
        <v>0</v>
      </c>
      <c r="AB79" s="692">
        <f t="shared" si="5"/>
        <v>118538.19</v>
      </c>
      <c r="AC79" s="692">
        <f t="shared" si="6"/>
        <v>0</v>
      </c>
      <c r="AD79" s="692">
        <f t="shared" si="7"/>
        <v>0</v>
      </c>
      <c r="AE79" s="38"/>
      <c r="AF79" s="692">
        <f t="shared" si="8"/>
        <v>0</v>
      </c>
      <c r="AG79" s="692">
        <f t="shared" si="9"/>
        <v>0</v>
      </c>
      <c r="AH79" s="692">
        <f t="shared" si="10"/>
        <v>0</v>
      </c>
    </row>
    <row r="80" spans="1:34" s="232" customFormat="1">
      <c r="A80" s="283" t="s">
        <v>211</v>
      </c>
      <c r="B80" s="283" t="s">
        <v>110</v>
      </c>
      <c r="C80" s="667" t="s">
        <v>538</v>
      </c>
      <c r="D80" s="123" t="s">
        <v>171</v>
      </c>
      <c r="E80" s="679"/>
      <c r="F80" s="529">
        <f>VLOOKUP(D80,'Q3 DMV -  Revenue'!D:T,17,FALSE)</f>
        <v>1326.98</v>
      </c>
      <c r="G80" s="680"/>
      <c r="H80" s="680"/>
      <c r="I80" s="741">
        <v>914.64</v>
      </c>
      <c r="J80" s="682">
        <f t="shared" si="0"/>
        <v>2241.62</v>
      </c>
      <c r="K80" s="683"/>
      <c r="L80" s="684"/>
      <c r="M80" s="685">
        <v>0</v>
      </c>
      <c r="N80" s="683">
        <v>0</v>
      </c>
      <c r="O80" s="686"/>
      <c r="P80" s="683">
        <v>0</v>
      </c>
      <c r="Q80" s="687">
        <f t="shared" si="1"/>
        <v>0</v>
      </c>
      <c r="R80" s="688"/>
      <c r="S80" s="693"/>
      <c r="T80" s="690" t="str">
        <f t="shared" si="11"/>
        <v/>
      </c>
      <c r="U80" s="683"/>
      <c r="V80" s="474">
        <f t="shared" si="2"/>
        <v>0</v>
      </c>
      <c r="W80" s="474">
        <f t="shared" si="3"/>
        <v>0</v>
      </c>
      <c r="X80" s="475">
        <f t="shared" si="4"/>
        <v>0</v>
      </c>
      <c r="Y80" s="475">
        <v>0</v>
      </c>
      <c r="Z80" s="476">
        <v>0</v>
      </c>
      <c r="AA80" s="38">
        <f t="shared" si="12"/>
        <v>0</v>
      </c>
      <c r="AB80" s="692">
        <f t="shared" si="5"/>
        <v>2241.62</v>
      </c>
      <c r="AC80" s="692">
        <f t="shared" si="6"/>
        <v>0</v>
      </c>
      <c r="AD80" s="692">
        <f t="shared" si="7"/>
        <v>0</v>
      </c>
      <c r="AE80" s="38"/>
      <c r="AF80" s="692">
        <f t="shared" si="8"/>
        <v>0</v>
      </c>
      <c r="AG80" s="692">
        <f t="shared" si="9"/>
        <v>0</v>
      </c>
      <c r="AH80" s="692">
        <f t="shared" si="10"/>
        <v>0</v>
      </c>
    </row>
    <row r="81" spans="1:34" s="232" customFormat="1">
      <c r="A81" s="283" t="s">
        <v>211</v>
      </c>
      <c r="B81" s="283" t="s">
        <v>110</v>
      </c>
      <c r="C81" s="667" t="s">
        <v>538</v>
      </c>
      <c r="D81" s="123" t="s">
        <v>13</v>
      </c>
      <c r="E81" s="679"/>
      <c r="F81" s="529">
        <f>VLOOKUP(D81,'Q3 DMV -  Revenue'!D:T,17,FALSE)</f>
        <v>91453.33</v>
      </c>
      <c r="G81" s="680"/>
      <c r="H81" s="680"/>
      <c r="I81" s="741">
        <v>83651.39</v>
      </c>
      <c r="J81" s="682">
        <f t="shared" si="0"/>
        <v>175104.72</v>
      </c>
      <c r="K81" s="683"/>
      <c r="L81" s="684"/>
      <c r="M81" s="685">
        <v>0</v>
      </c>
      <c r="N81" s="683">
        <v>0</v>
      </c>
      <c r="O81" s="686"/>
      <c r="P81" s="683">
        <v>0</v>
      </c>
      <c r="Q81" s="687">
        <f t="shared" si="1"/>
        <v>0</v>
      </c>
      <c r="R81" s="688"/>
      <c r="S81" s="693"/>
      <c r="T81" s="690" t="str">
        <f t="shared" si="11"/>
        <v/>
      </c>
      <c r="U81" s="683"/>
      <c r="V81" s="474">
        <f t="shared" si="2"/>
        <v>0</v>
      </c>
      <c r="W81" s="474">
        <f t="shared" si="3"/>
        <v>0</v>
      </c>
      <c r="X81" s="475">
        <f t="shared" si="4"/>
        <v>0</v>
      </c>
      <c r="Y81" s="475">
        <v>0</v>
      </c>
      <c r="Z81" s="476">
        <v>0</v>
      </c>
      <c r="AA81" s="38">
        <f t="shared" si="12"/>
        <v>0</v>
      </c>
      <c r="AB81" s="692">
        <f t="shared" si="5"/>
        <v>175104.72</v>
      </c>
      <c r="AC81" s="692">
        <f t="shared" si="6"/>
        <v>0</v>
      </c>
      <c r="AD81" s="692">
        <f t="shared" si="7"/>
        <v>0</v>
      </c>
      <c r="AE81" s="38"/>
      <c r="AF81" s="692">
        <f t="shared" si="8"/>
        <v>0</v>
      </c>
      <c r="AG81" s="692">
        <f t="shared" si="9"/>
        <v>0</v>
      </c>
      <c r="AH81" s="692">
        <f t="shared" si="10"/>
        <v>0</v>
      </c>
    </row>
    <row r="82" spans="1:34" s="232" customFormat="1">
      <c r="A82" s="283" t="s">
        <v>211</v>
      </c>
      <c r="B82" s="283" t="s">
        <v>110</v>
      </c>
      <c r="C82" s="667" t="s">
        <v>538</v>
      </c>
      <c r="D82" s="123" t="s">
        <v>172</v>
      </c>
      <c r="E82" s="679"/>
      <c r="F82" s="529">
        <f>VLOOKUP(D82,'Q3 DMV -  Revenue'!D:T,17,FALSE)</f>
        <v>6.64</v>
      </c>
      <c r="G82" s="680"/>
      <c r="H82" s="680"/>
      <c r="I82" s="741">
        <v>13.9</v>
      </c>
      <c r="J82" s="682">
        <f t="shared" si="0"/>
        <v>20.54</v>
      </c>
      <c r="K82" s="683"/>
      <c r="L82" s="684"/>
      <c r="M82" s="685">
        <v>0</v>
      </c>
      <c r="N82" s="683">
        <v>0</v>
      </c>
      <c r="O82" s="686"/>
      <c r="P82" s="683">
        <v>0</v>
      </c>
      <c r="Q82" s="687">
        <f t="shared" si="1"/>
        <v>0</v>
      </c>
      <c r="R82" s="688"/>
      <c r="S82" s="693"/>
      <c r="T82" s="690" t="str">
        <f t="shared" si="11"/>
        <v/>
      </c>
      <c r="U82" s="683"/>
      <c r="V82" s="474">
        <f t="shared" si="2"/>
        <v>0</v>
      </c>
      <c r="W82" s="474">
        <f t="shared" si="3"/>
        <v>0</v>
      </c>
      <c r="X82" s="475">
        <f t="shared" si="4"/>
        <v>0</v>
      </c>
      <c r="Y82" s="475">
        <v>0</v>
      </c>
      <c r="Z82" s="476">
        <v>0</v>
      </c>
      <c r="AA82" s="38">
        <f t="shared" si="12"/>
        <v>0</v>
      </c>
      <c r="AB82" s="692">
        <f t="shared" si="5"/>
        <v>20.54</v>
      </c>
      <c r="AC82" s="692">
        <f t="shared" si="6"/>
        <v>0</v>
      </c>
      <c r="AD82" s="692">
        <f t="shared" si="7"/>
        <v>0</v>
      </c>
      <c r="AE82" s="38"/>
      <c r="AF82" s="692">
        <f t="shared" si="8"/>
        <v>0</v>
      </c>
      <c r="AG82" s="692">
        <f t="shared" si="9"/>
        <v>0</v>
      </c>
      <c r="AH82" s="692">
        <f t="shared" si="10"/>
        <v>0</v>
      </c>
    </row>
    <row r="83" spans="1:34" s="232" customFormat="1">
      <c r="A83" s="283" t="s">
        <v>211</v>
      </c>
      <c r="B83" s="283" t="s">
        <v>110</v>
      </c>
      <c r="C83" s="667" t="s">
        <v>538</v>
      </c>
      <c r="D83" s="123" t="s">
        <v>173</v>
      </c>
      <c r="E83" s="679"/>
      <c r="F83" s="529">
        <f>VLOOKUP(D83,'Q3 DMV -  Revenue'!D:T,17,FALSE)</f>
        <v>32821.910000000003</v>
      </c>
      <c r="G83" s="680"/>
      <c r="H83" s="680"/>
      <c r="I83" s="741">
        <v>29582.94</v>
      </c>
      <c r="J83" s="682">
        <f t="shared" si="0"/>
        <v>62404.850000000006</v>
      </c>
      <c r="K83" s="683"/>
      <c r="L83" s="684"/>
      <c r="M83" s="685">
        <v>0</v>
      </c>
      <c r="N83" s="683">
        <v>0</v>
      </c>
      <c r="O83" s="686"/>
      <c r="P83" s="683">
        <v>0</v>
      </c>
      <c r="Q83" s="687">
        <f t="shared" si="1"/>
        <v>0</v>
      </c>
      <c r="R83" s="688"/>
      <c r="S83" s="693"/>
      <c r="T83" s="690" t="str">
        <f t="shared" si="11"/>
        <v/>
      </c>
      <c r="U83" s="683"/>
      <c r="V83" s="474">
        <f t="shared" si="2"/>
        <v>0</v>
      </c>
      <c r="W83" s="474">
        <f t="shared" si="3"/>
        <v>0</v>
      </c>
      <c r="X83" s="475">
        <f t="shared" si="4"/>
        <v>0</v>
      </c>
      <c r="Y83" s="475">
        <v>0</v>
      </c>
      <c r="Z83" s="476">
        <v>0</v>
      </c>
      <c r="AA83" s="38">
        <f t="shared" si="12"/>
        <v>0</v>
      </c>
      <c r="AB83" s="692">
        <f t="shared" si="5"/>
        <v>62404.850000000006</v>
      </c>
      <c r="AC83" s="692">
        <f t="shared" si="6"/>
        <v>0</v>
      </c>
      <c r="AD83" s="692">
        <f t="shared" si="7"/>
        <v>0</v>
      </c>
      <c r="AE83" s="38"/>
      <c r="AF83" s="692">
        <f t="shared" si="8"/>
        <v>0</v>
      </c>
      <c r="AG83" s="692">
        <f t="shared" si="9"/>
        <v>0</v>
      </c>
      <c r="AH83" s="692">
        <f t="shared" si="10"/>
        <v>0</v>
      </c>
    </row>
    <row r="84" spans="1:34" s="232" customFormat="1">
      <c r="A84" s="283" t="s">
        <v>211</v>
      </c>
      <c r="B84" s="283" t="s">
        <v>110</v>
      </c>
      <c r="C84" s="667" t="s">
        <v>538</v>
      </c>
      <c r="D84" s="123" t="s">
        <v>174</v>
      </c>
      <c r="E84" s="679"/>
      <c r="F84" s="529">
        <f>VLOOKUP(D84,'Q3 DMV -  Revenue'!D:T,17,FALSE)</f>
        <v>26.92</v>
      </c>
      <c r="G84" s="680"/>
      <c r="H84" s="680"/>
      <c r="I84" s="741">
        <v>0.56999999999999995</v>
      </c>
      <c r="J84" s="682">
        <f t="shared" si="0"/>
        <v>27.490000000000002</v>
      </c>
      <c r="K84" s="683"/>
      <c r="L84" s="684"/>
      <c r="M84" s="685">
        <v>0</v>
      </c>
      <c r="N84" s="683">
        <v>0</v>
      </c>
      <c r="O84" s="686"/>
      <c r="P84" s="683">
        <v>0</v>
      </c>
      <c r="Q84" s="687">
        <f t="shared" si="1"/>
        <v>0</v>
      </c>
      <c r="R84" s="688"/>
      <c r="S84" s="693"/>
      <c r="T84" s="690" t="str">
        <f t="shared" si="11"/>
        <v/>
      </c>
      <c r="U84" s="683"/>
      <c r="V84" s="474">
        <f t="shared" si="2"/>
        <v>0</v>
      </c>
      <c r="W84" s="474">
        <f t="shared" si="3"/>
        <v>0</v>
      </c>
      <c r="X84" s="475">
        <f t="shared" si="4"/>
        <v>0</v>
      </c>
      <c r="Y84" s="475">
        <v>0</v>
      </c>
      <c r="Z84" s="476">
        <v>0</v>
      </c>
      <c r="AA84" s="38">
        <f t="shared" si="12"/>
        <v>0</v>
      </c>
      <c r="AB84" s="692">
        <f t="shared" si="5"/>
        <v>27.490000000000002</v>
      </c>
      <c r="AC84" s="692">
        <f t="shared" si="6"/>
        <v>0</v>
      </c>
      <c r="AD84" s="692">
        <f t="shared" si="7"/>
        <v>0</v>
      </c>
      <c r="AE84" s="38"/>
      <c r="AF84" s="692">
        <f t="shared" si="8"/>
        <v>0</v>
      </c>
      <c r="AG84" s="692">
        <f t="shared" si="9"/>
        <v>0</v>
      </c>
      <c r="AH84" s="692">
        <f t="shared" si="10"/>
        <v>0</v>
      </c>
    </row>
    <row r="85" spans="1:34">
      <c r="A85" s="21"/>
      <c r="B85" s="21" t="s">
        <v>109</v>
      </c>
      <c r="C85" s="666"/>
      <c r="D85" s="68" t="s">
        <v>94</v>
      </c>
      <c r="E85" s="679"/>
      <c r="F85" s="529">
        <f>VLOOKUP(D85,'Q3 DMV -  Revenue'!D:T,17,FALSE)</f>
        <v>0</v>
      </c>
      <c r="G85" s="680"/>
      <c r="H85" s="680"/>
      <c r="I85" s="681"/>
      <c r="J85" s="682">
        <f t="shared" si="0"/>
        <v>0</v>
      </c>
      <c r="K85" s="683"/>
      <c r="L85" s="684"/>
      <c r="M85" s="685">
        <v>0</v>
      </c>
      <c r="N85" s="683">
        <v>0</v>
      </c>
      <c r="O85" s="686"/>
      <c r="P85" s="683">
        <v>0</v>
      </c>
      <c r="Q85" s="687">
        <f t="shared" si="1"/>
        <v>0</v>
      </c>
      <c r="R85" s="688"/>
      <c r="S85" s="693"/>
      <c r="T85" s="690" t="str">
        <f t="shared" si="11"/>
        <v/>
      </c>
      <c r="U85" s="697"/>
      <c r="V85" s="474">
        <f t="shared" si="2"/>
        <v>0</v>
      </c>
      <c r="W85" s="474">
        <f t="shared" si="3"/>
        <v>0</v>
      </c>
      <c r="X85" s="475">
        <f t="shared" si="4"/>
        <v>0</v>
      </c>
      <c r="Y85" s="475">
        <v>0</v>
      </c>
      <c r="Z85" s="476">
        <v>0</v>
      </c>
      <c r="AA85" s="38">
        <f t="shared" si="12"/>
        <v>0</v>
      </c>
      <c r="AB85" s="692">
        <f t="shared" si="5"/>
        <v>0</v>
      </c>
      <c r="AC85" s="692">
        <f t="shared" si="6"/>
        <v>0</v>
      </c>
      <c r="AD85" s="692">
        <f t="shared" si="7"/>
        <v>0</v>
      </c>
      <c r="AE85" s="38"/>
      <c r="AF85" s="692">
        <f t="shared" si="8"/>
        <v>0</v>
      </c>
      <c r="AG85" s="692">
        <f t="shared" si="9"/>
        <v>0</v>
      </c>
      <c r="AH85" s="692">
        <f t="shared" si="10"/>
        <v>0</v>
      </c>
    </row>
    <row r="86" spans="1:34">
      <c r="A86" s="21" t="s">
        <v>109</v>
      </c>
      <c r="B86" s="21" t="s">
        <v>110</v>
      </c>
      <c r="C86" s="666"/>
      <c r="D86" s="68" t="s">
        <v>319</v>
      </c>
      <c r="E86" s="679"/>
      <c r="F86" s="529">
        <f>VLOOKUP(D86,'Q3 DMV -  Revenue'!D:T,17,FALSE)</f>
        <v>0</v>
      </c>
      <c r="G86" s="680"/>
      <c r="H86" s="680"/>
      <c r="I86" s="681"/>
      <c r="J86" s="682">
        <f t="shared" si="0"/>
        <v>0</v>
      </c>
      <c r="K86" s="683"/>
      <c r="L86" s="684"/>
      <c r="M86" s="685">
        <v>0</v>
      </c>
      <c r="N86" s="683">
        <v>0</v>
      </c>
      <c r="O86" s="686">
        <v>519.91</v>
      </c>
      <c r="P86" s="683">
        <v>0</v>
      </c>
      <c r="Q86" s="687">
        <f t="shared" si="1"/>
        <v>0</v>
      </c>
      <c r="R86" s="688"/>
      <c r="S86" s="693"/>
      <c r="T86" s="690" t="str">
        <f t="shared" si="11"/>
        <v/>
      </c>
      <c r="U86" s="697"/>
      <c r="V86" s="474">
        <f t="shared" si="2"/>
        <v>0</v>
      </c>
      <c r="W86" s="474">
        <f t="shared" ref="W86:W152" si="50">IF(B86="M",Q86,0)</f>
        <v>0</v>
      </c>
      <c r="X86" s="475">
        <f t="shared" ref="X86:X152" si="51">IF(B86="V",Q86,0)</f>
        <v>0</v>
      </c>
      <c r="Y86" s="475">
        <v>0</v>
      </c>
      <c r="Z86" s="476">
        <v>0</v>
      </c>
      <c r="AA86" s="38">
        <f t="shared" si="12"/>
        <v>0</v>
      </c>
      <c r="AB86" s="692">
        <f t="shared" ref="AB86:AB152" si="52">IF(B86="D",J86,0)</f>
        <v>0</v>
      </c>
      <c r="AC86" s="692">
        <f t="shared" ref="AC86:AC152" si="53">IF(B86="M",J86,0)</f>
        <v>0</v>
      </c>
      <c r="AD86" s="692">
        <f t="shared" ref="AD86:AD152" si="54">IF(B86="V",J86,0)</f>
        <v>0</v>
      </c>
      <c r="AE86" s="38"/>
      <c r="AF86" s="692">
        <f t="shared" ref="AF86:AF152" si="55">IF(B86="D",Q86,0)</f>
        <v>0</v>
      </c>
      <c r="AG86" s="692">
        <f t="shared" ref="AG86:AG152" si="56">IF(B86="M",Q86,0)</f>
        <v>0</v>
      </c>
      <c r="AH86" s="692">
        <f t="shared" ref="AH86:AH152" si="57">IF(B86="V",Q86,0)</f>
        <v>0</v>
      </c>
    </row>
    <row r="87" spans="1:34">
      <c r="A87" s="20" t="s">
        <v>211</v>
      </c>
      <c r="B87" s="20" t="s">
        <v>109</v>
      </c>
      <c r="C87" s="667"/>
      <c r="D87" s="68" t="s">
        <v>14</v>
      </c>
      <c r="E87" s="679">
        <v>88.86</v>
      </c>
      <c r="F87" s="529">
        <f>VLOOKUP(D87,'Q3 DMV -  Revenue'!D:T,17,FALSE)</f>
        <v>0</v>
      </c>
      <c r="G87" s="680"/>
      <c r="H87" s="680"/>
      <c r="I87" s="681"/>
      <c r="J87" s="682">
        <f t="shared" ref="J87:J160" si="58">SUM(E87:I87)</f>
        <v>88.86</v>
      </c>
      <c r="K87" s="683"/>
      <c r="L87" s="684"/>
      <c r="M87" s="685">
        <v>0</v>
      </c>
      <c r="N87" s="683">
        <v>0</v>
      </c>
      <c r="O87" s="686">
        <v>88.86</v>
      </c>
      <c r="P87" s="683">
        <v>0</v>
      </c>
      <c r="Q87" s="687">
        <f t="shared" si="1"/>
        <v>0</v>
      </c>
      <c r="R87" s="688">
        <v>47.67</v>
      </c>
      <c r="S87" s="693"/>
      <c r="T87" s="690">
        <f t="shared" si="11"/>
        <v>47.67</v>
      </c>
      <c r="U87" s="683"/>
      <c r="V87" s="474">
        <f t="shared" ref="V87:V153" si="59">IF(B87="D",Q87,0)</f>
        <v>0</v>
      </c>
      <c r="W87" s="474">
        <f t="shared" si="50"/>
        <v>0</v>
      </c>
      <c r="X87" s="475">
        <f t="shared" si="51"/>
        <v>0</v>
      </c>
      <c r="Y87" s="475">
        <v>0</v>
      </c>
      <c r="Z87" s="476">
        <v>0</v>
      </c>
      <c r="AA87" s="38">
        <f t="shared" ref="AA87:AA153" si="60">(L87+M87)-(V87+W87+X87+Y87+Z87)</f>
        <v>0</v>
      </c>
      <c r="AB87" s="692">
        <f t="shared" si="52"/>
        <v>0</v>
      </c>
      <c r="AC87" s="692">
        <f t="shared" si="53"/>
        <v>88.86</v>
      </c>
      <c r="AD87" s="692">
        <f t="shared" si="54"/>
        <v>0</v>
      </c>
      <c r="AE87" s="38"/>
      <c r="AF87" s="692">
        <f t="shared" si="55"/>
        <v>0</v>
      </c>
      <c r="AG87" s="692">
        <f t="shared" si="56"/>
        <v>0</v>
      </c>
      <c r="AH87" s="692">
        <f t="shared" si="57"/>
        <v>0</v>
      </c>
    </row>
    <row r="88" spans="1:34">
      <c r="A88" s="20"/>
      <c r="B88" s="20" t="s">
        <v>110</v>
      </c>
      <c r="C88" s="667"/>
      <c r="D88" s="68" t="s">
        <v>15</v>
      </c>
      <c r="E88" s="679"/>
      <c r="F88" s="529">
        <f>VLOOKUP(D88,'Q3 DMV -  Revenue'!D:T,17,FALSE)</f>
        <v>0</v>
      </c>
      <c r="G88" s="694">
        <v>9898.14</v>
      </c>
      <c r="H88" s="694">
        <v>9795.61</v>
      </c>
      <c r="I88" s="741">
        <v>11940.81</v>
      </c>
      <c r="J88" s="682">
        <f t="shared" si="58"/>
        <v>31634.559999999998</v>
      </c>
      <c r="K88" s="683"/>
      <c r="L88" s="684"/>
      <c r="M88" s="685">
        <v>0</v>
      </c>
      <c r="N88" s="683">
        <v>0</v>
      </c>
      <c r="O88" s="686">
        <v>31634.560000000001</v>
      </c>
      <c r="P88" s="683">
        <v>0</v>
      </c>
      <c r="Q88" s="687">
        <f t="shared" si="1"/>
        <v>0</v>
      </c>
      <c r="R88" s="688"/>
      <c r="S88" s="693"/>
      <c r="T88" s="690" t="str">
        <f t="shared" ref="T88:T161" si="61">IF(R88="","",R88-Q88)</f>
        <v/>
      </c>
      <c r="U88" s="683"/>
      <c r="V88" s="474">
        <f t="shared" si="59"/>
        <v>0</v>
      </c>
      <c r="W88" s="474">
        <f t="shared" si="50"/>
        <v>0</v>
      </c>
      <c r="X88" s="475">
        <f t="shared" si="51"/>
        <v>0</v>
      </c>
      <c r="Y88" s="475">
        <v>0</v>
      </c>
      <c r="Z88" s="476">
        <v>0</v>
      </c>
      <c r="AA88" s="38">
        <f t="shared" si="60"/>
        <v>0</v>
      </c>
      <c r="AB88" s="692">
        <f t="shared" si="52"/>
        <v>31634.559999999998</v>
      </c>
      <c r="AC88" s="692">
        <f t="shared" si="53"/>
        <v>0</v>
      </c>
      <c r="AD88" s="692">
        <f t="shared" si="54"/>
        <v>0</v>
      </c>
      <c r="AE88" s="38"/>
      <c r="AF88" s="692">
        <f t="shared" si="55"/>
        <v>0</v>
      </c>
      <c r="AG88" s="692">
        <f t="shared" si="56"/>
        <v>0</v>
      </c>
      <c r="AH88" s="692">
        <f t="shared" si="57"/>
        <v>0</v>
      </c>
    </row>
    <row r="89" spans="1:34">
      <c r="A89" s="20" t="s">
        <v>109</v>
      </c>
      <c r="B89" s="20" t="s">
        <v>109</v>
      </c>
      <c r="C89" s="667" t="s">
        <v>539</v>
      </c>
      <c r="D89" s="68" t="s">
        <v>510</v>
      </c>
      <c r="E89" s="679"/>
      <c r="F89" s="529">
        <f>VLOOKUP(D89,'Q3 DMV -  Revenue'!D:T,17,FALSE)</f>
        <v>-245.54</v>
      </c>
      <c r="G89" s="680"/>
      <c r="H89" s="680"/>
      <c r="I89" s="681"/>
      <c r="J89" s="682">
        <f t="shared" si="58"/>
        <v>-245.54</v>
      </c>
      <c r="K89" s="683"/>
      <c r="L89" s="684"/>
      <c r="M89" s="685">
        <v>0</v>
      </c>
      <c r="N89" s="683">
        <v>0</v>
      </c>
      <c r="O89" s="686">
        <v>-245.54</v>
      </c>
      <c r="P89" s="683">
        <v>0</v>
      </c>
      <c r="Q89" s="687">
        <f t="shared" si="1"/>
        <v>0</v>
      </c>
      <c r="R89" s="688"/>
      <c r="S89" s="693"/>
      <c r="T89" s="690" t="str">
        <f t="shared" si="61"/>
        <v/>
      </c>
      <c r="U89" s="683"/>
      <c r="V89" s="474">
        <f t="shared" si="59"/>
        <v>0</v>
      </c>
      <c r="W89" s="474">
        <f t="shared" si="50"/>
        <v>0</v>
      </c>
      <c r="X89" s="475">
        <f t="shared" si="51"/>
        <v>0</v>
      </c>
      <c r="Y89" s="475">
        <v>0</v>
      </c>
      <c r="Z89" s="476">
        <v>0</v>
      </c>
      <c r="AA89" s="38">
        <f t="shared" si="60"/>
        <v>0</v>
      </c>
      <c r="AB89" s="692">
        <f t="shared" si="52"/>
        <v>0</v>
      </c>
      <c r="AC89" s="692">
        <f t="shared" si="53"/>
        <v>-245.54</v>
      </c>
      <c r="AD89" s="692">
        <f t="shared" si="54"/>
        <v>0</v>
      </c>
      <c r="AE89" s="38"/>
      <c r="AF89" s="692">
        <f t="shared" si="55"/>
        <v>0</v>
      </c>
      <c r="AG89" s="692">
        <f t="shared" si="56"/>
        <v>0</v>
      </c>
      <c r="AH89" s="692">
        <f t="shared" si="57"/>
        <v>0</v>
      </c>
    </row>
    <row r="90" spans="1:34">
      <c r="A90" s="20"/>
      <c r="B90" s="20" t="s">
        <v>109</v>
      </c>
      <c r="C90" s="667"/>
      <c r="D90" s="68" t="s">
        <v>16</v>
      </c>
      <c r="E90" s="679"/>
      <c r="F90" s="529">
        <f>VLOOKUP(D90,'Q3 DMV -  Revenue'!D:T,17,FALSE)</f>
        <v>0</v>
      </c>
      <c r="G90" s="680"/>
      <c r="H90" s="680"/>
      <c r="I90" s="681"/>
      <c r="J90" s="682">
        <f t="shared" si="58"/>
        <v>0</v>
      </c>
      <c r="K90" s="683"/>
      <c r="L90" s="684"/>
      <c r="M90" s="685">
        <v>0</v>
      </c>
      <c r="N90" s="683">
        <v>0</v>
      </c>
      <c r="O90" s="686"/>
      <c r="P90" s="683">
        <v>0</v>
      </c>
      <c r="Q90" s="687">
        <f t="shared" si="1"/>
        <v>0</v>
      </c>
      <c r="R90" s="688"/>
      <c r="S90" s="693"/>
      <c r="T90" s="690" t="str">
        <f t="shared" si="61"/>
        <v/>
      </c>
      <c r="U90" s="683"/>
      <c r="V90" s="474">
        <f t="shared" si="59"/>
        <v>0</v>
      </c>
      <c r="W90" s="474">
        <f t="shared" si="50"/>
        <v>0</v>
      </c>
      <c r="X90" s="475">
        <f t="shared" si="51"/>
        <v>0</v>
      </c>
      <c r="Y90" s="475">
        <v>0</v>
      </c>
      <c r="Z90" s="476">
        <v>0</v>
      </c>
      <c r="AA90" s="38">
        <f t="shared" si="60"/>
        <v>0</v>
      </c>
      <c r="AB90" s="692">
        <f t="shared" si="52"/>
        <v>0</v>
      </c>
      <c r="AC90" s="692">
        <f t="shared" si="53"/>
        <v>0</v>
      </c>
      <c r="AD90" s="692">
        <f t="shared" si="54"/>
        <v>0</v>
      </c>
      <c r="AE90" s="38"/>
      <c r="AF90" s="692">
        <f t="shared" si="55"/>
        <v>0</v>
      </c>
      <c r="AG90" s="692">
        <f t="shared" si="56"/>
        <v>0</v>
      </c>
      <c r="AH90" s="692">
        <f t="shared" si="57"/>
        <v>0</v>
      </c>
    </row>
    <row r="91" spans="1:34">
      <c r="A91" s="20"/>
      <c r="B91" s="20" t="s">
        <v>109</v>
      </c>
      <c r="C91" s="667"/>
      <c r="D91" s="68" t="s">
        <v>208</v>
      </c>
      <c r="E91" s="679"/>
      <c r="F91" s="529">
        <f>VLOOKUP(D91,'Q3 DMV -  Revenue'!D:T,17,FALSE)</f>
        <v>0</v>
      </c>
      <c r="G91" s="680"/>
      <c r="H91" s="680"/>
      <c r="I91" s="681"/>
      <c r="J91" s="682">
        <f t="shared" si="58"/>
        <v>0</v>
      </c>
      <c r="K91" s="683"/>
      <c r="L91" s="684"/>
      <c r="M91" s="685">
        <v>0</v>
      </c>
      <c r="N91" s="683">
        <v>0</v>
      </c>
      <c r="O91" s="686"/>
      <c r="P91" s="683">
        <v>0</v>
      </c>
      <c r="Q91" s="687">
        <f t="shared" si="1"/>
        <v>0</v>
      </c>
      <c r="R91" s="688"/>
      <c r="S91" s="693"/>
      <c r="T91" s="690" t="str">
        <f t="shared" si="61"/>
        <v/>
      </c>
      <c r="U91" s="683"/>
      <c r="V91" s="474">
        <f t="shared" si="59"/>
        <v>0</v>
      </c>
      <c r="W91" s="474">
        <f t="shared" si="50"/>
        <v>0</v>
      </c>
      <c r="X91" s="475">
        <f t="shared" si="51"/>
        <v>0</v>
      </c>
      <c r="Y91" s="475">
        <v>0</v>
      </c>
      <c r="Z91" s="476">
        <v>0</v>
      </c>
      <c r="AA91" s="38">
        <f t="shared" si="60"/>
        <v>0</v>
      </c>
      <c r="AB91" s="692">
        <f t="shared" si="52"/>
        <v>0</v>
      </c>
      <c r="AC91" s="692">
        <f t="shared" si="53"/>
        <v>0</v>
      </c>
      <c r="AD91" s="692">
        <f t="shared" si="54"/>
        <v>0</v>
      </c>
      <c r="AE91" s="38"/>
      <c r="AF91" s="692">
        <f t="shared" si="55"/>
        <v>0</v>
      </c>
      <c r="AG91" s="692">
        <f t="shared" si="56"/>
        <v>0</v>
      </c>
      <c r="AH91" s="692">
        <f t="shared" si="57"/>
        <v>0</v>
      </c>
    </row>
    <row r="92" spans="1:34">
      <c r="A92" s="20"/>
      <c r="B92" s="20" t="s">
        <v>110</v>
      </c>
      <c r="C92" s="667"/>
      <c r="D92" s="68" t="s">
        <v>597</v>
      </c>
      <c r="E92" s="679"/>
      <c r="F92" s="529">
        <f>VLOOKUP(D92,'Q3 DMV -  Revenue'!D:T,17,FALSE)</f>
        <v>0</v>
      </c>
      <c r="G92" s="694">
        <v>566.29999999999995</v>
      </c>
      <c r="H92" s="694">
        <v>17831.09</v>
      </c>
      <c r="I92" s="743">
        <f>94692.11+462.7</f>
        <v>95154.81</v>
      </c>
      <c r="J92" s="682">
        <f t="shared" si="58"/>
        <v>113552.2</v>
      </c>
      <c r="K92" s="683"/>
      <c r="L92" s="684"/>
      <c r="M92" s="685">
        <v>0</v>
      </c>
      <c r="N92" s="683">
        <v>0</v>
      </c>
      <c r="O92" s="686">
        <v>113552.2</v>
      </c>
      <c r="P92" s="683">
        <v>0</v>
      </c>
      <c r="Q92" s="687">
        <f t="shared" si="1"/>
        <v>0</v>
      </c>
      <c r="R92" s="688"/>
      <c r="S92" s="693"/>
      <c r="T92" s="690" t="str">
        <f t="shared" si="61"/>
        <v/>
      </c>
      <c r="U92" s="683"/>
      <c r="V92" s="474">
        <f t="shared" si="59"/>
        <v>0</v>
      </c>
      <c r="W92" s="474">
        <f t="shared" si="50"/>
        <v>0</v>
      </c>
      <c r="X92" s="475">
        <f t="shared" si="51"/>
        <v>0</v>
      </c>
      <c r="Y92" s="475">
        <v>0</v>
      </c>
      <c r="Z92" s="476">
        <v>0</v>
      </c>
      <c r="AA92" s="38">
        <f t="shared" si="60"/>
        <v>0</v>
      </c>
      <c r="AB92" s="692">
        <f t="shared" si="52"/>
        <v>113552.2</v>
      </c>
      <c r="AC92" s="692">
        <f t="shared" si="53"/>
        <v>0</v>
      </c>
      <c r="AD92" s="692">
        <f t="shared" si="54"/>
        <v>0</v>
      </c>
      <c r="AE92" s="38"/>
      <c r="AF92" s="692">
        <f t="shared" si="55"/>
        <v>0</v>
      </c>
      <c r="AG92" s="692">
        <f t="shared" si="56"/>
        <v>0</v>
      </c>
      <c r="AH92" s="692">
        <f t="shared" si="57"/>
        <v>0</v>
      </c>
    </row>
    <row r="93" spans="1:34" s="232" customFormat="1">
      <c r="A93" s="283"/>
      <c r="B93" s="283" t="s">
        <v>109</v>
      </c>
      <c r="C93" s="667" t="s">
        <v>540</v>
      </c>
      <c r="D93" s="373" t="s">
        <v>410</v>
      </c>
      <c r="E93" s="679"/>
      <c r="F93" s="529">
        <f>VLOOKUP(D93,'Q3 DMV -  Revenue'!D:T,17,FALSE)</f>
        <v>-1636.9000000000005</v>
      </c>
      <c r="G93" s="694">
        <v>6204.2</v>
      </c>
      <c r="H93" s="694">
        <v>5759.5</v>
      </c>
      <c r="I93" s="741">
        <v>5249.7</v>
      </c>
      <c r="J93" s="682">
        <f t="shared" si="58"/>
        <v>15576.5</v>
      </c>
      <c r="K93" s="683"/>
      <c r="L93" s="684"/>
      <c r="M93" s="685">
        <v>0</v>
      </c>
      <c r="N93" s="683">
        <v>0</v>
      </c>
      <c r="O93" s="686">
        <v>17795.32</v>
      </c>
      <c r="P93" s="683">
        <v>0</v>
      </c>
      <c r="Q93" s="687">
        <f t="shared" si="1"/>
        <v>0</v>
      </c>
      <c r="R93" s="688"/>
      <c r="S93" s="693"/>
      <c r="T93" s="690" t="str">
        <f t="shared" si="61"/>
        <v/>
      </c>
      <c r="U93" s="683"/>
      <c r="V93" s="474">
        <f t="shared" si="59"/>
        <v>0</v>
      </c>
      <c r="W93" s="474">
        <f t="shared" si="50"/>
        <v>0</v>
      </c>
      <c r="X93" s="475">
        <f t="shared" si="51"/>
        <v>0</v>
      </c>
      <c r="Y93" s="475">
        <v>0</v>
      </c>
      <c r="Z93" s="476">
        <v>0</v>
      </c>
      <c r="AA93" s="38">
        <f t="shared" si="60"/>
        <v>0</v>
      </c>
      <c r="AB93" s="692">
        <f t="shared" si="52"/>
        <v>0</v>
      </c>
      <c r="AC93" s="692">
        <f t="shared" si="53"/>
        <v>15576.5</v>
      </c>
      <c r="AD93" s="692">
        <f t="shared" si="54"/>
        <v>0</v>
      </c>
      <c r="AE93" s="38"/>
      <c r="AF93" s="692">
        <f t="shared" si="55"/>
        <v>0</v>
      </c>
      <c r="AG93" s="692">
        <f t="shared" si="56"/>
        <v>0</v>
      </c>
      <c r="AH93" s="692">
        <f t="shared" si="57"/>
        <v>0</v>
      </c>
    </row>
    <row r="94" spans="1:34" s="232" customFormat="1">
      <c r="A94" s="283"/>
      <c r="B94" s="283" t="s">
        <v>109</v>
      </c>
      <c r="C94" s="667" t="s">
        <v>540</v>
      </c>
      <c r="D94" s="373" t="s">
        <v>413</v>
      </c>
      <c r="E94" s="679"/>
      <c r="F94" s="529">
        <f>VLOOKUP(D94,'Q3 DMV -  Revenue'!D:T,17,FALSE)</f>
        <v>-193.75999999999976</v>
      </c>
      <c r="G94" s="694">
        <v>876.36</v>
      </c>
      <c r="H94" s="694">
        <v>828.99</v>
      </c>
      <c r="I94" s="741">
        <v>707.23</v>
      </c>
      <c r="J94" s="682">
        <f t="shared" si="58"/>
        <v>2218.8200000000002</v>
      </c>
      <c r="K94" s="683"/>
      <c r="L94" s="684"/>
      <c r="M94" s="685">
        <v>0</v>
      </c>
      <c r="N94" s="683">
        <v>0</v>
      </c>
      <c r="O94" s="686"/>
      <c r="P94" s="683">
        <v>0</v>
      </c>
      <c r="Q94" s="687">
        <f t="shared" si="1"/>
        <v>0</v>
      </c>
      <c r="R94" s="688"/>
      <c r="S94" s="693"/>
      <c r="T94" s="690" t="str">
        <f t="shared" si="61"/>
        <v/>
      </c>
      <c r="U94" s="683"/>
      <c r="V94" s="474">
        <f t="shared" si="59"/>
        <v>0</v>
      </c>
      <c r="W94" s="474">
        <f t="shared" si="50"/>
        <v>0</v>
      </c>
      <c r="X94" s="475">
        <f t="shared" si="51"/>
        <v>0</v>
      </c>
      <c r="Y94" s="475">
        <v>0</v>
      </c>
      <c r="Z94" s="476">
        <v>0</v>
      </c>
      <c r="AA94" s="38">
        <f t="shared" si="60"/>
        <v>0</v>
      </c>
      <c r="AB94" s="692">
        <f t="shared" si="52"/>
        <v>0</v>
      </c>
      <c r="AC94" s="692">
        <f t="shared" si="53"/>
        <v>2218.8200000000002</v>
      </c>
      <c r="AD94" s="692">
        <f t="shared" si="54"/>
        <v>0</v>
      </c>
      <c r="AE94" s="38"/>
      <c r="AF94" s="692">
        <f t="shared" si="55"/>
        <v>0</v>
      </c>
      <c r="AG94" s="692">
        <f t="shared" si="56"/>
        <v>0</v>
      </c>
      <c r="AH94" s="692">
        <f t="shared" si="57"/>
        <v>0</v>
      </c>
    </row>
    <row r="95" spans="1:34" s="232" customFormat="1">
      <c r="A95" s="283"/>
      <c r="B95" s="283" t="s">
        <v>109</v>
      </c>
      <c r="C95" s="667" t="s">
        <v>540</v>
      </c>
      <c r="D95" s="373" t="s">
        <v>620</v>
      </c>
      <c r="E95" s="679"/>
      <c r="F95" s="529"/>
      <c r="G95" s="680"/>
      <c r="H95" s="680"/>
      <c r="I95" s="681"/>
      <c r="J95" s="682">
        <v>0</v>
      </c>
      <c r="K95" s="683"/>
      <c r="L95" s="684"/>
      <c r="M95" s="685">
        <v>0</v>
      </c>
      <c r="N95" s="683"/>
      <c r="O95" s="686"/>
      <c r="P95" s="683"/>
      <c r="Q95" s="687">
        <f t="shared" si="1"/>
        <v>0</v>
      </c>
      <c r="R95" s="688">
        <v>279.02</v>
      </c>
      <c r="S95" s="693"/>
      <c r="T95" s="690">
        <f t="shared" si="61"/>
        <v>279.02</v>
      </c>
      <c r="U95" s="683"/>
      <c r="V95" s="474">
        <f t="shared" si="59"/>
        <v>0</v>
      </c>
      <c r="W95" s="474">
        <f t="shared" si="50"/>
        <v>0</v>
      </c>
      <c r="X95" s="475">
        <f t="shared" si="51"/>
        <v>0</v>
      </c>
      <c r="Y95" s="475"/>
      <c r="Z95" s="476"/>
      <c r="AA95" s="38"/>
      <c r="AB95" s="692"/>
      <c r="AC95" s="692"/>
      <c r="AD95" s="692"/>
      <c r="AE95" s="38"/>
      <c r="AF95" s="692">
        <f t="shared" si="55"/>
        <v>0</v>
      </c>
      <c r="AG95" s="692">
        <f t="shared" si="56"/>
        <v>0</v>
      </c>
      <c r="AH95" s="692">
        <f t="shared" si="57"/>
        <v>0</v>
      </c>
    </row>
    <row r="96" spans="1:34">
      <c r="A96" s="20"/>
      <c r="B96" s="20" t="s">
        <v>110</v>
      </c>
      <c r="C96" s="667" t="s">
        <v>541</v>
      </c>
      <c r="D96" s="351" t="s">
        <v>507</v>
      </c>
      <c r="E96" s="679">
        <f>26.23+151.67+303.41+194.2</f>
        <v>675.51</v>
      </c>
      <c r="F96" s="529">
        <f>VLOOKUP(D96,'Q3 DMV -  Revenue'!D:T,17,FALSE)</f>
        <v>-395.57499999999993</v>
      </c>
      <c r="G96" s="694">
        <v>207.62</v>
      </c>
      <c r="H96" s="694">
        <v>377.56</v>
      </c>
      <c r="I96" s="741">
        <v>357.33</v>
      </c>
      <c r="J96" s="682">
        <f t="shared" si="58"/>
        <v>1222.4449999999999</v>
      </c>
      <c r="K96" s="683"/>
      <c r="L96" s="684"/>
      <c r="M96" s="685">
        <v>0</v>
      </c>
      <c r="N96" s="683">
        <v>0</v>
      </c>
      <c r="O96" s="686">
        <f>1748.43+1749.6</f>
        <v>3498.0299999999997</v>
      </c>
      <c r="P96" s="683">
        <v>0</v>
      </c>
      <c r="Q96" s="687">
        <f t="shared" si="1"/>
        <v>0</v>
      </c>
      <c r="R96" s="688"/>
      <c r="S96" s="693"/>
      <c r="T96" s="690" t="str">
        <f t="shared" si="61"/>
        <v/>
      </c>
      <c r="U96" s="683"/>
      <c r="V96" s="474">
        <f t="shared" si="59"/>
        <v>0</v>
      </c>
      <c r="W96" s="474">
        <f t="shared" si="50"/>
        <v>0</v>
      </c>
      <c r="X96" s="475">
        <f t="shared" si="51"/>
        <v>0</v>
      </c>
      <c r="Y96" s="475">
        <v>0</v>
      </c>
      <c r="Z96" s="476">
        <v>0</v>
      </c>
      <c r="AA96" s="38">
        <f t="shared" si="60"/>
        <v>0</v>
      </c>
      <c r="AB96" s="692">
        <f t="shared" si="52"/>
        <v>1222.4449999999999</v>
      </c>
      <c r="AC96" s="692">
        <f t="shared" si="53"/>
        <v>0</v>
      </c>
      <c r="AD96" s="692">
        <f t="shared" si="54"/>
        <v>0</v>
      </c>
      <c r="AE96" s="38"/>
      <c r="AF96" s="692">
        <f t="shared" si="55"/>
        <v>0</v>
      </c>
      <c r="AG96" s="692">
        <f t="shared" si="56"/>
        <v>0</v>
      </c>
      <c r="AH96" s="692">
        <f t="shared" si="57"/>
        <v>0</v>
      </c>
    </row>
    <row r="97" spans="1:34">
      <c r="A97" s="20"/>
      <c r="B97" s="20" t="s">
        <v>110</v>
      </c>
      <c r="C97" s="667" t="s">
        <v>541</v>
      </c>
      <c r="D97" s="351" t="s">
        <v>506</v>
      </c>
      <c r="E97" s="679">
        <f>74.98+530.47+581.97+447.03</f>
        <v>1634.45</v>
      </c>
      <c r="F97" s="529">
        <f>VLOOKUP(D97,'Q3 DMV -  Revenue'!D:T,17,FALSE)</f>
        <v>-710.66000000000008</v>
      </c>
      <c r="G97" s="694">
        <v>337.09</v>
      </c>
      <c r="H97" s="694">
        <v>515.86</v>
      </c>
      <c r="I97" s="741">
        <v>498.85</v>
      </c>
      <c r="J97" s="682">
        <f t="shared" si="58"/>
        <v>2275.5899999999997</v>
      </c>
      <c r="K97" s="683"/>
      <c r="L97" s="684"/>
      <c r="M97" s="685">
        <v>0</v>
      </c>
      <c r="N97" s="683">
        <v>0</v>
      </c>
      <c r="O97" s="686"/>
      <c r="P97" s="683">
        <v>0</v>
      </c>
      <c r="Q97" s="687">
        <f t="shared" si="1"/>
        <v>0</v>
      </c>
      <c r="R97" s="688"/>
      <c r="S97" s="693"/>
      <c r="T97" s="690" t="str">
        <f t="shared" si="61"/>
        <v/>
      </c>
      <c r="U97" s="683"/>
      <c r="V97" s="474">
        <f t="shared" si="59"/>
        <v>0</v>
      </c>
      <c r="W97" s="474">
        <f t="shared" si="50"/>
        <v>0</v>
      </c>
      <c r="X97" s="475">
        <f t="shared" si="51"/>
        <v>0</v>
      </c>
      <c r="Y97" s="475">
        <v>0</v>
      </c>
      <c r="Z97" s="476">
        <v>0</v>
      </c>
      <c r="AA97" s="38">
        <f t="shared" si="60"/>
        <v>0</v>
      </c>
      <c r="AB97" s="692">
        <f t="shared" si="52"/>
        <v>2275.5899999999997</v>
      </c>
      <c r="AC97" s="692">
        <f t="shared" si="53"/>
        <v>0</v>
      </c>
      <c r="AD97" s="692">
        <f t="shared" si="54"/>
        <v>0</v>
      </c>
      <c r="AE97" s="38"/>
      <c r="AF97" s="692">
        <f t="shared" si="55"/>
        <v>0</v>
      </c>
      <c r="AG97" s="692">
        <f t="shared" si="56"/>
        <v>0</v>
      </c>
      <c r="AH97" s="692">
        <f t="shared" si="57"/>
        <v>0</v>
      </c>
    </row>
    <row r="98" spans="1:34">
      <c r="A98" s="20"/>
      <c r="B98" s="20" t="s">
        <v>110</v>
      </c>
      <c r="C98" s="667"/>
      <c r="D98" s="351" t="s">
        <v>409</v>
      </c>
      <c r="E98" s="679"/>
      <c r="F98" s="529" t="str">
        <f>VLOOKUP(D98,'Q3 DMV -  Revenue'!D:T,17,FALSE)</f>
        <v/>
      </c>
      <c r="G98" s="680"/>
      <c r="H98" s="680"/>
      <c r="I98" s="681"/>
      <c r="J98" s="682">
        <f t="shared" si="58"/>
        <v>0</v>
      </c>
      <c r="K98" s="683"/>
      <c r="L98" s="684"/>
      <c r="M98" s="685">
        <v>0</v>
      </c>
      <c r="N98" s="683">
        <v>0</v>
      </c>
      <c r="O98" s="686"/>
      <c r="P98" s="683">
        <v>0</v>
      </c>
      <c r="Q98" s="687">
        <f t="shared" si="1"/>
        <v>0</v>
      </c>
      <c r="R98" s="688"/>
      <c r="S98" s="693"/>
      <c r="T98" s="690" t="str">
        <f t="shared" si="61"/>
        <v/>
      </c>
      <c r="U98" s="683"/>
      <c r="V98" s="474">
        <f t="shared" si="59"/>
        <v>0</v>
      </c>
      <c r="W98" s="474">
        <f t="shared" si="50"/>
        <v>0</v>
      </c>
      <c r="X98" s="475">
        <f t="shared" si="51"/>
        <v>0</v>
      </c>
      <c r="Y98" s="475">
        <v>0</v>
      </c>
      <c r="Z98" s="476">
        <v>0</v>
      </c>
      <c r="AA98" s="38">
        <f t="shared" si="60"/>
        <v>0</v>
      </c>
      <c r="AB98" s="692">
        <f t="shared" si="52"/>
        <v>0</v>
      </c>
      <c r="AC98" s="692">
        <f t="shared" si="53"/>
        <v>0</v>
      </c>
      <c r="AD98" s="692">
        <f t="shared" si="54"/>
        <v>0</v>
      </c>
      <c r="AE98" s="38"/>
      <c r="AF98" s="692">
        <f t="shared" si="55"/>
        <v>0</v>
      </c>
      <c r="AG98" s="692">
        <f t="shared" si="56"/>
        <v>0</v>
      </c>
      <c r="AH98" s="692">
        <f t="shared" si="57"/>
        <v>0</v>
      </c>
    </row>
    <row r="99" spans="1:34">
      <c r="A99" s="20"/>
      <c r="B99" s="20" t="s">
        <v>110</v>
      </c>
      <c r="C99" s="667" t="s">
        <v>542</v>
      </c>
      <c r="D99" s="68" t="s">
        <v>305</v>
      </c>
      <c r="E99" s="679"/>
      <c r="F99" s="529">
        <f>VLOOKUP(D99,'Q3 DMV -  Revenue'!D:T,17,FALSE)</f>
        <v>-361.51000000000005</v>
      </c>
      <c r="G99" s="694">
        <v>214.38</v>
      </c>
      <c r="H99" s="694">
        <v>200.39</v>
      </c>
      <c r="I99" s="741">
        <v>356.54</v>
      </c>
      <c r="J99" s="682">
        <f t="shared" si="58"/>
        <v>409.79999999999995</v>
      </c>
      <c r="K99" s="683"/>
      <c r="L99" s="684"/>
      <c r="M99" s="685">
        <v>0</v>
      </c>
      <c r="N99" s="683">
        <v>0</v>
      </c>
      <c r="O99" s="686">
        <v>409.8</v>
      </c>
      <c r="P99" s="683">
        <v>0</v>
      </c>
      <c r="Q99" s="687">
        <f t="shared" si="1"/>
        <v>0</v>
      </c>
      <c r="R99" s="688"/>
      <c r="S99" s="693"/>
      <c r="T99" s="690" t="str">
        <f t="shared" si="61"/>
        <v/>
      </c>
      <c r="U99" s="683"/>
      <c r="V99" s="474">
        <f t="shared" si="59"/>
        <v>0</v>
      </c>
      <c r="W99" s="474">
        <f t="shared" si="50"/>
        <v>0</v>
      </c>
      <c r="X99" s="475">
        <f t="shared" si="51"/>
        <v>0</v>
      </c>
      <c r="Y99" s="475">
        <v>0</v>
      </c>
      <c r="Z99" s="476">
        <v>0</v>
      </c>
      <c r="AA99" s="38">
        <f t="shared" si="60"/>
        <v>0</v>
      </c>
      <c r="AB99" s="692">
        <f t="shared" si="52"/>
        <v>409.79999999999995</v>
      </c>
      <c r="AC99" s="692">
        <f t="shared" si="53"/>
        <v>0</v>
      </c>
      <c r="AD99" s="692">
        <f t="shared" si="54"/>
        <v>0</v>
      </c>
      <c r="AE99" s="38"/>
      <c r="AF99" s="692">
        <f t="shared" si="55"/>
        <v>0</v>
      </c>
      <c r="AG99" s="692">
        <f t="shared" si="56"/>
        <v>0</v>
      </c>
      <c r="AH99" s="692">
        <f t="shared" si="57"/>
        <v>0</v>
      </c>
    </row>
    <row r="100" spans="1:34">
      <c r="A100" s="20"/>
      <c r="B100" s="20" t="s">
        <v>110</v>
      </c>
      <c r="C100" s="667" t="s">
        <v>543</v>
      </c>
      <c r="D100" s="68" t="s">
        <v>199</v>
      </c>
      <c r="E100" s="679"/>
      <c r="F100" s="529">
        <f>VLOOKUP(D100,'Q3 DMV -  Revenue'!D:T,17,FALSE)</f>
        <v>36.820000000000007</v>
      </c>
      <c r="G100" s="694">
        <v>102.44</v>
      </c>
      <c r="H100" s="694">
        <v>17.14</v>
      </c>
      <c r="I100" s="741">
        <v>12.7</v>
      </c>
      <c r="J100" s="682">
        <f t="shared" si="58"/>
        <v>169.09999999999997</v>
      </c>
      <c r="K100" s="683"/>
      <c r="L100" s="684"/>
      <c r="M100" s="685">
        <v>0</v>
      </c>
      <c r="N100" s="683">
        <v>0</v>
      </c>
      <c r="O100" s="686">
        <v>692.9</v>
      </c>
      <c r="P100" s="683">
        <v>0</v>
      </c>
      <c r="Q100" s="687">
        <f t="shared" si="1"/>
        <v>0</v>
      </c>
      <c r="R100" s="688"/>
      <c r="S100" s="693"/>
      <c r="T100" s="690" t="str">
        <f t="shared" si="61"/>
        <v/>
      </c>
      <c r="U100" s="683"/>
      <c r="V100" s="474">
        <f t="shared" si="59"/>
        <v>0</v>
      </c>
      <c r="W100" s="474">
        <f t="shared" si="50"/>
        <v>0</v>
      </c>
      <c r="X100" s="475">
        <f t="shared" si="51"/>
        <v>0</v>
      </c>
      <c r="Y100" s="475">
        <v>0</v>
      </c>
      <c r="Z100" s="476">
        <v>0</v>
      </c>
      <c r="AA100" s="38">
        <f t="shared" si="60"/>
        <v>0</v>
      </c>
      <c r="AB100" s="692">
        <f t="shared" si="52"/>
        <v>169.09999999999997</v>
      </c>
      <c r="AC100" s="692">
        <f t="shared" si="53"/>
        <v>0</v>
      </c>
      <c r="AD100" s="692">
        <f t="shared" si="54"/>
        <v>0</v>
      </c>
      <c r="AE100" s="38"/>
      <c r="AF100" s="692">
        <f t="shared" si="55"/>
        <v>0</v>
      </c>
      <c r="AG100" s="692">
        <f t="shared" si="56"/>
        <v>0</v>
      </c>
      <c r="AH100" s="692">
        <f t="shared" si="57"/>
        <v>0</v>
      </c>
    </row>
    <row r="101" spans="1:34">
      <c r="A101" s="20"/>
      <c r="B101" s="20" t="s">
        <v>110</v>
      </c>
      <c r="C101" s="667" t="s">
        <v>543</v>
      </c>
      <c r="D101" s="68" t="s">
        <v>200</v>
      </c>
      <c r="E101" s="679"/>
      <c r="F101" s="529">
        <f>VLOOKUP(D101,'Q3 DMV -  Revenue'!D:T,17,FALSE)</f>
        <v>-53.899999999999977</v>
      </c>
      <c r="G101" s="694">
        <v>208.6</v>
      </c>
      <c r="H101" s="694">
        <v>88.2</v>
      </c>
      <c r="I101" s="741">
        <v>170.1</v>
      </c>
      <c r="J101" s="682">
        <f t="shared" si="58"/>
        <v>413</v>
      </c>
      <c r="K101" s="683"/>
      <c r="L101" s="684"/>
      <c r="M101" s="685">
        <v>0</v>
      </c>
      <c r="N101" s="683">
        <v>0</v>
      </c>
      <c r="O101" s="686"/>
      <c r="P101" s="683">
        <v>0</v>
      </c>
      <c r="Q101" s="687">
        <f t="shared" si="1"/>
        <v>0</v>
      </c>
      <c r="R101" s="688"/>
      <c r="S101" s="693"/>
      <c r="T101" s="690" t="str">
        <f t="shared" si="61"/>
        <v/>
      </c>
      <c r="U101" s="683"/>
      <c r="V101" s="474">
        <f t="shared" si="59"/>
        <v>0</v>
      </c>
      <c r="W101" s="474">
        <f t="shared" si="50"/>
        <v>0</v>
      </c>
      <c r="X101" s="475">
        <f t="shared" si="51"/>
        <v>0</v>
      </c>
      <c r="Y101" s="475">
        <v>0</v>
      </c>
      <c r="Z101" s="476">
        <v>0</v>
      </c>
      <c r="AA101" s="38">
        <f t="shared" si="60"/>
        <v>0</v>
      </c>
      <c r="AB101" s="692">
        <f t="shared" si="52"/>
        <v>413</v>
      </c>
      <c r="AC101" s="692">
        <f t="shared" si="53"/>
        <v>0</v>
      </c>
      <c r="AD101" s="692">
        <f t="shared" si="54"/>
        <v>0</v>
      </c>
      <c r="AE101" s="38"/>
      <c r="AF101" s="692">
        <f t="shared" si="55"/>
        <v>0</v>
      </c>
      <c r="AG101" s="692">
        <f t="shared" si="56"/>
        <v>0</v>
      </c>
      <c r="AH101" s="692">
        <f t="shared" si="57"/>
        <v>0</v>
      </c>
    </row>
    <row r="102" spans="1:34">
      <c r="A102" s="20"/>
      <c r="B102" s="20" t="s">
        <v>110</v>
      </c>
      <c r="C102" s="667" t="s">
        <v>543</v>
      </c>
      <c r="D102" s="68" t="s">
        <v>201</v>
      </c>
      <c r="E102" s="679"/>
      <c r="F102" s="529">
        <f>VLOOKUP(D102,'Q3 DMV -  Revenue'!D:T,17,FALSE)</f>
        <v>0.71</v>
      </c>
      <c r="G102" s="694">
        <v>57.91</v>
      </c>
      <c r="H102" s="694">
        <v>13.96</v>
      </c>
      <c r="I102" s="741">
        <v>38.22</v>
      </c>
      <c r="J102" s="682">
        <f t="shared" si="58"/>
        <v>110.8</v>
      </c>
      <c r="K102" s="683"/>
      <c r="L102" s="684"/>
      <c r="M102" s="685">
        <v>0</v>
      </c>
      <c r="N102" s="683">
        <v>0</v>
      </c>
      <c r="O102" s="686"/>
      <c r="P102" s="683">
        <v>0</v>
      </c>
      <c r="Q102" s="687">
        <f t="shared" si="1"/>
        <v>0</v>
      </c>
      <c r="R102" s="688"/>
      <c r="S102" s="693"/>
      <c r="T102" s="690" t="str">
        <f t="shared" si="61"/>
        <v/>
      </c>
      <c r="U102" s="683"/>
      <c r="V102" s="474">
        <f t="shared" si="59"/>
        <v>0</v>
      </c>
      <c r="W102" s="474">
        <f t="shared" si="50"/>
        <v>0</v>
      </c>
      <c r="X102" s="475">
        <f t="shared" si="51"/>
        <v>0</v>
      </c>
      <c r="Y102" s="475">
        <v>0</v>
      </c>
      <c r="Z102" s="476">
        <v>0</v>
      </c>
      <c r="AA102" s="38">
        <f t="shared" si="60"/>
        <v>0</v>
      </c>
      <c r="AB102" s="692">
        <f t="shared" si="52"/>
        <v>110.8</v>
      </c>
      <c r="AC102" s="692">
        <f t="shared" si="53"/>
        <v>0</v>
      </c>
      <c r="AD102" s="692">
        <f t="shared" si="54"/>
        <v>0</v>
      </c>
      <c r="AE102" s="38"/>
      <c r="AF102" s="692">
        <f t="shared" si="55"/>
        <v>0</v>
      </c>
      <c r="AG102" s="692">
        <f t="shared" si="56"/>
        <v>0</v>
      </c>
      <c r="AH102" s="692">
        <f t="shared" si="57"/>
        <v>0</v>
      </c>
    </row>
    <row r="103" spans="1:34">
      <c r="A103" s="20"/>
      <c r="B103" s="20" t="s">
        <v>110</v>
      </c>
      <c r="C103" s="667"/>
      <c r="D103" s="68" t="s">
        <v>64</v>
      </c>
      <c r="E103" s="679"/>
      <c r="F103" s="529">
        <f>VLOOKUP(D103,'Q3 DMV -  Revenue'!D:T,17,FALSE)</f>
        <v>0</v>
      </c>
      <c r="G103" s="680"/>
      <c r="H103" s="680"/>
      <c r="I103" s="681"/>
      <c r="J103" s="682">
        <f t="shared" si="58"/>
        <v>0</v>
      </c>
      <c r="K103" s="683"/>
      <c r="L103" s="684"/>
      <c r="M103" s="685">
        <v>0</v>
      </c>
      <c r="N103" s="683">
        <v>0</v>
      </c>
      <c r="O103" s="686"/>
      <c r="P103" s="683">
        <v>0</v>
      </c>
      <c r="Q103" s="687">
        <f t="shared" si="1"/>
        <v>0</v>
      </c>
      <c r="R103" s="688"/>
      <c r="S103" s="693"/>
      <c r="T103" s="690" t="str">
        <f t="shared" si="61"/>
        <v/>
      </c>
      <c r="U103" s="683"/>
      <c r="V103" s="474">
        <f t="shared" si="59"/>
        <v>0</v>
      </c>
      <c r="W103" s="474">
        <f t="shared" si="50"/>
        <v>0</v>
      </c>
      <c r="X103" s="475">
        <f t="shared" si="51"/>
        <v>0</v>
      </c>
      <c r="Y103" s="475">
        <v>0</v>
      </c>
      <c r="Z103" s="476">
        <v>0</v>
      </c>
      <c r="AA103" s="38">
        <f t="shared" si="60"/>
        <v>0</v>
      </c>
      <c r="AB103" s="692">
        <f t="shared" si="52"/>
        <v>0</v>
      </c>
      <c r="AC103" s="692">
        <f t="shared" si="53"/>
        <v>0</v>
      </c>
      <c r="AD103" s="692">
        <f t="shared" si="54"/>
        <v>0</v>
      </c>
      <c r="AE103" s="38"/>
      <c r="AF103" s="692">
        <f t="shared" si="55"/>
        <v>0</v>
      </c>
      <c r="AG103" s="692">
        <f t="shared" si="56"/>
        <v>0</v>
      </c>
      <c r="AH103" s="692">
        <f t="shared" si="57"/>
        <v>0</v>
      </c>
    </row>
    <row r="104" spans="1:34">
      <c r="A104" s="20" t="s">
        <v>211</v>
      </c>
      <c r="B104" s="20" t="s">
        <v>109</v>
      </c>
      <c r="C104" s="667"/>
      <c r="D104" s="68" t="s">
        <v>18</v>
      </c>
      <c r="E104" s="679"/>
      <c r="F104" s="529">
        <f>VLOOKUP(D104,'Q3 DMV -  Revenue'!D:T,17,FALSE)</f>
        <v>0</v>
      </c>
      <c r="G104" s="680"/>
      <c r="H104" s="680"/>
      <c r="I104" s="681"/>
      <c r="J104" s="682">
        <f t="shared" si="58"/>
        <v>0</v>
      </c>
      <c r="K104" s="683"/>
      <c r="L104" s="684"/>
      <c r="M104" s="685">
        <v>0</v>
      </c>
      <c r="N104" s="683">
        <v>0</v>
      </c>
      <c r="O104" s="686"/>
      <c r="P104" s="683">
        <v>0</v>
      </c>
      <c r="Q104" s="687">
        <f t="shared" si="1"/>
        <v>0</v>
      </c>
      <c r="R104" s="688"/>
      <c r="S104" s="693"/>
      <c r="T104" s="690" t="str">
        <f t="shared" si="61"/>
        <v/>
      </c>
      <c r="U104" s="697"/>
      <c r="V104" s="474">
        <f t="shared" si="59"/>
        <v>0</v>
      </c>
      <c r="W104" s="474">
        <f t="shared" si="50"/>
        <v>0</v>
      </c>
      <c r="X104" s="475">
        <f t="shared" si="51"/>
        <v>0</v>
      </c>
      <c r="Y104" s="475">
        <v>0</v>
      </c>
      <c r="Z104" s="476">
        <v>0</v>
      </c>
      <c r="AA104" s="38">
        <f t="shared" si="60"/>
        <v>0</v>
      </c>
      <c r="AB104" s="692">
        <f t="shared" si="52"/>
        <v>0</v>
      </c>
      <c r="AC104" s="692">
        <f t="shared" si="53"/>
        <v>0</v>
      </c>
      <c r="AD104" s="692">
        <f t="shared" si="54"/>
        <v>0</v>
      </c>
      <c r="AE104" s="38"/>
      <c r="AF104" s="692">
        <f t="shared" si="55"/>
        <v>0</v>
      </c>
      <c r="AG104" s="692">
        <f t="shared" si="56"/>
        <v>0</v>
      </c>
      <c r="AH104" s="692">
        <f t="shared" si="57"/>
        <v>0</v>
      </c>
    </row>
    <row r="105" spans="1:34">
      <c r="A105" s="20" t="s">
        <v>97</v>
      </c>
      <c r="B105" s="20" t="s">
        <v>109</v>
      </c>
      <c r="C105" s="667"/>
      <c r="D105" s="68" t="s">
        <v>19</v>
      </c>
      <c r="E105" s="679"/>
      <c r="F105" s="529">
        <f>VLOOKUP(D105,'Q3 DMV -  Revenue'!D:T,17,FALSE)</f>
        <v>0</v>
      </c>
      <c r="G105" s="680"/>
      <c r="H105" s="680"/>
      <c r="I105" s="681"/>
      <c r="J105" s="682">
        <f t="shared" si="58"/>
        <v>0</v>
      </c>
      <c r="K105" s="683"/>
      <c r="L105" s="684"/>
      <c r="M105" s="685">
        <v>0</v>
      </c>
      <c r="N105" s="683">
        <v>0</v>
      </c>
      <c r="O105" s="686"/>
      <c r="P105" s="683">
        <v>0</v>
      </c>
      <c r="Q105" s="687">
        <f t="shared" si="1"/>
        <v>0</v>
      </c>
      <c r="R105" s="688"/>
      <c r="S105" s="693"/>
      <c r="T105" s="690" t="str">
        <f t="shared" si="61"/>
        <v/>
      </c>
      <c r="U105" s="683"/>
      <c r="V105" s="474">
        <f t="shared" si="59"/>
        <v>0</v>
      </c>
      <c r="W105" s="474">
        <f t="shared" si="50"/>
        <v>0</v>
      </c>
      <c r="X105" s="475">
        <f t="shared" si="51"/>
        <v>0</v>
      </c>
      <c r="Y105" s="475">
        <v>0</v>
      </c>
      <c r="Z105" s="476">
        <v>0</v>
      </c>
      <c r="AA105" s="38">
        <f t="shared" si="60"/>
        <v>0</v>
      </c>
      <c r="AB105" s="692">
        <f t="shared" si="52"/>
        <v>0</v>
      </c>
      <c r="AC105" s="692">
        <f t="shared" si="53"/>
        <v>0</v>
      </c>
      <c r="AD105" s="692">
        <f t="shared" si="54"/>
        <v>0</v>
      </c>
      <c r="AE105" s="38"/>
      <c r="AF105" s="692">
        <f t="shared" si="55"/>
        <v>0</v>
      </c>
      <c r="AG105" s="692">
        <f t="shared" si="56"/>
        <v>0</v>
      </c>
      <c r="AH105" s="692">
        <f t="shared" si="57"/>
        <v>0</v>
      </c>
    </row>
    <row r="106" spans="1:34">
      <c r="A106" s="20" t="s">
        <v>97</v>
      </c>
      <c r="B106" s="20" t="s">
        <v>109</v>
      </c>
      <c r="C106" s="667"/>
      <c r="D106" s="68" t="s">
        <v>463</v>
      </c>
      <c r="E106" s="679"/>
      <c r="F106" s="529">
        <f>VLOOKUP(D106,'Q3 DMV -  Revenue'!D:T,17,FALSE)</f>
        <v>0</v>
      </c>
      <c r="G106" s="680"/>
      <c r="H106" s="680"/>
      <c r="I106" s="681"/>
      <c r="J106" s="682">
        <f t="shared" si="58"/>
        <v>0</v>
      </c>
      <c r="K106" s="683"/>
      <c r="L106" s="684"/>
      <c r="M106" s="685">
        <v>0</v>
      </c>
      <c r="N106" s="683">
        <v>0</v>
      </c>
      <c r="O106" s="686"/>
      <c r="P106" s="683">
        <v>0</v>
      </c>
      <c r="Q106" s="687">
        <f t="shared" si="1"/>
        <v>0</v>
      </c>
      <c r="R106" s="688"/>
      <c r="S106" s="693"/>
      <c r="T106" s="690" t="str">
        <f t="shared" si="61"/>
        <v/>
      </c>
      <c r="U106" s="683"/>
      <c r="V106" s="474">
        <f t="shared" si="59"/>
        <v>0</v>
      </c>
      <c r="W106" s="474">
        <f t="shared" si="50"/>
        <v>0</v>
      </c>
      <c r="X106" s="475">
        <f t="shared" si="51"/>
        <v>0</v>
      </c>
      <c r="Y106" s="475">
        <v>0</v>
      </c>
      <c r="Z106" s="476">
        <v>0</v>
      </c>
      <c r="AA106" s="38">
        <f t="shared" si="60"/>
        <v>0</v>
      </c>
      <c r="AB106" s="692">
        <f t="shared" si="52"/>
        <v>0</v>
      </c>
      <c r="AC106" s="692">
        <f t="shared" si="53"/>
        <v>0</v>
      </c>
      <c r="AD106" s="692">
        <f t="shared" si="54"/>
        <v>0</v>
      </c>
      <c r="AE106" s="38"/>
      <c r="AF106" s="692">
        <f t="shared" si="55"/>
        <v>0</v>
      </c>
      <c r="AG106" s="692">
        <f t="shared" si="56"/>
        <v>0</v>
      </c>
      <c r="AH106" s="692">
        <f t="shared" si="57"/>
        <v>0</v>
      </c>
    </row>
    <row r="107" spans="1:34">
      <c r="A107" s="20" t="s">
        <v>97</v>
      </c>
      <c r="B107" s="20" t="s">
        <v>114</v>
      </c>
      <c r="C107" s="667"/>
      <c r="D107" s="68" t="s">
        <v>387</v>
      </c>
      <c r="E107" s="679">
        <v>11470.2</v>
      </c>
      <c r="F107" s="529">
        <f>VLOOKUP(D107,'Q3 DMV -  Revenue'!D:T,17,FALSE)</f>
        <v>20837.89</v>
      </c>
      <c r="G107" s="680"/>
      <c r="H107" s="680"/>
      <c r="I107" s="681"/>
      <c r="J107" s="682">
        <f t="shared" ref="J107:J114" si="62">SUM(E107:I107)</f>
        <v>32308.09</v>
      </c>
      <c r="K107" s="683"/>
      <c r="L107" s="684"/>
      <c r="M107" s="685">
        <v>0</v>
      </c>
      <c r="N107" s="683">
        <v>0</v>
      </c>
      <c r="O107" s="686">
        <v>32308.09</v>
      </c>
      <c r="P107" s="683">
        <v>0</v>
      </c>
      <c r="Q107" s="687">
        <f t="shared" si="1"/>
        <v>0</v>
      </c>
      <c r="R107" s="688">
        <v>24173.66</v>
      </c>
      <c r="S107" s="693"/>
      <c r="T107" s="690">
        <f t="shared" si="61"/>
        <v>24173.66</v>
      </c>
      <c r="U107" s="683"/>
      <c r="V107" s="474">
        <f t="shared" si="59"/>
        <v>0</v>
      </c>
      <c r="W107" s="474">
        <f t="shared" si="50"/>
        <v>0</v>
      </c>
      <c r="X107" s="475">
        <f t="shared" si="51"/>
        <v>0</v>
      </c>
      <c r="Y107" s="475">
        <v>0</v>
      </c>
      <c r="Z107" s="476">
        <v>0</v>
      </c>
      <c r="AA107" s="38">
        <f t="shared" si="60"/>
        <v>0</v>
      </c>
      <c r="AB107" s="692">
        <f t="shared" si="52"/>
        <v>0</v>
      </c>
      <c r="AC107" s="692">
        <f t="shared" si="53"/>
        <v>0</v>
      </c>
      <c r="AD107" s="692">
        <f t="shared" si="54"/>
        <v>32308.09</v>
      </c>
      <c r="AE107" s="38"/>
      <c r="AF107" s="692">
        <f t="shared" si="55"/>
        <v>0</v>
      </c>
      <c r="AG107" s="692">
        <f t="shared" si="56"/>
        <v>0</v>
      </c>
      <c r="AH107" s="692">
        <f t="shared" si="57"/>
        <v>0</v>
      </c>
    </row>
    <row r="108" spans="1:34">
      <c r="A108" s="20" t="s">
        <v>97</v>
      </c>
      <c r="B108" s="20" t="s">
        <v>114</v>
      </c>
      <c r="C108" s="667"/>
      <c r="D108" s="68" t="s">
        <v>482</v>
      </c>
      <c r="E108" s="679"/>
      <c r="F108" s="529">
        <f>VLOOKUP(D108,'Q3 DMV -  Revenue'!D:T,17,FALSE)</f>
        <v>0</v>
      </c>
      <c r="G108" s="680"/>
      <c r="H108" s="680"/>
      <c r="I108" s="681"/>
      <c r="J108" s="682">
        <f t="shared" si="62"/>
        <v>0</v>
      </c>
      <c r="K108" s="683"/>
      <c r="L108" s="684"/>
      <c r="M108" s="685">
        <v>0</v>
      </c>
      <c r="N108" s="683"/>
      <c r="O108" s="686"/>
      <c r="P108" s="683"/>
      <c r="Q108" s="687">
        <f t="shared" si="1"/>
        <v>0</v>
      </c>
      <c r="R108" s="688"/>
      <c r="S108" s="693"/>
      <c r="T108" s="690" t="str">
        <f t="shared" si="61"/>
        <v/>
      </c>
      <c r="U108" s="683"/>
      <c r="V108" s="474">
        <f t="shared" si="59"/>
        <v>0</v>
      </c>
      <c r="W108" s="474">
        <f t="shared" si="50"/>
        <v>0</v>
      </c>
      <c r="X108" s="475">
        <f t="shared" si="51"/>
        <v>0</v>
      </c>
      <c r="Y108" s="475">
        <v>0</v>
      </c>
      <c r="Z108" s="476">
        <v>0</v>
      </c>
      <c r="AA108" s="38">
        <f t="shared" si="60"/>
        <v>0</v>
      </c>
      <c r="AB108" s="692">
        <f t="shared" si="52"/>
        <v>0</v>
      </c>
      <c r="AC108" s="692">
        <f t="shared" si="53"/>
        <v>0</v>
      </c>
      <c r="AD108" s="692">
        <f t="shared" si="54"/>
        <v>0</v>
      </c>
      <c r="AE108" s="38"/>
      <c r="AF108" s="692">
        <f t="shared" si="55"/>
        <v>0</v>
      </c>
      <c r="AG108" s="692">
        <f t="shared" si="56"/>
        <v>0</v>
      </c>
      <c r="AH108" s="692">
        <f t="shared" si="57"/>
        <v>0</v>
      </c>
    </row>
    <row r="109" spans="1:34">
      <c r="A109" s="20" t="s">
        <v>109</v>
      </c>
      <c r="B109" s="20" t="s">
        <v>109</v>
      </c>
      <c r="C109" s="667"/>
      <c r="D109" s="68" t="s">
        <v>66</v>
      </c>
      <c r="E109" s="679"/>
      <c r="F109" s="529">
        <f>VLOOKUP(D109,'Q3 DMV -  Revenue'!D:T,17,FALSE)</f>
        <v>0</v>
      </c>
      <c r="G109" s="680"/>
      <c r="H109" s="680"/>
      <c r="I109" s="681"/>
      <c r="J109" s="682">
        <f t="shared" si="62"/>
        <v>0</v>
      </c>
      <c r="K109" s="683"/>
      <c r="L109" s="684"/>
      <c r="M109" s="685">
        <v>0</v>
      </c>
      <c r="N109" s="683">
        <v>0</v>
      </c>
      <c r="O109" s="686"/>
      <c r="P109" s="683">
        <v>0</v>
      </c>
      <c r="Q109" s="687">
        <f t="shared" si="1"/>
        <v>0</v>
      </c>
      <c r="R109" s="688"/>
      <c r="S109" s="693"/>
      <c r="T109" s="690" t="str">
        <f t="shared" si="61"/>
        <v/>
      </c>
      <c r="U109" s="683"/>
      <c r="V109" s="474">
        <f t="shared" si="59"/>
        <v>0</v>
      </c>
      <c r="W109" s="474">
        <f t="shared" si="50"/>
        <v>0</v>
      </c>
      <c r="X109" s="475">
        <f t="shared" si="51"/>
        <v>0</v>
      </c>
      <c r="Y109" s="475">
        <v>0</v>
      </c>
      <c r="Z109" s="476">
        <v>0</v>
      </c>
      <c r="AA109" s="38">
        <f t="shared" si="60"/>
        <v>0</v>
      </c>
      <c r="AB109" s="692">
        <f t="shared" si="52"/>
        <v>0</v>
      </c>
      <c r="AC109" s="692">
        <f t="shared" si="53"/>
        <v>0</v>
      </c>
      <c r="AD109" s="692">
        <f t="shared" si="54"/>
        <v>0</v>
      </c>
      <c r="AE109" s="38"/>
      <c r="AF109" s="692">
        <f t="shared" si="55"/>
        <v>0</v>
      </c>
      <c r="AG109" s="692">
        <f t="shared" si="56"/>
        <v>0</v>
      </c>
      <c r="AH109" s="692">
        <f t="shared" si="57"/>
        <v>0</v>
      </c>
    </row>
    <row r="110" spans="1:34">
      <c r="A110" s="20" t="s">
        <v>109</v>
      </c>
      <c r="B110" s="20" t="s">
        <v>109</v>
      </c>
      <c r="C110" s="667" t="s">
        <v>544</v>
      </c>
      <c r="D110" s="68" t="s">
        <v>383</v>
      </c>
      <c r="E110" s="679"/>
      <c r="F110" s="529">
        <f>VLOOKUP(D110,'Q3 DMV -  Revenue'!D:T,17,FALSE)</f>
        <v>-312.97500000000002</v>
      </c>
      <c r="G110" s="680"/>
      <c r="H110" s="694">
        <v>242.3</v>
      </c>
      <c r="I110" s="681"/>
      <c r="J110" s="682">
        <f t="shared" si="62"/>
        <v>-70.675000000000011</v>
      </c>
      <c r="K110" s="683"/>
      <c r="L110" s="684"/>
      <c r="M110" s="685">
        <v>2420</v>
      </c>
      <c r="N110" s="683">
        <v>0</v>
      </c>
      <c r="O110" s="686">
        <v>-70.680000000000007</v>
      </c>
      <c r="P110" s="683">
        <v>0</v>
      </c>
      <c r="Q110" s="687">
        <f t="shared" si="1"/>
        <v>2420</v>
      </c>
      <c r="R110" s="688">
        <v>245.65</v>
      </c>
      <c r="S110" s="693"/>
      <c r="T110" s="690">
        <f t="shared" si="61"/>
        <v>-2174.35</v>
      </c>
      <c r="U110" s="683"/>
      <c r="V110" s="474">
        <f t="shared" si="59"/>
        <v>0</v>
      </c>
      <c r="W110" s="474">
        <f t="shared" si="50"/>
        <v>2420</v>
      </c>
      <c r="X110" s="475">
        <f t="shared" si="51"/>
        <v>0</v>
      </c>
      <c r="Y110" s="475">
        <v>0</v>
      </c>
      <c r="Z110" s="476">
        <v>0</v>
      </c>
      <c r="AA110" s="38">
        <f t="shared" si="60"/>
        <v>0</v>
      </c>
      <c r="AB110" s="692">
        <f t="shared" si="52"/>
        <v>0</v>
      </c>
      <c r="AC110" s="692">
        <f t="shared" si="53"/>
        <v>-70.675000000000011</v>
      </c>
      <c r="AD110" s="692">
        <f t="shared" si="54"/>
        <v>0</v>
      </c>
      <c r="AE110" s="38"/>
      <c r="AF110" s="692">
        <f t="shared" si="55"/>
        <v>0</v>
      </c>
      <c r="AG110" s="692">
        <f t="shared" si="56"/>
        <v>2420</v>
      </c>
      <c r="AH110" s="692">
        <f t="shared" si="57"/>
        <v>0</v>
      </c>
    </row>
    <row r="111" spans="1:34">
      <c r="A111" s="21" t="s">
        <v>109</v>
      </c>
      <c r="B111" s="21" t="s">
        <v>110</v>
      </c>
      <c r="C111" s="666"/>
      <c r="D111" s="68" t="s">
        <v>65</v>
      </c>
      <c r="E111" s="679"/>
      <c r="F111" s="529">
        <f>VLOOKUP(D111,'Q3 DMV -  Revenue'!D:T,17,FALSE)</f>
        <v>0</v>
      </c>
      <c r="G111" s="680"/>
      <c r="H111" s="680"/>
      <c r="I111" s="681"/>
      <c r="J111" s="682">
        <f t="shared" si="62"/>
        <v>0</v>
      </c>
      <c r="K111" s="683"/>
      <c r="L111" s="684"/>
      <c r="M111" s="685">
        <v>0</v>
      </c>
      <c r="N111" s="683">
        <v>0</v>
      </c>
      <c r="O111" s="686"/>
      <c r="P111" s="683">
        <v>0</v>
      </c>
      <c r="Q111" s="687">
        <f t="shared" si="1"/>
        <v>0</v>
      </c>
      <c r="R111" s="688"/>
      <c r="S111" s="693"/>
      <c r="T111" s="690" t="str">
        <f t="shared" si="61"/>
        <v/>
      </c>
      <c r="U111" s="683"/>
      <c r="V111" s="474">
        <f t="shared" si="59"/>
        <v>0</v>
      </c>
      <c r="W111" s="474">
        <f t="shared" si="50"/>
        <v>0</v>
      </c>
      <c r="X111" s="475">
        <f t="shared" si="51"/>
        <v>0</v>
      </c>
      <c r="Y111" s="475">
        <v>0</v>
      </c>
      <c r="Z111" s="476">
        <v>0</v>
      </c>
      <c r="AA111" s="38">
        <f t="shared" si="60"/>
        <v>0</v>
      </c>
      <c r="AB111" s="692">
        <f t="shared" si="52"/>
        <v>0</v>
      </c>
      <c r="AC111" s="692">
        <f t="shared" si="53"/>
        <v>0</v>
      </c>
      <c r="AD111" s="692">
        <f t="shared" si="54"/>
        <v>0</v>
      </c>
      <c r="AE111" s="38"/>
      <c r="AF111" s="692">
        <f t="shared" si="55"/>
        <v>0</v>
      </c>
      <c r="AG111" s="692">
        <f t="shared" si="56"/>
        <v>0</v>
      </c>
      <c r="AH111" s="692">
        <f t="shared" si="57"/>
        <v>0</v>
      </c>
    </row>
    <row r="112" spans="1:34">
      <c r="A112" s="21" t="s">
        <v>211</v>
      </c>
      <c r="B112" s="21" t="s">
        <v>109</v>
      </c>
      <c r="C112" s="666" t="s">
        <v>545</v>
      </c>
      <c r="D112" s="68" t="s">
        <v>181</v>
      </c>
      <c r="E112" s="679">
        <f>3118.64+769.13+6567.43+8875.36</f>
        <v>19330.560000000001</v>
      </c>
      <c r="F112" s="529">
        <f>VLOOKUP(D112,'Q3 DMV -  Revenue'!D:T,17,FALSE)</f>
        <v>11339.11</v>
      </c>
      <c r="G112" s="680"/>
      <c r="H112" s="680"/>
      <c r="I112" s="681"/>
      <c r="J112" s="682">
        <f t="shared" si="62"/>
        <v>30669.670000000002</v>
      </c>
      <c r="K112" s="683"/>
      <c r="L112" s="684"/>
      <c r="M112" s="685">
        <v>11000</v>
      </c>
      <c r="N112" s="683">
        <v>0</v>
      </c>
      <c r="O112" s="686">
        <v>30669.66</v>
      </c>
      <c r="P112" s="683">
        <v>0</v>
      </c>
      <c r="Q112" s="687">
        <f t="shared" si="1"/>
        <v>11000</v>
      </c>
      <c r="R112" s="688">
        <f>9054.64+679.9+742.94+115.57</f>
        <v>10593.05</v>
      </c>
      <c r="S112" s="693"/>
      <c r="T112" s="690">
        <f t="shared" si="61"/>
        <v>-406.95000000000073</v>
      </c>
      <c r="U112" s="683"/>
      <c r="V112" s="474">
        <f t="shared" si="59"/>
        <v>0</v>
      </c>
      <c r="W112" s="474">
        <f t="shared" si="50"/>
        <v>11000</v>
      </c>
      <c r="X112" s="475">
        <f t="shared" si="51"/>
        <v>0</v>
      </c>
      <c r="Y112" s="475">
        <v>0</v>
      </c>
      <c r="Z112" s="476">
        <v>0</v>
      </c>
      <c r="AA112" s="38">
        <f t="shared" si="60"/>
        <v>0</v>
      </c>
      <c r="AB112" s="692">
        <f t="shared" si="52"/>
        <v>0</v>
      </c>
      <c r="AC112" s="692">
        <f t="shared" si="53"/>
        <v>30669.670000000002</v>
      </c>
      <c r="AD112" s="692">
        <f t="shared" si="54"/>
        <v>0</v>
      </c>
      <c r="AE112" s="38"/>
      <c r="AF112" s="692">
        <f t="shared" si="55"/>
        <v>0</v>
      </c>
      <c r="AG112" s="692">
        <f t="shared" si="56"/>
        <v>11000</v>
      </c>
      <c r="AH112" s="692">
        <f t="shared" si="57"/>
        <v>0</v>
      </c>
    </row>
    <row r="113" spans="1:34">
      <c r="A113" s="21" t="s">
        <v>211</v>
      </c>
      <c r="B113" s="21" t="s">
        <v>110</v>
      </c>
      <c r="C113" s="666"/>
      <c r="D113" s="68" t="s">
        <v>504</v>
      </c>
      <c r="E113" s="679"/>
      <c r="F113" s="529">
        <f>VLOOKUP(D113,'Q3 DMV -  Revenue'!D:T,17,FALSE)</f>
        <v>0</v>
      </c>
      <c r="G113" s="680"/>
      <c r="H113" s="680"/>
      <c r="I113" s="681"/>
      <c r="J113" s="682">
        <f t="shared" si="62"/>
        <v>0</v>
      </c>
      <c r="K113" s="683"/>
      <c r="L113" s="684"/>
      <c r="M113" s="685">
        <v>0</v>
      </c>
      <c r="N113" s="683">
        <v>0</v>
      </c>
      <c r="O113" s="686"/>
      <c r="P113" s="683">
        <v>0</v>
      </c>
      <c r="Q113" s="687">
        <f t="shared" si="1"/>
        <v>0</v>
      </c>
      <c r="R113" s="688"/>
      <c r="S113" s="693"/>
      <c r="T113" s="690" t="str">
        <f t="shared" si="61"/>
        <v/>
      </c>
      <c r="U113" s="683"/>
      <c r="V113" s="474">
        <f t="shared" si="59"/>
        <v>0</v>
      </c>
      <c r="W113" s="474">
        <f t="shared" si="50"/>
        <v>0</v>
      </c>
      <c r="X113" s="475">
        <f t="shared" si="51"/>
        <v>0</v>
      </c>
      <c r="Y113" s="475">
        <v>0</v>
      </c>
      <c r="Z113" s="476">
        <v>0</v>
      </c>
      <c r="AA113" s="38">
        <f t="shared" si="60"/>
        <v>0</v>
      </c>
      <c r="AB113" s="692">
        <f t="shared" si="52"/>
        <v>0</v>
      </c>
      <c r="AC113" s="692">
        <f t="shared" si="53"/>
        <v>0</v>
      </c>
      <c r="AD113" s="692">
        <f t="shared" si="54"/>
        <v>0</v>
      </c>
      <c r="AE113" s="38"/>
      <c r="AF113" s="692">
        <f t="shared" si="55"/>
        <v>0</v>
      </c>
      <c r="AG113" s="692">
        <f t="shared" si="56"/>
        <v>0</v>
      </c>
      <c r="AH113" s="692">
        <f t="shared" si="57"/>
        <v>0</v>
      </c>
    </row>
    <row r="114" spans="1:34">
      <c r="A114" s="20" t="s">
        <v>211</v>
      </c>
      <c r="B114" s="20" t="s">
        <v>109</v>
      </c>
      <c r="C114" s="667" t="s">
        <v>546</v>
      </c>
      <c r="D114" s="68" t="s">
        <v>142</v>
      </c>
      <c r="E114" s="679"/>
      <c r="F114" s="529">
        <f>VLOOKUP(D114,'Q3 DMV -  Revenue'!D:T,17,FALSE)</f>
        <v>3372.6099999999997</v>
      </c>
      <c r="G114" s="680"/>
      <c r="H114" s="680"/>
      <c r="I114" s="681"/>
      <c r="J114" s="682">
        <f t="shared" si="62"/>
        <v>3372.6099999999997</v>
      </c>
      <c r="K114" s="683"/>
      <c r="L114" s="684"/>
      <c r="M114" s="685">
        <v>3300</v>
      </c>
      <c r="N114" s="683">
        <v>0</v>
      </c>
      <c r="O114" s="686">
        <v>1952.22</v>
      </c>
      <c r="P114" s="683">
        <v>0</v>
      </c>
      <c r="Q114" s="687">
        <f t="shared" si="1"/>
        <v>3300</v>
      </c>
      <c r="R114" s="688">
        <v>4729.97</v>
      </c>
      <c r="S114" s="693"/>
      <c r="T114" s="690">
        <f t="shared" si="61"/>
        <v>1429.9700000000003</v>
      </c>
      <c r="U114" s="697"/>
      <c r="V114" s="474">
        <f t="shared" si="59"/>
        <v>0</v>
      </c>
      <c r="W114" s="474">
        <f t="shared" si="50"/>
        <v>3300</v>
      </c>
      <c r="X114" s="475">
        <f t="shared" si="51"/>
        <v>0</v>
      </c>
      <c r="Y114" s="475">
        <v>0</v>
      </c>
      <c r="Z114" s="476">
        <v>0</v>
      </c>
      <c r="AA114" s="38">
        <f t="shared" si="60"/>
        <v>0</v>
      </c>
      <c r="AB114" s="692">
        <f t="shared" si="52"/>
        <v>0</v>
      </c>
      <c r="AC114" s="692">
        <f t="shared" si="53"/>
        <v>3372.6099999999997</v>
      </c>
      <c r="AD114" s="692">
        <f t="shared" si="54"/>
        <v>0</v>
      </c>
      <c r="AE114" s="38"/>
      <c r="AF114" s="692">
        <f t="shared" si="55"/>
        <v>0</v>
      </c>
      <c r="AG114" s="692">
        <f t="shared" si="56"/>
        <v>3300</v>
      </c>
      <c r="AH114" s="692">
        <f t="shared" si="57"/>
        <v>0</v>
      </c>
    </row>
    <row r="115" spans="1:34">
      <c r="A115" s="20" t="s">
        <v>211</v>
      </c>
      <c r="B115" s="20" t="s">
        <v>109</v>
      </c>
      <c r="C115" s="667" t="s">
        <v>546</v>
      </c>
      <c r="D115" s="68" t="s">
        <v>143</v>
      </c>
      <c r="E115" s="679"/>
      <c r="F115" s="529">
        <f>VLOOKUP(D115,'Q3 DMV -  Revenue'!D:T,17,FALSE)</f>
        <v>-1420.39</v>
      </c>
      <c r="G115" s="680"/>
      <c r="H115" s="680"/>
      <c r="I115" s="681"/>
      <c r="J115" s="682">
        <f t="shared" si="58"/>
        <v>-1420.39</v>
      </c>
      <c r="K115" s="683"/>
      <c r="L115" s="684"/>
      <c r="M115" s="685">
        <v>0</v>
      </c>
      <c r="N115" s="683">
        <v>0</v>
      </c>
      <c r="O115" s="686"/>
      <c r="P115" s="683">
        <v>0</v>
      </c>
      <c r="Q115" s="687">
        <f t="shared" si="1"/>
        <v>0</v>
      </c>
      <c r="R115" s="688">
        <v>212.41</v>
      </c>
      <c r="S115" s="693"/>
      <c r="T115" s="690">
        <f t="shared" si="61"/>
        <v>212.41</v>
      </c>
      <c r="U115" s="697"/>
      <c r="V115" s="474">
        <f t="shared" si="59"/>
        <v>0</v>
      </c>
      <c r="W115" s="474">
        <f t="shared" si="50"/>
        <v>0</v>
      </c>
      <c r="X115" s="475">
        <f t="shared" si="51"/>
        <v>0</v>
      </c>
      <c r="Y115" s="475">
        <v>0</v>
      </c>
      <c r="Z115" s="476">
        <v>0</v>
      </c>
      <c r="AA115" s="38">
        <f t="shared" si="60"/>
        <v>0</v>
      </c>
      <c r="AB115" s="692">
        <f t="shared" si="52"/>
        <v>0</v>
      </c>
      <c r="AC115" s="692">
        <f t="shared" si="53"/>
        <v>-1420.39</v>
      </c>
      <c r="AD115" s="692">
        <f t="shared" si="54"/>
        <v>0</v>
      </c>
      <c r="AE115" s="38"/>
      <c r="AF115" s="692">
        <f t="shared" si="55"/>
        <v>0</v>
      </c>
      <c r="AG115" s="692">
        <f t="shared" si="56"/>
        <v>0</v>
      </c>
      <c r="AH115" s="692">
        <f t="shared" si="57"/>
        <v>0</v>
      </c>
    </row>
    <row r="116" spans="1:34">
      <c r="A116" s="20" t="s">
        <v>109</v>
      </c>
      <c r="B116" s="20" t="s">
        <v>109</v>
      </c>
      <c r="C116" s="667"/>
      <c r="D116" s="68" t="s">
        <v>498</v>
      </c>
      <c r="E116" s="679"/>
      <c r="F116" s="529">
        <f>VLOOKUP(D116,'Q3 DMV -  Revenue'!D:T,17,FALSE)</f>
        <v>0</v>
      </c>
      <c r="G116" s="680"/>
      <c r="H116" s="680"/>
      <c r="I116" s="681"/>
      <c r="J116" s="682">
        <f t="shared" si="58"/>
        <v>0</v>
      </c>
      <c r="K116" s="683"/>
      <c r="L116" s="684"/>
      <c r="M116" s="685">
        <v>0</v>
      </c>
      <c r="N116" s="683">
        <v>0</v>
      </c>
      <c r="O116" s="686"/>
      <c r="P116" s="683">
        <v>0</v>
      </c>
      <c r="Q116" s="687">
        <f t="shared" si="1"/>
        <v>0</v>
      </c>
      <c r="R116" s="688">
        <v>474.84</v>
      </c>
      <c r="S116" s="693"/>
      <c r="T116" s="690">
        <f t="shared" si="61"/>
        <v>474.84</v>
      </c>
      <c r="U116" s="683"/>
      <c r="V116" s="474">
        <f t="shared" si="59"/>
        <v>0</v>
      </c>
      <c r="W116" s="474">
        <f t="shared" si="50"/>
        <v>0</v>
      </c>
      <c r="X116" s="475">
        <f t="shared" si="51"/>
        <v>0</v>
      </c>
      <c r="Y116" s="475">
        <v>0</v>
      </c>
      <c r="Z116" s="476">
        <v>0</v>
      </c>
      <c r="AA116" s="38">
        <f t="shared" si="60"/>
        <v>0</v>
      </c>
      <c r="AB116" s="692">
        <f t="shared" si="52"/>
        <v>0</v>
      </c>
      <c r="AC116" s="692">
        <f t="shared" si="53"/>
        <v>0</v>
      </c>
      <c r="AD116" s="692">
        <f t="shared" si="54"/>
        <v>0</v>
      </c>
      <c r="AE116" s="38"/>
      <c r="AF116" s="692">
        <f t="shared" si="55"/>
        <v>0</v>
      </c>
      <c r="AG116" s="692">
        <f t="shared" si="56"/>
        <v>0</v>
      </c>
      <c r="AH116" s="692">
        <f t="shared" si="57"/>
        <v>0</v>
      </c>
    </row>
    <row r="117" spans="1:34">
      <c r="A117" s="21"/>
      <c r="B117" s="21" t="s">
        <v>110</v>
      </c>
      <c r="C117" s="666"/>
      <c r="D117" s="68" t="s">
        <v>20</v>
      </c>
      <c r="E117" s="679"/>
      <c r="F117" s="529">
        <f>VLOOKUP(D117,'Q3 DMV -  Revenue'!D:T,17,FALSE)</f>
        <v>0</v>
      </c>
      <c r="G117" s="694">
        <f>158.64/2</f>
        <v>79.319999999999993</v>
      </c>
      <c r="H117" s="694">
        <f>G117</f>
        <v>79.319999999999993</v>
      </c>
      <c r="I117" s="741">
        <v>110.84</v>
      </c>
      <c r="J117" s="682">
        <f t="shared" si="58"/>
        <v>269.48</v>
      </c>
      <c r="K117" s="683"/>
      <c r="L117" s="684"/>
      <c r="M117" s="685">
        <v>0</v>
      </c>
      <c r="N117" s="683">
        <v>0</v>
      </c>
      <c r="O117" s="686">
        <v>269.48</v>
      </c>
      <c r="P117" s="683">
        <v>0</v>
      </c>
      <c r="Q117" s="687">
        <f t="shared" si="1"/>
        <v>0</v>
      </c>
      <c r="R117" s="688"/>
      <c r="S117" s="693"/>
      <c r="T117" s="690" t="str">
        <f t="shared" si="61"/>
        <v/>
      </c>
      <c r="U117" s="683"/>
      <c r="V117" s="474">
        <f t="shared" si="59"/>
        <v>0</v>
      </c>
      <c r="W117" s="474">
        <f t="shared" si="50"/>
        <v>0</v>
      </c>
      <c r="X117" s="475">
        <f t="shared" si="51"/>
        <v>0</v>
      </c>
      <c r="Y117" s="475">
        <v>0</v>
      </c>
      <c r="Z117" s="476">
        <v>0</v>
      </c>
      <c r="AA117" s="38">
        <f t="shared" si="60"/>
        <v>0</v>
      </c>
      <c r="AB117" s="692">
        <f t="shared" si="52"/>
        <v>269.48</v>
      </c>
      <c r="AC117" s="692">
        <f t="shared" si="53"/>
        <v>0</v>
      </c>
      <c r="AD117" s="692">
        <f t="shared" si="54"/>
        <v>0</v>
      </c>
      <c r="AE117" s="38"/>
      <c r="AF117" s="692">
        <f t="shared" si="55"/>
        <v>0</v>
      </c>
      <c r="AG117" s="692">
        <f t="shared" si="56"/>
        <v>0</v>
      </c>
      <c r="AH117" s="692">
        <f t="shared" si="57"/>
        <v>0</v>
      </c>
    </row>
    <row r="118" spans="1:34">
      <c r="A118" s="21"/>
      <c r="B118" s="21" t="s">
        <v>110</v>
      </c>
      <c r="C118" s="666" t="s">
        <v>547</v>
      </c>
      <c r="D118" s="68" t="s">
        <v>203</v>
      </c>
      <c r="E118" s="679"/>
      <c r="F118" s="529">
        <f>VLOOKUP(D118,'Q3 DMV -  Revenue'!D:T,17,FALSE)</f>
        <v>2.839999999999975</v>
      </c>
      <c r="G118" s="694">
        <v>552.13</v>
      </c>
      <c r="H118" s="694">
        <v>299.24</v>
      </c>
      <c r="I118" s="741">
        <v>344.69</v>
      </c>
      <c r="J118" s="682">
        <f t="shared" si="58"/>
        <v>1198.9000000000001</v>
      </c>
      <c r="K118" s="683"/>
      <c r="L118" s="684"/>
      <c r="M118" s="685">
        <v>0</v>
      </c>
      <c r="N118" s="683">
        <v>0</v>
      </c>
      <c r="O118" s="686">
        <v>-189.72</v>
      </c>
      <c r="P118" s="683">
        <v>0</v>
      </c>
      <c r="Q118" s="687">
        <f t="shared" si="1"/>
        <v>0</v>
      </c>
      <c r="R118" s="688"/>
      <c r="S118" s="693"/>
      <c r="T118" s="690" t="str">
        <f t="shared" si="61"/>
        <v/>
      </c>
      <c r="U118" s="683"/>
      <c r="V118" s="474">
        <f t="shared" si="59"/>
        <v>0</v>
      </c>
      <c r="W118" s="474">
        <f t="shared" si="50"/>
        <v>0</v>
      </c>
      <c r="X118" s="475">
        <f t="shared" si="51"/>
        <v>0</v>
      </c>
      <c r="Y118" s="475">
        <v>0</v>
      </c>
      <c r="Z118" s="476">
        <v>0</v>
      </c>
      <c r="AA118" s="38">
        <f t="shared" si="60"/>
        <v>0</v>
      </c>
      <c r="AB118" s="692">
        <f t="shared" si="52"/>
        <v>1198.9000000000001</v>
      </c>
      <c r="AC118" s="692">
        <f t="shared" si="53"/>
        <v>0</v>
      </c>
      <c r="AD118" s="692">
        <f t="shared" si="54"/>
        <v>0</v>
      </c>
      <c r="AE118" s="38"/>
      <c r="AF118" s="692">
        <f t="shared" si="55"/>
        <v>0</v>
      </c>
      <c r="AG118" s="692">
        <f t="shared" si="56"/>
        <v>0</v>
      </c>
      <c r="AH118" s="692">
        <f t="shared" si="57"/>
        <v>0</v>
      </c>
    </row>
    <row r="119" spans="1:34">
      <c r="A119" s="21"/>
      <c r="B119" s="21" t="s">
        <v>110</v>
      </c>
      <c r="C119" s="666" t="s">
        <v>547</v>
      </c>
      <c r="D119" s="68" t="s">
        <v>202</v>
      </c>
      <c r="E119" s="679"/>
      <c r="F119" s="529">
        <f>VLOOKUP(D119,'Q3 DMV -  Revenue'!D:T,17,FALSE)</f>
        <v>-76.730000000000018</v>
      </c>
      <c r="G119" s="737">
        <v>707.1</v>
      </c>
      <c r="H119" s="737">
        <v>713.88</v>
      </c>
      <c r="I119" s="681"/>
      <c r="J119" s="682">
        <f t="shared" si="58"/>
        <v>1344.25</v>
      </c>
      <c r="K119" s="683"/>
      <c r="L119" s="684"/>
      <c r="M119" s="685">
        <v>700</v>
      </c>
      <c r="N119" s="683">
        <v>0</v>
      </c>
      <c r="O119" s="686"/>
      <c r="P119" s="683">
        <v>0</v>
      </c>
      <c r="Q119" s="687">
        <f t="shared" si="1"/>
        <v>700</v>
      </c>
      <c r="R119" s="688">
        <v>0</v>
      </c>
      <c r="S119" s="693"/>
      <c r="T119" s="690">
        <f t="shared" si="61"/>
        <v>-700</v>
      </c>
      <c r="U119" s="683"/>
      <c r="V119" s="474">
        <f t="shared" si="59"/>
        <v>700</v>
      </c>
      <c r="W119" s="474">
        <f t="shared" si="50"/>
        <v>0</v>
      </c>
      <c r="X119" s="475">
        <f t="shared" si="51"/>
        <v>0</v>
      </c>
      <c r="Y119" s="475">
        <v>0</v>
      </c>
      <c r="Z119" s="476">
        <v>0</v>
      </c>
      <c r="AA119" s="38">
        <f t="shared" si="60"/>
        <v>0</v>
      </c>
      <c r="AB119" s="692">
        <f t="shared" si="52"/>
        <v>1344.25</v>
      </c>
      <c r="AC119" s="692">
        <f t="shared" si="53"/>
        <v>0</v>
      </c>
      <c r="AD119" s="692">
        <f t="shared" si="54"/>
        <v>0</v>
      </c>
      <c r="AE119" s="38"/>
      <c r="AF119" s="692">
        <f t="shared" si="55"/>
        <v>700</v>
      </c>
      <c r="AG119" s="692">
        <f t="shared" si="56"/>
        <v>0</v>
      </c>
      <c r="AH119" s="692">
        <f t="shared" si="57"/>
        <v>0</v>
      </c>
    </row>
    <row r="120" spans="1:34">
      <c r="A120" s="20" t="s">
        <v>211</v>
      </c>
      <c r="B120" s="20" t="s">
        <v>110</v>
      </c>
      <c r="C120" s="667"/>
      <c r="D120" s="373" t="s">
        <v>466</v>
      </c>
      <c r="E120" s="679"/>
      <c r="F120" s="529">
        <f>VLOOKUP(D120,'Q3 DMV -  Revenue'!D:T,17,FALSE)</f>
        <v>0</v>
      </c>
      <c r="G120" s="694">
        <v>1210.6400000000001</v>
      </c>
      <c r="H120" s="694">
        <v>1213.8800000000001</v>
      </c>
      <c r="I120" s="741">
        <v>1336.04</v>
      </c>
      <c r="J120" s="682">
        <f t="shared" si="58"/>
        <v>3760.5600000000004</v>
      </c>
      <c r="K120" s="683"/>
      <c r="L120" s="684"/>
      <c r="M120" s="685">
        <v>0</v>
      </c>
      <c r="N120" s="683">
        <v>0</v>
      </c>
      <c r="O120" s="686">
        <v>3760.56</v>
      </c>
      <c r="P120" s="683">
        <v>0</v>
      </c>
      <c r="Q120" s="687">
        <f t="shared" si="1"/>
        <v>0</v>
      </c>
      <c r="R120" s="688"/>
      <c r="S120" s="693"/>
      <c r="T120" s="690" t="str">
        <f t="shared" si="61"/>
        <v/>
      </c>
      <c r="U120" s="697"/>
      <c r="V120" s="474">
        <f t="shared" si="59"/>
        <v>0</v>
      </c>
      <c r="W120" s="474">
        <f t="shared" si="50"/>
        <v>0</v>
      </c>
      <c r="X120" s="475">
        <f t="shared" si="51"/>
        <v>0</v>
      </c>
      <c r="Y120" s="475">
        <v>0</v>
      </c>
      <c r="Z120" s="476">
        <v>0</v>
      </c>
      <c r="AA120" s="38">
        <f t="shared" si="60"/>
        <v>0</v>
      </c>
      <c r="AB120" s="692">
        <f t="shared" si="52"/>
        <v>3760.5600000000004</v>
      </c>
      <c r="AC120" s="692">
        <f t="shared" si="53"/>
        <v>0</v>
      </c>
      <c r="AD120" s="692">
        <f t="shared" si="54"/>
        <v>0</v>
      </c>
      <c r="AE120" s="38"/>
      <c r="AF120" s="692">
        <f t="shared" si="55"/>
        <v>0</v>
      </c>
      <c r="AG120" s="692">
        <f t="shared" si="56"/>
        <v>0</v>
      </c>
      <c r="AH120" s="692">
        <f t="shared" si="57"/>
        <v>0</v>
      </c>
    </row>
    <row r="121" spans="1:34" s="232" customFormat="1">
      <c r="A121" s="283"/>
      <c r="B121" s="283" t="s">
        <v>110</v>
      </c>
      <c r="C121" s="667"/>
      <c r="D121" s="123" t="s">
        <v>386</v>
      </c>
      <c r="E121" s="679"/>
      <c r="F121" s="529">
        <f>VLOOKUP(D121,'Q3 DMV -  Revenue'!D:T,17,FALSE)</f>
        <v>0</v>
      </c>
      <c r="G121" s="694">
        <v>2440391.7200000002</v>
      </c>
      <c r="H121" s="694">
        <v>2172557.42</v>
      </c>
      <c r="I121" s="741">
        <v>3274379.98</v>
      </c>
      <c r="J121" s="682">
        <f t="shared" si="58"/>
        <v>7887329.120000001</v>
      </c>
      <c r="K121" s="683"/>
      <c r="L121" s="684"/>
      <c r="M121" s="685">
        <v>0</v>
      </c>
      <c r="N121" s="683">
        <v>0</v>
      </c>
      <c r="O121" s="686">
        <v>7978591.5999999996</v>
      </c>
      <c r="P121" s="683">
        <v>0</v>
      </c>
      <c r="Q121" s="687">
        <f t="shared" si="1"/>
        <v>0</v>
      </c>
      <c r="R121" s="688"/>
      <c r="S121" s="693"/>
      <c r="T121" s="690" t="str">
        <f t="shared" si="61"/>
        <v/>
      </c>
      <c r="U121" s="683"/>
      <c r="V121" s="474">
        <f t="shared" si="59"/>
        <v>0</v>
      </c>
      <c r="W121" s="474">
        <f t="shared" si="50"/>
        <v>0</v>
      </c>
      <c r="X121" s="475">
        <f t="shared" si="51"/>
        <v>0</v>
      </c>
      <c r="Y121" s="475">
        <v>0</v>
      </c>
      <c r="Z121" s="476">
        <v>0</v>
      </c>
      <c r="AA121" s="38">
        <f t="shared" si="60"/>
        <v>0</v>
      </c>
      <c r="AB121" s="692">
        <f t="shared" si="52"/>
        <v>7887329.120000001</v>
      </c>
      <c r="AC121" s="692">
        <f t="shared" si="53"/>
        <v>0</v>
      </c>
      <c r="AD121" s="692">
        <f t="shared" si="54"/>
        <v>0</v>
      </c>
      <c r="AE121" s="38"/>
      <c r="AF121" s="692">
        <f t="shared" si="55"/>
        <v>0</v>
      </c>
      <c r="AG121" s="692">
        <f t="shared" si="56"/>
        <v>0</v>
      </c>
      <c r="AH121" s="692">
        <f t="shared" si="57"/>
        <v>0</v>
      </c>
    </row>
    <row r="122" spans="1:34" s="232" customFormat="1">
      <c r="A122" s="283"/>
      <c r="B122" s="283" t="s">
        <v>110</v>
      </c>
      <c r="C122" s="667"/>
      <c r="D122" s="123" t="s">
        <v>331</v>
      </c>
      <c r="E122" s="679"/>
      <c r="F122" s="529">
        <f>VLOOKUP(D122,'Q3 DMV -  Revenue'!D:T,17,FALSE)</f>
        <v>0</v>
      </c>
      <c r="G122" s="694">
        <v>29946.1</v>
      </c>
      <c r="H122" s="694">
        <v>23774.46</v>
      </c>
      <c r="I122" s="741">
        <v>37541.919999999998</v>
      </c>
      <c r="J122" s="682">
        <f t="shared" si="58"/>
        <v>91262.48</v>
      </c>
      <c r="K122" s="683"/>
      <c r="L122" s="684"/>
      <c r="M122" s="685">
        <v>0</v>
      </c>
      <c r="N122" s="683">
        <v>0</v>
      </c>
      <c r="O122" s="686"/>
      <c r="P122" s="683">
        <v>0</v>
      </c>
      <c r="Q122" s="687">
        <f t="shared" si="1"/>
        <v>0</v>
      </c>
      <c r="R122" s="688"/>
      <c r="S122" s="693"/>
      <c r="T122" s="690" t="str">
        <f t="shared" si="61"/>
        <v/>
      </c>
      <c r="U122" s="683"/>
      <c r="V122" s="474">
        <f t="shared" si="59"/>
        <v>0</v>
      </c>
      <c r="W122" s="474">
        <f t="shared" si="50"/>
        <v>0</v>
      </c>
      <c r="X122" s="475">
        <f t="shared" si="51"/>
        <v>0</v>
      </c>
      <c r="Y122" s="475">
        <v>0</v>
      </c>
      <c r="Z122" s="476">
        <v>0</v>
      </c>
      <c r="AA122" s="38">
        <f t="shared" si="60"/>
        <v>0</v>
      </c>
      <c r="AB122" s="692">
        <f t="shared" si="52"/>
        <v>91262.48</v>
      </c>
      <c r="AC122" s="692">
        <f t="shared" si="53"/>
        <v>0</v>
      </c>
      <c r="AD122" s="692">
        <f t="shared" si="54"/>
        <v>0</v>
      </c>
      <c r="AE122" s="38"/>
      <c r="AF122" s="692">
        <f t="shared" si="55"/>
        <v>0</v>
      </c>
      <c r="AG122" s="692">
        <f t="shared" si="56"/>
        <v>0</v>
      </c>
      <c r="AH122" s="692">
        <f t="shared" si="57"/>
        <v>0</v>
      </c>
    </row>
    <row r="123" spans="1:34" s="232" customFormat="1">
      <c r="A123" s="283"/>
      <c r="B123" s="283" t="s">
        <v>110</v>
      </c>
      <c r="C123" s="667"/>
      <c r="D123" s="413" t="s">
        <v>332</v>
      </c>
      <c r="E123" s="679"/>
      <c r="F123" s="529">
        <f>VLOOKUP(D123,'Q3 DMV -  Revenue'!D:T,17,FALSE)</f>
        <v>0</v>
      </c>
      <c r="G123" s="694">
        <f>1200698+6096.44</f>
        <v>1206794.44</v>
      </c>
      <c r="H123" s="694">
        <v>1064270.0900000001</v>
      </c>
      <c r="I123" s="741">
        <f>1513302.88+17035.95</f>
        <v>1530338.8299999998</v>
      </c>
      <c r="J123" s="682">
        <f t="shared" si="58"/>
        <v>3801403.3600000003</v>
      </c>
      <c r="K123" s="683"/>
      <c r="L123" s="684"/>
      <c r="M123" s="685">
        <v>0</v>
      </c>
      <c r="N123" s="683">
        <v>0</v>
      </c>
      <c r="O123" s="686">
        <v>3782717.4399999999</v>
      </c>
      <c r="P123" s="683">
        <v>0</v>
      </c>
      <c r="Q123" s="687">
        <f t="shared" si="1"/>
        <v>0</v>
      </c>
      <c r="R123" s="688"/>
      <c r="S123" s="693"/>
      <c r="T123" s="690" t="str">
        <f t="shared" si="61"/>
        <v/>
      </c>
      <c r="U123" s="683"/>
      <c r="V123" s="474">
        <f t="shared" si="59"/>
        <v>0</v>
      </c>
      <c r="W123" s="474">
        <f t="shared" si="50"/>
        <v>0</v>
      </c>
      <c r="X123" s="475">
        <f t="shared" si="51"/>
        <v>0</v>
      </c>
      <c r="Y123" s="475">
        <v>0</v>
      </c>
      <c r="Z123" s="476">
        <v>0</v>
      </c>
      <c r="AA123" s="38">
        <f t="shared" si="60"/>
        <v>0</v>
      </c>
      <c r="AB123" s="692">
        <f t="shared" si="52"/>
        <v>3801403.3600000003</v>
      </c>
      <c r="AC123" s="692">
        <f t="shared" si="53"/>
        <v>0</v>
      </c>
      <c r="AD123" s="692">
        <f t="shared" si="54"/>
        <v>0</v>
      </c>
      <c r="AE123" s="38"/>
      <c r="AF123" s="692">
        <f t="shared" si="55"/>
        <v>0</v>
      </c>
      <c r="AG123" s="692">
        <f t="shared" si="56"/>
        <v>0</v>
      </c>
      <c r="AH123" s="692">
        <f t="shared" si="57"/>
        <v>0</v>
      </c>
    </row>
    <row r="124" spans="1:34" s="232" customFormat="1">
      <c r="A124" s="283"/>
      <c r="B124" s="283" t="s">
        <v>110</v>
      </c>
      <c r="C124" s="667"/>
      <c r="D124" s="123" t="s">
        <v>333</v>
      </c>
      <c r="E124" s="679"/>
      <c r="F124" s="529">
        <f>VLOOKUP(D124,'Q3 DMV -  Revenue'!D:T,17,FALSE)</f>
        <v>0</v>
      </c>
      <c r="G124" s="694">
        <v>1726.88</v>
      </c>
      <c r="H124" s="694">
        <v>1149.97</v>
      </c>
      <c r="I124" s="741">
        <v>1569.62</v>
      </c>
      <c r="J124" s="682">
        <f t="shared" si="58"/>
        <v>4446.47</v>
      </c>
      <c r="K124" s="683"/>
      <c r="L124" s="684"/>
      <c r="M124" s="685">
        <v>0</v>
      </c>
      <c r="N124" s="683">
        <v>0</v>
      </c>
      <c r="O124" s="686"/>
      <c r="P124" s="683">
        <v>0</v>
      </c>
      <c r="Q124" s="687">
        <f t="shared" si="1"/>
        <v>0</v>
      </c>
      <c r="R124" s="688"/>
      <c r="S124" s="693"/>
      <c r="T124" s="690" t="str">
        <f t="shared" si="61"/>
        <v/>
      </c>
      <c r="U124" s="683"/>
      <c r="V124" s="474">
        <f t="shared" si="59"/>
        <v>0</v>
      </c>
      <c r="W124" s="474">
        <f t="shared" si="50"/>
        <v>0</v>
      </c>
      <c r="X124" s="475">
        <f t="shared" si="51"/>
        <v>0</v>
      </c>
      <c r="Y124" s="475">
        <v>0</v>
      </c>
      <c r="Z124" s="476">
        <v>0</v>
      </c>
      <c r="AA124" s="38">
        <f t="shared" si="60"/>
        <v>0</v>
      </c>
      <c r="AB124" s="692">
        <f t="shared" si="52"/>
        <v>4446.47</v>
      </c>
      <c r="AC124" s="692">
        <f t="shared" si="53"/>
        <v>0</v>
      </c>
      <c r="AD124" s="692">
        <f t="shared" si="54"/>
        <v>0</v>
      </c>
      <c r="AE124" s="38"/>
      <c r="AF124" s="692">
        <f t="shared" si="55"/>
        <v>0</v>
      </c>
      <c r="AG124" s="692">
        <f t="shared" si="56"/>
        <v>0</v>
      </c>
      <c r="AH124" s="692">
        <f t="shared" si="57"/>
        <v>0</v>
      </c>
    </row>
    <row r="125" spans="1:34" s="232" customFormat="1">
      <c r="A125" s="283"/>
      <c r="B125" s="283" t="s">
        <v>110</v>
      </c>
      <c r="C125" s="667"/>
      <c r="D125" s="123" t="s">
        <v>334</v>
      </c>
      <c r="E125" s="679"/>
      <c r="F125" s="529">
        <f>VLOOKUP(D125,'Q3 DMV -  Revenue'!D:T,17,FALSE)</f>
        <v>0</v>
      </c>
      <c r="G125" s="694">
        <v>260973.39</v>
      </c>
      <c r="H125" s="694">
        <v>238604.68</v>
      </c>
      <c r="I125" s="741">
        <v>380936.12</v>
      </c>
      <c r="J125" s="682">
        <f t="shared" si="58"/>
        <v>880514.19</v>
      </c>
      <c r="K125" s="683"/>
      <c r="L125" s="684"/>
      <c r="M125" s="685">
        <v>0</v>
      </c>
      <c r="N125" s="683">
        <v>0</v>
      </c>
      <c r="O125" s="686">
        <v>882757.92</v>
      </c>
      <c r="P125" s="683">
        <v>0</v>
      </c>
      <c r="Q125" s="687">
        <f t="shared" si="1"/>
        <v>0</v>
      </c>
      <c r="R125" s="688"/>
      <c r="S125" s="693"/>
      <c r="T125" s="690" t="str">
        <f t="shared" si="61"/>
        <v/>
      </c>
      <c r="U125" s="683"/>
      <c r="V125" s="474">
        <f t="shared" si="59"/>
        <v>0</v>
      </c>
      <c r="W125" s="474">
        <f t="shared" si="50"/>
        <v>0</v>
      </c>
      <c r="X125" s="475">
        <f t="shared" si="51"/>
        <v>0</v>
      </c>
      <c r="Y125" s="475">
        <v>0</v>
      </c>
      <c r="Z125" s="476">
        <v>0</v>
      </c>
      <c r="AA125" s="38">
        <f t="shared" si="60"/>
        <v>0</v>
      </c>
      <c r="AB125" s="692">
        <f t="shared" si="52"/>
        <v>880514.19</v>
      </c>
      <c r="AC125" s="692">
        <f t="shared" si="53"/>
        <v>0</v>
      </c>
      <c r="AD125" s="692">
        <f t="shared" si="54"/>
        <v>0</v>
      </c>
      <c r="AE125" s="38"/>
      <c r="AF125" s="692">
        <f t="shared" si="55"/>
        <v>0</v>
      </c>
      <c r="AG125" s="692">
        <f t="shared" si="56"/>
        <v>0</v>
      </c>
      <c r="AH125" s="692">
        <f t="shared" si="57"/>
        <v>0</v>
      </c>
    </row>
    <row r="126" spans="1:34" s="232" customFormat="1">
      <c r="A126" s="283"/>
      <c r="B126" s="283" t="s">
        <v>110</v>
      </c>
      <c r="C126" s="667"/>
      <c r="D126" s="123" t="s">
        <v>335</v>
      </c>
      <c r="E126" s="679"/>
      <c r="F126" s="529">
        <f>VLOOKUP(D126,'Q3 DMV -  Revenue'!D:T,17,FALSE)</f>
        <v>0</v>
      </c>
      <c r="G126" s="694">
        <v>776.58</v>
      </c>
      <c r="H126" s="694">
        <v>596.11</v>
      </c>
      <c r="I126" s="741">
        <v>871.04</v>
      </c>
      <c r="J126" s="682">
        <f t="shared" si="58"/>
        <v>2243.73</v>
      </c>
      <c r="K126" s="683"/>
      <c r="L126" s="684"/>
      <c r="M126" s="685">
        <v>0</v>
      </c>
      <c r="N126" s="683">
        <v>0</v>
      </c>
      <c r="O126" s="686"/>
      <c r="P126" s="683">
        <v>0</v>
      </c>
      <c r="Q126" s="687">
        <f t="shared" si="1"/>
        <v>0</v>
      </c>
      <c r="R126" s="688"/>
      <c r="S126" s="693"/>
      <c r="T126" s="690" t="str">
        <f t="shared" si="61"/>
        <v/>
      </c>
      <c r="U126" s="683"/>
      <c r="V126" s="474">
        <f t="shared" si="59"/>
        <v>0</v>
      </c>
      <c r="W126" s="474">
        <f t="shared" si="50"/>
        <v>0</v>
      </c>
      <c r="X126" s="475">
        <f t="shared" si="51"/>
        <v>0</v>
      </c>
      <c r="Y126" s="475">
        <v>0</v>
      </c>
      <c r="Z126" s="476">
        <v>0</v>
      </c>
      <c r="AA126" s="38">
        <f t="shared" si="60"/>
        <v>0</v>
      </c>
      <c r="AB126" s="692">
        <f t="shared" si="52"/>
        <v>2243.73</v>
      </c>
      <c r="AC126" s="692">
        <f t="shared" si="53"/>
        <v>0</v>
      </c>
      <c r="AD126" s="692">
        <f t="shared" si="54"/>
        <v>0</v>
      </c>
      <c r="AE126" s="38"/>
      <c r="AF126" s="692">
        <f t="shared" si="55"/>
        <v>0</v>
      </c>
      <c r="AG126" s="692">
        <f t="shared" si="56"/>
        <v>0</v>
      </c>
      <c r="AH126" s="692">
        <f t="shared" si="57"/>
        <v>0</v>
      </c>
    </row>
    <row r="127" spans="1:34" s="232" customFormat="1">
      <c r="A127" s="283"/>
      <c r="B127" s="283" t="s">
        <v>110</v>
      </c>
      <c r="C127" s="667"/>
      <c r="D127" s="123" t="s">
        <v>336</v>
      </c>
      <c r="E127" s="679"/>
      <c r="F127" s="529">
        <f>VLOOKUP(D127,'Q3 DMV -  Revenue'!D:T,17,FALSE)</f>
        <v>0</v>
      </c>
      <c r="G127" s="694">
        <v>319065.12</v>
      </c>
      <c r="H127" s="694">
        <v>285577.3</v>
      </c>
      <c r="I127" s="741">
        <v>489361.39</v>
      </c>
      <c r="J127" s="682">
        <f t="shared" si="58"/>
        <v>1094003.81</v>
      </c>
      <c r="K127" s="683"/>
      <c r="L127" s="684"/>
      <c r="M127" s="685">
        <v>0</v>
      </c>
      <c r="N127" s="683">
        <v>0</v>
      </c>
      <c r="O127" s="686">
        <v>1096477.03</v>
      </c>
      <c r="P127" s="683">
        <v>0</v>
      </c>
      <c r="Q127" s="687">
        <f t="shared" si="1"/>
        <v>0</v>
      </c>
      <c r="R127" s="688"/>
      <c r="S127" s="693"/>
      <c r="T127" s="690" t="str">
        <f t="shared" si="61"/>
        <v/>
      </c>
      <c r="U127" s="683"/>
      <c r="V127" s="474">
        <f t="shared" si="59"/>
        <v>0</v>
      </c>
      <c r="W127" s="474">
        <f t="shared" si="50"/>
        <v>0</v>
      </c>
      <c r="X127" s="475">
        <f t="shared" si="51"/>
        <v>0</v>
      </c>
      <c r="Y127" s="475">
        <v>0</v>
      </c>
      <c r="Z127" s="476">
        <v>0</v>
      </c>
      <c r="AA127" s="38">
        <f t="shared" si="60"/>
        <v>0</v>
      </c>
      <c r="AB127" s="692">
        <f t="shared" si="52"/>
        <v>1094003.81</v>
      </c>
      <c r="AC127" s="692">
        <f t="shared" si="53"/>
        <v>0</v>
      </c>
      <c r="AD127" s="692">
        <f t="shared" si="54"/>
        <v>0</v>
      </c>
      <c r="AE127" s="38"/>
      <c r="AF127" s="692">
        <f t="shared" si="55"/>
        <v>0</v>
      </c>
      <c r="AG127" s="692">
        <f t="shared" si="56"/>
        <v>0</v>
      </c>
      <c r="AH127" s="692">
        <f t="shared" si="57"/>
        <v>0</v>
      </c>
    </row>
    <row r="128" spans="1:34" s="232" customFormat="1">
      <c r="A128" s="283"/>
      <c r="B128" s="283" t="s">
        <v>110</v>
      </c>
      <c r="C128" s="667"/>
      <c r="D128" s="123" t="s">
        <v>337</v>
      </c>
      <c r="E128" s="679"/>
      <c r="F128" s="529">
        <f>VLOOKUP(D128,'Q3 DMV -  Revenue'!D:T,17,FALSE)</f>
        <v>0</v>
      </c>
      <c r="G128" s="694">
        <v>789.42</v>
      </c>
      <c r="H128" s="694">
        <v>764.04</v>
      </c>
      <c r="I128" s="741">
        <v>919.76</v>
      </c>
      <c r="J128" s="682">
        <f t="shared" si="58"/>
        <v>2473.2200000000003</v>
      </c>
      <c r="K128" s="683"/>
      <c r="L128" s="684"/>
      <c r="M128" s="685">
        <v>0</v>
      </c>
      <c r="N128" s="683">
        <v>0</v>
      </c>
      <c r="O128" s="686"/>
      <c r="P128" s="683">
        <v>0</v>
      </c>
      <c r="Q128" s="687">
        <f t="shared" si="1"/>
        <v>0</v>
      </c>
      <c r="R128" s="688"/>
      <c r="S128" s="693"/>
      <c r="T128" s="690" t="str">
        <f t="shared" si="61"/>
        <v/>
      </c>
      <c r="U128" s="683"/>
      <c r="V128" s="474">
        <f t="shared" si="59"/>
        <v>0</v>
      </c>
      <c r="W128" s="474">
        <f t="shared" si="50"/>
        <v>0</v>
      </c>
      <c r="X128" s="475">
        <f t="shared" si="51"/>
        <v>0</v>
      </c>
      <c r="Y128" s="475">
        <v>0</v>
      </c>
      <c r="Z128" s="476">
        <v>0</v>
      </c>
      <c r="AA128" s="38">
        <f t="shared" si="60"/>
        <v>0</v>
      </c>
      <c r="AB128" s="692">
        <f t="shared" si="52"/>
        <v>2473.2200000000003</v>
      </c>
      <c r="AC128" s="692">
        <f t="shared" si="53"/>
        <v>0</v>
      </c>
      <c r="AD128" s="692">
        <f t="shared" si="54"/>
        <v>0</v>
      </c>
      <c r="AE128" s="38"/>
      <c r="AF128" s="692">
        <f t="shared" si="55"/>
        <v>0</v>
      </c>
      <c r="AG128" s="692">
        <f t="shared" si="56"/>
        <v>0</v>
      </c>
      <c r="AH128" s="692">
        <f t="shared" si="57"/>
        <v>0</v>
      </c>
    </row>
    <row r="129" spans="1:34" s="232" customFormat="1">
      <c r="A129" s="283"/>
      <c r="B129" s="283" t="s">
        <v>110</v>
      </c>
      <c r="C129" s="667"/>
      <c r="D129" s="123" t="s">
        <v>338</v>
      </c>
      <c r="E129" s="679"/>
      <c r="F129" s="529">
        <f>VLOOKUP(D129,'Q3 DMV -  Revenue'!D:T,17,FALSE)</f>
        <v>0</v>
      </c>
      <c r="G129" s="694">
        <v>107828.72</v>
      </c>
      <c r="H129" s="694">
        <v>90432.02</v>
      </c>
      <c r="I129" s="741">
        <v>117348.35</v>
      </c>
      <c r="J129" s="682">
        <f t="shared" si="58"/>
        <v>315609.08999999997</v>
      </c>
      <c r="K129" s="683"/>
      <c r="L129" s="684"/>
      <c r="M129" s="685">
        <v>0</v>
      </c>
      <c r="N129" s="683">
        <v>0</v>
      </c>
      <c r="O129" s="686">
        <v>315609.09000000003</v>
      </c>
      <c r="P129" s="683">
        <v>0</v>
      </c>
      <c r="Q129" s="687">
        <f t="shared" si="1"/>
        <v>0</v>
      </c>
      <c r="R129" s="688"/>
      <c r="S129" s="693"/>
      <c r="T129" s="690" t="str">
        <f t="shared" si="61"/>
        <v/>
      </c>
      <c r="U129" s="683"/>
      <c r="V129" s="474">
        <f t="shared" si="59"/>
        <v>0</v>
      </c>
      <c r="W129" s="474">
        <f t="shared" si="50"/>
        <v>0</v>
      </c>
      <c r="X129" s="475">
        <f t="shared" si="51"/>
        <v>0</v>
      </c>
      <c r="Y129" s="475">
        <v>0</v>
      </c>
      <c r="Z129" s="476">
        <v>0</v>
      </c>
      <c r="AA129" s="38">
        <f t="shared" si="60"/>
        <v>0</v>
      </c>
      <c r="AB129" s="692">
        <f t="shared" si="52"/>
        <v>315609.08999999997</v>
      </c>
      <c r="AC129" s="692">
        <f t="shared" si="53"/>
        <v>0</v>
      </c>
      <c r="AD129" s="692">
        <f t="shared" si="54"/>
        <v>0</v>
      </c>
      <c r="AE129" s="38"/>
      <c r="AF129" s="692">
        <f t="shared" si="55"/>
        <v>0</v>
      </c>
      <c r="AG129" s="692">
        <f t="shared" si="56"/>
        <v>0</v>
      </c>
      <c r="AH129" s="692">
        <f t="shared" si="57"/>
        <v>0</v>
      </c>
    </row>
    <row r="130" spans="1:34" s="232" customFormat="1">
      <c r="A130" s="283"/>
      <c r="B130" s="283" t="s">
        <v>110</v>
      </c>
      <c r="C130" s="667"/>
      <c r="D130" s="123" t="s">
        <v>339</v>
      </c>
      <c r="E130" s="679"/>
      <c r="F130" s="529">
        <f>VLOOKUP(D130,'Q3 DMV -  Revenue'!D:T,17,FALSE)</f>
        <v>0</v>
      </c>
      <c r="G130" s="694">
        <v>61709.93</v>
      </c>
      <c r="H130" s="694">
        <v>53926.44</v>
      </c>
      <c r="I130" s="741">
        <v>88387.199999999997</v>
      </c>
      <c r="J130" s="682">
        <f t="shared" si="58"/>
        <v>204023.57</v>
      </c>
      <c r="K130" s="683"/>
      <c r="L130" s="684"/>
      <c r="M130" s="685">
        <v>0</v>
      </c>
      <c r="N130" s="683">
        <v>0</v>
      </c>
      <c r="O130" s="686">
        <v>204365.87</v>
      </c>
      <c r="P130" s="683">
        <v>0</v>
      </c>
      <c r="Q130" s="687">
        <f t="shared" si="1"/>
        <v>0</v>
      </c>
      <c r="R130" s="688"/>
      <c r="S130" s="693"/>
      <c r="T130" s="690" t="str">
        <f t="shared" si="61"/>
        <v/>
      </c>
      <c r="U130" s="683"/>
      <c r="V130" s="474">
        <f t="shared" si="59"/>
        <v>0</v>
      </c>
      <c r="W130" s="474">
        <f t="shared" si="50"/>
        <v>0</v>
      </c>
      <c r="X130" s="475">
        <f t="shared" si="51"/>
        <v>0</v>
      </c>
      <c r="Y130" s="475">
        <v>0</v>
      </c>
      <c r="Z130" s="476">
        <v>0</v>
      </c>
      <c r="AA130" s="38">
        <f t="shared" si="60"/>
        <v>0</v>
      </c>
      <c r="AB130" s="692">
        <f t="shared" si="52"/>
        <v>204023.57</v>
      </c>
      <c r="AC130" s="692">
        <f t="shared" si="53"/>
        <v>0</v>
      </c>
      <c r="AD130" s="692">
        <f t="shared" si="54"/>
        <v>0</v>
      </c>
      <c r="AE130" s="38"/>
      <c r="AF130" s="692">
        <f t="shared" si="55"/>
        <v>0</v>
      </c>
      <c r="AG130" s="692">
        <f t="shared" si="56"/>
        <v>0</v>
      </c>
      <c r="AH130" s="692">
        <f t="shared" si="57"/>
        <v>0</v>
      </c>
    </row>
    <row r="131" spans="1:34" s="232" customFormat="1">
      <c r="A131" s="283"/>
      <c r="B131" s="283" t="s">
        <v>110</v>
      </c>
      <c r="C131" s="667"/>
      <c r="D131" s="123" t="s">
        <v>340</v>
      </c>
      <c r="E131" s="679"/>
      <c r="F131" s="529">
        <f>VLOOKUP(D131,'Q3 DMV -  Revenue'!D:T,17,FALSE)</f>
        <v>0</v>
      </c>
      <c r="G131" s="694">
        <v>121.74</v>
      </c>
      <c r="H131" s="694">
        <v>82.33</v>
      </c>
      <c r="I131" s="741">
        <v>138.22999999999999</v>
      </c>
      <c r="J131" s="682">
        <f t="shared" si="58"/>
        <v>342.29999999999995</v>
      </c>
      <c r="K131" s="683"/>
      <c r="L131" s="684"/>
      <c r="M131" s="685">
        <v>0</v>
      </c>
      <c r="N131" s="683">
        <v>0</v>
      </c>
      <c r="O131" s="686"/>
      <c r="P131" s="683">
        <v>0</v>
      </c>
      <c r="Q131" s="687">
        <f t="shared" si="1"/>
        <v>0</v>
      </c>
      <c r="R131" s="688"/>
      <c r="S131" s="693"/>
      <c r="T131" s="690" t="str">
        <f t="shared" si="61"/>
        <v/>
      </c>
      <c r="U131" s="683"/>
      <c r="V131" s="474">
        <f t="shared" si="59"/>
        <v>0</v>
      </c>
      <c r="W131" s="474">
        <f t="shared" si="50"/>
        <v>0</v>
      </c>
      <c r="X131" s="475">
        <f t="shared" si="51"/>
        <v>0</v>
      </c>
      <c r="Y131" s="475">
        <v>0</v>
      </c>
      <c r="Z131" s="476">
        <v>0</v>
      </c>
      <c r="AA131" s="38">
        <f t="shared" si="60"/>
        <v>0</v>
      </c>
      <c r="AB131" s="692">
        <f t="shared" si="52"/>
        <v>342.29999999999995</v>
      </c>
      <c r="AC131" s="692">
        <f t="shared" si="53"/>
        <v>0</v>
      </c>
      <c r="AD131" s="692">
        <f t="shared" si="54"/>
        <v>0</v>
      </c>
      <c r="AE131" s="38"/>
      <c r="AF131" s="692">
        <f t="shared" si="55"/>
        <v>0</v>
      </c>
      <c r="AG131" s="692">
        <f t="shared" si="56"/>
        <v>0</v>
      </c>
      <c r="AH131" s="692">
        <f t="shared" si="57"/>
        <v>0</v>
      </c>
    </row>
    <row r="132" spans="1:34" s="232" customFormat="1">
      <c r="A132" s="283"/>
      <c r="B132" s="283" t="s">
        <v>110</v>
      </c>
      <c r="C132" s="667"/>
      <c r="D132" s="123" t="s">
        <v>439</v>
      </c>
      <c r="E132" s="679"/>
      <c r="F132" s="529">
        <f>VLOOKUP(D132,'Q3 DMV -  Revenue'!D:T,17,FALSE)</f>
        <v>0</v>
      </c>
      <c r="G132" s="694">
        <v>429.51</v>
      </c>
      <c r="H132" s="694">
        <v>887.3</v>
      </c>
      <c r="I132" s="741">
        <v>1871.61</v>
      </c>
      <c r="J132" s="682">
        <f t="shared" si="58"/>
        <v>3188.42</v>
      </c>
      <c r="K132" s="683"/>
      <c r="L132" s="684"/>
      <c r="M132" s="685">
        <v>0</v>
      </c>
      <c r="N132" s="683">
        <v>0</v>
      </c>
      <c r="O132" s="686">
        <v>3188.42</v>
      </c>
      <c r="P132" s="683">
        <v>0</v>
      </c>
      <c r="Q132" s="687">
        <f t="shared" si="1"/>
        <v>0</v>
      </c>
      <c r="R132" s="688"/>
      <c r="S132" s="693"/>
      <c r="T132" s="690" t="str">
        <f t="shared" si="61"/>
        <v/>
      </c>
      <c r="U132" s="683"/>
      <c r="V132" s="474">
        <f t="shared" si="59"/>
        <v>0</v>
      </c>
      <c r="W132" s="474">
        <f t="shared" si="50"/>
        <v>0</v>
      </c>
      <c r="X132" s="475">
        <f t="shared" si="51"/>
        <v>0</v>
      </c>
      <c r="Y132" s="475">
        <v>0</v>
      </c>
      <c r="Z132" s="476">
        <v>0</v>
      </c>
      <c r="AA132" s="38">
        <f t="shared" si="60"/>
        <v>0</v>
      </c>
      <c r="AB132" s="692">
        <f t="shared" si="52"/>
        <v>3188.42</v>
      </c>
      <c r="AC132" s="692">
        <f t="shared" si="53"/>
        <v>0</v>
      </c>
      <c r="AD132" s="692">
        <f t="shared" si="54"/>
        <v>0</v>
      </c>
      <c r="AE132" s="38"/>
      <c r="AF132" s="692">
        <f t="shared" si="55"/>
        <v>0</v>
      </c>
      <c r="AG132" s="692">
        <f t="shared" si="56"/>
        <v>0</v>
      </c>
      <c r="AH132" s="692">
        <f t="shared" si="57"/>
        <v>0</v>
      </c>
    </row>
    <row r="133" spans="1:34" s="232" customFormat="1">
      <c r="A133" s="283"/>
      <c r="B133" s="283" t="s">
        <v>110</v>
      </c>
      <c r="C133" s="667"/>
      <c r="D133" s="123" t="s">
        <v>592</v>
      </c>
      <c r="E133" s="679"/>
      <c r="F133" s="529"/>
      <c r="G133" s="695">
        <v>0</v>
      </c>
      <c r="H133" s="694">
        <v>485.29</v>
      </c>
      <c r="I133" s="741">
        <v>691.35</v>
      </c>
      <c r="J133" s="682">
        <f t="shared" ref="J133" si="63">SUM(E133:I133)</f>
        <v>1176.6400000000001</v>
      </c>
      <c r="K133" s="683"/>
      <c r="L133" s="684"/>
      <c r="M133" s="685">
        <v>0</v>
      </c>
      <c r="N133" s="683">
        <v>0</v>
      </c>
      <c r="O133" s="686">
        <v>1176.6400000000001</v>
      </c>
      <c r="P133" s="683">
        <v>0</v>
      </c>
      <c r="Q133" s="687">
        <f t="shared" ref="Q133" si="64">L133+M133</f>
        <v>0</v>
      </c>
      <c r="R133" s="688"/>
      <c r="S133" s="693"/>
      <c r="T133" s="690" t="str">
        <f t="shared" ref="T133" si="65">IF(R133="","",R133-Q133)</f>
        <v/>
      </c>
      <c r="U133" s="683"/>
      <c r="V133" s="474">
        <f t="shared" ref="V133" si="66">IF(B133="D",Q133,0)</f>
        <v>0</v>
      </c>
      <c r="W133" s="474">
        <f t="shared" ref="W133" si="67">IF(B133="M",Q133,0)</f>
        <v>0</v>
      </c>
      <c r="X133" s="475">
        <f t="shared" ref="X133" si="68">IF(B133="V",Q133,0)</f>
        <v>0</v>
      </c>
      <c r="Y133" s="475">
        <v>0</v>
      </c>
      <c r="Z133" s="476">
        <v>0</v>
      </c>
      <c r="AA133" s="38">
        <f t="shared" ref="AA133" si="69">(L133+M133)-(V133+W133+X133+Y133+Z133)</f>
        <v>0</v>
      </c>
      <c r="AB133" s="692">
        <f t="shared" ref="AB133" si="70">IF(B133="D",J133,0)</f>
        <v>1176.6400000000001</v>
      </c>
      <c r="AC133" s="692">
        <f t="shared" ref="AC133" si="71">IF(B133="M",J133,0)</f>
        <v>0</v>
      </c>
      <c r="AD133" s="692">
        <f t="shared" ref="AD133" si="72">IF(B133="V",J133,0)</f>
        <v>0</v>
      </c>
      <c r="AE133" s="38"/>
      <c r="AF133" s="692">
        <f t="shared" ref="AF133" si="73">IF(B133="D",Q133,0)</f>
        <v>0</v>
      </c>
      <c r="AG133" s="692">
        <f t="shared" ref="AG133" si="74">IF(B133="M",Q133,0)</f>
        <v>0</v>
      </c>
      <c r="AH133" s="692">
        <f t="shared" ref="AH133" si="75">IF(B133="V",Q133,0)</f>
        <v>0</v>
      </c>
    </row>
    <row r="134" spans="1:34" s="232" customFormat="1">
      <c r="A134" s="283"/>
      <c r="B134" s="283" t="s">
        <v>110</v>
      </c>
      <c r="C134" s="667"/>
      <c r="D134" s="123" t="s">
        <v>512</v>
      </c>
      <c r="E134" s="679"/>
      <c r="F134" s="529">
        <f>VLOOKUP(D134,'Q3 DMV -  Revenue'!D:T,17,FALSE)</f>
        <v>0</v>
      </c>
      <c r="G134" s="694">
        <v>40651.86</v>
      </c>
      <c r="H134" s="694">
        <v>37634.14</v>
      </c>
      <c r="I134" s="741">
        <v>52330.47</v>
      </c>
      <c r="J134" s="682">
        <f>SUM(E134:I134)</f>
        <v>130616.47</v>
      </c>
      <c r="K134" s="683"/>
      <c r="L134" s="684"/>
      <c r="M134" s="685">
        <v>0</v>
      </c>
      <c r="N134" s="683">
        <v>0</v>
      </c>
      <c r="O134" s="686">
        <v>130616.47</v>
      </c>
      <c r="P134" s="683"/>
      <c r="Q134" s="687">
        <f t="shared" ref="Q134:Q135" si="76">L134+M134</f>
        <v>0</v>
      </c>
      <c r="R134" s="688"/>
      <c r="S134" s="693"/>
      <c r="T134" s="690" t="str">
        <f t="shared" ref="T134:T135" si="77">IF(R134="","",R134-Q134)</f>
        <v/>
      </c>
      <c r="U134" s="683"/>
      <c r="V134" s="474">
        <f t="shared" ref="V134:V135" si="78">IF(B134="D",Q134,0)</f>
        <v>0</v>
      </c>
      <c r="W134" s="474">
        <f t="shared" ref="W134:W135" si="79">IF(B134="M",Q134,0)</f>
        <v>0</v>
      </c>
      <c r="X134" s="475">
        <f t="shared" ref="X134:X135" si="80">IF(B134="V",Q134,0)</f>
        <v>0</v>
      </c>
      <c r="Y134" s="475">
        <v>0</v>
      </c>
      <c r="Z134" s="476">
        <v>0</v>
      </c>
      <c r="AA134" s="38">
        <f t="shared" ref="AA134:AA135" si="81">(L134+M134)-(V134+W134+X134+Y134+Z134)</f>
        <v>0</v>
      </c>
      <c r="AB134" s="692">
        <f t="shared" ref="AB134:AB135" si="82">IF(B134="D",J134,0)</f>
        <v>130616.47</v>
      </c>
      <c r="AC134" s="692">
        <f t="shared" ref="AC134:AC135" si="83">IF(B134="M",J134,0)</f>
        <v>0</v>
      </c>
      <c r="AD134" s="692">
        <f t="shared" ref="AD134:AD135" si="84">IF(B134="V",J134,0)</f>
        <v>0</v>
      </c>
      <c r="AE134" s="38"/>
      <c r="AF134" s="692">
        <f t="shared" ref="AF134:AF135" si="85">IF(B134="D",Q134,0)</f>
        <v>0</v>
      </c>
      <c r="AG134" s="692">
        <f t="shared" ref="AG134:AG135" si="86">IF(B134="M",Q134,0)</f>
        <v>0</v>
      </c>
      <c r="AH134" s="692">
        <f t="shared" ref="AH134:AH135" si="87">IF(B134="V",Q134,0)</f>
        <v>0</v>
      </c>
    </row>
    <row r="135" spans="1:34" s="24" customFormat="1">
      <c r="A135" s="32"/>
      <c r="B135" s="32" t="s">
        <v>110</v>
      </c>
      <c r="C135" s="667"/>
      <c r="D135" s="68" t="s">
        <v>588</v>
      </c>
      <c r="E135" s="679">
        <v>117.72</v>
      </c>
      <c r="F135" s="529">
        <f>VLOOKUP(D135,'Q3 DMV -  Revenue'!D:T,17,FALSE)</f>
        <v>255.45</v>
      </c>
      <c r="G135" s="694">
        <v>31.25</v>
      </c>
      <c r="H135" s="694">
        <v>13.78</v>
      </c>
      <c r="I135" s="741">
        <v>26.27</v>
      </c>
      <c r="J135" s="682">
        <f t="shared" ref="J135" si="88">SUM(E135:I135)</f>
        <v>444.46999999999991</v>
      </c>
      <c r="K135" s="683"/>
      <c r="L135" s="684"/>
      <c r="M135" s="685">
        <v>0</v>
      </c>
      <c r="N135" s="698"/>
      <c r="O135" s="699">
        <v>444.47</v>
      </c>
      <c r="P135" s="698"/>
      <c r="Q135" s="687">
        <f t="shared" si="76"/>
        <v>0</v>
      </c>
      <c r="R135" s="688"/>
      <c r="S135" s="693"/>
      <c r="T135" s="690" t="str">
        <f t="shared" si="77"/>
        <v/>
      </c>
      <c r="U135" s="683"/>
      <c r="V135" s="474">
        <f t="shared" si="78"/>
        <v>0</v>
      </c>
      <c r="W135" s="474">
        <f t="shared" si="79"/>
        <v>0</v>
      </c>
      <c r="X135" s="475">
        <f t="shared" si="80"/>
        <v>0</v>
      </c>
      <c r="Y135" s="475">
        <v>0</v>
      </c>
      <c r="Z135" s="476">
        <v>0</v>
      </c>
      <c r="AA135" s="38">
        <f t="shared" si="81"/>
        <v>0</v>
      </c>
      <c r="AB135" s="692">
        <f t="shared" si="82"/>
        <v>444.46999999999991</v>
      </c>
      <c r="AC135" s="692">
        <f t="shared" si="83"/>
        <v>0</v>
      </c>
      <c r="AD135" s="692">
        <f t="shared" si="84"/>
        <v>0</v>
      </c>
      <c r="AE135" s="38"/>
      <c r="AF135" s="692">
        <f t="shared" si="85"/>
        <v>0</v>
      </c>
      <c r="AG135" s="692">
        <f t="shared" si="86"/>
        <v>0</v>
      </c>
      <c r="AH135" s="692">
        <f t="shared" si="87"/>
        <v>0</v>
      </c>
    </row>
    <row r="136" spans="1:34">
      <c r="A136" s="21"/>
      <c r="B136" s="21" t="s">
        <v>109</v>
      </c>
      <c r="C136" s="666" t="s">
        <v>548</v>
      </c>
      <c r="D136" s="68" t="s">
        <v>461</v>
      </c>
      <c r="E136" s="679"/>
      <c r="F136" s="529">
        <f>VLOOKUP(D136,'Q3 DMV -  Revenue'!D:T,17,FALSE)</f>
        <v>80.405000000000655</v>
      </c>
      <c r="G136" s="694">
        <v>8117.41</v>
      </c>
      <c r="H136" s="694">
        <v>5725.6</v>
      </c>
      <c r="I136" s="741">
        <v>5011.46</v>
      </c>
      <c r="J136" s="682">
        <f t="shared" si="58"/>
        <v>18934.875</v>
      </c>
      <c r="K136" s="683"/>
      <c r="L136" s="684"/>
      <c r="M136" s="685">
        <v>0</v>
      </c>
      <c r="N136" s="683">
        <v>0</v>
      </c>
      <c r="O136" s="686">
        <v>18934.87</v>
      </c>
      <c r="P136" s="683">
        <v>0</v>
      </c>
      <c r="Q136" s="687">
        <f t="shared" si="1"/>
        <v>0</v>
      </c>
      <c r="R136" s="688"/>
      <c r="S136" s="693"/>
      <c r="T136" s="690" t="str">
        <f t="shared" si="61"/>
        <v/>
      </c>
      <c r="U136" s="683"/>
      <c r="V136" s="474">
        <f t="shared" si="59"/>
        <v>0</v>
      </c>
      <c r="W136" s="474">
        <f t="shared" si="50"/>
        <v>0</v>
      </c>
      <c r="X136" s="475">
        <f t="shared" si="51"/>
        <v>0</v>
      </c>
      <c r="Y136" s="475">
        <v>0</v>
      </c>
      <c r="Z136" s="476">
        <v>0</v>
      </c>
      <c r="AA136" s="38">
        <f t="shared" si="60"/>
        <v>0</v>
      </c>
      <c r="AB136" s="692">
        <f t="shared" si="52"/>
        <v>0</v>
      </c>
      <c r="AC136" s="692">
        <f t="shared" si="53"/>
        <v>18934.875</v>
      </c>
      <c r="AD136" s="692">
        <f t="shared" si="54"/>
        <v>0</v>
      </c>
      <c r="AE136" s="38"/>
      <c r="AF136" s="692">
        <f t="shared" si="55"/>
        <v>0</v>
      </c>
      <c r="AG136" s="692">
        <f t="shared" si="56"/>
        <v>0</v>
      </c>
      <c r="AH136" s="692">
        <f t="shared" si="57"/>
        <v>0</v>
      </c>
    </row>
    <row r="137" spans="1:34">
      <c r="A137" s="20"/>
      <c r="B137" s="20" t="s">
        <v>109</v>
      </c>
      <c r="C137" s="667" t="s">
        <v>549</v>
      </c>
      <c r="D137" s="68" t="s">
        <v>22</v>
      </c>
      <c r="E137" s="679"/>
      <c r="F137" s="529">
        <f>VLOOKUP(D137,'Q3 DMV -  Revenue'!D:T,17,FALSE)</f>
        <v>-69.319999999999993</v>
      </c>
      <c r="G137" s="694">
        <v>64.650000000000006</v>
      </c>
      <c r="H137" s="694">
        <v>61.84</v>
      </c>
      <c r="I137" s="741">
        <v>29.67</v>
      </c>
      <c r="J137" s="682">
        <f t="shared" si="58"/>
        <v>86.840000000000018</v>
      </c>
      <c r="K137" s="683"/>
      <c r="L137" s="684"/>
      <c r="M137" s="685">
        <v>0</v>
      </c>
      <c r="N137" s="683">
        <v>0</v>
      </c>
      <c r="O137" s="686">
        <v>86.85</v>
      </c>
      <c r="P137" s="683">
        <v>0</v>
      </c>
      <c r="Q137" s="687">
        <f t="shared" si="1"/>
        <v>0</v>
      </c>
      <c r="R137" s="688"/>
      <c r="S137" s="693"/>
      <c r="T137" s="690" t="str">
        <f t="shared" si="61"/>
        <v/>
      </c>
      <c r="U137" s="683"/>
      <c r="V137" s="474">
        <f t="shared" si="59"/>
        <v>0</v>
      </c>
      <c r="W137" s="474">
        <f t="shared" si="50"/>
        <v>0</v>
      </c>
      <c r="X137" s="475">
        <f t="shared" si="51"/>
        <v>0</v>
      </c>
      <c r="Y137" s="475">
        <v>0</v>
      </c>
      <c r="Z137" s="476">
        <v>0</v>
      </c>
      <c r="AA137" s="38">
        <f t="shared" si="60"/>
        <v>0</v>
      </c>
      <c r="AB137" s="692">
        <f t="shared" si="52"/>
        <v>0</v>
      </c>
      <c r="AC137" s="692">
        <f t="shared" si="53"/>
        <v>86.840000000000018</v>
      </c>
      <c r="AD137" s="692">
        <f t="shared" si="54"/>
        <v>0</v>
      </c>
      <c r="AE137" s="38"/>
      <c r="AF137" s="692">
        <f t="shared" si="55"/>
        <v>0</v>
      </c>
      <c r="AG137" s="692">
        <f t="shared" si="56"/>
        <v>0</v>
      </c>
      <c r="AH137" s="692">
        <f t="shared" si="57"/>
        <v>0</v>
      </c>
    </row>
    <row r="138" spans="1:34">
      <c r="A138" s="20" t="s">
        <v>211</v>
      </c>
      <c r="B138" s="20" t="s">
        <v>110</v>
      </c>
      <c r="C138" s="667"/>
      <c r="D138" s="68" t="s">
        <v>23</v>
      </c>
      <c r="E138" s="679"/>
      <c r="F138" s="529">
        <f>VLOOKUP(D138,'Q3 DMV -  Revenue'!D:T,17,FALSE)</f>
        <v>0</v>
      </c>
      <c r="G138" s="680"/>
      <c r="H138" s="680"/>
      <c r="I138" s="681"/>
      <c r="J138" s="682">
        <f t="shared" si="58"/>
        <v>0</v>
      </c>
      <c r="K138" s="683"/>
      <c r="L138" s="684"/>
      <c r="M138" s="685">
        <v>0</v>
      </c>
      <c r="N138" s="683">
        <v>0</v>
      </c>
      <c r="O138" s="686"/>
      <c r="P138" s="683">
        <v>0</v>
      </c>
      <c r="Q138" s="687">
        <f t="shared" si="1"/>
        <v>0</v>
      </c>
      <c r="R138" s="688"/>
      <c r="S138" s="693"/>
      <c r="T138" s="690" t="str">
        <f t="shared" si="61"/>
        <v/>
      </c>
      <c r="U138" s="683"/>
      <c r="V138" s="474">
        <f t="shared" si="59"/>
        <v>0</v>
      </c>
      <c r="W138" s="474">
        <f t="shared" si="50"/>
        <v>0</v>
      </c>
      <c r="X138" s="475">
        <f t="shared" si="51"/>
        <v>0</v>
      </c>
      <c r="Y138" s="475">
        <v>0</v>
      </c>
      <c r="Z138" s="476">
        <v>0</v>
      </c>
      <c r="AA138" s="38">
        <f t="shared" si="60"/>
        <v>0</v>
      </c>
      <c r="AB138" s="692">
        <f t="shared" si="52"/>
        <v>0</v>
      </c>
      <c r="AC138" s="692">
        <f t="shared" si="53"/>
        <v>0</v>
      </c>
      <c r="AD138" s="692">
        <f t="shared" si="54"/>
        <v>0</v>
      </c>
      <c r="AE138" s="38"/>
      <c r="AF138" s="692">
        <f t="shared" si="55"/>
        <v>0</v>
      </c>
      <c r="AG138" s="692">
        <f t="shared" si="56"/>
        <v>0</v>
      </c>
      <c r="AH138" s="692">
        <f t="shared" si="57"/>
        <v>0</v>
      </c>
    </row>
    <row r="139" spans="1:34">
      <c r="A139" s="20" t="s">
        <v>109</v>
      </c>
      <c r="B139" s="20" t="s">
        <v>110</v>
      </c>
      <c r="C139" s="667"/>
      <c r="D139" s="68" t="s">
        <v>321</v>
      </c>
      <c r="E139" s="679"/>
      <c r="F139" s="529">
        <f>VLOOKUP(D139,'Q3 DMV -  Revenue'!D:T,17,FALSE)</f>
        <v>0</v>
      </c>
      <c r="G139" s="680"/>
      <c r="H139" s="680"/>
      <c r="I139" s="681"/>
      <c r="J139" s="682">
        <f t="shared" si="58"/>
        <v>0</v>
      </c>
      <c r="K139" s="683"/>
      <c r="L139" s="684"/>
      <c r="M139" s="685">
        <v>0</v>
      </c>
      <c r="N139" s="683">
        <v>0</v>
      </c>
      <c r="O139" s="686"/>
      <c r="P139" s="683">
        <v>0</v>
      </c>
      <c r="Q139" s="687">
        <f t="shared" si="1"/>
        <v>0</v>
      </c>
      <c r="R139" s="688"/>
      <c r="S139" s="693"/>
      <c r="T139" s="690" t="str">
        <f t="shared" si="61"/>
        <v/>
      </c>
      <c r="U139" s="683"/>
      <c r="V139" s="474">
        <f t="shared" si="59"/>
        <v>0</v>
      </c>
      <c r="W139" s="474">
        <f t="shared" si="50"/>
        <v>0</v>
      </c>
      <c r="X139" s="475">
        <f t="shared" si="51"/>
        <v>0</v>
      </c>
      <c r="Y139" s="475">
        <v>0</v>
      </c>
      <c r="Z139" s="476">
        <v>0</v>
      </c>
      <c r="AA139" s="38">
        <f t="shared" si="60"/>
        <v>0</v>
      </c>
      <c r="AB139" s="692">
        <f t="shared" si="52"/>
        <v>0</v>
      </c>
      <c r="AC139" s="692">
        <f t="shared" si="53"/>
        <v>0</v>
      </c>
      <c r="AD139" s="692">
        <f t="shared" si="54"/>
        <v>0</v>
      </c>
      <c r="AE139" s="38"/>
      <c r="AF139" s="692">
        <f t="shared" si="55"/>
        <v>0</v>
      </c>
      <c r="AG139" s="692">
        <f t="shared" si="56"/>
        <v>0</v>
      </c>
      <c r="AH139" s="692">
        <f t="shared" si="57"/>
        <v>0</v>
      </c>
    </row>
    <row r="140" spans="1:34">
      <c r="A140" s="20"/>
      <c r="B140" s="20" t="s">
        <v>110</v>
      </c>
      <c r="C140" s="667"/>
      <c r="D140" s="68" t="s">
        <v>24</v>
      </c>
      <c r="E140" s="679"/>
      <c r="F140" s="529">
        <f>VLOOKUP(D140,'Q3 DMV -  Revenue'!D:T,17,FALSE)</f>
        <v>0</v>
      </c>
      <c r="G140" s="694">
        <v>3455.44</v>
      </c>
      <c r="H140" s="694">
        <v>3472.23</v>
      </c>
      <c r="I140" s="741">
        <v>3231.91</v>
      </c>
      <c r="J140" s="682">
        <f t="shared" si="58"/>
        <v>10159.58</v>
      </c>
      <c r="K140" s="683"/>
      <c r="L140" s="684"/>
      <c r="M140" s="685">
        <v>0</v>
      </c>
      <c r="N140" s="683">
        <v>0</v>
      </c>
      <c r="O140" s="686">
        <v>10159.58</v>
      </c>
      <c r="P140" s="683">
        <v>0</v>
      </c>
      <c r="Q140" s="687">
        <f t="shared" si="1"/>
        <v>0</v>
      </c>
      <c r="R140" s="688"/>
      <c r="S140" s="693"/>
      <c r="T140" s="690" t="str">
        <f t="shared" si="61"/>
        <v/>
      </c>
      <c r="U140" s="683"/>
      <c r="V140" s="474">
        <f t="shared" si="59"/>
        <v>0</v>
      </c>
      <c r="W140" s="474">
        <f t="shared" si="50"/>
        <v>0</v>
      </c>
      <c r="X140" s="475">
        <f t="shared" si="51"/>
        <v>0</v>
      </c>
      <c r="Y140" s="475">
        <v>0</v>
      </c>
      <c r="Z140" s="476">
        <v>0</v>
      </c>
      <c r="AA140" s="38">
        <f t="shared" si="60"/>
        <v>0</v>
      </c>
      <c r="AB140" s="692">
        <f t="shared" si="52"/>
        <v>10159.58</v>
      </c>
      <c r="AC140" s="692">
        <f t="shared" si="53"/>
        <v>0</v>
      </c>
      <c r="AD140" s="692">
        <f t="shared" si="54"/>
        <v>0</v>
      </c>
      <c r="AE140" s="38"/>
      <c r="AF140" s="692">
        <f t="shared" si="55"/>
        <v>0</v>
      </c>
      <c r="AG140" s="692">
        <f t="shared" si="56"/>
        <v>0</v>
      </c>
      <c r="AH140" s="692">
        <f t="shared" si="57"/>
        <v>0</v>
      </c>
    </row>
    <row r="141" spans="1:34">
      <c r="A141" s="20" t="s">
        <v>211</v>
      </c>
      <c r="B141" s="20" t="s">
        <v>110</v>
      </c>
      <c r="C141" s="667"/>
      <c r="D141" s="68" t="s">
        <v>91</v>
      </c>
      <c r="E141" s="679"/>
      <c r="F141" s="529">
        <f>VLOOKUP(D141,'Q3 DMV -  Revenue'!D:T,17,FALSE)</f>
        <v>0</v>
      </c>
      <c r="G141" s="680"/>
      <c r="H141" s="680"/>
      <c r="I141" s="681"/>
      <c r="J141" s="682">
        <f t="shared" si="58"/>
        <v>0</v>
      </c>
      <c r="K141" s="683"/>
      <c r="L141" s="684"/>
      <c r="M141" s="685">
        <v>0</v>
      </c>
      <c r="N141" s="683">
        <v>0</v>
      </c>
      <c r="O141" s="686"/>
      <c r="P141" s="683">
        <v>0</v>
      </c>
      <c r="Q141" s="687">
        <f t="shared" si="1"/>
        <v>0</v>
      </c>
      <c r="R141" s="688"/>
      <c r="S141" s="693"/>
      <c r="T141" s="690" t="str">
        <f t="shared" si="61"/>
        <v/>
      </c>
      <c r="U141" s="697"/>
      <c r="V141" s="474">
        <f t="shared" si="59"/>
        <v>0</v>
      </c>
      <c r="W141" s="474">
        <f t="shared" si="50"/>
        <v>0</v>
      </c>
      <c r="X141" s="475">
        <f t="shared" si="51"/>
        <v>0</v>
      </c>
      <c r="Y141" s="475">
        <v>0</v>
      </c>
      <c r="Z141" s="476">
        <v>0</v>
      </c>
      <c r="AA141" s="38">
        <f t="shared" si="60"/>
        <v>0</v>
      </c>
      <c r="AB141" s="692">
        <f t="shared" si="52"/>
        <v>0</v>
      </c>
      <c r="AC141" s="692">
        <f t="shared" si="53"/>
        <v>0</v>
      </c>
      <c r="AD141" s="692">
        <f t="shared" si="54"/>
        <v>0</v>
      </c>
      <c r="AE141" s="38"/>
      <c r="AF141" s="692">
        <f t="shared" si="55"/>
        <v>0</v>
      </c>
      <c r="AG141" s="692">
        <f t="shared" si="56"/>
        <v>0</v>
      </c>
      <c r="AH141" s="692">
        <f t="shared" si="57"/>
        <v>0</v>
      </c>
    </row>
    <row r="142" spans="1:34">
      <c r="A142" s="20"/>
      <c r="B142" s="20" t="s">
        <v>110</v>
      </c>
      <c r="C142" s="667"/>
      <c r="D142" s="68" t="s">
        <v>118</v>
      </c>
      <c r="E142" s="679"/>
      <c r="F142" s="529">
        <f>VLOOKUP(D142,'Q3 DMV -  Revenue'!D:T,17,FALSE)</f>
        <v>0</v>
      </c>
      <c r="G142" s="680"/>
      <c r="H142" s="680"/>
      <c r="I142" s="681"/>
      <c r="J142" s="682">
        <f t="shared" si="58"/>
        <v>0</v>
      </c>
      <c r="K142" s="683"/>
      <c r="L142" s="684"/>
      <c r="M142" s="685">
        <v>0</v>
      </c>
      <c r="N142" s="683">
        <v>0</v>
      </c>
      <c r="O142" s="686"/>
      <c r="P142" s="683">
        <v>0</v>
      </c>
      <c r="Q142" s="687">
        <f t="shared" si="1"/>
        <v>0</v>
      </c>
      <c r="R142" s="688"/>
      <c r="S142" s="693"/>
      <c r="T142" s="690" t="str">
        <f t="shared" si="61"/>
        <v/>
      </c>
      <c r="U142" s="697"/>
      <c r="V142" s="474">
        <f t="shared" si="59"/>
        <v>0</v>
      </c>
      <c r="W142" s="474">
        <f t="shared" si="50"/>
        <v>0</v>
      </c>
      <c r="X142" s="475">
        <f t="shared" si="51"/>
        <v>0</v>
      </c>
      <c r="Y142" s="475">
        <v>0</v>
      </c>
      <c r="Z142" s="476">
        <v>0</v>
      </c>
      <c r="AA142" s="38">
        <f t="shared" si="60"/>
        <v>0</v>
      </c>
      <c r="AB142" s="692">
        <f t="shared" si="52"/>
        <v>0</v>
      </c>
      <c r="AC142" s="692">
        <f t="shared" si="53"/>
        <v>0</v>
      </c>
      <c r="AD142" s="692">
        <f t="shared" si="54"/>
        <v>0</v>
      </c>
      <c r="AE142" s="38"/>
      <c r="AF142" s="692">
        <f t="shared" si="55"/>
        <v>0</v>
      </c>
      <c r="AG142" s="692">
        <f t="shared" si="56"/>
        <v>0</v>
      </c>
      <c r="AH142" s="692">
        <f t="shared" si="57"/>
        <v>0</v>
      </c>
    </row>
    <row r="143" spans="1:34">
      <c r="A143" s="20" t="s">
        <v>211</v>
      </c>
      <c r="B143" s="20" t="s">
        <v>110</v>
      </c>
      <c r="C143" s="667"/>
      <c r="D143" s="68" t="s">
        <v>486</v>
      </c>
      <c r="E143" s="679"/>
      <c r="F143" s="529">
        <f>VLOOKUP(D143,'Q3 DMV -  Revenue'!D:T,17,FALSE)</f>
        <v>0</v>
      </c>
      <c r="G143" s="680"/>
      <c r="H143" s="680"/>
      <c r="I143" s="681"/>
      <c r="J143" s="682">
        <f t="shared" si="58"/>
        <v>0</v>
      </c>
      <c r="K143" s="683"/>
      <c r="L143" s="684"/>
      <c r="M143" s="685">
        <v>0</v>
      </c>
      <c r="N143" s="683">
        <v>0</v>
      </c>
      <c r="O143" s="686"/>
      <c r="P143" s="683">
        <v>0</v>
      </c>
      <c r="Q143" s="687">
        <f t="shared" si="1"/>
        <v>0</v>
      </c>
      <c r="R143" s="688"/>
      <c r="S143" s="693"/>
      <c r="T143" s="690" t="str">
        <f t="shared" si="61"/>
        <v/>
      </c>
      <c r="U143" s="683"/>
      <c r="V143" s="474">
        <f t="shared" si="59"/>
        <v>0</v>
      </c>
      <c r="W143" s="474">
        <f t="shared" si="50"/>
        <v>0</v>
      </c>
      <c r="X143" s="475">
        <f t="shared" si="51"/>
        <v>0</v>
      </c>
      <c r="Y143" s="475">
        <v>0</v>
      </c>
      <c r="Z143" s="476">
        <v>0</v>
      </c>
      <c r="AA143" s="38">
        <f t="shared" si="60"/>
        <v>0</v>
      </c>
      <c r="AB143" s="692">
        <f t="shared" si="52"/>
        <v>0</v>
      </c>
      <c r="AC143" s="692">
        <f t="shared" si="53"/>
        <v>0</v>
      </c>
      <c r="AD143" s="692">
        <f t="shared" si="54"/>
        <v>0</v>
      </c>
      <c r="AE143" s="38"/>
      <c r="AF143" s="692">
        <f t="shared" si="55"/>
        <v>0</v>
      </c>
      <c r="AG143" s="692">
        <f t="shared" si="56"/>
        <v>0</v>
      </c>
      <c r="AH143" s="692">
        <f t="shared" si="57"/>
        <v>0</v>
      </c>
    </row>
    <row r="144" spans="1:34">
      <c r="A144" s="21"/>
      <c r="B144" s="21" t="s">
        <v>110</v>
      </c>
      <c r="C144" s="666"/>
      <c r="D144" s="68" t="s">
        <v>268</v>
      </c>
      <c r="E144" s="679"/>
      <c r="F144" s="529">
        <f>VLOOKUP(D144,'Q3 DMV -  Revenue'!D:T,17,FALSE)</f>
        <v>0</v>
      </c>
      <c r="G144" s="696"/>
      <c r="H144" s="696"/>
      <c r="I144" s="696"/>
      <c r="J144" s="682">
        <f t="shared" si="58"/>
        <v>0</v>
      </c>
      <c r="K144" s="683"/>
      <c r="L144" s="684"/>
      <c r="M144" s="685">
        <v>0</v>
      </c>
      <c r="N144" s="683">
        <v>0</v>
      </c>
      <c r="O144" s="686"/>
      <c r="P144" s="683">
        <v>0</v>
      </c>
      <c r="Q144" s="687">
        <f t="shared" si="1"/>
        <v>0</v>
      </c>
      <c r="R144" s="688"/>
      <c r="S144" s="693"/>
      <c r="T144" s="690" t="str">
        <f t="shared" si="61"/>
        <v/>
      </c>
      <c r="U144" s="683"/>
      <c r="V144" s="474">
        <f t="shared" si="59"/>
        <v>0</v>
      </c>
      <c r="W144" s="474">
        <f t="shared" si="50"/>
        <v>0</v>
      </c>
      <c r="X144" s="475">
        <f t="shared" si="51"/>
        <v>0</v>
      </c>
      <c r="Y144" s="475">
        <v>0</v>
      </c>
      <c r="Z144" s="476">
        <v>0</v>
      </c>
      <c r="AA144" s="38">
        <f t="shared" si="60"/>
        <v>0</v>
      </c>
      <c r="AB144" s="692">
        <f t="shared" si="52"/>
        <v>0</v>
      </c>
      <c r="AC144" s="692">
        <f t="shared" si="53"/>
        <v>0</v>
      </c>
      <c r="AD144" s="692">
        <f t="shared" si="54"/>
        <v>0</v>
      </c>
      <c r="AE144" s="38"/>
      <c r="AF144" s="692">
        <f t="shared" si="55"/>
        <v>0</v>
      </c>
      <c r="AG144" s="692">
        <f t="shared" si="56"/>
        <v>0</v>
      </c>
      <c r="AH144" s="692">
        <f t="shared" si="57"/>
        <v>0</v>
      </c>
    </row>
    <row r="145" spans="1:34">
      <c r="A145" s="21"/>
      <c r="B145" s="21" t="s">
        <v>110</v>
      </c>
      <c r="C145" s="666"/>
      <c r="D145" s="68" t="s">
        <v>183</v>
      </c>
      <c r="E145" s="679"/>
      <c r="F145" s="529">
        <f>VLOOKUP(D145,'Q3 DMV -  Revenue'!D:T,17,FALSE)</f>
        <v>0</v>
      </c>
      <c r="G145" s="680"/>
      <c r="H145" s="680"/>
      <c r="I145" s="681"/>
      <c r="J145" s="682">
        <f t="shared" si="58"/>
        <v>0</v>
      </c>
      <c r="K145" s="683"/>
      <c r="L145" s="684"/>
      <c r="M145" s="685">
        <v>0</v>
      </c>
      <c r="N145" s="683">
        <v>0</v>
      </c>
      <c r="O145" s="686"/>
      <c r="P145" s="683">
        <v>0</v>
      </c>
      <c r="Q145" s="687">
        <f t="shared" si="1"/>
        <v>0</v>
      </c>
      <c r="R145" s="688"/>
      <c r="S145" s="693"/>
      <c r="T145" s="690" t="str">
        <f t="shared" si="61"/>
        <v/>
      </c>
      <c r="U145" s="683"/>
      <c r="V145" s="474">
        <f t="shared" si="59"/>
        <v>0</v>
      </c>
      <c r="W145" s="474">
        <f t="shared" si="50"/>
        <v>0</v>
      </c>
      <c r="X145" s="475">
        <f t="shared" si="51"/>
        <v>0</v>
      </c>
      <c r="Y145" s="475">
        <v>0</v>
      </c>
      <c r="Z145" s="476">
        <v>0</v>
      </c>
      <c r="AA145" s="38">
        <f t="shared" si="60"/>
        <v>0</v>
      </c>
      <c r="AB145" s="692">
        <f t="shared" si="52"/>
        <v>0</v>
      </c>
      <c r="AC145" s="692">
        <f t="shared" si="53"/>
        <v>0</v>
      </c>
      <c r="AD145" s="692">
        <f t="shared" si="54"/>
        <v>0</v>
      </c>
      <c r="AE145" s="38"/>
      <c r="AF145" s="692">
        <f t="shared" si="55"/>
        <v>0</v>
      </c>
      <c r="AG145" s="692">
        <f t="shared" si="56"/>
        <v>0</v>
      </c>
      <c r="AH145" s="692">
        <f t="shared" si="57"/>
        <v>0</v>
      </c>
    </row>
    <row r="146" spans="1:34">
      <c r="A146" s="21"/>
      <c r="B146" s="21" t="s">
        <v>110</v>
      </c>
      <c r="C146" s="666" t="s">
        <v>550</v>
      </c>
      <c r="D146" s="68" t="s">
        <v>282</v>
      </c>
      <c r="E146" s="679"/>
      <c r="F146" s="529">
        <f>VLOOKUP(D146,'Q3 DMV -  Revenue'!D:T,17,FALSE)</f>
        <v>-1099.4350000000049</v>
      </c>
      <c r="G146" s="694">
        <v>34301.980000000003</v>
      </c>
      <c r="H146" s="694">
        <v>35340.699999999997</v>
      </c>
      <c r="I146" s="741">
        <v>39546.910000000003</v>
      </c>
      <c r="J146" s="682">
        <f t="shared" si="58"/>
        <v>108090.155</v>
      </c>
      <c r="K146" s="683"/>
      <c r="L146" s="684"/>
      <c r="M146" s="685">
        <v>0</v>
      </c>
      <c r="N146" s="683">
        <v>0</v>
      </c>
      <c r="O146" s="686">
        <v>68543.240000000005</v>
      </c>
      <c r="P146" s="683">
        <v>0</v>
      </c>
      <c r="Q146" s="687">
        <f t="shared" si="1"/>
        <v>0</v>
      </c>
      <c r="R146" s="688"/>
      <c r="S146" s="693"/>
      <c r="T146" s="690" t="str">
        <f t="shared" si="61"/>
        <v/>
      </c>
      <c r="U146" s="683"/>
      <c r="V146" s="474">
        <f t="shared" si="59"/>
        <v>0</v>
      </c>
      <c r="W146" s="474">
        <f t="shared" si="50"/>
        <v>0</v>
      </c>
      <c r="X146" s="475">
        <f t="shared" si="51"/>
        <v>0</v>
      </c>
      <c r="Y146" s="475">
        <v>0</v>
      </c>
      <c r="Z146" s="476">
        <v>0</v>
      </c>
      <c r="AA146" s="38">
        <f t="shared" si="60"/>
        <v>0</v>
      </c>
      <c r="AB146" s="692">
        <f t="shared" si="52"/>
        <v>108090.155</v>
      </c>
      <c r="AC146" s="692">
        <f t="shared" si="53"/>
        <v>0</v>
      </c>
      <c r="AD146" s="692">
        <f t="shared" si="54"/>
        <v>0</v>
      </c>
      <c r="AE146" s="38"/>
      <c r="AF146" s="692">
        <f t="shared" si="55"/>
        <v>0</v>
      </c>
      <c r="AG146" s="692">
        <f t="shared" si="56"/>
        <v>0</v>
      </c>
      <c r="AH146" s="692">
        <f t="shared" si="57"/>
        <v>0</v>
      </c>
    </row>
    <row r="147" spans="1:34">
      <c r="A147" s="21"/>
      <c r="B147" s="21" t="s">
        <v>110</v>
      </c>
      <c r="C147" s="666"/>
      <c r="D147" s="68" t="s">
        <v>27</v>
      </c>
      <c r="E147" s="679"/>
      <c r="F147" s="529">
        <f>VLOOKUP(D147,'Q3 DMV -  Revenue'!D:T,17,FALSE)</f>
        <v>0</v>
      </c>
      <c r="G147" s="696"/>
      <c r="H147" s="696"/>
      <c r="I147" s="696"/>
      <c r="J147" s="682">
        <f t="shared" si="58"/>
        <v>0</v>
      </c>
      <c r="K147" s="683"/>
      <c r="L147" s="684"/>
      <c r="M147" s="685">
        <v>0</v>
      </c>
      <c r="N147" s="683">
        <v>0</v>
      </c>
      <c r="O147" s="686"/>
      <c r="P147" s="683">
        <v>0</v>
      </c>
      <c r="Q147" s="687">
        <f t="shared" si="1"/>
        <v>0</v>
      </c>
      <c r="R147" s="688"/>
      <c r="S147" s="693"/>
      <c r="T147" s="690" t="str">
        <f t="shared" si="61"/>
        <v/>
      </c>
      <c r="U147" s="683"/>
      <c r="V147" s="474">
        <f t="shared" si="59"/>
        <v>0</v>
      </c>
      <c r="W147" s="474">
        <f t="shared" si="50"/>
        <v>0</v>
      </c>
      <c r="X147" s="475">
        <f t="shared" si="51"/>
        <v>0</v>
      </c>
      <c r="Y147" s="475">
        <v>0</v>
      </c>
      <c r="Z147" s="476">
        <v>0</v>
      </c>
      <c r="AA147" s="38">
        <f t="shared" si="60"/>
        <v>0</v>
      </c>
      <c r="AB147" s="692">
        <f t="shared" si="52"/>
        <v>0</v>
      </c>
      <c r="AC147" s="692">
        <f t="shared" si="53"/>
        <v>0</v>
      </c>
      <c r="AD147" s="692">
        <f t="shared" si="54"/>
        <v>0</v>
      </c>
      <c r="AE147" s="38"/>
      <c r="AF147" s="692">
        <f t="shared" si="55"/>
        <v>0</v>
      </c>
      <c r="AG147" s="692">
        <f t="shared" si="56"/>
        <v>0</v>
      </c>
      <c r="AH147" s="692">
        <f t="shared" si="57"/>
        <v>0</v>
      </c>
    </row>
    <row r="148" spans="1:34">
      <c r="A148" s="21"/>
      <c r="B148" s="21" t="s">
        <v>109</v>
      </c>
      <c r="C148" s="666" t="s">
        <v>551</v>
      </c>
      <c r="D148" s="68" t="s">
        <v>499</v>
      </c>
      <c r="E148" s="679"/>
      <c r="F148" s="529">
        <f>VLOOKUP(D148,'Q3 DMV -  Revenue'!D:T,17,FALSE)</f>
        <v>-143.5</v>
      </c>
      <c r="G148" s="680"/>
      <c r="H148" s="680"/>
      <c r="I148" s="681"/>
      <c r="J148" s="682">
        <f t="shared" si="58"/>
        <v>-143.5</v>
      </c>
      <c r="K148" s="683"/>
      <c r="L148" s="684"/>
      <c r="M148" s="685">
        <v>0</v>
      </c>
      <c r="N148" s="683">
        <v>0</v>
      </c>
      <c r="O148" s="686">
        <v>-143.5</v>
      </c>
      <c r="P148" s="683">
        <v>0</v>
      </c>
      <c r="Q148" s="687">
        <f t="shared" si="1"/>
        <v>0</v>
      </c>
      <c r="R148" s="688"/>
      <c r="S148" s="693"/>
      <c r="T148" s="690" t="str">
        <f t="shared" si="61"/>
        <v/>
      </c>
      <c r="U148" s="683"/>
      <c r="V148" s="474">
        <f t="shared" si="59"/>
        <v>0</v>
      </c>
      <c r="W148" s="474">
        <f t="shared" si="50"/>
        <v>0</v>
      </c>
      <c r="X148" s="475">
        <f t="shared" si="51"/>
        <v>0</v>
      </c>
      <c r="Y148" s="475">
        <v>0</v>
      </c>
      <c r="Z148" s="476">
        <v>0</v>
      </c>
      <c r="AA148" s="38">
        <f t="shared" si="60"/>
        <v>0</v>
      </c>
      <c r="AB148" s="692">
        <f t="shared" si="52"/>
        <v>0</v>
      </c>
      <c r="AC148" s="692">
        <f t="shared" si="53"/>
        <v>-143.5</v>
      </c>
      <c r="AD148" s="692">
        <f t="shared" si="54"/>
        <v>0</v>
      </c>
      <c r="AE148" s="38"/>
      <c r="AF148" s="692">
        <f t="shared" si="55"/>
        <v>0</v>
      </c>
      <c r="AG148" s="692">
        <f t="shared" si="56"/>
        <v>0</v>
      </c>
      <c r="AH148" s="692">
        <f t="shared" si="57"/>
        <v>0</v>
      </c>
    </row>
    <row r="149" spans="1:34">
      <c r="A149" s="21"/>
      <c r="B149" s="21" t="s">
        <v>110</v>
      </c>
      <c r="C149" s="666"/>
      <c r="D149" s="68" t="s">
        <v>28</v>
      </c>
      <c r="E149" s="679"/>
      <c r="F149" s="529">
        <f>VLOOKUP(D149,'Q3 DMV -  Revenue'!D:T,17,FALSE)</f>
        <v>0</v>
      </c>
      <c r="G149" s="694">
        <v>1214.5</v>
      </c>
      <c r="H149" s="694">
        <v>1290.0999999999999</v>
      </c>
      <c r="I149" s="741">
        <v>1786.4</v>
      </c>
      <c r="J149" s="682">
        <f t="shared" si="58"/>
        <v>4291</v>
      </c>
      <c r="K149" s="683"/>
      <c r="L149" s="684"/>
      <c r="M149" s="685">
        <v>0</v>
      </c>
      <c r="N149" s="683">
        <v>0</v>
      </c>
      <c r="O149" s="686">
        <v>4291</v>
      </c>
      <c r="P149" s="683">
        <v>0</v>
      </c>
      <c r="Q149" s="687">
        <f t="shared" si="1"/>
        <v>0</v>
      </c>
      <c r="R149" s="688"/>
      <c r="S149" s="693"/>
      <c r="T149" s="690" t="str">
        <f t="shared" si="61"/>
        <v/>
      </c>
      <c r="U149" s="683"/>
      <c r="V149" s="474">
        <f t="shared" si="59"/>
        <v>0</v>
      </c>
      <c r="W149" s="474">
        <f t="shared" si="50"/>
        <v>0</v>
      </c>
      <c r="X149" s="475">
        <f t="shared" si="51"/>
        <v>0</v>
      </c>
      <c r="Y149" s="475">
        <v>0</v>
      </c>
      <c r="Z149" s="476">
        <v>0</v>
      </c>
      <c r="AA149" s="38">
        <f t="shared" si="60"/>
        <v>0</v>
      </c>
      <c r="AB149" s="692">
        <f t="shared" si="52"/>
        <v>4291</v>
      </c>
      <c r="AC149" s="692">
        <f t="shared" si="53"/>
        <v>0</v>
      </c>
      <c r="AD149" s="692">
        <f t="shared" si="54"/>
        <v>0</v>
      </c>
      <c r="AE149" s="38"/>
      <c r="AF149" s="692">
        <f t="shared" si="55"/>
        <v>0</v>
      </c>
      <c r="AG149" s="692">
        <f t="shared" si="56"/>
        <v>0</v>
      </c>
      <c r="AH149" s="692">
        <f t="shared" si="57"/>
        <v>0</v>
      </c>
    </row>
    <row r="150" spans="1:34">
      <c r="A150" s="21"/>
      <c r="B150" s="21" t="s">
        <v>114</v>
      </c>
      <c r="C150" s="666" t="s">
        <v>552</v>
      </c>
      <c r="D150" s="68" t="s">
        <v>513</v>
      </c>
      <c r="E150" s="679"/>
      <c r="F150" s="529">
        <f>VLOOKUP(D150,'Q3 DMV -  Revenue'!D:T,17,FALSE)</f>
        <v>1993.8000000000002</v>
      </c>
      <c r="G150" s="737">
        <f>600.7+703.6</f>
        <v>1304.3000000000002</v>
      </c>
      <c r="H150" s="694">
        <v>652.9</v>
      </c>
      <c r="I150" s="681"/>
      <c r="J150" s="682">
        <f>SUM(E150:I150)</f>
        <v>3951.0000000000005</v>
      </c>
      <c r="K150" s="683"/>
      <c r="L150" s="684"/>
      <c r="M150" s="685">
        <v>1000</v>
      </c>
      <c r="N150" s="683">
        <v>0</v>
      </c>
      <c r="O150" s="686">
        <v>3951</v>
      </c>
      <c r="P150" s="683">
        <v>0</v>
      </c>
      <c r="Q150" s="687">
        <f>L150+M150</f>
        <v>1000</v>
      </c>
      <c r="R150" s="688">
        <v>1963.6</v>
      </c>
      <c r="S150" s="693"/>
      <c r="T150" s="690">
        <f t="shared" si="61"/>
        <v>963.59999999999991</v>
      </c>
      <c r="U150" s="683"/>
      <c r="V150" s="474">
        <f t="shared" si="59"/>
        <v>0</v>
      </c>
      <c r="W150" s="474">
        <f t="shared" si="50"/>
        <v>0</v>
      </c>
      <c r="X150" s="475">
        <f t="shared" si="51"/>
        <v>1000</v>
      </c>
      <c r="Y150" s="475">
        <v>0</v>
      </c>
      <c r="Z150" s="476">
        <v>0</v>
      </c>
      <c r="AA150" s="38">
        <f t="shared" si="60"/>
        <v>0</v>
      </c>
      <c r="AB150" s="692">
        <f t="shared" si="52"/>
        <v>0</v>
      </c>
      <c r="AC150" s="692">
        <f t="shared" si="53"/>
        <v>0</v>
      </c>
      <c r="AD150" s="692">
        <f t="shared" si="54"/>
        <v>3951.0000000000005</v>
      </c>
      <c r="AE150" s="38"/>
      <c r="AF150" s="692">
        <f t="shared" si="55"/>
        <v>0</v>
      </c>
      <c r="AG150" s="692">
        <f t="shared" si="56"/>
        <v>0</v>
      </c>
      <c r="AH150" s="692">
        <f t="shared" si="57"/>
        <v>1000</v>
      </c>
    </row>
    <row r="151" spans="1:34">
      <c r="A151" s="21"/>
      <c r="B151" s="21" t="s">
        <v>109</v>
      </c>
      <c r="C151" s="666" t="s">
        <v>553</v>
      </c>
      <c r="D151" s="68" t="s">
        <v>308</v>
      </c>
      <c r="E151" s="679"/>
      <c r="F151" s="529">
        <f>VLOOKUP(D151,'Q3 DMV -  Revenue'!D:T,17,FALSE)</f>
        <v>21.064999999999941</v>
      </c>
      <c r="G151" s="694">
        <v>327.88</v>
      </c>
      <c r="H151" s="680"/>
      <c r="I151" s="681"/>
      <c r="J151" s="682">
        <f t="shared" si="58"/>
        <v>348.94499999999994</v>
      </c>
      <c r="K151" s="683"/>
      <c r="L151" s="684"/>
      <c r="M151" s="685">
        <v>600</v>
      </c>
      <c r="N151" s="683">
        <v>0</v>
      </c>
      <c r="O151" s="686">
        <v>348.94</v>
      </c>
      <c r="P151" s="683">
        <v>0</v>
      </c>
      <c r="Q151" s="687">
        <f t="shared" si="1"/>
        <v>600</v>
      </c>
      <c r="R151" s="749">
        <f>217.86+735.9</f>
        <v>953.76</v>
      </c>
      <c r="S151" s="693"/>
      <c r="T151" s="690">
        <f t="shared" si="61"/>
        <v>353.76</v>
      </c>
      <c r="U151" s="683"/>
      <c r="V151" s="474">
        <f t="shared" si="59"/>
        <v>0</v>
      </c>
      <c r="W151" s="474">
        <f t="shared" si="50"/>
        <v>600</v>
      </c>
      <c r="X151" s="475">
        <f t="shared" si="51"/>
        <v>0</v>
      </c>
      <c r="Y151" s="475">
        <v>0</v>
      </c>
      <c r="Z151" s="476">
        <v>0</v>
      </c>
      <c r="AA151" s="38">
        <f t="shared" si="60"/>
        <v>0</v>
      </c>
      <c r="AB151" s="692">
        <f t="shared" si="52"/>
        <v>0</v>
      </c>
      <c r="AC151" s="692">
        <f t="shared" si="53"/>
        <v>348.94499999999994</v>
      </c>
      <c r="AD151" s="692">
        <f t="shared" si="54"/>
        <v>0</v>
      </c>
      <c r="AE151" s="38"/>
      <c r="AF151" s="692">
        <f t="shared" si="55"/>
        <v>0</v>
      </c>
      <c r="AG151" s="692">
        <f t="shared" si="56"/>
        <v>600</v>
      </c>
      <c r="AH151" s="692">
        <f t="shared" si="57"/>
        <v>0</v>
      </c>
    </row>
    <row r="152" spans="1:34" s="232" customFormat="1">
      <c r="A152" s="283" t="s">
        <v>211</v>
      </c>
      <c r="B152" s="283" t="s">
        <v>109</v>
      </c>
      <c r="C152" s="667" t="s">
        <v>554</v>
      </c>
      <c r="D152" s="123" t="s">
        <v>389</v>
      </c>
      <c r="E152" s="679"/>
      <c r="F152" s="529">
        <f>VLOOKUP(D152,'Q3 DMV -  Revenue'!D:T,17,FALSE)</f>
        <v>9322.57</v>
      </c>
      <c r="G152" s="680"/>
      <c r="H152" s="680"/>
      <c r="I152" s="681"/>
      <c r="J152" s="682">
        <f t="shared" si="58"/>
        <v>9322.57</v>
      </c>
      <c r="K152" s="683"/>
      <c r="L152" s="684"/>
      <c r="M152" s="685">
        <v>45000</v>
      </c>
      <c r="N152" s="683">
        <v>0</v>
      </c>
      <c r="O152" s="686">
        <v>9322.57</v>
      </c>
      <c r="P152" s="683">
        <v>0</v>
      </c>
      <c r="Q152" s="687">
        <f t="shared" si="1"/>
        <v>45000</v>
      </c>
      <c r="R152" s="688">
        <v>45418.9</v>
      </c>
      <c r="S152" s="693"/>
      <c r="T152" s="690">
        <f t="shared" si="61"/>
        <v>418.90000000000146</v>
      </c>
      <c r="U152" s="683"/>
      <c r="V152" s="474">
        <f t="shared" si="59"/>
        <v>0</v>
      </c>
      <c r="W152" s="474">
        <f t="shared" si="50"/>
        <v>45000</v>
      </c>
      <c r="X152" s="475">
        <f t="shared" si="51"/>
        <v>0</v>
      </c>
      <c r="Y152" s="475">
        <v>0</v>
      </c>
      <c r="Z152" s="476">
        <v>0</v>
      </c>
      <c r="AA152" s="38">
        <f t="shared" si="60"/>
        <v>0</v>
      </c>
      <c r="AB152" s="692">
        <f t="shared" si="52"/>
        <v>0</v>
      </c>
      <c r="AC152" s="692">
        <f t="shared" si="53"/>
        <v>9322.57</v>
      </c>
      <c r="AD152" s="692">
        <f t="shared" si="54"/>
        <v>0</v>
      </c>
      <c r="AE152" s="38"/>
      <c r="AF152" s="692">
        <f t="shared" si="55"/>
        <v>0</v>
      </c>
      <c r="AG152" s="692">
        <f t="shared" si="56"/>
        <v>45000</v>
      </c>
      <c r="AH152" s="692">
        <f t="shared" si="57"/>
        <v>0</v>
      </c>
    </row>
    <row r="153" spans="1:34" s="232" customFormat="1">
      <c r="A153" s="283"/>
      <c r="B153" s="283" t="s">
        <v>110</v>
      </c>
      <c r="C153" s="667"/>
      <c r="D153" s="68" t="s">
        <v>488</v>
      </c>
      <c r="E153" s="679"/>
      <c r="F153" s="529">
        <f>VLOOKUP(D153,'Q3 DMV -  Revenue'!D:T,17,FALSE)</f>
        <v>0</v>
      </c>
      <c r="G153" s="680"/>
      <c r="H153" s="680"/>
      <c r="I153" s="681"/>
      <c r="J153" s="682">
        <f t="shared" si="58"/>
        <v>0</v>
      </c>
      <c r="K153" s="683"/>
      <c r="L153" s="684"/>
      <c r="M153" s="685">
        <v>0</v>
      </c>
      <c r="N153" s="683">
        <v>0</v>
      </c>
      <c r="O153" s="686"/>
      <c r="P153" s="683">
        <v>0</v>
      </c>
      <c r="Q153" s="687">
        <f t="shared" si="1"/>
        <v>0</v>
      </c>
      <c r="R153" s="688"/>
      <c r="S153" s="693"/>
      <c r="T153" s="690" t="str">
        <f t="shared" si="61"/>
        <v/>
      </c>
      <c r="U153" s="683"/>
      <c r="V153" s="474">
        <f t="shared" si="59"/>
        <v>0</v>
      </c>
      <c r="W153" s="474">
        <f t="shared" ref="W153:W218" si="89">IF(B153="M",Q153,0)</f>
        <v>0</v>
      </c>
      <c r="X153" s="475">
        <f t="shared" ref="X153:X218" si="90">IF(B153="V",Q153,0)</f>
        <v>0</v>
      </c>
      <c r="Y153" s="475">
        <v>0</v>
      </c>
      <c r="Z153" s="476">
        <v>0</v>
      </c>
      <c r="AA153" s="38">
        <f t="shared" si="60"/>
        <v>0</v>
      </c>
      <c r="AB153" s="692">
        <f t="shared" ref="AB153:AB218" si="91">IF(B153="D",J153,0)</f>
        <v>0</v>
      </c>
      <c r="AC153" s="692">
        <f t="shared" ref="AC153:AC218" si="92">IF(B153="M",J153,0)</f>
        <v>0</v>
      </c>
      <c r="AD153" s="692">
        <f t="shared" ref="AD153:AD218" si="93">IF(B153="V",J153,0)</f>
        <v>0</v>
      </c>
      <c r="AE153" s="38"/>
      <c r="AF153" s="692">
        <f t="shared" ref="AF153:AF218" si="94">IF(B153="D",Q153,0)</f>
        <v>0</v>
      </c>
      <c r="AG153" s="692">
        <f t="shared" ref="AG153:AG218" si="95">IF(B153="M",Q153,0)</f>
        <v>0</v>
      </c>
      <c r="AH153" s="692">
        <f t="shared" ref="AH153:AH218" si="96">IF(B153="V",Q153,0)</f>
        <v>0</v>
      </c>
    </row>
    <row r="154" spans="1:34">
      <c r="A154" s="20" t="s">
        <v>211</v>
      </c>
      <c r="B154" s="20" t="s">
        <v>109</v>
      </c>
      <c r="C154" s="667"/>
      <c r="D154" s="68" t="s">
        <v>236</v>
      </c>
      <c r="E154" s="679"/>
      <c r="F154" s="529">
        <f>VLOOKUP(D154,'Q3 DMV -  Revenue'!D:T,17,FALSE)</f>
        <v>0</v>
      </c>
      <c r="G154" s="680"/>
      <c r="H154" s="680"/>
      <c r="I154" s="681"/>
      <c r="J154" s="682">
        <f t="shared" si="58"/>
        <v>0</v>
      </c>
      <c r="K154" s="683"/>
      <c r="L154" s="684"/>
      <c r="M154" s="685">
        <v>0</v>
      </c>
      <c r="N154" s="683">
        <v>0</v>
      </c>
      <c r="O154" s="686"/>
      <c r="P154" s="683">
        <v>0</v>
      </c>
      <c r="Q154" s="687">
        <f t="shared" si="1"/>
        <v>0</v>
      </c>
      <c r="R154" s="688"/>
      <c r="S154" s="693"/>
      <c r="T154" s="690" t="str">
        <f t="shared" si="61"/>
        <v/>
      </c>
      <c r="U154" s="697"/>
      <c r="V154" s="474">
        <f t="shared" ref="V154:V220" si="97">IF(B154="D",Q154,0)</f>
        <v>0</v>
      </c>
      <c r="W154" s="474">
        <f t="shared" si="89"/>
        <v>0</v>
      </c>
      <c r="X154" s="475">
        <f t="shared" si="90"/>
        <v>0</v>
      </c>
      <c r="Y154" s="475">
        <v>0</v>
      </c>
      <c r="Z154" s="476">
        <v>0</v>
      </c>
      <c r="AA154" s="38">
        <f t="shared" ref="AA154:AA220" si="98">(L154+M154)-(V154+W154+X154+Y154+Z154)</f>
        <v>0</v>
      </c>
      <c r="AB154" s="692">
        <f t="shared" si="91"/>
        <v>0</v>
      </c>
      <c r="AC154" s="692">
        <f t="shared" si="92"/>
        <v>0</v>
      </c>
      <c r="AD154" s="692">
        <f t="shared" si="93"/>
        <v>0</v>
      </c>
      <c r="AE154" s="38"/>
      <c r="AF154" s="692">
        <f t="shared" si="94"/>
        <v>0</v>
      </c>
      <c r="AG154" s="692">
        <f t="shared" si="95"/>
        <v>0</v>
      </c>
      <c r="AH154" s="692">
        <f t="shared" si="96"/>
        <v>0</v>
      </c>
    </row>
    <row r="155" spans="1:34" s="232" customFormat="1">
      <c r="A155" s="283"/>
      <c r="B155" s="283" t="s">
        <v>110</v>
      </c>
      <c r="C155" s="667" t="s">
        <v>555</v>
      </c>
      <c r="D155" s="123" t="s">
        <v>192</v>
      </c>
      <c r="E155" s="679"/>
      <c r="F155" s="529">
        <f>VLOOKUP(D155,'Q3 DMV -  Revenue'!D:T,17,FALSE)</f>
        <v>-1812.8999999999996</v>
      </c>
      <c r="G155" s="694">
        <v>7714.54</v>
      </c>
      <c r="H155" s="694">
        <v>6332.31</v>
      </c>
      <c r="I155" s="741">
        <v>7810.13</v>
      </c>
      <c r="J155" s="682">
        <f t="shared" si="58"/>
        <v>20044.080000000002</v>
      </c>
      <c r="K155" s="683"/>
      <c r="L155" s="684"/>
      <c r="M155" s="685">
        <v>0</v>
      </c>
      <c r="N155" s="683">
        <v>0</v>
      </c>
      <c r="O155" s="686">
        <v>31812.720000000001</v>
      </c>
      <c r="P155" s="683">
        <v>0</v>
      </c>
      <c r="Q155" s="687">
        <f t="shared" si="1"/>
        <v>0</v>
      </c>
      <c r="R155" s="688"/>
      <c r="S155" s="693"/>
      <c r="T155" s="690" t="str">
        <f t="shared" si="61"/>
        <v/>
      </c>
      <c r="U155" s="683"/>
      <c r="V155" s="474">
        <f t="shared" si="97"/>
        <v>0</v>
      </c>
      <c r="W155" s="474">
        <f t="shared" si="89"/>
        <v>0</v>
      </c>
      <c r="X155" s="475">
        <f t="shared" si="90"/>
        <v>0</v>
      </c>
      <c r="Y155" s="475">
        <v>0</v>
      </c>
      <c r="Z155" s="476">
        <v>0</v>
      </c>
      <c r="AA155" s="38">
        <f t="shared" si="98"/>
        <v>0</v>
      </c>
      <c r="AB155" s="692">
        <f t="shared" si="91"/>
        <v>20044.080000000002</v>
      </c>
      <c r="AC155" s="692">
        <f t="shared" si="92"/>
        <v>0</v>
      </c>
      <c r="AD155" s="692">
        <f t="shared" si="93"/>
        <v>0</v>
      </c>
      <c r="AE155" s="38"/>
      <c r="AF155" s="692">
        <f t="shared" si="94"/>
        <v>0</v>
      </c>
      <c r="AG155" s="692">
        <f t="shared" si="95"/>
        <v>0</v>
      </c>
      <c r="AH155" s="692">
        <f t="shared" si="96"/>
        <v>0</v>
      </c>
    </row>
    <row r="156" spans="1:34" s="232" customFormat="1">
      <c r="A156" s="283"/>
      <c r="B156" s="283" t="s">
        <v>110</v>
      </c>
      <c r="C156" s="667" t="s">
        <v>555</v>
      </c>
      <c r="D156" s="123" t="s">
        <v>193</v>
      </c>
      <c r="E156" s="679"/>
      <c r="F156" s="529">
        <f>VLOOKUP(D156,'Q3 DMV -  Revenue'!D:T,17,FALSE)</f>
        <v>-91.425000000000068</v>
      </c>
      <c r="G156" s="694">
        <v>501</v>
      </c>
      <c r="H156" s="694">
        <v>471.48</v>
      </c>
      <c r="I156" s="741">
        <v>487.07</v>
      </c>
      <c r="J156" s="682">
        <f t="shared" si="58"/>
        <v>1368.125</v>
      </c>
      <c r="K156" s="683"/>
      <c r="L156" s="684"/>
      <c r="M156" s="685">
        <v>0</v>
      </c>
      <c r="N156" s="683">
        <v>0</v>
      </c>
      <c r="O156" s="686"/>
      <c r="P156" s="683">
        <v>0</v>
      </c>
      <c r="Q156" s="687">
        <f t="shared" si="1"/>
        <v>0</v>
      </c>
      <c r="R156" s="688"/>
      <c r="S156" s="693"/>
      <c r="T156" s="690" t="str">
        <f t="shared" si="61"/>
        <v/>
      </c>
      <c r="U156" s="683"/>
      <c r="V156" s="474">
        <f t="shared" si="97"/>
        <v>0</v>
      </c>
      <c r="W156" s="474">
        <f t="shared" si="89"/>
        <v>0</v>
      </c>
      <c r="X156" s="475">
        <f t="shared" si="90"/>
        <v>0</v>
      </c>
      <c r="Y156" s="475">
        <v>0</v>
      </c>
      <c r="Z156" s="476">
        <v>0</v>
      </c>
      <c r="AA156" s="38">
        <f t="shared" si="98"/>
        <v>0</v>
      </c>
      <c r="AB156" s="692">
        <f t="shared" si="91"/>
        <v>1368.125</v>
      </c>
      <c r="AC156" s="692">
        <f t="shared" si="92"/>
        <v>0</v>
      </c>
      <c r="AD156" s="692">
        <f t="shared" si="93"/>
        <v>0</v>
      </c>
      <c r="AE156" s="38"/>
      <c r="AF156" s="692">
        <f t="shared" si="94"/>
        <v>0</v>
      </c>
      <c r="AG156" s="692">
        <f t="shared" si="95"/>
        <v>0</v>
      </c>
      <c r="AH156" s="692">
        <f t="shared" si="96"/>
        <v>0</v>
      </c>
    </row>
    <row r="157" spans="1:34" s="232" customFormat="1">
      <c r="A157" s="283"/>
      <c r="B157" s="283" t="s">
        <v>110</v>
      </c>
      <c r="C157" s="667" t="s">
        <v>555</v>
      </c>
      <c r="D157" s="123" t="s">
        <v>194</v>
      </c>
      <c r="E157" s="679"/>
      <c r="F157" s="529">
        <f>VLOOKUP(D157,'Q3 DMV -  Revenue'!D:T,17,FALSE)</f>
        <v>-109.78499999999998</v>
      </c>
      <c r="G157" s="694">
        <v>201.65</v>
      </c>
      <c r="H157" s="694">
        <v>109.23</v>
      </c>
      <c r="I157" s="741">
        <v>209.67</v>
      </c>
      <c r="J157" s="682">
        <f t="shared" si="58"/>
        <v>410.76499999999999</v>
      </c>
      <c r="K157" s="683"/>
      <c r="L157" s="684"/>
      <c r="M157" s="685">
        <v>0</v>
      </c>
      <c r="N157" s="683">
        <v>0</v>
      </c>
      <c r="O157" s="686"/>
      <c r="P157" s="683">
        <v>0</v>
      </c>
      <c r="Q157" s="687">
        <f t="shared" si="1"/>
        <v>0</v>
      </c>
      <c r="R157" s="688"/>
      <c r="S157" s="693"/>
      <c r="T157" s="690" t="str">
        <f t="shared" si="61"/>
        <v/>
      </c>
      <c r="U157" s="683"/>
      <c r="V157" s="474">
        <f t="shared" si="97"/>
        <v>0</v>
      </c>
      <c r="W157" s="474">
        <f t="shared" si="89"/>
        <v>0</v>
      </c>
      <c r="X157" s="475">
        <f t="shared" si="90"/>
        <v>0</v>
      </c>
      <c r="Y157" s="475">
        <v>0</v>
      </c>
      <c r="Z157" s="476">
        <v>0</v>
      </c>
      <c r="AA157" s="38">
        <f t="shared" si="98"/>
        <v>0</v>
      </c>
      <c r="AB157" s="692">
        <f t="shared" si="91"/>
        <v>410.76499999999999</v>
      </c>
      <c r="AC157" s="692">
        <f t="shared" si="92"/>
        <v>0</v>
      </c>
      <c r="AD157" s="692">
        <f t="shared" si="93"/>
        <v>0</v>
      </c>
      <c r="AE157" s="38"/>
      <c r="AF157" s="692">
        <f t="shared" si="94"/>
        <v>0</v>
      </c>
      <c r="AG157" s="692">
        <f t="shared" si="95"/>
        <v>0</v>
      </c>
      <c r="AH157" s="692">
        <f t="shared" si="96"/>
        <v>0</v>
      </c>
    </row>
    <row r="158" spans="1:34" s="232" customFormat="1">
      <c r="A158" s="283"/>
      <c r="B158" s="283" t="s">
        <v>110</v>
      </c>
      <c r="C158" s="667" t="s">
        <v>555</v>
      </c>
      <c r="D158" s="123" t="s">
        <v>195</v>
      </c>
      <c r="E158" s="679"/>
      <c r="F158" s="529">
        <f>VLOOKUP(D158,'Q3 DMV -  Revenue'!D:T,17,FALSE)</f>
        <v>-0.83999999999999986</v>
      </c>
      <c r="G158" s="694">
        <v>12.83</v>
      </c>
      <c r="H158" s="694">
        <v>15.38</v>
      </c>
      <c r="I158" s="741">
        <v>25.6</v>
      </c>
      <c r="J158" s="682">
        <f t="shared" si="58"/>
        <v>52.97</v>
      </c>
      <c r="K158" s="683"/>
      <c r="L158" s="684"/>
      <c r="M158" s="685">
        <v>0</v>
      </c>
      <c r="N158" s="683">
        <v>0</v>
      </c>
      <c r="O158" s="686"/>
      <c r="P158" s="683">
        <v>0</v>
      </c>
      <c r="Q158" s="687">
        <f t="shared" si="1"/>
        <v>0</v>
      </c>
      <c r="R158" s="688"/>
      <c r="S158" s="693"/>
      <c r="T158" s="690" t="str">
        <f t="shared" si="61"/>
        <v/>
      </c>
      <c r="U158" s="683"/>
      <c r="V158" s="474">
        <f t="shared" si="97"/>
        <v>0</v>
      </c>
      <c r="W158" s="474">
        <f t="shared" si="89"/>
        <v>0</v>
      </c>
      <c r="X158" s="475">
        <f t="shared" si="90"/>
        <v>0</v>
      </c>
      <c r="Y158" s="475">
        <v>0</v>
      </c>
      <c r="Z158" s="476">
        <v>0</v>
      </c>
      <c r="AA158" s="38">
        <f t="shared" si="98"/>
        <v>0</v>
      </c>
      <c r="AB158" s="692">
        <f t="shared" si="91"/>
        <v>52.97</v>
      </c>
      <c r="AC158" s="692">
        <f t="shared" si="92"/>
        <v>0</v>
      </c>
      <c r="AD158" s="692">
        <f t="shared" si="93"/>
        <v>0</v>
      </c>
      <c r="AE158" s="38"/>
      <c r="AF158" s="692">
        <f t="shared" si="94"/>
        <v>0</v>
      </c>
      <c r="AG158" s="692">
        <f t="shared" si="95"/>
        <v>0</v>
      </c>
      <c r="AH158" s="692">
        <f t="shared" si="96"/>
        <v>0</v>
      </c>
    </row>
    <row r="159" spans="1:34" s="232" customFormat="1">
      <c r="A159" s="283"/>
      <c r="B159" s="283" t="s">
        <v>110</v>
      </c>
      <c r="C159" s="667" t="s">
        <v>555</v>
      </c>
      <c r="D159" s="123" t="s">
        <v>196</v>
      </c>
      <c r="E159" s="679"/>
      <c r="F159" s="529">
        <f>VLOOKUP(D159,'Q3 DMV -  Revenue'!D:T,17,FALSE)</f>
        <v>-51.174999999999983</v>
      </c>
      <c r="G159" s="694">
        <v>156.6</v>
      </c>
      <c r="H159" s="694">
        <v>151.66999999999999</v>
      </c>
      <c r="I159" s="741">
        <v>118.72</v>
      </c>
      <c r="J159" s="682">
        <f t="shared" si="58"/>
        <v>375.81500000000005</v>
      </c>
      <c r="K159" s="683"/>
      <c r="L159" s="684"/>
      <c r="M159" s="685">
        <v>0</v>
      </c>
      <c r="N159" s="683">
        <v>0</v>
      </c>
      <c r="O159" s="686"/>
      <c r="P159" s="683">
        <v>0</v>
      </c>
      <c r="Q159" s="687">
        <f t="shared" si="1"/>
        <v>0</v>
      </c>
      <c r="R159" s="688"/>
      <c r="S159" s="693"/>
      <c r="T159" s="690" t="str">
        <f t="shared" si="61"/>
        <v/>
      </c>
      <c r="U159" s="683"/>
      <c r="V159" s="474">
        <f t="shared" si="97"/>
        <v>0</v>
      </c>
      <c r="W159" s="474">
        <f t="shared" si="89"/>
        <v>0</v>
      </c>
      <c r="X159" s="475">
        <f t="shared" si="90"/>
        <v>0</v>
      </c>
      <c r="Y159" s="475">
        <v>0</v>
      </c>
      <c r="Z159" s="476">
        <v>0</v>
      </c>
      <c r="AA159" s="38">
        <f t="shared" si="98"/>
        <v>0</v>
      </c>
      <c r="AB159" s="692">
        <f t="shared" si="91"/>
        <v>375.81500000000005</v>
      </c>
      <c r="AC159" s="692">
        <f t="shared" si="92"/>
        <v>0</v>
      </c>
      <c r="AD159" s="692">
        <f t="shared" si="93"/>
        <v>0</v>
      </c>
      <c r="AE159" s="38"/>
      <c r="AF159" s="692">
        <f t="shared" si="94"/>
        <v>0</v>
      </c>
      <c r="AG159" s="692">
        <f t="shared" si="95"/>
        <v>0</v>
      </c>
      <c r="AH159" s="692">
        <f t="shared" si="96"/>
        <v>0</v>
      </c>
    </row>
    <row r="160" spans="1:34" s="232" customFormat="1">
      <c r="A160" s="283"/>
      <c r="B160" s="283" t="s">
        <v>110</v>
      </c>
      <c r="C160" s="667" t="s">
        <v>555</v>
      </c>
      <c r="D160" s="123" t="s">
        <v>197</v>
      </c>
      <c r="E160" s="679"/>
      <c r="F160" s="529">
        <f>VLOOKUP(D160,'Q3 DMV -  Revenue'!D:T,17,FALSE)</f>
        <v>-9.4899999999999984</v>
      </c>
      <c r="G160" s="694">
        <v>5.82</v>
      </c>
      <c r="H160" s="694">
        <v>3.81</v>
      </c>
      <c r="I160" s="741">
        <v>6.62</v>
      </c>
      <c r="J160" s="682">
        <f t="shared" si="58"/>
        <v>6.7600000000000016</v>
      </c>
      <c r="K160" s="683"/>
      <c r="L160" s="684"/>
      <c r="M160" s="685">
        <v>0</v>
      </c>
      <c r="N160" s="683">
        <v>0</v>
      </c>
      <c r="O160" s="686"/>
      <c r="P160" s="683">
        <v>0</v>
      </c>
      <c r="Q160" s="687">
        <f t="shared" si="1"/>
        <v>0</v>
      </c>
      <c r="R160" s="688"/>
      <c r="S160" s="693"/>
      <c r="T160" s="690" t="str">
        <f t="shared" si="61"/>
        <v/>
      </c>
      <c r="U160" s="683"/>
      <c r="V160" s="474">
        <f t="shared" si="97"/>
        <v>0</v>
      </c>
      <c r="W160" s="474">
        <f t="shared" si="89"/>
        <v>0</v>
      </c>
      <c r="X160" s="475">
        <f t="shared" si="90"/>
        <v>0</v>
      </c>
      <c r="Y160" s="475">
        <v>0</v>
      </c>
      <c r="Z160" s="476">
        <v>0</v>
      </c>
      <c r="AA160" s="38">
        <f t="shared" si="98"/>
        <v>0</v>
      </c>
      <c r="AB160" s="692">
        <f t="shared" si="91"/>
        <v>6.7600000000000016</v>
      </c>
      <c r="AC160" s="692">
        <f t="shared" si="92"/>
        <v>0</v>
      </c>
      <c r="AD160" s="692">
        <f t="shared" si="93"/>
        <v>0</v>
      </c>
      <c r="AE160" s="38"/>
      <c r="AF160" s="692">
        <f t="shared" si="94"/>
        <v>0</v>
      </c>
      <c r="AG160" s="692">
        <f t="shared" si="95"/>
        <v>0</v>
      </c>
      <c r="AH160" s="692">
        <f t="shared" si="96"/>
        <v>0</v>
      </c>
    </row>
    <row r="161" spans="1:34" s="232" customFormat="1">
      <c r="A161" s="283"/>
      <c r="B161" s="283" t="s">
        <v>110</v>
      </c>
      <c r="C161" s="667" t="s">
        <v>555</v>
      </c>
      <c r="D161" s="123" t="s">
        <v>440</v>
      </c>
      <c r="E161" s="679"/>
      <c r="F161" s="529">
        <f>VLOOKUP(D161,'Q3 DMV -  Revenue'!D:T,17,FALSE)</f>
        <v>-599.8100000000004</v>
      </c>
      <c r="G161" s="694">
        <f>2202.23+336.94+425.96</f>
        <v>2965.13</v>
      </c>
      <c r="H161" s="694">
        <f>1850.86+229.71+332.31</f>
        <v>2412.8799999999997</v>
      </c>
      <c r="I161" s="741">
        <f>603.08+1604.41+210.56</f>
        <v>2418.0500000000002</v>
      </c>
      <c r="J161" s="682">
        <f t="shared" ref="J161:J231" si="99">SUM(E161:I161)</f>
        <v>7196.2499999999991</v>
      </c>
      <c r="K161" s="683"/>
      <c r="L161" s="684"/>
      <c r="M161" s="685">
        <v>0</v>
      </c>
      <c r="N161" s="683">
        <v>0</v>
      </c>
      <c r="O161" s="686"/>
      <c r="P161" s="683">
        <v>0</v>
      </c>
      <c r="Q161" s="687">
        <f t="shared" si="1"/>
        <v>0</v>
      </c>
      <c r="R161" s="688"/>
      <c r="S161" s="693"/>
      <c r="T161" s="690" t="str">
        <f t="shared" si="61"/>
        <v/>
      </c>
      <c r="U161" s="683"/>
      <c r="V161" s="474">
        <f t="shared" si="97"/>
        <v>0</v>
      </c>
      <c r="W161" s="474">
        <f t="shared" si="89"/>
        <v>0</v>
      </c>
      <c r="X161" s="475">
        <f t="shared" si="90"/>
        <v>0</v>
      </c>
      <c r="Y161" s="475">
        <v>0</v>
      </c>
      <c r="Z161" s="476">
        <v>0</v>
      </c>
      <c r="AA161" s="38">
        <f t="shared" si="98"/>
        <v>0</v>
      </c>
      <c r="AB161" s="692">
        <f t="shared" si="91"/>
        <v>7196.2499999999991</v>
      </c>
      <c r="AC161" s="692">
        <f t="shared" si="92"/>
        <v>0</v>
      </c>
      <c r="AD161" s="692">
        <f t="shared" si="93"/>
        <v>0</v>
      </c>
      <c r="AE161" s="38"/>
      <c r="AF161" s="692">
        <f t="shared" si="94"/>
        <v>0</v>
      </c>
      <c r="AG161" s="692">
        <f t="shared" si="95"/>
        <v>0</v>
      </c>
      <c r="AH161" s="692">
        <f t="shared" si="96"/>
        <v>0</v>
      </c>
    </row>
    <row r="162" spans="1:34" s="232" customFormat="1">
      <c r="A162" s="283"/>
      <c r="B162" s="283" t="s">
        <v>110</v>
      </c>
      <c r="C162" s="667" t="s">
        <v>555</v>
      </c>
      <c r="D162" s="123" t="s">
        <v>481</v>
      </c>
      <c r="E162" s="679"/>
      <c r="F162" s="529">
        <f>VLOOKUP(D162,'Q3 DMV -  Revenue'!D:T,17,FALSE)</f>
        <v>-74.269999999999754</v>
      </c>
      <c r="G162" s="694">
        <v>958.77</v>
      </c>
      <c r="H162" s="694">
        <v>845.6</v>
      </c>
      <c r="I162" s="741">
        <v>637.86</v>
      </c>
      <c r="J162" s="682">
        <f t="shared" si="99"/>
        <v>2367.9600000000005</v>
      </c>
      <c r="K162" s="683"/>
      <c r="L162" s="684"/>
      <c r="M162" s="685">
        <v>0</v>
      </c>
      <c r="N162" s="683">
        <v>0</v>
      </c>
      <c r="O162" s="686"/>
      <c r="P162" s="683">
        <v>0</v>
      </c>
      <c r="Q162" s="687">
        <f t="shared" si="1"/>
        <v>0</v>
      </c>
      <c r="R162" s="688"/>
      <c r="S162" s="693"/>
      <c r="T162" s="690" t="str">
        <f t="shared" ref="T162:T232" si="100">IF(R162="","",R162-Q162)</f>
        <v/>
      </c>
      <c r="U162" s="683"/>
      <c r="V162" s="474">
        <f t="shared" si="97"/>
        <v>0</v>
      </c>
      <c r="W162" s="474">
        <f t="shared" si="89"/>
        <v>0</v>
      </c>
      <c r="X162" s="475">
        <f t="shared" si="90"/>
        <v>0</v>
      </c>
      <c r="Y162" s="475">
        <v>0</v>
      </c>
      <c r="Z162" s="476">
        <v>0</v>
      </c>
      <c r="AA162" s="38">
        <f t="shared" si="98"/>
        <v>0</v>
      </c>
      <c r="AB162" s="692">
        <f t="shared" si="91"/>
        <v>2367.9600000000005</v>
      </c>
      <c r="AC162" s="692">
        <f t="shared" si="92"/>
        <v>0</v>
      </c>
      <c r="AD162" s="692">
        <f t="shared" si="93"/>
        <v>0</v>
      </c>
      <c r="AE162" s="38"/>
      <c r="AF162" s="692">
        <f t="shared" si="94"/>
        <v>0</v>
      </c>
      <c r="AG162" s="692">
        <f t="shared" si="95"/>
        <v>0</v>
      </c>
      <c r="AH162" s="692">
        <f t="shared" si="96"/>
        <v>0</v>
      </c>
    </row>
    <row r="163" spans="1:34" s="232" customFormat="1">
      <c r="A163" s="283"/>
      <c r="B163" s="283" t="s">
        <v>109</v>
      </c>
      <c r="C163" s="667" t="s">
        <v>555</v>
      </c>
      <c r="D163" s="123" t="s">
        <v>248</v>
      </c>
      <c r="E163" s="679"/>
      <c r="F163" s="529">
        <f>VLOOKUP(D163,'Q3 DMV -  Revenue'!D:T,17,FALSE)</f>
        <v>0</v>
      </c>
      <c r="G163" s="680"/>
      <c r="H163" s="680"/>
      <c r="I163" s="681"/>
      <c r="J163" s="682">
        <f t="shared" si="99"/>
        <v>0</v>
      </c>
      <c r="K163" s="683"/>
      <c r="L163" s="684"/>
      <c r="M163" s="685">
        <v>0</v>
      </c>
      <c r="N163" s="683">
        <v>0</v>
      </c>
      <c r="O163" s="686"/>
      <c r="P163" s="683">
        <v>0</v>
      </c>
      <c r="Q163" s="687">
        <f t="shared" si="1"/>
        <v>0</v>
      </c>
      <c r="R163" s="688"/>
      <c r="S163" s="693"/>
      <c r="T163" s="690" t="str">
        <f t="shared" si="100"/>
        <v/>
      </c>
      <c r="U163" s="683"/>
      <c r="V163" s="474">
        <f t="shared" si="97"/>
        <v>0</v>
      </c>
      <c r="W163" s="474">
        <f t="shared" si="89"/>
        <v>0</v>
      </c>
      <c r="X163" s="475">
        <f t="shared" si="90"/>
        <v>0</v>
      </c>
      <c r="Y163" s="475">
        <v>0</v>
      </c>
      <c r="Z163" s="476">
        <v>0</v>
      </c>
      <c r="AA163" s="38">
        <f t="shared" si="98"/>
        <v>0</v>
      </c>
      <c r="AB163" s="692">
        <f t="shared" si="91"/>
        <v>0</v>
      </c>
      <c r="AC163" s="692">
        <f t="shared" si="92"/>
        <v>0</v>
      </c>
      <c r="AD163" s="692">
        <f t="shared" si="93"/>
        <v>0</v>
      </c>
      <c r="AE163" s="38"/>
      <c r="AF163" s="692">
        <f t="shared" si="94"/>
        <v>0</v>
      </c>
      <c r="AG163" s="692">
        <f t="shared" si="95"/>
        <v>0</v>
      </c>
      <c r="AH163" s="692">
        <f t="shared" si="96"/>
        <v>0</v>
      </c>
    </row>
    <row r="164" spans="1:34" s="232" customFormat="1">
      <c r="A164" s="283"/>
      <c r="B164" s="32" t="s">
        <v>110</v>
      </c>
      <c r="C164" s="667"/>
      <c r="D164" s="68" t="s">
        <v>465</v>
      </c>
      <c r="E164" s="679"/>
      <c r="F164" s="529">
        <f>VLOOKUP(D164,'Q3 DMV -  Revenue'!D:T,17,FALSE)</f>
        <v>0</v>
      </c>
      <c r="G164" s="680"/>
      <c r="H164" s="680"/>
      <c r="I164" s="681"/>
      <c r="J164" s="682">
        <f t="shared" si="99"/>
        <v>0</v>
      </c>
      <c r="K164" s="683"/>
      <c r="L164" s="684"/>
      <c r="M164" s="685">
        <v>0</v>
      </c>
      <c r="N164" s="683">
        <v>0</v>
      </c>
      <c r="O164" s="686"/>
      <c r="P164" s="683">
        <v>0</v>
      </c>
      <c r="Q164" s="687">
        <f t="shared" si="1"/>
        <v>0</v>
      </c>
      <c r="R164" s="688">
        <v>5812</v>
      </c>
      <c r="S164" s="693"/>
      <c r="T164" s="690">
        <f t="shared" si="100"/>
        <v>5812</v>
      </c>
      <c r="U164" s="683"/>
      <c r="V164" s="474">
        <f t="shared" si="97"/>
        <v>0</v>
      </c>
      <c r="W164" s="474">
        <f t="shared" si="89"/>
        <v>0</v>
      </c>
      <c r="X164" s="475">
        <f t="shared" si="90"/>
        <v>0</v>
      </c>
      <c r="Y164" s="475">
        <v>0</v>
      </c>
      <c r="Z164" s="476">
        <v>0</v>
      </c>
      <c r="AA164" s="38">
        <f t="shared" si="98"/>
        <v>0</v>
      </c>
      <c r="AB164" s="692">
        <f t="shared" si="91"/>
        <v>0</v>
      </c>
      <c r="AC164" s="692">
        <f t="shared" si="92"/>
        <v>0</v>
      </c>
      <c r="AD164" s="692">
        <f t="shared" si="93"/>
        <v>0</v>
      </c>
      <c r="AE164" s="38"/>
      <c r="AF164" s="692">
        <f t="shared" si="94"/>
        <v>0</v>
      </c>
      <c r="AG164" s="692">
        <f t="shared" si="95"/>
        <v>0</v>
      </c>
      <c r="AH164" s="692">
        <f t="shared" si="96"/>
        <v>0</v>
      </c>
    </row>
    <row r="165" spans="1:34">
      <c r="A165" s="21"/>
      <c r="B165" s="21" t="s">
        <v>109</v>
      </c>
      <c r="C165" s="666"/>
      <c r="D165" s="68" t="s">
        <v>31</v>
      </c>
      <c r="E165" s="679"/>
      <c r="F165" s="529">
        <f>VLOOKUP(D165,'Q3 DMV -  Revenue'!D:T,17,FALSE)</f>
        <v>0</v>
      </c>
      <c r="G165" s="680"/>
      <c r="H165" s="680"/>
      <c r="I165" s="681"/>
      <c r="J165" s="682">
        <f t="shared" si="99"/>
        <v>0</v>
      </c>
      <c r="K165" s="683"/>
      <c r="L165" s="684"/>
      <c r="M165" s="685">
        <v>0</v>
      </c>
      <c r="N165" s="683">
        <v>0</v>
      </c>
      <c r="O165" s="686"/>
      <c r="P165" s="683">
        <v>0</v>
      </c>
      <c r="Q165" s="687">
        <f t="shared" si="1"/>
        <v>0</v>
      </c>
      <c r="R165" s="688"/>
      <c r="S165" s="693"/>
      <c r="T165" s="690" t="str">
        <f t="shared" si="100"/>
        <v/>
      </c>
      <c r="U165" s="683"/>
      <c r="V165" s="474">
        <f t="shared" si="97"/>
        <v>0</v>
      </c>
      <c r="W165" s="474">
        <f t="shared" si="89"/>
        <v>0</v>
      </c>
      <c r="X165" s="475">
        <f t="shared" si="90"/>
        <v>0</v>
      </c>
      <c r="Y165" s="475">
        <v>0</v>
      </c>
      <c r="Z165" s="476">
        <v>0</v>
      </c>
      <c r="AA165" s="38">
        <f t="shared" si="98"/>
        <v>0</v>
      </c>
      <c r="AB165" s="692">
        <f t="shared" si="91"/>
        <v>0</v>
      </c>
      <c r="AC165" s="692">
        <f t="shared" si="92"/>
        <v>0</v>
      </c>
      <c r="AD165" s="692">
        <f t="shared" si="93"/>
        <v>0</v>
      </c>
      <c r="AE165" s="38"/>
      <c r="AF165" s="692">
        <f t="shared" si="94"/>
        <v>0</v>
      </c>
      <c r="AG165" s="692">
        <f t="shared" si="95"/>
        <v>0</v>
      </c>
      <c r="AH165" s="692">
        <f t="shared" si="96"/>
        <v>0</v>
      </c>
    </row>
    <row r="166" spans="1:34">
      <c r="A166" s="21"/>
      <c r="B166" s="21" t="s">
        <v>110</v>
      </c>
      <c r="C166" s="666" t="s">
        <v>556</v>
      </c>
      <c r="D166" s="68" t="s">
        <v>261</v>
      </c>
      <c r="E166" s="679"/>
      <c r="F166" s="529">
        <f>VLOOKUP(D166,'Q3 DMV -  Revenue'!D:T,17,FALSE)</f>
        <v>-2602.0149999999994</v>
      </c>
      <c r="G166" s="694">
        <f>65394.57-G167</f>
        <v>46740.36</v>
      </c>
      <c r="H166" s="694">
        <f>63758.6-H167</f>
        <v>48138.39</v>
      </c>
      <c r="I166" s="681"/>
      <c r="J166" s="682">
        <f t="shared" si="99"/>
        <v>92276.735000000001</v>
      </c>
      <c r="K166" s="683"/>
      <c r="L166" s="684"/>
      <c r="M166" s="685">
        <v>48000</v>
      </c>
      <c r="N166" s="683">
        <v>0</v>
      </c>
      <c r="O166" s="686">
        <v>191117.55</v>
      </c>
      <c r="P166" s="683">
        <v>0</v>
      </c>
      <c r="Q166" s="687">
        <f t="shared" si="1"/>
        <v>48000</v>
      </c>
      <c r="R166" s="688">
        <v>91978.91</v>
      </c>
      <c r="S166" s="693"/>
      <c r="T166" s="690">
        <f t="shared" si="100"/>
        <v>43978.91</v>
      </c>
      <c r="U166" s="683"/>
      <c r="V166" s="474">
        <f t="shared" si="97"/>
        <v>48000</v>
      </c>
      <c r="W166" s="474">
        <f t="shared" si="89"/>
        <v>0</v>
      </c>
      <c r="X166" s="475">
        <f t="shared" si="90"/>
        <v>0</v>
      </c>
      <c r="Y166" s="475">
        <v>0</v>
      </c>
      <c r="Z166" s="476">
        <v>0</v>
      </c>
      <c r="AA166" s="38">
        <f t="shared" si="98"/>
        <v>0</v>
      </c>
      <c r="AB166" s="692">
        <f t="shared" si="91"/>
        <v>92276.735000000001</v>
      </c>
      <c r="AC166" s="692">
        <f t="shared" si="92"/>
        <v>0</v>
      </c>
      <c r="AD166" s="692">
        <f t="shared" si="93"/>
        <v>0</v>
      </c>
      <c r="AE166" s="38"/>
      <c r="AF166" s="692">
        <f t="shared" si="94"/>
        <v>48000</v>
      </c>
      <c r="AG166" s="692">
        <f t="shared" si="95"/>
        <v>0</v>
      </c>
      <c r="AH166" s="692">
        <f t="shared" si="96"/>
        <v>0</v>
      </c>
    </row>
    <row r="167" spans="1:34" s="269" customFormat="1">
      <c r="A167" s="21"/>
      <c r="B167" s="21" t="s">
        <v>110</v>
      </c>
      <c r="C167" s="666" t="s">
        <v>556</v>
      </c>
      <c r="D167" s="68" t="s">
        <v>262</v>
      </c>
      <c r="E167" s="679"/>
      <c r="F167" s="529">
        <f>VLOOKUP(D167,'Q3 DMV -  Revenue'!D:T,17,FALSE)</f>
        <v>807.79999999999927</v>
      </c>
      <c r="G167" s="694">
        <v>18654.21</v>
      </c>
      <c r="H167" s="694">
        <f>14421.5+1198.71</f>
        <v>15620.21</v>
      </c>
      <c r="I167" s="681"/>
      <c r="J167" s="682">
        <f t="shared" si="99"/>
        <v>35082.22</v>
      </c>
      <c r="K167" s="683"/>
      <c r="L167" s="684"/>
      <c r="M167" s="685">
        <v>15000</v>
      </c>
      <c r="N167" s="683">
        <v>0</v>
      </c>
      <c r="O167" s="686"/>
      <c r="P167" s="683">
        <v>0</v>
      </c>
      <c r="Q167" s="687">
        <f t="shared" si="1"/>
        <v>15000</v>
      </c>
      <c r="R167" s="688">
        <v>0</v>
      </c>
      <c r="S167" s="693"/>
      <c r="T167" s="690">
        <f t="shared" si="100"/>
        <v>-15000</v>
      </c>
      <c r="U167" s="683"/>
      <c r="V167" s="474">
        <f t="shared" si="97"/>
        <v>15000</v>
      </c>
      <c r="W167" s="474">
        <f t="shared" si="89"/>
        <v>0</v>
      </c>
      <c r="X167" s="475">
        <f t="shared" si="90"/>
        <v>0</v>
      </c>
      <c r="Y167" s="475">
        <v>0</v>
      </c>
      <c r="Z167" s="476">
        <v>0</v>
      </c>
      <c r="AA167" s="38">
        <f t="shared" si="98"/>
        <v>0</v>
      </c>
      <c r="AB167" s="692">
        <f t="shared" si="91"/>
        <v>35082.22</v>
      </c>
      <c r="AC167" s="692">
        <f t="shared" si="92"/>
        <v>0</v>
      </c>
      <c r="AD167" s="692">
        <f t="shared" si="93"/>
        <v>0</v>
      </c>
      <c r="AE167" s="38"/>
      <c r="AF167" s="692">
        <f t="shared" si="94"/>
        <v>15000</v>
      </c>
      <c r="AG167" s="692">
        <f t="shared" si="95"/>
        <v>0</v>
      </c>
      <c r="AH167" s="692">
        <f t="shared" si="96"/>
        <v>0</v>
      </c>
    </row>
    <row r="168" spans="1:34" s="269" customFormat="1">
      <c r="A168" s="21"/>
      <c r="B168" s="21" t="s">
        <v>114</v>
      </c>
      <c r="C168" s="675" t="s">
        <v>619</v>
      </c>
      <c r="D168" s="68" t="s">
        <v>626</v>
      </c>
      <c r="E168" s="679"/>
      <c r="F168" s="529">
        <v>0</v>
      </c>
      <c r="G168" s="681"/>
      <c r="H168" s="681"/>
      <c r="I168" s="681"/>
      <c r="J168" s="682">
        <f t="shared" ref="J168" si="101">SUM(E168:I168)</f>
        <v>0</v>
      </c>
      <c r="K168" s="683"/>
      <c r="L168" s="684"/>
      <c r="M168" s="685">
        <v>0</v>
      </c>
      <c r="N168" s="683">
        <v>0</v>
      </c>
      <c r="O168" s="686"/>
      <c r="P168" s="683">
        <v>0</v>
      </c>
      <c r="Q168" s="687">
        <f t="shared" ref="Q168" si="102">L168+M168</f>
        <v>0</v>
      </c>
      <c r="R168" s="688">
        <f>4701.46+5728.41</f>
        <v>10429.869999999999</v>
      </c>
      <c r="S168" s="693"/>
      <c r="T168" s="690">
        <f t="shared" ref="T168" si="103">IF(R168="","",R168-Q168)</f>
        <v>10429.869999999999</v>
      </c>
      <c r="U168" s="683"/>
      <c r="V168" s="474">
        <f t="shared" ref="V168" si="104">IF(B168="D",Q168,0)</f>
        <v>0</v>
      </c>
      <c r="W168" s="474">
        <f t="shared" ref="W168" si="105">IF(B168="M",Q168,0)</f>
        <v>0</v>
      </c>
      <c r="X168" s="475">
        <f t="shared" ref="X168" si="106">IF(B168="V",Q168,0)</f>
        <v>0</v>
      </c>
      <c r="Y168" s="475">
        <v>0</v>
      </c>
      <c r="Z168" s="476">
        <v>0</v>
      </c>
      <c r="AA168" s="38">
        <f t="shared" ref="AA168" si="107">(L168+M168)-(V168+W168+X168+Y168+Z168)</f>
        <v>0</v>
      </c>
      <c r="AB168" s="692">
        <f t="shared" ref="AB168" si="108">IF(B168="D",J168,0)</f>
        <v>0</v>
      </c>
      <c r="AC168" s="692">
        <f t="shared" ref="AC168" si="109">IF(B168="M",J168,0)</f>
        <v>0</v>
      </c>
      <c r="AD168" s="692">
        <f t="shared" ref="AD168" si="110">IF(B168="V",J168,0)</f>
        <v>0</v>
      </c>
      <c r="AE168" s="38"/>
      <c r="AF168" s="692">
        <f t="shared" ref="AF168" si="111">IF(B168="D",Q168,0)</f>
        <v>0</v>
      </c>
      <c r="AG168" s="692">
        <f t="shared" ref="AG168" si="112">IF(B168="M",Q168,0)</f>
        <v>0</v>
      </c>
      <c r="AH168" s="692">
        <f t="shared" ref="AH168" si="113">IF(B168="V",Q168,0)</f>
        <v>0</v>
      </c>
    </row>
    <row r="169" spans="1:34">
      <c r="A169" s="21"/>
      <c r="B169" s="21" t="s">
        <v>109</v>
      </c>
      <c r="C169" s="666"/>
      <c r="D169" s="68" t="s">
        <v>190</v>
      </c>
      <c r="E169" s="679"/>
      <c r="F169" s="529">
        <f>VLOOKUP(D169,'Q3 DMV -  Revenue'!D:T,17,FALSE)</f>
        <v>0</v>
      </c>
      <c r="G169" s="680"/>
      <c r="H169" s="680"/>
      <c r="I169" s="681"/>
      <c r="J169" s="682">
        <f t="shared" si="99"/>
        <v>0</v>
      </c>
      <c r="K169" s="683"/>
      <c r="L169" s="684"/>
      <c r="M169" s="685">
        <v>0</v>
      </c>
      <c r="N169" s="683">
        <v>0</v>
      </c>
      <c r="O169" s="686"/>
      <c r="P169" s="683">
        <v>0</v>
      </c>
      <c r="Q169" s="687">
        <f t="shared" ref="Q169:Q238" si="114">L169+M169</f>
        <v>0</v>
      </c>
      <c r="R169" s="688"/>
      <c r="S169" s="693"/>
      <c r="T169" s="690" t="str">
        <f t="shared" si="100"/>
        <v/>
      </c>
      <c r="U169" s="683"/>
      <c r="V169" s="474">
        <f t="shared" si="97"/>
        <v>0</v>
      </c>
      <c r="W169" s="474">
        <f t="shared" si="89"/>
        <v>0</v>
      </c>
      <c r="X169" s="475">
        <f t="shared" si="90"/>
        <v>0</v>
      </c>
      <c r="Y169" s="475">
        <v>0</v>
      </c>
      <c r="Z169" s="476">
        <v>0</v>
      </c>
      <c r="AA169" s="38">
        <f t="shared" si="98"/>
        <v>0</v>
      </c>
      <c r="AB169" s="692">
        <f t="shared" si="91"/>
        <v>0</v>
      </c>
      <c r="AC169" s="692">
        <f t="shared" si="92"/>
        <v>0</v>
      </c>
      <c r="AD169" s="692">
        <f t="shared" si="93"/>
        <v>0</v>
      </c>
      <c r="AE169" s="38"/>
      <c r="AF169" s="692">
        <f t="shared" si="94"/>
        <v>0</v>
      </c>
      <c r="AG169" s="692">
        <f t="shared" si="95"/>
        <v>0</v>
      </c>
      <c r="AH169" s="692">
        <f t="shared" si="96"/>
        <v>0</v>
      </c>
    </row>
    <row r="170" spans="1:34">
      <c r="A170" s="21"/>
      <c r="B170" s="21" t="s">
        <v>109</v>
      </c>
      <c r="C170" s="666"/>
      <c r="D170" s="68" t="s">
        <v>231</v>
      </c>
      <c r="E170" s="679"/>
      <c r="F170" s="529">
        <f>VLOOKUP(D170,'Q3 DMV -  Revenue'!D:T,17,FALSE)</f>
        <v>0</v>
      </c>
      <c r="G170" s="680"/>
      <c r="H170" s="680"/>
      <c r="I170" s="681"/>
      <c r="J170" s="682">
        <f t="shared" si="99"/>
        <v>0</v>
      </c>
      <c r="K170" s="683"/>
      <c r="L170" s="684"/>
      <c r="M170" s="685">
        <v>0</v>
      </c>
      <c r="N170" s="683">
        <v>0</v>
      </c>
      <c r="O170" s="686"/>
      <c r="P170" s="683">
        <v>0</v>
      </c>
      <c r="Q170" s="687">
        <f t="shared" si="114"/>
        <v>0</v>
      </c>
      <c r="R170" s="688"/>
      <c r="S170" s="693"/>
      <c r="T170" s="690" t="str">
        <f t="shared" si="100"/>
        <v/>
      </c>
      <c r="U170" s="683"/>
      <c r="V170" s="474">
        <f t="shared" si="97"/>
        <v>0</v>
      </c>
      <c r="W170" s="474">
        <f t="shared" si="89"/>
        <v>0</v>
      </c>
      <c r="X170" s="475">
        <f t="shared" si="90"/>
        <v>0</v>
      </c>
      <c r="Y170" s="475">
        <v>0</v>
      </c>
      <c r="Z170" s="476">
        <v>0</v>
      </c>
      <c r="AA170" s="38">
        <f t="shared" si="98"/>
        <v>0</v>
      </c>
      <c r="AB170" s="692">
        <f t="shared" si="91"/>
        <v>0</v>
      </c>
      <c r="AC170" s="692">
        <f t="shared" si="92"/>
        <v>0</v>
      </c>
      <c r="AD170" s="692">
        <f t="shared" si="93"/>
        <v>0</v>
      </c>
      <c r="AE170" s="38"/>
      <c r="AF170" s="692">
        <f t="shared" si="94"/>
        <v>0</v>
      </c>
      <c r="AG170" s="692">
        <f t="shared" si="95"/>
        <v>0</v>
      </c>
      <c r="AH170" s="692">
        <f t="shared" si="96"/>
        <v>0</v>
      </c>
    </row>
    <row r="171" spans="1:34">
      <c r="A171" s="21"/>
      <c r="B171" s="21" t="s">
        <v>109</v>
      </c>
      <c r="C171" s="666"/>
      <c r="D171" s="68" t="s">
        <v>396</v>
      </c>
      <c r="E171" s="679">
        <v>290.10000000000002</v>
      </c>
      <c r="F171" s="529">
        <f>VLOOKUP(D171,'Q3 DMV -  Revenue'!D:T,17,FALSE)</f>
        <v>48.02</v>
      </c>
      <c r="G171" s="694">
        <v>25.23</v>
      </c>
      <c r="H171" s="694">
        <v>11.03</v>
      </c>
      <c r="I171" s="741">
        <v>8.67</v>
      </c>
      <c r="J171" s="682">
        <f t="shared" si="99"/>
        <v>383.05</v>
      </c>
      <c r="K171" s="683"/>
      <c r="L171" s="684"/>
      <c r="M171" s="685">
        <v>0</v>
      </c>
      <c r="N171" s="683">
        <v>0</v>
      </c>
      <c r="O171" s="686">
        <v>383.05</v>
      </c>
      <c r="P171" s="683">
        <v>0</v>
      </c>
      <c r="Q171" s="687">
        <f t="shared" si="114"/>
        <v>0</v>
      </c>
      <c r="R171" s="688"/>
      <c r="S171" s="693"/>
      <c r="T171" s="690" t="str">
        <f t="shared" si="100"/>
        <v/>
      </c>
      <c r="U171" s="683"/>
      <c r="V171" s="474">
        <f t="shared" si="97"/>
        <v>0</v>
      </c>
      <c r="W171" s="474">
        <f t="shared" si="89"/>
        <v>0</v>
      </c>
      <c r="X171" s="475">
        <f t="shared" si="90"/>
        <v>0</v>
      </c>
      <c r="Y171" s="475">
        <v>0</v>
      </c>
      <c r="Z171" s="476">
        <v>0</v>
      </c>
      <c r="AA171" s="38">
        <f t="shared" si="98"/>
        <v>0</v>
      </c>
      <c r="AB171" s="692">
        <f t="shared" si="91"/>
        <v>0</v>
      </c>
      <c r="AC171" s="692">
        <f t="shared" si="92"/>
        <v>383.05</v>
      </c>
      <c r="AD171" s="692">
        <f t="shared" si="93"/>
        <v>0</v>
      </c>
      <c r="AE171" s="38"/>
      <c r="AF171" s="692">
        <f t="shared" si="94"/>
        <v>0</v>
      </c>
      <c r="AG171" s="692">
        <f t="shared" si="95"/>
        <v>0</v>
      </c>
      <c r="AH171" s="692">
        <f t="shared" si="96"/>
        <v>0</v>
      </c>
    </row>
    <row r="172" spans="1:34">
      <c r="A172" s="21"/>
      <c r="B172" s="21" t="s">
        <v>110</v>
      </c>
      <c r="C172" s="666"/>
      <c r="D172" s="68" t="s">
        <v>342</v>
      </c>
      <c r="E172" s="679"/>
      <c r="F172" s="529">
        <f>VLOOKUP(D172,'Q3 DMV -  Revenue'!D:T,17,FALSE)</f>
        <v>0</v>
      </c>
      <c r="G172" s="680"/>
      <c r="H172" s="680"/>
      <c r="I172" s="681"/>
      <c r="J172" s="682">
        <f t="shared" si="99"/>
        <v>0</v>
      </c>
      <c r="K172" s="683"/>
      <c r="L172" s="684"/>
      <c r="M172" s="685">
        <v>0</v>
      </c>
      <c r="N172" s="683">
        <v>0</v>
      </c>
      <c r="O172" s="686"/>
      <c r="P172" s="683">
        <v>0</v>
      </c>
      <c r="Q172" s="687">
        <f t="shared" si="114"/>
        <v>0</v>
      </c>
      <c r="R172" s="688"/>
      <c r="S172" s="693"/>
      <c r="T172" s="690" t="str">
        <f t="shared" si="100"/>
        <v/>
      </c>
      <c r="U172" s="683"/>
      <c r="V172" s="474">
        <f t="shared" si="97"/>
        <v>0</v>
      </c>
      <c r="W172" s="474">
        <f t="shared" si="89"/>
        <v>0</v>
      </c>
      <c r="X172" s="475">
        <f t="shared" si="90"/>
        <v>0</v>
      </c>
      <c r="Y172" s="475">
        <v>0</v>
      </c>
      <c r="Z172" s="476">
        <v>0</v>
      </c>
      <c r="AA172" s="38">
        <f t="shared" si="98"/>
        <v>0</v>
      </c>
      <c r="AB172" s="692">
        <f t="shared" si="91"/>
        <v>0</v>
      </c>
      <c r="AC172" s="692">
        <f t="shared" si="92"/>
        <v>0</v>
      </c>
      <c r="AD172" s="692">
        <f t="shared" si="93"/>
        <v>0</v>
      </c>
      <c r="AE172" s="38"/>
      <c r="AF172" s="692">
        <f t="shared" si="94"/>
        <v>0</v>
      </c>
      <c r="AG172" s="692">
        <f t="shared" si="95"/>
        <v>0</v>
      </c>
      <c r="AH172" s="692">
        <f t="shared" si="96"/>
        <v>0</v>
      </c>
    </row>
    <row r="173" spans="1:34">
      <c r="A173" s="20"/>
      <c r="B173" s="20" t="s">
        <v>109</v>
      </c>
      <c r="C173" s="667" t="s">
        <v>557</v>
      </c>
      <c r="D173" s="68" t="s">
        <v>32</v>
      </c>
      <c r="E173" s="679">
        <f>0.76+1.4+0.7+1.49+3.17+1.58+4.75+0.7+4.62+7.91+16.8</f>
        <v>43.88</v>
      </c>
      <c r="F173" s="529">
        <f>VLOOKUP(D173,'Q3 DMV -  Revenue'!D:T,17,FALSE)</f>
        <v>-378.28499999999997</v>
      </c>
      <c r="G173" s="742">
        <f>247.69+1.4+2.97</f>
        <v>252.06</v>
      </c>
      <c r="H173" s="742">
        <f>191.71+0.74</f>
        <v>192.45000000000002</v>
      </c>
      <c r="I173" s="741">
        <f>0.75+191.72</f>
        <v>192.47</v>
      </c>
      <c r="J173" s="682">
        <f t="shared" si="99"/>
        <v>302.57500000000005</v>
      </c>
      <c r="K173" s="683"/>
      <c r="L173" s="684"/>
      <c r="M173" s="685">
        <v>0</v>
      </c>
      <c r="N173" s="683">
        <v>0</v>
      </c>
      <c r="O173" s="686">
        <v>312.64999999999998</v>
      </c>
      <c r="P173" s="683">
        <v>0</v>
      </c>
      <c r="Q173" s="687">
        <f t="shared" si="114"/>
        <v>0</v>
      </c>
      <c r="R173" s="688"/>
      <c r="S173" s="693"/>
      <c r="T173" s="690" t="str">
        <f t="shared" si="100"/>
        <v/>
      </c>
      <c r="U173" s="683"/>
      <c r="V173" s="474">
        <f t="shared" si="97"/>
        <v>0</v>
      </c>
      <c r="W173" s="474">
        <f t="shared" si="89"/>
        <v>0</v>
      </c>
      <c r="X173" s="475">
        <f t="shared" si="90"/>
        <v>0</v>
      </c>
      <c r="Y173" s="475">
        <v>0</v>
      </c>
      <c r="Z173" s="476">
        <v>0</v>
      </c>
      <c r="AA173" s="38">
        <f t="shared" si="98"/>
        <v>0</v>
      </c>
      <c r="AB173" s="692">
        <f t="shared" si="91"/>
        <v>0</v>
      </c>
      <c r="AC173" s="692">
        <f t="shared" si="92"/>
        <v>302.57500000000005</v>
      </c>
      <c r="AD173" s="692">
        <f t="shared" si="93"/>
        <v>0</v>
      </c>
      <c r="AE173" s="38"/>
      <c r="AF173" s="692">
        <f t="shared" si="94"/>
        <v>0</v>
      </c>
      <c r="AG173" s="692">
        <f t="shared" si="95"/>
        <v>0</v>
      </c>
      <c r="AH173" s="692">
        <f t="shared" si="96"/>
        <v>0</v>
      </c>
    </row>
    <row r="174" spans="1:34">
      <c r="A174" s="21"/>
      <c r="B174" s="21" t="s">
        <v>110</v>
      </c>
      <c r="C174" s="666"/>
      <c r="D174" s="68" t="s">
        <v>448</v>
      </c>
      <c r="E174" s="679"/>
      <c r="F174" s="529">
        <f>VLOOKUP(D174,'Q3 DMV -  Revenue'!D:T,17,FALSE)</f>
        <v>562.39</v>
      </c>
      <c r="G174" s="680"/>
      <c r="H174" s="680"/>
      <c r="I174" s="741">
        <v>830.54</v>
      </c>
      <c r="J174" s="682">
        <f t="shared" si="99"/>
        <v>1392.9299999999998</v>
      </c>
      <c r="K174" s="683"/>
      <c r="L174" s="684"/>
      <c r="M174" s="685">
        <v>0</v>
      </c>
      <c r="N174" s="683">
        <v>0</v>
      </c>
      <c r="O174" s="686">
        <v>-430.28</v>
      </c>
      <c r="P174" s="683">
        <v>0</v>
      </c>
      <c r="Q174" s="687">
        <f t="shared" si="114"/>
        <v>0</v>
      </c>
      <c r="R174" s="688"/>
      <c r="S174" s="693"/>
      <c r="T174" s="690" t="str">
        <f t="shared" si="100"/>
        <v/>
      </c>
      <c r="U174" s="683"/>
      <c r="V174" s="474">
        <f t="shared" si="97"/>
        <v>0</v>
      </c>
      <c r="W174" s="474">
        <f t="shared" si="89"/>
        <v>0</v>
      </c>
      <c r="X174" s="475">
        <f t="shared" si="90"/>
        <v>0</v>
      </c>
      <c r="Y174" s="475">
        <v>0</v>
      </c>
      <c r="Z174" s="476">
        <v>0</v>
      </c>
      <c r="AA174" s="38">
        <f t="shared" si="98"/>
        <v>0</v>
      </c>
      <c r="AB174" s="692">
        <f t="shared" si="91"/>
        <v>1392.9299999999998</v>
      </c>
      <c r="AC174" s="692">
        <f t="shared" si="92"/>
        <v>0</v>
      </c>
      <c r="AD174" s="692">
        <f t="shared" si="93"/>
        <v>0</v>
      </c>
      <c r="AE174" s="38"/>
      <c r="AF174" s="692">
        <f t="shared" si="94"/>
        <v>0</v>
      </c>
      <c r="AG174" s="692">
        <f t="shared" si="95"/>
        <v>0</v>
      </c>
      <c r="AH174" s="692">
        <f t="shared" si="96"/>
        <v>0</v>
      </c>
    </row>
    <row r="175" spans="1:34">
      <c r="A175" s="21"/>
      <c r="B175" s="21" t="s">
        <v>110</v>
      </c>
      <c r="C175" s="666" t="s">
        <v>558</v>
      </c>
      <c r="D175" s="68" t="s">
        <v>122</v>
      </c>
      <c r="E175" s="679"/>
      <c r="F175" s="529">
        <f>VLOOKUP(D175,'Q3 DMV -  Revenue'!D:T,17,FALSE)</f>
        <v>157.86999999999898</v>
      </c>
      <c r="G175" s="694">
        <f>3270.28-G176</f>
        <v>3135.5200000000004</v>
      </c>
      <c r="H175" s="680"/>
      <c r="I175" s="681"/>
      <c r="J175" s="682">
        <f t="shared" si="99"/>
        <v>3293.3899999999994</v>
      </c>
      <c r="K175" s="683"/>
      <c r="L175" s="684"/>
      <c r="M175" s="685">
        <v>5000</v>
      </c>
      <c r="N175" s="683">
        <v>0</v>
      </c>
      <c r="O175" s="686">
        <v>3428.15</v>
      </c>
      <c r="P175" s="683">
        <v>0</v>
      </c>
      <c r="Q175" s="687">
        <f t="shared" si="114"/>
        <v>5000</v>
      </c>
      <c r="R175" s="688">
        <v>0</v>
      </c>
      <c r="S175" s="693"/>
      <c r="T175" s="690">
        <f t="shared" si="100"/>
        <v>-5000</v>
      </c>
      <c r="U175" s="683"/>
      <c r="V175" s="474">
        <f t="shared" si="97"/>
        <v>5000</v>
      </c>
      <c r="W175" s="474">
        <f t="shared" si="89"/>
        <v>0</v>
      </c>
      <c r="X175" s="475">
        <f t="shared" si="90"/>
        <v>0</v>
      </c>
      <c r="Y175" s="475">
        <v>0</v>
      </c>
      <c r="Z175" s="476">
        <v>0</v>
      </c>
      <c r="AA175" s="38">
        <f t="shared" si="98"/>
        <v>0</v>
      </c>
      <c r="AB175" s="692">
        <f t="shared" si="91"/>
        <v>3293.3899999999994</v>
      </c>
      <c r="AC175" s="692">
        <f t="shared" si="92"/>
        <v>0</v>
      </c>
      <c r="AD175" s="692">
        <f t="shared" si="93"/>
        <v>0</v>
      </c>
      <c r="AE175" s="38"/>
      <c r="AF175" s="692">
        <f t="shared" si="94"/>
        <v>5000</v>
      </c>
      <c r="AG175" s="692">
        <f t="shared" si="95"/>
        <v>0</v>
      </c>
      <c r="AH175" s="692">
        <f t="shared" si="96"/>
        <v>0</v>
      </c>
    </row>
    <row r="176" spans="1:34">
      <c r="A176" s="21"/>
      <c r="B176" s="21" t="s">
        <v>114</v>
      </c>
      <c r="C176" s="666" t="s">
        <v>558</v>
      </c>
      <c r="D176" s="68" t="s">
        <v>629</v>
      </c>
      <c r="E176" s="679"/>
      <c r="F176" s="529"/>
      <c r="G176" s="694">
        <v>134.76</v>
      </c>
      <c r="H176" s="680"/>
      <c r="I176" s="681"/>
      <c r="J176" s="682">
        <f t="shared" ref="J176" si="115">SUM(E176:I176)</f>
        <v>134.76</v>
      </c>
      <c r="K176" s="683"/>
      <c r="L176" s="684"/>
      <c r="M176" s="685">
        <v>200</v>
      </c>
      <c r="N176" s="683">
        <v>0</v>
      </c>
      <c r="O176" s="686"/>
      <c r="P176" s="683">
        <v>0</v>
      </c>
      <c r="Q176" s="687">
        <f t="shared" ref="Q176" si="116">L176+M176</f>
        <v>200</v>
      </c>
      <c r="R176" s="688">
        <v>0</v>
      </c>
      <c r="S176" s="693"/>
      <c r="T176" s="690">
        <f t="shared" ref="T176" si="117">IF(R176="","",R176-Q176)</f>
        <v>-200</v>
      </c>
      <c r="U176" s="683"/>
      <c r="V176" s="474">
        <f t="shared" ref="V176" si="118">IF(B176="D",Q176,0)</f>
        <v>0</v>
      </c>
      <c r="W176" s="474">
        <f t="shared" ref="W176" si="119">IF(B176="M",Q176,0)</f>
        <v>0</v>
      </c>
      <c r="X176" s="475">
        <f t="shared" ref="X176" si="120">IF(B176="V",Q176,0)</f>
        <v>200</v>
      </c>
      <c r="Y176" s="475">
        <v>0</v>
      </c>
      <c r="Z176" s="476">
        <v>0</v>
      </c>
      <c r="AA176" s="38">
        <f t="shared" ref="AA176" si="121">(L176+M176)-(V176+W176+X176+Y176+Z176)</f>
        <v>0</v>
      </c>
      <c r="AB176" s="692">
        <f t="shared" ref="AB176" si="122">IF(B176="D",J176,0)</f>
        <v>0</v>
      </c>
      <c r="AC176" s="692">
        <f t="shared" ref="AC176" si="123">IF(B176="M",J176,0)</f>
        <v>0</v>
      </c>
      <c r="AD176" s="692">
        <f t="shared" ref="AD176" si="124">IF(B176="V",J176,0)</f>
        <v>134.76</v>
      </c>
      <c r="AE176" s="38"/>
      <c r="AF176" s="692">
        <f t="shared" ref="AF176" si="125">IF(B176="D",Q176,0)</f>
        <v>0</v>
      </c>
      <c r="AG176" s="692">
        <f t="shared" ref="AG176" si="126">IF(B176="M",Q176,0)</f>
        <v>0</v>
      </c>
      <c r="AH176" s="692">
        <f t="shared" ref="AH176" si="127">IF(B176="V",Q176,0)</f>
        <v>200</v>
      </c>
    </row>
    <row r="177" spans="1:34">
      <c r="A177" s="21"/>
      <c r="B177" s="21" t="s">
        <v>109</v>
      </c>
      <c r="C177" s="666" t="s">
        <v>559</v>
      </c>
      <c r="D177" s="68" t="s">
        <v>33</v>
      </c>
      <c r="E177" s="679"/>
      <c r="F177" s="529">
        <f>VLOOKUP(D177,'Q3 DMV -  Revenue'!D:T,17,FALSE)</f>
        <v>-1649.5</v>
      </c>
      <c r="G177" s="694">
        <v>6196.4</v>
      </c>
      <c r="H177" s="694">
        <v>5245.2</v>
      </c>
      <c r="I177" s="741">
        <v>5312.1</v>
      </c>
      <c r="J177" s="682">
        <f t="shared" si="99"/>
        <v>15104.199999999999</v>
      </c>
      <c r="K177" s="683"/>
      <c r="L177" s="684"/>
      <c r="M177" s="685">
        <v>0</v>
      </c>
      <c r="N177" s="683">
        <v>0</v>
      </c>
      <c r="O177" s="686">
        <v>19604.2</v>
      </c>
      <c r="P177" s="683">
        <v>0</v>
      </c>
      <c r="Q177" s="687">
        <f t="shared" si="114"/>
        <v>0</v>
      </c>
      <c r="R177" s="688"/>
      <c r="S177" s="693"/>
      <c r="T177" s="690" t="str">
        <f t="shared" si="100"/>
        <v/>
      </c>
      <c r="U177" s="683"/>
      <c r="V177" s="474">
        <f t="shared" si="97"/>
        <v>0</v>
      </c>
      <c r="W177" s="474">
        <f t="shared" si="89"/>
        <v>0</v>
      </c>
      <c r="X177" s="475">
        <f t="shared" si="90"/>
        <v>0</v>
      </c>
      <c r="Y177" s="475">
        <v>0</v>
      </c>
      <c r="Z177" s="476">
        <v>0</v>
      </c>
      <c r="AA177" s="38">
        <f t="shared" si="98"/>
        <v>0</v>
      </c>
      <c r="AB177" s="692">
        <f t="shared" si="91"/>
        <v>0</v>
      </c>
      <c r="AC177" s="692">
        <f t="shared" si="92"/>
        <v>15104.199999999999</v>
      </c>
      <c r="AD177" s="692">
        <f t="shared" si="93"/>
        <v>0</v>
      </c>
      <c r="AE177" s="38"/>
      <c r="AF177" s="692">
        <f t="shared" si="94"/>
        <v>0</v>
      </c>
      <c r="AG177" s="692">
        <f t="shared" si="95"/>
        <v>0</v>
      </c>
      <c r="AH177" s="692">
        <f t="shared" si="96"/>
        <v>0</v>
      </c>
    </row>
    <row r="178" spans="1:34">
      <c r="A178" s="21"/>
      <c r="B178" s="21" t="s">
        <v>109</v>
      </c>
      <c r="C178" s="666" t="s">
        <v>560</v>
      </c>
      <c r="D178" s="68" t="s">
        <v>379</v>
      </c>
      <c r="E178" s="679"/>
      <c r="F178" s="529">
        <f>VLOOKUP(D178,'Q3 DMV -  Revenue'!D:T,17,FALSE)</f>
        <v>-40.009999999999991</v>
      </c>
      <c r="G178" s="694">
        <v>242.13</v>
      </c>
      <c r="H178" s="694">
        <v>254.45</v>
      </c>
      <c r="I178" s="741">
        <v>224.36</v>
      </c>
      <c r="J178" s="682">
        <f t="shared" si="99"/>
        <v>680.93000000000006</v>
      </c>
      <c r="K178" s="683"/>
      <c r="L178" s="684"/>
      <c r="M178" s="685">
        <v>0</v>
      </c>
      <c r="N178" s="683">
        <v>0</v>
      </c>
      <c r="O178" s="686">
        <v>680.93</v>
      </c>
      <c r="P178" s="683">
        <v>0</v>
      </c>
      <c r="Q178" s="687">
        <f t="shared" si="114"/>
        <v>0</v>
      </c>
      <c r="R178" s="688"/>
      <c r="S178" s="693"/>
      <c r="T178" s="690" t="str">
        <f t="shared" si="100"/>
        <v/>
      </c>
      <c r="U178" s="683"/>
      <c r="V178" s="474">
        <f t="shared" si="97"/>
        <v>0</v>
      </c>
      <c r="W178" s="474">
        <f t="shared" si="89"/>
        <v>0</v>
      </c>
      <c r="X178" s="475">
        <f t="shared" si="90"/>
        <v>0</v>
      </c>
      <c r="Y178" s="475">
        <v>0</v>
      </c>
      <c r="Z178" s="476">
        <v>0</v>
      </c>
      <c r="AA178" s="38">
        <f t="shared" si="98"/>
        <v>0</v>
      </c>
      <c r="AB178" s="692">
        <f t="shared" si="91"/>
        <v>0</v>
      </c>
      <c r="AC178" s="692">
        <f t="shared" si="92"/>
        <v>680.93000000000006</v>
      </c>
      <c r="AD178" s="692">
        <f t="shared" si="93"/>
        <v>0</v>
      </c>
      <c r="AE178" s="38"/>
      <c r="AF178" s="692">
        <f t="shared" si="94"/>
        <v>0</v>
      </c>
      <c r="AG178" s="692">
        <f t="shared" si="95"/>
        <v>0</v>
      </c>
      <c r="AH178" s="692">
        <f t="shared" si="96"/>
        <v>0</v>
      </c>
    </row>
    <row r="179" spans="1:34" s="232" customFormat="1">
      <c r="A179" s="283"/>
      <c r="B179" s="283" t="s">
        <v>110</v>
      </c>
      <c r="C179" s="667" t="s">
        <v>561</v>
      </c>
      <c r="D179" s="455" t="s">
        <v>322</v>
      </c>
      <c r="E179" s="679"/>
      <c r="F179" s="529">
        <f>VLOOKUP(D179,'Q3 DMV -  Revenue'!D:T,17,FALSE)</f>
        <v>-119.02000000000044</v>
      </c>
      <c r="G179" s="694">
        <f>9925.7+411.26+3022.11+6189.34+8233.62+3224.91</f>
        <v>31006.940000000006</v>
      </c>
      <c r="H179" s="694">
        <f>7598.3+412.07+3706.3+4953.91+7134.08+2448.59</f>
        <v>26253.250000000004</v>
      </c>
      <c r="I179" s="741">
        <f>318.98+4057.47+6602.67+2665.22</f>
        <v>13644.339999999998</v>
      </c>
      <c r="J179" s="682">
        <f t="shared" si="99"/>
        <v>70785.510000000009</v>
      </c>
      <c r="K179" s="683"/>
      <c r="L179" s="684"/>
      <c r="M179" s="685">
        <v>0</v>
      </c>
      <c r="N179" s="683">
        <v>0</v>
      </c>
      <c r="O179" s="686">
        <v>248170.23</v>
      </c>
      <c r="P179" s="683">
        <v>0</v>
      </c>
      <c r="Q179" s="687">
        <f t="shared" si="114"/>
        <v>0</v>
      </c>
      <c r="R179" s="688"/>
      <c r="S179" s="693"/>
      <c r="T179" s="690" t="str">
        <f t="shared" si="100"/>
        <v/>
      </c>
      <c r="U179" s="683"/>
      <c r="V179" s="474">
        <f t="shared" si="97"/>
        <v>0</v>
      </c>
      <c r="W179" s="474">
        <f t="shared" si="89"/>
        <v>0</v>
      </c>
      <c r="X179" s="475">
        <f t="shared" si="90"/>
        <v>0</v>
      </c>
      <c r="Y179" s="475">
        <v>0</v>
      </c>
      <c r="Z179" s="476">
        <v>0</v>
      </c>
      <c r="AA179" s="38">
        <f t="shared" si="98"/>
        <v>0</v>
      </c>
      <c r="AB179" s="692">
        <f t="shared" si="91"/>
        <v>70785.510000000009</v>
      </c>
      <c r="AC179" s="692">
        <f t="shared" si="92"/>
        <v>0</v>
      </c>
      <c r="AD179" s="692">
        <f t="shared" si="93"/>
        <v>0</v>
      </c>
      <c r="AE179" s="38"/>
      <c r="AF179" s="692">
        <f t="shared" si="94"/>
        <v>0</v>
      </c>
      <c r="AG179" s="692">
        <f t="shared" si="95"/>
        <v>0</v>
      </c>
      <c r="AH179" s="692">
        <f t="shared" si="96"/>
        <v>0</v>
      </c>
    </row>
    <row r="180" spans="1:34" s="232" customFormat="1">
      <c r="A180" s="283"/>
      <c r="B180" s="283" t="s">
        <v>110</v>
      </c>
      <c r="C180" s="667" t="s">
        <v>561</v>
      </c>
      <c r="D180" s="455" t="s">
        <v>323</v>
      </c>
      <c r="E180" s="679">
        <v>16207.38</v>
      </c>
      <c r="F180" s="529">
        <f>VLOOKUP(D180,'Q3 DMV -  Revenue'!D:T,17,FALSE)</f>
        <v>6527.7049999999945</v>
      </c>
      <c r="G180" s="694">
        <f>12267.37+2048.85+1453.65+13696.27+2564.83+1153.07+3774.18</f>
        <v>36958.22</v>
      </c>
      <c r="H180" s="694">
        <f>11062.53+1931.52+1353.64+11477.11+2428.45+1048.18+3716.99</f>
        <v>33018.420000000006</v>
      </c>
      <c r="I180" s="741">
        <f>1670.57+176.37+1622.32+11599.11+1169.14</f>
        <v>16237.51</v>
      </c>
      <c r="J180" s="682">
        <f t="shared" si="99"/>
        <v>108949.235</v>
      </c>
      <c r="K180" s="683"/>
      <c r="L180" s="684"/>
      <c r="M180" s="685">
        <v>0</v>
      </c>
      <c r="N180" s="683">
        <v>0</v>
      </c>
      <c r="O180" s="686"/>
      <c r="P180" s="683">
        <v>0</v>
      </c>
      <c r="Q180" s="687">
        <f t="shared" si="114"/>
        <v>0</v>
      </c>
      <c r="R180" s="688"/>
      <c r="S180" s="693"/>
      <c r="T180" s="690" t="str">
        <f t="shared" si="100"/>
        <v/>
      </c>
      <c r="U180" s="683"/>
      <c r="V180" s="474">
        <f t="shared" si="97"/>
        <v>0</v>
      </c>
      <c r="W180" s="474">
        <f t="shared" si="89"/>
        <v>0</v>
      </c>
      <c r="X180" s="475">
        <f t="shared" si="90"/>
        <v>0</v>
      </c>
      <c r="Y180" s="475">
        <v>0</v>
      </c>
      <c r="Z180" s="476">
        <v>0</v>
      </c>
      <c r="AA180" s="38">
        <f t="shared" si="98"/>
        <v>0</v>
      </c>
      <c r="AB180" s="692">
        <f t="shared" si="91"/>
        <v>108949.235</v>
      </c>
      <c r="AC180" s="692">
        <f t="shared" si="92"/>
        <v>0</v>
      </c>
      <c r="AD180" s="692">
        <f t="shared" si="93"/>
        <v>0</v>
      </c>
      <c r="AE180" s="38"/>
      <c r="AF180" s="692">
        <f t="shared" si="94"/>
        <v>0</v>
      </c>
      <c r="AG180" s="692">
        <f t="shared" si="95"/>
        <v>0</v>
      </c>
      <c r="AH180" s="692">
        <f t="shared" si="96"/>
        <v>0</v>
      </c>
    </row>
    <row r="181" spans="1:34" s="232" customFormat="1">
      <c r="A181" s="283"/>
      <c r="B181" s="283" t="s">
        <v>109</v>
      </c>
      <c r="C181" s="667" t="s">
        <v>561</v>
      </c>
      <c r="D181" s="455" t="s">
        <v>423</v>
      </c>
      <c r="E181" s="679">
        <f>26702.74+463.85</f>
        <v>27166.59</v>
      </c>
      <c r="F181" s="529">
        <f>VLOOKUP(D181,'Q3 DMV -  Revenue'!D:T,17,FALSE)</f>
        <v>24714.560000000001</v>
      </c>
      <c r="G181" s="694">
        <f>9333.96+112.48</f>
        <v>9446.4399999999987</v>
      </c>
      <c r="H181" s="694">
        <f>8223.65+81.08</f>
        <v>8304.73</v>
      </c>
      <c r="I181" s="741">
        <f>3135.49+0.09</f>
        <v>3135.58</v>
      </c>
      <c r="J181" s="682">
        <f t="shared" si="99"/>
        <v>72767.899999999994</v>
      </c>
      <c r="K181" s="683"/>
      <c r="L181" s="684"/>
      <c r="M181" s="685">
        <v>0</v>
      </c>
      <c r="N181" s="683">
        <v>0</v>
      </c>
      <c r="O181" s="686"/>
      <c r="P181" s="683">
        <v>0</v>
      </c>
      <c r="Q181" s="687">
        <f t="shared" si="114"/>
        <v>0</v>
      </c>
      <c r="R181" s="688"/>
      <c r="S181" s="693"/>
      <c r="T181" s="690" t="str">
        <f t="shared" si="100"/>
        <v/>
      </c>
      <c r="U181" s="683"/>
      <c r="V181" s="474">
        <f t="shared" si="97"/>
        <v>0</v>
      </c>
      <c r="W181" s="474">
        <f t="shared" si="89"/>
        <v>0</v>
      </c>
      <c r="X181" s="475">
        <f t="shared" si="90"/>
        <v>0</v>
      </c>
      <c r="Y181" s="475">
        <v>0</v>
      </c>
      <c r="Z181" s="476">
        <v>0</v>
      </c>
      <c r="AA181" s="38">
        <f t="shared" si="98"/>
        <v>0</v>
      </c>
      <c r="AB181" s="692">
        <f t="shared" si="91"/>
        <v>0</v>
      </c>
      <c r="AC181" s="692">
        <f t="shared" si="92"/>
        <v>72767.899999999994</v>
      </c>
      <c r="AD181" s="692">
        <f t="shared" si="93"/>
        <v>0</v>
      </c>
      <c r="AE181" s="38"/>
      <c r="AF181" s="692">
        <f t="shared" si="94"/>
        <v>0</v>
      </c>
      <c r="AG181" s="692">
        <f t="shared" si="95"/>
        <v>0</v>
      </c>
      <c r="AH181" s="692">
        <f t="shared" si="96"/>
        <v>0</v>
      </c>
    </row>
    <row r="182" spans="1:34" s="232" customFormat="1">
      <c r="A182" s="283"/>
      <c r="B182" s="283" t="s">
        <v>110</v>
      </c>
      <c r="C182" s="667" t="s">
        <v>561</v>
      </c>
      <c r="D182" s="455" t="s">
        <v>324</v>
      </c>
      <c r="E182" s="679"/>
      <c r="F182" s="529">
        <f>VLOOKUP(D182,'Q3 DMV -  Revenue'!D:T,17,FALSE)</f>
        <v>43.224999999999966</v>
      </c>
      <c r="G182" s="680"/>
      <c r="H182" s="680"/>
      <c r="I182" s="681"/>
      <c r="J182" s="682">
        <f t="shared" si="99"/>
        <v>43.224999999999966</v>
      </c>
      <c r="K182" s="683"/>
      <c r="L182" s="684"/>
      <c r="M182" s="685">
        <v>0</v>
      </c>
      <c r="N182" s="683">
        <v>0</v>
      </c>
      <c r="O182" s="686"/>
      <c r="P182" s="683">
        <v>0</v>
      </c>
      <c r="Q182" s="687">
        <f t="shared" si="114"/>
        <v>0</v>
      </c>
      <c r="R182" s="688"/>
      <c r="S182" s="693"/>
      <c r="T182" s="690" t="str">
        <f t="shared" si="100"/>
        <v/>
      </c>
      <c r="U182" s="683"/>
      <c r="V182" s="474">
        <f t="shared" si="97"/>
        <v>0</v>
      </c>
      <c r="W182" s="474">
        <f t="shared" si="89"/>
        <v>0</v>
      </c>
      <c r="X182" s="475">
        <f t="shared" si="90"/>
        <v>0</v>
      </c>
      <c r="Y182" s="475">
        <v>0</v>
      </c>
      <c r="Z182" s="476">
        <v>0</v>
      </c>
      <c r="AA182" s="38">
        <f t="shared" si="98"/>
        <v>0</v>
      </c>
      <c r="AB182" s="692">
        <f t="shared" si="91"/>
        <v>43.224999999999966</v>
      </c>
      <c r="AC182" s="692">
        <f t="shared" si="92"/>
        <v>0</v>
      </c>
      <c r="AD182" s="692">
        <f t="shared" si="93"/>
        <v>0</v>
      </c>
      <c r="AE182" s="38"/>
      <c r="AF182" s="692">
        <f t="shared" si="94"/>
        <v>0</v>
      </c>
      <c r="AG182" s="692">
        <f t="shared" si="95"/>
        <v>0</v>
      </c>
      <c r="AH182" s="692">
        <f t="shared" si="96"/>
        <v>0</v>
      </c>
    </row>
    <row r="183" spans="1:34" s="232" customFormat="1">
      <c r="A183" s="283"/>
      <c r="B183" s="283" t="s">
        <v>110</v>
      </c>
      <c r="C183" s="667" t="s">
        <v>561</v>
      </c>
      <c r="D183" s="455" t="s">
        <v>325</v>
      </c>
      <c r="E183" s="679"/>
      <c r="F183" s="529">
        <f>VLOOKUP(D183,'Q3 DMV -  Revenue'!D:T,17,FALSE)</f>
        <v>123.53999999999996</v>
      </c>
      <c r="G183" s="742">
        <f>458.51+33.56</f>
        <v>492.07</v>
      </c>
      <c r="H183" s="694">
        <f>433.43+27.46</f>
        <v>460.89</v>
      </c>
      <c r="I183" s="741">
        <v>0.02</v>
      </c>
      <c r="J183" s="682">
        <f t="shared" si="99"/>
        <v>1076.52</v>
      </c>
      <c r="K183" s="683"/>
      <c r="L183" s="684"/>
      <c r="M183" s="685">
        <v>0</v>
      </c>
      <c r="N183" s="683">
        <v>0</v>
      </c>
      <c r="O183" s="686"/>
      <c r="P183" s="683">
        <v>0</v>
      </c>
      <c r="Q183" s="687">
        <f t="shared" si="114"/>
        <v>0</v>
      </c>
      <c r="R183" s="688"/>
      <c r="S183" s="693"/>
      <c r="T183" s="690" t="str">
        <f t="shared" si="100"/>
        <v/>
      </c>
      <c r="U183" s="683"/>
      <c r="V183" s="474">
        <f t="shared" si="97"/>
        <v>0</v>
      </c>
      <c r="W183" s="474">
        <f t="shared" si="89"/>
        <v>0</v>
      </c>
      <c r="X183" s="475">
        <f t="shared" si="90"/>
        <v>0</v>
      </c>
      <c r="Y183" s="475">
        <v>0</v>
      </c>
      <c r="Z183" s="476">
        <v>0</v>
      </c>
      <c r="AA183" s="38">
        <f t="shared" si="98"/>
        <v>0</v>
      </c>
      <c r="AB183" s="692">
        <f t="shared" si="91"/>
        <v>1076.52</v>
      </c>
      <c r="AC183" s="692">
        <f t="shared" si="92"/>
        <v>0</v>
      </c>
      <c r="AD183" s="692">
        <f t="shared" si="93"/>
        <v>0</v>
      </c>
      <c r="AE183" s="38"/>
      <c r="AF183" s="692">
        <f t="shared" si="94"/>
        <v>0</v>
      </c>
      <c r="AG183" s="692">
        <f t="shared" si="95"/>
        <v>0</v>
      </c>
      <c r="AH183" s="692">
        <f t="shared" si="96"/>
        <v>0</v>
      </c>
    </row>
    <row r="184" spans="1:34" s="232" customFormat="1">
      <c r="A184" s="283"/>
      <c r="B184" s="283" t="s">
        <v>114</v>
      </c>
      <c r="C184" s="667"/>
      <c r="D184" s="500" t="s">
        <v>408</v>
      </c>
      <c r="E184" s="679"/>
      <c r="F184" s="529">
        <f>VLOOKUP(D184,'Q3 DMV -  Revenue'!D:T,17,FALSE)</f>
        <v>44092.63</v>
      </c>
      <c r="G184" s="680"/>
      <c r="H184" s="694">
        <v>765.54</v>
      </c>
      <c r="I184" s="741">
        <v>29107.01</v>
      </c>
      <c r="J184" s="682">
        <f t="shared" si="99"/>
        <v>73965.179999999993</v>
      </c>
      <c r="K184" s="683"/>
      <c r="L184" s="684"/>
      <c r="M184" s="685">
        <v>0</v>
      </c>
      <c r="N184" s="683">
        <v>0</v>
      </c>
      <c r="O184" s="686">
        <v>73965.179999999993</v>
      </c>
      <c r="P184" s="683">
        <v>0</v>
      </c>
      <c r="Q184" s="687">
        <f t="shared" si="114"/>
        <v>0</v>
      </c>
      <c r="R184" s="688"/>
      <c r="S184" s="693"/>
      <c r="T184" s="690" t="str">
        <f t="shared" si="100"/>
        <v/>
      </c>
      <c r="U184" s="683"/>
      <c r="V184" s="474">
        <f t="shared" si="97"/>
        <v>0</v>
      </c>
      <c r="W184" s="474">
        <f t="shared" si="89"/>
        <v>0</v>
      </c>
      <c r="X184" s="475">
        <f t="shared" si="90"/>
        <v>0</v>
      </c>
      <c r="Y184" s="475">
        <v>0</v>
      </c>
      <c r="Z184" s="476">
        <v>0</v>
      </c>
      <c r="AA184" s="38">
        <f t="shared" si="98"/>
        <v>0</v>
      </c>
      <c r="AB184" s="692">
        <f t="shared" si="91"/>
        <v>0</v>
      </c>
      <c r="AC184" s="692">
        <f t="shared" si="92"/>
        <v>0</v>
      </c>
      <c r="AD184" s="692">
        <f t="shared" si="93"/>
        <v>73965.179999999993</v>
      </c>
      <c r="AE184" s="38"/>
      <c r="AF184" s="692">
        <f t="shared" si="94"/>
        <v>0</v>
      </c>
      <c r="AG184" s="692">
        <f t="shared" si="95"/>
        <v>0</v>
      </c>
      <c r="AH184" s="692">
        <f t="shared" si="96"/>
        <v>0</v>
      </c>
    </row>
    <row r="185" spans="1:34" s="232" customFormat="1">
      <c r="A185" s="283"/>
      <c r="B185" s="283" t="s">
        <v>110</v>
      </c>
      <c r="C185" s="667"/>
      <c r="D185" s="567" t="s">
        <v>445</v>
      </c>
      <c r="E185" s="679">
        <v>373.21</v>
      </c>
      <c r="F185" s="529">
        <f>VLOOKUP(D185,'Q3 DMV -  Revenue'!D:T,17,FALSE)</f>
        <v>0</v>
      </c>
      <c r="G185" s="680"/>
      <c r="H185" s="680"/>
      <c r="I185" s="681"/>
      <c r="J185" s="682">
        <f t="shared" si="99"/>
        <v>373.21</v>
      </c>
      <c r="K185" s="683"/>
      <c r="L185" s="684"/>
      <c r="M185" s="685">
        <v>0</v>
      </c>
      <c r="N185" s="683">
        <v>0</v>
      </c>
      <c r="O185" s="686">
        <v>5373.2</v>
      </c>
      <c r="P185" s="683">
        <v>0</v>
      </c>
      <c r="Q185" s="687">
        <f t="shared" si="114"/>
        <v>0</v>
      </c>
      <c r="R185" s="688"/>
      <c r="S185" s="693"/>
      <c r="T185" s="690" t="str">
        <f t="shared" si="100"/>
        <v/>
      </c>
      <c r="U185" s="683"/>
      <c r="V185" s="474">
        <f t="shared" si="97"/>
        <v>0</v>
      </c>
      <c r="W185" s="474">
        <f t="shared" si="89"/>
        <v>0</v>
      </c>
      <c r="X185" s="475">
        <f t="shared" si="90"/>
        <v>0</v>
      </c>
      <c r="Y185" s="475">
        <v>0</v>
      </c>
      <c r="Z185" s="476">
        <v>0</v>
      </c>
      <c r="AA185" s="38">
        <f t="shared" si="98"/>
        <v>0</v>
      </c>
      <c r="AB185" s="692">
        <f t="shared" si="91"/>
        <v>373.21</v>
      </c>
      <c r="AC185" s="692">
        <f t="shared" si="92"/>
        <v>0</v>
      </c>
      <c r="AD185" s="692">
        <f t="shared" si="93"/>
        <v>0</v>
      </c>
      <c r="AE185" s="38"/>
      <c r="AF185" s="692">
        <f t="shared" si="94"/>
        <v>0</v>
      </c>
      <c r="AG185" s="692">
        <f t="shared" si="95"/>
        <v>0</v>
      </c>
      <c r="AH185" s="692">
        <f t="shared" si="96"/>
        <v>0</v>
      </c>
    </row>
    <row r="186" spans="1:34" s="232" customFormat="1">
      <c r="A186" s="283"/>
      <c r="B186" s="283" t="s">
        <v>110</v>
      </c>
      <c r="C186" s="667"/>
      <c r="D186" s="567" t="s">
        <v>489</v>
      </c>
      <c r="E186" s="679"/>
      <c r="F186" s="529">
        <f>VLOOKUP(D186,'Q3 DMV -  Revenue'!D:T,17,FALSE)</f>
        <v>0</v>
      </c>
      <c r="G186" s="680"/>
      <c r="H186" s="680"/>
      <c r="I186" s="681"/>
      <c r="J186" s="682">
        <f t="shared" si="99"/>
        <v>0</v>
      </c>
      <c r="K186" s="683"/>
      <c r="L186" s="684"/>
      <c r="M186" s="685">
        <v>0</v>
      </c>
      <c r="N186" s="683"/>
      <c r="O186" s="686"/>
      <c r="P186" s="683"/>
      <c r="Q186" s="687">
        <f t="shared" si="114"/>
        <v>0</v>
      </c>
      <c r="R186" s="688"/>
      <c r="S186" s="693"/>
      <c r="T186" s="690" t="str">
        <f t="shared" si="100"/>
        <v/>
      </c>
      <c r="U186" s="683"/>
      <c r="V186" s="474">
        <f t="shared" si="97"/>
        <v>0</v>
      </c>
      <c r="W186" s="474">
        <f t="shared" si="89"/>
        <v>0</v>
      </c>
      <c r="X186" s="475">
        <f t="shared" si="90"/>
        <v>0</v>
      </c>
      <c r="Y186" s="475">
        <v>0</v>
      </c>
      <c r="Z186" s="476">
        <v>0</v>
      </c>
      <c r="AA186" s="38">
        <f t="shared" si="98"/>
        <v>0</v>
      </c>
      <c r="AB186" s="692">
        <f t="shared" si="91"/>
        <v>0</v>
      </c>
      <c r="AC186" s="692">
        <f t="shared" si="92"/>
        <v>0</v>
      </c>
      <c r="AD186" s="692">
        <f t="shared" si="93"/>
        <v>0</v>
      </c>
      <c r="AE186" s="38"/>
      <c r="AF186" s="692">
        <f t="shared" si="94"/>
        <v>0</v>
      </c>
      <c r="AG186" s="692">
        <f t="shared" si="95"/>
        <v>0</v>
      </c>
      <c r="AH186" s="692">
        <f t="shared" si="96"/>
        <v>0</v>
      </c>
    </row>
    <row r="187" spans="1:34" s="232" customFormat="1">
      <c r="A187" s="283"/>
      <c r="B187" s="283" t="s">
        <v>109</v>
      </c>
      <c r="C187" s="667" t="s">
        <v>562</v>
      </c>
      <c r="D187" s="567" t="s">
        <v>480</v>
      </c>
      <c r="E187" s="679"/>
      <c r="F187" s="529">
        <f>VLOOKUP(D187,'Q3 DMV -  Revenue'!D:T,17,FALSE)</f>
        <v>-1763.2750000000015</v>
      </c>
      <c r="G187" s="694">
        <v>10741.59</v>
      </c>
      <c r="H187" s="694">
        <v>10168.64</v>
      </c>
      <c r="I187" s="741">
        <v>11128.2</v>
      </c>
      <c r="J187" s="682">
        <f t="shared" si="99"/>
        <v>30275.154999999999</v>
      </c>
      <c r="K187" s="683"/>
      <c r="L187" s="684"/>
      <c r="M187" s="685">
        <v>0</v>
      </c>
      <c r="N187" s="683">
        <v>0</v>
      </c>
      <c r="O187" s="686">
        <v>30275.15</v>
      </c>
      <c r="P187" s="683">
        <v>0</v>
      </c>
      <c r="Q187" s="687">
        <f t="shared" si="114"/>
        <v>0</v>
      </c>
      <c r="R187" s="688"/>
      <c r="S187" s="693"/>
      <c r="T187" s="690" t="str">
        <f t="shared" si="100"/>
        <v/>
      </c>
      <c r="U187" s="683"/>
      <c r="V187" s="474">
        <f t="shared" si="97"/>
        <v>0</v>
      </c>
      <c r="W187" s="474">
        <f t="shared" si="89"/>
        <v>0</v>
      </c>
      <c r="X187" s="475">
        <f t="shared" si="90"/>
        <v>0</v>
      </c>
      <c r="Y187" s="475">
        <v>0</v>
      </c>
      <c r="Z187" s="476">
        <v>0</v>
      </c>
      <c r="AA187" s="38">
        <f t="shared" si="98"/>
        <v>0</v>
      </c>
      <c r="AB187" s="692">
        <f t="shared" si="91"/>
        <v>0</v>
      </c>
      <c r="AC187" s="692">
        <f t="shared" si="92"/>
        <v>30275.154999999999</v>
      </c>
      <c r="AD187" s="692">
        <f t="shared" si="93"/>
        <v>0</v>
      </c>
      <c r="AE187" s="38"/>
      <c r="AF187" s="692">
        <f t="shared" si="94"/>
        <v>0</v>
      </c>
      <c r="AG187" s="692">
        <f t="shared" si="95"/>
        <v>0</v>
      </c>
      <c r="AH187" s="692">
        <f t="shared" si="96"/>
        <v>0</v>
      </c>
    </row>
    <row r="188" spans="1:34" s="232" customFormat="1">
      <c r="A188" s="403"/>
      <c r="B188" s="403" t="s">
        <v>109</v>
      </c>
      <c r="C188" s="666" t="s">
        <v>563</v>
      </c>
      <c r="D188" s="123" t="s">
        <v>327</v>
      </c>
      <c r="E188" s="679"/>
      <c r="F188" s="529">
        <f>VLOOKUP(D188,'Q3 DMV -  Revenue'!D:T,17,FALSE)</f>
        <v>-4415.2700000000041</v>
      </c>
      <c r="G188" s="694">
        <v>45489.279999999999</v>
      </c>
      <c r="H188" s="694">
        <v>34953.79</v>
      </c>
      <c r="I188" s="741">
        <v>44903.19</v>
      </c>
      <c r="J188" s="682">
        <f t="shared" si="99"/>
        <v>120930.98999999999</v>
      </c>
      <c r="K188" s="683"/>
      <c r="L188" s="684"/>
      <c r="M188" s="685">
        <v>0</v>
      </c>
      <c r="N188" s="683">
        <v>0</v>
      </c>
      <c r="O188" s="686">
        <v>120930.99</v>
      </c>
      <c r="P188" s="683">
        <v>0</v>
      </c>
      <c r="Q188" s="687">
        <f t="shared" si="114"/>
        <v>0</v>
      </c>
      <c r="R188" s="688"/>
      <c r="S188" s="693"/>
      <c r="T188" s="690" t="str">
        <f t="shared" si="100"/>
        <v/>
      </c>
      <c r="U188" s="683"/>
      <c r="V188" s="474">
        <f t="shared" si="97"/>
        <v>0</v>
      </c>
      <c r="W188" s="474">
        <f t="shared" si="89"/>
        <v>0</v>
      </c>
      <c r="X188" s="475">
        <f t="shared" si="90"/>
        <v>0</v>
      </c>
      <c r="Y188" s="475">
        <v>0</v>
      </c>
      <c r="Z188" s="476">
        <v>0</v>
      </c>
      <c r="AA188" s="38">
        <f t="shared" si="98"/>
        <v>0</v>
      </c>
      <c r="AB188" s="692">
        <f t="shared" si="91"/>
        <v>0</v>
      </c>
      <c r="AC188" s="692">
        <f t="shared" si="92"/>
        <v>120930.98999999999</v>
      </c>
      <c r="AD188" s="692">
        <f t="shared" si="93"/>
        <v>0</v>
      </c>
      <c r="AE188" s="38"/>
      <c r="AF188" s="692">
        <f t="shared" si="94"/>
        <v>0</v>
      </c>
      <c r="AG188" s="692">
        <f t="shared" si="95"/>
        <v>0</v>
      </c>
      <c r="AH188" s="692">
        <f t="shared" si="96"/>
        <v>0</v>
      </c>
    </row>
    <row r="189" spans="1:34" s="232" customFormat="1">
      <c r="A189" s="403"/>
      <c r="B189" s="403" t="s">
        <v>110</v>
      </c>
      <c r="C189" s="666" t="s">
        <v>563</v>
      </c>
      <c r="D189" s="123" t="s">
        <v>464</v>
      </c>
      <c r="E189" s="679"/>
      <c r="F189" s="529">
        <f>VLOOKUP(D189,'Q3 DMV -  Revenue'!D:T,17,FALSE)</f>
        <v>0</v>
      </c>
      <c r="G189" s="680"/>
      <c r="H189" s="680"/>
      <c r="I189" s="681"/>
      <c r="J189" s="682">
        <f t="shared" si="99"/>
        <v>0</v>
      </c>
      <c r="K189" s="683"/>
      <c r="L189" s="684"/>
      <c r="M189" s="685">
        <v>0</v>
      </c>
      <c r="N189" s="683">
        <v>0</v>
      </c>
      <c r="O189" s="686"/>
      <c r="P189" s="683">
        <v>0</v>
      </c>
      <c r="Q189" s="687">
        <f t="shared" si="114"/>
        <v>0</v>
      </c>
      <c r="R189" s="688"/>
      <c r="S189" s="693"/>
      <c r="T189" s="690" t="str">
        <f t="shared" si="100"/>
        <v/>
      </c>
      <c r="U189" s="683"/>
      <c r="V189" s="474">
        <f t="shared" si="97"/>
        <v>0</v>
      </c>
      <c r="W189" s="474">
        <f t="shared" si="89"/>
        <v>0</v>
      </c>
      <c r="X189" s="475">
        <f t="shared" si="90"/>
        <v>0</v>
      </c>
      <c r="Y189" s="475">
        <v>0</v>
      </c>
      <c r="Z189" s="476">
        <v>0</v>
      </c>
      <c r="AA189" s="38">
        <f t="shared" si="98"/>
        <v>0</v>
      </c>
      <c r="AB189" s="692">
        <f t="shared" si="91"/>
        <v>0</v>
      </c>
      <c r="AC189" s="692">
        <f t="shared" si="92"/>
        <v>0</v>
      </c>
      <c r="AD189" s="692">
        <f t="shared" si="93"/>
        <v>0</v>
      </c>
      <c r="AE189" s="38"/>
      <c r="AF189" s="692">
        <f t="shared" si="94"/>
        <v>0</v>
      </c>
      <c r="AG189" s="692">
        <f t="shared" si="95"/>
        <v>0</v>
      </c>
      <c r="AH189" s="692">
        <f t="shared" si="96"/>
        <v>0</v>
      </c>
    </row>
    <row r="190" spans="1:34">
      <c r="A190" s="21" t="s">
        <v>212</v>
      </c>
      <c r="B190" s="21" t="s">
        <v>110</v>
      </c>
      <c r="C190" s="666"/>
      <c r="D190" s="68" t="s">
        <v>35</v>
      </c>
      <c r="E190" s="679"/>
      <c r="F190" s="529">
        <f>VLOOKUP(D190,'Q3 DMV -  Revenue'!D:T,17,FALSE)</f>
        <v>0</v>
      </c>
      <c r="G190" s="680"/>
      <c r="H190" s="680"/>
      <c r="I190" s="681"/>
      <c r="J190" s="682">
        <f t="shared" si="99"/>
        <v>0</v>
      </c>
      <c r="K190" s="683"/>
      <c r="L190" s="684"/>
      <c r="M190" s="685">
        <v>0</v>
      </c>
      <c r="N190" s="683">
        <v>0</v>
      </c>
      <c r="O190" s="686"/>
      <c r="P190" s="683">
        <v>0</v>
      </c>
      <c r="Q190" s="687">
        <f t="shared" si="114"/>
        <v>0</v>
      </c>
      <c r="R190" s="688"/>
      <c r="S190" s="693"/>
      <c r="T190" s="690" t="str">
        <f t="shared" si="100"/>
        <v/>
      </c>
      <c r="U190" s="683"/>
      <c r="V190" s="474">
        <f t="shared" si="97"/>
        <v>0</v>
      </c>
      <c r="W190" s="474">
        <f t="shared" si="89"/>
        <v>0</v>
      </c>
      <c r="X190" s="475">
        <f t="shared" si="90"/>
        <v>0</v>
      </c>
      <c r="Y190" s="475">
        <v>0</v>
      </c>
      <c r="Z190" s="476">
        <v>0</v>
      </c>
      <c r="AA190" s="38">
        <f t="shared" si="98"/>
        <v>0</v>
      </c>
      <c r="AB190" s="692">
        <f t="shared" si="91"/>
        <v>0</v>
      </c>
      <c r="AC190" s="692">
        <f t="shared" si="92"/>
        <v>0</v>
      </c>
      <c r="AD190" s="692">
        <f t="shared" si="93"/>
        <v>0</v>
      </c>
      <c r="AE190" s="38"/>
      <c r="AF190" s="692">
        <f t="shared" si="94"/>
        <v>0</v>
      </c>
      <c r="AG190" s="692">
        <f t="shared" si="95"/>
        <v>0</v>
      </c>
      <c r="AH190" s="692">
        <f t="shared" si="96"/>
        <v>0</v>
      </c>
    </row>
    <row r="191" spans="1:34">
      <c r="A191" s="21" t="s">
        <v>212</v>
      </c>
      <c r="B191" s="21" t="s">
        <v>110</v>
      </c>
      <c r="C191" s="666"/>
      <c r="D191" s="68" t="s">
        <v>232</v>
      </c>
      <c r="E191" s="679">
        <v>9313.16</v>
      </c>
      <c r="F191" s="529">
        <f>VLOOKUP(D191,'Q3 DMV -  Revenue'!D:T,17,FALSE)</f>
        <v>9257.25</v>
      </c>
      <c r="G191" s="680"/>
      <c r="H191" s="680"/>
      <c r="I191" s="681"/>
      <c r="J191" s="682">
        <f t="shared" si="99"/>
        <v>18570.41</v>
      </c>
      <c r="K191" s="683"/>
      <c r="L191" s="684"/>
      <c r="M191" s="685">
        <v>9000</v>
      </c>
      <c r="N191" s="683">
        <v>0</v>
      </c>
      <c r="O191" s="686">
        <v>18570.41</v>
      </c>
      <c r="P191" s="683">
        <v>0</v>
      </c>
      <c r="Q191" s="687">
        <f t="shared" si="114"/>
        <v>9000</v>
      </c>
      <c r="R191" s="688">
        <v>0</v>
      </c>
      <c r="S191" s="693"/>
      <c r="T191" s="690">
        <f t="shared" si="100"/>
        <v>-9000</v>
      </c>
      <c r="U191" s="683"/>
      <c r="V191" s="474">
        <f t="shared" si="97"/>
        <v>9000</v>
      </c>
      <c r="W191" s="474">
        <f t="shared" si="89"/>
        <v>0</v>
      </c>
      <c r="X191" s="475">
        <f t="shared" si="90"/>
        <v>0</v>
      </c>
      <c r="Y191" s="475">
        <v>0</v>
      </c>
      <c r="Z191" s="476">
        <v>0</v>
      </c>
      <c r="AA191" s="38">
        <f t="shared" si="98"/>
        <v>0</v>
      </c>
      <c r="AB191" s="692">
        <f t="shared" si="91"/>
        <v>18570.41</v>
      </c>
      <c r="AC191" s="692">
        <f t="shared" si="92"/>
        <v>0</v>
      </c>
      <c r="AD191" s="692">
        <f t="shared" si="93"/>
        <v>0</v>
      </c>
      <c r="AE191" s="38"/>
      <c r="AF191" s="692">
        <f t="shared" si="94"/>
        <v>9000</v>
      </c>
      <c r="AG191" s="692">
        <f t="shared" si="95"/>
        <v>0</v>
      </c>
      <c r="AH191" s="692">
        <f t="shared" si="96"/>
        <v>0</v>
      </c>
    </row>
    <row r="192" spans="1:34">
      <c r="A192" s="21" t="s">
        <v>212</v>
      </c>
      <c r="B192" s="21" t="s">
        <v>110</v>
      </c>
      <c r="C192" s="666"/>
      <c r="D192" s="68" t="s">
        <v>238</v>
      </c>
      <c r="E192" s="679"/>
      <c r="F192" s="529">
        <f>VLOOKUP(D192,'Q3 DMV -  Revenue'!D:T,17,FALSE)</f>
        <v>0</v>
      </c>
      <c r="G192" s="680"/>
      <c r="H192" s="680"/>
      <c r="I192" s="681"/>
      <c r="J192" s="682">
        <f t="shared" si="99"/>
        <v>0</v>
      </c>
      <c r="K192" s="683"/>
      <c r="L192" s="684"/>
      <c r="M192" s="685">
        <v>0</v>
      </c>
      <c r="N192" s="683">
        <v>0</v>
      </c>
      <c r="O192" s="686"/>
      <c r="P192" s="683">
        <v>0</v>
      </c>
      <c r="Q192" s="687">
        <f t="shared" si="114"/>
        <v>0</v>
      </c>
      <c r="R192" s="688"/>
      <c r="S192" s="693"/>
      <c r="T192" s="690" t="str">
        <f t="shared" si="100"/>
        <v/>
      </c>
      <c r="U192" s="683"/>
      <c r="V192" s="474">
        <f t="shared" si="97"/>
        <v>0</v>
      </c>
      <c r="W192" s="474">
        <f t="shared" si="89"/>
        <v>0</v>
      </c>
      <c r="X192" s="475">
        <f t="shared" si="90"/>
        <v>0</v>
      </c>
      <c r="Y192" s="475">
        <v>0</v>
      </c>
      <c r="Z192" s="476">
        <v>0</v>
      </c>
      <c r="AA192" s="38">
        <f t="shared" si="98"/>
        <v>0</v>
      </c>
      <c r="AB192" s="692">
        <f t="shared" si="91"/>
        <v>0</v>
      </c>
      <c r="AC192" s="692">
        <f t="shared" si="92"/>
        <v>0</v>
      </c>
      <c r="AD192" s="692">
        <f t="shared" si="93"/>
        <v>0</v>
      </c>
      <c r="AE192" s="38"/>
      <c r="AF192" s="692">
        <f t="shared" si="94"/>
        <v>0</v>
      </c>
      <c r="AG192" s="692">
        <f t="shared" si="95"/>
        <v>0</v>
      </c>
      <c r="AH192" s="692">
        <f t="shared" si="96"/>
        <v>0</v>
      </c>
    </row>
    <row r="193" spans="1:34">
      <c r="A193" s="21"/>
      <c r="B193" s="21" t="s">
        <v>110</v>
      </c>
      <c r="C193" s="666"/>
      <c r="D193" s="68" t="s">
        <v>68</v>
      </c>
      <c r="E193" s="679"/>
      <c r="F193" s="529">
        <f>VLOOKUP(D193,'Q3 DMV -  Revenue'!D:T,17,FALSE)</f>
        <v>0</v>
      </c>
      <c r="G193" s="680"/>
      <c r="H193" s="680"/>
      <c r="I193" s="681"/>
      <c r="J193" s="682">
        <f t="shared" si="99"/>
        <v>0</v>
      </c>
      <c r="K193" s="683"/>
      <c r="L193" s="684"/>
      <c r="M193" s="685">
        <v>0</v>
      </c>
      <c r="N193" s="683">
        <v>0</v>
      </c>
      <c r="O193" s="686"/>
      <c r="P193" s="683">
        <v>0</v>
      </c>
      <c r="Q193" s="687">
        <f t="shared" si="114"/>
        <v>0</v>
      </c>
      <c r="R193" s="688"/>
      <c r="S193" s="693"/>
      <c r="T193" s="690" t="str">
        <f t="shared" si="100"/>
        <v/>
      </c>
      <c r="U193" s="683"/>
      <c r="V193" s="474">
        <f t="shared" si="97"/>
        <v>0</v>
      </c>
      <c r="W193" s="474">
        <f t="shared" si="89"/>
        <v>0</v>
      </c>
      <c r="X193" s="475">
        <f t="shared" si="90"/>
        <v>0</v>
      </c>
      <c r="Y193" s="475">
        <v>0</v>
      </c>
      <c r="Z193" s="476">
        <v>0</v>
      </c>
      <c r="AA193" s="38">
        <f t="shared" si="98"/>
        <v>0</v>
      </c>
      <c r="AB193" s="692">
        <f t="shared" si="91"/>
        <v>0</v>
      </c>
      <c r="AC193" s="692">
        <f t="shared" si="92"/>
        <v>0</v>
      </c>
      <c r="AD193" s="692">
        <f t="shared" si="93"/>
        <v>0</v>
      </c>
      <c r="AE193" s="38"/>
      <c r="AF193" s="692">
        <f t="shared" si="94"/>
        <v>0</v>
      </c>
      <c r="AG193" s="692">
        <f t="shared" si="95"/>
        <v>0</v>
      </c>
      <c r="AH193" s="692">
        <f t="shared" si="96"/>
        <v>0</v>
      </c>
    </row>
    <row r="194" spans="1:34">
      <c r="A194" s="21"/>
      <c r="B194" s="21" t="s">
        <v>110</v>
      </c>
      <c r="C194" s="666"/>
      <c r="D194" s="68" t="s">
        <v>384</v>
      </c>
      <c r="E194" s="679"/>
      <c r="F194" s="529">
        <f>VLOOKUP(D194,'Q3 DMV -  Revenue'!D:T,17,FALSE)</f>
        <v>0</v>
      </c>
      <c r="G194" s="680"/>
      <c r="H194" s="680"/>
      <c r="I194" s="681"/>
      <c r="J194" s="682">
        <f t="shared" si="99"/>
        <v>0</v>
      </c>
      <c r="K194" s="683"/>
      <c r="L194" s="684"/>
      <c r="M194" s="685">
        <v>0</v>
      </c>
      <c r="N194" s="683">
        <v>0</v>
      </c>
      <c r="O194" s="686"/>
      <c r="P194" s="683">
        <v>0</v>
      </c>
      <c r="Q194" s="687">
        <f t="shared" si="114"/>
        <v>0</v>
      </c>
      <c r="R194" s="688"/>
      <c r="S194" s="693"/>
      <c r="T194" s="690" t="str">
        <f t="shared" si="100"/>
        <v/>
      </c>
      <c r="U194" s="683"/>
      <c r="V194" s="474">
        <f t="shared" si="97"/>
        <v>0</v>
      </c>
      <c r="W194" s="474">
        <f t="shared" si="89"/>
        <v>0</v>
      </c>
      <c r="X194" s="475">
        <f t="shared" si="90"/>
        <v>0</v>
      </c>
      <c r="Y194" s="475">
        <v>0</v>
      </c>
      <c r="Z194" s="476">
        <v>0</v>
      </c>
      <c r="AA194" s="38">
        <f t="shared" si="98"/>
        <v>0</v>
      </c>
      <c r="AB194" s="692">
        <f t="shared" si="91"/>
        <v>0</v>
      </c>
      <c r="AC194" s="692">
        <f t="shared" si="92"/>
        <v>0</v>
      </c>
      <c r="AD194" s="692">
        <f t="shared" si="93"/>
        <v>0</v>
      </c>
      <c r="AE194" s="38"/>
      <c r="AF194" s="692">
        <f t="shared" si="94"/>
        <v>0</v>
      </c>
      <c r="AG194" s="692">
        <f t="shared" si="95"/>
        <v>0</v>
      </c>
      <c r="AH194" s="692">
        <f t="shared" si="96"/>
        <v>0</v>
      </c>
    </row>
    <row r="195" spans="1:34">
      <c r="A195" s="21"/>
      <c r="B195" s="21" t="s">
        <v>109</v>
      </c>
      <c r="C195" s="666" t="s">
        <v>564</v>
      </c>
      <c r="D195" s="68" t="s">
        <v>306</v>
      </c>
      <c r="E195" s="679">
        <v>258.39</v>
      </c>
      <c r="F195" s="529">
        <f>VLOOKUP(D195,'Q3 DMV -  Revenue'!D:T,17,FALSE)</f>
        <v>8332.23</v>
      </c>
      <c r="G195" s="694">
        <f>2.36+544.38+54.75+135.85+635.74</f>
        <v>1373.08</v>
      </c>
      <c r="H195" s="694">
        <f>5.04+18.47+40.33+92.38+4353.66+573.19</f>
        <v>5083.07</v>
      </c>
      <c r="I195" s="741">
        <f>1.7+2.2+12.14+59.75+0.28</f>
        <v>76.069999999999993</v>
      </c>
      <c r="J195" s="682">
        <f t="shared" si="99"/>
        <v>15122.839999999998</v>
      </c>
      <c r="K195" s="683"/>
      <c r="L195" s="684"/>
      <c r="M195" s="685">
        <v>0</v>
      </c>
      <c r="N195" s="683">
        <v>0</v>
      </c>
      <c r="O195" s="686">
        <v>15686.71</v>
      </c>
      <c r="P195" s="683">
        <v>0</v>
      </c>
      <c r="Q195" s="687">
        <f t="shared" si="114"/>
        <v>0</v>
      </c>
      <c r="R195" s="688">
        <f>282.11+75.36+129.06+10.31+164.37+53.16+11.81+2.7+2.58+71.94+68.54+5.11+67.75+2.35+1.69+5.88+0.54</f>
        <v>955.2600000000001</v>
      </c>
      <c r="S195" s="693"/>
      <c r="T195" s="690">
        <f t="shared" si="100"/>
        <v>955.2600000000001</v>
      </c>
      <c r="U195" s="683"/>
      <c r="V195" s="474">
        <f t="shared" si="97"/>
        <v>0</v>
      </c>
      <c r="W195" s="474">
        <f t="shared" si="89"/>
        <v>0</v>
      </c>
      <c r="X195" s="475">
        <f t="shared" si="90"/>
        <v>0</v>
      </c>
      <c r="Y195" s="475">
        <v>0</v>
      </c>
      <c r="Z195" s="476">
        <v>0</v>
      </c>
      <c r="AA195" s="38">
        <f t="shared" si="98"/>
        <v>0</v>
      </c>
      <c r="AB195" s="692">
        <f t="shared" si="91"/>
        <v>0</v>
      </c>
      <c r="AC195" s="692">
        <f t="shared" si="92"/>
        <v>15122.839999999998</v>
      </c>
      <c r="AD195" s="692">
        <f t="shared" si="93"/>
        <v>0</v>
      </c>
      <c r="AE195" s="38"/>
      <c r="AF195" s="692">
        <f t="shared" si="94"/>
        <v>0</v>
      </c>
      <c r="AG195" s="692">
        <f t="shared" si="95"/>
        <v>0</v>
      </c>
      <c r="AH195" s="692">
        <f t="shared" si="96"/>
        <v>0</v>
      </c>
    </row>
    <row r="196" spans="1:34">
      <c r="A196" s="21"/>
      <c r="B196" s="21" t="s">
        <v>109</v>
      </c>
      <c r="C196" s="666" t="s">
        <v>564</v>
      </c>
      <c r="D196" s="68" t="s">
        <v>307</v>
      </c>
      <c r="E196" s="679"/>
      <c r="F196" s="529">
        <f>VLOOKUP(D196,'Q3 DMV -  Revenue'!D:T,17,FALSE)</f>
        <v>563.87000000000035</v>
      </c>
      <c r="G196" s="680"/>
      <c r="H196" s="680"/>
      <c r="I196" s="681"/>
      <c r="J196" s="682">
        <f t="shared" si="99"/>
        <v>563.87000000000035</v>
      </c>
      <c r="K196" s="683"/>
      <c r="L196" s="684"/>
      <c r="M196" s="685">
        <v>0</v>
      </c>
      <c r="N196" s="683">
        <v>0</v>
      </c>
      <c r="O196" s="686"/>
      <c r="P196" s="683">
        <v>0</v>
      </c>
      <c r="Q196" s="687">
        <f t="shared" si="114"/>
        <v>0</v>
      </c>
      <c r="R196" s="688"/>
      <c r="S196" s="693"/>
      <c r="T196" s="690" t="str">
        <f t="shared" si="100"/>
        <v/>
      </c>
      <c r="U196" s="683"/>
      <c r="V196" s="474">
        <f t="shared" si="97"/>
        <v>0</v>
      </c>
      <c r="W196" s="474">
        <f t="shared" si="89"/>
        <v>0</v>
      </c>
      <c r="X196" s="475">
        <f t="shared" si="90"/>
        <v>0</v>
      </c>
      <c r="Y196" s="475">
        <v>0</v>
      </c>
      <c r="Z196" s="476">
        <v>0</v>
      </c>
      <c r="AA196" s="38">
        <f t="shared" si="98"/>
        <v>0</v>
      </c>
      <c r="AB196" s="692">
        <f t="shared" si="91"/>
        <v>0</v>
      </c>
      <c r="AC196" s="692">
        <f t="shared" si="92"/>
        <v>563.87000000000035</v>
      </c>
      <c r="AD196" s="692">
        <f t="shared" si="93"/>
        <v>0</v>
      </c>
      <c r="AE196" s="38"/>
      <c r="AF196" s="692">
        <f t="shared" si="94"/>
        <v>0</v>
      </c>
      <c r="AG196" s="692">
        <f t="shared" si="95"/>
        <v>0</v>
      </c>
      <c r="AH196" s="692">
        <f t="shared" si="96"/>
        <v>0</v>
      </c>
    </row>
    <row r="197" spans="1:34">
      <c r="A197" s="21"/>
      <c r="B197" s="21" t="s">
        <v>109</v>
      </c>
      <c r="C197" s="666" t="s">
        <v>565</v>
      </c>
      <c r="D197" s="68" t="s">
        <v>485</v>
      </c>
      <c r="E197" s="679"/>
      <c r="F197" s="529">
        <f>VLOOKUP(D197,'Q3 DMV -  Revenue'!D:T,17,FALSE)</f>
        <v>125621.47999999998</v>
      </c>
      <c r="G197" s="680"/>
      <c r="H197" s="680"/>
      <c r="I197" s="681"/>
      <c r="J197" s="682">
        <f t="shared" si="99"/>
        <v>125621.47999999998</v>
      </c>
      <c r="K197" s="683"/>
      <c r="L197" s="684"/>
      <c r="M197" s="685">
        <v>125000</v>
      </c>
      <c r="N197" s="683"/>
      <c r="O197" s="686">
        <v>125621.48</v>
      </c>
      <c r="P197" s="683"/>
      <c r="Q197" s="687">
        <f t="shared" si="114"/>
        <v>125000</v>
      </c>
      <c r="R197" s="688">
        <f>116591.22+5291.73+4875.24+1713.94+311.24+1.57+0.35</f>
        <v>128785.29000000002</v>
      </c>
      <c r="S197" s="693"/>
      <c r="T197" s="690">
        <f t="shared" si="100"/>
        <v>3785.2900000000227</v>
      </c>
      <c r="U197" s="683"/>
      <c r="V197" s="474">
        <f t="shared" si="97"/>
        <v>0</v>
      </c>
      <c r="W197" s="474">
        <f t="shared" si="89"/>
        <v>125000</v>
      </c>
      <c r="X197" s="475">
        <f t="shared" si="90"/>
        <v>0</v>
      </c>
      <c r="Y197" s="475">
        <v>0</v>
      </c>
      <c r="Z197" s="476">
        <v>0</v>
      </c>
      <c r="AA197" s="38">
        <f t="shared" si="98"/>
        <v>0</v>
      </c>
      <c r="AB197" s="692">
        <f t="shared" si="91"/>
        <v>0</v>
      </c>
      <c r="AC197" s="692">
        <f t="shared" si="92"/>
        <v>125621.47999999998</v>
      </c>
      <c r="AD197" s="692">
        <f t="shared" si="93"/>
        <v>0</v>
      </c>
      <c r="AE197" s="38"/>
      <c r="AF197" s="692">
        <f t="shared" si="94"/>
        <v>0</v>
      </c>
      <c r="AG197" s="692">
        <f t="shared" si="95"/>
        <v>125000</v>
      </c>
      <c r="AH197" s="692">
        <f t="shared" si="96"/>
        <v>0</v>
      </c>
    </row>
    <row r="198" spans="1:34" s="232" customFormat="1">
      <c r="A198" s="403"/>
      <c r="B198" s="403" t="s">
        <v>109</v>
      </c>
      <c r="C198" s="666"/>
      <c r="D198" s="123" t="s">
        <v>220</v>
      </c>
      <c r="E198" s="679"/>
      <c r="F198" s="529">
        <f>VLOOKUP(D198,'Q3 DMV -  Revenue'!D:T,17,FALSE)</f>
        <v>0</v>
      </c>
      <c r="G198" s="680"/>
      <c r="H198" s="680"/>
      <c r="I198" s="681"/>
      <c r="J198" s="682">
        <f t="shared" si="99"/>
        <v>0</v>
      </c>
      <c r="K198" s="683"/>
      <c r="L198" s="684"/>
      <c r="M198" s="685">
        <v>0</v>
      </c>
      <c r="N198" s="683">
        <v>0</v>
      </c>
      <c r="O198" s="686"/>
      <c r="P198" s="683">
        <v>0</v>
      </c>
      <c r="Q198" s="687">
        <f t="shared" si="114"/>
        <v>0</v>
      </c>
      <c r="R198" s="688"/>
      <c r="S198" s="693"/>
      <c r="T198" s="690" t="str">
        <f t="shared" si="100"/>
        <v/>
      </c>
      <c r="U198" s="683"/>
      <c r="V198" s="474">
        <f t="shared" si="97"/>
        <v>0</v>
      </c>
      <c r="W198" s="474">
        <f t="shared" si="89"/>
        <v>0</v>
      </c>
      <c r="X198" s="475">
        <f t="shared" si="90"/>
        <v>0</v>
      </c>
      <c r="Y198" s="475">
        <v>0</v>
      </c>
      <c r="Z198" s="476">
        <v>0</v>
      </c>
      <c r="AA198" s="38">
        <f t="shared" si="98"/>
        <v>0</v>
      </c>
      <c r="AB198" s="692">
        <f t="shared" si="91"/>
        <v>0</v>
      </c>
      <c r="AC198" s="692">
        <f t="shared" si="92"/>
        <v>0</v>
      </c>
      <c r="AD198" s="692">
        <f t="shared" si="93"/>
        <v>0</v>
      </c>
      <c r="AE198" s="38"/>
      <c r="AF198" s="692">
        <f t="shared" si="94"/>
        <v>0</v>
      </c>
      <c r="AG198" s="692">
        <f t="shared" si="95"/>
        <v>0</v>
      </c>
      <c r="AH198" s="692">
        <f t="shared" si="96"/>
        <v>0</v>
      </c>
    </row>
    <row r="199" spans="1:34" s="24" customFormat="1">
      <c r="A199" s="472"/>
      <c r="B199" s="21" t="s">
        <v>110</v>
      </c>
      <c r="C199" s="666"/>
      <c r="D199" s="68" t="s">
        <v>505</v>
      </c>
      <c r="E199" s="679"/>
      <c r="F199" s="529">
        <f>VLOOKUP(D199,'Q3 DMV -  Revenue'!D:T,17,FALSE)</f>
        <v>9753.4500000000007</v>
      </c>
      <c r="G199" s="694">
        <v>6541.78</v>
      </c>
      <c r="H199" s="694">
        <v>6541.78</v>
      </c>
      <c r="I199" s="741">
        <v>6541.78</v>
      </c>
      <c r="J199" s="703">
        <f t="shared" ref="J199" si="128">SUM(E199:I199)</f>
        <v>29378.789999999997</v>
      </c>
      <c r="K199" s="698"/>
      <c r="L199" s="684"/>
      <c r="M199" s="685">
        <v>0</v>
      </c>
      <c r="N199" s="698">
        <v>0</v>
      </c>
      <c r="O199" s="686">
        <v>29378.79</v>
      </c>
      <c r="P199" s="698">
        <v>0</v>
      </c>
      <c r="Q199" s="700">
        <f t="shared" si="114"/>
        <v>0</v>
      </c>
      <c r="R199" s="688"/>
      <c r="S199" s="701"/>
      <c r="T199" s="702" t="str">
        <f t="shared" si="100"/>
        <v/>
      </c>
      <c r="U199" s="698"/>
      <c r="V199" s="474">
        <f t="shared" si="97"/>
        <v>0</v>
      </c>
      <c r="W199" s="474">
        <f t="shared" si="89"/>
        <v>0</v>
      </c>
      <c r="X199" s="475">
        <f t="shared" si="90"/>
        <v>0</v>
      </c>
      <c r="Y199" s="475">
        <v>0</v>
      </c>
      <c r="Z199" s="476">
        <v>0</v>
      </c>
      <c r="AA199" s="38">
        <f t="shared" si="98"/>
        <v>0</v>
      </c>
      <c r="AB199" s="692">
        <f t="shared" si="91"/>
        <v>29378.789999999997</v>
      </c>
      <c r="AC199" s="692">
        <f t="shared" si="92"/>
        <v>0</v>
      </c>
      <c r="AD199" s="692">
        <f t="shared" si="93"/>
        <v>0</v>
      </c>
      <c r="AE199" s="38"/>
      <c r="AF199" s="692">
        <f t="shared" si="94"/>
        <v>0</v>
      </c>
      <c r="AG199" s="692">
        <f t="shared" si="95"/>
        <v>0</v>
      </c>
      <c r="AH199" s="692">
        <f t="shared" si="96"/>
        <v>0</v>
      </c>
    </row>
    <row r="200" spans="1:34">
      <c r="A200" s="21"/>
      <c r="B200" s="21" t="s">
        <v>109</v>
      </c>
      <c r="C200" s="666"/>
      <c r="D200" s="68" t="s">
        <v>38</v>
      </c>
      <c r="E200" s="679">
        <v>269.51</v>
      </c>
      <c r="F200" s="529">
        <f>VLOOKUP(D200,'Q3 DMV -  Revenue'!D:T,17,FALSE)</f>
        <v>0</v>
      </c>
      <c r="G200" s="680"/>
      <c r="H200" s="680"/>
      <c r="I200" s="681"/>
      <c r="J200" s="682">
        <f t="shared" si="99"/>
        <v>269.51</v>
      </c>
      <c r="K200" s="683"/>
      <c r="L200" s="684"/>
      <c r="M200" s="685">
        <v>0</v>
      </c>
      <c r="N200" s="683">
        <v>0</v>
      </c>
      <c r="O200" s="686">
        <v>269.51</v>
      </c>
      <c r="P200" s="683">
        <v>0</v>
      </c>
      <c r="Q200" s="687">
        <f t="shared" si="114"/>
        <v>0</v>
      </c>
      <c r="R200" s="688"/>
      <c r="S200" s="693"/>
      <c r="T200" s="690" t="str">
        <f t="shared" si="100"/>
        <v/>
      </c>
      <c r="U200" s="683"/>
      <c r="V200" s="474">
        <f t="shared" si="97"/>
        <v>0</v>
      </c>
      <c r="W200" s="474">
        <f t="shared" si="89"/>
        <v>0</v>
      </c>
      <c r="X200" s="475">
        <f t="shared" si="90"/>
        <v>0</v>
      </c>
      <c r="Y200" s="475">
        <v>0</v>
      </c>
      <c r="Z200" s="476">
        <v>0</v>
      </c>
      <c r="AA200" s="38">
        <f t="shared" si="98"/>
        <v>0</v>
      </c>
      <c r="AB200" s="692">
        <f t="shared" si="91"/>
        <v>0</v>
      </c>
      <c r="AC200" s="692">
        <f t="shared" si="92"/>
        <v>269.51</v>
      </c>
      <c r="AD200" s="692">
        <f t="shared" si="93"/>
        <v>0</v>
      </c>
      <c r="AE200" s="38"/>
      <c r="AF200" s="692">
        <f t="shared" si="94"/>
        <v>0</v>
      </c>
      <c r="AG200" s="692">
        <f t="shared" si="95"/>
        <v>0</v>
      </c>
      <c r="AH200" s="692">
        <f t="shared" si="96"/>
        <v>0</v>
      </c>
    </row>
    <row r="201" spans="1:34">
      <c r="A201" s="21"/>
      <c r="B201" s="21" t="s">
        <v>110</v>
      </c>
      <c r="C201" s="666"/>
      <c r="D201" s="68" t="s">
        <v>484</v>
      </c>
      <c r="E201" s="679"/>
      <c r="F201" s="529">
        <f>VLOOKUP(D201,'Q3 DMV -  Revenue'!D:T,17,FALSE)</f>
        <v>0</v>
      </c>
      <c r="G201" s="696"/>
      <c r="H201" s="696"/>
      <c r="I201" s="695">
        <v>0</v>
      </c>
      <c r="J201" s="682">
        <f t="shared" ref="J201" si="129">SUM(E201:I201)</f>
        <v>0</v>
      </c>
      <c r="K201" s="683"/>
      <c r="L201" s="684"/>
      <c r="M201" s="685">
        <v>0</v>
      </c>
      <c r="N201" s="683">
        <v>0</v>
      </c>
      <c r="O201" s="686"/>
      <c r="P201" s="683">
        <v>0</v>
      </c>
      <c r="Q201" s="687">
        <f t="shared" si="114"/>
        <v>0</v>
      </c>
      <c r="R201" s="688"/>
      <c r="S201" s="693"/>
      <c r="T201" s="690" t="str">
        <f t="shared" si="100"/>
        <v/>
      </c>
      <c r="U201" s="683"/>
      <c r="V201" s="474">
        <f t="shared" si="97"/>
        <v>0</v>
      </c>
      <c r="W201" s="474">
        <f t="shared" si="89"/>
        <v>0</v>
      </c>
      <c r="X201" s="475">
        <f t="shared" si="90"/>
        <v>0</v>
      </c>
      <c r="Y201" s="475">
        <v>0</v>
      </c>
      <c r="Z201" s="476">
        <v>0</v>
      </c>
      <c r="AA201" s="38">
        <f t="shared" si="98"/>
        <v>0</v>
      </c>
      <c r="AB201" s="692">
        <f t="shared" si="91"/>
        <v>0</v>
      </c>
      <c r="AC201" s="692">
        <f t="shared" si="92"/>
        <v>0</v>
      </c>
      <c r="AD201" s="692">
        <f t="shared" si="93"/>
        <v>0</v>
      </c>
      <c r="AE201" s="38"/>
      <c r="AF201" s="692">
        <f t="shared" si="94"/>
        <v>0</v>
      </c>
      <c r="AG201" s="692">
        <f t="shared" si="95"/>
        <v>0</v>
      </c>
      <c r="AH201" s="692">
        <f t="shared" si="96"/>
        <v>0</v>
      </c>
    </row>
    <row r="202" spans="1:34">
      <c r="A202" s="21"/>
      <c r="B202" s="21" t="s">
        <v>110</v>
      </c>
      <c r="C202" s="666"/>
      <c r="D202" s="68" t="s">
        <v>185</v>
      </c>
      <c r="E202" s="679"/>
      <c r="F202" s="529">
        <f>VLOOKUP(D202,'Q3 DMV -  Revenue'!D:T,17,FALSE)</f>
        <v>399.40000000000003</v>
      </c>
      <c r="G202" s="694">
        <v>103.6</v>
      </c>
      <c r="H202" s="694">
        <f>7+96.6</f>
        <v>103.6</v>
      </c>
      <c r="I202" s="741">
        <v>214.9</v>
      </c>
      <c r="J202" s="682">
        <f t="shared" si="99"/>
        <v>821.5</v>
      </c>
      <c r="K202" s="683"/>
      <c r="L202" s="684"/>
      <c r="M202" s="685">
        <v>0</v>
      </c>
      <c r="N202" s="683">
        <v>0</v>
      </c>
      <c r="O202" s="686">
        <v>1988.06</v>
      </c>
      <c r="P202" s="683">
        <v>0</v>
      </c>
      <c r="Q202" s="687">
        <f t="shared" si="114"/>
        <v>0</v>
      </c>
      <c r="R202" s="688"/>
      <c r="S202" s="693"/>
      <c r="T202" s="690" t="str">
        <f t="shared" si="100"/>
        <v/>
      </c>
      <c r="U202" s="683"/>
      <c r="V202" s="474">
        <f t="shared" si="97"/>
        <v>0</v>
      </c>
      <c r="W202" s="474">
        <f t="shared" si="89"/>
        <v>0</v>
      </c>
      <c r="X202" s="475">
        <f t="shared" si="90"/>
        <v>0</v>
      </c>
      <c r="Y202" s="475">
        <v>0</v>
      </c>
      <c r="Z202" s="476">
        <v>0</v>
      </c>
      <c r="AA202" s="38">
        <f t="shared" si="98"/>
        <v>0</v>
      </c>
      <c r="AB202" s="692">
        <f t="shared" si="91"/>
        <v>821.5</v>
      </c>
      <c r="AC202" s="692">
        <f t="shared" si="92"/>
        <v>0</v>
      </c>
      <c r="AD202" s="692">
        <f t="shared" si="93"/>
        <v>0</v>
      </c>
      <c r="AE202" s="38"/>
      <c r="AF202" s="692">
        <f t="shared" si="94"/>
        <v>0</v>
      </c>
      <c r="AG202" s="692">
        <f t="shared" si="95"/>
        <v>0</v>
      </c>
      <c r="AH202" s="692">
        <f t="shared" si="96"/>
        <v>0</v>
      </c>
    </row>
    <row r="203" spans="1:34">
      <c r="A203" s="21"/>
      <c r="B203" s="21" t="s">
        <v>110</v>
      </c>
      <c r="C203" s="666"/>
      <c r="D203" s="68" t="s">
        <v>186</v>
      </c>
      <c r="E203" s="679"/>
      <c r="F203" s="529">
        <f>VLOOKUP(D203,'Q3 DMV -  Revenue'!D:T,17,FALSE)</f>
        <v>578.72</v>
      </c>
      <c r="G203" s="694">
        <v>211.04</v>
      </c>
      <c r="H203" s="694">
        <f>34.18+133.99</f>
        <v>168.17000000000002</v>
      </c>
      <c r="I203" s="741">
        <v>208.63</v>
      </c>
      <c r="J203" s="682">
        <f t="shared" si="99"/>
        <v>1166.56</v>
      </c>
      <c r="K203" s="683"/>
      <c r="L203" s="684"/>
      <c r="M203" s="685">
        <v>0</v>
      </c>
      <c r="N203" s="683">
        <v>0</v>
      </c>
      <c r="O203" s="686"/>
      <c r="P203" s="683">
        <v>0</v>
      </c>
      <c r="Q203" s="687">
        <f t="shared" si="114"/>
        <v>0</v>
      </c>
      <c r="R203" s="688"/>
      <c r="S203" s="693"/>
      <c r="T203" s="690" t="str">
        <f t="shared" si="100"/>
        <v/>
      </c>
      <c r="U203" s="683"/>
      <c r="V203" s="474">
        <f t="shared" si="97"/>
        <v>0</v>
      </c>
      <c r="W203" s="474">
        <f t="shared" si="89"/>
        <v>0</v>
      </c>
      <c r="X203" s="475">
        <f t="shared" si="90"/>
        <v>0</v>
      </c>
      <c r="Y203" s="475">
        <v>0</v>
      </c>
      <c r="Z203" s="476">
        <v>0</v>
      </c>
      <c r="AA203" s="38">
        <f t="shared" si="98"/>
        <v>0</v>
      </c>
      <c r="AB203" s="692">
        <f t="shared" si="91"/>
        <v>1166.56</v>
      </c>
      <c r="AC203" s="692">
        <f t="shared" si="92"/>
        <v>0</v>
      </c>
      <c r="AD203" s="692">
        <f t="shared" si="93"/>
        <v>0</v>
      </c>
      <c r="AE203" s="38"/>
      <c r="AF203" s="692">
        <f t="shared" si="94"/>
        <v>0</v>
      </c>
      <c r="AG203" s="692">
        <f t="shared" si="95"/>
        <v>0</v>
      </c>
      <c r="AH203" s="692">
        <f t="shared" si="96"/>
        <v>0</v>
      </c>
    </row>
    <row r="204" spans="1:34">
      <c r="A204" s="21"/>
      <c r="B204" s="21" t="s">
        <v>110</v>
      </c>
      <c r="C204" s="666"/>
      <c r="D204" s="68" t="s">
        <v>449</v>
      </c>
      <c r="E204" s="679"/>
      <c r="F204" s="529">
        <f>VLOOKUP(D204,'Q3 DMV -  Revenue'!D:T,17,FALSE)</f>
        <v>0</v>
      </c>
      <c r="G204" s="680"/>
      <c r="H204" s="680"/>
      <c r="I204" s="681"/>
      <c r="J204" s="682">
        <f t="shared" si="99"/>
        <v>0</v>
      </c>
      <c r="K204" s="683"/>
      <c r="L204" s="684"/>
      <c r="M204" s="685">
        <v>0</v>
      </c>
      <c r="N204" s="683">
        <v>0</v>
      </c>
      <c r="O204" s="686"/>
      <c r="P204" s="683">
        <v>0</v>
      </c>
      <c r="Q204" s="687">
        <f t="shared" si="114"/>
        <v>0</v>
      </c>
      <c r="R204" s="688"/>
      <c r="S204" s="693"/>
      <c r="T204" s="690" t="str">
        <f t="shared" si="100"/>
        <v/>
      </c>
      <c r="U204" s="683"/>
      <c r="V204" s="474">
        <f t="shared" si="97"/>
        <v>0</v>
      </c>
      <c r="W204" s="474">
        <f t="shared" si="89"/>
        <v>0</v>
      </c>
      <c r="X204" s="475">
        <f t="shared" si="90"/>
        <v>0</v>
      </c>
      <c r="Y204" s="475">
        <v>0</v>
      </c>
      <c r="Z204" s="476">
        <v>0</v>
      </c>
      <c r="AA204" s="38">
        <f t="shared" si="98"/>
        <v>0</v>
      </c>
      <c r="AB204" s="692">
        <f t="shared" si="91"/>
        <v>0</v>
      </c>
      <c r="AC204" s="692">
        <f t="shared" si="92"/>
        <v>0</v>
      </c>
      <c r="AD204" s="692">
        <f t="shared" si="93"/>
        <v>0</v>
      </c>
      <c r="AE204" s="38"/>
      <c r="AF204" s="692">
        <f t="shared" si="94"/>
        <v>0</v>
      </c>
      <c r="AG204" s="692">
        <f t="shared" si="95"/>
        <v>0</v>
      </c>
      <c r="AH204" s="692">
        <f t="shared" si="96"/>
        <v>0</v>
      </c>
    </row>
    <row r="205" spans="1:34">
      <c r="A205" s="21"/>
      <c r="B205" s="21" t="s">
        <v>110</v>
      </c>
      <c r="C205" s="666" t="s">
        <v>566</v>
      </c>
      <c r="D205" s="68" t="s">
        <v>39</v>
      </c>
      <c r="E205" s="679"/>
      <c r="F205" s="529">
        <f>VLOOKUP(D205,'Q3 DMV -  Revenue'!D:T,17,FALSE)</f>
        <v>417.57500000000005</v>
      </c>
      <c r="G205" s="694">
        <f>1294.95+159.78</f>
        <v>1454.73</v>
      </c>
      <c r="H205" s="738">
        <v>1564.38</v>
      </c>
      <c r="I205" s="741">
        <v>1700.43</v>
      </c>
      <c r="J205" s="682">
        <f t="shared" si="99"/>
        <v>5137.1150000000007</v>
      </c>
      <c r="K205" s="683"/>
      <c r="L205" s="684"/>
      <c r="M205" s="685">
        <v>0</v>
      </c>
      <c r="N205" s="683">
        <v>0</v>
      </c>
      <c r="O205" s="686">
        <v>5137.1099999999997</v>
      </c>
      <c r="P205" s="683">
        <v>0</v>
      </c>
      <c r="Q205" s="687">
        <f t="shared" si="114"/>
        <v>0</v>
      </c>
      <c r="R205" s="688">
        <v>450.87</v>
      </c>
      <c r="S205" s="693"/>
      <c r="T205" s="690">
        <f t="shared" si="100"/>
        <v>450.87</v>
      </c>
      <c r="U205" s="683"/>
      <c r="V205" s="474">
        <f t="shared" si="97"/>
        <v>0</v>
      </c>
      <c r="W205" s="474">
        <f t="shared" si="89"/>
        <v>0</v>
      </c>
      <c r="X205" s="475">
        <f t="shared" si="90"/>
        <v>0</v>
      </c>
      <c r="Y205" s="475">
        <v>0</v>
      </c>
      <c r="Z205" s="476">
        <v>0</v>
      </c>
      <c r="AA205" s="38">
        <f t="shared" si="98"/>
        <v>0</v>
      </c>
      <c r="AB205" s="692">
        <f t="shared" si="91"/>
        <v>5137.1150000000007</v>
      </c>
      <c r="AC205" s="692">
        <f t="shared" si="92"/>
        <v>0</v>
      </c>
      <c r="AD205" s="692">
        <f t="shared" si="93"/>
        <v>0</v>
      </c>
      <c r="AE205" s="38"/>
      <c r="AF205" s="692">
        <f t="shared" si="94"/>
        <v>0</v>
      </c>
      <c r="AG205" s="692">
        <f t="shared" si="95"/>
        <v>0</v>
      </c>
      <c r="AH205" s="692">
        <f t="shared" si="96"/>
        <v>0</v>
      </c>
    </row>
    <row r="206" spans="1:34">
      <c r="A206" s="21"/>
      <c r="B206" s="21" t="s">
        <v>110</v>
      </c>
      <c r="C206" s="666" t="s">
        <v>567</v>
      </c>
      <c r="D206" s="68" t="s">
        <v>435</v>
      </c>
      <c r="E206" s="679"/>
      <c r="F206" s="529">
        <f>VLOOKUP(D206,'Q3 DMV -  Revenue'!D:T,17,FALSE)</f>
        <v>1778.125</v>
      </c>
      <c r="G206" s="694">
        <f>6838.3+3308.96</f>
        <v>10147.26</v>
      </c>
      <c r="H206" s="694">
        <f>7656.57+4458.05</f>
        <v>12114.619999999999</v>
      </c>
      <c r="I206" s="741">
        <f>8210.22+6242.42</f>
        <v>14452.64</v>
      </c>
      <c r="J206" s="682">
        <f t="shared" si="99"/>
        <v>38492.644999999997</v>
      </c>
      <c r="K206" s="683"/>
      <c r="L206" s="684"/>
      <c r="M206" s="685">
        <v>0</v>
      </c>
      <c r="N206" s="683">
        <v>0</v>
      </c>
      <c r="O206" s="686">
        <v>60992.639999999999</v>
      </c>
      <c r="P206" s="683">
        <v>0</v>
      </c>
      <c r="Q206" s="687">
        <f t="shared" si="114"/>
        <v>0</v>
      </c>
      <c r="R206" s="688"/>
      <c r="S206" s="693"/>
      <c r="T206" s="690" t="str">
        <f t="shared" si="100"/>
        <v/>
      </c>
      <c r="U206" s="683"/>
      <c r="V206" s="474">
        <f t="shared" si="97"/>
        <v>0</v>
      </c>
      <c r="W206" s="474">
        <f t="shared" si="89"/>
        <v>0</v>
      </c>
      <c r="X206" s="475">
        <f t="shared" si="90"/>
        <v>0</v>
      </c>
      <c r="Y206" s="475">
        <v>0</v>
      </c>
      <c r="Z206" s="476">
        <v>0</v>
      </c>
      <c r="AA206" s="38">
        <f t="shared" si="98"/>
        <v>0</v>
      </c>
      <c r="AB206" s="692">
        <f t="shared" si="91"/>
        <v>38492.644999999997</v>
      </c>
      <c r="AC206" s="692">
        <f t="shared" si="92"/>
        <v>0</v>
      </c>
      <c r="AD206" s="692">
        <f t="shared" si="93"/>
        <v>0</v>
      </c>
      <c r="AE206" s="38"/>
      <c r="AF206" s="692">
        <f t="shared" si="94"/>
        <v>0</v>
      </c>
      <c r="AG206" s="692">
        <f t="shared" si="95"/>
        <v>0</v>
      </c>
      <c r="AH206" s="692">
        <f t="shared" si="96"/>
        <v>0</v>
      </c>
    </row>
    <row r="207" spans="1:34">
      <c r="A207" s="21"/>
      <c r="B207" s="21" t="s">
        <v>110</v>
      </c>
      <c r="C207" s="675" t="s">
        <v>584</v>
      </c>
      <c r="D207" s="68" t="s">
        <v>99</v>
      </c>
      <c r="E207" s="679"/>
      <c r="F207" s="529">
        <f>VLOOKUP(D207,'Q3 DMV -  Revenue'!D:T,17,FALSE)</f>
        <v>-20930.63</v>
      </c>
      <c r="G207" s="680"/>
      <c r="H207" s="680"/>
      <c r="I207" s="681"/>
      <c r="J207" s="682">
        <f t="shared" si="99"/>
        <v>-20930.63</v>
      </c>
      <c r="K207" s="683"/>
      <c r="L207" s="684"/>
      <c r="M207" s="685">
        <v>0</v>
      </c>
      <c r="N207" s="683">
        <v>0</v>
      </c>
      <c r="O207" s="686">
        <v>-20930.63</v>
      </c>
      <c r="P207" s="683">
        <v>0</v>
      </c>
      <c r="Q207" s="687">
        <f t="shared" si="114"/>
        <v>0</v>
      </c>
      <c r="R207" s="688">
        <f>17999.49+20054.86+23377.4</f>
        <v>61431.750000000007</v>
      </c>
      <c r="S207" s="693"/>
      <c r="T207" s="690">
        <f t="shared" si="100"/>
        <v>61431.750000000007</v>
      </c>
      <c r="U207" s="683"/>
      <c r="V207" s="474">
        <f t="shared" si="97"/>
        <v>0</v>
      </c>
      <c r="W207" s="474">
        <f t="shared" si="89"/>
        <v>0</v>
      </c>
      <c r="X207" s="475">
        <f t="shared" si="90"/>
        <v>0</v>
      </c>
      <c r="Y207" s="475">
        <v>0</v>
      </c>
      <c r="Z207" s="476">
        <v>0</v>
      </c>
      <c r="AA207" s="38">
        <f t="shared" si="98"/>
        <v>0</v>
      </c>
      <c r="AB207" s="692">
        <f t="shared" si="91"/>
        <v>-20930.63</v>
      </c>
      <c r="AC207" s="692">
        <f t="shared" si="92"/>
        <v>0</v>
      </c>
      <c r="AD207" s="692">
        <f t="shared" si="93"/>
        <v>0</v>
      </c>
      <c r="AE207" s="38"/>
      <c r="AF207" s="692">
        <f t="shared" si="94"/>
        <v>0</v>
      </c>
      <c r="AG207" s="692">
        <f t="shared" si="95"/>
        <v>0</v>
      </c>
      <c r="AH207" s="692">
        <f t="shared" si="96"/>
        <v>0</v>
      </c>
    </row>
    <row r="208" spans="1:34" s="232" customFormat="1">
      <c r="A208" s="403"/>
      <c r="B208" s="403" t="s">
        <v>110</v>
      </c>
      <c r="C208" s="666"/>
      <c r="D208" s="123" t="s">
        <v>378</v>
      </c>
      <c r="E208" s="679"/>
      <c r="F208" s="529">
        <f>VLOOKUP(D208,'Q3 DMV -  Revenue'!D:T,17,FALSE)</f>
        <v>0</v>
      </c>
      <c r="G208" s="680"/>
      <c r="H208" s="680"/>
      <c r="I208" s="681"/>
      <c r="J208" s="682">
        <f t="shared" si="99"/>
        <v>0</v>
      </c>
      <c r="K208" s="683"/>
      <c r="L208" s="684"/>
      <c r="M208" s="685">
        <v>0</v>
      </c>
      <c r="N208" s="683">
        <v>0</v>
      </c>
      <c r="O208" s="686">
        <v>-20930.63</v>
      </c>
      <c r="P208" s="683">
        <v>0</v>
      </c>
      <c r="Q208" s="687">
        <f t="shared" si="114"/>
        <v>0</v>
      </c>
      <c r="R208" s="688"/>
      <c r="S208" s="693"/>
      <c r="T208" s="690" t="str">
        <f t="shared" si="100"/>
        <v/>
      </c>
      <c r="U208" s="683"/>
      <c r="V208" s="474">
        <f t="shared" si="97"/>
        <v>0</v>
      </c>
      <c r="W208" s="474">
        <f t="shared" si="89"/>
        <v>0</v>
      </c>
      <c r="X208" s="475">
        <f t="shared" si="90"/>
        <v>0</v>
      </c>
      <c r="Y208" s="475">
        <v>0</v>
      </c>
      <c r="Z208" s="476">
        <v>0</v>
      </c>
      <c r="AA208" s="38">
        <f t="shared" si="98"/>
        <v>0</v>
      </c>
      <c r="AB208" s="692">
        <f t="shared" si="91"/>
        <v>0</v>
      </c>
      <c r="AC208" s="692">
        <f t="shared" si="92"/>
        <v>0</v>
      </c>
      <c r="AD208" s="692">
        <f t="shared" si="93"/>
        <v>0</v>
      </c>
      <c r="AE208" s="38"/>
      <c r="AF208" s="692">
        <f t="shared" si="94"/>
        <v>0</v>
      </c>
      <c r="AG208" s="692">
        <f t="shared" si="95"/>
        <v>0</v>
      </c>
      <c r="AH208" s="692">
        <f t="shared" si="96"/>
        <v>0</v>
      </c>
    </row>
    <row r="209" spans="1:34" s="232" customFormat="1">
      <c r="A209" s="403"/>
      <c r="B209" s="403" t="s">
        <v>110</v>
      </c>
      <c r="C209" s="666" t="s">
        <v>568</v>
      </c>
      <c r="D209" s="123" t="s">
        <v>303</v>
      </c>
      <c r="E209" s="679"/>
      <c r="F209" s="529">
        <f>VLOOKUP(D209,'Q3 DMV -  Revenue'!D:T,17,FALSE)</f>
        <v>599.38000000000466</v>
      </c>
      <c r="G209" s="694">
        <v>93558.87</v>
      </c>
      <c r="H209" s="694">
        <f>17785.95+71564.01</f>
        <v>89349.959999999992</v>
      </c>
      <c r="I209" s="741">
        <v>110893.02</v>
      </c>
      <c r="J209" s="682">
        <f t="shared" si="99"/>
        <v>294401.23</v>
      </c>
      <c r="K209" s="683"/>
      <c r="L209" s="684"/>
      <c r="M209" s="685">
        <v>0</v>
      </c>
      <c r="N209" s="683">
        <v>0</v>
      </c>
      <c r="O209" s="686">
        <v>183598.4</v>
      </c>
      <c r="P209" s="683">
        <v>0</v>
      </c>
      <c r="Q209" s="687">
        <f t="shared" si="114"/>
        <v>0</v>
      </c>
      <c r="R209" s="688"/>
      <c r="S209" s="693"/>
      <c r="T209" s="690" t="str">
        <f t="shared" si="100"/>
        <v/>
      </c>
      <c r="U209" s="683"/>
      <c r="V209" s="474">
        <f t="shared" si="97"/>
        <v>0</v>
      </c>
      <c r="W209" s="474">
        <f t="shared" si="89"/>
        <v>0</v>
      </c>
      <c r="X209" s="475">
        <f t="shared" si="90"/>
        <v>0</v>
      </c>
      <c r="Y209" s="475">
        <v>0</v>
      </c>
      <c r="Z209" s="476">
        <v>0</v>
      </c>
      <c r="AA209" s="38">
        <f t="shared" si="98"/>
        <v>0</v>
      </c>
      <c r="AB209" s="692">
        <f t="shared" si="91"/>
        <v>294401.23</v>
      </c>
      <c r="AC209" s="692">
        <f t="shared" si="92"/>
        <v>0</v>
      </c>
      <c r="AD209" s="692">
        <f t="shared" si="93"/>
        <v>0</v>
      </c>
      <c r="AE209" s="38"/>
      <c r="AF209" s="692">
        <f t="shared" si="94"/>
        <v>0</v>
      </c>
      <c r="AG209" s="692">
        <f t="shared" si="95"/>
        <v>0</v>
      </c>
      <c r="AH209" s="692">
        <f t="shared" si="96"/>
        <v>0</v>
      </c>
    </row>
    <row r="210" spans="1:34" s="232" customFormat="1">
      <c r="A210" s="403"/>
      <c r="B210" s="403" t="s">
        <v>110</v>
      </c>
      <c r="C210" s="666"/>
      <c r="D210" s="123" t="s">
        <v>206</v>
      </c>
      <c r="E210" s="679"/>
      <c r="F210" s="529">
        <f>VLOOKUP(D210,'Q3 DMV -  Revenue'!D:T,17,FALSE)</f>
        <v>0</v>
      </c>
      <c r="G210" s="680"/>
      <c r="H210" s="694">
        <v>90.19</v>
      </c>
      <c r="I210" s="681"/>
      <c r="J210" s="682">
        <f t="shared" si="99"/>
        <v>90.19</v>
      </c>
      <c r="K210" s="683"/>
      <c r="L210" s="684"/>
      <c r="M210" s="685">
        <v>0</v>
      </c>
      <c r="N210" s="683">
        <v>0</v>
      </c>
      <c r="O210" s="686"/>
      <c r="P210" s="683">
        <v>0</v>
      </c>
      <c r="Q210" s="687">
        <f t="shared" si="114"/>
        <v>0</v>
      </c>
      <c r="R210" s="688"/>
      <c r="S210" s="693"/>
      <c r="T210" s="690" t="str">
        <f t="shared" si="100"/>
        <v/>
      </c>
      <c r="U210" s="683"/>
      <c r="V210" s="474">
        <f t="shared" si="97"/>
        <v>0</v>
      </c>
      <c r="W210" s="474">
        <f t="shared" si="89"/>
        <v>0</v>
      </c>
      <c r="X210" s="475">
        <f t="shared" si="90"/>
        <v>0</v>
      </c>
      <c r="Y210" s="475">
        <v>0</v>
      </c>
      <c r="Z210" s="476">
        <v>0</v>
      </c>
      <c r="AA210" s="38">
        <f t="shared" si="98"/>
        <v>0</v>
      </c>
      <c r="AB210" s="692">
        <f t="shared" si="91"/>
        <v>90.19</v>
      </c>
      <c r="AC210" s="692">
        <f t="shared" si="92"/>
        <v>0</v>
      </c>
      <c r="AD210" s="692">
        <f t="shared" si="93"/>
        <v>0</v>
      </c>
      <c r="AE210" s="38"/>
      <c r="AF210" s="692">
        <f t="shared" si="94"/>
        <v>0</v>
      </c>
      <c r="AG210" s="692">
        <f t="shared" si="95"/>
        <v>0</v>
      </c>
      <c r="AH210" s="692">
        <f t="shared" si="96"/>
        <v>0</v>
      </c>
    </row>
    <row r="211" spans="1:34" s="232" customFormat="1">
      <c r="A211" s="403"/>
      <c r="B211" s="403" t="s">
        <v>109</v>
      </c>
      <c r="C211" s="666" t="s">
        <v>569</v>
      </c>
      <c r="D211" s="123" t="s">
        <v>468</v>
      </c>
      <c r="E211" s="679"/>
      <c r="F211" s="529">
        <f>VLOOKUP(D211,'Q3 DMV -  Revenue'!D:T,17,FALSE)</f>
        <v>-780.69000000000233</v>
      </c>
      <c r="G211" s="694">
        <v>39225.839999999997</v>
      </c>
      <c r="H211" s="694">
        <v>37113.99</v>
      </c>
      <c r="I211" s="741">
        <v>34158.31</v>
      </c>
      <c r="J211" s="682">
        <f t="shared" si="99"/>
        <v>109717.44999999998</v>
      </c>
      <c r="K211" s="683"/>
      <c r="L211" s="684"/>
      <c r="M211" s="685">
        <v>0</v>
      </c>
      <c r="N211" s="683">
        <v>0</v>
      </c>
      <c r="O211" s="686">
        <v>109717.45</v>
      </c>
      <c r="P211" s="683">
        <v>0</v>
      </c>
      <c r="Q211" s="687">
        <f t="shared" si="114"/>
        <v>0</v>
      </c>
      <c r="R211" s="688"/>
      <c r="S211" s="693"/>
      <c r="T211" s="690" t="str">
        <f t="shared" si="100"/>
        <v/>
      </c>
      <c r="U211" s="683"/>
      <c r="V211" s="474">
        <f t="shared" si="97"/>
        <v>0</v>
      </c>
      <c r="W211" s="474">
        <f t="shared" si="89"/>
        <v>0</v>
      </c>
      <c r="X211" s="475">
        <f t="shared" si="90"/>
        <v>0</v>
      </c>
      <c r="Y211" s="475">
        <v>0</v>
      </c>
      <c r="Z211" s="476">
        <v>0</v>
      </c>
      <c r="AA211" s="38">
        <f t="shared" si="98"/>
        <v>0</v>
      </c>
      <c r="AB211" s="692">
        <f t="shared" si="91"/>
        <v>0</v>
      </c>
      <c r="AC211" s="692">
        <f t="shared" si="92"/>
        <v>109717.44999999998</v>
      </c>
      <c r="AD211" s="692">
        <f t="shared" si="93"/>
        <v>0</v>
      </c>
      <c r="AE211" s="38"/>
      <c r="AF211" s="692">
        <f t="shared" si="94"/>
        <v>0</v>
      </c>
      <c r="AG211" s="692">
        <f t="shared" si="95"/>
        <v>0</v>
      </c>
      <c r="AH211" s="692">
        <f t="shared" si="96"/>
        <v>0</v>
      </c>
    </row>
    <row r="212" spans="1:34" s="232" customFormat="1">
      <c r="A212" s="403"/>
      <c r="B212" s="403" t="s">
        <v>114</v>
      </c>
      <c r="C212" s="666"/>
      <c r="D212" s="123" t="s">
        <v>241</v>
      </c>
      <c r="E212" s="679"/>
      <c r="F212" s="529">
        <f>VLOOKUP(D212,'Q3 DMV -  Revenue'!D:T,17,FALSE)</f>
        <v>0</v>
      </c>
      <c r="G212" s="680"/>
      <c r="H212" s="680"/>
      <c r="I212" s="681"/>
      <c r="J212" s="682">
        <f t="shared" si="99"/>
        <v>0</v>
      </c>
      <c r="K212" s="683"/>
      <c r="L212" s="684"/>
      <c r="M212" s="685">
        <v>0</v>
      </c>
      <c r="N212" s="683">
        <v>0</v>
      </c>
      <c r="O212" s="686"/>
      <c r="P212" s="683">
        <v>0</v>
      </c>
      <c r="Q212" s="687">
        <f t="shared" si="114"/>
        <v>0</v>
      </c>
      <c r="R212" s="688">
        <v>0</v>
      </c>
      <c r="S212" s="693"/>
      <c r="T212" s="690">
        <f t="shared" si="100"/>
        <v>0</v>
      </c>
      <c r="U212" s="683"/>
      <c r="V212" s="474">
        <f t="shared" si="97"/>
        <v>0</v>
      </c>
      <c r="W212" s="474">
        <f t="shared" si="89"/>
        <v>0</v>
      </c>
      <c r="X212" s="475">
        <f t="shared" si="90"/>
        <v>0</v>
      </c>
      <c r="Y212" s="475">
        <v>0</v>
      </c>
      <c r="Z212" s="476">
        <v>0</v>
      </c>
      <c r="AA212" s="38">
        <f t="shared" si="98"/>
        <v>0</v>
      </c>
      <c r="AB212" s="692">
        <f t="shared" si="91"/>
        <v>0</v>
      </c>
      <c r="AC212" s="692">
        <f t="shared" si="92"/>
        <v>0</v>
      </c>
      <c r="AD212" s="692">
        <f t="shared" si="93"/>
        <v>0</v>
      </c>
      <c r="AE212" s="38"/>
      <c r="AF212" s="692">
        <f t="shared" si="94"/>
        <v>0</v>
      </c>
      <c r="AG212" s="692">
        <f t="shared" si="95"/>
        <v>0</v>
      </c>
      <c r="AH212" s="692">
        <f t="shared" si="96"/>
        <v>0</v>
      </c>
    </row>
    <row r="213" spans="1:34">
      <c r="A213" s="20"/>
      <c r="B213" s="20" t="s">
        <v>109</v>
      </c>
      <c r="C213" s="667" t="s">
        <v>570</v>
      </c>
      <c r="D213" s="68" t="s">
        <v>41</v>
      </c>
      <c r="E213" s="679"/>
      <c r="F213" s="529">
        <f>VLOOKUP(D213,'Q3 DMV -  Revenue'!D:T,17,FALSE)</f>
        <v>-10000</v>
      </c>
      <c r="G213" s="680"/>
      <c r="H213" s="680"/>
      <c r="I213" s="681"/>
      <c r="J213" s="682">
        <f t="shared" si="99"/>
        <v>-10000</v>
      </c>
      <c r="K213" s="683"/>
      <c r="L213" s="684"/>
      <c r="M213" s="685">
        <v>0</v>
      </c>
      <c r="N213" s="683">
        <v>0</v>
      </c>
      <c r="O213" s="686">
        <v>-7653.89</v>
      </c>
      <c r="P213" s="683">
        <v>0</v>
      </c>
      <c r="Q213" s="687">
        <f t="shared" si="114"/>
        <v>0</v>
      </c>
      <c r="R213" s="688"/>
      <c r="S213" s="693"/>
      <c r="T213" s="690" t="str">
        <f t="shared" si="100"/>
        <v/>
      </c>
      <c r="U213" s="683"/>
      <c r="V213" s="474">
        <f t="shared" si="97"/>
        <v>0</v>
      </c>
      <c r="W213" s="474">
        <f t="shared" si="89"/>
        <v>0</v>
      </c>
      <c r="X213" s="475">
        <f t="shared" si="90"/>
        <v>0</v>
      </c>
      <c r="Y213" s="475">
        <v>0</v>
      </c>
      <c r="Z213" s="476">
        <v>0</v>
      </c>
      <c r="AA213" s="38">
        <f t="shared" si="98"/>
        <v>0</v>
      </c>
      <c r="AB213" s="692">
        <f t="shared" si="91"/>
        <v>0</v>
      </c>
      <c r="AC213" s="692">
        <f t="shared" si="92"/>
        <v>-10000</v>
      </c>
      <c r="AD213" s="692">
        <f t="shared" si="93"/>
        <v>0</v>
      </c>
      <c r="AE213" s="38"/>
      <c r="AF213" s="692">
        <f t="shared" si="94"/>
        <v>0</v>
      </c>
      <c r="AG213" s="692">
        <f t="shared" si="95"/>
        <v>0</v>
      </c>
      <c r="AH213" s="692">
        <f t="shared" si="96"/>
        <v>0</v>
      </c>
    </row>
    <row r="214" spans="1:34">
      <c r="A214" s="20"/>
      <c r="B214" s="20" t="s">
        <v>109</v>
      </c>
      <c r="C214" s="667" t="s">
        <v>570</v>
      </c>
      <c r="D214" s="68" t="s">
        <v>221</v>
      </c>
      <c r="E214" s="679"/>
      <c r="F214" s="529">
        <f>VLOOKUP(D214,'Q3 DMV -  Revenue'!D:T,17,FALSE)</f>
        <v>0</v>
      </c>
      <c r="G214" s="680"/>
      <c r="H214" s="680"/>
      <c r="I214" s="681"/>
      <c r="J214" s="682">
        <f t="shared" si="99"/>
        <v>0</v>
      </c>
      <c r="K214" s="683"/>
      <c r="L214" s="684"/>
      <c r="M214" s="685">
        <v>0</v>
      </c>
      <c r="N214" s="683">
        <v>0</v>
      </c>
      <c r="O214" s="686"/>
      <c r="P214" s="683">
        <v>0</v>
      </c>
      <c r="Q214" s="687">
        <f t="shared" si="114"/>
        <v>0</v>
      </c>
      <c r="R214" s="688"/>
      <c r="S214" s="693"/>
      <c r="T214" s="690" t="str">
        <f t="shared" si="100"/>
        <v/>
      </c>
      <c r="U214" s="683"/>
      <c r="V214" s="474">
        <f t="shared" si="97"/>
        <v>0</v>
      </c>
      <c r="W214" s="474">
        <f t="shared" si="89"/>
        <v>0</v>
      </c>
      <c r="X214" s="475">
        <f t="shared" si="90"/>
        <v>0</v>
      </c>
      <c r="Y214" s="475">
        <v>0</v>
      </c>
      <c r="Z214" s="476">
        <v>0</v>
      </c>
      <c r="AA214" s="38">
        <f t="shared" si="98"/>
        <v>0</v>
      </c>
      <c r="AB214" s="692">
        <f t="shared" si="91"/>
        <v>0</v>
      </c>
      <c r="AC214" s="692">
        <f t="shared" si="92"/>
        <v>0</v>
      </c>
      <c r="AD214" s="692">
        <f t="shared" si="93"/>
        <v>0</v>
      </c>
      <c r="AE214" s="38"/>
      <c r="AF214" s="692">
        <f t="shared" si="94"/>
        <v>0</v>
      </c>
      <c r="AG214" s="692">
        <f t="shared" si="95"/>
        <v>0</v>
      </c>
      <c r="AH214" s="692">
        <f t="shared" si="96"/>
        <v>0</v>
      </c>
    </row>
    <row r="215" spans="1:34" s="146" customFormat="1">
      <c r="A215" s="21" t="s">
        <v>109</v>
      </c>
      <c r="B215" s="21" t="s">
        <v>110</v>
      </c>
      <c r="C215" s="666"/>
      <c r="D215" s="68" t="s">
        <v>98</v>
      </c>
      <c r="E215" s="679"/>
      <c r="F215" s="529">
        <f>VLOOKUP(D215,'Q3 DMV -  Revenue'!D:T,17,FALSE)</f>
        <v>0</v>
      </c>
      <c r="G215" s="680"/>
      <c r="H215" s="680"/>
      <c r="I215" s="681"/>
      <c r="J215" s="682">
        <f t="shared" si="99"/>
        <v>0</v>
      </c>
      <c r="K215" s="683"/>
      <c r="L215" s="684"/>
      <c r="M215" s="685">
        <v>0</v>
      </c>
      <c r="N215" s="683">
        <v>0</v>
      </c>
      <c r="O215" s="686"/>
      <c r="P215" s="683">
        <v>0</v>
      </c>
      <c r="Q215" s="687">
        <f t="shared" si="114"/>
        <v>0</v>
      </c>
      <c r="R215" s="688"/>
      <c r="S215" s="693"/>
      <c r="T215" s="690" t="str">
        <f t="shared" si="100"/>
        <v/>
      </c>
      <c r="U215" s="683"/>
      <c r="V215" s="474">
        <f t="shared" si="97"/>
        <v>0</v>
      </c>
      <c r="W215" s="474">
        <f t="shared" si="89"/>
        <v>0</v>
      </c>
      <c r="X215" s="475">
        <f t="shared" si="90"/>
        <v>0</v>
      </c>
      <c r="Y215" s="475">
        <v>0</v>
      </c>
      <c r="Z215" s="476">
        <v>0</v>
      </c>
      <c r="AA215" s="38">
        <f t="shared" si="98"/>
        <v>0</v>
      </c>
      <c r="AB215" s="692">
        <f t="shared" si="91"/>
        <v>0</v>
      </c>
      <c r="AC215" s="692">
        <f t="shared" si="92"/>
        <v>0</v>
      </c>
      <c r="AD215" s="692">
        <f t="shared" si="93"/>
        <v>0</v>
      </c>
      <c r="AE215" s="38"/>
      <c r="AF215" s="692">
        <f t="shared" si="94"/>
        <v>0</v>
      </c>
      <c r="AG215" s="692">
        <f t="shared" si="95"/>
        <v>0</v>
      </c>
      <c r="AH215" s="692">
        <f t="shared" si="96"/>
        <v>0</v>
      </c>
    </row>
    <row r="216" spans="1:34">
      <c r="A216" s="20"/>
      <c r="B216" s="20" t="s">
        <v>110</v>
      </c>
      <c r="C216" s="667"/>
      <c r="D216" s="68" t="s">
        <v>508</v>
      </c>
      <c r="E216" s="679"/>
      <c r="F216" s="529">
        <f>VLOOKUP(D216,'Q3 DMV -  Revenue'!D:T,17,FALSE)</f>
        <v>65</v>
      </c>
      <c r="G216" s="680"/>
      <c r="H216" s="680"/>
      <c r="I216" s="681"/>
      <c r="J216" s="682">
        <f t="shared" ref="J216" si="130">SUM(E216:I216)</f>
        <v>65</v>
      </c>
      <c r="K216" s="683"/>
      <c r="L216" s="684"/>
      <c r="M216" s="685">
        <v>0</v>
      </c>
      <c r="N216" s="683">
        <v>0</v>
      </c>
      <c r="O216" s="686">
        <v>65</v>
      </c>
      <c r="P216" s="683">
        <v>0</v>
      </c>
      <c r="Q216" s="687">
        <f t="shared" si="114"/>
        <v>0</v>
      </c>
      <c r="R216" s="688">
        <v>10</v>
      </c>
      <c r="S216" s="693"/>
      <c r="T216" s="690">
        <f t="shared" si="100"/>
        <v>10</v>
      </c>
      <c r="U216" s="683"/>
      <c r="V216" s="474">
        <f t="shared" si="97"/>
        <v>0</v>
      </c>
      <c r="W216" s="474">
        <f t="shared" si="89"/>
        <v>0</v>
      </c>
      <c r="X216" s="475">
        <f t="shared" si="90"/>
        <v>0</v>
      </c>
      <c r="Y216" s="475">
        <v>0</v>
      </c>
      <c r="Z216" s="476">
        <v>0</v>
      </c>
      <c r="AA216" s="38">
        <f t="shared" si="98"/>
        <v>0</v>
      </c>
      <c r="AB216" s="692">
        <f t="shared" si="91"/>
        <v>65</v>
      </c>
      <c r="AC216" s="692">
        <f t="shared" si="92"/>
        <v>0</v>
      </c>
      <c r="AD216" s="692">
        <f t="shared" si="93"/>
        <v>0</v>
      </c>
      <c r="AE216" s="38"/>
      <c r="AF216" s="692">
        <f t="shared" si="94"/>
        <v>0</v>
      </c>
      <c r="AG216" s="692">
        <f t="shared" si="95"/>
        <v>0</v>
      </c>
      <c r="AH216" s="692">
        <f t="shared" si="96"/>
        <v>0</v>
      </c>
    </row>
    <row r="217" spans="1:34">
      <c r="A217" s="21"/>
      <c r="B217" s="21" t="s">
        <v>110</v>
      </c>
      <c r="C217" s="666"/>
      <c r="D217" s="68" t="s">
        <v>43</v>
      </c>
      <c r="E217" s="679"/>
      <c r="F217" s="529">
        <f>VLOOKUP(D217,'Q3 DMV -  Revenue'!D:T,17,FALSE)</f>
        <v>1901.56</v>
      </c>
      <c r="G217" s="694">
        <v>993</v>
      </c>
      <c r="H217" s="737">
        <v>954.63</v>
      </c>
      <c r="I217" s="681"/>
      <c r="J217" s="682">
        <f t="shared" si="99"/>
        <v>3849.19</v>
      </c>
      <c r="K217" s="683"/>
      <c r="L217" s="684"/>
      <c r="M217" s="685">
        <v>1000</v>
      </c>
      <c r="N217" s="683">
        <v>0</v>
      </c>
      <c r="O217" s="686">
        <v>3849.19</v>
      </c>
      <c r="P217" s="683">
        <v>0</v>
      </c>
      <c r="Q217" s="687">
        <f t="shared" si="114"/>
        <v>1000</v>
      </c>
      <c r="R217" s="688">
        <v>714.85</v>
      </c>
      <c r="S217" s="693"/>
      <c r="T217" s="690">
        <f t="shared" si="100"/>
        <v>-285.14999999999998</v>
      </c>
      <c r="U217" s="683"/>
      <c r="V217" s="474">
        <f t="shared" si="97"/>
        <v>1000</v>
      </c>
      <c r="W217" s="474">
        <f t="shared" si="89"/>
        <v>0</v>
      </c>
      <c r="X217" s="475">
        <f t="shared" si="90"/>
        <v>0</v>
      </c>
      <c r="Y217" s="475">
        <v>0</v>
      </c>
      <c r="Z217" s="476">
        <v>0</v>
      </c>
      <c r="AA217" s="38">
        <f t="shared" si="98"/>
        <v>0</v>
      </c>
      <c r="AB217" s="692">
        <f t="shared" si="91"/>
        <v>3849.19</v>
      </c>
      <c r="AC217" s="692">
        <f t="shared" si="92"/>
        <v>0</v>
      </c>
      <c r="AD217" s="692">
        <f t="shared" si="93"/>
        <v>0</v>
      </c>
      <c r="AE217" s="38"/>
      <c r="AF217" s="692">
        <f t="shared" si="94"/>
        <v>1000</v>
      </c>
      <c r="AG217" s="692">
        <f t="shared" si="95"/>
        <v>0</v>
      </c>
      <c r="AH217" s="692">
        <f t="shared" si="96"/>
        <v>0</v>
      </c>
    </row>
    <row r="218" spans="1:34">
      <c r="A218" s="21"/>
      <c r="B218" s="21" t="s">
        <v>109</v>
      </c>
      <c r="C218" s="666" t="s">
        <v>571</v>
      </c>
      <c r="D218" s="68" t="s">
        <v>44</v>
      </c>
      <c r="E218" s="679"/>
      <c r="F218" s="529">
        <f>VLOOKUP(D218,'Q3 DMV -  Revenue'!D:T,17,FALSE)</f>
        <v>957.04999999999927</v>
      </c>
      <c r="G218" s="694">
        <f>13154.1-G219</f>
        <v>12432.75</v>
      </c>
      <c r="H218" s="737">
        <f>13262.7-H219</f>
        <v>12541.35</v>
      </c>
      <c r="I218" s="741">
        <f>11799.9-I219</f>
        <v>11422.8</v>
      </c>
      <c r="J218" s="682">
        <f t="shared" si="99"/>
        <v>37353.949999999997</v>
      </c>
      <c r="K218" s="683"/>
      <c r="L218" s="684"/>
      <c r="M218" s="685">
        <v>0</v>
      </c>
      <c r="N218" s="683">
        <v>0</v>
      </c>
      <c r="O218" s="686">
        <v>39173.75</v>
      </c>
      <c r="P218" s="683">
        <v>0</v>
      </c>
      <c r="Q218" s="687">
        <f t="shared" si="114"/>
        <v>0</v>
      </c>
      <c r="R218" s="688"/>
      <c r="S218" s="693"/>
      <c r="T218" s="690" t="str">
        <f t="shared" si="100"/>
        <v/>
      </c>
      <c r="U218" s="683"/>
      <c r="V218" s="474">
        <f t="shared" si="97"/>
        <v>0</v>
      </c>
      <c r="W218" s="474">
        <f t="shared" si="89"/>
        <v>0</v>
      </c>
      <c r="X218" s="475">
        <f t="shared" si="90"/>
        <v>0</v>
      </c>
      <c r="Y218" s="475">
        <v>0</v>
      </c>
      <c r="Z218" s="476">
        <v>0</v>
      </c>
      <c r="AA218" s="38">
        <f t="shared" si="98"/>
        <v>0</v>
      </c>
      <c r="AB218" s="692">
        <f t="shared" si="91"/>
        <v>0</v>
      </c>
      <c r="AC218" s="692">
        <f t="shared" si="92"/>
        <v>37353.949999999997</v>
      </c>
      <c r="AD218" s="692">
        <f t="shared" si="93"/>
        <v>0</v>
      </c>
      <c r="AE218" s="38"/>
      <c r="AF218" s="692">
        <f t="shared" si="94"/>
        <v>0</v>
      </c>
      <c r="AG218" s="692">
        <f t="shared" si="95"/>
        <v>0</v>
      </c>
      <c r="AH218" s="692">
        <f t="shared" si="96"/>
        <v>0</v>
      </c>
    </row>
    <row r="219" spans="1:34">
      <c r="A219" s="21"/>
      <c r="B219" s="21" t="s">
        <v>114</v>
      </c>
      <c r="C219" s="666" t="s">
        <v>571</v>
      </c>
      <c r="D219" s="68" t="s">
        <v>44</v>
      </c>
      <c r="E219" s="679"/>
      <c r="F219" s="529"/>
      <c r="G219" s="694">
        <f>1442.7/2</f>
        <v>721.35</v>
      </c>
      <c r="H219" s="694">
        <f>1442.7/2</f>
        <v>721.35</v>
      </c>
      <c r="I219" s="741">
        <f>371.7+5.4</f>
        <v>377.09999999999997</v>
      </c>
      <c r="J219" s="682">
        <f t="shared" ref="J219" si="131">SUM(E219:I219)</f>
        <v>1819.8</v>
      </c>
      <c r="K219" s="683"/>
      <c r="L219" s="684"/>
      <c r="M219" s="685">
        <v>0</v>
      </c>
      <c r="N219" s="683">
        <v>0</v>
      </c>
      <c r="O219" s="686"/>
      <c r="P219" s="683">
        <v>0</v>
      </c>
      <c r="Q219" s="687">
        <f t="shared" ref="Q219" si="132">L219+M219</f>
        <v>0</v>
      </c>
      <c r="R219" s="688"/>
      <c r="S219" s="693"/>
      <c r="T219" s="690" t="str">
        <f t="shared" ref="T219" si="133">IF(R219="","",R219-Q219)</f>
        <v/>
      </c>
      <c r="U219" s="683"/>
      <c r="V219" s="474">
        <f t="shared" ref="V219" si="134">IF(B219="D",Q219,0)</f>
        <v>0</v>
      </c>
      <c r="W219" s="474">
        <f t="shared" ref="W219" si="135">IF(B219="M",Q219,0)</f>
        <v>0</v>
      </c>
      <c r="X219" s="475">
        <f t="shared" ref="X219" si="136">IF(B219="V",Q219,0)</f>
        <v>0</v>
      </c>
      <c r="Y219" s="475">
        <v>0</v>
      </c>
      <c r="Z219" s="476">
        <v>0</v>
      </c>
      <c r="AA219" s="38">
        <f t="shared" ref="AA219" si="137">(L219+M219)-(V219+W219+X219+Y219+Z219)</f>
        <v>0</v>
      </c>
      <c r="AB219" s="692">
        <f t="shared" ref="AB219" si="138">IF(B219="D",J219,0)</f>
        <v>0</v>
      </c>
      <c r="AC219" s="692">
        <f t="shared" ref="AC219" si="139">IF(B219="M",J219,0)</f>
        <v>0</v>
      </c>
      <c r="AD219" s="692">
        <f t="shared" ref="AD219" si="140">IF(B219="V",J219,0)</f>
        <v>1819.8</v>
      </c>
      <c r="AE219" s="38"/>
      <c r="AF219" s="692">
        <f t="shared" ref="AF219" si="141">IF(B219="D",Q219,0)</f>
        <v>0</v>
      </c>
      <c r="AG219" s="692">
        <f t="shared" ref="AG219" si="142">IF(B219="M",Q219,0)</f>
        <v>0</v>
      </c>
      <c r="AH219" s="692">
        <f t="shared" ref="AH219" si="143">IF(B219="V",Q219,0)</f>
        <v>0</v>
      </c>
    </row>
    <row r="220" spans="1:34">
      <c r="A220" s="21"/>
      <c r="B220" s="21" t="s">
        <v>110</v>
      </c>
      <c r="C220" s="666" t="s">
        <v>572</v>
      </c>
      <c r="D220" s="68" t="s">
        <v>388</v>
      </c>
      <c r="E220" s="679"/>
      <c r="F220" s="529">
        <f>VLOOKUP(D220,'Q3 DMV -  Revenue'!D:T,17,FALSE)</f>
        <v>469.85000000000218</v>
      </c>
      <c r="G220" s="694">
        <v>22839.26</v>
      </c>
      <c r="H220" s="694">
        <v>19114.439999999999</v>
      </c>
      <c r="I220" s="741">
        <v>13067.13</v>
      </c>
      <c r="J220" s="682">
        <f t="shared" si="99"/>
        <v>55490.68</v>
      </c>
      <c r="K220" s="683"/>
      <c r="L220" s="684"/>
      <c r="M220" s="685">
        <v>0</v>
      </c>
      <c r="N220" s="683">
        <v>0</v>
      </c>
      <c r="O220" s="686">
        <v>55490.68</v>
      </c>
      <c r="P220" s="683">
        <v>0</v>
      </c>
      <c r="Q220" s="687">
        <f t="shared" si="114"/>
        <v>0</v>
      </c>
      <c r="R220" s="688"/>
      <c r="S220" s="693"/>
      <c r="T220" s="690" t="str">
        <f t="shared" si="100"/>
        <v/>
      </c>
      <c r="U220" s="683"/>
      <c r="V220" s="474">
        <f t="shared" si="97"/>
        <v>0</v>
      </c>
      <c r="W220" s="474">
        <f t="shared" ref="W220:W280" si="144">IF(B220="M",Q220,0)</f>
        <v>0</v>
      </c>
      <c r="X220" s="475">
        <f t="shared" ref="X220:X280" si="145">IF(B220="V",Q220,0)</f>
        <v>0</v>
      </c>
      <c r="Y220" s="475">
        <v>0</v>
      </c>
      <c r="Z220" s="476">
        <v>0</v>
      </c>
      <c r="AA220" s="38">
        <f t="shared" si="98"/>
        <v>0</v>
      </c>
      <c r="AB220" s="692">
        <f t="shared" ref="AB220:AB280" si="146">IF(B220="D",J220,0)</f>
        <v>55490.68</v>
      </c>
      <c r="AC220" s="692">
        <f t="shared" ref="AC220:AC280" si="147">IF(B220="M",J220,0)</f>
        <v>0</v>
      </c>
      <c r="AD220" s="692">
        <f t="shared" ref="AD220:AD280" si="148">IF(B220="V",J220,0)</f>
        <v>0</v>
      </c>
      <c r="AE220" s="38"/>
      <c r="AF220" s="692">
        <f t="shared" ref="AF220:AF280" si="149">IF(B220="D",Q220,0)</f>
        <v>0</v>
      </c>
      <c r="AG220" s="692">
        <f t="shared" ref="AG220:AG280" si="150">IF(B220="M",Q220,0)</f>
        <v>0</v>
      </c>
      <c r="AH220" s="692">
        <f t="shared" ref="AH220:AH280" si="151">IF(B220="V",Q220,0)</f>
        <v>0</v>
      </c>
    </row>
    <row r="221" spans="1:34">
      <c r="A221" s="21"/>
      <c r="B221" s="21" t="s">
        <v>110</v>
      </c>
      <c r="C221" s="666"/>
      <c r="D221" s="68" t="s">
        <v>45</v>
      </c>
      <c r="E221" s="679">
        <f>5052.12+189.16+185.92</f>
        <v>5427.2</v>
      </c>
      <c r="F221" s="529">
        <f>VLOOKUP(D221,'Q3 DMV -  Revenue'!D:T,17,FALSE)</f>
        <v>20877.96</v>
      </c>
      <c r="G221" s="737">
        <f>8968.36+272.29</f>
        <v>9240.6500000000015</v>
      </c>
      <c r="H221" s="694">
        <v>9757.48</v>
      </c>
      <c r="I221" s="681"/>
      <c r="J221" s="682">
        <f t="shared" si="99"/>
        <v>45303.289999999994</v>
      </c>
      <c r="K221" s="683"/>
      <c r="L221" s="684"/>
      <c r="M221" s="685">
        <v>10000</v>
      </c>
      <c r="N221" s="683">
        <v>0</v>
      </c>
      <c r="O221" s="686">
        <v>47553.29</v>
      </c>
      <c r="P221" s="683">
        <v>0</v>
      </c>
      <c r="Q221" s="687">
        <f t="shared" si="114"/>
        <v>10000</v>
      </c>
      <c r="R221" s="688">
        <f>295.83+11318.69+411.35</f>
        <v>12025.87</v>
      </c>
      <c r="S221" s="693"/>
      <c r="T221" s="690">
        <f t="shared" si="100"/>
        <v>2025.8700000000008</v>
      </c>
      <c r="U221" s="683"/>
      <c r="V221" s="474">
        <f t="shared" ref="V221:V280" si="152">IF(B221="D",Q221,0)</f>
        <v>10000</v>
      </c>
      <c r="W221" s="474">
        <f t="shared" si="144"/>
        <v>0</v>
      </c>
      <c r="X221" s="475">
        <f t="shared" si="145"/>
        <v>0</v>
      </c>
      <c r="Y221" s="475">
        <v>0</v>
      </c>
      <c r="Z221" s="476">
        <v>0</v>
      </c>
      <c r="AA221" s="38">
        <f t="shared" ref="AA221:AA280" si="153">(L221+M221)-(V221+W221+X221+Y221+Z221)</f>
        <v>0</v>
      </c>
      <c r="AB221" s="692">
        <f t="shared" si="146"/>
        <v>45303.289999999994</v>
      </c>
      <c r="AC221" s="692">
        <f t="shared" si="147"/>
        <v>0</v>
      </c>
      <c r="AD221" s="692">
        <f t="shared" si="148"/>
        <v>0</v>
      </c>
      <c r="AE221" s="38"/>
      <c r="AF221" s="692">
        <f t="shared" si="149"/>
        <v>10000</v>
      </c>
      <c r="AG221" s="692">
        <f t="shared" si="150"/>
        <v>0</v>
      </c>
      <c r="AH221" s="692">
        <f t="shared" si="151"/>
        <v>0</v>
      </c>
    </row>
    <row r="222" spans="1:34">
      <c r="A222" s="20"/>
      <c r="B222" s="20" t="s">
        <v>110</v>
      </c>
      <c r="C222" s="667"/>
      <c r="D222" s="68" t="s">
        <v>46</v>
      </c>
      <c r="E222" s="679"/>
      <c r="F222" s="529">
        <f>VLOOKUP(D222,'Q3 DMV -  Revenue'!D:T,17,FALSE)</f>
        <v>0</v>
      </c>
      <c r="G222" s="680"/>
      <c r="H222" s="680"/>
      <c r="I222" s="681"/>
      <c r="J222" s="682">
        <f t="shared" si="99"/>
        <v>0</v>
      </c>
      <c r="K222" s="683"/>
      <c r="L222" s="684"/>
      <c r="M222" s="685">
        <v>0</v>
      </c>
      <c r="N222" s="683">
        <v>0</v>
      </c>
      <c r="O222" s="686"/>
      <c r="P222" s="683">
        <v>0</v>
      </c>
      <c r="Q222" s="687">
        <f t="shared" si="114"/>
        <v>0</v>
      </c>
      <c r="R222" s="688"/>
      <c r="S222" s="693"/>
      <c r="T222" s="690" t="str">
        <f t="shared" si="100"/>
        <v/>
      </c>
      <c r="U222" s="683"/>
      <c r="V222" s="474">
        <f t="shared" si="152"/>
        <v>0</v>
      </c>
      <c r="W222" s="474">
        <f t="shared" si="144"/>
        <v>0</v>
      </c>
      <c r="X222" s="475">
        <f t="shared" si="145"/>
        <v>0</v>
      </c>
      <c r="Y222" s="475">
        <v>0</v>
      </c>
      <c r="Z222" s="476">
        <v>0</v>
      </c>
      <c r="AA222" s="38">
        <f t="shared" si="153"/>
        <v>0</v>
      </c>
      <c r="AB222" s="692">
        <f t="shared" si="146"/>
        <v>0</v>
      </c>
      <c r="AC222" s="692">
        <f t="shared" si="147"/>
        <v>0</v>
      </c>
      <c r="AD222" s="692">
        <f t="shared" si="148"/>
        <v>0</v>
      </c>
      <c r="AE222" s="38"/>
      <c r="AF222" s="692">
        <f t="shared" si="149"/>
        <v>0</v>
      </c>
      <c r="AG222" s="692">
        <f t="shared" si="150"/>
        <v>0</v>
      </c>
      <c r="AH222" s="692">
        <f t="shared" si="151"/>
        <v>0</v>
      </c>
    </row>
    <row r="223" spans="1:34">
      <c r="A223" s="21"/>
      <c r="B223" s="21" t="s">
        <v>109</v>
      </c>
      <c r="C223" s="666"/>
      <c r="D223" s="68" t="s">
        <v>47</v>
      </c>
      <c r="E223" s="679"/>
      <c r="F223" s="529">
        <f>VLOOKUP(D223,'Q3 DMV -  Revenue'!D:T,17,FALSE)</f>
        <v>0</v>
      </c>
      <c r="G223" s="680"/>
      <c r="H223" s="680"/>
      <c r="I223" s="681"/>
      <c r="J223" s="682">
        <f t="shared" si="99"/>
        <v>0</v>
      </c>
      <c r="K223" s="683"/>
      <c r="L223" s="684"/>
      <c r="M223" s="685">
        <v>0</v>
      </c>
      <c r="N223" s="683">
        <v>0</v>
      </c>
      <c r="O223" s="686"/>
      <c r="P223" s="683">
        <v>0</v>
      </c>
      <c r="Q223" s="687">
        <f t="shared" si="114"/>
        <v>0</v>
      </c>
      <c r="R223" s="688"/>
      <c r="S223" s="693"/>
      <c r="T223" s="690" t="str">
        <f t="shared" si="100"/>
        <v/>
      </c>
      <c r="U223" s="683"/>
      <c r="V223" s="474">
        <f t="shared" si="152"/>
        <v>0</v>
      </c>
      <c r="W223" s="474">
        <f t="shared" si="144"/>
        <v>0</v>
      </c>
      <c r="X223" s="475">
        <f t="shared" si="145"/>
        <v>0</v>
      </c>
      <c r="Y223" s="475">
        <v>0</v>
      </c>
      <c r="Z223" s="476">
        <v>0</v>
      </c>
      <c r="AA223" s="38">
        <f t="shared" si="153"/>
        <v>0</v>
      </c>
      <c r="AB223" s="692">
        <f t="shared" si="146"/>
        <v>0</v>
      </c>
      <c r="AC223" s="692">
        <f t="shared" si="147"/>
        <v>0</v>
      </c>
      <c r="AD223" s="692">
        <f t="shared" si="148"/>
        <v>0</v>
      </c>
      <c r="AE223" s="38"/>
      <c r="AF223" s="692">
        <f t="shared" si="149"/>
        <v>0</v>
      </c>
      <c r="AG223" s="692">
        <f t="shared" si="150"/>
        <v>0</v>
      </c>
      <c r="AH223" s="692">
        <f t="shared" si="151"/>
        <v>0</v>
      </c>
    </row>
    <row r="224" spans="1:34">
      <c r="A224" s="20" t="s">
        <v>211</v>
      </c>
      <c r="B224" s="20" t="s">
        <v>110</v>
      </c>
      <c r="C224" s="667"/>
      <c r="D224" s="68" t="s">
        <v>233</v>
      </c>
      <c r="E224" s="679"/>
      <c r="F224" s="529">
        <f>VLOOKUP(D224,'Q3 DMV -  Revenue'!D:T,17,FALSE)</f>
        <v>0</v>
      </c>
      <c r="G224" s="680"/>
      <c r="H224" s="680"/>
      <c r="I224" s="681"/>
      <c r="J224" s="682">
        <f t="shared" si="99"/>
        <v>0</v>
      </c>
      <c r="K224" s="683"/>
      <c r="L224" s="684"/>
      <c r="M224" s="685">
        <v>0</v>
      </c>
      <c r="N224" s="683">
        <v>0</v>
      </c>
      <c r="O224" s="686"/>
      <c r="P224" s="683">
        <v>0</v>
      </c>
      <c r="Q224" s="687">
        <f t="shared" si="114"/>
        <v>0</v>
      </c>
      <c r="R224" s="688"/>
      <c r="S224" s="693"/>
      <c r="T224" s="690" t="str">
        <f t="shared" si="100"/>
        <v/>
      </c>
      <c r="U224" s="697"/>
      <c r="V224" s="474">
        <f t="shared" si="152"/>
        <v>0</v>
      </c>
      <c r="W224" s="474">
        <f t="shared" si="144"/>
        <v>0</v>
      </c>
      <c r="X224" s="475">
        <f t="shared" si="145"/>
        <v>0</v>
      </c>
      <c r="Y224" s="475">
        <v>0</v>
      </c>
      <c r="Z224" s="476">
        <v>0</v>
      </c>
      <c r="AA224" s="38">
        <f t="shared" si="153"/>
        <v>0</v>
      </c>
      <c r="AB224" s="692">
        <f t="shared" si="146"/>
        <v>0</v>
      </c>
      <c r="AC224" s="692">
        <f t="shared" si="147"/>
        <v>0</v>
      </c>
      <c r="AD224" s="692">
        <f t="shared" si="148"/>
        <v>0</v>
      </c>
      <c r="AE224" s="38"/>
      <c r="AF224" s="692">
        <f t="shared" si="149"/>
        <v>0</v>
      </c>
      <c r="AG224" s="692">
        <f t="shared" si="150"/>
        <v>0</v>
      </c>
      <c r="AH224" s="692">
        <f t="shared" si="151"/>
        <v>0</v>
      </c>
    </row>
    <row r="225" spans="1:34">
      <c r="A225" s="20" t="s">
        <v>211</v>
      </c>
      <c r="B225" s="20" t="s">
        <v>110</v>
      </c>
      <c r="C225" s="667"/>
      <c r="D225" s="68" t="s">
        <v>503</v>
      </c>
      <c r="E225" s="679"/>
      <c r="F225" s="529">
        <f>VLOOKUP(D225,'Q3 DMV -  Revenue'!D:T,17,FALSE)</f>
        <v>0</v>
      </c>
      <c r="G225" s="680"/>
      <c r="H225" s="680"/>
      <c r="I225" s="741">
        <v>6</v>
      </c>
      <c r="J225" s="682">
        <f t="shared" ref="J225" si="154">SUM(E225:I225)</f>
        <v>6</v>
      </c>
      <c r="K225" s="683"/>
      <c r="L225" s="684"/>
      <c r="M225" s="685">
        <v>0</v>
      </c>
      <c r="N225" s="683">
        <v>0</v>
      </c>
      <c r="O225" s="686">
        <v>6</v>
      </c>
      <c r="P225" s="683">
        <v>0</v>
      </c>
      <c r="Q225" s="687">
        <f t="shared" si="114"/>
        <v>0</v>
      </c>
      <c r="R225" s="688"/>
      <c r="S225" s="693"/>
      <c r="T225" s="690" t="str">
        <f t="shared" si="100"/>
        <v/>
      </c>
      <c r="U225" s="697"/>
      <c r="V225" s="474">
        <f t="shared" si="152"/>
        <v>0</v>
      </c>
      <c r="W225" s="474">
        <f t="shared" si="144"/>
        <v>0</v>
      </c>
      <c r="X225" s="475">
        <f t="shared" si="145"/>
        <v>0</v>
      </c>
      <c r="Y225" s="475">
        <v>0</v>
      </c>
      <c r="Z225" s="476">
        <v>0</v>
      </c>
      <c r="AA225" s="38">
        <f t="shared" si="153"/>
        <v>0</v>
      </c>
      <c r="AB225" s="692">
        <f t="shared" si="146"/>
        <v>6</v>
      </c>
      <c r="AC225" s="692">
        <f t="shared" si="147"/>
        <v>0</v>
      </c>
      <c r="AD225" s="692">
        <f t="shared" si="148"/>
        <v>0</v>
      </c>
      <c r="AE225" s="38"/>
      <c r="AF225" s="692">
        <f t="shared" si="149"/>
        <v>0</v>
      </c>
      <c r="AG225" s="692">
        <f t="shared" si="150"/>
        <v>0</v>
      </c>
      <c r="AH225" s="692">
        <f t="shared" si="151"/>
        <v>0</v>
      </c>
    </row>
    <row r="226" spans="1:34">
      <c r="A226" s="20" t="s">
        <v>211</v>
      </c>
      <c r="B226" s="20" t="s">
        <v>109</v>
      </c>
      <c r="C226" s="667"/>
      <c r="D226" s="68" t="s">
        <v>48</v>
      </c>
      <c r="E226" s="679"/>
      <c r="F226" s="529">
        <f>VLOOKUP(D226,'Q3 DMV -  Revenue'!D:T,17,FALSE)</f>
        <v>0</v>
      </c>
      <c r="G226" s="680"/>
      <c r="H226" s="680"/>
      <c r="I226" s="681"/>
      <c r="J226" s="682">
        <f t="shared" si="99"/>
        <v>0</v>
      </c>
      <c r="K226" s="683"/>
      <c r="L226" s="684"/>
      <c r="M226" s="685">
        <v>0</v>
      </c>
      <c r="N226" s="683">
        <v>0</v>
      </c>
      <c r="O226" s="686"/>
      <c r="P226" s="683">
        <v>0</v>
      </c>
      <c r="Q226" s="687">
        <f t="shared" si="114"/>
        <v>0</v>
      </c>
      <c r="R226" s="688"/>
      <c r="S226" s="693"/>
      <c r="T226" s="690" t="str">
        <f t="shared" si="100"/>
        <v/>
      </c>
      <c r="U226" s="697"/>
      <c r="V226" s="474">
        <f t="shared" si="152"/>
        <v>0</v>
      </c>
      <c r="W226" s="474">
        <f t="shared" si="144"/>
        <v>0</v>
      </c>
      <c r="X226" s="475">
        <f t="shared" si="145"/>
        <v>0</v>
      </c>
      <c r="Y226" s="475">
        <v>0</v>
      </c>
      <c r="Z226" s="476">
        <v>0</v>
      </c>
      <c r="AA226" s="38">
        <f t="shared" si="153"/>
        <v>0</v>
      </c>
      <c r="AB226" s="692">
        <f t="shared" si="146"/>
        <v>0</v>
      </c>
      <c r="AC226" s="692">
        <f t="shared" si="147"/>
        <v>0</v>
      </c>
      <c r="AD226" s="692">
        <f t="shared" si="148"/>
        <v>0</v>
      </c>
      <c r="AE226" s="38"/>
      <c r="AF226" s="692">
        <f t="shared" si="149"/>
        <v>0</v>
      </c>
      <c r="AG226" s="692">
        <f t="shared" si="150"/>
        <v>0</v>
      </c>
      <c r="AH226" s="692">
        <f t="shared" si="151"/>
        <v>0</v>
      </c>
    </row>
    <row r="227" spans="1:34">
      <c r="A227" s="20"/>
      <c r="B227" s="20" t="s">
        <v>110</v>
      </c>
      <c r="C227" s="667" t="s">
        <v>573</v>
      </c>
      <c r="D227" s="68" t="s">
        <v>102</v>
      </c>
      <c r="E227" s="679"/>
      <c r="F227" s="529">
        <f>VLOOKUP(D227,'Q3 DMV -  Revenue'!D:T,17,FALSE)</f>
        <v>52500.159999999974</v>
      </c>
      <c r="G227" s="694">
        <v>527475.24</v>
      </c>
      <c r="H227" s="694">
        <v>542814.51</v>
      </c>
      <c r="I227" s="741">
        <v>543276.26</v>
      </c>
      <c r="J227" s="682">
        <f t="shared" si="99"/>
        <v>1666066.17</v>
      </c>
      <c r="K227" s="683"/>
      <c r="L227" s="684"/>
      <c r="M227" s="685">
        <v>0</v>
      </c>
      <c r="N227" s="683">
        <v>0</v>
      </c>
      <c r="O227" s="686">
        <v>1700824.55</v>
      </c>
      <c r="P227" s="683">
        <v>0</v>
      </c>
      <c r="Q227" s="687">
        <f t="shared" si="114"/>
        <v>0</v>
      </c>
      <c r="R227" s="688"/>
      <c r="S227" s="693"/>
      <c r="T227" s="690" t="str">
        <f t="shared" si="100"/>
        <v/>
      </c>
      <c r="U227" s="697"/>
      <c r="V227" s="474">
        <f t="shared" si="152"/>
        <v>0</v>
      </c>
      <c r="W227" s="474">
        <f t="shared" si="144"/>
        <v>0</v>
      </c>
      <c r="X227" s="475">
        <f t="shared" si="145"/>
        <v>0</v>
      </c>
      <c r="Y227" s="475">
        <v>0</v>
      </c>
      <c r="Z227" s="476">
        <v>0</v>
      </c>
      <c r="AA227" s="38">
        <f t="shared" si="153"/>
        <v>0</v>
      </c>
      <c r="AB227" s="692">
        <f t="shared" si="146"/>
        <v>1666066.17</v>
      </c>
      <c r="AC227" s="692">
        <f t="shared" si="147"/>
        <v>0</v>
      </c>
      <c r="AD227" s="692">
        <f t="shared" si="148"/>
        <v>0</v>
      </c>
      <c r="AE227" s="38"/>
      <c r="AF227" s="692">
        <f t="shared" si="149"/>
        <v>0</v>
      </c>
      <c r="AG227" s="692">
        <f t="shared" si="150"/>
        <v>0</v>
      </c>
      <c r="AH227" s="692">
        <f t="shared" si="151"/>
        <v>0</v>
      </c>
    </row>
    <row r="228" spans="1:34">
      <c r="A228" s="20"/>
      <c r="B228" s="20" t="s">
        <v>110</v>
      </c>
      <c r="C228" s="667" t="s">
        <v>573</v>
      </c>
      <c r="D228" s="68" t="s">
        <v>511</v>
      </c>
      <c r="E228" s="679"/>
      <c r="F228" s="529">
        <f>VLOOKUP(D228,'Q3 DMV -  Revenue'!D:T,17,FALSE)</f>
        <v>-21448.584999999999</v>
      </c>
      <c r="G228" s="680"/>
      <c r="H228" s="680"/>
      <c r="I228" s="681"/>
      <c r="J228" s="682">
        <f t="shared" ref="J228" si="155">SUM(E228:I228)</f>
        <v>-21448.584999999999</v>
      </c>
      <c r="K228" s="683"/>
      <c r="L228" s="684"/>
      <c r="M228" s="685">
        <v>0</v>
      </c>
      <c r="N228" s="683">
        <v>0</v>
      </c>
      <c r="O228" s="686"/>
      <c r="P228" s="683">
        <v>0</v>
      </c>
      <c r="Q228" s="687">
        <f t="shared" si="114"/>
        <v>0</v>
      </c>
      <c r="R228" s="688">
        <f>20851.45+20565.28+24089.41</f>
        <v>65506.14</v>
      </c>
      <c r="S228" s="693"/>
      <c r="T228" s="690">
        <f t="shared" si="100"/>
        <v>65506.14</v>
      </c>
      <c r="U228" s="697"/>
      <c r="V228" s="474">
        <f t="shared" si="152"/>
        <v>0</v>
      </c>
      <c r="W228" s="474">
        <f t="shared" si="144"/>
        <v>0</v>
      </c>
      <c r="X228" s="475">
        <f t="shared" si="145"/>
        <v>0</v>
      </c>
      <c r="Y228" s="475">
        <v>0</v>
      </c>
      <c r="Z228" s="476">
        <v>0</v>
      </c>
      <c r="AA228" s="38">
        <f t="shared" si="153"/>
        <v>0</v>
      </c>
      <c r="AB228" s="692">
        <f t="shared" si="146"/>
        <v>-21448.584999999999</v>
      </c>
      <c r="AC228" s="692">
        <f t="shared" si="147"/>
        <v>0</v>
      </c>
      <c r="AD228" s="692">
        <f t="shared" si="148"/>
        <v>0</v>
      </c>
      <c r="AE228" s="38"/>
      <c r="AF228" s="692">
        <f t="shared" si="149"/>
        <v>0</v>
      </c>
      <c r="AG228" s="692">
        <f t="shared" si="150"/>
        <v>0</v>
      </c>
      <c r="AH228" s="692">
        <f t="shared" si="151"/>
        <v>0</v>
      </c>
    </row>
    <row r="229" spans="1:34">
      <c r="A229" s="21"/>
      <c r="B229" s="21" t="s">
        <v>110</v>
      </c>
      <c r="C229" s="666"/>
      <c r="D229" s="68" t="s">
        <v>50</v>
      </c>
      <c r="E229" s="679"/>
      <c r="F229" s="529">
        <f>VLOOKUP(D229,'Q3 DMV -  Revenue'!D:T,17,FALSE)</f>
        <v>0</v>
      </c>
      <c r="G229" s="694">
        <v>1793.98</v>
      </c>
      <c r="H229" s="694">
        <f>621.86+782.6</f>
        <v>1404.46</v>
      </c>
      <c r="I229" s="741">
        <f>685.43+905.1</f>
        <v>1590.53</v>
      </c>
      <c r="J229" s="682">
        <f t="shared" si="99"/>
        <v>4788.97</v>
      </c>
      <c r="K229" s="683"/>
      <c r="L229" s="684"/>
      <c r="M229" s="685">
        <v>0</v>
      </c>
      <c r="N229" s="683">
        <v>0</v>
      </c>
      <c r="O229" s="686">
        <v>4788.97</v>
      </c>
      <c r="P229" s="683">
        <v>0</v>
      </c>
      <c r="Q229" s="687">
        <f t="shared" si="114"/>
        <v>0</v>
      </c>
      <c r="R229" s="688"/>
      <c r="S229" s="693"/>
      <c r="T229" s="690" t="str">
        <f t="shared" si="100"/>
        <v/>
      </c>
      <c r="U229" s="683"/>
      <c r="V229" s="474">
        <f t="shared" si="152"/>
        <v>0</v>
      </c>
      <c r="W229" s="474">
        <f t="shared" si="144"/>
        <v>0</v>
      </c>
      <c r="X229" s="475">
        <f t="shared" si="145"/>
        <v>0</v>
      </c>
      <c r="Y229" s="475">
        <v>0</v>
      </c>
      <c r="Z229" s="476">
        <v>0</v>
      </c>
      <c r="AA229" s="38">
        <f t="shared" si="153"/>
        <v>0</v>
      </c>
      <c r="AB229" s="692">
        <f t="shared" si="146"/>
        <v>4788.97</v>
      </c>
      <c r="AC229" s="692">
        <f t="shared" si="147"/>
        <v>0</v>
      </c>
      <c r="AD229" s="692">
        <f t="shared" si="148"/>
        <v>0</v>
      </c>
      <c r="AE229" s="38"/>
      <c r="AF229" s="692">
        <f t="shared" si="149"/>
        <v>0</v>
      </c>
      <c r="AG229" s="692">
        <f t="shared" si="150"/>
        <v>0</v>
      </c>
      <c r="AH229" s="692">
        <f t="shared" si="151"/>
        <v>0</v>
      </c>
    </row>
    <row r="230" spans="1:34">
      <c r="A230" s="21"/>
      <c r="B230" s="21" t="s">
        <v>109</v>
      </c>
      <c r="C230" s="666"/>
      <c r="D230" s="68" t="s">
        <v>51</v>
      </c>
      <c r="E230" s="679"/>
      <c r="F230" s="529">
        <f>VLOOKUP(D230,'Q3 DMV -  Revenue'!D:T,17,FALSE)</f>
        <v>0</v>
      </c>
      <c r="G230" s="680"/>
      <c r="H230" s="680"/>
      <c r="I230" s="681"/>
      <c r="J230" s="682">
        <f t="shared" si="99"/>
        <v>0</v>
      </c>
      <c r="K230" s="683"/>
      <c r="L230" s="684"/>
      <c r="M230" s="685">
        <v>0</v>
      </c>
      <c r="N230" s="683">
        <v>0</v>
      </c>
      <c r="O230" s="686"/>
      <c r="P230" s="683">
        <v>0</v>
      </c>
      <c r="Q230" s="687">
        <f t="shared" si="114"/>
        <v>0</v>
      </c>
      <c r="R230" s="688"/>
      <c r="S230" s="693"/>
      <c r="T230" s="690" t="str">
        <f t="shared" si="100"/>
        <v/>
      </c>
      <c r="U230" s="683"/>
      <c r="V230" s="474">
        <f t="shared" si="152"/>
        <v>0</v>
      </c>
      <c r="W230" s="474">
        <f t="shared" si="144"/>
        <v>0</v>
      </c>
      <c r="X230" s="475">
        <f t="shared" si="145"/>
        <v>0</v>
      </c>
      <c r="Y230" s="475">
        <v>0</v>
      </c>
      <c r="Z230" s="476">
        <v>0</v>
      </c>
      <c r="AA230" s="38">
        <f t="shared" si="153"/>
        <v>0</v>
      </c>
      <c r="AB230" s="692">
        <f t="shared" si="146"/>
        <v>0</v>
      </c>
      <c r="AC230" s="692">
        <f t="shared" si="147"/>
        <v>0</v>
      </c>
      <c r="AD230" s="692">
        <f t="shared" si="148"/>
        <v>0</v>
      </c>
      <c r="AE230" s="38"/>
      <c r="AF230" s="692">
        <f t="shared" si="149"/>
        <v>0</v>
      </c>
      <c r="AG230" s="692">
        <f t="shared" si="150"/>
        <v>0</v>
      </c>
      <c r="AH230" s="692">
        <f t="shared" si="151"/>
        <v>0</v>
      </c>
    </row>
    <row r="231" spans="1:34">
      <c r="A231" s="21"/>
      <c r="B231" s="21" t="s">
        <v>109</v>
      </c>
      <c r="C231" s="666"/>
      <c r="D231" s="68" t="s">
        <v>107</v>
      </c>
      <c r="E231" s="679">
        <f>381.58+884.8+537.27+375.53+713.66+249.66+20.4+5768.17</f>
        <v>8931.07</v>
      </c>
      <c r="F231" s="529">
        <f>VLOOKUP(D231,'Q3 DMV -  Revenue'!D:T,17,FALSE)</f>
        <v>454.21</v>
      </c>
      <c r="G231" s="680"/>
      <c r="H231" s="680"/>
      <c r="I231" s="681"/>
      <c r="J231" s="682">
        <f t="shared" si="99"/>
        <v>9385.2799999999988</v>
      </c>
      <c r="K231" s="683"/>
      <c r="L231" s="684"/>
      <c r="M231" s="685">
        <v>9000</v>
      </c>
      <c r="N231" s="683">
        <v>0</v>
      </c>
      <c r="O231" s="686">
        <v>9385.2800000000007</v>
      </c>
      <c r="P231" s="683">
        <v>0</v>
      </c>
      <c r="Q231" s="687">
        <f t="shared" si="114"/>
        <v>9000</v>
      </c>
      <c r="R231" s="688">
        <f>593.03+417.92+335.67+323.22+347.79+121.53</f>
        <v>2139.1600000000003</v>
      </c>
      <c r="S231" s="693"/>
      <c r="T231" s="690">
        <f>IF(R231="","",R231-Q231)</f>
        <v>-6860.84</v>
      </c>
      <c r="U231" s="683"/>
      <c r="V231" s="474">
        <f t="shared" si="152"/>
        <v>0</v>
      </c>
      <c r="W231" s="474">
        <f t="shared" si="144"/>
        <v>9000</v>
      </c>
      <c r="X231" s="475">
        <f t="shared" si="145"/>
        <v>0</v>
      </c>
      <c r="Y231" s="475">
        <v>0</v>
      </c>
      <c r="Z231" s="476">
        <v>0</v>
      </c>
      <c r="AA231" s="38">
        <f t="shared" si="153"/>
        <v>0</v>
      </c>
      <c r="AB231" s="692">
        <f t="shared" si="146"/>
        <v>0</v>
      </c>
      <c r="AC231" s="692">
        <f t="shared" si="147"/>
        <v>9385.2799999999988</v>
      </c>
      <c r="AD231" s="692">
        <f t="shared" si="148"/>
        <v>0</v>
      </c>
      <c r="AE231" s="38"/>
      <c r="AF231" s="692">
        <f t="shared" si="149"/>
        <v>0</v>
      </c>
      <c r="AG231" s="692">
        <f t="shared" si="150"/>
        <v>9000</v>
      </c>
      <c r="AH231" s="692">
        <f t="shared" si="151"/>
        <v>0</v>
      </c>
    </row>
    <row r="232" spans="1:34">
      <c r="A232" s="20"/>
      <c r="B232" s="20" t="s">
        <v>109</v>
      </c>
      <c r="C232" s="667" t="s">
        <v>574</v>
      </c>
      <c r="D232" s="68" t="s">
        <v>156</v>
      </c>
      <c r="E232" s="679"/>
      <c r="F232" s="529">
        <f>VLOOKUP(D232,'Q3 DMV -  Revenue'!D:T,17,FALSE)</f>
        <v>-410.82</v>
      </c>
      <c r="G232" s="680"/>
      <c r="H232" s="680"/>
      <c r="I232" s="681"/>
      <c r="J232" s="682">
        <f t="shared" ref="J232:J274" si="156">SUM(E232:I232)</f>
        <v>-410.82</v>
      </c>
      <c r="K232" s="683"/>
      <c r="L232" s="684"/>
      <c r="M232" s="685">
        <v>0</v>
      </c>
      <c r="N232" s="683">
        <v>0</v>
      </c>
      <c r="O232" s="686">
        <v>-3738.1</v>
      </c>
      <c r="P232" s="683">
        <v>0</v>
      </c>
      <c r="Q232" s="687">
        <f t="shared" si="114"/>
        <v>0</v>
      </c>
      <c r="R232" s="688"/>
      <c r="S232" s="693"/>
      <c r="T232" s="690" t="str">
        <f t="shared" si="100"/>
        <v/>
      </c>
      <c r="U232" s="683"/>
      <c r="V232" s="474">
        <f t="shared" si="152"/>
        <v>0</v>
      </c>
      <c r="W232" s="474">
        <f t="shared" si="144"/>
        <v>0</v>
      </c>
      <c r="X232" s="475">
        <f t="shared" si="145"/>
        <v>0</v>
      </c>
      <c r="Y232" s="475">
        <v>0</v>
      </c>
      <c r="Z232" s="476">
        <v>0</v>
      </c>
      <c r="AA232" s="38">
        <f t="shared" si="153"/>
        <v>0</v>
      </c>
      <c r="AB232" s="692">
        <f t="shared" si="146"/>
        <v>0</v>
      </c>
      <c r="AC232" s="692">
        <f t="shared" si="147"/>
        <v>-410.82</v>
      </c>
      <c r="AD232" s="692">
        <f t="shared" si="148"/>
        <v>0</v>
      </c>
      <c r="AE232" s="38"/>
      <c r="AF232" s="692">
        <f t="shared" si="149"/>
        <v>0</v>
      </c>
      <c r="AG232" s="692">
        <f t="shared" si="150"/>
        <v>0</v>
      </c>
      <c r="AH232" s="692">
        <f t="shared" si="151"/>
        <v>0</v>
      </c>
    </row>
    <row r="233" spans="1:34">
      <c r="A233" s="20"/>
      <c r="B233" s="20" t="s">
        <v>109</v>
      </c>
      <c r="C233" s="667" t="s">
        <v>574</v>
      </c>
      <c r="D233" s="68" t="s">
        <v>157</v>
      </c>
      <c r="E233" s="679"/>
      <c r="F233" s="529">
        <f>VLOOKUP(D233,'Q3 DMV -  Revenue'!D:T,17,FALSE)</f>
        <v>0</v>
      </c>
      <c r="G233" s="680"/>
      <c r="H233" s="680"/>
      <c r="I233" s="681"/>
      <c r="J233" s="682">
        <f t="shared" si="156"/>
        <v>0</v>
      </c>
      <c r="K233" s="683"/>
      <c r="L233" s="684"/>
      <c r="M233" s="685">
        <v>0</v>
      </c>
      <c r="N233" s="683">
        <v>0</v>
      </c>
      <c r="O233" s="686"/>
      <c r="P233" s="683">
        <v>0</v>
      </c>
      <c r="Q233" s="687">
        <f t="shared" si="114"/>
        <v>0</v>
      </c>
      <c r="R233" s="688"/>
      <c r="S233" s="693"/>
      <c r="T233" s="690" t="str">
        <f t="shared" ref="T233:T280" si="157">IF(R233="","",R233-Q233)</f>
        <v/>
      </c>
      <c r="U233" s="683"/>
      <c r="V233" s="474">
        <f t="shared" si="152"/>
        <v>0</v>
      </c>
      <c r="W233" s="474">
        <f t="shared" si="144"/>
        <v>0</v>
      </c>
      <c r="X233" s="475">
        <f t="shared" si="145"/>
        <v>0</v>
      </c>
      <c r="Y233" s="475">
        <v>0</v>
      </c>
      <c r="Z233" s="476">
        <v>0</v>
      </c>
      <c r="AA233" s="38">
        <f t="shared" si="153"/>
        <v>0</v>
      </c>
      <c r="AB233" s="692">
        <f t="shared" si="146"/>
        <v>0</v>
      </c>
      <c r="AC233" s="692">
        <f t="shared" si="147"/>
        <v>0</v>
      </c>
      <c r="AD233" s="692">
        <f t="shared" si="148"/>
        <v>0</v>
      </c>
      <c r="AE233" s="38"/>
      <c r="AF233" s="692">
        <f t="shared" si="149"/>
        <v>0</v>
      </c>
      <c r="AG233" s="692">
        <f t="shared" si="150"/>
        <v>0</v>
      </c>
      <c r="AH233" s="692">
        <f t="shared" si="151"/>
        <v>0</v>
      </c>
    </row>
    <row r="234" spans="1:34">
      <c r="A234" s="20"/>
      <c r="B234" s="20" t="s">
        <v>109</v>
      </c>
      <c r="C234" s="667" t="s">
        <v>574</v>
      </c>
      <c r="D234" s="68" t="s">
        <v>158</v>
      </c>
      <c r="E234" s="679"/>
      <c r="F234" s="529">
        <f>VLOOKUP(D234,'Q3 DMV -  Revenue'!D:T,17,FALSE)</f>
        <v>-3327.2749999999996</v>
      </c>
      <c r="G234" s="680"/>
      <c r="H234" s="680"/>
      <c r="I234" s="681"/>
      <c r="J234" s="682">
        <f t="shared" si="156"/>
        <v>-3327.2749999999996</v>
      </c>
      <c r="K234" s="683"/>
      <c r="L234" s="684"/>
      <c r="M234" s="685">
        <v>0</v>
      </c>
      <c r="N234" s="683">
        <v>0</v>
      </c>
      <c r="O234" s="686"/>
      <c r="P234" s="683">
        <v>0</v>
      </c>
      <c r="Q234" s="687">
        <f t="shared" si="114"/>
        <v>0</v>
      </c>
      <c r="R234" s="688"/>
      <c r="S234" s="693"/>
      <c r="T234" s="690" t="str">
        <f t="shared" si="157"/>
        <v/>
      </c>
      <c r="U234" s="683"/>
      <c r="V234" s="474">
        <f t="shared" si="152"/>
        <v>0</v>
      </c>
      <c r="W234" s="474">
        <f t="shared" si="144"/>
        <v>0</v>
      </c>
      <c r="X234" s="475">
        <f t="shared" si="145"/>
        <v>0</v>
      </c>
      <c r="Y234" s="475">
        <v>0</v>
      </c>
      <c r="Z234" s="476">
        <v>0</v>
      </c>
      <c r="AA234" s="38">
        <f t="shared" si="153"/>
        <v>0</v>
      </c>
      <c r="AB234" s="692">
        <f t="shared" si="146"/>
        <v>0</v>
      </c>
      <c r="AC234" s="692">
        <f t="shared" si="147"/>
        <v>-3327.2749999999996</v>
      </c>
      <c r="AD234" s="692">
        <f t="shared" si="148"/>
        <v>0</v>
      </c>
      <c r="AE234" s="38"/>
      <c r="AF234" s="692">
        <f t="shared" si="149"/>
        <v>0</v>
      </c>
      <c r="AG234" s="692">
        <f t="shared" si="150"/>
        <v>0</v>
      </c>
      <c r="AH234" s="692">
        <f t="shared" si="151"/>
        <v>0</v>
      </c>
    </row>
    <row r="235" spans="1:34">
      <c r="A235" s="21" t="s">
        <v>97</v>
      </c>
      <c r="B235" s="21" t="s">
        <v>109</v>
      </c>
      <c r="C235" s="666"/>
      <c r="D235" s="68" t="s">
        <v>52</v>
      </c>
      <c r="E235" s="679"/>
      <c r="F235" s="529">
        <f>VLOOKUP(D235,'Q3 DMV -  Revenue'!D:T,17,FALSE)</f>
        <v>0</v>
      </c>
      <c r="G235" s="680"/>
      <c r="H235" s="680"/>
      <c r="I235" s="681"/>
      <c r="J235" s="682">
        <f t="shared" si="156"/>
        <v>0</v>
      </c>
      <c r="K235" s="683"/>
      <c r="L235" s="684"/>
      <c r="M235" s="685">
        <v>0</v>
      </c>
      <c r="N235" s="683">
        <v>0</v>
      </c>
      <c r="O235" s="686"/>
      <c r="P235" s="683">
        <v>0</v>
      </c>
      <c r="Q235" s="687">
        <f t="shared" si="114"/>
        <v>0</v>
      </c>
      <c r="R235" s="688"/>
      <c r="S235" s="693"/>
      <c r="T235" s="690" t="str">
        <f t="shared" si="157"/>
        <v/>
      </c>
      <c r="U235" s="683"/>
      <c r="V235" s="474">
        <f t="shared" si="152"/>
        <v>0</v>
      </c>
      <c r="W235" s="474">
        <f t="shared" si="144"/>
        <v>0</v>
      </c>
      <c r="X235" s="475">
        <f t="shared" si="145"/>
        <v>0</v>
      </c>
      <c r="Y235" s="475">
        <v>0</v>
      </c>
      <c r="Z235" s="476">
        <v>0</v>
      </c>
      <c r="AA235" s="38">
        <f t="shared" si="153"/>
        <v>0</v>
      </c>
      <c r="AB235" s="692">
        <f t="shared" si="146"/>
        <v>0</v>
      </c>
      <c r="AC235" s="692">
        <f t="shared" si="147"/>
        <v>0</v>
      </c>
      <c r="AD235" s="692">
        <f t="shared" si="148"/>
        <v>0</v>
      </c>
      <c r="AE235" s="38"/>
      <c r="AF235" s="692">
        <f t="shared" si="149"/>
        <v>0</v>
      </c>
      <c r="AG235" s="692">
        <f t="shared" si="150"/>
        <v>0</v>
      </c>
      <c r="AH235" s="692">
        <f t="shared" si="151"/>
        <v>0</v>
      </c>
    </row>
    <row r="236" spans="1:34">
      <c r="A236" s="21"/>
      <c r="B236" s="21" t="s">
        <v>109</v>
      </c>
      <c r="C236" s="666"/>
      <c r="D236" s="68" t="s">
        <v>467</v>
      </c>
      <c r="E236" s="679"/>
      <c r="F236" s="529">
        <f>VLOOKUP(D236,'Q3 DMV -  Revenue'!D:T,17,FALSE)</f>
        <v>0</v>
      </c>
      <c r="G236" s="680"/>
      <c r="H236" s="680"/>
      <c r="I236" s="681"/>
      <c r="J236" s="682">
        <f t="shared" si="156"/>
        <v>0</v>
      </c>
      <c r="K236" s="683"/>
      <c r="L236" s="684"/>
      <c r="M236" s="685">
        <v>0</v>
      </c>
      <c r="N236" s="683">
        <v>0</v>
      </c>
      <c r="O236" s="686"/>
      <c r="P236" s="683">
        <v>0</v>
      </c>
      <c r="Q236" s="687">
        <f t="shared" si="114"/>
        <v>0</v>
      </c>
      <c r="R236" s="688"/>
      <c r="S236" s="693"/>
      <c r="T236" s="690" t="str">
        <f t="shared" si="157"/>
        <v/>
      </c>
      <c r="U236" s="683"/>
      <c r="V236" s="474">
        <f t="shared" si="152"/>
        <v>0</v>
      </c>
      <c r="W236" s="474">
        <f t="shared" si="144"/>
        <v>0</v>
      </c>
      <c r="X236" s="475">
        <f t="shared" si="145"/>
        <v>0</v>
      </c>
      <c r="Y236" s="475">
        <v>0</v>
      </c>
      <c r="Z236" s="476">
        <v>0</v>
      </c>
      <c r="AA236" s="38">
        <f t="shared" si="153"/>
        <v>0</v>
      </c>
      <c r="AB236" s="692">
        <f t="shared" si="146"/>
        <v>0</v>
      </c>
      <c r="AC236" s="692">
        <f t="shared" si="147"/>
        <v>0</v>
      </c>
      <c r="AD236" s="692">
        <f t="shared" si="148"/>
        <v>0</v>
      </c>
      <c r="AE236" s="38"/>
      <c r="AF236" s="692">
        <f t="shared" si="149"/>
        <v>0</v>
      </c>
      <c r="AG236" s="692">
        <f t="shared" si="150"/>
        <v>0</v>
      </c>
      <c r="AH236" s="692">
        <f t="shared" si="151"/>
        <v>0</v>
      </c>
    </row>
    <row r="237" spans="1:34">
      <c r="A237" s="21"/>
      <c r="B237" s="21" t="s">
        <v>109</v>
      </c>
      <c r="C237" s="666" t="s">
        <v>575</v>
      </c>
      <c r="D237" s="68" t="s">
        <v>54</v>
      </c>
      <c r="E237" s="679"/>
      <c r="F237" s="529">
        <f>VLOOKUP(D237,'Q3 DMV -  Revenue'!D:T,17,FALSE)</f>
        <v>-529.22</v>
      </c>
      <c r="G237" s="694">
        <v>365.64</v>
      </c>
      <c r="H237" s="694">
        <v>1149.3800000000001</v>
      </c>
      <c r="I237" s="681"/>
      <c r="J237" s="682">
        <f t="shared" si="156"/>
        <v>985.80000000000007</v>
      </c>
      <c r="K237" s="683"/>
      <c r="L237" s="684"/>
      <c r="M237" s="685">
        <v>500</v>
      </c>
      <c r="N237" s="683">
        <v>0</v>
      </c>
      <c r="O237" s="686">
        <v>985.8</v>
      </c>
      <c r="P237" s="683">
        <v>0</v>
      </c>
      <c r="Q237" s="687">
        <f t="shared" si="114"/>
        <v>500</v>
      </c>
      <c r="R237" s="688">
        <v>2217.7199999999998</v>
      </c>
      <c r="S237" s="693"/>
      <c r="T237" s="690">
        <f t="shared" si="157"/>
        <v>1717.7199999999998</v>
      </c>
      <c r="U237" s="683"/>
      <c r="V237" s="474">
        <f t="shared" si="152"/>
        <v>0</v>
      </c>
      <c r="W237" s="474">
        <f t="shared" si="144"/>
        <v>500</v>
      </c>
      <c r="X237" s="475">
        <f t="shared" si="145"/>
        <v>0</v>
      </c>
      <c r="Y237" s="475">
        <v>0</v>
      </c>
      <c r="Z237" s="476">
        <v>0</v>
      </c>
      <c r="AA237" s="38">
        <f t="shared" si="153"/>
        <v>0</v>
      </c>
      <c r="AB237" s="692">
        <f t="shared" si="146"/>
        <v>0</v>
      </c>
      <c r="AC237" s="692">
        <f t="shared" si="147"/>
        <v>985.80000000000007</v>
      </c>
      <c r="AD237" s="692">
        <f t="shared" si="148"/>
        <v>0</v>
      </c>
      <c r="AE237" s="38"/>
      <c r="AF237" s="692">
        <f t="shared" si="149"/>
        <v>0</v>
      </c>
      <c r="AG237" s="692">
        <f t="shared" si="150"/>
        <v>500</v>
      </c>
      <c r="AH237" s="692">
        <f t="shared" si="151"/>
        <v>0</v>
      </c>
    </row>
    <row r="238" spans="1:34">
      <c r="A238" s="20"/>
      <c r="B238" s="20" t="s">
        <v>110</v>
      </c>
      <c r="C238" s="667" t="s">
        <v>576</v>
      </c>
      <c r="D238" s="68" t="s">
        <v>394</v>
      </c>
      <c r="E238" s="679"/>
      <c r="F238" s="529">
        <f>VLOOKUP(D238,'Q3 DMV -  Revenue'!D:T,17,FALSE)</f>
        <v>-380.81500000000011</v>
      </c>
      <c r="G238" s="694">
        <v>165.16</v>
      </c>
      <c r="H238" s="680"/>
      <c r="I238" s="681"/>
      <c r="J238" s="682">
        <f t="shared" si="156"/>
        <v>-215.65500000000011</v>
      </c>
      <c r="K238" s="683"/>
      <c r="L238" s="684"/>
      <c r="M238" s="685">
        <v>0</v>
      </c>
      <c r="N238" s="683">
        <v>0</v>
      </c>
      <c r="O238" s="686">
        <f>-2392.8-215.66</f>
        <v>-2608.46</v>
      </c>
      <c r="P238" s="683">
        <v>0</v>
      </c>
      <c r="Q238" s="687">
        <f t="shared" si="114"/>
        <v>0</v>
      </c>
      <c r="R238" s="688"/>
      <c r="S238" s="693"/>
      <c r="T238" s="690" t="str">
        <f t="shared" si="157"/>
        <v/>
      </c>
      <c r="U238" s="683"/>
      <c r="V238" s="474">
        <f t="shared" si="152"/>
        <v>0</v>
      </c>
      <c r="W238" s="474">
        <f t="shared" si="144"/>
        <v>0</v>
      </c>
      <c r="X238" s="475">
        <f t="shared" si="145"/>
        <v>0</v>
      </c>
      <c r="Y238" s="475">
        <v>0</v>
      </c>
      <c r="Z238" s="476">
        <v>0</v>
      </c>
      <c r="AA238" s="38">
        <f t="shared" si="153"/>
        <v>0</v>
      </c>
      <c r="AB238" s="692">
        <f t="shared" si="146"/>
        <v>-215.65500000000011</v>
      </c>
      <c r="AC238" s="692">
        <f t="shared" si="147"/>
        <v>0</v>
      </c>
      <c r="AD238" s="692">
        <f t="shared" si="148"/>
        <v>0</v>
      </c>
      <c r="AE238" s="38"/>
      <c r="AF238" s="692">
        <f t="shared" si="149"/>
        <v>0</v>
      </c>
      <c r="AG238" s="692">
        <f t="shared" si="150"/>
        <v>0</v>
      </c>
      <c r="AH238" s="692">
        <f t="shared" si="151"/>
        <v>0</v>
      </c>
    </row>
    <row r="239" spans="1:34">
      <c r="A239" s="20"/>
      <c r="B239" s="20" t="s">
        <v>110</v>
      </c>
      <c r="C239" s="667"/>
      <c r="D239" s="68" t="s">
        <v>55</v>
      </c>
      <c r="E239" s="679"/>
      <c r="F239" s="529">
        <f>VLOOKUP(D239,'Q3 DMV -  Revenue'!D:T,17,FALSE)</f>
        <v>0</v>
      </c>
      <c r="G239" s="694">
        <v>644.91999999999996</v>
      </c>
      <c r="H239" s="737">
        <v>630.30999999999995</v>
      </c>
      <c r="I239" s="741">
        <v>759.59</v>
      </c>
      <c r="J239" s="682">
        <f t="shared" si="156"/>
        <v>2034.8200000000002</v>
      </c>
      <c r="K239" s="683"/>
      <c r="L239" s="684"/>
      <c r="M239" s="685">
        <v>0</v>
      </c>
      <c r="N239" s="683">
        <v>0</v>
      </c>
      <c r="O239" s="686">
        <v>2034.82</v>
      </c>
      <c r="P239" s="683">
        <v>0</v>
      </c>
      <c r="Q239" s="687">
        <v>7500</v>
      </c>
      <c r="R239" s="688">
        <v>0</v>
      </c>
      <c r="S239" s="693"/>
      <c r="T239" s="690">
        <f>IF(R239="","",R239-Q239)</f>
        <v>-7500</v>
      </c>
      <c r="U239" s="683"/>
      <c r="V239" s="474">
        <f t="shared" si="152"/>
        <v>7500</v>
      </c>
      <c r="W239" s="474">
        <f t="shared" si="144"/>
        <v>0</v>
      </c>
      <c r="X239" s="475">
        <f t="shared" si="145"/>
        <v>0</v>
      </c>
      <c r="Y239" s="475">
        <v>0</v>
      </c>
      <c r="Z239" s="476">
        <v>0</v>
      </c>
      <c r="AA239" s="38">
        <f t="shared" si="153"/>
        <v>-7500</v>
      </c>
      <c r="AB239" s="692">
        <f t="shared" si="146"/>
        <v>2034.8200000000002</v>
      </c>
      <c r="AC239" s="692">
        <f t="shared" si="147"/>
        <v>0</v>
      </c>
      <c r="AD239" s="692">
        <f t="shared" si="148"/>
        <v>0</v>
      </c>
      <c r="AE239" s="38"/>
      <c r="AF239" s="692">
        <f t="shared" si="149"/>
        <v>7500</v>
      </c>
      <c r="AG239" s="692">
        <f t="shared" si="150"/>
        <v>0</v>
      </c>
      <c r="AH239" s="692">
        <f t="shared" si="151"/>
        <v>0</v>
      </c>
    </row>
    <row r="240" spans="1:34">
      <c r="A240" s="21" t="s">
        <v>97</v>
      </c>
      <c r="B240" s="21" t="s">
        <v>110</v>
      </c>
      <c r="C240" s="666"/>
      <c r="D240" s="68" t="s">
        <v>175</v>
      </c>
      <c r="E240" s="679"/>
      <c r="F240" s="529">
        <f>VLOOKUP(D240,'Q3 DMV -  Revenue'!D:T,17,FALSE)</f>
        <v>0</v>
      </c>
      <c r="G240" s="680"/>
      <c r="H240" s="680"/>
      <c r="I240" s="681"/>
      <c r="J240" s="682">
        <f t="shared" si="156"/>
        <v>0</v>
      </c>
      <c r="K240" s="683"/>
      <c r="L240" s="684"/>
      <c r="M240" s="685">
        <v>0</v>
      </c>
      <c r="N240" s="683">
        <v>0</v>
      </c>
      <c r="O240" s="686"/>
      <c r="P240" s="683">
        <v>0</v>
      </c>
      <c r="Q240" s="687">
        <f t="shared" ref="Q240:Q280" si="158">L240+M240</f>
        <v>0</v>
      </c>
      <c r="R240" s="688"/>
      <c r="S240" s="693"/>
      <c r="T240" s="690" t="str">
        <f t="shared" si="157"/>
        <v/>
      </c>
      <c r="U240" s="683"/>
      <c r="V240" s="474">
        <f t="shared" si="152"/>
        <v>0</v>
      </c>
      <c r="W240" s="474">
        <f t="shared" si="144"/>
        <v>0</v>
      </c>
      <c r="X240" s="475">
        <f t="shared" si="145"/>
        <v>0</v>
      </c>
      <c r="Y240" s="475">
        <v>0</v>
      </c>
      <c r="Z240" s="476">
        <v>0</v>
      </c>
      <c r="AA240" s="38">
        <f t="shared" si="153"/>
        <v>0</v>
      </c>
      <c r="AB240" s="692">
        <f t="shared" si="146"/>
        <v>0</v>
      </c>
      <c r="AC240" s="692">
        <f t="shared" si="147"/>
        <v>0</v>
      </c>
      <c r="AD240" s="692">
        <f t="shared" si="148"/>
        <v>0</v>
      </c>
      <c r="AE240" s="38"/>
      <c r="AF240" s="692">
        <f t="shared" si="149"/>
        <v>0</v>
      </c>
      <c r="AG240" s="692">
        <f t="shared" si="150"/>
        <v>0</v>
      </c>
      <c r="AH240" s="692">
        <f t="shared" si="151"/>
        <v>0</v>
      </c>
    </row>
    <row r="241" spans="1:34">
      <c r="A241" s="21"/>
      <c r="B241" s="21" t="s">
        <v>109</v>
      </c>
      <c r="C241" s="666"/>
      <c r="D241" s="68" t="s">
        <v>595</v>
      </c>
      <c r="E241" s="529">
        <v>1831.56</v>
      </c>
      <c r="G241" s="680"/>
      <c r="H241" s="680"/>
      <c r="I241" s="681"/>
      <c r="J241" s="682">
        <f>SUM(E241:I241)</f>
        <v>1831.56</v>
      </c>
      <c r="K241" s="683"/>
      <c r="L241" s="684"/>
      <c r="M241" s="685">
        <v>0</v>
      </c>
      <c r="N241" s="683">
        <v>0</v>
      </c>
      <c r="O241" s="686">
        <v>1831.56</v>
      </c>
      <c r="P241" s="683">
        <v>0</v>
      </c>
      <c r="Q241" s="687">
        <f t="shared" ref="Q241" si="159">L241+M241</f>
        <v>0</v>
      </c>
      <c r="R241" s="688"/>
      <c r="S241" s="693"/>
      <c r="T241" s="690" t="str">
        <f t="shared" ref="T241" si="160">IF(R241="","",R241-Q241)</f>
        <v/>
      </c>
      <c r="U241" s="683"/>
      <c r="V241" s="474">
        <f t="shared" ref="V241" si="161">IF(B241="D",Q241,0)</f>
        <v>0</v>
      </c>
      <c r="W241" s="474">
        <f t="shared" ref="W241" si="162">IF(B241="M",Q241,0)</f>
        <v>0</v>
      </c>
      <c r="X241" s="475">
        <f t="shared" ref="X241" si="163">IF(B241="V",Q241,0)</f>
        <v>0</v>
      </c>
      <c r="Y241" s="475">
        <v>0</v>
      </c>
      <c r="Z241" s="476">
        <v>0</v>
      </c>
      <c r="AA241" s="38">
        <f t="shared" ref="AA241" si="164">(L241+M241)-(V241+W241+X241+Y241+Z241)</f>
        <v>0</v>
      </c>
      <c r="AB241" s="692">
        <f t="shared" ref="AB241" si="165">IF(B241="D",J241,0)</f>
        <v>0</v>
      </c>
      <c r="AC241" s="692">
        <f t="shared" ref="AC241" si="166">IF(B241="M",J241,0)</f>
        <v>1831.56</v>
      </c>
      <c r="AD241" s="692">
        <f t="shared" ref="AD241" si="167">IF(B241="V",J241,0)</f>
        <v>0</v>
      </c>
      <c r="AE241" s="38"/>
      <c r="AF241" s="692">
        <f t="shared" ref="AF241" si="168">IF(B241="D",Q241,0)</f>
        <v>0</v>
      </c>
      <c r="AG241" s="692">
        <f t="shared" ref="AG241" si="169">IF(B241="M",Q241,0)</f>
        <v>0</v>
      </c>
      <c r="AH241" s="692">
        <f t="shared" ref="AH241" si="170">IF(B241="V",Q241,0)</f>
        <v>0</v>
      </c>
    </row>
    <row r="242" spans="1:34">
      <c r="A242" s="20" t="s">
        <v>211</v>
      </c>
      <c r="B242" s="20" t="s">
        <v>109</v>
      </c>
      <c r="C242" s="667"/>
      <c r="D242" s="68" t="s">
        <v>56</v>
      </c>
      <c r="E242" s="679"/>
      <c r="F242" s="529">
        <f>VLOOKUP(D242,'Q3 DMV -  Revenue'!D:T,17,FALSE)</f>
        <v>0</v>
      </c>
      <c r="G242" s="680"/>
      <c r="H242" s="680"/>
      <c r="I242" s="681"/>
      <c r="J242" s="682">
        <f t="shared" si="156"/>
        <v>0</v>
      </c>
      <c r="K242" s="683"/>
      <c r="L242" s="684"/>
      <c r="M242" s="685">
        <v>0</v>
      </c>
      <c r="N242" s="683">
        <v>0</v>
      </c>
      <c r="O242" s="686"/>
      <c r="P242" s="683">
        <v>0</v>
      </c>
      <c r="Q242" s="687">
        <f t="shared" si="158"/>
        <v>0</v>
      </c>
      <c r="R242" s="688"/>
      <c r="S242" s="693"/>
      <c r="T242" s="690" t="str">
        <f t="shared" si="157"/>
        <v/>
      </c>
      <c r="U242" s="697"/>
      <c r="V242" s="474">
        <f t="shared" si="152"/>
        <v>0</v>
      </c>
      <c r="W242" s="474">
        <f t="shared" si="144"/>
        <v>0</v>
      </c>
      <c r="X242" s="475">
        <f t="shared" si="145"/>
        <v>0</v>
      </c>
      <c r="Y242" s="475">
        <v>0</v>
      </c>
      <c r="Z242" s="476">
        <v>0</v>
      </c>
      <c r="AA242" s="38">
        <f t="shared" si="153"/>
        <v>0</v>
      </c>
      <c r="AB242" s="692">
        <f t="shared" si="146"/>
        <v>0</v>
      </c>
      <c r="AC242" s="692">
        <f t="shared" si="147"/>
        <v>0</v>
      </c>
      <c r="AD242" s="692">
        <f t="shared" si="148"/>
        <v>0</v>
      </c>
      <c r="AE242" s="38"/>
      <c r="AF242" s="692">
        <f t="shared" si="149"/>
        <v>0</v>
      </c>
      <c r="AG242" s="692">
        <f t="shared" si="150"/>
        <v>0</v>
      </c>
      <c r="AH242" s="692">
        <f t="shared" si="151"/>
        <v>0</v>
      </c>
    </row>
    <row r="243" spans="1:34">
      <c r="A243" s="20"/>
      <c r="B243" s="20" t="s">
        <v>109</v>
      </c>
      <c r="C243" s="667" t="s">
        <v>577</v>
      </c>
      <c r="D243" s="68" t="s">
        <v>159</v>
      </c>
      <c r="E243" s="679"/>
      <c r="F243" s="529">
        <f>VLOOKUP(D243,'Q3 DMV -  Revenue'!D:T,17,FALSE)</f>
        <v>-3209.8000000000029</v>
      </c>
      <c r="G243" s="694">
        <v>29880.65</v>
      </c>
      <c r="H243" s="737">
        <v>27583.4</v>
      </c>
      <c r="I243" s="741">
        <v>26905.83</v>
      </c>
      <c r="J243" s="682">
        <f t="shared" si="156"/>
        <v>81160.08</v>
      </c>
      <c r="K243" s="683"/>
      <c r="L243" s="684"/>
      <c r="M243" s="685">
        <v>0</v>
      </c>
      <c r="N243" s="683">
        <v>0</v>
      </c>
      <c r="O243" s="686">
        <v>211336.37</v>
      </c>
      <c r="P243" s="683">
        <v>0</v>
      </c>
      <c r="Q243" s="687">
        <f t="shared" si="158"/>
        <v>0</v>
      </c>
      <c r="R243" s="688"/>
      <c r="S243" s="693"/>
      <c r="T243" s="690" t="str">
        <f t="shared" si="157"/>
        <v/>
      </c>
      <c r="U243" s="683"/>
      <c r="V243" s="474">
        <f t="shared" si="152"/>
        <v>0</v>
      </c>
      <c r="W243" s="474">
        <f t="shared" si="144"/>
        <v>0</v>
      </c>
      <c r="X243" s="475">
        <f t="shared" si="145"/>
        <v>0</v>
      </c>
      <c r="Y243" s="475">
        <v>0</v>
      </c>
      <c r="Z243" s="476">
        <v>0</v>
      </c>
      <c r="AA243" s="38">
        <f t="shared" si="153"/>
        <v>0</v>
      </c>
      <c r="AB243" s="692">
        <f t="shared" si="146"/>
        <v>0</v>
      </c>
      <c r="AC243" s="692">
        <f t="shared" si="147"/>
        <v>81160.08</v>
      </c>
      <c r="AD243" s="692">
        <f t="shared" si="148"/>
        <v>0</v>
      </c>
      <c r="AE243" s="38"/>
      <c r="AF243" s="692">
        <f t="shared" si="149"/>
        <v>0</v>
      </c>
      <c r="AG243" s="692">
        <f t="shared" si="150"/>
        <v>0</v>
      </c>
      <c r="AH243" s="692">
        <f t="shared" si="151"/>
        <v>0</v>
      </c>
    </row>
    <row r="244" spans="1:34">
      <c r="A244" s="20"/>
      <c r="B244" s="20" t="s">
        <v>109</v>
      </c>
      <c r="C244" s="667" t="s">
        <v>577</v>
      </c>
      <c r="D244" s="68" t="s">
        <v>160</v>
      </c>
      <c r="E244" s="679"/>
      <c r="F244" s="529">
        <f>VLOOKUP(D244,'Q3 DMV -  Revenue'!D:T,17,FALSE)</f>
        <v>-1868.5049999999974</v>
      </c>
      <c r="G244" s="739">
        <f>17969.43+98.28</f>
        <v>18067.71</v>
      </c>
      <c r="H244" s="694">
        <v>15776.82</v>
      </c>
      <c r="I244" s="741">
        <v>15393.4</v>
      </c>
      <c r="J244" s="682">
        <f t="shared" si="156"/>
        <v>47369.425000000003</v>
      </c>
      <c r="K244" s="683"/>
      <c r="L244" s="684"/>
      <c r="M244" s="685">
        <v>0</v>
      </c>
      <c r="N244" s="683">
        <v>0</v>
      </c>
      <c r="O244" s="686"/>
      <c r="P244" s="683">
        <v>0</v>
      </c>
      <c r="Q244" s="687">
        <f t="shared" si="158"/>
        <v>0</v>
      </c>
      <c r="R244" s="688"/>
      <c r="S244" s="693"/>
      <c r="T244" s="690" t="str">
        <f t="shared" si="157"/>
        <v/>
      </c>
      <c r="U244" s="683"/>
      <c r="V244" s="474">
        <f t="shared" si="152"/>
        <v>0</v>
      </c>
      <c r="W244" s="474">
        <f t="shared" si="144"/>
        <v>0</v>
      </c>
      <c r="X244" s="475">
        <f t="shared" si="145"/>
        <v>0</v>
      </c>
      <c r="Y244" s="475">
        <v>0</v>
      </c>
      <c r="Z244" s="476">
        <v>0</v>
      </c>
      <c r="AA244" s="38">
        <f t="shared" si="153"/>
        <v>0</v>
      </c>
      <c r="AB244" s="692">
        <f t="shared" si="146"/>
        <v>0</v>
      </c>
      <c r="AC244" s="692">
        <f t="shared" si="147"/>
        <v>47369.425000000003</v>
      </c>
      <c r="AD244" s="692">
        <f t="shared" si="148"/>
        <v>0</v>
      </c>
      <c r="AE244" s="38"/>
      <c r="AF244" s="692">
        <f t="shared" si="149"/>
        <v>0</v>
      </c>
      <c r="AG244" s="692">
        <f t="shared" si="150"/>
        <v>0</v>
      </c>
      <c r="AH244" s="692">
        <f t="shared" si="151"/>
        <v>0</v>
      </c>
    </row>
    <row r="245" spans="1:34">
      <c r="A245" s="21"/>
      <c r="B245" s="21" t="s">
        <v>109</v>
      </c>
      <c r="C245" s="667" t="s">
        <v>577</v>
      </c>
      <c r="D245" s="68" t="s">
        <v>161</v>
      </c>
      <c r="E245" s="679"/>
      <c r="F245" s="529">
        <f>VLOOKUP(D245,'Q3 DMV -  Revenue'!D:T,17,FALSE)</f>
        <v>0</v>
      </c>
      <c r="G245" s="694">
        <v>25043.82</v>
      </c>
      <c r="H245" s="694">
        <v>20841.72</v>
      </c>
      <c r="I245" s="741">
        <v>12822.06</v>
      </c>
      <c r="J245" s="682">
        <f t="shared" si="156"/>
        <v>58707.6</v>
      </c>
      <c r="K245" s="683"/>
      <c r="L245" s="684"/>
      <c r="M245" s="685">
        <v>0</v>
      </c>
      <c r="N245" s="683">
        <v>0</v>
      </c>
      <c r="O245" s="686"/>
      <c r="P245" s="683">
        <v>0</v>
      </c>
      <c r="Q245" s="687">
        <f t="shared" si="158"/>
        <v>0</v>
      </c>
      <c r="R245" s="688"/>
      <c r="S245" s="693"/>
      <c r="T245" s="690" t="str">
        <f t="shared" si="157"/>
        <v/>
      </c>
      <c r="U245" s="683"/>
      <c r="V245" s="474">
        <f t="shared" si="152"/>
        <v>0</v>
      </c>
      <c r="W245" s="474">
        <f t="shared" si="144"/>
        <v>0</v>
      </c>
      <c r="X245" s="475">
        <f t="shared" si="145"/>
        <v>0</v>
      </c>
      <c r="Y245" s="475">
        <v>0</v>
      </c>
      <c r="Z245" s="476">
        <v>0</v>
      </c>
      <c r="AA245" s="38">
        <f t="shared" si="153"/>
        <v>0</v>
      </c>
      <c r="AB245" s="692">
        <f t="shared" si="146"/>
        <v>0</v>
      </c>
      <c r="AC245" s="692">
        <f t="shared" si="147"/>
        <v>58707.6</v>
      </c>
      <c r="AD245" s="692">
        <f t="shared" si="148"/>
        <v>0</v>
      </c>
      <c r="AE245" s="38"/>
      <c r="AF245" s="692">
        <f t="shared" si="149"/>
        <v>0</v>
      </c>
      <c r="AG245" s="692">
        <f t="shared" si="150"/>
        <v>0</v>
      </c>
      <c r="AH245" s="692">
        <f t="shared" si="151"/>
        <v>0</v>
      </c>
    </row>
    <row r="246" spans="1:34">
      <c r="A246" s="21"/>
      <c r="B246" s="21" t="s">
        <v>109</v>
      </c>
      <c r="C246" s="667" t="s">
        <v>577</v>
      </c>
      <c r="D246" s="68" t="s">
        <v>162</v>
      </c>
      <c r="E246" s="679"/>
      <c r="F246" s="529">
        <f>VLOOKUP(D246,'Q3 DMV -  Revenue'!D:T,17,FALSE)</f>
        <v>0</v>
      </c>
      <c r="G246" s="694">
        <v>1305</v>
      </c>
      <c r="H246" s="694">
        <v>1089.24</v>
      </c>
      <c r="I246" s="741">
        <v>895.23</v>
      </c>
      <c r="J246" s="682">
        <f t="shared" si="156"/>
        <v>3289.47</v>
      </c>
      <c r="K246" s="683"/>
      <c r="L246" s="684"/>
      <c r="M246" s="685">
        <v>0</v>
      </c>
      <c r="N246" s="683">
        <v>0</v>
      </c>
      <c r="O246" s="686"/>
      <c r="P246" s="683">
        <v>0</v>
      </c>
      <c r="Q246" s="687">
        <f t="shared" si="158"/>
        <v>0</v>
      </c>
      <c r="R246" s="688"/>
      <c r="S246" s="693"/>
      <c r="T246" s="690" t="str">
        <f t="shared" si="157"/>
        <v/>
      </c>
      <c r="U246" s="683"/>
      <c r="V246" s="474">
        <f t="shared" si="152"/>
        <v>0</v>
      </c>
      <c r="W246" s="474">
        <f t="shared" si="144"/>
        <v>0</v>
      </c>
      <c r="X246" s="475">
        <f t="shared" si="145"/>
        <v>0</v>
      </c>
      <c r="Y246" s="475">
        <v>0</v>
      </c>
      <c r="Z246" s="476">
        <v>0</v>
      </c>
      <c r="AA246" s="38">
        <f t="shared" si="153"/>
        <v>0</v>
      </c>
      <c r="AB246" s="692">
        <f t="shared" si="146"/>
        <v>0</v>
      </c>
      <c r="AC246" s="692">
        <f t="shared" si="147"/>
        <v>3289.47</v>
      </c>
      <c r="AD246" s="692">
        <f t="shared" si="148"/>
        <v>0</v>
      </c>
      <c r="AE246" s="38"/>
      <c r="AF246" s="692">
        <f t="shared" si="149"/>
        <v>0</v>
      </c>
      <c r="AG246" s="692">
        <f t="shared" si="150"/>
        <v>0</v>
      </c>
      <c r="AH246" s="692">
        <f t="shared" si="151"/>
        <v>0</v>
      </c>
    </row>
    <row r="247" spans="1:34">
      <c r="A247" s="21"/>
      <c r="B247" s="21" t="s">
        <v>109</v>
      </c>
      <c r="C247" s="666"/>
      <c r="D247" s="68" t="s">
        <v>163</v>
      </c>
      <c r="E247" s="679"/>
      <c r="F247" s="529">
        <f>VLOOKUP(D247,'Q3 DMV -  Revenue'!D:T,17,FALSE)</f>
        <v>0</v>
      </c>
      <c r="G247" s="694">
        <v>6234.14</v>
      </c>
      <c r="H247" s="694">
        <v>4417.3900000000003</v>
      </c>
      <c r="I247" s="741">
        <v>6292.82</v>
      </c>
      <c r="J247" s="682">
        <f t="shared" si="156"/>
        <v>16944.349999999999</v>
      </c>
      <c r="K247" s="683"/>
      <c r="L247" s="684"/>
      <c r="M247" s="685">
        <v>0</v>
      </c>
      <c r="N247" s="683">
        <v>0</v>
      </c>
      <c r="O247" s="686">
        <v>17111.04</v>
      </c>
      <c r="P247" s="683">
        <v>0</v>
      </c>
      <c r="Q247" s="687">
        <f t="shared" si="158"/>
        <v>0</v>
      </c>
      <c r="R247" s="688"/>
      <c r="S247" s="704"/>
      <c r="T247" s="690" t="str">
        <f t="shared" si="157"/>
        <v/>
      </c>
      <c r="U247" s="705"/>
      <c r="V247" s="474">
        <f t="shared" si="152"/>
        <v>0</v>
      </c>
      <c r="W247" s="474">
        <f t="shared" si="144"/>
        <v>0</v>
      </c>
      <c r="X247" s="475">
        <f t="shared" si="145"/>
        <v>0</v>
      </c>
      <c r="Y247" s="475">
        <v>0</v>
      </c>
      <c r="Z247" s="476">
        <v>0</v>
      </c>
      <c r="AA247" s="38">
        <f t="shared" si="153"/>
        <v>0</v>
      </c>
      <c r="AB247" s="692">
        <f t="shared" si="146"/>
        <v>0</v>
      </c>
      <c r="AC247" s="692">
        <f t="shared" si="147"/>
        <v>16944.349999999999</v>
      </c>
      <c r="AD247" s="692">
        <f t="shared" si="148"/>
        <v>0</v>
      </c>
      <c r="AE247" s="38"/>
      <c r="AF247" s="692">
        <f t="shared" si="149"/>
        <v>0</v>
      </c>
      <c r="AG247" s="692">
        <f t="shared" si="150"/>
        <v>0</v>
      </c>
      <c r="AH247" s="692">
        <f t="shared" si="151"/>
        <v>0</v>
      </c>
    </row>
    <row r="248" spans="1:34">
      <c r="A248" s="21"/>
      <c r="B248" s="21" t="s">
        <v>109</v>
      </c>
      <c r="C248" s="666"/>
      <c r="D248" s="412" t="s">
        <v>164</v>
      </c>
      <c r="E248" s="679"/>
      <c r="F248" s="529">
        <f>VLOOKUP(D248,'Q3 DMV -  Revenue'!D:T,17,FALSE)</f>
        <v>0</v>
      </c>
      <c r="G248" s="694">
        <v>61.73</v>
      </c>
      <c r="H248" s="694">
        <v>37.96</v>
      </c>
      <c r="I248" s="741">
        <v>67</v>
      </c>
      <c r="J248" s="682">
        <f t="shared" si="156"/>
        <v>166.69</v>
      </c>
      <c r="K248" s="683"/>
      <c r="L248" s="684"/>
      <c r="M248" s="685">
        <v>0</v>
      </c>
      <c r="N248" s="683">
        <v>0</v>
      </c>
      <c r="O248" s="686"/>
      <c r="P248" s="683">
        <v>0</v>
      </c>
      <c r="Q248" s="687">
        <f t="shared" si="158"/>
        <v>0</v>
      </c>
      <c r="R248" s="688"/>
      <c r="S248" s="704"/>
      <c r="T248" s="690" t="str">
        <f t="shared" si="157"/>
        <v/>
      </c>
      <c r="U248" s="705"/>
      <c r="V248" s="474">
        <f t="shared" si="152"/>
        <v>0</v>
      </c>
      <c r="W248" s="474">
        <f t="shared" si="144"/>
        <v>0</v>
      </c>
      <c r="X248" s="475">
        <f t="shared" si="145"/>
        <v>0</v>
      </c>
      <c r="Y248" s="475">
        <v>0</v>
      </c>
      <c r="Z248" s="476">
        <v>0</v>
      </c>
      <c r="AA248" s="38">
        <f t="shared" si="153"/>
        <v>0</v>
      </c>
      <c r="AB248" s="692">
        <f t="shared" si="146"/>
        <v>0</v>
      </c>
      <c r="AC248" s="692">
        <f t="shared" si="147"/>
        <v>166.69</v>
      </c>
      <c r="AD248" s="692">
        <f t="shared" si="148"/>
        <v>0</v>
      </c>
      <c r="AE248" s="38"/>
      <c r="AF248" s="692">
        <f t="shared" si="149"/>
        <v>0</v>
      </c>
      <c r="AG248" s="692">
        <f t="shared" si="150"/>
        <v>0</v>
      </c>
      <c r="AH248" s="692">
        <f t="shared" si="151"/>
        <v>0</v>
      </c>
    </row>
    <row r="249" spans="1:34">
      <c r="A249" s="21" t="s">
        <v>109</v>
      </c>
      <c r="B249" s="21" t="s">
        <v>114</v>
      </c>
      <c r="C249" s="666" t="s">
        <v>578</v>
      </c>
      <c r="D249" s="412" t="s">
        <v>318</v>
      </c>
      <c r="E249" s="679">
        <v>20611</v>
      </c>
      <c r="F249" s="529">
        <f>VLOOKUP(D249,'Q3 DMV -  Revenue'!D:T,17,FALSE)</f>
        <v>5471</v>
      </c>
      <c r="G249" s="694">
        <v>21450</v>
      </c>
      <c r="H249" s="694">
        <v>28001</v>
      </c>
      <c r="I249" s="681"/>
      <c r="J249" s="682">
        <f t="shared" si="156"/>
        <v>75533</v>
      </c>
      <c r="K249" s="683"/>
      <c r="L249" s="684"/>
      <c r="M249" s="685">
        <v>28000</v>
      </c>
      <c r="N249" s="683">
        <v>0</v>
      </c>
      <c r="O249" s="686">
        <v>75533</v>
      </c>
      <c r="P249" s="683">
        <v>0</v>
      </c>
      <c r="Q249" s="687">
        <f t="shared" si="158"/>
        <v>28000</v>
      </c>
      <c r="R249" s="688">
        <v>33600</v>
      </c>
      <c r="S249" s="704"/>
      <c r="T249" s="690">
        <f t="shared" si="157"/>
        <v>5600</v>
      </c>
      <c r="U249" s="683"/>
      <c r="V249" s="474">
        <f t="shared" si="152"/>
        <v>0</v>
      </c>
      <c r="W249" s="474">
        <f t="shared" si="144"/>
        <v>0</v>
      </c>
      <c r="X249" s="475">
        <f t="shared" si="145"/>
        <v>28000</v>
      </c>
      <c r="Y249" s="475">
        <v>0</v>
      </c>
      <c r="Z249" s="476">
        <v>0</v>
      </c>
      <c r="AA249" s="38">
        <f t="shared" si="153"/>
        <v>0</v>
      </c>
      <c r="AB249" s="692">
        <f t="shared" si="146"/>
        <v>0</v>
      </c>
      <c r="AC249" s="692">
        <f t="shared" si="147"/>
        <v>0</v>
      </c>
      <c r="AD249" s="692">
        <f t="shared" si="148"/>
        <v>75533</v>
      </c>
      <c r="AE249" s="38"/>
      <c r="AF249" s="692">
        <f t="shared" si="149"/>
        <v>0</v>
      </c>
      <c r="AG249" s="692">
        <f t="shared" si="150"/>
        <v>0</v>
      </c>
      <c r="AH249" s="692">
        <f t="shared" si="151"/>
        <v>28000</v>
      </c>
    </row>
    <row r="250" spans="1:34">
      <c r="A250" s="20" t="s">
        <v>211</v>
      </c>
      <c r="B250" s="20" t="s">
        <v>109</v>
      </c>
      <c r="C250" s="667"/>
      <c r="D250" s="68" t="s">
        <v>57</v>
      </c>
      <c r="E250" s="679"/>
      <c r="F250" s="529">
        <f>VLOOKUP(D250,'Q3 DMV -  Revenue'!D:T,17,FALSE)</f>
        <v>0</v>
      </c>
      <c r="G250" s="680"/>
      <c r="H250" s="680"/>
      <c r="I250" s="681"/>
      <c r="J250" s="682">
        <f t="shared" si="156"/>
        <v>0</v>
      </c>
      <c r="K250" s="683"/>
      <c r="L250" s="684"/>
      <c r="M250" s="685">
        <v>0</v>
      </c>
      <c r="N250" s="683">
        <v>0</v>
      </c>
      <c r="O250" s="686">
        <v>5208.96</v>
      </c>
      <c r="P250" s="683">
        <v>0</v>
      </c>
      <c r="Q250" s="687">
        <f t="shared" si="158"/>
        <v>0</v>
      </c>
      <c r="R250" s="688">
        <v>867.99</v>
      </c>
      <c r="S250" s="693"/>
      <c r="T250" s="690">
        <f t="shared" si="157"/>
        <v>867.99</v>
      </c>
      <c r="U250" s="683"/>
      <c r="V250" s="474">
        <f t="shared" si="152"/>
        <v>0</v>
      </c>
      <c r="W250" s="474">
        <f t="shared" si="144"/>
        <v>0</v>
      </c>
      <c r="X250" s="475">
        <f t="shared" si="145"/>
        <v>0</v>
      </c>
      <c r="Y250" s="475">
        <v>0</v>
      </c>
      <c r="Z250" s="476">
        <v>0</v>
      </c>
      <c r="AA250" s="38">
        <f t="shared" si="153"/>
        <v>0</v>
      </c>
      <c r="AB250" s="692">
        <f t="shared" si="146"/>
        <v>0</v>
      </c>
      <c r="AC250" s="692">
        <f t="shared" si="147"/>
        <v>0</v>
      </c>
      <c r="AD250" s="692">
        <f t="shared" si="148"/>
        <v>0</v>
      </c>
      <c r="AE250" s="38"/>
      <c r="AF250" s="692">
        <f t="shared" si="149"/>
        <v>0</v>
      </c>
      <c r="AG250" s="692">
        <f t="shared" si="150"/>
        <v>0</v>
      </c>
      <c r="AH250" s="692">
        <f t="shared" si="151"/>
        <v>0</v>
      </c>
    </row>
    <row r="251" spans="1:34">
      <c r="A251" s="20" t="s">
        <v>109</v>
      </c>
      <c r="B251" s="20" t="s">
        <v>109</v>
      </c>
      <c r="C251" s="667" t="s">
        <v>579</v>
      </c>
      <c r="D251" s="68" t="s">
        <v>239</v>
      </c>
      <c r="E251" s="679"/>
      <c r="F251" s="529">
        <f>VLOOKUP(D251,'Q3 DMV -  Revenue'!D:T,17,FALSE)</f>
        <v>-778.86</v>
      </c>
      <c r="G251" s="680"/>
      <c r="H251" s="680"/>
      <c r="I251" s="681"/>
      <c r="J251" s="682">
        <f t="shared" si="156"/>
        <v>-778.86</v>
      </c>
      <c r="K251" s="683"/>
      <c r="L251" s="684"/>
      <c r="M251" s="685">
        <v>0</v>
      </c>
      <c r="N251" s="683">
        <v>0</v>
      </c>
      <c r="O251" s="686">
        <v>-778.86</v>
      </c>
      <c r="P251" s="683">
        <v>0</v>
      </c>
      <c r="Q251" s="687">
        <f t="shared" si="158"/>
        <v>0</v>
      </c>
      <c r="R251" s="688"/>
      <c r="S251" s="693"/>
      <c r="T251" s="690" t="str">
        <f t="shared" si="157"/>
        <v/>
      </c>
      <c r="U251" s="683"/>
      <c r="V251" s="474">
        <f t="shared" si="152"/>
        <v>0</v>
      </c>
      <c r="W251" s="474">
        <f t="shared" si="144"/>
        <v>0</v>
      </c>
      <c r="X251" s="475">
        <f t="shared" si="145"/>
        <v>0</v>
      </c>
      <c r="Y251" s="475">
        <v>0</v>
      </c>
      <c r="Z251" s="476">
        <v>0</v>
      </c>
      <c r="AA251" s="38">
        <f t="shared" si="153"/>
        <v>0</v>
      </c>
      <c r="AB251" s="692">
        <f t="shared" si="146"/>
        <v>0</v>
      </c>
      <c r="AC251" s="692">
        <f t="shared" si="147"/>
        <v>-778.86</v>
      </c>
      <c r="AD251" s="692">
        <f t="shared" si="148"/>
        <v>0</v>
      </c>
      <c r="AE251" s="38"/>
      <c r="AF251" s="692">
        <f t="shared" si="149"/>
        <v>0</v>
      </c>
      <c r="AG251" s="692">
        <f t="shared" si="150"/>
        <v>0</v>
      </c>
      <c r="AH251" s="692">
        <f t="shared" si="151"/>
        <v>0</v>
      </c>
    </row>
    <row r="252" spans="1:34">
      <c r="A252" s="21" t="s">
        <v>109</v>
      </c>
      <c r="B252" s="21" t="s">
        <v>114</v>
      </c>
      <c r="C252" s="666"/>
      <c r="D252" s="412" t="s">
        <v>622</v>
      </c>
      <c r="E252" s="679"/>
      <c r="F252" s="529"/>
      <c r="G252" s="680"/>
      <c r="H252" s="680"/>
      <c r="I252" s="681"/>
      <c r="J252" s="682">
        <f t="shared" ref="J252" si="171">SUM(E252:I252)</f>
        <v>0</v>
      </c>
      <c r="K252" s="683"/>
      <c r="L252" s="684"/>
      <c r="M252" s="685">
        <v>0</v>
      </c>
      <c r="N252" s="683">
        <v>0</v>
      </c>
      <c r="O252" s="686"/>
      <c r="P252" s="683">
        <v>0</v>
      </c>
      <c r="Q252" s="687">
        <f t="shared" ref="Q252" si="172">L252+M252</f>
        <v>0</v>
      </c>
      <c r="R252" s="688"/>
      <c r="S252" s="704"/>
      <c r="T252" s="690" t="str">
        <f t="shared" ref="T252" si="173">IF(R252="","",R252-Q252)</f>
        <v/>
      </c>
      <c r="U252" s="683"/>
      <c r="V252" s="474">
        <f t="shared" ref="V252" si="174">IF(B252="D",Q252,0)</f>
        <v>0</v>
      </c>
      <c r="W252" s="474">
        <f t="shared" ref="W252" si="175">IF(B252="M",Q252,0)</f>
        <v>0</v>
      </c>
      <c r="X252" s="475">
        <f t="shared" ref="X252" si="176">IF(B252="V",Q252,0)</f>
        <v>0</v>
      </c>
      <c r="Y252" s="475">
        <v>0</v>
      </c>
      <c r="Z252" s="476">
        <v>0</v>
      </c>
      <c r="AA252" s="38">
        <f t="shared" ref="AA252" si="177">(L252+M252)-(V252+W252+X252+Y252+Z252)</f>
        <v>0</v>
      </c>
      <c r="AB252" s="692">
        <f t="shared" ref="AB252" si="178">IF(B252="D",J252,0)</f>
        <v>0</v>
      </c>
      <c r="AC252" s="692">
        <f t="shared" ref="AC252" si="179">IF(B252="M",J252,0)</f>
        <v>0</v>
      </c>
      <c r="AD252" s="692">
        <f t="shared" ref="AD252" si="180">IF(B252="V",J252,0)</f>
        <v>0</v>
      </c>
      <c r="AE252" s="38"/>
      <c r="AF252" s="692">
        <f t="shared" ref="AF252" si="181">IF(B252="D",Q252,0)</f>
        <v>0</v>
      </c>
      <c r="AG252" s="692">
        <f t="shared" ref="AG252" si="182">IF(B252="M",Q252,0)</f>
        <v>0</v>
      </c>
      <c r="AH252" s="692">
        <f t="shared" ref="AH252" si="183">IF(B252="V",Q252,0)</f>
        <v>0</v>
      </c>
    </row>
    <row r="253" spans="1:34">
      <c r="A253" s="20"/>
      <c r="B253" s="20" t="s">
        <v>110</v>
      </c>
      <c r="C253" s="667"/>
      <c r="D253" s="68" t="s">
        <v>497</v>
      </c>
      <c r="E253" s="679"/>
      <c r="F253" s="529">
        <f>VLOOKUP(D253,'Q3 DMV -  Revenue'!D:T,17,FALSE)</f>
        <v>1088.93</v>
      </c>
      <c r="G253" s="680"/>
      <c r="H253" s="680"/>
      <c r="I253" s="681"/>
      <c r="J253" s="682">
        <f t="shared" si="156"/>
        <v>1088.93</v>
      </c>
      <c r="K253" s="683"/>
      <c r="L253" s="684"/>
      <c r="M253" s="685">
        <v>0</v>
      </c>
      <c r="N253" s="683">
        <v>0</v>
      </c>
      <c r="O253" s="686">
        <v>1088.93</v>
      </c>
      <c r="P253" s="683">
        <v>0</v>
      </c>
      <c r="Q253" s="687">
        <f t="shared" si="158"/>
        <v>0</v>
      </c>
      <c r="R253" s="688"/>
      <c r="S253" s="693"/>
      <c r="T253" s="690" t="str">
        <f t="shared" si="157"/>
        <v/>
      </c>
      <c r="U253" s="683"/>
      <c r="V253" s="474">
        <f t="shared" si="152"/>
        <v>0</v>
      </c>
      <c r="W253" s="474">
        <f t="shared" si="144"/>
        <v>0</v>
      </c>
      <c r="X253" s="475">
        <f t="shared" si="145"/>
        <v>0</v>
      </c>
      <c r="Y253" s="475">
        <v>0</v>
      </c>
      <c r="Z253" s="476">
        <v>0</v>
      </c>
      <c r="AA253" s="38">
        <f t="shared" si="153"/>
        <v>0</v>
      </c>
      <c r="AB253" s="692">
        <f t="shared" si="146"/>
        <v>1088.93</v>
      </c>
      <c r="AC253" s="692">
        <f t="shared" si="147"/>
        <v>0</v>
      </c>
      <c r="AD253" s="692">
        <f t="shared" si="148"/>
        <v>0</v>
      </c>
      <c r="AE253" s="38"/>
      <c r="AF253" s="692">
        <f t="shared" si="149"/>
        <v>0</v>
      </c>
      <c r="AG253" s="692">
        <f t="shared" si="150"/>
        <v>0</v>
      </c>
      <c r="AH253" s="692">
        <f t="shared" si="151"/>
        <v>0</v>
      </c>
    </row>
    <row r="254" spans="1:34">
      <c r="A254" s="20"/>
      <c r="B254" s="20" t="s">
        <v>110</v>
      </c>
      <c r="C254" s="667"/>
      <c r="D254" s="68" t="s">
        <v>509</v>
      </c>
      <c r="E254" s="679"/>
      <c r="F254" s="529">
        <f>VLOOKUP(D254,'Q3 DMV -  Revenue'!D:T,17,FALSE)</f>
        <v>0</v>
      </c>
      <c r="G254" s="694">
        <v>7521.51</v>
      </c>
      <c r="H254" s="694">
        <v>7997.07</v>
      </c>
      <c r="I254" s="741">
        <v>12504.41</v>
      </c>
      <c r="J254" s="682">
        <f t="shared" si="156"/>
        <v>28022.989999999998</v>
      </c>
      <c r="K254" s="683"/>
      <c r="L254" s="684"/>
      <c r="M254" s="685">
        <v>0</v>
      </c>
      <c r="N254" s="683"/>
      <c r="O254" s="686">
        <v>28022.99</v>
      </c>
      <c r="P254" s="683"/>
      <c r="Q254" s="687">
        <f t="shared" si="158"/>
        <v>0</v>
      </c>
      <c r="R254" s="688"/>
      <c r="S254" s="693"/>
      <c r="T254" s="690"/>
      <c r="U254" s="683"/>
      <c r="V254" s="474">
        <f t="shared" si="152"/>
        <v>0</v>
      </c>
      <c r="W254" s="474">
        <f t="shared" si="144"/>
        <v>0</v>
      </c>
      <c r="X254" s="475">
        <f t="shared" si="145"/>
        <v>0</v>
      </c>
      <c r="Y254" s="475">
        <v>0</v>
      </c>
      <c r="Z254" s="476">
        <v>0</v>
      </c>
      <c r="AA254" s="38">
        <f t="shared" si="153"/>
        <v>0</v>
      </c>
      <c r="AB254" s="692">
        <f t="shared" si="146"/>
        <v>28022.989999999998</v>
      </c>
      <c r="AC254" s="692">
        <f t="shared" si="147"/>
        <v>0</v>
      </c>
      <c r="AD254" s="692">
        <f t="shared" si="148"/>
        <v>0</v>
      </c>
      <c r="AE254" s="38"/>
      <c r="AF254" s="692">
        <f t="shared" si="149"/>
        <v>0</v>
      </c>
      <c r="AG254" s="692">
        <f t="shared" si="150"/>
        <v>0</v>
      </c>
      <c r="AH254" s="692">
        <f t="shared" si="151"/>
        <v>0</v>
      </c>
    </row>
    <row r="255" spans="1:34" s="627" customFormat="1">
      <c r="A255" s="610"/>
      <c r="B255" s="610" t="s">
        <v>110</v>
      </c>
      <c r="C255" s="667" t="s">
        <v>580</v>
      </c>
      <c r="D255" s="612" t="s">
        <v>476</v>
      </c>
      <c r="E255" s="679"/>
      <c r="F255" s="529">
        <f>VLOOKUP(D255,'Q3 DMV -  Revenue'!D:T,17,FALSE)</f>
        <v>-145029.08500000002</v>
      </c>
      <c r="G255" s="680"/>
      <c r="H255" s="680"/>
      <c r="I255" s="681"/>
      <c r="J255" s="682">
        <f t="shared" si="156"/>
        <v>-145029.08500000002</v>
      </c>
      <c r="K255" s="683"/>
      <c r="L255" s="684"/>
      <c r="M255" s="685">
        <v>0</v>
      </c>
      <c r="N255" s="683">
        <v>0</v>
      </c>
      <c r="O255" s="686">
        <v>777371.27</v>
      </c>
      <c r="P255" s="683">
        <v>0</v>
      </c>
      <c r="Q255" s="687">
        <f t="shared" si="158"/>
        <v>0</v>
      </c>
      <c r="R255" s="688"/>
      <c r="S255" s="706"/>
      <c r="T255" s="690" t="str">
        <f t="shared" si="157"/>
        <v/>
      </c>
      <c r="U255" s="707"/>
      <c r="V255" s="474">
        <f t="shared" si="152"/>
        <v>0</v>
      </c>
      <c r="W255" s="474">
        <f t="shared" si="144"/>
        <v>0</v>
      </c>
      <c r="X255" s="475">
        <f t="shared" si="145"/>
        <v>0</v>
      </c>
      <c r="Y255" s="475">
        <v>0</v>
      </c>
      <c r="Z255" s="476">
        <v>0</v>
      </c>
      <c r="AA255" s="38">
        <f t="shared" si="153"/>
        <v>0</v>
      </c>
      <c r="AB255" s="692">
        <f t="shared" si="146"/>
        <v>-145029.08500000002</v>
      </c>
      <c r="AC255" s="692">
        <f t="shared" si="147"/>
        <v>0</v>
      </c>
      <c r="AD255" s="692">
        <f t="shared" si="148"/>
        <v>0</v>
      </c>
      <c r="AE255" s="38"/>
      <c r="AF255" s="692">
        <f t="shared" si="149"/>
        <v>0</v>
      </c>
      <c r="AG255" s="692">
        <f t="shared" si="150"/>
        <v>0</v>
      </c>
      <c r="AH255" s="692">
        <f t="shared" si="151"/>
        <v>0</v>
      </c>
    </row>
    <row r="256" spans="1:34" s="232" customFormat="1">
      <c r="A256" s="283"/>
      <c r="B256" s="283" t="s">
        <v>114</v>
      </c>
      <c r="C256" s="667" t="s">
        <v>580</v>
      </c>
      <c r="D256" s="123" t="s">
        <v>371</v>
      </c>
      <c r="E256" s="679"/>
      <c r="F256" s="529">
        <f>VLOOKUP(D256,'Q3 DMV -  Revenue'!D:T,17,FALSE)</f>
        <v>2036.1149999999998</v>
      </c>
      <c r="G256" s="694">
        <v>4447.82</v>
      </c>
      <c r="H256" s="694">
        <v>3770.63</v>
      </c>
      <c r="I256" s="741">
        <f>3960.19+248.95</f>
        <v>4209.1400000000003</v>
      </c>
      <c r="J256" s="682">
        <f t="shared" si="156"/>
        <v>14463.704999999998</v>
      </c>
      <c r="K256" s="683"/>
      <c r="L256" s="684"/>
      <c r="M256" s="685">
        <v>0</v>
      </c>
      <c r="N256" s="683">
        <v>0</v>
      </c>
      <c r="O256" s="686"/>
      <c r="P256" s="683">
        <v>0</v>
      </c>
      <c r="Q256" s="687">
        <f t="shared" si="158"/>
        <v>0</v>
      </c>
      <c r="R256" s="688"/>
      <c r="S256" s="693"/>
      <c r="T256" s="690" t="str">
        <f t="shared" si="157"/>
        <v/>
      </c>
      <c r="U256" s="683"/>
      <c r="V256" s="474">
        <f t="shared" si="152"/>
        <v>0</v>
      </c>
      <c r="W256" s="474">
        <f t="shared" si="144"/>
        <v>0</v>
      </c>
      <c r="X256" s="475">
        <f t="shared" si="145"/>
        <v>0</v>
      </c>
      <c r="Y256" s="475">
        <v>0</v>
      </c>
      <c r="Z256" s="476">
        <v>0</v>
      </c>
      <c r="AA256" s="38">
        <f t="shared" si="153"/>
        <v>0</v>
      </c>
      <c r="AB256" s="692">
        <f t="shared" si="146"/>
        <v>0</v>
      </c>
      <c r="AC256" s="692">
        <f t="shared" si="147"/>
        <v>0</v>
      </c>
      <c r="AD256" s="692">
        <f t="shared" si="148"/>
        <v>14463.704999999998</v>
      </c>
      <c r="AE256" s="38"/>
      <c r="AF256" s="692">
        <f t="shared" si="149"/>
        <v>0</v>
      </c>
      <c r="AG256" s="692">
        <f t="shared" si="150"/>
        <v>0</v>
      </c>
      <c r="AH256" s="692">
        <f t="shared" si="151"/>
        <v>0</v>
      </c>
    </row>
    <row r="257" spans="1:34" s="232" customFormat="1">
      <c r="A257" s="283"/>
      <c r="B257" s="283" t="s">
        <v>110</v>
      </c>
      <c r="C257" s="667" t="s">
        <v>580</v>
      </c>
      <c r="D257" s="123" t="s">
        <v>422</v>
      </c>
      <c r="E257" s="679"/>
      <c r="F257" s="529">
        <f>VLOOKUP(D257,'Q3 DMV -  Revenue'!D:T,17,FALSE)</f>
        <v>-13815.179999999998</v>
      </c>
      <c r="G257" s="694">
        <v>14807.62</v>
      </c>
      <c r="H257" s="694">
        <v>19006.48</v>
      </c>
      <c r="I257" s="741">
        <v>20479.830000000002</v>
      </c>
      <c r="J257" s="682">
        <f t="shared" si="156"/>
        <v>40478.75</v>
      </c>
      <c r="K257" s="683"/>
      <c r="L257" s="684"/>
      <c r="M257" s="685">
        <v>0</v>
      </c>
      <c r="N257" s="683">
        <v>0</v>
      </c>
      <c r="O257" s="686"/>
      <c r="P257" s="683">
        <v>0</v>
      </c>
      <c r="Q257" s="687">
        <f t="shared" si="158"/>
        <v>0</v>
      </c>
      <c r="R257" s="688"/>
      <c r="S257" s="693"/>
      <c r="T257" s="690" t="str">
        <f t="shared" si="157"/>
        <v/>
      </c>
      <c r="U257" s="683"/>
      <c r="V257" s="474">
        <f t="shared" si="152"/>
        <v>0</v>
      </c>
      <c r="W257" s="474">
        <f t="shared" si="144"/>
        <v>0</v>
      </c>
      <c r="X257" s="475">
        <f t="shared" si="145"/>
        <v>0</v>
      </c>
      <c r="Y257" s="475">
        <v>0</v>
      </c>
      <c r="Z257" s="476">
        <v>0</v>
      </c>
      <c r="AA257" s="38">
        <f t="shared" si="153"/>
        <v>0</v>
      </c>
      <c r="AB257" s="692">
        <f t="shared" si="146"/>
        <v>40478.75</v>
      </c>
      <c r="AC257" s="692">
        <f t="shared" si="147"/>
        <v>0</v>
      </c>
      <c r="AD257" s="692">
        <f t="shared" si="148"/>
        <v>0</v>
      </c>
      <c r="AE257" s="38"/>
      <c r="AF257" s="692">
        <f t="shared" si="149"/>
        <v>0</v>
      </c>
      <c r="AG257" s="692">
        <f t="shared" si="150"/>
        <v>0</v>
      </c>
      <c r="AH257" s="692">
        <f t="shared" si="151"/>
        <v>0</v>
      </c>
    </row>
    <row r="258" spans="1:34" s="232" customFormat="1">
      <c r="A258" s="283"/>
      <c r="B258" s="283" t="s">
        <v>110</v>
      </c>
      <c r="C258" s="667" t="s">
        <v>580</v>
      </c>
      <c r="D258" s="123" t="s">
        <v>442</v>
      </c>
      <c r="E258" s="679"/>
      <c r="F258" s="529">
        <f>VLOOKUP(D258,'Q3 DMV -  Revenue'!D:T,17,FALSE)</f>
        <v>92482.505000000005</v>
      </c>
      <c r="G258" s="694">
        <v>165740.35</v>
      </c>
      <c r="H258" s="694">
        <v>232289.93</v>
      </c>
      <c r="I258" s="741">
        <v>376945.13</v>
      </c>
      <c r="J258" s="682">
        <f t="shared" si="156"/>
        <v>867457.91500000004</v>
      </c>
      <c r="K258" s="683"/>
      <c r="L258" s="684"/>
      <c r="M258" s="685">
        <v>0</v>
      </c>
      <c r="N258" s="683">
        <v>0</v>
      </c>
      <c r="O258" s="686"/>
      <c r="P258" s="683">
        <v>0</v>
      </c>
      <c r="Q258" s="687">
        <f t="shared" si="158"/>
        <v>0</v>
      </c>
      <c r="R258" s="688"/>
      <c r="S258" s="693"/>
      <c r="T258" s="690" t="str">
        <f t="shared" si="157"/>
        <v/>
      </c>
      <c r="U258" s="683"/>
      <c r="V258" s="474">
        <f t="shared" si="152"/>
        <v>0</v>
      </c>
      <c r="W258" s="474">
        <f t="shared" si="144"/>
        <v>0</v>
      </c>
      <c r="X258" s="475">
        <f t="shared" si="145"/>
        <v>0</v>
      </c>
      <c r="Y258" s="475">
        <v>0</v>
      </c>
      <c r="Z258" s="476">
        <v>0</v>
      </c>
      <c r="AA258" s="38">
        <f t="shared" si="153"/>
        <v>0</v>
      </c>
      <c r="AB258" s="692">
        <f t="shared" si="146"/>
        <v>867457.91500000004</v>
      </c>
      <c r="AC258" s="692">
        <f t="shared" si="147"/>
        <v>0</v>
      </c>
      <c r="AD258" s="692">
        <f t="shared" si="148"/>
        <v>0</v>
      </c>
      <c r="AE258" s="38"/>
      <c r="AF258" s="692">
        <f t="shared" si="149"/>
        <v>0</v>
      </c>
      <c r="AG258" s="692">
        <f t="shared" si="150"/>
        <v>0</v>
      </c>
      <c r="AH258" s="692">
        <f t="shared" si="151"/>
        <v>0</v>
      </c>
    </row>
    <row r="259" spans="1:34">
      <c r="A259" s="20"/>
      <c r="B259" s="20" t="s">
        <v>109</v>
      </c>
      <c r="C259" s="667"/>
      <c r="D259" s="68" t="s">
        <v>304</v>
      </c>
      <c r="E259" s="679">
        <v>6294.13</v>
      </c>
      <c r="F259" s="529">
        <f>VLOOKUP(D259,'Q3 DMV -  Revenue'!D:T,17,FALSE)</f>
        <v>0</v>
      </c>
      <c r="G259" s="680"/>
      <c r="H259" s="680"/>
      <c r="I259" s="681"/>
      <c r="J259" s="682">
        <f t="shared" si="156"/>
        <v>6294.13</v>
      </c>
      <c r="K259" s="683"/>
      <c r="L259" s="684"/>
      <c r="M259" s="685">
        <v>0</v>
      </c>
      <c r="N259" s="683">
        <v>0</v>
      </c>
      <c r="O259" s="686">
        <v>6294.13</v>
      </c>
      <c r="P259" s="683">
        <v>0</v>
      </c>
      <c r="Q259" s="687">
        <f t="shared" si="158"/>
        <v>0</v>
      </c>
      <c r="R259" s="688"/>
      <c r="S259" s="693"/>
      <c r="T259" s="690" t="str">
        <f t="shared" si="157"/>
        <v/>
      </c>
      <c r="U259" s="683"/>
      <c r="V259" s="474">
        <f t="shared" si="152"/>
        <v>0</v>
      </c>
      <c r="W259" s="474">
        <f t="shared" si="144"/>
        <v>0</v>
      </c>
      <c r="X259" s="475">
        <f t="shared" si="145"/>
        <v>0</v>
      </c>
      <c r="Y259" s="475">
        <v>0</v>
      </c>
      <c r="Z259" s="476">
        <v>0</v>
      </c>
      <c r="AA259" s="38">
        <f t="shared" si="153"/>
        <v>0</v>
      </c>
      <c r="AB259" s="692">
        <f t="shared" si="146"/>
        <v>0</v>
      </c>
      <c r="AC259" s="692">
        <f t="shared" si="147"/>
        <v>6294.13</v>
      </c>
      <c r="AD259" s="692">
        <f t="shared" si="148"/>
        <v>0</v>
      </c>
      <c r="AE259" s="38"/>
      <c r="AF259" s="692">
        <f t="shared" si="149"/>
        <v>0</v>
      </c>
      <c r="AG259" s="692">
        <f t="shared" si="150"/>
        <v>0</v>
      </c>
      <c r="AH259" s="692">
        <f t="shared" si="151"/>
        <v>0</v>
      </c>
    </row>
    <row r="260" spans="1:34">
      <c r="A260" s="21" t="s">
        <v>97</v>
      </c>
      <c r="B260" s="21" t="s">
        <v>109</v>
      </c>
      <c r="C260" s="666"/>
      <c r="D260" s="68" t="s">
        <v>381</v>
      </c>
      <c r="E260" s="679">
        <v>924.94</v>
      </c>
      <c r="F260" s="529">
        <f>VLOOKUP(D260,'Q3 DMV -  Revenue'!D:T,17,FALSE)</f>
        <v>1398.9099999999999</v>
      </c>
      <c r="G260" s="680"/>
      <c r="H260" s="680"/>
      <c r="I260" s="681"/>
      <c r="J260" s="682">
        <f t="shared" si="156"/>
        <v>2323.85</v>
      </c>
      <c r="K260" s="683"/>
      <c r="L260" s="684"/>
      <c r="M260" s="685">
        <v>2500</v>
      </c>
      <c r="N260" s="683">
        <v>0</v>
      </c>
      <c r="O260" s="686">
        <v>2323.85</v>
      </c>
      <c r="P260" s="683">
        <v>0</v>
      </c>
      <c r="Q260" s="687">
        <f t="shared" si="158"/>
        <v>2500</v>
      </c>
      <c r="R260" s="688">
        <v>0</v>
      </c>
      <c r="S260" s="693"/>
      <c r="T260" s="690">
        <f t="shared" si="157"/>
        <v>-2500</v>
      </c>
      <c r="U260" s="683"/>
      <c r="V260" s="474">
        <f t="shared" si="152"/>
        <v>0</v>
      </c>
      <c r="W260" s="474">
        <f t="shared" si="144"/>
        <v>2500</v>
      </c>
      <c r="X260" s="475">
        <f t="shared" si="145"/>
        <v>0</v>
      </c>
      <c r="Y260" s="475">
        <v>0</v>
      </c>
      <c r="Z260" s="476">
        <v>0</v>
      </c>
      <c r="AA260" s="38">
        <f t="shared" si="153"/>
        <v>0</v>
      </c>
      <c r="AB260" s="692">
        <f t="shared" si="146"/>
        <v>0</v>
      </c>
      <c r="AC260" s="692">
        <f t="shared" si="147"/>
        <v>2323.85</v>
      </c>
      <c r="AD260" s="692">
        <f t="shared" si="148"/>
        <v>0</v>
      </c>
      <c r="AE260" s="38"/>
      <c r="AF260" s="692">
        <f t="shared" si="149"/>
        <v>0</v>
      </c>
      <c r="AG260" s="692">
        <f t="shared" si="150"/>
        <v>2500</v>
      </c>
      <c r="AH260" s="692">
        <f t="shared" si="151"/>
        <v>0</v>
      </c>
    </row>
    <row r="261" spans="1:34">
      <c r="A261" s="21" t="s">
        <v>97</v>
      </c>
      <c r="B261" s="21" t="s">
        <v>114</v>
      </c>
      <c r="C261" s="666"/>
      <c r="D261" s="68" t="s">
        <v>376</v>
      </c>
      <c r="E261" s="679"/>
      <c r="F261" s="529">
        <f>VLOOKUP(D261,'Q3 DMV -  Revenue'!D:T,17,FALSE)</f>
        <v>0</v>
      </c>
      <c r="G261" s="680"/>
      <c r="H261" s="680"/>
      <c r="I261" s="681"/>
      <c r="J261" s="682">
        <f t="shared" si="156"/>
        <v>0</v>
      </c>
      <c r="K261" s="683"/>
      <c r="L261" s="684"/>
      <c r="M261" s="685">
        <v>0</v>
      </c>
      <c r="N261" s="683">
        <v>0</v>
      </c>
      <c r="O261" s="686"/>
      <c r="P261" s="683">
        <v>0</v>
      </c>
      <c r="Q261" s="687">
        <f t="shared" si="158"/>
        <v>0</v>
      </c>
      <c r="R261" s="688"/>
      <c r="S261" s="693"/>
      <c r="T261" s="690" t="str">
        <f t="shared" si="157"/>
        <v/>
      </c>
      <c r="U261" s="683"/>
      <c r="V261" s="474">
        <f t="shared" si="152"/>
        <v>0</v>
      </c>
      <c r="W261" s="474">
        <f t="shared" si="144"/>
        <v>0</v>
      </c>
      <c r="X261" s="475">
        <f t="shared" si="145"/>
        <v>0</v>
      </c>
      <c r="Y261" s="475">
        <v>0</v>
      </c>
      <c r="Z261" s="476">
        <v>0</v>
      </c>
      <c r="AA261" s="38">
        <f t="shared" si="153"/>
        <v>0</v>
      </c>
      <c r="AB261" s="692">
        <f t="shared" si="146"/>
        <v>0</v>
      </c>
      <c r="AC261" s="692">
        <f t="shared" si="147"/>
        <v>0</v>
      </c>
      <c r="AD261" s="692">
        <f t="shared" si="148"/>
        <v>0</v>
      </c>
      <c r="AE261" s="38"/>
      <c r="AF261" s="692">
        <f t="shared" si="149"/>
        <v>0</v>
      </c>
      <c r="AG261" s="692">
        <f t="shared" si="150"/>
        <v>0</v>
      </c>
      <c r="AH261" s="692">
        <f t="shared" si="151"/>
        <v>0</v>
      </c>
    </row>
    <row r="262" spans="1:34">
      <c r="A262" s="20"/>
      <c r="B262" s="20" t="s">
        <v>109</v>
      </c>
      <c r="C262" s="667"/>
      <c r="D262" s="68" t="s">
        <v>390</v>
      </c>
      <c r="E262" s="679">
        <v>353.7</v>
      </c>
      <c r="F262" s="529">
        <f>VLOOKUP(D262,'Q3 DMV -  Revenue'!D:T,17,FALSE)</f>
        <v>408.12</v>
      </c>
      <c r="G262" s="680"/>
      <c r="H262" s="680"/>
      <c r="I262" s="681"/>
      <c r="J262" s="682">
        <f t="shared" si="156"/>
        <v>761.81999999999994</v>
      </c>
      <c r="K262" s="683"/>
      <c r="L262" s="684"/>
      <c r="M262" s="685">
        <v>0</v>
      </c>
      <c r="N262" s="683">
        <v>0</v>
      </c>
      <c r="O262" s="686">
        <v>761.82</v>
      </c>
      <c r="P262" s="683">
        <v>0</v>
      </c>
      <c r="Q262" s="687">
        <f t="shared" si="158"/>
        <v>0</v>
      </c>
      <c r="R262" s="688">
        <v>405.54</v>
      </c>
      <c r="S262" s="693"/>
      <c r="T262" s="690">
        <f t="shared" si="157"/>
        <v>405.54</v>
      </c>
      <c r="U262" s="683"/>
      <c r="V262" s="474">
        <f t="shared" si="152"/>
        <v>0</v>
      </c>
      <c r="W262" s="474">
        <f t="shared" si="144"/>
        <v>0</v>
      </c>
      <c r="X262" s="475">
        <f t="shared" si="145"/>
        <v>0</v>
      </c>
      <c r="Y262" s="475">
        <v>0</v>
      </c>
      <c r="Z262" s="476">
        <v>0</v>
      </c>
      <c r="AA262" s="38">
        <f t="shared" si="153"/>
        <v>0</v>
      </c>
      <c r="AB262" s="692">
        <f t="shared" si="146"/>
        <v>0</v>
      </c>
      <c r="AC262" s="692">
        <f t="shared" si="147"/>
        <v>761.81999999999994</v>
      </c>
      <c r="AD262" s="692">
        <f t="shared" si="148"/>
        <v>0</v>
      </c>
      <c r="AE262" s="38"/>
      <c r="AF262" s="692">
        <f t="shared" si="149"/>
        <v>0</v>
      </c>
      <c r="AG262" s="692">
        <f t="shared" si="150"/>
        <v>0</v>
      </c>
      <c r="AH262" s="692">
        <f t="shared" si="151"/>
        <v>0</v>
      </c>
    </row>
    <row r="263" spans="1:34">
      <c r="A263" s="20"/>
      <c r="B263" s="20" t="s">
        <v>110</v>
      </c>
      <c r="C263" s="667" t="s">
        <v>581</v>
      </c>
      <c r="D263" s="123" t="s">
        <v>166</v>
      </c>
      <c r="E263" s="679">
        <v>-2491.2199999999998</v>
      </c>
      <c r="F263" s="529">
        <f>VLOOKUP(D263,'Q3 DMV -  Revenue'!D:T,17,FALSE)</f>
        <v>-1930.6155771000001</v>
      </c>
      <c r="G263" s="680"/>
      <c r="H263" s="680"/>
      <c r="I263" s="681"/>
      <c r="J263" s="682">
        <f t="shared" si="156"/>
        <v>-4421.8355770999997</v>
      </c>
      <c r="K263" s="683"/>
      <c r="L263" s="684"/>
      <c r="M263" s="685">
        <v>0</v>
      </c>
      <c r="N263" s="683">
        <v>0</v>
      </c>
      <c r="O263" s="686">
        <v>-5367.06</v>
      </c>
      <c r="P263" s="683">
        <v>0</v>
      </c>
      <c r="Q263" s="687">
        <f t="shared" si="158"/>
        <v>0</v>
      </c>
      <c r="R263" s="688"/>
      <c r="S263" s="693"/>
      <c r="T263" s="690" t="str">
        <f t="shared" si="157"/>
        <v/>
      </c>
      <c r="U263" s="683"/>
      <c r="V263" s="474">
        <f t="shared" si="152"/>
        <v>0</v>
      </c>
      <c r="W263" s="474">
        <f t="shared" si="144"/>
        <v>0</v>
      </c>
      <c r="X263" s="475">
        <f t="shared" si="145"/>
        <v>0</v>
      </c>
      <c r="Y263" s="475">
        <v>0</v>
      </c>
      <c r="Z263" s="476">
        <v>0</v>
      </c>
      <c r="AA263" s="38">
        <f t="shared" si="153"/>
        <v>0</v>
      </c>
      <c r="AB263" s="692">
        <f t="shared" si="146"/>
        <v>-4421.8355770999997</v>
      </c>
      <c r="AC263" s="692">
        <f t="shared" si="147"/>
        <v>0</v>
      </c>
      <c r="AD263" s="692">
        <f t="shared" si="148"/>
        <v>0</v>
      </c>
      <c r="AE263" s="38"/>
      <c r="AF263" s="692">
        <f t="shared" si="149"/>
        <v>0</v>
      </c>
      <c r="AG263" s="692">
        <f t="shared" si="150"/>
        <v>0</v>
      </c>
      <c r="AH263" s="692">
        <f t="shared" si="151"/>
        <v>0</v>
      </c>
    </row>
    <row r="264" spans="1:34">
      <c r="A264" s="20"/>
      <c r="B264" s="20" t="s">
        <v>109</v>
      </c>
      <c r="C264" s="667" t="s">
        <v>581</v>
      </c>
      <c r="D264" s="123" t="s">
        <v>165</v>
      </c>
      <c r="E264" s="679"/>
      <c r="F264" s="529">
        <f>VLOOKUP(D264,'Q3 DMV -  Revenue'!D:T,17,FALSE)</f>
        <v>-3436.4423371499997</v>
      </c>
      <c r="G264" s="680"/>
      <c r="H264" s="680"/>
      <c r="I264" s="681"/>
      <c r="J264" s="682">
        <f t="shared" si="156"/>
        <v>-3436.4423371499997</v>
      </c>
      <c r="K264" s="683"/>
      <c r="L264" s="684"/>
      <c r="M264" s="685">
        <v>0</v>
      </c>
      <c r="N264" s="683">
        <v>0</v>
      </c>
      <c r="O264" s="686"/>
      <c r="P264" s="683">
        <v>0</v>
      </c>
      <c r="Q264" s="687">
        <f t="shared" si="158"/>
        <v>0</v>
      </c>
      <c r="R264" s="688"/>
      <c r="S264" s="693"/>
      <c r="T264" s="690" t="str">
        <f t="shared" si="157"/>
        <v/>
      </c>
      <c r="U264" s="683"/>
      <c r="V264" s="474">
        <f t="shared" si="152"/>
        <v>0</v>
      </c>
      <c r="W264" s="474">
        <f t="shared" si="144"/>
        <v>0</v>
      </c>
      <c r="X264" s="475">
        <f t="shared" si="145"/>
        <v>0</v>
      </c>
      <c r="Y264" s="475">
        <v>0</v>
      </c>
      <c r="Z264" s="476">
        <v>0</v>
      </c>
      <c r="AA264" s="38">
        <f t="shared" si="153"/>
        <v>0</v>
      </c>
      <c r="AB264" s="692">
        <f t="shared" si="146"/>
        <v>0</v>
      </c>
      <c r="AC264" s="692">
        <f t="shared" si="147"/>
        <v>-3436.4423371499997</v>
      </c>
      <c r="AD264" s="692">
        <f t="shared" si="148"/>
        <v>0</v>
      </c>
      <c r="AE264" s="38"/>
      <c r="AF264" s="692">
        <f t="shared" si="149"/>
        <v>0</v>
      </c>
      <c r="AG264" s="692">
        <f t="shared" si="150"/>
        <v>0</v>
      </c>
      <c r="AH264" s="692">
        <f t="shared" si="151"/>
        <v>0</v>
      </c>
    </row>
    <row r="265" spans="1:34">
      <c r="A265" s="20"/>
      <c r="B265" s="20" t="s">
        <v>109</v>
      </c>
      <c r="C265" s="667"/>
      <c r="D265" s="123" t="s">
        <v>310</v>
      </c>
      <c r="E265" s="679"/>
      <c r="F265" s="529">
        <f>VLOOKUP(D265,'Q3 DMV -  Revenue'!D:T,17,FALSE)</f>
        <v>0</v>
      </c>
      <c r="G265" s="680"/>
      <c r="H265" s="680"/>
      <c r="I265" s="681"/>
      <c r="J265" s="682">
        <f t="shared" si="156"/>
        <v>0</v>
      </c>
      <c r="K265" s="683"/>
      <c r="L265" s="684"/>
      <c r="M265" s="685">
        <v>0</v>
      </c>
      <c r="N265" s="683">
        <v>0</v>
      </c>
      <c r="O265" s="686"/>
      <c r="P265" s="683">
        <v>0</v>
      </c>
      <c r="Q265" s="687">
        <f t="shared" si="158"/>
        <v>0</v>
      </c>
      <c r="R265" s="688"/>
      <c r="S265" s="693"/>
      <c r="T265" s="690" t="str">
        <f t="shared" si="157"/>
        <v/>
      </c>
      <c r="U265" s="683"/>
      <c r="V265" s="474">
        <f t="shared" si="152"/>
        <v>0</v>
      </c>
      <c r="W265" s="474">
        <f t="shared" si="144"/>
        <v>0</v>
      </c>
      <c r="X265" s="475">
        <f t="shared" si="145"/>
        <v>0</v>
      </c>
      <c r="Y265" s="475">
        <v>0</v>
      </c>
      <c r="Z265" s="476">
        <v>0</v>
      </c>
      <c r="AA265" s="38">
        <f t="shared" si="153"/>
        <v>0</v>
      </c>
      <c r="AB265" s="692">
        <f t="shared" si="146"/>
        <v>0</v>
      </c>
      <c r="AC265" s="692">
        <f t="shared" si="147"/>
        <v>0</v>
      </c>
      <c r="AD265" s="692">
        <f t="shared" si="148"/>
        <v>0</v>
      </c>
      <c r="AE265" s="38"/>
      <c r="AF265" s="692">
        <f t="shared" si="149"/>
        <v>0</v>
      </c>
      <c r="AG265" s="692">
        <f t="shared" si="150"/>
        <v>0</v>
      </c>
      <c r="AH265" s="692">
        <f t="shared" si="151"/>
        <v>0</v>
      </c>
    </row>
    <row r="266" spans="1:34">
      <c r="A266" s="20"/>
      <c r="B266" s="20" t="s">
        <v>109</v>
      </c>
      <c r="C266" s="667"/>
      <c r="D266" s="123" t="s">
        <v>441</v>
      </c>
      <c r="E266" s="679"/>
      <c r="F266" s="529">
        <f>VLOOKUP(D266,'Q3 DMV -  Revenue'!D:T,17,FALSE)</f>
        <v>0</v>
      </c>
      <c r="G266" s="680"/>
      <c r="H266" s="680"/>
      <c r="I266" s="681"/>
      <c r="J266" s="682">
        <f t="shared" si="156"/>
        <v>0</v>
      </c>
      <c r="K266" s="683"/>
      <c r="L266" s="684"/>
      <c r="M266" s="685">
        <v>0</v>
      </c>
      <c r="N266" s="683">
        <v>0</v>
      </c>
      <c r="O266" s="686"/>
      <c r="P266" s="683">
        <v>0</v>
      </c>
      <c r="Q266" s="687">
        <f t="shared" si="158"/>
        <v>0</v>
      </c>
      <c r="R266" s="688"/>
      <c r="S266" s="693"/>
      <c r="T266" s="690" t="str">
        <f t="shared" si="157"/>
        <v/>
      </c>
      <c r="U266" s="683"/>
      <c r="V266" s="474">
        <f t="shared" si="152"/>
        <v>0</v>
      </c>
      <c r="W266" s="474">
        <f t="shared" si="144"/>
        <v>0</v>
      </c>
      <c r="X266" s="475">
        <f t="shared" si="145"/>
        <v>0</v>
      </c>
      <c r="Y266" s="475">
        <v>0</v>
      </c>
      <c r="Z266" s="476">
        <v>0</v>
      </c>
      <c r="AA266" s="38">
        <f t="shared" si="153"/>
        <v>0</v>
      </c>
      <c r="AB266" s="692">
        <f t="shared" si="146"/>
        <v>0</v>
      </c>
      <c r="AC266" s="692">
        <f t="shared" si="147"/>
        <v>0</v>
      </c>
      <c r="AD266" s="692">
        <f t="shared" si="148"/>
        <v>0</v>
      </c>
      <c r="AE266" s="38"/>
      <c r="AF266" s="692">
        <f t="shared" si="149"/>
        <v>0</v>
      </c>
      <c r="AG266" s="692">
        <f t="shared" si="150"/>
        <v>0</v>
      </c>
      <c r="AH266" s="692">
        <f t="shared" si="151"/>
        <v>0</v>
      </c>
    </row>
    <row r="267" spans="1:34">
      <c r="A267" s="20"/>
      <c r="B267" s="20" t="s">
        <v>109</v>
      </c>
      <c r="C267" s="667"/>
      <c r="D267" s="68" t="s">
        <v>121</v>
      </c>
      <c r="E267" s="679"/>
      <c r="F267" s="529">
        <f>VLOOKUP(D267,'Q3 DMV -  Revenue'!D:T,17,FALSE)</f>
        <v>0</v>
      </c>
      <c r="G267" s="680"/>
      <c r="H267" s="680"/>
      <c r="I267" s="681"/>
      <c r="J267" s="682">
        <f t="shared" si="156"/>
        <v>0</v>
      </c>
      <c r="K267" s="683"/>
      <c r="L267" s="684"/>
      <c r="M267" s="685">
        <v>0</v>
      </c>
      <c r="N267" s="683">
        <v>0</v>
      </c>
      <c r="O267" s="686"/>
      <c r="P267" s="683">
        <v>0</v>
      </c>
      <c r="Q267" s="687">
        <f t="shared" si="158"/>
        <v>0</v>
      </c>
      <c r="R267" s="688"/>
      <c r="S267" s="693"/>
      <c r="T267" s="690" t="str">
        <f t="shared" si="157"/>
        <v/>
      </c>
      <c r="U267" s="683"/>
      <c r="V267" s="474">
        <f t="shared" si="152"/>
        <v>0</v>
      </c>
      <c r="W267" s="474">
        <f t="shared" si="144"/>
        <v>0</v>
      </c>
      <c r="X267" s="475">
        <f t="shared" si="145"/>
        <v>0</v>
      </c>
      <c r="Y267" s="475">
        <v>0</v>
      </c>
      <c r="Z267" s="476">
        <v>0</v>
      </c>
      <c r="AA267" s="38">
        <f t="shared" si="153"/>
        <v>0</v>
      </c>
      <c r="AB267" s="692">
        <f t="shared" si="146"/>
        <v>0</v>
      </c>
      <c r="AC267" s="692">
        <f t="shared" si="147"/>
        <v>0</v>
      </c>
      <c r="AD267" s="692">
        <f t="shared" si="148"/>
        <v>0</v>
      </c>
      <c r="AE267" s="38"/>
      <c r="AF267" s="692">
        <f t="shared" si="149"/>
        <v>0</v>
      </c>
      <c r="AG267" s="692">
        <f t="shared" si="150"/>
        <v>0</v>
      </c>
      <c r="AH267" s="692">
        <f t="shared" si="151"/>
        <v>0</v>
      </c>
    </row>
    <row r="268" spans="1:34">
      <c r="A268" s="20"/>
      <c r="B268" s="20" t="s">
        <v>110</v>
      </c>
      <c r="C268" s="667"/>
      <c r="D268" s="68" t="s">
        <v>168</v>
      </c>
      <c r="E268" s="679"/>
      <c r="F268" s="529">
        <f>VLOOKUP(D268,'Q3 DMV -  Revenue'!D:T,17,FALSE)</f>
        <v>0</v>
      </c>
      <c r="G268" s="680"/>
      <c r="H268" s="680"/>
      <c r="I268" s="681"/>
      <c r="J268" s="682">
        <f t="shared" si="156"/>
        <v>0</v>
      </c>
      <c r="K268" s="683"/>
      <c r="L268" s="684"/>
      <c r="M268" s="685">
        <v>0</v>
      </c>
      <c r="N268" s="683">
        <v>0</v>
      </c>
      <c r="O268" s="686">
        <v>-37.46</v>
      </c>
      <c r="P268" s="683">
        <v>0</v>
      </c>
      <c r="Q268" s="687">
        <f t="shared" si="158"/>
        <v>0</v>
      </c>
      <c r="R268" s="688"/>
      <c r="S268" s="693"/>
      <c r="T268" s="690" t="str">
        <f t="shared" si="157"/>
        <v/>
      </c>
      <c r="U268" s="683"/>
      <c r="V268" s="474">
        <f t="shared" si="152"/>
        <v>0</v>
      </c>
      <c r="W268" s="474">
        <f t="shared" si="144"/>
        <v>0</v>
      </c>
      <c r="X268" s="475">
        <f t="shared" si="145"/>
        <v>0</v>
      </c>
      <c r="Y268" s="475">
        <v>0</v>
      </c>
      <c r="Z268" s="476">
        <v>0</v>
      </c>
      <c r="AA268" s="38">
        <f t="shared" si="153"/>
        <v>0</v>
      </c>
      <c r="AB268" s="692">
        <f t="shared" si="146"/>
        <v>0</v>
      </c>
      <c r="AC268" s="692">
        <f t="shared" si="147"/>
        <v>0</v>
      </c>
      <c r="AD268" s="692">
        <f t="shared" si="148"/>
        <v>0</v>
      </c>
      <c r="AE268" s="38"/>
      <c r="AF268" s="692">
        <f t="shared" si="149"/>
        <v>0</v>
      </c>
      <c r="AG268" s="692">
        <f t="shared" si="150"/>
        <v>0</v>
      </c>
      <c r="AH268" s="692">
        <f t="shared" si="151"/>
        <v>0</v>
      </c>
    </row>
    <row r="269" spans="1:34">
      <c r="A269" s="20"/>
      <c r="B269" s="20" t="s">
        <v>109</v>
      </c>
      <c r="C269" s="667" t="s">
        <v>582</v>
      </c>
      <c r="D269" s="68" t="s">
        <v>167</v>
      </c>
      <c r="E269" s="679"/>
      <c r="F269" s="529">
        <f>VLOOKUP(D269,'Q3 DMV -  Revenue'!D:T,17,FALSE)</f>
        <v>-37.454999999999998</v>
      </c>
      <c r="G269" s="680"/>
      <c r="H269" s="680"/>
      <c r="I269" s="681"/>
      <c r="J269" s="682">
        <f t="shared" si="156"/>
        <v>-37.454999999999998</v>
      </c>
      <c r="K269" s="683"/>
      <c r="L269" s="684"/>
      <c r="M269" s="685">
        <v>0</v>
      </c>
      <c r="N269" s="683">
        <v>0</v>
      </c>
      <c r="O269" s="686"/>
      <c r="P269" s="683">
        <v>0</v>
      </c>
      <c r="Q269" s="687">
        <f t="shared" si="158"/>
        <v>0</v>
      </c>
      <c r="R269" s="688">
        <v>62.98</v>
      </c>
      <c r="S269" s="693"/>
      <c r="T269" s="690">
        <f t="shared" si="157"/>
        <v>62.98</v>
      </c>
      <c r="U269" s="683"/>
      <c r="V269" s="474">
        <f t="shared" si="152"/>
        <v>0</v>
      </c>
      <c r="W269" s="474">
        <f t="shared" si="144"/>
        <v>0</v>
      </c>
      <c r="X269" s="475">
        <f t="shared" si="145"/>
        <v>0</v>
      </c>
      <c r="Y269" s="475">
        <v>0</v>
      </c>
      <c r="Z269" s="476">
        <v>0</v>
      </c>
      <c r="AA269" s="38">
        <f t="shared" si="153"/>
        <v>0</v>
      </c>
      <c r="AB269" s="692">
        <f t="shared" si="146"/>
        <v>0</v>
      </c>
      <c r="AC269" s="692">
        <f t="shared" si="147"/>
        <v>-37.454999999999998</v>
      </c>
      <c r="AD269" s="692">
        <f t="shared" si="148"/>
        <v>0</v>
      </c>
      <c r="AE269" s="38"/>
      <c r="AF269" s="692">
        <f t="shared" si="149"/>
        <v>0</v>
      </c>
      <c r="AG269" s="692">
        <f t="shared" si="150"/>
        <v>0</v>
      </c>
      <c r="AH269" s="692">
        <f t="shared" si="151"/>
        <v>0</v>
      </c>
    </row>
    <row r="270" spans="1:34">
      <c r="A270" s="20" t="s">
        <v>218</v>
      </c>
      <c r="B270" s="20" t="s">
        <v>110</v>
      </c>
      <c r="C270" s="667"/>
      <c r="D270" s="68" t="s">
        <v>240</v>
      </c>
      <c r="E270" s="679"/>
      <c r="F270" s="529">
        <f>VLOOKUP(D270,'Q3 DMV -  Revenue'!D:T,17,FALSE)</f>
        <v>0</v>
      </c>
      <c r="G270" s="680"/>
      <c r="H270" s="680"/>
      <c r="I270" s="681"/>
      <c r="J270" s="682">
        <f t="shared" si="156"/>
        <v>0</v>
      </c>
      <c r="K270" s="683"/>
      <c r="L270" s="684"/>
      <c r="M270" s="685">
        <v>0</v>
      </c>
      <c r="N270" s="683">
        <v>0</v>
      </c>
      <c r="O270" s="686"/>
      <c r="P270" s="683">
        <v>0</v>
      </c>
      <c r="Q270" s="687">
        <f t="shared" si="158"/>
        <v>0</v>
      </c>
      <c r="R270" s="688"/>
      <c r="S270" s="693"/>
      <c r="T270" s="690" t="str">
        <f t="shared" si="157"/>
        <v/>
      </c>
      <c r="U270" s="697"/>
      <c r="V270" s="474">
        <f t="shared" si="152"/>
        <v>0</v>
      </c>
      <c r="W270" s="474">
        <f t="shared" si="144"/>
        <v>0</v>
      </c>
      <c r="X270" s="475">
        <f t="shared" si="145"/>
        <v>0</v>
      </c>
      <c r="Y270" s="475">
        <v>0</v>
      </c>
      <c r="Z270" s="476">
        <v>0</v>
      </c>
      <c r="AA270" s="38">
        <f t="shared" si="153"/>
        <v>0</v>
      </c>
      <c r="AB270" s="692">
        <f t="shared" si="146"/>
        <v>0</v>
      </c>
      <c r="AC270" s="692">
        <f t="shared" si="147"/>
        <v>0</v>
      </c>
      <c r="AD270" s="692">
        <f t="shared" si="148"/>
        <v>0</v>
      </c>
      <c r="AE270" s="38"/>
      <c r="AF270" s="692">
        <f t="shared" si="149"/>
        <v>0</v>
      </c>
      <c r="AG270" s="692">
        <f t="shared" si="150"/>
        <v>0</v>
      </c>
      <c r="AH270" s="692">
        <f t="shared" si="151"/>
        <v>0</v>
      </c>
    </row>
    <row r="271" spans="1:34">
      <c r="A271" s="20" t="s">
        <v>218</v>
      </c>
      <c r="B271" s="20" t="s">
        <v>110</v>
      </c>
      <c r="C271" s="667"/>
      <c r="D271" s="68" t="s">
        <v>60</v>
      </c>
      <c r="E271" s="679"/>
      <c r="F271" s="529">
        <f>VLOOKUP(D271,'Q3 DMV -  Revenue'!D:T,17,FALSE)</f>
        <v>7816.21</v>
      </c>
      <c r="G271" s="680"/>
      <c r="H271" s="680"/>
      <c r="I271" s="681"/>
      <c r="J271" s="682">
        <f t="shared" si="156"/>
        <v>7816.21</v>
      </c>
      <c r="K271" s="683"/>
      <c r="L271" s="684"/>
      <c r="M271" s="685">
        <v>7500</v>
      </c>
      <c r="N271" s="683">
        <v>0</v>
      </c>
      <c r="O271" s="686">
        <v>7816.21</v>
      </c>
      <c r="P271" s="683">
        <v>0</v>
      </c>
      <c r="Q271" s="687">
        <v>0</v>
      </c>
      <c r="R271" s="688">
        <f>2211.97+2864.5+3047.94</f>
        <v>8124.41</v>
      </c>
      <c r="S271" s="693"/>
      <c r="T271" s="690">
        <f t="shared" si="157"/>
        <v>8124.41</v>
      </c>
      <c r="U271" s="697"/>
      <c r="V271" s="474">
        <f t="shared" si="152"/>
        <v>0</v>
      </c>
      <c r="W271" s="474">
        <f t="shared" si="144"/>
        <v>0</v>
      </c>
      <c r="X271" s="475">
        <f t="shared" si="145"/>
        <v>0</v>
      </c>
      <c r="Y271" s="475">
        <v>0</v>
      </c>
      <c r="Z271" s="476">
        <v>0</v>
      </c>
      <c r="AA271" s="38">
        <f t="shared" si="153"/>
        <v>7500</v>
      </c>
      <c r="AB271" s="692">
        <f t="shared" si="146"/>
        <v>7816.21</v>
      </c>
      <c r="AC271" s="692">
        <f t="shared" si="147"/>
        <v>0</v>
      </c>
      <c r="AD271" s="692">
        <f t="shared" si="148"/>
        <v>0</v>
      </c>
      <c r="AE271" s="38"/>
      <c r="AF271" s="692">
        <f t="shared" si="149"/>
        <v>0</v>
      </c>
      <c r="AG271" s="692">
        <f t="shared" si="150"/>
        <v>0</v>
      </c>
      <c r="AH271" s="692">
        <f t="shared" si="151"/>
        <v>0</v>
      </c>
    </row>
    <row r="272" spans="1:34">
      <c r="A272" s="20"/>
      <c r="B272" s="20" t="s">
        <v>110</v>
      </c>
      <c r="C272" s="667"/>
      <c r="D272" s="68" t="s">
        <v>61</v>
      </c>
      <c r="E272" s="679"/>
      <c r="F272" s="529">
        <f>VLOOKUP(D272,'Q3 DMV -  Revenue'!D:T,17,FALSE)</f>
        <v>0</v>
      </c>
      <c r="G272" s="680"/>
      <c r="H272" s="680"/>
      <c r="I272" s="681"/>
      <c r="J272" s="682">
        <f t="shared" si="156"/>
        <v>0</v>
      </c>
      <c r="K272" s="683"/>
      <c r="L272" s="684"/>
      <c r="M272" s="685">
        <v>0</v>
      </c>
      <c r="N272" s="683">
        <v>0</v>
      </c>
      <c r="O272" s="686"/>
      <c r="P272" s="683">
        <v>0</v>
      </c>
      <c r="Q272" s="687">
        <f t="shared" si="158"/>
        <v>0</v>
      </c>
      <c r="R272" s="688"/>
      <c r="S272" s="693"/>
      <c r="T272" s="690" t="str">
        <f t="shared" si="157"/>
        <v/>
      </c>
      <c r="U272" s="697"/>
      <c r="V272" s="474">
        <f t="shared" si="152"/>
        <v>0</v>
      </c>
      <c r="W272" s="474">
        <f t="shared" si="144"/>
        <v>0</v>
      </c>
      <c r="X272" s="475">
        <f t="shared" si="145"/>
        <v>0</v>
      </c>
      <c r="Y272" s="475">
        <v>0</v>
      </c>
      <c r="Z272" s="476">
        <v>0</v>
      </c>
      <c r="AA272" s="38">
        <f t="shared" si="153"/>
        <v>0</v>
      </c>
      <c r="AB272" s="692">
        <f t="shared" si="146"/>
        <v>0</v>
      </c>
      <c r="AC272" s="692">
        <f t="shared" si="147"/>
        <v>0</v>
      </c>
      <c r="AD272" s="692">
        <f t="shared" si="148"/>
        <v>0</v>
      </c>
      <c r="AE272" s="38"/>
      <c r="AF272" s="692">
        <f t="shared" si="149"/>
        <v>0</v>
      </c>
      <c r="AG272" s="692">
        <f t="shared" si="150"/>
        <v>0</v>
      </c>
      <c r="AH272" s="692">
        <f t="shared" si="151"/>
        <v>0</v>
      </c>
    </row>
    <row r="273" spans="1:34">
      <c r="A273" s="20"/>
      <c r="B273" s="20" t="s">
        <v>110</v>
      </c>
      <c r="C273" s="667" t="s">
        <v>583</v>
      </c>
      <c r="D273" s="68" t="s">
        <v>169</v>
      </c>
      <c r="E273" s="679"/>
      <c r="F273" s="529">
        <f>VLOOKUP(D273,'Q3 DMV -  Revenue'!D:T,17,FALSE)</f>
        <v>-222.01000000000022</v>
      </c>
      <c r="G273" s="694">
        <v>335.96</v>
      </c>
      <c r="H273" s="694">
        <v>236.71</v>
      </c>
      <c r="I273" s="741">
        <v>216.64</v>
      </c>
      <c r="J273" s="682">
        <f t="shared" si="156"/>
        <v>567.29999999999973</v>
      </c>
      <c r="K273" s="683"/>
      <c r="L273" s="684"/>
      <c r="M273" s="685">
        <v>0</v>
      </c>
      <c r="N273" s="683">
        <v>0</v>
      </c>
      <c r="O273" s="686">
        <v>6816.3</v>
      </c>
      <c r="P273" s="683">
        <v>0</v>
      </c>
      <c r="Q273" s="687">
        <f t="shared" si="158"/>
        <v>0</v>
      </c>
      <c r="R273" s="688"/>
      <c r="S273" s="693"/>
      <c r="T273" s="690" t="str">
        <f t="shared" si="157"/>
        <v/>
      </c>
      <c r="U273" s="683"/>
      <c r="V273" s="474">
        <f t="shared" si="152"/>
        <v>0</v>
      </c>
      <c r="W273" s="474">
        <f t="shared" si="144"/>
        <v>0</v>
      </c>
      <c r="X273" s="475">
        <f t="shared" si="145"/>
        <v>0</v>
      </c>
      <c r="Y273" s="475">
        <v>0</v>
      </c>
      <c r="Z273" s="476">
        <v>0</v>
      </c>
      <c r="AA273" s="38">
        <f t="shared" si="153"/>
        <v>0</v>
      </c>
      <c r="AB273" s="692">
        <f t="shared" si="146"/>
        <v>567.29999999999973</v>
      </c>
      <c r="AC273" s="692">
        <f t="shared" si="147"/>
        <v>0</v>
      </c>
      <c r="AD273" s="692">
        <f t="shared" si="148"/>
        <v>0</v>
      </c>
      <c r="AE273" s="38"/>
      <c r="AF273" s="692">
        <f t="shared" si="149"/>
        <v>0</v>
      </c>
      <c r="AG273" s="692">
        <f t="shared" si="150"/>
        <v>0</v>
      </c>
      <c r="AH273" s="692">
        <f t="shared" si="151"/>
        <v>0</v>
      </c>
    </row>
    <row r="274" spans="1:34">
      <c r="A274" s="21"/>
      <c r="B274" s="21" t="s">
        <v>110</v>
      </c>
      <c r="C274" s="666"/>
      <c r="D274" s="68" t="s">
        <v>590</v>
      </c>
      <c r="E274" s="679"/>
      <c r="F274" s="529">
        <f>VLOOKUP(D274,'Q3 DMV -  Revenue'!D:T,17,FALSE)</f>
        <v>0</v>
      </c>
      <c r="G274" s="740">
        <f>68+13.7</f>
        <v>81.7</v>
      </c>
      <c r="H274" s="694">
        <f>745+99.12</f>
        <v>844.12</v>
      </c>
      <c r="I274" s="741">
        <f>152.93+454</f>
        <v>606.93000000000006</v>
      </c>
      <c r="J274" s="682">
        <f t="shared" si="156"/>
        <v>1532.75</v>
      </c>
      <c r="K274" s="683"/>
      <c r="L274" s="684"/>
      <c r="M274" s="685">
        <v>0</v>
      </c>
      <c r="N274" s="683">
        <v>0</v>
      </c>
      <c r="O274" s="686">
        <v>3023.15</v>
      </c>
      <c r="P274" s="683">
        <v>0</v>
      </c>
      <c r="Q274" s="687">
        <f t="shared" si="158"/>
        <v>0</v>
      </c>
      <c r="R274" s="688"/>
      <c r="S274" s="693"/>
      <c r="T274" s="690" t="str">
        <f t="shared" si="157"/>
        <v/>
      </c>
      <c r="U274" s="683"/>
      <c r="V274" s="474">
        <f t="shared" si="152"/>
        <v>0</v>
      </c>
      <c r="W274" s="474">
        <f t="shared" si="144"/>
        <v>0</v>
      </c>
      <c r="X274" s="475">
        <f t="shared" si="145"/>
        <v>0</v>
      </c>
      <c r="Y274" s="475">
        <v>0</v>
      </c>
      <c r="Z274" s="476">
        <v>0</v>
      </c>
      <c r="AA274" s="38">
        <f t="shared" si="153"/>
        <v>0</v>
      </c>
      <c r="AB274" s="692">
        <f t="shared" si="146"/>
        <v>1532.75</v>
      </c>
      <c r="AC274" s="692">
        <f t="shared" si="147"/>
        <v>0</v>
      </c>
      <c r="AD274" s="692">
        <f t="shared" si="148"/>
        <v>0</v>
      </c>
      <c r="AE274" s="38"/>
      <c r="AF274" s="692">
        <f t="shared" si="149"/>
        <v>0</v>
      </c>
      <c r="AG274" s="692">
        <f t="shared" si="150"/>
        <v>0</v>
      </c>
      <c r="AH274" s="692">
        <f t="shared" si="151"/>
        <v>0</v>
      </c>
    </row>
    <row r="275" spans="1:34">
      <c r="A275" s="21"/>
      <c r="B275" s="21" t="s">
        <v>114</v>
      </c>
      <c r="C275" s="666"/>
      <c r="D275" s="68" t="s">
        <v>591</v>
      </c>
      <c r="E275" s="679"/>
      <c r="F275" s="529"/>
      <c r="G275" s="694">
        <f>252.59+56.41</f>
        <v>309</v>
      </c>
      <c r="H275" s="694">
        <f>608.27+244.01</f>
        <v>852.28</v>
      </c>
      <c r="I275" s="741">
        <f>218.9+110.22</f>
        <v>329.12</v>
      </c>
      <c r="J275" s="682">
        <f t="shared" ref="J275:J279" si="184">SUM(E275:I275)</f>
        <v>1490.4</v>
      </c>
      <c r="K275" s="683"/>
      <c r="L275" s="684"/>
      <c r="M275" s="685">
        <v>0</v>
      </c>
      <c r="N275" s="683">
        <v>0</v>
      </c>
      <c r="O275" s="686"/>
      <c r="P275" s="683">
        <v>0</v>
      </c>
      <c r="Q275" s="687">
        <f t="shared" ref="Q275" si="185">L275+M275</f>
        <v>0</v>
      </c>
      <c r="R275" s="688"/>
      <c r="S275" s="693"/>
      <c r="T275" s="690" t="str">
        <f t="shared" ref="T275" si="186">IF(R275="","",R275-Q275)</f>
        <v/>
      </c>
      <c r="U275" s="683"/>
      <c r="V275" s="474">
        <f t="shared" ref="V275" si="187">IF(B275="D",Q275,0)</f>
        <v>0</v>
      </c>
      <c r="W275" s="474">
        <f t="shared" ref="W275" si="188">IF(B275="M",Q275,0)</f>
        <v>0</v>
      </c>
      <c r="X275" s="475">
        <f t="shared" ref="X275" si="189">IF(B275="V",Q275,0)</f>
        <v>0</v>
      </c>
      <c r="Y275" s="475">
        <v>0</v>
      </c>
      <c r="Z275" s="476">
        <v>0</v>
      </c>
      <c r="AA275" s="38">
        <f t="shared" ref="AA275" si="190">(L275+M275)-(V275+W275+X275+Y275+Z275)</f>
        <v>0</v>
      </c>
      <c r="AB275" s="692">
        <f t="shared" ref="AB275" si="191">IF(B275="D",J275,0)</f>
        <v>0</v>
      </c>
      <c r="AC275" s="692">
        <f t="shared" ref="AC275" si="192">IF(B275="M",J275,0)</f>
        <v>0</v>
      </c>
      <c r="AD275" s="692">
        <f t="shared" ref="AD275" si="193">IF(B275="V",J275,0)</f>
        <v>1490.4</v>
      </c>
      <c r="AE275" s="38"/>
      <c r="AF275" s="692">
        <f t="shared" ref="AF275" si="194">IF(B275="D",Q275,0)</f>
        <v>0</v>
      </c>
      <c r="AG275" s="692">
        <f t="shared" ref="AG275" si="195">IF(B275="M",Q275,0)</f>
        <v>0</v>
      </c>
      <c r="AH275" s="692">
        <f t="shared" ref="AH275" si="196">IF(B275="V",Q275,0)</f>
        <v>0</v>
      </c>
    </row>
    <row r="276" spans="1:34">
      <c r="A276" s="21"/>
      <c r="B276" s="21" t="s">
        <v>114</v>
      </c>
      <c r="C276" s="672"/>
      <c r="D276" s="519" t="s">
        <v>433</v>
      </c>
      <c r="E276" s="679">
        <v>84.52</v>
      </c>
      <c r="F276" s="529">
        <f>VLOOKUP(D276,'Q3 DMV -  Revenue'!D:T,17,FALSE)</f>
        <v>0</v>
      </c>
      <c r="G276" s="680"/>
      <c r="H276" s="680"/>
      <c r="I276" s="681"/>
      <c r="J276" s="682">
        <f t="shared" si="184"/>
        <v>84.52</v>
      </c>
      <c r="K276" s="683"/>
      <c r="L276" s="684"/>
      <c r="M276" s="685">
        <v>0</v>
      </c>
      <c r="N276" s="683">
        <v>0</v>
      </c>
      <c r="O276" s="686">
        <v>84.52</v>
      </c>
      <c r="P276" s="683">
        <v>0</v>
      </c>
      <c r="Q276" s="687">
        <f t="shared" si="158"/>
        <v>0</v>
      </c>
      <c r="R276" s="688">
        <f>2.48+3.59+2.4</f>
        <v>8.4700000000000006</v>
      </c>
      <c r="S276" s="693"/>
      <c r="T276" s="690">
        <f t="shared" si="157"/>
        <v>8.4700000000000006</v>
      </c>
      <c r="U276" s="683"/>
      <c r="V276" s="474">
        <f t="shared" si="152"/>
        <v>0</v>
      </c>
      <c r="W276" s="474">
        <f t="shared" si="144"/>
        <v>0</v>
      </c>
      <c r="X276" s="475">
        <f t="shared" si="145"/>
        <v>0</v>
      </c>
      <c r="Y276" s="475">
        <v>0</v>
      </c>
      <c r="Z276" s="476">
        <v>0</v>
      </c>
      <c r="AA276" s="38">
        <f t="shared" si="153"/>
        <v>0</v>
      </c>
      <c r="AB276" s="692">
        <f t="shared" si="146"/>
        <v>0</v>
      </c>
      <c r="AC276" s="692">
        <f t="shared" si="147"/>
        <v>0</v>
      </c>
      <c r="AD276" s="692">
        <f t="shared" si="148"/>
        <v>84.52</v>
      </c>
      <c r="AE276" s="38"/>
      <c r="AF276" s="692">
        <f t="shared" si="149"/>
        <v>0</v>
      </c>
      <c r="AG276" s="692">
        <f t="shared" si="150"/>
        <v>0</v>
      </c>
      <c r="AH276" s="692">
        <f t="shared" si="151"/>
        <v>0</v>
      </c>
    </row>
    <row r="277" spans="1:34">
      <c r="A277" s="21"/>
      <c r="B277" s="21" t="s">
        <v>114</v>
      </c>
      <c r="C277" s="672"/>
      <c r="D277" s="519" t="s">
        <v>594</v>
      </c>
      <c r="E277" s="679"/>
      <c r="F277" s="529"/>
      <c r="G277" s="680"/>
      <c r="H277" s="680"/>
      <c r="I277" s="741">
        <v>20700</v>
      </c>
      <c r="J277" s="682">
        <f t="shared" si="184"/>
        <v>20700</v>
      </c>
      <c r="K277" s="683"/>
      <c r="L277" s="684"/>
      <c r="M277" s="685">
        <v>0</v>
      </c>
      <c r="N277" s="683">
        <v>0</v>
      </c>
      <c r="O277" s="686">
        <v>20700</v>
      </c>
      <c r="P277" s="683">
        <v>0</v>
      </c>
      <c r="Q277" s="687">
        <f t="shared" ref="Q277" si="197">L277+M277</f>
        <v>0</v>
      </c>
      <c r="R277" s="688"/>
      <c r="S277" s="693"/>
      <c r="T277" s="690" t="str">
        <f t="shared" ref="T277" si="198">IF(R277="","",R277-Q277)</f>
        <v/>
      </c>
      <c r="U277" s="683"/>
      <c r="V277" s="474">
        <f t="shared" ref="V277" si="199">IF(B277="D",Q277,0)</f>
        <v>0</v>
      </c>
      <c r="W277" s="474">
        <f t="shared" ref="W277" si="200">IF(B277="M",Q277,0)</f>
        <v>0</v>
      </c>
      <c r="X277" s="475">
        <f t="shared" ref="X277" si="201">IF(B277="V",Q277,0)</f>
        <v>0</v>
      </c>
      <c r="Y277" s="475">
        <v>0</v>
      </c>
      <c r="Z277" s="476">
        <v>0</v>
      </c>
      <c r="AA277" s="38">
        <f t="shared" ref="AA277" si="202">(L277+M277)-(V277+W277+X277+Y277+Z277)</f>
        <v>0</v>
      </c>
      <c r="AB277" s="692">
        <f t="shared" ref="AB277" si="203">IF(B277="D",J277,0)</f>
        <v>0</v>
      </c>
      <c r="AC277" s="692">
        <f t="shared" ref="AC277" si="204">IF(B277="M",J277,0)</f>
        <v>0</v>
      </c>
      <c r="AD277" s="692">
        <f t="shared" ref="AD277" si="205">IF(B277="V",J277,0)</f>
        <v>20700</v>
      </c>
      <c r="AE277" s="38"/>
      <c r="AF277" s="692">
        <f t="shared" ref="AF277" si="206">IF(B277="D",Q277,0)</f>
        <v>0</v>
      </c>
      <c r="AG277" s="692">
        <f t="shared" ref="AG277" si="207">IF(B277="M",Q277,0)</f>
        <v>0</v>
      </c>
      <c r="AH277" s="692">
        <f t="shared" ref="AH277" si="208">IF(B277="V",Q277,0)</f>
        <v>0</v>
      </c>
    </row>
    <row r="278" spans="1:34">
      <c r="A278" s="21"/>
      <c r="B278" s="21" t="s">
        <v>110</v>
      </c>
      <c r="C278" s="672"/>
      <c r="D278" s="519" t="s">
        <v>596</v>
      </c>
      <c r="E278" s="679"/>
      <c r="F278" s="529"/>
      <c r="G278" s="680"/>
      <c r="H278" s="681"/>
      <c r="I278" s="681"/>
      <c r="J278" s="682">
        <f t="shared" ref="J278" si="209">SUM(E278:I278)</f>
        <v>0</v>
      </c>
      <c r="K278" s="683"/>
      <c r="L278" s="684"/>
      <c r="M278" s="685">
        <v>0</v>
      </c>
      <c r="N278" s="683">
        <v>0</v>
      </c>
      <c r="O278" s="686">
        <v>37500</v>
      </c>
      <c r="P278" s="683">
        <v>0</v>
      </c>
      <c r="Q278" s="687">
        <f t="shared" ref="Q278" si="210">L278+M278</f>
        <v>0</v>
      </c>
      <c r="R278" s="688"/>
      <c r="S278" s="693"/>
      <c r="T278" s="690" t="str">
        <f t="shared" ref="T278" si="211">IF(R278="","",R278-Q278)</f>
        <v/>
      </c>
      <c r="U278" s="683"/>
      <c r="V278" s="474">
        <f t="shared" ref="V278" si="212">IF(B278="D",Q278,0)</f>
        <v>0</v>
      </c>
      <c r="W278" s="474">
        <f t="shared" ref="W278" si="213">IF(B278="M",Q278,0)</f>
        <v>0</v>
      </c>
      <c r="X278" s="475">
        <f t="shared" ref="X278" si="214">IF(B278="V",Q278,0)</f>
        <v>0</v>
      </c>
      <c r="Y278" s="475">
        <v>0</v>
      </c>
      <c r="Z278" s="476">
        <v>0</v>
      </c>
      <c r="AA278" s="38">
        <f t="shared" ref="AA278" si="215">(L278+M278)-(V278+W278+X278+Y278+Z278)</f>
        <v>0</v>
      </c>
      <c r="AB278" s="692">
        <f t="shared" ref="AB278" si="216">IF(B278="D",J278,0)</f>
        <v>0</v>
      </c>
      <c r="AC278" s="692">
        <f t="shared" ref="AC278" si="217">IF(B278="M",J278,0)</f>
        <v>0</v>
      </c>
      <c r="AD278" s="692">
        <f t="shared" ref="AD278" si="218">IF(B278="V",J278,0)</f>
        <v>0</v>
      </c>
      <c r="AE278" s="38"/>
      <c r="AF278" s="692">
        <f t="shared" ref="AF278" si="219">IF(B278="D",Q278,0)</f>
        <v>0</v>
      </c>
      <c r="AG278" s="692">
        <f t="shared" ref="AG278" si="220">IF(B278="M",Q278,0)</f>
        <v>0</v>
      </c>
      <c r="AH278" s="692">
        <f t="shared" ref="AH278" si="221">IF(B278="V",Q278,0)</f>
        <v>0</v>
      </c>
    </row>
    <row r="279" spans="1:34" s="146" customFormat="1">
      <c r="A279" s="21"/>
      <c r="B279" s="21" t="s">
        <v>109</v>
      </c>
      <c r="C279" s="666"/>
      <c r="D279" s="68" t="s">
        <v>93</v>
      </c>
      <c r="E279" s="679"/>
      <c r="F279" s="529">
        <f>VLOOKUP(D279,'Q3 DMV -  Revenue'!D:T,17,FALSE)</f>
        <v>0</v>
      </c>
      <c r="G279" s="680"/>
      <c r="H279" s="680"/>
      <c r="I279" s="681"/>
      <c r="J279" s="682">
        <f t="shared" si="184"/>
        <v>0</v>
      </c>
      <c r="K279" s="683"/>
      <c r="L279" s="684"/>
      <c r="M279" s="685">
        <v>0</v>
      </c>
      <c r="N279" s="683">
        <v>0</v>
      </c>
      <c r="O279" s="686"/>
      <c r="P279" s="683">
        <v>0</v>
      </c>
      <c r="Q279" s="687">
        <f t="shared" si="158"/>
        <v>0</v>
      </c>
      <c r="R279" s="688"/>
      <c r="S279" s="693"/>
      <c r="T279" s="690" t="str">
        <f t="shared" si="157"/>
        <v/>
      </c>
      <c r="U279" s="683"/>
      <c r="V279" s="474">
        <f t="shared" si="152"/>
        <v>0</v>
      </c>
      <c r="W279" s="474">
        <f t="shared" si="144"/>
        <v>0</v>
      </c>
      <c r="X279" s="475">
        <f t="shared" si="145"/>
        <v>0</v>
      </c>
      <c r="Y279" s="475">
        <v>0</v>
      </c>
      <c r="Z279" s="476">
        <v>0</v>
      </c>
      <c r="AA279" s="38">
        <f t="shared" si="153"/>
        <v>0</v>
      </c>
      <c r="AB279" s="692">
        <f t="shared" si="146"/>
        <v>0</v>
      </c>
      <c r="AC279" s="692">
        <f t="shared" si="147"/>
        <v>0</v>
      </c>
      <c r="AD279" s="692">
        <f t="shared" si="148"/>
        <v>0</v>
      </c>
      <c r="AE279" s="38"/>
      <c r="AF279" s="692">
        <f t="shared" si="149"/>
        <v>0</v>
      </c>
      <c r="AG279" s="692">
        <f t="shared" si="150"/>
        <v>0</v>
      </c>
      <c r="AH279" s="692">
        <f t="shared" si="151"/>
        <v>0</v>
      </c>
    </row>
    <row r="280" spans="1:34" s="146" customFormat="1" ht="13" thickBot="1">
      <c r="A280" s="21"/>
      <c r="B280" s="21" t="s">
        <v>110</v>
      </c>
      <c r="C280" s="666"/>
      <c r="D280" s="68" t="s">
        <v>593</v>
      </c>
      <c r="E280" s="679"/>
      <c r="F280" s="529">
        <f>12.06+7.5+3.45+10+11.99</f>
        <v>45.000000000000007</v>
      </c>
      <c r="G280" s="694">
        <v>8.33</v>
      </c>
      <c r="H280" s="694">
        <v>2.2999999999999998</v>
      </c>
      <c r="I280" s="741">
        <v>4.1900000000000004</v>
      </c>
      <c r="J280" s="682">
        <f t="shared" ref="J280" si="222">SUM(E280:I280)</f>
        <v>59.82</v>
      </c>
      <c r="K280" s="683"/>
      <c r="L280" s="684"/>
      <c r="M280" s="685">
        <v>0</v>
      </c>
      <c r="N280" s="683">
        <v>0</v>
      </c>
      <c r="O280" s="686">
        <v>97.73</v>
      </c>
      <c r="P280" s="683">
        <v>0</v>
      </c>
      <c r="Q280" s="687">
        <f t="shared" si="158"/>
        <v>0</v>
      </c>
      <c r="R280" s="688"/>
      <c r="S280" s="693"/>
      <c r="T280" s="690" t="str">
        <f t="shared" si="157"/>
        <v/>
      </c>
      <c r="U280" s="683"/>
      <c r="V280" s="474">
        <f t="shared" si="152"/>
        <v>0</v>
      </c>
      <c r="W280" s="474">
        <f t="shared" si="144"/>
        <v>0</v>
      </c>
      <c r="X280" s="475">
        <f t="shared" si="145"/>
        <v>0</v>
      </c>
      <c r="Y280" s="475">
        <v>0</v>
      </c>
      <c r="Z280" s="476">
        <v>0</v>
      </c>
      <c r="AA280" s="38">
        <f t="shared" si="153"/>
        <v>0</v>
      </c>
      <c r="AB280" s="692">
        <f t="shared" si="146"/>
        <v>59.82</v>
      </c>
      <c r="AC280" s="692">
        <f t="shared" si="147"/>
        <v>0</v>
      </c>
      <c r="AD280" s="692">
        <f t="shared" si="148"/>
        <v>0</v>
      </c>
      <c r="AE280" s="38"/>
      <c r="AF280" s="692">
        <f t="shared" si="149"/>
        <v>0</v>
      </c>
      <c r="AG280" s="692">
        <f t="shared" si="150"/>
        <v>0</v>
      </c>
      <c r="AH280" s="692">
        <f t="shared" si="151"/>
        <v>0</v>
      </c>
    </row>
    <row r="281" spans="1:34" ht="13" thickBot="1">
      <c r="A281" s="107"/>
      <c r="B281" s="108"/>
      <c r="C281" s="673"/>
      <c r="D281" s="71" t="s">
        <v>86</v>
      </c>
      <c r="E281" s="454">
        <f t="shared" ref="E281:K281" si="223">SUM(E19:E280)</f>
        <v>234670.27000000005</v>
      </c>
      <c r="F281" s="454">
        <f t="shared" si="223"/>
        <v>223752.94422144996</v>
      </c>
      <c r="G281" s="454">
        <f t="shared" si="223"/>
        <v>6486479.5100000026</v>
      </c>
      <c r="H281" s="454">
        <f t="shared" si="223"/>
        <v>6098959.1900000004</v>
      </c>
      <c r="I281" s="454">
        <f t="shared" si="223"/>
        <v>8914169.879999999</v>
      </c>
      <c r="J281" s="454">
        <f t="shared" si="223"/>
        <v>21958031.79422145</v>
      </c>
      <c r="K281" s="454">
        <f t="shared" si="223"/>
        <v>0</v>
      </c>
      <c r="L281" s="454">
        <f>SUM(L19:L280)</f>
        <v>0</v>
      </c>
      <c r="M281" s="454">
        <f>SUM(M19:M280)</f>
        <v>366220</v>
      </c>
      <c r="N281" s="454">
        <f>SUM(N19:N280)</f>
        <v>0</v>
      </c>
      <c r="O281" s="100">
        <f>SUM(O19:O280)</f>
        <v>21956360.919999991</v>
      </c>
      <c r="P281" s="157">
        <f>SUM(P21:P280)</f>
        <v>0</v>
      </c>
      <c r="Q281" s="100">
        <f>SUM(Q19:Q280)</f>
        <v>366220</v>
      </c>
      <c r="R281" s="100">
        <f>SUM(R19:R280)</f>
        <v>622328.23</v>
      </c>
      <c r="S281" s="708"/>
      <c r="T281" s="100">
        <f>SUM(T19:T280)</f>
        <v>256108.23000000004</v>
      </c>
      <c r="U281" s="683"/>
      <c r="V281" s="314">
        <f>SUM(V19:V280)</f>
        <v>124700</v>
      </c>
      <c r="W281" s="314">
        <f>SUM(W19:W280)</f>
        <v>211820</v>
      </c>
      <c r="X281" s="314">
        <f>SUM(X19:X280)</f>
        <v>29700</v>
      </c>
      <c r="Y281" s="314">
        <f t="shared" ref="Y281:Z281" si="224">SUM(Y19:Y280)</f>
        <v>0</v>
      </c>
      <c r="Z281" s="314">
        <f t="shared" si="224"/>
        <v>0</v>
      </c>
      <c r="AA281" s="38"/>
      <c r="AB281" s="314">
        <f>SUM(AB19:AB280)</f>
        <v>20718856.891558602</v>
      </c>
      <c r="AC281" s="314">
        <f>SUM(AC19:AC280)</f>
        <v>1012720.24766285</v>
      </c>
      <c r="AD281" s="314">
        <f>SUM(AD19:AD280)</f>
        <v>226454.65499999997</v>
      </c>
      <c r="AE281" s="38"/>
      <c r="AF281" s="314">
        <f>SUM(AF19:AF280)</f>
        <v>124700</v>
      </c>
      <c r="AG281" s="314">
        <f>SUM(AG19:AG280)</f>
        <v>211820</v>
      </c>
      <c r="AH281" s="314">
        <f>SUM(AH19:AH280)</f>
        <v>29700</v>
      </c>
    </row>
    <row r="282" spans="1:34" ht="13" thickBot="1">
      <c r="A282" s="65"/>
      <c r="B282" s="65"/>
      <c r="C282" s="674"/>
      <c r="D282" s="141"/>
      <c r="E282" s="709" t="s">
        <v>293</v>
      </c>
      <c r="F282" s="160">
        <f>F281+E281</f>
        <v>458423.21422145003</v>
      </c>
      <c r="G282" s="153"/>
      <c r="H282" s="153" t="s">
        <v>225</v>
      </c>
      <c r="I282" s="160">
        <f>I281+H281+G281</f>
        <v>21499608.580000002</v>
      </c>
      <c r="J282" s="323"/>
      <c r="K282" s="153"/>
      <c r="L282" s="153" t="s">
        <v>296</v>
      </c>
      <c r="M282" s="100">
        <f>M281+L281</f>
        <v>366220</v>
      </c>
      <c r="N282" s="153"/>
      <c r="O282" s="641"/>
      <c r="P282" s="153"/>
      <c r="Q282" s="153"/>
      <c r="R282" s="153"/>
      <c r="S282" s="153"/>
      <c r="T282" s="153"/>
      <c r="U282" s="153"/>
      <c r="V282" s="139"/>
      <c r="W282" s="139"/>
      <c r="X282" s="139"/>
      <c r="Y282" s="139"/>
      <c r="Z282" s="104"/>
      <c r="AA282" s="38"/>
      <c r="AB282" s="38"/>
      <c r="AC282" s="38"/>
      <c r="AD282" s="38"/>
      <c r="AE282" s="38"/>
      <c r="AF282" s="38"/>
      <c r="AG282" s="38"/>
      <c r="AH282" s="38"/>
    </row>
    <row r="283" spans="1:34" ht="13" thickBot="1">
      <c r="A283" s="65"/>
      <c r="B283" s="65"/>
      <c r="C283" s="674"/>
      <c r="E283" s="159"/>
      <c r="F283" s="153"/>
      <c r="G283" s="153"/>
      <c r="H283" s="153"/>
      <c r="I283" s="153"/>
      <c r="J283" s="153"/>
      <c r="K283" s="153"/>
      <c r="L283" s="153"/>
      <c r="M283" s="710"/>
      <c r="N283" s="153"/>
      <c r="O283" s="153"/>
      <c r="P283" s="153"/>
      <c r="Q283" s="153"/>
      <c r="R283" s="153"/>
      <c r="S283" s="153"/>
      <c r="T283" s="153"/>
      <c r="U283" s="153"/>
      <c r="V283" s="331" t="s">
        <v>345</v>
      </c>
      <c r="W283" s="139"/>
      <c r="X283" s="139"/>
      <c r="Y283" s="139"/>
      <c r="Z283" s="104"/>
      <c r="AA283" s="38"/>
      <c r="AB283" s="711"/>
      <c r="AC283" s="711"/>
      <c r="AD283" s="711"/>
      <c r="AE283" s="38"/>
      <c r="AF283" s="711"/>
      <c r="AG283" s="711"/>
      <c r="AH283" s="711"/>
    </row>
    <row r="284" spans="1:34" ht="17" thickTop="1" thickBot="1">
      <c r="E284" s="712"/>
      <c r="F284" s="713"/>
      <c r="G284" s="714"/>
      <c r="H284" s="715"/>
      <c r="I284" s="79"/>
      <c r="J284" s="164"/>
      <c r="K284" s="169"/>
      <c r="L284" s="233"/>
      <c r="M284" s="233"/>
      <c r="N284" s="38"/>
      <c r="O284" s="642"/>
      <c r="P284" s="139"/>
      <c r="Q284" s="139"/>
      <c r="R284" s="33"/>
      <c r="S284" s="33"/>
      <c r="T284" s="33"/>
      <c r="U284" s="169"/>
      <c r="V284" s="332"/>
      <c r="W284" s="333"/>
      <c r="X284" s="491"/>
      <c r="Y284" s="491"/>
      <c r="Z284" s="334"/>
      <c r="AA284" s="164" t="s">
        <v>474</v>
      </c>
      <c r="AB284" s="38"/>
      <c r="AC284" s="38"/>
      <c r="AD284" s="38"/>
      <c r="AE284" s="38"/>
      <c r="AF284" s="38"/>
      <c r="AG284" s="38"/>
      <c r="AH284" s="38"/>
    </row>
    <row r="285" spans="1:34" ht="17" thickBot="1">
      <c r="E285" s="712"/>
      <c r="F285" s="713"/>
      <c r="G285" s="714"/>
      <c r="H285" s="715"/>
      <c r="I285" s="716" t="s">
        <v>599</v>
      </c>
      <c r="J285" s="79">
        <f>J281</f>
        <v>21958031.79422145</v>
      </c>
      <c r="K285" s="169"/>
      <c r="L285" s="169"/>
      <c r="M285" s="493"/>
      <c r="N285" s="38"/>
      <c r="O285" s="80"/>
      <c r="P285" s="104"/>
      <c r="Q285" s="139"/>
      <c r="R285" s="33"/>
      <c r="S285" s="33"/>
      <c r="T285" s="33"/>
      <c r="U285" s="169"/>
      <c r="V285" s="487"/>
      <c r="W285" s="488"/>
      <c r="X285" s="492" t="s">
        <v>399</v>
      </c>
      <c r="Y285" s="492" t="s">
        <v>400</v>
      </c>
      <c r="Z285" s="488"/>
      <c r="AA285" s="717" t="s">
        <v>475</v>
      </c>
      <c r="AB285" s="718">
        <f>AB281+AB284</f>
        <v>20718856.891558602</v>
      </c>
      <c r="AC285" s="718">
        <f>AC281</f>
        <v>1012720.24766285</v>
      </c>
      <c r="AD285" s="718">
        <f>AD281+AD284</f>
        <v>226454.65499999997</v>
      </c>
      <c r="AE285" s="718"/>
      <c r="AF285" s="718">
        <f>AF281</f>
        <v>124700</v>
      </c>
      <c r="AG285" s="718">
        <f>AG281</f>
        <v>211820</v>
      </c>
      <c r="AH285" s="719">
        <f>AH281</f>
        <v>29700</v>
      </c>
    </row>
    <row r="286" spans="1:34" ht="15" thickBot="1">
      <c r="D286" s="143" t="s">
        <v>608</v>
      </c>
      <c r="E286" s="712"/>
      <c r="F286" s="713"/>
      <c r="G286" s="714"/>
      <c r="H286" s="720"/>
      <c r="I286" s="721" t="s">
        <v>251</v>
      </c>
      <c r="J286" s="653">
        <f>-21781741-180120.32</f>
        <v>-21961861.32</v>
      </c>
      <c r="K286" s="169"/>
      <c r="L286" s="722"/>
      <c r="M286" s="642"/>
      <c r="N286" s="33"/>
      <c r="O286" s="80"/>
      <c r="P286" s="104"/>
      <c r="Q286" s="139"/>
      <c r="R286" s="33"/>
      <c r="S286" s="33"/>
      <c r="T286" s="33"/>
      <c r="U286" s="169"/>
      <c r="V286" s="158" t="s">
        <v>609</v>
      </c>
      <c r="W286" s="104" t="s">
        <v>352</v>
      </c>
      <c r="X286" s="104">
        <f>V281+W281+X281</f>
        <v>366220</v>
      </c>
      <c r="Y286" s="104"/>
      <c r="Z286" s="136"/>
      <c r="AA286" s="723"/>
      <c r="AB286" s="38"/>
      <c r="AC286" s="38"/>
      <c r="AD286" s="38"/>
      <c r="AE286" s="38"/>
      <c r="AF286" s="38"/>
      <c r="AG286" s="38"/>
      <c r="AH286" s="38"/>
    </row>
    <row r="287" spans="1:34" ht="15" thickTop="1">
      <c r="D287" s="143" t="s">
        <v>607</v>
      </c>
      <c r="E287" s="712"/>
      <c r="F287" s="713"/>
      <c r="G287" s="714"/>
      <c r="H287" s="714" t="s">
        <v>249</v>
      </c>
      <c r="I287" s="723" t="s">
        <v>454</v>
      </c>
      <c r="J287" s="173">
        <f>J286+J285</f>
        <v>-3829.5257785506546</v>
      </c>
      <c r="K287" s="169"/>
      <c r="L287" s="722"/>
      <c r="M287" s="80"/>
      <c r="N287" s="104"/>
      <c r="O287" s="173"/>
      <c r="P287" s="104"/>
      <c r="Q287" s="139"/>
      <c r="R287" s="139"/>
      <c r="S287" s="139"/>
      <c r="T287" s="139"/>
      <c r="U287" s="169"/>
      <c r="V287" s="158"/>
      <c r="W287" s="104"/>
      <c r="X287" s="104"/>
      <c r="Y287" s="104"/>
      <c r="Z287" s="136"/>
      <c r="AA287" s="723"/>
      <c r="AB287" s="38"/>
      <c r="AC287" s="38"/>
      <c r="AD287" s="38"/>
      <c r="AE287" s="38"/>
      <c r="AF287" s="38"/>
      <c r="AG287" s="38"/>
      <c r="AH287" s="38"/>
    </row>
    <row r="288" spans="1:34" ht="14">
      <c r="D288" s="143" t="s">
        <v>606</v>
      </c>
      <c r="E288" s="712"/>
      <c r="F288" s="713"/>
      <c r="G288" s="714"/>
      <c r="H288" s="714"/>
      <c r="I288" s="724"/>
      <c r="J288" s="80"/>
      <c r="K288" s="169"/>
      <c r="L288" s="722"/>
      <c r="M288" s="104"/>
      <c r="N288" s="38"/>
      <c r="O288" s="139"/>
      <c r="P288" s="104"/>
      <c r="Q288" s="139"/>
      <c r="R288" s="139"/>
      <c r="S288" s="139"/>
      <c r="T288" s="139"/>
      <c r="U288" s="169"/>
      <c r="V288" s="158" t="s">
        <v>600</v>
      </c>
      <c r="W288" s="104" t="s">
        <v>355</v>
      </c>
      <c r="X288" s="104"/>
      <c r="Y288" s="104">
        <f>V281</f>
        <v>124700</v>
      </c>
      <c r="Z288" s="136"/>
      <c r="AA288" s="38"/>
      <c r="AB288" s="38"/>
      <c r="AC288" s="38"/>
      <c r="AD288" s="38"/>
      <c r="AE288" s="38"/>
      <c r="AF288" s="38"/>
      <c r="AG288" s="38"/>
      <c r="AH288" s="38"/>
    </row>
    <row r="289" spans="4:34" ht="15" thickBot="1">
      <c r="D289" s="143" t="s">
        <v>606</v>
      </c>
      <c r="E289" s="712"/>
      <c r="F289" s="713"/>
      <c r="G289" s="714"/>
      <c r="H289" s="714"/>
      <c r="I289" s="725" t="s">
        <v>604</v>
      </c>
      <c r="J289" s="661">
        <f>-M282</f>
        <v>-366220</v>
      </c>
      <c r="K289" s="169"/>
      <c r="L289" s="645"/>
      <c r="M289" s="173"/>
      <c r="N289" s="38"/>
      <c r="O289" s="139"/>
      <c r="P289" s="104"/>
      <c r="Q289" s="139"/>
      <c r="R289" s="726"/>
      <c r="S289" s="139"/>
      <c r="T289" s="727"/>
      <c r="U289" s="169"/>
      <c r="V289" s="158"/>
      <c r="W289" s="104" t="s">
        <v>356</v>
      </c>
      <c r="X289" s="104"/>
      <c r="Y289" s="104">
        <f>Y281</f>
        <v>0</v>
      </c>
      <c r="Z289" s="136"/>
      <c r="AA289" s="38"/>
      <c r="AB289" s="38"/>
      <c r="AC289" s="38"/>
      <c r="AD289" s="38"/>
      <c r="AE289" s="38"/>
      <c r="AF289" s="38"/>
      <c r="AG289" s="38"/>
      <c r="AH289" s="38"/>
    </row>
    <row r="290" spans="4:34" ht="16" thickTop="1" thickBot="1">
      <c r="D290" s="143"/>
      <c r="E290" s="712"/>
      <c r="F290" s="713"/>
      <c r="G290" s="714"/>
      <c r="H290" s="714"/>
      <c r="I290" s="722"/>
      <c r="J290" s="173">
        <v>0</v>
      </c>
      <c r="K290" s="169"/>
      <c r="L290" s="722"/>
      <c r="M290" s="173"/>
      <c r="N290" s="38"/>
      <c r="O290" s="33"/>
      <c r="P290" s="38"/>
      <c r="Q290" s="139"/>
      <c r="R290" s="139"/>
      <c r="S290" s="139"/>
      <c r="T290" s="139"/>
      <c r="U290" s="169"/>
      <c r="V290" s="158"/>
      <c r="W290" s="104"/>
      <c r="X290" s="104"/>
      <c r="Y290" s="104"/>
      <c r="Z290" s="136"/>
      <c r="AA290" s="38"/>
      <c r="AB290" s="38"/>
      <c r="AC290" s="38"/>
      <c r="AD290" s="38"/>
      <c r="AE290" s="38"/>
      <c r="AF290" s="38"/>
      <c r="AG290" s="38"/>
      <c r="AH290" s="38"/>
    </row>
    <row r="291" spans="4:34" ht="15" thickBot="1">
      <c r="E291" s="712"/>
      <c r="F291" s="713"/>
      <c r="G291" s="714"/>
      <c r="H291" s="714"/>
      <c r="I291" s="728" t="s">
        <v>605</v>
      </c>
      <c r="J291" s="729">
        <f>J286+J289</f>
        <v>-22328081.32</v>
      </c>
      <c r="K291" s="169"/>
      <c r="L291" s="722"/>
      <c r="M291" s="173"/>
      <c r="N291" s="38"/>
      <c r="O291" s="33"/>
      <c r="P291" s="38"/>
      <c r="Q291" s="139"/>
      <c r="R291" s="139"/>
      <c r="S291" s="139"/>
      <c r="T291" s="139"/>
      <c r="U291" s="169"/>
      <c r="V291" s="158" t="s">
        <v>601</v>
      </c>
      <c r="W291" s="104" t="s">
        <v>357</v>
      </c>
      <c r="X291" s="104"/>
      <c r="Y291" s="104">
        <f>W281</f>
        <v>211820</v>
      </c>
      <c r="Z291" s="136"/>
      <c r="AA291" s="38"/>
      <c r="AB291" s="38"/>
      <c r="AC291" s="38"/>
      <c r="AD291" s="38"/>
      <c r="AE291" s="38"/>
      <c r="AF291" s="38"/>
      <c r="AG291" s="38"/>
      <c r="AH291" s="38"/>
    </row>
    <row r="292" spans="4:34">
      <c r="E292" s="712"/>
      <c r="F292" s="713"/>
      <c r="G292" s="714"/>
      <c r="H292" s="714"/>
      <c r="I292" s="730"/>
      <c r="J292" s="637"/>
      <c r="K292" s="169"/>
      <c r="L292" s="173"/>
      <c r="M292" s="731"/>
      <c r="N292" s="38"/>
      <c r="O292" s="33"/>
      <c r="P292" s="38"/>
      <c r="Q292" s="139"/>
      <c r="R292" s="139"/>
      <c r="S292" s="139"/>
      <c r="T292" s="139"/>
      <c r="U292" s="169"/>
      <c r="V292" s="415"/>
      <c r="W292" s="104" t="s">
        <v>358</v>
      </c>
      <c r="X292" s="104"/>
      <c r="Y292" s="104">
        <f>Z281</f>
        <v>0</v>
      </c>
      <c r="Z292" s="136"/>
      <c r="AA292" s="38"/>
      <c r="AB292" s="38"/>
      <c r="AC292" s="38"/>
      <c r="AD292" s="38"/>
      <c r="AE292" s="38"/>
      <c r="AF292" s="38"/>
      <c r="AG292" s="38"/>
      <c r="AH292" s="38"/>
    </row>
    <row r="293" spans="4:34">
      <c r="E293" s="712"/>
      <c r="F293" s="713"/>
      <c r="G293" s="714"/>
      <c r="H293" s="714"/>
      <c r="I293" s="730" t="s">
        <v>518</v>
      </c>
      <c r="J293" s="658">
        <f>SUM(AB285:AH285)</f>
        <v>22324251.794221453</v>
      </c>
      <c r="K293" s="169"/>
      <c r="L293" s="732"/>
      <c r="M293" s="637"/>
      <c r="N293" s="38"/>
      <c r="O293" s="33"/>
      <c r="P293" s="38"/>
      <c r="Q293" s="139"/>
      <c r="R293" s="139"/>
      <c r="S293" s="139"/>
      <c r="T293" s="139"/>
      <c r="U293" s="169"/>
      <c r="V293" s="415"/>
      <c r="W293" s="104"/>
      <c r="X293" s="104"/>
      <c r="Y293" s="104"/>
      <c r="Z293" s="136"/>
      <c r="AA293" s="38"/>
      <c r="AB293" s="38"/>
      <c r="AC293" s="38"/>
      <c r="AD293" s="38"/>
      <c r="AE293" s="38"/>
      <c r="AF293" s="38"/>
      <c r="AG293" s="38"/>
      <c r="AH293" s="38"/>
    </row>
    <row r="294" spans="4:34" ht="13" thickBot="1">
      <c r="E294" s="712"/>
      <c r="F294" s="713"/>
      <c r="G294" s="714"/>
      <c r="H294" s="714"/>
      <c r="I294" s="723" t="s">
        <v>454</v>
      </c>
      <c r="J294" s="169">
        <f>J293+J291</f>
        <v>-3829.5257785469294</v>
      </c>
      <c r="K294" s="169"/>
      <c r="L294" s="733"/>
      <c r="M294" s="734"/>
      <c r="N294" s="38"/>
      <c r="O294" s="33"/>
      <c r="P294" s="38"/>
      <c r="Q294" s="139"/>
      <c r="R294" s="139"/>
      <c r="S294" s="139"/>
      <c r="T294" s="139"/>
      <c r="U294" s="169"/>
      <c r="V294" s="158" t="s">
        <v>602</v>
      </c>
      <c r="W294" s="488" t="s">
        <v>359</v>
      </c>
      <c r="X294" s="488"/>
      <c r="Y294" s="488">
        <f>X281</f>
        <v>29700</v>
      </c>
      <c r="Z294" s="414"/>
      <c r="AA294" s="38"/>
      <c r="AB294" s="38"/>
      <c r="AC294" s="38"/>
      <c r="AD294" s="38"/>
      <c r="AE294" s="38"/>
      <c r="AF294" s="38"/>
      <c r="AG294" s="38"/>
      <c r="AH294" s="38"/>
    </row>
    <row r="295" spans="4:34" ht="15" thickBot="1">
      <c r="E295" s="712"/>
      <c r="F295" s="713"/>
      <c r="G295" s="714"/>
      <c r="H295" s="714"/>
      <c r="I295" s="735" t="s">
        <v>519</v>
      </c>
      <c r="J295" s="736">
        <f>J287-J294</f>
        <v>-3.7252902984619141E-9</v>
      </c>
      <c r="K295" s="169"/>
      <c r="L295" s="169"/>
      <c r="M295" s="169"/>
      <c r="N295" s="38"/>
      <c r="O295" s="33"/>
      <c r="P295" s="38"/>
      <c r="Q295" s="33"/>
      <c r="R295" s="33"/>
      <c r="S295" s="33"/>
      <c r="T295" s="33"/>
      <c r="U295" s="169"/>
      <c r="V295" s="416"/>
      <c r="W295" s="104"/>
      <c r="X295" s="80">
        <f>SUM(X286:X294)</f>
        <v>366220</v>
      </c>
      <c r="Y295" s="80">
        <f>SUM(Y286:Y294)</f>
        <v>366220</v>
      </c>
      <c r="Z295" s="136"/>
      <c r="AA295" s="38"/>
      <c r="AB295" s="38"/>
      <c r="AC295" s="38"/>
      <c r="AD295" s="38"/>
      <c r="AE295" s="38"/>
      <c r="AF295" s="38"/>
      <c r="AG295" s="38"/>
      <c r="AH295" s="38"/>
    </row>
    <row r="296" spans="4:34">
      <c r="E296" s="712"/>
      <c r="F296" s="713"/>
      <c r="G296" s="714"/>
      <c r="H296" s="714"/>
      <c r="I296" s="132"/>
      <c r="J296" s="169"/>
      <c r="K296" s="169"/>
      <c r="L296" s="169"/>
      <c r="M296" s="169"/>
      <c r="N296" s="38"/>
      <c r="O296" s="33"/>
      <c r="P296" s="38"/>
      <c r="Q296" s="33"/>
      <c r="R296" s="33"/>
      <c r="S296" s="33"/>
      <c r="T296" s="33"/>
      <c r="U296" s="169"/>
      <c r="V296" s="416"/>
      <c r="W296" s="104"/>
      <c r="X296" s="104"/>
      <c r="Y296" s="104"/>
      <c r="Z296" s="136"/>
      <c r="AA296" s="38"/>
      <c r="AB296" s="38"/>
      <c r="AC296" s="38"/>
      <c r="AD296" s="38"/>
      <c r="AE296" s="38"/>
      <c r="AF296" s="38"/>
      <c r="AG296" s="38"/>
      <c r="AH296" s="38"/>
    </row>
    <row r="297" spans="4:34" ht="13" thickBot="1">
      <c r="E297" s="712"/>
      <c r="F297" s="713"/>
      <c r="G297" s="714"/>
      <c r="H297" s="714"/>
      <c r="I297" s="132"/>
      <c r="J297" s="169"/>
      <c r="K297" s="169"/>
      <c r="L297" s="169"/>
      <c r="M297" s="169"/>
      <c r="N297" s="38"/>
      <c r="O297" s="33"/>
      <c r="P297" s="38"/>
      <c r="Q297" s="33"/>
      <c r="R297" s="33"/>
      <c r="S297" s="33"/>
      <c r="T297" s="33"/>
      <c r="U297" s="169"/>
      <c r="V297" s="330"/>
      <c r="W297" s="279"/>
      <c r="X297" s="279"/>
      <c r="Y297" s="279"/>
      <c r="Z297" s="280"/>
      <c r="AA297" s="38"/>
      <c r="AB297" s="38"/>
      <c r="AC297" s="38"/>
      <c r="AD297" s="38"/>
      <c r="AE297" s="38"/>
      <c r="AF297" s="38"/>
      <c r="AG297" s="38"/>
      <c r="AH297" s="38"/>
    </row>
    <row r="298" spans="4:34">
      <c r="E298" s="712"/>
      <c r="F298" s="713"/>
      <c r="G298" s="714"/>
      <c r="H298" s="714"/>
      <c r="I298" s="132"/>
      <c r="J298" s="169"/>
      <c r="K298" s="169"/>
      <c r="L298" s="169"/>
      <c r="M298" s="169"/>
      <c r="N298" s="38"/>
      <c r="O298" s="33"/>
      <c r="P298" s="38"/>
      <c r="Q298" s="33"/>
      <c r="R298" s="33"/>
      <c r="S298" s="33"/>
      <c r="T298" s="33"/>
      <c r="U298" s="169"/>
      <c r="V298" s="104"/>
      <c r="W298" s="104"/>
      <c r="X298" s="104"/>
      <c r="Y298" s="104"/>
      <c r="Z298" s="104"/>
      <c r="AA298" s="38"/>
      <c r="AB298" s="38"/>
      <c r="AC298" s="38"/>
      <c r="AD298" s="38"/>
      <c r="AE298" s="38"/>
      <c r="AF298" s="38"/>
      <c r="AG298" s="38"/>
      <c r="AH298" s="38"/>
    </row>
    <row r="299" spans="4:34">
      <c r="E299" s="712"/>
      <c r="F299" s="713"/>
      <c r="G299" s="714"/>
      <c r="H299" s="714"/>
      <c r="I299" s="132"/>
      <c r="J299" s="169"/>
      <c r="K299" s="169"/>
      <c r="L299" s="169"/>
      <c r="M299" s="169"/>
      <c r="N299" s="38"/>
      <c r="O299" s="33"/>
      <c r="P299" s="38"/>
      <c r="Q299" s="33"/>
      <c r="R299" s="33"/>
      <c r="S299" s="33"/>
      <c r="T299" s="33"/>
      <c r="U299" s="169"/>
      <c r="AA299" s="38"/>
      <c r="AB299" s="38"/>
      <c r="AC299" s="38"/>
      <c r="AD299" s="38"/>
      <c r="AE299" s="38"/>
      <c r="AF299" s="38"/>
      <c r="AG299" s="38"/>
      <c r="AH299" s="38"/>
    </row>
    <row r="300" spans="4:34">
      <c r="E300" s="712"/>
      <c r="F300" s="713"/>
      <c r="G300" s="714"/>
      <c r="H300" s="714"/>
      <c r="I300" s="132"/>
      <c r="J300" s="169"/>
      <c r="K300" s="169"/>
      <c r="L300" s="169"/>
      <c r="M300" s="169"/>
      <c r="N300" s="38"/>
      <c r="O300" s="33"/>
      <c r="P300" s="38"/>
      <c r="Q300" s="33"/>
      <c r="R300" s="33"/>
      <c r="S300" s="33"/>
      <c r="T300" s="33"/>
      <c r="U300" s="169"/>
      <c r="AA300" s="38"/>
      <c r="AB300" s="38"/>
      <c r="AC300" s="38"/>
      <c r="AD300" s="38"/>
      <c r="AE300" s="38"/>
      <c r="AF300" s="38"/>
      <c r="AG300" s="38"/>
      <c r="AH300" s="38"/>
    </row>
    <row r="301" spans="4:34">
      <c r="E301" s="712"/>
      <c r="F301" s="713"/>
      <c r="G301" s="714"/>
      <c r="H301" s="714"/>
      <c r="I301" s="132"/>
      <c r="J301" s="169"/>
      <c r="K301" s="169"/>
      <c r="L301" s="169"/>
      <c r="M301" s="169"/>
      <c r="N301" s="38"/>
      <c r="O301" s="33"/>
      <c r="P301" s="38"/>
      <c r="Q301" s="33"/>
      <c r="R301" s="33"/>
      <c r="S301" s="33"/>
      <c r="T301" s="33"/>
      <c r="U301" s="169"/>
      <c r="AA301" s="38"/>
      <c r="AB301" s="38"/>
      <c r="AC301" s="38"/>
      <c r="AD301" s="38"/>
      <c r="AE301" s="38"/>
      <c r="AF301" s="38"/>
      <c r="AG301" s="38"/>
      <c r="AH301" s="38"/>
    </row>
    <row r="302" spans="4:34">
      <c r="E302" s="712"/>
      <c r="F302" s="713"/>
      <c r="G302" s="714"/>
      <c r="H302" s="714"/>
      <c r="I302" s="132"/>
      <c r="J302" s="169"/>
      <c r="K302" s="169"/>
      <c r="L302" s="169"/>
      <c r="M302" s="169"/>
      <c r="N302" s="38"/>
      <c r="O302" s="33"/>
      <c r="P302" s="38"/>
      <c r="Q302" s="33"/>
      <c r="R302" s="33"/>
      <c r="S302" s="33"/>
      <c r="T302" s="33"/>
      <c r="U302" s="169"/>
      <c r="AA302" s="38"/>
      <c r="AB302" s="38"/>
      <c r="AC302" s="38"/>
      <c r="AD302" s="38"/>
      <c r="AE302" s="38"/>
      <c r="AF302" s="38"/>
      <c r="AG302" s="38"/>
      <c r="AH302" s="38"/>
    </row>
    <row r="303" spans="4:34">
      <c r="E303" s="712"/>
      <c r="F303" s="713"/>
      <c r="G303" s="714"/>
      <c r="H303" s="714"/>
      <c r="I303" s="132"/>
      <c r="J303" s="169"/>
      <c r="K303" s="169"/>
      <c r="L303" s="169"/>
      <c r="M303" s="169"/>
      <c r="N303" s="38"/>
      <c r="O303" s="33"/>
      <c r="P303" s="38"/>
      <c r="Q303" s="33"/>
      <c r="R303" s="33"/>
      <c r="S303" s="33"/>
      <c r="T303" s="33"/>
      <c r="U303" s="169"/>
      <c r="AA303" s="38"/>
      <c r="AB303" s="38"/>
      <c r="AC303" s="38"/>
      <c r="AD303" s="38"/>
      <c r="AE303" s="38"/>
      <c r="AF303" s="38"/>
      <c r="AG303" s="38"/>
      <c r="AH303" s="38"/>
    </row>
    <row r="304" spans="4:34">
      <c r="E304" s="712"/>
      <c r="F304" s="713"/>
      <c r="G304" s="714"/>
      <c r="H304" s="714"/>
      <c r="I304" s="132"/>
      <c r="J304" s="169"/>
      <c r="K304" s="169"/>
      <c r="L304" s="169"/>
      <c r="M304" s="169"/>
      <c r="N304" s="38"/>
      <c r="O304" s="33"/>
      <c r="P304" s="38"/>
      <c r="Q304" s="33"/>
      <c r="R304" s="33"/>
      <c r="S304" s="33"/>
      <c r="T304" s="33"/>
      <c r="U304" s="169"/>
      <c r="AA304" s="38"/>
      <c r="AB304" s="38"/>
      <c r="AC304" s="38"/>
      <c r="AD304" s="38"/>
      <c r="AE304" s="38"/>
      <c r="AF304" s="38"/>
      <c r="AG304" s="38"/>
      <c r="AH304" s="38"/>
    </row>
  </sheetData>
  <customSheetViews>
    <customSheetView guid="{005F2F7B-A3A9-4755-A4DF-7CE06C365CC2}" scale="90" showPageBreaks="1" fitToPage="1" printArea="1" topLeftCell="A248">
      <selection activeCell="J282" sqref="J282"/>
      <pageSetup scale="40" orientation="landscape" horizontalDpi="1200" verticalDpi="1200"/>
    </customSheetView>
    <customSheetView guid="{D3CBD86D-0B34-40AC-BD97-D8082E871349}" scale="80" showPageBreaks="1" fitToPage="1" printArea="1" topLeftCell="D81">
      <selection activeCell="D88" sqref="D88"/>
      <pageSetup paperSize="5" scale="46" fitToHeight="6" orientation="landscape" horizontalDpi="1200" verticalDpi="1200"/>
    </customSheetView>
    <customSheetView guid="{A6D105A8-F3F8-4045-83EA-8812D2E401D6}" scale="90" showPageBreaks="1" topLeftCell="G173">
      <selection activeCell="R195" sqref="R195"/>
      <pageSetup orientation="portrait" horizontalDpi="1200" verticalDpi="1200"/>
    </customSheetView>
    <customSheetView guid="{EAD60427-EED9-4BA8-BD26-3C00E46B1F0E}" scale="115" topLeftCell="B187">
      <selection activeCell="G205" sqref="G205"/>
      <pageSetup orientation="portrait"/>
    </customSheetView>
    <customSheetView guid="{041E0462-B6EA-414A-9F2E-C14ADEFAE5F2}" scale="80" showPageBreaks="1" fitToPage="1" printArea="1" topLeftCell="A22">
      <selection activeCell="E48" sqref="E48"/>
      <pageSetup paperSize="5" scale="46" fitToHeight="6" orientation="landscape" horizontalDpi="1200" verticalDpi="1200"/>
    </customSheetView>
    <customSheetView guid="{86CCC894-C193-4761-8385-3C374FD67B70}" scale="80" showPageBreaks="1" fitToPage="1" printArea="1" topLeftCell="A10">
      <selection activeCell="M41" activeCellId="2" sqref="I34:I44 M44 M41"/>
      <pageSetup paperSize="5" scale="46" fitToHeight="6" orientation="landscape" horizontalDpi="1200" verticalDpi="1200"/>
    </customSheetView>
  </customSheetViews>
  <pageMargins left="0.2" right="0.2" top="0.31" bottom="0.36" header="0.3" footer="0.3"/>
  <pageSetup paperSize="5" scale="46" fitToHeight="6" orientation="landscape" horizontalDpi="1200" verticalDpi="1200"/>
  <legacyDrawing r:id="rId1"/>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H292"/>
  <sheetViews>
    <sheetView topLeftCell="A23" zoomScale="83" zoomScaleNormal="83" zoomScalePageLayoutView="83" workbookViewId="0">
      <selection activeCell="G55" sqref="G55"/>
    </sheetView>
  </sheetViews>
  <sheetFormatPr baseColWidth="10" defaultColWidth="9.3984375" defaultRowHeight="12" outlineLevelCol="1" x14ac:dyDescent="0"/>
  <cols>
    <col min="1" max="1" width="16.19921875" style="18" customWidth="1" outlineLevel="1"/>
    <col min="2" max="2" width="8.3984375" style="18" bestFit="1" customWidth="1" outlineLevel="1"/>
    <col min="3" max="3" width="11.3984375" style="131" bestFit="1" customWidth="1" outlineLevel="1"/>
    <col min="4" max="4" width="26.796875" style="147" customWidth="1"/>
    <col min="5" max="5" width="15.19921875" style="35" customWidth="1"/>
    <col min="6" max="6" width="13.3984375" style="152" bestFit="1" customWidth="1"/>
    <col min="7" max="8" width="14.19921875" style="17" bestFit="1" customWidth="1"/>
    <col min="9" max="9" width="18.796875" style="131" bestFit="1" customWidth="1"/>
    <col min="10" max="10" width="19.59765625" style="24" bestFit="1" customWidth="1"/>
    <col min="11" max="11" width="1.59765625" style="24" customWidth="1"/>
    <col min="12" max="12" width="13.19921875" style="24" customWidth="1"/>
    <col min="13" max="13" width="17.59765625" style="24" bestFit="1" customWidth="1"/>
    <col min="14" max="14" width="1" style="16" customWidth="1"/>
    <col min="15" max="15" width="15.796875" style="146" bestFit="1" customWidth="1"/>
    <col min="16" max="16" width="1" style="16" customWidth="1"/>
    <col min="17" max="17" width="18" style="146" bestFit="1" customWidth="1"/>
    <col min="18" max="18" width="19" style="146" customWidth="1"/>
    <col min="19" max="19" width="1" style="146" customWidth="1"/>
    <col min="20" max="20" width="16.796875" style="146" customWidth="1"/>
    <col min="21" max="21" width="1.59765625" style="24" customWidth="1"/>
    <col min="22" max="22" width="16" style="38" customWidth="1"/>
    <col min="23" max="23" width="19.796875" style="38" customWidth="1"/>
    <col min="24" max="24" width="18" style="38" bestFit="1" customWidth="1"/>
    <col min="25" max="25" width="21" style="38" bestFit="1" customWidth="1"/>
    <col min="26" max="26" width="17" style="38" bestFit="1" customWidth="1"/>
    <col min="27" max="27" width="9.3984375" style="16" customWidth="1"/>
    <col min="28" max="28" width="17.19921875" style="559" customWidth="1"/>
    <col min="29" max="29" width="15" style="559" customWidth="1"/>
    <col min="30" max="30" width="15.796875" style="559" customWidth="1"/>
    <col min="31" max="31" width="2.3984375" style="559" customWidth="1"/>
    <col min="32" max="32" width="14.19921875" style="559" bestFit="1" customWidth="1"/>
    <col min="33" max="34" width="14.19921875" style="559" customWidth="1"/>
    <col min="35" max="16384" width="9.3984375" style="16"/>
  </cols>
  <sheetData>
    <row r="1" spans="1:25">
      <c r="D1" s="147" t="s">
        <v>71</v>
      </c>
      <c r="F1" s="29"/>
      <c r="G1" s="162"/>
      <c r="H1" s="163"/>
      <c r="J1" s="20" t="s">
        <v>119</v>
      </c>
      <c r="K1" s="40"/>
      <c r="L1" s="20" t="s">
        <v>119</v>
      </c>
      <c r="M1" s="20" t="s">
        <v>120</v>
      </c>
      <c r="U1" s="40"/>
    </row>
    <row r="2" spans="1:25">
      <c r="D2" s="147" t="s">
        <v>72</v>
      </c>
      <c r="F2" s="29"/>
      <c r="G2" s="162"/>
      <c r="H2" s="163"/>
      <c r="J2" s="20" t="s">
        <v>377</v>
      </c>
      <c r="K2" s="40"/>
      <c r="L2" s="20" t="s">
        <v>299</v>
      </c>
      <c r="M2" s="20" t="s">
        <v>300</v>
      </c>
      <c r="U2" s="40"/>
    </row>
    <row r="3" spans="1:25">
      <c r="D3" s="147" t="s">
        <v>495</v>
      </c>
      <c r="F3" s="29"/>
      <c r="G3" s="18"/>
      <c r="H3" s="168"/>
      <c r="J3" s="140"/>
      <c r="L3" s="140"/>
      <c r="M3" s="236"/>
    </row>
    <row r="4" spans="1:25">
      <c r="D4" s="148" t="s">
        <v>228</v>
      </c>
      <c r="G4" s="164"/>
      <c r="H4" s="168"/>
      <c r="I4" s="161"/>
    </row>
    <row r="5" spans="1:25" ht="13" thickBot="1">
      <c r="D5" s="148"/>
      <c r="G5" s="161"/>
      <c r="H5" s="630"/>
      <c r="I5" s="161"/>
    </row>
    <row r="6" spans="1:25">
      <c r="B6" s="460"/>
      <c r="C6" s="668"/>
      <c r="D6" s="461" t="s">
        <v>84</v>
      </c>
      <c r="E6" s="462" t="s">
        <v>85</v>
      </c>
      <c r="G6" s="161"/>
      <c r="H6" s="630"/>
      <c r="I6" s="161"/>
      <c r="J6" s="18"/>
      <c r="L6" s="18"/>
      <c r="M6" s="18"/>
      <c r="N6" s="18"/>
      <c r="O6" s="152"/>
      <c r="P6" s="18"/>
      <c r="Q6" s="152"/>
      <c r="R6" s="152"/>
      <c r="S6" s="152"/>
      <c r="T6" s="152"/>
    </row>
    <row r="7" spans="1:25">
      <c r="B7" s="459"/>
      <c r="C7" s="113"/>
      <c r="D7" s="458" t="s">
        <v>74</v>
      </c>
      <c r="E7" s="463" t="s">
        <v>77</v>
      </c>
      <c r="G7" s="161"/>
      <c r="H7" s="630"/>
      <c r="I7" s="161"/>
      <c r="J7" s="478"/>
      <c r="L7" s="169"/>
      <c r="M7" s="169"/>
    </row>
    <row r="8" spans="1:25">
      <c r="B8" s="459"/>
      <c r="C8" s="113"/>
      <c r="D8" s="458" t="s">
        <v>75</v>
      </c>
      <c r="E8" s="287" t="s">
        <v>115</v>
      </c>
      <c r="F8" s="29"/>
      <c r="G8" s="161"/>
      <c r="H8" s="630"/>
      <c r="I8" s="135"/>
      <c r="J8" s="172"/>
      <c r="K8" s="41"/>
      <c r="L8" s="37"/>
      <c r="M8" s="37"/>
      <c r="U8" s="41"/>
    </row>
    <row r="9" spans="1:25">
      <c r="B9" s="459"/>
      <c r="C9" s="669"/>
      <c r="D9" s="568" t="s">
        <v>73</v>
      </c>
      <c r="E9" s="572" t="s">
        <v>446</v>
      </c>
      <c r="F9" s="29"/>
      <c r="G9" s="164"/>
      <c r="H9" s="630"/>
      <c r="I9" s="135"/>
      <c r="J9" s="75"/>
      <c r="K9" s="41"/>
      <c r="L9" s="77"/>
      <c r="M9" s="77"/>
      <c r="N9" s="27"/>
      <c r="O9" s="151"/>
      <c r="P9" s="27"/>
      <c r="Q9" s="151"/>
      <c r="R9" s="151"/>
      <c r="S9" s="151"/>
      <c r="T9" s="151"/>
      <c r="U9" s="41"/>
    </row>
    <row r="10" spans="1:25">
      <c r="B10" s="459"/>
      <c r="C10" s="113"/>
      <c r="D10" s="458" t="s">
        <v>76</v>
      </c>
      <c r="E10" s="465" t="s">
        <v>79</v>
      </c>
      <c r="F10" s="29"/>
      <c r="G10" s="161"/>
      <c r="H10" s="134"/>
      <c r="I10" s="135"/>
      <c r="J10" s="78"/>
      <c r="L10" s="79"/>
      <c r="M10" s="79"/>
      <c r="N10" s="27"/>
      <c r="O10" s="151"/>
      <c r="P10" s="27"/>
      <c r="Q10" s="151"/>
      <c r="R10" s="151"/>
      <c r="S10" s="151"/>
      <c r="T10" s="151"/>
    </row>
    <row r="11" spans="1:25">
      <c r="B11" s="459"/>
      <c r="C11" s="113"/>
      <c r="D11" s="458" t="s">
        <v>81</v>
      </c>
      <c r="E11" s="466" t="s">
        <v>80</v>
      </c>
      <c r="F11" s="29"/>
      <c r="G11" s="161"/>
      <c r="H11" s="134"/>
      <c r="I11" s="10"/>
      <c r="J11" s="78"/>
      <c r="L11" s="79"/>
      <c r="M11" s="79"/>
      <c r="N11" s="27"/>
      <c r="O11" s="151"/>
      <c r="P11" s="27"/>
      <c r="Q11" s="151"/>
      <c r="R11" s="151"/>
      <c r="S11" s="151"/>
      <c r="T11" s="151"/>
    </row>
    <row r="12" spans="1:25">
      <c r="B12" s="459"/>
      <c r="C12" s="113"/>
      <c r="D12" s="458" t="s">
        <v>83</v>
      </c>
      <c r="E12" s="467" t="s">
        <v>82</v>
      </c>
      <c r="F12" s="165"/>
      <c r="G12" s="147"/>
      <c r="H12" s="134"/>
      <c r="J12" s="78"/>
      <c r="L12" s="80"/>
      <c r="M12" s="80"/>
      <c r="N12" s="81"/>
      <c r="O12" s="12"/>
      <c r="P12" s="81"/>
      <c r="Q12" s="12"/>
      <c r="R12" s="12"/>
      <c r="S12" s="12"/>
      <c r="T12" s="12"/>
    </row>
    <row r="13" spans="1:25">
      <c r="B13" s="459"/>
      <c r="C13" s="113"/>
      <c r="D13" s="458" t="s">
        <v>88</v>
      </c>
      <c r="E13" s="468" t="s">
        <v>89</v>
      </c>
      <c r="F13" s="29"/>
      <c r="J13" s="76"/>
      <c r="L13" s="174"/>
      <c r="M13" s="76"/>
      <c r="N13" s="27"/>
      <c r="O13" s="151"/>
      <c r="P13" s="27"/>
      <c r="Q13" s="151"/>
      <c r="R13" s="151"/>
      <c r="S13" s="151"/>
      <c r="T13" s="151"/>
    </row>
    <row r="14" spans="1:25">
      <c r="B14" s="459"/>
      <c r="C14" s="113"/>
      <c r="D14" s="458" t="s">
        <v>116</v>
      </c>
      <c r="E14" s="99" t="s">
        <v>117</v>
      </c>
      <c r="F14" s="29"/>
      <c r="G14" s="166"/>
      <c r="H14" s="145"/>
      <c r="J14" s="76"/>
      <c r="L14" s="173"/>
      <c r="M14" s="173"/>
      <c r="N14" s="27"/>
      <c r="O14" s="151"/>
      <c r="P14" s="27"/>
      <c r="Q14" s="151"/>
      <c r="R14" s="151"/>
      <c r="S14" s="151"/>
      <c r="T14" s="151"/>
    </row>
    <row r="15" spans="1:25" ht="13" thickBot="1">
      <c r="B15" s="469"/>
      <c r="C15" s="670"/>
      <c r="D15" s="470" t="s">
        <v>103</v>
      </c>
      <c r="E15" s="471" t="s">
        <v>101</v>
      </c>
      <c r="F15" s="29"/>
      <c r="G15" s="166"/>
      <c r="H15" s="150"/>
      <c r="J15" s="76"/>
    </row>
    <row r="16" spans="1:25" ht="13" thickBot="1">
      <c r="A16" s="152"/>
      <c r="B16" s="152"/>
      <c r="C16" s="67"/>
      <c r="D16" s="54"/>
      <c r="E16" s="34"/>
      <c r="G16" s="167"/>
      <c r="H16" s="49"/>
      <c r="I16" s="67"/>
      <c r="J16" s="50"/>
      <c r="K16" s="50"/>
      <c r="L16" s="50"/>
      <c r="M16" s="50"/>
      <c r="N16" s="146"/>
      <c r="P16" s="146"/>
      <c r="U16" s="50"/>
      <c r="V16" s="33"/>
      <c r="W16" s="33"/>
      <c r="X16" s="33"/>
      <c r="Y16" s="33"/>
    </row>
    <row r="17" spans="1:34" ht="13" thickBot="1">
      <c r="D17" s="526"/>
      <c r="E17" s="582" t="s">
        <v>500</v>
      </c>
      <c r="F17" s="583" t="s">
        <v>285</v>
      </c>
      <c r="G17" s="96" t="s">
        <v>361</v>
      </c>
      <c r="H17" s="96" t="s">
        <v>361</v>
      </c>
      <c r="I17" s="304" t="s">
        <v>361</v>
      </c>
      <c r="J17" s="304" t="s">
        <v>361</v>
      </c>
      <c r="K17" s="581"/>
      <c r="L17" s="304" t="s">
        <v>361</v>
      </c>
      <c r="M17" s="304" t="s">
        <v>361</v>
      </c>
      <c r="N17" s="93"/>
      <c r="O17" s="13"/>
      <c r="P17" s="93"/>
      <c r="Q17" s="13"/>
      <c r="R17" s="96"/>
      <c r="S17" s="101"/>
      <c r="T17" s="96"/>
      <c r="U17" s="93"/>
      <c r="V17" s="96"/>
      <c r="W17" s="96"/>
      <c r="X17" s="304"/>
      <c r="Y17" s="304"/>
      <c r="Z17" s="304"/>
      <c r="AC17" s="560" t="s">
        <v>266</v>
      </c>
      <c r="AG17" s="561" t="s">
        <v>267</v>
      </c>
    </row>
    <row r="18" spans="1:34" ht="13" thickBot="1">
      <c r="A18" s="22" t="s">
        <v>95</v>
      </c>
      <c r="B18" s="22" t="s">
        <v>100</v>
      </c>
      <c r="C18" s="36" t="s">
        <v>522</v>
      </c>
      <c r="D18" s="36" t="s">
        <v>67</v>
      </c>
      <c r="E18" s="450" t="s">
        <v>230</v>
      </c>
      <c r="F18" s="528" t="s">
        <v>229</v>
      </c>
      <c r="G18" s="176" t="s">
        <v>496</v>
      </c>
      <c r="H18" s="545" t="s">
        <v>367</v>
      </c>
      <c r="I18" s="442" t="s">
        <v>368</v>
      </c>
      <c r="J18" s="313" t="s">
        <v>105</v>
      </c>
      <c r="K18" s="93"/>
      <c r="L18" s="94" t="s">
        <v>104</v>
      </c>
      <c r="M18" s="95" t="s">
        <v>106</v>
      </c>
      <c r="N18" s="102"/>
      <c r="O18" s="427" t="s">
        <v>372</v>
      </c>
      <c r="P18" s="102"/>
      <c r="Q18" s="313" t="s">
        <v>478</v>
      </c>
      <c r="R18" s="156" t="s">
        <v>479</v>
      </c>
      <c r="S18" s="149"/>
      <c r="T18" s="327" t="s">
        <v>291</v>
      </c>
      <c r="U18" s="93"/>
      <c r="V18" s="103" t="s">
        <v>111</v>
      </c>
      <c r="W18" s="74" t="s">
        <v>112</v>
      </c>
      <c r="X18" s="103" t="s">
        <v>113</v>
      </c>
      <c r="Y18" s="103" t="s">
        <v>223</v>
      </c>
      <c r="Z18" s="307" t="s">
        <v>224</v>
      </c>
      <c r="AB18" s="562" t="s">
        <v>263</v>
      </c>
      <c r="AC18" s="563" t="s">
        <v>264</v>
      </c>
      <c r="AD18" s="563" t="s">
        <v>265</v>
      </c>
      <c r="AF18" s="562" t="s">
        <v>263</v>
      </c>
      <c r="AG18" s="563" t="s">
        <v>264</v>
      </c>
      <c r="AH18" s="563" t="s">
        <v>265</v>
      </c>
    </row>
    <row r="19" spans="1:34">
      <c r="A19" s="472" t="s">
        <v>109</v>
      </c>
      <c r="B19" s="472" t="s">
        <v>110</v>
      </c>
      <c r="C19" s="666"/>
      <c r="D19" s="373" t="s">
        <v>320</v>
      </c>
      <c r="E19" s="449"/>
      <c r="F19" s="529">
        <f>VLOOKUP(D19,'Q2 DMV -  Revenue'!C:S,17,FALSE)</f>
        <v>-200</v>
      </c>
      <c r="G19" s="579">
        <v>0</v>
      </c>
      <c r="H19" s="579"/>
      <c r="I19" s="524"/>
      <c r="J19" s="379">
        <f t="shared" ref="J19:J85" si="0">SUM(E19:I19)</f>
        <v>-200</v>
      </c>
      <c r="K19" s="31"/>
      <c r="L19" s="84"/>
      <c r="M19" s="42">
        <v>0</v>
      </c>
      <c r="N19" s="31">
        <v>0</v>
      </c>
      <c r="O19" s="429"/>
      <c r="P19" s="31">
        <v>0</v>
      </c>
      <c r="Q19" s="426">
        <f t="shared" ref="Q19:Q164" si="1">L19+M19</f>
        <v>0</v>
      </c>
      <c r="R19" s="178">
        <v>0</v>
      </c>
      <c r="S19" s="384"/>
      <c r="T19" s="385">
        <f>IF(R19="","",R19-Q19)</f>
        <v>0</v>
      </c>
      <c r="U19" s="380"/>
      <c r="V19" s="474">
        <f t="shared" ref="V19:V85" si="2">IF(B19="D",Q19,0)</f>
        <v>0</v>
      </c>
      <c r="W19" s="474">
        <f t="shared" ref="W19" si="3">IF(B19="M",Q19,0)</f>
        <v>0</v>
      </c>
      <c r="X19" s="475">
        <f t="shared" ref="X19" si="4">IF(B19="V",Q19,0)</f>
        <v>0</v>
      </c>
      <c r="Y19" s="475">
        <v>0</v>
      </c>
      <c r="Z19" s="476">
        <v>0</v>
      </c>
      <c r="AA19" s="38">
        <f>(L19+M19)-(V19+W19+X19+Y19+Z19)</f>
        <v>0</v>
      </c>
      <c r="AB19" s="564">
        <f t="shared" ref="AB19" si="5">IF(B19="D",J19,0)</f>
        <v>-200</v>
      </c>
      <c r="AC19" s="564">
        <f t="shared" ref="AC19" si="6">IF(B19="M",J19,0)</f>
        <v>0</v>
      </c>
      <c r="AD19" s="564">
        <f t="shared" ref="AD19" si="7">IF(B19="V",J19,0)</f>
        <v>0</v>
      </c>
      <c r="AF19" s="564">
        <f t="shared" ref="AF19" si="8">IF(B19="D",Q19,0)</f>
        <v>0</v>
      </c>
      <c r="AG19" s="564">
        <f t="shared" ref="AG19" si="9">IF(B19="M",Q19,0)</f>
        <v>0</v>
      </c>
      <c r="AH19" s="564">
        <f t="shared" ref="AH19" si="10">IF(B19="V",Q19,0)</f>
        <v>0</v>
      </c>
    </row>
    <row r="20" spans="1:34">
      <c r="A20" s="372" t="s">
        <v>109</v>
      </c>
      <c r="B20" s="472" t="s">
        <v>109</v>
      </c>
      <c r="C20" s="666"/>
      <c r="D20" s="373" t="s">
        <v>382</v>
      </c>
      <c r="E20" s="449"/>
      <c r="F20" s="529">
        <f>VLOOKUP(D20,'Q2 DMV -  Revenue'!C:S,17,FALSE)</f>
        <v>-7000</v>
      </c>
      <c r="G20" s="579"/>
      <c r="H20" s="579"/>
      <c r="I20" s="524"/>
      <c r="J20" s="379">
        <f t="shared" si="0"/>
        <v>-7000</v>
      </c>
      <c r="K20" s="31"/>
      <c r="L20" s="84"/>
      <c r="M20" s="42">
        <v>0</v>
      </c>
      <c r="N20" s="31">
        <v>0</v>
      </c>
      <c r="O20" s="429"/>
      <c r="P20" s="31">
        <v>0</v>
      </c>
      <c r="Q20" s="426">
        <f t="shared" si="1"/>
        <v>0</v>
      </c>
      <c r="R20" s="178">
        <v>2933.48</v>
      </c>
      <c r="S20" s="384"/>
      <c r="T20" s="385">
        <f t="shared" ref="T20:T86" si="11">IF(R20="","",R20-Q20)</f>
        <v>2933.48</v>
      </c>
      <c r="U20" s="380"/>
      <c r="V20" s="474">
        <f t="shared" si="2"/>
        <v>0</v>
      </c>
      <c r="W20" s="474">
        <f t="shared" ref="W20:W85" si="12">IF(B20="M",Q20,0)</f>
        <v>0</v>
      </c>
      <c r="X20" s="475">
        <f t="shared" ref="X20:X85" si="13">IF(B20="V",Q20,0)</f>
        <v>0</v>
      </c>
      <c r="Y20" s="475">
        <v>0</v>
      </c>
      <c r="Z20" s="476">
        <v>0</v>
      </c>
      <c r="AA20" s="38">
        <f t="shared" ref="AA20:AA85" si="14">(L20+M20)-(V20+W20+X20+Y20+Z20)</f>
        <v>0</v>
      </c>
      <c r="AB20" s="564">
        <f t="shared" ref="AB20:AB85" si="15">IF(B20="D",J20,0)</f>
        <v>0</v>
      </c>
      <c r="AC20" s="564">
        <f t="shared" ref="AC20:AC85" si="16">IF(B20="M",J20,0)</f>
        <v>-7000</v>
      </c>
      <c r="AD20" s="564">
        <f t="shared" ref="AD20:AD85" si="17">IF(B20="V",J20,0)</f>
        <v>0</v>
      </c>
      <c r="AF20" s="564">
        <f t="shared" ref="AF20:AF85" si="18">IF(B20="D",Q20,0)</f>
        <v>0</v>
      </c>
      <c r="AG20" s="564">
        <f t="shared" ref="AG20:AG85" si="19">IF(B20="M",Q20,0)</f>
        <v>0</v>
      </c>
      <c r="AH20" s="564">
        <f t="shared" ref="AH20:AH85" si="20">IF(B20="V",Q20,0)</f>
        <v>0</v>
      </c>
    </row>
    <row r="21" spans="1:34">
      <c r="A21" s="20" t="s">
        <v>109</v>
      </c>
      <c r="B21" s="20" t="s">
        <v>110</v>
      </c>
      <c r="C21" s="671" t="s">
        <v>523</v>
      </c>
      <c r="D21" s="123" t="s">
        <v>317</v>
      </c>
      <c r="E21" s="449"/>
      <c r="F21" s="529">
        <f>VLOOKUP(D21,'Q2 DMV -  Revenue'!C:S,17,FALSE)</f>
        <v>-2256.25</v>
      </c>
      <c r="G21" s="576">
        <f>23761.98+4429.92</f>
        <v>28191.9</v>
      </c>
      <c r="H21" s="524"/>
      <c r="I21" s="524"/>
      <c r="J21" s="379">
        <f t="shared" si="0"/>
        <v>25935.65</v>
      </c>
      <c r="K21" s="31"/>
      <c r="L21" s="84">
        <f>1.43472*6408.94+2373.62*1.63737</f>
        <v>13081.528576199998</v>
      </c>
      <c r="M21" s="42">
        <f>SUM(G21+L21)/2</f>
        <v>20636.7142881</v>
      </c>
      <c r="N21" s="31">
        <v>0</v>
      </c>
      <c r="O21" s="429">
        <v>133180.51999999999</v>
      </c>
      <c r="P21" s="31">
        <v>0</v>
      </c>
      <c r="Q21" s="426">
        <f t="shared" si="1"/>
        <v>33718.242864300002</v>
      </c>
      <c r="R21" s="178">
        <f>9195.03+3886.49+8972.91+3523.59</f>
        <v>25578.02</v>
      </c>
      <c r="S21" s="295"/>
      <c r="T21" s="385">
        <f t="shared" si="11"/>
        <v>-8140.2228643000017</v>
      </c>
      <c r="U21" s="31"/>
      <c r="V21" s="474">
        <f t="shared" si="2"/>
        <v>33718.242864300002</v>
      </c>
      <c r="W21" s="474">
        <f t="shared" si="12"/>
        <v>0</v>
      </c>
      <c r="X21" s="475">
        <f t="shared" si="13"/>
        <v>0</v>
      </c>
      <c r="Y21" s="475">
        <v>0</v>
      </c>
      <c r="Z21" s="476">
        <v>0</v>
      </c>
      <c r="AA21" s="38">
        <f t="shared" si="14"/>
        <v>0</v>
      </c>
      <c r="AB21" s="564">
        <f t="shared" si="15"/>
        <v>25935.65</v>
      </c>
      <c r="AC21" s="564">
        <f t="shared" si="16"/>
        <v>0</v>
      </c>
      <c r="AD21" s="564">
        <f t="shared" si="17"/>
        <v>0</v>
      </c>
      <c r="AF21" s="564">
        <f t="shared" si="18"/>
        <v>33718.242864300002</v>
      </c>
      <c r="AG21" s="564">
        <f t="shared" si="19"/>
        <v>0</v>
      </c>
      <c r="AH21" s="564">
        <f t="shared" si="20"/>
        <v>0</v>
      </c>
    </row>
    <row r="22" spans="1:34">
      <c r="A22" s="20" t="s">
        <v>109</v>
      </c>
      <c r="B22" s="20" t="s">
        <v>109</v>
      </c>
      <c r="C22" s="671" t="s">
        <v>523</v>
      </c>
      <c r="D22" s="68" t="s">
        <v>393</v>
      </c>
      <c r="E22" s="449"/>
      <c r="F22" s="529">
        <f>VLOOKUP(D22,'Q2 DMV -  Revenue'!C:S,17,FALSE)</f>
        <v>-2220.9550000000017</v>
      </c>
      <c r="G22" s="576">
        <v>29528.33</v>
      </c>
      <c r="H22" s="576">
        <v>31130.55</v>
      </c>
      <c r="I22" s="524"/>
      <c r="J22" s="379">
        <f t="shared" si="0"/>
        <v>58437.925000000003</v>
      </c>
      <c r="K22" s="31"/>
      <c r="L22" s="84"/>
      <c r="M22" s="42">
        <f>SUM(G22+H22)/2</f>
        <v>30329.440000000002</v>
      </c>
      <c r="N22" s="31">
        <v>0</v>
      </c>
      <c r="O22" s="429"/>
      <c r="P22" s="31">
        <v>0</v>
      </c>
      <c r="Q22" s="426">
        <f t="shared" si="1"/>
        <v>30329.440000000002</v>
      </c>
      <c r="R22" s="178">
        <v>28450.92</v>
      </c>
      <c r="S22" s="295"/>
      <c r="T22" s="385">
        <f t="shared" si="11"/>
        <v>-1878.5200000000041</v>
      </c>
      <c r="U22" s="31"/>
      <c r="V22" s="474">
        <f t="shared" si="2"/>
        <v>0</v>
      </c>
      <c r="W22" s="474">
        <f t="shared" si="12"/>
        <v>30329.440000000002</v>
      </c>
      <c r="X22" s="475">
        <f t="shared" si="13"/>
        <v>0</v>
      </c>
      <c r="Y22" s="475">
        <v>0</v>
      </c>
      <c r="Z22" s="476">
        <v>0</v>
      </c>
      <c r="AA22" s="38">
        <f t="shared" si="14"/>
        <v>0</v>
      </c>
      <c r="AB22" s="564">
        <f t="shared" si="15"/>
        <v>0</v>
      </c>
      <c r="AC22" s="564">
        <f t="shared" si="16"/>
        <v>58437.925000000003</v>
      </c>
      <c r="AD22" s="564">
        <f t="shared" si="17"/>
        <v>0</v>
      </c>
      <c r="AF22" s="564">
        <f t="shared" si="18"/>
        <v>0</v>
      </c>
      <c r="AG22" s="564">
        <f t="shared" si="19"/>
        <v>30329.440000000002</v>
      </c>
      <c r="AH22" s="564">
        <f t="shared" si="20"/>
        <v>0</v>
      </c>
    </row>
    <row r="23" spans="1:34">
      <c r="A23" s="20" t="s">
        <v>109</v>
      </c>
      <c r="B23" s="20" t="s">
        <v>109</v>
      </c>
      <c r="C23" s="671" t="s">
        <v>523</v>
      </c>
      <c r="D23" s="68" t="s">
        <v>129</v>
      </c>
      <c r="E23" s="449"/>
      <c r="F23" s="529">
        <f>VLOOKUP(D23,'Q2 DMV -  Revenue'!C:S,17,FALSE)</f>
        <v>62.394999999999996</v>
      </c>
      <c r="G23" s="576">
        <v>82.96</v>
      </c>
      <c r="H23" s="576">
        <v>36.74</v>
      </c>
      <c r="I23" s="524"/>
      <c r="J23" s="379">
        <f t="shared" si="0"/>
        <v>182.095</v>
      </c>
      <c r="K23" s="31"/>
      <c r="L23" s="84"/>
      <c r="M23" s="42">
        <f t="shared" ref="M23:M26" si="21">SUM(G23+H23)/2</f>
        <v>59.849999999999994</v>
      </c>
      <c r="N23" s="31">
        <v>0</v>
      </c>
      <c r="O23" s="429"/>
      <c r="P23" s="31">
        <v>0</v>
      </c>
      <c r="Q23" s="426">
        <f t="shared" si="1"/>
        <v>59.849999999999994</v>
      </c>
      <c r="R23" s="178">
        <v>32.85</v>
      </c>
      <c r="S23" s="295"/>
      <c r="T23" s="385">
        <f t="shared" si="11"/>
        <v>-26.999999999999993</v>
      </c>
      <c r="U23" s="31"/>
      <c r="V23" s="474">
        <f t="shared" si="2"/>
        <v>0</v>
      </c>
      <c r="W23" s="474">
        <f t="shared" si="12"/>
        <v>59.849999999999994</v>
      </c>
      <c r="X23" s="475">
        <f t="shared" si="13"/>
        <v>0</v>
      </c>
      <c r="Y23" s="475">
        <v>0</v>
      </c>
      <c r="Z23" s="476">
        <v>0</v>
      </c>
      <c r="AA23" s="38">
        <f t="shared" si="14"/>
        <v>0</v>
      </c>
      <c r="AB23" s="564">
        <f t="shared" si="15"/>
        <v>0</v>
      </c>
      <c r="AC23" s="564">
        <f t="shared" si="16"/>
        <v>182.095</v>
      </c>
      <c r="AD23" s="564">
        <f t="shared" si="17"/>
        <v>0</v>
      </c>
      <c r="AF23" s="564">
        <f t="shared" si="18"/>
        <v>0</v>
      </c>
      <c r="AG23" s="564">
        <f t="shared" si="19"/>
        <v>59.849999999999994</v>
      </c>
      <c r="AH23" s="564">
        <f t="shared" si="20"/>
        <v>0</v>
      </c>
    </row>
    <row r="24" spans="1:34">
      <c r="A24" s="20"/>
      <c r="B24" s="20" t="s">
        <v>110</v>
      </c>
      <c r="C24" s="667" t="s">
        <v>524</v>
      </c>
      <c r="D24" s="123" t="s">
        <v>380</v>
      </c>
      <c r="E24" s="449"/>
      <c r="F24" s="529">
        <f>VLOOKUP(D24,'Q2 DMV -  Revenue'!C:S,17,FALSE)</f>
        <v>-1395.7799999999997</v>
      </c>
      <c r="G24" s="576">
        <v>3112.36</v>
      </c>
      <c r="H24" s="576">
        <v>3084.75</v>
      </c>
      <c r="I24" s="524"/>
      <c r="J24" s="379">
        <f t="shared" si="0"/>
        <v>4801.33</v>
      </c>
      <c r="K24" s="31"/>
      <c r="L24" s="84"/>
      <c r="M24" s="42">
        <f t="shared" si="21"/>
        <v>3098.5550000000003</v>
      </c>
      <c r="N24" s="31">
        <v>0</v>
      </c>
      <c r="O24" s="429">
        <v>38969.86</v>
      </c>
      <c r="P24" s="31">
        <v>0</v>
      </c>
      <c r="Q24" s="426">
        <f t="shared" si="1"/>
        <v>3098.5550000000003</v>
      </c>
      <c r="R24" s="178">
        <v>2938.02</v>
      </c>
      <c r="S24" s="295"/>
      <c r="T24" s="385">
        <f t="shared" si="11"/>
        <v>-160.53500000000031</v>
      </c>
      <c r="U24" s="31"/>
      <c r="V24" s="474">
        <f t="shared" si="2"/>
        <v>3098.5550000000003</v>
      </c>
      <c r="W24" s="474">
        <f t="shared" si="12"/>
        <v>0</v>
      </c>
      <c r="X24" s="475">
        <f t="shared" si="13"/>
        <v>0</v>
      </c>
      <c r="Y24" s="475">
        <v>0</v>
      </c>
      <c r="Z24" s="476">
        <v>0</v>
      </c>
      <c r="AA24" s="38">
        <f t="shared" si="14"/>
        <v>0</v>
      </c>
      <c r="AB24" s="564">
        <f t="shared" si="15"/>
        <v>4801.33</v>
      </c>
      <c r="AC24" s="564">
        <f t="shared" si="16"/>
        <v>0</v>
      </c>
      <c r="AD24" s="564">
        <f t="shared" si="17"/>
        <v>0</v>
      </c>
      <c r="AF24" s="564">
        <f t="shared" si="18"/>
        <v>3098.5550000000003</v>
      </c>
      <c r="AG24" s="564">
        <f t="shared" si="19"/>
        <v>0</v>
      </c>
      <c r="AH24" s="564">
        <f t="shared" si="20"/>
        <v>0</v>
      </c>
    </row>
    <row r="25" spans="1:34">
      <c r="A25" s="20"/>
      <c r="B25" s="20" t="s">
        <v>110</v>
      </c>
      <c r="C25" s="667" t="s">
        <v>524</v>
      </c>
      <c r="D25" s="123" t="s">
        <v>132</v>
      </c>
      <c r="E25" s="449"/>
      <c r="F25" s="529">
        <f>VLOOKUP(D25,'Q2 DMV -  Revenue'!C:S,17,FALSE)</f>
        <v>-523.39000000000033</v>
      </c>
      <c r="G25" s="576">
        <v>4000.77</v>
      </c>
      <c r="H25" s="576">
        <v>3481.93</v>
      </c>
      <c r="I25" s="524"/>
      <c r="J25" s="379">
        <f t="shared" si="0"/>
        <v>6959.3099999999995</v>
      </c>
      <c r="K25" s="31"/>
      <c r="L25" s="84"/>
      <c r="M25" s="42">
        <f t="shared" si="21"/>
        <v>3741.35</v>
      </c>
      <c r="N25" s="31">
        <v>0</v>
      </c>
      <c r="O25" s="429"/>
      <c r="P25" s="31">
        <v>0</v>
      </c>
      <c r="Q25" s="426">
        <f t="shared" si="1"/>
        <v>3741.35</v>
      </c>
      <c r="R25" s="178">
        <v>3264.12</v>
      </c>
      <c r="S25" s="295"/>
      <c r="T25" s="385">
        <f t="shared" si="11"/>
        <v>-477.23</v>
      </c>
      <c r="U25" s="31"/>
      <c r="V25" s="474">
        <f t="shared" si="2"/>
        <v>3741.35</v>
      </c>
      <c r="W25" s="474">
        <f t="shared" si="12"/>
        <v>0</v>
      </c>
      <c r="X25" s="475">
        <f t="shared" si="13"/>
        <v>0</v>
      </c>
      <c r="Y25" s="475">
        <v>0</v>
      </c>
      <c r="Z25" s="476">
        <v>0</v>
      </c>
      <c r="AA25" s="38">
        <f t="shared" si="14"/>
        <v>0</v>
      </c>
      <c r="AB25" s="564">
        <f t="shared" si="15"/>
        <v>6959.3099999999995</v>
      </c>
      <c r="AC25" s="564">
        <f t="shared" si="16"/>
        <v>0</v>
      </c>
      <c r="AD25" s="564">
        <f t="shared" si="17"/>
        <v>0</v>
      </c>
      <c r="AF25" s="564">
        <f t="shared" si="18"/>
        <v>3741.35</v>
      </c>
      <c r="AG25" s="564">
        <f t="shared" si="19"/>
        <v>0</v>
      </c>
      <c r="AH25" s="564">
        <f t="shared" si="20"/>
        <v>0</v>
      </c>
    </row>
    <row r="26" spans="1:34">
      <c r="A26" s="20"/>
      <c r="B26" s="20" t="s">
        <v>110</v>
      </c>
      <c r="C26" s="667" t="s">
        <v>524</v>
      </c>
      <c r="D26" s="123" t="s">
        <v>133</v>
      </c>
      <c r="E26" s="449"/>
      <c r="F26" s="529">
        <f>VLOOKUP(D26,'Q2 DMV -  Revenue'!C:S,17,FALSE)</f>
        <v>247.40000000000055</v>
      </c>
      <c r="G26" s="576">
        <v>2824.3</v>
      </c>
      <c r="H26" s="576">
        <v>3086.2</v>
      </c>
      <c r="I26" s="524"/>
      <c r="J26" s="379">
        <f t="shared" si="0"/>
        <v>6157.9000000000005</v>
      </c>
      <c r="K26" s="31"/>
      <c r="L26" s="84"/>
      <c r="M26" s="42">
        <f t="shared" si="21"/>
        <v>2955.25</v>
      </c>
      <c r="N26" s="31">
        <v>0</v>
      </c>
      <c r="O26" s="429"/>
      <c r="P26" s="31">
        <v>0</v>
      </c>
      <c r="Q26" s="426">
        <f t="shared" si="1"/>
        <v>2955.25</v>
      </c>
      <c r="R26" s="178">
        <v>2581.3000000000002</v>
      </c>
      <c r="S26" s="295"/>
      <c r="T26" s="385">
        <f t="shared" si="11"/>
        <v>-373.94999999999982</v>
      </c>
      <c r="U26" s="31"/>
      <c r="V26" s="474">
        <f t="shared" si="2"/>
        <v>2955.25</v>
      </c>
      <c r="W26" s="474">
        <f t="shared" si="12"/>
        <v>0</v>
      </c>
      <c r="X26" s="475">
        <f t="shared" si="13"/>
        <v>0</v>
      </c>
      <c r="Y26" s="475">
        <v>0</v>
      </c>
      <c r="Z26" s="476">
        <v>0</v>
      </c>
      <c r="AA26" s="38">
        <f t="shared" si="14"/>
        <v>0</v>
      </c>
      <c r="AB26" s="564">
        <f t="shared" si="15"/>
        <v>6157.9000000000005</v>
      </c>
      <c r="AC26" s="564">
        <f t="shared" si="16"/>
        <v>0</v>
      </c>
      <c r="AD26" s="564">
        <f t="shared" si="17"/>
        <v>0</v>
      </c>
      <c r="AF26" s="564">
        <f t="shared" si="18"/>
        <v>2955.25</v>
      </c>
      <c r="AG26" s="564">
        <f t="shared" si="19"/>
        <v>0</v>
      </c>
      <c r="AH26" s="564">
        <f t="shared" si="20"/>
        <v>0</v>
      </c>
    </row>
    <row r="27" spans="1:34" s="232" customFormat="1">
      <c r="A27" s="283" t="s">
        <v>211</v>
      </c>
      <c r="B27" s="283" t="s">
        <v>109</v>
      </c>
      <c r="C27" s="667" t="s">
        <v>525</v>
      </c>
      <c r="D27" s="123" t="s">
        <v>419</v>
      </c>
      <c r="E27" s="449"/>
      <c r="F27" s="529">
        <f>VLOOKUP(D27,'Q2 DMV -  Revenue'!C:S,17,FALSE)</f>
        <v>-1409.8700000000026</v>
      </c>
      <c r="G27" s="579"/>
      <c r="H27" s="579"/>
      <c r="I27" s="524"/>
      <c r="J27" s="379">
        <f t="shared" si="0"/>
        <v>-1409.8700000000026</v>
      </c>
      <c r="K27" s="31"/>
      <c r="L27" s="84"/>
      <c r="M27" s="42">
        <v>40000</v>
      </c>
      <c r="N27" s="31">
        <v>0</v>
      </c>
      <c r="O27" s="429">
        <v>41173.18</v>
      </c>
      <c r="P27" s="31">
        <v>0</v>
      </c>
      <c r="Q27" s="426">
        <f t="shared" si="1"/>
        <v>40000</v>
      </c>
      <c r="R27" s="178">
        <v>44876.68</v>
      </c>
      <c r="S27" s="295"/>
      <c r="T27" s="385">
        <f t="shared" si="11"/>
        <v>4876.68</v>
      </c>
      <c r="U27" s="31"/>
      <c r="V27" s="474">
        <f t="shared" si="2"/>
        <v>0</v>
      </c>
      <c r="W27" s="474">
        <f t="shared" si="12"/>
        <v>40000</v>
      </c>
      <c r="X27" s="475">
        <f t="shared" si="13"/>
        <v>0</v>
      </c>
      <c r="Y27" s="475">
        <v>0</v>
      </c>
      <c r="Z27" s="476">
        <v>0</v>
      </c>
      <c r="AA27" s="38">
        <f t="shared" si="14"/>
        <v>0</v>
      </c>
      <c r="AB27" s="564">
        <f t="shared" si="15"/>
        <v>0</v>
      </c>
      <c r="AC27" s="564">
        <f t="shared" si="16"/>
        <v>-1409.8700000000026</v>
      </c>
      <c r="AD27" s="564">
        <f t="shared" si="17"/>
        <v>0</v>
      </c>
      <c r="AE27" s="559"/>
      <c r="AF27" s="564">
        <f t="shared" si="18"/>
        <v>0</v>
      </c>
      <c r="AG27" s="564">
        <f t="shared" si="19"/>
        <v>40000</v>
      </c>
      <c r="AH27" s="564">
        <f t="shared" si="20"/>
        <v>0</v>
      </c>
    </row>
    <row r="28" spans="1:34" s="232" customFormat="1">
      <c r="A28" s="283"/>
      <c r="B28" s="283" t="s">
        <v>109</v>
      </c>
      <c r="C28" s="667" t="s">
        <v>525</v>
      </c>
      <c r="D28" s="413" t="s">
        <v>420</v>
      </c>
      <c r="E28" s="449">
        <v>1342.88</v>
      </c>
      <c r="F28" s="529">
        <f>VLOOKUP(D28,'Q2 DMV -  Revenue'!C:S,17,FALSE)</f>
        <v>-546.12</v>
      </c>
      <c r="G28" s="579"/>
      <c r="H28" s="579"/>
      <c r="I28" s="524"/>
      <c r="J28" s="379">
        <f t="shared" si="0"/>
        <v>796.7600000000001</v>
      </c>
      <c r="K28" s="31"/>
      <c r="L28" s="84"/>
      <c r="M28" s="42">
        <v>1000</v>
      </c>
      <c r="N28" s="31">
        <v>0</v>
      </c>
      <c r="O28" s="429"/>
      <c r="P28" s="31">
        <v>0</v>
      </c>
      <c r="Q28" s="426">
        <f t="shared" si="1"/>
        <v>1000</v>
      </c>
      <c r="R28" s="178">
        <v>828.74</v>
      </c>
      <c r="S28" s="295"/>
      <c r="T28" s="385">
        <f t="shared" si="11"/>
        <v>-171.26</v>
      </c>
      <c r="U28" s="31"/>
      <c r="V28" s="474">
        <f t="shared" si="2"/>
        <v>0</v>
      </c>
      <c r="W28" s="474">
        <f t="shared" si="12"/>
        <v>1000</v>
      </c>
      <c r="X28" s="475">
        <f t="shared" si="13"/>
        <v>0</v>
      </c>
      <c r="Y28" s="475">
        <v>0</v>
      </c>
      <c r="Z28" s="476">
        <v>0</v>
      </c>
      <c r="AA28" s="38">
        <f t="shared" si="14"/>
        <v>0</v>
      </c>
      <c r="AB28" s="564">
        <f t="shared" si="15"/>
        <v>0</v>
      </c>
      <c r="AC28" s="564">
        <f t="shared" si="16"/>
        <v>796.7600000000001</v>
      </c>
      <c r="AD28" s="564">
        <f t="shared" si="17"/>
        <v>0</v>
      </c>
      <c r="AE28" s="559"/>
      <c r="AF28" s="564">
        <f t="shared" si="18"/>
        <v>0</v>
      </c>
      <c r="AG28" s="564">
        <f t="shared" si="19"/>
        <v>1000</v>
      </c>
      <c r="AH28" s="564">
        <f t="shared" si="20"/>
        <v>0</v>
      </c>
    </row>
    <row r="29" spans="1:34" s="232" customFormat="1">
      <c r="A29" s="283"/>
      <c r="B29" s="283" t="s">
        <v>109</v>
      </c>
      <c r="C29" s="667" t="s">
        <v>525</v>
      </c>
      <c r="D29" s="413" t="s">
        <v>421</v>
      </c>
      <c r="E29" s="449"/>
      <c r="F29" s="529">
        <f>VLOOKUP(D29,'Q2 DMV -  Revenue'!C:S,17,FALSE)</f>
        <v>-413.71</v>
      </c>
      <c r="G29" s="579"/>
      <c r="H29" s="579"/>
      <c r="I29" s="524"/>
      <c r="J29" s="379">
        <f t="shared" si="0"/>
        <v>-413.71</v>
      </c>
      <c r="K29" s="31"/>
      <c r="L29" s="84"/>
      <c r="M29" s="42">
        <v>500</v>
      </c>
      <c r="N29" s="31">
        <v>0</v>
      </c>
      <c r="O29" s="429"/>
      <c r="P29" s="31">
        <v>0</v>
      </c>
      <c r="Q29" s="426">
        <f t="shared" si="1"/>
        <v>500</v>
      </c>
      <c r="R29" s="178">
        <v>198.81</v>
      </c>
      <c r="S29" s="295"/>
      <c r="T29" s="385">
        <f t="shared" si="11"/>
        <v>-301.19</v>
      </c>
      <c r="U29" s="31"/>
      <c r="V29" s="474">
        <f t="shared" si="2"/>
        <v>0</v>
      </c>
      <c r="W29" s="474">
        <f t="shared" si="12"/>
        <v>500</v>
      </c>
      <c r="X29" s="475">
        <f t="shared" si="13"/>
        <v>0</v>
      </c>
      <c r="Y29" s="475">
        <v>0</v>
      </c>
      <c r="Z29" s="476">
        <v>0</v>
      </c>
      <c r="AA29" s="38">
        <f t="shared" si="14"/>
        <v>0</v>
      </c>
      <c r="AB29" s="564">
        <f t="shared" si="15"/>
        <v>0</v>
      </c>
      <c r="AC29" s="564">
        <f t="shared" si="16"/>
        <v>-413.71</v>
      </c>
      <c r="AD29" s="564">
        <f t="shared" si="17"/>
        <v>0</v>
      </c>
      <c r="AE29" s="559"/>
      <c r="AF29" s="564">
        <f t="shared" si="18"/>
        <v>0</v>
      </c>
      <c r="AG29" s="564">
        <f t="shared" si="19"/>
        <v>500</v>
      </c>
      <c r="AH29" s="564">
        <f t="shared" si="20"/>
        <v>0</v>
      </c>
    </row>
    <row r="30" spans="1:34">
      <c r="A30" s="20"/>
      <c r="B30" s="20" t="s">
        <v>110</v>
      </c>
      <c r="C30" s="667"/>
      <c r="D30" s="68" t="s">
        <v>191</v>
      </c>
      <c r="E30" s="449"/>
      <c r="F30" s="529">
        <f>VLOOKUP(D30,'Q2 DMV -  Revenue'!C:S,17,FALSE)</f>
        <v>0</v>
      </c>
      <c r="G30" s="576">
        <v>147.38</v>
      </c>
      <c r="H30" s="576">
        <v>108.75</v>
      </c>
      <c r="I30" s="525">
        <v>160.1</v>
      </c>
      <c r="J30" s="379">
        <f t="shared" si="0"/>
        <v>416.23</v>
      </c>
      <c r="K30" s="31"/>
      <c r="L30" s="84"/>
      <c r="M30" s="42">
        <v>0</v>
      </c>
      <c r="N30" s="31">
        <v>0</v>
      </c>
      <c r="O30" s="429">
        <v>416.23</v>
      </c>
      <c r="P30" s="31">
        <v>0</v>
      </c>
      <c r="Q30" s="426">
        <f t="shared" si="1"/>
        <v>0</v>
      </c>
      <c r="R30" s="178">
        <v>0</v>
      </c>
      <c r="S30" s="295"/>
      <c r="T30" s="385">
        <f t="shared" si="11"/>
        <v>0</v>
      </c>
      <c r="U30" s="31"/>
      <c r="V30" s="474">
        <f t="shared" si="2"/>
        <v>0</v>
      </c>
      <c r="W30" s="474">
        <f t="shared" si="12"/>
        <v>0</v>
      </c>
      <c r="X30" s="475">
        <f t="shared" si="13"/>
        <v>0</v>
      </c>
      <c r="Y30" s="475">
        <v>0</v>
      </c>
      <c r="Z30" s="476">
        <v>0</v>
      </c>
      <c r="AA30" s="38">
        <f t="shared" si="14"/>
        <v>0</v>
      </c>
      <c r="AB30" s="564">
        <f t="shared" si="15"/>
        <v>416.23</v>
      </c>
      <c r="AC30" s="564">
        <f t="shared" si="16"/>
        <v>0</v>
      </c>
      <c r="AD30" s="564">
        <f t="shared" si="17"/>
        <v>0</v>
      </c>
      <c r="AF30" s="564">
        <f t="shared" si="18"/>
        <v>0</v>
      </c>
      <c r="AG30" s="564">
        <f t="shared" si="19"/>
        <v>0</v>
      </c>
      <c r="AH30" s="564">
        <f t="shared" si="20"/>
        <v>0</v>
      </c>
    </row>
    <row r="31" spans="1:34">
      <c r="A31" s="20"/>
      <c r="B31" s="20" t="s">
        <v>109</v>
      </c>
      <c r="C31" s="667"/>
      <c r="D31" s="68" t="s">
        <v>1</v>
      </c>
      <c r="E31" s="449"/>
      <c r="F31" s="529">
        <f>VLOOKUP(D31,'Q2 DMV -  Revenue'!C:S,17,FALSE)</f>
        <v>0</v>
      </c>
      <c r="G31" s="579"/>
      <c r="H31" s="579"/>
      <c r="I31" s="524"/>
      <c r="J31" s="379">
        <f t="shared" si="0"/>
        <v>0</v>
      </c>
      <c r="K31" s="31"/>
      <c r="L31" s="84"/>
      <c r="M31" s="42">
        <v>0</v>
      </c>
      <c r="N31" s="31">
        <v>0</v>
      </c>
      <c r="O31" s="429"/>
      <c r="P31" s="31">
        <v>0</v>
      </c>
      <c r="Q31" s="426">
        <f t="shared" si="1"/>
        <v>0</v>
      </c>
      <c r="R31" s="178">
        <v>0</v>
      </c>
      <c r="S31" s="295"/>
      <c r="T31" s="385">
        <f t="shared" si="11"/>
        <v>0</v>
      </c>
      <c r="U31" s="31"/>
      <c r="V31" s="474">
        <f t="shared" si="2"/>
        <v>0</v>
      </c>
      <c r="W31" s="474">
        <f t="shared" si="12"/>
        <v>0</v>
      </c>
      <c r="X31" s="475">
        <f t="shared" si="13"/>
        <v>0</v>
      </c>
      <c r="Y31" s="475">
        <v>0</v>
      </c>
      <c r="Z31" s="476">
        <v>0</v>
      </c>
      <c r="AA31" s="38">
        <f t="shared" si="14"/>
        <v>0</v>
      </c>
      <c r="AB31" s="564">
        <f t="shared" si="15"/>
        <v>0</v>
      </c>
      <c r="AC31" s="564">
        <f t="shared" si="16"/>
        <v>0</v>
      </c>
      <c r="AD31" s="564">
        <f t="shared" si="17"/>
        <v>0</v>
      </c>
      <c r="AF31" s="564">
        <f t="shared" si="18"/>
        <v>0</v>
      </c>
      <c r="AG31" s="564">
        <f t="shared" si="19"/>
        <v>0</v>
      </c>
      <c r="AH31" s="564">
        <f t="shared" si="20"/>
        <v>0</v>
      </c>
    </row>
    <row r="32" spans="1:34">
      <c r="A32" s="20"/>
      <c r="B32" s="20" t="s">
        <v>110</v>
      </c>
      <c r="C32" s="667"/>
      <c r="D32" s="68" t="s">
        <v>589</v>
      </c>
      <c r="E32" s="449"/>
      <c r="F32" s="529">
        <v>0</v>
      </c>
      <c r="G32" s="579"/>
      <c r="H32" s="579"/>
      <c r="I32" s="524"/>
      <c r="J32" s="379">
        <f t="shared" ref="J32" si="22">SUM(E32:I32)</f>
        <v>0</v>
      </c>
      <c r="K32" s="31"/>
      <c r="L32" s="84"/>
      <c r="M32" s="42">
        <v>0</v>
      </c>
      <c r="N32" s="31">
        <v>0</v>
      </c>
      <c r="O32" s="429"/>
      <c r="P32" s="31">
        <v>0</v>
      </c>
      <c r="Q32" s="426">
        <f t="shared" ref="Q32" si="23">L32+M32</f>
        <v>0</v>
      </c>
      <c r="R32" s="178">
        <v>14740.54</v>
      </c>
      <c r="S32" s="295"/>
      <c r="T32" s="385">
        <f t="shared" si="11"/>
        <v>14740.54</v>
      </c>
      <c r="U32" s="31"/>
      <c r="V32" s="474">
        <f t="shared" ref="V32" si="24">IF(B32="D",Q32,0)</f>
        <v>0</v>
      </c>
      <c r="W32" s="474">
        <f t="shared" ref="W32" si="25">IF(B32="M",Q32,0)</f>
        <v>0</v>
      </c>
      <c r="X32" s="475">
        <f t="shared" ref="X32" si="26">IF(B32="V",Q32,0)</f>
        <v>0</v>
      </c>
      <c r="Y32" s="475">
        <v>0</v>
      </c>
      <c r="Z32" s="476">
        <v>0</v>
      </c>
      <c r="AA32" s="38">
        <f t="shared" ref="AA32" si="27">(L32+M32)-(V32+W32+X32+Y32+Z32)</f>
        <v>0</v>
      </c>
      <c r="AB32" s="564">
        <f t="shared" ref="AB32" si="28">IF(B32="D",J32,0)</f>
        <v>0</v>
      </c>
      <c r="AC32" s="564">
        <f t="shared" ref="AC32" si="29">IF(B32="M",J32,0)</f>
        <v>0</v>
      </c>
      <c r="AD32" s="564">
        <f t="shared" ref="AD32" si="30">IF(B32="V",J32,0)</f>
        <v>0</v>
      </c>
      <c r="AF32" s="564">
        <f t="shared" ref="AF32" si="31">IF(B32="D",Q32,0)</f>
        <v>0</v>
      </c>
      <c r="AG32" s="564">
        <f t="shared" ref="AG32" si="32">IF(B32="M",Q32,0)</f>
        <v>0</v>
      </c>
      <c r="AH32" s="564">
        <f t="shared" ref="AH32" si="33">IF(B32="V",Q32,0)</f>
        <v>0</v>
      </c>
    </row>
    <row r="33" spans="1:34">
      <c r="A33" s="20"/>
      <c r="B33" s="20" t="s">
        <v>109</v>
      </c>
      <c r="C33" s="667" t="s">
        <v>526</v>
      </c>
      <c r="D33" s="68" t="s">
        <v>385</v>
      </c>
      <c r="E33" s="449"/>
      <c r="F33" s="529">
        <f>VLOOKUP(D33,'Q2 DMV -  Revenue'!C:S,17,FALSE)</f>
        <v>98.710000000000036</v>
      </c>
      <c r="G33" s="576">
        <v>2046.52</v>
      </c>
      <c r="H33" s="576">
        <v>1893.47</v>
      </c>
      <c r="I33" s="524"/>
      <c r="J33" s="379">
        <f t="shared" si="0"/>
        <v>4038.7</v>
      </c>
      <c r="K33" s="31"/>
      <c r="L33" s="84"/>
      <c r="M33" s="42">
        <f>SUM(G33+H33)/2</f>
        <v>1969.9949999999999</v>
      </c>
      <c r="N33" s="31">
        <v>0</v>
      </c>
      <c r="O33" s="429">
        <v>5930.22</v>
      </c>
      <c r="P33" s="31">
        <v>0</v>
      </c>
      <c r="Q33" s="426">
        <f t="shared" si="1"/>
        <v>1969.9949999999999</v>
      </c>
      <c r="R33" s="178">
        <v>1919.08</v>
      </c>
      <c r="S33" s="295"/>
      <c r="T33" s="385">
        <f t="shared" si="11"/>
        <v>-50.914999999999964</v>
      </c>
      <c r="U33" s="380"/>
      <c r="V33" s="474">
        <f t="shared" si="2"/>
        <v>0</v>
      </c>
      <c r="W33" s="474">
        <f t="shared" si="12"/>
        <v>1969.9949999999999</v>
      </c>
      <c r="X33" s="475">
        <f t="shared" si="13"/>
        <v>0</v>
      </c>
      <c r="Y33" s="475">
        <v>0</v>
      </c>
      <c r="Z33" s="476">
        <v>0</v>
      </c>
      <c r="AA33" s="38">
        <f t="shared" si="14"/>
        <v>0</v>
      </c>
      <c r="AB33" s="564">
        <f t="shared" si="15"/>
        <v>0</v>
      </c>
      <c r="AC33" s="564">
        <f t="shared" si="16"/>
        <v>4038.7</v>
      </c>
      <c r="AD33" s="564">
        <f t="shared" si="17"/>
        <v>0</v>
      </c>
      <c r="AF33" s="564">
        <f t="shared" si="18"/>
        <v>0</v>
      </c>
      <c r="AG33" s="564">
        <f t="shared" si="19"/>
        <v>1969.9949999999999</v>
      </c>
      <c r="AH33" s="564">
        <f t="shared" si="20"/>
        <v>0</v>
      </c>
    </row>
    <row r="34" spans="1:34" s="232" customFormat="1">
      <c r="A34" s="283"/>
      <c r="B34" s="283" t="s">
        <v>110</v>
      </c>
      <c r="C34" s="667" t="s">
        <v>527</v>
      </c>
      <c r="D34" s="123" t="s">
        <v>401</v>
      </c>
      <c r="E34" s="449"/>
      <c r="F34" s="529">
        <f>VLOOKUP(D34,'Q2 DMV -  Revenue'!C:S,17,FALSE)</f>
        <v>3045.1900000000023</v>
      </c>
      <c r="G34" s="576">
        <v>278838.59999999998</v>
      </c>
      <c r="H34" s="576">
        <v>283495.90000000002</v>
      </c>
      <c r="I34" s="524"/>
      <c r="J34" s="379">
        <f t="shared" si="0"/>
        <v>565379.68999999994</v>
      </c>
      <c r="K34" s="31"/>
      <c r="L34" s="84"/>
      <c r="M34" s="42">
        <f>SUM(G34+H34)/2</f>
        <v>281167.25</v>
      </c>
      <c r="N34" s="31">
        <v>0</v>
      </c>
      <c r="O34" s="429">
        <v>948094.91</v>
      </c>
      <c r="P34" s="31">
        <v>0</v>
      </c>
      <c r="Q34" s="426">
        <f t="shared" si="1"/>
        <v>281167.25</v>
      </c>
      <c r="R34" s="178">
        <v>284630.90000000002</v>
      </c>
      <c r="S34" s="295"/>
      <c r="T34" s="385">
        <f t="shared" si="11"/>
        <v>3463.6500000000233</v>
      </c>
      <c r="U34" s="31"/>
      <c r="V34" s="474">
        <f t="shared" si="2"/>
        <v>281167.25</v>
      </c>
      <c r="W34" s="474">
        <f t="shared" si="12"/>
        <v>0</v>
      </c>
      <c r="X34" s="475">
        <f t="shared" si="13"/>
        <v>0</v>
      </c>
      <c r="Y34" s="475">
        <v>0</v>
      </c>
      <c r="Z34" s="476">
        <v>0</v>
      </c>
      <c r="AA34" s="38">
        <f t="shared" si="14"/>
        <v>0</v>
      </c>
      <c r="AB34" s="564">
        <f t="shared" si="15"/>
        <v>565379.68999999994</v>
      </c>
      <c r="AC34" s="564">
        <f t="shared" si="16"/>
        <v>0</v>
      </c>
      <c r="AD34" s="564">
        <f t="shared" si="17"/>
        <v>0</v>
      </c>
      <c r="AE34" s="559"/>
      <c r="AF34" s="564">
        <f t="shared" si="18"/>
        <v>281167.25</v>
      </c>
      <c r="AG34" s="564">
        <f t="shared" si="19"/>
        <v>0</v>
      </c>
      <c r="AH34" s="564">
        <f t="shared" si="20"/>
        <v>0</v>
      </c>
    </row>
    <row r="35" spans="1:34" s="232" customFormat="1">
      <c r="A35" s="283"/>
      <c r="B35" s="283" t="s">
        <v>110</v>
      </c>
      <c r="C35" s="667" t="s">
        <v>527</v>
      </c>
      <c r="D35" s="123" t="s">
        <v>402</v>
      </c>
      <c r="E35" s="449"/>
      <c r="F35" s="529">
        <f>VLOOKUP(D35,'Q2 DMV -  Revenue'!C:S,17,FALSE)</f>
        <v>0</v>
      </c>
      <c r="G35" s="590">
        <v>0</v>
      </c>
      <c r="H35" s="590">
        <v>0</v>
      </c>
      <c r="I35" s="591"/>
      <c r="J35" s="379">
        <f t="shared" si="0"/>
        <v>0</v>
      </c>
      <c r="K35" s="31"/>
      <c r="L35" s="84"/>
      <c r="M35" s="42">
        <f t="shared" ref="M35:M40" si="34">SUM(G35+H35)/2</f>
        <v>0</v>
      </c>
      <c r="N35" s="31">
        <v>0</v>
      </c>
      <c r="O35" s="429"/>
      <c r="P35" s="31">
        <v>0</v>
      </c>
      <c r="Q35" s="426">
        <f t="shared" si="1"/>
        <v>0</v>
      </c>
      <c r="R35" s="178">
        <v>0</v>
      </c>
      <c r="S35" s="295"/>
      <c r="T35" s="385">
        <f t="shared" si="11"/>
        <v>0</v>
      </c>
      <c r="U35" s="31"/>
      <c r="V35" s="474">
        <f t="shared" si="2"/>
        <v>0</v>
      </c>
      <c r="W35" s="474">
        <f t="shared" si="12"/>
        <v>0</v>
      </c>
      <c r="X35" s="475">
        <f t="shared" si="13"/>
        <v>0</v>
      </c>
      <c r="Y35" s="475">
        <v>0</v>
      </c>
      <c r="Z35" s="476">
        <v>0</v>
      </c>
      <c r="AA35" s="38">
        <f t="shared" si="14"/>
        <v>0</v>
      </c>
      <c r="AB35" s="564">
        <f t="shared" si="15"/>
        <v>0</v>
      </c>
      <c r="AC35" s="564">
        <f t="shared" si="16"/>
        <v>0</v>
      </c>
      <c r="AD35" s="564">
        <f t="shared" si="17"/>
        <v>0</v>
      </c>
      <c r="AE35" s="559"/>
      <c r="AF35" s="564">
        <f t="shared" si="18"/>
        <v>0</v>
      </c>
      <c r="AG35" s="564">
        <f t="shared" si="19"/>
        <v>0</v>
      </c>
      <c r="AH35" s="564">
        <f t="shared" si="20"/>
        <v>0</v>
      </c>
    </row>
    <row r="36" spans="1:34" s="232" customFormat="1">
      <c r="A36" s="283"/>
      <c r="B36" s="283" t="s">
        <v>110</v>
      </c>
      <c r="C36" s="667" t="s">
        <v>528</v>
      </c>
      <c r="D36" s="123" t="s">
        <v>403</v>
      </c>
      <c r="E36" s="449"/>
      <c r="F36" s="529">
        <f>VLOOKUP(D36,'Q2 DMV -  Revenue'!C:S,17,FALSE)</f>
        <v>2311.9850000000006</v>
      </c>
      <c r="G36" s="576">
        <v>66343.02</v>
      </c>
      <c r="H36" s="576">
        <v>58623.25</v>
      </c>
      <c r="I36" s="524"/>
      <c r="J36" s="379">
        <f t="shared" si="0"/>
        <v>127278.255</v>
      </c>
      <c r="K36" s="31"/>
      <c r="L36" s="84"/>
      <c r="M36" s="42">
        <f t="shared" si="34"/>
        <v>62483.135000000002</v>
      </c>
      <c r="N36" s="31">
        <v>0</v>
      </c>
      <c r="O36" s="429">
        <v>518886.3</v>
      </c>
      <c r="P36" s="31">
        <v>0</v>
      </c>
      <c r="Q36" s="426">
        <f t="shared" si="1"/>
        <v>62483.135000000002</v>
      </c>
      <c r="R36" s="178">
        <v>61079.97</v>
      </c>
      <c r="S36" s="295"/>
      <c r="T36" s="385">
        <f t="shared" si="11"/>
        <v>-1403.1650000000009</v>
      </c>
      <c r="U36" s="31"/>
      <c r="V36" s="474">
        <f t="shared" si="2"/>
        <v>62483.135000000002</v>
      </c>
      <c r="W36" s="474">
        <f t="shared" si="12"/>
        <v>0</v>
      </c>
      <c r="X36" s="475">
        <f t="shared" si="13"/>
        <v>0</v>
      </c>
      <c r="Y36" s="475">
        <v>0</v>
      </c>
      <c r="Z36" s="476">
        <v>0</v>
      </c>
      <c r="AA36" s="38">
        <f t="shared" si="14"/>
        <v>0</v>
      </c>
      <c r="AB36" s="564">
        <f t="shared" si="15"/>
        <v>127278.255</v>
      </c>
      <c r="AC36" s="564">
        <f t="shared" si="16"/>
        <v>0</v>
      </c>
      <c r="AD36" s="564">
        <f t="shared" si="17"/>
        <v>0</v>
      </c>
      <c r="AE36" s="559"/>
      <c r="AF36" s="564">
        <f t="shared" si="18"/>
        <v>62483.135000000002</v>
      </c>
      <c r="AG36" s="564">
        <f t="shared" si="19"/>
        <v>0</v>
      </c>
      <c r="AH36" s="564">
        <f t="shared" si="20"/>
        <v>0</v>
      </c>
    </row>
    <row r="37" spans="1:34" s="232" customFormat="1">
      <c r="A37" s="283"/>
      <c r="B37" s="283" t="s">
        <v>110</v>
      </c>
      <c r="C37" s="667" t="s">
        <v>528</v>
      </c>
      <c r="D37" s="123" t="s">
        <v>404</v>
      </c>
      <c r="E37" s="449"/>
      <c r="F37" s="529">
        <f>VLOOKUP(D37,'Q2 DMV -  Revenue'!C:S,17,FALSE)</f>
        <v>5899.5</v>
      </c>
      <c r="G37" s="576">
        <v>77567.44</v>
      </c>
      <c r="H37" s="576">
        <v>73006.789999999994</v>
      </c>
      <c r="I37" s="524"/>
      <c r="J37" s="379">
        <f t="shared" si="0"/>
        <v>156473.72999999998</v>
      </c>
      <c r="K37" s="31"/>
      <c r="L37" s="84"/>
      <c r="M37" s="42">
        <f t="shared" si="34"/>
        <v>75287.114999999991</v>
      </c>
      <c r="N37" s="31">
        <v>0</v>
      </c>
      <c r="O37" s="429"/>
      <c r="P37" s="31">
        <v>0</v>
      </c>
      <c r="Q37" s="426">
        <f t="shared" si="1"/>
        <v>75287.114999999991</v>
      </c>
      <c r="R37" s="178">
        <v>61722.71</v>
      </c>
      <c r="S37" s="295"/>
      <c r="T37" s="385">
        <f t="shared" si="11"/>
        <v>-13564.404999999992</v>
      </c>
      <c r="U37" s="31"/>
      <c r="V37" s="474">
        <f t="shared" si="2"/>
        <v>75287.114999999991</v>
      </c>
      <c r="W37" s="474">
        <f t="shared" si="12"/>
        <v>0</v>
      </c>
      <c r="X37" s="475">
        <f t="shared" si="13"/>
        <v>0</v>
      </c>
      <c r="Y37" s="475">
        <v>0</v>
      </c>
      <c r="Z37" s="476">
        <v>0</v>
      </c>
      <c r="AA37" s="38">
        <f t="shared" si="14"/>
        <v>0</v>
      </c>
      <c r="AB37" s="564">
        <f t="shared" si="15"/>
        <v>156473.72999999998</v>
      </c>
      <c r="AC37" s="564">
        <f t="shared" si="16"/>
        <v>0</v>
      </c>
      <c r="AD37" s="564">
        <f t="shared" si="17"/>
        <v>0</v>
      </c>
      <c r="AE37" s="559"/>
      <c r="AF37" s="564">
        <f t="shared" si="18"/>
        <v>75287.114999999991</v>
      </c>
      <c r="AG37" s="564">
        <f t="shared" si="19"/>
        <v>0</v>
      </c>
      <c r="AH37" s="564">
        <f t="shared" si="20"/>
        <v>0</v>
      </c>
    </row>
    <row r="38" spans="1:34" s="232" customFormat="1">
      <c r="A38" s="283"/>
      <c r="B38" s="283" t="s">
        <v>110</v>
      </c>
      <c r="C38" s="667" t="s">
        <v>528</v>
      </c>
      <c r="D38" s="123" t="s">
        <v>405</v>
      </c>
      <c r="E38" s="449"/>
      <c r="F38" s="529">
        <f>VLOOKUP(D38,'Q2 DMV -  Revenue'!C:S,17,FALSE)</f>
        <v>426.04000000000087</v>
      </c>
      <c r="G38" s="576">
        <v>17439.599999999999</v>
      </c>
      <c r="H38" s="576">
        <v>16014.1</v>
      </c>
      <c r="I38" s="524"/>
      <c r="J38" s="379">
        <f t="shared" si="0"/>
        <v>33879.74</v>
      </c>
      <c r="K38" s="31"/>
      <c r="L38" s="84"/>
      <c r="M38" s="42">
        <f t="shared" si="34"/>
        <v>16726.849999999999</v>
      </c>
      <c r="N38" s="31">
        <v>0</v>
      </c>
      <c r="O38" s="429"/>
      <c r="P38" s="31">
        <v>0</v>
      </c>
      <c r="Q38" s="426">
        <f t="shared" si="1"/>
        <v>16726.849999999999</v>
      </c>
      <c r="R38" s="178">
        <v>13843.85</v>
      </c>
      <c r="S38" s="295"/>
      <c r="T38" s="385">
        <f t="shared" si="11"/>
        <v>-2882.9999999999982</v>
      </c>
      <c r="U38" s="31"/>
      <c r="V38" s="474">
        <f t="shared" si="2"/>
        <v>16726.849999999999</v>
      </c>
      <c r="W38" s="474">
        <f t="shared" si="12"/>
        <v>0</v>
      </c>
      <c r="X38" s="475">
        <f t="shared" si="13"/>
        <v>0</v>
      </c>
      <c r="Y38" s="475">
        <v>0</v>
      </c>
      <c r="Z38" s="476">
        <v>0</v>
      </c>
      <c r="AA38" s="38">
        <f t="shared" si="14"/>
        <v>0</v>
      </c>
      <c r="AB38" s="564">
        <f t="shared" si="15"/>
        <v>33879.74</v>
      </c>
      <c r="AC38" s="564">
        <f t="shared" si="16"/>
        <v>0</v>
      </c>
      <c r="AD38" s="564">
        <f t="shared" si="17"/>
        <v>0</v>
      </c>
      <c r="AE38" s="559"/>
      <c r="AF38" s="564">
        <f t="shared" si="18"/>
        <v>16726.849999999999</v>
      </c>
      <c r="AG38" s="564">
        <f t="shared" si="19"/>
        <v>0</v>
      </c>
      <c r="AH38" s="564">
        <f t="shared" si="20"/>
        <v>0</v>
      </c>
    </row>
    <row r="39" spans="1:34" s="232" customFormat="1">
      <c r="A39" s="283"/>
      <c r="B39" s="283" t="s">
        <v>110</v>
      </c>
      <c r="C39" s="667" t="s">
        <v>528</v>
      </c>
      <c r="D39" s="123" t="s">
        <v>406</v>
      </c>
      <c r="E39" s="449"/>
      <c r="F39" s="529">
        <f>VLOOKUP(D39,'Q2 DMV -  Revenue'!C:S,17,FALSE)</f>
        <v>204.39499999999953</v>
      </c>
      <c r="G39" s="576">
        <v>6043.74</v>
      </c>
      <c r="H39" s="576">
        <v>5410.11</v>
      </c>
      <c r="I39" s="524"/>
      <c r="J39" s="379">
        <f t="shared" si="0"/>
        <v>11658.244999999999</v>
      </c>
      <c r="K39" s="31"/>
      <c r="L39" s="84"/>
      <c r="M39" s="42">
        <f t="shared" si="34"/>
        <v>5726.9249999999993</v>
      </c>
      <c r="N39" s="31">
        <v>0</v>
      </c>
      <c r="O39" s="429"/>
      <c r="P39" s="31">
        <v>0</v>
      </c>
      <c r="Q39" s="426">
        <f t="shared" si="1"/>
        <v>5726.9249999999993</v>
      </c>
      <c r="R39" s="178">
        <v>4692.75</v>
      </c>
      <c r="S39" s="295"/>
      <c r="T39" s="385">
        <f t="shared" si="11"/>
        <v>-1034.1749999999993</v>
      </c>
      <c r="U39" s="31"/>
      <c r="V39" s="474">
        <f t="shared" si="2"/>
        <v>5726.9249999999993</v>
      </c>
      <c r="W39" s="474">
        <f t="shared" si="12"/>
        <v>0</v>
      </c>
      <c r="X39" s="475">
        <f t="shared" si="13"/>
        <v>0</v>
      </c>
      <c r="Y39" s="475">
        <v>0</v>
      </c>
      <c r="Z39" s="476">
        <v>0</v>
      </c>
      <c r="AA39" s="38">
        <f t="shared" si="14"/>
        <v>0</v>
      </c>
      <c r="AB39" s="564">
        <f t="shared" si="15"/>
        <v>11658.244999999999</v>
      </c>
      <c r="AC39" s="564">
        <f t="shared" si="16"/>
        <v>0</v>
      </c>
      <c r="AD39" s="564">
        <f t="shared" si="17"/>
        <v>0</v>
      </c>
      <c r="AE39" s="559"/>
      <c r="AF39" s="564">
        <f t="shared" si="18"/>
        <v>5726.9249999999993</v>
      </c>
      <c r="AG39" s="564">
        <f t="shared" si="19"/>
        <v>0</v>
      </c>
      <c r="AH39" s="564">
        <f t="shared" si="20"/>
        <v>0</v>
      </c>
    </row>
    <row r="40" spans="1:34" s="232" customFormat="1">
      <c r="A40" s="283"/>
      <c r="B40" s="283" t="s">
        <v>110</v>
      </c>
      <c r="C40" s="667" t="s">
        <v>528</v>
      </c>
      <c r="D40" s="123" t="s">
        <v>407</v>
      </c>
      <c r="E40" s="449"/>
      <c r="F40" s="529">
        <f>VLOOKUP(D40,'Q2 DMV -  Revenue'!C:S,17,FALSE)</f>
        <v>85.979999999999791</v>
      </c>
      <c r="G40" s="576">
        <v>2269.8000000000002</v>
      </c>
      <c r="H40" s="576">
        <v>2544.4</v>
      </c>
      <c r="I40" s="524"/>
      <c r="J40" s="379">
        <f t="shared" si="0"/>
        <v>4900.18</v>
      </c>
      <c r="K40" s="31"/>
      <c r="L40" s="84"/>
      <c r="M40" s="42">
        <f t="shared" si="34"/>
        <v>2407.1000000000004</v>
      </c>
      <c r="N40" s="31">
        <v>0</v>
      </c>
      <c r="O40" s="429"/>
      <c r="P40" s="31">
        <v>0</v>
      </c>
      <c r="Q40" s="426">
        <f t="shared" si="1"/>
        <v>2407.1000000000004</v>
      </c>
      <c r="R40" s="178">
        <v>2222.0500000000002</v>
      </c>
      <c r="S40" s="295"/>
      <c r="T40" s="385">
        <f t="shared" si="11"/>
        <v>-185.05000000000018</v>
      </c>
      <c r="U40" s="31"/>
      <c r="V40" s="474">
        <f t="shared" si="2"/>
        <v>2407.1000000000004</v>
      </c>
      <c r="W40" s="474">
        <f t="shared" si="12"/>
        <v>0</v>
      </c>
      <c r="X40" s="475">
        <f t="shared" si="13"/>
        <v>0</v>
      </c>
      <c r="Y40" s="475">
        <v>0</v>
      </c>
      <c r="Z40" s="476">
        <v>0</v>
      </c>
      <c r="AA40" s="38">
        <f t="shared" si="14"/>
        <v>0</v>
      </c>
      <c r="AB40" s="564">
        <f t="shared" si="15"/>
        <v>4900.18</v>
      </c>
      <c r="AC40" s="564">
        <f t="shared" si="16"/>
        <v>0</v>
      </c>
      <c r="AD40" s="564">
        <f t="shared" si="17"/>
        <v>0</v>
      </c>
      <c r="AE40" s="559"/>
      <c r="AF40" s="564">
        <f t="shared" si="18"/>
        <v>2407.1000000000004</v>
      </c>
      <c r="AG40" s="564">
        <f t="shared" si="19"/>
        <v>0</v>
      </c>
      <c r="AH40" s="564">
        <f t="shared" si="20"/>
        <v>0</v>
      </c>
    </row>
    <row r="41" spans="1:34" s="232" customFormat="1">
      <c r="A41" s="283"/>
      <c r="B41" s="283" t="s">
        <v>110</v>
      </c>
      <c r="C41" s="667" t="s">
        <v>528</v>
      </c>
      <c r="D41" s="123" t="s">
        <v>820</v>
      </c>
      <c r="E41" s="449"/>
      <c r="F41" s="529" t="e">
        <f>VLOOKUP(D41,'Q2 DMV -  Revenue'!C:S,17,FALSE)</f>
        <v>#N/A</v>
      </c>
      <c r="G41" s="576">
        <v>10695.41</v>
      </c>
      <c r="H41" s="579"/>
      <c r="I41" s="524"/>
      <c r="J41" s="379" t="e">
        <f t="shared" si="0"/>
        <v>#N/A</v>
      </c>
      <c r="K41" s="31"/>
      <c r="L41" s="84"/>
      <c r="M41" s="42">
        <f>G41*2</f>
        <v>21390.82</v>
      </c>
      <c r="N41" s="31">
        <v>0</v>
      </c>
      <c r="O41" s="429"/>
      <c r="P41" s="31">
        <v>0</v>
      </c>
      <c r="Q41" s="426">
        <f t="shared" si="1"/>
        <v>21390.82</v>
      </c>
      <c r="R41" s="178">
        <f>9831.78+10572.55</f>
        <v>20404.330000000002</v>
      </c>
      <c r="S41" s="295"/>
      <c r="T41" s="385">
        <f t="shared" si="11"/>
        <v>-986.48999999999796</v>
      </c>
      <c r="U41" s="31"/>
      <c r="V41" s="474">
        <f t="shared" si="2"/>
        <v>21390.82</v>
      </c>
      <c r="W41" s="474">
        <f t="shared" si="12"/>
        <v>0</v>
      </c>
      <c r="X41" s="475">
        <f t="shared" si="13"/>
        <v>0</v>
      </c>
      <c r="Y41" s="475">
        <v>0</v>
      </c>
      <c r="Z41" s="476">
        <v>0</v>
      </c>
      <c r="AA41" s="38">
        <f t="shared" si="14"/>
        <v>0</v>
      </c>
      <c r="AB41" s="564" t="e">
        <f t="shared" si="15"/>
        <v>#N/A</v>
      </c>
      <c r="AC41" s="564">
        <f t="shared" si="16"/>
        <v>0</v>
      </c>
      <c r="AD41" s="564">
        <f t="shared" si="17"/>
        <v>0</v>
      </c>
      <c r="AE41" s="559"/>
      <c r="AF41" s="564">
        <f t="shared" si="18"/>
        <v>21390.82</v>
      </c>
      <c r="AG41" s="564">
        <f t="shared" si="19"/>
        <v>0</v>
      </c>
      <c r="AH41" s="564">
        <f t="shared" si="20"/>
        <v>0</v>
      </c>
    </row>
    <row r="42" spans="1:34" s="232" customFormat="1">
      <c r="A42" s="283"/>
      <c r="B42" s="283" t="s">
        <v>110</v>
      </c>
      <c r="C42" s="667" t="s">
        <v>527</v>
      </c>
      <c r="D42" s="123" t="s">
        <v>460</v>
      </c>
      <c r="E42" s="449"/>
      <c r="F42" s="529">
        <f>VLOOKUP(D42,'Q2 DMV -  Revenue'!C:S,17,FALSE)</f>
        <v>0</v>
      </c>
      <c r="G42" s="576">
        <v>27657.18</v>
      </c>
      <c r="H42" s="576">
        <v>26861.279999999999</v>
      </c>
      <c r="I42" s="525">
        <v>30091.96</v>
      </c>
      <c r="J42" s="379">
        <f t="shared" si="0"/>
        <v>84610.42</v>
      </c>
      <c r="K42" s="31"/>
      <c r="L42" s="84"/>
      <c r="M42" s="42">
        <v>0</v>
      </c>
      <c r="N42" s="31">
        <v>0</v>
      </c>
      <c r="O42" s="429"/>
      <c r="P42" s="31">
        <v>0</v>
      </c>
      <c r="Q42" s="426">
        <f t="shared" si="1"/>
        <v>0</v>
      </c>
      <c r="R42" s="178">
        <v>0</v>
      </c>
      <c r="S42" s="295"/>
      <c r="T42" s="385">
        <f t="shared" si="11"/>
        <v>0</v>
      </c>
      <c r="U42" s="31"/>
      <c r="V42" s="474">
        <f t="shared" si="2"/>
        <v>0</v>
      </c>
      <c r="W42" s="474">
        <f t="shared" si="12"/>
        <v>0</v>
      </c>
      <c r="X42" s="475">
        <f t="shared" si="13"/>
        <v>0</v>
      </c>
      <c r="Y42" s="475">
        <v>0</v>
      </c>
      <c r="Z42" s="476">
        <v>0</v>
      </c>
      <c r="AA42" s="38">
        <f t="shared" si="14"/>
        <v>0</v>
      </c>
      <c r="AB42" s="564">
        <f t="shared" si="15"/>
        <v>84610.42</v>
      </c>
      <c r="AC42" s="564">
        <f t="shared" si="16"/>
        <v>0</v>
      </c>
      <c r="AD42" s="564">
        <f t="shared" si="17"/>
        <v>0</v>
      </c>
      <c r="AE42" s="559"/>
      <c r="AF42" s="564">
        <f t="shared" si="18"/>
        <v>0</v>
      </c>
      <c r="AG42" s="564">
        <f t="shared" si="19"/>
        <v>0</v>
      </c>
      <c r="AH42" s="564">
        <f t="shared" si="20"/>
        <v>0</v>
      </c>
    </row>
    <row r="43" spans="1:34" s="232" customFormat="1">
      <c r="A43" s="403"/>
      <c r="B43" s="403" t="s">
        <v>114</v>
      </c>
      <c r="C43" s="666" t="s">
        <v>529</v>
      </c>
      <c r="D43" s="123" t="s">
        <v>108</v>
      </c>
      <c r="E43" s="449"/>
      <c r="F43" s="529">
        <f>VLOOKUP(D43,'Q2 DMV -  Revenue'!C:S,17,FALSE)</f>
        <v>-112.39000000000004</v>
      </c>
      <c r="G43" s="576">
        <v>322.26</v>
      </c>
      <c r="H43" s="576">
        <v>522.1</v>
      </c>
      <c r="I43" s="524"/>
      <c r="J43" s="379">
        <f t="shared" si="0"/>
        <v>731.97</v>
      </c>
      <c r="K43" s="31"/>
      <c r="L43" s="84"/>
      <c r="M43" s="42">
        <f>SUM(G43+H43)/2</f>
        <v>422.18</v>
      </c>
      <c r="N43" s="31">
        <v>0</v>
      </c>
      <c r="O43" s="429">
        <v>1292.2</v>
      </c>
      <c r="P43" s="31">
        <v>0</v>
      </c>
      <c r="Q43" s="426">
        <f t="shared" si="1"/>
        <v>422.18</v>
      </c>
      <c r="R43" s="178">
        <v>349.71</v>
      </c>
      <c r="S43" s="295"/>
      <c r="T43" s="385">
        <f t="shared" si="11"/>
        <v>-72.470000000000027</v>
      </c>
      <c r="U43" s="31"/>
      <c r="V43" s="474">
        <f t="shared" si="2"/>
        <v>0</v>
      </c>
      <c r="W43" s="474">
        <f t="shared" si="12"/>
        <v>0</v>
      </c>
      <c r="X43" s="475">
        <f t="shared" si="13"/>
        <v>422.18</v>
      </c>
      <c r="Y43" s="475">
        <v>0</v>
      </c>
      <c r="Z43" s="476">
        <v>0</v>
      </c>
      <c r="AA43" s="38">
        <f t="shared" si="14"/>
        <v>0</v>
      </c>
      <c r="AB43" s="564">
        <f t="shared" si="15"/>
        <v>0</v>
      </c>
      <c r="AC43" s="564">
        <f t="shared" si="16"/>
        <v>0</v>
      </c>
      <c r="AD43" s="564">
        <f t="shared" si="17"/>
        <v>731.97</v>
      </c>
      <c r="AE43" s="559"/>
      <c r="AF43" s="564">
        <f t="shared" si="18"/>
        <v>0</v>
      </c>
      <c r="AG43" s="564">
        <f t="shared" si="19"/>
        <v>0</v>
      </c>
      <c r="AH43" s="564">
        <f t="shared" si="20"/>
        <v>422.18</v>
      </c>
    </row>
    <row r="44" spans="1:34">
      <c r="A44" s="21"/>
      <c r="B44" s="21" t="s">
        <v>110</v>
      </c>
      <c r="C44" s="666"/>
      <c r="D44" s="68" t="s">
        <v>234</v>
      </c>
      <c r="E44" s="449"/>
      <c r="F44" s="529">
        <f>VLOOKUP(D44,'Q2 DMV -  Revenue'!C:S,17,FALSE)</f>
        <v>-3000</v>
      </c>
      <c r="G44" s="579"/>
      <c r="H44" s="579"/>
      <c r="I44" s="524"/>
      <c r="J44" s="379">
        <f t="shared" si="0"/>
        <v>-3000</v>
      </c>
      <c r="K44" s="31"/>
      <c r="L44" s="84"/>
      <c r="M44" s="42">
        <v>0</v>
      </c>
      <c r="N44" s="31">
        <v>0</v>
      </c>
      <c r="O44" s="429"/>
      <c r="P44" s="31">
        <v>0</v>
      </c>
      <c r="Q44" s="426">
        <f t="shared" si="1"/>
        <v>0</v>
      </c>
      <c r="R44" s="178">
        <f>3468.92+3930.69</f>
        <v>7399.6100000000006</v>
      </c>
      <c r="S44" s="295"/>
      <c r="T44" s="385">
        <f t="shared" si="11"/>
        <v>7399.6100000000006</v>
      </c>
      <c r="U44" s="31"/>
      <c r="V44" s="474">
        <f t="shared" si="2"/>
        <v>0</v>
      </c>
      <c r="W44" s="474">
        <f t="shared" si="12"/>
        <v>0</v>
      </c>
      <c r="X44" s="475">
        <f t="shared" si="13"/>
        <v>0</v>
      </c>
      <c r="Y44" s="475">
        <v>0</v>
      </c>
      <c r="Z44" s="476">
        <v>0</v>
      </c>
      <c r="AA44" s="38">
        <f t="shared" si="14"/>
        <v>0</v>
      </c>
      <c r="AB44" s="564">
        <f t="shared" si="15"/>
        <v>-3000</v>
      </c>
      <c r="AC44" s="564">
        <f t="shared" si="16"/>
        <v>0</v>
      </c>
      <c r="AD44" s="564">
        <f t="shared" si="17"/>
        <v>0</v>
      </c>
      <c r="AF44" s="564">
        <f t="shared" si="18"/>
        <v>0</v>
      </c>
      <c r="AG44" s="564">
        <f t="shared" si="19"/>
        <v>0</v>
      </c>
      <c r="AH44" s="564">
        <f t="shared" si="20"/>
        <v>0</v>
      </c>
    </row>
    <row r="45" spans="1:34">
      <c r="A45" s="21"/>
      <c r="B45" s="21" t="s">
        <v>110</v>
      </c>
      <c r="C45" s="666"/>
      <c r="D45" s="68" t="s">
        <v>3</v>
      </c>
      <c r="E45" s="449"/>
      <c r="F45" s="529">
        <f>VLOOKUP(D45,'Q2 DMV -  Revenue'!C:S,17,FALSE)</f>
        <v>0</v>
      </c>
      <c r="G45" s="579"/>
      <c r="H45" s="579"/>
      <c r="I45" s="524"/>
      <c r="J45" s="379">
        <f t="shared" si="0"/>
        <v>0</v>
      </c>
      <c r="K45" s="31"/>
      <c r="L45" s="84"/>
      <c r="M45" s="42">
        <v>0</v>
      </c>
      <c r="N45" s="31">
        <v>0</v>
      </c>
      <c r="O45" s="429"/>
      <c r="P45" s="31">
        <v>0</v>
      </c>
      <c r="Q45" s="426">
        <f t="shared" si="1"/>
        <v>0</v>
      </c>
      <c r="R45" s="178">
        <v>0</v>
      </c>
      <c r="S45" s="295"/>
      <c r="T45" s="385">
        <f t="shared" si="11"/>
        <v>0</v>
      </c>
      <c r="U45" s="31"/>
      <c r="V45" s="474">
        <f t="shared" si="2"/>
        <v>0</v>
      </c>
      <c r="W45" s="474">
        <f t="shared" si="12"/>
        <v>0</v>
      </c>
      <c r="X45" s="475">
        <f t="shared" si="13"/>
        <v>0</v>
      </c>
      <c r="Y45" s="475">
        <v>0</v>
      </c>
      <c r="Z45" s="476">
        <v>0</v>
      </c>
      <c r="AA45" s="38">
        <f t="shared" si="14"/>
        <v>0</v>
      </c>
      <c r="AB45" s="564">
        <f t="shared" si="15"/>
        <v>0</v>
      </c>
      <c r="AC45" s="564">
        <f t="shared" si="16"/>
        <v>0</v>
      </c>
      <c r="AD45" s="564">
        <f t="shared" si="17"/>
        <v>0</v>
      </c>
      <c r="AF45" s="564">
        <f t="shared" si="18"/>
        <v>0</v>
      </c>
      <c r="AG45" s="564">
        <f t="shared" si="19"/>
        <v>0</v>
      </c>
      <c r="AH45" s="564">
        <f t="shared" si="20"/>
        <v>0</v>
      </c>
    </row>
    <row r="46" spans="1:34">
      <c r="A46" s="20"/>
      <c r="B46" s="20" t="s">
        <v>109</v>
      </c>
      <c r="C46" s="667"/>
      <c r="D46" s="68" t="s">
        <v>4</v>
      </c>
      <c r="E46" s="449"/>
      <c r="F46" s="529">
        <f>VLOOKUP(D46,'Q2 DMV -  Revenue'!C:S,17,FALSE)</f>
        <v>0</v>
      </c>
      <c r="G46" s="579"/>
      <c r="H46" s="579"/>
      <c r="I46" s="524"/>
      <c r="J46" s="379">
        <f t="shared" si="0"/>
        <v>0</v>
      </c>
      <c r="K46" s="31"/>
      <c r="L46" s="84"/>
      <c r="M46" s="42">
        <v>0</v>
      </c>
      <c r="N46" s="31">
        <v>0</v>
      </c>
      <c r="O46" s="429"/>
      <c r="P46" s="31">
        <v>0</v>
      </c>
      <c r="Q46" s="426">
        <f t="shared" si="1"/>
        <v>0</v>
      </c>
      <c r="R46" s="178">
        <v>0</v>
      </c>
      <c r="S46" s="295"/>
      <c r="T46" s="385">
        <f t="shared" si="11"/>
        <v>0</v>
      </c>
      <c r="U46" s="31"/>
      <c r="V46" s="474">
        <f t="shared" si="2"/>
        <v>0</v>
      </c>
      <c r="W46" s="474">
        <f t="shared" si="12"/>
        <v>0</v>
      </c>
      <c r="X46" s="475">
        <f t="shared" si="13"/>
        <v>0</v>
      </c>
      <c r="Y46" s="475">
        <v>0</v>
      </c>
      <c r="Z46" s="476">
        <v>0</v>
      </c>
      <c r="AA46" s="38">
        <f t="shared" si="14"/>
        <v>0</v>
      </c>
      <c r="AB46" s="564">
        <f t="shared" si="15"/>
        <v>0</v>
      </c>
      <c r="AC46" s="564">
        <f t="shared" si="16"/>
        <v>0</v>
      </c>
      <c r="AD46" s="564">
        <f t="shared" si="17"/>
        <v>0</v>
      </c>
      <c r="AF46" s="564">
        <f t="shared" si="18"/>
        <v>0</v>
      </c>
      <c r="AG46" s="564">
        <f t="shared" si="19"/>
        <v>0</v>
      </c>
      <c r="AH46" s="564">
        <f t="shared" si="20"/>
        <v>0</v>
      </c>
    </row>
    <row r="47" spans="1:34">
      <c r="A47" s="20"/>
      <c r="B47" s="20" t="s">
        <v>109</v>
      </c>
      <c r="C47" s="667"/>
      <c r="D47" s="68" t="s">
        <v>598</v>
      </c>
      <c r="E47" s="449"/>
      <c r="F47" s="529">
        <v>0</v>
      </c>
      <c r="G47" s="579"/>
      <c r="H47" s="579"/>
      <c r="I47" s="524"/>
      <c r="J47" s="379">
        <f t="shared" si="0"/>
        <v>0</v>
      </c>
      <c r="K47" s="31"/>
      <c r="L47" s="84"/>
      <c r="M47" s="42">
        <v>0</v>
      </c>
      <c r="N47" s="31">
        <v>0</v>
      </c>
      <c r="O47" s="429">
        <v>5024.74</v>
      </c>
      <c r="P47" s="31">
        <v>0</v>
      </c>
      <c r="Q47" s="426">
        <f t="shared" si="1"/>
        <v>0</v>
      </c>
      <c r="R47" s="178">
        <f>4446.84+4265.1+2825.88</f>
        <v>11537.82</v>
      </c>
      <c r="S47" s="295"/>
      <c r="T47" s="385">
        <f t="shared" si="11"/>
        <v>11537.82</v>
      </c>
      <c r="U47" s="31"/>
      <c r="V47" s="474">
        <f t="shared" si="2"/>
        <v>0</v>
      </c>
      <c r="W47" s="474">
        <f t="shared" si="12"/>
        <v>0</v>
      </c>
      <c r="X47" s="475">
        <f t="shared" si="13"/>
        <v>0</v>
      </c>
      <c r="Y47" s="475">
        <v>0</v>
      </c>
      <c r="Z47" s="476">
        <v>0</v>
      </c>
      <c r="AA47" s="38">
        <f t="shared" si="14"/>
        <v>0</v>
      </c>
      <c r="AB47" s="564">
        <f t="shared" si="15"/>
        <v>0</v>
      </c>
      <c r="AC47" s="564">
        <f t="shared" si="16"/>
        <v>0</v>
      </c>
      <c r="AD47" s="564">
        <f t="shared" si="17"/>
        <v>0</v>
      </c>
      <c r="AF47" s="564">
        <f t="shared" si="18"/>
        <v>0</v>
      </c>
      <c r="AG47" s="564">
        <f t="shared" si="19"/>
        <v>0</v>
      </c>
      <c r="AH47" s="564">
        <f t="shared" si="20"/>
        <v>0</v>
      </c>
    </row>
    <row r="48" spans="1:34">
      <c r="A48" s="20"/>
      <c r="B48" s="20" t="s">
        <v>109</v>
      </c>
      <c r="C48" s="667"/>
      <c r="D48" s="68" t="s">
        <v>470</v>
      </c>
      <c r="E48" s="449"/>
      <c r="F48" s="529">
        <f>VLOOKUP(D48,'Q2 DMV -  Revenue'!C:S,17,FALSE)</f>
        <v>0</v>
      </c>
      <c r="G48" s="579"/>
      <c r="H48" s="579"/>
      <c r="I48" s="524"/>
      <c r="J48" s="379">
        <f t="shared" si="0"/>
        <v>0</v>
      </c>
      <c r="K48" s="31"/>
      <c r="L48" s="84"/>
      <c r="M48" s="42">
        <v>0</v>
      </c>
      <c r="N48" s="31">
        <v>0</v>
      </c>
      <c r="O48" s="429"/>
      <c r="P48" s="31">
        <v>0</v>
      </c>
      <c r="Q48" s="426">
        <f t="shared" si="1"/>
        <v>0</v>
      </c>
      <c r="R48" s="178">
        <v>0</v>
      </c>
      <c r="S48" s="295"/>
      <c r="T48" s="385">
        <f t="shared" si="11"/>
        <v>0</v>
      </c>
      <c r="U48" s="31"/>
      <c r="V48" s="474">
        <f t="shared" si="2"/>
        <v>0</v>
      </c>
      <c r="W48" s="474">
        <f t="shared" si="12"/>
        <v>0</v>
      </c>
      <c r="X48" s="475">
        <f t="shared" si="13"/>
        <v>0</v>
      </c>
      <c r="Y48" s="475">
        <v>0</v>
      </c>
      <c r="Z48" s="476">
        <v>0</v>
      </c>
      <c r="AA48" s="38">
        <f t="shared" si="14"/>
        <v>0</v>
      </c>
      <c r="AB48" s="564">
        <f t="shared" si="15"/>
        <v>0</v>
      </c>
      <c r="AC48" s="564">
        <f t="shared" si="16"/>
        <v>0</v>
      </c>
      <c r="AD48" s="564">
        <f t="shared" si="17"/>
        <v>0</v>
      </c>
      <c r="AF48" s="564">
        <f t="shared" si="18"/>
        <v>0</v>
      </c>
      <c r="AG48" s="564">
        <f t="shared" si="19"/>
        <v>0</v>
      </c>
      <c r="AH48" s="564">
        <f t="shared" si="20"/>
        <v>0</v>
      </c>
    </row>
    <row r="49" spans="1:34">
      <c r="A49" s="20"/>
      <c r="B49" s="20" t="s">
        <v>110</v>
      </c>
      <c r="C49" s="667"/>
      <c r="D49" s="68" t="s">
        <v>311</v>
      </c>
      <c r="E49" s="449"/>
      <c r="F49" s="529">
        <f>VLOOKUP(D49,'Q2 DMV -  Revenue'!C:S,17,FALSE)</f>
        <v>-8099.56</v>
      </c>
      <c r="G49" s="579"/>
      <c r="H49" s="579"/>
      <c r="I49" s="524"/>
      <c r="J49" s="379">
        <f t="shared" si="0"/>
        <v>-8099.56</v>
      </c>
      <c r="K49" s="31"/>
      <c r="L49" s="84"/>
      <c r="M49" s="42">
        <v>0</v>
      </c>
      <c r="N49" s="31">
        <v>0</v>
      </c>
      <c r="O49" s="429"/>
      <c r="P49" s="31">
        <v>0</v>
      </c>
      <c r="Q49" s="426">
        <f t="shared" si="1"/>
        <v>0</v>
      </c>
      <c r="R49" s="178">
        <f>3689.91+3896.73+3791.22</f>
        <v>11377.859999999999</v>
      </c>
      <c r="S49" s="295"/>
      <c r="T49" s="385">
        <f t="shared" si="11"/>
        <v>11377.859999999999</v>
      </c>
      <c r="U49" s="31"/>
      <c r="V49" s="474">
        <f t="shared" si="2"/>
        <v>0</v>
      </c>
      <c r="W49" s="474">
        <f t="shared" si="12"/>
        <v>0</v>
      </c>
      <c r="X49" s="475">
        <f t="shared" si="13"/>
        <v>0</v>
      </c>
      <c r="Y49" s="475">
        <v>0</v>
      </c>
      <c r="Z49" s="476">
        <v>0</v>
      </c>
      <c r="AA49" s="38">
        <f t="shared" si="14"/>
        <v>0</v>
      </c>
      <c r="AB49" s="564">
        <f t="shared" si="15"/>
        <v>-8099.56</v>
      </c>
      <c r="AC49" s="564">
        <f t="shared" si="16"/>
        <v>0</v>
      </c>
      <c r="AD49" s="564">
        <f t="shared" si="17"/>
        <v>0</v>
      </c>
      <c r="AF49" s="564">
        <f t="shared" si="18"/>
        <v>0</v>
      </c>
      <c r="AG49" s="564">
        <f t="shared" si="19"/>
        <v>0</v>
      </c>
      <c r="AH49" s="564">
        <f t="shared" si="20"/>
        <v>0</v>
      </c>
    </row>
    <row r="50" spans="1:34">
      <c r="A50" s="20"/>
      <c r="B50" s="20" t="s">
        <v>109</v>
      </c>
      <c r="C50" s="667"/>
      <c r="D50" s="68" t="s">
        <v>451</v>
      </c>
      <c r="E50" s="449"/>
      <c r="F50" s="529">
        <f>VLOOKUP(D50,'Q2 DMV -  Revenue'!C:S,17,FALSE)</f>
        <v>-12000</v>
      </c>
      <c r="G50" s="579"/>
      <c r="H50" s="579"/>
      <c r="I50" s="524"/>
      <c r="J50" s="379">
        <f t="shared" si="0"/>
        <v>-12000</v>
      </c>
      <c r="K50" s="31"/>
      <c r="L50" s="84"/>
      <c r="M50" s="42">
        <v>0</v>
      </c>
      <c r="N50" s="31">
        <v>0</v>
      </c>
      <c r="O50" s="429"/>
      <c r="P50" s="31">
        <v>0</v>
      </c>
      <c r="Q50" s="426">
        <f t="shared" si="1"/>
        <v>0</v>
      </c>
      <c r="R50" s="178">
        <f>9278+8668+10354</f>
        <v>28300</v>
      </c>
      <c r="S50" s="295"/>
      <c r="T50" s="385">
        <f t="shared" si="11"/>
        <v>28300</v>
      </c>
      <c r="U50" s="31"/>
      <c r="V50" s="474">
        <f t="shared" si="2"/>
        <v>0</v>
      </c>
      <c r="W50" s="474">
        <f t="shared" si="12"/>
        <v>0</v>
      </c>
      <c r="X50" s="475">
        <f t="shared" si="13"/>
        <v>0</v>
      </c>
      <c r="Y50" s="475">
        <v>0</v>
      </c>
      <c r="Z50" s="476">
        <v>0</v>
      </c>
      <c r="AA50" s="38">
        <f t="shared" si="14"/>
        <v>0</v>
      </c>
      <c r="AB50" s="564">
        <f t="shared" si="15"/>
        <v>0</v>
      </c>
      <c r="AC50" s="564">
        <f t="shared" si="16"/>
        <v>-12000</v>
      </c>
      <c r="AD50" s="564">
        <f t="shared" si="17"/>
        <v>0</v>
      </c>
      <c r="AF50" s="564">
        <f t="shared" si="18"/>
        <v>0</v>
      </c>
      <c r="AG50" s="564">
        <f t="shared" si="19"/>
        <v>0</v>
      </c>
      <c r="AH50" s="564">
        <f t="shared" si="20"/>
        <v>0</v>
      </c>
    </row>
    <row r="51" spans="1:34">
      <c r="A51" s="20"/>
      <c r="B51" s="20" t="s">
        <v>109</v>
      </c>
      <c r="C51" s="667"/>
      <c r="D51" s="68" t="s">
        <v>469</v>
      </c>
      <c r="E51" s="449"/>
      <c r="F51" s="529">
        <f>VLOOKUP(D51,'Q2 DMV -  Revenue'!C:S,17,FALSE)</f>
        <v>0</v>
      </c>
      <c r="G51" s="576">
        <v>16314.01</v>
      </c>
      <c r="H51" s="576">
        <v>14677.45</v>
      </c>
      <c r="I51" s="525">
        <v>14544.8</v>
      </c>
      <c r="J51" s="379">
        <f t="shared" si="0"/>
        <v>45536.259999999995</v>
      </c>
      <c r="K51" s="31"/>
      <c r="L51" s="84"/>
      <c r="M51" s="42">
        <v>0</v>
      </c>
      <c r="N51" s="31">
        <v>0</v>
      </c>
      <c r="O51" s="429">
        <v>45536.26</v>
      </c>
      <c r="P51" s="31">
        <v>0</v>
      </c>
      <c r="Q51" s="426">
        <f t="shared" si="1"/>
        <v>0</v>
      </c>
      <c r="R51" s="178">
        <f>5562.73+173</f>
        <v>5735.73</v>
      </c>
      <c r="S51" s="295"/>
      <c r="T51" s="385">
        <f t="shared" si="11"/>
        <v>5735.73</v>
      </c>
      <c r="U51" s="31"/>
      <c r="V51" s="474">
        <f t="shared" si="2"/>
        <v>0</v>
      </c>
      <c r="W51" s="474">
        <f t="shared" si="12"/>
        <v>0</v>
      </c>
      <c r="X51" s="475">
        <f t="shared" si="13"/>
        <v>0</v>
      </c>
      <c r="Y51" s="475">
        <v>0</v>
      </c>
      <c r="Z51" s="476">
        <v>0</v>
      </c>
      <c r="AA51" s="38">
        <f t="shared" si="14"/>
        <v>0</v>
      </c>
      <c r="AB51" s="564">
        <f t="shared" si="15"/>
        <v>0</v>
      </c>
      <c r="AC51" s="564">
        <f t="shared" si="16"/>
        <v>45536.259999999995</v>
      </c>
      <c r="AD51" s="564">
        <f t="shared" si="17"/>
        <v>0</v>
      </c>
      <c r="AF51" s="564">
        <f t="shared" si="18"/>
        <v>0</v>
      </c>
      <c r="AG51" s="564">
        <f t="shared" si="19"/>
        <v>0</v>
      </c>
      <c r="AH51" s="564">
        <f t="shared" si="20"/>
        <v>0</v>
      </c>
    </row>
    <row r="52" spans="1:34">
      <c r="A52" s="20"/>
      <c r="B52" s="20" t="s">
        <v>109</v>
      </c>
      <c r="C52" s="667"/>
      <c r="D52" s="68" t="s">
        <v>462</v>
      </c>
      <c r="E52" s="449"/>
      <c r="F52" s="529">
        <f>VLOOKUP(D52,'Q2 DMV -  Revenue'!C:S,17,FALSE)</f>
        <v>0</v>
      </c>
      <c r="G52" s="579"/>
      <c r="H52" s="579"/>
      <c r="I52" s="524"/>
      <c r="J52" s="379">
        <f t="shared" si="0"/>
        <v>0</v>
      </c>
      <c r="K52" s="31"/>
      <c r="L52" s="84"/>
      <c r="M52" s="42">
        <v>0</v>
      </c>
      <c r="N52" s="31">
        <v>0</v>
      </c>
      <c r="O52" s="429"/>
      <c r="P52" s="31">
        <v>0</v>
      </c>
      <c r="Q52" s="426">
        <f t="shared" si="1"/>
        <v>0</v>
      </c>
      <c r="R52" s="178">
        <v>0</v>
      </c>
      <c r="S52" s="295"/>
      <c r="T52" s="385">
        <f t="shared" si="11"/>
        <v>0</v>
      </c>
      <c r="U52" s="31"/>
      <c r="V52" s="474">
        <f t="shared" si="2"/>
        <v>0</v>
      </c>
      <c r="W52" s="474">
        <f t="shared" si="12"/>
        <v>0</v>
      </c>
      <c r="X52" s="475">
        <f t="shared" si="13"/>
        <v>0</v>
      </c>
      <c r="Y52" s="475">
        <v>0</v>
      </c>
      <c r="Z52" s="476">
        <v>0</v>
      </c>
      <c r="AA52" s="38">
        <f t="shared" si="14"/>
        <v>0</v>
      </c>
      <c r="AB52" s="564">
        <f t="shared" si="15"/>
        <v>0</v>
      </c>
      <c r="AC52" s="564">
        <f t="shared" si="16"/>
        <v>0</v>
      </c>
      <c r="AD52" s="564">
        <f t="shared" si="17"/>
        <v>0</v>
      </c>
      <c r="AF52" s="564">
        <f t="shared" si="18"/>
        <v>0</v>
      </c>
      <c r="AG52" s="564">
        <f t="shared" si="19"/>
        <v>0</v>
      </c>
      <c r="AH52" s="564">
        <f t="shared" si="20"/>
        <v>0</v>
      </c>
    </row>
    <row r="53" spans="1:34">
      <c r="A53" s="20"/>
      <c r="B53" s="20" t="s">
        <v>110</v>
      </c>
      <c r="C53" s="667" t="s">
        <v>530</v>
      </c>
      <c r="D53" s="68" t="s">
        <v>69</v>
      </c>
      <c r="E53" s="449"/>
      <c r="F53" s="529">
        <f>VLOOKUP(D53,'Q2 DMV -  Revenue'!C:S,17,FALSE)</f>
        <v>422.16000000000031</v>
      </c>
      <c r="G53" s="576">
        <v>3416.65</v>
      </c>
      <c r="H53" s="576">
        <v>3599.58</v>
      </c>
      <c r="I53" s="524"/>
      <c r="J53" s="379">
        <f t="shared" si="0"/>
        <v>7438.39</v>
      </c>
      <c r="K53" s="31"/>
      <c r="L53" s="84"/>
      <c r="M53" s="42">
        <f t="shared" ref="M53:M54" si="35">SUM(G53+H53)/2</f>
        <v>3508.1149999999998</v>
      </c>
      <c r="N53" s="31">
        <v>0</v>
      </c>
      <c r="O53" s="429">
        <f>6279+3599.58</f>
        <v>9878.58</v>
      </c>
      <c r="P53" s="31">
        <v>0</v>
      </c>
      <c r="Q53" s="426">
        <f t="shared" si="1"/>
        <v>3508.1149999999998</v>
      </c>
      <c r="R53" s="178">
        <v>3569.27</v>
      </c>
      <c r="S53" s="295"/>
      <c r="T53" s="385">
        <f t="shared" si="11"/>
        <v>61.1550000000002</v>
      </c>
      <c r="U53" s="31"/>
      <c r="V53" s="474">
        <f t="shared" si="2"/>
        <v>3508.1149999999998</v>
      </c>
      <c r="W53" s="474">
        <f t="shared" si="12"/>
        <v>0</v>
      </c>
      <c r="X53" s="475">
        <f t="shared" si="13"/>
        <v>0</v>
      </c>
      <c r="Y53" s="475">
        <v>0</v>
      </c>
      <c r="Z53" s="476">
        <v>0</v>
      </c>
      <c r="AA53" s="38">
        <f t="shared" si="14"/>
        <v>0</v>
      </c>
      <c r="AB53" s="564">
        <f t="shared" si="15"/>
        <v>7438.39</v>
      </c>
      <c r="AC53" s="564">
        <f t="shared" si="16"/>
        <v>0</v>
      </c>
      <c r="AD53" s="564">
        <f t="shared" si="17"/>
        <v>0</v>
      </c>
      <c r="AF53" s="564">
        <f t="shared" si="18"/>
        <v>3508.1149999999998</v>
      </c>
      <c r="AG53" s="564">
        <f t="shared" si="19"/>
        <v>0</v>
      </c>
      <c r="AH53" s="564">
        <f t="shared" si="20"/>
        <v>0</v>
      </c>
    </row>
    <row r="54" spans="1:34">
      <c r="A54" s="20"/>
      <c r="B54" s="20" t="s">
        <v>110</v>
      </c>
      <c r="C54" s="667" t="s">
        <v>531</v>
      </c>
      <c r="D54" s="68" t="s">
        <v>237</v>
      </c>
      <c r="E54" s="449"/>
      <c r="F54" s="529">
        <f>VLOOKUP(D54,'Q2 DMV -  Revenue'!C:S,17,FALSE)</f>
        <v>3729.6349999999984</v>
      </c>
      <c r="G54" s="576">
        <v>14928</v>
      </c>
      <c r="H54" s="576">
        <v>13951.93</v>
      </c>
      <c r="I54" s="524"/>
      <c r="J54" s="379">
        <f t="shared" si="0"/>
        <v>32609.564999999999</v>
      </c>
      <c r="K54" s="31"/>
      <c r="L54" s="84"/>
      <c r="M54" s="42">
        <f t="shared" si="35"/>
        <v>14439.965</v>
      </c>
      <c r="N54" s="31">
        <v>0</v>
      </c>
      <c r="O54" s="429">
        <f>37603.88+13951.93</f>
        <v>51555.81</v>
      </c>
      <c r="P54" s="31">
        <v>0</v>
      </c>
      <c r="Q54" s="426">
        <f t="shared" si="1"/>
        <v>14439.965</v>
      </c>
      <c r="R54" s="178">
        <v>15048.71</v>
      </c>
      <c r="S54" s="295"/>
      <c r="T54" s="385">
        <f t="shared" si="11"/>
        <v>608.74499999999898</v>
      </c>
      <c r="U54" s="31"/>
      <c r="V54" s="474">
        <f t="shared" si="2"/>
        <v>14439.965</v>
      </c>
      <c r="W54" s="474">
        <f t="shared" si="12"/>
        <v>0</v>
      </c>
      <c r="X54" s="475">
        <f t="shared" si="13"/>
        <v>0</v>
      </c>
      <c r="Y54" s="475">
        <v>0</v>
      </c>
      <c r="Z54" s="476">
        <v>0</v>
      </c>
      <c r="AA54" s="38">
        <f t="shared" si="14"/>
        <v>0</v>
      </c>
      <c r="AB54" s="564">
        <f t="shared" si="15"/>
        <v>32609.564999999999</v>
      </c>
      <c r="AC54" s="564">
        <f t="shared" si="16"/>
        <v>0</v>
      </c>
      <c r="AD54" s="564">
        <f t="shared" si="17"/>
        <v>0</v>
      </c>
      <c r="AF54" s="564">
        <f t="shared" si="18"/>
        <v>14439.965</v>
      </c>
      <c r="AG54" s="564">
        <f t="shared" si="19"/>
        <v>0</v>
      </c>
      <c r="AH54" s="564">
        <f t="shared" si="20"/>
        <v>0</v>
      </c>
    </row>
    <row r="55" spans="1:34">
      <c r="A55" s="20" t="s">
        <v>211</v>
      </c>
      <c r="B55" s="20" t="s">
        <v>110</v>
      </c>
      <c r="C55" s="667" t="s">
        <v>532</v>
      </c>
      <c r="D55" s="68" t="s">
        <v>7</v>
      </c>
      <c r="E55" s="449">
        <f>917.77+853.1+783.71</f>
        <v>2554.58</v>
      </c>
      <c r="F55" s="529">
        <f>VLOOKUP(D55,'Q2 DMV -  Revenue'!C:S,17,FALSE)</f>
        <v>3060.0400000000009</v>
      </c>
      <c r="G55" s="579"/>
      <c r="H55" s="579"/>
      <c r="I55" s="524"/>
      <c r="J55" s="379">
        <f t="shared" si="0"/>
        <v>5614.6200000000008</v>
      </c>
      <c r="K55" s="31"/>
      <c r="L55" s="84"/>
      <c r="M55" s="42">
        <v>20000</v>
      </c>
      <c r="N55" s="31">
        <v>0</v>
      </c>
      <c r="O55" s="429">
        <v>23060.04</v>
      </c>
      <c r="P55" s="31">
        <v>0</v>
      </c>
      <c r="Q55" s="426">
        <f t="shared" si="1"/>
        <v>20000</v>
      </c>
      <c r="R55" s="178">
        <v>26868.45</v>
      </c>
      <c r="S55" s="295"/>
      <c r="T55" s="385">
        <f t="shared" si="11"/>
        <v>6868.4500000000007</v>
      </c>
      <c r="U55" s="2"/>
      <c r="V55" s="474">
        <f t="shared" si="2"/>
        <v>20000</v>
      </c>
      <c r="W55" s="474">
        <f t="shared" si="12"/>
        <v>0</v>
      </c>
      <c r="X55" s="475">
        <f t="shared" si="13"/>
        <v>0</v>
      </c>
      <c r="Y55" s="475">
        <v>0</v>
      </c>
      <c r="Z55" s="476">
        <v>0</v>
      </c>
      <c r="AA55" s="38">
        <f t="shared" si="14"/>
        <v>0</v>
      </c>
      <c r="AB55" s="564">
        <f t="shared" si="15"/>
        <v>5614.6200000000008</v>
      </c>
      <c r="AC55" s="564">
        <f t="shared" si="16"/>
        <v>0</v>
      </c>
      <c r="AD55" s="564">
        <f t="shared" si="17"/>
        <v>0</v>
      </c>
      <c r="AF55" s="564">
        <f t="shared" si="18"/>
        <v>20000</v>
      </c>
      <c r="AG55" s="564">
        <f t="shared" si="19"/>
        <v>0</v>
      </c>
      <c r="AH55" s="564">
        <f t="shared" si="20"/>
        <v>0</v>
      </c>
    </row>
    <row r="56" spans="1:34" s="232" customFormat="1">
      <c r="A56" s="283" t="s">
        <v>97</v>
      </c>
      <c r="B56" s="283" t="s">
        <v>109</v>
      </c>
      <c r="C56" s="667" t="s">
        <v>533</v>
      </c>
      <c r="D56" s="123" t="s">
        <v>415</v>
      </c>
      <c r="E56" s="449"/>
      <c r="F56" s="529">
        <f>VLOOKUP(D56,'Q2 DMV -  Revenue'!C:S,17,FALSE)</f>
        <v>9.7200000000000273</v>
      </c>
      <c r="G56" s="576">
        <f>266.98+25.14</f>
        <v>292.12</v>
      </c>
      <c r="H56" s="576">
        <f>230.4+24.96</f>
        <v>255.36</v>
      </c>
      <c r="I56" s="524"/>
      <c r="J56" s="379">
        <f t="shared" si="0"/>
        <v>557.20000000000005</v>
      </c>
      <c r="K56" s="31"/>
      <c r="L56" s="84"/>
      <c r="M56" s="42">
        <f>SUM(G56+H56)/2</f>
        <v>273.74</v>
      </c>
      <c r="N56" s="31">
        <v>0</v>
      </c>
      <c r="O56" s="429">
        <v>4215.45</v>
      </c>
      <c r="P56" s="31">
        <v>0</v>
      </c>
      <c r="Q56" s="426">
        <f t="shared" si="1"/>
        <v>273.74</v>
      </c>
      <c r="R56" s="178">
        <f>230.4+24.96+176.19+22.14</f>
        <v>453.69</v>
      </c>
      <c r="S56" s="295"/>
      <c r="T56" s="385">
        <f t="shared" si="11"/>
        <v>179.95</v>
      </c>
      <c r="U56" s="31"/>
      <c r="V56" s="474">
        <f t="shared" si="2"/>
        <v>0</v>
      </c>
      <c r="W56" s="474">
        <f t="shared" si="12"/>
        <v>273.74</v>
      </c>
      <c r="X56" s="475">
        <f t="shared" si="13"/>
        <v>0</v>
      </c>
      <c r="Y56" s="475">
        <v>0</v>
      </c>
      <c r="Z56" s="476">
        <v>0</v>
      </c>
      <c r="AA56" s="38">
        <f t="shared" si="14"/>
        <v>0</v>
      </c>
      <c r="AB56" s="564">
        <f t="shared" si="15"/>
        <v>0</v>
      </c>
      <c r="AC56" s="564">
        <f t="shared" si="16"/>
        <v>557.20000000000005</v>
      </c>
      <c r="AD56" s="564">
        <f t="shared" si="17"/>
        <v>0</v>
      </c>
      <c r="AE56" s="559"/>
      <c r="AF56" s="564">
        <f t="shared" si="18"/>
        <v>0</v>
      </c>
      <c r="AG56" s="564">
        <f t="shared" si="19"/>
        <v>273.74</v>
      </c>
      <c r="AH56" s="564">
        <f t="shared" si="20"/>
        <v>0</v>
      </c>
    </row>
    <row r="57" spans="1:34" s="232" customFormat="1">
      <c r="A57" s="283"/>
      <c r="B57" s="283" t="s">
        <v>109</v>
      </c>
      <c r="C57" s="667" t="s">
        <v>533</v>
      </c>
      <c r="D57" s="123" t="s">
        <v>416</v>
      </c>
      <c r="E57" s="449"/>
      <c r="F57" s="529">
        <f>VLOOKUP(D57,'Q2 DMV -  Revenue'!C:S,17,FALSE)</f>
        <v>-130.7600000000001</v>
      </c>
      <c r="G57" s="576">
        <v>576.51</v>
      </c>
      <c r="H57" s="576">
        <v>448.37</v>
      </c>
      <c r="I57" s="524"/>
      <c r="J57" s="379">
        <f t="shared" si="0"/>
        <v>894.11999999999989</v>
      </c>
      <c r="K57" s="31"/>
      <c r="L57" s="84"/>
      <c r="M57" s="42">
        <f t="shared" ref="M57:M58" si="36">SUM(G57+H57)/2</f>
        <v>512.44000000000005</v>
      </c>
      <c r="N57" s="31">
        <v>0</v>
      </c>
      <c r="O57" s="429"/>
      <c r="P57" s="31">
        <v>0</v>
      </c>
      <c r="Q57" s="426">
        <f t="shared" si="1"/>
        <v>512.44000000000005</v>
      </c>
      <c r="R57" s="178">
        <f>448.37+435.86</f>
        <v>884.23</v>
      </c>
      <c r="S57" s="295"/>
      <c r="T57" s="385">
        <f t="shared" si="11"/>
        <v>371.78999999999996</v>
      </c>
      <c r="U57" s="31"/>
      <c r="V57" s="474">
        <f t="shared" si="2"/>
        <v>0</v>
      </c>
      <c r="W57" s="474">
        <f t="shared" si="12"/>
        <v>512.44000000000005</v>
      </c>
      <c r="X57" s="475">
        <f t="shared" si="13"/>
        <v>0</v>
      </c>
      <c r="Y57" s="475">
        <v>0</v>
      </c>
      <c r="Z57" s="476">
        <v>0</v>
      </c>
      <c r="AA57" s="38">
        <f t="shared" si="14"/>
        <v>0</v>
      </c>
      <c r="AB57" s="564">
        <f t="shared" si="15"/>
        <v>0</v>
      </c>
      <c r="AC57" s="564">
        <f t="shared" si="16"/>
        <v>894.11999999999989</v>
      </c>
      <c r="AD57" s="564">
        <f t="shared" si="17"/>
        <v>0</v>
      </c>
      <c r="AE57" s="559"/>
      <c r="AF57" s="564">
        <f t="shared" si="18"/>
        <v>0</v>
      </c>
      <c r="AG57" s="564">
        <f t="shared" si="19"/>
        <v>512.44000000000005</v>
      </c>
      <c r="AH57" s="564">
        <f t="shared" si="20"/>
        <v>0</v>
      </c>
    </row>
    <row r="58" spans="1:34" s="232" customFormat="1">
      <c r="A58" s="283"/>
      <c r="B58" s="283" t="s">
        <v>109</v>
      </c>
      <c r="C58" s="667" t="s">
        <v>533</v>
      </c>
      <c r="D58" s="123" t="s">
        <v>417</v>
      </c>
      <c r="E58" s="449"/>
      <c r="F58" s="529">
        <f>VLOOKUP(D58,'Q2 DMV -  Revenue'!C:S,17,FALSE)</f>
        <v>-282.81500000000005</v>
      </c>
      <c r="G58" s="576">
        <v>598.9</v>
      </c>
      <c r="H58" s="576">
        <v>512.15</v>
      </c>
      <c r="I58" s="524"/>
      <c r="J58" s="379">
        <f t="shared" si="0"/>
        <v>828.2349999999999</v>
      </c>
      <c r="K58" s="31"/>
      <c r="L58" s="84"/>
      <c r="M58" s="42">
        <f t="shared" si="36"/>
        <v>555.52499999999998</v>
      </c>
      <c r="N58" s="31">
        <v>0</v>
      </c>
      <c r="O58" s="429"/>
      <c r="P58" s="31">
        <v>0</v>
      </c>
      <c r="Q58" s="426">
        <f t="shared" si="1"/>
        <v>555.52499999999998</v>
      </c>
      <c r="R58" s="178">
        <f>512.15+481.42</f>
        <v>993.56999999999994</v>
      </c>
      <c r="S58" s="295"/>
      <c r="T58" s="385">
        <f t="shared" si="11"/>
        <v>438.04499999999996</v>
      </c>
      <c r="U58" s="31"/>
      <c r="V58" s="474">
        <f t="shared" si="2"/>
        <v>0</v>
      </c>
      <c r="W58" s="474">
        <f t="shared" si="12"/>
        <v>555.52499999999998</v>
      </c>
      <c r="X58" s="475">
        <f t="shared" si="13"/>
        <v>0</v>
      </c>
      <c r="Y58" s="475">
        <v>0</v>
      </c>
      <c r="Z58" s="476">
        <v>0</v>
      </c>
      <c r="AA58" s="38">
        <f t="shared" si="14"/>
        <v>0</v>
      </c>
      <c r="AB58" s="564">
        <f t="shared" si="15"/>
        <v>0</v>
      </c>
      <c r="AC58" s="564">
        <f t="shared" si="16"/>
        <v>828.2349999999999</v>
      </c>
      <c r="AD58" s="564">
        <f t="shared" si="17"/>
        <v>0</v>
      </c>
      <c r="AE58" s="559"/>
      <c r="AF58" s="564">
        <f t="shared" si="18"/>
        <v>0</v>
      </c>
      <c r="AG58" s="564">
        <f t="shared" si="19"/>
        <v>555.52499999999998</v>
      </c>
      <c r="AH58" s="564">
        <f t="shared" si="20"/>
        <v>0</v>
      </c>
    </row>
    <row r="59" spans="1:34" s="232" customFormat="1">
      <c r="A59" s="283"/>
      <c r="B59" s="283" t="s">
        <v>109</v>
      </c>
      <c r="C59" s="667" t="s">
        <v>533</v>
      </c>
      <c r="D59" s="123" t="s">
        <v>418</v>
      </c>
      <c r="E59" s="449"/>
      <c r="F59" s="529">
        <f>VLOOKUP(D59,'Q2 DMV -  Revenue'!C:S,17,FALSE)</f>
        <v>0</v>
      </c>
      <c r="G59" s="579"/>
      <c r="H59" s="579"/>
      <c r="I59" s="524"/>
      <c r="J59" s="379">
        <f t="shared" si="0"/>
        <v>0</v>
      </c>
      <c r="K59" s="31"/>
      <c r="L59" s="84"/>
      <c r="M59" s="42">
        <v>0</v>
      </c>
      <c r="N59" s="31">
        <v>0</v>
      </c>
      <c r="O59" s="429"/>
      <c r="P59" s="31">
        <v>0</v>
      </c>
      <c r="Q59" s="426">
        <f t="shared" si="1"/>
        <v>0</v>
      </c>
      <c r="R59" s="178">
        <v>0</v>
      </c>
      <c r="S59" s="295"/>
      <c r="T59" s="385">
        <f t="shared" si="11"/>
        <v>0</v>
      </c>
      <c r="U59" s="31"/>
      <c r="V59" s="474">
        <f t="shared" si="2"/>
        <v>0</v>
      </c>
      <c r="W59" s="474">
        <f t="shared" si="12"/>
        <v>0</v>
      </c>
      <c r="X59" s="475">
        <f t="shared" si="13"/>
        <v>0</v>
      </c>
      <c r="Y59" s="475">
        <v>0</v>
      </c>
      <c r="Z59" s="476">
        <v>0</v>
      </c>
      <c r="AA59" s="38">
        <f t="shared" si="14"/>
        <v>0</v>
      </c>
      <c r="AB59" s="564">
        <f t="shared" si="15"/>
        <v>0</v>
      </c>
      <c r="AC59" s="564">
        <f t="shared" si="16"/>
        <v>0</v>
      </c>
      <c r="AD59" s="564">
        <f t="shared" si="17"/>
        <v>0</v>
      </c>
      <c r="AE59" s="559"/>
      <c r="AF59" s="564">
        <f t="shared" si="18"/>
        <v>0</v>
      </c>
      <c r="AG59" s="564">
        <f t="shared" si="19"/>
        <v>0</v>
      </c>
      <c r="AH59" s="564">
        <f t="shared" si="20"/>
        <v>0</v>
      </c>
    </row>
    <row r="60" spans="1:34">
      <c r="A60" s="21" t="s">
        <v>109</v>
      </c>
      <c r="B60" s="21" t="s">
        <v>110</v>
      </c>
      <c r="C60" s="666"/>
      <c r="D60" s="68" t="s">
        <v>8</v>
      </c>
      <c r="E60" s="449"/>
      <c r="F60" s="529">
        <f>VLOOKUP(D60,'Q2 DMV -  Revenue'!C:S,17,FALSE)</f>
        <v>0</v>
      </c>
      <c r="G60" s="579"/>
      <c r="H60" s="579"/>
      <c r="I60" s="524"/>
      <c r="J60" s="379">
        <f t="shared" si="0"/>
        <v>0</v>
      </c>
      <c r="K60" s="31"/>
      <c r="L60" s="84"/>
      <c r="M60" s="42">
        <v>0</v>
      </c>
      <c r="N60" s="31">
        <v>0</v>
      </c>
      <c r="O60" s="429"/>
      <c r="P60" s="31">
        <v>0</v>
      </c>
      <c r="Q60" s="426">
        <f t="shared" si="1"/>
        <v>0</v>
      </c>
      <c r="R60" s="178">
        <v>0</v>
      </c>
      <c r="S60" s="295"/>
      <c r="T60" s="385">
        <f t="shared" si="11"/>
        <v>0</v>
      </c>
      <c r="U60" s="31"/>
      <c r="V60" s="474">
        <f t="shared" si="2"/>
        <v>0</v>
      </c>
      <c r="W60" s="474">
        <f t="shared" si="12"/>
        <v>0</v>
      </c>
      <c r="X60" s="475">
        <f t="shared" si="13"/>
        <v>0</v>
      </c>
      <c r="Y60" s="475">
        <v>0</v>
      </c>
      <c r="Z60" s="476">
        <v>0</v>
      </c>
      <c r="AA60" s="38">
        <f t="shared" si="14"/>
        <v>0</v>
      </c>
      <c r="AB60" s="564">
        <f t="shared" si="15"/>
        <v>0</v>
      </c>
      <c r="AC60" s="564">
        <f t="shared" si="16"/>
        <v>0</v>
      </c>
      <c r="AD60" s="564">
        <f t="shared" si="17"/>
        <v>0</v>
      </c>
      <c r="AF60" s="564">
        <f t="shared" si="18"/>
        <v>0</v>
      </c>
      <c r="AG60" s="564">
        <f t="shared" si="19"/>
        <v>0</v>
      </c>
      <c r="AH60" s="564">
        <f t="shared" si="20"/>
        <v>0</v>
      </c>
    </row>
    <row r="61" spans="1:34">
      <c r="A61" s="20" t="s">
        <v>211</v>
      </c>
      <c r="B61" s="20" t="s">
        <v>109</v>
      </c>
      <c r="C61" s="667" t="s">
        <v>534</v>
      </c>
      <c r="D61" s="68" t="s">
        <v>9</v>
      </c>
      <c r="E61" s="449"/>
      <c r="F61" s="529">
        <f>VLOOKUP(D61,'Q2 DMV -  Revenue'!C:S,17,FALSE)</f>
        <v>4135.1400000000003</v>
      </c>
      <c r="G61" s="579"/>
      <c r="H61" s="579"/>
      <c r="I61" s="524"/>
      <c r="J61" s="379">
        <f t="shared" si="0"/>
        <v>4135.1400000000003</v>
      </c>
      <c r="K61" s="31"/>
      <c r="L61" s="84"/>
      <c r="M61" s="42">
        <v>8000</v>
      </c>
      <c r="N61" s="31">
        <v>0</v>
      </c>
      <c r="O61" s="429">
        <v>8135.15</v>
      </c>
      <c r="P61" s="31">
        <v>0</v>
      </c>
      <c r="Q61" s="426">
        <f t="shared" si="1"/>
        <v>8000</v>
      </c>
      <c r="R61" s="178">
        <v>9081.7999999999993</v>
      </c>
      <c r="S61" s="295"/>
      <c r="T61" s="385">
        <f t="shared" si="11"/>
        <v>1081.7999999999993</v>
      </c>
      <c r="U61" s="2"/>
      <c r="V61" s="474">
        <f t="shared" si="2"/>
        <v>0</v>
      </c>
      <c r="W61" s="474">
        <f t="shared" si="12"/>
        <v>8000</v>
      </c>
      <c r="X61" s="475">
        <f t="shared" si="13"/>
        <v>0</v>
      </c>
      <c r="Y61" s="475">
        <v>0</v>
      </c>
      <c r="Z61" s="476">
        <v>0</v>
      </c>
      <c r="AA61" s="38">
        <f t="shared" si="14"/>
        <v>0</v>
      </c>
      <c r="AB61" s="564">
        <f t="shared" si="15"/>
        <v>0</v>
      </c>
      <c r="AC61" s="564">
        <f t="shared" si="16"/>
        <v>4135.1400000000003</v>
      </c>
      <c r="AD61" s="564">
        <f t="shared" si="17"/>
        <v>0</v>
      </c>
      <c r="AF61" s="564">
        <f t="shared" si="18"/>
        <v>0</v>
      </c>
      <c r="AG61" s="564">
        <f t="shared" si="19"/>
        <v>8000</v>
      </c>
      <c r="AH61" s="564">
        <f t="shared" si="20"/>
        <v>0</v>
      </c>
    </row>
    <row r="62" spans="1:34">
      <c r="A62" s="20" t="s">
        <v>211</v>
      </c>
      <c r="B62" s="20" t="s">
        <v>110</v>
      </c>
      <c r="C62" s="667"/>
      <c r="D62" s="68" t="s">
        <v>487</v>
      </c>
      <c r="E62" s="449"/>
      <c r="F62" s="529">
        <f>VLOOKUP(D62,'Q2 DMV -  Revenue'!C:S,17,FALSE)</f>
        <v>-400</v>
      </c>
      <c r="G62" s="579"/>
      <c r="H62" s="579"/>
      <c r="I62" s="524"/>
      <c r="J62" s="379">
        <f t="shared" si="0"/>
        <v>-400</v>
      </c>
      <c r="K62" s="31"/>
      <c r="L62" s="84"/>
      <c r="M62" s="42">
        <v>0</v>
      </c>
      <c r="N62" s="31">
        <v>0</v>
      </c>
      <c r="O62" s="429"/>
      <c r="P62" s="31">
        <v>0</v>
      </c>
      <c r="Q62" s="426">
        <f t="shared" si="1"/>
        <v>0</v>
      </c>
      <c r="R62" s="178">
        <f>599.2+427</f>
        <v>1026.2</v>
      </c>
      <c r="S62" s="295"/>
      <c r="T62" s="385">
        <f t="shared" si="11"/>
        <v>1026.2</v>
      </c>
      <c r="U62" s="31"/>
      <c r="V62" s="474">
        <f t="shared" si="2"/>
        <v>0</v>
      </c>
      <c r="W62" s="474">
        <f t="shared" si="12"/>
        <v>0</v>
      </c>
      <c r="X62" s="475">
        <f t="shared" si="13"/>
        <v>0</v>
      </c>
      <c r="Y62" s="475">
        <v>0</v>
      </c>
      <c r="Z62" s="476">
        <v>0</v>
      </c>
      <c r="AA62" s="38">
        <f t="shared" si="14"/>
        <v>0</v>
      </c>
      <c r="AB62" s="564">
        <f t="shared" si="15"/>
        <v>-400</v>
      </c>
      <c r="AC62" s="564">
        <f t="shared" si="16"/>
        <v>0</v>
      </c>
      <c r="AD62" s="564">
        <f t="shared" si="17"/>
        <v>0</v>
      </c>
      <c r="AF62" s="564">
        <f t="shared" si="18"/>
        <v>0</v>
      </c>
      <c r="AG62" s="564">
        <f t="shared" si="19"/>
        <v>0</v>
      </c>
      <c r="AH62" s="564">
        <f t="shared" si="20"/>
        <v>0</v>
      </c>
    </row>
    <row r="63" spans="1:34">
      <c r="A63" s="20"/>
      <c r="B63" s="20" t="s">
        <v>109</v>
      </c>
      <c r="C63" s="667"/>
      <c r="D63" s="68" t="s">
        <v>373</v>
      </c>
      <c r="E63" s="449"/>
      <c r="F63" s="529">
        <f>VLOOKUP(D63,'Q2 DMV -  Revenue'!C:S,17,FALSE)</f>
        <v>0</v>
      </c>
      <c r="G63" s="579"/>
      <c r="H63" s="579"/>
      <c r="I63" s="524"/>
      <c r="J63" s="379">
        <f t="shared" si="0"/>
        <v>0</v>
      </c>
      <c r="K63" s="31"/>
      <c r="L63" s="84"/>
      <c r="M63" s="42">
        <v>0</v>
      </c>
      <c r="N63" s="31">
        <v>0</v>
      </c>
      <c r="O63" s="429"/>
      <c r="P63" s="31">
        <v>0</v>
      </c>
      <c r="Q63" s="426">
        <f t="shared" si="1"/>
        <v>0</v>
      </c>
      <c r="R63" s="178">
        <v>0</v>
      </c>
      <c r="S63" s="295"/>
      <c r="T63" s="385">
        <f t="shared" si="11"/>
        <v>0</v>
      </c>
      <c r="U63" s="31"/>
      <c r="V63" s="474">
        <f t="shared" si="2"/>
        <v>0</v>
      </c>
      <c r="W63" s="474">
        <f t="shared" si="12"/>
        <v>0</v>
      </c>
      <c r="X63" s="475">
        <f t="shared" si="13"/>
        <v>0</v>
      </c>
      <c r="Y63" s="475">
        <v>0</v>
      </c>
      <c r="Z63" s="476">
        <v>0</v>
      </c>
      <c r="AA63" s="38">
        <f t="shared" si="14"/>
        <v>0</v>
      </c>
      <c r="AB63" s="564">
        <f t="shared" si="15"/>
        <v>0</v>
      </c>
      <c r="AC63" s="564">
        <f t="shared" si="16"/>
        <v>0</v>
      </c>
      <c r="AD63" s="564">
        <f t="shared" si="17"/>
        <v>0</v>
      </c>
      <c r="AF63" s="564">
        <f t="shared" si="18"/>
        <v>0</v>
      </c>
      <c r="AG63" s="564">
        <f t="shared" si="19"/>
        <v>0</v>
      </c>
      <c r="AH63" s="564">
        <f t="shared" si="20"/>
        <v>0</v>
      </c>
    </row>
    <row r="64" spans="1:34">
      <c r="A64" s="20"/>
      <c r="B64" s="20" t="s">
        <v>109</v>
      </c>
      <c r="C64" s="667"/>
      <c r="D64" s="68" t="s">
        <v>374</v>
      </c>
      <c r="E64" s="449">
        <f>2026.35+1751.72+1431.96</f>
        <v>5210.03</v>
      </c>
      <c r="F64" s="529">
        <f>VLOOKUP(D64,'Q2 DMV -  Revenue'!C:S,17,FALSE)</f>
        <v>1709.43</v>
      </c>
      <c r="G64" s="576">
        <v>1619.53</v>
      </c>
      <c r="H64" s="576">
        <v>1639.3</v>
      </c>
      <c r="I64" s="524"/>
      <c r="J64" s="379">
        <f t="shared" si="0"/>
        <v>10178.289999999999</v>
      </c>
      <c r="K64" s="31"/>
      <c r="L64" s="84"/>
      <c r="M64" s="42">
        <v>0</v>
      </c>
      <c r="N64" s="31">
        <v>0</v>
      </c>
      <c r="O64" s="429">
        <f>5210.02+1709.43+1619.53+1639.3</f>
        <v>10178.280000000001</v>
      </c>
      <c r="P64" s="31">
        <v>0</v>
      </c>
      <c r="Q64" s="426">
        <f t="shared" si="1"/>
        <v>0</v>
      </c>
      <c r="R64" s="178">
        <v>1147.0999999999999</v>
      </c>
      <c r="S64" s="295"/>
      <c r="T64" s="385">
        <f t="shared" si="11"/>
        <v>1147.0999999999999</v>
      </c>
      <c r="U64" s="31"/>
      <c r="V64" s="474">
        <f t="shared" si="2"/>
        <v>0</v>
      </c>
      <c r="W64" s="474">
        <f t="shared" si="12"/>
        <v>0</v>
      </c>
      <c r="X64" s="475">
        <f t="shared" si="13"/>
        <v>0</v>
      </c>
      <c r="Y64" s="475">
        <v>0</v>
      </c>
      <c r="Z64" s="476">
        <v>0</v>
      </c>
      <c r="AA64" s="38">
        <f t="shared" si="14"/>
        <v>0</v>
      </c>
      <c r="AB64" s="564">
        <f t="shared" si="15"/>
        <v>0</v>
      </c>
      <c r="AC64" s="564">
        <f t="shared" si="16"/>
        <v>10178.289999999999</v>
      </c>
      <c r="AD64" s="564">
        <f t="shared" si="17"/>
        <v>0</v>
      </c>
      <c r="AF64" s="564">
        <f t="shared" si="18"/>
        <v>0</v>
      </c>
      <c r="AG64" s="564">
        <f t="shared" si="19"/>
        <v>0</v>
      </c>
      <c r="AH64" s="564">
        <f t="shared" si="20"/>
        <v>0</v>
      </c>
    </row>
    <row r="65" spans="1:34">
      <c r="A65" s="20"/>
      <c r="B65" s="20" t="s">
        <v>109</v>
      </c>
      <c r="C65" s="667"/>
      <c r="D65" s="68" t="s">
        <v>375</v>
      </c>
      <c r="E65" s="449"/>
      <c r="F65" s="529">
        <f>VLOOKUP(D65,'Q2 DMV -  Revenue'!C:S,17,FALSE)</f>
        <v>0</v>
      </c>
      <c r="G65" s="579"/>
      <c r="H65" s="579"/>
      <c r="I65" s="524"/>
      <c r="J65" s="379">
        <f t="shared" si="0"/>
        <v>0</v>
      </c>
      <c r="K65" s="31"/>
      <c r="L65" s="84"/>
      <c r="M65" s="42">
        <v>0</v>
      </c>
      <c r="N65" s="31">
        <v>0</v>
      </c>
      <c r="O65" s="429"/>
      <c r="P65" s="31">
        <v>0</v>
      </c>
      <c r="Q65" s="426">
        <f t="shared" si="1"/>
        <v>0</v>
      </c>
      <c r="R65" s="178">
        <v>0</v>
      </c>
      <c r="S65" s="295"/>
      <c r="T65" s="385">
        <f t="shared" si="11"/>
        <v>0</v>
      </c>
      <c r="U65" s="31"/>
      <c r="V65" s="474">
        <f t="shared" si="2"/>
        <v>0</v>
      </c>
      <c r="W65" s="474">
        <f t="shared" si="12"/>
        <v>0</v>
      </c>
      <c r="X65" s="475">
        <f t="shared" si="13"/>
        <v>0</v>
      </c>
      <c r="Y65" s="475">
        <v>0</v>
      </c>
      <c r="Z65" s="476">
        <v>0</v>
      </c>
      <c r="AA65" s="38">
        <f t="shared" si="14"/>
        <v>0</v>
      </c>
      <c r="AB65" s="564">
        <f t="shared" si="15"/>
        <v>0</v>
      </c>
      <c r="AC65" s="564">
        <f t="shared" si="16"/>
        <v>0</v>
      </c>
      <c r="AD65" s="564">
        <f t="shared" si="17"/>
        <v>0</v>
      </c>
      <c r="AF65" s="564">
        <f t="shared" si="18"/>
        <v>0</v>
      </c>
      <c r="AG65" s="564">
        <f t="shared" si="19"/>
        <v>0</v>
      </c>
      <c r="AH65" s="564">
        <f t="shared" si="20"/>
        <v>0</v>
      </c>
    </row>
    <row r="66" spans="1:34">
      <c r="A66" s="21" t="s">
        <v>109</v>
      </c>
      <c r="B66" s="21" t="s">
        <v>110</v>
      </c>
      <c r="C66" s="666"/>
      <c r="D66" s="68" t="s">
        <v>502</v>
      </c>
      <c r="E66" s="449">
        <v>1380.15</v>
      </c>
      <c r="F66" s="529">
        <f>VLOOKUP(D66,'Q2 DMV -  Revenue'!C:S,17,FALSE)</f>
        <v>293.5</v>
      </c>
      <c r="G66" s="579"/>
      <c r="H66" s="579"/>
      <c r="I66" s="524"/>
      <c r="J66" s="379">
        <f t="shared" ref="J66" si="37">SUM(E66:I66)</f>
        <v>1673.65</v>
      </c>
      <c r="K66" s="31"/>
      <c r="L66" s="84"/>
      <c r="M66" s="42">
        <v>0</v>
      </c>
      <c r="N66" s="31">
        <v>0</v>
      </c>
      <c r="O66" s="429">
        <v>1673.65</v>
      </c>
      <c r="P66" s="31">
        <v>0</v>
      </c>
      <c r="Q66" s="426">
        <f t="shared" ref="Q66" si="38">L66+M66</f>
        <v>0</v>
      </c>
      <c r="R66" s="178">
        <v>0</v>
      </c>
      <c r="S66" s="295"/>
      <c r="T66" s="385">
        <f t="shared" ref="T66" si="39">IF(R66="","",R66-Q66)</f>
        <v>0</v>
      </c>
      <c r="U66" s="31"/>
      <c r="V66" s="474">
        <f t="shared" si="2"/>
        <v>0</v>
      </c>
      <c r="W66" s="474">
        <f t="shared" si="12"/>
        <v>0</v>
      </c>
      <c r="X66" s="475">
        <f t="shared" si="13"/>
        <v>0</v>
      </c>
      <c r="Y66" s="475">
        <v>0</v>
      </c>
      <c r="Z66" s="476">
        <v>0</v>
      </c>
      <c r="AA66" s="38">
        <f t="shared" si="14"/>
        <v>0</v>
      </c>
      <c r="AB66" s="564">
        <f t="shared" si="15"/>
        <v>1673.65</v>
      </c>
      <c r="AC66" s="564">
        <f t="shared" si="16"/>
        <v>0</v>
      </c>
      <c r="AD66" s="564">
        <f t="shared" si="17"/>
        <v>0</v>
      </c>
      <c r="AF66" s="564">
        <f t="shared" si="18"/>
        <v>0</v>
      </c>
      <c r="AG66" s="564">
        <f t="shared" si="19"/>
        <v>0</v>
      </c>
      <c r="AH66" s="564">
        <f t="shared" si="20"/>
        <v>0</v>
      </c>
    </row>
    <row r="67" spans="1:34">
      <c r="A67" s="21"/>
      <c r="B67" s="21" t="s">
        <v>110</v>
      </c>
      <c r="C67" s="666" t="s">
        <v>535</v>
      </c>
      <c r="D67" s="123" t="s">
        <v>517</v>
      </c>
      <c r="E67" s="449"/>
      <c r="F67" s="529">
        <f>VLOOKUP(D67,'Q2 DMV -  Revenue'!C:S,17,FALSE)</f>
        <v>3008.1700000000019</v>
      </c>
      <c r="G67" s="576">
        <v>12362.83</v>
      </c>
      <c r="H67" s="576">
        <v>5068.1499999999996</v>
      </c>
      <c r="I67" s="524"/>
      <c r="J67" s="379">
        <f t="shared" si="0"/>
        <v>20439.150000000001</v>
      </c>
      <c r="K67" s="31"/>
      <c r="L67" s="84"/>
      <c r="M67" s="42">
        <f>SUM(G67+H67)/2</f>
        <v>8715.49</v>
      </c>
      <c r="N67" s="31">
        <v>0</v>
      </c>
      <c r="O67" s="429">
        <v>319381.38</v>
      </c>
      <c r="P67" s="31">
        <v>0</v>
      </c>
      <c r="Q67" s="426">
        <f t="shared" si="1"/>
        <v>8715.49</v>
      </c>
      <c r="R67" s="178">
        <v>5881.58</v>
      </c>
      <c r="S67" s="295"/>
      <c r="T67" s="385">
        <f t="shared" si="11"/>
        <v>-2833.91</v>
      </c>
      <c r="U67" s="2"/>
      <c r="V67" s="474">
        <f t="shared" si="2"/>
        <v>8715.49</v>
      </c>
      <c r="W67" s="474">
        <f t="shared" si="12"/>
        <v>0</v>
      </c>
      <c r="X67" s="475">
        <f t="shared" si="13"/>
        <v>0</v>
      </c>
      <c r="Y67" s="475">
        <v>0</v>
      </c>
      <c r="Z67" s="476">
        <v>0</v>
      </c>
      <c r="AA67" s="38">
        <f t="shared" si="14"/>
        <v>0</v>
      </c>
      <c r="AB67" s="564">
        <f t="shared" si="15"/>
        <v>20439.150000000001</v>
      </c>
      <c r="AC67" s="564">
        <f t="shared" si="16"/>
        <v>0</v>
      </c>
      <c r="AD67" s="564">
        <f t="shared" si="17"/>
        <v>0</v>
      </c>
      <c r="AF67" s="564">
        <f t="shared" si="18"/>
        <v>8715.49</v>
      </c>
      <c r="AG67" s="564">
        <f t="shared" si="19"/>
        <v>0</v>
      </c>
      <c r="AH67" s="564">
        <f t="shared" si="20"/>
        <v>0</v>
      </c>
    </row>
    <row r="68" spans="1:34">
      <c r="A68" s="21"/>
      <c r="B68" s="21" t="s">
        <v>110</v>
      </c>
      <c r="C68" s="666" t="s">
        <v>535</v>
      </c>
      <c r="D68" s="123" t="s">
        <v>437</v>
      </c>
      <c r="E68" s="449"/>
      <c r="F68" s="529">
        <f>VLOOKUP(D68,'Q2 DMV -  Revenue'!C:S,17,FALSE)</f>
        <v>1067.2099999999991</v>
      </c>
      <c r="G68" s="576">
        <v>4696.7299999999996</v>
      </c>
      <c r="H68" s="576">
        <v>6611.28</v>
      </c>
      <c r="I68" s="524"/>
      <c r="J68" s="379">
        <f t="shared" si="0"/>
        <v>12375.219999999998</v>
      </c>
      <c r="K68" s="31"/>
      <c r="L68" s="84"/>
      <c r="M68" s="42">
        <f t="shared" ref="M68:M72" si="40">SUM(G68+H68)/2</f>
        <v>5654.0049999999992</v>
      </c>
      <c r="N68" s="31">
        <v>0</v>
      </c>
      <c r="O68" s="429"/>
      <c r="P68" s="31">
        <v>0</v>
      </c>
      <c r="Q68" s="426">
        <f t="shared" si="1"/>
        <v>5654.0049999999992</v>
      </c>
      <c r="R68" s="178">
        <v>5003.7299999999996</v>
      </c>
      <c r="S68" s="295"/>
      <c r="T68" s="385">
        <f t="shared" si="11"/>
        <v>-650.27499999999964</v>
      </c>
      <c r="U68" s="2"/>
      <c r="V68" s="474">
        <f t="shared" si="2"/>
        <v>5654.0049999999992</v>
      </c>
      <c r="W68" s="474">
        <f t="shared" si="12"/>
        <v>0</v>
      </c>
      <c r="X68" s="475">
        <f t="shared" si="13"/>
        <v>0</v>
      </c>
      <c r="Y68" s="475">
        <v>0</v>
      </c>
      <c r="Z68" s="476">
        <v>0</v>
      </c>
      <c r="AA68" s="38">
        <f t="shared" si="14"/>
        <v>0</v>
      </c>
      <c r="AB68" s="564">
        <f t="shared" si="15"/>
        <v>12375.219999999998</v>
      </c>
      <c r="AC68" s="564">
        <f t="shared" si="16"/>
        <v>0</v>
      </c>
      <c r="AD68" s="564">
        <f t="shared" si="17"/>
        <v>0</v>
      </c>
      <c r="AF68" s="564">
        <f t="shared" si="18"/>
        <v>5654.0049999999992</v>
      </c>
      <c r="AG68" s="564">
        <f t="shared" si="19"/>
        <v>0</v>
      </c>
      <c r="AH68" s="564">
        <f t="shared" si="20"/>
        <v>0</v>
      </c>
    </row>
    <row r="69" spans="1:34">
      <c r="A69" s="21"/>
      <c r="B69" s="21" t="s">
        <v>110</v>
      </c>
      <c r="C69" s="666" t="s">
        <v>535</v>
      </c>
      <c r="D69" s="123" t="s">
        <v>436</v>
      </c>
      <c r="E69" s="449"/>
      <c r="F69" s="529">
        <f>VLOOKUP(D69,'Q2 DMV -  Revenue'!C:S,17,FALSE)</f>
        <v>997.99499999999989</v>
      </c>
      <c r="G69" s="576">
        <v>9097.64</v>
      </c>
      <c r="H69" s="576">
        <v>10915.41</v>
      </c>
      <c r="I69" s="524"/>
      <c r="J69" s="379">
        <f t="shared" si="0"/>
        <v>21011.044999999998</v>
      </c>
      <c r="K69" s="31"/>
      <c r="L69" s="84"/>
      <c r="M69" s="42">
        <f t="shared" si="40"/>
        <v>10006.525</v>
      </c>
      <c r="N69" s="31">
        <v>0</v>
      </c>
      <c r="O69" s="429"/>
      <c r="P69" s="31">
        <v>0</v>
      </c>
      <c r="Q69" s="426">
        <f t="shared" si="1"/>
        <v>10006.525</v>
      </c>
      <c r="R69" s="178">
        <v>9833.42</v>
      </c>
      <c r="S69" s="295"/>
      <c r="T69" s="385">
        <f t="shared" si="11"/>
        <v>-173.10499999999956</v>
      </c>
      <c r="U69" s="2"/>
      <c r="V69" s="474">
        <f t="shared" si="2"/>
        <v>10006.525</v>
      </c>
      <c r="W69" s="474">
        <f t="shared" si="12"/>
        <v>0</v>
      </c>
      <c r="X69" s="475">
        <f t="shared" si="13"/>
        <v>0</v>
      </c>
      <c r="Y69" s="475">
        <v>0</v>
      </c>
      <c r="Z69" s="476">
        <v>0</v>
      </c>
      <c r="AA69" s="38">
        <f t="shared" si="14"/>
        <v>0</v>
      </c>
      <c r="AB69" s="564">
        <f t="shared" si="15"/>
        <v>21011.044999999998</v>
      </c>
      <c r="AC69" s="564">
        <f t="shared" si="16"/>
        <v>0</v>
      </c>
      <c r="AD69" s="564">
        <f t="shared" si="17"/>
        <v>0</v>
      </c>
      <c r="AF69" s="564">
        <f t="shared" si="18"/>
        <v>10006.525</v>
      </c>
      <c r="AG69" s="564">
        <f t="shared" si="19"/>
        <v>0</v>
      </c>
      <c r="AH69" s="564">
        <f t="shared" si="20"/>
        <v>0</v>
      </c>
    </row>
    <row r="70" spans="1:34">
      <c r="A70" s="21"/>
      <c r="B70" s="21" t="s">
        <v>110</v>
      </c>
      <c r="C70" s="666" t="s">
        <v>535</v>
      </c>
      <c r="D70" s="123" t="s">
        <v>391</v>
      </c>
      <c r="E70" s="449"/>
      <c r="F70" s="529">
        <f>VLOOKUP(D70,'Q2 DMV -  Revenue'!C:S,17,FALSE)</f>
        <v>42.074999999999818</v>
      </c>
      <c r="G70" s="576">
        <v>1590.7</v>
      </c>
      <c r="H70" s="576">
        <v>1414.13</v>
      </c>
      <c r="I70" s="524"/>
      <c r="J70" s="379">
        <f t="shared" si="0"/>
        <v>3046.9049999999997</v>
      </c>
      <c r="K70" s="31"/>
      <c r="L70" s="84"/>
      <c r="M70" s="42">
        <f t="shared" si="40"/>
        <v>1502.415</v>
      </c>
      <c r="N70" s="31">
        <v>0</v>
      </c>
      <c r="O70" s="429"/>
      <c r="P70" s="31">
        <v>0</v>
      </c>
      <c r="Q70" s="426">
        <f t="shared" si="1"/>
        <v>1502.415</v>
      </c>
      <c r="R70" s="178">
        <v>2480.02</v>
      </c>
      <c r="S70" s="295"/>
      <c r="T70" s="385">
        <f t="shared" si="11"/>
        <v>977.60500000000002</v>
      </c>
      <c r="U70" s="2"/>
      <c r="V70" s="474">
        <f t="shared" si="2"/>
        <v>1502.415</v>
      </c>
      <c r="W70" s="474">
        <f t="shared" si="12"/>
        <v>0</v>
      </c>
      <c r="X70" s="475">
        <f t="shared" si="13"/>
        <v>0</v>
      </c>
      <c r="Y70" s="475">
        <v>0</v>
      </c>
      <c r="Z70" s="476">
        <v>0</v>
      </c>
      <c r="AA70" s="38">
        <f t="shared" si="14"/>
        <v>0</v>
      </c>
      <c r="AB70" s="564">
        <f t="shared" si="15"/>
        <v>3046.9049999999997</v>
      </c>
      <c r="AC70" s="564">
        <f t="shared" si="16"/>
        <v>0</v>
      </c>
      <c r="AD70" s="564">
        <f t="shared" si="17"/>
        <v>0</v>
      </c>
      <c r="AF70" s="564">
        <f t="shared" si="18"/>
        <v>1502.415</v>
      </c>
      <c r="AG70" s="564">
        <f t="shared" si="19"/>
        <v>0</v>
      </c>
      <c r="AH70" s="564">
        <f t="shared" si="20"/>
        <v>0</v>
      </c>
    </row>
    <row r="71" spans="1:34">
      <c r="A71" s="21"/>
      <c r="B71" s="21" t="s">
        <v>110</v>
      </c>
      <c r="C71" s="666" t="s">
        <v>535</v>
      </c>
      <c r="D71" s="123" t="s">
        <v>392</v>
      </c>
      <c r="E71" s="449"/>
      <c r="F71" s="529">
        <f>VLOOKUP(D71,'Q2 DMV -  Revenue'!C:S,17,FALSE)</f>
        <v>6192.3450000000012</v>
      </c>
      <c r="G71" s="576">
        <v>77842.81</v>
      </c>
      <c r="H71" s="576">
        <v>81824.78</v>
      </c>
      <c r="I71" s="524"/>
      <c r="J71" s="379">
        <f t="shared" si="0"/>
        <v>165859.935</v>
      </c>
      <c r="K71" s="31"/>
      <c r="L71" s="84"/>
      <c r="M71" s="42">
        <f t="shared" si="40"/>
        <v>79833.794999999998</v>
      </c>
      <c r="N71" s="31">
        <v>0</v>
      </c>
      <c r="O71" s="429"/>
      <c r="P71" s="31">
        <v>0</v>
      </c>
      <c r="Q71" s="426">
        <f t="shared" si="1"/>
        <v>79833.794999999998</v>
      </c>
      <c r="R71" s="178">
        <v>74270.259999999995</v>
      </c>
      <c r="S71" s="295"/>
      <c r="T71" s="385">
        <f t="shared" si="11"/>
        <v>-5563.5350000000035</v>
      </c>
      <c r="U71" s="2"/>
      <c r="V71" s="474">
        <f t="shared" si="2"/>
        <v>79833.794999999998</v>
      </c>
      <c r="W71" s="474">
        <f t="shared" si="12"/>
        <v>0</v>
      </c>
      <c r="X71" s="475">
        <f t="shared" si="13"/>
        <v>0</v>
      </c>
      <c r="Y71" s="475">
        <v>0</v>
      </c>
      <c r="Z71" s="476">
        <v>0</v>
      </c>
      <c r="AA71" s="38">
        <f t="shared" si="14"/>
        <v>0</v>
      </c>
      <c r="AB71" s="564">
        <f t="shared" si="15"/>
        <v>165859.935</v>
      </c>
      <c r="AC71" s="564">
        <f t="shared" si="16"/>
        <v>0</v>
      </c>
      <c r="AD71" s="564">
        <f t="shared" si="17"/>
        <v>0</v>
      </c>
      <c r="AF71" s="564">
        <f t="shared" si="18"/>
        <v>79833.794999999998</v>
      </c>
      <c r="AG71" s="564">
        <f t="shared" si="19"/>
        <v>0</v>
      </c>
      <c r="AH71" s="564">
        <f t="shared" si="20"/>
        <v>0</v>
      </c>
    </row>
    <row r="72" spans="1:34">
      <c r="A72" s="21"/>
      <c r="B72" s="21" t="s">
        <v>110</v>
      </c>
      <c r="C72" s="666" t="s">
        <v>535</v>
      </c>
      <c r="D72" s="123" t="s">
        <v>483</v>
      </c>
      <c r="E72" s="449"/>
      <c r="F72" s="529">
        <f>VLOOKUP(D72,'Q2 DMV -  Revenue'!C:S,17,FALSE)</f>
        <v>-118.82999999999993</v>
      </c>
      <c r="G72" s="576">
        <v>384.33</v>
      </c>
      <c r="H72" s="576">
        <v>232.37</v>
      </c>
      <c r="I72" s="524"/>
      <c r="J72" s="379">
        <f t="shared" si="0"/>
        <v>497.87000000000006</v>
      </c>
      <c r="K72" s="31"/>
      <c r="L72" s="84"/>
      <c r="M72" s="42">
        <f t="shared" si="40"/>
        <v>308.35000000000002</v>
      </c>
      <c r="N72" s="31"/>
      <c r="O72" s="429"/>
      <c r="P72" s="31"/>
      <c r="Q72" s="426">
        <f t="shared" si="1"/>
        <v>308.35000000000002</v>
      </c>
      <c r="R72" s="178">
        <v>0</v>
      </c>
      <c r="S72" s="295"/>
      <c r="T72" s="385">
        <f t="shared" si="11"/>
        <v>-308.35000000000002</v>
      </c>
      <c r="U72" s="2"/>
      <c r="V72" s="474">
        <f t="shared" si="2"/>
        <v>308.35000000000002</v>
      </c>
      <c r="W72" s="474">
        <f t="shared" si="12"/>
        <v>0</v>
      </c>
      <c r="X72" s="475">
        <f t="shared" si="13"/>
        <v>0</v>
      </c>
      <c r="Y72" s="475">
        <v>0</v>
      </c>
      <c r="Z72" s="476">
        <v>0</v>
      </c>
      <c r="AA72" s="38">
        <f t="shared" si="14"/>
        <v>0</v>
      </c>
      <c r="AB72" s="564">
        <f t="shared" si="15"/>
        <v>497.87000000000006</v>
      </c>
      <c r="AC72" s="564">
        <f t="shared" si="16"/>
        <v>0</v>
      </c>
      <c r="AD72" s="564">
        <f t="shared" si="17"/>
        <v>0</v>
      </c>
      <c r="AF72" s="564">
        <f t="shared" si="18"/>
        <v>308.35000000000002</v>
      </c>
      <c r="AG72" s="564">
        <f t="shared" si="19"/>
        <v>0</v>
      </c>
      <c r="AH72" s="564">
        <f t="shared" si="20"/>
        <v>0</v>
      </c>
    </row>
    <row r="73" spans="1:34">
      <c r="A73" s="21"/>
      <c r="B73" s="21"/>
      <c r="C73" s="666"/>
      <c r="D73" s="373" t="s">
        <v>587</v>
      </c>
      <c r="E73" s="449"/>
      <c r="F73" s="529">
        <v>0</v>
      </c>
      <c r="G73" s="590">
        <v>0</v>
      </c>
      <c r="H73" s="590">
        <v>0</v>
      </c>
      <c r="I73" s="524"/>
      <c r="J73" s="379">
        <v>0</v>
      </c>
      <c r="K73" s="31"/>
      <c r="L73" s="84"/>
      <c r="M73" s="42"/>
      <c r="N73" s="31"/>
      <c r="O73" s="429"/>
      <c r="P73" s="31"/>
      <c r="Q73" s="426"/>
      <c r="R73" s="178">
        <f>35.09+126.91</f>
        <v>162</v>
      </c>
      <c r="S73" s="295"/>
      <c r="T73" s="385">
        <f t="shared" si="11"/>
        <v>162</v>
      </c>
      <c r="U73" s="2"/>
      <c r="V73" s="474"/>
      <c r="W73" s="474"/>
      <c r="X73" s="475"/>
      <c r="Y73" s="475"/>
      <c r="Z73" s="476"/>
      <c r="AA73" s="38"/>
      <c r="AB73" s="564"/>
      <c r="AC73" s="564"/>
      <c r="AD73" s="564"/>
      <c r="AF73" s="564"/>
      <c r="AG73" s="564"/>
      <c r="AH73" s="564"/>
    </row>
    <row r="74" spans="1:34">
      <c r="A74" s="20"/>
      <c r="B74" s="20" t="s">
        <v>110</v>
      </c>
      <c r="C74" s="667" t="s">
        <v>536</v>
      </c>
      <c r="D74" s="68" t="s">
        <v>450</v>
      </c>
      <c r="E74" s="449"/>
      <c r="F74" s="529">
        <f>VLOOKUP(D74,'Q2 DMV -  Revenue'!C:S,17,FALSE)</f>
        <v>-670.73</v>
      </c>
      <c r="G74" s="576">
        <v>1076.8800000000001</v>
      </c>
      <c r="H74" s="579"/>
      <c r="I74" s="524"/>
      <c r="J74" s="379">
        <f t="shared" si="0"/>
        <v>406.15000000000009</v>
      </c>
      <c r="K74" s="31"/>
      <c r="L74" s="84"/>
      <c r="M74" s="42">
        <f>G74*2</f>
        <v>2153.7600000000002</v>
      </c>
      <c r="N74" s="31">
        <v>0</v>
      </c>
      <c r="O74" s="429">
        <v>1902.09</v>
      </c>
      <c r="P74" s="31">
        <v>0</v>
      </c>
      <c r="Q74" s="426">
        <f t="shared" si="1"/>
        <v>2153.7600000000002</v>
      </c>
      <c r="R74" s="178">
        <v>2171.06</v>
      </c>
      <c r="S74" s="295"/>
      <c r="T74" s="385">
        <f t="shared" si="11"/>
        <v>17.299999999999727</v>
      </c>
      <c r="U74" s="31"/>
      <c r="V74" s="474">
        <f t="shared" si="2"/>
        <v>2153.7600000000002</v>
      </c>
      <c r="W74" s="474">
        <f t="shared" si="12"/>
        <v>0</v>
      </c>
      <c r="X74" s="475">
        <f t="shared" si="13"/>
        <v>0</v>
      </c>
      <c r="Y74" s="475">
        <v>0</v>
      </c>
      <c r="Z74" s="476">
        <v>0</v>
      </c>
      <c r="AA74" s="38">
        <f t="shared" si="14"/>
        <v>0</v>
      </c>
      <c r="AB74" s="564">
        <f t="shared" si="15"/>
        <v>406.15000000000009</v>
      </c>
      <c r="AC74" s="564">
        <f t="shared" si="16"/>
        <v>0</v>
      </c>
      <c r="AD74" s="564">
        <f t="shared" si="17"/>
        <v>0</v>
      </c>
      <c r="AF74" s="564">
        <f t="shared" si="18"/>
        <v>2153.7600000000002</v>
      </c>
      <c r="AG74" s="564">
        <f t="shared" si="19"/>
        <v>0</v>
      </c>
      <c r="AH74" s="564">
        <f t="shared" si="20"/>
        <v>0</v>
      </c>
    </row>
    <row r="75" spans="1:34">
      <c r="A75" s="21" t="s">
        <v>109</v>
      </c>
      <c r="B75" s="21" t="s">
        <v>110</v>
      </c>
      <c r="C75" s="666"/>
      <c r="D75" s="68" t="s">
        <v>438</v>
      </c>
      <c r="E75" s="449"/>
      <c r="F75" s="529">
        <f>VLOOKUP(D75,'Q2 DMV -  Revenue'!C:S,17,FALSE)</f>
        <v>0</v>
      </c>
      <c r="G75" s="579"/>
      <c r="H75" s="579"/>
      <c r="I75" s="524"/>
      <c r="J75" s="379">
        <f t="shared" si="0"/>
        <v>0</v>
      </c>
      <c r="K75" s="31"/>
      <c r="L75" s="84"/>
      <c r="M75" s="42">
        <v>0</v>
      </c>
      <c r="N75" s="31">
        <v>0</v>
      </c>
      <c r="O75" s="429"/>
      <c r="P75" s="31">
        <v>0</v>
      </c>
      <c r="Q75" s="426">
        <f t="shared" si="1"/>
        <v>0</v>
      </c>
      <c r="R75" s="178">
        <v>0</v>
      </c>
      <c r="S75" s="295"/>
      <c r="T75" s="385">
        <f t="shared" si="11"/>
        <v>0</v>
      </c>
      <c r="U75" s="2"/>
      <c r="V75" s="474">
        <f t="shared" si="2"/>
        <v>0</v>
      </c>
      <c r="W75" s="474">
        <f t="shared" si="12"/>
        <v>0</v>
      </c>
      <c r="X75" s="475">
        <f t="shared" si="13"/>
        <v>0</v>
      </c>
      <c r="Y75" s="475">
        <v>0</v>
      </c>
      <c r="Z75" s="476">
        <v>0</v>
      </c>
      <c r="AA75" s="38">
        <f t="shared" si="14"/>
        <v>0</v>
      </c>
      <c r="AB75" s="564">
        <f t="shared" si="15"/>
        <v>0</v>
      </c>
      <c r="AC75" s="564">
        <f t="shared" si="16"/>
        <v>0</v>
      </c>
      <c r="AD75" s="564">
        <f t="shared" si="17"/>
        <v>0</v>
      </c>
      <c r="AF75" s="564">
        <f t="shared" si="18"/>
        <v>0</v>
      </c>
      <c r="AG75" s="564">
        <f t="shared" si="19"/>
        <v>0</v>
      </c>
      <c r="AH75" s="564">
        <f t="shared" si="20"/>
        <v>0</v>
      </c>
    </row>
    <row r="76" spans="1:34">
      <c r="A76" s="21"/>
      <c r="B76" s="21" t="s">
        <v>110</v>
      </c>
      <c r="C76" s="666"/>
      <c r="D76" s="68" t="s">
        <v>11</v>
      </c>
      <c r="E76" s="449"/>
      <c r="F76" s="529">
        <f>VLOOKUP(D76,'Q2 DMV -  Revenue'!C:S,17,FALSE)</f>
        <v>0</v>
      </c>
      <c r="G76" s="579"/>
      <c r="H76" s="579"/>
      <c r="I76" s="524"/>
      <c r="J76" s="379">
        <f t="shared" si="0"/>
        <v>0</v>
      </c>
      <c r="K76" s="31"/>
      <c r="L76" s="84"/>
      <c r="M76" s="42">
        <v>0</v>
      </c>
      <c r="N76" s="31">
        <v>0</v>
      </c>
      <c r="O76" s="429"/>
      <c r="P76" s="31">
        <v>0</v>
      </c>
      <c r="Q76" s="426">
        <f t="shared" si="1"/>
        <v>0</v>
      </c>
      <c r="R76" s="178">
        <v>0</v>
      </c>
      <c r="S76" s="295"/>
      <c r="T76" s="385">
        <f t="shared" si="11"/>
        <v>0</v>
      </c>
      <c r="U76" s="2"/>
      <c r="V76" s="474">
        <f t="shared" si="2"/>
        <v>0</v>
      </c>
      <c r="W76" s="474">
        <f t="shared" si="12"/>
        <v>0</v>
      </c>
      <c r="X76" s="475">
        <f t="shared" si="13"/>
        <v>0</v>
      </c>
      <c r="Y76" s="475">
        <v>0</v>
      </c>
      <c r="Z76" s="476">
        <v>0</v>
      </c>
      <c r="AA76" s="38">
        <f t="shared" si="14"/>
        <v>0</v>
      </c>
      <c r="AB76" s="564">
        <f t="shared" si="15"/>
        <v>0</v>
      </c>
      <c r="AC76" s="564">
        <f t="shared" si="16"/>
        <v>0</v>
      </c>
      <c r="AD76" s="564">
        <f t="shared" si="17"/>
        <v>0</v>
      </c>
      <c r="AF76" s="564">
        <f t="shared" si="18"/>
        <v>0</v>
      </c>
      <c r="AG76" s="564">
        <f t="shared" si="19"/>
        <v>0</v>
      </c>
      <c r="AH76" s="564">
        <f t="shared" si="20"/>
        <v>0</v>
      </c>
    </row>
    <row r="77" spans="1:34">
      <c r="A77" s="21"/>
      <c r="B77" s="21" t="s">
        <v>110</v>
      </c>
      <c r="C77" s="666" t="s">
        <v>537</v>
      </c>
      <c r="D77" s="68" t="s">
        <v>12</v>
      </c>
      <c r="E77" s="449"/>
      <c r="F77" s="529">
        <f>VLOOKUP(D77,'Q2 DMV -  Revenue'!C:S,17,FALSE)</f>
        <v>-57.899999999999977</v>
      </c>
      <c r="G77" s="576">
        <v>731.24</v>
      </c>
      <c r="H77" s="576">
        <v>666.92</v>
      </c>
      <c r="I77" s="524"/>
      <c r="J77" s="379">
        <f t="shared" si="0"/>
        <v>1340.26</v>
      </c>
      <c r="K77" s="31"/>
      <c r="L77" s="84"/>
      <c r="M77" s="42">
        <f>SUM(G77+H77)/2</f>
        <v>699.07999999999993</v>
      </c>
      <c r="N77" s="31">
        <v>0</v>
      </c>
      <c r="O77" s="429">
        <v>2118.13</v>
      </c>
      <c r="P77" s="31">
        <v>0</v>
      </c>
      <c r="Q77" s="426">
        <f t="shared" si="1"/>
        <v>699.07999999999993</v>
      </c>
      <c r="R77" s="178">
        <v>655.74</v>
      </c>
      <c r="S77" s="295"/>
      <c r="T77" s="385">
        <f t="shared" si="11"/>
        <v>-43.339999999999918</v>
      </c>
      <c r="U77" s="31"/>
      <c r="V77" s="474">
        <f t="shared" si="2"/>
        <v>699.07999999999993</v>
      </c>
      <c r="W77" s="474">
        <f t="shared" si="12"/>
        <v>0</v>
      </c>
      <c r="X77" s="475">
        <f t="shared" si="13"/>
        <v>0</v>
      </c>
      <c r="Y77" s="475">
        <v>0</v>
      </c>
      <c r="Z77" s="476">
        <v>0</v>
      </c>
      <c r="AA77" s="38">
        <f t="shared" si="14"/>
        <v>0</v>
      </c>
      <c r="AB77" s="564">
        <f t="shared" si="15"/>
        <v>1340.26</v>
      </c>
      <c r="AC77" s="564">
        <f t="shared" si="16"/>
        <v>0</v>
      </c>
      <c r="AD77" s="564">
        <f t="shared" si="17"/>
        <v>0</v>
      </c>
      <c r="AF77" s="564">
        <f t="shared" si="18"/>
        <v>699.07999999999993</v>
      </c>
      <c r="AG77" s="564">
        <f t="shared" si="19"/>
        <v>0</v>
      </c>
      <c r="AH77" s="564">
        <f t="shared" si="20"/>
        <v>0</v>
      </c>
    </row>
    <row r="78" spans="1:34" s="232" customFormat="1">
      <c r="A78" s="283" t="s">
        <v>211</v>
      </c>
      <c r="B78" s="283" t="s">
        <v>110</v>
      </c>
      <c r="C78" s="667" t="s">
        <v>538</v>
      </c>
      <c r="D78" s="123" t="s">
        <v>170</v>
      </c>
      <c r="E78" s="449"/>
      <c r="F78" s="529">
        <f>VLOOKUP(D78,'Q2 DMV -  Revenue'!C:S,17,FALSE)</f>
        <v>-118004.58000000002</v>
      </c>
      <c r="G78" s="579"/>
      <c r="H78" s="579"/>
      <c r="I78" s="524"/>
      <c r="J78" s="379">
        <f t="shared" si="0"/>
        <v>-118004.58000000002</v>
      </c>
      <c r="K78" s="31"/>
      <c r="L78" s="84"/>
      <c r="M78" s="196">
        <v>500000</v>
      </c>
      <c r="N78" s="31">
        <v>0</v>
      </c>
      <c r="O78" s="429">
        <v>503425</v>
      </c>
      <c r="P78" s="31">
        <v>0</v>
      </c>
      <c r="Q78" s="426">
        <f t="shared" si="1"/>
        <v>500000</v>
      </c>
      <c r="R78" s="178">
        <v>315051.93</v>
      </c>
      <c r="S78" s="295"/>
      <c r="T78" s="385">
        <f t="shared" si="11"/>
        <v>-184948.07</v>
      </c>
      <c r="U78" s="31"/>
      <c r="V78" s="474">
        <f t="shared" si="2"/>
        <v>500000</v>
      </c>
      <c r="W78" s="474">
        <f t="shared" si="12"/>
        <v>0</v>
      </c>
      <c r="X78" s="475">
        <f t="shared" si="13"/>
        <v>0</v>
      </c>
      <c r="Y78" s="475">
        <v>0</v>
      </c>
      <c r="Z78" s="476">
        <v>0</v>
      </c>
      <c r="AA78" s="38">
        <f t="shared" si="14"/>
        <v>0</v>
      </c>
      <c r="AB78" s="564">
        <f t="shared" si="15"/>
        <v>-118004.58000000002</v>
      </c>
      <c r="AC78" s="564">
        <f t="shared" si="16"/>
        <v>0</v>
      </c>
      <c r="AD78" s="564">
        <f t="shared" si="17"/>
        <v>0</v>
      </c>
      <c r="AE78" s="559"/>
      <c r="AF78" s="564">
        <f t="shared" si="18"/>
        <v>500000</v>
      </c>
      <c r="AG78" s="564">
        <f t="shared" si="19"/>
        <v>0</v>
      </c>
      <c r="AH78" s="564">
        <f t="shared" si="20"/>
        <v>0</v>
      </c>
    </row>
    <row r="79" spans="1:34" s="232" customFormat="1">
      <c r="A79" s="283" t="s">
        <v>211</v>
      </c>
      <c r="B79" s="283" t="s">
        <v>110</v>
      </c>
      <c r="C79" s="667" t="s">
        <v>538</v>
      </c>
      <c r="D79" s="123" t="s">
        <v>171</v>
      </c>
      <c r="E79" s="449"/>
      <c r="F79" s="529">
        <f>VLOOKUP(D79,'Q2 DMV -  Revenue'!C:S,17,FALSE)</f>
        <v>2155.83</v>
      </c>
      <c r="G79" s="579"/>
      <c r="H79" s="579"/>
      <c r="I79" s="524"/>
      <c r="J79" s="379">
        <f t="shared" si="0"/>
        <v>2155.83</v>
      </c>
      <c r="K79" s="31"/>
      <c r="L79" s="84"/>
      <c r="M79" s="42"/>
      <c r="N79" s="31">
        <v>0</v>
      </c>
      <c r="O79" s="429"/>
      <c r="P79" s="31">
        <v>0</v>
      </c>
      <c r="Q79" s="426">
        <f t="shared" si="1"/>
        <v>0</v>
      </c>
      <c r="R79" s="178">
        <v>1326.98</v>
      </c>
      <c r="S79" s="295"/>
      <c r="T79" s="385">
        <f t="shared" si="11"/>
        <v>1326.98</v>
      </c>
      <c r="U79" s="31"/>
      <c r="V79" s="474">
        <f t="shared" si="2"/>
        <v>0</v>
      </c>
      <c r="W79" s="474">
        <f t="shared" si="12"/>
        <v>0</v>
      </c>
      <c r="X79" s="475">
        <f t="shared" si="13"/>
        <v>0</v>
      </c>
      <c r="Y79" s="475">
        <v>0</v>
      </c>
      <c r="Z79" s="476">
        <v>0</v>
      </c>
      <c r="AA79" s="38">
        <f t="shared" si="14"/>
        <v>0</v>
      </c>
      <c r="AB79" s="564">
        <f t="shared" si="15"/>
        <v>2155.83</v>
      </c>
      <c r="AC79" s="564">
        <f t="shared" si="16"/>
        <v>0</v>
      </c>
      <c r="AD79" s="564">
        <f t="shared" si="17"/>
        <v>0</v>
      </c>
      <c r="AE79" s="559"/>
      <c r="AF79" s="564">
        <f t="shared" si="18"/>
        <v>0</v>
      </c>
      <c r="AG79" s="564">
        <f t="shared" si="19"/>
        <v>0</v>
      </c>
      <c r="AH79" s="564">
        <f t="shared" si="20"/>
        <v>0</v>
      </c>
    </row>
    <row r="80" spans="1:34" s="232" customFormat="1">
      <c r="A80" s="283" t="s">
        <v>211</v>
      </c>
      <c r="B80" s="283" t="s">
        <v>110</v>
      </c>
      <c r="C80" s="667" t="s">
        <v>538</v>
      </c>
      <c r="D80" s="123" t="s">
        <v>13</v>
      </c>
      <c r="E80" s="449"/>
      <c r="F80" s="529">
        <f>VLOOKUP(D80,'Q2 DMV -  Revenue'!C:S,17,FALSE)</f>
        <v>104843.91</v>
      </c>
      <c r="G80" s="579"/>
      <c r="H80" s="579"/>
      <c r="I80" s="524"/>
      <c r="J80" s="379">
        <f t="shared" si="0"/>
        <v>104843.91</v>
      </c>
      <c r="K80" s="31"/>
      <c r="L80" s="84"/>
      <c r="M80" s="42"/>
      <c r="N80" s="31">
        <v>0</v>
      </c>
      <c r="O80" s="429"/>
      <c r="P80" s="31">
        <v>0</v>
      </c>
      <c r="Q80" s="426">
        <f t="shared" si="1"/>
        <v>0</v>
      </c>
      <c r="R80" s="178">
        <v>91453.33</v>
      </c>
      <c r="S80" s="295"/>
      <c r="T80" s="385">
        <f t="shared" si="11"/>
        <v>91453.33</v>
      </c>
      <c r="U80" s="31"/>
      <c r="V80" s="474">
        <f t="shared" si="2"/>
        <v>0</v>
      </c>
      <c r="W80" s="474">
        <f t="shared" si="12"/>
        <v>0</v>
      </c>
      <c r="X80" s="475">
        <f t="shared" si="13"/>
        <v>0</v>
      </c>
      <c r="Y80" s="475">
        <v>0</v>
      </c>
      <c r="Z80" s="476">
        <v>0</v>
      </c>
      <c r="AA80" s="38">
        <f t="shared" si="14"/>
        <v>0</v>
      </c>
      <c r="AB80" s="564">
        <f t="shared" si="15"/>
        <v>104843.91</v>
      </c>
      <c r="AC80" s="564">
        <f t="shared" si="16"/>
        <v>0</v>
      </c>
      <c r="AD80" s="564">
        <f t="shared" si="17"/>
        <v>0</v>
      </c>
      <c r="AE80" s="559"/>
      <c r="AF80" s="564">
        <f t="shared" si="18"/>
        <v>0</v>
      </c>
      <c r="AG80" s="564">
        <f t="shared" si="19"/>
        <v>0</v>
      </c>
      <c r="AH80" s="564">
        <f t="shared" si="20"/>
        <v>0</v>
      </c>
    </row>
    <row r="81" spans="1:34" s="232" customFormat="1">
      <c r="A81" s="283" t="s">
        <v>211</v>
      </c>
      <c r="B81" s="283" t="s">
        <v>110</v>
      </c>
      <c r="C81" s="667" t="s">
        <v>538</v>
      </c>
      <c r="D81" s="123" t="s">
        <v>172</v>
      </c>
      <c r="E81" s="449"/>
      <c r="F81" s="529">
        <f>VLOOKUP(D81,'Q2 DMV -  Revenue'!C:S,17,FALSE)</f>
        <v>28.71</v>
      </c>
      <c r="G81" s="579"/>
      <c r="H81" s="579"/>
      <c r="I81" s="524"/>
      <c r="J81" s="379">
        <f t="shared" si="0"/>
        <v>28.71</v>
      </c>
      <c r="K81" s="31"/>
      <c r="L81" s="84"/>
      <c r="M81" s="42"/>
      <c r="N81" s="31">
        <v>0</v>
      </c>
      <c r="O81" s="429"/>
      <c r="P81" s="31">
        <v>0</v>
      </c>
      <c r="Q81" s="426">
        <f t="shared" si="1"/>
        <v>0</v>
      </c>
      <c r="R81" s="178">
        <v>6.64</v>
      </c>
      <c r="S81" s="295"/>
      <c r="T81" s="385">
        <f t="shared" si="11"/>
        <v>6.64</v>
      </c>
      <c r="U81" s="31"/>
      <c r="V81" s="474">
        <f t="shared" si="2"/>
        <v>0</v>
      </c>
      <c r="W81" s="474">
        <f t="shared" si="12"/>
        <v>0</v>
      </c>
      <c r="X81" s="475">
        <f t="shared" si="13"/>
        <v>0</v>
      </c>
      <c r="Y81" s="475">
        <v>0</v>
      </c>
      <c r="Z81" s="476">
        <v>0</v>
      </c>
      <c r="AA81" s="38">
        <f t="shared" si="14"/>
        <v>0</v>
      </c>
      <c r="AB81" s="564">
        <f t="shared" si="15"/>
        <v>28.71</v>
      </c>
      <c r="AC81" s="564">
        <f t="shared" si="16"/>
        <v>0</v>
      </c>
      <c r="AD81" s="564">
        <f t="shared" si="17"/>
        <v>0</v>
      </c>
      <c r="AE81" s="559"/>
      <c r="AF81" s="564">
        <f t="shared" si="18"/>
        <v>0</v>
      </c>
      <c r="AG81" s="564">
        <f t="shared" si="19"/>
        <v>0</v>
      </c>
      <c r="AH81" s="564">
        <f t="shared" si="20"/>
        <v>0</v>
      </c>
    </row>
    <row r="82" spans="1:34" s="232" customFormat="1">
      <c r="A82" s="283" t="s">
        <v>211</v>
      </c>
      <c r="B82" s="283" t="s">
        <v>110</v>
      </c>
      <c r="C82" s="667" t="s">
        <v>538</v>
      </c>
      <c r="D82" s="123" t="s">
        <v>173</v>
      </c>
      <c r="E82" s="449"/>
      <c r="F82" s="529">
        <f>VLOOKUP(D82,'Q2 DMV -  Revenue'!C:S,17,FALSE)</f>
        <v>34380.68</v>
      </c>
      <c r="G82" s="579"/>
      <c r="H82" s="579"/>
      <c r="I82" s="524"/>
      <c r="J82" s="379">
        <f t="shared" si="0"/>
        <v>34380.68</v>
      </c>
      <c r="K82" s="31"/>
      <c r="L82" s="84"/>
      <c r="M82" s="42"/>
      <c r="N82" s="31">
        <v>0</v>
      </c>
      <c r="O82" s="429"/>
      <c r="P82" s="31">
        <v>0</v>
      </c>
      <c r="Q82" s="426">
        <f t="shared" si="1"/>
        <v>0</v>
      </c>
      <c r="R82" s="178">
        <v>32821.910000000003</v>
      </c>
      <c r="S82" s="295"/>
      <c r="T82" s="385">
        <f t="shared" si="11"/>
        <v>32821.910000000003</v>
      </c>
      <c r="U82" s="31"/>
      <c r="V82" s="474">
        <f t="shared" si="2"/>
        <v>0</v>
      </c>
      <c r="W82" s="474">
        <f t="shared" si="12"/>
        <v>0</v>
      </c>
      <c r="X82" s="475">
        <f t="shared" si="13"/>
        <v>0</v>
      </c>
      <c r="Y82" s="475">
        <v>0</v>
      </c>
      <c r="Z82" s="476">
        <v>0</v>
      </c>
      <c r="AA82" s="38">
        <f t="shared" si="14"/>
        <v>0</v>
      </c>
      <c r="AB82" s="564">
        <f t="shared" si="15"/>
        <v>34380.68</v>
      </c>
      <c r="AC82" s="564">
        <f t="shared" si="16"/>
        <v>0</v>
      </c>
      <c r="AD82" s="564">
        <f t="shared" si="17"/>
        <v>0</v>
      </c>
      <c r="AE82" s="559"/>
      <c r="AF82" s="564">
        <f t="shared" si="18"/>
        <v>0</v>
      </c>
      <c r="AG82" s="564">
        <f t="shared" si="19"/>
        <v>0</v>
      </c>
      <c r="AH82" s="564">
        <f t="shared" si="20"/>
        <v>0</v>
      </c>
    </row>
    <row r="83" spans="1:34" s="232" customFormat="1">
      <c r="A83" s="283" t="s">
        <v>211</v>
      </c>
      <c r="B83" s="283" t="s">
        <v>110</v>
      </c>
      <c r="C83" s="667" t="s">
        <v>538</v>
      </c>
      <c r="D83" s="123" t="s">
        <v>174</v>
      </c>
      <c r="E83" s="449"/>
      <c r="F83" s="529">
        <f>VLOOKUP(D83,'Q2 DMV -  Revenue'!C:S,17,FALSE)</f>
        <v>20.45</v>
      </c>
      <c r="G83" s="579"/>
      <c r="H83" s="579"/>
      <c r="I83" s="524"/>
      <c r="J83" s="379">
        <f t="shared" si="0"/>
        <v>20.45</v>
      </c>
      <c r="K83" s="31"/>
      <c r="L83" s="84"/>
      <c r="M83" s="42"/>
      <c r="N83" s="31">
        <v>0</v>
      </c>
      <c r="O83" s="429"/>
      <c r="P83" s="31">
        <v>0</v>
      </c>
      <c r="Q83" s="426">
        <f t="shared" si="1"/>
        <v>0</v>
      </c>
      <c r="R83" s="178">
        <v>26.92</v>
      </c>
      <c r="S83" s="295"/>
      <c r="T83" s="385">
        <f t="shared" si="11"/>
        <v>26.92</v>
      </c>
      <c r="U83" s="31"/>
      <c r="V83" s="474">
        <f t="shared" si="2"/>
        <v>0</v>
      </c>
      <c r="W83" s="474">
        <f t="shared" si="12"/>
        <v>0</v>
      </c>
      <c r="X83" s="475">
        <f t="shared" si="13"/>
        <v>0</v>
      </c>
      <c r="Y83" s="475">
        <v>0</v>
      </c>
      <c r="Z83" s="476">
        <v>0</v>
      </c>
      <c r="AA83" s="38">
        <f t="shared" si="14"/>
        <v>0</v>
      </c>
      <c r="AB83" s="564">
        <f t="shared" si="15"/>
        <v>20.45</v>
      </c>
      <c r="AC83" s="564">
        <f t="shared" si="16"/>
        <v>0</v>
      </c>
      <c r="AD83" s="564">
        <f t="shared" si="17"/>
        <v>0</v>
      </c>
      <c r="AE83" s="559"/>
      <c r="AF83" s="564">
        <f t="shared" si="18"/>
        <v>0</v>
      </c>
      <c r="AG83" s="564">
        <f t="shared" si="19"/>
        <v>0</v>
      </c>
      <c r="AH83" s="564">
        <f t="shared" si="20"/>
        <v>0</v>
      </c>
    </row>
    <row r="84" spans="1:34">
      <c r="A84" s="21"/>
      <c r="B84" s="21" t="s">
        <v>109</v>
      </c>
      <c r="C84" s="666"/>
      <c r="D84" s="68" t="s">
        <v>94</v>
      </c>
      <c r="E84" s="449"/>
      <c r="F84" s="529">
        <f>VLOOKUP(D84,'Q2 DMV -  Revenue'!C:S,17,FALSE)</f>
        <v>0</v>
      </c>
      <c r="G84" s="579"/>
      <c r="H84" s="579"/>
      <c r="I84" s="524"/>
      <c r="J84" s="379">
        <f t="shared" si="0"/>
        <v>0</v>
      </c>
      <c r="K84" s="31"/>
      <c r="L84" s="84"/>
      <c r="M84" s="42">
        <v>0</v>
      </c>
      <c r="N84" s="31">
        <v>0</v>
      </c>
      <c r="O84" s="429"/>
      <c r="P84" s="31">
        <v>0</v>
      </c>
      <c r="Q84" s="426">
        <f t="shared" si="1"/>
        <v>0</v>
      </c>
      <c r="R84" s="178">
        <v>0</v>
      </c>
      <c r="S84" s="295"/>
      <c r="T84" s="385">
        <f t="shared" si="11"/>
        <v>0</v>
      </c>
      <c r="U84" s="2"/>
      <c r="V84" s="474">
        <f t="shared" si="2"/>
        <v>0</v>
      </c>
      <c r="W84" s="474">
        <f t="shared" si="12"/>
        <v>0</v>
      </c>
      <c r="X84" s="475">
        <f t="shared" si="13"/>
        <v>0</v>
      </c>
      <c r="Y84" s="475">
        <v>0</v>
      </c>
      <c r="Z84" s="476">
        <v>0</v>
      </c>
      <c r="AA84" s="38">
        <f t="shared" si="14"/>
        <v>0</v>
      </c>
      <c r="AB84" s="564">
        <f t="shared" si="15"/>
        <v>0</v>
      </c>
      <c r="AC84" s="564">
        <f t="shared" si="16"/>
        <v>0</v>
      </c>
      <c r="AD84" s="564">
        <f t="shared" si="17"/>
        <v>0</v>
      </c>
      <c r="AF84" s="564">
        <f t="shared" si="18"/>
        <v>0</v>
      </c>
      <c r="AG84" s="564">
        <f t="shared" si="19"/>
        <v>0</v>
      </c>
      <c r="AH84" s="564">
        <f t="shared" si="20"/>
        <v>0</v>
      </c>
    </row>
    <row r="85" spans="1:34">
      <c r="A85" s="21" t="s">
        <v>109</v>
      </c>
      <c r="B85" s="21" t="s">
        <v>110</v>
      </c>
      <c r="C85" s="666"/>
      <c r="D85" s="68" t="s">
        <v>319</v>
      </c>
      <c r="E85" s="449"/>
      <c r="F85" s="529">
        <f>VLOOKUP(D85,'Q2 DMV -  Revenue'!C:S,17,FALSE)</f>
        <v>0</v>
      </c>
      <c r="G85" s="579"/>
      <c r="H85" s="579"/>
      <c r="I85" s="524"/>
      <c r="J85" s="379">
        <f t="shared" si="0"/>
        <v>0</v>
      </c>
      <c r="K85" s="31"/>
      <c r="L85" s="84"/>
      <c r="M85" s="42">
        <v>0</v>
      </c>
      <c r="N85" s="31">
        <v>0</v>
      </c>
      <c r="O85" s="429"/>
      <c r="P85" s="31">
        <v>0</v>
      </c>
      <c r="Q85" s="426">
        <f t="shared" si="1"/>
        <v>0</v>
      </c>
      <c r="R85" s="178">
        <v>0</v>
      </c>
      <c r="S85" s="295"/>
      <c r="T85" s="385">
        <f t="shared" si="11"/>
        <v>0</v>
      </c>
      <c r="U85" s="2"/>
      <c r="V85" s="474">
        <f t="shared" si="2"/>
        <v>0</v>
      </c>
      <c r="W85" s="474">
        <f t="shared" si="12"/>
        <v>0</v>
      </c>
      <c r="X85" s="475">
        <f t="shared" si="13"/>
        <v>0</v>
      </c>
      <c r="Y85" s="475">
        <v>0</v>
      </c>
      <c r="Z85" s="476">
        <v>0</v>
      </c>
      <c r="AA85" s="38">
        <f t="shared" si="14"/>
        <v>0</v>
      </c>
      <c r="AB85" s="564">
        <f t="shared" si="15"/>
        <v>0</v>
      </c>
      <c r="AC85" s="564">
        <f t="shared" si="16"/>
        <v>0</v>
      </c>
      <c r="AD85" s="564">
        <f t="shared" si="17"/>
        <v>0</v>
      </c>
      <c r="AF85" s="564">
        <f t="shared" si="18"/>
        <v>0</v>
      </c>
      <c r="AG85" s="564">
        <f t="shared" si="19"/>
        <v>0</v>
      </c>
      <c r="AH85" s="564">
        <f t="shared" si="20"/>
        <v>0</v>
      </c>
    </row>
    <row r="86" spans="1:34">
      <c r="A86" s="20" t="s">
        <v>211</v>
      </c>
      <c r="B86" s="20" t="s">
        <v>109</v>
      </c>
      <c r="C86" s="667"/>
      <c r="D86" s="68" t="s">
        <v>14</v>
      </c>
      <c r="E86" s="449">
        <v>294.27999999999997</v>
      </c>
      <c r="F86" s="529">
        <f>VLOOKUP(D86,'Q2 DMV -  Revenue'!C:S,17,FALSE)</f>
        <v>0</v>
      </c>
      <c r="G86" s="579"/>
      <c r="H86" s="579"/>
      <c r="I86" s="524"/>
      <c r="J86" s="379">
        <f t="shared" ref="J86:J157" si="41">SUM(E86:I86)</f>
        <v>294.27999999999997</v>
      </c>
      <c r="K86" s="31"/>
      <c r="L86" s="84"/>
      <c r="M86" s="42">
        <v>0</v>
      </c>
      <c r="N86" s="31">
        <v>0</v>
      </c>
      <c r="O86" s="429">
        <v>294.27999999999997</v>
      </c>
      <c r="P86" s="31">
        <v>0</v>
      </c>
      <c r="Q86" s="426">
        <f t="shared" si="1"/>
        <v>0</v>
      </c>
      <c r="R86" s="178">
        <v>0</v>
      </c>
      <c r="S86" s="295"/>
      <c r="T86" s="385">
        <f t="shared" si="11"/>
        <v>0</v>
      </c>
      <c r="U86" s="31"/>
      <c r="V86" s="474">
        <f t="shared" ref="V86:V150" si="42">IF(B86="D",Q86,0)</f>
        <v>0</v>
      </c>
      <c r="W86" s="474">
        <f t="shared" ref="W86:W150" si="43">IF(B86="M",Q86,0)</f>
        <v>0</v>
      </c>
      <c r="X86" s="475">
        <f t="shared" ref="X86:X150" si="44">IF(B86="V",Q86,0)</f>
        <v>0</v>
      </c>
      <c r="Y86" s="475">
        <v>0</v>
      </c>
      <c r="Z86" s="476">
        <v>0</v>
      </c>
      <c r="AA86" s="38">
        <f t="shared" ref="AA86:AA150" si="45">(L86+M86)-(V86+W86+X86+Y86+Z86)</f>
        <v>0</v>
      </c>
      <c r="AB86" s="564">
        <f t="shared" ref="AB86:AB150" si="46">IF(B86="D",J86,0)</f>
        <v>0</v>
      </c>
      <c r="AC86" s="564">
        <f t="shared" ref="AC86:AC150" si="47">IF(B86="M",J86,0)</f>
        <v>294.27999999999997</v>
      </c>
      <c r="AD86" s="564">
        <f t="shared" ref="AD86:AD150" si="48">IF(B86="V",J86,0)</f>
        <v>0</v>
      </c>
      <c r="AF86" s="564">
        <f t="shared" ref="AF86:AF150" si="49">IF(B86="D",Q86,0)</f>
        <v>0</v>
      </c>
      <c r="AG86" s="564">
        <f t="shared" ref="AG86:AG150" si="50">IF(B86="M",Q86,0)</f>
        <v>0</v>
      </c>
      <c r="AH86" s="564">
        <f t="shared" ref="AH86:AH150" si="51">IF(B86="V",Q86,0)</f>
        <v>0</v>
      </c>
    </row>
    <row r="87" spans="1:34">
      <c r="A87" s="20"/>
      <c r="B87" s="20" t="s">
        <v>110</v>
      </c>
      <c r="C87" s="667"/>
      <c r="D87" s="68" t="s">
        <v>15</v>
      </c>
      <c r="E87" s="449"/>
      <c r="F87" s="529">
        <f>VLOOKUP(D87,'Q2 DMV -  Revenue'!C:S,17,FALSE)</f>
        <v>0</v>
      </c>
      <c r="G87" s="576">
        <v>10602.5</v>
      </c>
      <c r="H87" s="576">
        <v>9481.15</v>
      </c>
      <c r="I87" s="525">
        <v>9536.61</v>
      </c>
      <c r="J87" s="379">
        <f t="shared" si="41"/>
        <v>29620.260000000002</v>
      </c>
      <c r="K87" s="31"/>
      <c r="L87" s="84"/>
      <c r="M87" s="42">
        <v>0</v>
      </c>
      <c r="N87" s="31">
        <v>0</v>
      </c>
      <c r="O87" s="429">
        <f>20083.64+9536.61</f>
        <v>29620.25</v>
      </c>
      <c r="P87" s="31">
        <v>0</v>
      </c>
      <c r="Q87" s="426">
        <f t="shared" si="1"/>
        <v>0</v>
      </c>
      <c r="R87" s="178">
        <v>0</v>
      </c>
      <c r="S87" s="295"/>
      <c r="T87" s="385">
        <f t="shared" ref="T87:T158" si="52">IF(R87="","",R87-Q87)</f>
        <v>0</v>
      </c>
      <c r="U87" s="31"/>
      <c r="V87" s="474">
        <f t="shared" si="42"/>
        <v>0</v>
      </c>
      <c r="W87" s="474">
        <f t="shared" si="43"/>
        <v>0</v>
      </c>
      <c r="X87" s="475">
        <f t="shared" si="44"/>
        <v>0</v>
      </c>
      <c r="Y87" s="475">
        <v>0</v>
      </c>
      <c r="Z87" s="476">
        <v>0</v>
      </c>
      <c r="AA87" s="38">
        <f t="shared" si="45"/>
        <v>0</v>
      </c>
      <c r="AB87" s="564">
        <f t="shared" si="46"/>
        <v>29620.260000000002</v>
      </c>
      <c r="AC87" s="564">
        <f t="shared" si="47"/>
        <v>0</v>
      </c>
      <c r="AD87" s="564">
        <f t="shared" si="48"/>
        <v>0</v>
      </c>
      <c r="AF87" s="564">
        <f t="shared" si="49"/>
        <v>0</v>
      </c>
      <c r="AG87" s="564">
        <f t="shared" si="50"/>
        <v>0</v>
      </c>
      <c r="AH87" s="564">
        <f t="shared" si="51"/>
        <v>0</v>
      </c>
    </row>
    <row r="88" spans="1:34">
      <c r="A88" s="20" t="s">
        <v>109</v>
      </c>
      <c r="B88" s="20" t="s">
        <v>109</v>
      </c>
      <c r="C88" s="667" t="s">
        <v>539</v>
      </c>
      <c r="D88" s="68" t="s">
        <v>510</v>
      </c>
      <c r="E88" s="449"/>
      <c r="F88" s="529">
        <f>VLOOKUP(D88,'Q2 DMV -  Revenue'!C:S,17,FALSE)</f>
        <v>500.76</v>
      </c>
      <c r="G88" s="576">
        <v>306.07</v>
      </c>
      <c r="H88" s="576">
        <v>185.01</v>
      </c>
      <c r="I88" s="524"/>
      <c r="J88" s="379">
        <f t="shared" ref="J88" si="53">SUM(E88:I88)</f>
        <v>991.83999999999992</v>
      </c>
      <c r="K88" s="31"/>
      <c r="L88" s="84"/>
      <c r="M88" s="42">
        <f>SUM(G88+H88)/2</f>
        <v>245.54</v>
      </c>
      <c r="N88" s="31">
        <v>0</v>
      </c>
      <c r="O88" s="429">
        <v>991.83</v>
      </c>
      <c r="P88" s="31">
        <v>0</v>
      </c>
      <c r="Q88" s="426">
        <f t="shared" ref="Q88" si="54">L88+M88</f>
        <v>245.54</v>
      </c>
      <c r="R88" s="178">
        <v>0</v>
      </c>
      <c r="S88" s="295"/>
      <c r="T88" s="385">
        <f t="shared" si="52"/>
        <v>-245.54</v>
      </c>
      <c r="U88" s="31"/>
      <c r="V88" s="474">
        <f t="shared" si="42"/>
        <v>0</v>
      </c>
      <c r="W88" s="474">
        <f t="shared" si="43"/>
        <v>245.54</v>
      </c>
      <c r="X88" s="475">
        <f t="shared" si="44"/>
        <v>0</v>
      </c>
      <c r="Y88" s="475">
        <v>0</v>
      </c>
      <c r="Z88" s="476">
        <v>0</v>
      </c>
      <c r="AA88" s="38">
        <f t="shared" si="45"/>
        <v>0</v>
      </c>
      <c r="AB88" s="564">
        <f t="shared" si="46"/>
        <v>0</v>
      </c>
      <c r="AC88" s="564">
        <f t="shared" si="47"/>
        <v>991.83999999999992</v>
      </c>
      <c r="AD88" s="564">
        <f t="shared" si="48"/>
        <v>0</v>
      </c>
      <c r="AF88" s="564">
        <f t="shared" si="49"/>
        <v>0</v>
      </c>
      <c r="AG88" s="564">
        <f t="shared" si="50"/>
        <v>245.54</v>
      </c>
      <c r="AH88" s="564">
        <f t="shared" si="51"/>
        <v>0</v>
      </c>
    </row>
    <row r="89" spans="1:34">
      <c r="A89" s="20"/>
      <c r="B89" s="20" t="s">
        <v>109</v>
      </c>
      <c r="C89" s="667"/>
      <c r="D89" s="68" t="s">
        <v>16</v>
      </c>
      <c r="E89" s="449"/>
      <c r="F89" s="529">
        <f>VLOOKUP(D89,'Q2 DMV -  Revenue'!C:S,17,FALSE)</f>
        <v>0</v>
      </c>
      <c r="G89" s="579"/>
      <c r="H89" s="579"/>
      <c r="I89" s="524"/>
      <c r="J89" s="379">
        <f t="shared" si="41"/>
        <v>0</v>
      </c>
      <c r="K89" s="31"/>
      <c r="L89" s="84"/>
      <c r="M89" s="42">
        <v>0</v>
      </c>
      <c r="N89" s="31">
        <v>0</v>
      </c>
      <c r="O89" s="429"/>
      <c r="P89" s="31">
        <v>0</v>
      </c>
      <c r="Q89" s="426">
        <f t="shared" si="1"/>
        <v>0</v>
      </c>
      <c r="R89" s="178">
        <v>0</v>
      </c>
      <c r="S89" s="295"/>
      <c r="T89" s="385">
        <f t="shared" si="52"/>
        <v>0</v>
      </c>
      <c r="U89" s="31"/>
      <c r="V89" s="474">
        <f t="shared" si="42"/>
        <v>0</v>
      </c>
      <c r="W89" s="474">
        <f t="shared" si="43"/>
        <v>0</v>
      </c>
      <c r="X89" s="475">
        <f t="shared" si="44"/>
        <v>0</v>
      </c>
      <c r="Y89" s="475">
        <v>0</v>
      </c>
      <c r="Z89" s="476">
        <v>0</v>
      </c>
      <c r="AA89" s="38">
        <f t="shared" si="45"/>
        <v>0</v>
      </c>
      <c r="AB89" s="564">
        <f t="shared" si="46"/>
        <v>0</v>
      </c>
      <c r="AC89" s="564">
        <f t="shared" si="47"/>
        <v>0</v>
      </c>
      <c r="AD89" s="564">
        <f t="shared" si="48"/>
        <v>0</v>
      </c>
      <c r="AF89" s="564">
        <f t="shared" si="49"/>
        <v>0</v>
      </c>
      <c r="AG89" s="564">
        <f t="shared" si="50"/>
        <v>0</v>
      </c>
      <c r="AH89" s="564">
        <f t="shared" si="51"/>
        <v>0</v>
      </c>
    </row>
    <row r="90" spans="1:34">
      <c r="A90" s="20"/>
      <c r="B90" s="20" t="s">
        <v>109</v>
      </c>
      <c r="C90" s="667"/>
      <c r="D90" s="68" t="s">
        <v>208</v>
      </c>
      <c r="E90" s="449"/>
      <c r="F90" s="529">
        <f>VLOOKUP(D90,'Q2 DMV -  Revenue'!C:S,17,FALSE)</f>
        <v>0</v>
      </c>
      <c r="G90" s="579"/>
      <c r="H90" s="579"/>
      <c r="I90" s="524"/>
      <c r="J90" s="379">
        <f t="shared" si="41"/>
        <v>0</v>
      </c>
      <c r="K90" s="31"/>
      <c r="L90" s="84"/>
      <c r="M90" s="42">
        <v>0</v>
      </c>
      <c r="N90" s="31">
        <v>0</v>
      </c>
      <c r="O90" s="429"/>
      <c r="P90" s="31">
        <v>0</v>
      </c>
      <c r="Q90" s="426">
        <f t="shared" si="1"/>
        <v>0</v>
      </c>
      <c r="R90" s="178">
        <v>0</v>
      </c>
      <c r="S90" s="295"/>
      <c r="T90" s="385">
        <f t="shared" si="52"/>
        <v>0</v>
      </c>
      <c r="U90" s="31"/>
      <c r="V90" s="474">
        <f t="shared" si="42"/>
        <v>0</v>
      </c>
      <c r="W90" s="474">
        <f t="shared" si="43"/>
        <v>0</v>
      </c>
      <c r="X90" s="475">
        <f t="shared" si="44"/>
        <v>0</v>
      </c>
      <c r="Y90" s="475">
        <v>0</v>
      </c>
      <c r="Z90" s="476">
        <v>0</v>
      </c>
      <c r="AA90" s="38">
        <f t="shared" si="45"/>
        <v>0</v>
      </c>
      <c r="AB90" s="564">
        <f t="shared" si="46"/>
        <v>0</v>
      </c>
      <c r="AC90" s="564">
        <f t="shared" si="47"/>
        <v>0</v>
      </c>
      <c r="AD90" s="564">
        <f t="shared" si="48"/>
        <v>0</v>
      </c>
      <c r="AF90" s="564">
        <f t="shared" si="49"/>
        <v>0</v>
      </c>
      <c r="AG90" s="564">
        <f t="shared" si="50"/>
        <v>0</v>
      </c>
      <c r="AH90" s="564">
        <f t="shared" si="51"/>
        <v>0</v>
      </c>
    </row>
    <row r="91" spans="1:34">
      <c r="A91" s="20"/>
      <c r="B91" s="20" t="s">
        <v>110</v>
      </c>
      <c r="C91" s="667"/>
      <c r="D91" s="68" t="s">
        <v>597</v>
      </c>
      <c r="E91" s="449"/>
      <c r="F91" s="529">
        <v>0</v>
      </c>
      <c r="G91" s="579"/>
      <c r="H91" s="579"/>
      <c r="I91" s="524"/>
      <c r="J91" s="379">
        <f t="shared" si="41"/>
        <v>0</v>
      </c>
      <c r="K91" s="31"/>
      <c r="L91" s="84"/>
      <c r="M91" s="42">
        <v>0</v>
      </c>
      <c r="N91" s="31">
        <v>0</v>
      </c>
      <c r="O91" s="429"/>
      <c r="P91" s="31">
        <v>0</v>
      </c>
      <c r="Q91" s="426">
        <f t="shared" si="1"/>
        <v>0</v>
      </c>
      <c r="R91" s="178">
        <v>0</v>
      </c>
      <c r="S91" s="295"/>
      <c r="T91" s="385">
        <f t="shared" si="52"/>
        <v>0</v>
      </c>
      <c r="U91" s="31"/>
      <c r="V91" s="474">
        <f t="shared" si="42"/>
        <v>0</v>
      </c>
      <c r="W91" s="474">
        <f t="shared" si="43"/>
        <v>0</v>
      </c>
      <c r="X91" s="475">
        <f t="shared" si="44"/>
        <v>0</v>
      </c>
      <c r="Y91" s="475">
        <v>0</v>
      </c>
      <c r="Z91" s="476">
        <v>0</v>
      </c>
      <c r="AA91" s="38">
        <f t="shared" si="45"/>
        <v>0</v>
      </c>
      <c r="AB91" s="564">
        <f t="shared" si="46"/>
        <v>0</v>
      </c>
      <c r="AC91" s="564">
        <f t="shared" si="47"/>
        <v>0</v>
      </c>
      <c r="AD91" s="564">
        <f t="shared" si="48"/>
        <v>0</v>
      </c>
      <c r="AF91" s="564">
        <f t="shared" si="49"/>
        <v>0</v>
      </c>
      <c r="AG91" s="564">
        <f t="shared" si="50"/>
        <v>0</v>
      </c>
      <c r="AH91" s="564">
        <f t="shared" si="51"/>
        <v>0</v>
      </c>
    </row>
    <row r="92" spans="1:34" s="232" customFormat="1">
      <c r="A92" s="283"/>
      <c r="B92" s="283" t="s">
        <v>109</v>
      </c>
      <c r="C92" s="667" t="s">
        <v>540</v>
      </c>
      <c r="D92" s="373" t="s">
        <v>410</v>
      </c>
      <c r="E92" s="449"/>
      <c r="F92" s="529">
        <f>VLOOKUP(D92,'Q2 DMV -  Revenue'!C:S,17,FALSE)</f>
        <v>-1892.1499999999996</v>
      </c>
      <c r="G92" s="576">
        <v>9310.6</v>
      </c>
      <c r="H92" s="576">
        <v>8034.8</v>
      </c>
      <c r="I92" s="524"/>
      <c r="J92" s="379">
        <f t="shared" si="41"/>
        <v>15453.25</v>
      </c>
      <c r="K92" s="31"/>
      <c r="L92" s="84"/>
      <c r="M92" s="42">
        <f>SUM(G92+H92)/2</f>
        <v>8672.7000000000007</v>
      </c>
      <c r="N92" s="31">
        <v>0</v>
      </c>
      <c r="O92" s="429">
        <f>30550.77+1256.11</f>
        <v>31806.880000000001</v>
      </c>
      <c r="P92" s="31">
        <v>0</v>
      </c>
      <c r="Q92" s="426">
        <f t="shared" si="1"/>
        <v>8672.7000000000007</v>
      </c>
      <c r="R92" s="178">
        <v>7035.8</v>
      </c>
      <c r="S92" s="295"/>
      <c r="T92" s="385">
        <f t="shared" si="52"/>
        <v>-1636.9000000000005</v>
      </c>
      <c r="U92" s="31"/>
      <c r="V92" s="474">
        <f t="shared" si="42"/>
        <v>0</v>
      </c>
      <c r="W92" s="474">
        <f t="shared" si="43"/>
        <v>8672.7000000000007</v>
      </c>
      <c r="X92" s="475">
        <f t="shared" si="44"/>
        <v>0</v>
      </c>
      <c r="Y92" s="475">
        <v>0</v>
      </c>
      <c r="Z92" s="476">
        <v>0</v>
      </c>
      <c r="AA92" s="38">
        <f t="shared" si="45"/>
        <v>0</v>
      </c>
      <c r="AB92" s="564">
        <f t="shared" si="46"/>
        <v>0</v>
      </c>
      <c r="AC92" s="564">
        <f t="shared" si="47"/>
        <v>15453.25</v>
      </c>
      <c r="AD92" s="564">
        <f t="shared" si="48"/>
        <v>0</v>
      </c>
      <c r="AE92" s="559"/>
      <c r="AF92" s="564">
        <f t="shared" si="49"/>
        <v>0</v>
      </c>
      <c r="AG92" s="564">
        <f t="shared" si="50"/>
        <v>8672.7000000000007</v>
      </c>
      <c r="AH92" s="564">
        <f t="shared" si="51"/>
        <v>0</v>
      </c>
    </row>
    <row r="93" spans="1:34" s="232" customFormat="1">
      <c r="A93" s="283"/>
      <c r="B93" s="283" t="s">
        <v>109</v>
      </c>
      <c r="C93" s="667" t="s">
        <v>540</v>
      </c>
      <c r="D93" s="373" t="s">
        <v>413</v>
      </c>
      <c r="E93" s="449"/>
      <c r="F93" s="529">
        <f>VLOOKUP(D93,'Q2 DMV -  Revenue'!C:S,17,FALSE)</f>
        <v>-155.05499999999984</v>
      </c>
      <c r="G93" s="576">
        <v>1265.17</v>
      </c>
      <c r="H93" s="576">
        <v>1256.1099999999999</v>
      </c>
      <c r="I93" s="524"/>
      <c r="J93" s="379">
        <f t="shared" si="41"/>
        <v>2366.2250000000004</v>
      </c>
      <c r="K93" s="31"/>
      <c r="L93" s="84"/>
      <c r="M93" s="42">
        <f>SUM(G93+H93)/2</f>
        <v>1260.6399999999999</v>
      </c>
      <c r="N93" s="31">
        <v>0</v>
      </c>
      <c r="O93" s="429"/>
      <c r="P93" s="31">
        <v>0</v>
      </c>
      <c r="Q93" s="426">
        <f t="shared" si="1"/>
        <v>1260.6399999999999</v>
      </c>
      <c r="R93" s="178">
        <v>1066.8800000000001</v>
      </c>
      <c r="S93" s="295"/>
      <c r="T93" s="385">
        <f t="shared" si="52"/>
        <v>-193.75999999999976</v>
      </c>
      <c r="U93" s="31"/>
      <c r="V93" s="474">
        <f t="shared" si="42"/>
        <v>0</v>
      </c>
      <c r="W93" s="474">
        <f t="shared" si="43"/>
        <v>1260.6399999999999</v>
      </c>
      <c r="X93" s="475">
        <f t="shared" si="44"/>
        <v>0</v>
      </c>
      <c r="Y93" s="475">
        <v>0</v>
      </c>
      <c r="Z93" s="476">
        <v>0</v>
      </c>
      <c r="AA93" s="38">
        <f t="shared" si="45"/>
        <v>0</v>
      </c>
      <c r="AB93" s="564">
        <f t="shared" si="46"/>
        <v>0</v>
      </c>
      <c r="AC93" s="564">
        <f t="shared" si="47"/>
        <v>2366.2250000000004</v>
      </c>
      <c r="AD93" s="564">
        <f t="shared" si="48"/>
        <v>0</v>
      </c>
      <c r="AE93" s="559"/>
      <c r="AF93" s="564">
        <f t="shared" si="49"/>
        <v>0</v>
      </c>
      <c r="AG93" s="564">
        <f t="shared" si="50"/>
        <v>1260.6399999999999</v>
      </c>
      <c r="AH93" s="564">
        <f t="shared" si="51"/>
        <v>0</v>
      </c>
    </row>
    <row r="94" spans="1:34">
      <c r="A94" s="20"/>
      <c r="B94" s="20" t="s">
        <v>110</v>
      </c>
      <c r="C94" s="667" t="s">
        <v>541</v>
      </c>
      <c r="D94" s="351" t="s">
        <v>507</v>
      </c>
      <c r="E94" s="449"/>
      <c r="F94" s="529">
        <f>VLOOKUP(D94,'Q2 DMV -  Revenue'!C:S,17,FALSE)</f>
        <v>1165.97</v>
      </c>
      <c r="G94" s="576">
        <v>578.73</v>
      </c>
      <c r="H94" s="576">
        <v>654.17999999999995</v>
      </c>
      <c r="I94" s="524"/>
      <c r="J94" s="379">
        <f t="shared" ref="J94" si="55">SUM(E94:I94)</f>
        <v>2398.88</v>
      </c>
      <c r="K94" s="31"/>
      <c r="L94" s="84"/>
      <c r="M94" s="42">
        <f>SUM(G94+H94)/2</f>
        <v>616.45499999999993</v>
      </c>
      <c r="N94" s="31">
        <v>0</v>
      </c>
      <c r="O94" s="429">
        <v>5932.37</v>
      </c>
      <c r="P94" s="31">
        <v>0</v>
      </c>
      <c r="Q94" s="426">
        <f t="shared" ref="Q94" si="56">L94+M94</f>
        <v>616.45499999999993</v>
      </c>
      <c r="R94" s="178">
        <v>220.88</v>
      </c>
      <c r="S94" s="295"/>
      <c r="T94" s="385">
        <f t="shared" ref="T94" si="57">IF(R94="","",R94-Q94)</f>
        <v>-395.57499999999993</v>
      </c>
      <c r="U94" s="31"/>
      <c r="V94" s="474">
        <f t="shared" si="42"/>
        <v>616.45499999999993</v>
      </c>
      <c r="W94" s="474">
        <f t="shared" si="43"/>
        <v>0</v>
      </c>
      <c r="X94" s="475">
        <f t="shared" si="44"/>
        <v>0</v>
      </c>
      <c r="Y94" s="475">
        <v>0</v>
      </c>
      <c r="Z94" s="476">
        <v>0</v>
      </c>
      <c r="AA94" s="38">
        <f t="shared" si="45"/>
        <v>0</v>
      </c>
      <c r="AB94" s="564">
        <f t="shared" si="46"/>
        <v>2398.88</v>
      </c>
      <c r="AC94" s="564">
        <f t="shared" si="47"/>
        <v>0</v>
      </c>
      <c r="AD94" s="564">
        <f t="shared" si="48"/>
        <v>0</v>
      </c>
      <c r="AF94" s="564">
        <f t="shared" si="49"/>
        <v>616.45499999999993</v>
      </c>
      <c r="AG94" s="564">
        <f t="shared" si="50"/>
        <v>0</v>
      </c>
      <c r="AH94" s="564">
        <f t="shared" si="51"/>
        <v>0</v>
      </c>
    </row>
    <row r="95" spans="1:34">
      <c r="A95" s="20"/>
      <c r="B95" s="20" t="s">
        <v>110</v>
      </c>
      <c r="C95" s="667" t="s">
        <v>541</v>
      </c>
      <c r="D95" s="351" t="s">
        <v>506</v>
      </c>
      <c r="E95" s="449"/>
      <c r="F95" s="529">
        <f>VLOOKUP(D95,'Q2 DMV -  Revenue'!C:S,17,FALSE)</f>
        <v>1371.7199999999998</v>
      </c>
      <c r="G95" s="576">
        <v>740.01</v>
      </c>
      <c r="H95" s="576">
        <v>1421.75</v>
      </c>
      <c r="I95" s="524"/>
      <c r="J95" s="379">
        <f t="shared" ref="J95" si="58">SUM(E95:I95)</f>
        <v>3533.4799999999996</v>
      </c>
      <c r="K95" s="31"/>
      <c r="L95" s="84"/>
      <c r="M95" s="42">
        <f>SUM(G95+H95)/2</f>
        <v>1080.8800000000001</v>
      </c>
      <c r="N95" s="31">
        <v>0</v>
      </c>
      <c r="O95" s="429"/>
      <c r="P95" s="31">
        <v>0</v>
      </c>
      <c r="Q95" s="426">
        <f t="shared" ref="Q95" si="59">L95+M95</f>
        <v>1080.8800000000001</v>
      </c>
      <c r="R95" s="178">
        <v>370.22</v>
      </c>
      <c r="S95" s="295"/>
      <c r="T95" s="385">
        <f t="shared" ref="T95" si="60">IF(R95="","",R95-Q95)</f>
        <v>-710.66000000000008</v>
      </c>
      <c r="U95" s="31"/>
      <c r="V95" s="474">
        <f t="shared" si="42"/>
        <v>1080.8800000000001</v>
      </c>
      <c r="W95" s="474">
        <f t="shared" si="43"/>
        <v>0</v>
      </c>
      <c r="X95" s="475">
        <f t="shared" si="44"/>
        <v>0</v>
      </c>
      <c r="Y95" s="475">
        <v>0</v>
      </c>
      <c r="Z95" s="476">
        <v>0</v>
      </c>
      <c r="AA95" s="38">
        <f t="shared" si="45"/>
        <v>0</v>
      </c>
      <c r="AB95" s="564">
        <f t="shared" si="46"/>
        <v>3533.4799999999996</v>
      </c>
      <c r="AC95" s="564">
        <f t="shared" si="47"/>
        <v>0</v>
      </c>
      <c r="AD95" s="564">
        <f t="shared" si="48"/>
        <v>0</v>
      </c>
      <c r="AF95" s="564">
        <f t="shared" si="49"/>
        <v>1080.8800000000001</v>
      </c>
      <c r="AG95" s="564">
        <f t="shared" si="50"/>
        <v>0</v>
      </c>
      <c r="AH95" s="564">
        <f t="shared" si="51"/>
        <v>0</v>
      </c>
    </row>
    <row r="96" spans="1:34">
      <c r="A96" s="20"/>
      <c r="B96" s="20" t="s">
        <v>110</v>
      </c>
      <c r="C96" s="667"/>
      <c r="D96" s="351" t="s">
        <v>409</v>
      </c>
      <c r="E96" s="449"/>
      <c r="F96" s="529">
        <f>VLOOKUP(D96,'Q2 DMV -  Revenue'!C:S,17,FALSE)</f>
        <v>0</v>
      </c>
      <c r="G96" s="579"/>
      <c r="H96" s="579"/>
      <c r="I96" s="524"/>
      <c r="J96" s="379">
        <f t="shared" si="41"/>
        <v>0</v>
      </c>
      <c r="K96" s="31"/>
      <c r="L96" s="84"/>
      <c r="M96" s="42">
        <v>0</v>
      </c>
      <c r="N96" s="31">
        <v>0</v>
      </c>
      <c r="O96" s="429"/>
      <c r="P96" s="31">
        <v>0</v>
      </c>
      <c r="Q96" s="426">
        <f t="shared" si="1"/>
        <v>0</v>
      </c>
      <c r="R96" s="178"/>
      <c r="S96" s="295"/>
      <c r="T96" s="385" t="str">
        <f t="shared" si="52"/>
        <v/>
      </c>
      <c r="U96" s="31"/>
      <c r="V96" s="474">
        <f t="shared" si="42"/>
        <v>0</v>
      </c>
      <c r="W96" s="474">
        <f t="shared" si="43"/>
        <v>0</v>
      </c>
      <c r="X96" s="475">
        <f t="shared" si="44"/>
        <v>0</v>
      </c>
      <c r="Y96" s="475">
        <v>0</v>
      </c>
      <c r="Z96" s="476">
        <v>0</v>
      </c>
      <c r="AA96" s="38">
        <f t="shared" si="45"/>
        <v>0</v>
      </c>
      <c r="AB96" s="564">
        <f t="shared" si="46"/>
        <v>0</v>
      </c>
      <c r="AC96" s="564">
        <f t="shared" si="47"/>
        <v>0</v>
      </c>
      <c r="AD96" s="564">
        <f t="shared" si="48"/>
        <v>0</v>
      </c>
      <c r="AF96" s="564">
        <f t="shared" si="49"/>
        <v>0</v>
      </c>
      <c r="AG96" s="564">
        <f t="shared" si="50"/>
        <v>0</v>
      </c>
      <c r="AH96" s="564">
        <f t="shared" si="51"/>
        <v>0</v>
      </c>
    </row>
    <row r="97" spans="1:34">
      <c r="A97" s="20"/>
      <c r="B97" s="20" t="s">
        <v>110</v>
      </c>
      <c r="C97" s="667" t="s">
        <v>542</v>
      </c>
      <c r="D97" s="68" t="s">
        <v>305</v>
      </c>
      <c r="E97" s="449"/>
      <c r="F97" s="529">
        <f>VLOOKUP(D97,'Q2 DMV -  Revenue'!C:S,17,FALSE)</f>
        <v>631.21</v>
      </c>
      <c r="G97" s="576">
        <v>332.29</v>
      </c>
      <c r="H97" s="579"/>
      <c r="I97" s="524"/>
      <c r="J97" s="379">
        <f t="shared" si="41"/>
        <v>963.5</v>
      </c>
      <c r="K97" s="31"/>
      <c r="L97" s="84"/>
      <c r="M97" s="42">
        <f>G97*2</f>
        <v>664.58</v>
      </c>
      <c r="N97" s="31">
        <v>0</v>
      </c>
      <c r="O97" s="429">
        <v>1298.92</v>
      </c>
      <c r="P97" s="31">
        <v>0</v>
      </c>
      <c r="Q97" s="426">
        <f t="shared" si="1"/>
        <v>664.58</v>
      </c>
      <c r="R97" s="178">
        <v>303.07</v>
      </c>
      <c r="S97" s="295"/>
      <c r="T97" s="385">
        <f t="shared" si="52"/>
        <v>-361.51000000000005</v>
      </c>
      <c r="U97" s="31"/>
      <c r="V97" s="474">
        <f t="shared" si="42"/>
        <v>664.58</v>
      </c>
      <c r="W97" s="474">
        <f t="shared" si="43"/>
        <v>0</v>
      </c>
      <c r="X97" s="475">
        <f t="shared" si="44"/>
        <v>0</v>
      </c>
      <c r="Y97" s="475">
        <v>0</v>
      </c>
      <c r="Z97" s="476">
        <v>0</v>
      </c>
      <c r="AA97" s="38">
        <f t="shared" si="45"/>
        <v>0</v>
      </c>
      <c r="AB97" s="564">
        <f t="shared" si="46"/>
        <v>963.5</v>
      </c>
      <c r="AC97" s="564">
        <f t="shared" si="47"/>
        <v>0</v>
      </c>
      <c r="AD97" s="564">
        <f t="shared" si="48"/>
        <v>0</v>
      </c>
      <c r="AF97" s="564">
        <f t="shared" si="49"/>
        <v>664.58</v>
      </c>
      <c r="AG97" s="564">
        <f t="shared" si="50"/>
        <v>0</v>
      </c>
      <c r="AH97" s="564">
        <f t="shared" si="51"/>
        <v>0</v>
      </c>
    </row>
    <row r="98" spans="1:34">
      <c r="A98" s="20"/>
      <c r="B98" s="20" t="s">
        <v>110</v>
      </c>
      <c r="C98" s="667" t="s">
        <v>543</v>
      </c>
      <c r="D98" s="68" t="s">
        <v>199</v>
      </c>
      <c r="E98" s="449"/>
      <c r="F98" s="529">
        <f>VLOOKUP(D98,'Q2 DMV -  Revenue'!C:S,17,FALSE)</f>
        <v>0</v>
      </c>
      <c r="G98" s="576">
        <v>74.11</v>
      </c>
      <c r="H98" s="576">
        <v>11.27</v>
      </c>
      <c r="I98" s="524"/>
      <c r="J98" s="379">
        <f t="shared" si="41"/>
        <v>85.38</v>
      </c>
      <c r="K98" s="31"/>
      <c r="L98" s="84"/>
      <c r="M98" s="42">
        <f>SUM(G98+H98)/2</f>
        <v>42.69</v>
      </c>
      <c r="N98" s="31">
        <v>0</v>
      </c>
      <c r="O98" s="429">
        <v>602.55999999999995</v>
      </c>
      <c r="P98" s="31">
        <v>0</v>
      </c>
      <c r="Q98" s="426">
        <f t="shared" si="1"/>
        <v>42.69</v>
      </c>
      <c r="R98" s="178">
        <v>79.510000000000005</v>
      </c>
      <c r="S98" s="295"/>
      <c r="T98" s="385">
        <f t="shared" si="52"/>
        <v>36.820000000000007</v>
      </c>
      <c r="U98" s="31"/>
      <c r="V98" s="474">
        <f t="shared" si="42"/>
        <v>42.69</v>
      </c>
      <c r="W98" s="474">
        <f t="shared" si="43"/>
        <v>0</v>
      </c>
      <c r="X98" s="475">
        <f t="shared" si="44"/>
        <v>0</v>
      </c>
      <c r="Y98" s="475">
        <v>0</v>
      </c>
      <c r="Z98" s="476">
        <v>0</v>
      </c>
      <c r="AA98" s="38">
        <f t="shared" si="45"/>
        <v>0</v>
      </c>
      <c r="AB98" s="564">
        <f t="shared" si="46"/>
        <v>85.38</v>
      </c>
      <c r="AC98" s="564">
        <f t="shared" si="47"/>
        <v>0</v>
      </c>
      <c r="AD98" s="564">
        <f t="shared" si="48"/>
        <v>0</v>
      </c>
      <c r="AF98" s="564">
        <f t="shared" si="49"/>
        <v>42.69</v>
      </c>
      <c r="AG98" s="564">
        <f t="shared" si="50"/>
        <v>0</v>
      </c>
      <c r="AH98" s="564">
        <f t="shared" si="51"/>
        <v>0</v>
      </c>
    </row>
    <row r="99" spans="1:34">
      <c r="A99" s="20"/>
      <c r="B99" s="20" t="s">
        <v>110</v>
      </c>
      <c r="C99" s="667" t="s">
        <v>543</v>
      </c>
      <c r="D99" s="68" t="s">
        <v>200</v>
      </c>
      <c r="E99" s="449"/>
      <c r="F99" s="529">
        <f>VLOOKUP(D99,'Q2 DMV -  Revenue'!C:S,17,FALSE)</f>
        <v>0</v>
      </c>
      <c r="G99" s="576">
        <v>249.2</v>
      </c>
      <c r="H99" s="576">
        <v>263.2</v>
      </c>
      <c r="I99" s="524"/>
      <c r="J99" s="379">
        <f t="shared" si="41"/>
        <v>512.4</v>
      </c>
      <c r="K99" s="31"/>
      <c r="L99" s="84"/>
      <c r="M99" s="42">
        <f t="shared" ref="M99:M100" si="61">SUM(G99+H99)/2</f>
        <v>256.2</v>
      </c>
      <c r="N99" s="31">
        <v>0</v>
      </c>
      <c r="O99" s="429"/>
      <c r="P99" s="31">
        <v>0</v>
      </c>
      <c r="Q99" s="426">
        <f t="shared" si="1"/>
        <v>256.2</v>
      </c>
      <c r="R99" s="178">
        <v>202.3</v>
      </c>
      <c r="S99" s="295"/>
      <c r="T99" s="385">
        <f t="shared" si="52"/>
        <v>-53.899999999999977</v>
      </c>
      <c r="U99" s="31"/>
      <c r="V99" s="474">
        <f t="shared" si="42"/>
        <v>256.2</v>
      </c>
      <c r="W99" s="474">
        <f t="shared" si="43"/>
        <v>0</v>
      </c>
      <c r="X99" s="475">
        <f t="shared" si="44"/>
        <v>0</v>
      </c>
      <c r="Y99" s="475">
        <v>0</v>
      </c>
      <c r="Z99" s="476">
        <v>0</v>
      </c>
      <c r="AA99" s="38">
        <f t="shared" si="45"/>
        <v>0</v>
      </c>
      <c r="AB99" s="564">
        <f t="shared" si="46"/>
        <v>512.4</v>
      </c>
      <c r="AC99" s="564">
        <f t="shared" si="47"/>
        <v>0</v>
      </c>
      <c r="AD99" s="564">
        <f t="shared" si="48"/>
        <v>0</v>
      </c>
      <c r="AF99" s="564">
        <f t="shared" si="49"/>
        <v>256.2</v>
      </c>
      <c r="AG99" s="564">
        <f t="shared" si="50"/>
        <v>0</v>
      </c>
      <c r="AH99" s="564">
        <f t="shared" si="51"/>
        <v>0</v>
      </c>
    </row>
    <row r="100" spans="1:34">
      <c r="A100" s="20"/>
      <c r="B100" s="20" t="s">
        <v>110</v>
      </c>
      <c r="C100" s="667" t="s">
        <v>543</v>
      </c>
      <c r="D100" s="68" t="s">
        <v>201</v>
      </c>
      <c r="E100" s="449"/>
      <c r="F100" s="529">
        <f>VLOOKUP(D100,'Q2 DMV -  Revenue'!C:S,17,FALSE)</f>
        <v>0</v>
      </c>
      <c r="G100" s="576">
        <v>2.37</v>
      </c>
      <c r="H100" s="576">
        <v>2.41</v>
      </c>
      <c r="I100" s="524"/>
      <c r="J100" s="379">
        <f t="shared" si="41"/>
        <v>4.78</v>
      </c>
      <c r="K100" s="31"/>
      <c r="L100" s="84"/>
      <c r="M100" s="42">
        <f t="shared" si="61"/>
        <v>2.39</v>
      </c>
      <c r="N100" s="31">
        <v>0</v>
      </c>
      <c r="O100" s="429"/>
      <c r="P100" s="31">
        <v>0</v>
      </c>
      <c r="Q100" s="426">
        <f t="shared" si="1"/>
        <v>2.39</v>
      </c>
      <c r="R100" s="178">
        <v>3.1</v>
      </c>
      <c r="S100" s="295"/>
      <c r="T100" s="385">
        <f t="shared" si="52"/>
        <v>0.71</v>
      </c>
      <c r="U100" s="31"/>
      <c r="V100" s="474">
        <f t="shared" si="42"/>
        <v>2.39</v>
      </c>
      <c r="W100" s="474">
        <f t="shared" si="43"/>
        <v>0</v>
      </c>
      <c r="X100" s="475">
        <f t="shared" si="44"/>
        <v>0</v>
      </c>
      <c r="Y100" s="475">
        <v>0</v>
      </c>
      <c r="Z100" s="476">
        <v>0</v>
      </c>
      <c r="AA100" s="38">
        <f t="shared" si="45"/>
        <v>0</v>
      </c>
      <c r="AB100" s="564">
        <f t="shared" si="46"/>
        <v>4.78</v>
      </c>
      <c r="AC100" s="564">
        <f t="shared" si="47"/>
        <v>0</v>
      </c>
      <c r="AD100" s="564">
        <f t="shared" si="48"/>
        <v>0</v>
      </c>
      <c r="AF100" s="564">
        <f t="shared" si="49"/>
        <v>2.39</v>
      </c>
      <c r="AG100" s="564">
        <f t="shared" si="50"/>
        <v>0</v>
      </c>
      <c r="AH100" s="564">
        <f t="shared" si="51"/>
        <v>0</v>
      </c>
    </row>
    <row r="101" spans="1:34">
      <c r="A101" s="20"/>
      <c r="B101" s="20" t="s">
        <v>110</v>
      </c>
      <c r="C101" s="667"/>
      <c r="D101" s="68" t="s">
        <v>64</v>
      </c>
      <c r="E101" s="449"/>
      <c r="F101" s="529">
        <f>VLOOKUP(D101,'Q2 DMV -  Revenue'!C:S,17,FALSE)</f>
        <v>-2555.54</v>
      </c>
      <c r="G101" s="579"/>
      <c r="H101" s="579"/>
      <c r="I101" s="524"/>
      <c r="J101" s="379">
        <f t="shared" si="41"/>
        <v>-2555.54</v>
      </c>
      <c r="K101" s="31"/>
      <c r="L101" s="84"/>
      <c r="M101" s="196">
        <v>0</v>
      </c>
      <c r="N101" s="31">
        <v>0</v>
      </c>
      <c r="O101" s="429"/>
      <c r="P101" s="31">
        <v>0</v>
      </c>
      <c r="Q101" s="426">
        <f t="shared" si="1"/>
        <v>0</v>
      </c>
      <c r="R101" s="178">
        <v>0</v>
      </c>
      <c r="S101" s="295"/>
      <c r="T101" s="385">
        <f t="shared" si="52"/>
        <v>0</v>
      </c>
      <c r="U101" s="31"/>
      <c r="V101" s="474">
        <f t="shared" si="42"/>
        <v>0</v>
      </c>
      <c r="W101" s="474">
        <f t="shared" si="43"/>
        <v>0</v>
      </c>
      <c r="X101" s="475">
        <f t="shared" si="44"/>
        <v>0</v>
      </c>
      <c r="Y101" s="475">
        <v>0</v>
      </c>
      <c r="Z101" s="476">
        <v>0</v>
      </c>
      <c r="AA101" s="38">
        <f t="shared" si="45"/>
        <v>0</v>
      </c>
      <c r="AB101" s="564">
        <f t="shared" si="46"/>
        <v>-2555.54</v>
      </c>
      <c r="AC101" s="564">
        <f t="shared" si="47"/>
        <v>0</v>
      </c>
      <c r="AD101" s="564">
        <f t="shared" si="48"/>
        <v>0</v>
      </c>
      <c r="AF101" s="564">
        <f t="shared" si="49"/>
        <v>0</v>
      </c>
      <c r="AG101" s="564">
        <f t="shared" si="50"/>
        <v>0</v>
      </c>
      <c r="AH101" s="564">
        <f t="shared" si="51"/>
        <v>0</v>
      </c>
    </row>
    <row r="102" spans="1:34">
      <c r="A102" s="20" t="s">
        <v>211</v>
      </c>
      <c r="B102" s="20" t="s">
        <v>109</v>
      </c>
      <c r="C102" s="667"/>
      <c r="D102" s="68" t="s">
        <v>18</v>
      </c>
      <c r="E102" s="449"/>
      <c r="F102" s="529">
        <f>VLOOKUP(D102,'Q2 DMV -  Revenue'!C:S,17,FALSE)</f>
        <v>0</v>
      </c>
      <c r="G102" s="579"/>
      <c r="H102" s="579"/>
      <c r="I102" s="524"/>
      <c r="J102" s="379">
        <f t="shared" si="41"/>
        <v>0</v>
      </c>
      <c r="K102" s="31"/>
      <c r="L102" s="84"/>
      <c r="M102" s="42">
        <v>0</v>
      </c>
      <c r="N102" s="31">
        <v>0</v>
      </c>
      <c r="O102" s="429"/>
      <c r="P102" s="31">
        <v>0</v>
      </c>
      <c r="Q102" s="426">
        <f t="shared" si="1"/>
        <v>0</v>
      </c>
      <c r="R102" s="178">
        <v>0</v>
      </c>
      <c r="S102" s="295"/>
      <c r="T102" s="385">
        <f t="shared" si="52"/>
        <v>0</v>
      </c>
      <c r="U102" s="2"/>
      <c r="V102" s="474">
        <f t="shared" si="42"/>
        <v>0</v>
      </c>
      <c r="W102" s="474">
        <f t="shared" si="43"/>
        <v>0</v>
      </c>
      <c r="X102" s="475">
        <f t="shared" si="44"/>
        <v>0</v>
      </c>
      <c r="Y102" s="475">
        <v>0</v>
      </c>
      <c r="Z102" s="476">
        <v>0</v>
      </c>
      <c r="AA102" s="38">
        <f t="shared" si="45"/>
        <v>0</v>
      </c>
      <c r="AB102" s="564">
        <f t="shared" si="46"/>
        <v>0</v>
      </c>
      <c r="AC102" s="564">
        <f t="shared" si="47"/>
        <v>0</v>
      </c>
      <c r="AD102" s="564">
        <f t="shared" si="48"/>
        <v>0</v>
      </c>
      <c r="AF102" s="564">
        <f t="shared" si="49"/>
        <v>0</v>
      </c>
      <c r="AG102" s="564">
        <f t="shared" si="50"/>
        <v>0</v>
      </c>
      <c r="AH102" s="564">
        <f t="shared" si="51"/>
        <v>0</v>
      </c>
    </row>
    <row r="103" spans="1:34">
      <c r="A103" s="20" t="s">
        <v>97</v>
      </c>
      <c r="B103" s="20" t="s">
        <v>109</v>
      </c>
      <c r="C103" s="667"/>
      <c r="D103" s="68" t="s">
        <v>19</v>
      </c>
      <c r="E103" s="449"/>
      <c r="F103" s="529">
        <f>VLOOKUP(D103,'Q2 DMV -  Revenue'!C:S,17,FALSE)</f>
        <v>0</v>
      </c>
      <c r="G103" s="579"/>
      <c r="H103" s="579"/>
      <c r="I103" s="524"/>
      <c r="J103" s="379">
        <f t="shared" si="41"/>
        <v>0</v>
      </c>
      <c r="K103" s="31"/>
      <c r="L103" s="84"/>
      <c r="M103" s="42">
        <v>0</v>
      </c>
      <c r="N103" s="31">
        <v>0</v>
      </c>
      <c r="O103" s="429"/>
      <c r="P103" s="31">
        <v>0</v>
      </c>
      <c r="Q103" s="426">
        <f t="shared" si="1"/>
        <v>0</v>
      </c>
      <c r="R103" s="178">
        <v>0</v>
      </c>
      <c r="S103" s="295"/>
      <c r="T103" s="385">
        <f t="shared" si="52"/>
        <v>0</v>
      </c>
      <c r="U103" s="31"/>
      <c r="V103" s="474">
        <f t="shared" si="42"/>
        <v>0</v>
      </c>
      <c r="W103" s="474">
        <f t="shared" si="43"/>
        <v>0</v>
      </c>
      <c r="X103" s="475">
        <f t="shared" si="44"/>
        <v>0</v>
      </c>
      <c r="Y103" s="475">
        <v>0</v>
      </c>
      <c r="Z103" s="476">
        <v>0</v>
      </c>
      <c r="AA103" s="38">
        <f t="shared" si="45"/>
        <v>0</v>
      </c>
      <c r="AB103" s="564">
        <f t="shared" si="46"/>
        <v>0</v>
      </c>
      <c r="AC103" s="564">
        <f t="shared" si="47"/>
        <v>0</v>
      </c>
      <c r="AD103" s="564">
        <f t="shared" si="48"/>
        <v>0</v>
      </c>
      <c r="AF103" s="564">
        <f t="shared" si="49"/>
        <v>0</v>
      </c>
      <c r="AG103" s="564">
        <f t="shared" si="50"/>
        <v>0</v>
      </c>
      <c r="AH103" s="564">
        <f t="shared" si="51"/>
        <v>0</v>
      </c>
    </row>
    <row r="104" spans="1:34">
      <c r="A104" s="20" t="s">
        <v>97</v>
      </c>
      <c r="B104" s="20" t="s">
        <v>109</v>
      </c>
      <c r="C104" s="667"/>
      <c r="D104" s="68" t="s">
        <v>463</v>
      </c>
      <c r="E104" s="449"/>
      <c r="F104" s="529">
        <f>VLOOKUP(D104,'Q2 DMV -  Revenue'!C:S,17,FALSE)</f>
        <v>0</v>
      </c>
      <c r="G104" s="579"/>
      <c r="H104" s="579"/>
      <c r="I104" s="524"/>
      <c r="J104" s="379">
        <f t="shared" si="41"/>
        <v>0</v>
      </c>
      <c r="K104" s="31"/>
      <c r="L104" s="84"/>
      <c r="M104" s="42">
        <v>0</v>
      </c>
      <c r="N104" s="31">
        <v>0</v>
      </c>
      <c r="O104" s="429"/>
      <c r="P104" s="31">
        <v>0</v>
      </c>
      <c r="Q104" s="426">
        <f t="shared" si="1"/>
        <v>0</v>
      </c>
      <c r="R104" s="178">
        <v>0</v>
      </c>
      <c r="S104" s="295"/>
      <c r="T104" s="385">
        <f t="shared" si="52"/>
        <v>0</v>
      </c>
      <c r="U104" s="31"/>
      <c r="V104" s="474">
        <f t="shared" si="42"/>
        <v>0</v>
      </c>
      <c r="W104" s="474">
        <f t="shared" si="43"/>
        <v>0</v>
      </c>
      <c r="X104" s="475">
        <f t="shared" si="44"/>
        <v>0</v>
      </c>
      <c r="Y104" s="475">
        <v>0</v>
      </c>
      <c r="Z104" s="476">
        <v>0</v>
      </c>
      <c r="AA104" s="38">
        <f t="shared" si="45"/>
        <v>0</v>
      </c>
      <c r="AB104" s="564">
        <f t="shared" si="46"/>
        <v>0</v>
      </c>
      <c r="AC104" s="564">
        <f t="shared" si="47"/>
        <v>0</v>
      </c>
      <c r="AD104" s="564">
        <f t="shared" si="48"/>
        <v>0</v>
      </c>
      <c r="AF104" s="564">
        <f t="shared" si="49"/>
        <v>0</v>
      </c>
      <c r="AG104" s="564">
        <f t="shared" si="50"/>
        <v>0</v>
      </c>
      <c r="AH104" s="564">
        <f t="shared" si="51"/>
        <v>0</v>
      </c>
    </row>
    <row r="105" spans="1:34">
      <c r="A105" s="20" t="s">
        <v>97</v>
      </c>
      <c r="B105" s="20" t="s">
        <v>114</v>
      </c>
      <c r="C105" s="667"/>
      <c r="D105" s="68" t="s">
        <v>387</v>
      </c>
      <c r="E105" s="449"/>
      <c r="F105" s="529">
        <f>VLOOKUP(D105,'Q2 DMV -  Revenue'!C:S,17,FALSE)</f>
        <v>0</v>
      </c>
      <c r="G105" s="579"/>
      <c r="H105" s="579"/>
      <c r="I105" s="524"/>
      <c r="J105" s="379">
        <f t="shared" si="41"/>
        <v>0</v>
      </c>
      <c r="K105" s="31"/>
      <c r="L105" s="84"/>
      <c r="M105" s="42">
        <v>0</v>
      </c>
      <c r="N105" s="31">
        <v>0</v>
      </c>
      <c r="O105" s="429"/>
      <c r="P105" s="31">
        <v>0</v>
      </c>
      <c r="Q105" s="426">
        <f t="shared" si="1"/>
        <v>0</v>
      </c>
      <c r="R105" s="178">
        <v>20837.89</v>
      </c>
      <c r="S105" s="295"/>
      <c r="T105" s="385">
        <f t="shared" si="52"/>
        <v>20837.89</v>
      </c>
      <c r="U105" s="31"/>
      <c r="V105" s="474">
        <f t="shared" si="42"/>
        <v>0</v>
      </c>
      <c r="W105" s="474">
        <f t="shared" si="43"/>
        <v>0</v>
      </c>
      <c r="X105" s="475">
        <f t="shared" si="44"/>
        <v>0</v>
      </c>
      <c r="Y105" s="475">
        <v>0</v>
      </c>
      <c r="Z105" s="476">
        <v>0</v>
      </c>
      <c r="AA105" s="38">
        <f t="shared" si="45"/>
        <v>0</v>
      </c>
      <c r="AB105" s="564">
        <f t="shared" si="46"/>
        <v>0</v>
      </c>
      <c r="AC105" s="564">
        <f t="shared" si="47"/>
        <v>0</v>
      </c>
      <c r="AD105" s="564">
        <f t="shared" si="48"/>
        <v>0</v>
      </c>
      <c r="AF105" s="564">
        <f t="shared" si="49"/>
        <v>0</v>
      </c>
      <c r="AG105" s="564">
        <f t="shared" si="50"/>
        <v>0</v>
      </c>
      <c r="AH105" s="564">
        <f t="shared" si="51"/>
        <v>0</v>
      </c>
    </row>
    <row r="106" spans="1:34">
      <c r="A106" s="20" t="s">
        <v>97</v>
      </c>
      <c r="B106" s="20" t="s">
        <v>114</v>
      </c>
      <c r="C106" s="667"/>
      <c r="D106" s="68" t="s">
        <v>482</v>
      </c>
      <c r="E106" s="449"/>
      <c r="F106" s="529">
        <f>VLOOKUP(D106,'Q2 DMV -  Revenue'!C:S,17,FALSE)</f>
        <v>0</v>
      </c>
      <c r="G106" s="579"/>
      <c r="H106" s="579"/>
      <c r="I106" s="524"/>
      <c r="J106" s="379"/>
      <c r="K106" s="31"/>
      <c r="L106" s="84"/>
      <c r="M106" s="42">
        <v>0</v>
      </c>
      <c r="N106" s="31"/>
      <c r="O106" s="429"/>
      <c r="P106" s="31"/>
      <c r="Q106" s="426">
        <f t="shared" si="1"/>
        <v>0</v>
      </c>
      <c r="R106" s="178">
        <v>0</v>
      </c>
      <c r="S106" s="295"/>
      <c r="T106" s="385">
        <f t="shared" si="52"/>
        <v>0</v>
      </c>
      <c r="U106" s="31"/>
      <c r="V106" s="474">
        <f t="shared" si="42"/>
        <v>0</v>
      </c>
      <c r="W106" s="474">
        <f t="shared" si="43"/>
        <v>0</v>
      </c>
      <c r="X106" s="475">
        <f t="shared" si="44"/>
        <v>0</v>
      </c>
      <c r="Y106" s="475">
        <v>0</v>
      </c>
      <c r="Z106" s="476">
        <v>0</v>
      </c>
      <c r="AA106" s="38">
        <f t="shared" si="45"/>
        <v>0</v>
      </c>
      <c r="AB106" s="564">
        <f t="shared" si="46"/>
        <v>0</v>
      </c>
      <c r="AC106" s="564">
        <f t="shared" si="47"/>
        <v>0</v>
      </c>
      <c r="AD106" s="564">
        <f t="shared" si="48"/>
        <v>0</v>
      </c>
      <c r="AF106" s="564">
        <f t="shared" si="49"/>
        <v>0</v>
      </c>
      <c r="AG106" s="564">
        <f t="shared" si="50"/>
        <v>0</v>
      </c>
      <c r="AH106" s="564">
        <f t="shared" si="51"/>
        <v>0</v>
      </c>
    </row>
    <row r="107" spans="1:34">
      <c r="A107" s="20" t="s">
        <v>109</v>
      </c>
      <c r="B107" s="20" t="s">
        <v>109</v>
      </c>
      <c r="C107" s="667"/>
      <c r="D107" s="68" t="s">
        <v>66</v>
      </c>
      <c r="E107" s="449"/>
      <c r="F107" s="529">
        <f>VLOOKUP(D107,'Q2 DMV -  Revenue'!C:S,17,FALSE)</f>
        <v>0</v>
      </c>
      <c r="G107" s="579"/>
      <c r="H107" s="579"/>
      <c r="I107" s="524"/>
      <c r="J107" s="379">
        <f t="shared" si="41"/>
        <v>0</v>
      </c>
      <c r="K107" s="31"/>
      <c r="L107" s="84"/>
      <c r="M107" s="42">
        <v>0</v>
      </c>
      <c r="N107" s="31">
        <v>0</v>
      </c>
      <c r="O107" s="429"/>
      <c r="P107" s="31">
        <v>0</v>
      </c>
      <c r="Q107" s="426">
        <f t="shared" si="1"/>
        <v>0</v>
      </c>
      <c r="R107" s="178">
        <v>0</v>
      </c>
      <c r="S107" s="295"/>
      <c r="T107" s="385">
        <f t="shared" si="52"/>
        <v>0</v>
      </c>
      <c r="U107" s="31"/>
      <c r="V107" s="474">
        <f t="shared" si="42"/>
        <v>0</v>
      </c>
      <c r="W107" s="474">
        <f t="shared" si="43"/>
        <v>0</v>
      </c>
      <c r="X107" s="475">
        <f t="shared" si="44"/>
        <v>0</v>
      </c>
      <c r="Y107" s="475">
        <v>0</v>
      </c>
      <c r="Z107" s="476">
        <v>0</v>
      </c>
      <c r="AA107" s="38">
        <f t="shared" si="45"/>
        <v>0</v>
      </c>
      <c r="AB107" s="564">
        <f t="shared" si="46"/>
        <v>0</v>
      </c>
      <c r="AC107" s="564">
        <f t="shared" si="47"/>
        <v>0</v>
      </c>
      <c r="AD107" s="564">
        <f t="shared" si="48"/>
        <v>0</v>
      </c>
      <c r="AF107" s="564">
        <f t="shared" si="49"/>
        <v>0</v>
      </c>
      <c r="AG107" s="564">
        <f t="shared" si="50"/>
        <v>0</v>
      </c>
      <c r="AH107" s="564">
        <f t="shared" si="51"/>
        <v>0</v>
      </c>
    </row>
    <row r="108" spans="1:34">
      <c r="A108" s="20" t="s">
        <v>109</v>
      </c>
      <c r="B108" s="20" t="s">
        <v>109</v>
      </c>
      <c r="C108" s="667" t="s">
        <v>544</v>
      </c>
      <c r="D108" s="68" t="s">
        <v>383</v>
      </c>
      <c r="E108" s="449">
        <v>1212.3499999999999</v>
      </c>
      <c r="F108" s="529">
        <f>VLOOKUP(D108,'Q2 DMV -  Revenue'!C:S,17,FALSE)</f>
        <v>316.95</v>
      </c>
      <c r="G108" s="576">
        <v>270.52999999999997</v>
      </c>
      <c r="H108" s="576">
        <v>355.42</v>
      </c>
      <c r="I108" s="524"/>
      <c r="J108" s="379">
        <f t="shared" si="41"/>
        <v>2155.25</v>
      </c>
      <c r="K108" s="31"/>
      <c r="L108" s="84"/>
      <c r="M108" s="42">
        <f t="shared" ref="M108" si="62">SUM(G108+H108)/2</f>
        <v>312.97500000000002</v>
      </c>
      <c r="N108" s="31">
        <v>0</v>
      </c>
      <c r="O108" s="429">
        <v>2155.25</v>
      </c>
      <c r="P108" s="31">
        <v>0</v>
      </c>
      <c r="Q108" s="426">
        <f t="shared" si="1"/>
        <v>312.97500000000002</v>
      </c>
      <c r="R108" s="178">
        <v>0</v>
      </c>
      <c r="S108" s="295"/>
      <c r="T108" s="385">
        <f t="shared" si="52"/>
        <v>-312.97500000000002</v>
      </c>
      <c r="U108" s="31"/>
      <c r="V108" s="474">
        <f t="shared" si="42"/>
        <v>0</v>
      </c>
      <c r="W108" s="474">
        <f t="shared" si="43"/>
        <v>312.97500000000002</v>
      </c>
      <c r="X108" s="475">
        <f t="shared" si="44"/>
        <v>0</v>
      </c>
      <c r="Y108" s="475">
        <v>0</v>
      </c>
      <c r="Z108" s="476">
        <v>0</v>
      </c>
      <c r="AA108" s="38">
        <f t="shared" si="45"/>
        <v>0</v>
      </c>
      <c r="AB108" s="564">
        <f t="shared" si="46"/>
        <v>0</v>
      </c>
      <c r="AC108" s="564">
        <f t="shared" si="47"/>
        <v>2155.25</v>
      </c>
      <c r="AD108" s="564">
        <f t="shared" si="48"/>
        <v>0</v>
      </c>
      <c r="AF108" s="564">
        <f t="shared" si="49"/>
        <v>0</v>
      </c>
      <c r="AG108" s="564">
        <f t="shared" si="50"/>
        <v>312.97500000000002</v>
      </c>
      <c r="AH108" s="564">
        <f t="shared" si="51"/>
        <v>0</v>
      </c>
    </row>
    <row r="109" spans="1:34">
      <c r="A109" s="21" t="s">
        <v>109</v>
      </c>
      <c r="B109" s="21" t="s">
        <v>110</v>
      </c>
      <c r="C109" s="666"/>
      <c r="D109" s="68" t="s">
        <v>65</v>
      </c>
      <c r="E109" s="449"/>
      <c r="F109" s="529">
        <f>VLOOKUP(D109,'Q2 DMV -  Revenue'!C:S,17,FALSE)</f>
        <v>0</v>
      </c>
      <c r="G109" s="579"/>
      <c r="H109" s="579"/>
      <c r="I109" s="524"/>
      <c r="J109" s="379">
        <f t="shared" si="41"/>
        <v>0</v>
      </c>
      <c r="K109" s="31"/>
      <c r="L109" s="84"/>
      <c r="M109" s="42">
        <v>0</v>
      </c>
      <c r="N109" s="31">
        <v>0</v>
      </c>
      <c r="O109" s="429"/>
      <c r="P109" s="31">
        <v>0</v>
      </c>
      <c r="Q109" s="426">
        <f t="shared" si="1"/>
        <v>0</v>
      </c>
      <c r="R109" s="178">
        <v>0</v>
      </c>
      <c r="S109" s="295"/>
      <c r="T109" s="385">
        <f t="shared" si="52"/>
        <v>0</v>
      </c>
      <c r="U109" s="31"/>
      <c r="V109" s="474">
        <f t="shared" si="42"/>
        <v>0</v>
      </c>
      <c r="W109" s="474">
        <f t="shared" si="43"/>
        <v>0</v>
      </c>
      <c r="X109" s="475">
        <f t="shared" si="44"/>
        <v>0</v>
      </c>
      <c r="Y109" s="475">
        <v>0</v>
      </c>
      <c r="Z109" s="476">
        <v>0</v>
      </c>
      <c r="AA109" s="38">
        <f t="shared" si="45"/>
        <v>0</v>
      </c>
      <c r="AB109" s="564">
        <f t="shared" si="46"/>
        <v>0</v>
      </c>
      <c r="AC109" s="564">
        <f t="shared" si="47"/>
        <v>0</v>
      </c>
      <c r="AD109" s="564">
        <f t="shared" si="48"/>
        <v>0</v>
      </c>
      <c r="AF109" s="564">
        <f t="shared" si="49"/>
        <v>0</v>
      </c>
      <c r="AG109" s="564">
        <f t="shared" si="50"/>
        <v>0</v>
      </c>
      <c r="AH109" s="564">
        <f t="shared" si="51"/>
        <v>0</v>
      </c>
    </row>
    <row r="110" spans="1:34">
      <c r="A110" s="21" t="s">
        <v>211</v>
      </c>
      <c r="B110" s="21" t="s">
        <v>109</v>
      </c>
      <c r="C110" s="666" t="s">
        <v>545</v>
      </c>
      <c r="D110" s="68" t="s">
        <v>181</v>
      </c>
      <c r="E110" s="449"/>
      <c r="F110" s="529">
        <f>VLOOKUP(D110,'Q2 DMV -  Revenue'!C:S,17,FALSE)</f>
        <v>-1148.9000000000001</v>
      </c>
      <c r="G110" s="579"/>
      <c r="H110" s="579"/>
      <c r="I110" s="524"/>
      <c r="J110" s="379">
        <f t="shared" si="41"/>
        <v>-1148.9000000000001</v>
      </c>
      <c r="K110" s="31"/>
      <c r="L110" s="84"/>
      <c r="M110" s="42">
        <v>1148.9000000000001</v>
      </c>
      <c r="N110" s="31">
        <v>0</v>
      </c>
      <c r="O110" s="429">
        <v>1906.73</v>
      </c>
      <c r="P110" s="31">
        <v>0</v>
      </c>
      <c r="Q110" s="426">
        <f t="shared" si="1"/>
        <v>1148.9000000000001</v>
      </c>
      <c r="R110" s="178">
        <f>3659.04+3771.09+3407.53+845+737.11+68.24</f>
        <v>12488.01</v>
      </c>
      <c r="S110" s="295"/>
      <c r="T110" s="385">
        <f t="shared" si="52"/>
        <v>11339.11</v>
      </c>
      <c r="U110" s="31"/>
      <c r="V110" s="474">
        <f t="shared" si="42"/>
        <v>0</v>
      </c>
      <c r="W110" s="474">
        <f t="shared" si="43"/>
        <v>1148.9000000000001</v>
      </c>
      <c r="X110" s="475">
        <f t="shared" si="44"/>
        <v>0</v>
      </c>
      <c r="Y110" s="475">
        <v>0</v>
      </c>
      <c r="Z110" s="476">
        <v>0</v>
      </c>
      <c r="AA110" s="38">
        <f t="shared" si="45"/>
        <v>0</v>
      </c>
      <c r="AB110" s="564">
        <f t="shared" si="46"/>
        <v>0</v>
      </c>
      <c r="AC110" s="564">
        <f t="shared" si="47"/>
        <v>-1148.9000000000001</v>
      </c>
      <c r="AD110" s="564">
        <f t="shared" si="48"/>
        <v>0</v>
      </c>
      <c r="AF110" s="564">
        <f t="shared" si="49"/>
        <v>0</v>
      </c>
      <c r="AG110" s="564">
        <f t="shared" si="50"/>
        <v>1148.9000000000001</v>
      </c>
      <c r="AH110" s="564">
        <f t="shared" si="51"/>
        <v>0</v>
      </c>
    </row>
    <row r="111" spans="1:34">
      <c r="A111" s="21" t="s">
        <v>211</v>
      </c>
      <c r="B111" s="21" t="s">
        <v>110</v>
      </c>
      <c r="C111" s="666"/>
      <c r="D111" s="68" t="s">
        <v>504</v>
      </c>
      <c r="E111" s="449"/>
      <c r="F111" s="529">
        <f>VLOOKUP(D111,'Q2 DMV -  Revenue'!C:S,17,FALSE)</f>
        <v>55.63</v>
      </c>
      <c r="G111" s="579"/>
      <c r="H111" s="579"/>
      <c r="I111" s="524"/>
      <c r="J111" s="379">
        <f t="shared" ref="J111" si="63">SUM(E111:I111)</f>
        <v>55.63</v>
      </c>
      <c r="K111" s="31"/>
      <c r="L111" s="84"/>
      <c r="M111" s="42">
        <v>0</v>
      </c>
      <c r="N111" s="31">
        <v>0</v>
      </c>
      <c r="O111" s="429"/>
      <c r="P111" s="31">
        <v>0</v>
      </c>
      <c r="Q111" s="426">
        <f t="shared" ref="Q111" si="64">L111+M111</f>
        <v>0</v>
      </c>
      <c r="R111" s="178">
        <v>0</v>
      </c>
      <c r="S111" s="295"/>
      <c r="T111" s="385">
        <f t="shared" ref="T111" si="65">IF(R111="","",R111-Q111)</f>
        <v>0</v>
      </c>
      <c r="U111" s="31"/>
      <c r="V111" s="474">
        <f t="shared" si="42"/>
        <v>0</v>
      </c>
      <c r="W111" s="474">
        <f t="shared" si="43"/>
        <v>0</v>
      </c>
      <c r="X111" s="475">
        <f t="shared" si="44"/>
        <v>0</v>
      </c>
      <c r="Y111" s="475">
        <v>0</v>
      </c>
      <c r="Z111" s="476">
        <v>0</v>
      </c>
      <c r="AA111" s="38">
        <f t="shared" si="45"/>
        <v>0</v>
      </c>
      <c r="AB111" s="564">
        <f t="shared" si="46"/>
        <v>55.63</v>
      </c>
      <c r="AC111" s="564">
        <f t="shared" si="47"/>
        <v>0</v>
      </c>
      <c r="AD111" s="564">
        <f t="shared" si="48"/>
        <v>0</v>
      </c>
      <c r="AF111" s="564">
        <f t="shared" si="49"/>
        <v>0</v>
      </c>
      <c r="AG111" s="564">
        <f t="shared" si="50"/>
        <v>0</v>
      </c>
      <c r="AH111" s="564">
        <f t="shared" si="51"/>
        <v>0</v>
      </c>
    </row>
    <row r="112" spans="1:34">
      <c r="A112" s="20" t="s">
        <v>211</v>
      </c>
      <c r="B112" s="20" t="s">
        <v>109</v>
      </c>
      <c r="C112" s="667" t="s">
        <v>546</v>
      </c>
      <c r="D112" s="68" t="s">
        <v>142</v>
      </c>
      <c r="E112" s="449">
        <v>-13110.51</v>
      </c>
      <c r="F112" s="529">
        <f>VLOOKUP(D112,'Q2 DMV -  Revenue'!C:S,17,FALSE)</f>
        <v>-1256.8800000000001</v>
      </c>
      <c r="G112" s="579"/>
      <c r="H112" s="579"/>
      <c r="I112" s="524"/>
      <c r="J112" s="379">
        <f>SUM(E112:I112)</f>
        <v>-14367.39</v>
      </c>
      <c r="K112" s="31"/>
      <c r="L112" s="84"/>
      <c r="M112" s="42">
        <v>1256.8800000000001</v>
      </c>
      <c r="N112" s="31">
        <v>0</v>
      </c>
      <c r="O112" s="429">
        <v>5495.16</v>
      </c>
      <c r="P112" s="31">
        <v>0</v>
      </c>
      <c r="Q112" s="426">
        <f t="shared" si="1"/>
        <v>1256.8800000000001</v>
      </c>
      <c r="R112" s="178">
        <v>4629.49</v>
      </c>
      <c r="S112" s="295"/>
      <c r="T112" s="385">
        <f t="shared" si="52"/>
        <v>3372.6099999999997</v>
      </c>
      <c r="U112" s="2"/>
      <c r="V112" s="474">
        <f t="shared" si="42"/>
        <v>0</v>
      </c>
      <c r="W112" s="474">
        <f t="shared" si="43"/>
        <v>1256.8800000000001</v>
      </c>
      <c r="X112" s="475">
        <f t="shared" si="44"/>
        <v>0</v>
      </c>
      <c r="Y112" s="475">
        <v>0</v>
      </c>
      <c r="Z112" s="476">
        <v>0</v>
      </c>
      <c r="AA112" s="38">
        <f t="shared" si="45"/>
        <v>0</v>
      </c>
      <c r="AB112" s="564">
        <f t="shared" si="46"/>
        <v>0</v>
      </c>
      <c r="AC112" s="564">
        <f t="shared" si="47"/>
        <v>-14367.39</v>
      </c>
      <c r="AD112" s="564">
        <f t="shared" si="48"/>
        <v>0</v>
      </c>
      <c r="AF112" s="564">
        <f t="shared" si="49"/>
        <v>0</v>
      </c>
      <c r="AG112" s="564">
        <f t="shared" si="50"/>
        <v>1256.8800000000001</v>
      </c>
      <c r="AH112" s="564">
        <f t="shared" si="51"/>
        <v>0</v>
      </c>
    </row>
    <row r="113" spans="1:34">
      <c r="A113" s="20" t="s">
        <v>211</v>
      </c>
      <c r="B113" s="20" t="s">
        <v>109</v>
      </c>
      <c r="C113" s="667" t="s">
        <v>546</v>
      </c>
      <c r="D113" s="68" t="s">
        <v>143</v>
      </c>
      <c r="E113" s="449">
        <v>-841.1</v>
      </c>
      <c r="F113" s="529">
        <f>VLOOKUP(D113,'Q2 DMV -  Revenue'!C:S,17,FALSE)</f>
        <v>-1694.22</v>
      </c>
      <c r="G113" s="579"/>
      <c r="H113" s="579"/>
      <c r="I113" s="524"/>
      <c r="J113" s="379">
        <f t="shared" si="41"/>
        <v>-2535.3200000000002</v>
      </c>
      <c r="K113" s="31"/>
      <c r="L113" s="84"/>
      <c r="M113" s="42">
        <f>-F113</f>
        <v>1694.22</v>
      </c>
      <c r="N113" s="31">
        <v>0</v>
      </c>
      <c r="O113" s="429"/>
      <c r="P113" s="31">
        <v>0</v>
      </c>
      <c r="Q113" s="426">
        <f t="shared" si="1"/>
        <v>1694.22</v>
      </c>
      <c r="R113" s="178">
        <v>273.83</v>
      </c>
      <c r="S113" s="295"/>
      <c r="T113" s="385">
        <f t="shared" si="52"/>
        <v>-1420.39</v>
      </c>
      <c r="U113" s="2"/>
      <c r="V113" s="474">
        <f t="shared" si="42"/>
        <v>0</v>
      </c>
      <c r="W113" s="474">
        <f t="shared" si="43"/>
        <v>1694.22</v>
      </c>
      <c r="X113" s="475">
        <f t="shared" si="44"/>
        <v>0</v>
      </c>
      <c r="Y113" s="475">
        <v>0</v>
      </c>
      <c r="Z113" s="476">
        <v>0</v>
      </c>
      <c r="AA113" s="38">
        <f t="shared" si="45"/>
        <v>0</v>
      </c>
      <c r="AB113" s="564">
        <f t="shared" si="46"/>
        <v>0</v>
      </c>
      <c r="AC113" s="564">
        <f t="shared" si="47"/>
        <v>-2535.3200000000002</v>
      </c>
      <c r="AD113" s="564">
        <f t="shared" si="48"/>
        <v>0</v>
      </c>
      <c r="AF113" s="564">
        <f t="shared" si="49"/>
        <v>0</v>
      </c>
      <c r="AG113" s="564">
        <f t="shared" si="50"/>
        <v>1694.22</v>
      </c>
      <c r="AH113" s="564">
        <f t="shared" si="51"/>
        <v>0</v>
      </c>
    </row>
    <row r="114" spans="1:34">
      <c r="A114" s="20" t="s">
        <v>109</v>
      </c>
      <c r="B114" s="20" t="s">
        <v>109</v>
      </c>
      <c r="C114" s="667"/>
      <c r="D114" s="68" t="s">
        <v>498</v>
      </c>
      <c r="E114" s="449">
        <v>559.27</v>
      </c>
      <c r="F114" s="529">
        <f>VLOOKUP(D114,'Q2 DMV -  Revenue'!C:S,17,FALSE)</f>
        <v>1980.13</v>
      </c>
      <c r="G114" s="579"/>
      <c r="H114" s="579"/>
      <c r="I114" s="524"/>
      <c r="J114" s="379">
        <f t="shared" ref="J114" si="66">SUM(E114:I114)</f>
        <v>2539.4</v>
      </c>
      <c r="K114" s="31"/>
      <c r="L114" s="84"/>
      <c r="M114" s="42">
        <v>0</v>
      </c>
      <c r="N114" s="31">
        <v>0</v>
      </c>
      <c r="O114" s="429">
        <v>2539.4</v>
      </c>
      <c r="P114" s="31">
        <v>0</v>
      </c>
      <c r="Q114" s="426">
        <f t="shared" ref="Q114" si="67">L114+M114</f>
        <v>0</v>
      </c>
      <c r="R114" s="178">
        <v>0</v>
      </c>
      <c r="S114" s="295"/>
      <c r="T114" s="385">
        <f t="shared" ref="T114" si="68">IF(R114="","",R114-Q114)</f>
        <v>0</v>
      </c>
      <c r="U114" s="31"/>
      <c r="V114" s="474">
        <f t="shared" si="42"/>
        <v>0</v>
      </c>
      <c r="W114" s="474">
        <f t="shared" si="43"/>
        <v>0</v>
      </c>
      <c r="X114" s="475">
        <f t="shared" si="44"/>
        <v>0</v>
      </c>
      <c r="Y114" s="475">
        <v>0</v>
      </c>
      <c r="Z114" s="476">
        <v>0</v>
      </c>
      <c r="AA114" s="38">
        <f t="shared" si="45"/>
        <v>0</v>
      </c>
      <c r="AB114" s="564">
        <f t="shared" si="46"/>
        <v>0</v>
      </c>
      <c r="AC114" s="564">
        <f t="shared" si="47"/>
        <v>2539.4</v>
      </c>
      <c r="AD114" s="564">
        <f t="shared" si="48"/>
        <v>0</v>
      </c>
      <c r="AF114" s="564">
        <f t="shared" si="49"/>
        <v>0</v>
      </c>
      <c r="AG114" s="564">
        <f t="shared" si="50"/>
        <v>0</v>
      </c>
      <c r="AH114" s="564">
        <f t="shared" si="51"/>
        <v>0</v>
      </c>
    </row>
    <row r="115" spans="1:34">
      <c r="A115" s="21"/>
      <c r="B115" s="21" t="s">
        <v>110</v>
      </c>
      <c r="C115" s="666"/>
      <c r="D115" s="68" t="s">
        <v>20</v>
      </c>
      <c r="E115" s="449"/>
      <c r="F115" s="529">
        <f>VLOOKUP(D115,'Q2 DMV -  Revenue'!C:S,17,FALSE)</f>
        <v>0</v>
      </c>
      <c r="G115" s="576">
        <f>117.52/3</f>
        <v>39.173333333333332</v>
      </c>
      <c r="H115" s="576">
        <f>117.52/3</f>
        <v>39.173333333333332</v>
      </c>
      <c r="I115" s="525">
        <f>117.52/3</f>
        <v>39.173333333333332</v>
      </c>
      <c r="J115" s="379">
        <f t="shared" si="41"/>
        <v>117.52</v>
      </c>
      <c r="K115" s="31"/>
      <c r="L115" s="84"/>
      <c r="M115" s="42"/>
      <c r="N115" s="31">
        <v>0</v>
      </c>
      <c r="O115" s="429">
        <v>117.52</v>
      </c>
      <c r="P115" s="31">
        <v>0</v>
      </c>
      <c r="Q115" s="426">
        <f t="shared" si="1"/>
        <v>0</v>
      </c>
      <c r="R115" s="178">
        <v>0</v>
      </c>
      <c r="S115" s="295"/>
      <c r="T115" s="385">
        <f t="shared" si="52"/>
        <v>0</v>
      </c>
      <c r="U115" s="31"/>
      <c r="V115" s="474">
        <f t="shared" si="42"/>
        <v>0</v>
      </c>
      <c r="W115" s="474">
        <f t="shared" si="43"/>
        <v>0</v>
      </c>
      <c r="X115" s="475">
        <f t="shared" si="44"/>
        <v>0</v>
      </c>
      <c r="Y115" s="475">
        <v>0</v>
      </c>
      <c r="Z115" s="476">
        <v>0</v>
      </c>
      <c r="AA115" s="38">
        <f t="shared" si="45"/>
        <v>0</v>
      </c>
      <c r="AB115" s="564">
        <f t="shared" si="46"/>
        <v>117.52</v>
      </c>
      <c r="AC115" s="564">
        <f t="shared" si="47"/>
        <v>0</v>
      </c>
      <c r="AD115" s="564">
        <f t="shared" si="48"/>
        <v>0</v>
      </c>
      <c r="AF115" s="564">
        <f t="shared" si="49"/>
        <v>0</v>
      </c>
      <c r="AG115" s="564">
        <f t="shared" si="50"/>
        <v>0</v>
      </c>
      <c r="AH115" s="564">
        <f t="shared" si="51"/>
        <v>0</v>
      </c>
    </row>
    <row r="116" spans="1:34">
      <c r="A116" s="21"/>
      <c r="B116" s="21" t="s">
        <v>110</v>
      </c>
      <c r="C116" s="666" t="s">
        <v>547</v>
      </c>
      <c r="D116" s="68" t="s">
        <v>203</v>
      </c>
      <c r="E116" s="449"/>
      <c r="F116" s="529">
        <f>VLOOKUP(D116,'Q2 DMV -  Revenue'!C:S,17,FALSE)</f>
        <v>-154.67500000000001</v>
      </c>
      <c r="G116" s="576">
        <v>471.21</v>
      </c>
      <c r="H116" s="576">
        <v>417.91</v>
      </c>
      <c r="I116" s="524"/>
      <c r="J116" s="379">
        <f t="shared" si="41"/>
        <v>734.44499999999994</v>
      </c>
      <c r="K116" s="31"/>
      <c r="L116" s="84"/>
      <c r="M116" s="42">
        <f t="shared" ref="M116" si="69">SUM(G116+H116)/2</f>
        <v>444.56</v>
      </c>
      <c r="N116" s="31">
        <v>0</v>
      </c>
      <c r="O116" s="429">
        <v>3007.67</v>
      </c>
      <c r="P116" s="31">
        <v>0</v>
      </c>
      <c r="Q116" s="426">
        <f t="shared" si="1"/>
        <v>444.56</v>
      </c>
      <c r="R116" s="178">
        <v>447.4</v>
      </c>
      <c r="S116" s="295"/>
      <c r="T116" s="385">
        <f t="shared" si="52"/>
        <v>2.839999999999975</v>
      </c>
      <c r="U116" s="31"/>
      <c r="V116" s="474">
        <f t="shared" si="42"/>
        <v>444.56</v>
      </c>
      <c r="W116" s="474">
        <f t="shared" si="43"/>
        <v>0</v>
      </c>
      <c r="X116" s="475">
        <f t="shared" si="44"/>
        <v>0</v>
      </c>
      <c r="Y116" s="475">
        <v>0</v>
      </c>
      <c r="Z116" s="476">
        <v>0</v>
      </c>
      <c r="AA116" s="38">
        <f t="shared" si="45"/>
        <v>0</v>
      </c>
      <c r="AB116" s="564">
        <f t="shared" si="46"/>
        <v>734.44499999999994</v>
      </c>
      <c r="AC116" s="564">
        <f t="shared" si="47"/>
        <v>0</v>
      </c>
      <c r="AD116" s="564">
        <f t="shared" si="48"/>
        <v>0</v>
      </c>
      <c r="AF116" s="564">
        <f t="shared" si="49"/>
        <v>444.56</v>
      </c>
      <c r="AG116" s="564">
        <f t="shared" si="50"/>
        <v>0</v>
      </c>
      <c r="AH116" s="564">
        <f t="shared" si="51"/>
        <v>0</v>
      </c>
    </row>
    <row r="117" spans="1:34">
      <c r="A117" s="21"/>
      <c r="B117" s="21" t="s">
        <v>110</v>
      </c>
      <c r="C117" s="666" t="s">
        <v>547</v>
      </c>
      <c r="D117" s="68" t="s">
        <v>202</v>
      </c>
      <c r="E117" s="449"/>
      <c r="F117" s="529">
        <f>VLOOKUP(D117,'Q2 DMV -  Revenue'!C:S,17,FALSE)</f>
        <v>-123.91499999999996</v>
      </c>
      <c r="G117" s="576">
        <v>732.69</v>
      </c>
      <c r="H117" s="579"/>
      <c r="I117" s="524"/>
      <c r="J117" s="379">
        <f t="shared" si="41"/>
        <v>608.77500000000009</v>
      </c>
      <c r="K117" s="31"/>
      <c r="L117" s="84"/>
      <c r="M117" s="42">
        <f>G117*2</f>
        <v>1465.38</v>
      </c>
      <c r="N117" s="31">
        <v>0</v>
      </c>
      <c r="O117" s="429"/>
      <c r="P117" s="31">
        <v>0</v>
      </c>
      <c r="Q117" s="426">
        <f t="shared" si="1"/>
        <v>1465.38</v>
      </c>
      <c r="R117" s="178">
        <f>627.58+761.07</f>
        <v>1388.65</v>
      </c>
      <c r="S117" s="295"/>
      <c r="T117" s="385">
        <f t="shared" si="52"/>
        <v>-76.730000000000018</v>
      </c>
      <c r="U117" s="31"/>
      <c r="V117" s="474">
        <f t="shared" si="42"/>
        <v>1465.38</v>
      </c>
      <c r="W117" s="474">
        <f t="shared" si="43"/>
        <v>0</v>
      </c>
      <c r="X117" s="475">
        <f t="shared" si="44"/>
        <v>0</v>
      </c>
      <c r="Y117" s="475">
        <v>0</v>
      </c>
      <c r="Z117" s="476">
        <v>0</v>
      </c>
      <c r="AA117" s="38">
        <f t="shared" si="45"/>
        <v>0</v>
      </c>
      <c r="AB117" s="564">
        <f t="shared" si="46"/>
        <v>608.77500000000009</v>
      </c>
      <c r="AC117" s="564">
        <f t="shared" si="47"/>
        <v>0</v>
      </c>
      <c r="AD117" s="564">
        <f t="shared" si="48"/>
        <v>0</v>
      </c>
      <c r="AF117" s="564">
        <f t="shared" si="49"/>
        <v>1465.38</v>
      </c>
      <c r="AG117" s="564">
        <f t="shared" si="50"/>
        <v>0</v>
      </c>
      <c r="AH117" s="564">
        <f t="shared" si="51"/>
        <v>0</v>
      </c>
    </row>
    <row r="118" spans="1:34">
      <c r="A118" s="20" t="s">
        <v>211</v>
      </c>
      <c r="B118" s="20" t="s">
        <v>110</v>
      </c>
      <c r="C118" s="667"/>
      <c r="D118" s="373" t="s">
        <v>466</v>
      </c>
      <c r="E118" s="449"/>
      <c r="F118" s="529">
        <f>VLOOKUP(D118,'Q2 DMV -  Revenue'!C:S,17,FALSE)</f>
        <v>10.830000000000382</v>
      </c>
      <c r="G118" s="576">
        <v>1228.67</v>
      </c>
      <c r="H118" s="576">
        <v>1323.66</v>
      </c>
      <c r="I118" s="525">
        <v>1352.93</v>
      </c>
      <c r="J118" s="379">
        <f t="shared" si="41"/>
        <v>3916.0900000000011</v>
      </c>
      <c r="K118" s="31"/>
      <c r="L118" s="84"/>
      <c r="M118" s="42"/>
      <c r="N118" s="31">
        <v>0</v>
      </c>
      <c r="O118" s="429">
        <v>6210.27</v>
      </c>
      <c r="P118" s="31">
        <v>0</v>
      </c>
      <c r="Q118" s="426">
        <f t="shared" si="1"/>
        <v>0</v>
      </c>
      <c r="R118" s="178">
        <v>0</v>
      </c>
      <c r="S118" s="295"/>
      <c r="T118" s="385">
        <f t="shared" si="52"/>
        <v>0</v>
      </c>
      <c r="U118" s="2"/>
      <c r="V118" s="474">
        <f t="shared" si="42"/>
        <v>0</v>
      </c>
      <c r="W118" s="474">
        <f t="shared" si="43"/>
        <v>0</v>
      </c>
      <c r="X118" s="475">
        <f t="shared" si="44"/>
        <v>0</v>
      </c>
      <c r="Y118" s="475">
        <v>0</v>
      </c>
      <c r="Z118" s="476">
        <v>0</v>
      </c>
      <c r="AA118" s="38">
        <f t="shared" si="45"/>
        <v>0</v>
      </c>
      <c r="AB118" s="564">
        <f t="shared" si="46"/>
        <v>3916.0900000000011</v>
      </c>
      <c r="AC118" s="564">
        <f t="shared" si="47"/>
        <v>0</v>
      </c>
      <c r="AD118" s="564">
        <f t="shared" si="48"/>
        <v>0</v>
      </c>
      <c r="AF118" s="564">
        <f t="shared" si="49"/>
        <v>0</v>
      </c>
      <c r="AG118" s="564">
        <f t="shared" si="50"/>
        <v>0</v>
      </c>
      <c r="AH118" s="564">
        <f t="shared" si="51"/>
        <v>0</v>
      </c>
    </row>
    <row r="119" spans="1:34" s="232" customFormat="1">
      <c r="A119" s="283"/>
      <c r="B119" s="283" t="s">
        <v>110</v>
      </c>
      <c r="C119" s="667"/>
      <c r="D119" s="123" t="s">
        <v>386</v>
      </c>
      <c r="E119" s="449"/>
      <c r="F119" s="529">
        <f>VLOOKUP(D119,'Q2 DMV -  Revenue'!C:S,17,FALSE)</f>
        <v>0</v>
      </c>
      <c r="G119" s="576">
        <v>2480171.23</v>
      </c>
      <c r="H119" s="576">
        <v>1950793.78</v>
      </c>
      <c r="I119" s="525">
        <v>1894188.07</v>
      </c>
      <c r="J119" s="379">
        <f t="shared" si="41"/>
        <v>6325153.0800000001</v>
      </c>
      <c r="K119" s="31"/>
      <c r="L119" s="84"/>
      <c r="M119" s="42"/>
      <c r="N119" s="31">
        <v>0</v>
      </c>
      <c r="O119" s="429">
        <v>6409454.8799999999</v>
      </c>
      <c r="P119" s="31">
        <v>0</v>
      </c>
      <c r="Q119" s="426">
        <f t="shared" si="1"/>
        <v>0</v>
      </c>
      <c r="R119" s="178">
        <v>0</v>
      </c>
      <c r="S119" s="295"/>
      <c r="T119" s="385">
        <f t="shared" si="52"/>
        <v>0</v>
      </c>
      <c r="U119" s="31"/>
      <c r="V119" s="474">
        <f t="shared" si="42"/>
        <v>0</v>
      </c>
      <c r="W119" s="474">
        <f t="shared" si="43"/>
        <v>0</v>
      </c>
      <c r="X119" s="475">
        <f t="shared" si="44"/>
        <v>0</v>
      </c>
      <c r="Y119" s="475">
        <v>0</v>
      </c>
      <c r="Z119" s="476">
        <v>0</v>
      </c>
      <c r="AA119" s="38">
        <f t="shared" si="45"/>
        <v>0</v>
      </c>
      <c r="AB119" s="564">
        <f t="shared" si="46"/>
        <v>6325153.0800000001</v>
      </c>
      <c r="AC119" s="564">
        <f t="shared" si="47"/>
        <v>0</v>
      </c>
      <c r="AD119" s="564">
        <f t="shared" si="48"/>
        <v>0</v>
      </c>
      <c r="AE119" s="559"/>
      <c r="AF119" s="564">
        <f t="shared" si="49"/>
        <v>0</v>
      </c>
      <c r="AG119" s="564">
        <f t="shared" si="50"/>
        <v>0</v>
      </c>
      <c r="AH119" s="564">
        <f t="shared" si="51"/>
        <v>0</v>
      </c>
    </row>
    <row r="120" spans="1:34" s="232" customFormat="1">
      <c r="A120" s="283"/>
      <c r="B120" s="283" t="s">
        <v>110</v>
      </c>
      <c r="C120" s="667"/>
      <c r="D120" s="123" t="s">
        <v>331</v>
      </c>
      <c r="E120" s="449"/>
      <c r="F120" s="529">
        <f>VLOOKUP(D120,'Q2 DMV -  Revenue'!C:S,17,FALSE)</f>
        <v>0</v>
      </c>
      <c r="G120" s="576">
        <v>33334.6</v>
      </c>
      <c r="H120" s="576">
        <v>25396.5</v>
      </c>
      <c r="I120" s="525">
        <v>25570.7</v>
      </c>
      <c r="J120" s="379">
        <f t="shared" si="41"/>
        <v>84301.8</v>
      </c>
      <c r="K120" s="31"/>
      <c r="L120" s="84"/>
      <c r="M120" s="42"/>
      <c r="N120" s="31">
        <v>0</v>
      </c>
      <c r="O120" s="429"/>
      <c r="P120" s="31">
        <v>0</v>
      </c>
      <c r="Q120" s="426">
        <f t="shared" si="1"/>
        <v>0</v>
      </c>
      <c r="R120" s="178">
        <v>0</v>
      </c>
      <c r="S120" s="295"/>
      <c r="T120" s="385">
        <f t="shared" si="52"/>
        <v>0</v>
      </c>
      <c r="U120" s="31"/>
      <c r="V120" s="474">
        <f t="shared" si="42"/>
        <v>0</v>
      </c>
      <c r="W120" s="474">
        <f t="shared" si="43"/>
        <v>0</v>
      </c>
      <c r="X120" s="475">
        <f t="shared" si="44"/>
        <v>0</v>
      </c>
      <c r="Y120" s="475">
        <v>0</v>
      </c>
      <c r="Z120" s="476">
        <v>0</v>
      </c>
      <c r="AA120" s="38">
        <f t="shared" si="45"/>
        <v>0</v>
      </c>
      <c r="AB120" s="564">
        <f t="shared" si="46"/>
        <v>84301.8</v>
      </c>
      <c r="AC120" s="564">
        <f t="shared" si="47"/>
        <v>0</v>
      </c>
      <c r="AD120" s="564">
        <f t="shared" si="48"/>
        <v>0</v>
      </c>
      <c r="AE120" s="559"/>
      <c r="AF120" s="564">
        <f t="shared" si="49"/>
        <v>0</v>
      </c>
      <c r="AG120" s="564">
        <f t="shared" si="50"/>
        <v>0</v>
      </c>
      <c r="AH120" s="564">
        <f t="shared" si="51"/>
        <v>0</v>
      </c>
    </row>
    <row r="121" spans="1:34" s="232" customFormat="1">
      <c r="A121" s="283"/>
      <c r="B121" s="283" t="s">
        <v>110</v>
      </c>
      <c r="C121" s="667"/>
      <c r="D121" s="413" t="s">
        <v>332</v>
      </c>
      <c r="E121" s="449"/>
      <c r="F121" s="529">
        <f>VLOOKUP(D121,'Q2 DMV -  Revenue'!C:S,17,FALSE)</f>
        <v>0</v>
      </c>
      <c r="G121" s="576">
        <f>1295063.13+4582.98</f>
        <v>1299646.1099999999</v>
      </c>
      <c r="H121" s="576">
        <f>1007655.08+4273.22</f>
        <v>1011928.2999999999</v>
      </c>
      <c r="I121" s="525">
        <f>952892.65+4833.93</f>
        <v>957726.58000000007</v>
      </c>
      <c r="J121" s="379">
        <f t="shared" si="41"/>
        <v>3269300.9899999998</v>
      </c>
      <c r="K121" s="31"/>
      <c r="L121" s="84"/>
      <c r="M121" s="42"/>
      <c r="N121" s="31">
        <v>0</v>
      </c>
      <c r="O121" s="429">
        <f>3260541.45+13690.13</f>
        <v>3274231.58</v>
      </c>
      <c r="P121" s="31">
        <v>0</v>
      </c>
      <c r="Q121" s="426">
        <f t="shared" si="1"/>
        <v>0</v>
      </c>
      <c r="R121" s="178">
        <v>0</v>
      </c>
      <c r="S121" s="295"/>
      <c r="T121" s="385">
        <f t="shared" si="52"/>
        <v>0</v>
      </c>
      <c r="U121" s="31"/>
      <c r="V121" s="474">
        <f t="shared" si="42"/>
        <v>0</v>
      </c>
      <c r="W121" s="474">
        <f t="shared" si="43"/>
        <v>0</v>
      </c>
      <c r="X121" s="475">
        <f t="shared" si="44"/>
        <v>0</v>
      </c>
      <c r="Y121" s="475">
        <v>0</v>
      </c>
      <c r="Z121" s="476">
        <v>0</v>
      </c>
      <c r="AA121" s="38">
        <f t="shared" si="45"/>
        <v>0</v>
      </c>
      <c r="AB121" s="564">
        <f t="shared" si="46"/>
        <v>3269300.9899999998</v>
      </c>
      <c r="AC121" s="564">
        <f t="shared" si="47"/>
        <v>0</v>
      </c>
      <c r="AD121" s="564">
        <f t="shared" si="48"/>
        <v>0</v>
      </c>
      <c r="AE121" s="559"/>
      <c r="AF121" s="564">
        <f t="shared" si="49"/>
        <v>0</v>
      </c>
      <c r="AG121" s="564">
        <f t="shared" si="50"/>
        <v>0</v>
      </c>
      <c r="AH121" s="564">
        <f t="shared" si="51"/>
        <v>0</v>
      </c>
    </row>
    <row r="122" spans="1:34" s="232" customFormat="1">
      <c r="A122" s="283"/>
      <c r="B122" s="283" t="s">
        <v>110</v>
      </c>
      <c r="C122" s="667"/>
      <c r="D122" s="123" t="s">
        <v>333</v>
      </c>
      <c r="E122" s="449"/>
      <c r="F122" s="529">
        <f>VLOOKUP(D122,'Q2 DMV -  Revenue'!C:S,17,FALSE)</f>
        <v>0</v>
      </c>
      <c r="G122" s="576">
        <v>2203.4899999999998</v>
      </c>
      <c r="H122" s="576">
        <v>1441.16</v>
      </c>
      <c r="I122" s="525">
        <v>1285.94</v>
      </c>
      <c r="J122" s="379">
        <f t="shared" si="41"/>
        <v>4930.59</v>
      </c>
      <c r="K122" s="31"/>
      <c r="L122" s="84"/>
      <c r="M122" s="42"/>
      <c r="N122" s="31">
        <v>0</v>
      </c>
      <c r="O122" s="429"/>
      <c r="P122" s="31">
        <v>0</v>
      </c>
      <c r="Q122" s="426">
        <f t="shared" si="1"/>
        <v>0</v>
      </c>
      <c r="R122" s="178">
        <v>0</v>
      </c>
      <c r="S122" s="295"/>
      <c r="T122" s="385">
        <f t="shared" si="52"/>
        <v>0</v>
      </c>
      <c r="U122" s="31"/>
      <c r="V122" s="474">
        <f t="shared" si="42"/>
        <v>0</v>
      </c>
      <c r="W122" s="474">
        <f t="shared" si="43"/>
        <v>0</v>
      </c>
      <c r="X122" s="475">
        <f t="shared" si="44"/>
        <v>0</v>
      </c>
      <c r="Y122" s="475">
        <v>0</v>
      </c>
      <c r="Z122" s="476">
        <v>0</v>
      </c>
      <c r="AA122" s="38">
        <f t="shared" si="45"/>
        <v>0</v>
      </c>
      <c r="AB122" s="564">
        <f t="shared" si="46"/>
        <v>4930.59</v>
      </c>
      <c r="AC122" s="564">
        <f t="shared" si="47"/>
        <v>0</v>
      </c>
      <c r="AD122" s="564">
        <f t="shared" si="48"/>
        <v>0</v>
      </c>
      <c r="AE122" s="559"/>
      <c r="AF122" s="564">
        <f t="shared" si="49"/>
        <v>0</v>
      </c>
      <c r="AG122" s="564">
        <f t="shared" si="50"/>
        <v>0</v>
      </c>
      <c r="AH122" s="564">
        <f t="shared" si="51"/>
        <v>0</v>
      </c>
    </row>
    <row r="123" spans="1:34" s="232" customFormat="1">
      <c r="A123" s="283"/>
      <c r="B123" s="283" t="s">
        <v>110</v>
      </c>
      <c r="C123" s="667"/>
      <c r="D123" s="123" t="s">
        <v>334</v>
      </c>
      <c r="E123" s="449"/>
      <c r="F123" s="529">
        <f>VLOOKUP(D123,'Q2 DMV -  Revenue'!C:S,17,FALSE)</f>
        <v>0</v>
      </c>
      <c r="G123" s="576">
        <v>270594.59000000003</v>
      </c>
      <c r="H123" s="576">
        <v>216425.06</v>
      </c>
      <c r="I123" s="525">
        <v>206550.91</v>
      </c>
      <c r="J123" s="379">
        <f t="shared" si="41"/>
        <v>693570.56000000006</v>
      </c>
      <c r="K123" s="31"/>
      <c r="L123" s="84"/>
      <c r="M123" s="42"/>
      <c r="N123" s="31">
        <v>0</v>
      </c>
      <c r="O123" s="429">
        <v>696089.06</v>
      </c>
      <c r="P123" s="31">
        <v>0</v>
      </c>
      <c r="Q123" s="426">
        <f t="shared" si="1"/>
        <v>0</v>
      </c>
      <c r="R123" s="178">
        <v>0</v>
      </c>
      <c r="S123" s="295"/>
      <c r="T123" s="385">
        <f t="shared" si="52"/>
        <v>0</v>
      </c>
      <c r="U123" s="31"/>
      <c r="V123" s="474">
        <f t="shared" si="42"/>
        <v>0</v>
      </c>
      <c r="W123" s="474">
        <f t="shared" si="43"/>
        <v>0</v>
      </c>
      <c r="X123" s="475">
        <f t="shared" si="44"/>
        <v>0</v>
      </c>
      <c r="Y123" s="475">
        <v>0</v>
      </c>
      <c r="Z123" s="476">
        <v>0</v>
      </c>
      <c r="AA123" s="38">
        <f t="shared" si="45"/>
        <v>0</v>
      </c>
      <c r="AB123" s="564">
        <f t="shared" si="46"/>
        <v>693570.56000000006</v>
      </c>
      <c r="AC123" s="564">
        <f t="shared" si="47"/>
        <v>0</v>
      </c>
      <c r="AD123" s="564">
        <f t="shared" si="48"/>
        <v>0</v>
      </c>
      <c r="AE123" s="559"/>
      <c r="AF123" s="564">
        <f t="shared" si="49"/>
        <v>0</v>
      </c>
      <c r="AG123" s="564">
        <f t="shared" si="50"/>
        <v>0</v>
      </c>
      <c r="AH123" s="564">
        <f t="shared" si="51"/>
        <v>0</v>
      </c>
    </row>
    <row r="124" spans="1:34" s="232" customFormat="1">
      <c r="A124" s="283"/>
      <c r="B124" s="283" t="s">
        <v>110</v>
      </c>
      <c r="C124" s="667"/>
      <c r="D124" s="123" t="s">
        <v>335</v>
      </c>
      <c r="E124" s="449"/>
      <c r="F124" s="529">
        <f>VLOOKUP(D124,'Q2 DMV -  Revenue'!C:S,17,FALSE)</f>
        <v>0</v>
      </c>
      <c r="G124" s="576">
        <v>996.09</v>
      </c>
      <c r="H124" s="576">
        <v>838.55</v>
      </c>
      <c r="I124" s="525">
        <v>683.86</v>
      </c>
      <c r="J124" s="379">
        <f t="shared" si="41"/>
        <v>2518.5</v>
      </c>
      <c r="K124" s="31"/>
      <c r="L124" s="84"/>
      <c r="M124" s="42"/>
      <c r="N124" s="31">
        <v>0</v>
      </c>
      <c r="O124" s="429"/>
      <c r="P124" s="31">
        <v>0</v>
      </c>
      <c r="Q124" s="426">
        <f t="shared" si="1"/>
        <v>0</v>
      </c>
      <c r="R124" s="178">
        <v>0</v>
      </c>
      <c r="S124" s="295"/>
      <c r="T124" s="385">
        <f t="shared" si="52"/>
        <v>0</v>
      </c>
      <c r="U124" s="31"/>
      <c r="V124" s="474">
        <f t="shared" si="42"/>
        <v>0</v>
      </c>
      <c r="W124" s="474">
        <f t="shared" si="43"/>
        <v>0</v>
      </c>
      <c r="X124" s="475">
        <f t="shared" si="44"/>
        <v>0</v>
      </c>
      <c r="Y124" s="475">
        <v>0</v>
      </c>
      <c r="Z124" s="476">
        <v>0</v>
      </c>
      <c r="AA124" s="38">
        <f t="shared" si="45"/>
        <v>0</v>
      </c>
      <c r="AB124" s="564">
        <f t="shared" si="46"/>
        <v>2518.5</v>
      </c>
      <c r="AC124" s="564">
        <f t="shared" si="47"/>
        <v>0</v>
      </c>
      <c r="AD124" s="564">
        <f t="shared" si="48"/>
        <v>0</v>
      </c>
      <c r="AE124" s="559"/>
      <c r="AF124" s="564">
        <f t="shared" si="49"/>
        <v>0</v>
      </c>
      <c r="AG124" s="564">
        <f t="shared" si="50"/>
        <v>0</v>
      </c>
      <c r="AH124" s="564">
        <f t="shared" si="51"/>
        <v>0</v>
      </c>
    </row>
    <row r="125" spans="1:34" s="232" customFormat="1">
      <c r="A125" s="283"/>
      <c r="B125" s="283" t="s">
        <v>110</v>
      </c>
      <c r="C125" s="667"/>
      <c r="D125" s="123" t="s">
        <v>336</v>
      </c>
      <c r="E125" s="449"/>
      <c r="F125" s="529">
        <f>VLOOKUP(D125,'Q2 DMV -  Revenue'!C:S,17,FALSE)</f>
        <v>0</v>
      </c>
      <c r="G125" s="576">
        <v>319330.32</v>
      </c>
      <c r="H125" s="576">
        <v>266426.59000000003</v>
      </c>
      <c r="I125" s="525">
        <v>256917.58</v>
      </c>
      <c r="J125" s="379">
        <f t="shared" si="41"/>
        <v>842674.49</v>
      </c>
      <c r="K125" s="31"/>
      <c r="L125" s="84"/>
      <c r="M125" s="42"/>
      <c r="N125" s="31">
        <v>0</v>
      </c>
      <c r="O125" s="429">
        <v>845326.43</v>
      </c>
      <c r="P125" s="31">
        <v>0</v>
      </c>
      <c r="Q125" s="426">
        <f t="shared" si="1"/>
        <v>0</v>
      </c>
      <c r="R125" s="178">
        <v>0</v>
      </c>
      <c r="S125" s="295"/>
      <c r="T125" s="385">
        <f t="shared" si="52"/>
        <v>0</v>
      </c>
      <c r="U125" s="31"/>
      <c r="V125" s="474">
        <f t="shared" si="42"/>
        <v>0</v>
      </c>
      <c r="W125" s="474">
        <f t="shared" si="43"/>
        <v>0</v>
      </c>
      <c r="X125" s="475">
        <f t="shared" si="44"/>
        <v>0</v>
      </c>
      <c r="Y125" s="475">
        <v>0</v>
      </c>
      <c r="Z125" s="476">
        <v>0</v>
      </c>
      <c r="AA125" s="38">
        <f t="shared" si="45"/>
        <v>0</v>
      </c>
      <c r="AB125" s="564">
        <f t="shared" si="46"/>
        <v>842674.49</v>
      </c>
      <c r="AC125" s="564">
        <f t="shared" si="47"/>
        <v>0</v>
      </c>
      <c r="AD125" s="564">
        <f t="shared" si="48"/>
        <v>0</v>
      </c>
      <c r="AE125" s="559"/>
      <c r="AF125" s="564">
        <f t="shared" si="49"/>
        <v>0</v>
      </c>
      <c r="AG125" s="564">
        <f t="shared" si="50"/>
        <v>0</v>
      </c>
      <c r="AH125" s="564">
        <f t="shared" si="51"/>
        <v>0</v>
      </c>
    </row>
    <row r="126" spans="1:34" s="232" customFormat="1">
      <c r="A126" s="283"/>
      <c r="B126" s="283" t="s">
        <v>110</v>
      </c>
      <c r="C126" s="667"/>
      <c r="D126" s="123" t="s">
        <v>337</v>
      </c>
      <c r="E126" s="449"/>
      <c r="F126" s="529">
        <f>VLOOKUP(D126,'Q2 DMV -  Revenue'!C:S,17,FALSE)</f>
        <v>0</v>
      </c>
      <c r="G126" s="576">
        <v>1034.43</v>
      </c>
      <c r="H126" s="576">
        <v>850.05</v>
      </c>
      <c r="I126" s="525">
        <v>767.46</v>
      </c>
      <c r="J126" s="379">
        <f t="shared" si="41"/>
        <v>2651.94</v>
      </c>
      <c r="K126" s="31"/>
      <c r="L126" s="84"/>
      <c r="M126" s="42"/>
      <c r="N126" s="31">
        <v>0</v>
      </c>
      <c r="O126" s="429"/>
      <c r="P126" s="31">
        <v>0</v>
      </c>
      <c r="Q126" s="426">
        <f t="shared" si="1"/>
        <v>0</v>
      </c>
      <c r="R126" s="178">
        <v>0</v>
      </c>
      <c r="S126" s="295"/>
      <c r="T126" s="385">
        <f t="shared" si="52"/>
        <v>0</v>
      </c>
      <c r="U126" s="31"/>
      <c r="V126" s="474">
        <f t="shared" si="42"/>
        <v>0</v>
      </c>
      <c r="W126" s="474">
        <f t="shared" si="43"/>
        <v>0</v>
      </c>
      <c r="X126" s="475">
        <f t="shared" si="44"/>
        <v>0</v>
      </c>
      <c r="Y126" s="475">
        <v>0</v>
      </c>
      <c r="Z126" s="476">
        <v>0</v>
      </c>
      <c r="AA126" s="38">
        <f t="shared" si="45"/>
        <v>0</v>
      </c>
      <c r="AB126" s="564">
        <f t="shared" si="46"/>
        <v>2651.94</v>
      </c>
      <c r="AC126" s="564">
        <f t="shared" si="47"/>
        <v>0</v>
      </c>
      <c r="AD126" s="564">
        <f t="shared" si="48"/>
        <v>0</v>
      </c>
      <c r="AE126" s="559"/>
      <c r="AF126" s="564">
        <f t="shared" si="49"/>
        <v>0</v>
      </c>
      <c r="AG126" s="564">
        <f t="shared" si="50"/>
        <v>0</v>
      </c>
      <c r="AH126" s="564">
        <f t="shared" si="51"/>
        <v>0</v>
      </c>
    </row>
    <row r="127" spans="1:34" s="232" customFormat="1">
      <c r="A127" s="283"/>
      <c r="B127" s="283" t="s">
        <v>110</v>
      </c>
      <c r="C127" s="667"/>
      <c r="D127" s="123" t="s">
        <v>338</v>
      </c>
      <c r="E127" s="449"/>
      <c r="F127" s="529">
        <f>VLOOKUP(D127,'Q2 DMV -  Revenue'!C:S,17,FALSE)</f>
        <v>0</v>
      </c>
      <c r="G127" s="576">
        <v>100518.9</v>
      </c>
      <c r="H127" s="576">
        <v>81272.09</v>
      </c>
      <c r="I127" s="525">
        <v>82704.160000000003</v>
      </c>
      <c r="J127" s="379">
        <f t="shared" si="41"/>
        <v>264495.15000000002</v>
      </c>
      <c r="K127" s="31"/>
      <c r="L127" s="84"/>
      <c r="M127" s="42"/>
      <c r="N127" s="31">
        <v>0</v>
      </c>
      <c r="O127" s="429">
        <v>264495.15000000002</v>
      </c>
      <c r="P127" s="31">
        <v>0</v>
      </c>
      <c r="Q127" s="426">
        <f t="shared" si="1"/>
        <v>0</v>
      </c>
      <c r="R127" s="178">
        <v>0</v>
      </c>
      <c r="S127" s="295"/>
      <c r="T127" s="385">
        <f t="shared" si="52"/>
        <v>0</v>
      </c>
      <c r="U127" s="31"/>
      <c r="V127" s="474">
        <f t="shared" si="42"/>
        <v>0</v>
      </c>
      <c r="W127" s="474">
        <f t="shared" si="43"/>
        <v>0</v>
      </c>
      <c r="X127" s="475">
        <f t="shared" si="44"/>
        <v>0</v>
      </c>
      <c r="Y127" s="475">
        <v>0</v>
      </c>
      <c r="Z127" s="476">
        <v>0</v>
      </c>
      <c r="AA127" s="38">
        <f t="shared" si="45"/>
        <v>0</v>
      </c>
      <c r="AB127" s="564">
        <f t="shared" si="46"/>
        <v>264495.15000000002</v>
      </c>
      <c r="AC127" s="564">
        <f t="shared" si="47"/>
        <v>0</v>
      </c>
      <c r="AD127" s="564">
        <f t="shared" si="48"/>
        <v>0</v>
      </c>
      <c r="AE127" s="559"/>
      <c r="AF127" s="564">
        <f t="shared" si="49"/>
        <v>0</v>
      </c>
      <c r="AG127" s="564">
        <f t="shared" si="50"/>
        <v>0</v>
      </c>
      <c r="AH127" s="564">
        <f t="shared" si="51"/>
        <v>0</v>
      </c>
    </row>
    <row r="128" spans="1:34" s="232" customFormat="1">
      <c r="A128" s="283"/>
      <c r="B128" s="283" t="s">
        <v>110</v>
      </c>
      <c r="C128" s="667"/>
      <c r="D128" s="123" t="s">
        <v>339</v>
      </c>
      <c r="E128" s="449"/>
      <c r="F128" s="529">
        <f>VLOOKUP(D128,'Q2 DMV -  Revenue'!C:S,17,FALSE)</f>
        <v>0</v>
      </c>
      <c r="G128" s="576">
        <v>70374.009999999995</v>
      </c>
      <c r="H128" s="576">
        <v>53107.86</v>
      </c>
      <c r="I128" s="525">
        <v>54234.85</v>
      </c>
      <c r="J128" s="379">
        <f t="shared" si="41"/>
        <v>177716.72</v>
      </c>
      <c r="K128" s="31"/>
      <c r="L128" s="84"/>
      <c r="M128" s="42"/>
      <c r="N128" s="31">
        <v>0</v>
      </c>
      <c r="O128" s="429">
        <v>178104.52</v>
      </c>
      <c r="P128" s="31">
        <v>0</v>
      </c>
      <c r="Q128" s="426">
        <f t="shared" si="1"/>
        <v>0</v>
      </c>
      <c r="R128" s="178">
        <v>0</v>
      </c>
      <c r="S128" s="295"/>
      <c r="T128" s="385">
        <f t="shared" si="52"/>
        <v>0</v>
      </c>
      <c r="U128" s="31"/>
      <c r="V128" s="474">
        <f t="shared" si="42"/>
        <v>0</v>
      </c>
      <c r="W128" s="474">
        <f t="shared" si="43"/>
        <v>0</v>
      </c>
      <c r="X128" s="475">
        <f t="shared" si="44"/>
        <v>0</v>
      </c>
      <c r="Y128" s="475">
        <v>0</v>
      </c>
      <c r="Z128" s="476">
        <v>0</v>
      </c>
      <c r="AA128" s="38">
        <f t="shared" si="45"/>
        <v>0</v>
      </c>
      <c r="AB128" s="564">
        <f t="shared" si="46"/>
        <v>177716.72</v>
      </c>
      <c r="AC128" s="564">
        <f t="shared" si="47"/>
        <v>0</v>
      </c>
      <c r="AD128" s="564">
        <f t="shared" si="48"/>
        <v>0</v>
      </c>
      <c r="AE128" s="559"/>
      <c r="AF128" s="564">
        <f t="shared" si="49"/>
        <v>0</v>
      </c>
      <c r="AG128" s="564">
        <f t="shared" si="50"/>
        <v>0</v>
      </c>
      <c r="AH128" s="564">
        <f t="shared" si="51"/>
        <v>0</v>
      </c>
    </row>
    <row r="129" spans="1:34" s="232" customFormat="1">
      <c r="A129" s="283"/>
      <c r="B129" s="283" t="s">
        <v>110</v>
      </c>
      <c r="C129" s="667"/>
      <c r="D129" s="123" t="s">
        <v>340</v>
      </c>
      <c r="E129" s="449"/>
      <c r="F129" s="529">
        <f>VLOOKUP(D129,'Q2 DMV -  Revenue'!C:S,17,FALSE)</f>
        <v>0</v>
      </c>
      <c r="G129" s="576">
        <v>165.75</v>
      </c>
      <c r="H129" s="576">
        <v>123.98</v>
      </c>
      <c r="I129" s="525">
        <v>98.07</v>
      </c>
      <c r="J129" s="379">
        <f t="shared" si="41"/>
        <v>387.8</v>
      </c>
      <c r="K129" s="31"/>
      <c r="L129" s="84"/>
      <c r="M129" s="42"/>
      <c r="N129" s="31">
        <v>0</v>
      </c>
      <c r="O129" s="429"/>
      <c r="P129" s="31">
        <v>0</v>
      </c>
      <c r="Q129" s="426">
        <f t="shared" si="1"/>
        <v>0</v>
      </c>
      <c r="R129" s="178">
        <v>0</v>
      </c>
      <c r="S129" s="295"/>
      <c r="T129" s="385">
        <f t="shared" si="52"/>
        <v>0</v>
      </c>
      <c r="U129" s="31"/>
      <c r="V129" s="474">
        <f t="shared" si="42"/>
        <v>0</v>
      </c>
      <c r="W129" s="474">
        <f t="shared" si="43"/>
        <v>0</v>
      </c>
      <c r="X129" s="475">
        <f t="shared" si="44"/>
        <v>0</v>
      </c>
      <c r="Y129" s="475">
        <v>0</v>
      </c>
      <c r="Z129" s="476">
        <v>0</v>
      </c>
      <c r="AA129" s="38">
        <f t="shared" si="45"/>
        <v>0</v>
      </c>
      <c r="AB129" s="564">
        <f t="shared" si="46"/>
        <v>387.8</v>
      </c>
      <c r="AC129" s="564">
        <f t="shared" si="47"/>
        <v>0</v>
      </c>
      <c r="AD129" s="564">
        <f t="shared" si="48"/>
        <v>0</v>
      </c>
      <c r="AE129" s="559"/>
      <c r="AF129" s="564">
        <f t="shared" si="49"/>
        <v>0</v>
      </c>
      <c r="AG129" s="564">
        <f t="shared" si="50"/>
        <v>0</v>
      </c>
      <c r="AH129" s="564">
        <f t="shared" si="51"/>
        <v>0</v>
      </c>
    </row>
    <row r="130" spans="1:34" s="232" customFormat="1">
      <c r="A130" s="283"/>
      <c r="B130" s="283" t="s">
        <v>110</v>
      </c>
      <c r="C130" s="667"/>
      <c r="D130" s="123" t="s">
        <v>439</v>
      </c>
      <c r="E130" s="449"/>
      <c r="F130" s="529">
        <f>VLOOKUP(D130,'Q2 DMV -  Revenue'!C:S,17,FALSE)</f>
        <v>0</v>
      </c>
      <c r="G130" s="576">
        <v>987.7</v>
      </c>
      <c r="H130" s="576">
        <v>677.35</v>
      </c>
      <c r="I130" s="525">
        <v>451.29</v>
      </c>
      <c r="J130" s="379">
        <f t="shared" si="41"/>
        <v>2116.34</v>
      </c>
      <c r="K130" s="31"/>
      <c r="L130" s="84"/>
      <c r="M130" s="42"/>
      <c r="N130" s="31">
        <v>0</v>
      </c>
      <c r="O130" s="429">
        <v>2116.34</v>
      </c>
      <c r="P130" s="31">
        <v>0</v>
      </c>
      <c r="Q130" s="426">
        <f t="shared" si="1"/>
        <v>0</v>
      </c>
      <c r="R130" s="178">
        <v>0</v>
      </c>
      <c r="S130" s="295"/>
      <c r="T130" s="385">
        <f t="shared" si="52"/>
        <v>0</v>
      </c>
      <c r="U130" s="31"/>
      <c r="V130" s="474">
        <f t="shared" si="42"/>
        <v>0</v>
      </c>
      <c r="W130" s="474">
        <f t="shared" si="43"/>
        <v>0</v>
      </c>
      <c r="X130" s="475">
        <f t="shared" si="44"/>
        <v>0</v>
      </c>
      <c r="Y130" s="475">
        <v>0</v>
      </c>
      <c r="Z130" s="476">
        <v>0</v>
      </c>
      <c r="AA130" s="38">
        <f t="shared" si="45"/>
        <v>0</v>
      </c>
      <c r="AB130" s="564">
        <f t="shared" si="46"/>
        <v>2116.34</v>
      </c>
      <c r="AC130" s="564">
        <f t="shared" si="47"/>
        <v>0</v>
      </c>
      <c r="AD130" s="564">
        <f t="shared" si="48"/>
        <v>0</v>
      </c>
      <c r="AE130" s="559"/>
      <c r="AF130" s="564">
        <f t="shared" si="49"/>
        <v>0</v>
      </c>
      <c r="AG130" s="564">
        <f t="shared" si="50"/>
        <v>0</v>
      </c>
      <c r="AH130" s="564">
        <f t="shared" si="51"/>
        <v>0</v>
      </c>
    </row>
    <row r="131" spans="1:34" s="232" customFormat="1">
      <c r="A131" s="283"/>
      <c r="B131" s="283" t="s">
        <v>110</v>
      </c>
      <c r="C131" s="667"/>
      <c r="D131" s="123" t="s">
        <v>512</v>
      </c>
      <c r="E131" s="449"/>
      <c r="F131" s="529">
        <v>0</v>
      </c>
      <c r="G131" s="590">
        <v>0</v>
      </c>
      <c r="H131" s="590">
        <v>0</v>
      </c>
      <c r="I131" s="525">
        <f>19524.54+2743.85+1649.69+7547.89+498.65+68.36</f>
        <v>32032.98</v>
      </c>
      <c r="J131" s="379">
        <f>SUM(E131:I131)</f>
        <v>32032.98</v>
      </c>
      <c r="K131" s="31"/>
      <c r="L131" s="84"/>
      <c r="M131" s="42"/>
      <c r="N131" s="31">
        <v>0</v>
      </c>
      <c r="O131" s="429">
        <v>32032.98</v>
      </c>
      <c r="P131" s="31"/>
      <c r="Q131" s="426">
        <v>0</v>
      </c>
      <c r="R131" s="178">
        <v>0</v>
      </c>
      <c r="S131" s="295"/>
      <c r="T131" s="385">
        <f t="shared" si="52"/>
        <v>0</v>
      </c>
      <c r="U131" s="31"/>
      <c r="V131" s="474">
        <f t="shared" si="42"/>
        <v>0</v>
      </c>
      <c r="W131" s="474">
        <f t="shared" si="43"/>
        <v>0</v>
      </c>
      <c r="X131" s="475">
        <f t="shared" si="44"/>
        <v>0</v>
      </c>
      <c r="Y131" s="475">
        <v>0</v>
      </c>
      <c r="Z131" s="476">
        <v>0</v>
      </c>
      <c r="AA131" s="38">
        <f t="shared" si="45"/>
        <v>0</v>
      </c>
      <c r="AB131" s="564">
        <f t="shared" si="46"/>
        <v>32032.98</v>
      </c>
      <c r="AC131" s="564">
        <f t="shared" si="47"/>
        <v>0</v>
      </c>
      <c r="AD131" s="564">
        <f t="shared" si="48"/>
        <v>0</v>
      </c>
      <c r="AE131" s="559"/>
      <c r="AF131" s="564">
        <f t="shared" si="49"/>
        <v>0</v>
      </c>
      <c r="AG131" s="564">
        <f t="shared" si="50"/>
        <v>0</v>
      </c>
      <c r="AH131" s="564">
        <f t="shared" si="51"/>
        <v>0</v>
      </c>
    </row>
    <row r="132" spans="1:34" s="24" customFormat="1">
      <c r="A132" s="32"/>
      <c r="B132" s="32" t="s">
        <v>110</v>
      </c>
      <c r="C132" s="667"/>
      <c r="D132" s="68" t="s">
        <v>588</v>
      </c>
      <c r="E132" s="540"/>
      <c r="F132" s="677">
        <v>0</v>
      </c>
      <c r="G132" s="579"/>
      <c r="H132" s="579"/>
      <c r="I132" s="524"/>
      <c r="J132" s="648">
        <v>0</v>
      </c>
      <c r="K132" s="649"/>
      <c r="L132" s="85"/>
      <c r="M132" s="650"/>
      <c r="N132" s="649"/>
      <c r="O132" s="678"/>
      <c r="P132" s="649"/>
      <c r="Q132" s="651">
        <v>0</v>
      </c>
      <c r="R132" s="178">
        <v>255.45</v>
      </c>
      <c r="S132" s="179"/>
      <c r="T132" s="385">
        <f t="shared" si="52"/>
        <v>255.45</v>
      </c>
      <c r="U132" s="649"/>
      <c r="V132" s="474">
        <f t="shared" si="42"/>
        <v>0</v>
      </c>
      <c r="W132" s="474">
        <f t="shared" si="43"/>
        <v>0</v>
      </c>
      <c r="X132" s="475">
        <f t="shared" si="44"/>
        <v>0</v>
      </c>
      <c r="Y132" s="475"/>
      <c r="Z132" s="476"/>
      <c r="AA132" s="169"/>
      <c r="AB132" s="564"/>
      <c r="AC132" s="564"/>
      <c r="AD132" s="564"/>
      <c r="AE132" s="597"/>
      <c r="AF132" s="564">
        <f t="shared" si="49"/>
        <v>0</v>
      </c>
      <c r="AG132" s="564">
        <f t="shared" si="50"/>
        <v>0</v>
      </c>
      <c r="AH132" s="564">
        <f t="shared" si="51"/>
        <v>0</v>
      </c>
    </row>
    <row r="133" spans="1:34">
      <c r="A133" s="21"/>
      <c r="B133" s="21" t="s">
        <v>109</v>
      </c>
      <c r="C133" s="666" t="s">
        <v>548</v>
      </c>
      <c r="D133" s="68" t="s">
        <v>461</v>
      </c>
      <c r="E133" s="449"/>
      <c r="F133" s="529">
        <f>VLOOKUP(D133,'Q2 DMV -  Revenue'!C:S,17,FALSE)</f>
        <v>804.11000000000013</v>
      </c>
      <c r="G133" s="576">
        <v>7382.66</v>
      </c>
      <c r="H133" s="576">
        <v>7560.57</v>
      </c>
      <c r="I133" s="524"/>
      <c r="J133" s="379">
        <f t="shared" si="41"/>
        <v>15747.34</v>
      </c>
      <c r="K133" s="31"/>
      <c r="L133" s="84"/>
      <c r="M133" s="42">
        <f t="shared" ref="M133:M134" si="70">SUM(G133+H133)/2</f>
        <v>7471.6149999999998</v>
      </c>
      <c r="N133" s="31">
        <v>0</v>
      </c>
      <c r="O133" s="429">
        <v>19809.32</v>
      </c>
      <c r="P133" s="31">
        <v>0</v>
      </c>
      <c r="Q133" s="426">
        <f t="shared" si="1"/>
        <v>7471.6149999999998</v>
      </c>
      <c r="R133" s="178">
        <v>7552.02</v>
      </c>
      <c r="S133" s="295"/>
      <c r="T133" s="385">
        <f t="shared" si="52"/>
        <v>80.405000000000655</v>
      </c>
      <c r="U133" s="31"/>
      <c r="V133" s="474">
        <f t="shared" si="42"/>
        <v>0</v>
      </c>
      <c r="W133" s="474">
        <f t="shared" si="43"/>
        <v>7471.6149999999998</v>
      </c>
      <c r="X133" s="475">
        <f t="shared" si="44"/>
        <v>0</v>
      </c>
      <c r="Y133" s="475">
        <v>0</v>
      </c>
      <c r="Z133" s="476">
        <v>0</v>
      </c>
      <c r="AA133" s="38">
        <f t="shared" si="45"/>
        <v>0</v>
      </c>
      <c r="AB133" s="564">
        <f t="shared" si="46"/>
        <v>0</v>
      </c>
      <c r="AC133" s="564">
        <f t="shared" si="47"/>
        <v>15747.34</v>
      </c>
      <c r="AD133" s="564">
        <f t="shared" si="48"/>
        <v>0</v>
      </c>
      <c r="AF133" s="564">
        <f t="shared" si="49"/>
        <v>0</v>
      </c>
      <c r="AG133" s="564">
        <f t="shared" si="50"/>
        <v>7471.6149999999998</v>
      </c>
      <c r="AH133" s="564">
        <f t="shared" si="51"/>
        <v>0</v>
      </c>
    </row>
    <row r="134" spans="1:34">
      <c r="A134" s="20"/>
      <c r="B134" s="20" t="s">
        <v>109</v>
      </c>
      <c r="C134" s="667" t="s">
        <v>549</v>
      </c>
      <c r="D134" s="68" t="s">
        <v>22</v>
      </c>
      <c r="E134" s="449">
        <v>175.75</v>
      </c>
      <c r="F134" s="529">
        <f>VLOOKUP(D134,'Q2 DMV -  Revenue'!C:S,17,FALSE)</f>
        <v>778.25</v>
      </c>
      <c r="G134" s="576">
        <v>238.98</v>
      </c>
      <c r="H134" s="576">
        <v>185.8</v>
      </c>
      <c r="I134" s="524"/>
      <c r="J134" s="379">
        <f t="shared" si="41"/>
        <v>1378.78</v>
      </c>
      <c r="K134" s="31"/>
      <c r="L134" s="84"/>
      <c r="M134" s="42">
        <f t="shared" si="70"/>
        <v>212.39</v>
      </c>
      <c r="N134" s="31">
        <v>0</v>
      </c>
      <c r="O134" s="429">
        <v>1378.78</v>
      </c>
      <c r="P134" s="31">
        <v>0</v>
      </c>
      <c r="Q134" s="426">
        <f t="shared" si="1"/>
        <v>212.39</v>
      </c>
      <c r="R134" s="178">
        <f>0.69+141+1.38</f>
        <v>143.07</v>
      </c>
      <c r="S134" s="295"/>
      <c r="T134" s="385">
        <f t="shared" si="52"/>
        <v>-69.319999999999993</v>
      </c>
      <c r="U134" s="31"/>
      <c r="V134" s="474">
        <f t="shared" si="42"/>
        <v>0</v>
      </c>
      <c r="W134" s="474">
        <f t="shared" si="43"/>
        <v>212.39</v>
      </c>
      <c r="X134" s="475">
        <f t="shared" si="44"/>
        <v>0</v>
      </c>
      <c r="Y134" s="475">
        <v>0</v>
      </c>
      <c r="Z134" s="476">
        <v>0</v>
      </c>
      <c r="AA134" s="38">
        <f t="shared" si="45"/>
        <v>0</v>
      </c>
      <c r="AB134" s="564">
        <f t="shared" si="46"/>
        <v>0</v>
      </c>
      <c r="AC134" s="564">
        <f t="shared" si="47"/>
        <v>1378.78</v>
      </c>
      <c r="AD134" s="564">
        <f t="shared" si="48"/>
        <v>0</v>
      </c>
      <c r="AF134" s="564">
        <f t="shared" si="49"/>
        <v>0</v>
      </c>
      <c r="AG134" s="564">
        <f t="shared" si="50"/>
        <v>212.39</v>
      </c>
      <c r="AH134" s="564">
        <f t="shared" si="51"/>
        <v>0</v>
      </c>
    </row>
    <row r="135" spans="1:34">
      <c r="A135" s="20" t="s">
        <v>211</v>
      </c>
      <c r="B135" s="20" t="s">
        <v>110</v>
      </c>
      <c r="C135" s="667"/>
      <c r="D135" s="68" t="s">
        <v>23</v>
      </c>
      <c r="E135" s="449"/>
      <c r="F135" s="529">
        <f>VLOOKUP(D135,'Q2 DMV -  Revenue'!C:S,17,FALSE)</f>
        <v>0</v>
      </c>
      <c r="G135" s="579"/>
      <c r="H135" s="579"/>
      <c r="I135" s="524"/>
      <c r="J135" s="379">
        <f t="shared" si="41"/>
        <v>0</v>
      </c>
      <c r="K135" s="31"/>
      <c r="L135" s="84"/>
      <c r="M135" s="42"/>
      <c r="N135" s="31">
        <v>0</v>
      </c>
      <c r="O135" s="429"/>
      <c r="P135" s="31">
        <v>0</v>
      </c>
      <c r="Q135" s="426">
        <f t="shared" si="1"/>
        <v>0</v>
      </c>
      <c r="R135" s="178">
        <v>0</v>
      </c>
      <c r="S135" s="295"/>
      <c r="T135" s="385">
        <f t="shared" si="52"/>
        <v>0</v>
      </c>
      <c r="U135" s="31"/>
      <c r="V135" s="474">
        <f t="shared" si="42"/>
        <v>0</v>
      </c>
      <c r="W135" s="474">
        <f t="shared" si="43"/>
        <v>0</v>
      </c>
      <c r="X135" s="475">
        <f t="shared" si="44"/>
        <v>0</v>
      </c>
      <c r="Y135" s="475">
        <v>0</v>
      </c>
      <c r="Z135" s="476">
        <v>0</v>
      </c>
      <c r="AA135" s="38">
        <f t="shared" si="45"/>
        <v>0</v>
      </c>
      <c r="AB135" s="564">
        <f t="shared" si="46"/>
        <v>0</v>
      </c>
      <c r="AC135" s="564">
        <f t="shared" si="47"/>
        <v>0</v>
      </c>
      <c r="AD135" s="564">
        <f t="shared" si="48"/>
        <v>0</v>
      </c>
      <c r="AF135" s="564">
        <f t="shared" si="49"/>
        <v>0</v>
      </c>
      <c r="AG135" s="564">
        <f t="shared" si="50"/>
        <v>0</v>
      </c>
      <c r="AH135" s="564">
        <f t="shared" si="51"/>
        <v>0</v>
      </c>
    </row>
    <row r="136" spans="1:34">
      <c r="A136" s="20" t="s">
        <v>109</v>
      </c>
      <c r="B136" s="20" t="s">
        <v>110</v>
      </c>
      <c r="C136" s="667"/>
      <c r="D136" s="68" t="s">
        <v>321</v>
      </c>
      <c r="E136" s="449"/>
      <c r="F136" s="529">
        <f>VLOOKUP(D136,'Q2 DMV -  Revenue'!C:S,17,FALSE)</f>
        <v>0</v>
      </c>
      <c r="G136" s="579"/>
      <c r="H136" s="579"/>
      <c r="I136" s="524"/>
      <c r="J136" s="379">
        <f t="shared" si="41"/>
        <v>0</v>
      </c>
      <c r="K136" s="31"/>
      <c r="L136" s="84"/>
      <c r="M136" s="42"/>
      <c r="N136" s="31">
        <v>0</v>
      </c>
      <c r="O136" s="429"/>
      <c r="P136" s="31">
        <v>0</v>
      </c>
      <c r="Q136" s="426">
        <f t="shared" si="1"/>
        <v>0</v>
      </c>
      <c r="R136" s="178">
        <v>0</v>
      </c>
      <c r="S136" s="295"/>
      <c r="T136" s="385">
        <f t="shared" si="52"/>
        <v>0</v>
      </c>
      <c r="U136" s="31"/>
      <c r="V136" s="474">
        <f t="shared" si="42"/>
        <v>0</v>
      </c>
      <c r="W136" s="474">
        <f t="shared" si="43"/>
        <v>0</v>
      </c>
      <c r="X136" s="475">
        <f t="shared" si="44"/>
        <v>0</v>
      </c>
      <c r="Y136" s="475">
        <v>0</v>
      </c>
      <c r="Z136" s="476">
        <v>0</v>
      </c>
      <c r="AA136" s="38">
        <f t="shared" si="45"/>
        <v>0</v>
      </c>
      <c r="AB136" s="564">
        <f t="shared" si="46"/>
        <v>0</v>
      </c>
      <c r="AC136" s="564">
        <f t="shared" si="47"/>
        <v>0</v>
      </c>
      <c r="AD136" s="564">
        <f t="shared" si="48"/>
        <v>0</v>
      </c>
      <c r="AF136" s="564">
        <f t="shared" si="49"/>
        <v>0</v>
      </c>
      <c r="AG136" s="564">
        <f t="shared" si="50"/>
        <v>0</v>
      </c>
      <c r="AH136" s="564">
        <f t="shared" si="51"/>
        <v>0</v>
      </c>
    </row>
    <row r="137" spans="1:34">
      <c r="A137" s="20"/>
      <c r="B137" s="20" t="s">
        <v>110</v>
      </c>
      <c r="C137" s="667"/>
      <c r="D137" s="68" t="s">
        <v>24</v>
      </c>
      <c r="E137" s="449"/>
      <c r="F137" s="529">
        <f>VLOOKUP(D137,'Q2 DMV -  Revenue'!C:S,17,FALSE)</f>
        <v>306.375</v>
      </c>
      <c r="G137" s="576">
        <v>3495.39</v>
      </c>
      <c r="H137" s="576">
        <v>3631.41</v>
      </c>
      <c r="I137" s="525">
        <v>3560.92</v>
      </c>
      <c r="J137" s="379">
        <f t="shared" si="41"/>
        <v>10994.094999999999</v>
      </c>
      <c r="K137" s="31"/>
      <c r="L137" s="84"/>
      <c r="M137" s="42"/>
      <c r="N137" s="31">
        <v>0</v>
      </c>
      <c r="O137" s="429">
        <v>14874.26</v>
      </c>
      <c r="P137" s="31">
        <v>0</v>
      </c>
      <c r="Q137" s="426">
        <f t="shared" si="1"/>
        <v>0</v>
      </c>
      <c r="R137" s="178">
        <v>0</v>
      </c>
      <c r="S137" s="295"/>
      <c r="T137" s="385">
        <f t="shared" si="52"/>
        <v>0</v>
      </c>
      <c r="U137" s="31"/>
      <c r="V137" s="474">
        <f t="shared" si="42"/>
        <v>0</v>
      </c>
      <c r="W137" s="474">
        <f t="shared" si="43"/>
        <v>0</v>
      </c>
      <c r="X137" s="475">
        <f t="shared" si="44"/>
        <v>0</v>
      </c>
      <c r="Y137" s="475">
        <v>0</v>
      </c>
      <c r="Z137" s="476">
        <v>0</v>
      </c>
      <c r="AA137" s="38">
        <f t="shared" si="45"/>
        <v>0</v>
      </c>
      <c r="AB137" s="564">
        <f t="shared" si="46"/>
        <v>10994.094999999999</v>
      </c>
      <c r="AC137" s="564">
        <f t="shared" si="47"/>
        <v>0</v>
      </c>
      <c r="AD137" s="564">
        <f t="shared" si="48"/>
        <v>0</v>
      </c>
      <c r="AF137" s="564">
        <f t="shared" si="49"/>
        <v>0</v>
      </c>
      <c r="AG137" s="564">
        <f t="shared" si="50"/>
        <v>0</v>
      </c>
      <c r="AH137" s="564">
        <f t="shared" si="51"/>
        <v>0</v>
      </c>
    </row>
    <row r="138" spans="1:34">
      <c r="A138" s="20" t="s">
        <v>211</v>
      </c>
      <c r="B138" s="20" t="s">
        <v>110</v>
      </c>
      <c r="C138" s="667"/>
      <c r="D138" s="68" t="s">
        <v>91</v>
      </c>
      <c r="E138" s="449"/>
      <c r="F138" s="529">
        <f>VLOOKUP(D138,'Q2 DMV -  Revenue'!C:S,17,FALSE)</f>
        <v>0</v>
      </c>
      <c r="G138" s="579"/>
      <c r="H138" s="579"/>
      <c r="I138" s="524"/>
      <c r="J138" s="379">
        <f t="shared" si="41"/>
        <v>0</v>
      </c>
      <c r="K138" s="31"/>
      <c r="L138" s="84"/>
      <c r="M138" s="42"/>
      <c r="N138" s="31">
        <v>0</v>
      </c>
      <c r="O138" s="429"/>
      <c r="P138" s="31">
        <v>0</v>
      </c>
      <c r="Q138" s="426">
        <f t="shared" si="1"/>
        <v>0</v>
      </c>
      <c r="R138" s="178">
        <v>0</v>
      </c>
      <c r="S138" s="295"/>
      <c r="T138" s="385">
        <f t="shared" si="52"/>
        <v>0</v>
      </c>
      <c r="U138" s="2"/>
      <c r="V138" s="474">
        <f t="shared" si="42"/>
        <v>0</v>
      </c>
      <c r="W138" s="474">
        <f t="shared" si="43"/>
        <v>0</v>
      </c>
      <c r="X138" s="475">
        <f t="shared" si="44"/>
        <v>0</v>
      </c>
      <c r="Y138" s="475">
        <v>0</v>
      </c>
      <c r="Z138" s="476">
        <v>0</v>
      </c>
      <c r="AA138" s="38">
        <f t="shared" si="45"/>
        <v>0</v>
      </c>
      <c r="AB138" s="564">
        <f t="shared" si="46"/>
        <v>0</v>
      </c>
      <c r="AC138" s="564">
        <f t="shared" si="47"/>
        <v>0</v>
      </c>
      <c r="AD138" s="564">
        <f t="shared" si="48"/>
        <v>0</v>
      </c>
      <c r="AF138" s="564">
        <f t="shared" si="49"/>
        <v>0</v>
      </c>
      <c r="AG138" s="564">
        <f t="shared" si="50"/>
        <v>0</v>
      </c>
      <c r="AH138" s="564">
        <f t="shared" si="51"/>
        <v>0</v>
      </c>
    </row>
    <row r="139" spans="1:34">
      <c r="A139" s="20"/>
      <c r="B139" s="20" t="s">
        <v>110</v>
      </c>
      <c r="C139" s="667"/>
      <c r="D139" s="68" t="s">
        <v>118</v>
      </c>
      <c r="E139" s="449"/>
      <c r="F139" s="529">
        <f>VLOOKUP(D139,'Q2 DMV -  Revenue'!C:S,17,FALSE)</f>
        <v>0</v>
      </c>
      <c r="G139" s="579"/>
      <c r="H139" s="579"/>
      <c r="I139" s="524"/>
      <c r="J139" s="379">
        <f t="shared" si="41"/>
        <v>0</v>
      </c>
      <c r="K139" s="31"/>
      <c r="L139" s="84"/>
      <c r="M139" s="42"/>
      <c r="N139" s="31">
        <v>0</v>
      </c>
      <c r="O139" s="429"/>
      <c r="P139" s="31">
        <v>0</v>
      </c>
      <c r="Q139" s="426">
        <f t="shared" si="1"/>
        <v>0</v>
      </c>
      <c r="R139" s="178">
        <v>0</v>
      </c>
      <c r="S139" s="295"/>
      <c r="T139" s="385">
        <f t="shared" si="52"/>
        <v>0</v>
      </c>
      <c r="U139" s="2"/>
      <c r="V139" s="474">
        <f t="shared" si="42"/>
        <v>0</v>
      </c>
      <c r="W139" s="474">
        <f t="shared" si="43"/>
        <v>0</v>
      </c>
      <c r="X139" s="475">
        <f t="shared" si="44"/>
        <v>0</v>
      </c>
      <c r="Y139" s="475">
        <v>0</v>
      </c>
      <c r="Z139" s="476">
        <v>0</v>
      </c>
      <c r="AA139" s="38">
        <f t="shared" si="45"/>
        <v>0</v>
      </c>
      <c r="AB139" s="564">
        <f t="shared" si="46"/>
        <v>0</v>
      </c>
      <c r="AC139" s="564">
        <f t="shared" si="47"/>
        <v>0</v>
      </c>
      <c r="AD139" s="564">
        <f t="shared" si="48"/>
        <v>0</v>
      </c>
      <c r="AF139" s="564">
        <f t="shared" si="49"/>
        <v>0</v>
      </c>
      <c r="AG139" s="564">
        <f t="shared" si="50"/>
        <v>0</v>
      </c>
      <c r="AH139" s="564">
        <f t="shared" si="51"/>
        <v>0</v>
      </c>
    </row>
    <row r="140" spans="1:34">
      <c r="A140" s="20" t="s">
        <v>211</v>
      </c>
      <c r="B140" s="20" t="s">
        <v>110</v>
      </c>
      <c r="C140" s="667"/>
      <c r="D140" s="68" t="s">
        <v>486</v>
      </c>
      <c r="E140" s="449"/>
      <c r="F140" s="529">
        <f>VLOOKUP(D140,'Q2 DMV -  Revenue'!C:S,17,FALSE)</f>
        <v>-19</v>
      </c>
      <c r="G140" s="579"/>
      <c r="H140" s="579"/>
      <c r="I140" s="524"/>
      <c r="J140" s="379">
        <f t="shared" si="41"/>
        <v>-19</v>
      </c>
      <c r="K140" s="31"/>
      <c r="L140" s="84"/>
      <c r="M140" s="42"/>
      <c r="N140" s="31">
        <v>0</v>
      </c>
      <c r="O140" s="429"/>
      <c r="P140" s="31">
        <v>0</v>
      </c>
      <c r="Q140" s="426">
        <f t="shared" si="1"/>
        <v>0</v>
      </c>
      <c r="R140" s="178">
        <v>0</v>
      </c>
      <c r="S140" s="295"/>
      <c r="T140" s="385">
        <f t="shared" si="52"/>
        <v>0</v>
      </c>
      <c r="U140" s="31"/>
      <c r="V140" s="474">
        <f t="shared" si="42"/>
        <v>0</v>
      </c>
      <c r="W140" s="474">
        <f t="shared" si="43"/>
        <v>0</v>
      </c>
      <c r="X140" s="475">
        <f t="shared" si="44"/>
        <v>0</v>
      </c>
      <c r="Y140" s="475">
        <v>0</v>
      </c>
      <c r="Z140" s="476">
        <v>0</v>
      </c>
      <c r="AA140" s="38">
        <f t="shared" si="45"/>
        <v>0</v>
      </c>
      <c r="AB140" s="564">
        <f t="shared" si="46"/>
        <v>-19</v>
      </c>
      <c r="AC140" s="564">
        <f t="shared" si="47"/>
        <v>0</v>
      </c>
      <c r="AD140" s="564">
        <f t="shared" si="48"/>
        <v>0</v>
      </c>
      <c r="AF140" s="564">
        <f t="shared" si="49"/>
        <v>0</v>
      </c>
      <c r="AG140" s="564">
        <f t="shared" si="50"/>
        <v>0</v>
      </c>
      <c r="AH140" s="564">
        <f t="shared" si="51"/>
        <v>0</v>
      </c>
    </row>
    <row r="141" spans="1:34">
      <c r="A141" s="21"/>
      <c r="B141" s="21" t="s">
        <v>110</v>
      </c>
      <c r="C141" s="666"/>
      <c r="D141" s="68" t="s">
        <v>268</v>
      </c>
      <c r="E141" s="449"/>
      <c r="F141" s="529">
        <f>VLOOKUP(D141,'Q2 DMV -  Revenue'!C:S,17,FALSE)</f>
        <v>1217.6999999999998</v>
      </c>
      <c r="G141" s="576">
        <v>2829.4</v>
      </c>
      <c r="H141" s="576">
        <v>3760.15</v>
      </c>
      <c r="I141" s="591"/>
      <c r="J141" s="379">
        <f t="shared" si="41"/>
        <v>7807.25</v>
      </c>
      <c r="K141" s="31"/>
      <c r="L141" s="84"/>
      <c r="M141" s="42">
        <v>0</v>
      </c>
      <c r="N141" s="31">
        <v>0</v>
      </c>
      <c r="O141" s="429">
        <v>14165.75</v>
      </c>
      <c r="P141" s="31">
        <v>0</v>
      </c>
      <c r="Q141" s="426">
        <f t="shared" si="1"/>
        <v>0</v>
      </c>
      <c r="R141" s="178">
        <v>0</v>
      </c>
      <c r="S141" s="295"/>
      <c r="T141" s="385">
        <f t="shared" si="52"/>
        <v>0</v>
      </c>
      <c r="U141" s="31"/>
      <c r="V141" s="474">
        <f t="shared" si="42"/>
        <v>0</v>
      </c>
      <c r="W141" s="474">
        <f t="shared" si="43"/>
        <v>0</v>
      </c>
      <c r="X141" s="475">
        <f t="shared" si="44"/>
        <v>0</v>
      </c>
      <c r="Y141" s="475">
        <v>0</v>
      </c>
      <c r="Z141" s="476">
        <v>0</v>
      </c>
      <c r="AA141" s="38">
        <f t="shared" si="45"/>
        <v>0</v>
      </c>
      <c r="AB141" s="564">
        <f t="shared" si="46"/>
        <v>7807.25</v>
      </c>
      <c r="AC141" s="564">
        <f t="shared" si="47"/>
        <v>0</v>
      </c>
      <c r="AD141" s="564">
        <f t="shared" si="48"/>
        <v>0</v>
      </c>
      <c r="AF141" s="564">
        <f t="shared" si="49"/>
        <v>0</v>
      </c>
      <c r="AG141" s="564">
        <f t="shared" si="50"/>
        <v>0</v>
      </c>
      <c r="AH141" s="564">
        <f t="shared" si="51"/>
        <v>0</v>
      </c>
    </row>
    <row r="142" spans="1:34">
      <c r="A142" s="21"/>
      <c r="B142" s="21" t="s">
        <v>110</v>
      </c>
      <c r="C142" s="666"/>
      <c r="D142" s="68" t="s">
        <v>183</v>
      </c>
      <c r="E142" s="449"/>
      <c r="F142" s="529">
        <f>VLOOKUP(D142,'Q2 DMV -  Revenue'!C:S,17,FALSE)</f>
        <v>0</v>
      </c>
      <c r="G142" s="579"/>
      <c r="H142" s="579"/>
      <c r="I142" s="524"/>
      <c r="J142" s="379">
        <f t="shared" si="41"/>
        <v>0</v>
      </c>
      <c r="K142" s="31"/>
      <c r="L142" s="84"/>
      <c r="M142" s="42"/>
      <c r="N142" s="31">
        <v>0</v>
      </c>
      <c r="O142" s="429"/>
      <c r="P142" s="31">
        <v>0</v>
      </c>
      <c r="Q142" s="426">
        <f t="shared" si="1"/>
        <v>0</v>
      </c>
      <c r="R142" s="178">
        <v>0</v>
      </c>
      <c r="S142" s="295"/>
      <c r="T142" s="385">
        <f t="shared" si="52"/>
        <v>0</v>
      </c>
      <c r="U142" s="31"/>
      <c r="V142" s="474">
        <f t="shared" si="42"/>
        <v>0</v>
      </c>
      <c r="W142" s="474">
        <f t="shared" si="43"/>
        <v>0</v>
      </c>
      <c r="X142" s="475">
        <f t="shared" si="44"/>
        <v>0</v>
      </c>
      <c r="Y142" s="475">
        <v>0</v>
      </c>
      <c r="Z142" s="476">
        <v>0</v>
      </c>
      <c r="AA142" s="38">
        <f t="shared" si="45"/>
        <v>0</v>
      </c>
      <c r="AB142" s="564">
        <f t="shared" si="46"/>
        <v>0</v>
      </c>
      <c r="AC142" s="564">
        <f t="shared" si="47"/>
        <v>0</v>
      </c>
      <c r="AD142" s="564">
        <f t="shared" si="48"/>
        <v>0</v>
      </c>
      <c r="AF142" s="564">
        <f t="shared" si="49"/>
        <v>0</v>
      </c>
      <c r="AG142" s="564">
        <f t="shared" si="50"/>
        <v>0</v>
      </c>
      <c r="AH142" s="564">
        <f t="shared" si="51"/>
        <v>0</v>
      </c>
    </row>
    <row r="143" spans="1:34">
      <c r="A143" s="21"/>
      <c r="B143" s="21" t="s">
        <v>110</v>
      </c>
      <c r="C143" s="666" t="s">
        <v>550</v>
      </c>
      <c r="D143" s="68" t="s">
        <v>282</v>
      </c>
      <c r="E143" s="449"/>
      <c r="F143" s="529">
        <f>VLOOKUP(D143,'Q2 DMV -  Revenue'!C:S,17,FALSE)</f>
        <v>644.01499999999942</v>
      </c>
      <c r="G143" s="576">
        <v>34193.800000000003</v>
      </c>
      <c r="H143" s="576">
        <v>33573.69</v>
      </c>
      <c r="I143" s="524"/>
      <c r="J143" s="379">
        <f t="shared" si="41"/>
        <v>68411.505000000005</v>
      </c>
      <c r="K143" s="31"/>
      <c r="L143" s="84"/>
      <c r="M143" s="42">
        <f t="shared" ref="M143" si="71">SUM(G143+H143)/2</f>
        <v>33883.745000000003</v>
      </c>
      <c r="N143" s="31">
        <v>0</v>
      </c>
      <c r="O143" s="429">
        <v>102999.4</v>
      </c>
      <c r="P143" s="31">
        <v>0</v>
      </c>
      <c r="Q143" s="426">
        <f t="shared" si="1"/>
        <v>33883.745000000003</v>
      </c>
      <c r="R143" s="178">
        <v>32784.31</v>
      </c>
      <c r="S143" s="295"/>
      <c r="T143" s="385">
        <f t="shared" si="52"/>
        <v>-1099.4350000000049</v>
      </c>
      <c r="U143" s="31"/>
      <c r="V143" s="474">
        <f t="shared" si="42"/>
        <v>33883.745000000003</v>
      </c>
      <c r="W143" s="474">
        <f t="shared" si="43"/>
        <v>0</v>
      </c>
      <c r="X143" s="475">
        <f t="shared" si="44"/>
        <v>0</v>
      </c>
      <c r="Y143" s="475">
        <v>0</v>
      </c>
      <c r="Z143" s="476">
        <v>0</v>
      </c>
      <c r="AA143" s="38">
        <f t="shared" si="45"/>
        <v>0</v>
      </c>
      <c r="AB143" s="564">
        <f t="shared" si="46"/>
        <v>68411.505000000005</v>
      </c>
      <c r="AC143" s="564">
        <f t="shared" si="47"/>
        <v>0</v>
      </c>
      <c r="AD143" s="564">
        <f t="shared" si="48"/>
        <v>0</v>
      </c>
      <c r="AF143" s="564">
        <f t="shared" si="49"/>
        <v>33883.745000000003</v>
      </c>
      <c r="AG143" s="564">
        <f t="shared" si="50"/>
        <v>0</v>
      </c>
      <c r="AH143" s="564">
        <f t="shared" si="51"/>
        <v>0</v>
      </c>
    </row>
    <row r="144" spans="1:34">
      <c r="A144" s="21"/>
      <c r="B144" s="21" t="s">
        <v>110</v>
      </c>
      <c r="C144" s="666"/>
      <c r="D144" s="68" t="s">
        <v>27</v>
      </c>
      <c r="E144" s="449"/>
      <c r="F144" s="529">
        <f>VLOOKUP(D144,'Q2 DMV -  Revenue'!C:S,17,FALSE)</f>
        <v>0</v>
      </c>
      <c r="G144" s="579"/>
      <c r="H144" s="579"/>
      <c r="I144" s="591"/>
      <c r="J144" s="379">
        <f t="shared" si="41"/>
        <v>0</v>
      </c>
      <c r="K144" s="31"/>
      <c r="L144" s="84"/>
      <c r="M144" s="42"/>
      <c r="N144" s="31">
        <v>0</v>
      </c>
      <c r="O144" s="429"/>
      <c r="P144" s="31">
        <v>0</v>
      </c>
      <c r="Q144" s="426">
        <f t="shared" si="1"/>
        <v>0</v>
      </c>
      <c r="R144" s="178">
        <v>0</v>
      </c>
      <c r="S144" s="295"/>
      <c r="T144" s="385">
        <f t="shared" si="52"/>
        <v>0</v>
      </c>
      <c r="U144" s="31"/>
      <c r="V144" s="474">
        <f t="shared" si="42"/>
        <v>0</v>
      </c>
      <c r="W144" s="474">
        <f t="shared" si="43"/>
        <v>0</v>
      </c>
      <c r="X144" s="475">
        <f t="shared" si="44"/>
        <v>0</v>
      </c>
      <c r="Y144" s="475">
        <v>0</v>
      </c>
      <c r="Z144" s="476">
        <v>0</v>
      </c>
      <c r="AA144" s="38">
        <f t="shared" si="45"/>
        <v>0</v>
      </c>
      <c r="AB144" s="564">
        <f t="shared" si="46"/>
        <v>0</v>
      </c>
      <c r="AC144" s="564">
        <f t="shared" si="47"/>
        <v>0</v>
      </c>
      <c r="AD144" s="564">
        <f t="shared" si="48"/>
        <v>0</v>
      </c>
      <c r="AF144" s="564">
        <f t="shared" si="49"/>
        <v>0</v>
      </c>
      <c r="AG144" s="564">
        <f t="shared" si="50"/>
        <v>0</v>
      </c>
      <c r="AH144" s="564">
        <f t="shared" si="51"/>
        <v>0</v>
      </c>
    </row>
    <row r="145" spans="1:34">
      <c r="A145" s="21"/>
      <c r="B145" s="21" t="s">
        <v>109</v>
      </c>
      <c r="C145" s="666" t="s">
        <v>551</v>
      </c>
      <c r="D145" s="68" t="s">
        <v>499</v>
      </c>
      <c r="E145" s="449">
        <v>3375.01</v>
      </c>
      <c r="F145" s="529">
        <f>VLOOKUP(D145,'Q2 DMV -  Revenue'!C:S,17,FALSE)</f>
        <v>289.39999999999998</v>
      </c>
      <c r="G145" s="646">
        <v>71.75</v>
      </c>
      <c r="H145" s="579"/>
      <c r="I145" s="524"/>
      <c r="J145" s="379">
        <f t="shared" ref="J145" si="72">SUM(E145:I145)</f>
        <v>3736.1600000000003</v>
      </c>
      <c r="K145" s="31"/>
      <c r="L145" s="84"/>
      <c r="M145" s="42">
        <f>G145*2</f>
        <v>143.5</v>
      </c>
      <c r="N145" s="31">
        <v>0</v>
      </c>
      <c r="O145" s="429">
        <v>3736.16</v>
      </c>
      <c r="P145" s="31">
        <v>0</v>
      </c>
      <c r="Q145" s="426">
        <f t="shared" ref="Q145" si="73">L145+M145</f>
        <v>143.5</v>
      </c>
      <c r="R145" s="178">
        <v>0</v>
      </c>
      <c r="S145" s="295"/>
      <c r="T145" s="385">
        <f t="shared" si="52"/>
        <v>-143.5</v>
      </c>
      <c r="U145" s="31"/>
      <c r="V145" s="474">
        <f t="shared" si="42"/>
        <v>0</v>
      </c>
      <c r="W145" s="474">
        <f t="shared" si="43"/>
        <v>143.5</v>
      </c>
      <c r="X145" s="475">
        <f t="shared" si="44"/>
        <v>0</v>
      </c>
      <c r="Y145" s="475">
        <v>0</v>
      </c>
      <c r="Z145" s="476">
        <v>0</v>
      </c>
      <c r="AA145" s="38">
        <f t="shared" si="45"/>
        <v>0</v>
      </c>
      <c r="AB145" s="564">
        <f t="shared" si="46"/>
        <v>0</v>
      </c>
      <c r="AC145" s="564">
        <f t="shared" si="47"/>
        <v>3736.1600000000003</v>
      </c>
      <c r="AD145" s="564">
        <f t="shared" si="48"/>
        <v>0</v>
      </c>
      <c r="AF145" s="564">
        <f t="shared" si="49"/>
        <v>0</v>
      </c>
      <c r="AG145" s="564">
        <f t="shared" si="50"/>
        <v>143.5</v>
      </c>
      <c r="AH145" s="564">
        <f t="shared" si="51"/>
        <v>0</v>
      </c>
    </row>
    <row r="146" spans="1:34">
      <c r="A146" s="21"/>
      <c r="B146" s="21" t="s">
        <v>110</v>
      </c>
      <c r="C146" s="666"/>
      <c r="D146" s="68" t="s">
        <v>28</v>
      </c>
      <c r="E146" s="449"/>
      <c r="F146" s="529">
        <f>VLOOKUP(D146,'Q2 DMV -  Revenue'!C:S,17,FALSE)</f>
        <v>0</v>
      </c>
      <c r="G146" s="576">
        <v>1561</v>
      </c>
      <c r="H146" s="576">
        <v>1303.4000000000001</v>
      </c>
      <c r="I146" s="525">
        <v>1358</v>
      </c>
      <c r="J146" s="379">
        <f t="shared" si="41"/>
        <v>4222.3999999999996</v>
      </c>
      <c r="K146" s="31"/>
      <c r="L146" s="84"/>
      <c r="M146" s="42"/>
      <c r="N146" s="31">
        <v>0</v>
      </c>
      <c r="O146" s="429">
        <v>4222.3999999999996</v>
      </c>
      <c r="P146" s="31">
        <v>0</v>
      </c>
      <c r="Q146" s="426">
        <f t="shared" si="1"/>
        <v>0</v>
      </c>
      <c r="R146" s="178">
        <v>0</v>
      </c>
      <c r="S146" s="295"/>
      <c r="T146" s="385">
        <f t="shared" si="52"/>
        <v>0</v>
      </c>
      <c r="U146" s="31"/>
      <c r="V146" s="474">
        <f t="shared" si="42"/>
        <v>0</v>
      </c>
      <c r="W146" s="474">
        <f t="shared" si="43"/>
        <v>0</v>
      </c>
      <c r="X146" s="475">
        <f t="shared" si="44"/>
        <v>0</v>
      </c>
      <c r="Y146" s="475">
        <v>0</v>
      </c>
      <c r="Z146" s="476">
        <v>0</v>
      </c>
      <c r="AA146" s="38">
        <f t="shared" si="45"/>
        <v>0</v>
      </c>
      <c r="AB146" s="564">
        <f t="shared" si="46"/>
        <v>4222.3999999999996</v>
      </c>
      <c r="AC146" s="564">
        <f t="shared" si="47"/>
        <v>0</v>
      </c>
      <c r="AD146" s="564">
        <f t="shared" si="48"/>
        <v>0</v>
      </c>
      <c r="AF146" s="564">
        <f t="shared" si="49"/>
        <v>0</v>
      </c>
      <c r="AG146" s="564">
        <f t="shared" si="50"/>
        <v>0</v>
      </c>
      <c r="AH146" s="564">
        <f t="shared" si="51"/>
        <v>0</v>
      </c>
    </row>
    <row r="147" spans="1:34">
      <c r="A147" s="21"/>
      <c r="B147" s="21" t="s">
        <v>114</v>
      </c>
      <c r="C147" s="666" t="s">
        <v>552</v>
      </c>
      <c r="D147" s="68" t="s">
        <v>513</v>
      </c>
      <c r="E147" s="449"/>
      <c r="F147" s="529">
        <v>0</v>
      </c>
      <c r="G147" s="576">
        <v>71.2</v>
      </c>
      <c r="H147" s="579"/>
      <c r="I147" s="524"/>
      <c r="J147" s="379">
        <f>SUM(E147:I147)</f>
        <v>71.2</v>
      </c>
      <c r="K147" s="31"/>
      <c r="L147" s="84"/>
      <c r="M147" s="42">
        <f>G147*2</f>
        <v>142.4</v>
      </c>
      <c r="N147" s="31">
        <v>0</v>
      </c>
      <c r="O147" s="429">
        <v>71.2</v>
      </c>
      <c r="P147" s="31">
        <v>0</v>
      </c>
      <c r="Q147" s="426">
        <f>L147+M147</f>
        <v>142.4</v>
      </c>
      <c r="R147" s="178">
        <f>599.2+933.6+603.4</f>
        <v>2136.2000000000003</v>
      </c>
      <c r="S147" s="295"/>
      <c r="T147" s="385">
        <f t="shared" si="52"/>
        <v>1993.8000000000002</v>
      </c>
      <c r="U147" s="31"/>
      <c r="V147" s="474">
        <f t="shared" si="42"/>
        <v>0</v>
      </c>
      <c r="W147" s="474">
        <f t="shared" si="43"/>
        <v>0</v>
      </c>
      <c r="X147" s="475">
        <f t="shared" si="44"/>
        <v>142.4</v>
      </c>
      <c r="Y147" s="475">
        <v>0</v>
      </c>
      <c r="Z147" s="476">
        <v>0</v>
      </c>
      <c r="AA147" s="38">
        <f t="shared" si="45"/>
        <v>0</v>
      </c>
      <c r="AB147" s="564">
        <f t="shared" si="46"/>
        <v>0</v>
      </c>
      <c r="AC147" s="564">
        <f t="shared" si="47"/>
        <v>0</v>
      </c>
      <c r="AD147" s="564">
        <f t="shared" si="48"/>
        <v>71.2</v>
      </c>
      <c r="AF147" s="564">
        <f t="shared" si="49"/>
        <v>0</v>
      </c>
      <c r="AG147" s="564">
        <f t="shared" si="50"/>
        <v>0</v>
      </c>
      <c r="AH147" s="564">
        <f t="shared" si="51"/>
        <v>142.4</v>
      </c>
    </row>
    <row r="148" spans="1:34">
      <c r="A148" s="21"/>
      <c r="B148" s="21" t="s">
        <v>109</v>
      </c>
      <c r="C148" s="666" t="s">
        <v>553</v>
      </c>
      <c r="D148" s="68" t="s">
        <v>308</v>
      </c>
      <c r="E148" s="449"/>
      <c r="F148" s="529">
        <f>VLOOKUP(D148,'Q2 DMV -  Revenue'!C:S,17,FALSE)</f>
        <v>-301.22000000000003</v>
      </c>
      <c r="G148" s="576">
        <v>329.19</v>
      </c>
      <c r="H148" s="576">
        <v>293.72000000000003</v>
      </c>
      <c r="I148" s="524"/>
      <c r="J148" s="379">
        <f t="shared" si="41"/>
        <v>321.69</v>
      </c>
      <c r="K148" s="31"/>
      <c r="L148" s="84"/>
      <c r="M148" s="42">
        <f t="shared" ref="M148" si="74">SUM(G148+H148)/2</f>
        <v>311.45500000000004</v>
      </c>
      <c r="N148" s="31">
        <v>0</v>
      </c>
      <c r="O148" s="429">
        <f>1145+293.72</f>
        <v>1438.72</v>
      </c>
      <c r="P148" s="31">
        <v>0</v>
      </c>
      <c r="Q148" s="426">
        <f t="shared" si="1"/>
        <v>311.45500000000004</v>
      </c>
      <c r="R148" s="178">
        <v>332.52</v>
      </c>
      <c r="S148" s="295"/>
      <c r="T148" s="385">
        <f t="shared" si="52"/>
        <v>21.064999999999941</v>
      </c>
      <c r="U148" s="31"/>
      <c r="V148" s="474">
        <f t="shared" si="42"/>
        <v>0</v>
      </c>
      <c r="W148" s="474">
        <f t="shared" si="43"/>
        <v>311.45500000000004</v>
      </c>
      <c r="X148" s="475">
        <f t="shared" si="44"/>
        <v>0</v>
      </c>
      <c r="Y148" s="475">
        <v>0</v>
      </c>
      <c r="Z148" s="476">
        <v>0</v>
      </c>
      <c r="AA148" s="38">
        <f t="shared" si="45"/>
        <v>0</v>
      </c>
      <c r="AB148" s="564">
        <f t="shared" si="46"/>
        <v>0</v>
      </c>
      <c r="AC148" s="564">
        <f t="shared" si="47"/>
        <v>321.69</v>
      </c>
      <c r="AD148" s="564">
        <f t="shared" si="48"/>
        <v>0</v>
      </c>
      <c r="AF148" s="564">
        <f t="shared" si="49"/>
        <v>0</v>
      </c>
      <c r="AG148" s="564">
        <f t="shared" si="50"/>
        <v>311.45500000000004</v>
      </c>
      <c r="AH148" s="564">
        <f t="shared" si="51"/>
        <v>0</v>
      </c>
    </row>
    <row r="149" spans="1:34" s="232" customFormat="1">
      <c r="A149" s="283" t="s">
        <v>211</v>
      </c>
      <c r="B149" s="283" t="s">
        <v>109</v>
      </c>
      <c r="C149" s="667" t="s">
        <v>554</v>
      </c>
      <c r="D149" s="123" t="s">
        <v>389</v>
      </c>
      <c r="E149" s="449">
        <v>48.61</v>
      </c>
      <c r="F149" s="529">
        <f>VLOOKUP(D149,'Q2 DMV -  Revenue'!C:S,17,FALSE)</f>
        <v>4755.4800000000032</v>
      </c>
      <c r="G149" s="579"/>
      <c r="H149" s="579"/>
      <c r="I149" s="524"/>
      <c r="J149" s="379">
        <f t="shared" si="41"/>
        <v>4804.0900000000029</v>
      </c>
      <c r="K149" s="31"/>
      <c r="L149" s="84"/>
      <c r="M149" s="42">
        <v>40000</v>
      </c>
      <c r="N149" s="31">
        <v>0</v>
      </c>
      <c r="O149" s="429">
        <v>44804.09</v>
      </c>
      <c r="P149" s="31">
        <v>0</v>
      </c>
      <c r="Q149" s="426">
        <f t="shared" si="1"/>
        <v>40000</v>
      </c>
      <c r="R149" s="178">
        <v>49322.57</v>
      </c>
      <c r="S149" s="295"/>
      <c r="T149" s="385">
        <f t="shared" si="52"/>
        <v>9322.57</v>
      </c>
      <c r="U149" s="31"/>
      <c r="V149" s="474">
        <f t="shared" si="42"/>
        <v>0</v>
      </c>
      <c r="W149" s="474">
        <f t="shared" si="43"/>
        <v>40000</v>
      </c>
      <c r="X149" s="475">
        <f t="shared" si="44"/>
        <v>0</v>
      </c>
      <c r="Y149" s="475">
        <v>0</v>
      </c>
      <c r="Z149" s="476">
        <v>0</v>
      </c>
      <c r="AA149" s="38">
        <f t="shared" si="45"/>
        <v>0</v>
      </c>
      <c r="AB149" s="564">
        <f t="shared" si="46"/>
        <v>0</v>
      </c>
      <c r="AC149" s="564">
        <f t="shared" si="47"/>
        <v>4804.0900000000029</v>
      </c>
      <c r="AD149" s="564">
        <f t="shared" si="48"/>
        <v>0</v>
      </c>
      <c r="AE149" s="559"/>
      <c r="AF149" s="564">
        <f t="shared" si="49"/>
        <v>0</v>
      </c>
      <c r="AG149" s="564">
        <f t="shared" si="50"/>
        <v>40000</v>
      </c>
      <c r="AH149" s="564">
        <f t="shared" si="51"/>
        <v>0</v>
      </c>
    </row>
    <row r="150" spans="1:34" s="232" customFormat="1">
      <c r="A150" s="283"/>
      <c r="B150" s="283" t="s">
        <v>110</v>
      </c>
      <c r="C150" s="667"/>
      <c r="D150" s="68" t="s">
        <v>488</v>
      </c>
      <c r="E150" s="449"/>
      <c r="F150" s="529">
        <f>VLOOKUP(D150,'Q2 DMV -  Revenue'!C:S,17,FALSE)</f>
        <v>0</v>
      </c>
      <c r="G150" s="579"/>
      <c r="H150" s="579"/>
      <c r="I150" s="524"/>
      <c r="J150" s="379">
        <f t="shared" si="41"/>
        <v>0</v>
      </c>
      <c r="K150" s="31"/>
      <c r="L150" s="84"/>
      <c r="M150" s="42"/>
      <c r="N150" s="31">
        <v>0</v>
      </c>
      <c r="O150" s="429"/>
      <c r="P150" s="31">
        <v>0</v>
      </c>
      <c r="Q150" s="426">
        <f t="shared" si="1"/>
        <v>0</v>
      </c>
      <c r="R150" s="178">
        <v>0</v>
      </c>
      <c r="S150" s="295"/>
      <c r="T150" s="385">
        <f t="shared" si="52"/>
        <v>0</v>
      </c>
      <c r="U150" s="31"/>
      <c r="V150" s="474">
        <f t="shared" si="42"/>
        <v>0</v>
      </c>
      <c r="W150" s="474">
        <f t="shared" si="43"/>
        <v>0</v>
      </c>
      <c r="X150" s="475">
        <f t="shared" si="44"/>
        <v>0</v>
      </c>
      <c r="Y150" s="475">
        <v>0</v>
      </c>
      <c r="Z150" s="476">
        <v>0</v>
      </c>
      <c r="AA150" s="38">
        <f t="shared" si="45"/>
        <v>0</v>
      </c>
      <c r="AB150" s="564">
        <f t="shared" si="46"/>
        <v>0</v>
      </c>
      <c r="AC150" s="564">
        <f t="shared" si="47"/>
        <v>0</v>
      </c>
      <c r="AD150" s="564">
        <f t="shared" si="48"/>
        <v>0</v>
      </c>
      <c r="AE150" s="559"/>
      <c r="AF150" s="564">
        <f t="shared" si="49"/>
        <v>0</v>
      </c>
      <c r="AG150" s="564">
        <f t="shared" si="50"/>
        <v>0</v>
      </c>
      <c r="AH150" s="564">
        <f t="shared" si="51"/>
        <v>0</v>
      </c>
    </row>
    <row r="151" spans="1:34">
      <c r="A151" s="20" t="s">
        <v>211</v>
      </c>
      <c r="B151" s="20" t="s">
        <v>109</v>
      </c>
      <c r="C151" s="667"/>
      <c r="D151" s="68" t="s">
        <v>236</v>
      </c>
      <c r="E151" s="449"/>
      <c r="F151" s="529">
        <f>VLOOKUP(D151,'Q2 DMV -  Revenue'!C:S,17,FALSE)</f>
        <v>0</v>
      </c>
      <c r="G151" s="579"/>
      <c r="H151" s="579"/>
      <c r="I151" s="524"/>
      <c r="J151" s="379">
        <f t="shared" si="41"/>
        <v>0</v>
      </c>
      <c r="K151" s="31"/>
      <c r="L151" s="84"/>
      <c r="M151" s="42"/>
      <c r="N151" s="31">
        <v>0</v>
      </c>
      <c r="O151" s="429"/>
      <c r="P151" s="31">
        <v>0</v>
      </c>
      <c r="Q151" s="426">
        <f t="shared" si="1"/>
        <v>0</v>
      </c>
      <c r="R151" s="178">
        <v>0</v>
      </c>
      <c r="S151" s="295"/>
      <c r="T151" s="385">
        <f t="shared" si="52"/>
        <v>0</v>
      </c>
      <c r="U151" s="2"/>
      <c r="V151" s="474">
        <f t="shared" ref="V151:V214" si="75">IF(B151="D",Q151,0)</f>
        <v>0</v>
      </c>
      <c r="W151" s="474">
        <f t="shared" ref="W151:W214" si="76">IF(B151="M",Q151,0)</f>
        <v>0</v>
      </c>
      <c r="X151" s="475">
        <f t="shared" ref="X151:X214" si="77">IF(B151="V",Q151,0)</f>
        <v>0</v>
      </c>
      <c r="Y151" s="475">
        <v>0</v>
      </c>
      <c r="Z151" s="476">
        <v>0</v>
      </c>
      <c r="AA151" s="38">
        <f t="shared" ref="AA151:AA214" si="78">(L151+M151)-(V151+W151+X151+Y151+Z151)</f>
        <v>0</v>
      </c>
      <c r="AB151" s="564">
        <f t="shared" ref="AB151:AB214" si="79">IF(B151="D",J151,0)</f>
        <v>0</v>
      </c>
      <c r="AC151" s="564">
        <f t="shared" ref="AC151:AC214" si="80">IF(B151="M",J151,0)</f>
        <v>0</v>
      </c>
      <c r="AD151" s="564">
        <f t="shared" ref="AD151:AD214" si="81">IF(B151="V",J151,0)</f>
        <v>0</v>
      </c>
      <c r="AF151" s="564">
        <f t="shared" ref="AF151:AF214" si="82">IF(B151="D",Q151,0)</f>
        <v>0</v>
      </c>
      <c r="AG151" s="564">
        <f t="shared" ref="AG151:AG214" si="83">IF(B151="M",Q151,0)</f>
        <v>0</v>
      </c>
      <c r="AH151" s="564">
        <f t="shared" ref="AH151:AH214" si="84">IF(B151="V",Q151,0)</f>
        <v>0</v>
      </c>
    </row>
    <row r="152" spans="1:34" s="232" customFormat="1">
      <c r="A152" s="283"/>
      <c r="B152" s="283" t="s">
        <v>110</v>
      </c>
      <c r="C152" s="667" t="s">
        <v>555</v>
      </c>
      <c r="D152" s="123" t="s">
        <v>192</v>
      </c>
      <c r="E152" s="449"/>
      <c r="F152" s="529">
        <f>VLOOKUP(D152,'Q2 DMV -  Revenue'!C:S,17,FALSE)</f>
        <v>0</v>
      </c>
      <c r="G152" s="576">
        <v>9012.24</v>
      </c>
      <c r="H152" s="576">
        <v>7845.42</v>
      </c>
      <c r="I152" s="524"/>
      <c r="J152" s="379">
        <f t="shared" si="41"/>
        <v>16857.66</v>
      </c>
      <c r="K152" s="31"/>
      <c r="L152" s="84"/>
      <c r="M152" s="42">
        <f t="shared" ref="M152:M158" si="85">SUM(G152+H152)/2</f>
        <v>8428.83</v>
      </c>
      <c r="N152" s="31">
        <v>0</v>
      </c>
      <c r="O152" s="429">
        <v>27857.67</v>
      </c>
      <c r="P152" s="31">
        <v>0</v>
      </c>
      <c r="Q152" s="426">
        <f t="shared" si="1"/>
        <v>8428.83</v>
      </c>
      <c r="R152" s="178">
        <v>6615.93</v>
      </c>
      <c r="S152" s="295"/>
      <c r="T152" s="385">
        <f t="shared" si="52"/>
        <v>-1812.8999999999996</v>
      </c>
      <c r="U152" s="31"/>
      <c r="V152" s="474">
        <f t="shared" si="75"/>
        <v>8428.83</v>
      </c>
      <c r="W152" s="474">
        <f t="shared" si="76"/>
        <v>0</v>
      </c>
      <c r="X152" s="475">
        <f t="shared" si="77"/>
        <v>0</v>
      </c>
      <c r="Y152" s="475">
        <v>0</v>
      </c>
      <c r="Z152" s="476">
        <v>0</v>
      </c>
      <c r="AA152" s="38">
        <f t="shared" si="78"/>
        <v>0</v>
      </c>
      <c r="AB152" s="564">
        <f t="shared" si="79"/>
        <v>16857.66</v>
      </c>
      <c r="AC152" s="564">
        <f t="shared" si="80"/>
        <v>0</v>
      </c>
      <c r="AD152" s="564">
        <f t="shared" si="81"/>
        <v>0</v>
      </c>
      <c r="AE152" s="559"/>
      <c r="AF152" s="564">
        <f t="shared" si="82"/>
        <v>8428.83</v>
      </c>
      <c r="AG152" s="564">
        <f t="shared" si="83"/>
        <v>0</v>
      </c>
      <c r="AH152" s="564">
        <f t="shared" si="84"/>
        <v>0</v>
      </c>
    </row>
    <row r="153" spans="1:34" s="232" customFormat="1">
      <c r="A153" s="283"/>
      <c r="B153" s="283" t="s">
        <v>110</v>
      </c>
      <c r="C153" s="667" t="s">
        <v>555</v>
      </c>
      <c r="D153" s="123" t="s">
        <v>193</v>
      </c>
      <c r="E153" s="449"/>
      <c r="F153" s="529">
        <f>VLOOKUP(D153,'Q2 DMV -  Revenue'!C:S,17,FALSE)</f>
        <v>0</v>
      </c>
      <c r="G153" s="576">
        <v>627.19000000000005</v>
      </c>
      <c r="H153" s="576">
        <v>634.46</v>
      </c>
      <c r="I153" s="524"/>
      <c r="J153" s="379">
        <f t="shared" si="41"/>
        <v>1261.6500000000001</v>
      </c>
      <c r="K153" s="31"/>
      <c r="L153" s="84"/>
      <c r="M153" s="42">
        <f t="shared" si="85"/>
        <v>630.82500000000005</v>
      </c>
      <c r="N153" s="31">
        <v>0</v>
      </c>
      <c r="O153" s="429"/>
      <c r="P153" s="31">
        <v>0</v>
      </c>
      <c r="Q153" s="426">
        <f t="shared" si="1"/>
        <v>630.82500000000005</v>
      </c>
      <c r="R153" s="178">
        <v>539.4</v>
      </c>
      <c r="S153" s="295"/>
      <c r="T153" s="385">
        <f t="shared" si="52"/>
        <v>-91.425000000000068</v>
      </c>
      <c r="U153" s="31"/>
      <c r="V153" s="474">
        <f t="shared" si="75"/>
        <v>630.82500000000005</v>
      </c>
      <c r="W153" s="474">
        <f t="shared" si="76"/>
        <v>0</v>
      </c>
      <c r="X153" s="475">
        <f t="shared" si="77"/>
        <v>0</v>
      </c>
      <c r="Y153" s="475">
        <v>0</v>
      </c>
      <c r="Z153" s="476">
        <v>0</v>
      </c>
      <c r="AA153" s="38">
        <f t="shared" si="78"/>
        <v>0</v>
      </c>
      <c r="AB153" s="564">
        <f t="shared" si="79"/>
        <v>1261.6500000000001</v>
      </c>
      <c r="AC153" s="564">
        <f t="shared" si="80"/>
        <v>0</v>
      </c>
      <c r="AD153" s="564">
        <f t="shared" si="81"/>
        <v>0</v>
      </c>
      <c r="AE153" s="559"/>
      <c r="AF153" s="564">
        <f t="shared" si="82"/>
        <v>630.82500000000005</v>
      </c>
      <c r="AG153" s="564">
        <f t="shared" si="83"/>
        <v>0</v>
      </c>
      <c r="AH153" s="564">
        <f t="shared" si="84"/>
        <v>0</v>
      </c>
    </row>
    <row r="154" spans="1:34" s="232" customFormat="1">
      <c r="A154" s="283"/>
      <c r="B154" s="283" t="s">
        <v>110</v>
      </c>
      <c r="C154" s="667" t="s">
        <v>555</v>
      </c>
      <c r="D154" s="123" t="s">
        <v>194</v>
      </c>
      <c r="E154" s="449"/>
      <c r="F154" s="529">
        <f>VLOOKUP(D154,'Q2 DMV -  Revenue'!C:S,17,FALSE)</f>
        <v>0</v>
      </c>
      <c r="G154" s="576">
        <v>179.41</v>
      </c>
      <c r="H154" s="576">
        <v>175.38</v>
      </c>
      <c r="I154" s="524"/>
      <c r="J154" s="379">
        <f t="shared" si="41"/>
        <v>354.78999999999996</v>
      </c>
      <c r="K154" s="31"/>
      <c r="L154" s="84"/>
      <c r="M154" s="42">
        <f t="shared" si="85"/>
        <v>177.39499999999998</v>
      </c>
      <c r="N154" s="31">
        <v>0</v>
      </c>
      <c r="O154" s="429"/>
      <c r="P154" s="31">
        <v>0</v>
      </c>
      <c r="Q154" s="426">
        <f t="shared" si="1"/>
        <v>177.39499999999998</v>
      </c>
      <c r="R154" s="178">
        <v>67.61</v>
      </c>
      <c r="S154" s="295"/>
      <c r="T154" s="385">
        <f t="shared" si="52"/>
        <v>-109.78499999999998</v>
      </c>
      <c r="U154" s="31"/>
      <c r="V154" s="474">
        <f t="shared" si="75"/>
        <v>177.39499999999998</v>
      </c>
      <c r="W154" s="474">
        <f t="shared" si="76"/>
        <v>0</v>
      </c>
      <c r="X154" s="475">
        <f t="shared" si="77"/>
        <v>0</v>
      </c>
      <c r="Y154" s="475">
        <v>0</v>
      </c>
      <c r="Z154" s="476">
        <v>0</v>
      </c>
      <c r="AA154" s="38">
        <f t="shared" si="78"/>
        <v>0</v>
      </c>
      <c r="AB154" s="564">
        <f t="shared" si="79"/>
        <v>354.78999999999996</v>
      </c>
      <c r="AC154" s="564">
        <f t="shared" si="80"/>
        <v>0</v>
      </c>
      <c r="AD154" s="564">
        <f t="shared" si="81"/>
        <v>0</v>
      </c>
      <c r="AE154" s="559"/>
      <c r="AF154" s="564">
        <f t="shared" si="82"/>
        <v>177.39499999999998</v>
      </c>
      <c r="AG154" s="564">
        <f t="shared" si="83"/>
        <v>0</v>
      </c>
      <c r="AH154" s="564">
        <f t="shared" si="84"/>
        <v>0</v>
      </c>
    </row>
    <row r="155" spans="1:34" s="232" customFormat="1">
      <c r="A155" s="283"/>
      <c r="B155" s="283" t="s">
        <v>110</v>
      </c>
      <c r="C155" s="667" t="s">
        <v>555</v>
      </c>
      <c r="D155" s="123" t="s">
        <v>195</v>
      </c>
      <c r="E155" s="449"/>
      <c r="F155" s="529">
        <f>VLOOKUP(D155,'Q2 DMV -  Revenue'!C:S,17,FALSE)</f>
        <v>0</v>
      </c>
      <c r="G155" s="576">
        <v>13.28</v>
      </c>
      <c r="H155" s="576">
        <v>21.98</v>
      </c>
      <c r="I155" s="524"/>
      <c r="J155" s="379">
        <f t="shared" si="41"/>
        <v>35.26</v>
      </c>
      <c r="K155" s="31"/>
      <c r="L155" s="84"/>
      <c r="M155" s="42">
        <f t="shared" si="85"/>
        <v>17.63</v>
      </c>
      <c r="N155" s="31">
        <v>0</v>
      </c>
      <c r="O155" s="429"/>
      <c r="P155" s="31">
        <v>0</v>
      </c>
      <c r="Q155" s="426">
        <f t="shared" si="1"/>
        <v>17.63</v>
      </c>
      <c r="R155" s="178">
        <v>16.79</v>
      </c>
      <c r="S155" s="295"/>
      <c r="T155" s="385">
        <f t="shared" si="52"/>
        <v>-0.83999999999999986</v>
      </c>
      <c r="U155" s="31"/>
      <c r="V155" s="474">
        <f t="shared" si="75"/>
        <v>17.63</v>
      </c>
      <c r="W155" s="474">
        <f t="shared" si="76"/>
        <v>0</v>
      </c>
      <c r="X155" s="475">
        <f t="shared" si="77"/>
        <v>0</v>
      </c>
      <c r="Y155" s="475">
        <v>0</v>
      </c>
      <c r="Z155" s="476">
        <v>0</v>
      </c>
      <c r="AA155" s="38">
        <f t="shared" si="78"/>
        <v>0</v>
      </c>
      <c r="AB155" s="564">
        <f t="shared" si="79"/>
        <v>35.26</v>
      </c>
      <c r="AC155" s="564">
        <f t="shared" si="80"/>
        <v>0</v>
      </c>
      <c r="AD155" s="564">
        <f t="shared" si="81"/>
        <v>0</v>
      </c>
      <c r="AE155" s="559"/>
      <c r="AF155" s="564">
        <f t="shared" si="82"/>
        <v>17.63</v>
      </c>
      <c r="AG155" s="564">
        <f t="shared" si="83"/>
        <v>0</v>
      </c>
      <c r="AH155" s="564">
        <f t="shared" si="84"/>
        <v>0</v>
      </c>
    </row>
    <row r="156" spans="1:34" s="232" customFormat="1">
      <c r="A156" s="283"/>
      <c r="B156" s="283" t="s">
        <v>110</v>
      </c>
      <c r="C156" s="667" t="s">
        <v>555</v>
      </c>
      <c r="D156" s="123" t="s">
        <v>196</v>
      </c>
      <c r="E156" s="449"/>
      <c r="F156" s="529">
        <f>VLOOKUP(D156,'Q2 DMV -  Revenue'!C:S,17,FALSE)</f>
        <v>0</v>
      </c>
      <c r="G156" s="576">
        <v>204.67</v>
      </c>
      <c r="H156" s="576">
        <v>132.12</v>
      </c>
      <c r="I156" s="524"/>
      <c r="J156" s="379">
        <f t="shared" si="41"/>
        <v>336.78999999999996</v>
      </c>
      <c r="K156" s="31"/>
      <c r="L156" s="84"/>
      <c r="M156" s="42">
        <f t="shared" si="85"/>
        <v>168.39499999999998</v>
      </c>
      <c r="N156" s="31">
        <v>0</v>
      </c>
      <c r="O156" s="429"/>
      <c r="P156" s="31">
        <v>0</v>
      </c>
      <c r="Q156" s="426">
        <f t="shared" si="1"/>
        <v>168.39499999999998</v>
      </c>
      <c r="R156" s="178">
        <v>117.22</v>
      </c>
      <c r="S156" s="295"/>
      <c r="T156" s="385">
        <f t="shared" si="52"/>
        <v>-51.174999999999983</v>
      </c>
      <c r="U156" s="31"/>
      <c r="V156" s="474">
        <f t="shared" si="75"/>
        <v>168.39499999999998</v>
      </c>
      <c r="W156" s="474">
        <f t="shared" si="76"/>
        <v>0</v>
      </c>
      <c r="X156" s="475">
        <f t="shared" si="77"/>
        <v>0</v>
      </c>
      <c r="Y156" s="475">
        <v>0</v>
      </c>
      <c r="Z156" s="476">
        <v>0</v>
      </c>
      <c r="AA156" s="38">
        <f t="shared" si="78"/>
        <v>0</v>
      </c>
      <c r="AB156" s="564">
        <f t="shared" si="79"/>
        <v>336.78999999999996</v>
      </c>
      <c r="AC156" s="564">
        <f t="shared" si="80"/>
        <v>0</v>
      </c>
      <c r="AD156" s="564">
        <f t="shared" si="81"/>
        <v>0</v>
      </c>
      <c r="AE156" s="559"/>
      <c r="AF156" s="564">
        <f t="shared" si="82"/>
        <v>168.39499999999998</v>
      </c>
      <c r="AG156" s="564">
        <f t="shared" si="83"/>
        <v>0</v>
      </c>
      <c r="AH156" s="564">
        <f t="shared" si="84"/>
        <v>0</v>
      </c>
    </row>
    <row r="157" spans="1:34" s="232" customFormat="1">
      <c r="A157" s="283"/>
      <c r="B157" s="283" t="s">
        <v>110</v>
      </c>
      <c r="C157" s="667" t="s">
        <v>555</v>
      </c>
      <c r="D157" s="123" t="s">
        <v>197</v>
      </c>
      <c r="E157" s="449"/>
      <c r="F157" s="529">
        <f>VLOOKUP(D157,'Q2 DMV -  Revenue'!C:S,17,FALSE)</f>
        <v>0</v>
      </c>
      <c r="G157" s="576">
        <v>17.27</v>
      </c>
      <c r="H157" s="576">
        <v>6.81</v>
      </c>
      <c r="I157" s="524"/>
      <c r="J157" s="379">
        <f t="shared" si="41"/>
        <v>24.08</v>
      </c>
      <c r="K157" s="31"/>
      <c r="L157" s="84"/>
      <c r="M157" s="42">
        <f t="shared" si="85"/>
        <v>12.04</v>
      </c>
      <c r="N157" s="31">
        <v>0</v>
      </c>
      <c r="O157" s="429"/>
      <c r="P157" s="31">
        <v>0</v>
      </c>
      <c r="Q157" s="426">
        <f t="shared" si="1"/>
        <v>12.04</v>
      </c>
      <c r="R157" s="178">
        <v>2.5499999999999998</v>
      </c>
      <c r="S157" s="295"/>
      <c r="T157" s="385">
        <f t="shared" si="52"/>
        <v>-9.4899999999999984</v>
      </c>
      <c r="U157" s="31"/>
      <c r="V157" s="474">
        <f t="shared" si="75"/>
        <v>12.04</v>
      </c>
      <c r="W157" s="474">
        <f t="shared" si="76"/>
        <v>0</v>
      </c>
      <c r="X157" s="475">
        <f t="shared" si="77"/>
        <v>0</v>
      </c>
      <c r="Y157" s="475">
        <v>0</v>
      </c>
      <c r="Z157" s="476">
        <v>0</v>
      </c>
      <c r="AA157" s="38">
        <f t="shared" si="78"/>
        <v>0</v>
      </c>
      <c r="AB157" s="564">
        <f t="shared" si="79"/>
        <v>24.08</v>
      </c>
      <c r="AC157" s="564">
        <f t="shared" si="80"/>
        <v>0</v>
      </c>
      <c r="AD157" s="564">
        <f t="shared" si="81"/>
        <v>0</v>
      </c>
      <c r="AE157" s="559"/>
      <c r="AF157" s="564">
        <f t="shared" si="82"/>
        <v>12.04</v>
      </c>
      <c r="AG157" s="564">
        <f t="shared" si="83"/>
        <v>0</v>
      </c>
      <c r="AH157" s="564">
        <f t="shared" si="84"/>
        <v>0</v>
      </c>
    </row>
    <row r="158" spans="1:34" s="232" customFormat="1">
      <c r="A158" s="283"/>
      <c r="B158" s="283" t="s">
        <v>110</v>
      </c>
      <c r="C158" s="667" t="s">
        <v>555</v>
      </c>
      <c r="D158" s="123" t="s">
        <v>440</v>
      </c>
      <c r="E158" s="449"/>
      <c r="F158" s="529">
        <f>VLOOKUP(D158,'Q2 DMV -  Revenue'!C:S,17,FALSE)</f>
        <v>0</v>
      </c>
      <c r="G158" s="576">
        <f>2340.02+467.92+742.76</f>
        <v>3550.7</v>
      </c>
      <c r="H158" s="576">
        <f>2121.97+366.05+695.78</f>
        <v>3183.8</v>
      </c>
      <c r="I158" s="524"/>
      <c r="J158" s="379">
        <f t="shared" ref="J158:J225" si="86">SUM(E158:I158)</f>
        <v>6734.5</v>
      </c>
      <c r="K158" s="31"/>
      <c r="L158" s="84"/>
      <c r="M158" s="42">
        <f t="shared" si="85"/>
        <v>3367.25</v>
      </c>
      <c r="N158" s="31">
        <v>0</v>
      </c>
      <c r="O158" s="429"/>
      <c r="P158" s="31">
        <v>0</v>
      </c>
      <c r="Q158" s="426">
        <f t="shared" si="1"/>
        <v>3367.25</v>
      </c>
      <c r="R158" s="178">
        <f>2042.08+275.49+449.87</f>
        <v>2767.4399999999996</v>
      </c>
      <c r="S158" s="295"/>
      <c r="T158" s="385">
        <f t="shared" si="52"/>
        <v>-599.8100000000004</v>
      </c>
      <c r="U158" s="31"/>
      <c r="V158" s="474">
        <f t="shared" si="75"/>
        <v>3367.25</v>
      </c>
      <c r="W158" s="474">
        <f t="shared" si="76"/>
        <v>0</v>
      </c>
      <c r="X158" s="475">
        <f t="shared" si="77"/>
        <v>0</v>
      </c>
      <c r="Y158" s="475">
        <v>0</v>
      </c>
      <c r="Z158" s="476">
        <v>0</v>
      </c>
      <c r="AA158" s="38">
        <f t="shared" si="78"/>
        <v>0</v>
      </c>
      <c r="AB158" s="564">
        <f t="shared" si="79"/>
        <v>6734.5</v>
      </c>
      <c r="AC158" s="564">
        <f t="shared" si="80"/>
        <v>0</v>
      </c>
      <c r="AD158" s="564">
        <f t="shared" si="81"/>
        <v>0</v>
      </c>
      <c r="AE158" s="559"/>
      <c r="AF158" s="564">
        <f t="shared" si="82"/>
        <v>3367.25</v>
      </c>
      <c r="AG158" s="564">
        <f t="shared" si="83"/>
        <v>0</v>
      </c>
      <c r="AH158" s="564">
        <f t="shared" si="84"/>
        <v>0</v>
      </c>
    </row>
    <row r="159" spans="1:34" s="232" customFormat="1">
      <c r="A159" s="283"/>
      <c r="B159" s="283" t="s">
        <v>110</v>
      </c>
      <c r="C159" s="667" t="s">
        <v>555</v>
      </c>
      <c r="D159" s="123" t="s">
        <v>481</v>
      </c>
      <c r="E159" s="449"/>
      <c r="F159" s="529">
        <f>VLOOKUP(D159,'Q2 DMV -  Revenue'!C:S,17,FALSE)</f>
        <v>0</v>
      </c>
      <c r="G159" s="576">
        <v>1156.3599999999999</v>
      </c>
      <c r="H159" s="576">
        <v>1096.58</v>
      </c>
      <c r="I159" s="524"/>
      <c r="J159" s="379">
        <f t="shared" si="86"/>
        <v>2252.9399999999996</v>
      </c>
      <c r="K159" s="31"/>
      <c r="L159" s="84"/>
      <c r="M159" s="42">
        <f t="shared" ref="M159" si="87">SUM(G159+H159)/2</f>
        <v>1126.4699999999998</v>
      </c>
      <c r="N159" s="31">
        <v>0</v>
      </c>
      <c r="O159" s="429"/>
      <c r="P159" s="31">
        <v>0</v>
      </c>
      <c r="Q159" s="426">
        <f t="shared" si="1"/>
        <v>1126.4699999999998</v>
      </c>
      <c r="R159" s="178">
        <v>1052.2</v>
      </c>
      <c r="S159" s="295"/>
      <c r="T159" s="385">
        <f t="shared" ref="T159:T226" si="88">IF(R159="","",R159-Q159)</f>
        <v>-74.269999999999754</v>
      </c>
      <c r="U159" s="31"/>
      <c r="V159" s="474">
        <f t="shared" si="75"/>
        <v>1126.4699999999998</v>
      </c>
      <c r="W159" s="474">
        <f t="shared" si="76"/>
        <v>0</v>
      </c>
      <c r="X159" s="475">
        <f t="shared" si="77"/>
        <v>0</v>
      </c>
      <c r="Y159" s="475">
        <v>0</v>
      </c>
      <c r="Z159" s="476">
        <v>0</v>
      </c>
      <c r="AA159" s="38">
        <f t="shared" si="78"/>
        <v>0</v>
      </c>
      <c r="AB159" s="564">
        <f t="shared" si="79"/>
        <v>2252.9399999999996</v>
      </c>
      <c r="AC159" s="564">
        <f t="shared" si="80"/>
        <v>0</v>
      </c>
      <c r="AD159" s="564">
        <f t="shared" si="81"/>
        <v>0</v>
      </c>
      <c r="AE159" s="559"/>
      <c r="AF159" s="564">
        <f t="shared" si="82"/>
        <v>1126.4699999999998</v>
      </c>
      <c r="AG159" s="564">
        <f t="shared" si="83"/>
        <v>0</v>
      </c>
      <c r="AH159" s="564">
        <f t="shared" si="84"/>
        <v>0</v>
      </c>
    </row>
    <row r="160" spans="1:34" s="232" customFormat="1">
      <c r="A160" s="283"/>
      <c r="B160" s="283" t="s">
        <v>109</v>
      </c>
      <c r="C160" s="667" t="s">
        <v>555</v>
      </c>
      <c r="D160" s="123" t="s">
        <v>248</v>
      </c>
      <c r="E160" s="449"/>
      <c r="F160" s="529">
        <f>VLOOKUP(D160,'Q2 DMV -  Revenue'!C:S,17,FALSE)</f>
        <v>0</v>
      </c>
      <c r="G160" s="579"/>
      <c r="H160" s="579"/>
      <c r="I160" s="524"/>
      <c r="J160" s="379">
        <f t="shared" si="86"/>
        <v>0</v>
      </c>
      <c r="K160" s="31"/>
      <c r="L160" s="84"/>
      <c r="M160" s="42"/>
      <c r="N160" s="31">
        <v>0</v>
      </c>
      <c r="O160" s="429"/>
      <c r="P160" s="31">
        <v>0</v>
      </c>
      <c r="Q160" s="426">
        <f t="shared" si="1"/>
        <v>0</v>
      </c>
      <c r="R160" s="178">
        <v>0</v>
      </c>
      <c r="S160" s="295"/>
      <c r="T160" s="385">
        <f t="shared" si="88"/>
        <v>0</v>
      </c>
      <c r="U160" s="31"/>
      <c r="V160" s="474">
        <f t="shared" si="75"/>
        <v>0</v>
      </c>
      <c r="W160" s="474">
        <f t="shared" si="76"/>
        <v>0</v>
      </c>
      <c r="X160" s="475">
        <f t="shared" si="77"/>
        <v>0</v>
      </c>
      <c r="Y160" s="475">
        <v>0</v>
      </c>
      <c r="Z160" s="476">
        <v>0</v>
      </c>
      <c r="AA160" s="38">
        <f t="shared" si="78"/>
        <v>0</v>
      </c>
      <c r="AB160" s="564">
        <f t="shared" si="79"/>
        <v>0</v>
      </c>
      <c r="AC160" s="564">
        <f t="shared" si="80"/>
        <v>0</v>
      </c>
      <c r="AD160" s="564">
        <f t="shared" si="81"/>
        <v>0</v>
      </c>
      <c r="AE160" s="559"/>
      <c r="AF160" s="564">
        <f t="shared" si="82"/>
        <v>0</v>
      </c>
      <c r="AG160" s="564">
        <f t="shared" si="83"/>
        <v>0</v>
      </c>
      <c r="AH160" s="564">
        <f t="shared" si="84"/>
        <v>0</v>
      </c>
    </row>
    <row r="161" spans="1:34" s="232" customFormat="1">
      <c r="A161" s="283"/>
      <c r="B161" s="32" t="s">
        <v>110</v>
      </c>
      <c r="C161" s="667"/>
      <c r="D161" s="68" t="s">
        <v>465</v>
      </c>
      <c r="E161" s="449"/>
      <c r="F161" s="529">
        <f>VLOOKUP(D161,'Q2 DMV -  Revenue'!C:S,17,FALSE)</f>
        <v>0</v>
      </c>
      <c r="G161" s="579"/>
      <c r="H161" s="579"/>
      <c r="I161" s="524"/>
      <c r="J161" s="379">
        <f t="shared" si="86"/>
        <v>0</v>
      </c>
      <c r="K161" s="31"/>
      <c r="L161" s="84"/>
      <c r="M161" s="42"/>
      <c r="N161" s="31">
        <v>0</v>
      </c>
      <c r="O161" s="429"/>
      <c r="P161" s="31">
        <v>0</v>
      </c>
      <c r="Q161" s="426">
        <f t="shared" si="1"/>
        <v>0</v>
      </c>
      <c r="R161" s="178">
        <v>0</v>
      </c>
      <c r="S161" s="295"/>
      <c r="T161" s="385">
        <f t="shared" si="88"/>
        <v>0</v>
      </c>
      <c r="U161" s="31"/>
      <c r="V161" s="474">
        <f t="shared" si="75"/>
        <v>0</v>
      </c>
      <c r="W161" s="474">
        <f t="shared" si="76"/>
        <v>0</v>
      </c>
      <c r="X161" s="475">
        <f t="shared" si="77"/>
        <v>0</v>
      </c>
      <c r="Y161" s="475">
        <v>0</v>
      </c>
      <c r="Z161" s="476">
        <v>0</v>
      </c>
      <c r="AA161" s="38">
        <f t="shared" si="78"/>
        <v>0</v>
      </c>
      <c r="AB161" s="564">
        <f t="shared" si="79"/>
        <v>0</v>
      </c>
      <c r="AC161" s="564">
        <f t="shared" si="80"/>
        <v>0</v>
      </c>
      <c r="AD161" s="564">
        <f t="shared" si="81"/>
        <v>0</v>
      </c>
      <c r="AE161" s="559"/>
      <c r="AF161" s="564">
        <f t="shared" si="82"/>
        <v>0</v>
      </c>
      <c r="AG161" s="564">
        <f t="shared" si="83"/>
        <v>0</v>
      </c>
      <c r="AH161" s="564">
        <f t="shared" si="84"/>
        <v>0</v>
      </c>
    </row>
    <row r="162" spans="1:34">
      <c r="A162" s="21"/>
      <c r="B162" s="21" t="s">
        <v>109</v>
      </c>
      <c r="C162" s="666"/>
      <c r="D162" s="68" t="s">
        <v>31</v>
      </c>
      <c r="E162" s="449"/>
      <c r="F162" s="529">
        <f>VLOOKUP(D162,'Q2 DMV -  Revenue'!C:S,17,FALSE)</f>
        <v>0</v>
      </c>
      <c r="G162" s="579"/>
      <c r="H162" s="579"/>
      <c r="I162" s="524"/>
      <c r="J162" s="379">
        <f t="shared" si="86"/>
        <v>0</v>
      </c>
      <c r="K162" s="31"/>
      <c r="L162" s="84"/>
      <c r="M162" s="42"/>
      <c r="N162" s="31">
        <v>0</v>
      </c>
      <c r="O162" s="429"/>
      <c r="P162" s="31">
        <v>0</v>
      </c>
      <c r="Q162" s="426">
        <f t="shared" si="1"/>
        <v>0</v>
      </c>
      <c r="R162" s="178">
        <v>0</v>
      </c>
      <c r="S162" s="295"/>
      <c r="T162" s="385">
        <f t="shared" si="88"/>
        <v>0</v>
      </c>
      <c r="U162" s="31"/>
      <c r="V162" s="474">
        <f t="shared" si="75"/>
        <v>0</v>
      </c>
      <c r="W162" s="474">
        <f t="shared" si="76"/>
        <v>0</v>
      </c>
      <c r="X162" s="475">
        <f t="shared" si="77"/>
        <v>0</v>
      </c>
      <c r="Y162" s="475">
        <v>0</v>
      </c>
      <c r="Z162" s="476">
        <v>0</v>
      </c>
      <c r="AA162" s="38">
        <f t="shared" si="78"/>
        <v>0</v>
      </c>
      <c r="AB162" s="564">
        <f t="shared" si="79"/>
        <v>0</v>
      </c>
      <c r="AC162" s="564">
        <f t="shared" si="80"/>
        <v>0</v>
      </c>
      <c r="AD162" s="564">
        <f t="shared" si="81"/>
        <v>0</v>
      </c>
      <c r="AF162" s="564">
        <f t="shared" si="82"/>
        <v>0</v>
      </c>
      <c r="AG162" s="564">
        <f t="shared" si="83"/>
        <v>0</v>
      </c>
      <c r="AH162" s="564">
        <f t="shared" si="84"/>
        <v>0</v>
      </c>
    </row>
    <row r="163" spans="1:34">
      <c r="A163" s="21"/>
      <c r="B163" s="21" t="s">
        <v>110</v>
      </c>
      <c r="C163" s="666" t="s">
        <v>556</v>
      </c>
      <c r="D163" s="68" t="s">
        <v>261</v>
      </c>
      <c r="E163" s="449"/>
      <c r="F163" s="529">
        <f>VLOOKUP(D163,'Q2 DMV -  Revenue'!C:S,17,FALSE)</f>
        <v>-1624.989999999998</v>
      </c>
      <c r="G163" s="576">
        <f>56886.49-G164</f>
        <v>39193.909999999996</v>
      </c>
      <c r="H163" s="576">
        <f>59891.84-H164</f>
        <v>42086.02</v>
      </c>
      <c r="I163" s="524"/>
      <c r="J163" s="379">
        <f t="shared" si="86"/>
        <v>79654.94</v>
      </c>
      <c r="K163" s="31"/>
      <c r="L163" s="84"/>
      <c r="M163" s="42">
        <f t="shared" ref="M163:M164" si="89">SUM(G163+H163)/2</f>
        <v>40639.964999999997</v>
      </c>
      <c r="N163" s="31">
        <v>0</v>
      </c>
      <c r="O163" s="429">
        <v>173497.13</v>
      </c>
      <c r="P163" s="31">
        <v>0</v>
      </c>
      <c r="Q163" s="426">
        <f t="shared" si="1"/>
        <v>40639.964999999997</v>
      </c>
      <c r="R163" s="178">
        <f>56594.95-R164</f>
        <v>38037.949999999997</v>
      </c>
      <c r="S163" s="295"/>
      <c r="T163" s="385">
        <f t="shared" si="88"/>
        <v>-2602.0149999999994</v>
      </c>
      <c r="U163" s="31"/>
      <c r="V163" s="474">
        <f t="shared" si="75"/>
        <v>40639.964999999997</v>
      </c>
      <c r="W163" s="474">
        <f t="shared" si="76"/>
        <v>0</v>
      </c>
      <c r="X163" s="475">
        <f t="shared" si="77"/>
        <v>0</v>
      </c>
      <c r="Y163" s="475">
        <v>0</v>
      </c>
      <c r="Z163" s="476">
        <v>0</v>
      </c>
      <c r="AA163" s="38">
        <f t="shared" si="78"/>
        <v>0</v>
      </c>
      <c r="AB163" s="564">
        <f t="shared" si="79"/>
        <v>79654.94</v>
      </c>
      <c r="AC163" s="564">
        <f t="shared" si="80"/>
        <v>0</v>
      </c>
      <c r="AD163" s="564">
        <f t="shared" si="81"/>
        <v>0</v>
      </c>
      <c r="AF163" s="564">
        <f t="shared" si="82"/>
        <v>40639.964999999997</v>
      </c>
      <c r="AG163" s="564">
        <f t="shared" si="83"/>
        <v>0</v>
      </c>
      <c r="AH163" s="564">
        <f t="shared" si="84"/>
        <v>0</v>
      </c>
    </row>
    <row r="164" spans="1:34" s="269" customFormat="1">
      <c r="A164" s="21"/>
      <c r="B164" s="21" t="s">
        <v>110</v>
      </c>
      <c r="C164" s="666" t="s">
        <v>556</v>
      </c>
      <c r="D164" s="68" t="s">
        <v>262</v>
      </c>
      <c r="E164" s="449"/>
      <c r="F164" s="529">
        <f>VLOOKUP(D164,'Q2 DMV -  Revenue'!C:S,17,FALSE)</f>
        <v>-1476.4500000000007</v>
      </c>
      <c r="G164" s="576">
        <v>17692.580000000002</v>
      </c>
      <c r="H164" s="576">
        <v>17805.82</v>
      </c>
      <c r="I164" s="524"/>
      <c r="J164" s="379">
        <f t="shared" si="86"/>
        <v>34021.949999999997</v>
      </c>
      <c r="K164" s="31"/>
      <c r="L164" s="84"/>
      <c r="M164" s="42">
        <f t="shared" si="89"/>
        <v>17749.2</v>
      </c>
      <c r="N164" s="31">
        <v>0</v>
      </c>
      <c r="O164" s="429"/>
      <c r="P164" s="31">
        <v>0</v>
      </c>
      <c r="Q164" s="426">
        <f t="shared" si="1"/>
        <v>17749.2</v>
      </c>
      <c r="R164" s="178">
        <f>17497.61+1059.39</f>
        <v>18557</v>
      </c>
      <c r="S164" s="295"/>
      <c r="T164" s="385">
        <f t="shared" si="88"/>
        <v>807.79999999999927</v>
      </c>
      <c r="U164" s="31"/>
      <c r="V164" s="474">
        <f t="shared" si="75"/>
        <v>17749.2</v>
      </c>
      <c r="W164" s="474">
        <f t="shared" si="76"/>
        <v>0</v>
      </c>
      <c r="X164" s="475">
        <f t="shared" si="77"/>
        <v>0</v>
      </c>
      <c r="Y164" s="475">
        <v>0</v>
      </c>
      <c r="Z164" s="476">
        <v>0</v>
      </c>
      <c r="AA164" s="38">
        <f t="shared" si="78"/>
        <v>0</v>
      </c>
      <c r="AB164" s="564">
        <f t="shared" si="79"/>
        <v>34021.949999999997</v>
      </c>
      <c r="AC164" s="564">
        <f t="shared" si="80"/>
        <v>0</v>
      </c>
      <c r="AD164" s="564">
        <f t="shared" si="81"/>
        <v>0</v>
      </c>
      <c r="AE164" s="559"/>
      <c r="AF164" s="564">
        <f t="shared" si="82"/>
        <v>17749.2</v>
      </c>
      <c r="AG164" s="564">
        <f t="shared" si="83"/>
        <v>0</v>
      </c>
      <c r="AH164" s="564">
        <f t="shared" si="84"/>
        <v>0</v>
      </c>
    </row>
    <row r="165" spans="1:34">
      <c r="A165" s="21"/>
      <c r="B165" s="21" t="s">
        <v>109</v>
      </c>
      <c r="C165" s="666"/>
      <c r="D165" s="68" t="s">
        <v>190</v>
      </c>
      <c r="E165" s="449"/>
      <c r="F165" s="529">
        <f>VLOOKUP(D165,'Q2 DMV -  Revenue'!C:S,17,FALSE)</f>
        <v>-834.8</v>
      </c>
      <c r="G165" s="579"/>
      <c r="H165" s="579"/>
      <c r="I165" s="524"/>
      <c r="J165" s="379">
        <f t="shared" si="86"/>
        <v>-834.8</v>
      </c>
      <c r="K165" s="31"/>
      <c r="L165" s="84"/>
      <c r="M165" s="42"/>
      <c r="N165" s="31">
        <v>0</v>
      </c>
      <c r="O165" s="429"/>
      <c r="P165" s="31">
        <v>0</v>
      </c>
      <c r="Q165" s="426">
        <f t="shared" ref="Q165:Q232" si="90">L165+M165</f>
        <v>0</v>
      </c>
      <c r="R165" s="178">
        <v>0</v>
      </c>
      <c r="S165" s="295"/>
      <c r="T165" s="385">
        <f t="shared" si="88"/>
        <v>0</v>
      </c>
      <c r="U165" s="31"/>
      <c r="V165" s="474">
        <f t="shared" si="75"/>
        <v>0</v>
      </c>
      <c r="W165" s="474">
        <f t="shared" si="76"/>
        <v>0</v>
      </c>
      <c r="X165" s="475">
        <f t="shared" si="77"/>
        <v>0</v>
      </c>
      <c r="Y165" s="475">
        <v>0</v>
      </c>
      <c r="Z165" s="476">
        <v>0</v>
      </c>
      <c r="AA165" s="38">
        <f t="shared" si="78"/>
        <v>0</v>
      </c>
      <c r="AB165" s="564">
        <f t="shared" si="79"/>
        <v>0</v>
      </c>
      <c r="AC165" s="564">
        <f t="shared" si="80"/>
        <v>-834.8</v>
      </c>
      <c r="AD165" s="564">
        <f t="shared" si="81"/>
        <v>0</v>
      </c>
      <c r="AF165" s="564">
        <f t="shared" si="82"/>
        <v>0</v>
      </c>
      <c r="AG165" s="564">
        <f t="shared" si="83"/>
        <v>0</v>
      </c>
      <c r="AH165" s="564">
        <f t="shared" si="84"/>
        <v>0</v>
      </c>
    </row>
    <row r="166" spans="1:34">
      <c r="A166" s="21"/>
      <c r="B166" s="21" t="s">
        <v>109</v>
      </c>
      <c r="C166" s="666"/>
      <c r="D166" s="68" t="s">
        <v>231</v>
      </c>
      <c r="E166" s="449"/>
      <c r="F166" s="529">
        <f>VLOOKUP(D166,'Q2 DMV -  Revenue'!C:S,17,FALSE)</f>
        <v>-1500</v>
      </c>
      <c r="G166" s="579"/>
      <c r="H166" s="579"/>
      <c r="I166" s="524"/>
      <c r="J166" s="379">
        <f t="shared" si="86"/>
        <v>-1500</v>
      </c>
      <c r="K166" s="31"/>
      <c r="L166" s="84"/>
      <c r="M166" s="42"/>
      <c r="N166" s="31">
        <v>0</v>
      </c>
      <c r="O166" s="429"/>
      <c r="P166" s="31">
        <v>0</v>
      </c>
      <c r="Q166" s="426">
        <f t="shared" si="90"/>
        <v>0</v>
      </c>
      <c r="R166" s="178">
        <v>0</v>
      </c>
      <c r="S166" s="295"/>
      <c r="T166" s="385">
        <f t="shared" si="88"/>
        <v>0</v>
      </c>
      <c r="U166" s="31"/>
      <c r="V166" s="474">
        <f t="shared" si="75"/>
        <v>0</v>
      </c>
      <c r="W166" s="474">
        <f t="shared" si="76"/>
        <v>0</v>
      </c>
      <c r="X166" s="475">
        <f t="shared" si="77"/>
        <v>0</v>
      </c>
      <c r="Y166" s="475">
        <v>0</v>
      </c>
      <c r="Z166" s="476">
        <v>0</v>
      </c>
      <c r="AA166" s="38">
        <f t="shared" si="78"/>
        <v>0</v>
      </c>
      <c r="AB166" s="564">
        <f t="shared" si="79"/>
        <v>0</v>
      </c>
      <c r="AC166" s="564">
        <f t="shared" si="80"/>
        <v>-1500</v>
      </c>
      <c r="AD166" s="564">
        <f t="shared" si="81"/>
        <v>0</v>
      </c>
      <c r="AF166" s="564">
        <f t="shared" si="82"/>
        <v>0</v>
      </c>
      <c r="AG166" s="564">
        <f t="shared" si="83"/>
        <v>0</v>
      </c>
      <c r="AH166" s="564">
        <f t="shared" si="84"/>
        <v>0</v>
      </c>
    </row>
    <row r="167" spans="1:34">
      <c r="A167" s="21"/>
      <c r="B167" s="21" t="s">
        <v>109</v>
      </c>
      <c r="C167" s="666"/>
      <c r="D167" s="68" t="s">
        <v>396</v>
      </c>
      <c r="E167" s="449"/>
      <c r="F167" s="529">
        <f>VLOOKUP(D167,'Q2 DMV -  Revenue'!C:S,17,FALSE)</f>
        <v>0</v>
      </c>
      <c r="G167" s="579"/>
      <c r="H167" s="579"/>
      <c r="I167" s="524"/>
      <c r="J167" s="379">
        <f t="shared" si="86"/>
        <v>0</v>
      </c>
      <c r="K167" s="31"/>
      <c r="L167" s="84"/>
      <c r="M167" s="42"/>
      <c r="N167" s="31">
        <v>0</v>
      </c>
      <c r="O167" s="429"/>
      <c r="P167" s="31">
        <v>0</v>
      </c>
      <c r="Q167" s="426">
        <f t="shared" si="90"/>
        <v>0</v>
      </c>
      <c r="R167" s="178">
        <f>22.79+10.56+14.67</f>
        <v>48.02</v>
      </c>
      <c r="S167" s="295"/>
      <c r="T167" s="385">
        <f t="shared" si="88"/>
        <v>48.02</v>
      </c>
      <c r="U167" s="31"/>
      <c r="V167" s="474">
        <f t="shared" si="75"/>
        <v>0</v>
      </c>
      <c r="W167" s="474">
        <f t="shared" si="76"/>
        <v>0</v>
      </c>
      <c r="X167" s="475">
        <f t="shared" si="77"/>
        <v>0</v>
      </c>
      <c r="Y167" s="475">
        <v>0</v>
      </c>
      <c r="Z167" s="476">
        <v>0</v>
      </c>
      <c r="AA167" s="38">
        <f t="shared" si="78"/>
        <v>0</v>
      </c>
      <c r="AB167" s="564">
        <f t="shared" si="79"/>
        <v>0</v>
      </c>
      <c r="AC167" s="564">
        <f t="shared" si="80"/>
        <v>0</v>
      </c>
      <c r="AD167" s="564">
        <f t="shared" si="81"/>
        <v>0</v>
      </c>
      <c r="AF167" s="564">
        <f t="shared" si="82"/>
        <v>0</v>
      </c>
      <c r="AG167" s="564">
        <f t="shared" si="83"/>
        <v>0</v>
      </c>
      <c r="AH167" s="564">
        <f t="shared" si="84"/>
        <v>0</v>
      </c>
    </row>
    <row r="168" spans="1:34">
      <c r="A168" s="21"/>
      <c r="B168" s="21" t="s">
        <v>110</v>
      </c>
      <c r="C168" s="666"/>
      <c r="D168" s="68" t="s">
        <v>342</v>
      </c>
      <c r="E168" s="449"/>
      <c r="F168" s="529">
        <f>VLOOKUP(D168,'Q2 DMV -  Revenue'!C:S,17,FALSE)</f>
        <v>-2000</v>
      </c>
      <c r="G168" s="579"/>
      <c r="H168" s="579"/>
      <c r="I168" s="524"/>
      <c r="J168" s="379">
        <f t="shared" si="86"/>
        <v>-2000</v>
      </c>
      <c r="K168" s="31"/>
      <c r="L168" s="84"/>
      <c r="M168" s="42"/>
      <c r="N168" s="31">
        <v>0</v>
      </c>
      <c r="O168" s="429"/>
      <c r="P168" s="31">
        <v>0</v>
      </c>
      <c r="Q168" s="426">
        <f t="shared" si="90"/>
        <v>0</v>
      </c>
      <c r="R168" s="178">
        <v>0</v>
      </c>
      <c r="S168" s="295"/>
      <c r="T168" s="385">
        <f t="shared" si="88"/>
        <v>0</v>
      </c>
      <c r="U168" s="31"/>
      <c r="V168" s="474">
        <f t="shared" si="75"/>
        <v>0</v>
      </c>
      <c r="W168" s="474">
        <f t="shared" si="76"/>
        <v>0</v>
      </c>
      <c r="X168" s="475">
        <f t="shared" si="77"/>
        <v>0</v>
      </c>
      <c r="Y168" s="475">
        <v>0</v>
      </c>
      <c r="Z168" s="476">
        <v>0</v>
      </c>
      <c r="AA168" s="38">
        <f t="shared" si="78"/>
        <v>0</v>
      </c>
      <c r="AB168" s="564">
        <f t="shared" si="79"/>
        <v>-2000</v>
      </c>
      <c r="AC168" s="564">
        <f t="shared" si="80"/>
        <v>0</v>
      </c>
      <c r="AD168" s="564">
        <f t="shared" si="81"/>
        <v>0</v>
      </c>
      <c r="AF168" s="564">
        <f t="shared" si="82"/>
        <v>0</v>
      </c>
      <c r="AG168" s="564">
        <f t="shared" si="83"/>
        <v>0</v>
      </c>
      <c r="AH168" s="564">
        <f t="shared" si="84"/>
        <v>0</v>
      </c>
    </row>
    <row r="169" spans="1:34">
      <c r="A169" s="20"/>
      <c r="B169" s="20" t="s">
        <v>109</v>
      </c>
      <c r="C169" s="667" t="s">
        <v>557</v>
      </c>
      <c r="D169" s="68" t="s">
        <v>32</v>
      </c>
      <c r="E169" s="449"/>
      <c r="F169" s="529">
        <f>VLOOKUP(D169,'Q2 DMV -  Revenue'!C:S,17,FALSE)</f>
        <v>-32.490000000000009</v>
      </c>
      <c r="G169" s="576">
        <f>2.52+815.69</f>
        <v>818.21</v>
      </c>
      <c r="H169" s="576">
        <f>1.78+438.88</f>
        <v>440.65999999999997</v>
      </c>
      <c r="I169" s="524"/>
      <c r="J169" s="379">
        <f t="shared" si="86"/>
        <v>1226.3800000000001</v>
      </c>
      <c r="K169" s="31"/>
      <c r="L169" s="84"/>
      <c r="M169" s="42">
        <f t="shared" ref="M169" si="91">SUM(G169+H169)/2</f>
        <v>629.43499999999995</v>
      </c>
      <c r="N169" s="31">
        <v>0</v>
      </c>
      <c r="O169" s="429">
        <v>1660.95</v>
      </c>
      <c r="P169" s="31">
        <v>0</v>
      </c>
      <c r="Q169" s="426">
        <f t="shared" si="90"/>
        <v>629.43499999999995</v>
      </c>
      <c r="R169" s="744">
        <f>246.55+4.6</f>
        <v>251.15</v>
      </c>
      <c r="S169" s="295"/>
      <c r="T169" s="385">
        <f t="shared" si="88"/>
        <v>-378.28499999999997</v>
      </c>
      <c r="U169" s="31"/>
      <c r="V169" s="474">
        <f t="shared" si="75"/>
        <v>0</v>
      </c>
      <c r="W169" s="474">
        <f t="shared" si="76"/>
        <v>629.43499999999995</v>
      </c>
      <c r="X169" s="475">
        <f t="shared" si="77"/>
        <v>0</v>
      </c>
      <c r="Y169" s="475">
        <v>0</v>
      </c>
      <c r="Z169" s="476">
        <v>0</v>
      </c>
      <c r="AA169" s="38">
        <f t="shared" si="78"/>
        <v>0</v>
      </c>
      <c r="AB169" s="564">
        <f t="shared" si="79"/>
        <v>0</v>
      </c>
      <c r="AC169" s="564">
        <f t="shared" si="80"/>
        <v>1226.3800000000001</v>
      </c>
      <c r="AD169" s="564">
        <f t="shared" si="81"/>
        <v>0</v>
      </c>
      <c r="AF169" s="564">
        <f t="shared" si="82"/>
        <v>0</v>
      </c>
      <c r="AG169" s="564">
        <f t="shared" si="83"/>
        <v>629.43499999999995</v>
      </c>
      <c r="AH169" s="564">
        <f t="shared" si="84"/>
        <v>0</v>
      </c>
    </row>
    <row r="170" spans="1:34">
      <c r="A170" s="21"/>
      <c r="B170" s="21" t="s">
        <v>110</v>
      </c>
      <c r="C170" s="666"/>
      <c r="D170" s="68" t="s">
        <v>448</v>
      </c>
      <c r="E170" s="449"/>
      <c r="F170" s="529">
        <f>VLOOKUP(D170,'Q2 DMV -  Revenue'!C:S,17,FALSE)</f>
        <v>-5.4700000000000273</v>
      </c>
      <c r="G170" s="579"/>
      <c r="H170" s="579"/>
      <c r="I170" s="524"/>
      <c r="J170" s="379">
        <f t="shared" si="86"/>
        <v>-5.4700000000000273</v>
      </c>
      <c r="K170" s="31"/>
      <c r="L170" s="84"/>
      <c r="M170" s="42"/>
      <c r="N170" s="31">
        <v>0</v>
      </c>
      <c r="O170" s="429">
        <v>294.52999999999997</v>
      </c>
      <c r="P170" s="31">
        <v>0</v>
      </c>
      <c r="Q170" s="426">
        <f t="shared" si="90"/>
        <v>0</v>
      </c>
      <c r="R170" s="178">
        <v>562.39</v>
      </c>
      <c r="S170" s="295"/>
      <c r="T170" s="385">
        <f t="shared" si="88"/>
        <v>562.39</v>
      </c>
      <c r="U170" s="31"/>
      <c r="V170" s="474">
        <f t="shared" si="75"/>
        <v>0</v>
      </c>
      <c r="W170" s="474">
        <f t="shared" si="76"/>
        <v>0</v>
      </c>
      <c r="X170" s="475">
        <f t="shared" si="77"/>
        <v>0</v>
      </c>
      <c r="Y170" s="475">
        <v>0</v>
      </c>
      <c r="Z170" s="476">
        <v>0</v>
      </c>
      <c r="AA170" s="38">
        <f t="shared" si="78"/>
        <v>0</v>
      </c>
      <c r="AB170" s="564">
        <f t="shared" si="79"/>
        <v>-5.4700000000000273</v>
      </c>
      <c r="AC170" s="564">
        <f t="shared" si="80"/>
        <v>0</v>
      </c>
      <c r="AD170" s="564">
        <f t="shared" si="81"/>
        <v>0</v>
      </c>
      <c r="AF170" s="564">
        <f t="shared" si="82"/>
        <v>0</v>
      </c>
      <c r="AG170" s="564">
        <f t="shared" si="83"/>
        <v>0</v>
      </c>
      <c r="AH170" s="564">
        <f t="shared" si="84"/>
        <v>0</v>
      </c>
    </row>
    <row r="171" spans="1:34">
      <c r="A171" s="21" t="s">
        <v>211</v>
      </c>
      <c r="B171" s="21" t="s">
        <v>110</v>
      </c>
      <c r="C171" s="666" t="s">
        <v>558</v>
      </c>
      <c r="D171" s="68" t="s">
        <v>122</v>
      </c>
      <c r="E171" s="449"/>
      <c r="F171" s="529">
        <f>VLOOKUP(D171,'Q2 DMV -  Revenue'!C:S,17,FALSE)</f>
        <v>4097.5200000000004</v>
      </c>
      <c r="G171" s="579"/>
      <c r="H171" s="579"/>
      <c r="I171" s="524"/>
      <c r="J171" s="379">
        <f t="shared" si="86"/>
        <v>4097.5200000000004</v>
      </c>
      <c r="K171" s="31"/>
      <c r="L171" s="84"/>
      <c r="M171" s="42">
        <v>7000</v>
      </c>
      <c r="N171" s="31">
        <v>0</v>
      </c>
      <c r="O171" s="429">
        <v>7597.52</v>
      </c>
      <c r="P171" s="31">
        <v>0</v>
      </c>
      <c r="Q171" s="426">
        <f t="shared" si="90"/>
        <v>7000</v>
      </c>
      <c r="R171" s="178">
        <f>2727.08+2136.23+2294.56</f>
        <v>7157.869999999999</v>
      </c>
      <c r="S171" s="295"/>
      <c r="T171" s="385">
        <f t="shared" si="88"/>
        <v>157.86999999999898</v>
      </c>
      <c r="U171" s="31"/>
      <c r="V171" s="474">
        <f t="shared" si="75"/>
        <v>7000</v>
      </c>
      <c r="W171" s="474">
        <f t="shared" si="76"/>
        <v>0</v>
      </c>
      <c r="X171" s="475">
        <f t="shared" si="77"/>
        <v>0</v>
      </c>
      <c r="Y171" s="475">
        <v>0</v>
      </c>
      <c r="Z171" s="476">
        <v>0</v>
      </c>
      <c r="AA171" s="38">
        <f t="shared" si="78"/>
        <v>0</v>
      </c>
      <c r="AB171" s="564">
        <f t="shared" si="79"/>
        <v>4097.5200000000004</v>
      </c>
      <c r="AC171" s="564">
        <f t="shared" si="80"/>
        <v>0</v>
      </c>
      <c r="AD171" s="564">
        <f t="shared" si="81"/>
        <v>0</v>
      </c>
      <c r="AF171" s="564">
        <f t="shared" si="82"/>
        <v>7000</v>
      </c>
      <c r="AG171" s="564">
        <f t="shared" si="83"/>
        <v>0</v>
      </c>
      <c r="AH171" s="564">
        <f t="shared" si="84"/>
        <v>0</v>
      </c>
    </row>
    <row r="172" spans="1:34">
      <c r="A172" s="21"/>
      <c r="B172" s="21" t="s">
        <v>109</v>
      </c>
      <c r="C172" s="666" t="s">
        <v>559</v>
      </c>
      <c r="D172" s="68" t="s">
        <v>33</v>
      </c>
      <c r="E172" s="449"/>
      <c r="F172" s="529">
        <f>VLOOKUP(D172,'Q2 DMV -  Revenue'!C:S,17,FALSE)</f>
        <v>0</v>
      </c>
      <c r="G172" s="576">
        <v>8917.2999999999993</v>
      </c>
      <c r="H172" s="576">
        <v>8709.5</v>
      </c>
      <c r="I172" s="524"/>
      <c r="J172" s="379">
        <f t="shared" si="86"/>
        <v>17626.8</v>
      </c>
      <c r="K172" s="31"/>
      <c r="L172" s="84"/>
      <c r="M172" s="42">
        <f t="shared" ref="M172:M178" si="92">SUM(G172+H172)/2</f>
        <v>8813.4</v>
      </c>
      <c r="N172" s="31">
        <v>0</v>
      </c>
      <c r="O172" s="429">
        <v>17626.8</v>
      </c>
      <c r="P172" s="31">
        <v>0</v>
      </c>
      <c r="Q172" s="426">
        <f t="shared" si="90"/>
        <v>8813.4</v>
      </c>
      <c r="R172" s="178">
        <v>7163.9</v>
      </c>
      <c r="S172" s="295"/>
      <c r="T172" s="385">
        <f t="shared" si="88"/>
        <v>-1649.5</v>
      </c>
      <c r="U172" s="31"/>
      <c r="V172" s="474">
        <f t="shared" si="75"/>
        <v>0</v>
      </c>
      <c r="W172" s="474">
        <f t="shared" si="76"/>
        <v>8813.4</v>
      </c>
      <c r="X172" s="475">
        <f t="shared" si="77"/>
        <v>0</v>
      </c>
      <c r="Y172" s="475">
        <v>0</v>
      </c>
      <c r="Z172" s="476">
        <v>0</v>
      </c>
      <c r="AA172" s="38">
        <f t="shared" si="78"/>
        <v>0</v>
      </c>
      <c r="AB172" s="564">
        <f t="shared" si="79"/>
        <v>0</v>
      </c>
      <c r="AC172" s="564">
        <f t="shared" si="80"/>
        <v>17626.8</v>
      </c>
      <c r="AD172" s="564">
        <f t="shared" si="81"/>
        <v>0</v>
      </c>
      <c r="AF172" s="564">
        <f t="shared" si="82"/>
        <v>0</v>
      </c>
      <c r="AG172" s="564">
        <f t="shared" si="83"/>
        <v>8813.4</v>
      </c>
      <c r="AH172" s="564">
        <f t="shared" si="84"/>
        <v>0</v>
      </c>
    </row>
    <row r="173" spans="1:34">
      <c r="A173" s="21"/>
      <c r="B173" s="21" t="s">
        <v>109</v>
      </c>
      <c r="C173" s="666" t="s">
        <v>560</v>
      </c>
      <c r="D173" s="68" t="s">
        <v>379</v>
      </c>
      <c r="E173" s="449"/>
      <c r="F173" s="529">
        <f>VLOOKUP(D173,'Q2 DMV -  Revenue'!C:S,17,FALSE)</f>
        <v>-71.600000000000023</v>
      </c>
      <c r="G173" s="576">
        <v>410.75</v>
      </c>
      <c r="H173" s="576">
        <v>344.23</v>
      </c>
      <c r="I173" s="524"/>
      <c r="J173" s="379">
        <f t="shared" si="86"/>
        <v>683.38</v>
      </c>
      <c r="K173" s="31"/>
      <c r="L173" s="84"/>
      <c r="M173" s="42">
        <f t="shared" si="92"/>
        <v>377.49</v>
      </c>
      <c r="N173" s="31">
        <v>0</v>
      </c>
      <c r="O173" s="429">
        <v>1144.8499999999999</v>
      </c>
      <c r="P173" s="31">
        <v>0</v>
      </c>
      <c r="Q173" s="426">
        <f t="shared" si="90"/>
        <v>377.49</v>
      </c>
      <c r="R173" s="178">
        <v>337.48</v>
      </c>
      <c r="S173" s="295"/>
      <c r="T173" s="385">
        <f t="shared" si="88"/>
        <v>-40.009999999999991</v>
      </c>
      <c r="U173" s="31"/>
      <c r="V173" s="474">
        <f t="shared" si="75"/>
        <v>0</v>
      </c>
      <c r="W173" s="474">
        <f t="shared" si="76"/>
        <v>377.49</v>
      </c>
      <c r="X173" s="475">
        <f t="shared" si="77"/>
        <v>0</v>
      </c>
      <c r="Y173" s="475">
        <v>0</v>
      </c>
      <c r="Z173" s="476">
        <v>0</v>
      </c>
      <c r="AA173" s="38">
        <f t="shared" si="78"/>
        <v>0</v>
      </c>
      <c r="AB173" s="564">
        <f t="shared" si="79"/>
        <v>0</v>
      </c>
      <c r="AC173" s="564">
        <f t="shared" si="80"/>
        <v>683.38</v>
      </c>
      <c r="AD173" s="564">
        <f t="shared" si="81"/>
        <v>0</v>
      </c>
      <c r="AF173" s="564">
        <f t="shared" si="82"/>
        <v>0</v>
      </c>
      <c r="AG173" s="564">
        <f t="shared" si="83"/>
        <v>377.49</v>
      </c>
      <c r="AH173" s="564">
        <f t="shared" si="84"/>
        <v>0</v>
      </c>
    </row>
    <row r="174" spans="1:34" s="232" customFormat="1">
      <c r="A174" s="283"/>
      <c r="B174" s="283" t="s">
        <v>110</v>
      </c>
      <c r="C174" s="667" t="s">
        <v>561</v>
      </c>
      <c r="D174" s="455" t="s">
        <v>322</v>
      </c>
      <c r="E174" s="449"/>
      <c r="F174" s="529">
        <f>VLOOKUP(D174,'Q2 DMV -  Revenue'!C:S,17,FALSE)</f>
        <v>-2933.4850000000042</v>
      </c>
      <c r="G174" s="576">
        <f>10990.9+491.76+1094.44+2094.96+8466.5+3747.2</f>
        <v>26885.760000000002</v>
      </c>
      <c r="H174" s="576">
        <f>9534.9+323.66+1102.7+3490.69+8129.14+3871.87</f>
        <v>26452.959999999999</v>
      </c>
      <c r="I174" s="524"/>
      <c r="J174" s="379">
        <f t="shared" si="86"/>
        <v>50405.235000000001</v>
      </c>
      <c r="K174" s="31"/>
      <c r="L174" s="84"/>
      <c r="M174" s="42">
        <f t="shared" si="92"/>
        <v>26669.360000000001</v>
      </c>
      <c r="N174" s="31">
        <v>0</v>
      </c>
      <c r="O174" s="429">
        <v>184587.95</v>
      </c>
      <c r="P174" s="31">
        <v>0</v>
      </c>
      <c r="Q174" s="426">
        <f t="shared" si="90"/>
        <v>26669.360000000001</v>
      </c>
      <c r="R174" s="178">
        <f>9290.6+309.54+1783.53+4666.27+7323.94+3176.46</f>
        <v>26550.34</v>
      </c>
      <c r="S174" s="295"/>
      <c r="T174" s="385">
        <f t="shared" si="88"/>
        <v>-119.02000000000044</v>
      </c>
      <c r="U174" s="31"/>
      <c r="V174" s="474">
        <f t="shared" si="75"/>
        <v>26669.360000000001</v>
      </c>
      <c r="W174" s="474">
        <f t="shared" si="76"/>
        <v>0</v>
      </c>
      <c r="X174" s="475">
        <f t="shared" si="77"/>
        <v>0</v>
      </c>
      <c r="Y174" s="475">
        <v>0</v>
      </c>
      <c r="Z174" s="476">
        <v>0</v>
      </c>
      <c r="AA174" s="38">
        <f t="shared" si="78"/>
        <v>0</v>
      </c>
      <c r="AB174" s="564">
        <f t="shared" si="79"/>
        <v>50405.235000000001</v>
      </c>
      <c r="AC174" s="564">
        <f t="shared" si="80"/>
        <v>0</v>
      </c>
      <c r="AD174" s="564">
        <f t="shared" si="81"/>
        <v>0</v>
      </c>
      <c r="AE174" s="559"/>
      <c r="AF174" s="564">
        <f t="shared" si="82"/>
        <v>26669.360000000001</v>
      </c>
      <c r="AG174" s="564">
        <f t="shared" si="83"/>
        <v>0</v>
      </c>
      <c r="AH174" s="564">
        <f t="shared" si="84"/>
        <v>0</v>
      </c>
    </row>
    <row r="175" spans="1:34" s="232" customFormat="1">
      <c r="A175" s="283"/>
      <c r="B175" s="283" t="s">
        <v>110</v>
      </c>
      <c r="C175" s="667" t="s">
        <v>561</v>
      </c>
      <c r="D175" s="455" t="s">
        <v>323</v>
      </c>
      <c r="E175" s="449"/>
      <c r="F175" s="529">
        <f>VLOOKUP(D175,'Q2 DMV -  Revenue'!C:S,17,FALSE)</f>
        <v>-1834.2399999999907</v>
      </c>
      <c r="G175" s="576">
        <f>12506.08+2069.62+1544.19+14436.11+2641.14+1354.98</f>
        <v>34552.120000000003</v>
      </c>
      <c r="H175" s="576">
        <f>11831.68+2140.64+1747.31+14379.05+2599.2+1309.29</f>
        <v>34007.17</v>
      </c>
      <c r="I175" s="524"/>
      <c r="J175" s="379">
        <f t="shared" si="86"/>
        <v>66725.050000000017</v>
      </c>
      <c r="K175" s="31"/>
      <c r="L175" s="84"/>
      <c r="M175" s="42">
        <f t="shared" si="92"/>
        <v>34279.645000000004</v>
      </c>
      <c r="N175" s="31">
        <v>0</v>
      </c>
      <c r="O175" s="429"/>
      <c r="P175" s="31">
        <v>0</v>
      </c>
      <c r="Q175" s="426">
        <f t="shared" si="90"/>
        <v>34279.645000000004</v>
      </c>
      <c r="R175" s="178">
        <f>11424.4+1881.74+1629.62+12882.38+2501.36+1238.19+9249.66</f>
        <v>40807.35</v>
      </c>
      <c r="S175" s="295"/>
      <c r="T175" s="385">
        <f t="shared" si="88"/>
        <v>6527.7049999999945</v>
      </c>
      <c r="U175" s="31"/>
      <c r="V175" s="474">
        <f t="shared" si="75"/>
        <v>34279.645000000004</v>
      </c>
      <c r="W175" s="474">
        <f t="shared" si="76"/>
        <v>0</v>
      </c>
      <c r="X175" s="475">
        <f t="shared" si="77"/>
        <v>0</v>
      </c>
      <c r="Y175" s="475">
        <v>0</v>
      </c>
      <c r="Z175" s="476">
        <v>0</v>
      </c>
      <c r="AA175" s="38">
        <f t="shared" si="78"/>
        <v>0</v>
      </c>
      <c r="AB175" s="564">
        <f t="shared" si="79"/>
        <v>66725.050000000017</v>
      </c>
      <c r="AC175" s="564">
        <f t="shared" si="80"/>
        <v>0</v>
      </c>
      <c r="AD175" s="564">
        <f t="shared" si="81"/>
        <v>0</v>
      </c>
      <c r="AE175" s="559"/>
      <c r="AF175" s="564">
        <f t="shared" si="82"/>
        <v>34279.645000000004</v>
      </c>
      <c r="AG175" s="564">
        <f t="shared" si="83"/>
        <v>0</v>
      </c>
      <c r="AH175" s="564">
        <f t="shared" si="84"/>
        <v>0</v>
      </c>
    </row>
    <row r="176" spans="1:34" s="232" customFormat="1">
      <c r="A176" s="283"/>
      <c r="B176" s="283" t="s">
        <v>109</v>
      </c>
      <c r="C176" s="667" t="s">
        <v>561</v>
      </c>
      <c r="D176" s="455" t="s">
        <v>423</v>
      </c>
      <c r="E176" s="449"/>
      <c r="F176" s="529">
        <f>VLOOKUP(D176,'Q2 DMV -  Revenue'!C:S,17,FALSE)</f>
        <v>0</v>
      </c>
      <c r="G176" s="579"/>
      <c r="H176" s="524"/>
      <c r="I176" s="524"/>
      <c r="J176" s="379">
        <f t="shared" si="86"/>
        <v>0</v>
      </c>
      <c r="K176" s="31"/>
      <c r="L176" s="84"/>
      <c r="M176" s="42"/>
      <c r="N176" s="31">
        <v>0</v>
      </c>
      <c r="O176" s="429"/>
      <c r="P176" s="31">
        <v>0</v>
      </c>
      <c r="Q176" s="426">
        <f t="shared" si="90"/>
        <v>0</v>
      </c>
      <c r="R176" s="178">
        <f>24414.74+299.82</f>
        <v>24714.560000000001</v>
      </c>
      <c r="S176" s="295"/>
      <c r="T176" s="385">
        <f t="shared" si="88"/>
        <v>24714.560000000001</v>
      </c>
      <c r="U176" s="31"/>
      <c r="V176" s="474">
        <f t="shared" si="75"/>
        <v>0</v>
      </c>
      <c r="W176" s="474">
        <f t="shared" si="76"/>
        <v>0</v>
      </c>
      <c r="X176" s="475">
        <f t="shared" si="77"/>
        <v>0</v>
      </c>
      <c r="Y176" s="475">
        <v>0</v>
      </c>
      <c r="Z176" s="476">
        <v>0</v>
      </c>
      <c r="AA176" s="38">
        <f t="shared" si="78"/>
        <v>0</v>
      </c>
      <c r="AB176" s="564">
        <f t="shared" si="79"/>
        <v>0</v>
      </c>
      <c r="AC176" s="564">
        <f t="shared" si="80"/>
        <v>0</v>
      </c>
      <c r="AD176" s="564">
        <f t="shared" si="81"/>
        <v>0</v>
      </c>
      <c r="AE176" s="559"/>
      <c r="AF176" s="564">
        <f t="shared" si="82"/>
        <v>0</v>
      </c>
      <c r="AG176" s="564">
        <f t="shared" si="83"/>
        <v>0</v>
      </c>
      <c r="AH176" s="564">
        <f t="shared" si="84"/>
        <v>0</v>
      </c>
    </row>
    <row r="177" spans="1:34" s="232" customFormat="1">
      <c r="A177" s="283"/>
      <c r="B177" s="283" t="s">
        <v>110</v>
      </c>
      <c r="C177" s="667" t="s">
        <v>561</v>
      </c>
      <c r="D177" s="455" t="s">
        <v>324</v>
      </c>
      <c r="E177" s="449"/>
      <c r="F177" s="529">
        <f>VLOOKUP(D177,'Q2 DMV -  Revenue'!C:S,17,FALSE)</f>
        <v>-29.470000000000027</v>
      </c>
      <c r="G177" s="576">
        <f>218.02+100.87</f>
        <v>318.89</v>
      </c>
      <c r="H177" s="576">
        <f>102.39+88.39</f>
        <v>190.78</v>
      </c>
      <c r="I177" s="524"/>
      <c r="J177" s="379">
        <f t="shared" si="86"/>
        <v>480.19999999999993</v>
      </c>
      <c r="K177" s="31"/>
      <c r="L177" s="84"/>
      <c r="M177" s="42">
        <f t="shared" si="92"/>
        <v>254.83499999999998</v>
      </c>
      <c r="N177" s="31">
        <v>0</v>
      </c>
      <c r="O177" s="429"/>
      <c r="P177" s="31">
        <v>0</v>
      </c>
      <c r="Q177" s="426">
        <f t="shared" si="90"/>
        <v>254.83499999999998</v>
      </c>
      <c r="R177" s="178">
        <f>147.17+0.79+150.1</f>
        <v>298.05999999999995</v>
      </c>
      <c r="S177" s="295"/>
      <c r="T177" s="385">
        <f t="shared" si="88"/>
        <v>43.224999999999966</v>
      </c>
      <c r="U177" s="31"/>
      <c r="V177" s="474">
        <f t="shared" si="75"/>
        <v>254.83499999999998</v>
      </c>
      <c r="W177" s="474">
        <f t="shared" si="76"/>
        <v>0</v>
      </c>
      <c r="X177" s="475">
        <f t="shared" si="77"/>
        <v>0</v>
      </c>
      <c r="Y177" s="475">
        <v>0</v>
      </c>
      <c r="Z177" s="476">
        <v>0</v>
      </c>
      <c r="AA177" s="38">
        <f t="shared" si="78"/>
        <v>0</v>
      </c>
      <c r="AB177" s="564">
        <f t="shared" si="79"/>
        <v>480.19999999999993</v>
      </c>
      <c r="AC177" s="564">
        <f t="shared" si="80"/>
        <v>0</v>
      </c>
      <c r="AD177" s="564">
        <f t="shared" si="81"/>
        <v>0</v>
      </c>
      <c r="AE177" s="559"/>
      <c r="AF177" s="564">
        <f t="shared" si="82"/>
        <v>254.83499999999998</v>
      </c>
      <c r="AG177" s="564">
        <f t="shared" si="83"/>
        <v>0</v>
      </c>
      <c r="AH177" s="564">
        <f t="shared" si="84"/>
        <v>0</v>
      </c>
    </row>
    <row r="178" spans="1:34" s="232" customFormat="1">
      <c r="A178" s="283"/>
      <c r="B178" s="283" t="s">
        <v>110</v>
      </c>
      <c r="C178" s="667" t="s">
        <v>561</v>
      </c>
      <c r="D178" s="455" t="s">
        <v>325</v>
      </c>
      <c r="E178" s="449"/>
      <c r="F178" s="529">
        <f>VLOOKUP(D178,'Q2 DMV -  Revenue'!C:S,17,FALSE)</f>
        <v>-41.300000000000011</v>
      </c>
      <c r="G178" s="576">
        <f>293.05+41.28</f>
        <v>334.33000000000004</v>
      </c>
      <c r="H178" s="576">
        <f>269.83+33.24</f>
        <v>303.07</v>
      </c>
      <c r="I178" s="524"/>
      <c r="J178" s="379">
        <f t="shared" si="86"/>
        <v>596.1</v>
      </c>
      <c r="K178" s="31"/>
      <c r="L178" s="84"/>
      <c r="M178" s="42">
        <f t="shared" si="92"/>
        <v>318.70000000000005</v>
      </c>
      <c r="N178" s="31">
        <v>0</v>
      </c>
      <c r="O178" s="429"/>
      <c r="P178" s="31">
        <v>0</v>
      </c>
      <c r="Q178" s="426">
        <f t="shared" si="90"/>
        <v>318.70000000000005</v>
      </c>
      <c r="R178" s="178">
        <f>287.36+44.87+110.01</f>
        <v>442.24</v>
      </c>
      <c r="S178" s="295"/>
      <c r="T178" s="385">
        <f t="shared" si="88"/>
        <v>123.53999999999996</v>
      </c>
      <c r="U178" s="31"/>
      <c r="V178" s="474">
        <f t="shared" si="75"/>
        <v>318.70000000000005</v>
      </c>
      <c r="W178" s="474">
        <f t="shared" si="76"/>
        <v>0</v>
      </c>
      <c r="X178" s="475">
        <f t="shared" si="77"/>
        <v>0</v>
      </c>
      <c r="Y178" s="475">
        <v>0</v>
      </c>
      <c r="Z178" s="476">
        <v>0</v>
      </c>
      <c r="AA178" s="38">
        <f t="shared" si="78"/>
        <v>0</v>
      </c>
      <c r="AB178" s="564">
        <f t="shared" si="79"/>
        <v>596.1</v>
      </c>
      <c r="AC178" s="564">
        <f t="shared" si="80"/>
        <v>0</v>
      </c>
      <c r="AD178" s="564">
        <f t="shared" si="81"/>
        <v>0</v>
      </c>
      <c r="AE178" s="559"/>
      <c r="AF178" s="564">
        <f t="shared" si="82"/>
        <v>318.70000000000005</v>
      </c>
      <c r="AG178" s="564">
        <f t="shared" si="83"/>
        <v>0</v>
      </c>
      <c r="AH178" s="564">
        <f t="shared" si="84"/>
        <v>0</v>
      </c>
    </row>
    <row r="179" spans="1:34" s="232" customFormat="1">
      <c r="A179" s="283"/>
      <c r="B179" s="283" t="s">
        <v>114</v>
      </c>
      <c r="C179" s="667"/>
      <c r="D179" s="500" t="s">
        <v>408</v>
      </c>
      <c r="E179" s="449"/>
      <c r="F179" s="529">
        <f>VLOOKUP(D179,'Q2 DMV -  Revenue'!C:S,17,FALSE)</f>
        <v>-5000</v>
      </c>
      <c r="G179" s="579"/>
      <c r="H179" s="579"/>
      <c r="I179" s="524"/>
      <c r="J179" s="379">
        <f t="shared" si="86"/>
        <v>-5000</v>
      </c>
      <c r="K179" s="31"/>
      <c r="L179" s="84"/>
      <c r="M179" s="42"/>
      <c r="N179" s="31">
        <v>0</v>
      </c>
      <c r="O179" s="429"/>
      <c r="P179" s="31">
        <v>0</v>
      </c>
      <c r="Q179" s="426">
        <f t="shared" si="90"/>
        <v>0</v>
      </c>
      <c r="R179" s="178">
        <f>27490.21+13025.65+3576.77</f>
        <v>44092.63</v>
      </c>
      <c r="S179" s="295"/>
      <c r="T179" s="385">
        <f t="shared" si="88"/>
        <v>44092.63</v>
      </c>
      <c r="U179" s="31"/>
      <c r="V179" s="474">
        <f t="shared" si="75"/>
        <v>0</v>
      </c>
      <c r="W179" s="474">
        <f t="shared" si="76"/>
        <v>0</v>
      </c>
      <c r="X179" s="475">
        <f t="shared" si="77"/>
        <v>0</v>
      </c>
      <c r="Y179" s="475">
        <v>0</v>
      </c>
      <c r="Z179" s="476">
        <v>0</v>
      </c>
      <c r="AA179" s="38">
        <f t="shared" si="78"/>
        <v>0</v>
      </c>
      <c r="AB179" s="564">
        <f t="shared" si="79"/>
        <v>0</v>
      </c>
      <c r="AC179" s="564">
        <f t="shared" si="80"/>
        <v>0</v>
      </c>
      <c r="AD179" s="564">
        <f t="shared" si="81"/>
        <v>-5000</v>
      </c>
      <c r="AE179" s="559"/>
      <c r="AF179" s="564">
        <f t="shared" si="82"/>
        <v>0</v>
      </c>
      <c r="AG179" s="564">
        <f t="shared" si="83"/>
        <v>0</v>
      </c>
      <c r="AH179" s="564">
        <f t="shared" si="84"/>
        <v>0</v>
      </c>
    </row>
    <row r="180" spans="1:34" s="232" customFormat="1">
      <c r="A180" s="283"/>
      <c r="B180" s="283" t="s">
        <v>114</v>
      </c>
      <c r="C180" s="667"/>
      <c r="D180" s="567" t="s">
        <v>445</v>
      </c>
      <c r="E180" s="449"/>
      <c r="F180" s="529">
        <f>VLOOKUP(D180,'Q2 DMV -  Revenue'!C:S,17,FALSE)</f>
        <v>0</v>
      </c>
      <c r="G180" s="579"/>
      <c r="H180" s="579"/>
      <c r="I180" s="524"/>
      <c r="J180" s="379">
        <f t="shared" si="86"/>
        <v>0</v>
      </c>
      <c r="K180" s="31"/>
      <c r="L180" s="84"/>
      <c r="M180" s="42"/>
      <c r="N180" s="31">
        <v>0</v>
      </c>
      <c r="O180" s="429"/>
      <c r="P180" s="31">
        <v>0</v>
      </c>
      <c r="Q180" s="426">
        <f t="shared" si="90"/>
        <v>0</v>
      </c>
      <c r="R180" s="178">
        <v>0</v>
      </c>
      <c r="S180" s="295"/>
      <c r="T180" s="385">
        <f t="shared" si="88"/>
        <v>0</v>
      </c>
      <c r="U180" s="31"/>
      <c r="V180" s="474">
        <f t="shared" si="75"/>
        <v>0</v>
      </c>
      <c r="W180" s="474">
        <f t="shared" si="76"/>
        <v>0</v>
      </c>
      <c r="X180" s="475">
        <f t="shared" si="77"/>
        <v>0</v>
      </c>
      <c r="Y180" s="475">
        <v>0</v>
      </c>
      <c r="Z180" s="476">
        <v>0</v>
      </c>
      <c r="AA180" s="38">
        <f t="shared" si="78"/>
        <v>0</v>
      </c>
      <c r="AB180" s="564">
        <f t="shared" si="79"/>
        <v>0</v>
      </c>
      <c r="AC180" s="564">
        <f t="shared" si="80"/>
        <v>0</v>
      </c>
      <c r="AD180" s="564">
        <f t="shared" si="81"/>
        <v>0</v>
      </c>
      <c r="AE180" s="559"/>
      <c r="AF180" s="564">
        <f t="shared" si="82"/>
        <v>0</v>
      </c>
      <c r="AG180" s="564">
        <f t="shared" si="83"/>
        <v>0</v>
      </c>
      <c r="AH180" s="564">
        <f t="shared" si="84"/>
        <v>0</v>
      </c>
    </row>
    <row r="181" spans="1:34" s="232" customFormat="1">
      <c r="A181" s="283"/>
      <c r="B181" s="283" t="s">
        <v>110</v>
      </c>
      <c r="C181" s="667"/>
      <c r="D181" s="567" t="s">
        <v>489</v>
      </c>
      <c r="E181" s="449"/>
      <c r="F181" s="529">
        <f>VLOOKUP(D181,'Q2 DMV -  Revenue'!C:S,17,FALSE)</f>
        <v>0</v>
      </c>
      <c r="G181" s="579"/>
      <c r="H181" s="579"/>
      <c r="I181" s="524"/>
      <c r="J181" s="379">
        <f t="shared" si="86"/>
        <v>0</v>
      </c>
      <c r="K181" s="31"/>
      <c r="L181" s="84"/>
      <c r="M181" s="42"/>
      <c r="N181" s="31"/>
      <c r="O181" s="429"/>
      <c r="P181" s="31"/>
      <c r="Q181" s="426">
        <f t="shared" si="90"/>
        <v>0</v>
      </c>
      <c r="R181" s="178">
        <v>0</v>
      </c>
      <c r="S181" s="295"/>
      <c r="T181" s="385">
        <f t="shared" si="88"/>
        <v>0</v>
      </c>
      <c r="U181" s="31"/>
      <c r="V181" s="474">
        <f t="shared" si="75"/>
        <v>0</v>
      </c>
      <c r="W181" s="474">
        <f t="shared" si="76"/>
        <v>0</v>
      </c>
      <c r="X181" s="475">
        <f t="shared" si="77"/>
        <v>0</v>
      </c>
      <c r="Y181" s="475">
        <v>0</v>
      </c>
      <c r="Z181" s="476">
        <v>0</v>
      </c>
      <c r="AA181" s="38">
        <f t="shared" si="78"/>
        <v>0</v>
      </c>
      <c r="AB181" s="564">
        <f t="shared" si="79"/>
        <v>0</v>
      </c>
      <c r="AC181" s="564">
        <f t="shared" si="80"/>
        <v>0</v>
      </c>
      <c r="AD181" s="564">
        <f t="shared" si="81"/>
        <v>0</v>
      </c>
      <c r="AE181" s="559"/>
      <c r="AF181" s="564">
        <f t="shared" si="82"/>
        <v>0</v>
      </c>
      <c r="AG181" s="564">
        <f t="shared" si="83"/>
        <v>0</v>
      </c>
      <c r="AH181" s="564">
        <f t="shared" si="84"/>
        <v>0</v>
      </c>
    </row>
    <row r="182" spans="1:34" s="232" customFormat="1">
      <c r="A182" s="283"/>
      <c r="B182" s="283" t="s">
        <v>109</v>
      </c>
      <c r="C182" s="667" t="s">
        <v>562</v>
      </c>
      <c r="D182" s="567" t="s">
        <v>480</v>
      </c>
      <c r="E182" s="449"/>
      <c r="F182" s="529">
        <f>VLOOKUP(D182,'Q2 DMV -  Revenue'!C:S,17,FALSE)</f>
        <v>365.46000000000095</v>
      </c>
      <c r="G182" s="576">
        <v>13423.2</v>
      </c>
      <c r="H182" s="576">
        <v>14340.03</v>
      </c>
      <c r="I182" s="524"/>
      <c r="J182" s="379">
        <f t="shared" si="86"/>
        <v>28128.690000000002</v>
      </c>
      <c r="K182" s="31"/>
      <c r="L182" s="84"/>
      <c r="M182" s="42">
        <f t="shared" ref="M182:M183" si="93">SUM(G182+H182)/2</f>
        <v>13881.615000000002</v>
      </c>
      <c r="N182" s="31">
        <v>0</v>
      </c>
      <c r="O182" s="429">
        <v>41485.65</v>
      </c>
      <c r="P182" s="31">
        <v>0</v>
      </c>
      <c r="Q182" s="426">
        <f t="shared" si="90"/>
        <v>13881.615000000002</v>
      </c>
      <c r="R182" s="178">
        <v>12118.34</v>
      </c>
      <c r="S182" s="295"/>
      <c r="T182" s="385">
        <f t="shared" si="88"/>
        <v>-1763.2750000000015</v>
      </c>
      <c r="U182" s="31"/>
      <c r="V182" s="474">
        <f t="shared" si="75"/>
        <v>0</v>
      </c>
      <c r="W182" s="474">
        <f t="shared" si="76"/>
        <v>13881.615000000002</v>
      </c>
      <c r="X182" s="475">
        <f t="shared" si="77"/>
        <v>0</v>
      </c>
      <c r="Y182" s="475">
        <v>0</v>
      </c>
      <c r="Z182" s="476">
        <v>0</v>
      </c>
      <c r="AA182" s="38">
        <f t="shared" si="78"/>
        <v>0</v>
      </c>
      <c r="AB182" s="564">
        <f t="shared" si="79"/>
        <v>0</v>
      </c>
      <c r="AC182" s="564">
        <f t="shared" si="80"/>
        <v>28128.690000000002</v>
      </c>
      <c r="AD182" s="564">
        <f t="shared" si="81"/>
        <v>0</v>
      </c>
      <c r="AE182" s="559"/>
      <c r="AF182" s="564">
        <f t="shared" si="82"/>
        <v>0</v>
      </c>
      <c r="AG182" s="564">
        <f t="shared" si="83"/>
        <v>13881.615000000002</v>
      </c>
      <c r="AH182" s="564">
        <f t="shared" si="84"/>
        <v>0</v>
      </c>
    </row>
    <row r="183" spans="1:34" s="232" customFormat="1">
      <c r="A183" s="403"/>
      <c r="B183" s="403" t="s">
        <v>109</v>
      </c>
      <c r="C183" s="666" t="s">
        <v>563</v>
      </c>
      <c r="D183" s="123" t="s">
        <v>327</v>
      </c>
      <c r="E183" s="449"/>
      <c r="F183" s="529">
        <f>VLOOKUP(D183,'Q2 DMV -  Revenue'!C:S,17,FALSE)</f>
        <v>11645.82</v>
      </c>
      <c r="G183" s="576">
        <v>54095.87</v>
      </c>
      <c r="H183" s="576">
        <v>53650.01</v>
      </c>
      <c r="I183" s="524"/>
      <c r="J183" s="379">
        <f t="shared" si="86"/>
        <v>119391.70000000001</v>
      </c>
      <c r="K183" s="31"/>
      <c r="L183" s="84"/>
      <c r="M183" s="42">
        <f t="shared" si="93"/>
        <v>53872.94</v>
      </c>
      <c r="N183" s="31">
        <v>0</v>
      </c>
      <c r="O183" s="429">
        <v>169391.7</v>
      </c>
      <c r="P183" s="31">
        <v>0</v>
      </c>
      <c r="Q183" s="426">
        <f t="shared" si="90"/>
        <v>53872.94</v>
      </c>
      <c r="R183" s="178">
        <v>49457.67</v>
      </c>
      <c r="S183" s="295"/>
      <c r="T183" s="385">
        <f t="shared" si="88"/>
        <v>-4415.2700000000041</v>
      </c>
      <c r="U183" s="31"/>
      <c r="V183" s="474">
        <f t="shared" si="75"/>
        <v>0</v>
      </c>
      <c r="W183" s="474">
        <f t="shared" si="76"/>
        <v>53872.94</v>
      </c>
      <c r="X183" s="475">
        <f t="shared" si="77"/>
        <v>0</v>
      </c>
      <c r="Y183" s="475">
        <v>0</v>
      </c>
      <c r="Z183" s="476">
        <v>0</v>
      </c>
      <c r="AA183" s="38">
        <f t="shared" si="78"/>
        <v>0</v>
      </c>
      <c r="AB183" s="564">
        <f t="shared" si="79"/>
        <v>0</v>
      </c>
      <c r="AC183" s="564">
        <f t="shared" si="80"/>
        <v>119391.70000000001</v>
      </c>
      <c r="AD183" s="564">
        <f t="shared" si="81"/>
        <v>0</v>
      </c>
      <c r="AE183" s="559"/>
      <c r="AF183" s="564">
        <f t="shared" si="82"/>
        <v>0</v>
      </c>
      <c r="AG183" s="564">
        <f t="shared" si="83"/>
        <v>53872.94</v>
      </c>
      <c r="AH183" s="564">
        <f t="shared" si="84"/>
        <v>0</v>
      </c>
    </row>
    <row r="184" spans="1:34" s="232" customFormat="1">
      <c r="A184" s="403"/>
      <c r="B184" s="403" t="s">
        <v>110</v>
      </c>
      <c r="C184" s="666" t="s">
        <v>563</v>
      </c>
      <c r="D184" s="123" t="s">
        <v>464</v>
      </c>
      <c r="E184" s="449"/>
      <c r="F184" s="529">
        <f>VLOOKUP(D184,'Q2 DMV -  Revenue'!C:S,17,FALSE)</f>
        <v>0</v>
      </c>
      <c r="G184" s="579"/>
      <c r="H184" s="579"/>
      <c r="I184" s="524"/>
      <c r="J184" s="379">
        <f t="shared" si="86"/>
        <v>0</v>
      </c>
      <c r="K184" s="31"/>
      <c r="L184" s="84"/>
      <c r="M184" s="42"/>
      <c r="N184" s="31">
        <v>0</v>
      </c>
      <c r="O184" s="429"/>
      <c r="P184" s="31">
        <v>0</v>
      </c>
      <c r="Q184" s="426">
        <f t="shared" si="90"/>
        <v>0</v>
      </c>
      <c r="R184" s="178">
        <v>0</v>
      </c>
      <c r="S184" s="295"/>
      <c r="T184" s="385">
        <f t="shared" si="88"/>
        <v>0</v>
      </c>
      <c r="U184" s="31"/>
      <c r="V184" s="474">
        <f t="shared" si="75"/>
        <v>0</v>
      </c>
      <c r="W184" s="474">
        <f t="shared" si="76"/>
        <v>0</v>
      </c>
      <c r="X184" s="475">
        <f t="shared" si="77"/>
        <v>0</v>
      </c>
      <c r="Y184" s="475">
        <v>0</v>
      </c>
      <c r="Z184" s="476">
        <v>0</v>
      </c>
      <c r="AA184" s="38">
        <f t="shared" si="78"/>
        <v>0</v>
      </c>
      <c r="AB184" s="564">
        <f t="shared" si="79"/>
        <v>0</v>
      </c>
      <c r="AC184" s="564">
        <f t="shared" si="80"/>
        <v>0</v>
      </c>
      <c r="AD184" s="564">
        <f t="shared" si="81"/>
        <v>0</v>
      </c>
      <c r="AE184" s="559"/>
      <c r="AF184" s="564">
        <f t="shared" si="82"/>
        <v>0</v>
      </c>
      <c r="AG184" s="564">
        <f t="shared" si="83"/>
        <v>0</v>
      </c>
      <c r="AH184" s="564">
        <f t="shared" si="84"/>
        <v>0</v>
      </c>
    </row>
    <row r="185" spans="1:34">
      <c r="A185" s="21" t="s">
        <v>212</v>
      </c>
      <c r="B185" s="21" t="s">
        <v>110</v>
      </c>
      <c r="C185" s="666"/>
      <c r="D185" s="68" t="s">
        <v>35</v>
      </c>
      <c r="E185" s="449"/>
      <c r="F185" s="529">
        <f>VLOOKUP(D185,'Q2 DMV -  Revenue'!C:S,17,FALSE)</f>
        <v>0</v>
      </c>
      <c r="G185" s="579"/>
      <c r="H185" s="579"/>
      <c r="I185" s="524"/>
      <c r="J185" s="379">
        <f t="shared" si="86"/>
        <v>0</v>
      </c>
      <c r="K185" s="31"/>
      <c r="L185" s="84"/>
      <c r="M185" s="42"/>
      <c r="N185" s="31">
        <v>0</v>
      </c>
      <c r="O185" s="429"/>
      <c r="P185" s="31">
        <v>0</v>
      </c>
      <c r="Q185" s="426">
        <f t="shared" si="90"/>
        <v>0</v>
      </c>
      <c r="R185" s="178">
        <v>0</v>
      </c>
      <c r="S185" s="295"/>
      <c r="T185" s="385">
        <f t="shared" si="88"/>
        <v>0</v>
      </c>
      <c r="U185" s="31"/>
      <c r="V185" s="474">
        <f t="shared" si="75"/>
        <v>0</v>
      </c>
      <c r="W185" s="474">
        <f t="shared" si="76"/>
        <v>0</v>
      </c>
      <c r="X185" s="475">
        <f t="shared" si="77"/>
        <v>0</v>
      </c>
      <c r="Y185" s="475">
        <v>0</v>
      </c>
      <c r="Z185" s="476">
        <v>0</v>
      </c>
      <c r="AA185" s="38">
        <f t="shared" si="78"/>
        <v>0</v>
      </c>
      <c r="AB185" s="564">
        <f t="shared" si="79"/>
        <v>0</v>
      </c>
      <c r="AC185" s="564">
        <f t="shared" si="80"/>
        <v>0</v>
      </c>
      <c r="AD185" s="564">
        <f t="shared" si="81"/>
        <v>0</v>
      </c>
      <c r="AF185" s="564">
        <f t="shared" si="82"/>
        <v>0</v>
      </c>
      <c r="AG185" s="564">
        <f t="shared" si="83"/>
        <v>0</v>
      </c>
      <c r="AH185" s="564">
        <f t="shared" si="84"/>
        <v>0</v>
      </c>
    </row>
    <row r="186" spans="1:34">
      <c r="A186" s="21" t="s">
        <v>212</v>
      </c>
      <c r="B186" s="21" t="s">
        <v>110</v>
      </c>
      <c r="C186" s="666"/>
      <c r="D186" s="68" t="s">
        <v>232</v>
      </c>
      <c r="E186" s="449">
        <v>8568.7999999999993</v>
      </c>
      <c r="F186" s="529">
        <f>VLOOKUP(D186,'Q2 DMV -  Revenue'!C:S,17,FALSE)</f>
        <v>0</v>
      </c>
      <c r="G186" s="579"/>
      <c r="H186" s="579"/>
      <c r="I186" s="524"/>
      <c r="J186" s="379">
        <f t="shared" si="86"/>
        <v>8568.7999999999993</v>
      </c>
      <c r="K186" s="31"/>
      <c r="L186" s="84"/>
      <c r="M186" s="42"/>
      <c r="N186" s="31">
        <v>0</v>
      </c>
      <c r="O186" s="429">
        <v>8568.7999999999993</v>
      </c>
      <c r="P186" s="31">
        <v>0</v>
      </c>
      <c r="Q186" s="426">
        <f t="shared" si="90"/>
        <v>0</v>
      </c>
      <c r="R186" s="178">
        <v>9257.25</v>
      </c>
      <c r="S186" s="295"/>
      <c r="T186" s="385">
        <f t="shared" si="88"/>
        <v>9257.25</v>
      </c>
      <c r="U186" s="31"/>
      <c r="V186" s="474">
        <f t="shared" si="75"/>
        <v>0</v>
      </c>
      <c r="W186" s="474">
        <f t="shared" si="76"/>
        <v>0</v>
      </c>
      <c r="X186" s="475">
        <f t="shared" si="77"/>
        <v>0</v>
      </c>
      <c r="Y186" s="475">
        <v>0</v>
      </c>
      <c r="Z186" s="476">
        <v>0</v>
      </c>
      <c r="AA186" s="38">
        <f t="shared" si="78"/>
        <v>0</v>
      </c>
      <c r="AB186" s="564">
        <f t="shared" si="79"/>
        <v>8568.7999999999993</v>
      </c>
      <c r="AC186" s="564">
        <f t="shared" si="80"/>
        <v>0</v>
      </c>
      <c r="AD186" s="564">
        <f t="shared" si="81"/>
        <v>0</v>
      </c>
      <c r="AF186" s="564">
        <f t="shared" si="82"/>
        <v>0</v>
      </c>
      <c r="AG186" s="564">
        <f t="shared" si="83"/>
        <v>0</v>
      </c>
      <c r="AH186" s="564">
        <f t="shared" si="84"/>
        <v>0</v>
      </c>
    </row>
    <row r="187" spans="1:34">
      <c r="A187" s="21" t="s">
        <v>212</v>
      </c>
      <c r="B187" s="21" t="s">
        <v>110</v>
      </c>
      <c r="C187" s="666"/>
      <c r="D187" s="68" t="s">
        <v>238</v>
      </c>
      <c r="E187" s="449"/>
      <c r="F187" s="529">
        <f>VLOOKUP(D187,'Q2 DMV -  Revenue'!C:S,17,FALSE)</f>
        <v>0</v>
      </c>
      <c r="G187" s="579"/>
      <c r="H187" s="579"/>
      <c r="I187" s="524"/>
      <c r="J187" s="379">
        <f t="shared" si="86"/>
        <v>0</v>
      </c>
      <c r="K187" s="31"/>
      <c r="L187" s="84"/>
      <c r="M187" s="42"/>
      <c r="N187" s="31">
        <v>0</v>
      </c>
      <c r="O187" s="429"/>
      <c r="P187" s="31">
        <v>0</v>
      </c>
      <c r="Q187" s="426">
        <f t="shared" si="90"/>
        <v>0</v>
      </c>
      <c r="R187" s="178">
        <v>0</v>
      </c>
      <c r="S187" s="295"/>
      <c r="T187" s="385">
        <f t="shared" si="88"/>
        <v>0</v>
      </c>
      <c r="U187" s="31"/>
      <c r="V187" s="474">
        <f t="shared" si="75"/>
        <v>0</v>
      </c>
      <c r="W187" s="474">
        <f t="shared" si="76"/>
        <v>0</v>
      </c>
      <c r="X187" s="475">
        <f t="shared" si="77"/>
        <v>0</v>
      </c>
      <c r="Y187" s="475">
        <v>0</v>
      </c>
      <c r="Z187" s="476">
        <v>0</v>
      </c>
      <c r="AA187" s="38">
        <f t="shared" si="78"/>
        <v>0</v>
      </c>
      <c r="AB187" s="564">
        <f t="shared" si="79"/>
        <v>0</v>
      </c>
      <c r="AC187" s="564">
        <f t="shared" si="80"/>
        <v>0</v>
      </c>
      <c r="AD187" s="564">
        <f t="shared" si="81"/>
        <v>0</v>
      </c>
      <c r="AF187" s="564">
        <f t="shared" si="82"/>
        <v>0</v>
      </c>
      <c r="AG187" s="564">
        <f t="shared" si="83"/>
        <v>0</v>
      </c>
      <c r="AH187" s="564">
        <f t="shared" si="84"/>
        <v>0</v>
      </c>
    </row>
    <row r="188" spans="1:34">
      <c r="A188" s="21"/>
      <c r="B188" s="21" t="s">
        <v>110</v>
      </c>
      <c r="C188" s="666"/>
      <c r="D188" s="68" t="s">
        <v>68</v>
      </c>
      <c r="E188" s="449">
        <f>8.12+11.84</f>
        <v>19.96</v>
      </c>
      <c r="F188" s="529">
        <f>VLOOKUP(D188,'Q2 DMV -  Revenue'!C:S,17,FALSE)</f>
        <v>11.64</v>
      </c>
      <c r="G188" s="579"/>
      <c r="H188" s="579"/>
      <c r="I188" s="524"/>
      <c r="J188" s="379">
        <f t="shared" si="86"/>
        <v>31.6</v>
      </c>
      <c r="K188" s="31"/>
      <c r="L188" s="84"/>
      <c r="M188" s="42"/>
      <c r="N188" s="31">
        <v>0</v>
      </c>
      <c r="O188" s="429">
        <v>31.6</v>
      </c>
      <c r="P188" s="31">
        <v>0</v>
      </c>
      <c r="Q188" s="426">
        <f t="shared" si="90"/>
        <v>0</v>
      </c>
      <c r="R188" s="178">
        <v>0</v>
      </c>
      <c r="S188" s="295"/>
      <c r="T188" s="385">
        <f t="shared" si="88"/>
        <v>0</v>
      </c>
      <c r="U188" s="31"/>
      <c r="V188" s="474">
        <f t="shared" si="75"/>
        <v>0</v>
      </c>
      <c r="W188" s="474">
        <f t="shared" si="76"/>
        <v>0</v>
      </c>
      <c r="X188" s="475">
        <f t="shared" si="77"/>
        <v>0</v>
      </c>
      <c r="Y188" s="475">
        <v>0</v>
      </c>
      <c r="Z188" s="476">
        <v>0</v>
      </c>
      <c r="AA188" s="38">
        <f t="shared" si="78"/>
        <v>0</v>
      </c>
      <c r="AB188" s="564">
        <f t="shared" si="79"/>
        <v>31.6</v>
      </c>
      <c r="AC188" s="564">
        <f t="shared" si="80"/>
        <v>0</v>
      </c>
      <c r="AD188" s="564">
        <f t="shared" si="81"/>
        <v>0</v>
      </c>
      <c r="AF188" s="564">
        <f t="shared" si="82"/>
        <v>0</v>
      </c>
      <c r="AG188" s="564">
        <f t="shared" si="83"/>
        <v>0</v>
      </c>
      <c r="AH188" s="564">
        <f t="shared" si="84"/>
        <v>0</v>
      </c>
    </row>
    <row r="189" spans="1:34">
      <c r="A189" s="21"/>
      <c r="B189" s="21" t="s">
        <v>110</v>
      </c>
      <c r="C189" s="666"/>
      <c r="D189" s="68" t="s">
        <v>384</v>
      </c>
      <c r="E189" s="449"/>
      <c r="F189" s="529">
        <f>VLOOKUP(D189,'Q2 DMV -  Revenue'!C:S,17,FALSE)</f>
        <v>0</v>
      </c>
      <c r="G189" s="579"/>
      <c r="H189" s="579"/>
      <c r="I189" s="524"/>
      <c r="J189" s="379">
        <f t="shared" si="86"/>
        <v>0</v>
      </c>
      <c r="K189" s="31"/>
      <c r="L189" s="84"/>
      <c r="M189" s="42"/>
      <c r="N189" s="31">
        <v>0</v>
      </c>
      <c r="O189" s="429"/>
      <c r="P189" s="31">
        <v>0</v>
      </c>
      <c r="Q189" s="426">
        <f t="shared" si="90"/>
        <v>0</v>
      </c>
      <c r="R189" s="178">
        <v>0</v>
      </c>
      <c r="S189" s="295"/>
      <c r="T189" s="385">
        <f t="shared" si="88"/>
        <v>0</v>
      </c>
      <c r="U189" s="31"/>
      <c r="V189" s="474">
        <f t="shared" si="75"/>
        <v>0</v>
      </c>
      <c r="W189" s="474">
        <f t="shared" si="76"/>
        <v>0</v>
      </c>
      <c r="X189" s="475">
        <f t="shared" si="77"/>
        <v>0</v>
      </c>
      <c r="Y189" s="475">
        <v>0</v>
      </c>
      <c r="Z189" s="476">
        <v>0</v>
      </c>
      <c r="AA189" s="38">
        <f t="shared" si="78"/>
        <v>0</v>
      </c>
      <c r="AB189" s="564">
        <f t="shared" si="79"/>
        <v>0</v>
      </c>
      <c r="AC189" s="564">
        <f t="shared" si="80"/>
        <v>0</v>
      </c>
      <c r="AD189" s="564">
        <f t="shared" si="81"/>
        <v>0</v>
      </c>
      <c r="AF189" s="564">
        <f t="shared" si="82"/>
        <v>0</v>
      </c>
      <c r="AG189" s="564">
        <f t="shared" si="83"/>
        <v>0</v>
      </c>
      <c r="AH189" s="564">
        <f t="shared" si="84"/>
        <v>0</v>
      </c>
    </row>
    <row r="190" spans="1:34">
      <c r="A190" s="21"/>
      <c r="B190" s="21" t="s">
        <v>109</v>
      </c>
      <c r="C190" s="666" t="s">
        <v>564</v>
      </c>
      <c r="D190" s="68" t="s">
        <v>306</v>
      </c>
      <c r="E190" s="449"/>
      <c r="F190" s="529">
        <f>VLOOKUP(D190,'Q2 DMV -  Revenue'!C:S,17,FALSE)</f>
        <v>-4412.2550000000001</v>
      </c>
      <c r="G190" s="576">
        <v>2087.67</v>
      </c>
      <c r="H190" s="576">
        <v>622.41</v>
      </c>
      <c r="I190" s="524"/>
      <c r="J190" s="379">
        <f t="shared" si="86"/>
        <v>-1702.1750000000002</v>
      </c>
      <c r="K190" s="31"/>
      <c r="L190" s="84"/>
      <c r="M190" s="42">
        <f t="shared" ref="M190" si="94">SUM(G190+H190)/2</f>
        <v>1355.04</v>
      </c>
      <c r="N190" s="31">
        <v>0</v>
      </c>
      <c r="O190" s="429">
        <v>7478.63</v>
      </c>
      <c r="P190" s="31">
        <v>0</v>
      </c>
      <c r="Q190" s="426">
        <f t="shared" si="90"/>
        <v>1355.04</v>
      </c>
      <c r="R190" s="178">
        <f>78.96+93.71+76.6+62.9+2226.36+70.93+116.06+249.08+2157.94+609.44+2157.94+249.08+116.06+70.93+609.44+76.31+3.63+60.86+0.92+6.47+1.14+7.02+255.27+43.83+100.46+84.14+43.95+4.32+28.52+11.71+9.43+0.45+3.41</f>
        <v>9687.2699999999986</v>
      </c>
      <c r="S190" s="295"/>
      <c r="T190" s="385">
        <f t="shared" si="88"/>
        <v>8332.23</v>
      </c>
      <c r="U190" s="31"/>
      <c r="V190" s="474">
        <f t="shared" si="75"/>
        <v>0</v>
      </c>
      <c r="W190" s="474">
        <f t="shared" si="76"/>
        <v>1355.04</v>
      </c>
      <c r="X190" s="475">
        <f t="shared" si="77"/>
        <v>0</v>
      </c>
      <c r="Y190" s="475">
        <v>0</v>
      </c>
      <c r="Z190" s="476">
        <v>0</v>
      </c>
      <c r="AA190" s="38">
        <f t="shared" si="78"/>
        <v>0</v>
      </c>
      <c r="AB190" s="564">
        <f t="shared" si="79"/>
        <v>0</v>
      </c>
      <c r="AC190" s="564">
        <f t="shared" si="80"/>
        <v>-1702.1750000000002</v>
      </c>
      <c r="AD190" s="564">
        <f t="shared" si="81"/>
        <v>0</v>
      </c>
      <c r="AF190" s="564">
        <f t="shared" si="82"/>
        <v>0</v>
      </c>
      <c r="AG190" s="564">
        <f t="shared" si="83"/>
        <v>1355.04</v>
      </c>
      <c r="AH190" s="564">
        <f t="shared" si="84"/>
        <v>0</v>
      </c>
    </row>
    <row r="191" spans="1:34">
      <c r="A191" s="21"/>
      <c r="B191" s="21" t="s">
        <v>109</v>
      </c>
      <c r="C191" s="666" t="s">
        <v>564</v>
      </c>
      <c r="D191" s="68" t="s">
        <v>307</v>
      </c>
      <c r="E191" s="449"/>
      <c r="F191" s="529">
        <f>VLOOKUP(D191,'Q2 DMV -  Revenue'!C:S,17,FALSE)</f>
        <v>-770.35500000000013</v>
      </c>
      <c r="G191" s="576">
        <f>96.25+69.29+709.28</f>
        <v>874.81999999999994</v>
      </c>
      <c r="H191" s="579"/>
      <c r="I191" s="524"/>
      <c r="J191" s="379">
        <f t="shared" si="86"/>
        <v>104.4649999999998</v>
      </c>
      <c r="K191" s="31"/>
      <c r="L191" s="84"/>
      <c r="M191" s="42">
        <f>G191*2</f>
        <v>1749.6399999999999</v>
      </c>
      <c r="N191" s="31">
        <v>0</v>
      </c>
      <c r="O191" s="429"/>
      <c r="P191" s="31">
        <v>0</v>
      </c>
      <c r="Q191" s="426">
        <f t="shared" si="90"/>
        <v>1749.6399999999999</v>
      </c>
      <c r="R191" s="178">
        <f>95.98+39.07+725.47+80.63+4.68+641.27+80.63+4.68+641.1</f>
        <v>2313.5100000000002</v>
      </c>
      <c r="S191" s="295"/>
      <c r="T191" s="385">
        <f t="shared" si="88"/>
        <v>563.87000000000035</v>
      </c>
      <c r="U191" s="31"/>
      <c r="V191" s="474">
        <f t="shared" si="75"/>
        <v>0</v>
      </c>
      <c r="W191" s="474">
        <f t="shared" si="76"/>
        <v>1749.6399999999999</v>
      </c>
      <c r="X191" s="475">
        <f t="shared" si="77"/>
        <v>0</v>
      </c>
      <c r="Y191" s="475">
        <v>0</v>
      </c>
      <c r="Z191" s="476">
        <v>0</v>
      </c>
      <c r="AA191" s="38">
        <f t="shared" si="78"/>
        <v>0</v>
      </c>
      <c r="AB191" s="564">
        <f t="shared" si="79"/>
        <v>0</v>
      </c>
      <c r="AC191" s="564">
        <f t="shared" si="80"/>
        <v>104.4649999999998</v>
      </c>
      <c r="AD191" s="564">
        <f t="shared" si="81"/>
        <v>0</v>
      </c>
      <c r="AF191" s="564">
        <f t="shared" si="82"/>
        <v>0</v>
      </c>
      <c r="AG191" s="564">
        <f t="shared" si="83"/>
        <v>1749.6399999999999</v>
      </c>
      <c r="AH191" s="564">
        <f t="shared" si="84"/>
        <v>0</v>
      </c>
    </row>
    <row r="192" spans="1:34">
      <c r="A192" s="21"/>
      <c r="B192" s="21" t="s">
        <v>109</v>
      </c>
      <c r="C192" s="666" t="s">
        <v>565</v>
      </c>
      <c r="D192" s="68" t="s">
        <v>485</v>
      </c>
      <c r="E192" s="449"/>
      <c r="F192" s="529">
        <f>VLOOKUP(D192,'Q2 DMV -  Revenue'!C:S,17,FALSE)</f>
        <v>57478.880000000005</v>
      </c>
      <c r="G192" s="579"/>
      <c r="H192" s="579"/>
      <c r="I192" s="524"/>
      <c r="J192" s="379">
        <f t="shared" si="86"/>
        <v>57478.880000000005</v>
      </c>
      <c r="K192" s="31"/>
      <c r="L192" s="84"/>
      <c r="M192" s="600">
        <v>30000</v>
      </c>
      <c r="N192" s="31"/>
      <c r="O192" s="429">
        <v>82478.880000000005</v>
      </c>
      <c r="P192" s="31"/>
      <c r="Q192" s="426">
        <f t="shared" si="90"/>
        <v>30000</v>
      </c>
      <c r="R192" s="178">
        <f>7571.75+6113.31+2486.51+621.98+138827.93</f>
        <v>155621.47999999998</v>
      </c>
      <c r="S192" s="295"/>
      <c r="T192" s="385">
        <f t="shared" si="88"/>
        <v>125621.47999999998</v>
      </c>
      <c r="U192" s="31"/>
      <c r="V192" s="474">
        <f t="shared" si="75"/>
        <v>0</v>
      </c>
      <c r="W192" s="474">
        <f t="shared" si="76"/>
        <v>30000</v>
      </c>
      <c r="X192" s="475">
        <f t="shared" si="77"/>
        <v>0</v>
      </c>
      <c r="Y192" s="475">
        <v>0</v>
      </c>
      <c r="Z192" s="476">
        <v>0</v>
      </c>
      <c r="AA192" s="38">
        <f t="shared" si="78"/>
        <v>0</v>
      </c>
      <c r="AB192" s="564">
        <f t="shared" si="79"/>
        <v>0</v>
      </c>
      <c r="AC192" s="564">
        <f t="shared" si="80"/>
        <v>57478.880000000005</v>
      </c>
      <c r="AD192" s="564">
        <f t="shared" si="81"/>
        <v>0</v>
      </c>
      <c r="AF192" s="564">
        <f t="shared" si="82"/>
        <v>0</v>
      </c>
      <c r="AG192" s="564">
        <f t="shared" si="83"/>
        <v>30000</v>
      </c>
      <c r="AH192" s="564">
        <f t="shared" si="84"/>
        <v>0</v>
      </c>
    </row>
    <row r="193" spans="1:34" s="232" customFormat="1">
      <c r="A193" s="403"/>
      <c r="B193" s="403" t="s">
        <v>109</v>
      </c>
      <c r="C193" s="666"/>
      <c r="D193" s="123" t="s">
        <v>220</v>
      </c>
      <c r="E193" s="449"/>
      <c r="F193" s="529">
        <f>VLOOKUP(D193,'Q2 DMV -  Revenue'!C:S,17,FALSE)</f>
        <v>0</v>
      </c>
      <c r="G193" s="579"/>
      <c r="H193" s="579"/>
      <c r="I193" s="524"/>
      <c r="J193" s="379">
        <f t="shared" si="86"/>
        <v>0</v>
      </c>
      <c r="K193" s="31"/>
      <c r="L193" s="84"/>
      <c r="M193" s="42"/>
      <c r="N193" s="31">
        <v>0</v>
      </c>
      <c r="O193" s="429"/>
      <c r="P193" s="31">
        <v>0</v>
      </c>
      <c r="Q193" s="426">
        <f t="shared" si="90"/>
        <v>0</v>
      </c>
      <c r="R193" s="178">
        <v>0</v>
      </c>
      <c r="S193" s="295"/>
      <c r="T193" s="385">
        <f t="shared" si="88"/>
        <v>0</v>
      </c>
      <c r="U193" s="31"/>
      <c r="V193" s="474">
        <f t="shared" si="75"/>
        <v>0</v>
      </c>
      <c r="W193" s="474">
        <f t="shared" si="76"/>
        <v>0</v>
      </c>
      <c r="X193" s="475">
        <f t="shared" si="77"/>
        <v>0</v>
      </c>
      <c r="Y193" s="475">
        <v>0</v>
      </c>
      <c r="Z193" s="476">
        <v>0</v>
      </c>
      <c r="AA193" s="38">
        <f t="shared" si="78"/>
        <v>0</v>
      </c>
      <c r="AB193" s="564">
        <f t="shared" si="79"/>
        <v>0</v>
      </c>
      <c r="AC193" s="564">
        <f t="shared" si="80"/>
        <v>0</v>
      </c>
      <c r="AD193" s="564">
        <f t="shared" si="81"/>
        <v>0</v>
      </c>
      <c r="AE193" s="559"/>
      <c r="AF193" s="564">
        <f t="shared" si="82"/>
        <v>0</v>
      </c>
      <c r="AG193" s="564">
        <f t="shared" si="83"/>
        <v>0</v>
      </c>
      <c r="AH193" s="564">
        <f t="shared" si="84"/>
        <v>0</v>
      </c>
    </row>
    <row r="194" spans="1:34" s="24" customFormat="1">
      <c r="A194" s="472"/>
      <c r="B194" s="472" t="s">
        <v>109</v>
      </c>
      <c r="C194" s="666"/>
      <c r="D194" s="68" t="s">
        <v>505</v>
      </c>
      <c r="E194" s="540">
        <f>5552.63/10*8</f>
        <v>4442.1040000000003</v>
      </c>
      <c r="F194" s="529">
        <f>VLOOKUP(D194,'Q2 DMV -  Revenue'!C:S,17,FALSE)</f>
        <v>17571.488499999999</v>
      </c>
      <c r="G194" s="576">
        <f>12631.57/4</f>
        <v>3157.8924999999999</v>
      </c>
      <c r="H194" s="576">
        <f>12631.57/4</f>
        <v>3157.8924999999999</v>
      </c>
      <c r="I194" s="525">
        <f>12631.57/4</f>
        <v>3157.8924999999999</v>
      </c>
      <c r="J194" s="648">
        <f t="shared" ref="J194" si="95">SUM(E194:I194)</f>
        <v>31487.270000000004</v>
      </c>
      <c r="K194" s="649"/>
      <c r="L194" s="85"/>
      <c r="M194" s="650"/>
      <c r="N194" s="649">
        <v>0</v>
      </c>
      <c r="O194" s="429">
        <v>31487.27</v>
      </c>
      <c r="P194" s="649">
        <v>0</v>
      </c>
      <c r="Q194" s="651">
        <f t="shared" ref="Q194" si="96">L194+M194</f>
        <v>0</v>
      </c>
      <c r="R194" s="178">
        <v>9753.4500000000007</v>
      </c>
      <c r="S194" s="179"/>
      <c r="T194" s="652">
        <f t="shared" ref="T194" si="97">IF(R194="","",R194-Q194)</f>
        <v>9753.4500000000007</v>
      </c>
      <c r="U194" s="649"/>
      <c r="V194" s="474">
        <f t="shared" si="75"/>
        <v>0</v>
      </c>
      <c r="W194" s="474">
        <f t="shared" si="76"/>
        <v>0</v>
      </c>
      <c r="X194" s="475">
        <f t="shared" si="77"/>
        <v>0</v>
      </c>
      <c r="Y194" s="475">
        <v>0</v>
      </c>
      <c r="Z194" s="476">
        <v>0</v>
      </c>
      <c r="AA194" s="38">
        <f t="shared" si="78"/>
        <v>0</v>
      </c>
      <c r="AB194" s="564">
        <f t="shared" si="79"/>
        <v>0</v>
      </c>
      <c r="AC194" s="564">
        <f t="shared" si="80"/>
        <v>31487.270000000004</v>
      </c>
      <c r="AD194" s="564">
        <f t="shared" si="81"/>
        <v>0</v>
      </c>
      <c r="AE194" s="559"/>
      <c r="AF194" s="564">
        <f t="shared" si="82"/>
        <v>0</v>
      </c>
      <c r="AG194" s="564">
        <f t="shared" si="83"/>
        <v>0</v>
      </c>
      <c r="AH194" s="564">
        <f t="shared" si="84"/>
        <v>0</v>
      </c>
    </row>
    <row r="195" spans="1:34">
      <c r="A195" s="21"/>
      <c r="B195" s="21" t="s">
        <v>109</v>
      </c>
      <c r="C195" s="666"/>
      <c r="D195" s="68" t="s">
        <v>38</v>
      </c>
      <c r="E195" s="449"/>
      <c r="F195" s="529">
        <f>VLOOKUP(D195,'Q2 DMV -  Revenue'!C:S,17,FALSE)</f>
        <v>0</v>
      </c>
      <c r="G195" s="579"/>
      <c r="H195" s="579"/>
      <c r="I195" s="524"/>
      <c r="J195" s="379">
        <f t="shared" si="86"/>
        <v>0</v>
      </c>
      <c r="K195" s="31"/>
      <c r="L195" s="84"/>
      <c r="M195" s="42"/>
      <c r="N195" s="31">
        <v>0</v>
      </c>
      <c r="O195" s="429"/>
      <c r="P195" s="31">
        <v>0</v>
      </c>
      <c r="Q195" s="426">
        <f t="shared" si="90"/>
        <v>0</v>
      </c>
      <c r="R195" s="178">
        <v>0</v>
      </c>
      <c r="S195" s="295"/>
      <c r="T195" s="385">
        <f t="shared" si="88"/>
        <v>0</v>
      </c>
      <c r="U195" s="31"/>
      <c r="V195" s="474">
        <f t="shared" si="75"/>
        <v>0</v>
      </c>
      <c r="W195" s="474">
        <f t="shared" si="76"/>
        <v>0</v>
      </c>
      <c r="X195" s="475">
        <f t="shared" si="77"/>
        <v>0</v>
      </c>
      <c r="Y195" s="475">
        <v>0</v>
      </c>
      <c r="Z195" s="476">
        <v>0</v>
      </c>
      <c r="AA195" s="38">
        <f t="shared" si="78"/>
        <v>0</v>
      </c>
      <c r="AB195" s="564">
        <f t="shared" si="79"/>
        <v>0</v>
      </c>
      <c r="AC195" s="564">
        <f t="shared" si="80"/>
        <v>0</v>
      </c>
      <c r="AD195" s="564">
        <f t="shared" si="81"/>
        <v>0</v>
      </c>
      <c r="AF195" s="564">
        <f t="shared" si="82"/>
        <v>0</v>
      </c>
      <c r="AG195" s="564">
        <f t="shared" si="83"/>
        <v>0</v>
      </c>
      <c r="AH195" s="564">
        <f t="shared" si="84"/>
        <v>0</v>
      </c>
    </row>
    <row r="196" spans="1:34">
      <c r="A196" s="21"/>
      <c r="B196" s="21" t="s">
        <v>110</v>
      </c>
      <c r="C196" s="666"/>
      <c r="D196" s="68" t="s">
        <v>484</v>
      </c>
      <c r="E196" s="449"/>
      <c r="F196" s="529">
        <f>VLOOKUP(D196,'Q2 DMV -  Revenue'!C:S,17,FALSE)</f>
        <v>7390.4400000000023</v>
      </c>
      <c r="G196" s="576">
        <f>23068.69+3128.58+1937.81+10287.93+391.02+133.68</f>
        <v>38947.709999999992</v>
      </c>
      <c r="H196" s="576">
        <v>29918.02</v>
      </c>
      <c r="I196" s="590">
        <v>0</v>
      </c>
      <c r="J196" s="379">
        <f t="shared" ref="J196" si="98">SUM(E196:I196)</f>
        <v>76256.17</v>
      </c>
      <c r="K196" s="31"/>
      <c r="L196" s="84"/>
      <c r="M196" s="42"/>
      <c r="N196" s="31">
        <v>0</v>
      </c>
      <c r="O196" s="429">
        <v>146256.17000000001</v>
      </c>
      <c r="P196" s="31">
        <v>0</v>
      </c>
      <c r="Q196" s="426">
        <f t="shared" si="90"/>
        <v>0</v>
      </c>
      <c r="R196" s="178">
        <v>0</v>
      </c>
      <c r="S196" s="295"/>
      <c r="T196" s="385">
        <f t="shared" si="88"/>
        <v>0</v>
      </c>
      <c r="U196" s="31"/>
      <c r="V196" s="474">
        <f t="shared" si="75"/>
        <v>0</v>
      </c>
      <c r="W196" s="474">
        <f t="shared" si="76"/>
        <v>0</v>
      </c>
      <c r="X196" s="475">
        <f t="shared" si="77"/>
        <v>0</v>
      </c>
      <c r="Y196" s="475">
        <v>0</v>
      </c>
      <c r="Z196" s="476">
        <v>0</v>
      </c>
      <c r="AA196" s="38">
        <f t="shared" si="78"/>
        <v>0</v>
      </c>
      <c r="AB196" s="564">
        <f t="shared" si="79"/>
        <v>76256.17</v>
      </c>
      <c r="AC196" s="564">
        <f t="shared" si="80"/>
        <v>0</v>
      </c>
      <c r="AD196" s="564">
        <f t="shared" si="81"/>
        <v>0</v>
      </c>
      <c r="AF196" s="564">
        <f t="shared" si="82"/>
        <v>0</v>
      </c>
      <c r="AG196" s="564">
        <f t="shared" si="83"/>
        <v>0</v>
      </c>
      <c r="AH196" s="564">
        <f t="shared" si="84"/>
        <v>0</v>
      </c>
    </row>
    <row r="197" spans="1:34">
      <c r="A197" s="21"/>
      <c r="B197" s="21" t="s">
        <v>110</v>
      </c>
      <c r="C197" s="666"/>
      <c r="D197" s="68" t="s">
        <v>185</v>
      </c>
      <c r="E197" s="449"/>
      <c r="F197" s="529">
        <f>VLOOKUP(D197,'Q2 DMV -  Revenue'!C:S,17,FALSE)</f>
        <v>2.4499999999999886</v>
      </c>
      <c r="G197" s="579"/>
      <c r="H197" s="579"/>
      <c r="I197" s="524"/>
      <c r="J197" s="379">
        <f t="shared" si="86"/>
        <v>2.4499999999999886</v>
      </c>
      <c r="K197" s="31"/>
      <c r="L197" s="84"/>
      <c r="M197" s="42"/>
      <c r="N197" s="31">
        <v>0</v>
      </c>
      <c r="O197" s="429">
        <v>1456.27</v>
      </c>
      <c r="P197" s="31">
        <v>0</v>
      </c>
      <c r="Q197" s="426">
        <f t="shared" si="90"/>
        <v>0</v>
      </c>
      <c r="R197" s="178">
        <f>104.3+187.3+107.8</f>
        <v>399.40000000000003</v>
      </c>
      <c r="S197" s="295"/>
      <c r="T197" s="385">
        <f t="shared" si="88"/>
        <v>399.40000000000003</v>
      </c>
      <c r="U197" s="31"/>
      <c r="V197" s="474">
        <f t="shared" si="75"/>
        <v>0</v>
      </c>
      <c r="W197" s="474">
        <f t="shared" si="76"/>
        <v>0</v>
      </c>
      <c r="X197" s="475">
        <f t="shared" si="77"/>
        <v>0</v>
      </c>
      <c r="Y197" s="475">
        <v>0</v>
      </c>
      <c r="Z197" s="476">
        <v>0</v>
      </c>
      <c r="AA197" s="38">
        <f t="shared" si="78"/>
        <v>0</v>
      </c>
      <c r="AB197" s="564">
        <f t="shared" si="79"/>
        <v>2.4499999999999886</v>
      </c>
      <c r="AC197" s="564">
        <f t="shared" si="80"/>
        <v>0</v>
      </c>
      <c r="AD197" s="564">
        <f t="shared" si="81"/>
        <v>0</v>
      </c>
      <c r="AF197" s="564">
        <f t="shared" si="82"/>
        <v>0</v>
      </c>
      <c r="AG197" s="564">
        <f t="shared" si="83"/>
        <v>0</v>
      </c>
      <c r="AH197" s="564">
        <f t="shared" si="84"/>
        <v>0</v>
      </c>
    </row>
    <row r="198" spans="1:34">
      <c r="A198" s="21"/>
      <c r="B198" s="21" t="s">
        <v>110</v>
      </c>
      <c r="C198" s="666"/>
      <c r="D198" s="68" t="s">
        <v>186</v>
      </c>
      <c r="E198" s="449"/>
      <c r="F198" s="529">
        <f>VLOOKUP(D198,'Q2 DMV -  Revenue'!C:S,17,FALSE)</f>
        <v>-10.265000000000015</v>
      </c>
      <c r="G198" s="579"/>
      <c r="H198" s="579"/>
      <c r="I198" s="524"/>
      <c r="J198" s="379">
        <f t="shared" si="86"/>
        <v>-10.265000000000015</v>
      </c>
      <c r="K198" s="31"/>
      <c r="L198" s="84"/>
      <c r="M198" s="42"/>
      <c r="N198" s="31">
        <v>0</v>
      </c>
      <c r="O198" s="429"/>
      <c r="P198" s="31">
        <v>0</v>
      </c>
      <c r="Q198" s="426">
        <f t="shared" si="90"/>
        <v>0</v>
      </c>
      <c r="R198" s="178">
        <f>153+240.17+185.55</f>
        <v>578.72</v>
      </c>
      <c r="S198" s="295"/>
      <c r="T198" s="385">
        <f t="shared" si="88"/>
        <v>578.72</v>
      </c>
      <c r="U198" s="31"/>
      <c r="V198" s="474">
        <f t="shared" si="75"/>
        <v>0</v>
      </c>
      <c r="W198" s="474">
        <f t="shared" si="76"/>
        <v>0</v>
      </c>
      <c r="X198" s="475">
        <f t="shared" si="77"/>
        <v>0</v>
      </c>
      <c r="Y198" s="475">
        <v>0</v>
      </c>
      <c r="Z198" s="476">
        <v>0</v>
      </c>
      <c r="AA198" s="38">
        <f t="shared" si="78"/>
        <v>0</v>
      </c>
      <c r="AB198" s="564">
        <f t="shared" si="79"/>
        <v>-10.265000000000015</v>
      </c>
      <c r="AC198" s="564">
        <f t="shared" si="80"/>
        <v>0</v>
      </c>
      <c r="AD198" s="564">
        <f t="shared" si="81"/>
        <v>0</v>
      </c>
      <c r="AF198" s="564">
        <f t="shared" si="82"/>
        <v>0</v>
      </c>
      <c r="AG198" s="564">
        <f t="shared" si="83"/>
        <v>0</v>
      </c>
      <c r="AH198" s="564">
        <f t="shared" si="84"/>
        <v>0</v>
      </c>
    </row>
    <row r="199" spans="1:34">
      <c r="A199" s="21"/>
      <c r="B199" s="21" t="s">
        <v>110</v>
      </c>
      <c r="C199" s="666"/>
      <c r="D199" s="68" t="s">
        <v>449</v>
      </c>
      <c r="E199" s="449"/>
      <c r="F199" s="529">
        <f>VLOOKUP(D199,'Q2 DMV -  Revenue'!C:S,17,FALSE)</f>
        <v>1089.1400000000001</v>
      </c>
      <c r="G199" s="579"/>
      <c r="H199" s="579"/>
      <c r="I199" s="524"/>
      <c r="J199" s="379">
        <f t="shared" si="86"/>
        <v>1089.1400000000001</v>
      </c>
      <c r="K199" s="31"/>
      <c r="L199" s="84"/>
      <c r="M199" s="42"/>
      <c r="N199" s="31">
        <v>0</v>
      </c>
      <c r="O199" s="429"/>
      <c r="P199" s="31">
        <v>0</v>
      </c>
      <c r="Q199" s="426">
        <f t="shared" si="90"/>
        <v>0</v>
      </c>
      <c r="R199" s="178">
        <v>0</v>
      </c>
      <c r="S199" s="295"/>
      <c r="T199" s="385">
        <f t="shared" si="88"/>
        <v>0</v>
      </c>
      <c r="U199" s="31"/>
      <c r="V199" s="474">
        <f t="shared" si="75"/>
        <v>0</v>
      </c>
      <c r="W199" s="474">
        <f t="shared" si="76"/>
        <v>0</v>
      </c>
      <c r="X199" s="475">
        <f t="shared" si="77"/>
        <v>0</v>
      </c>
      <c r="Y199" s="475">
        <v>0</v>
      </c>
      <c r="Z199" s="476">
        <v>0</v>
      </c>
      <c r="AA199" s="38">
        <f t="shared" si="78"/>
        <v>0</v>
      </c>
      <c r="AB199" s="564">
        <f t="shared" si="79"/>
        <v>1089.1400000000001</v>
      </c>
      <c r="AC199" s="564">
        <f t="shared" si="80"/>
        <v>0</v>
      </c>
      <c r="AD199" s="564">
        <f t="shared" si="81"/>
        <v>0</v>
      </c>
      <c r="AF199" s="564">
        <f t="shared" si="82"/>
        <v>0</v>
      </c>
      <c r="AG199" s="564">
        <f t="shared" si="83"/>
        <v>0</v>
      </c>
      <c r="AH199" s="564">
        <f t="shared" si="84"/>
        <v>0</v>
      </c>
    </row>
    <row r="200" spans="1:34">
      <c r="A200" s="21"/>
      <c r="B200" s="21" t="s">
        <v>110</v>
      </c>
      <c r="C200" s="666" t="s">
        <v>566</v>
      </c>
      <c r="D200" s="68" t="s">
        <v>39</v>
      </c>
      <c r="E200" s="449"/>
      <c r="F200" s="529">
        <f>VLOOKUP(D200,'Q2 DMV -  Revenue'!C:S,17,FALSE)</f>
        <v>-585.80999999999995</v>
      </c>
      <c r="G200" s="576">
        <f>1447.79+160.58</f>
        <v>1608.37</v>
      </c>
      <c r="H200" s="576">
        <v>769.86</v>
      </c>
      <c r="I200" s="524"/>
      <c r="J200" s="379">
        <f t="shared" si="86"/>
        <v>1792.42</v>
      </c>
      <c r="K200" s="31"/>
      <c r="L200" s="84"/>
      <c r="M200" s="42">
        <f t="shared" ref="M200:M202" si="99">SUM(G200+H200)/2</f>
        <v>1189.115</v>
      </c>
      <c r="N200" s="31">
        <v>0</v>
      </c>
      <c r="O200" s="429">
        <v>3868.42</v>
      </c>
      <c r="P200" s="31">
        <v>0</v>
      </c>
      <c r="Q200" s="426">
        <f t="shared" si="90"/>
        <v>1189.115</v>
      </c>
      <c r="R200" s="178">
        <f>1304.93+158.36+143.4</f>
        <v>1606.69</v>
      </c>
      <c r="S200" s="295"/>
      <c r="T200" s="385">
        <f t="shared" si="88"/>
        <v>417.57500000000005</v>
      </c>
      <c r="U200" s="31"/>
      <c r="V200" s="474">
        <f t="shared" si="75"/>
        <v>1189.115</v>
      </c>
      <c r="W200" s="474">
        <f t="shared" si="76"/>
        <v>0</v>
      </c>
      <c r="X200" s="475">
        <f t="shared" si="77"/>
        <v>0</v>
      </c>
      <c r="Y200" s="475">
        <v>0</v>
      </c>
      <c r="Z200" s="476">
        <v>0</v>
      </c>
      <c r="AA200" s="38">
        <f t="shared" si="78"/>
        <v>0</v>
      </c>
      <c r="AB200" s="564">
        <f t="shared" si="79"/>
        <v>1792.42</v>
      </c>
      <c r="AC200" s="564">
        <f t="shared" si="80"/>
        <v>0</v>
      </c>
      <c r="AD200" s="564">
        <f t="shared" si="81"/>
        <v>0</v>
      </c>
      <c r="AF200" s="564">
        <f t="shared" si="82"/>
        <v>1189.115</v>
      </c>
      <c r="AG200" s="564">
        <f t="shared" si="83"/>
        <v>0</v>
      </c>
      <c r="AH200" s="564">
        <f t="shared" si="84"/>
        <v>0</v>
      </c>
    </row>
    <row r="201" spans="1:34">
      <c r="A201" s="21"/>
      <c r="B201" s="21" t="s">
        <v>110</v>
      </c>
      <c r="C201" s="666" t="s">
        <v>567</v>
      </c>
      <c r="D201" s="68" t="s">
        <v>435</v>
      </c>
      <c r="E201" s="449"/>
      <c r="F201" s="529">
        <f>VLOOKUP(D201,'Q2 DMV -  Revenue'!C:S,17,FALSE)</f>
        <v>0</v>
      </c>
      <c r="G201" s="576">
        <f>5606.66+803.22</f>
        <v>6409.88</v>
      </c>
      <c r="H201" s="576">
        <f>7608.03+1404.28</f>
        <v>9012.31</v>
      </c>
      <c r="I201" s="524"/>
      <c r="J201" s="379">
        <f t="shared" si="86"/>
        <v>15422.189999999999</v>
      </c>
      <c r="K201" s="31"/>
      <c r="L201" s="84"/>
      <c r="M201" s="42">
        <f t="shared" si="99"/>
        <v>7711.0949999999993</v>
      </c>
      <c r="N201" s="31">
        <v>0</v>
      </c>
      <c r="O201" s="429">
        <v>15422.19</v>
      </c>
      <c r="P201" s="31">
        <v>0</v>
      </c>
      <c r="Q201" s="426">
        <f t="shared" si="90"/>
        <v>7711.0949999999993</v>
      </c>
      <c r="R201" s="178">
        <f>7595.99+1893.23</f>
        <v>9489.2199999999993</v>
      </c>
      <c r="S201" s="295"/>
      <c r="T201" s="385">
        <f t="shared" si="88"/>
        <v>1778.125</v>
      </c>
      <c r="U201" s="31"/>
      <c r="V201" s="474">
        <f t="shared" si="75"/>
        <v>7711.0949999999993</v>
      </c>
      <c r="W201" s="474">
        <f t="shared" si="76"/>
        <v>0</v>
      </c>
      <c r="X201" s="475">
        <f t="shared" si="77"/>
        <v>0</v>
      </c>
      <c r="Y201" s="475">
        <v>0</v>
      </c>
      <c r="Z201" s="476">
        <v>0</v>
      </c>
      <c r="AA201" s="38">
        <f t="shared" si="78"/>
        <v>0</v>
      </c>
      <c r="AB201" s="564">
        <f t="shared" si="79"/>
        <v>15422.189999999999</v>
      </c>
      <c r="AC201" s="564">
        <f t="shared" si="80"/>
        <v>0</v>
      </c>
      <c r="AD201" s="564">
        <f t="shared" si="81"/>
        <v>0</v>
      </c>
      <c r="AF201" s="564">
        <f t="shared" si="82"/>
        <v>7711.0949999999993</v>
      </c>
      <c r="AG201" s="564">
        <f t="shared" si="83"/>
        <v>0</v>
      </c>
      <c r="AH201" s="564">
        <f t="shared" si="84"/>
        <v>0</v>
      </c>
    </row>
    <row r="202" spans="1:34">
      <c r="A202" s="21"/>
      <c r="B202" s="21" t="s">
        <v>110</v>
      </c>
      <c r="C202" s="675" t="s">
        <v>584</v>
      </c>
      <c r="D202" s="68" t="s">
        <v>99</v>
      </c>
      <c r="E202" s="449"/>
      <c r="F202" s="529">
        <f>VLOOKUP(D202,'Q2 DMV -  Revenue'!C:S,17,FALSE)</f>
        <v>46137.69</v>
      </c>
      <c r="G202" s="576">
        <v>22225.68</v>
      </c>
      <c r="H202" s="576">
        <v>19635.580000000002</v>
      </c>
      <c r="I202" s="524"/>
      <c r="J202" s="379">
        <f t="shared" si="86"/>
        <v>87998.95</v>
      </c>
      <c r="K202" s="31"/>
      <c r="L202" s="84"/>
      <c r="M202" s="42">
        <f t="shared" si="99"/>
        <v>20930.63</v>
      </c>
      <c r="N202" s="31">
        <v>0</v>
      </c>
      <c r="O202" s="429">
        <v>87998.93</v>
      </c>
      <c r="P202" s="31">
        <v>0</v>
      </c>
      <c r="Q202" s="426">
        <f t="shared" si="90"/>
        <v>20930.63</v>
      </c>
      <c r="R202" s="178">
        <v>0</v>
      </c>
      <c r="S202" s="295"/>
      <c r="T202" s="385">
        <f t="shared" si="88"/>
        <v>-20930.63</v>
      </c>
      <c r="U202" s="31"/>
      <c r="V202" s="474">
        <f t="shared" si="75"/>
        <v>20930.63</v>
      </c>
      <c r="W202" s="474">
        <f t="shared" si="76"/>
        <v>0</v>
      </c>
      <c r="X202" s="475">
        <f t="shared" si="77"/>
        <v>0</v>
      </c>
      <c r="Y202" s="475">
        <v>0</v>
      </c>
      <c r="Z202" s="476">
        <v>0</v>
      </c>
      <c r="AA202" s="38">
        <f t="shared" si="78"/>
        <v>0</v>
      </c>
      <c r="AB202" s="564">
        <f t="shared" si="79"/>
        <v>87998.95</v>
      </c>
      <c r="AC202" s="564">
        <f t="shared" si="80"/>
        <v>0</v>
      </c>
      <c r="AD202" s="564">
        <f t="shared" si="81"/>
        <v>0</v>
      </c>
      <c r="AF202" s="564">
        <f t="shared" si="82"/>
        <v>20930.63</v>
      </c>
      <c r="AG202" s="564">
        <f t="shared" si="83"/>
        <v>0</v>
      </c>
      <c r="AH202" s="564">
        <f t="shared" si="84"/>
        <v>0</v>
      </c>
    </row>
    <row r="203" spans="1:34" s="232" customFormat="1">
      <c r="A203" s="403"/>
      <c r="B203" s="403" t="s">
        <v>110</v>
      </c>
      <c r="C203" s="666"/>
      <c r="D203" s="123" t="s">
        <v>378</v>
      </c>
      <c r="E203" s="449"/>
      <c r="F203" s="529">
        <f>VLOOKUP(D203,'Q2 DMV -  Revenue'!C:S,17,FALSE)</f>
        <v>0</v>
      </c>
      <c r="G203" s="579"/>
      <c r="H203" s="579"/>
      <c r="I203" s="524"/>
      <c r="J203" s="379">
        <f t="shared" si="86"/>
        <v>0</v>
      </c>
      <c r="K203" s="31"/>
      <c r="L203" s="84"/>
      <c r="M203" s="42"/>
      <c r="N203" s="31">
        <v>0</v>
      </c>
      <c r="O203" s="429"/>
      <c r="P203" s="31">
        <v>0</v>
      </c>
      <c r="Q203" s="426">
        <f t="shared" si="90"/>
        <v>0</v>
      </c>
      <c r="R203" s="178">
        <v>0</v>
      </c>
      <c r="S203" s="295"/>
      <c r="T203" s="385">
        <f t="shared" si="88"/>
        <v>0</v>
      </c>
      <c r="U203" s="31"/>
      <c r="V203" s="474">
        <f t="shared" si="75"/>
        <v>0</v>
      </c>
      <c r="W203" s="474">
        <f t="shared" si="76"/>
        <v>0</v>
      </c>
      <c r="X203" s="475">
        <f t="shared" si="77"/>
        <v>0</v>
      </c>
      <c r="Y203" s="475">
        <v>0</v>
      </c>
      <c r="Z203" s="476">
        <v>0</v>
      </c>
      <c r="AA203" s="38">
        <f t="shared" si="78"/>
        <v>0</v>
      </c>
      <c r="AB203" s="564">
        <f t="shared" si="79"/>
        <v>0</v>
      </c>
      <c r="AC203" s="564">
        <f t="shared" si="80"/>
        <v>0</v>
      </c>
      <c r="AD203" s="564">
        <f t="shared" si="81"/>
        <v>0</v>
      </c>
      <c r="AE203" s="559"/>
      <c r="AF203" s="564">
        <f t="shared" si="82"/>
        <v>0</v>
      </c>
      <c r="AG203" s="564">
        <f t="shared" si="83"/>
        <v>0</v>
      </c>
      <c r="AH203" s="564">
        <f t="shared" si="84"/>
        <v>0</v>
      </c>
    </row>
    <row r="204" spans="1:34" s="232" customFormat="1">
      <c r="A204" s="403"/>
      <c r="B204" s="403" t="s">
        <v>110</v>
      </c>
      <c r="C204" s="666" t="s">
        <v>568</v>
      </c>
      <c r="D204" s="123" t="s">
        <v>303</v>
      </c>
      <c r="E204" s="449"/>
      <c r="F204" s="529">
        <f>VLOOKUP(D204,'Q2 DMV -  Revenue'!C:S,17,FALSE)</f>
        <v>-3601.5149999999994</v>
      </c>
      <c r="G204" s="576">
        <v>83621.7</v>
      </c>
      <c r="H204" s="579"/>
      <c r="I204" s="524"/>
      <c r="J204" s="379">
        <f t="shared" si="86"/>
        <v>80020.184999999998</v>
      </c>
      <c r="K204" s="31"/>
      <c r="L204" s="84"/>
      <c r="M204" s="42">
        <f>G204*2</f>
        <v>167243.4</v>
      </c>
      <c r="N204" s="31">
        <v>0</v>
      </c>
      <c r="O204" s="429">
        <v>168481.67</v>
      </c>
      <c r="P204" s="31">
        <v>0</v>
      </c>
      <c r="Q204" s="426">
        <f t="shared" si="90"/>
        <v>167243.4</v>
      </c>
      <c r="R204" s="178">
        <f>83877.52+83965.26</f>
        <v>167842.78</v>
      </c>
      <c r="S204" s="295"/>
      <c r="T204" s="385">
        <f t="shared" si="88"/>
        <v>599.38000000000466</v>
      </c>
      <c r="U204" s="31"/>
      <c r="V204" s="474">
        <f t="shared" si="75"/>
        <v>167243.4</v>
      </c>
      <c r="W204" s="474">
        <f t="shared" si="76"/>
        <v>0</v>
      </c>
      <c r="X204" s="475">
        <f t="shared" si="77"/>
        <v>0</v>
      </c>
      <c r="Y204" s="475">
        <v>0</v>
      </c>
      <c r="Z204" s="476">
        <v>0</v>
      </c>
      <c r="AA204" s="38">
        <f t="shared" si="78"/>
        <v>0</v>
      </c>
      <c r="AB204" s="564">
        <f t="shared" si="79"/>
        <v>80020.184999999998</v>
      </c>
      <c r="AC204" s="564">
        <f t="shared" si="80"/>
        <v>0</v>
      </c>
      <c r="AD204" s="564">
        <f t="shared" si="81"/>
        <v>0</v>
      </c>
      <c r="AE204" s="559"/>
      <c r="AF204" s="564">
        <f t="shared" si="82"/>
        <v>167243.4</v>
      </c>
      <c r="AG204" s="564">
        <f t="shared" si="83"/>
        <v>0</v>
      </c>
      <c r="AH204" s="564">
        <f t="shared" si="84"/>
        <v>0</v>
      </c>
    </row>
    <row r="205" spans="1:34" s="232" customFormat="1">
      <c r="A205" s="403"/>
      <c r="B205" s="403" t="s">
        <v>110</v>
      </c>
      <c r="C205" s="666"/>
      <c r="D205" s="123" t="s">
        <v>206</v>
      </c>
      <c r="E205" s="449"/>
      <c r="F205" s="529">
        <f>VLOOKUP(D205,'Q2 DMV -  Revenue'!C:S,17,FALSE)</f>
        <v>0</v>
      </c>
      <c r="G205" s="579"/>
      <c r="H205" s="579"/>
      <c r="I205" s="524"/>
      <c r="J205" s="379">
        <f t="shared" si="86"/>
        <v>0</v>
      </c>
      <c r="K205" s="31"/>
      <c r="L205" s="84"/>
      <c r="M205" s="42"/>
      <c r="N205" s="31">
        <v>0</v>
      </c>
      <c r="O205" s="429"/>
      <c r="P205" s="31">
        <v>0</v>
      </c>
      <c r="Q205" s="426">
        <f t="shared" si="90"/>
        <v>0</v>
      </c>
      <c r="R205" s="178">
        <v>0</v>
      </c>
      <c r="S205" s="295"/>
      <c r="T205" s="385">
        <f t="shared" si="88"/>
        <v>0</v>
      </c>
      <c r="U205" s="31"/>
      <c r="V205" s="474">
        <f t="shared" si="75"/>
        <v>0</v>
      </c>
      <c r="W205" s="474">
        <f t="shared" si="76"/>
        <v>0</v>
      </c>
      <c r="X205" s="475">
        <f t="shared" si="77"/>
        <v>0</v>
      </c>
      <c r="Y205" s="475">
        <v>0</v>
      </c>
      <c r="Z205" s="476">
        <v>0</v>
      </c>
      <c r="AA205" s="38">
        <f t="shared" si="78"/>
        <v>0</v>
      </c>
      <c r="AB205" s="564">
        <f t="shared" si="79"/>
        <v>0</v>
      </c>
      <c r="AC205" s="564">
        <f t="shared" si="80"/>
        <v>0</v>
      </c>
      <c r="AD205" s="564">
        <f t="shared" si="81"/>
        <v>0</v>
      </c>
      <c r="AE205" s="559"/>
      <c r="AF205" s="564">
        <f t="shared" si="82"/>
        <v>0</v>
      </c>
      <c r="AG205" s="564">
        <f t="shared" si="83"/>
        <v>0</v>
      </c>
      <c r="AH205" s="564">
        <f t="shared" si="84"/>
        <v>0</v>
      </c>
    </row>
    <row r="206" spans="1:34" s="232" customFormat="1">
      <c r="A206" s="403"/>
      <c r="B206" s="403" t="s">
        <v>109</v>
      </c>
      <c r="C206" s="666" t="s">
        <v>569</v>
      </c>
      <c r="D206" s="123" t="s">
        <v>468</v>
      </c>
      <c r="E206" s="449"/>
      <c r="F206" s="529">
        <f>VLOOKUP(D206,'Q2 DMV -  Revenue'!C:S,17,FALSE)</f>
        <v>4511.1900000000023</v>
      </c>
      <c r="G206" s="576">
        <v>35741.78</v>
      </c>
      <c r="H206" s="576">
        <v>37845.379999999997</v>
      </c>
      <c r="I206" s="524"/>
      <c r="J206" s="379">
        <f t="shared" si="86"/>
        <v>78098.350000000006</v>
      </c>
      <c r="K206" s="31"/>
      <c r="L206" s="84"/>
      <c r="M206" s="42">
        <f t="shared" ref="M206" si="100">SUM(G206+H206)/2</f>
        <v>36793.58</v>
      </c>
      <c r="N206" s="31">
        <v>0</v>
      </c>
      <c r="O206" s="429">
        <v>103353.22</v>
      </c>
      <c r="P206" s="31">
        <v>0</v>
      </c>
      <c r="Q206" s="426">
        <f t="shared" si="90"/>
        <v>36793.58</v>
      </c>
      <c r="R206" s="178">
        <v>36012.89</v>
      </c>
      <c r="S206" s="295"/>
      <c r="T206" s="385">
        <f t="shared" si="88"/>
        <v>-780.69000000000233</v>
      </c>
      <c r="U206" s="31"/>
      <c r="V206" s="474">
        <f t="shared" si="75"/>
        <v>0</v>
      </c>
      <c r="W206" s="474">
        <f t="shared" si="76"/>
        <v>36793.58</v>
      </c>
      <c r="X206" s="475">
        <f t="shared" si="77"/>
        <v>0</v>
      </c>
      <c r="Y206" s="475">
        <v>0</v>
      </c>
      <c r="Z206" s="476">
        <v>0</v>
      </c>
      <c r="AA206" s="38">
        <f t="shared" si="78"/>
        <v>0</v>
      </c>
      <c r="AB206" s="564">
        <f t="shared" si="79"/>
        <v>0</v>
      </c>
      <c r="AC206" s="564">
        <f t="shared" si="80"/>
        <v>78098.350000000006</v>
      </c>
      <c r="AD206" s="564">
        <f t="shared" si="81"/>
        <v>0</v>
      </c>
      <c r="AE206" s="559"/>
      <c r="AF206" s="564">
        <f t="shared" si="82"/>
        <v>0</v>
      </c>
      <c r="AG206" s="564">
        <f t="shared" si="83"/>
        <v>36793.58</v>
      </c>
      <c r="AH206" s="564">
        <f t="shared" si="84"/>
        <v>0</v>
      </c>
    </row>
    <row r="207" spans="1:34" s="232" customFormat="1">
      <c r="A207" s="403"/>
      <c r="B207" s="403" t="s">
        <v>114</v>
      </c>
      <c r="C207" s="666"/>
      <c r="D207" s="123" t="s">
        <v>241</v>
      </c>
      <c r="E207" s="449"/>
      <c r="F207" s="529">
        <f>VLOOKUP(D207,'Q2 DMV -  Revenue'!C:S,17,FALSE)</f>
        <v>0</v>
      </c>
      <c r="G207" s="579"/>
      <c r="H207" s="579"/>
      <c r="I207" s="524"/>
      <c r="J207" s="379">
        <f t="shared" si="86"/>
        <v>0</v>
      </c>
      <c r="K207" s="31"/>
      <c r="L207" s="84"/>
      <c r="M207" s="42"/>
      <c r="N207" s="31">
        <v>0</v>
      </c>
      <c r="O207" s="429"/>
      <c r="P207" s="31">
        <v>0</v>
      </c>
      <c r="Q207" s="426">
        <f t="shared" si="90"/>
        <v>0</v>
      </c>
      <c r="R207" s="178">
        <v>0</v>
      </c>
      <c r="S207" s="295"/>
      <c r="T207" s="385">
        <f t="shared" si="88"/>
        <v>0</v>
      </c>
      <c r="U207" s="31"/>
      <c r="V207" s="474">
        <f t="shared" si="75"/>
        <v>0</v>
      </c>
      <c r="W207" s="474">
        <f t="shared" si="76"/>
        <v>0</v>
      </c>
      <c r="X207" s="475">
        <f t="shared" si="77"/>
        <v>0</v>
      </c>
      <c r="Y207" s="475">
        <v>0</v>
      </c>
      <c r="Z207" s="476">
        <v>0</v>
      </c>
      <c r="AA207" s="38">
        <f t="shared" si="78"/>
        <v>0</v>
      </c>
      <c r="AB207" s="564">
        <f t="shared" si="79"/>
        <v>0</v>
      </c>
      <c r="AC207" s="564">
        <f t="shared" si="80"/>
        <v>0</v>
      </c>
      <c r="AD207" s="564">
        <f t="shared" si="81"/>
        <v>0</v>
      </c>
      <c r="AE207" s="559"/>
      <c r="AF207" s="564">
        <f t="shared" si="82"/>
        <v>0</v>
      </c>
      <c r="AG207" s="564">
        <f t="shared" si="83"/>
        <v>0</v>
      </c>
      <c r="AH207" s="564">
        <f t="shared" si="84"/>
        <v>0</v>
      </c>
    </row>
    <row r="208" spans="1:34">
      <c r="A208" s="20"/>
      <c r="B208" s="20" t="s">
        <v>109</v>
      </c>
      <c r="C208" s="667" t="s">
        <v>570</v>
      </c>
      <c r="D208" s="68" t="s">
        <v>41</v>
      </c>
      <c r="E208" s="449">
        <v>53988.38</v>
      </c>
      <c r="F208" s="529">
        <f>VLOOKUP(D208,'Q2 DMV -  Revenue'!C:S,17,FALSE)</f>
        <v>10161.129999999999</v>
      </c>
      <c r="G208" s="579"/>
      <c r="H208" s="579"/>
      <c r="I208" s="524"/>
      <c r="J208" s="379">
        <f t="shared" si="86"/>
        <v>64149.509999999995</v>
      </c>
      <c r="K208" s="31"/>
      <c r="L208" s="84"/>
      <c r="M208" s="42">
        <v>10000</v>
      </c>
      <c r="N208" s="31">
        <v>0</v>
      </c>
      <c r="O208" s="429">
        <v>68901.86</v>
      </c>
      <c r="P208" s="31">
        <v>0</v>
      </c>
      <c r="Q208" s="426">
        <f t="shared" si="90"/>
        <v>10000</v>
      </c>
      <c r="R208" s="178">
        <v>0</v>
      </c>
      <c r="S208" s="295"/>
      <c r="T208" s="385">
        <f t="shared" si="88"/>
        <v>-10000</v>
      </c>
      <c r="U208" s="31"/>
      <c r="V208" s="474">
        <f t="shared" si="75"/>
        <v>0</v>
      </c>
      <c r="W208" s="474">
        <f t="shared" si="76"/>
        <v>10000</v>
      </c>
      <c r="X208" s="475">
        <f t="shared" si="77"/>
        <v>0</v>
      </c>
      <c r="Y208" s="475">
        <v>0</v>
      </c>
      <c r="Z208" s="476">
        <v>0</v>
      </c>
      <c r="AA208" s="38">
        <f t="shared" si="78"/>
        <v>0</v>
      </c>
      <c r="AB208" s="564">
        <f t="shared" si="79"/>
        <v>0</v>
      </c>
      <c r="AC208" s="564">
        <f t="shared" si="80"/>
        <v>64149.509999999995</v>
      </c>
      <c r="AD208" s="564">
        <f t="shared" si="81"/>
        <v>0</v>
      </c>
      <c r="AF208" s="564">
        <f t="shared" si="82"/>
        <v>0</v>
      </c>
      <c r="AG208" s="564">
        <f t="shared" si="83"/>
        <v>10000</v>
      </c>
      <c r="AH208" s="564">
        <f t="shared" si="84"/>
        <v>0</v>
      </c>
    </row>
    <row r="209" spans="1:34">
      <c r="A209" s="20"/>
      <c r="B209" s="20" t="s">
        <v>109</v>
      </c>
      <c r="C209" s="667" t="s">
        <v>570</v>
      </c>
      <c r="D209" s="68" t="s">
        <v>221</v>
      </c>
      <c r="E209" s="449">
        <f>308.82+396.93+397.84+393.28+399.88+387.75+483.16+322.16+262.72+306.63+233.91+229.29</f>
        <v>4122.37</v>
      </c>
      <c r="F209" s="529">
        <f>VLOOKUP(D209,'Q2 DMV -  Revenue'!C:S,17,FALSE)</f>
        <v>629.99</v>
      </c>
      <c r="G209" s="579"/>
      <c r="H209" s="579"/>
      <c r="I209" s="524"/>
      <c r="J209" s="379">
        <f t="shared" si="86"/>
        <v>4752.3599999999997</v>
      </c>
      <c r="K209" s="31"/>
      <c r="L209" s="84"/>
      <c r="M209" s="42"/>
      <c r="N209" s="31">
        <v>0</v>
      </c>
      <c r="O209" s="429"/>
      <c r="P209" s="31">
        <v>0</v>
      </c>
      <c r="Q209" s="426">
        <f t="shared" si="90"/>
        <v>0</v>
      </c>
      <c r="R209" s="178">
        <v>0</v>
      </c>
      <c r="S209" s="295"/>
      <c r="T209" s="385">
        <f t="shared" si="88"/>
        <v>0</v>
      </c>
      <c r="U209" s="31"/>
      <c r="V209" s="474">
        <f t="shared" si="75"/>
        <v>0</v>
      </c>
      <c r="W209" s="474">
        <f t="shared" si="76"/>
        <v>0</v>
      </c>
      <c r="X209" s="475">
        <f t="shared" si="77"/>
        <v>0</v>
      </c>
      <c r="Y209" s="475">
        <v>0</v>
      </c>
      <c r="Z209" s="476">
        <v>0</v>
      </c>
      <c r="AA209" s="38">
        <f t="shared" si="78"/>
        <v>0</v>
      </c>
      <c r="AB209" s="564">
        <f t="shared" si="79"/>
        <v>0</v>
      </c>
      <c r="AC209" s="564">
        <f t="shared" si="80"/>
        <v>4752.3599999999997</v>
      </c>
      <c r="AD209" s="564">
        <f t="shared" si="81"/>
        <v>0</v>
      </c>
      <c r="AF209" s="564">
        <f t="shared" si="82"/>
        <v>0</v>
      </c>
      <c r="AG209" s="564">
        <f t="shared" si="83"/>
        <v>0</v>
      </c>
      <c r="AH209" s="564">
        <f t="shared" si="84"/>
        <v>0</v>
      </c>
    </row>
    <row r="210" spans="1:34" s="146" customFormat="1">
      <c r="A210" s="21" t="s">
        <v>109</v>
      </c>
      <c r="B210" s="21" t="s">
        <v>110</v>
      </c>
      <c r="C210" s="666"/>
      <c r="D210" s="68" t="s">
        <v>98</v>
      </c>
      <c r="E210" s="449"/>
      <c r="F210" s="529">
        <f>VLOOKUP(D210,'Q2 DMV -  Revenue'!C:S,17,FALSE)</f>
        <v>0</v>
      </c>
      <c r="G210" s="579"/>
      <c r="H210" s="579"/>
      <c r="I210" s="524"/>
      <c r="J210" s="379">
        <f t="shared" si="86"/>
        <v>0</v>
      </c>
      <c r="K210" s="31"/>
      <c r="L210" s="84"/>
      <c r="M210" s="42"/>
      <c r="N210" s="31">
        <v>0</v>
      </c>
      <c r="O210" s="429"/>
      <c r="P210" s="31">
        <v>0</v>
      </c>
      <c r="Q210" s="426">
        <f t="shared" si="90"/>
        <v>0</v>
      </c>
      <c r="R210" s="178">
        <v>0</v>
      </c>
      <c r="S210" s="295"/>
      <c r="T210" s="385">
        <f t="shared" si="88"/>
        <v>0</v>
      </c>
      <c r="U210" s="31"/>
      <c r="V210" s="474">
        <f t="shared" si="75"/>
        <v>0</v>
      </c>
      <c r="W210" s="474">
        <f t="shared" si="76"/>
        <v>0</v>
      </c>
      <c r="X210" s="475">
        <f t="shared" si="77"/>
        <v>0</v>
      </c>
      <c r="Y210" s="475">
        <v>0</v>
      </c>
      <c r="Z210" s="476">
        <v>0</v>
      </c>
      <c r="AA210" s="38">
        <f t="shared" si="78"/>
        <v>0</v>
      </c>
      <c r="AB210" s="564">
        <f t="shared" si="79"/>
        <v>0</v>
      </c>
      <c r="AC210" s="564">
        <f t="shared" si="80"/>
        <v>0</v>
      </c>
      <c r="AD210" s="564">
        <f t="shared" si="81"/>
        <v>0</v>
      </c>
      <c r="AE210" s="559"/>
      <c r="AF210" s="564">
        <f t="shared" si="82"/>
        <v>0</v>
      </c>
      <c r="AG210" s="564">
        <f t="shared" si="83"/>
        <v>0</v>
      </c>
      <c r="AH210" s="564">
        <f t="shared" si="84"/>
        <v>0</v>
      </c>
    </row>
    <row r="211" spans="1:34">
      <c r="A211" s="20"/>
      <c r="B211" s="20" t="s">
        <v>110</v>
      </c>
      <c r="C211" s="667"/>
      <c r="D211" s="68" t="s">
        <v>508</v>
      </c>
      <c r="E211" s="449"/>
      <c r="F211" s="529">
        <f>VLOOKUP(D211,'Q2 DMV -  Revenue'!C:S,17,FALSE)</f>
        <v>47</v>
      </c>
      <c r="G211" s="579"/>
      <c r="H211" s="579"/>
      <c r="I211" s="524"/>
      <c r="J211" s="379">
        <f t="shared" ref="J211" si="101">SUM(E211:I211)</f>
        <v>47</v>
      </c>
      <c r="K211" s="31"/>
      <c r="L211" s="84"/>
      <c r="M211" s="42"/>
      <c r="N211" s="31">
        <v>0</v>
      </c>
      <c r="O211" s="429">
        <v>47</v>
      </c>
      <c r="P211" s="31">
        <v>0</v>
      </c>
      <c r="Q211" s="426">
        <f t="shared" si="90"/>
        <v>0</v>
      </c>
      <c r="R211" s="178">
        <v>65</v>
      </c>
      <c r="S211" s="295"/>
      <c r="T211" s="385">
        <f t="shared" si="88"/>
        <v>65</v>
      </c>
      <c r="U211" s="31"/>
      <c r="V211" s="474">
        <f t="shared" si="75"/>
        <v>0</v>
      </c>
      <c r="W211" s="474">
        <f t="shared" si="76"/>
        <v>0</v>
      </c>
      <c r="X211" s="475">
        <f t="shared" si="77"/>
        <v>0</v>
      </c>
      <c r="Y211" s="475">
        <v>0</v>
      </c>
      <c r="Z211" s="476">
        <v>0</v>
      </c>
      <c r="AA211" s="38">
        <f t="shared" si="78"/>
        <v>0</v>
      </c>
      <c r="AB211" s="564">
        <f t="shared" si="79"/>
        <v>47</v>
      </c>
      <c r="AC211" s="564">
        <f t="shared" si="80"/>
        <v>0</v>
      </c>
      <c r="AD211" s="564">
        <f t="shared" si="81"/>
        <v>0</v>
      </c>
      <c r="AF211" s="564">
        <f t="shared" si="82"/>
        <v>0</v>
      </c>
      <c r="AG211" s="564">
        <f t="shared" si="83"/>
        <v>0</v>
      </c>
      <c r="AH211" s="564">
        <f t="shared" si="84"/>
        <v>0</v>
      </c>
    </row>
    <row r="212" spans="1:34">
      <c r="A212" s="21"/>
      <c r="B212" s="21" t="s">
        <v>110</v>
      </c>
      <c r="C212" s="666"/>
      <c r="D212" s="68" t="s">
        <v>43</v>
      </c>
      <c r="E212" s="449"/>
      <c r="F212" s="529">
        <f>VLOOKUP(D212,'Q2 DMV -  Revenue'!C:S,17,FALSE)</f>
        <v>-931.3</v>
      </c>
      <c r="G212" s="576">
        <v>1244.27</v>
      </c>
      <c r="H212" s="590"/>
      <c r="I212" s="591"/>
      <c r="J212" s="379">
        <f t="shared" si="86"/>
        <v>312.97000000000003</v>
      </c>
      <c r="K212" s="31"/>
      <c r="L212" s="84"/>
      <c r="M212" s="42"/>
      <c r="N212" s="31">
        <v>0</v>
      </c>
      <c r="O212" s="429">
        <v>2303.0500000000002</v>
      </c>
      <c r="P212" s="31">
        <v>0</v>
      </c>
      <c r="Q212" s="426">
        <f t="shared" si="90"/>
        <v>0</v>
      </c>
      <c r="R212" s="178">
        <f>901.69+999.87</f>
        <v>1901.56</v>
      </c>
      <c r="S212" s="295"/>
      <c r="T212" s="385">
        <f t="shared" si="88"/>
        <v>1901.56</v>
      </c>
      <c r="U212" s="31"/>
      <c r="V212" s="474">
        <f t="shared" si="75"/>
        <v>0</v>
      </c>
      <c r="W212" s="474">
        <f t="shared" si="76"/>
        <v>0</v>
      </c>
      <c r="X212" s="475">
        <f t="shared" si="77"/>
        <v>0</v>
      </c>
      <c r="Y212" s="475">
        <v>0</v>
      </c>
      <c r="Z212" s="476">
        <v>0</v>
      </c>
      <c r="AA212" s="38">
        <f t="shared" si="78"/>
        <v>0</v>
      </c>
      <c r="AB212" s="564">
        <f t="shared" si="79"/>
        <v>312.97000000000003</v>
      </c>
      <c r="AC212" s="564">
        <f t="shared" si="80"/>
        <v>0</v>
      </c>
      <c r="AD212" s="564">
        <f t="shared" si="81"/>
        <v>0</v>
      </c>
      <c r="AF212" s="564">
        <f t="shared" si="82"/>
        <v>0</v>
      </c>
      <c r="AG212" s="564">
        <f t="shared" si="83"/>
        <v>0</v>
      </c>
      <c r="AH212" s="564">
        <f t="shared" si="84"/>
        <v>0</v>
      </c>
    </row>
    <row r="213" spans="1:34">
      <c r="A213" s="21"/>
      <c r="B213" s="21" t="s">
        <v>109</v>
      </c>
      <c r="C213" s="666" t="s">
        <v>571</v>
      </c>
      <c r="D213" s="68" t="s">
        <v>44</v>
      </c>
      <c r="E213" s="449"/>
      <c r="F213" s="529">
        <f>VLOOKUP(D213,'Q2 DMV -  Revenue'!C:S,17,FALSE)</f>
        <v>1041.1500000000005</v>
      </c>
      <c r="G213" s="576">
        <v>8570.7000000000007</v>
      </c>
      <c r="H213" s="576">
        <v>11787</v>
      </c>
      <c r="I213" s="524"/>
      <c r="J213" s="379">
        <f t="shared" si="86"/>
        <v>21398.850000000002</v>
      </c>
      <c r="K213" s="31"/>
      <c r="L213" s="84"/>
      <c r="M213" s="42">
        <f t="shared" ref="M213:M214" si="102">SUM(G213+H213)/2</f>
        <v>10178.85</v>
      </c>
      <c r="N213" s="31">
        <v>0</v>
      </c>
      <c r="O213" s="429">
        <v>26479.5</v>
      </c>
      <c r="P213" s="31">
        <v>0</v>
      </c>
      <c r="Q213" s="426">
        <f t="shared" si="90"/>
        <v>10178.85</v>
      </c>
      <c r="R213" s="178">
        <v>11135.9</v>
      </c>
      <c r="S213" s="295"/>
      <c r="T213" s="385">
        <f t="shared" si="88"/>
        <v>957.04999999999927</v>
      </c>
      <c r="U213" s="31"/>
      <c r="V213" s="474">
        <f t="shared" si="75"/>
        <v>0</v>
      </c>
      <c r="W213" s="474">
        <f t="shared" si="76"/>
        <v>10178.85</v>
      </c>
      <c r="X213" s="475">
        <f t="shared" si="77"/>
        <v>0</v>
      </c>
      <c r="Y213" s="475">
        <v>0</v>
      </c>
      <c r="Z213" s="476">
        <v>0</v>
      </c>
      <c r="AA213" s="38">
        <f t="shared" si="78"/>
        <v>0</v>
      </c>
      <c r="AB213" s="564">
        <f t="shared" si="79"/>
        <v>0</v>
      </c>
      <c r="AC213" s="564">
        <f t="shared" si="80"/>
        <v>21398.850000000002</v>
      </c>
      <c r="AD213" s="564">
        <f t="shared" si="81"/>
        <v>0</v>
      </c>
      <c r="AF213" s="564">
        <f t="shared" si="82"/>
        <v>0</v>
      </c>
      <c r="AG213" s="564">
        <f t="shared" si="83"/>
        <v>10178.85</v>
      </c>
      <c r="AH213" s="564">
        <f t="shared" si="84"/>
        <v>0</v>
      </c>
    </row>
    <row r="214" spans="1:34">
      <c r="A214" s="21"/>
      <c r="B214" s="21" t="s">
        <v>110</v>
      </c>
      <c r="C214" s="666" t="s">
        <v>572</v>
      </c>
      <c r="D214" s="68" t="s">
        <v>388</v>
      </c>
      <c r="E214" s="449"/>
      <c r="F214" s="529">
        <f>VLOOKUP(D214,'Q2 DMV -  Revenue'!C:S,17,FALSE)</f>
        <v>3988.5599999999995</v>
      </c>
      <c r="G214" s="576">
        <v>26164.95</v>
      </c>
      <c r="H214" s="576">
        <v>22586.83</v>
      </c>
      <c r="I214" s="524"/>
      <c r="J214" s="379">
        <f t="shared" si="86"/>
        <v>52740.340000000004</v>
      </c>
      <c r="K214" s="31"/>
      <c r="L214" s="84"/>
      <c r="M214" s="42">
        <f t="shared" si="102"/>
        <v>24375.89</v>
      </c>
      <c r="N214" s="31">
        <v>0</v>
      </c>
      <c r="O214" s="429">
        <v>64227.58</v>
      </c>
      <c r="P214" s="31">
        <v>0</v>
      </c>
      <c r="Q214" s="426">
        <f t="shared" si="90"/>
        <v>24375.89</v>
      </c>
      <c r="R214" s="178">
        <v>24845.74</v>
      </c>
      <c r="S214" s="295"/>
      <c r="T214" s="385">
        <f t="shared" si="88"/>
        <v>469.85000000000218</v>
      </c>
      <c r="U214" s="31"/>
      <c r="V214" s="474">
        <f t="shared" si="75"/>
        <v>24375.89</v>
      </c>
      <c r="W214" s="474">
        <f t="shared" si="76"/>
        <v>0</v>
      </c>
      <c r="X214" s="475">
        <f t="shared" si="77"/>
        <v>0</v>
      </c>
      <c r="Y214" s="475">
        <v>0</v>
      </c>
      <c r="Z214" s="476">
        <v>0</v>
      </c>
      <c r="AA214" s="38">
        <f t="shared" si="78"/>
        <v>0</v>
      </c>
      <c r="AB214" s="564">
        <f t="shared" si="79"/>
        <v>52740.340000000004</v>
      </c>
      <c r="AC214" s="564">
        <f t="shared" si="80"/>
        <v>0</v>
      </c>
      <c r="AD214" s="564">
        <f t="shared" si="81"/>
        <v>0</v>
      </c>
      <c r="AF214" s="564">
        <f t="shared" si="82"/>
        <v>24375.89</v>
      </c>
      <c r="AG214" s="564">
        <f t="shared" si="83"/>
        <v>0</v>
      </c>
      <c r="AH214" s="564">
        <f t="shared" si="84"/>
        <v>0</v>
      </c>
    </row>
    <row r="215" spans="1:34">
      <c r="A215" s="21"/>
      <c r="B215" s="21" t="s">
        <v>110</v>
      </c>
      <c r="C215" s="666"/>
      <c r="D215" s="68" t="s">
        <v>45</v>
      </c>
      <c r="E215" s="449">
        <v>3690.14</v>
      </c>
      <c r="F215" s="529">
        <f>VLOOKUP(D215,'Q2 DMV -  Revenue'!C:S,17,FALSE)</f>
        <v>-2683.67</v>
      </c>
      <c r="G215" s="579"/>
      <c r="H215" s="579"/>
      <c r="I215" s="524"/>
      <c r="J215" s="379">
        <f t="shared" si="86"/>
        <v>1006.4699999999998</v>
      </c>
      <c r="K215" s="31"/>
      <c r="L215" s="84"/>
      <c r="M215" s="42"/>
      <c r="N215" s="31">
        <v>0</v>
      </c>
      <c r="O215" s="429">
        <v>8471.07</v>
      </c>
      <c r="P215" s="31">
        <v>0</v>
      </c>
      <c r="Q215" s="426">
        <f t="shared" si="90"/>
        <v>0</v>
      </c>
      <c r="R215" s="178">
        <f>5808.36+6810.71+7590.62+190.01+220.63+257.63</f>
        <v>20877.96</v>
      </c>
      <c r="S215" s="295"/>
      <c r="T215" s="385">
        <f t="shared" si="88"/>
        <v>20877.96</v>
      </c>
      <c r="U215" s="31"/>
      <c r="V215" s="474">
        <f t="shared" ref="V215:V269" si="103">IF(B215="D",Q215,0)</f>
        <v>0</v>
      </c>
      <c r="W215" s="474">
        <f t="shared" ref="W215:W269" si="104">IF(B215="M",Q215,0)</f>
        <v>0</v>
      </c>
      <c r="X215" s="475">
        <f t="shared" ref="X215:X269" si="105">IF(B215="V",Q215,0)</f>
        <v>0</v>
      </c>
      <c r="Y215" s="475">
        <v>0</v>
      </c>
      <c r="Z215" s="476">
        <v>0</v>
      </c>
      <c r="AA215" s="38">
        <f t="shared" ref="AA215:AA269" si="106">(L215+M215)-(V215+W215+X215+Y215+Z215)</f>
        <v>0</v>
      </c>
      <c r="AB215" s="564">
        <f t="shared" ref="AB215:AB269" si="107">IF(B215="D",J215,0)</f>
        <v>1006.4699999999998</v>
      </c>
      <c r="AC215" s="564">
        <f t="shared" ref="AC215:AC269" si="108">IF(B215="M",J215,0)</f>
        <v>0</v>
      </c>
      <c r="AD215" s="564">
        <f t="shared" ref="AD215:AD269" si="109">IF(B215="V",J215,0)</f>
        <v>0</v>
      </c>
      <c r="AF215" s="564">
        <f t="shared" ref="AF215:AF269" si="110">IF(B215="D",Q215,0)</f>
        <v>0</v>
      </c>
      <c r="AG215" s="564">
        <f t="shared" ref="AG215:AG269" si="111">IF(B215="M",Q215,0)</f>
        <v>0</v>
      </c>
      <c r="AH215" s="564">
        <f t="shared" ref="AH215:AH269" si="112">IF(B215="V",Q215,0)</f>
        <v>0</v>
      </c>
    </row>
    <row r="216" spans="1:34">
      <c r="A216" s="20"/>
      <c r="B216" s="20" t="s">
        <v>110</v>
      </c>
      <c r="C216" s="667"/>
      <c r="D216" s="68" t="s">
        <v>46</v>
      </c>
      <c r="E216" s="449"/>
      <c r="F216" s="529">
        <f>VLOOKUP(D216,'Q2 DMV -  Revenue'!C:S,17,FALSE)</f>
        <v>0</v>
      </c>
      <c r="G216" s="579"/>
      <c r="H216" s="579"/>
      <c r="I216" s="524"/>
      <c r="J216" s="379">
        <f t="shared" si="86"/>
        <v>0</v>
      </c>
      <c r="K216" s="31"/>
      <c r="L216" s="84"/>
      <c r="M216" s="42"/>
      <c r="N216" s="31">
        <v>0</v>
      </c>
      <c r="O216" s="429"/>
      <c r="P216" s="31">
        <v>0</v>
      </c>
      <c r="Q216" s="426">
        <f t="shared" si="90"/>
        <v>0</v>
      </c>
      <c r="R216" s="178">
        <v>0</v>
      </c>
      <c r="S216" s="295"/>
      <c r="T216" s="385">
        <f t="shared" si="88"/>
        <v>0</v>
      </c>
      <c r="U216" s="31"/>
      <c r="V216" s="474">
        <f t="shared" si="103"/>
        <v>0</v>
      </c>
      <c r="W216" s="474">
        <f t="shared" si="104"/>
        <v>0</v>
      </c>
      <c r="X216" s="475">
        <f t="shared" si="105"/>
        <v>0</v>
      </c>
      <c r="Y216" s="475">
        <v>0</v>
      </c>
      <c r="Z216" s="476">
        <v>0</v>
      </c>
      <c r="AA216" s="38">
        <f t="shared" si="106"/>
        <v>0</v>
      </c>
      <c r="AB216" s="564">
        <f t="shared" si="107"/>
        <v>0</v>
      </c>
      <c r="AC216" s="564">
        <f t="shared" si="108"/>
        <v>0</v>
      </c>
      <c r="AD216" s="564">
        <f t="shared" si="109"/>
        <v>0</v>
      </c>
      <c r="AF216" s="564">
        <f t="shared" si="110"/>
        <v>0</v>
      </c>
      <c r="AG216" s="564">
        <f t="shared" si="111"/>
        <v>0</v>
      </c>
      <c r="AH216" s="564">
        <f t="shared" si="112"/>
        <v>0</v>
      </c>
    </row>
    <row r="217" spans="1:34">
      <c r="A217" s="21"/>
      <c r="B217" s="21" t="s">
        <v>109</v>
      </c>
      <c r="C217" s="666"/>
      <c r="D217" s="68" t="s">
        <v>47</v>
      </c>
      <c r="E217" s="449"/>
      <c r="F217" s="529">
        <f>VLOOKUP(D217,'Q2 DMV -  Revenue'!C:S,17,FALSE)</f>
        <v>0</v>
      </c>
      <c r="G217" s="579"/>
      <c r="H217" s="579"/>
      <c r="I217" s="524"/>
      <c r="J217" s="379">
        <f t="shared" si="86"/>
        <v>0</v>
      </c>
      <c r="K217" s="31"/>
      <c r="L217" s="84"/>
      <c r="M217" s="42"/>
      <c r="N217" s="31">
        <v>0</v>
      </c>
      <c r="O217" s="429"/>
      <c r="P217" s="31">
        <v>0</v>
      </c>
      <c r="Q217" s="426">
        <f t="shared" si="90"/>
        <v>0</v>
      </c>
      <c r="R217" s="178">
        <v>0</v>
      </c>
      <c r="S217" s="295"/>
      <c r="T217" s="385">
        <f t="shared" si="88"/>
        <v>0</v>
      </c>
      <c r="U217" s="31"/>
      <c r="V217" s="474">
        <f t="shared" si="103"/>
        <v>0</v>
      </c>
      <c r="W217" s="474">
        <f t="shared" si="104"/>
        <v>0</v>
      </c>
      <c r="X217" s="475">
        <f t="shared" si="105"/>
        <v>0</v>
      </c>
      <c r="Y217" s="475">
        <v>0</v>
      </c>
      <c r="Z217" s="476">
        <v>0</v>
      </c>
      <c r="AA217" s="38">
        <f t="shared" si="106"/>
        <v>0</v>
      </c>
      <c r="AB217" s="564">
        <f t="shared" si="107"/>
        <v>0</v>
      </c>
      <c r="AC217" s="564">
        <f t="shared" si="108"/>
        <v>0</v>
      </c>
      <c r="AD217" s="564">
        <f t="shared" si="109"/>
        <v>0</v>
      </c>
      <c r="AF217" s="564">
        <f t="shared" si="110"/>
        <v>0</v>
      </c>
      <c r="AG217" s="564">
        <f t="shared" si="111"/>
        <v>0</v>
      </c>
      <c r="AH217" s="564">
        <f t="shared" si="112"/>
        <v>0</v>
      </c>
    </row>
    <row r="218" spans="1:34">
      <c r="A218" s="20" t="s">
        <v>211</v>
      </c>
      <c r="B218" s="20" t="s">
        <v>110</v>
      </c>
      <c r="C218" s="667"/>
      <c r="D218" s="68" t="s">
        <v>233</v>
      </c>
      <c r="E218" s="449"/>
      <c r="F218" s="529">
        <f>VLOOKUP(D218,'Q2 DMV -  Revenue'!C:S,17,FALSE)</f>
        <v>0</v>
      </c>
      <c r="G218" s="579"/>
      <c r="H218" s="579"/>
      <c r="I218" s="524"/>
      <c r="J218" s="379">
        <f t="shared" si="86"/>
        <v>0</v>
      </c>
      <c r="K218" s="31"/>
      <c r="L218" s="84"/>
      <c r="M218" s="42"/>
      <c r="N218" s="31">
        <v>0</v>
      </c>
      <c r="O218" s="429"/>
      <c r="P218" s="31">
        <v>0</v>
      </c>
      <c r="Q218" s="426">
        <f t="shared" si="90"/>
        <v>0</v>
      </c>
      <c r="R218" s="178">
        <v>0</v>
      </c>
      <c r="S218" s="295"/>
      <c r="T218" s="385">
        <f t="shared" si="88"/>
        <v>0</v>
      </c>
      <c r="U218" s="2"/>
      <c r="V218" s="474">
        <f t="shared" si="103"/>
        <v>0</v>
      </c>
      <c r="W218" s="474">
        <f t="shared" si="104"/>
        <v>0</v>
      </c>
      <c r="X218" s="475">
        <f t="shared" si="105"/>
        <v>0</v>
      </c>
      <c r="Y218" s="475">
        <v>0</v>
      </c>
      <c r="Z218" s="476">
        <v>0</v>
      </c>
      <c r="AA218" s="38">
        <f t="shared" si="106"/>
        <v>0</v>
      </c>
      <c r="AB218" s="564">
        <f t="shared" si="107"/>
        <v>0</v>
      </c>
      <c r="AC218" s="564">
        <f t="shared" si="108"/>
        <v>0</v>
      </c>
      <c r="AD218" s="564">
        <f t="shared" si="109"/>
        <v>0</v>
      </c>
      <c r="AF218" s="564">
        <f t="shared" si="110"/>
        <v>0</v>
      </c>
      <c r="AG218" s="564">
        <f t="shared" si="111"/>
        <v>0</v>
      </c>
      <c r="AH218" s="564">
        <f t="shared" si="112"/>
        <v>0</v>
      </c>
    </row>
    <row r="219" spans="1:34">
      <c r="A219" s="20" t="s">
        <v>211</v>
      </c>
      <c r="B219" s="20" t="s">
        <v>110</v>
      </c>
      <c r="C219" s="667"/>
      <c r="D219" s="68" t="s">
        <v>503</v>
      </c>
      <c r="E219" s="449"/>
      <c r="F219" s="529">
        <f>VLOOKUP(D219,'Q2 DMV -  Revenue'!C:S,17,FALSE)</f>
        <v>0</v>
      </c>
      <c r="G219" s="579"/>
      <c r="H219" s="579"/>
      <c r="I219" s="524"/>
      <c r="J219" s="379">
        <f t="shared" ref="J219" si="113">SUM(E219:I219)</f>
        <v>0</v>
      </c>
      <c r="K219" s="31"/>
      <c r="L219" s="84"/>
      <c r="M219" s="42"/>
      <c r="N219" s="31">
        <v>0</v>
      </c>
      <c r="O219" s="429"/>
      <c r="P219" s="31">
        <v>0</v>
      </c>
      <c r="Q219" s="426">
        <f t="shared" ref="Q219" si="114">L219+M219</f>
        <v>0</v>
      </c>
      <c r="R219" s="178">
        <v>0</v>
      </c>
      <c r="S219" s="295"/>
      <c r="T219" s="385">
        <f t="shared" ref="T219" si="115">IF(R219="","",R219-Q219)</f>
        <v>0</v>
      </c>
      <c r="U219" s="2"/>
      <c r="V219" s="474">
        <f t="shared" si="103"/>
        <v>0</v>
      </c>
      <c r="W219" s="474">
        <f t="shared" si="104"/>
        <v>0</v>
      </c>
      <c r="X219" s="475">
        <f t="shared" si="105"/>
        <v>0</v>
      </c>
      <c r="Y219" s="475">
        <v>0</v>
      </c>
      <c r="Z219" s="476">
        <v>0</v>
      </c>
      <c r="AA219" s="38">
        <f t="shared" si="106"/>
        <v>0</v>
      </c>
      <c r="AB219" s="564">
        <f t="shared" si="107"/>
        <v>0</v>
      </c>
      <c r="AC219" s="564">
        <f t="shared" si="108"/>
        <v>0</v>
      </c>
      <c r="AD219" s="564">
        <f t="shared" si="109"/>
        <v>0</v>
      </c>
      <c r="AF219" s="564">
        <f t="shared" si="110"/>
        <v>0</v>
      </c>
      <c r="AG219" s="564">
        <f t="shared" si="111"/>
        <v>0</v>
      </c>
      <c r="AH219" s="564">
        <f t="shared" si="112"/>
        <v>0</v>
      </c>
    </row>
    <row r="220" spans="1:34">
      <c r="A220" s="20" t="s">
        <v>211</v>
      </c>
      <c r="B220" s="20" t="s">
        <v>109</v>
      </c>
      <c r="C220" s="667"/>
      <c r="D220" s="68" t="s">
        <v>48</v>
      </c>
      <c r="E220" s="449"/>
      <c r="F220" s="529">
        <f>VLOOKUP(D220,'Q2 DMV -  Revenue'!C:S,17,FALSE)</f>
        <v>0</v>
      </c>
      <c r="G220" s="579"/>
      <c r="H220" s="579"/>
      <c r="I220" s="524"/>
      <c r="J220" s="379">
        <f t="shared" si="86"/>
        <v>0</v>
      </c>
      <c r="K220" s="31"/>
      <c r="L220" s="84"/>
      <c r="M220" s="42"/>
      <c r="N220" s="31">
        <v>0</v>
      </c>
      <c r="O220" s="429"/>
      <c r="P220" s="31">
        <v>0</v>
      </c>
      <c r="Q220" s="426">
        <f t="shared" si="90"/>
        <v>0</v>
      </c>
      <c r="R220" s="178">
        <v>0</v>
      </c>
      <c r="S220" s="295"/>
      <c r="T220" s="385">
        <f t="shared" si="88"/>
        <v>0</v>
      </c>
      <c r="U220" s="2"/>
      <c r="V220" s="474">
        <f t="shared" si="103"/>
        <v>0</v>
      </c>
      <c r="W220" s="474">
        <f t="shared" si="104"/>
        <v>0</v>
      </c>
      <c r="X220" s="475">
        <f t="shared" si="105"/>
        <v>0</v>
      </c>
      <c r="Y220" s="475">
        <v>0</v>
      </c>
      <c r="Z220" s="476">
        <v>0</v>
      </c>
      <c r="AA220" s="38">
        <f t="shared" si="106"/>
        <v>0</v>
      </c>
      <c r="AB220" s="564">
        <f t="shared" si="107"/>
        <v>0</v>
      </c>
      <c r="AC220" s="564">
        <f t="shared" si="108"/>
        <v>0</v>
      </c>
      <c r="AD220" s="564">
        <f t="shared" si="109"/>
        <v>0</v>
      </c>
      <c r="AF220" s="564">
        <f t="shared" si="110"/>
        <v>0</v>
      </c>
      <c r="AG220" s="564">
        <f t="shared" si="111"/>
        <v>0</v>
      </c>
      <c r="AH220" s="564">
        <f t="shared" si="112"/>
        <v>0</v>
      </c>
    </row>
    <row r="221" spans="1:34">
      <c r="A221" s="20"/>
      <c r="B221" s="20" t="s">
        <v>110</v>
      </c>
      <c r="C221" s="667" t="s">
        <v>573</v>
      </c>
      <c r="D221" s="68" t="s">
        <v>102</v>
      </c>
      <c r="E221" s="449"/>
      <c r="F221" s="529">
        <f>VLOOKUP(D221,'Q2 DMV -  Revenue'!C:S,17,FALSE)</f>
        <v>-708.85999999998603</v>
      </c>
      <c r="G221" s="576">
        <v>417632.07</v>
      </c>
      <c r="H221" s="576">
        <v>458982.69</v>
      </c>
      <c r="I221" s="524"/>
      <c r="J221" s="379">
        <f t="shared" si="86"/>
        <v>875905.9</v>
      </c>
      <c r="K221" s="31"/>
      <c r="L221" s="258"/>
      <c r="M221" s="42">
        <f t="shared" ref="M221:M222" si="116">SUM(G221+H221)/2</f>
        <v>438307.38</v>
      </c>
      <c r="N221" s="31">
        <v>0</v>
      </c>
      <c r="O221" s="429">
        <v>1726857.01</v>
      </c>
      <c r="P221" s="31">
        <v>0</v>
      </c>
      <c r="Q221" s="426">
        <f t="shared" si="90"/>
        <v>438307.38</v>
      </c>
      <c r="R221" s="178">
        <v>490807.54</v>
      </c>
      <c r="S221" s="295"/>
      <c r="T221" s="385">
        <f t="shared" si="88"/>
        <v>52500.159999999974</v>
      </c>
      <c r="U221" s="2"/>
      <c r="V221" s="474">
        <f t="shared" si="103"/>
        <v>438307.38</v>
      </c>
      <c r="W221" s="474">
        <f t="shared" si="104"/>
        <v>0</v>
      </c>
      <c r="X221" s="475">
        <f t="shared" si="105"/>
        <v>0</v>
      </c>
      <c r="Y221" s="475">
        <v>0</v>
      </c>
      <c r="Z221" s="476">
        <v>0</v>
      </c>
      <c r="AA221" s="38">
        <f t="shared" si="106"/>
        <v>0</v>
      </c>
      <c r="AB221" s="564">
        <f t="shared" si="107"/>
        <v>875905.9</v>
      </c>
      <c r="AC221" s="564">
        <f t="shared" si="108"/>
        <v>0</v>
      </c>
      <c r="AD221" s="564">
        <f t="shared" si="109"/>
        <v>0</v>
      </c>
      <c r="AF221" s="564">
        <f t="shared" si="110"/>
        <v>438307.38</v>
      </c>
      <c r="AG221" s="564">
        <f t="shared" si="111"/>
        <v>0</v>
      </c>
      <c r="AH221" s="564">
        <f t="shared" si="112"/>
        <v>0</v>
      </c>
    </row>
    <row r="222" spans="1:34">
      <c r="A222" s="20"/>
      <c r="B222" s="20" t="s">
        <v>110</v>
      </c>
      <c r="C222" s="667" t="s">
        <v>573</v>
      </c>
      <c r="D222" s="68" t="s">
        <v>511</v>
      </c>
      <c r="E222" s="449"/>
      <c r="F222" s="529">
        <f>VLOOKUP(D222,'Q2 DMV -  Revenue'!C:S,17,FALSE)</f>
        <v>28646.94</v>
      </c>
      <c r="G222" s="576">
        <v>21948.25</v>
      </c>
      <c r="H222" s="576">
        <f>20947.1+1.82</f>
        <v>20948.919999999998</v>
      </c>
      <c r="I222" s="524"/>
      <c r="J222" s="379">
        <f t="shared" ref="J222" si="117">SUM(E222:I222)</f>
        <v>71544.11</v>
      </c>
      <c r="K222" s="31"/>
      <c r="L222" s="258"/>
      <c r="M222" s="42">
        <f t="shared" si="116"/>
        <v>21448.584999999999</v>
      </c>
      <c r="N222" s="31">
        <v>0</v>
      </c>
      <c r="O222" s="429"/>
      <c r="P222" s="31">
        <v>0</v>
      </c>
      <c r="Q222" s="426">
        <f t="shared" ref="Q222" si="118">L222+M222</f>
        <v>21448.584999999999</v>
      </c>
      <c r="R222" s="178">
        <v>0</v>
      </c>
      <c r="S222" s="295"/>
      <c r="T222" s="385">
        <f t="shared" ref="T222" si="119">IF(R222="","",R222-Q222)</f>
        <v>-21448.584999999999</v>
      </c>
      <c r="U222" s="2"/>
      <c r="V222" s="474">
        <f t="shared" si="103"/>
        <v>21448.584999999999</v>
      </c>
      <c r="W222" s="474">
        <f t="shared" si="104"/>
        <v>0</v>
      </c>
      <c r="X222" s="475">
        <f t="shared" si="105"/>
        <v>0</v>
      </c>
      <c r="Y222" s="475">
        <v>0</v>
      </c>
      <c r="Z222" s="476">
        <v>0</v>
      </c>
      <c r="AA222" s="38">
        <f t="shared" si="106"/>
        <v>0</v>
      </c>
      <c r="AB222" s="564">
        <f t="shared" si="107"/>
        <v>71544.11</v>
      </c>
      <c r="AC222" s="564">
        <f t="shared" si="108"/>
        <v>0</v>
      </c>
      <c r="AD222" s="564">
        <f t="shared" si="109"/>
        <v>0</v>
      </c>
      <c r="AF222" s="564">
        <f t="shared" si="110"/>
        <v>21448.584999999999</v>
      </c>
      <c r="AG222" s="564">
        <f t="shared" si="111"/>
        <v>0</v>
      </c>
      <c r="AH222" s="564">
        <f t="shared" si="112"/>
        <v>0</v>
      </c>
    </row>
    <row r="223" spans="1:34">
      <c r="A223" s="21"/>
      <c r="B223" s="21" t="s">
        <v>110</v>
      </c>
      <c r="C223" s="666"/>
      <c r="D223" s="68" t="s">
        <v>50</v>
      </c>
      <c r="E223" s="449"/>
      <c r="F223" s="529">
        <f>VLOOKUP(D223,'Q2 DMV -  Revenue'!C:S,17,FALSE)</f>
        <v>0</v>
      </c>
      <c r="G223" s="576">
        <v>2024.13</v>
      </c>
      <c r="H223" s="576">
        <v>2053.41</v>
      </c>
      <c r="I223" s="525">
        <v>1848.09</v>
      </c>
      <c r="J223" s="379">
        <f t="shared" si="86"/>
        <v>5925.63</v>
      </c>
      <c r="K223" s="31"/>
      <c r="L223" s="84"/>
      <c r="M223" s="42"/>
      <c r="N223" s="31">
        <v>0</v>
      </c>
      <c r="O223" s="429">
        <v>5925.63</v>
      </c>
      <c r="P223" s="31">
        <v>0</v>
      </c>
      <c r="Q223" s="426">
        <f t="shared" si="90"/>
        <v>0</v>
      </c>
      <c r="R223" s="178">
        <v>0</v>
      </c>
      <c r="S223" s="295"/>
      <c r="T223" s="385">
        <f t="shared" si="88"/>
        <v>0</v>
      </c>
      <c r="U223" s="31"/>
      <c r="V223" s="474">
        <f t="shared" si="103"/>
        <v>0</v>
      </c>
      <c r="W223" s="474">
        <f t="shared" si="104"/>
        <v>0</v>
      </c>
      <c r="X223" s="475">
        <f t="shared" si="105"/>
        <v>0</v>
      </c>
      <c r="Y223" s="475">
        <v>0</v>
      </c>
      <c r="Z223" s="476">
        <v>0</v>
      </c>
      <c r="AA223" s="38">
        <f t="shared" si="106"/>
        <v>0</v>
      </c>
      <c r="AB223" s="564">
        <f t="shared" si="107"/>
        <v>5925.63</v>
      </c>
      <c r="AC223" s="564">
        <f t="shared" si="108"/>
        <v>0</v>
      </c>
      <c r="AD223" s="564">
        <f t="shared" si="109"/>
        <v>0</v>
      </c>
      <c r="AF223" s="564">
        <f t="shared" si="110"/>
        <v>0</v>
      </c>
      <c r="AG223" s="564">
        <f t="shared" si="111"/>
        <v>0</v>
      </c>
      <c r="AH223" s="564">
        <f t="shared" si="112"/>
        <v>0</v>
      </c>
    </row>
    <row r="224" spans="1:34">
      <c r="A224" s="21"/>
      <c r="B224" s="21" t="s">
        <v>109</v>
      </c>
      <c r="C224" s="666"/>
      <c r="D224" s="68" t="s">
        <v>51</v>
      </c>
      <c r="E224" s="449"/>
      <c r="F224" s="529">
        <f>VLOOKUP(D224,'Q2 DMV -  Revenue'!C:S,17,FALSE)</f>
        <v>0</v>
      </c>
      <c r="G224" s="579"/>
      <c r="H224" s="579"/>
      <c r="I224" s="524"/>
      <c r="J224" s="379">
        <f t="shared" si="86"/>
        <v>0</v>
      </c>
      <c r="K224" s="31"/>
      <c r="L224" s="84"/>
      <c r="M224" s="42"/>
      <c r="N224" s="31">
        <v>0</v>
      </c>
      <c r="O224" s="429"/>
      <c r="P224" s="31">
        <v>0</v>
      </c>
      <c r="Q224" s="426">
        <f t="shared" si="90"/>
        <v>0</v>
      </c>
      <c r="R224" s="178">
        <v>0</v>
      </c>
      <c r="S224" s="295"/>
      <c r="T224" s="385">
        <f t="shared" si="88"/>
        <v>0</v>
      </c>
      <c r="U224" s="31"/>
      <c r="V224" s="474">
        <f t="shared" si="103"/>
        <v>0</v>
      </c>
      <c r="W224" s="474">
        <f t="shared" si="104"/>
        <v>0</v>
      </c>
      <c r="X224" s="475">
        <f t="shared" si="105"/>
        <v>0</v>
      </c>
      <c r="Y224" s="475">
        <v>0</v>
      </c>
      <c r="Z224" s="476">
        <v>0</v>
      </c>
      <c r="AA224" s="38">
        <f t="shared" si="106"/>
        <v>0</v>
      </c>
      <c r="AB224" s="564">
        <f t="shared" si="107"/>
        <v>0</v>
      </c>
      <c r="AC224" s="564">
        <f t="shared" si="108"/>
        <v>0</v>
      </c>
      <c r="AD224" s="564">
        <f t="shared" si="109"/>
        <v>0</v>
      </c>
      <c r="AF224" s="564">
        <f t="shared" si="110"/>
        <v>0</v>
      </c>
      <c r="AG224" s="564">
        <f t="shared" si="111"/>
        <v>0</v>
      </c>
      <c r="AH224" s="564">
        <f t="shared" si="112"/>
        <v>0</v>
      </c>
    </row>
    <row r="225" spans="1:34">
      <c r="A225" s="21"/>
      <c r="B225" s="21" t="s">
        <v>109</v>
      </c>
      <c r="C225" s="666"/>
      <c r="D225" s="68" t="s">
        <v>107</v>
      </c>
      <c r="E225" s="449">
        <f>1011.12+1271.68+1046</f>
        <v>3328.8</v>
      </c>
      <c r="F225" s="529">
        <f>VLOOKUP(D225,'Q2 DMV -  Revenue'!C:S,17,FALSE)</f>
        <v>-3690.69</v>
      </c>
      <c r="G225" s="579"/>
      <c r="H225" s="579"/>
      <c r="I225" s="524"/>
      <c r="J225" s="379">
        <f t="shared" si="86"/>
        <v>-361.88999999999987</v>
      </c>
      <c r="K225" s="31"/>
      <c r="L225" s="84"/>
      <c r="M225" s="42"/>
      <c r="N225" s="31">
        <v>0</v>
      </c>
      <c r="O225" s="429">
        <v>5883.38</v>
      </c>
      <c r="P225" s="31">
        <v>0</v>
      </c>
      <c r="Q225" s="426">
        <f t="shared" si="90"/>
        <v>0</v>
      </c>
      <c r="R225" s="178">
        <v>454.21</v>
      </c>
      <c r="S225" s="295"/>
      <c r="T225" s="385">
        <f t="shared" si="88"/>
        <v>454.21</v>
      </c>
      <c r="U225" s="31"/>
      <c r="V225" s="474">
        <f t="shared" si="103"/>
        <v>0</v>
      </c>
      <c r="W225" s="474">
        <f t="shared" si="104"/>
        <v>0</v>
      </c>
      <c r="X225" s="475">
        <f t="shared" si="105"/>
        <v>0</v>
      </c>
      <c r="Y225" s="475">
        <v>0</v>
      </c>
      <c r="Z225" s="476">
        <v>0</v>
      </c>
      <c r="AA225" s="38">
        <f t="shared" si="106"/>
        <v>0</v>
      </c>
      <c r="AB225" s="564">
        <f t="shared" si="107"/>
        <v>0</v>
      </c>
      <c r="AC225" s="564">
        <f t="shared" si="108"/>
        <v>-361.88999999999987</v>
      </c>
      <c r="AD225" s="564">
        <f t="shared" si="109"/>
        <v>0</v>
      </c>
      <c r="AF225" s="564">
        <f t="shared" si="110"/>
        <v>0</v>
      </c>
      <c r="AG225" s="564">
        <f t="shared" si="111"/>
        <v>0</v>
      </c>
      <c r="AH225" s="564">
        <f t="shared" si="112"/>
        <v>0</v>
      </c>
    </row>
    <row r="226" spans="1:34">
      <c r="A226" s="20"/>
      <c r="B226" s="20" t="s">
        <v>109</v>
      </c>
      <c r="C226" s="667" t="s">
        <v>574</v>
      </c>
      <c r="D226" s="68" t="s">
        <v>156</v>
      </c>
      <c r="E226" s="449"/>
      <c r="F226" s="529">
        <f>VLOOKUP(D226,'Q2 DMV -  Revenue'!C:S,17,FALSE)</f>
        <v>-200.82499999999999</v>
      </c>
      <c r="G226" s="576">
        <v>205.41</v>
      </c>
      <c r="H226" s="579"/>
      <c r="I226" s="524"/>
      <c r="J226" s="379">
        <f t="shared" ref="J226:J266" si="120">SUM(E226:I226)</f>
        <v>4.585000000000008</v>
      </c>
      <c r="K226" s="31"/>
      <c r="L226" s="84"/>
      <c r="M226" s="42">
        <f>G226*2</f>
        <v>410.82</v>
      </c>
      <c r="N226" s="31">
        <v>0</v>
      </c>
      <c r="O226" s="429">
        <v>10471.17</v>
      </c>
      <c r="P226" s="31">
        <v>0</v>
      </c>
      <c r="Q226" s="426">
        <f t="shared" si="90"/>
        <v>410.82</v>
      </c>
      <c r="R226" s="178">
        <v>0</v>
      </c>
      <c r="S226" s="295"/>
      <c r="T226" s="385">
        <f t="shared" si="88"/>
        <v>-410.82</v>
      </c>
      <c r="U226" s="31"/>
      <c r="V226" s="474">
        <f t="shared" si="103"/>
        <v>0</v>
      </c>
      <c r="W226" s="474">
        <f t="shared" si="104"/>
        <v>410.82</v>
      </c>
      <c r="X226" s="475">
        <f t="shared" si="105"/>
        <v>0</v>
      </c>
      <c r="Y226" s="475">
        <v>0</v>
      </c>
      <c r="Z226" s="476">
        <v>0</v>
      </c>
      <c r="AA226" s="38">
        <f t="shared" si="106"/>
        <v>0</v>
      </c>
      <c r="AB226" s="564">
        <f t="shared" si="107"/>
        <v>0</v>
      </c>
      <c r="AC226" s="564">
        <f t="shared" si="108"/>
        <v>4.585000000000008</v>
      </c>
      <c r="AD226" s="564">
        <f t="shared" si="109"/>
        <v>0</v>
      </c>
      <c r="AF226" s="564">
        <f t="shared" si="110"/>
        <v>0</v>
      </c>
      <c r="AG226" s="564">
        <f t="shared" si="111"/>
        <v>410.82</v>
      </c>
      <c r="AH226" s="564">
        <f t="shared" si="112"/>
        <v>0</v>
      </c>
    </row>
    <row r="227" spans="1:34">
      <c r="A227" s="20"/>
      <c r="B227" s="20" t="s">
        <v>109</v>
      </c>
      <c r="C227" s="667" t="s">
        <v>574</v>
      </c>
      <c r="D227" s="68" t="s">
        <v>157</v>
      </c>
      <c r="E227" s="449"/>
      <c r="F227" s="529">
        <f>VLOOKUP(D227,'Q2 DMV -  Revenue'!C:S,17,FALSE)</f>
        <v>0</v>
      </c>
      <c r="G227" s="579"/>
      <c r="H227" s="579"/>
      <c r="I227" s="524"/>
      <c r="J227" s="379">
        <f t="shared" si="120"/>
        <v>0</v>
      </c>
      <c r="K227" s="31"/>
      <c r="L227" s="84"/>
      <c r="M227" s="42"/>
      <c r="N227" s="31">
        <v>0</v>
      </c>
      <c r="O227" s="429"/>
      <c r="P227" s="31">
        <v>0</v>
      </c>
      <c r="Q227" s="426">
        <f t="shared" si="90"/>
        <v>0</v>
      </c>
      <c r="R227" s="178">
        <v>0</v>
      </c>
      <c r="S227" s="295"/>
      <c r="T227" s="385">
        <f t="shared" ref="T227:T269" si="121">IF(R227="","",R227-Q227)</f>
        <v>0</v>
      </c>
      <c r="U227" s="31"/>
      <c r="V227" s="474">
        <f t="shared" si="103"/>
        <v>0</v>
      </c>
      <c r="W227" s="474">
        <f t="shared" si="104"/>
        <v>0</v>
      </c>
      <c r="X227" s="475">
        <f t="shared" si="105"/>
        <v>0</v>
      </c>
      <c r="Y227" s="475">
        <v>0</v>
      </c>
      <c r="Z227" s="476">
        <v>0</v>
      </c>
      <c r="AA227" s="38">
        <f t="shared" si="106"/>
        <v>0</v>
      </c>
      <c r="AB227" s="564">
        <f t="shared" si="107"/>
        <v>0</v>
      </c>
      <c r="AC227" s="564">
        <f t="shared" si="108"/>
        <v>0</v>
      </c>
      <c r="AD227" s="564">
        <f t="shared" si="109"/>
        <v>0</v>
      </c>
      <c r="AF227" s="564">
        <f t="shared" si="110"/>
        <v>0</v>
      </c>
      <c r="AG227" s="564">
        <f t="shared" si="111"/>
        <v>0</v>
      </c>
      <c r="AH227" s="564">
        <f t="shared" si="112"/>
        <v>0</v>
      </c>
    </row>
    <row r="228" spans="1:34">
      <c r="A228" s="20"/>
      <c r="B228" s="20" t="s">
        <v>109</v>
      </c>
      <c r="C228" s="667" t="s">
        <v>574</v>
      </c>
      <c r="D228" s="68" t="s">
        <v>158</v>
      </c>
      <c r="E228" s="449"/>
      <c r="F228" s="529">
        <f>VLOOKUP(D228,'Q2 DMV -  Revenue'!C:S,17,FALSE)</f>
        <v>-596.91499999999996</v>
      </c>
      <c r="G228" s="576">
        <v>3258.24</v>
      </c>
      <c r="H228" s="576">
        <v>3396.31</v>
      </c>
      <c r="I228" s="524"/>
      <c r="J228" s="379">
        <f t="shared" si="120"/>
        <v>6057.6350000000002</v>
      </c>
      <c r="K228" s="31"/>
      <c r="L228" s="84"/>
      <c r="M228" s="42">
        <f t="shared" ref="M228" si="122">SUM(G228+H228)/2</f>
        <v>3327.2749999999996</v>
      </c>
      <c r="N228" s="31">
        <v>0</v>
      </c>
      <c r="O228" s="429"/>
      <c r="P228" s="31">
        <v>0</v>
      </c>
      <c r="Q228" s="426">
        <f t="shared" si="90"/>
        <v>3327.2749999999996</v>
      </c>
      <c r="R228" s="178">
        <v>0</v>
      </c>
      <c r="S228" s="295"/>
      <c r="T228" s="385">
        <f t="shared" si="121"/>
        <v>-3327.2749999999996</v>
      </c>
      <c r="U228" s="31"/>
      <c r="V228" s="474">
        <f t="shared" si="103"/>
        <v>0</v>
      </c>
      <c r="W228" s="474">
        <f t="shared" si="104"/>
        <v>3327.2749999999996</v>
      </c>
      <c r="X228" s="475">
        <f t="shared" si="105"/>
        <v>0</v>
      </c>
      <c r="Y228" s="475">
        <v>0</v>
      </c>
      <c r="Z228" s="476">
        <v>0</v>
      </c>
      <c r="AA228" s="38">
        <f t="shared" si="106"/>
        <v>0</v>
      </c>
      <c r="AB228" s="564">
        <f t="shared" si="107"/>
        <v>0</v>
      </c>
      <c r="AC228" s="564">
        <f t="shared" si="108"/>
        <v>6057.6350000000002</v>
      </c>
      <c r="AD228" s="564">
        <f t="shared" si="109"/>
        <v>0</v>
      </c>
      <c r="AF228" s="564">
        <f t="shared" si="110"/>
        <v>0</v>
      </c>
      <c r="AG228" s="564">
        <f t="shared" si="111"/>
        <v>3327.2749999999996</v>
      </c>
      <c r="AH228" s="564">
        <f t="shared" si="112"/>
        <v>0</v>
      </c>
    </row>
    <row r="229" spans="1:34">
      <c r="A229" s="21" t="s">
        <v>97</v>
      </c>
      <c r="B229" s="21" t="s">
        <v>109</v>
      </c>
      <c r="C229" s="666"/>
      <c r="D229" s="68" t="s">
        <v>52</v>
      </c>
      <c r="E229" s="449"/>
      <c r="F229" s="529">
        <f>VLOOKUP(D229,'Q2 DMV -  Revenue'!C:S,17,FALSE)</f>
        <v>0</v>
      </c>
      <c r="G229" s="579"/>
      <c r="H229" s="579"/>
      <c r="I229" s="524"/>
      <c r="J229" s="379">
        <f t="shared" si="120"/>
        <v>0</v>
      </c>
      <c r="K229" s="31"/>
      <c r="L229" s="84"/>
      <c r="M229" s="42"/>
      <c r="N229" s="31">
        <v>0</v>
      </c>
      <c r="O229" s="429"/>
      <c r="P229" s="31">
        <v>0</v>
      </c>
      <c r="Q229" s="426">
        <f t="shared" si="90"/>
        <v>0</v>
      </c>
      <c r="R229" s="178">
        <v>0</v>
      </c>
      <c r="S229" s="295"/>
      <c r="T229" s="385">
        <f t="shared" si="121"/>
        <v>0</v>
      </c>
      <c r="U229" s="31"/>
      <c r="V229" s="474">
        <f t="shared" si="103"/>
        <v>0</v>
      </c>
      <c r="W229" s="474">
        <f t="shared" si="104"/>
        <v>0</v>
      </c>
      <c r="X229" s="475">
        <f t="shared" si="105"/>
        <v>0</v>
      </c>
      <c r="Y229" s="475">
        <v>0</v>
      </c>
      <c r="Z229" s="476">
        <v>0</v>
      </c>
      <c r="AA229" s="38">
        <f t="shared" si="106"/>
        <v>0</v>
      </c>
      <c r="AB229" s="564">
        <f t="shared" si="107"/>
        <v>0</v>
      </c>
      <c r="AC229" s="564">
        <f t="shared" si="108"/>
        <v>0</v>
      </c>
      <c r="AD229" s="564">
        <f t="shared" si="109"/>
        <v>0</v>
      </c>
      <c r="AF229" s="564">
        <f t="shared" si="110"/>
        <v>0</v>
      </c>
      <c r="AG229" s="564">
        <f t="shared" si="111"/>
        <v>0</v>
      </c>
      <c r="AH229" s="564">
        <f t="shared" si="112"/>
        <v>0</v>
      </c>
    </row>
    <row r="230" spans="1:34">
      <c r="A230" s="21"/>
      <c r="B230" s="21" t="s">
        <v>109</v>
      </c>
      <c r="C230" s="666"/>
      <c r="D230" s="68" t="s">
        <v>467</v>
      </c>
      <c r="E230" s="449"/>
      <c r="F230" s="529">
        <f>VLOOKUP(D230,'Q2 DMV -  Revenue'!C:S,17,FALSE)</f>
        <v>-704.4799999999999</v>
      </c>
      <c r="G230" s="579"/>
      <c r="H230" s="579"/>
      <c r="I230" s="524"/>
      <c r="J230" s="379">
        <f t="shared" si="120"/>
        <v>-704.4799999999999</v>
      </c>
      <c r="K230" s="31"/>
      <c r="L230" s="84"/>
      <c r="M230" s="42"/>
      <c r="N230" s="31">
        <v>0</v>
      </c>
      <c r="O230" s="429">
        <v>141.88999999999999</v>
      </c>
      <c r="P230" s="31">
        <v>0</v>
      </c>
      <c r="Q230" s="426">
        <f t="shared" si="90"/>
        <v>0</v>
      </c>
      <c r="R230" s="178">
        <v>0</v>
      </c>
      <c r="S230" s="295"/>
      <c r="T230" s="385">
        <f t="shared" si="121"/>
        <v>0</v>
      </c>
      <c r="U230" s="31"/>
      <c r="V230" s="474">
        <f t="shared" si="103"/>
        <v>0</v>
      </c>
      <c r="W230" s="474">
        <f t="shared" si="104"/>
        <v>0</v>
      </c>
      <c r="X230" s="475">
        <f t="shared" si="105"/>
        <v>0</v>
      </c>
      <c r="Y230" s="475">
        <v>0</v>
      </c>
      <c r="Z230" s="476">
        <v>0</v>
      </c>
      <c r="AA230" s="38">
        <f t="shared" si="106"/>
        <v>0</v>
      </c>
      <c r="AB230" s="564">
        <f t="shared" si="107"/>
        <v>0</v>
      </c>
      <c r="AC230" s="564">
        <f t="shared" si="108"/>
        <v>-704.4799999999999</v>
      </c>
      <c r="AD230" s="564">
        <f t="shared" si="109"/>
        <v>0</v>
      </c>
      <c r="AF230" s="564">
        <f t="shared" si="110"/>
        <v>0</v>
      </c>
      <c r="AG230" s="564">
        <f t="shared" si="111"/>
        <v>0</v>
      </c>
      <c r="AH230" s="564">
        <f t="shared" si="112"/>
        <v>0</v>
      </c>
    </row>
    <row r="231" spans="1:34">
      <c r="A231" s="21"/>
      <c r="B231" s="21" t="s">
        <v>109</v>
      </c>
      <c r="C231" s="666" t="s">
        <v>575</v>
      </c>
      <c r="D231" s="68" t="s">
        <v>54</v>
      </c>
      <c r="E231" s="449"/>
      <c r="F231" s="529">
        <f>VLOOKUP(D231,'Q2 DMV -  Revenue'!C:S,17,FALSE)</f>
        <v>1842.6100000000001</v>
      </c>
      <c r="G231" s="576">
        <v>480.92</v>
      </c>
      <c r="H231" s="579"/>
      <c r="I231" s="524"/>
      <c r="J231" s="379">
        <f t="shared" si="120"/>
        <v>2323.5300000000002</v>
      </c>
      <c r="K231" s="31"/>
      <c r="L231" s="84"/>
      <c r="M231" s="42">
        <f>G231*2</f>
        <v>961.84</v>
      </c>
      <c r="N231" s="31">
        <v>0</v>
      </c>
      <c r="O231" s="429">
        <v>2323.5300000000002</v>
      </c>
      <c r="P231" s="31">
        <v>0</v>
      </c>
      <c r="Q231" s="426">
        <f t="shared" si="90"/>
        <v>961.84</v>
      </c>
      <c r="R231" s="178">
        <f>339.66+92.96</f>
        <v>432.62</v>
      </c>
      <c r="S231" s="295"/>
      <c r="T231" s="385">
        <f t="shared" si="121"/>
        <v>-529.22</v>
      </c>
      <c r="U231" s="31"/>
      <c r="V231" s="474">
        <f t="shared" si="103"/>
        <v>0</v>
      </c>
      <c r="W231" s="474">
        <f t="shared" si="104"/>
        <v>961.84</v>
      </c>
      <c r="X231" s="475">
        <f t="shared" si="105"/>
        <v>0</v>
      </c>
      <c r="Y231" s="475">
        <v>0</v>
      </c>
      <c r="Z231" s="476">
        <v>0</v>
      </c>
      <c r="AA231" s="38">
        <f t="shared" si="106"/>
        <v>0</v>
      </c>
      <c r="AB231" s="564">
        <f t="shared" si="107"/>
        <v>0</v>
      </c>
      <c r="AC231" s="564">
        <f t="shared" si="108"/>
        <v>2323.5300000000002</v>
      </c>
      <c r="AD231" s="564">
        <f t="shared" si="109"/>
        <v>0</v>
      </c>
      <c r="AF231" s="564">
        <f t="shared" si="110"/>
        <v>0</v>
      </c>
      <c r="AG231" s="564">
        <f t="shared" si="111"/>
        <v>961.84</v>
      </c>
      <c r="AH231" s="564">
        <f t="shared" si="112"/>
        <v>0</v>
      </c>
    </row>
    <row r="232" spans="1:34">
      <c r="A232" s="20"/>
      <c r="B232" s="20" t="s">
        <v>110</v>
      </c>
      <c r="C232" s="667" t="s">
        <v>576</v>
      </c>
      <c r="D232" s="68" t="s">
        <v>394</v>
      </c>
      <c r="E232" s="449"/>
      <c r="F232" s="529">
        <f>VLOOKUP(D232,'Q2 DMV -  Revenue'!C:S,17,FALSE)</f>
        <v>212.08</v>
      </c>
      <c r="G232" s="576">
        <f>3.39+5.73+47.66+65.97+177.18</f>
        <v>299.93</v>
      </c>
      <c r="H232" s="576">
        <f>3.7+15.87+18.98+50.59+1081.66</f>
        <v>1170.8000000000002</v>
      </c>
      <c r="I232" s="524"/>
      <c r="J232" s="379">
        <f t="shared" si="120"/>
        <v>1682.8100000000002</v>
      </c>
      <c r="K232" s="31"/>
      <c r="L232" s="84"/>
      <c r="M232" s="42">
        <f t="shared" ref="M232" si="123">SUM(G232+H232)/2</f>
        <v>735.36500000000012</v>
      </c>
      <c r="N232" s="31">
        <v>0</v>
      </c>
      <c r="O232" s="429">
        <v>1682.81</v>
      </c>
      <c r="P232" s="31">
        <v>0</v>
      </c>
      <c r="Q232" s="426">
        <f t="shared" si="90"/>
        <v>735.36500000000012</v>
      </c>
      <c r="R232" s="178">
        <f>354.55</f>
        <v>354.55</v>
      </c>
      <c r="S232" s="295"/>
      <c r="T232" s="385">
        <f t="shared" si="121"/>
        <v>-380.81500000000011</v>
      </c>
      <c r="U232" s="31"/>
      <c r="V232" s="474">
        <f t="shared" si="103"/>
        <v>735.36500000000012</v>
      </c>
      <c r="W232" s="474">
        <f t="shared" si="104"/>
        <v>0</v>
      </c>
      <c r="X232" s="475">
        <f t="shared" si="105"/>
        <v>0</v>
      </c>
      <c r="Y232" s="475">
        <v>0</v>
      </c>
      <c r="Z232" s="476">
        <v>0</v>
      </c>
      <c r="AA232" s="38">
        <f t="shared" si="106"/>
        <v>0</v>
      </c>
      <c r="AB232" s="564">
        <f t="shared" si="107"/>
        <v>1682.8100000000002</v>
      </c>
      <c r="AC232" s="564">
        <f t="shared" si="108"/>
        <v>0</v>
      </c>
      <c r="AD232" s="564">
        <f t="shared" si="109"/>
        <v>0</v>
      </c>
      <c r="AF232" s="564">
        <f t="shared" si="110"/>
        <v>735.36500000000012</v>
      </c>
      <c r="AG232" s="564">
        <f t="shared" si="111"/>
        <v>0</v>
      </c>
      <c r="AH232" s="564">
        <f t="shared" si="112"/>
        <v>0</v>
      </c>
    </row>
    <row r="233" spans="1:34">
      <c r="A233" s="20"/>
      <c r="B233" s="20" t="s">
        <v>110</v>
      </c>
      <c r="C233" s="667"/>
      <c r="D233" s="68" t="s">
        <v>55</v>
      </c>
      <c r="E233" s="449"/>
      <c r="F233" s="529">
        <f>VLOOKUP(D233,'Q2 DMV -  Revenue'!C:S,17,FALSE)</f>
        <v>0</v>
      </c>
      <c r="G233" s="576">
        <v>833.86</v>
      </c>
      <c r="H233" s="576">
        <v>928.11</v>
      </c>
      <c r="I233" s="525">
        <v>854.88</v>
      </c>
      <c r="J233" s="379">
        <f t="shared" si="120"/>
        <v>2616.85</v>
      </c>
      <c r="K233" s="31"/>
      <c r="L233" s="84"/>
      <c r="M233" s="42"/>
      <c r="N233" s="31">
        <v>0</v>
      </c>
      <c r="O233" s="429">
        <f>1761.97+854.88</f>
        <v>2616.85</v>
      </c>
      <c r="P233" s="31">
        <v>0</v>
      </c>
      <c r="Q233" s="426">
        <f t="shared" ref="Q233:Q269" si="124">L233+M233</f>
        <v>0</v>
      </c>
      <c r="R233" s="178">
        <v>0</v>
      </c>
      <c r="S233" s="295"/>
      <c r="T233" s="385">
        <f t="shared" si="121"/>
        <v>0</v>
      </c>
      <c r="U233" s="31"/>
      <c r="V233" s="474">
        <f t="shared" si="103"/>
        <v>0</v>
      </c>
      <c r="W233" s="474">
        <f t="shared" si="104"/>
        <v>0</v>
      </c>
      <c r="X233" s="475">
        <f t="shared" si="105"/>
        <v>0</v>
      </c>
      <c r="Y233" s="475">
        <v>0</v>
      </c>
      <c r="Z233" s="476">
        <v>0</v>
      </c>
      <c r="AA233" s="38">
        <f t="shared" si="106"/>
        <v>0</v>
      </c>
      <c r="AB233" s="564">
        <f t="shared" si="107"/>
        <v>2616.85</v>
      </c>
      <c r="AC233" s="564">
        <f t="shared" si="108"/>
        <v>0</v>
      </c>
      <c r="AD233" s="564">
        <f t="shared" si="109"/>
        <v>0</v>
      </c>
      <c r="AF233" s="564">
        <f t="shared" si="110"/>
        <v>0</v>
      </c>
      <c r="AG233" s="564">
        <f t="shared" si="111"/>
        <v>0</v>
      </c>
      <c r="AH233" s="564">
        <f t="shared" si="112"/>
        <v>0</v>
      </c>
    </row>
    <row r="234" spans="1:34">
      <c r="A234" s="21" t="s">
        <v>97</v>
      </c>
      <c r="B234" s="21" t="s">
        <v>110</v>
      </c>
      <c r="C234" s="666"/>
      <c r="D234" s="68" t="s">
        <v>175</v>
      </c>
      <c r="E234" s="449"/>
      <c r="F234" s="529">
        <f>VLOOKUP(D234,'Q2 DMV -  Revenue'!C:S,17,FALSE)</f>
        <v>0</v>
      </c>
      <c r="G234" s="579"/>
      <c r="H234" s="579"/>
      <c r="I234" s="524"/>
      <c r="J234" s="379">
        <f t="shared" si="120"/>
        <v>0</v>
      </c>
      <c r="K234" s="31"/>
      <c r="L234" s="84"/>
      <c r="M234" s="42"/>
      <c r="N234" s="31">
        <v>0</v>
      </c>
      <c r="O234" s="429"/>
      <c r="P234" s="31">
        <v>0</v>
      </c>
      <c r="Q234" s="426">
        <f t="shared" si="124"/>
        <v>0</v>
      </c>
      <c r="R234" s="178">
        <v>0</v>
      </c>
      <c r="S234" s="295"/>
      <c r="T234" s="385">
        <f t="shared" si="121"/>
        <v>0</v>
      </c>
      <c r="U234" s="31"/>
      <c r="V234" s="474">
        <f t="shared" si="103"/>
        <v>0</v>
      </c>
      <c r="W234" s="474">
        <f t="shared" si="104"/>
        <v>0</v>
      </c>
      <c r="X234" s="475">
        <f t="shared" si="105"/>
        <v>0</v>
      </c>
      <c r="Y234" s="475">
        <v>0</v>
      </c>
      <c r="Z234" s="476">
        <v>0</v>
      </c>
      <c r="AA234" s="38">
        <f t="shared" si="106"/>
        <v>0</v>
      </c>
      <c r="AB234" s="564">
        <f t="shared" si="107"/>
        <v>0</v>
      </c>
      <c r="AC234" s="564">
        <f t="shared" si="108"/>
        <v>0</v>
      </c>
      <c r="AD234" s="564">
        <f t="shared" si="109"/>
        <v>0</v>
      </c>
      <c r="AF234" s="564">
        <f t="shared" si="110"/>
        <v>0</v>
      </c>
      <c r="AG234" s="564">
        <f t="shared" si="111"/>
        <v>0</v>
      </c>
      <c r="AH234" s="564">
        <f t="shared" si="112"/>
        <v>0</v>
      </c>
    </row>
    <row r="235" spans="1:34">
      <c r="A235" s="20" t="s">
        <v>211</v>
      </c>
      <c r="B235" s="20" t="s">
        <v>109</v>
      </c>
      <c r="C235" s="667"/>
      <c r="D235" s="68" t="s">
        <v>56</v>
      </c>
      <c r="E235" s="449"/>
      <c r="F235" s="529">
        <f>VLOOKUP(D235,'Q2 DMV -  Revenue'!C:S,17,FALSE)</f>
        <v>0</v>
      </c>
      <c r="G235" s="579"/>
      <c r="H235" s="579"/>
      <c r="I235" s="524"/>
      <c r="J235" s="379">
        <f t="shared" si="120"/>
        <v>0</v>
      </c>
      <c r="K235" s="31"/>
      <c r="L235" s="84"/>
      <c r="M235" s="42"/>
      <c r="N235" s="31">
        <v>0</v>
      </c>
      <c r="O235" s="429"/>
      <c r="P235" s="31">
        <v>0</v>
      </c>
      <c r="Q235" s="426">
        <f t="shared" si="124"/>
        <v>0</v>
      </c>
      <c r="R235" s="178">
        <v>0</v>
      </c>
      <c r="S235" s="295"/>
      <c r="T235" s="385">
        <f t="shared" si="121"/>
        <v>0</v>
      </c>
      <c r="U235" s="2"/>
      <c r="V235" s="474">
        <f t="shared" si="103"/>
        <v>0</v>
      </c>
      <c r="W235" s="474">
        <f t="shared" si="104"/>
        <v>0</v>
      </c>
      <c r="X235" s="475">
        <f t="shared" si="105"/>
        <v>0</v>
      </c>
      <c r="Y235" s="475">
        <v>0</v>
      </c>
      <c r="Z235" s="476">
        <v>0</v>
      </c>
      <c r="AA235" s="38">
        <f t="shared" si="106"/>
        <v>0</v>
      </c>
      <c r="AB235" s="564">
        <f t="shared" si="107"/>
        <v>0</v>
      </c>
      <c r="AC235" s="564">
        <f t="shared" si="108"/>
        <v>0</v>
      </c>
      <c r="AD235" s="564">
        <f t="shared" si="109"/>
        <v>0</v>
      </c>
      <c r="AF235" s="564">
        <f t="shared" si="110"/>
        <v>0</v>
      </c>
      <c r="AG235" s="564">
        <f t="shared" si="111"/>
        <v>0</v>
      </c>
      <c r="AH235" s="564">
        <f t="shared" si="112"/>
        <v>0</v>
      </c>
    </row>
    <row r="236" spans="1:34">
      <c r="A236" s="20"/>
      <c r="B236" s="20" t="s">
        <v>109</v>
      </c>
      <c r="C236" s="667" t="s">
        <v>577</v>
      </c>
      <c r="D236" s="68" t="s">
        <v>159</v>
      </c>
      <c r="E236" s="449"/>
      <c r="F236" s="529">
        <f>VLOOKUP(D236,'Q2 DMV -  Revenue'!C:S,17,FALSE)</f>
        <v>-1266.4599999999991</v>
      </c>
      <c r="G236" s="576">
        <v>31153.66</v>
      </c>
      <c r="H236" s="576">
        <v>33831.360000000001</v>
      </c>
      <c r="I236" s="524"/>
      <c r="J236" s="379">
        <f t="shared" si="120"/>
        <v>63718.559999999998</v>
      </c>
      <c r="K236" s="31"/>
      <c r="L236" s="84"/>
      <c r="M236" s="42">
        <f t="shared" ref="M236:M237" si="125">SUM(G236+H236)/2</f>
        <v>32492.510000000002</v>
      </c>
      <c r="N236" s="31">
        <v>0</v>
      </c>
      <c r="O236" s="429">
        <v>239769.27</v>
      </c>
      <c r="P236" s="31">
        <v>0</v>
      </c>
      <c r="Q236" s="426">
        <f t="shared" si="124"/>
        <v>32492.510000000002</v>
      </c>
      <c r="R236" s="178">
        <v>29282.71</v>
      </c>
      <c r="S236" s="295"/>
      <c r="T236" s="385">
        <f t="shared" si="121"/>
        <v>-3209.8000000000029</v>
      </c>
      <c r="U236" s="31"/>
      <c r="V236" s="474">
        <f t="shared" si="103"/>
        <v>0</v>
      </c>
      <c r="W236" s="474">
        <f t="shared" si="104"/>
        <v>32492.510000000002</v>
      </c>
      <c r="X236" s="475">
        <f t="shared" si="105"/>
        <v>0</v>
      </c>
      <c r="Y236" s="475">
        <v>0</v>
      </c>
      <c r="Z236" s="476">
        <v>0</v>
      </c>
      <c r="AA236" s="38">
        <f t="shared" si="106"/>
        <v>0</v>
      </c>
      <c r="AB236" s="564">
        <f t="shared" si="107"/>
        <v>0</v>
      </c>
      <c r="AC236" s="564">
        <f t="shared" si="108"/>
        <v>63718.559999999998</v>
      </c>
      <c r="AD236" s="564">
        <f t="shared" si="109"/>
        <v>0</v>
      </c>
      <c r="AF236" s="564">
        <f t="shared" si="110"/>
        <v>0</v>
      </c>
      <c r="AG236" s="564">
        <f t="shared" si="111"/>
        <v>32492.510000000002</v>
      </c>
      <c r="AH236" s="564">
        <f t="shared" si="112"/>
        <v>0</v>
      </c>
    </row>
    <row r="237" spans="1:34">
      <c r="A237" s="20"/>
      <c r="B237" s="20" t="s">
        <v>109</v>
      </c>
      <c r="C237" s="667" t="s">
        <v>577</v>
      </c>
      <c r="D237" s="68" t="s">
        <v>160</v>
      </c>
      <c r="E237" s="449"/>
      <c r="F237" s="529">
        <f>VLOOKUP(D237,'Q2 DMV -  Revenue'!C:S,17,FALSE)</f>
        <v>-155.95999999999913</v>
      </c>
      <c r="G237" s="576">
        <v>17003.36</v>
      </c>
      <c r="H237" s="576">
        <v>19745.310000000001</v>
      </c>
      <c r="I237" s="524"/>
      <c r="J237" s="379">
        <f t="shared" si="120"/>
        <v>36592.710000000006</v>
      </c>
      <c r="K237" s="31"/>
      <c r="L237" s="84"/>
      <c r="M237" s="42">
        <f t="shared" si="125"/>
        <v>18374.334999999999</v>
      </c>
      <c r="N237" s="31">
        <v>0</v>
      </c>
      <c r="O237" s="429"/>
      <c r="P237" s="31">
        <v>0</v>
      </c>
      <c r="Q237" s="426">
        <f t="shared" si="124"/>
        <v>18374.334999999999</v>
      </c>
      <c r="R237" s="178">
        <v>16505.830000000002</v>
      </c>
      <c r="S237" s="295"/>
      <c r="T237" s="385">
        <f t="shared" si="121"/>
        <v>-1868.5049999999974</v>
      </c>
      <c r="U237" s="31"/>
      <c r="V237" s="474">
        <f t="shared" si="103"/>
        <v>0</v>
      </c>
      <c r="W237" s="474">
        <f t="shared" si="104"/>
        <v>18374.334999999999</v>
      </c>
      <c r="X237" s="475">
        <f t="shared" si="105"/>
        <v>0</v>
      </c>
      <c r="Y237" s="475">
        <v>0</v>
      </c>
      <c r="Z237" s="476">
        <v>0</v>
      </c>
      <c r="AA237" s="38">
        <f t="shared" si="106"/>
        <v>0</v>
      </c>
      <c r="AB237" s="564">
        <f t="shared" si="107"/>
        <v>0</v>
      </c>
      <c r="AC237" s="564">
        <f t="shared" si="108"/>
        <v>36592.710000000006</v>
      </c>
      <c r="AD237" s="564">
        <f t="shared" si="109"/>
        <v>0</v>
      </c>
      <c r="AF237" s="564">
        <f t="shared" si="110"/>
        <v>0</v>
      </c>
      <c r="AG237" s="564">
        <f t="shared" si="111"/>
        <v>18374.334999999999</v>
      </c>
      <c r="AH237" s="564">
        <f t="shared" si="112"/>
        <v>0</v>
      </c>
    </row>
    <row r="238" spans="1:34">
      <c r="A238" s="21"/>
      <c r="B238" s="21" t="s">
        <v>109</v>
      </c>
      <c r="C238" s="667" t="s">
        <v>577</v>
      </c>
      <c r="D238" s="68" t="s">
        <v>161</v>
      </c>
      <c r="E238" s="449"/>
      <c r="F238" s="529">
        <f>VLOOKUP(D238,'Q2 DMV -  Revenue'!C:S,17,FALSE)</f>
        <v>-7267.9799999999959</v>
      </c>
      <c r="G238" s="576">
        <v>22189.35</v>
      </c>
      <c r="H238" s="576">
        <v>20067.419999999998</v>
      </c>
      <c r="I238" s="525">
        <v>17998.560000000001</v>
      </c>
      <c r="J238" s="379">
        <f t="shared" si="120"/>
        <v>52987.350000000006</v>
      </c>
      <c r="K238" s="31"/>
      <c r="L238" s="84"/>
      <c r="M238" s="42"/>
      <c r="N238" s="31">
        <v>0</v>
      </c>
      <c r="O238" s="429"/>
      <c r="P238" s="31">
        <v>0</v>
      </c>
      <c r="Q238" s="426">
        <f t="shared" si="124"/>
        <v>0</v>
      </c>
      <c r="R238" s="178">
        <v>0</v>
      </c>
      <c r="S238" s="295"/>
      <c r="T238" s="385">
        <f t="shared" si="121"/>
        <v>0</v>
      </c>
      <c r="U238" s="31"/>
      <c r="V238" s="474">
        <f t="shared" si="103"/>
        <v>0</v>
      </c>
      <c r="W238" s="474">
        <f t="shared" si="104"/>
        <v>0</v>
      </c>
      <c r="X238" s="475">
        <f t="shared" si="105"/>
        <v>0</v>
      </c>
      <c r="Y238" s="475">
        <v>0</v>
      </c>
      <c r="Z238" s="476">
        <v>0</v>
      </c>
      <c r="AA238" s="38">
        <f t="shared" si="106"/>
        <v>0</v>
      </c>
      <c r="AB238" s="564">
        <f t="shared" si="107"/>
        <v>0</v>
      </c>
      <c r="AC238" s="564">
        <f t="shared" si="108"/>
        <v>52987.350000000006</v>
      </c>
      <c r="AD238" s="564">
        <f t="shared" si="109"/>
        <v>0</v>
      </c>
      <c r="AF238" s="564">
        <f t="shared" si="110"/>
        <v>0</v>
      </c>
      <c r="AG238" s="564">
        <f t="shared" si="111"/>
        <v>0</v>
      </c>
      <c r="AH238" s="564">
        <f t="shared" si="112"/>
        <v>0</v>
      </c>
    </row>
    <row r="239" spans="1:34">
      <c r="A239" s="21"/>
      <c r="B239" s="21" t="s">
        <v>109</v>
      </c>
      <c r="C239" s="667" t="s">
        <v>577</v>
      </c>
      <c r="D239" s="68" t="s">
        <v>162</v>
      </c>
      <c r="E239" s="449"/>
      <c r="F239" s="529">
        <f>VLOOKUP(D239,'Q2 DMV -  Revenue'!C:S,17,FALSE)</f>
        <v>-320.5949999999998</v>
      </c>
      <c r="G239" s="576">
        <v>1646.91</v>
      </c>
      <c r="H239" s="576">
        <v>1566</v>
      </c>
      <c r="I239" s="525">
        <v>1252.8</v>
      </c>
      <c r="J239" s="379">
        <f t="shared" si="120"/>
        <v>4145.1150000000007</v>
      </c>
      <c r="K239" s="31"/>
      <c r="L239" s="84"/>
      <c r="M239" s="42"/>
      <c r="N239" s="31">
        <v>0</v>
      </c>
      <c r="O239" s="429"/>
      <c r="P239" s="31">
        <v>0</v>
      </c>
      <c r="Q239" s="426">
        <f t="shared" si="124"/>
        <v>0</v>
      </c>
      <c r="R239" s="178">
        <v>0</v>
      </c>
      <c r="S239" s="295"/>
      <c r="T239" s="385">
        <f t="shared" si="121"/>
        <v>0</v>
      </c>
      <c r="U239" s="31"/>
      <c r="V239" s="474">
        <f t="shared" si="103"/>
        <v>0</v>
      </c>
      <c r="W239" s="474">
        <f t="shared" si="104"/>
        <v>0</v>
      </c>
      <c r="X239" s="475">
        <f t="shared" si="105"/>
        <v>0</v>
      </c>
      <c r="Y239" s="475">
        <v>0</v>
      </c>
      <c r="Z239" s="476">
        <v>0</v>
      </c>
      <c r="AA239" s="38">
        <f t="shared" si="106"/>
        <v>0</v>
      </c>
      <c r="AB239" s="564">
        <f t="shared" si="107"/>
        <v>0</v>
      </c>
      <c r="AC239" s="564">
        <f t="shared" si="108"/>
        <v>4145.1150000000007</v>
      </c>
      <c r="AD239" s="564">
        <f t="shared" si="109"/>
        <v>0</v>
      </c>
      <c r="AF239" s="564">
        <f t="shared" si="110"/>
        <v>0</v>
      </c>
      <c r="AG239" s="564">
        <f t="shared" si="111"/>
        <v>0</v>
      </c>
      <c r="AH239" s="564">
        <f t="shared" si="112"/>
        <v>0</v>
      </c>
    </row>
    <row r="240" spans="1:34">
      <c r="A240" s="21"/>
      <c r="B240" s="21" t="s">
        <v>109</v>
      </c>
      <c r="C240" s="666"/>
      <c r="D240" s="68" t="s">
        <v>163</v>
      </c>
      <c r="E240" s="449"/>
      <c r="F240" s="529">
        <f>VLOOKUP(D240,'Q2 DMV -  Revenue'!C:S,17,FALSE)</f>
        <v>0</v>
      </c>
      <c r="G240" s="576">
        <v>5887.2</v>
      </c>
      <c r="H240" s="576">
        <v>5811.25</v>
      </c>
      <c r="I240" s="525">
        <v>4936.28</v>
      </c>
      <c r="J240" s="379">
        <f t="shared" si="120"/>
        <v>16634.73</v>
      </c>
      <c r="K240" s="31"/>
      <c r="L240" s="84"/>
      <c r="M240" s="42"/>
      <c r="N240" s="31">
        <v>0</v>
      </c>
      <c r="O240" s="429">
        <v>16896.61</v>
      </c>
      <c r="P240" s="31">
        <v>0</v>
      </c>
      <c r="Q240" s="426">
        <f t="shared" si="124"/>
        <v>0</v>
      </c>
      <c r="R240" s="178">
        <v>0</v>
      </c>
      <c r="S240" s="296"/>
      <c r="T240" s="385">
        <f t="shared" si="121"/>
        <v>0</v>
      </c>
      <c r="U240" s="3"/>
      <c r="V240" s="474">
        <f t="shared" si="103"/>
        <v>0</v>
      </c>
      <c r="W240" s="474">
        <f t="shared" si="104"/>
        <v>0</v>
      </c>
      <c r="X240" s="475">
        <f t="shared" si="105"/>
        <v>0</v>
      </c>
      <c r="Y240" s="475">
        <v>0</v>
      </c>
      <c r="Z240" s="476">
        <v>0</v>
      </c>
      <c r="AA240" s="38">
        <f t="shared" si="106"/>
        <v>0</v>
      </c>
      <c r="AB240" s="564">
        <f t="shared" si="107"/>
        <v>0</v>
      </c>
      <c r="AC240" s="564">
        <f t="shared" si="108"/>
        <v>16634.73</v>
      </c>
      <c r="AD240" s="564">
        <f t="shared" si="109"/>
        <v>0</v>
      </c>
      <c r="AF240" s="564">
        <f t="shared" si="110"/>
        <v>0</v>
      </c>
      <c r="AG240" s="564">
        <f t="shared" si="111"/>
        <v>0</v>
      </c>
      <c r="AH240" s="564">
        <f t="shared" si="112"/>
        <v>0</v>
      </c>
    </row>
    <row r="241" spans="1:34">
      <c r="A241" s="21"/>
      <c r="B241" s="21" t="s">
        <v>109</v>
      </c>
      <c r="C241" s="666"/>
      <c r="D241" s="412" t="s">
        <v>164</v>
      </c>
      <c r="E241" s="449"/>
      <c r="F241" s="529">
        <f>VLOOKUP(D241,'Q2 DMV -  Revenue'!C:S,17,FALSE)</f>
        <v>0</v>
      </c>
      <c r="G241" s="576">
        <v>100.93</v>
      </c>
      <c r="H241" s="576">
        <v>61.85</v>
      </c>
      <c r="I241" s="525">
        <v>99.1</v>
      </c>
      <c r="J241" s="379">
        <f t="shared" si="120"/>
        <v>261.88</v>
      </c>
      <c r="K241" s="31"/>
      <c r="L241" s="84"/>
      <c r="M241" s="42"/>
      <c r="N241" s="31">
        <v>0</v>
      </c>
      <c r="O241" s="429"/>
      <c r="P241" s="31">
        <v>0</v>
      </c>
      <c r="Q241" s="426">
        <f t="shared" si="124"/>
        <v>0</v>
      </c>
      <c r="R241" s="178">
        <v>0</v>
      </c>
      <c r="S241" s="296"/>
      <c r="T241" s="385">
        <f t="shared" si="121"/>
        <v>0</v>
      </c>
      <c r="U241" s="3"/>
      <c r="V241" s="474">
        <f t="shared" si="103"/>
        <v>0</v>
      </c>
      <c r="W241" s="474">
        <f t="shared" si="104"/>
        <v>0</v>
      </c>
      <c r="X241" s="475">
        <f t="shared" si="105"/>
        <v>0</v>
      </c>
      <c r="Y241" s="475">
        <v>0</v>
      </c>
      <c r="Z241" s="476">
        <v>0</v>
      </c>
      <c r="AA241" s="38">
        <f t="shared" si="106"/>
        <v>0</v>
      </c>
      <c r="AB241" s="564">
        <f t="shared" si="107"/>
        <v>0</v>
      </c>
      <c r="AC241" s="564">
        <f t="shared" si="108"/>
        <v>261.88</v>
      </c>
      <c r="AD241" s="564">
        <f t="shared" si="109"/>
        <v>0</v>
      </c>
      <c r="AF241" s="564">
        <f t="shared" si="110"/>
        <v>0</v>
      </c>
      <c r="AG241" s="564">
        <f t="shared" si="111"/>
        <v>0</v>
      </c>
      <c r="AH241" s="564">
        <f t="shared" si="112"/>
        <v>0</v>
      </c>
    </row>
    <row r="242" spans="1:34">
      <c r="A242" s="21" t="s">
        <v>109</v>
      </c>
      <c r="B242" s="21" t="s">
        <v>114</v>
      </c>
      <c r="C242" s="666" t="s">
        <v>578</v>
      </c>
      <c r="D242" s="412" t="s">
        <v>318</v>
      </c>
      <c r="E242" s="449"/>
      <c r="F242" s="529">
        <f>VLOOKUP(D242,'Q2 DMV -  Revenue'!C:S,17,FALSE)</f>
        <v>-12645</v>
      </c>
      <c r="G242" s="579"/>
      <c r="H242" s="579"/>
      <c r="I242" s="524"/>
      <c r="J242" s="379">
        <f t="shared" si="120"/>
        <v>-12645</v>
      </c>
      <c r="K242" s="31"/>
      <c r="L242" s="84"/>
      <c r="M242" s="42">
        <f>15000*4</f>
        <v>60000</v>
      </c>
      <c r="N242" s="31">
        <v>0</v>
      </c>
      <c r="O242" s="429">
        <v>16833</v>
      </c>
      <c r="P242" s="31">
        <v>0</v>
      </c>
      <c r="Q242" s="426">
        <f t="shared" si="124"/>
        <v>60000</v>
      </c>
      <c r="R242" s="178">
        <f>17925+23892+23654</f>
        <v>65471</v>
      </c>
      <c r="S242" s="296"/>
      <c r="T242" s="385">
        <f t="shared" si="121"/>
        <v>5471</v>
      </c>
      <c r="U242" s="31"/>
      <c r="V242" s="474">
        <f t="shared" si="103"/>
        <v>0</v>
      </c>
      <c r="W242" s="474">
        <f t="shared" si="104"/>
        <v>0</v>
      </c>
      <c r="X242" s="475">
        <f t="shared" si="105"/>
        <v>60000</v>
      </c>
      <c r="Y242" s="475">
        <v>0</v>
      </c>
      <c r="Z242" s="476">
        <v>0</v>
      </c>
      <c r="AA242" s="38">
        <f t="shared" si="106"/>
        <v>0</v>
      </c>
      <c r="AB242" s="564">
        <f t="shared" si="107"/>
        <v>0</v>
      </c>
      <c r="AC242" s="564">
        <f t="shared" si="108"/>
        <v>0</v>
      </c>
      <c r="AD242" s="564">
        <f t="shared" si="109"/>
        <v>-12645</v>
      </c>
      <c r="AF242" s="564">
        <f t="shared" si="110"/>
        <v>0</v>
      </c>
      <c r="AG242" s="564">
        <f t="shared" si="111"/>
        <v>0</v>
      </c>
      <c r="AH242" s="564">
        <f t="shared" si="112"/>
        <v>60000</v>
      </c>
    </row>
    <row r="243" spans="1:34">
      <c r="A243" s="20" t="s">
        <v>211</v>
      </c>
      <c r="B243" s="20" t="s">
        <v>109</v>
      </c>
      <c r="C243" s="667"/>
      <c r="D243" s="68" t="s">
        <v>57</v>
      </c>
      <c r="E243" s="449">
        <v>1106.52</v>
      </c>
      <c r="F243" s="529">
        <f>VLOOKUP(D243,'Q2 DMV -  Revenue'!C:S,17,FALSE)</f>
        <v>0</v>
      </c>
      <c r="G243" s="579"/>
      <c r="H243" s="579"/>
      <c r="I243" s="524"/>
      <c r="J243" s="379">
        <f t="shared" si="120"/>
        <v>1106.52</v>
      </c>
      <c r="K243" s="31"/>
      <c r="L243" s="84"/>
      <c r="M243" s="42"/>
      <c r="N243" s="31">
        <v>0</v>
      </c>
      <c r="O243" s="429">
        <v>1106.52</v>
      </c>
      <c r="P243" s="31">
        <v>0</v>
      </c>
      <c r="Q243" s="426">
        <f t="shared" si="124"/>
        <v>0</v>
      </c>
      <c r="R243" s="178">
        <v>0</v>
      </c>
      <c r="S243" s="295"/>
      <c r="T243" s="385">
        <f t="shared" si="121"/>
        <v>0</v>
      </c>
      <c r="U243" s="31"/>
      <c r="V243" s="474">
        <f t="shared" si="103"/>
        <v>0</v>
      </c>
      <c r="W243" s="474">
        <f t="shared" si="104"/>
        <v>0</v>
      </c>
      <c r="X243" s="475">
        <f t="shared" si="105"/>
        <v>0</v>
      </c>
      <c r="Y243" s="475">
        <v>0</v>
      </c>
      <c r="Z243" s="476">
        <v>0</v>
      </c>
      <c r="AA243" s="38">
        <f t="shared" si="106"/>
        <v>0</v>
      </c>
      <c r="AB243" s="564">
        <f t="shared" si="107"/>
        <v>0</v>
      </c>
      <c r="AC243" s="564">
        <f t="shared" si="108"/>
        <v>1106.52</v>
      </c>
      <c r="AD243" s="564">
        <f t="shared" si="109"/>
        <v>0</v>
      </c>
      <c r="AF243" s="564">
        <f t="shared" si="110"/>
        <v>0</v>
      </c>
      <c r="AG243" s="564">
        <f t="shared" si="111"/>
        <v>0</v>
      </c>
      <c r="AH243" s="564">
        <f t="shared" si="112"/>
        <v>0</v>
      </c>
    </row>
    <row r="244" spans="1:34">
      <c r="A244" s="20" t="s">
        <v>109</v>
      </c>
      <c r="B244" s="20" t="s">
        <v>109</v>
      </c>
      <c r="C244" s="667" t="s">
        <v>579</v>
      </c>
      <c r="D244" s="68" t="s">
        <v>239</v>
      </c>
      <c r="E244" s="449">
        <v>9481.69</v>
      </c>
      <c r="F244" s="529">
        <f>VLOOKUP(D244,'Q2 DMV -  Revenue'!C:S,17,FALSE)</f>
        <v>1268.8500000000001</v>
      </c>
      <c r="G244" s="576">
        <f>379.57+9.86</f>
        <v>389.43</v>
      </c>
      <c r="H244" s="579"/>
      <c r="I244" s="524"/>
      <c r="J244" s="379">
        <f t="shared" si="120"/>
        <v>11139.970000000001</v>
      </c>
      <c r="K244" s="31"/>
      <c r="L244" s="84"/>
      <c r="M244" s="42">
        <f>G244*2</f>
        <v>778.86</v>
      </c>
      <c r="N244" s="31">
        <v>0</v>
      </c>
      <c r="O244" s="429">
        <v>11139.97</v>
      </c>
      <c r="P244" s="31">
        <v>0</v>
      </c>
      <c r="Q244" s="426">
        <f t="shared" si="124"/>
        <v>778.86</v>
      </c>
      <c r="R244" s="178">
        <v>0</v>
      </c>
      <c r="S244" s="295"/>
      <c r="T244" s="385">
        <f t="shared" si="121"/>
        <v>-778.86</v>
      </c>
      <c r="U244" s="31"/>
      <c r="V244" s="474">
        <f t="shared" si="103"/>
        <v>0</v>
      </c>
      <c r="W244" s="474">
        <f t="shared" si="104"/>
        <v>778.86</v>
      </c>
      <c r="X244" s="475">
        <f t="shared" si="105"/>
        <v>0</v>
      </c>
      <c r="Y244" s="475">
        <v>0</v>
      </c>
      <c r="Z244" s="476">
        <v>0</v>
      </c>
      <c r="AA244" s="38">
        <f t="shared" si="106"/>
        <v>0</v>
      </c>
      <c r="AB244" s="564">
        <f t="shared" si="107"/>
        <v>0</v>
      </c>
      <c r="AC244" s="564">
        <f t="shared" si="108"/>
        <v>11139.970000000001</v>
      </c>
      <c r="AD244" s="564">
        <f t="shared" si="109"/>
        <v>0</v>
      </c>
      <c r="AF244" s="564">
        <f t="shared" si="110"/>
        <v>0</v>
      </c>
      <c r="AG244" s="564">
        <f t="shared" si="111"/>
        <v>778.86</v>
      </c>
      <c r="AH244" s="564">
        <f t="shared" si="112"/>
        <v>0</v>
      </c>
    </row>
    <row r="245" spans="1:34">
      <c r="A245" s="20"/>
      <c r="B245" s="20" t="s">
        <v>110</v>
      </c>
      <c r="C245" s="667"/>
      <c r="D245" s="68" t="s">
        <v>497</v>
      </c>
      <c r="E245" s="449">
        <v>601.55999999999995</v>
      </c>
      <c r="F245" s="529">
        <f>VLOOKUP(D245,'Q2 DMV -  Revenue'!C:S,17,FALSE)</f>
        <v>309.27999999999997</v>
      </c>
      <c r="G245" s="579"/>
      <c r="H245" s="579"/>
      <c r="I245" s="524"/>
      <c r="J245" s="379">
        <f t="shared" si="120"/>
        <v>910.83999999999992</v>
      </c>
      <c r="K245" s="31"/>
      <c r="L245" s="84"/>
      <c r="M245" s="42"/>
      <c r="N245" s="31">
        <v>0</v>
      </c>
      <c r="O245" s="429">
        <v>910.84</v>
      </c>
      <c r="P245" s="31">
        <v>0</v>
      </c>
      <c r="Q245" s="426">
        <f t="shared" si="124"/>
        <v>0</v>
      </c>
      <c r="R245" s="178">
        <f>402.12+381.64+305.17</f>
        <v>1088.93</v>
      </c>
      <c r="S245" s="295"/>
      <c r="T245" s="385">
        <f t="shared" si="121"/>
        <v>1088.93</v>
      </c>
      <c r="U245" s="31"/>
      <c r="V245" s="474">
        <f t="shared" si="103"/>
        <v>0</v>
      </c>
      <c r="W245" s="474">
        <f t="shared" si="104"/>
        <v>0</v>
      </c>
      <c r="X245" s="475">
        <f t="shared" si="105"/>
        <v>0</v>
      </c>
      <c r="Y245" s="475">
        <v>0</v>
      </c>
      <c r="Z245" s="476">
        <v>0</v>
      </c>
      <c r="AA245" s="38">
        <f t="shared" si="106"/>
        <v>0</v>
      </c>
      <c r="AB245" s="564">
        <f t="shared" si="107"/>
        <v>910.83999999999992</v>
      </c>
      <c r="AC245" s="564">
        <f t="shared" si="108"/>
        <v>0</v>
      </c>
      <c r="AD245" s="564">
        <f t="shared" si="109"/>
        <v>0</v>
      </c>
      <c r="AF245" s="564">
        <f t="shared" si="110"/>
        <v>0</v>
      </c>
      <c r="AG245" s="564">
        <f t="shared" si="111"/>
        <v>0</v>
      </c>
      <c r="AH245" s="564">
        <f t="shared" si="112"/>
        <v>0</v>
      </c>
    </row>
    <row r="246" spans="1:34">
      <c r="A246" s="20"/>
      <c r="B246" s="20" t="s">
        <v>110</v>
      </c>
      <c r="C246" s="667"/>
      <c r="D246" s="68" t="s">
        <v>509</v>
      </c>
      <c r="E246" s="449"/>
      <c r="F246" s="529">
        <f>VLOOKUP(D246,'Q2 DMV -  Revenue'!C:S,17,FALSE)</f>
        <v>45554.64</v>
      </c>
      <c r="G246" s="576">
        <v>5959.87</v>
      </c>
      <c r="H246" s="576">
        <v>5264.02</v>
      </c>
      <c r="I246" s="525">
        <v>5085.93</v>
      </c>
      <c r="J246" s="379">
        <f t="shared" ref="J246" si="126">SUM(E246:I246)</f>
        <v>61864.46</v>
      </c>
      <c r="K246" s="31"/>
      <c r="L246" s="84"/>
      <c r="M246" s="42"/>
      <c r="N246" s="31"/>
      <c r="O246" s="429">
        <v>61864.46</v>
      </c>
      <c r="P246" s="31"/>
      <c r="Q246" s="426"/>
      <c r="R246" s="178">
        <v>0</v>
      </c>
      <c r="S246" s="295"/>
      <c r="T246" s="385"/>
      <c r="U246" s="31"/>
      <c r="V246" s="474">
        <f t="shared" si="103"/>
        <v>0</v>
      </c>
      <c r="W246" s="474">
        <f t="shared" si="104"/>
        <v>0</v>
      </c>
      <c r="X246" s="475">
        <f t="shared" si="105"/>
        <v>0</v>
      </c>
      <c r="Y246" s="475">
        <v>0</v>
      </c>
      <c r="Z246" s="476">
        <v>0</v>
      </c>
      <c r="AA246" s="38">
        <f t="shared" si="106"/>
        <v>0</v>
      </c>
      <c r="AB246" s="564">
        <f t="shared" si="107"/>
        <v>61864.46</v>
      </c>
      <c r="AC246" s="564">
        <f t="shared" si="108"/>
        <v>0</v>
      </c>
      <c r="AD246" s="564">
        <f t="shared" si="109"/>
        <v>0</v>
      </c>
      <c r="AF246" s="564">
        <f t="shared" si="110"/>
        <v>0</v>
      </c>
      <c r="AG246" s="564">
        <f t="shared" si="111"/>
        <v>0</v>
      </c>
      <c r="AH246" s="564">
        <f t="shared" si="112"/>
        <v>0</v>
      </c>
    </row>
    <row r="247" spans="1:34" s="627" customFormat="1">
      <c r="A247" s="610"/>
      <c r="B247" s="610" t="s">
        <v>110</v>
      </c>
      <c r="C247" s="667" t="s">
        <v>580</v>
      </c>
      <c r="D247" s="612" t="s">
        <v>476</v>
      </c>
      <c r="E247" s="449"/>
      <c r="F247" s="529">
        <f>VLOOKUP(D247,'Q2 DMV -  Revenue'!C:S,17,FALSE)</f>
        <v>19786.210000000021</v>
      </c>
      <c r="G247" s="576">
        <v>170148.64</v>
      </c>
      <c r="H247" s="576">
        <v>198679.17</v>
      </c>
      <c r="I247" s="524"/>
      <c r="J247" s="379">
        <f t="shared" si="120"/>
        <v>388614.02</v>
      </c>
      <c r="K247" s="31"/>
      <c r="L247" s="84"/>
      <c r="M247" s="42">
        <f>SUM(G247+H247)/2</f>
        <v>184413.90500000003</v>
      </c>
      <c r="N247" s="31">
        <v>0</v>
      </c>
      <c r="O247" s="429">
        <v>729637.2</v>
      </c>
      <c r="P247" s="31">
        <v>0</v>
      </c>
      <c r="Q247" s="426">
        <f t="shared" si="124"/>
        <v>184413.90500000003</v>
      </c>
      <c r="R247" s="178">
        <v>39384.82</v>
      </c>
      <c r="S247" s="620"/>
      <c r="T247" s="385">
        <f t="shared" si="121"/>
        <v>-145029.08500000002</v>
      </c>
      <c r="U247" s="616"/>
      <c r="V247" s="474">
        <f t="shared" si="103"/>
        <v>184413.90500000003</v>
      </c>
      <c r="W247" s="474">
        <f t="shared" si="104"/>
        <v>0</v>
      </c>
      <c r="X247" s="475">
        <f t="shared" si="105"/>
        <v>0</v>
      </c>
      <c r="Y247" s="475">
        <v>0</v>
      </c>
      <c r="Z247" s="476">
        <v>0</v>
      </c>
      <c r="AA247" s="38">
        <f t="shared" si="106"/>
        <v>0</v>
      </c>
      <c r="AB247" s="564">
        <f t="shared" si="107"/>
        <v>388614.02</v>
      </c>
      <c r="AC247" s="564">
        <f t="shared" si="108"/>
        <v>0</v>
      </c>
      <c r="AD247" s="564">
        <f t="shared" si="109"/>
        <v>0</v>
      </c>
      <c r="AE247" s="559"/>
      <c r="AF247" s="564">
        <f t="shared" si="110"/>
        <v>184413.90500000003</v>
      </c>
      <c r="AG247" s="564">
        <f t="shared" si="111"/>
        <v>0</v>
      </c>
      <c r="AH247" s="564">
        <f t="shared" si="112"/>
        <v>0</v>
      </c>
    </row>
    <row r="248" spans="1:34" s="232" customFormat="1">
      <c r="A248" s="283"/>
      <c r="B248" s="283" t="s">
        <v>114</v>
      </c>
      <c r="C248" s="667" t="s">
        <v>580</v>
      </c>
      <c r="D248" s="123" t="s">
        <v>371</v>
      </c>
      <c r="E248" s="449">
        <f>2580.12+2494.17</f>
        <v>5074.29</v>
      </c>
      <c r="F248" s="529">
        <f>VLOOKUP(D248,'Q2 DMV -  Revenue'!C:S,17,FALSE)</f>
        <v>-57760.649999999994</v>
      </c>
      <c r="G248" s="576">
        <f>1263.72+110.25</f>
        <v>1373.97</v>
      </c>
      <c r="H248" s="576">
        <f>843.62+198</f>
        <v>1041.6199999999999</v>
      </c>
      <c r="I248" s="524"/>
      <c r="J248" s="379">
        <f t="shared" si="120"/>
        <v>-50270.76999999999</v>
      </c>
      <c r="K248" s="31"/>
      <c r="L248" s="84"/>
      <c r="M248" s="42">
        <f t="shared" ref="M248:M250" si="127">SUM(G248+H248)/2</f>
        <v>1207.7950000000001</v>
      </c>
      <c r="N248" s="31">
        <v>0</v>
      </c>
      <c r="O248" s="429"/>
      <c r="P248" s="31">
        <v>0</v>
      </c>
      <c r="Q248" s="426">
        <f t="shared" si="124"/>
        <v>1207.7950000000001</v>
      </c>
      <c r="R248" s="178">
        <v>3243.91</v>
      </c>
      <c r="S248" s="295"/>
      <c r="T248" s="385">
        <f t="shared" si="121"/>
        <v>2036.1149999999998</v>
      </c>
      <c r="U248" s="31"/>
      <c r="V248" s="474">
        <f t="shared" si="103"/>
        <v>0</v>
      </c>
      <c r="W248" s="474">
        <f t="shared" si="104"/>
        <v>0</v>
      </c>
      <c r="X248" s="475">
        <f t="shared" si="105"/>
        <v>1207.7950000000001</v>
      </c>
      <c r="Y248" s="475">
        <v>0</v>
      </c>
      <c r="Z248" s="476">
        <v>0</v>
      </c>
      <c r="AA248" s="38">
        <f t="shared" si="106"/>
        <v>0</v>
      </c>
      <c r="AB248" s="564">
        <f t="shared" si="107"/>
        <v>0</v>
      </c>
      <c r="AC248" s="564">
        <f t="shared" si="108"/>
        <v>0</v>
      </c>
      <c r="AD248" s="564">
        <f t="shared" si="109"/>
        <v>-50270.76999999999</v>
      </c>
      <c r="AE248" s="559"/>
      <c r="AF248" s="564">
        <f t="shared" si="110"/>
        <v>0</v>
      </c>
      <c r="AG248" s="564">
        <f t="shared" si="111"/>
        <v>0</v>
      </c>
      <c r="AH248" s="564">
        <f t="shared" si="112"/>
        <v>1207.7950000000001</v>
      </c>
    </row>
    <row r="249" spans="1:34" s="232" customFormat="1">
      <c r="A249" s="283"/>
      <c r="B249" s="283" t="s">
        <v>110</v>
      </c>
      <c r="C249" s="667" t="s">
        <v>580</v>
      </c>
      <c r="D249" s="123" t="s">
        <v>422</v>
      </c>
      <c r="E249" s="449">
        <f>6112.7+6093.75</f>
        <v>12206.45</v>
      </c>
      <c r="F249" s="529">
        <f>VLOOKUP(D249,'Q2 DMV -  Revenue'!C:S,17,FALSE)</f>
        <v>54980.76</v>
      </c>
      <c r="G249" s="576">
        <v>34601.32</v>
      </c>
      <c r="H249" s="576">
        <v>18168.240000000002</v>
      </c>
      <c r="I249" s="524"/>
      <c r="J249" s="379">
        <f t="shared" si="120"/>
        <v>119956.77</v>
      </c>
      <c r="K249" s="31"/>
      <c r="L249" s="84"/>
      <c r="M249" s="42">
        <f t="shared" si="127"/>
        <v>26384.78</v>
      </c>
      <c r="N249" s="31">
        <v>0</v>
      </c>
      <c r="O249" s="429"/>
      <c r="P249" s="31">
        <v>0</v>
      </c>
      <c r="Q249" s="426">
        <f t="shared" si="124"/>
        <v>26384.78</v>
      </c>
      <c r="R249" s="178">
        <v>12569.6</v>
      </c>
      <c r="S249" s="295"/>
      <c r="T249" s="385">
        <f t="shared" si="121"/>
        <v>-13815.179999999998</v>
      </c>
      <c r="U249" s="31"/>
      <c r="V249" s="474">
        <f t="shared" si="103"/>
        <v>26384.78</v>
      </c>
      <c r="W249" s="474">
        <f t="shared" si="104"/>
        <v>0</v>
      </c>
      <c r="X249" s="475">
        <f t="shared" si="105"/>
        <v>0</v>
      </c>
      <c r="Y249" s="475">
        <v>0</v>
      </c>
      <c r="Z249" s="476">
        <v>0</v>
      </c>
      <c r="AA249" s="38">
        <f t="shared" si="106"/>
        <v>0</v>
      </c>
      <c r="AB249" s="564">
        <f t="shared" si="107"/>
        <v>119956.77</v>
      </c>
      <c r="AC249" s="564">
        <f t="shared" si="108"/>
        <v>0</v>
      </c>
      <c r="AD249" s="564">
        <f t="shared" si="109"/>
        <v>0</v>
      </c>
      <c r="AE249" s="559"/>
      <c r="AF249" s="564">
        <f t="shared" si="110"/>
        <v>26384.78</v>
      </c>
      <c r="AG249" s="564">
        <f t="shared" si="111"/>
        <v>0</v>
      </c>
      <c r="AH249" s="564">
        <f t="shared" si="112"/>
        <v>0</v>
      </c>
    </row>
    <row r="250" spans="1:34" s="232" customFormat="1">
      <c r="A250" s="283"/>
      <c r="B250" s="283" t="s">
        <v>110</v>
      </c>
      <c r="C250" s="667" t="s">
        <v>580</v>
      </c>
      <c r="D250" s="123" t="s">
        <v>442</v>
      </c>
      <c r="E250" s="449">
        <f>8417.11+19654.56</f>
        <v>28071.670000000002</v>
      </c>
      <c r="F250" s="529">
        <f>VLOOKUP(D250,'Q2 DMV -  Revenue'!C:S,17,FALSE)</f>
        <v>4060.2300000000032</v>
      </c>
      <c r="G250" s="576">
        <v>20483.77</v>
      </c>
      <c r="H250" s="576">
        <v>20187.68</v>
      </c>
      <c r="I250" s="524"/>
      <c r="J250" s="379">
        <f t="shared" si="120"/>
        <v>72803.350000000006</v>
      </c>
      <c r="K250" s="31"/>
      <c r="L250" s="84"/>
      <c r="M250" s="42">
        <f t="shared" si="127"/>
        <v>20335.724999999999</v>
      </c>
      <c r="N250" s="31">
        <v>0</v>
      </c>
      <c r="O250" s="429"/>
      <c r="P250" s="31">
        <v>0</v>
      </c>
      <c r="Q250" s="426">
        <f t="shared" si="124"/>
        <v>20335.724999999999</v>
      </c>
      <c r="R250" s="178">
        <v>112818.23</v>
      </c>
      <c r="S250" s="295"/>
      <c r="T250" s="385">
        <f t="shared" si="121"/>
        <v>92482.505000000005</v>
      </c>
      <c r="U250" s="31"/>
      <c r="V250" s="474">
        <f t="shared" si="103"/>
        <v>20335.724999999999</v>
      </c>
      <c r="W250" s="474">
        <f t="shared" si="104"/>
        <v>0</v>
      </c>
      <c r="X250" s="475">
        <f t="shared" si="105"/>
        <v>0</v>
      </c>
      <c r="Y250" s="475">
        <v>0</v>
      </c>
      <c r="Z250" s="476">
        <v>0</v>
      </c>
      <c r="AA250" s="38">
        <f t="shared" si="106"/>
        <v>0</v>
      </c>
      <c r="AB250" s="564">
        <f t="shared" si="107"/>
        <v>72803.350000000006</v>
      </c>
      <c r="AC250" s="564">
        <f t="shared" si="108"/>
        <v>0</v>
      </c>
      <c r="AD250" s="564">
        <f t="shared" si="109"/>
        <v>0</v>
      </c>
      <c r="AE250" s="559"/>
      <c r="AF250" s="564">
        <f t="shared" si="110"/>
        <v>20335.724999999999</v>
      </c>
      <c r="AG250" s="564">
        <f t="shared" si="111"/>
        <v>0</v>
      </c>
      <c r="AH250" s="564">
        <f t="shared" si="112"/>
        <v>0</v>
      </c>
    </row>
    <row r="251" spans="1:34">
      <c r="A251" s="20"/>
      <c r="B251" s="20" t="s">
        <v>109</v>
      </c>
      <c r="C251" s="667"/>
      <c r="D251" s="68" t="s">
        <v>304</v>
      </c>
      <c r="E251" s="449"/>
      <c r="F251" s="529">
        <f>VLOOKUP(D251,'Q2 DMV -  Revenue'!C:S,17,FALSE)</f>
        <v>0</v>
      </c>
      <c r="G251" s="579"/>
      <c r="H251" s="579"/>
      <c r="I251" s="524"/>
      <c r="J251" s="379">
        <f t="shared" si="120"/>
        <v>0</v>
      </c>
      <c r="K251" s="31"/>
      <c r="L251" s="84"/>
      <c r="M251" s="42"/>
      <c r="N251" s="31">
        <v>0</v>
      </c>
      <c r="O251" s="429"/>
      <c r="P251" s="31">
        <v>0</v>
      </c>
      <c r="Q251" s="426">
        <f t="shared" si="124"/>
        <v>0</v>
      </c>
      <c r="R251" s="178">
        <v>0</v>
      </c>
      <c r="S251" s="295"/>
      <c r="T251" s="385">
        <f t="shared" si="121"/>
        <v>0</v>
      </c>
      <c r="U251" s="31"/>
      <c r="V251" s="474">
        <f t="shared" si="103"/>
        <v>0</v>
      </c>
      <c r="W251" s="474">
        <f t="shared" si="104"/>
        <v>0</v>
      </c>
      <c r="X251" s="475">
        <f t="shared" si="105"/>
        <v>0</v>
      </c>
      <c r="Y251" s="475">
        <v>0</v>
      </c>
      <c r="Z251" s="476">
        <v>0</v>
      </c>
      <c r="AA251" s="38">
        <f t="shared" si="106"/>
        <v>0</v>
      </c>
      <c r="AB251" s="564">
        <f t="shared" si="107"/>
        <v>0</v>
      </c>
      <c r="AC251" s="564">
        <f t="shared" si="108"/>
        <v>0</v>
      </c>
      <c r="AD251" s="564">
        <f t="shared" si="109"/>
        <v>0</v>
      </c>
      <c r="AF251" s="564">
        <f t="shared" si="110"/>
        <v>0</v>
      </c>
      <c r="AG251" s="564">
        <f t="shared" si="111"/>
        <v>0</v>
      </c>
      <c r="AH251" s="564">
        <f t="shared" si="112"/>
        <v>0</v>
      </c>
    </row>
    <row r="252" spans="1:34">
      <c r="A252" s="21" t="s">
        <v>97</v>
      </c>
      <c r="B252" s="21" t="s">
        <v>109</v>
      </c>
      <c r="C252" s="666"/>
      <c r="D252" s="68" t="s">
        <v>381</v>
      </c>
      <c r="E252" s="449">
        <f>1021.2-0.63+1081.01-0.47</f>
        <v>2101.11</v>
      </c>
      <c r="F252" s="529">
        <f>VLOOKUP(D252,'Q2 DMV -  Revenue'!C:S,17,FALSE)</f>
        <v>1949.8400000000001</v>
      </c>
      <c r="G252" s="579"/>
      <c r="H252" s="579"/>
      <c r="I252" s="524"/>
      <c r="J252" s="379">
        <f t="shared" si="120"/>
        <v>4050.9500000000003</v>
      </c>
      <c r="K252" s="31"/>
      <c r="L252" s="84"/>
      <c r="M252" s="42"/>
      <c r="N252" s="31">
        <v>0</v>
      </c>
      <c r="O252" s="429">
        <f>3146.71+907.69</f>
        <v>4054.4</v>
      </c>
      <c r="P252" s="31">
        <v>0</v>
      </c>
      <c r="Q252" s="426">
        <f t="shared" si="124"/>
        <v>0</v>
      </c>
      <c r="R252" s="178">
        <f>732.25+666.66</f>
        <v>1398.9099999999999</v>
      </c>
      <c r="S252" s="295"/>
      <c r="T252" s="385">
        <f t="shared" si="121"/>
        <v>1398.9099999999999</v>
      </c>
      <c r="U252" s="31"/>
      <c r="V252" s="474">
        <f t="shared" si="103"/>
        <v>0</v>
      </c>
      <c r="W252" s="474">
        <f t="shared" si="104"/>
        <v>0</v>
      </c>
      <c r="X252" s="475">
        <f t="shared" si="105"/>
        <v>0</v>
      </c>
      <c r="Y252" s="475">
        <v>0</v>
      </c>
      <c r="Z252" s="476">
        <v>0</v>
      </c>
      <c r="AA252" s="38">
        <f t="shared" si="106"/>
        <v>0</v>
      </c>
      <c r="AB252" s="564">
        <f t="shared" si="107"/>
        <v>0</v>
      </c>
      <c r="AC252" s="564">
        <f t="shared" si="108"/>
        <v>4050.9500000000003</v>
      </c>
      <c r="AD252" s="564">
        <f t="shared" si="109"/>
        <v>0</v>
      </c>
      <c r="AF252" s="564">
        <f t="shared" si="110"/>
        <v>0</v>
      </c>
      <c r="AG252" s="564">
        <f t="shared" si="111"/>
        <v>0</v>
      </c>
      <c r="AH252" s="564">
        <f t="shared" si="112"/>
        <v>0</v>
      </c>
    </row>
    <row r="253" spans="1:34">
      <c r="A253" s="21" t="s">
        <v>97</v>
      </c>
      <c r="B253" s="21" t="s">
        <v>114</v>
      </c>
      <c r="C253" s="666"/>
      <c r="D253" s="68" t="s">
        <v>376</v>
      </c>
      <c r="E253" s="449">
        <f>0.47+0.63</f>
        <v>1.1000000000000001</v>
      </c>
      <c r="F253" s="529">
        <f>VLOOKUP(D253,'Q2 DMV -  Revenue'!C:S,17,FALSE)</f>
        <v>2.35</v>
      </c>
      <c r="G253" s="579"/>
      <c r="H253" s="579"/>
      <c r="I253" s="524"/>
      <c r="J253" s="379">
        <f t="shared" si="120"/>
        <v>3.45</v>
      </c>
      <c r="K253" s="31"/>
      <c r="L253" s="84"/>
      <c r="M253" s="42"/>
      <c r="N253" s="31">
        <v>0</v>
      </c>
      <c r="O253" s="429"/>
      <c r="P253" s="31">
        <v>0</v>
      </c>
      <c r="Q253" s="426">
        <f t="shared" si="124"/>
        <v>0</v>
      </c>
      <c r="R253" s="178">
        <v>0</v>
      </c>
      <c r="S253" s="295"/>
      <c r="T253" s="385">
        <f t="shared" si="121"/>
        <v>0</v>
      </c>
      <c r="U253" s="31"/>
      <c r="V253" s="474">
        <f t="shared" si="103"/>
        <v>0</v>
      </c>
      <c r="W253" s="474">
        <f t="shared" si="104"/>
        <v>0</v>
      </c>
      <c r="X253" s="475">
        <f t="shared" si="105"/>
        <v>0</v>
      </c>
      <c r="Y253" s="475">
        <v>0</v>
      </c>
      <c r="Z253" s="476">
        <v>0</v>
      </c>
      <c r="AA253" s="38">
        <f t="shared" si="106"/>
        <v>0</v>
      </c>
      <c r="AB253" s="564">
        <f t="shared" si="107"/>
        <v>0</v>
      </c>
      <c r="AC253" s="564">
        <f t="shared" si="108"/>
        <v>0</v>
      </c>
      <c r="AD253" s="564">
        <f t="shared" si="109"/>
        <v>3.45</v>
      </c>
      <c r="AF253" s="564">
        <f t="shared" si="110"/>
        <v>0</v>
      </c>
      <c r="AG253" s="564">
        <f t="shared" si="111"/>
        <v>0</v>
      </c>
      <c r="AH253" s="564">
        <f t="shared" si="112"/>
        <v>0</v>
      </c>
    </row>
    <row r="254" spans="1:34">
      <c r="A254" s="20"/>
      <c r="B254" s="20" t="s">
        <v>109</v>
      </c>
      <c r="C254" s="667"/>
      <c r="D254" s="68" t="s">
        <v>390</v>
      </c>
      <c r="E254" s="449"/>
      <c r="F254" s="529">
        <f>VLOOKUP(D254,'Q2 DMV -  Revenue'!C:S,17,FALSE)</f>
        <v>0</v>
      </c>
      <c r="G254" s="579"/>
      <c r="H254" s="579"/>
      <c r="I254" s="524"/>
      <c r="J254" s="379">
        <f t="shared" si="120"/>
        <v>0</v>
      </c>
      <c r="K254" s="31"/>
      <c r="L254" s="84"/>
      <c r="M254" s="42"/>
      <c r="N254" s="31">
        <v>0</v>
      </c>
      <c r="O254" s="429"/>
      <c r="P254" s="31">
        <v>0</v>
      </c>
      <c r="Q254" s="426">
        <f t="shared" si="124"/>
        <v>0</v>
      </c>
      <c r="R254" s="178">
        <v>408.12</v>
      </c>
      <c r="S254" s="295"/>
      <c r="T254" s="385">
        <f t="shared" si="121"/>
        <v>408.12</v>
      </c>
      <c r="U254" s="31"/>
      <c r="V254" s="474">
        <f t="shared" si="103"/>
        <v>0</v>
      </c>
      <c r="W254" s="474">
        <f t="shared" si="104"/>
        <v>0</v>
      </c>
      <c r="X254" s="475">
        <f t="shared" si="105"/>
        <v>0</v>
      </c>
      <c r="Y254" s="475">
        <v>0</v>
      </c>
      <c r="Z254" s="476">
        <v>0</v>
      </c>
      <c r="AA254" s="38">
        <f t="shared" si="106"/>
        <v>0</v>
      </c>
      <c r="AB254" s="564">
        <f t="shared" si="107"/>
        <v>0</v>
      </c>
      <c r="AC254" s="564">
        <f t="shared" si="108"/>
        <v>0</v>
      </c>
      <c r="AD254" s="564">
        <f t="shared" si="109"/>
        <v>0</v>
      </c>
      <c r="AF254" s="564">
        <f t="shared" si="110"/>
        <v>0</v>
      </c>
      <c r="AG254" s="564">
        <f t="shared" si="111"/>
        <v>0</v>
      </c>
      <c r="AH254" s="564">
        <f t="shared" si="112"/>
        <v>0</v>
      </c>
    </row>
    <row r="255" spans="1:34">
      <c r="A255" s="20"/>
      <c r="B255" s="20" t="s">
        <v>110</v>
      </c>
      <c r="C255" s="667" t="s">
        <v>581</v>
      </c>
      <c r="D255" s="123" t="s">
        <v>166</v>
      </c>
      <c r="E255" s="449">
        <v>988.51</v>
      </c>
      <c r="F255" s="529">
        <f>VLOOKUP(D255,'Q2 DMV -  Revenue'!C:S,17,FALSE)</f>
        <v>-459.24999999999955</v>
      </c>
      <c r="G255" s="579"/>
      <c r="H255" s="579"/>
      <c r="I255" s="524"/>
      <c r="J255" s="379">
        <f t="shared" si="120"/>
        <v>529.26000000000045</v>
      </c>
      <c r="K255" s="31"/>
      <c r="L255" s="84">
        <f>461.58*1.43103+436.7*1.43472</f>
        <v>1287.0770514000001</v>
      </c>
      <c r="M255" s="42">
        <f>L255/2</f>
        <v>643.53852570000004</v>
      </c>
      <c r="N255" s="31">
        <v>0</v>
      </c>
      <c r="O255" s="429">
        <v>16706.66</v>
      </c>
      <c r="P255" s="31">
        <v>0</v>
      </c>
      <c r="Q255" s="426">
        <f t="shared" si="124"/>
        <v>1930.6155771000001</v>
      </c>
      <c r="R255" s="178">
        <v>0</v>
      </c>
      <c r="S255" s="295"/>
      <c r="T255" s="385">
        <f t="shared" si="121"/>
        <v>-1930.6155771000001</v>
      </c>
      <c r="U255" s="31"/>
      <c r="V255" s="474">
        <f t="shared" si="103"/>
        <v>1930.6155771000001</v>
      </c>
      <c r="W255" s="474">
        <f t="shared" si="104"/>
        <v>0</v>
      </c>
      <c r="X255" s="475">
        <f t="shared" si="105"/>
        <v>0</v>
      </c>
      <c r="Y255" s="475">
        <v>0</v>
      </c>
      <c r="Z255" s="476">
        <v>0</v>
      </c>
      <c r="AA255" s="38">
        <f t="shared" si="106"/>
        <v>0</v>
      </c>
      <c r="AB255" s="564">
        <f t="shared" si="107"/>
        <v>529.26000000000045</v>
      </c>
      <c r="AC255" s="564">
        <f t="shared" si="108"/>
        <v>0</v>
      </c>
      <c r="AD255" s="564">
        <f t="shared" si="109"/>
        <v>0</v>
      </c>
      <c r="AF255" s="564">
        <f t="shared" si="110"/>
        <v>1930.6155771000001</v>
      </c>
      <c r="AG255" s="564">
        <f t="shared" si="111"/>
        <v>0</v>
      </c>
      <c r="AH255" s="564">
        <f t="shared" si="112"/>
        <v>0</v>
      </c>
    </row>
    <row r="256" spans="1:34">
      <c r="A256" s="20"/>
      <c r="B256" s="20" t="s">
        <v>109</v>
      </c>
      <c r="C256" s="667" t="s">
        <v>581</v>
      </c>
      <c r="D256" s="123" t="s">
        <v>165</v>
      </c>
      <c r="E256" s="449">
        <v>5068.47</v>
      </c>
      <c r="F256" s="529">
        <f>VLOOKUP(D256,'Q2 DMV -  Revenue'!C:S,17,FALSE)</f>
        <v>-7265.3900000000031</v>
      </c>
      <c r="G256" s="579"/>
      <c r="H256" s="579"/>
      <c r="I256" s="524"/>
      <c r="J256" s="379">
        <f t="shared" si="120"/>
        <v>-2196.9200000000028</v>
      </c>
      <c r="K256" s="31"/>
      <c r="L256" s="84">
        <f>806.81*1.43103+792.06*1.43473</f>
        <v>2290.9615580999998</v>
      </c>
      <c r="M256" s="42">
        <f>L256/2</f>
        <v>1145.4807790499999</v>
      </c>
      <c r="N256" s="31">
        <v>0</v>
      </c>
      <c r="O256" s="429">
        <f>1382.67+2424.57</f>
        <v>3807.2400000000002</v>
      </c>
      <c r="P256" s="31">
        <v>0</v>
      </c>
      <c r="Q256" s="426">
        <f t="shared" si="124"/>
        <v>3436.4423371499997</v>
      </c>
      <c r="R256" s="178">
        <v>0</v>
      </c>
      <c r="S256" s="295"/>
      <c r="T256" s="385">
        <f t="shared" si="121"/>
        <v>-3436.4423371499997</v>
      </c>
      <c r="U256" s="31"/>
      <c r="V256" s="474">
        <f t="shared" si="103"/>
        <v>0</v>
      </c>
      <c r="W256" s="474">
        <f t="shared" si="104"/>
        <v>3436.4423371499997</v>
      </c>
      <c r="X256" s="475">
        <f t="shared" si="105"/>
        <v>0</v>
      </c>
      <c r="Y256" s="475">
        <v>0</v>
      </c>
      <c r="Z256" s="476">
        <v>0</v>
      </c>
      <c r="AA256" s="38">
        <f t="shared" si="106"/>
        <v>0</v>
      </c>
      <c r="AB256" s="564">
        <f t="shared" si="107"/>
        <v>0</v>
      </c>
      <c r="AC256" s="564">
        <f t="shared" si="108"/>
        <v>-2196.9200000000028</v>
      </c>
      <c r="AD256" s="564">
        <f t="shared" si="109"/>
        <v>0</v>
      </c>
      <c r="AF256" s="564">
        <f t="shared" si="110"/>
        <v>0</v>
      </c>
      <c r="AG256" s="564">
        <f t="shared" si="111"/>
        <v>3436.4423371499997</v>
      </c>
      <c r="AH256" s="564">
        <f t="shared" si="112"/>
        <v>0</v>
      </c>
    </row>
    <row r="257" spans="1:34">
      <c r="A257" s="20"/>
      <c r="B257" s="20" t="s">
        <v>109</v>
      </c>
      <c r="C257" s="676" t="s">
        <v>585</v>
      </c>
      <c r="D257" s="123" t="s">
        <v>310</v>
      </c>
      <c r="E257" s="449"/>
      <c r="F257" s="529">
        <f>VLOOKUP(D257,'Q2 DMV -  Revenue'!C:S,17,FALSE)</f>
        <v>0</v>
      </c>
      <c r="G257" s="579"/>
      <c r="H257" s="579"/>
      <c r="I257" s="524"/>
      <c r="J257" s="379">
        <f t="shared" si="120"/>
        <v>0</v>
      </c>
      <c r="K257" s="31"/>
      <c r="L257" s="84"/>
      <c r="M257" s="42"/>
      <c r="N257" s="31">
        <v>0</v>
      </c>
      <c r="O257" s="429"/>
      <c r="P257" s="31">
        <v>0</v>
      </c>
      <c r="Q257" s="426">
        <f t="shared" si="124"/>
        <v>0</v>
      </c>
      <c r="R257" s="178">
        <v>0</v>
      </c>
      <c r="S257" s="295"/>
      <c r="T257" s="385">
        <f t="shared" si="121"/>
        <v>0</v>
      </c>
      <c r="U257" s="31"/>
      <c r="V257" s="474">
        <f t="shared" si="103"/>
        <v>0</v>
      </c>
      <c r="W257" s="474">
        <f t="shared" si="104"/>
        <v>0</v>
      </c>
      <c r="X257" s="475">
        <f t="shared" si="105"/>
        <v>0</v>
      </c>
      <c r="Y257" s="475">
        <v>0</v>
      </c>
      <c r="Z257" s="476">
        <v>0</v>
      </c>
      <c r="AA257" s="38">
        <f t="shared" si="106"/>
        <v>0</v>
      </c>
      <c r="AB257" s="564">
        <f t="shared" si="107"/>
        <v>0</v>
      </c>
      <c r="AC257" s="564">
        <f t="shared" si="108"/>
        <v>0</v>
      </c>
      <c r="AD257" s="564">
        <f t="shared" si="109"/>
        <v>0</v>
      </c>
      <c r="AF257" s="564">
        <f t="shared" si="110"/>
        <v>0</v>
      </c>
      <c r="AG257" s="564">
        <f t="shared" si="111"/>
        <v>0</v>
      </c>
      <c r="AH257" s="564">
        <f t="shared" si="112"/>
        <v>0</v>
      </c>
    </row>
    <row r="258" spans="1:34">
      <c r="A258" s="20"/>
      <c r="B258" s="20" t="s">
        <v>109</v>
      </c>
      <c r="C258" s="676" t="s">
        <v>585</v>
      </c>
      <c r="D258" s="123" t="s">
        <v>441</v>
      </c>
      <c r="E258" s="449"/>
      <c r="F258" s="529">
        <f>VLOOKUP(D258,'Q2 DMV -  Revenue'!C:S,17,FALSE)</f>
        <v>0</v>
      </c>
      <c r="G258" s="579"/>
      <c r="H258" s="579"/>
      <c r="I258" s="524"/>
      <c r="J258" s="379">
        <f t="shared" si="120"/>
        <v>0</v>
      </c>
      <c r="K258" s="31"/>
      <c r="L258" s="84"/>
      <c r="M258" s="42"/>
      <c r="N258" s="31">
        <v>0</v>
      </c>
      <c r="O258" s="429"/>
      <c r="P258" s="31">
        <v>0</v>
      </c>
      <c r="Q258" s="426">
        <f t="shared" si="124"/>
        <v>0</v>
      </c>
      <c r="R258" s="178">
        <v>0</v>
      </c>
      <c r="S258" s="295"/>
      <c r="T258" s="385">
        <f t="shared" si="121"/>
        <v>0</v>
      </c>
      <c r="U258" s="31"/>
      <c r="V258" s="474">
        <f t="shared" si="103"/>
        <v>0</v>
      </c>
      <c r="W258" s="474">
        <f t="shared" si="104"/>
        <v>0</v>
      </c>
      <c r="X258" s="475">
        <f t="shared" si="105"/>
        <v>0</v>
      </c>
      <c r="Y258" s="475">
        <v>0</v>
      </c>
      <c r="Z258" s="476">
        <v>0</v>
      </c>
      <c r="AA258" s="38">
        <f t="shared" si="106"/>
        <v>0</v>
      </c>
      <c r="AB258" s="564">
        <f t="shared" si="107"/>
        <v>0</v>
      </c>
      <c r="AC258" s="564">
        <f t="shared" si="108"/>
        <v>0</v>
      </c>
      <c r="AD258" s="564">
        <f t="shared" si="109"/>
        <v>0</v>
      </c>
      <c r="AF258" s="564">
        <f t="shared" si="110"/>
        <v>0</v>
      </c>
      <c r="AG258" s="564">
        <f t="shared" si="111"/>
        <v>0</v>
      </c>
      <c r="AH258" s="564">
        <f t="shared" si="112"/>
        <v>0</v>
      </c>
    </row>
    <row r="259" spans="1:34">
      <c r="A259" s="20"/>
      <c r="B259" s="20" t="s">
        <v>109</v>
      </c>
      <c r="C259" s="676" t="s">
        <v>586</v>
      </c>
      <c r="D259" s="68" t="s">
        <v>121</v>
      </c>
      <c r="E259" s="449"/>
      <c r="F259" s="529">
        <f>VLOOKUP(D259,'Q2 DMV -  Revenue'!C:S,17,FALSE)</f>
        <v>0</v>
      </c>
      <c r="G259" s="579"/>
      <c r="H259" s="579"/>
      <c r="I259" s="524"/>
      <c r="J259" s="379">
        <f t="shared" si="120"/>
        <v>0</v>
      </c>
      <c r="K259" s="31"/>
      <c r="L259" s="84"/>
      <c r="M259" s="42"/>
      <c r="N259" s="31">
        <v>0</v>
      </c>
      <c r="O259" s="429"/>
      <c r="P259" s="31">
        <v>0</v>
      </c>
      <c r="Q259" s="426">
        <f t="shared" si="124"/>
        <v>0</v>
      </c>
      <c r="R259" s="178">
        <v>0</v>
      </c>
      <c r="S259" s="295"/>
      <c r="T259" s="385">
        <f t="shared" si="121"/>
        <v>0</v>
      </c>
      <c r="U259" s="31"/>
      <c r="V259" s="474">
        <f t="shared" si="103"/>
        <v>0</v>
      </c>
      <c r="W259" s="474">
        <f t="shared" si="104"/>
        <v>0</v>
      </c>
      <c r="X259" s="475">
        <f t="shared" si="105"/>
        <v>0</v>
      </c>
      <c r="Y259" s="475">
        <v>0</v>
      </c>
      <c r="Z259" s="476">
        <v>0</v>
      </c>
      <c r="AA259" s="38">
        <f t="shared" si="106"/>
        <v>0</v>
      </c>
      <c r="AB259" s="564">
        <f t="shared" si="107"/>
        <v>0</v>
      </c>
      <c r="AC259" s="564">
        <f t="shared" si="108"/>
        <v>0</v>
      </c>
      <c r="AD259" s="564">
        <f t="shared" si="109"/>
        <v>0</v>
      </c>
      <c r="AF259" s="564">
        <f t="shared" si="110"/>
        <v>0</v>
      </c>
      <c r="AG259" s="564">
        <f t="shared" si="111"/>
        <v>0</v>
      </c>
      <c r="AH259" s="564">
        <f t="shared" si="112"/>
        <v>0</v>
      </c>
    </row>
    <row r="260" spans="1:34">
      <c r="A260" s="20"/>
      <c r="B260" s="20" t="s">
        <v>110</v>
      </c>
      <c r="C260" s="667" t="s">
        <v>582</v>
      </c>
      <c r="D260" s="68" t="s">
        <v>168</v>
      </c>
      <c r="E260" s="449"/>
      <c r="F260" s="529">
        <f>VLOOKUP(D260,'Q2 DMV -  Revenue'!C:S,17,FALSE)</f>
        <v>0</v>
      </c>
      <c r="G260" s="579"/>
      <c r="H260" s="579"/>
      <c r="I260" s="524"/>
      <c r="J260" s="379">
        <f t="shared" si="120"/>
        <v>0</v>
      </c>
      <c r="K260" s="31"/>
      <c r="L260" s="84"/>
      <c r="M260" s="42"/>
      <c r="N260" s="31">
        <v>0</v>
      </c>
      <c r="O260" s="429">
        <v>167.78</v>
      </c>
      <c r="P260" s="31">
        <v>0</v>
      </c>
      <c r="Q260" s="426">
        <f t="shared" si="124"/>
        <v>0</v>
      </c>
      <c r="R260" s="178">
        <v>0</v>
      </c>
      <c r="S260" s="295"/>
      <c r="T260" s="385">
        <f t="shared" si="121"/>
        <v>0</v>
      </c>
      <c r="U260" s="31"/>
      <c r="V260" s="474">
        <f t="shared" si="103"/>
        <v>0</v>
      </c>
      <c r="W260" s="474">
        <f t="shared" si="104"/>
        <v>0</v>
      </c>
      <c r="X260" s="475">
        <f t="shared" si="105"/>
        <v>0</v>
      </c>
      <c r="Y260" s="475">
        <v>0</v>
      </c>
      <c r="Z260" s="476">
        <v>0</v>
      </c>
      <c r="AA260" s="38">
        <f t="shared" si="106"/>
        <v>0</v>
      </c>
      <c r="AB260" s="564">
        <f t="shared" si="107"/>
        <v>0</v>
      </c>
      <c r="AC260" s="564">
        <f t="shared" si="108"/>
        <v>0</v>
      </c>
      <c r="AD260" s="564">
        <f t="shared" si="109"/>
        <v>0</v>
      </c>
      <c r="AF260" s="564">
        <f t="shared" si="110"/>
        <v>0</v>
      </c>
      <c r="AG260" s="564">
        <f t="shared" si="111"/>
        <v>0</v>
      </c>
      <c r="AH260" s="564">
        <f t="shared" si="112"/>
        <v>0</v>
      </c>
    </row>
    <row r="261" spans="1:34">
      <c r="A261" s="20"/>
      <c r="B261" s="20" t="s">
        <v>109</v>
      </c>
      <c r="C261" s="667" t="s">
        <v>582</v>
      </c>
      <c r="D261" s="68" t="s">
        <v>167</v>
      </c>
      <c r="E261" s="449"/>
      <c r="F261" s="529">
        <f>VLOOKUP(D261,'Q2 DMV -  Revenue'!C:S,17,FALSE)</f>
        <v>92.87</v>
      </c>
      <c r="G261" s="576">
        <v>36.36</v>
      </c>
      <c r="H261" s="576">
        <v>38.549999999999997</v>
      </c>
      <c r="I261" s="524"/>
      <c r="J261" s="379">
        <f t="shared" si="120"/>
        <v>167.78000000000003</v>
      </c>
      <c r="K261" s="31"/>
      <c r="L261" s="84"/>
      <c r="M261" s="42">
        <f>SUM(G261+H261)/2</f>
        <v>37.454999999999998</v>
      </c>
      <c r="N261" s="31">
        <v>0</v>
      </c>
      <c r="O261" s="429"/>
      <c r="P261" s="31">
        <v>0</v>
      </c>
      <c r="Q261" s="426">
        <f t="shared" si="124"/>
        <v>37.454999999999998</v>
      </c>
      <c r="R261" s="178">
        <v>0</v>
      </c>
      <c r="S261" s="295"/>
      <c r="T261" s="385">
        <f t="shared" si="121"/>
        <v>-37.454999999999998</v>
      </c>
      <c r="U261" s="31"/>
      <c r="V261" s="474">
        <f t="shared" si="103"/>
        <v>0</v>
      </c>
      <c r="W261" s="474">
        <f t="shared" si="104"/>
        <v>37.454999999999998</v>
      </c>
      <c r="X261" s="475">
        <f t="shared" si="105"/>
        <v>0</v>
      </c>
      <c r="Y261" s="475">
        <v>0</v>
      </c>
      <c r="Z261" s="476">
        <v>0</v>
      </c>
      <c r="AA261" s="38">
        <f t="shared" si="106"/>
        <v>0</v>
      </c>
      <c r="AB261" s="564">
        <f t="shared" si="107"/>
        <v>0</v>
      </c>
      <c r="AC261" s="564">
        <f t="shared" si="108"/>
        <v>167.78000000000003</v>
      </c>
      <c r="AD261" s="564">
        <f t="shared" si="109"/>
        <v>0</v>
      </c>
      <c r="AF261" s="564">
        <f t="shared" si="110"/>
        <v>0</v>
      </c>
      <c r="AG261" s="564">
        <f t="shared" si="111"/>
        <v>37.454999999999998</v>
      </c>
      <c r="AH261" s="564">
        <f t="shared" si="112"/>
        <v>0</v>
      </c>
    </row>
    <row r="262" spans="1:34">
      <c r="A262" s="20" t="s">
        <v>218</v>
      </c>
      <c r="B262" s="20" t="s">
        <v>110</v>
      </c>
      <c r="C262" s="667"/>
      <c r="D262" s="68" t="s">
        <v>240</v>
      </c>
      <c r="E262" s="449"/>
      <c r="F262" s="529">
        <f>VLOOKUP(D262,'Q2 DMV -  Revenue'!C:S,17,FALSE)</f>
        <v>0</v>
      </c>
      <c r="G262" s="579"/>
      <c r="H262" s="579"/>
      <c r="I262" s="524"/>
      <c r="J262" s="379">
        <f t="shared" si="120"/>
        <v>0</v>
      </c>
      <c r="K262" s="31"/>
      <c r="L262" s="84"/>
      <c r="M262" s="42"/>
      <c r="N262" s="31">
        <v>0</v>
      </c>
      <c r="O262" s="429"/>
      <c r="P262" s="31">
        <v>0</v>
      </c>
      <c r="Q262" s="426">
        <f t="shared" si="124"/>
        <v>0</v>
      </c>
      <c r="R262" s="178">
        <v>0</v>
      </c>
      <c r="S262" s="295"/>
      <c r="T262" s="385">
        <f t="shared" si="121"/>
        <v>0</v>
      </c>
      <c r="U262" s="2"/>
      <c r="V262" s="474">
        <f t="shared" si="103"/>
        <v>0</v>
      </c>
      <c r="W262" s="474">
        <f t="shared" si="104"/>
        <v>0</v>
      </c>
      <c r="X262" s="475">
        <f t="shared" si="105"/>
        <v>0</v>
      </c>
      <c r="Y262" s="475">
        <v>0</v>
      </c>
      <c r="Z262" s="476">
        <v>0</v>
      </c>
      <c r="AA262" s="38">
        <f t="shared" si="106"/>
        <v>0</v>
      </c>
      <c r="AB262" s="564">
        <f t="shared" si="107"/>
        <v>0</v>
      </c>
      <c r="AC262" s="564">
        <f t="shared" si="108"/>
        <v>0</v>
      </c>
      <c r="AD262" s="564">
        <f t="shared" si="109"/>
        <v>0</v>
      </c>
      <c r="AF262" s="564">
        <f t="shared" si="110"/>
        <v>0</v>
      </c>
      <c r="AG262" s="564">
        <f t="shared" si="111"/>
        <v>0</v>
      </c>
      <c r="AH262" s="564">
        <f t="shared" si="112"/>
        <v>0</v>
      </c>
    </row>
    <row r="263" spans="1:34">
      <c r="A263" s="20" t="s">
        <v>218</v>
      </c>
      <c r="B263" s="20" t="s">
        <v>110</v>
      </c>
      <c r="C263" s="667"/>
      <c r="D263" s="68" t="s">
        <v>60</v>
      </c>
      <c r="E263" s="449"/>
      <c r="F263" s="529">
        <f>VLOOKUP(D263,'Q2 DMV -  Revenue'!C:S,17,FALSE)</f>
        <v>0</v>
      </c>
      <c r="G263" s="579"/>
      <c r="H263" s="579"/>
      <c r="I263" s="524"/>
      <c r="J263" s="379">
        <f t="shared" si="120"/>
        <v>0</v>
      </c>
      <c r="K263" s="31"/>
      <c r="L263" s="84"/>
      <c r="M263" s="42"/>
      <c r="N263" s="31">
        <v>0</v>
      </c>
      <c r="O263" s="429">
        <v>8051.4</v>
      </c>
      <c r="P263" s="31">
        <v>0</v>
      </c>
      <c r="Q263" s="426">
        <f t="shared" si="124"/>
        <v>0</v>
      </c>
      <c r="R263" s="178">
        <f>2961.24+2142.18+2712.79</f>
        <v>7816.21</v>
      </c>
      <c r="S263" s="295"/>
      <c r="T263" s="385">
        <f t="shared" si="121"/>
        <v>7816.21</v>
      </c>
      <c r="U263" s="2"/>
      <c r="V263" s="474">
        <f t="shared" si="103"/>
        <v>0</v>
      </c>
      <c r="W263" s="474">
        <f t="shared" si="104"/>
        <v>0</v>
      </c>
      <c r="X263" s="475">
        <f t="shared" si="105"/>
        <v>0</v>
      </c>
      <c r="Y263" s="475">
        <v>0</v>
      </c>
      <c r="Z263" s="476">
        <v>0</v>
      </c>
      <c r="AA263" s="38">
        <f t="shared" si="106"/>
        <v>0</v>
      </c>
      <c r="AB263" s="564">
        <f t="shared" si="107"/>
        <v>0</v>
      </c>
      <c r="AC263" s="564">
        <f t="shared" si="108"/>
        <v>0</v>
      </c>
      <c r="AD263" s="564">
        <f t="shared" si="109"/>
        <v>0</v>
      </c>
      <c r="AF263" s="564">
        <f t="shared" si="110"/>
        <v>0</v>
      </c>
      <c r="AG263" s="564">
        <f t="shared" si="111"/>
        <v>0</v>
      </c>
      <c r="AH263" s="564">
        <f t="shared" si="112"/>
        <v>0</v>
      </c>
    </row>
    <row r="264" spans="1:34">
      <c r="A264" s="20"/>
      <c r="B264" s="20" t="s">
        <v>110</v>
      </c>
      <c r="C264" s="667"/>
      <c r="D264" s="68" t="s">
        <v>61</v>
      </c>
      <c r="E264" s="449"/>
      <c r="F264" s="529">
        <f>VLOOKUP(D264,'Q2 DMV -  Revenue'!C:S,17,FALSE)</f>
        <v>0</v>
      </c>
      <c r="G264" s="579"/>
      <c r="H264" s="579"/>
      <c r="I264" s="524"/>
      <c r="J264" s="379">
        <f t="shared" si="120"/>
        <v>0</v>
      </c>
      <c r="K264" s="31"/>
      <c r="L264" s="84"/>
      <c r="M264" s="42"/>
      <c r="N264" s="31">
        <v>0</v>
      </c>
      <c r="O264" s="429"/>
      <c r="P264" s="31">
        <v>0</v>
      </c>
      <c r="Q264" s="426">
        <f t="shared" si="124"/>
        <v>0</v>
      </c>
      <c r="R264" s="178">
        <v>0</v>
      </c>
      <c r="S264" s="295"/>
      <c r="T264" s="385">
        <f t="shared" si="121"/>
        <v>0</v>
      </c>
      <c r="U264" s="2"/>
      <c r="V264" s="474">
        <f t="shared" si="103"/>
        <v>0</v>
      </c>
      <c r="W264" s="474">
        <f t="shared" si="104"/>
        <v>0</v>
      </c>
      <c r="X264" s="475">
        <f t="shared" si="105"/>
        <v>0</v>
      </c>
      <c r="Y264" s="475">
        <v>0</v>
      </c>
      <c r="Z264" s="476">
        <v>0</v>
      </c>
      <c r="AA264" s="38">
        <f t="shared" si="106"/>
        <v>0</v>
      </c>
      <c r="AB264" s="564">
        <f t="shared" si="107"/>
        <v>0</v>
      </c>
      <c r="AC264" s="564">
        <f t="shared" si="108"/>
        <v>0</v>
      </c>
      <c r="AD264" s="564">
        <f t="shared" si="109"/>
        <v>0</v>
      </c>
      <c r="AF264" s="564">
        <f t="shared" si="110"/>
        <v>0</v>
      </c>
      <c r="AG264" s="564">
        <f t="shared" si="111"/>
        <v>0</v>
      </c>
      <c r="AH264" s="564">
        <f t="shared" si="112"/>
        <v>0</v>
      </c>
    </row>
    <row r="265" spans="1:34">
      <c r="A265" s="20"/>
      <c r="B265" s="20" t="s">
        <v>110</v>
      </c>
      <c r="C265" s="667" t="s">
        <v>583</v>
      </c>
      <c r="D265" s="68" t="s">
        <v>169</v>
      </c>
      <c r="E265" s="449"/>
      <c r="F265" s="529">
        <f>VLOOKUP(D265,'Q2 DMV -  Revenue'!C:S,17,FALSE)</f>
        <v>479.16999999999985</v>
      </c>
      <c r="G265" s="576">
        <v>2391.5300000000002</v>
      </c>
      <c r="H265" s="576">
        <v>2071.9899999999998</v>
      </c>
      <c r="I265" s="524"/>
      <c r="J265" s="379">
        <f t="shared" si="120"/>
        <v>4942.6899999999996</v>
      </c>
      <c r="K265" s="31"/>
      <c r="L265" s="84"/>
      <c r="M265" s="42">
        <f>SUM(G265+H265)/2</f>
        <v>2231.7600000000002</v>
      </c>
      <c r="N265" s="31">
        <v>0</v>
      </c>
      <c r="O265" s="429">
        <v>6643.97</v>
      </c>
      <c r="P265" s="31">
        <v>0</v>
      </c>
      <c r="Q265" s="426">
        <f t="shared" si="124"/>
        <v>2231.7600000000002</v>
      </c>
      <c r="R265" s="178">
        <v>2009.75</v>
      </c>
      <c r="S265" s="295"/>
      <c r="T265" s="385">
        <f t="shared" si="121"/>
        <v>-222.01000000000022</v>
      </c>
      <c r="U265" s="31"/>
      <c r="V265" s="474">
        <f t="shared" si="103"/>
        <v>2231.7600000000002</v>
      </c>
      <c r="W265" s="474">
        <f t="shared" si="104"/>
        <v>0</v>
      </c>
      <c r="X265" s="475">
        <f t="shared" si="105"/>
        <v>0</v>
      </c>
      <c r="Y265" s="475">
        <v>0</v>
      </c>
      <c r="Z265" s="476">
        <v>0</v>
      </c>
      <c r="AA265" s="38">
        <f t="shared" si="106"/>
        <v>0</v>
      </c>
      <c r="AB265" s="564">
        <f t="shared" si="107"/>
        <v>4942.6899999999996</v>
      </c>
      <c r="AC265" s="564">
        <f t="shared" si="108"/>
        <v>0</v>
      </c>
      <c r="AD265" s="564">
        <f t="shared" si="109"/>
        <v>0</v>
      </c>
      <c r="AF265" s="564">
        <f t="shared" si="110"/>
        <v>2231.7600000000002</v>
      </c>
      <c r="AG265" s="564">
        <f t="shared" si="111"/>
        <v>0</v>
      </c>
      <c r="AH265" s="564">
        <f t="shared" si="112"/>
        <v>0</v>
      </c>
    </row>
    <row r="266" spans="1:34">
      <c r="A266" s="21"/>
      <c r="B266" s="21" t="s">
        <v>110</v>
      </c>
      <c r="C266" s="666"/>
      <c r="D266" s="68" t="s">
        <v>590</v>
      </c>
      <c r="E266" s="449"/>
      <c r="F266" s="529">
        <v>0</v>
      </c>
      <c r="G266" s="579"/>
      <c r="H266" s="579"/>
      <c r="I266" s="524"/>
      <c r="J266" s="379">
        <f t="shared" si="120"/>
        <v>0</v>
      </c>
      <c r="K266" s="31"/>
      <c r="L266" s="84"/>
      <c r="M266" s="42">
        <v>0</v>
      </c>
      <c r="N266" s="31">
        <v>0</v>
      </c>
      <c r="O266" s="429"/>
      <c r="P266" s="31">
        <v>0</v>
      </c>
      <c r="Q266" s="426">
        <f t="shared" si="124"/>
        <v>0</v>
      </c>
      <c r="R266" s="178">
        <v>0</v>
      </c>
      <c r="S266" s="295"/>
      <c r="T266" s="385">
        <f t="shared" si="121"/>
        <v>0</v>
      </c>
      <c r="U266" s="31"/>
      <c r="V266" s="474">
        <f t="shared" si="103"/>
        <v>0</v>
      </c>
      <c r="W266" s="474">
        <f t="shared" si="104"/>
        <v>0</v>
      </c>
      <c r="X266" s="475">
        <f t="shared" si="105"/>
        <v>0</v>
      </c>
      <c r="Y266" s="475">
        <v>0</v>
      </c>
      <c r="Z266" s="476">
        <v>0</v>
      </c>
      <c r="AA266" s="38">
        <f t="shared" si="106"/>
        <v>0</v>
      </c>
      <c r="AB266" s="564">
        <f t="shared" si="107"/>
        <v>0</v>
      </c>
      <c r="AC266" s="564">
        <f t="shared" si="108"/>
        <v>0</v>
      </c>
      <c r="AD266" s="564">
        <f t="shared" si="109"/>
        <v>0</v>
      </c>
      <c r="AF266" s="564">
        <f t="shared" si="110"/>
        <v>0</v>
      </c>
      <c r="AG266" s="564">
        <f t="shared" si="111"/>
        <v>0</v>
      </c>
      <c r="AH266" s="564">
        <f t="shared" si="112"/>
        <v>0</v>
      </c>
    </row>
    <row r="267" spans="1:34">
      <c r="A267" s="21"/>
      <c r="B267" s="21" t="s">
        <v>114</v>
      </c>
      <c r="C267" s="672"/>
      <c r="D267" s="519" t="s">
        <v>433</v>
      </c>
      <c r="E267" s="449"/>
      <c r="F267" s="529">
        <f>VLOOKUP(D267,'Q2 DMV -  Revenue'!C:S,17,FALSE)</f>
        <v>0</v>
      </c>
      <c r="G267" s="579"/>
      <c r="H267" s="579"/>
      <c r="I267" s="524"/>
      <c r="J267" s="379">
        <v>0</v>
      </c>
      <c r="K267" s="31"/>
      <c r="L267" s="84"/>
      <c r="M267" s="42">
        <v>0</v>
      </c>
      <c r="N267" s="31">
        <v>0</v>
      </c>
      <c r="O267" s="429"/>
      <c r="P267" s="31">
        <v>0</v>
      </c>
      <c r="Q267" s="426">
        <f t="shared" si="124"/>
        <v>0</v>
      </c>
      <c r="R267" s="178">
        <v>0</v>
      </c>
      <c r="S267" s="295"/>
      <c r="T267" s="385">
        <f t="shared" si="121"/>
        <v>0</v>
      </c>
      <c r="U267" s="31"/>
      <c r="V267" s="474">
        <f t="shared" si="103"/>
        <v>0</v>
      </c>
      <c r="W267" s="474">
        <f t="shared" si="104"/>
        <v>0</v>
      </c>
      <c r="X267" s="475">
        <f t="shared" si="105"/>
        <v>0</v>
      </c>
      <c r="Y267" s="475">
        <v>0</v>
      </c>
      <c r="Z267" s="476">
        <v>0</v>
      </c>
      <c r="AA267" s="38">
        <f t="shared" si="106"/>
        <v>0</v>
      </c>
      <c r="AB267" s="564">
        <f t="shared" si="107"/>
        <v>0</v>
      </c>
      <c r="AC267" s="564">
        <f t="shared" si="108"/>
        <v>0</v>
      </c>
      <c r="AD267" s="564">
        <f t="shared" si="109"/>
        <v>0</v>
      </c>
      <c r="AF267" s="564">
        <f t="shared" si="110"/>
        <v>0</v>
      </c>
      <c r="AG267" s="564">
        <f t="shared" si="111"/>
        <v>0</v>
      </c>
      <c r="AH267" s="564">
        <f t="shared" si="112"/>
        <v>0</v>
      </c>
    </row>
    <row r="268" spans="1:34" s="146" customFormat="1">
      <c r="A268" s="21"/>
      <c r="B268" s="21" t="s">
        <v>109</v>
      </c>
      <c r="C268" s="666"/>
      <c r="D268" s="68" t="s">
        <v>93</v>
      </c>
      <c r="E268" s="449">
        <f>483.24+303.31+438.96</f>
        <v>1225.51</v>
      </c>
      <c r="F268" s="529">
        <f>VLOOKUP(D268,'Q2 DMV -  Revenue'!C:S,17,FALSE)</f>
        <v>253.88</v>
      </c>
      <c r="G268" s="579"/>
      <c r="H268" s="579"/>
      <c r="I268" s="524"/>
      <c r="J268" s="379">
        <f>SUM(E268:I268)</f>
        <v>1479.3899999999999</v>
      </c>
      <c r="K268" s="31"/>
      <c r="L268" s="84"/>
      <c r="M268" s="42">
        <v>0</v>
      </c>
      <c r="N268" s="31">
        <v>0</v>
      </c>
      <c r="O268" s="429">
        <v>1479.39</v>
      </c>
      <c r="P268" s="31">
        <v>0</v>
      </c>
      <c r="Q268" s="426">
        <f t="shared" si="124"/>
        <v>0</v>
      </c>
      <c r="R268" s="178">
        <v>0</v>
      </c>
      <c r="S268" s="295"/>
      <c r="T268" s="385">
        <f t="shared" si="121"/>
        <v>0</v>
      </c>
      <c r="U268" s="31"/>
      <c r="V268" s="474">
        <f t="shared" si="103"/>
        <v>0</v>
      </c>
      <c r="W268" s="474">
        <f t="shared" si="104"/>
        <v>0</v>
      </c>
      <c r="X268" s="475">
        <f t="shared" si="105"/>
        <v>0</v>
      </c>
      <c r="Y268" s="475">
        <v>0</v>
      </c>
      <c r="Z268" s="476">
        <v>0</v>
      </c>
      <c r="AA268" s="38">
        <f t="shared" si="106"/>
        <v>0</v>
      </c>
      <c r="AB268" s="564">
        <f t="shared" si="107"/>
        <v>0</v>
      </c>
      <c r="AC268" s="564">
        <f t="shared" si="108"/>
        <v>1479.3899999999999</v>
      </c>
      <c r="AD268" s="564">
        <f t="shared" si="109"/>
        <v>0</v>
      </c>
      <c r="AE268" s="559"/>
      <c r="AF268" s="564">
        <f t="shared" si="110"/>
        <v>0</v>
      </c>
      <c r="AG268" s="564">
        <f t="shared" si="111"/>
        <v>0</v>
      </c>
      <c r="AH268" s="564">
        <f t="shared" si="112"/>
        <v>0</v>
      </c>
    </row>
    <row r="269" spans="1:34" s="146" customFormat="1" ht="13" thickBot="1">
      <c r="A269" s="21"/>
      <c r="B269" s="21" t="s">
        <v>110</v>
      </c>
      <c r="C269" s="666"/>
      <c r="D269" s="68" t="s">
        <v>434</v>
      </c>
      <c r="E269" s="449"/>
      <c r="F269" s="529">
        <f>VLOOKUP(D269,'Q2 DMV -  Revenue'!C:S,17,FALSE)</f>
        <v>0</v>
      </c>
      <c r="G269" s="579"/>
      <c r="H269" s="579"/>
      <c r="I269" s="524"/>
      <c r="J269" s="379">
        <f t="shared" ref="J269" si="128">SUM(E269:I269)</f>
        <v>0</v>
      </c>
      <c r="K269" s="31"/>
      <c r="L269" s="84"/>
      <c r="M269" s="42">
        <v>0</v>
      </c>
      <c r="N269" s="31">
        <v>0</v>
      </c>
      <c r="O269" s="429"/>
      <c r="P269" s="31">
        <v>0</v>
      </c>
      <c r="Q269" s="426">
        <f t="shared" si="124"/>
        <v>0</v>
      </c>
      <c r="R269" s="178">
        <v>0</v>
      </c>
      <c r="S269" s="295"/>
      <c r="T269" s="385">
        <f t="shared" si="121"/>
        <v>0</v>
      </c>
      <c r="U269" s="31"/>
      <c r="V269" s="474">
        <f t="shared" si="103"/>
        <v>0</v>
      </c>
      <c r="W269" s="474">
        <f t="shared" si="104"/>
        <v>0</v>
      </c>
      <c r="X269" s="475">
        <f t="shared" si="105"/>
        <v>0</v>
      </c>
      <c r="Y269" s="475">
        <v>0</v>
      </c>
      <c r="Z269" s="476">
        <v>0</v>
      </c>
      <c r="AA269" s="38">
        <f t="shared" si="106"/>
        <v>0</v>
      </c>
      <c r="AB269" s="564">
        <f t="shared" si="107"/>
        <v>0</v>
      </c>
      <c r="AC269" s="564">
        <f t="shared" si="108"/>
        <v>0</v>
      </c>
      <c r="AD269" s="564">
        <f t="shared" si="109"/>
        <v>0</v>
      </c>
      <c r="AE269" s="559"/>
      <c r="AF269" s="564">
        <f t="shared" si="110"/>
        <v>0</v>
      </c>
      <c r="AG269" s="564">
        <f t="shared" si="111"/>
        <v>0</v>
      </c>
      <c r="AH269" s="564">
        <f t="shared" si="112"/>
        <v>0</v>
      </c>
    </row>
    <row r="270" spans="1:34" ht="13" thickBot="1">
      <c r="A270" s="107"/>
      <c r="B270" s="108"/>
      <c r="C270" s="673"/>
      <c r="D270" s="71" t="s">
        <v>86</v>
      </c>
      <c r="E270" s="454">
        <f t="shared" ref="E270:J270" si="129">SUM(E19:E269)</f>
        <v>146288.734</v>
      </c>
      <c r="F270" s="454" t="e">
        <f t="shared" si="129"/>
        <v>#N/A</v>
      </c>
      <c r="G270" s="454">
        <f t="shared" si="129"/>
        <v>6560482.9358333359</v>
      </c>
      <c r="H270" s="454">
        <f t="shared" si="129"/>
        <v>5494930.3358333344</v>
      </c>
      <c r="I270" s="454">
        <f t="shared" si="129"/>
        <v>3609090.4758333331</v>
      </c>
      <c r="J270" s="454" t="e">
        <f t="shared" si="129"/>
        <v>#N/A</v>
      </c>
      <c r="K270" s="454">
        <f t="shared" ref="K270" si="130">SUM(K19:K269)</f>
        <v>0</v>
      </c>
      <c r="L270" s="454">
        <f>SUM(L19:L269)</f>
        <v>16659.567185699998</v>
      </c>
      <c r="M270" s="454">
        <f>SUM(M19:M269)</f>
        <v>2670575.8985928479</v>
      </c>
      <c r="N270" s="454">
        <f>SUM(N19:N269)</f>
        <v>0</v>
      </c>
      <c r="O270" s="100">
        <f>SUM(O19:O269)</f>
        <v>19002785.929999996</v>
      </c>
      <c r="P270" s="157">
        <f>SUM(P21:P269)</f>
        <v>0</v>
      </c>
      <c r="Q270" s="100">
        <f>SUM(Q19:Q269)</f>
        <v>2687235.4657785487</v>
      </c>
      <c r="R270" s="100">
        <f>SUM(R19:R269)</f>
        <v>2910943.4099999992</v>
      </c>
      <c r="S270" s="297"/>
      <c r="T270" s="100">
        <f>SUM(T19:T269)</f>
        <v>223707.94422144996</v>
      </c>
      <c r="U270" s="31"/>
      <c r="V270" s="314">
        <f>SUM(V19:V269)</f>
        <v>2252059.7584413993</v>
      </c>
      <c r="W270" s="314">
        <f>SUM(W19:W269)</f>
        <v>373403.33233715006</v>
      </c>
      <c r="X270" s="314">
        <f>SUM(X19:X269)</f>
        <v>61772.375</v>
      </c>
      <c r="Y270" s="314">
        <f t="shared" ref="Y270:Z270" si="131">SUM(Y19:Y269)</f>
        <v>0</v>
      </c>
      <c r="Z270" s="314">
        <f t="shared" si="131"/>
        <v>0</v>
      </c>
      <c r="AB270" s="314" t="e">
        <f>SUM(AB19:AB269)</f>
        <v>#N/A</v>
      </c>
      <c r="AC270" s="314">
        <f>SUM(AC19:AC269)</f>
        <v>754394.9149999998</v>
      </c>
      <c r="AD270" s="314">
        <f>SUM(AD19:AD269)</f>
        <v>-67109.149999999994</v>
      </c>
      <c r="AF270" s="314">
        <f>SUM(AF19:AF269)</f>
        <v>2252059.7584413993</v>
      </c>
      <c r="AG270" s="314">
        <f>SUM(AG19:AG269)</f>
        <v>373403.33233715006</v>
      </c>
      <c r="AH270" s="314">
        <f>SUM(AH19:AH269)</f>
        <v>61772.375</v>
      </c>
    </row>
    <row r="271" spans="1:34" ht="13" thickBot="1">
      <c r="A271" s="65"/>
      <c r="B271" s="65"/>
      <c r="C271" s="674"/>
      <c r="D271" s="141"/>
      <c r="E271" s="310" t="s">
        <v>293</v>
      </c>
      <c r="F271" s="160" t="e">
        <f>F270+E270</f>
        <v>#N/A</v>
      </c>
      <c r="G271" s="153"/>
      <c r="H271" s="153" t="s">
        <v>225</v>
      </c>
      <c r="I271" s="160">
        <f>I270+H270+G270</f>
        <v>15664503.747500002</v>
      </c>
      <c r="J271" s="323"/>
      <c r="K271" s="153"/>
      <c r="L271" s="153" t="s">
        <v>296</v>
      </c>
      <c r="M271" s="100">
        <f>M270+L270</f>
        <v>2687235.4657785478</v>
      </c>
      <c r="N271" s="153"/>
      <c r="O271" s="641"/>
      <c r="P271" s="153"/>
      <c r="Q271" s="153"/>
      <c r="R271" s="153"/>
      <c r="S271" s="153"/>
      <c r="T271" s="153"/>
      <c r="U271" s="153"/>
      <c r="V271" s="139"/>
      <c r="W271" s="139"/>
      <c r="X271" s="139"/>
      <c r="Y271" s="139"/>
      <c r="Z271" s="104"/>
    </row>
    <row r="272" spans="1:34" ht="13" thickBot="1">
      <c r="A272" s="65"/>
      <c r="B272" s="65"/>
      <c r="C272" s="674"/>
      <c r="E272" s="128"/>
      <c r="F272" s="47"/>
      <c r="G272" s="153"/>
      <c r="H272" s="153"/>
      <c r="I272" s="153"/>
      <c r="J272" s="153"/>
      <c r="K272" s="153"/>
      <c r="L272" s="153"/>
      <c r="M272" s="67"/>
      <c r="N272" s="153"/>
      <c r="O272" s="153"/>
      <c r="P272" s="153"/>
      <c r="Q272" s="153"/>
      <c r="R272" s="153"/>
      <c r="S272" s="153"/>
      <c r="T272" s="153"/>
      <c r="U272" s="153"/>
      <c r="V272" s="331" t="s">
        <v>345</v>
      </c>
      <c r="W272" s="139"/>
      <c r="X272" s="139"/>
      <c r="Y272" s="139"/>
      <c r="Z272" s="104"/>
      <c r="AB272" s="577"/>
      <c r="AC272" s="577"/>
      <c r="AD272" s="577"/>
      <c r="AF272" s="577"/>
      <c r="AG272" s="577"/>
      <c r="AH272" s="577"/>
    </row>
    <row r="273" spans="4:34" ht="17" thickTop="1" thickBot="1">
      <c r="H273" s="309"/>
      <c r="I273" s="79"/>
      <c r="J273" s="164"/>
      <c r="L273" s="232"/>
      <c r="M273" s="233"/>
      <c r="O273" s="642"/>
      <c r="P273" s="151"/>
      <c r="Q273" s="139"/>
      <c r="V273" s="332"/>
      <c r="W273" s="333"/>
      <c r="X273" s="491"/>
      <c r="Y273" s="491"/>
      <c r="Z273" s="334"/>
      <c r="AA273" s="18" t="s">
        <v>474</v>
      </c>
      <c r="AB273" s="559">
        <v>-134309.370091319</v>
      </c>
      <c r="AC273" s="559">
        <v>0</v>
      </c>
      <c r="AD273" s="559">
        <f>-AB273</f>
        <v>134309.370091319</v>
      </c>
    </row>
    <row r="274" spans="4:34" ht="17" thickBot="1">
      <c r="H274" s="309"/>
      <c r="I274" s="662" t="s">
        <v>514</v>
      </c>
      <c r="J274" s="79" t="e">
        <f>J270</f>
        <v>#N/A</v>
      </c>
      <c r="M274" s="493"/>
      <c r="O274" s="643"/>
      <c r="P274" s="27"/>
      <c r="Q274" s="139"/>
      <c r="V274" s="487"/>
      <c r="W274" s="488"/>
      <c r="X274" s="492" t="s">
        <v>399</v>
      </c>
      <c r="Y274" s="492" t="s">
        <v>400</v>
      </c>
      <c r="Z274" s="488"/>
      <c r="AA274" s="654" t="s">
        <v>475</v>
      </c>
      <c r="AB274" s="606" t="e">
        <f>AB270+AB273</f>
        <v>#N/A</v>
      </c>
      <c r="AC274" s="606">
        <f>AC270</f>
        <v>754394.9149999998</v>
      </c>
      <c r="AD274" s="606">
        <f>AD270+AD273</f>
        <v>67200.220091319003</v>
      </c>
      <c r="AE274" s="606"/>
      <c r="AF274" s="606">
        <f>AF270</f>
        <v>2252059.7584413993</v>
      </c>
      <c r="AG274" s="606">
        <f>AG270</f>
        <v>373403.33233715006</v>
      </c>
      <c r="AH274" s="607">
        <f>AH270</f>
        <v>61772.375</v>
      </c>
    </row>
    <row r="275" spans="4:34" ht="15" thickBot="1">
      <c r="D275" s="143" t="s">
        <v>294</v>
      </c>
      <c r="H275" s="142"/>
      <c r="I275" s="663" t="s">
        <v>251</v>
      </c>
      <c r="J275" s="653">
        <v>-16022856.449999999</v>
      </c>
      <c r="L275" s="639"/>
      <c r="M275" s="642"/>
      <c r="N275" s="146"/>
      <c r="O275" s="643"/>
      <c r="P275" s="27"/>
      <c r="Q275" s="139"/>
      <c r="V275" s="158" t="s">
        <v>346</v>
      </c>
      <c r="W275" s="104" t="s">
        <v>352</v>
      </c>
      <c r="X275" s="104">
        <f>V270+W270+X270</f>
        <v>2687235.4657785492</v>
      </c>
      <c r="Y275" s="104"/>
      <c r="Z275" s="136"/>
      <c r="AA275" s="578"/>
    </row>
    <row r="276" spans="4:34" ht="15" thickTop="1">
      <c r="D276" s="143" t="s">
        <v>295</v>
      </c>
      <c r="H276" s="17" t="s">
        <v>249</v>
      </c>
      <c r="I276" s="578" t="s">
        <v>454</v>
      </c>
      <c r="J276" s="632" t="e">
        <f>J275+J274</f>
        <v>#N/A</v>
      </c>
      <c r="L276" s="639"/>
      <c r="M276" s="643"/>
      <c r="N276" s="27"/>
      <c r="O276" s="173"/>
      <c r="P276" s="27"/>
      <c r="Q276" s="644"/>
      <c r="R276" s="151"/>
      <c r="S276" s="151"/>
      <c r="T276" s="151"/>
      <c r="V276" s="158"/>
      <c r="W276" s="104"/>
      <c r="X276" s="104"/>
      <c r="Y276" s="104"/>
      <c r="Z276" s="136"/>
      <c r="AA276" s="578"/>
    </row>
    <row r="277" spans="4:34" ht="14">
      <c r="D277" s="143" t="s">
        <v>297</v>
      </c>
      <c r="I277" s="664"/>
      <c r="J277" s="643"/>
      <c r="L277" s="639"/>
      <c r="M277" s="172"/>
      <c r="O277" s="139"/>
      <c r="P277" s="27"/>
      <c r="Q277" s="151"/>
      <c r="R277" s="151"/>
      <c r="S277" s="151"/>
      <c r="T277" s="151"/>
      <c r="V277" s="158" t="s">
        <v>351</v>
      </c>
      <c r="W277" s="104" t="s">
        <v>355</v>
      </c>
      <c r="X277" s="104"/>
      <c r="Y277" s="104">
        <f>V270</f>
        <v>2252059.7584413993</v>
      </c>
      <c r="Z277" s="136"/>
    </row>
    <row r="278" spans="4:34" ht="15" thickBot="1">
      <c r="D278" s="143" t="s">
        <v>297</v>
      </c>
      <c r="I278" s="665" t="s">
        <v>515</v>
      </c>
      <c r="J278" s="661">
        <f>-M271</f>
        <v>-2687235.4657785478</v>
      </c>
      <c r="L278" s="645"/>
      <c r="M278" s="76"/>
      <c r="O278" s="644"/>
      <c r="P278" s="27"/>
      <c r="Q278" s="139"/>
      <c r="R278" s="54"/>
      <c r="S278" s="151"/>
      <c r="T278" s="294"/>
      <c r="V278" s="158" t="s">
        <v>350</v>
      </c>
      <c r="W278" s="104" t="s">
        <v>356</v>
      </c>
      <c r="X278" s="104"/>
      <c r="Y278" s="104">
        <f>Y270</f>
        <v>0</v>
      </c>
      <c r="Z278" s="136"/>
    </row>
    <row r="279" spans="4:34" ht="16" thickTop="1" thickBot="1">
      <c r="D279" s="143"/>
      <c r="I279" s="639"/>
      <c r="J279" s="632">
        <v>0</v>
      </c>
      <c r="L279" s="639"/>
      <c r="M279" s="632"/>
      <c r="O279" s="33"/>
      <c r="Q279" s="151"/>
      <c r="R279" s="151"/>
      <c r="S279" s="151"/>
      <c r="T279" s="151"/>
      <c r="V279" s="158"/>
      <c r="W279" s="104"/>
      <c r="X279" s="104"/>
      <c r="Y279" s="104"/>
      <c r="Z279" s="136"/>
    </row>
    <row r="280" spans="4:34" ht="15" thickBot="1">
      <c r="I280" s="659" t="s">
        <v>516</v>
      </c>
      <c r="J280" s="660">
        <f>J275+J278</f>
        <v>-18710091.915778548</v>
      </c>
      <c r="L280" s="639"/>
      <c r="M280" s="632"/>
      <c r="O280" s="33"/>
      <c r="Q280" s="139"/>
      <c r="R280" s="151"/>
      <c r="S280" s="151"/>
      <c r="T280" s="151"/>
      <c r="V280" s="158" t="s">
        <v>349</v>
      </c>
      <c r="W280" s="104" t="s">
        <v>357</v>
      </c>
      <c r="X280" s="104"/>
      <c r="Y280" s="104">
        <f>W270</f>
        <v>373403.33233715006</v>
      </c>
      <c r="Z280" s="136"/>
    </row>
    <row r="281" spans="4:34">
      <c r="I281" s="655"/>
      <c r="J281" s="637"/>
      <c r="L281" s="76"/>
      <c r="M281" s="640"/>
      <c r="Q281" s="151"/>
      <c r="R281" s="151"/>
      <c r="S281" s="151"/>
      <c r="T281" s="151"/>
      <c r="V281" s="415" t="s">
        <v>348</v>
      </c>
      <c r="W281" s="104" t="s">
        <v>358</v>
      </c>
      <c r="X281" s="104"/>
      <c r="Y281" s="104">
        <f>Z270</f>
        <v>0</v>
      </c>
      <c r="Z281" s="136"/>
    </row>
    <row r="282" spans="4:34">
      <c r="I282" s="655" t="s">
        <v>518</v>
      </c>
      <c r="J282" s="658" t="e">
        <f>SUM(AB274:AH274)</f>
        <v>#N/A</v>
      </c>
      <c r="L282" s="636"/>
      <c r="M282" s="637"/>
      <c r="Q282" s="151"/>
      <c r="R282" s="151"/>
      <c r="S282" s="151"/>
      <c r="T282" s="151"/>
      <c r="V282" s="415"/>
      <c r="W282" s="104"/>
      <c r="X282" s="104"/>
      <c r="Y282" s="104"/>
      <c r="Z282" s="136"/>
    </row>
    <row r="283" spans="4:34" ht="13" thickBot="1">
      <c r="I283" s="578" t="s">
        <v>454</v>
      </c>
      <c r="J283" s="169" t="e">
        <f>J282+J280</f>
        <v>#N/A</v>
      </c>
      <c r="L283" s="603"/>
      <c r="M283" s="604"/>
      <c r="Q283" s="151"/>
      <c r="R283" s="151"/>
      <c r="S283" s="151"/>
      <c r="T283" s="151"/>
      <c r="V283" s="415" t="s">
        <v>347</v>
      </c>
      <c r="W283" s="488" t="s">
        <v>359</v>
      </c>
      <c r="X283" s="488"/>
      <c r="Y283" s="488">
        <f>X270</f>
        <v>61772.375</v>
      </c>
      <c r="Z283" s="414"/>
    </row>
    <row r="284" spans="4:34" ht="15" thickBot="1">
      <c r="I284" s="656" t="s">
        <v>519</v>
      </c>
      <c r="J284" s="657" t="e">
        <f>J276-J283</f>
        <v>#N/A</v>
      </c>
      <c r="M284" s="37"/>
      <c r="V284" s="416"/>
      <c r="W284" s="104"/>
      <c r="X284" s="80">
        <f>SUM(X275:X283)</f>
        <v>2687235.4657785492</v>
      </c>
      <c r="Y284" s="80">
        <f>SUM(Y275:Y283)</f>
        <v>2687235.4657785492</v>
      </c>
      <c r="Z284" s="136"/>
    </row>
    <row r="285" spans="4:34">
      <c r="V285" s="416"/>
      <c r="W285" s="104"/>
      <c r="X285" s="104"/>
      <c r="Y285" s="104"/>
      <c r="Z285" s="136"/>
    </row>
    <row r="286" spans="4:34" ht="13" thickBot="1">
      <c r="V286" s="330"/>
      <c r="W286" s="279"/>
      <c r="X286" s="279"/>
      <c r="Y286" s="279"/>
      <c r="Z286" s="280"/>
    </row>
    <row r="287" spans="4:34">
      <c r="V287" s="104"/>
      <c r="W287" s="104"/>
      <c r="X287" s="104"/>
      <c r="Y287" s="104"/>
      <c r="Z287" s="104"/>
    </row>
    <row r="289" spans="12:12">
      <c r="L289" s="169"/>
    </row>
    <row r="290" spans="12:12">
      <c r="L290" s="169"/>
    </row>
    <row r="291" spans="12:12">
      <c r="L291" s="169"/>
    </row>
    <row r="292" spans="12:12">
      <c r="L292" s="169"/>
    </row>
  </sheetData>
  <customSheetViews>
    <customSheetView guid="{005F2F7B-A3A9-4755-A4DF-7CE06C365CC2}" showPageBreaks="1">
      <pane ySplit="18" topLeftCell="A19" activePane="bottomLeft" state="frozenSplit"/>
      <selection pane="bottomLeft" activeCell="L189" sqref="L189"/>
      <pageSetup orientation="portrait" horizontalDpi="1200" verticalDpi="1200"/>
    </customSheetView>
    <customSheetView guid="{D3CBD86D-0B34-40AC-BD97-D8082E871349}" scale="83" showPageBreaks="1" fitToPage="1" printArea="1" topLeftCell="A188">
      <selection activeCell="J221" sqref="J221:M222"/>
      <pageSetup scale="78" fitToHeight="4" orientation="portrait" horizontalDpi="1200" verticalDpi="1200"/>
    </customSheetView>
    <customSheetView guid="{A6D105A8-F3F8-4045-83EA-8812D2E401D6}" scale="83" showPageBreaks="1" fitToPage="1" printArea="1" topLeftCell="F229">
      <selection activeCell="R253" sqref="R253"/>
      <pageSetup scale="78" fitToHeight="4" orientation="portrait" horizontalDpi="1200" verticalDpi="1200"/>
    </customSheetView>
    <customSheetView guid="{30EF2F7D-596A-4F42-BFFC-293775FB231D}" topLeftCell="A194">
      <selection activeCell="E206" sqref="E206"/>
    </customSheetView>
    <customSheetView guid="{19673ADA-0B6E-420C-87C4-DFC2B9AF85E8}" showPageBreaks="1" topLeftCell="D1">
      <pane ySplit="18" topLeftCell="A205" activePane="bottomLeft" state="frozenSplit"/>
      <selection pane="bottomLeft" activeCell="S218" sqref="S218"/>
      <pageSetup orientation="portrait" horizontalDpi="1200" verticalDpi="1200"/>
    </customSheetView>
    <customSheetView guid="{EAD60427-EED9-4BA8-BD26-3C00E46B1F0E}" showPageBreaks="1">
      <pane ySplit="18" topLeftCell="A187" activePane="bottomLeft" state="frozenSplit"/>
      <selection pane="bottomLeft" activeCell="C202" sqref="C202"/>
      <pageSetup orientation="portrait" horizontalDpi="1200" verticalDpi="1200"/>
    </customSheetView>
    <customSheetView guid="{041E0462-B6EA-414A-9F2E-C14ADEFAE5F2}" scale="83" showPageBreaks="1" fitToPage="1" printArea="1" topLeftCell="A110">
      <selection activeCell="F44" sqref="F44"/>
      <pageSetup scale="78" fitToHeight="4" orientation="portrait" horizontalDpi="1200" verticalDpi="1200"/>
    </customSheetView>
    <customSheetView guid="{86CCC894-C193-4761-8385-3C374FD67B70}" scale="83" showPageBreaks="1" fitToPage="1" printArea="1" topLeftCell="A23">
      <selection activeCell="G55" sqref="G55"/>
      <pageSetup scale="78" fitToHeight="4" orientation="portrait" horizontalDpi="1200" verticalDpi="1200"/>
    </customSheetView>
  </customSheetViews>
  <pageMargins left="0.7" right="0.7" top="0.75" bottom="0.75" header="0.3" footer="0.3"/>
  <pageSetup scale="78" fitToHeight="4" orientation="portrait" horizontalDpi="1200" verticalDpi="1200"/>
  <legacyDrawing r:id="rId1"/>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G288"/>
  <sheetViews>
    <sheetView topLeftCell="A27" zoomScale="89" zoomScaleNormal="115" zoomScalePageLayoutView="115" workbookViewId="0">
      <selection activeCell="F217" sqref="F217"/>
    </sheetView>
  </sheetViews>
  <sheetFormatPr baseColWidth="10" defaultColWidth="9.3984375" defaultRowHeight="12" outlineLevelCol="1" x14ac:dyDescent="0"/>
  <cols>
    <col min="1" max="1" width="11.59765625" style="18" customWidth="1" outlineLevel="1"/>
    <col min="2" max="2" width="7.796875" style="18" customWidth="1" outlineLevel="1"/>
    <col min="3" max="3" width="26.796875" style="147" customWidth="1"/>
    <col min="4" max="4" width="15.19921875" style="35" customWidth="1"/>
    <col min="5" max="5" width="13.3984375" style="152" bestFit="1" customWidth="1"/>
    <col min="6" max="7" width="14.19921875" style="17" bestFit="1" customWidth="1"/>
    <col min="8" max="8" width="15.19921875" style="131" bestFit="1" customWidth="1"/>
    <col min="9" max="9" width="16.59765625" style="24" bestFit="1" customWidth="1"/>
    <col min="10" max="10" width="1.59765625" style="24" customWidth="1"/>
    <col min="11" max="11" width="13.19921875" style="24" customWidth="1"/>
    <col min="12" max="12" width="15.796875" style="24" bestFit="1" customWidth="1"/>
    <col min="13" max="13" width="1" style="16" customWidth="1"/>
    <col min="14" max="14" width="15.796875" style="146" bestFit="1" customWidth="1"/>
    <col min="15" max="15" width="1" style="16" customWidth="1"/>
    <col min="16" max="16" width="15.796875" style="146" bestFit="1" customWidth="1"/>
    <col min="17" max="17" width="19" style="146" customWidth="1"/>
    <col min="18" max="18" width="1" style="146" customWidth="1"/>
    <col min="19" max="19" width="16.796875" style="146" customWidth="1"/>
    <col min="20" max="20" width="1.59765625" style="24" customWidth="1"/>
    <col min="21" max="21" width="16" style="38" customWidth="1"/>
    <col min="22" max="22" width="19.796875" style="38" customWidth="1"/>
    <col min="23" max="23" width="15.3984375" style="38" customWidth="1"/>
    <col min="24" max="24" width="16.19921875" style="38" bestFit="1" customWidth="1"/>
    <col min="25" max="25" width="17" style="38" bestFit="1" customWidth="1"/>
    <col min="26" max="26" width="9.3984375" style="16" customWidth="1"/>
    <col min="27" max="27" width="17.19921875" style="559" customWidth="1"/>
    <col min="28" max="28" width="15" style="559" customWidth="1"/>
    <col min="29" max="29" width="15.796875" style="559" customWidth="1"/>
    <col min="30" max="30" width="2.3984375" style="559" customWidth="1"/>
    <col min="31" max="31" width="14.19921875" style="559" bestFit="1" customWidth="1"/>
    <col min="32" max="33" width="14.19921875" style="559" customWidth="1"/>
    <col min="34" max="16384" width="9.3984375" style="16"/>
  </cols>
  <sheetData>
    <row r="1" spans="1:24">
      <c r="C1" s="147" t="s">
        <v>71</v>
      </c>
      <c r="E1" s="29"/>
      <c r="F1" s="162"/>
      <c r="G1" s="163"/>
      <c r="I1" s="20" t="s">
        <v>119</v>
      </c>
      <c r="J1" s="40"/>
      <c r="K1" s="20" t="s">
        <v>119</v>
      </c>
      <c r="L1" s="20" t="s">
        <v>120</v>
      </c>
      <c r="T1" s="40"/>
    </row>
    <row r="2" spans="1:24">
      <c r="C2" s="147" t="s">
        <v>72</v>
      </c>
      <c r="E2" s="29"/>
      <c r="F2" s="162"/>
      <c r="G2" s="163"/>
      <c r="I2" s="20" t="s">
        <v>377</v>
      </c>
      <c r="J2" s="40"/>
      <c r="K2" s="20" t="s">
        <v>299</v>
      </c>
      <c r="L2" s="20" t="s">
        <v>300</v>
      </c>
      <c r="T2" s="40"/>
    </row>
    <row r="3" spans="1:24">
      <c r="C3" s="147" t="s">
        <v>477</v>
      </c>
      <c r="E3" s="29"/>
      <c r="F3" s="18"/>
      <c r="G3" s="168"/>
      <c r="I3" s="140" t="s">
        <v>490</v>
      </c>
      <c r="K3" s="140" t="s">
        <v>490</v>
      </c>
      <c r="L3" s="236" t="s">
        <v>491</v>
      </c>
    </row>
    <row r="4" spans="1:24">
      <c r="C4" s="148" t="s">
        <v>228</v>
      </c>
      <c r="F4" s="164"/>
      <c r="G4" s="168"/>
      <c r="H4" s="161"/>
    </row>
    <row r="5" spans="1:24" ht="13" thickBot="1">
      <c r="C5" s="148"/>
      <c r="F5" s="161"/>
      <c r="G5" s="630"/>
      <c r="H5" s="161"/>
    </row>
    <row r="6" spans="1:24">
      <c r="B6" s="460"/>
      <c r="C6" s="461" t="s">
        <v>84</v>
      </c>
      <c r="D6" s="462" t="s">
        <v>85</v>
      </c>
      <c r="F6" s="161"/>
      <c r="G6" s="630"/>
      <c r="H6" s="161"/>
      <c r="I6" s="18"/>
      <c r="K6" s="18"/>
      <c r="L6" s="18"/>
      <c r="M6" s="18"/>
      <c r="N6" s="152"/>
      <c r="O6" s="18"/>
      <c r="P6" s="152"/>
      <c r="Q6" s="152"/>
      <c r="R6" s="152"/>
      <c r="S6" s="152"/>
    </row>
    <row r="7" spans="1:24">
      <c r="B7" s="459"/>
      <c r="C7" s="458" t="s">
        <v>74</v>
      </c>
      <c r="D7" s="463" t="s">
        <v>77</v>
      </c>
      <c r="F7" s="161"/>
      <c r="G7" s="630"/>
      <c r="H7" s="161"/>
      <c r="I7" s="478"/>
      <c r="K7" s="169"/>
      <c r="L7" s="169"/>
    </row>
    <row r="8" spans="1:24">
      <c r="B8" s="459"/>
      <c r="C8" s="458" t="s">
        <v>75</v>
      </c>
      <c r="D8" s="287" t="s">
        <v>115</v>
      </c>
      <c r="E8" s="29"/>
      <c r="F8" s="161"/>
      <c r="G8" s="630"/>
      <c r="H8" s="135"/>
      <c r="I8" s="172"/>
      <c r="J8" s="41"/>
      <c r="K8" s="37"/>
      <c r="L8" s="37"/>
      <c r="T8" s="41"/>
    </row>
    <row r="9" spans="1:24">
      <c r="B9" s="459"/>
      <c r="C9" s="568" t="s">
        <v>73</v>
      </c>
      <c r="D9" s="572" t="s">
        <v>446</v>
      </c>
      <c r="E9" s="29"/>
      <c r="F9" s="164"/>
      <c r="G9" s="630"/>
      <c r="H9" s="135"/>
      <c r="I9" s="75"/>
      <c r="J9" s="41"/>
      <c r="K9" s="77"/>
      <c r="L9" s="77"/>
      <c r="M9" s="27"/>
      <c r="N9" s="151"/>
      <c r="O9" s="27"/>
      <c r="P9" s="151"/>
      <c r="Q9" s="151"/>
      <c r="R9" s="151"/>
      <c r="S9" s="151"/>
      <c r="T9" s="41"/>
    </row>
    <row r="10" spans="1:24">
      <c r="B10" s="459"/>
      <c r="C10" s="458" t="s">
        <v>76</v>
      </c>
      <c r="D10" s="465" t="s">
        <v>79</v>
      </c>
      <c r="E10" s="29"/>
      <c r="F10" s="161"/>
      <c r="G10" s="134"/>
      <c r="H10" s="135"/>
      <c r="I10" s="78"/>
      <c r="K10" s="79"/>
      <c r="L10" s="79"/>
      <c r="M10" s="27"/>
      <c r="N10" s="151"/>
      <c r="O10" s="27"/>
      <c r="P10" s="151"/>
      <c r="Q10" s="151"/>
      <c r="R10" s="151"/>
      <c r="S10" s="151"/>
    </row>
    <row r="11" spans="1:24">
      <c r="B11" s="459"/>
      <c r="C11" s="458" t="s">
        <v>81</v>
      </c>
      <c r="D11" s="466" t="s">
        <v>80</v>
      </c>
      <c r="E11" s="29"/>
      <c r="F11" s="161"/>
      <c r="G11" s="134"/>
      <c r="H11" s="10"/>
      <c r="I11" s="78"/>
      <c r="K11" s="79"/>
      <c r="L11" s="79"/>
      <c r="M11" s="27"/>
      <c r="N11" s="151"/>
      <c r="O11" s="27"/>
      <c r="P11" s="151"/>
      <c r="Q11" s="151"/>
      <c r="R11" s="151"/>
      <c r="S11" s="151"/>
    </row>
    <row r="12" spans="1:24">
      <c r="B12" s="459"/>
      <c r="C12" s="458" t="s">
        <v>83</v>
      </c>
      <c r="D12" s="467" t="s">
        <v>82</v>
      </c>
      <c r="E12" s="165"/>
      <c r="F12" s="147"/>
      <c r="G12" s="134"/>
      <c r="I12" s="78"/>
      <c r="K12" s="80"/>
      <c r="L12" s="80"/>
      <c r="M12" s="81"/>
      <c r="N12" s="12"/>
      <c r="O12" s="81"/>
      <c r="P12" s="12"/>
      <c r="Q12" s="12"/>
      <c r="R12" s="12"/>
      <c r="S12" s="12"/>
    </row>
    <row r="13" spans="1:24">
      <c r="B13" s="459"/>
      <c r="C13" s="458" t="s">
        <v>88</v>
      </c>
      <c r="D13" s="468" t="s">
        <v>89</v>
      </c>
      <c r="E13" s="29"/>
      <c r="I13" s="76"/>
      <c r="K13" s="174"/>
      <c r="L13" s="76"/>
      <c r="M13" s="27"/>
      <c r="N13" s="151"/>
      <c r="O13" s="27"/>
      <c r="P13" s="151"/>
      <c r="Q13" s="151"/>
      <c r="R13" s="151"/>
      <c r="S13" s="151"/>
    </row>
    <row r="14" spans="1:24">
      <c r="B14" s="459"/>
      <c r="C14" s="458" t="s">
        <v>116</v>
      </c>
      <c r="D14" s="99" t="s">
        <v>117</v>
      </c>
      <c r="E14" s="29"/>
      <c r="F14" s="166"/>
      <c r="G14" s="145"/>
      <c r="I14" s="76"/>
      <c r="K14" s="173"/>
      <c r="L14" s="173"/>
      <c r="M14" s="27"/>
      <c r="N14" s="151"/>
      <c r="O14" s="27"/>
      <c r="P14" s="151"/>
      <c r="Q14" s="151"/>
      <c r="R14" s="151"/>
      <c r="S14" s="151"/>
    </row>
    <row r="15" spans="1:24" ht="13" thickBot="1">
      <c r="B15" s="469"/>
      <c r="C15" s="470" t="s">
        <v>103</v>
      </c>
      <c r="D15" s="471" t="s">
        <v>101</v>
      </c>
      <c r="E15" s="29"/>
      <c r="F15" s="166"/>
      <c r="G15" s="150"/>
      <c r="I15" s="76"/>
    </row>
    <row r="16" spans="1:24" ht="13" thickBot="1">
      <c r="A16" s="152"/>
      <c r="B16" s="152"/>
      <c r="C16" s="54"/>
      <c r="D16" s="34"/>
      <c r="F16" s="167"/>
      <c r="G16" s="49"/>
      <c r="H16" s="67"/>
      <c r="I16" s="50"/>
      <c r="J16" s="50"/>
      <c r="K16" s="50"/>
      <c r="L16" s="50"/>
      <c r="M16" s="146"/>
      <c r="O16" s="146"/>
      <c r="T16" s="50"/>
      <c r="U16" s="33"/>
      <c r="V16" s="33"/>
      <c r="W16" s="33"/>
      <c r="X16" s="33"/>
    </row>
    <row r="17" spans="1:33" ht="13" thickBot="1">
      <c r="C17" s="526"/>
      <c r="D17" s="582" t="s">
        <v>501</v>
      </c>
      <c r="E17" s="583" t="s">
        <v>254</v>
      </c>
      <c r="F17" s="96" t="s">
        <v>285</v>
      </c>
      <c r="G17" s="96" t="s">
        <v>285</v>
      </c>
      <c r="H17" s="304" t="s">
        <v>285</v>
      </c>
      <c r="I17" s="96" t="s">
        <v>285</v>
      </c>
      <c r="J17" s="581" t="s">
        <v>227</v>
      </c>
      <c r="K17" s="96" t="s">
        <v>285</v>
      </c>
      <c r="L17" s="304" t="s">
        <v>285</v>
      </c>
      <c r="M17" s="93"/>
      <c r="N17" s="13"/>
      <c r="O17" s="93"/>
      <c r="P17" s="13"/>
      <c r="Q17" s="96"/>
      <c r="R17" s="101"/>
      <c r="S17" s="96"/>
      <c r="T17" s="93"/>
      <c r="U17" s="96"/>
      <c r="V17" s="96"/>
      <c r="W17" s="304"/>
      <c r="X17" s="304"/>
      <c r="Y17" s="304"/>
      <c r="AB17" s="560" t="s">
        <v>266</v>
      </c>
      <c r="AF17" s="561" t="s">
        <v>267</v>
      </c>
    </row>
    <row r="18" spans="1:33" ht="13" thickBot="1">
      <c r="A18" s="22" t="s">
        <v>95</v>
      </c>
      <c r="B18" s="22" t="s">
        <v>100</v>
      </c>
      <c r="C18" s="36" t="s">
        <v>67</v>
      </c>
      <c r="D18" s="450" t="s">
        <v>230</v>
      </c>
      <c r="E18" s="528" t="s">
        <v>229</v>
      </c>
      <c r="F18" s="176" t="s">
        <v>288</v>
      </c>
      <c r="G18" s="545" t="s">
        <v>289</v>
      </c>
      <c r="H18" s="442" t="s">
        <v>290</v>
      </c>
      <c r="I18" s="313" t="s">
        <v>105</v>
      </c>
      <c r="J18" s="93"/>
      <c r="K18" s="94" t="s">
        <v>104</v>
      </c>
      <c r="L18" s="95" t="s">
        <v>106</v>
      </c>
      <c r="M18" s="102"/>
      <c r="N18" s="427" t="s">
        <v>372</v>
      </c>
      <c r="O18" s="102"/>
      <c r="P18" s="313" t="s">
        <v>478</v>
      </c>
      <c r="Q18" s="156" t="s">
        <v>479</v>
      </c>
      <c r="R18" s="149"/>
      <c r="S18" s="327" t="s">
        <v>291</v>
      </c>
      <c r="T18" s="93"/>
      <c r="U18" s="103" t="s">
        <v>111</v>
      </c>
      <c r="V18" s="74" t="s">
        <v>112</v>
      </c>
      <c r="W18" s="103" t="s">
        <v>113</v>
      </c>
      <c r="X18" s="103" t="s">
        <v>223</v>
      </c>
      <c r="Y18" s="307" t="s">
        <v>224</v>
      </c>
      <c r="AA18" s="562" t="s">
        <v>263</v>
      </c>
      <c r="AB18" s="563" t="s">
        <v>264</v>
      </c>
      <c r="AC18" s="563" t="s">
        <v>265</v>
      </c>
      <c r="AE18" s="562" t="s">
        <v>263</v>
      </c>
      <c r="AF18" s="563" t="s">
        <v>264</v>
      </c>
      <c r="AG18" s="563" t="s">
        <v>265</v>
      </c>
    </row>
    <row r="19" spans="1:33">
      <c r="A19" s="472" t="s">
        <v>109</v>
      </c>
      <c r="B19" s="472" t="s">
        <v>110</v>
      </c>
      <c r="C19" s="373" t="s">
        <v>320</v>
      </c>
      <c r="D19" s="449"/>
      <c r="E19" s="529">
        <f>VLOOKUP(C19,'Q1 DMV -  Revenue'!C:S,17,FALSE)</f>
        <v>-200</v>
      </c>
      <c r="F19" s="579"/>
      <c r="G19" s="579"/>
      <c r="H19" s="524"/>
      <c r="I19" s="379">
        <f t="shared" ref="I19:I22" si="0">SUM(D19:H19)</f>
        <v>-200</v>
      </c>
      <c r="J19" s="31"/>
      <c r="K19" s="84"/>
      <c r="L19" s="42">
        <v>200</v>
      </c>
      <c r="M19" s="31">
        <v>0</v>
      </c>
      <c r="N19" s="429"/>
      <c r="O19" s="31">
        <v>0</v>
      </c>
      <c r="P19" s="426">
        <f t="shared" ref="P19:P160" si="1">K19+L19</f>
        <v>200</v>
      </c>
      <c r="Q19" s="178"/>
      <c r="R19" s="384"/>
      <c r="S19" s="385">
        <f>Q19-P19</f>
        <v>-200</v>
      </c>
      <c r="T19" s="380"/>
      <c r="U19" s="474">
        <f t="shared" ref="U19:U83" si="2">IF(B19="D",P19,0)</f>
        <v>200</v>
      </c>
      <c r="V19" s="474">
        <f t="shared" ref="V19:V83" si="3">IF(B19="M",P19,0)</f>
        <v>0</v>
      </c>
      <c r="W19" s="475">
        <f t="shared" ref="W19:W83" si="4">IF(B19="V",P19,0)</f>
        <v>0</v>
      </c>
      <c r="X19" s="475">
        <v>0</v>
      </c>
      <c r="Y19" s="476">
        <v>0</v>
      </c>
      <c r="Z19" s="38">
        <f>(K19+L19)-(U19+V19+W19+X19+Y19)</f>
        <v>0</v>
      </c>
      <c r="AA19" s="564">
        <f t="shared" ref="AA19" si="5">IF(B19="D",I19,0)</f>
        <v>-200</v>
      </c>
      <c r="AB19" s="564">
        <f t="shared" ref="AB19" si="6">IF(B19="M",I19,0)</f>
        <v>0</v>
      </c>
      <c r="AC19" s="564">
        <f t="shared" ref="AC19" si="7">IF(B19="V",I19,0)</f>
        <v>0</v>
      </c>
      <c r="AE19" s="564">
        <f t="shared" ref="AE19" si="8">IF(B19="D",P19,0)</f>
        <v>200</v>
      </c>
      <c r="AF19" s="564">
        <f t="shared" ref="AF19" si="9">IF(B19="M",P19,0)</f>
        <v>0</v>
      </c>
      <c r="AG19" s="564">
        <f t="shared" ref="AG19" si="10">IF(B19="V",P19,0)</f>
        <v>0</v>
      </c>
    </row>
    <row r="20" spans="1:33">
      <c r="A20" s="372" t="s">
        <v>109</v>
      </c>
      <c r="B20" s="472" t="s">
        <v>109</v>
      </c>
      <c r="C20" s="373" t="s">
        <v>382</v>
      </c>
      <c r="D20" s="449"/>
      <c r="E20" s="529">
        <f>VLOOKUP(C20,'Q1 DMV -  Revenue'!C:S,17,FALSE)</f>
        <v>-7000</v>
      </c>
      <c r="F20" s="579"/>
      <c r="G20" s="579"/>
      <c r="H20" s="524"/>
      <c r="I20" s="379">
        <f t="shared" si="0"/>
        <v>-7000</v>
      </c>
      <c r="J20" s="31"/>
      <c r="K20" s="84"/>
      <c r="L20" s="42">
        <v>7000</v>
      </c>
      <c r="M20" s="31">
        <v>0</v>
      </c>
      <c r="N20" s="429"/>
      <c r="O20" s="31">
        <v>0</v>
      </c>
      <c r="P20" s="426">
        <f t="shared" si="1"/>
        <v>7000</v>
      </c>
      <c r="Q20" s="178"/>
      <c r="R20" s="384"/>
      <c r="S20" s="385">
        <f t="shared" ref="S20:S83" si="11">Q20-P20</f>
        <v>-7000</v>
      </c>
      <c r="T20" s="380"/>
      <c r="U20" s="474">
        <f t="shared" si="2"/>
        <v>0</v>
      </c>
      <c r="V20" s="474">
        <f t="shared" si="3"/>
        <v>7000</v>
      </c>
      <c r="W20" s="475">
        <f t="shared" si="4"/>
        <v>0</v>
      </c>
      <c r="X20" s="475">
        <v>0</v>
      </c>
      <c r="Y20" s="476">
        <v>0</v>
      </c>
      <c r="Z20" s="38">
        <f t="shared" ref="Z20:Z84" si="12">(K20+L20)-(U20+V20+W20+X20+Y20)</f>
        <v>0</v>
      </c>
      <c r="AA20" s="564">
        <f t="shared" ref="AA20:AA84" si="13">IF(B20="D",I20,0)</f>
        <v>0</v>
      </c>
      <c r="AB20" s="564">
        <f t="shared" ref="AB20:AB84" si="14">IF(B20="M",I20,0)</f>
        <v>-7000</v>
      </c>
      <c r="AC20" s="564">
        <f t="shared" ref="AC20:AC84" si="15">IF(B20="V",I20,0)</f>
        <v>0</v>
      </c>
      <c r="AE20" s="564">
        <f t="shared" ref="AE20:AE84" si="16">IF(B20="D",P20,0)</f>
        <v>0</v>
      </c>
      <c r="AF20" s="564">
        <f t="shared" ref="AF20:AF84" si="17">IF(B20="M",P20,0)</f>
        <v>7000</v>
      </c>
      <c r="AG20" s="564">
        <f t="shared" ref="AG20:AG84" si="18">IF(B20="V",P20,0)</f>
        <v>0</v>
      </c>
    </row>
    <row r="21" spans="1:33">
      <c r="A21" s="20" t="s">
        <v>109</v>
      </c>
      <c r="B21" s="20" t="s">
        <v>110</v>
      </c>
      <c r="C21" s="123" t="s">
        <v>317</v>
      </c>
      <c r="D21" s="449"/>
      <c r="E21" s="529">
        <f>VLOOKUP(C21,'Q1 DMV -  Revenue'!C:S,17,FALSE)</f>
        <v>2303.0850000000028</v>
      </c>
      <c r="F21" s="576">
        <f>10028.36+5168.54</f>
        <v>15196.900000000001</v>
      </c>
      <c r="G21" s="576">
        <f>10219.94+5435.88</f>
        <v>15655.82</v>
      </c>
      <c r="H21" s="524"/>
      <c r="I21" s="379">
        <f t="shared" si="0"/>
        <v>33155.805000000008</v>
      </c>
      <c r="J21" s="31"/>
      <c r="K21" s="84"/>
      <c r="L21" s="42">
        <f>SUM(F21+G21)/2</f>
        <v>15426.36</v>
      </c>
      <c r="M21" s="31">
        <v>0</v>
      </c>
      <c r="N21" s="429">
        <v>142643.88</v>
      </c>
      <c r="O21" s="31">
        <v>0</v>
      </c>
      <c r="P21" s="426">
        <f t="shared" si="1"/>
        <v>15426.36</v>
      </c>
      <c r="Q21" s="178">
        <f>10989.66+2180.45</f>
        <v>13170.11</v>
      </c>
      <c r="R21" s="295"/>
      <c r="S21" s="385">
        <f t="shared" si="11"/>
        <v>-2256.25</v>
      </c>
      <c r="T21" s="31"/>
      <c r="U21" s="474">
        <f t="shared" si="2"/>
        <v>15426.36</v>
      </c>
      <c r="V21" s="474">
        <f t="shared" si="3"/>
        <v>0</v>
      </c>
      <c r="W21" s="475">
        <f t="shared" si="4"/>
        <v>0</v>
      </c>
      <c r="X21" s="475">
        <v>0</v>
      </c>
      <c r="Y21" s="476">
        <v>0</v>
      </c>
      <c r="Z21" s="38">
        <f t="shared" si="12"/>
        <v>0</v>
      </c>
      <c r="AA21" s="564">
        <f t="shared" si="13"/>
        <v>33155.805000000008</v>
      </c>
      <c r="AB21" s="564">
        <f t="shared" si="14"/>
        <v>0</v>
      </c>
      <c r="AC21" s="564">
        <f t="shared" si="15"/>
        <v>0</v>
      </c>
      <c r="AE21" s="564">
        <f t="shared" si="16"/>
        <v>15426.36</v>
      </c>
      <c r="AF21" s="564">
        <f t="shared" si="17"/>
        <v>0</v>
      </c>
      <c r="AG21" s="564">
        <f t="shared" si="18"/>
        <v>0</v>
      </c>
    </row>
    <row r="22" spans="1:33">
      <c r="A22" s="20" t="s">
        <v>109</v>
      </c>
      <c r="B22" s="20" t="s">
        <v>109</v>
      </c>
      <c r="C22" s="68" t="s">
        <v>393</v>
      </c>
      <c r="D22" s="449"/>
      <c r="E22" s="529">
        <f>VLOOKUP(C22,'Q1 DMV -  Revenue'!C:S,17,FALSE)</f>
        <v>5067.2800000000025</v>
      </c>
      <c r="F22" s="576">
        <v>31832.6</v>
      </c>
      <c r="G22" s="576">
        <v>28545.73</v>
      </c>
      <c r="H22" s="524"/>
      <c r="I22" s="379">
        <f t="shared" si="0"/>
        <v>65445.61</v>
      </c>
      <c r="J22" s="31"/>
      <c r="K22" s="84"/>
      <c r="L22" s="42">
        <f>SUM(F22+G22)/2</f>
        <v>30189.165000000001</v>
      </c>
      <c r="M22" s="31">
        <v>0</v>
      </c>
      <c r="N22" s="429"/>
      <c r="O22" s="31">
        <v>0</v>
      </c>
      <c r="P22" s="426">
        <f t="shared" si="1"/>
        <v>30189.165000000001</v>
      </c>
      <c r="Q22" s="178">
        <v>27968.21</v>
      </c>
      <c r="R22" s="295"/>
      <c r="S22" s="385">
        <f t="shared" si="11"/>
        <v>-2220.9550000000017</v>
      </c>
      <c r="T22" s="31"/>
      <c r="U22" s="474">
        <f t="shared" si="2"/>
        <v>0</v>
      </c>
      <c r="V22" s="474">
        <f t="shared" si="3"/>
        <v>30189.165000000001</v>
      </c>
      <c r="W22" s="475">
        <f t="shared" si="4"/>
        <v>0</v>
      </c>
      <c r="X22" s="475">
        <v>0</v>
      </c>
      <c r="Y22" s="476">
        <v>0</v>
      </c>
      <c r="Z22" s="38">
        <f t="shared" si="12"/>
        <v>0</v>
      </c>
      <c r="AA22" s="564">
        <f t="shared" si="13"/>
        <v>0</v>
      </c>
      <c r="AB22" s="564">
        <f t="shared" si="14"/>
        <v>65445.61</v>
      </c>
      <c r="AC22" s="564">
        <f t="shared" si="15"/>
        <v>0</v>
      </c>
      <c r="AE22" s="564">
        <f t="shared" si="16"/>
        <v>0</v>
      </c>
      <c r="AF22" s="564">
        <f t="shared" si="17"/>
        <v>30189.165000000001</v>
      </c>
      <c r="AG22" s="564">
        <f t="shared" si="18"/>
        <v>0</v>
      </c>
    </row>
    <row r="23" spans="1:33">
      <c r="A23" s="20" t="s">
        <v>109</v>
      </c>
      <c r="B23" s="20" t="s">
        <v>110</v>
      </c>
      <c r="C23" s="68" t="s">
        <v>129</v>
      </c>
      <c r="D23" s="449"/>
      <c r="E23" s="529">
        <f>VLOOKUP(C23,'Q1 DMV -  Revenue'!C:S,17,FALSE)</f>
        <v>23.225000000000009</v>
      </c>
      <c r="F23" s="576">
        <v>70.709999999999994</v>
      </c>
      <c r="G23" s="576">
        <v>76.08</v>
      </c>
      <c r="H23" s="524"/>
      <c r="I23" s="379">
        <f t="shared" ref="I23" si="19">SUM(D23:H23)</f>
        <v>170.01499999999999</v>
      </c>
      <c r="J23" s="31"/>
      <c r="K23" s="84"/>
      <c r="L23" s="42">
        <f>SUM(F23+G23)/2</f>
        <v>73.394999999999996</v>
      </c>
      <c r="M23" s="31">
        <v>0</v>
      </c>
      <c r="N23" s="429"/>
      <c r="O23" s="31">
        <v>0</v>
      </c>
      <c r="P23" s="426">
        <f t="shared" si="1"/>
        <v>73.394999999999996</v>
      </c>
      <c r="Q23" s="178">
        <v>135.79</v>
      </c>
      <c r="R23" s="295"/>
      <c r="S23" s="385">
        <f t="shared" si="11"/>
        <v>62.394999999999996</v>
      </c>
      <c r="T23" s="31"/>
      <c r="U23" s="474">
        <f t="shared" si="2"/>
        <v>73.394999999999996</v>
      </c>
      <c r="V23" s="474">
        <f t="shared" si="3"/>
        <v>0</v>
      </c>
      <c r="W23" s="475">
        <f t="shared" si="4"/>
        <v>0</v>
      </c>
      <c r="X23" s="475">
        <v>0</v>
      </c>
      <c r="Y23" s="476">
        <v>0</v>
      </c>
      <c r="Z23" s="38">
        <f t="shared" si="12"/>
        <v>0</v>
      </c>
      <c r="AA23" s="564">
        <f t="shared" si="13"/>
        <v>170.01499999999999</v>
      </c>
      <c r="AB23" s="564">
        <f t="shared" si="14"/>
        <v>0</v>
      </c>
      <c r="AC23" s="564">
        <f t="shared" si="15"/>
        <v>0</v>
      </c>
      <c r="AE23" s="564">
        <f t="shared" si="16"/>
        <v>73.394999999999996</v>
      </c>
      <c r="AF23" s="564">
        <f t="shared" si="17"/>
        <v>0</v>
      </c>
      <c r="AG23" s="564">
        <f t="shared" si="18"/>
        <v>0</v>
      </c>
    </row>
    <row r="24" spans="1:33">
      <c r="A24" s="20"/>
      <c r="B24" s="20" t="s">
        <v>110</v>
      </c>
      <c r="C24" s="123" t="s">
        <v>380</v>
      </c>
      <c r="D24" s="449"/>
      <c r="E24" s="529">
        <f>VLOOKUP(C24,'Q1 DMV -  Revenue'!C:S,17,FALSE)</f>
        <v>0</v>
      </c>
      <c r="F24" s="576">
        <v>4002.72</v>
      </c>
      <c r="G24" s="579"/>
      <c r="H24" s="524"/>
      <c r="I24" s="379">
        <f t="shared" ref="I24:I30" si="20">SUM(D24:H24)</f>
        <v>4002.72</v>
      </c>
      <c r="J24" s="31"/>
      <c r="K24" s="84"/>
      <c r="L24" s="42">
        <f>F24*2</f>
        <v>8005.44</v>
      </c>
      <c r="M24" s="31">
        <v>0</v>
      </c>
      <c r="N24" s="429">
        <v>10525.16</v>
      </c>
      <c r="O24" s="31">
        <v>0</v>
      </c>
      <c r="P24" s="426">
        <f t="shared" si="1"/>
        <v>8005.44</v>
      </c>
      <c r="Q24" s="178">
        <f>3009.91+3599.75</f>
        <v>6609.66</v>
      </c>
      <c r="R24" s="295"/>
      <c r="S24" s="385">
        <f t="shared" si="11"/>
        <v>-1395.7799999999997</v>
      </c>
      <c r="T24" s="31"/>
      <c r="U24" s="474">
        <f t="shared" si="2"/>
        <v>8005.44</v>
      </c>
      <c r="V24" s="474">
        <f t="shared" si="3"/>
        <v>0</v>
      </c>
      <c r="W24" s="475">
        <f t="shared" si="4"/>
        <v>0</v>
      </c>
      <c r="X24" s="475">
        <v>0</v>
      </c>
      <c r="Y24" s="476">
        <v>0</v>
      </c>
      <c r="Z24" s="38">
        <f t="shared" si="12"/>
        <v>0</v>
      </c>
      <c r="AA24" s="564">
        <f t="shared" si="13"/>
        <v>4002.72</v>
      </c>
      <c r="AB24" s="564">
        <f t="shared" si="14"/>
        <v>0</v>
      </c>
      <c r="AC24" s="564">
        <f t="shared" si="15"/>
        <v>0</v>
      </c>
      <c r="AE24" s="564">
        <f t="shared" si="16"/>
        <v>8005.44</v>
      </c>
      <c r="AF24" s="564">
        <f t="shared" si="17"/>
        <v>0</v>
      </c>
      <c r="AG24" s="564">
        <f t="shared" si="18"/>
        <v>0</v>
      </c>
    </row>
    <row r="25" spans="1:33">
      <c r="A25" s="20"/>
      <c r="B25" s="20" t="s">
        <v>110</v>
      </c>
      <c r="C25" s="123" t="s">
        <v>132</v>
      </c>
      <c r="D25" s="449"/>
      <c r="E25" s="529">
        <f>VLOOKUP(C25,'Q1 DMV -  Revenue'!C:S,17,FALSE)</f>
        <v>0</v>
      </c>
      <c r="F25" s="576">
        <v>4187.34</v>
      </c>
      <c r="G25" s="579"/>
      <c r="H25" s="524"/>
      <c r="I25" s="379">
        <f t="shared" si="20"/>
        <v>4187.34</v>
      </c>
      <c r="J25" s="31"/>
      <c r="K25" s="84"/>
      <c r="L25" s="42">
        <f>F25*2</f>
        <v>8374.68</v>
      </c>
      <c r="M25" s="31">
        <v>0</v>
      </c>
      <c r="N25" s="429"/>
      <c r="O25" s="31">
        <v>0</v>
      </c>
      <c r="P25" s="426">
        <f t="shared" si="1"/>
        <v>8374.68</v>
      </c>
      <c r="Q25" s="178">
        <f>4141.37+3709.92</f>
        <v>7851.29</v>
      </c>
      <c r="R25" s="295"/>
      <c r="S25" s="385">
        <f t="shared" si="11"/>
        <v>-523.39000000000033</v>
      </c>
      <c r="T25" s="31"/>
      <c r="U25" s="474">
        <f t="shared" si="2"/>
        <v>8374.68</v>
      </c>
      <c r="V25" s="474">
        <f t="shared" si="3"/>
        <v>0</v>
      </c>
      <c r="W25" s="475">
        <f t="shared" si="4"/>
        <v>0</v>
      </c>
      <c r="X25" s="475">
        <v>0</v>
      </c>
      <c r="Y25" s="476">
        <v>0</v>
      </c>
      <c r="Z25" s="38">
        <f t="shared" si="12"/>
        <v>0</v>
      </c>
      <c r="AA25" s="564">
        <f t="shared" si="13"/>
        <v>4187.34</v>
      </c>
      <c r="AB25" s="564">
        <f t="shared" si="14"/>
        <v>0</v>
      </c>
      <c r="AC25" s="564">
        <f t="shared" si="15"/>
        <v>0</v>
      </c>
      <c r="AE25" s="564">
        <f t="shared" si="16"/>
        <v>8374.68</v>
      </c>
      <c r="AF25" s="564">
        <f t="shared" si="17"/>
        <v>0</v>
      </c>
      <c r="AG25" s="564">
        <f t="shared" si="18"/>
        <v>0</v>
      </c>
    </row>
    <row r="26" spans="1:33">
      <c r="A26" s="20"/>
      <c r="B26" s="20" t="s">
        <v>110</v>
      </c>
      <c r="C26" s="123" t="s">
        <v>133</v>
      </c>
      <c r="D26" s="449"/>
      <c r="E26" s="529">
        <f>VLOOKUP(C26,'Q1 DMV -  Revenue'!C:S,17,FALSE)</f>
        <v>0</v>
      </c>
      <c r="F26" s="576">
        <v>2335.1</v>
      </c>
      <c r="G26" s="579"/>
      <c r="H26" s="524"/>
      <c r="I26" s="379">
        <f t="shared" si="20"/>
        <v>2335.1</v>
      </c>
      <c r="J26" s="31"/>
      <c r="K26" s="84"/>
      <c r="L26" s="42">
        <f>F26*2</f>
        <v>4670.2</v>
      </c>
      <c r="M26" s="31">
        <v>0</v>
      </c>
      <c r="N26" s="429"/>
      <c r="O26" s="31">
        <v>0</v>
      </c>
      <c r="P26" s="426">
        <f t="shared" si="1"/>
        <v>4670.2</v>
      </c>
      <c r="Q26" s="178">
        <f>2511.6+2406</f>
        <v>4917.6000000000004</v>
      </c>
      <c r="R26" s="295"/>
      <c r="S26" s="385">
        <f t="shared" si="11"/>
        <v>247.40000000000055</v>
      </c>
      <c r="T26" s="31"/>
      <c r="U26" s="474">
        <f t="shared" si="2"/>
        <v>4670.2</v>
      </c>
      <c r="V26" s="474">
        <f t="shared" si="3"/>
        <v>0</v>
      </c>
      <c r="W26" s="475">
        <f t="shared" si="4"/>
        <v>0</v>
      </c>
      <c r="X26" s="475">
        <v>0</v>
      </c>
      <c r="Y26" s="476">
        <v>0</v>
      </c>
      <c r="Z26" s="38">
        <f t="shared" si="12"/>
        <v>0</v>
      </c>
      <c r="AA26" s="564">
        <f t="shared" si="13"/>
        <v>2335.1</v>
      </c>
      <c r="AB26" s="564">
        <f t="shared" si="14"/>
        <v>0</v>
      </c>
      <c r="AC26" s="564">
        <f t="shared" si="15"/>
        <v>0</v>
      </c>
      <c r="AE26" s="564">
        <f t="shared" si="16"/>
        <v>4670.2</v>
      </c>
      <c r="AF26" s="564">
        <f t="shared" si="17"/>
        <v>0</v>
      </c>
      <c r="AG26" s="564">
        <f t="shared" si="18"/>
        <v>0</v>
      </c>
    </row>
    <row r="27" spans="1:33" s="232" customFormat="1">
      <c r="A27" s="283" t="s">
        <v>211</v>
      </c>
      <c r="B27" s="283" t="s">
        <v>109</v>
      </c>
      <c r="C27" s="123" t="s">
        <v>419</v>
      </c>
      <c r="D27" s="449">
        <v>41161.1</v>
      </c>
      <c r="E27" s="529">
        <f>VLOOKUP(C27,'Q1 DMV -  Revenue'!C:S,17,FALSE)</f>
        <v>-39611.85</v>
      </c>
      <c r="F27" s="579"/>
      <c r="G27" s="579"/>
      <c r="H27" s="524"/>
      <c r="I27" s="379">
        <f t="shared" si="20"/>
        <v>1549.25</v>
      </c>
      <c r="J27" s="31"/>
      <c r="K27" s="84"/>
      <c r="L27" s="42">
        <v>40000</v>
      </c>
      <c r="M27" s="31">
        <v>0</v>
      </c>
      <c r="N27" s="429">
        <f>83417.37+356.42</f>
        <v>83773.789999999994</v>
      </c>
      <c r="O27" s="31">
        <v>0</v>
      </c>
      <c r="P27" s="426">
        <f t="shared" si="1"/>
        <v>40000</v>
      </c>
      <c r="Q27" s="178">
        <v>38590.129999999997</v>
      </c>
      <c r="R27" s="295"/>
      <c r="S27" s="385">
        <f t="shared" si="11"/>
        <v>-1409.8700000000026</v>
      </c>
      <c r="T27" s="31"/>
      <c r="U27" s="474">
        <f t="shared" si="2"/>
        <v>0</v>
      </c>
      <c r="V27" s="474">
        <f t="shared" si="3"/>
        <v>40000</v>
      </c>
      <c r="W27" s="475">
        <f t="shared" si="4"/>
        <v>0</v>
      </c>
      <c r="X27" s="475">
        <v>0</v>
      </c>
      <c r="Y27" s="476">
        <v>0</v>
      </c>
      <c r="Z27" s="38">
        <f t="shared" si="12"/>
        <v>0</v>
      </c>
      <c r="AA27" s="564">
        <f t="shared" si="13"/>
        <v>0</v>
      </c>
      <c r="AB27" s="564">
        <f t="shared" si="14"/>
        <v>1549.25</v>
      </c>
      <c r="AC27" s="564">
        <f t="shared" si="15"/>
        <v>0</v>
      </c>
      <c r="AD27" s="559"/>
      <c r="AE27" s="564">
        <f t="shared" si="16"/>
        <v>0</v>
      </c>
      <c r="AF27" s="564">
        <f t="shared" si="17"/>
        <v>40000</v>
      </c>
      <c r="AG27" s="564">
        <f t="shared" si="18"/>
        <v>0</v>
      </c>
    </row>
    <row r="28" spans="1:33" s="232" customFormat="1">
      <c r="A28" s="283"/>
      <c r="B28" s="283" t="s">
        <v>109</v>
      </c>
      <c r="C28" s="413" t="s">
        <v>420</v>
      </c>
      <c r="D28" s="449"/>
      <c r="E28" s="529">
        <f>VLOOKUP(C28,'Q1 DMV -  Revenue'!C:S,17,FALSE)</f>
        <v>-2549.9700000000003</v>
      </c>
      <c r="F28" s="579"/>
      <c r="G28" s="579"/>
      <c r="H28" s="524"/>
      <c r="I28" s="379">
        <f t="shared" si="20"/>
        <v>-2549.9700000000003</v>
      </c>
      <c r="J28" s="31"/>
      <c r="K28" s="84"/>
      <c r="L28" s="42">
        <v>1500</v>
      </c>
      <c r="M28" s="31">
        <v>0</v>
      </c>
      <c r="N28" s="429"/>
      <c r="O28" s="31">
        <v>0</v>
      </c>
      <c r="P28" s="426">
        <f t="shared" si="1"/>
        <v>1500</v>
      </c>
      <c r="Q28" s="178">
        <v>953.88</v>
      </c>
      <c r="R28" s="295"/>
      <c r="S28" s="385">
        <f t="shared" si="11"/>
        <v>-546.12</v>
      </c>
      <c r="T28" s="31"/>
      <c r="U28" s="474">
        <f t="shared" si="2"/>
        <v>0</v>
      </c>
      <c r="V28" s="474">
        <f t="shared" si="3"/>
        <v>1500</v>
      </c>
      <c r="W28" s="475">
        <f t="shared" si="4"/>
        <v>0</v>
      </c>
      <c r="X28" s="475">
        <v>0</v>
      </c>
      <c r="Y28" s="476">
        <v>0</v>
      </c>
      <c r="Z28" s="38">
        <f t="shared" si="12"/>
        <v>0</v>
      </c>
      <c r="AA28" s="564">
        <f t="shared" si="13"/>
        <v>0</v>
      </c>
      <c r="AB28" s="564">
        <f t="shared" si="14"/>
        <v>-2549.9700000000003</v>
      </c>
      <c r="AC28" s="564">
        <f t="shared" si="15"/>
        <v>0</v>
      </c>
      <c r="AD28" s="559"/>
      <c r="AE28" s="564">
        <f t="shared" si="16"/>
        <v>0</v>
      </c>
      <c r="AF28" s="564">
        <f t="shared" si="17"/>
        <v>1500</v>
      </c>
      <c r="AG28" s="564">
        <f t="shared" si="18"/>
        <v>0</v>
      </c>
    </row>
    <row r="29" spans="1:33" s="232" customFormat="1">
      <c r="A29" s="283"/>
      <c r="B29" s="283" t="s">
        <v>109</v>
      </c>
      <c r="C29" s="413" t="s">
        <v>421</v>
      </c>
      <c r="D29" s="449"/>
      <c r="E29" s="529">
        <f>VLOOKUP(C29,'Q1 DMV -  Revenue'!C:S,17,FALSE)</f>
        <v>-1225.49</v>
      </c>
      <c r="F29" s="579"/>
      <c r="G29" s="579"/>
      <c r="H29" s="524"/>
      <c r="I29" s="379">
        <f t="shared" si="20"/>
        <v>-1225.49</v>
      </c>
      <c r="J29" s="31"/>
      <c r="K29" s="84"/>
      <c r="L29" s="42">
        <v>700</v>
      </c>
      <c r="M29" s="31">
        <v>0</v>
      </c>
      <c r="N29" s="429"/>
      <c r="O29" s="31">
        <v>0</v>
      </c>
      <c r="P29" s="426">
        <f t="shared" si="1"/>
        <v>700</v>
      </c>
      <c r="Q29" s="178">
        <v>286.29000000000002</v>
      </c>
      <c r="R29" s="295"/>
      <c r="S29" s="385">
        <f t="shared" si="11"/>
        <v>-413.71</v>
      </c>
      <c r="T29" s="31"/>
      <c r="U29" s="474">
        <f t="shared" si="2"/>
        <v>0</v>
      </c>
      <c r="V29" s="474">
        <f t="shared" si="3"/>
        <v>700</v>
      </c>
      <c r="W29" s="475">
        <f t="shared" si="4"/>
        <v>0</v>
      </c>
      <c r="X29" s="475">
        <v>0</v>
      </c>
      <c r="Y29" s="476">
        <v>0</v>
      </c>
      <c r="Z29" s="38">
        <f t="shared" si="12"/>
        <v>0</v>
      </c>
      <c r="AA29" s="564">
        <f t="shared" si="13"/>
        <v>0</v>
      </c>
      <c r="AB29" s="564">
        <f t="shared" si="14"/>
        <v>-1225.49</v>
      </c>
      <c r="AC29" s="564">
        <f t="shared" si="15"/>
        <v>0</v>
      </c>
      <c r="AD29" s="559"/>
      <c r="AE29" s="564">
        <f t="shared" si="16"/>
        <v>0</v>
      </c>
      <c r="AF29" s="564">
        <f t="shared" si="17"/>
        <v>700</v>
      </c>
      <c r="AG29" s="564">
        <f t="shared" si="18"/>
        <v>0</v>
      </c>
    </row>
    <row r="30" spans="1:33">
      <c r="A30" s="20"/>
      <c r="B30" s="20" t="s">
        <v>110</v>
      </c>
      <c r="C30" s="68" t="s">
        <v>191</v>
      </c>
      <c r="D30" s="449"/>
      <c r="E30" s="529">
        <f>VLOOKUP(C30,'Q1 DMV -  Revenue'!C:S,17,FALSE)</f>
        <v>-5.3000000000000114</v>
      </c>
      <c r="F30" s="576">
        <v>224.74</v>
      </c>
      <c r="G30" s="576">
        <v>431.07</v>
      </c>
      <c r="H30" s="525">
        <v>148.11000000000001</v>
      </c>
      <c r="I30" s="379">
        <f t="shared" si="20"/>
        <v>798.62</v>
      </c>
      <c r="J30" s="31"/>
      <c r="K30" s="84"/>
      <c r="L30" s="42">
        <v>0</v>
      </c>
      <c r="M30" s="31">
        <v>0</v>
      </c>
      <c r="N30" s="429">
        <v>1492.47</v>
      </c>
      <c r="O30" s="31">
        <v>0</v>
      </c>
      <c r="P30" s="426">
        <f t="shared" si="1"/>
        <v>0</v>
      </c>
      <c r="Q30" s="178"/>
      <c r="R30" s="295"/>
      <c r="S30" s="385">
        <f t="shared" si="11"/>
        <v>0</v>
      </c>
      <c r="T30" s="31"/>
      <c r="U30" s="474">
        <f t="shared" si="2"/>
        <v>0</v>
      </c>
      <c r="V30" s="474">
        <f t="shared" si="3"/>
        <v>0</v>
      </c>
      <c r="W30" s="475">
        <f t="shared" si="4"/>
        <v>0</v>
      </c>
      <c r="X30" s="475">
        <v>0</v>
      </c>
      <c r="Y30" s="476">
        <v>0</v>
      </c>
      <c r="Z30" s="38">
        <f t="shared" si="12"/>
        <v>0</v>
      </c>
      <c r="AA30" s="564">
        <f t="shared" si="13"/>
        <v>798.62</v>
      </c>
      <c r="AB30" s="564">
        <f t="shared" si="14"/>
        <v>0</v>
      </c>
      <c r="AC30" s="564">
        <f t="shared" si="15"/>
        <v>0</v>
      </c>
      <c r="AE30" s="564">
        <f t="shared" si="16"/>
        <v>0</v>
      </c>
      <c r="AF30" s="564">
        <f t="shared" si="17"/>
        <v>0</v>
      </c>
      <c r="AG30" s="564">
        <f t="shared" si="18"/>
        <v>0</v>
      </c>
    </row>
    <row r="31" spans="1:33">
      <c r="A31" s="20"/>
      <c r="B31" s="20" t="s">
        <v>109</v>
      </c>
      <c r="C31" s="68" t="s">
        <v>1</v>
      </c>
      <c r="D31" s="449"/>
      <c r="E31" s="529">
        <f>VLOOKUP(C31,'Q1 DMV -  Revenue'!C:S,17,FALSE)</f>
        <v>0</v>
      </c>
      <c r="F31" s="579"/>
      <c r="G31" s="579"/>
      <c r="H31" s="524"/>
      <c r="I31" s="379">
        <f t="shared" ref="I31" si="21">SUM(D31:H31)</f>
        <v>0</v>
      </c>
      <c r="J31" s="31"/>
      <c r="K31" s="84"/>
      <c r="L31" s="42">
        <v>0</v>
      </c>
      <c r="M31" s="31">
        <v>0</v>
      </c>
      <c r="N31" s="429"/>
      <c r="O31" s="31">
        <v>0</v>
      </c>
      <c r="P31" s="426">
        <f t="shared" si="1"/>
        <v>0</v>
      </c>
      <c r="Q31" s="178"/>
      <c r="R31" s="295"/>
      <c r="S31" s="385">
        <f t="shared" si="11"/>
        <v>0</v>
      </c>
      <c r="T31" s="31"/>
      <c r="U31" s="474">
        <f t="shared" si="2"/>
        <v>0</v>
      </c>
      <c r="V31" s="474">
        <f t="shared" si="3"/>
        <v>0</v>
      </c>
      <c r="W31" s="475">
        <f t="shared" si="4"/>
        <v>0</v>
      </c>
      <c r="X31" s="475">
        <v>0</v>
      </c>
      <c r="Y31" s="476">
        <v>0</v>
      </c>
      <c r="Z31" s="38">
        <f t="shared" si="12"/>
        <v>0</v>
      </c>
      <c r="AA31" s="564">
        <f t="shared" si="13"/>
        <v>0</v>
      </c>
      <c r="AB31" s="564">
        <f t="shared" si="14"/>
        <v>0</v>
      </c>
      <c r="AC31" s="564">
        <f t="shared" si="15"/>
        <v>0</v>
      </c>
      <c r="AE31" s="564">
        <f t="shared" si="16"/>
        <v>0</v>
      </c>
      <c r="AF31" s="564">
        <f t="shared" si="17"/>
        <v>0</v>
      </c>
      <c r="AG31" s="564">
        <f t="shared" si="18"/>
        <v>0</v>
      </c>
    </row>
    <row r="32" spans="1:33">
      <c r="A32" s="20"/>
      <c r="B32" s="20" t="s">
        <v>109</v>
      </c>
      <c r="C32" s="68" t="s">
        <v>385</v>
      </c>
      <c r="D32" s="449"/>
      <c r="E32" s="529">
        <f>VLOOKUP(C32,'Q1 DMV -  Revenue'!C:S,17,FALSE)</f>
        <v>474.71500000000015</v>
      </c>
      <c r="F32" s="576">
        <v>1911.37</v>
      </c>
      <c r="G32" s="576">
        <v>1871.65</v>
      </c>
      <c r="H32" s="524"/>
      <c r="I32" s="379">
        <f t="shared" ref="I32:I90" si="22">SUM(D32:H32)</f>
        <v>4257.7350000000006</v>
      </c>
      <c r="J32" s="31"/>
      <c r="K32" s="84"/>
      <c r="L32" s="42">
        <f>SUM(F32+G32)/2</f>
        <v>1891.51</v>
      </c>
      <c r="M32" s="31">
        <v>0</v>
      </c>
      <c r="N32" s="429">
        <v>5891.28</v>
      </c>
      <c r="O32" s="31">
        <v>0</v>
      </c>
      <c r="P32" s="426">
        <f t="shared" si="1"/>
        <v>1891.51</v>
      </c>
      <c r="Q32" s="178">
        <v>1990.22</v>
      </c>
      <c r="R32" s="295"/>
      <c r="S32" s="385">
        <f t="shared" si="11"/>
        <v>98.710000000000036</v>
      </c>
      <c r="T32" s="380"/>
      <c r="U32" s="474">
        <f t="shared" si="2"/>
        <v>0</v>
      </c>
      <c r="V32" s="474">
        <f t="shared" si="3"/>
        <v>1891.51</v>
      </c>
      <c r="W32" s="475">
        <f t="shared" si="4"/>
        <v>0</v>
      </c>
      <c r="X32" s="475">
        <v>0</v>
      </c>
      <c r="Y32" s="476">
        <v>0</v>
      </c>
      <c r="Z32" s="38">
        <f t="shared" si="12"/>
        <v>0</v>
      </c>
      <c r="AA32" s="564">
        <f t="shared" si="13"/>
        <v>0</v>
      </c>
      <c r="AB32" s="564">
        <f t="shared" si="14"/>
        <v>4257.7350000000006</v>
      </c>
      <c r="AC32" s="564">
        <f t="shared" si="15"/>
        <v>0</v>
      </c>
      <c r="AE32" s="564">
        <f t="shared" si="16"/>
        <v>0</v>
      </c>
      <c r="AF32" s="564">
        <f t="shared" si="17"/>
        <v>1891.51</v>
      </c>
      <c r="AG32" s="564">
        <f t="shared" si="18"/>
        <v>0</v>
      </c>
    </row>
    <row r="33" spans="1:33" s="232" customFormat="1">
      <c r="A33" s="283"/>
      <c r="B33" s="283" t="s">
        <v>110</v>
      </c>
      <c r="C33" s="123" t="s">
        <v>401</v>
      </c>
      <c r="D33" s="449"/>
      <c r="E33" s="529">
        <f>VLOOKUP(C33,'Q1 DMV -  Revenue'!C:S,17,FALSE)</f>
        <v>52705.400000000023</v>
      </c>
      <c r="F33" s="576">
        <v>287685</v>
      </c>
      <c r="G33" s="576">
        <v>308524.59999999998</v>
      </c>
      <c r="H33" s="524"/>
      <c r="I33" s="379">
        <f t="shared" si="22"/>
        <v>648915</v>
      </c>
      <c r="J33" s="31"/>
      <c r="K33" s="84"/>
      <c r="L33" s="42">
        <f>SUM(F33+G33)/2</f>
        <v>298104.8</v>
      </c>
      <c r="M33" s="31">
        <v>0</v>
      </c>
      <c r="N33" s="429">
        <v>1011575.6</v>
      </c>
      <c r="O33" s="31">
        <v>0</v>
      </c>
      <c r="P33" s="426">
        <f t="shared" si="1"/>
        <v>298104.8</v>
      </c>
      <c r="Q33" s="178">
        <v>301149.99</v>
      </c>
      <c r="R33" s="295"/>
      <c r="S33" s="385">
        <f t="shared" si="11"/>
        <v>3045.1900000000023</v>
      </c>
      <c r="T33" s="31"/>
      <c r="U33" s="474">
        <f t="shared" si="2"/>
        <v>298104.8</v>
      </c>
      <c r="V33" s="474">
        <f t="shared" si="3"/>
        <v>0</v>
      </c>
      <c r="W33" s="475">
        <f t="shared" si="4"/>
        <v>0</v>
      </c>
      <c r="X33" s="475">
        <v>0</v>
      </c>
      <c r="Y33" s="476">
        <v>0</v>
      </c>
      <c r="Z33" s="38">
        <f t="shared" si="12"/>
        <v>0</v>
      </c>
      <c r="AA33" s="564">
        <f t="shared" si="13"/>
        <v>648915</v>
      </c>
      <c r="AB33" s="564">
        <f t="shared" si="14"/>
        <v>0</v>
      </c>
      <c r="AC33" s="564">
        <f t="shared" si="15"/>
        <v>0</v>
      </c>
      <c r="AD33" s="559"/>
      <c r="AE33" s="564">
        <f t="shared" si="16"/>
        <v>298104.8</v>
      </c>
      <c r="AF33" s="564">
        <f t="shared" si="17"/>
        <v>0</v>
      </c>
      <c r="AG33" s="564">
        <f t="shared" si="18"/>
        <v>0</v>
      </c>
    </row>
    <row r="34" spans="1:33" s="232" customFormat="1">
      <c r="A34" s="283"/>
      <c r="B34" s="283" t="s">
        <v>110</v>
      </c>
      <c r="C34" s="123" t="s">
        <v>402</v>
      </c>
      <c r="D34" s="449"/>
      <c r="E34" s="529">
        <f>VLOOKUP(C34,'Q1 DMV -  Revenue'!C:S,17,FALSE)</f>
        <v>585.89999999999964</v>
      </c>
      <c r="F34" s="576">
        <v>1447.6</v>
      </c>
      <c r="G34" s="590">
        <v>0</v>
      </c>
      <c r="H34" s="591"/>
      <c r="I34" s="379">
        <f t="shared" si="22"/>
        <v>2033.4999999999995</v>
      </c>
      <c r="J34" s="31"/>
      <c r="K34" s="84"/>
      <c r="L34" s="42">
        <v>0</v>
      </c>
      <c r="M34" s="31">
        <v>0</v>
      </c>
      <c r="N34" s="429"/>
      <c r="O34" s="31">
        <v>0</v>
      </c>
      <c r="P34" s="426">
        <f t="shared" si="1"/>
        <v>0</v>
      </c>
      <c r="Q34" s="178"/>
      <c r="R34" s="295"/>
      <c r="S34" s="385">
        <f t="shared" si="11"/>
        <v>0</v>
      </c>
      <c r="T34" s="31"/>
      <c r="U34" s="474">
        <f t="shared" si="2"/>
        <v>0</v>
      </c>
      <c r="V34" s="474">
        <f t="shared" si="3"/>
        <v>0</v>
      </c>
      <c r="W34" s="475">
        <f t="shared" si="4"/>
        <v>0</v>
      </c>
      <c r="X34" s="475">
        <v>0</v>
      </c>
      <c r="Y34" s="476">
        <v>0</v>
      </c>
      <c r="Z34" s="38">
        <f t="shared" si="12"/>
        <v>0</v>
      </c>
      <c r="AA34" s="564">
        <f t="shared" si="13"/>
        <v>2033.4999999999995</v>
      </c>
      <c r="AB34" s="564">
        <f t="shared" si="14"/>
        <v>0</v>
      </c>
      <c r="AC34" s="564">
        <f t="shared" si="15"/>
        <v>0</v>
      </c>
      <c r="AD34" s="559"/>
      <c r="AE34" s="564">
        <f t="shared" si="16"/>
        <v>0</v>
      </c>
      <c r="AF34" s="564">
        <f t="shared" si="17"/>
        <v>0</v>
      </c>
      <c r="AG34" s="564">
        <f t="shared" si="18"/>
        <v>0</v>
      </c>
    </row>
    <row r="35" spans="1:33" s="232" customFormat="1">
      <c r="A35" s="283"/>
      <c r="B35" s="283" t="s">
        <v>110</v>
      </c>
      <c r="C35" s="123" t="s">
        <v>403</v>
      </c>
      <c r="D35" s="449"/>
      <c r="E35" s="529">
        <f>VLOOKUP(C35,'Q1 DMV -  Revenue'!C:S,17,FALSE)</f>
        <v>4556.3000000000029</v>
      </c>
      <c r="F35" s="576">
        <v>52830.65</v>
      </c>
      <c r="G35" s="576">
        <v>60657.72</v>
      </c>
      <c r="H35" s="524"/>
      <c r="I35" s="379">
        <f t="shared" si="22"/>
        <v>118044.67000000001</v>
      </c>
      <c r="J35" s="31"/>
      <c r="K35" s="84"/>
      <c r="L35" s="42">
        <f>SUM(F35+G35)/2</f>
        <v>56744.184999999998</v>
      </c>
      <c r="M35" s="31">
        <v>0</v>
      </c>
      <c r="N35" s="429">
        <v>473911.82</v>
      </c>
      <c r="O35" s="31">
        <v>0</v>
      </c>
      <c r="P35" s="426">
        <f t="shared" si="1"/>
        <v>56744.184999999998</v>
      </c>
      <c r="Q35" s="178">
        <v>59056.17</v>
      </c>
      <c r="R35" s="295"/>
      <c r="S35" s="385">
        <f t="shared" si="11"/>
        <v>2311.9850000000006</v>
      </c>
      <c r="T35" s="31"/>
      <c r="U35" s="474">
        <f t="shared" si="2"/>
        <v>56744.184999999998</v>
      </c>
      <c r="V35" s="474">
        <f t="shared" si="3"/>
        <v>0</v>
      </c>
      <c r="W35" s="475">
        <f t="shared" si="4"/>
        <v>0</v>
      </c>
      <c r="X35" s="475">
        <v>0</v>
      </c>
      <c r="Y35" s="476">
        <v>0</v>
      </c>
      <c r="Z35" s="38">
        <f t="shared" si="12"/>
        <v>0</v>
      </c>
      <c r="AA35" s="564">
        <f t="shared" si="13"/>
        <v>118044.67000000001</v>
      </c>
      <c r="AB35" s="564">
        <f t="shared" si="14"/>
        <v>0</v>
      </c>
      <c r="AC35" s="564">
        <f t="shared" si="15"/>
        <v>0</v>
      </c>
      <c r="AD35" s="559"/>
      <c r="AE35" s="564">
        <f t="shared" si="16"/>
        <v>56744.184999999998</v>
      </c>
      <c r="AF35" s="564">
        <f t="shared" si="17"/>
        <v>0</v>
      </c>
      <c r="AG35" s="564">
        <f t="shared" si="18"/>
        <v>0</v>
      </c>
    </row>
    <row r="36" spans="1:33" s="232" customFormat="1">
      <c r="A36" s="283"/>
      <c r="B36" s="283" t="s">
        <v>110</v>
      </c>
      <c r="C36" s="123" t="s">
        <v>404</v>
      </c>
      <c r="D36" s="449"/>
      <c r="E36" s="529">
        <f>VLOOKUP(C36,'Q1 DMV -  Revenue'!C:S,17,FALSE)</f>
        <v>4279.3299999999945</v>
      </c>
      <c r="F36" s="576">
        <v>64963.27</v>
      </c>
      <c r="G36" s="576">
        <v>68456.33</v>
      </c>
      <c r="H36" s="524"/>
      <c r="I36" s="379">
        <f t="shared" si="22"/>
        <v>137698.93</v>
      </c>
      <c r="J36" s="31"/>
      <c r="K36" s="84"/>
      <c r="L36" s="42">
        <f>SUM(F36+G36)/2</f>
        <v>66709.8</v>
      </c>
      <c r="M36" s="31">
        <v>0</v>
      </c>
      <c r="N36" s="429"/>
      <c r="O36" s="31">
        <v>0</v>
      </c>
      <c r="P36" s="426">
        <f t="shared" si="1"/>
        <v>66709.8</v>
      </c>
      <c r="Q36" s="178">
        <v>72609.3</v>
      </c>
      <c r="R36" s="295"/>
      <c r="S36" s="385">
        <f t="shared" si="11"/>
        <v>5899.5</v>
      </c>
      <c r="T36" s="31"/>
      <c r="U36" s="474">
        <f t="shared" si="2"/>
        <v>66709.8</v>
      </c>
      <c r="V36" s="474">
        <f t="shared" si="3"/>
        <v>0</v>
      </c>
      <c r="W36" s="475">
        <f t="shared" si="4"/>
        <v>0</v>
      </c>
      <c r="X36" s="475">
        <v>0</v>
      </c>
      <c r="Y36" s="476">
        <v>0</v>
      </c>
      <c r="Z36" s="38">
        <f t="shared" si="12"/>
        <v>0</v>
      </c>
      <c r="AA36" s="564">
        <f t="shared" si="13"/>
        <v>137698.93</v>
      </c>
      <c r="AB36" s="564">
        <f t="shared" si="14"/>
        <v>0</v>
      </c>
      <c r="AC36" s="564">
        <f t="shared" si="15"/>
        <v>0</v>
      </c>
      <c r="AD36" s="559"/>
      <c r="AE36" s="564">
        <f t="shared" si="16"/>
        <v>66709.8</v>
      </c>
      <c r="AF36" s="564">
        <f t="shared" si="17"/>
        <v>0</v>
      </c>
      <c r="AG36" s="564">
        <f t="shared" si="18"/>
        <v>0</v>
      </c>
    </row>
    <row r="37" spans="1:33" s="232" customFormat="1">
      <c r="A37" s="283"/>
      <c r="B37" s="283" t="s">
        <v>110</v>
      </c>
      <c r="C37" s="123" t="s">
        <v>405</v>
      </c>
      <c r="D37" s="449"/>
      <c r="E37" s="529">
        <f>VLOOKUP(C37,'Q1 DMV -  Revenue'!C:S,17,FALSE)</f>
        <v>-53.819999999999709</v>
      </c>
      <c r="F37" s="576">
        <v>16516.45</v>
      </c>
      <c r="G37" s="576">
        <v>17397.37</v>
      </c>
      <c r="H37" s="524"/>
      <c r="I37" s="379">
        <f t="shared" si="22"/>
        <v>33860</v>
      </c>
      <c r="J37" s="31"/>
      <c r="K37" s="84"/>
      <c r="L37" s="42">
        <f>SUM(F37+G37)/2</f>
        <v>16956.91</v>
      </c>
      <c r="M37" s="31">
        <v>0</v>
      </c>
      <c r="N37" s="429"/>
      <c r="O37" s="31">
        <v>0</v>
      </c>
      <c r="P37" s="426">
        <f t="shared" si="1"/>
        <v>16956.91</v>
      </c>
      <c r="Q37" s="178">
        <v>17382.95</v>
      </c>
      <c r="R37" s="295"/>
      <c r="S37" s="385">
        <f t="shared" si="11"/>
        <v>426.04000000000087</v>
      </c>
      <c r="T37" s="31"/>
      <c r="U37" s="474">
        <f t="shared" si="2"/>
        <v>16956.91</v>
      </c>
      <c r="V37" s="474">
        <f t="shared" si="3"/>
        <v>0</v>
      </c>
      <c r="W37" s="475">
        <f t="shared" si="4"/>
        <v>0</v>
      </c>
      <c r="X37" s="475">
        <v>0</v>
      </c>
      <c r="Y37" s="476">
        <v>0</v>
      </c>
      <c r="Z37" s="38">
        <f t="shared" si="12"/>
        <v>0</v>
      </c>
      <c r="AA37" s="564">
        <f t="shared" si="13"/>
        <v>33860</v>
      </c>
      <c r="AB37" s="564">
        <f t="shared" si="14"/>
        <v>0</v>
      </c>
      <c r="AC37" s="564">
        <f t="shared" si="15"/>
        <v>0</v>
      </c>
      <c r="AD37" s="559"/>
      <c r="AE37" s="564">
        <f t="shared" si="16"/>
        <v>16956.91</v>
      </c>
      <c r="AF37" s="564">
        <f t="shared" si="17"/>
        <v>0</v>
      </c>
      <c r="AG37" s="564">
        <f t="shared" si="18"/>
        <v>0</v>
      </c>
    </row>
    <row r="38" spans="1:33" s="232" customFormat="1">
      <c r="A38" s="283"/>
      <c r="B38" s="283" t="s">
        <v>110</v>
      </c>
      <c r="C38" s="123" t="s">
        <v>406</v>
      </c>
      <c r="D38" s="449"/>
      <c r="E38" s="529">
        <f>VLOOKUP(C38,'Q1 DMV -  Revenue'!C:S,17,FALSE)</f>
        <v>751.61000000000058</v>
      </c>
      <c r="F38" s="576">
        <v>5200.1400000000003</v>
      </c>
      <c r="G38" s="576">
        <v>5350.71</v>
      </c>
      <c r="H38" s="524"/>
      <c r="I38" s="379">
        <f t="shared" si="22"/>
        <v>11302.460000000001</v>
      </c>
      <c r="J38" s="31"/>
      <c r="K38" s="84"/>
      <c r="L38" s="42">
        <f>SUM(F38+G38)/2</f>
        <v>5275.4250000000002</v>
      </c>
      <c r="M38" s="31">
        <v>0</v>
      </c>
      <c r="N38" s="429"/>
      <c r="O38" s="31">
        <v>0</v>
      </c>
      <c r="P38" s="426">
        <f t="shared" si="1"/>
        <v>5275.4250000000002</v>
      </c>
      <c r="Q38" s="178">
        <v>5479.82</v>
      </c>
      <c r="R38" s="295"/>
      <c r="S38" s="385">
        <f t="shared" si="11"/>
        <v>204.39499999999953</v>
      </c>
      <c r="T38" s="31"/>
      <c r="U38" s="474">
        <f t="shared" si="2"/>
        <v>5275.4250000000002</v>
      </c>
      <c r="V38" s="474">
        <f t="shared" si="3"/>
        <v>0</v>
      </c>
      <c r="W38" s="475">
        <f t="shared" si="4"/>
        <v>0</v>
      </c>
      <c r="X38" s="475">
        <v>0</v>
      </c>
      <c r="Y38" s="476">
        <v>0</v>
      </c>
      <c r="Z38" s="38">
        <f t="shared" si="12"/>
        <v>0</v>
      </c>
      <c r="AA38" s="564">
        <f t="shared" si="13"/>
        <v>11302.460000000001</v>
      </c>
      <c r="AB38" s="564">
        <f t="shared" si="14"/>
        <v>0</v>
      </c>
      <c r="AC38" s="564">
        <f t="shared" si="15"/>
        <v>0</v>
      </c>
      <c r="AD38" s="559"/>
      <c r="AE38" s="564">
        <f t="shared" si="16"/>
        <v>5275.4250000000002</v>
      </c>
      <c r="AF38" s="564">
        <f t="shared" si="17"/>
        <v>0</v>
      </c>
      <c r="AG38" s="564">
        <f t="shared" si="18"/>
        <v>0</v>
      </c>
    </row>
    <row r="39" spans="1:33" s="232" customFormat="1">
      <c r="A39" s="283"/>
      <c r="B39" s="283" t="s">
        <v>110</v>
      </c>
      <c r="C39" s="123" t="s">
        <v>407</v>
      </c>
      <c r="D39" s="449"/>
      <c r="E39" s="529">
        <f>VLOOKUP(C39,'Q1 DMV -  Revenue'!C:S,17,FALSE)</f>
        <v>243.1400000000001</v>
      </c>
      <c r="F39" s="576">
        <v>1784.61</v>
      </c>
      <c r="G39" s="576">
        <v>2107.11</v>
      </c>
      <c r="H39" s="524"/>
      <c r="I39" s="379">
        <f t="shared" si="22"/>
        <v>4134.8600000000006</v>
      </c>
      <c r="J39" s="31"/>
      <c r="K39" s="84"/>
      <c r="L39" s="42">
        <f>SUM(F39+G39)/2</f>
        <v>1945.8600000000001</v>
      </c>
      <c r="M39" s="31">
        <v>0</v>
      </c>
      <c r="N39" s="429"/>
      <c r="O39" s="31">
        <v>0</v>
      </c>
      <c r="P39" s="426">
        <f t="shared" si="1"/>
        <v>1945.8600000000001</v>
      </c>
      <c r="Q39" s="178">
        <v>2031.84</v>
      </c>
      <c r="R39" s="295"/>
      <c r="S39" s="385">
        <f t="shared" si="11"/>
        <v>85.979999999999791</v>
      </c>
      <c r="T39" s="31"/>
      <c r="U39" s="474">
        <f t="shared" si="2"/>
        <v>1945.8600000000001</v>
      </c>
      <c r="V39" s="474">
        <f t="shared" si="3"/>
        <v>0</v>
      </c>
      <c r="W39" s="475">
        <f t="shared" si="4"/>
        <v>0</v>
      </c>
      <c r="X39" s="475">
        <v>0</v>
      </c>
      <c r="Y39" s="476">
        <v>0</v>
      </c>
      <c r="Z39" s="38">
        <f t="shared" si="12"/>
        <v>0</v>
      </c>
      <c r="AA39" s="564">
        <f t="shared" si="13"/>
        <v>4134.8600000000006</v>
      </c>
      <c r="AB39" s="564">
        <f t="shared" si="14"/>
        <v>0</v>
      </c>
      <c r="AC39" s="564">
        <f t="shared" si="15"/>
        <v>0</v>
      </c>
      <c r="AD39" s="559"/>
      <c r="AE39" s="564">
        <f t="shared" si="16"/>
        <v>1945.8600000000001</v>
      </c>
      <c r="AF39" s="564">
        <f t="shared" si="17"/>
        <v>0</v>
      </c>
      <c r="AG39" s="564">
        <f t="shared" si="18"/>
        <v>0</v>
      </c>
    </row>
    <row r="40" spans="1:33" s="232" customFormat="1">
      <c r="A40" s="283"/>
      <c r="B40" s="283" t="s">
        <v>110</v>
      </c>
      <c r="C40" s="123" t="s">
        <v>447</v>
      </c>
      <c r="D40" s="449"/>
      <c r="E40" s="529">
        <f>VLOOKUP(C40,'Q1 DMV -  Revenue'!C:S,17,FALSE)</f>
        <v>265.65999999999985</v>
      </c>
      <c r="F40" s="576">
        <v>11731.52</v>
      </c>
      <c r="G40" s="579"/>
      <c r="H40" s="524"/>
      <c r="I40" s="379">
        <f t="shared" si="22"/>
        <v>11997.18</v>
      </c>
      <c r="J40" s="31"/>
      <c r="K40" s="84"/>
      <c r="L40" s="42">
        <f>F40*2</f>
        <v>23463.040000000001</v>
      </c>
      <c r="M40" s="31">
        <v>0</v>
      </c>
      <c r="N40" s="429"/>
      <c r="O40" s="31">
        <v>0</v>
      </c>
      <c r="P40" s="426">
        <f t="shared" si="1"/>
        <v>23463.040000000001</v>
      </c>
      <c r="Q40" s="178">
        <f>12480.37+13828.19</f>
        <v>26308.560000000001</v>
      </c>
      <c r="R40" s="295"/>
      <c r="S40" s="385">
        <f t="shared" si="11"/>
        <v>2845.5200000000004</v>
      </c>
      <c r="T40" s="31"/>
      <c r="U40" s="474">
        <f t="shared" si="2"/>
        <v>23463.040000000001</v>
      </c>
      <c r="V40" s="474">
        <f t="shared" si="3"/>
        <v>0</v>
      </c>
      <c r="W40" s="475">
        <f t="shared" si="4"/>
        <v>0</v>
      </c>
      <c r="X40" s="475">
        <v>0</v>
      </c>
      <c r="Y40" s="476">
        <v>0</v>
      </c>
      <c r="Z40" s="38">
        <f t="shared" si="12"/>
        <v>0</v>
      </c>
      <c r="AA40" s="564">
        <f t="shared" si="13"/>
        <v>11997.18</v>
      </c>
      <c r="AB40" s="564">
        <f t="shared" si="14"/>
        <v>0</v>
      </c>
      <c r="AC40" s="564">
        <f t="shared" si="15"/>
        <v>0</v>
      </c>
      <c r="AD40" s="559"/>
      <c r="AE40" s="564">
        <f t="shared" si="16"/>
        <v>23463.040000000001</v>
      </c>
      <c r="AF40" s="564">
        <f t="shared" si="17"/>
        <v>0</v>
      </c>
      <c r="AG40" s="564">
        <f t="shared" si="18"/>
        <v>0</v>
      </c>
    </row>
    <row r="41" spans="1:33" s="232" customFormat="1">
      <c r="A41" s="283"/>
      <c r="B41" s="283" t="s">
        <v>110</v>
      </c>
      <c r="C41" s="123" t="s">
        <v>460</v>
      </c>
      <c r="D41" s="449"/>
      <c r="E41" s="529">
        <f>VLOOKUP(C41,'Q1 DMV -  Revenue'!C:S,17,FALSE)</f>
        <v>0</v>
      </c>
      <c r="F41" s="576">
        <v>30341.09</v>
      </c>
      <c r="G41" s="576">
        <v>27950.639999999999</v>
      </c>
      <c r="H41" s="525">
        <v>27220.47</v>
      </c>
      <c r="I41" s="379">
        <f t="shared" si="22"/>
        <v>85512.2</v>
      </c>
      <c r="J41" s="31"/>
      <c r="K41" s="84"/>
      <c r="L41" s="42">
        <v>0</v>
      </c>
      <c r="M41" s="31">
        <v>0</v>
      </c>
      <c r="N41" s="429"/>
      <c r="O41" s="31">
        <v>0</v>
      </c>
      <c r="P41" s="426">
        <f t="shared" si="1"/>
        <v>0</v>
      </c>
      <c r="Q41" s="178"/>
      <c r="R41" s="295"/>
      <c r="S41" s="385">
        <f t="shared" si="11"/>
        <v>0</v>
      </c>
      <c r="T41" s="31"/>
      <c r="U41" s="474">
        <f t="shared" si="2"/>
        <v>0</v>
      </c>
      <c r="V41" s="474">
        <f t="shared" si="3"/>
        <v>0</v>
      </c>
      <c r="W41" s="475">
        <f t="shared" si="4"/>
        <v>0</v>
      </c>
      <c r="X41" s="475">
        <v>0</v>
      </c>
      <c r="Y41" s="476">
        <v>0</v>
      </c>
      <c r="Z41" s="38">
        <f t="shared" si="12"/>
        <v>0</v>
      </c>
      <c r="AA41" s="564">
        <f t="shared" si="13"/>
        <v>85512.2</v>
      </c>
      <c r="AB41" s="564">
        <f t="shared" si="14"/>
        <v>0</v>
      </c>
      <c r="AC41" s="564">
        <f t="shared" si="15"/>
        <v>0</v>
      </c>
      <c r="AD41" s="559"/>
      <c r="AE41" s="564">
        <f t="shared" si="16"/>
        <v>0</v>
      </c>
      <c r="AF41" s="564">
        <f t="shared" si="17"/>
        <v>0</v>
      </c>
      <c r="AG41" s="564">
        <f t="shared" si="18"/>
        <v>0</v>
      </c>
    </row>
    <row r="42" spans="1:33" s="232" customFormat="1">
      <c r="A42" s="403"/>
      <c r="B42" s="403" t="s">
        <v>114</v>
      </c>
      <c r="C42" s="123" t="s">
        <v>108</v>
      </c>
      <c r="D42" s="449"/>
      <c r="E42" s="529">
        <f>VLOOKUP(C42,'Q1 DMV -  Revenue'!C:S,17,FALSE)</f>
        <v>287.1400000000001</v>
      </c>
      <c r="F42" s="576">
        <v>665.15</v>
      </c>
      <c r="G42" s="576">
        <v>455.31</v>
      </c>
      <c r="H42" s="524"/>
      <c r="I42" s="379">
        <f t="shared" si="22"/>
        <v>1407.6000000000001</v>
      </c>
      <c r="J42" s="31"/>
      <c r="K42" s="84"/>
      <c r="L42" s="42">
        <f>SUM(F42+G42)/2</f>
        <v>560.23</v>
      </c>
      <c r="M42" s="31">
        <v>0</v>
      </c>
      <c r="N42" s="429">
        <v>2907.6</v>
      </c>
      <c r="O42" s="31">
        <v>0</v>
      </c>
      <c r="P42" s="426">
        <f t="shared" si="1"/>
        <v>560.23</v>
      </c>
      <c r="Q42" s="178">
        <v>447.84</v>
      </c>
      <c r="R42" s="295"/>
      <c r="S42" s="385">
        <f t="shared" si="11"/>
        <v>-112.39000000000004</v>
      </c>
      <c r="T42" s="31"/>
      <c r="U42" s="474">
        <f t="shared" si="2"/>
        <v>0</v>
      </c>
      <c r="V42" s="474">
        <f t="shared" si="3"/>
        <v>0</v>
      </c>
      <c r="W42" s="475">
        <f t="shared" si="4"/>
        <v>560.23</v>
      </c>
      <c r="X42" s="475">
        <v>0</v>
      </c>
      <c r="Y42" s="476">
        <v>0</v>
      </c>
      <c r="Z42" s="38">
        <f t="shared" si="12"/>
        <v>0</v>
      </c>
      <c r="AA42" s="564">
        <f t="shared" si="13"/>
        <v>0</v>
      </c>
      <c r="AB42" s="564">
        <f t="shared" si="14"/>
        <v>0</v>
      </c>
      <c r="AC42" s="564">
        <f t="shared" si="15"/>
        <v>1407.6000000000001</v>
      </c>
      <c r="AD42" s="559"/>
      <c r="AE42" s="564">
        <f t="shared" si="16"/>
        <v>0</v>
      </c>
      <c r="AF42" s="564">
        <f t="shared" si="17"/>
        <v>0</v>
      </c>
      <c r="AG42" s="564">
        <f t="shared" si="18"/>
        <v>560.23</v>
      </c>
    </row>
    <row r="43" spans="1:33">
      <c r="A43" s="21"/>
      <c r="B43" s="21" t="s">
        <v>110</v>
      </c>
      <c r="C43" s="68" t="s">
        <v>234</v>
      </c>
      <c r="D43" s="449"/>
      <c r="E43" s="529">
        <f>VLOOKUP(C43,'Q1 DMV -  Revenue'!C:S,17,FALSE)</f>
        <v>196.34000000000015</v>
      </c>
      <c r="F43" s="579"/>
      <c r="G43" s="579"/>
      <c r="H43" s="524"/>
      <c r="I43" s="379">
        <f t="shared" si="22"/>
        <v>196.34000000000015</v>
      </c>
      <c r="J43" s="31"/>
      <c r="K43" s="84"/>
      <c r="L43" s="42">
        <v>3000</v>
      </c>
      <c r="M43" s="31">
        <v>0</v>
      </c>
      <c r="N43" s="429">
        <v>3196.34</v>
      </c>
      <c r="O43" s="31">
        <v>0</v>
      </c>
      <c r="P43" s="426">
        <f t="shared" si="1"/>
        <v>3000</v>
      </c>
      <c r="Q43" s="178"/>
      <c r="R43" s="295"/>
      <c r="S43" s="385">
        <f t="shared" si="11"/>
        <v>-3000</v>
      </c>
      <c r="T43" s="31"/>
      <c r="U43" s="474">
        <f t="shared" si="2"/>
        <v>3000</v>
      </c>
      <c r="V43" s="474">
        <f t="shared" si="3"/>
        <v>0</v>
      </c>
      <c r="W43" s="475">
        <f t="shared" si="4"/>
        <v>0</v>
      </c>
      <c r="X43" s="475">
        <v>0</v>
      </c>
      <c r="Y43" s="476">
        <v>0</v>
      </c>
      <c r="Z43" s="38">
        <f t="shared" si="12"/>
        <v>0</v>
      </c>
      <c r="AA43" s="564">
        <f t="shared" si="13"/>
        <v>196.34000000000015</v>
      </c>
      <c r="AB43" s="564">
        <f t="shared" si="14"/>
        <v>0</v>
      </c>
      <c r="AC43" s="564">
        <f t="shared" si="15"/>
        <v>0</v>
      </c>
      <c r="AE43" s="564">
        <f t="shared" si="16"/>
        <v>3000</v>
      </c>
      <c r="AF43" s="564">
        <f t="shared" si="17"/>
        <v>0</v>
      </c>
      <c r="AG43" s="564">
        <f t="shared" si="18"/>
        <v>0</v>
      </c>
    </row>
    <row r="44" spans="1:33">
      <c r="A44" s="21"/>
      <c r="B44" s="21" t="s">
        <v>110</v>
      </c>
      <c r="C44" s="68" t="s">
        <v>3</v>
      </c>
      <c r="D44" s="449"/>
      <c r="E44" s="529">
        <f>VLOOKUP(C44,'Q1 DMV -  Revenue'!C:S,17,FALSE)</f>
        <v>-1000</v>
      </c>
      <c r="F44" s="579"/>
      <c r="G44" s="579"/>
      <c r="H44" s="524"/>
      <c r="I44" s="379">
        <f t="shared" si="22"/>
        <v>-1000</v>
      </c>
      <c r="J44" s="31"/>
      <c r="K44" s="84"/>
      <c r="L44" s="42">
        <v>0</v>
      </c>
      <c r="M44" s="31">
        <v>0</v>
      </c>
      <c r="N44" s="429"/>
      <c r="O44" s="31">
        <v>0</v>
      </c>
      <c r="P44" s="426">
        <f t="shared" si="1"/>
        <v>0</v>
      </c>
      <c r="Q44" s="178"/>
      <c r="R44" s="295"/>
      <c r="S44" s="385">
        <f t="shared" si="11"/>
        <v>0</v>
      </c>
      <c r="T44" s="31"/>
      <c r="U44" s="474">
        <f t="shared" si="2"/>
        <v>0</v>
      </c>
      <c r="V44" s="474">
        <f t="shared" si="3"/>
        <v>0</v>
      </c>
      <c r="W44" s="475">
        <f t="shared" si="4"/>
        <v>0</v>
      </c>
      <c r="X44" s="475">
        <v>0</v>
      </c>
      <c r="Y44" s="476">
        <v>0</v>
      </c>
      <c r="Z44" s="38">
        <f t="shared" si="12"/>
        <v>0</v>
      </c>
      <c r="AA44" s="564">
        <f t="shared" si="13"/>
        <v>-1000</v>
      </c>
      <c r="AB44" s="564">
        <f t="shared" si="14"/>
        <v>0</v>
      </c>
      <c r="AC44" s="564">
        <f t="shared" si="15"/>
        <v>0</v>
      </c>
      <c r="AE44" s="564">
        <f t="shared" si="16"/>
        <v>0</v>
      </c>
      <c r="AF44" s="564">
        <f t="shared" si="17"/>
        <v>0</v>
      </c>
      <c r="AG44" s="564">
        <f t="shared" si="18"/>
        <v>0</v>
      </c>
    </row>
    <row r="45" spans="1:33">
      <c r="A45" s="20"/>
      <c r="B45" s="20" t="s">
        <v>109</v>
      </c>
      <c r="C45" s="68" t="s">
        <v>4</v>
      </c>
      <c r="D45" s="449"/>
      <c r="E45" s="529">
        <f>VLOOKUP(C45,'Q1 DMV -  Revenue'!C:S,17,FALSE)</f>
        <v>-2000</v>
      </c>
      <c r="F45" s="579"/>
      <c r="G45" s="579"/>
      <c r="H45" s="524"/>
      <c r="I45" s="379">
        <f t="shared" si="22"/>
        <v>-2000</v>
      </c>
      <c r="J45" s="31"/>
      <c r="K45" s="84"/>
      <c r="L45" s="42">
        <v>0</v>
      </c>
      <c r="M45" s="31">
        <v>0</v>
      </c>
      <c r="N45" s="429"/>
      <c r="O45" s="31">
        <v>0</v>
      </c>
      <c r="P45" s="426">
        <f t="shared" si="1"/>
        <v>0</v>
      </c>
      <c r="Q45" s="178"/>
      <c r="R45" s="295"/>
      <c r="S45" s="385">
        <f t="shared" si="11"/>
        <v>0</v>
      </c>
      <c r="T45" s="31"/>
      <c r="U45" s="474">
        <f t="shared" si="2"/>
        <v>0</v>
      </c>
      <c r="V45" s="474">
        <f t="shared" si="3"/>
        <v>0</v>
      </c>
      <c r="W45" s="475">
        <f t="shared" si="4"/>
        <v>0</v>
      </c>
      <c r="X45" s="475">
        <v>0</v>
      </c>
      <c r="Y45" s="476">
        <v>0</v>
      </c>
      <c r="Z45" s="38">
        <f t="shared" si="12"/>
        <v>0</v>
      </c>
      <c r="AA45" s="564">
        <f t="shared" si="13"/>
        <v>0</v>
      </c>
      <c r="AB45" s="564">
        <f t="shared" si="14"/>
        <v>-2000</v>
      </c>
      <c r="AC45" s="564">
        <f t="shared" si="15"/>
        <v>0</v>
      </c>
      <c r="AE45" s="564">
        <f t="shared" si="16"/>
        <v>0</v>
      </c>
      <c r="AF45" s="564">
        <f t="shared" si="17"/>
        <v>0</v>
      </c>
      <c r="AG45" s="564">
        <f t="shared" si="18"/>
        <v>0</v>
      </c>
    </row>
    <row r="46" spans="1:33">
      <c r="A46" s="20"/>
      <c r="B46" s="20" t="s">
        <v>109</v>
      </c>
      <c r="C46" s="68" t="s">
        <v>5</v>
      </c>
      <c r="D46" s="449">
        <v>822.92</v>
      </c>
      <c r="E46" s="529">
        <f>VLOOKUP(C46,'Q1 DMV -  Revenue'!C:S,17,FALSE)</f>
        <v>782.74</v>
      </c>
      <c r="F46" s="576">
        <f>8336.26+755.89</f>
        <v>9092.15</v>
      </c>
      <c r="G46" s="576">
        <f>11831.68+302.8</f>
        <v>12134.48</v>
      </c>
      <c r="H46" s="524"/>
      <c r="I46" s="379">
        <f t="shared" si="22"/>
        <v>22832.29</v>
      </c>
      <c r="J46" s="31"/>
      <c r="K46" s="84"/>
      <c r="L46" s="42">
        <f>SUM(F46+G46)/2</f>
        <v>10613.314999999999</v>
      </c>
      <c r="M46" s="31">
        <v>0</v>
      </c>
      <c r="N46" s="429">
        <v>23832.29</v>
      </c>
      <c r="O46" s="31">
        <v>0</v>
      </c>
      <c r="P46" s="426">
        <f t="shared" si="1"/>
        <v>10613.314999999999</v>
      </c>
      <c r="Q46" s="178">
        <v>5024.7299999999996</v>
      </c>
      <c r="R46" s="295"/>
      <c r="S46" s="385">
        <f t="shared" si="11"/>
        <v>-5588.5849999999991</v>
      </c>
      <c r="T46" s="31"/>
      <c r="U46" s="474">
        <f t="shared" si="2"/>
        <v>0</v>
      </c>
      <c r="V46" s="474">
        <f t="shared" si="3"/>
        <v>10613.314999999999</v>
      </c>
      <c r="W46" s="475">
        <f t="shared" si="4"/>
        <v>0</v>
      </c>
      <c r="X46" s="475">
        <v>0</v>
      </c>
      <c r="Y46" s="476">
        <v>0</v>
      </c>
      <c r="Z46" s="38">
        <f t="shared" si="12"/>
        <v>0</v>
      </c>
      <c r="AA46" s="564">
        <f t="shared" si="13"/>
        <v>0</v>
      </c>
      <c r="AB46" s="564">
        <f t="shared" si="14"/>
        <v>22832.29</v>
      </c>
      <c r="AC46" s="564">
        <f t="shared" si="15"/>
        <v>0</v>
      </c>
      <c r="AE46" s="564">
        <f t="shared" si="16"/>
        <v>0</v>
      </c>
      <c r="AF46" s="564">
        <f t="shared" si="17"/>
        <v>10613.314999999999</v>
      </c>
      <c r="AG46" s="564">
        <f t="shared" si="18"/>
        <v>0</v>
      </c>
    </row>
    <row r="47" spans="1:33">
      <c r="A47" s="20"/>
      <c r="B47" s="20" t="s">
        <v>109</v>
      </c>
      <c r="C47" s="68" t="s">
        <v>470</v>
      </c>
      <c r="D47" s="449"/>
      <c r="E47" s="529">
        <f>VLOOKUP(C47,'Q1 DMV -  Revenue'!C:S,17,FALSE)</f>
        <v>-1000</v>
      </c>
      <c r="F47" s="579"/>
      <c r="G47" s="579"/>
      <c r="H47" s="524"/>
      <c r="I47" s="379">
        <f t="shared" si="22"/>
        <v>-1000</v>
      </c>
      <c r="J47" s="31"/>
      <c r="K47" s="84"/>
      <c r="L47" s="42">
        <v>0</v>
      </c>
      <c r="M47" s="31">
        <v>0</v>
      </c>
      <c r="N47" s="429"/>
      <c r="O47" s="31">
        <v>0</v>
      </c>
      <c r="P47" s="426">
        <f t="shared" si="1"/>
        <v>0</v>
      </c>
      <c r="Q47" s="178"/>
      <c r="R47" s="295"/>
      <c r="S47" s="385">
        <f t="shared" si="11"/>
        <v>0</v>
      </c>
      <c r="T47" s="31"/>
      <c r="U47" s="474">
        <f t="shared" si="2"/>
        <v>0</v>
      </c>
      <c r="V47" s="474">
        <f t="shared" si="3"/>
        <v>0</v>
      </c>
      <c r="W47" s="475">
        <f t="shared" si="4"/>
        <v>0</v>
      </c>
      <c r="X47" s="475">
        <v>0</v>
      </c>
      <c r="Y47" s="476">
        <v>0</v>
      </c>
      <c r="Z47" s="38">
        <f t="shared" si="12"/>
        <v>0</v>
      </c>
      <c r="AA47" s="564">
        <f t="shared" si="13"/>
        <v>0</v>
      </c>
      <c r="AB47" s="564">
        <f t="shared" si="14"/>
        <v>-1000</v>
      </c>
      <c r="AC47" s="564">
        <f t="shared" si="15"/>
        <v>0</v>
      </c>
      <c r="AE47" s="564">
        <f t="shared" si="16"/>
        <v>0</v>
      </c>
      <c r="AF47" s="564">
        <f t="shared" si="17"/>
        <v>0</v>
      </c>
      <c r="AG47" s="564">
        <f t="shared" si="18"/>
        <v>0</v>
      </c>
    </row>
    <row r="48" spans="1:33">
      <c r="A48" s="20"/>
      <c r="B48" s="20" t="s">
        <v>110</v>
      </c>
      <c r="C48" s="68" t="s">
        <v>311</v>
      </c>
      <c r="D48" s="449">
        <f>2842.23+3860.27</f>
        <v>6702.5</v>
      </c>
      <c r="E48" s="529">
        <f>VLOOKUP(C48,'Q1 DMV -  Revenue'!C:S,17,FALSE)</f>
        <v>9198.8900000000012</v>
      </c>
      <c r="F48" s="576">
        <v>4049.78</v>
      </c>
      <c r="G48" s="579"/>
      <c r="H48" s="524"/>
      <c r="I48" s="379">
        <f t="shared" si="22"/>
        <v>19951.170000000002</v>
      </c>
      <c r="J48" s="31"/>
      <c r="K48" s="84"/>
      <c r="L48" s="42">
        <f>F48*2</f>
        <v>8099.56</v>
      </c>
      <c r="M48" s="31">
        <v>0</v>
      </c>
      <c r="N48" s="429">
        <v>22951.17</v>
      </c>
      <c r="O48" s="31">
        <v>0</v>
      </c>
      <c r="P48" s="426">
        <f t="shared" si="1"/>
        <v>8099.56</v>
      </c>
      <c r="Q48" s="178"/>
      <c r="R48" s="295"/>
      <c r="S48" s="385">
        <f t="shared" si="11"/>
        <v>-8099.56</v>
      </c>
      <c r="T48" s="31"/>
      <c r="U48" s="474">
        <f t="shared" si="2"/>
        <v>8099.56</v>
      </c>
      <c r="V48" s="474">
        <f t="shared" si="3"/>
        <v>0</v>
      </c>
      <c r="W48" s="475">
        <f t="shared" si="4"/>
        <v>0</v>
      </c>
      <c r="X48" s="475">
        <v>0</v>
      </c>
      <c r="Y48" s="476">
        <v>0</v>
      </c>
      <c r="Z48" s="38">
        <f t="shared" si="12"/>
        <v>0</v>
      </c>
      <c r="AA48" s="564">
        <f t="shared" si="13"/>
        <v>19951.170000000002</v>
      </c>
      <c r="AB48" s="564">
        <f t="shared" si="14"/>
        <v>0</v>
      </c>
      <c r="AC48" s="564">
        <f t="shared" si="15"/>
        <v>0</v>
      </c>
      <c r="AE48" s="564">
        <f t="shared" si="16"/>
        <v>8099.56</v>
      </c>
      <c r="AF48" s="564">
        <f t="shared" si="17"/>
        <v>0</v>
      </c>
      <c r="AG48" s="564">
        <f t="shared" si="18"/>
        <v>0</v>
      </c>
    </row>
    <row r="49" spans="1:33">
      <c r="A49" s="20"/>
      <c r="B49" s="20" t="s">
        <v>109</v>
      </c>
      <c r="C49" s="68" t="s">
        <v>451</v>
      </c>
      <c r="D49" s="449"/>
      <c r="E49" s="529">
        <f>VLOOKUP(C49,'Q1 DMV -  Revenue'!C:S,17,FALSE)</f>
        <v>-4500</v>
      </c>
      <c r="F49" s="579"/>
      <c r="G49" s="579"/>
      <c r="H49" s="524"/>
      <c r="I49" s="379">
        <f t="shared" si="22"/>
        <v>-4500</v>
      </c>
      <c r="J49" s="31"/>
      <c r="K49" s="84"/>
      <c r="L49" s="42">
        <v>12000</v>
      </c>
      <c r="M49" s="31">
        <v>0</v>
      </c>
      <c r="N49" s="429"/>
      <c r="O49" s="31">
        <v>0</v>
      </c>
      <c r="P49" s="426">
        <f t="shared" si="1"/>
        <v>12000</v>
      </c>
      <c r="Q49" s="178"/>
      <c r="R49" s="295"/>
      <c r="S49" s="385">
        <f t="shared" si="11"/>
        <v>-12000</v>
      </c>
      <c r="T49" s="31"/>
      <c r="U49" s="474">
        <f t="shared" si="2"/>
        <v>0</v>
      </c>
      <c r="V49" s="474">
        <f t="shared" si="3"/>
        <v>12000</v>
      </c>
      <c r="W49" s="475">
        <f t="shared" si="4"/>
        <v>0</v>
      </c>
      <c r="X49" s="475">
        <v>0</v>
      </c>
      <c r="Y49" s="476">
        <v>0</v>
      </c>
      <c r="Z49" s="38">
        <f t="shared" si="12"/>
        <v>0</v>
      </c>
      <c r="AA49" s="564">
        <f t="shared" si="13"/>
        <v>0</v>
      </c>
      <c r="AB49" s="564">
        <f t="shared" si="14"/>
        <v>-4500</v>
      </c>
      <c r="AC49" s="564">
        <f t="shared" si="15"/>
        <v>0</v>
      </c>
      <c r="AE49" s="564">
        <f t="shared" si="16"/>
        <v>0</v>
      </c>
      <c r="AF49" s="564">
        <f t="shared" si="17"/>
        <v>12000</v>
      </c>
      <c r="AG49" s="564">
        <f t="shared" si="18"/>
        <v>0</v>
      </c>
    </row>
    <row r="50" spans="1:33">
      <c r="A50" s="20"/>
      <c r="B50" s="20" t="s">
        <v>109</v>
      </c>
      <c r="C50" s="68" t="s">
        <v>469</v>
      </c>
      <c r="D50" s="449"/>
      <c r="E50" s="529">
        <f>VLOOKUP(C50,'Q1 DMV -  Revenue'!C:S,17,FALSE)</f>
        <v>0</v>
      </c>
      <c r="F50" s="576">
        <v>11357.17</v>
      </c>
      <c r="G50" s="576">
        <v>13552.32</v>
      </c>
      <c r="H50" s="525">
        <v>13762.62</v>
      </c>
      <c r="I50" s="379">
        <f t="shared" si="22"/>
        <v>38672.11</v>
      </c>
      <c r="J50" s="31"/>
      <c r="K50" s="84"/>
      <c r="L50" s="42">
        <v>0</v>
      </c>
      <c r="M50" s="31">
        <v>0</v>
      </c>
      <c r="N50" s="429">
        <f>24909.49+13762.62</f>
        <v>38672.11</v>
      </c>
      <c r="O50" s="31">
        <v>0</v>
      </c>
      <c r="P50" s="426">
        <f t="shared" si="1"/>
        <v>0</v>
      </c>
      <c r="Q50" s="178"/>
      <c r="R50" s="295"/>
      <c r="S50" s="385">
        <f t="shared" si="11"/>
        <v>0</v>
      </c>
      <c r="T50" s="31"/>
      <c r="U50" s="474">
        <f t="shared" si="2"/>
        <v>0</v>
      </c>
      <c r="V50" s="474">
        <f t="shared" si="3"/>
        <v>0</v>
      </c>
      <c r="W50" s="475">
        <f t="shared" si="4"/>
        <v>0</v>
      </c>
      <c r="X50" s="475">
        <v>0</v>
      </c>
      <c r="Y50" s="476">
        <v>0</v>
      </c>
      <c r="Z50" s="38">
        <f t="shared" si="12"/>
        <v>0</v>
      </c>
      <c r="AA50" s="564">
        <f t="shared" si="13"/>
        <v>0</v>
      </c>
      <c r="AB50" s="564">
        <f t="shared" si="14"/>
        <v>38672.11</v>
      </c>
      <c r="AC50" s="564">
        <f t="shared" si="15"/>
        <v>0</v>
      </c>
      <c r="AE50" s="564">
        <f t="shared" si="16"/>
        <v>0</v>
      </c>
      <c r="AF50" s="564">
        <f t="shared" si="17"/>
        <v>0</v>
      </c>
      <c r="AG50" s="564">
        <f t="shared" si="18"/>
        <v>0</v>
      </c>
    </row>
    <row r="51" spans="1:33">
      <c r="A51" s="20"/>
      <c r="B51" s="20" t="s">
        <v>109</v>
      </c>
      <c r="C51" s="68" t="s">
        <v>462</v>
      </c>
      <c r="D51" s="449"/>
      <c r="E51" s="529">
        <f>VLOOKUP(C51,'Q1 DMV -  Revenue'!C:S,17,FALSE)</f>
        <v>-750</v>
      </c>
      <c r="F51" s="579"/>
      <c r="G51" s="579"/>
      <c r="H51" s="524"/>
      <c r="I51" s="379">
        <f t="shared" si="22"/>
        <v>-750</v>
      </c>
      <c r="J51" s="31"/>
      <c r="K51" s="84"/>
      <c r="L51" s="42">
        <v>0</v>
      </c>
      <c r="M51" s="31">
        <v>0</v>
      </c>
      <c r="N51" s="429"/>
      <c r="O51" s="31">
        <v>0</v>
      </c>
      <c r="P51" s="426">
        <f t="shared" si="1"/>
        <v>0</v>
      </c>
      <c r="Q51" s="178"/>
      <c r="R51" s="295"/>
      <c r="S51" s="385">
        <f t="shared" si="11"/>
        <v>0</v>
      </c>
      <c r="T51" s="31"/>
      <c r="U51" s="474">
        <f t="shared" si="2"/>
        <v>0</v>
      </c>
      <c r="V51" s="474">
        <f t="shared" si="3"/>
        <v>0</v>
      </c>
      <c r="W51" s="475">
        <f t="shared" si="4"/>
        <v>0</v>
      </c>
      <c r="X51" s="475">
        <v>0</v>
      </c>
      <c r="Y51" s="476">
        <v>0</v>
      </c>
      <c r="Z51" s="38">
        <f t="shared" si="12"/>
        <v>0</v>
      </c>
      <c r="AA51" s="564">
        <f t="shared" si="13"/>
        <v>0</v>
      </c>
      <c r="AB51" s="564">
        <f t="shared" si="14"/>
        <v>-750</v>
      </c>
      <c r="AC51" s="564">
        <f t="shared" si="15"/>
        <v>0</v>
      </c>
      <c r="AE51" s="564">
        <f t="shared" si="16"/>
        <v>0</v>
      </c>
      <c r="AF51" s="564">
        <f t="shared" si="17"/>
        <v>0</v>
      </c>
      <c r="AG51" s="564">
        <f t="shared" si="18"/>
        <v>0</v>
      </c>
    </row>
    <row r="52" spans="1:33">
      <c r="A52" s="20"/>
      <c r="B52" s="20" t="s">
        <v>110</v>
      </c>
      <c r="C52" s="68" t="s">
        <v>69</v>
      </c>
      <c r="D52" s="449"/>
      <c r="E52" s="529">
        <f>VLOOKUP(C52,'Q1 DMV -  Revenue'!C:S,17,FALSE)</f>
        <v>-11.400000000000091</v>
      </c>
      <c r="F52" s="576">
        <v>2513.64</v>
      </c>
      <c r="G52" s="576">
        <v>2366.7399999999998</v>
      </c>
      <c r="H52" s="524"/>
      <c r="I52" s="379">
        <f t="shared" si="22"/>
        <v>4868.9799999999996</v>
      </c>
      <c r="J52" s="31"/>
      <c r="K52" s="84"/>
      <c r="L52" s="42">
        <f>SUM(F52+G52)/2</f>
        <v>2440.1899999999996</v>
      </c>
      <c r="M52" s="31">
        <v>0</v>
      </c>
      <c r="N52" s="429">
        <v>7536.71</v>
      </c>
      <c r="O52" s="31">
        <v>0</v>
      </c>
      <c r="P52" s="426">
        <f t="shared" si="1"/>
        <v>2440.1899999999996</v>
      </c>
      <c r="Q52" s="178">
        <v>2862.35</v>
      </c>
      <c r="R52" s="295"/>
      <c r="S52" s="385">
        <f t="shared" si="11"/>
        <v>422.16000000000031</v>
      </c>
      <c r="T52" s="31"/>
      <c r="U52" s="474">
        <f t="shared" si="2"/>
        <v>2440.1899999999996</v>
      </c>
      <c r="V52" s="474">
        <f t="shared" si="3"/>
        <v>0</v>
      </c>
      <c r="W52" s="475">
        <f t="shared" si="4"/>
        <v>0</v>
      </c>
      <c r="X52" s="475">
        <v>0</v>
      </c>
      <c r="Y52" s="476">
        <v>0</v>
      </c>
      <c r="Z52" s="38">
        <f t="shared" si="12"/>
        <v>0</v>
      </c>
      <c r="AA52" s="564">
        <f t="shared" si="13"/>
        <v>4868.9799999999996</v>
      </c>
      <c r="AB52" s="564">
        <f t="shared" si="14"/>
        <v>0</v>
      </c>
      <c r="AC52" s="564">
        <f t="shared" si="15"/>
        <v>0</v>
      </c>
      <c r="AE52" s="564">
        <f t="shared" si="16"/>
        <v>2440.1899999999996</v>
      </c>
      <c r="AF52" s="564">
        <f t="shared" si="17"/>
        <v>0</v>
      </c>
      <c r="AG52" s="564">
        <f t="shared" si="18"/>
        <v>0</v>
      </c>
    </row>
    <row r="53" spans="1:33">
      <c r="A53" s="20"/>
      <c r="B53" s="20" t="s">
        <v>110</v>
      </c>
      <c r="C53" s="68" t="s">
        <v>237</v>
      </c>
      <c r="D53" s="449"/>
      <c r="E53" s="529">
        <f>VLOOKUP(C53,'Q1 DMV -  Revenue'!C:S,17,FALSE)</f>
        <v>6294.2649999999994</v>
      </c>
      <c r="F53" s="576">
        <v>18729.04</v>
      </c>
      <c r="G53" s="576">
        <v>19163.45</v>
      </c>
      <c r="H53" s="524"/>
      <c r="I53" s="379">
        <f t="shared" si="22"/>
        <v>44186.755000000005</v>
      </c>
      <c r="J53" s="31"/>
      <c r="K53" s="84"/>
      <c r="L53" s="42">
        <f>SUM(F53+G53)/2</f>
        <v>18946.245000000003</v>
      </c>
      <c r="M53" s="31">
        <v>0</v>
      </c>
      <c r="N53" s="429">
        <v>57651.15</v>
      </c>
      <c r="O53" s="31">
        <v>0</v>
      </c>
      <c r="P53" s="426">
        <f t="shared" si="1"/>
        <v>18946.245000000003</v>
      </c>
      <c r="Q53" s="178">
        <v>22675.88</v>
      </c>
      <c r="R53" s="295"/>
      <c r="S53" s="385">
        <f t="shared" si="11"/>
        <v>3729.6349999999984</v>
      </c>
      <c r="T53" s="31"/>
      <c r="U53" s="474">
        <f t="shared" si="2"/>
        <v>18946.245000000003</v>
      </c>
      <c r="V53" s="474">
        <f t="shared" si="3"/>
        <v>0</v>
      </c>
      <c r="W53" s="475">
        <f t="shared" si="4"/>
        <v>0</v>
      </c>
      <c r="X53" s="475">
        <v>0</v>
      </c>
      <c r="Y53" s="476">
        <v>0</v>
      </c>
      <c r="Z53" s="38">
        <f t="shared" si="12"/>
        <v>0</v>
      </c>
      <c r="AA53" s="564">
        <f t="shared" si="13"/>
        <v>44186.755000000005</v>
      </c>
      <c r="AB53" s="564">
        <f t="shared" si="14"/>
        <v>0</v>
      </c>
      <c r="AC53" s="564">
        <f t="shared" si="15"/>
        <v>0</v>
      </c>
      <c r="AE53" s="564">
        <f t="shared" si="16"/>
        <v>18946.245000000003</v>
      </c>
      <c r="AF53" s="564">
        <f t="shared" si="17"/>
        <v>0</v>
      </c>
      <c r="AG53" s="564">
        <f t="shared" si="18"/>
        <v>0</v>
      </c>
    </row>
    <row r="54" spans="1:33">
      <c r="A54" s="20" t="s">
        <v>211</v>
      </c>
      <c r="B54" s="20" t="s">
        <v>110</v>
      </c>
      <c r="C54" s="68" t="s">
        <v>7</v>
      </c>
      <c r="D54" s="449"/>
      <c r="E54" s="529">
        <f>VLOOKUP(C54,'Q1 DMV -  Revenue'!C:S,17,FALSE)</f>
        <v>12161.189999999999</v>
      </c>
      <c r="F54" s="579"/>
      <c r="G54" s="579"/>
      <c r="H54" s="524"/>
      <c r="I54" s="379">
        <f t="shared" si="22"/>
        <v>12161.189999999999</v>
      </c>
      <c r="J54" s="31"/>
      <c r="K54" s="84"/>
      <c r="L54" s="42">
        <v>20000</v>
      </c>
      <c r="M54" s="31">
        <v>0</v>
      </c>
      <c r="N54" s="429">
        <v>27161.19</v>
      </c>
      <c r="O54" s="31">
        <v>0</v>
      </c>
      <c r="P54" s="426">
        <f t="shared" si="1"/>
        <v>20000</v>
      </c>
      <c r="Q54" s="178">
        <v>23060.04</v>
      </c>
      <c r="R54" s="295"/>
      <c r="S54" s="385">
        <f t="shared" si="11"/>
        <v>3060.0400000000009</v>
      </c>
      <c r="T54" s="2"/>
      <c r="U54" s="474">
        <f t="shared" si="2"/>
        <v>20000</v>
      </c>
      <c r="V54" s="474">
        <f t="shared" si="3"/>
        <v>0</v>
      </c>
      <c r="W54" s="475">
        <f t="shared" si="4"/>
        <v>0</v>
      </c>
      <c r="X54" s="475">
        <v>0</v>
      </c>
      <c r="Y54" s="476">
        <v>0</v>
      </c>
      <c r="Z54" s="38">
        <f t="shared" si="12"/>
        <v>0</v>
      </c>
      <c r="AA54" s="564">
        <f t="shared" si="13"/>
        <v>12161.189999999999</v>
      </c>
      <c r="AB54" s="564">
        <f t="shared" si="14"/>
        <v>0</v>
      </c>
      <c r="AC54" s="564">
        <f t="shared" si="15"/>
        <v>0</v>
      </c>
      <c r="AE54" s="564">
        <f t="shared" si="16"/>
        <v>20000</v>
      </c>
      <c r="AF54" s="564">
        <f t="shared" si="17"/>
        <v>0</v>
      </c>
      <c r="AG54" s="564">
        <f t="shared" si="18"/>
        <v>0</v>
      </c>
    </row>
    <row r="55" spans="1:33" s="232" customFormat="1">
      <c r="A55" s="283" t="s">
        <v>97</v>
      </c>
      <c r="B55" s="283" t="s">
        <v>109</v>
      </c>
      <c r="C55" s="123" t="s">
        <v>415</v>
      </c>
      <c r="D55" s="449"/>
      <c r="E55" s="529">
        <f>VLOOKUP(C55,'Q1 DMV -  Revenue'!C:S,17,FALSE)</f>
        <v>10.325000000000045</v>
      </c>
      <c r="F55" s="576">
        <f>278.26+33.17</f>
        <v>311.43</v>
      </c>
      <c r="G55" s="576">
        <f>320.32+51.21</f>
        <v>371.53</v>
      </c>
      <c r="H55" s="524"/>
      <c r="I55" s="379">
        <f t="shared" si="22"/>
        <v>693.28500000000008</v>
      </c>
      <c r="J55" s="31"/>
      <c r="K55" s="84"/>
      <c r="L55" s="42">
        <f>SUM(F55+G55)/2</f>
        <v>341.48</v>
      </c>
      <c r="M55" s="31">
        <v>0</v>
      </c>
      <c r="N55" s="429">
        <v>6150.68</v>
      </c>
      <c r="O55" s="31">
        <v>0</v>
      </c>
      <c r="P55" s="426">
        <f t="shared" si="1"/>
        <v>341.48</v>
      </c>
      <c r="Q55" s="178">
        <f>298.47+52.73</f>
        <v>351.20000000000005</v>
      </c>
      <c r="R55" s="295"/>
      <c r="S55" s="385">
        <f t="shared" si="11"/>
        <v>9.7200000000000273</v>
      </c>
      <c r="T55" s="31"/>
      <c r="U55" s="474">
        <f t="shared" si="2"/>
        <v>0</v>
      </c>
      <c r="V55" s="474">
        <f t="shared" si="3"/>
        <v>341.48</v>
      </c>
      <c r="W55" s="475">
        <f t="shared" si="4"/>
        <v>0</v>
      </c>
      <c r="X55" s="475">
        <v>0</v>
      </c>
      <c r="Y55" s="476">
        <v>0</v>
      </c>
      <c r="Z55" s="38">
        <f t="shared" si="12"/>
        <v>0</v>
      </c>
      <c r="AA55" s="564">
        <f t="shared" si="13"/>
        <v>0</v>
      </c>
      <c r="AB55" s="564">
        <f t="shared" si="14"/>
        <v>693.28500000000008</v>
      </c>
      <c r="AC55" s="564">
        <f t="shared" si="15"/>
        <v>0</v>
      </c>
      <c r="AD55" s="559"/>
      <c r="AE55" s="564">
        <f t="shared" si="16"/>
        <v>0</v>
      </c>
      <c r="AF55" s="564">
        <f t="shared" si="17"/>
        <v>341.48</v>
      </c>
      <c r="AG55" s="564">
        <f t="shared" si="18"/>
        <v>0</v>
      </c>
    </row>
    <row r="56" spans="1:33" s="232" customFormat="1">
      <c r="A56" s="283"/>
      <c r="B56" s="283" t="s">
        <v>109</v>
      </c>
      <c r="C56" s="123" t="s">
        <v>416</v>
      </c>
      <c r="D56" s="449"/>
      <c r="E56" s="529">
        <f>VLOOKUP(C56,'Q1 DMV -  Revenue'!C:S,17,FALSE)</f>
        <v>-75.810000000000059</v>
      </c>
      <c r="F56" s="375">
        <v>733.46</v>
      </c>
      <c r="G56" s="576">
        <v>698.9</v>
      </c>
      <c r="H56" s="524"/>
      <c r="I56" s="379">
        <f t="shared" si="22"/>
        <v>1356.55</v>
      </c>
      <c r="J56" s="31"/>
      <c r="K56" s="84"/>
      <c r="L56" s="42">
        <f>SUM(F56+G56)/2</f>
        <v>716.18000000000006</v>
      </c>
      <c r="M56" s="31">
        <v>0</v>
      </c>
      <c r="N56" s="429"/>
      <c r="O56" s="31">
        <v>0</v>
      </c>
      <c r="P56" s="426">
        <f t="shared" si="1"/>
        <v>716.18000000000006</v>
      </c>
      <c r="Q56" s="178">
        <v>585.41999999999996</v>
      </c>
      <c r="R56" s="295"/>
      <c r="S56" s="385">
        <f t="shared" si="11"/>
        <v>-130.7600000000001</v>
      </c>
      <c r="T56" s="31"/>
      <c r="U56" s="474">
        <f t="shared" si="2"/>
        <v>0</v>
      </c>
      <c r="V56" s="474">
        <f t="shared" si="3"/>
        <v>716.18000000000006</v>
      </c>
      <c r="W56" s="475">
        <f t="shared" si="4"/>
        <v>0</v>
      </c>
      <c r="X56" s="475">
        <v>0</v>
      </c>
      <c r="Y56" s="476">
        <v>0</v>
      </c>
      <c r="Z56" s="38">
        <f t="shared" si="12"/>
        <v>0</v>
      </c>
      <c r="AA56" s="564">
        <f t="shared" si="13"/>
        <v>0</v>
      </c>
      <c r="AB56" s="564">
        <f t="shared" si="14"/>
        <v>1356.55</v>
      </c>
      <c r="AC56" s="564">
        <f t="shared" si="15"/>
        <v>0</v>
      </c>
      <c r="AD56" s="559"/>
      <c r="AE56" s="564">
        <f t="shared" si="16"/>
        <v>0</v>
      </c>
      <c r="AF56" s="564">
        <f t="shared" si="17"/>
        <v>716.18000000000006</v>
      </c>
      <c r="AG56" s="564">
        <f t="shared" si="18"/>
        <v>0</v>
      </c>
    </row>
    <row r="57" spans="1:33" s="232" customFormat="1">
      <c r="A57" s="283"/>
      <c r="B57" s="283" t="s">
        <v>109</v>
      </c>
      <c r="C57" s="123" t="s">
        <v>417</v>
      </c>
      <c r="D57" s="449"/>
      <c r="E57" s="529">
        <f>VLOOKUP(C57,'Q1 DMV -  Revenue'!C:S,17,FALSE)</f>
        <v>-55.924999999999955</v>
      </c>
      <c r="F57" s="576">
        <v>966.69</v>
      </c>
      <c r="G57" s="576">
        <v>789.78</v>
      </c>
      <c r="H57" s="524"/>
      <c r="I57" s="379">
        <f t="shared" si="22"/>
        <v>1700.5450000000001</v>
      </c>
      <c r="J57" s="31"/>
      <c r="K57" s="84"/>
      <c r="L57" s="42">
        <f>SUM(F57+G57)/2</f>
        <v>878.23500000000001</v>
      </c>
      <c r="M57" s="31">
        <v>0</v>
      </c>
      <c r="N57" s="429"/>
      <c r="O57" s="31">
        <v>0</v>
      </c>
      <c r="P57" s="426">
        <f t="shared" si="1"/>
        <v>878.23500000000001</v>
      </c>
      <c r="Q57" s="178">
        <v>595.41999999999996</v>
      </c>
      <c r="R57" s="295"/>
      <c r="S57" s="385">
        <f t="shared" si="11"/>
        <v>-282.81500000000005</v>
      </c>
      <c r="T57" s="31"/>
      <c r="U57" s="474">
        <f t="shared" si="2"/>
        <v>0</v>
      </c>
      <c r="V57" s="474">
        <f t="shared" si="3"/>
        <v>878.23500000000001</v>
      </c>
      <c r="W57" s="475">
        <f t="shared" si="4"/>
        <v>0</v>
      </c>
      <c r="X57" s="475">
        <v>0</v>
      </c>
      <c r="Y57" s="476">
        <v>0</v>
      </c>
      <c r="Z57" s="38">
        <f t="shared" si="12"/>
        <v>0</v>
      </c>
      <c r="AA57" s="564">
        <f t="shared" si="13"/>
        <v>0</v>
      </c>
      <c r="AB57" s="564">
        <f t="shared" si="14"/>
        <v>1700.5450000000001</v>
      </c>
      <c r="AC57" s="564">
        <f t="shared" si="15"/>
        <v>0</v>
      </c>
      <c r="AD57" s="559"/>
      <c r="AE57" s="564">
        <f t="shared" si="16"/>
        <v>0</v>
      </c>
      <c r="AF57" s="564">
        <f t="shared" si="17"/>
        <v>878.23500000000001</v>
      </c>
      <c r="AG57" s="564">
        <f t="shared" si="18"/>
        <v>0</v>
      </c>
    </row>
    <row r="58" spans="1:33" s="232" customFormat="1">
      <c r="A58" s="283"/>
      <c r="B58" s="283" t="s">
        <v>109</v>
      </c>
      <c r="C58" s="123" t="s">
        <v>418</v>
      </c>
      <c r="D58" s="449"/>
      <c r="E58" s="529">
        <f>VLOOKUP(C58,'Q1 DMV -  Revenue'!C:S,17,FALSE)</f>
        <v>3.6349999999999998</v>
      </c>
      <c r="F58" s="579"/>
      <c r="G58" s="579"/>
      <c r="H58" s="524"/>
      <c r="I58" s="379">
        <f t="shared" si="22"/>
        <v>3.6349999999999998</v>
      </c>
      <c r="J58" s="31"/>
      <c r="K58" s="84"/>
      <c r="L58" s="42">
        <f>SUM(F58+G58)/2</f>
        <v>0</v>
      </c>
      <c r="M58" s="31">
        <v>0</v>
      </c>
      <c r="N58" s="429"/>
      <c r="O58" s="31">
        <v>0</v>
      </c>
      <c r="P58" s="426">
        <f t="shared" si="1"/>
        <v>0</v>
      </c>
      <c r="Q58" s="178"/>
      <c r="R58" s="295"/>
      <c r="S58" s="385">
        <f t="shared" si="11"/>
        <v>0</v>
      </c>
      <c r="T58" s="31"/>
      <c r="U58" s="474">
        <f t="shared" si="2"/>
        <v>0</v>
      </c>
      <c r="V58" s="474">
        <f t="shared" si="3"/>
        <v>0</v>
      </c>
      <c r="W58" s="475">
        <f t="shared" si="4"/>
        <v>0</v>
      </c>
      <c r="X58" s="475">
        <v>0</v>
      </c>
      <c r="Y58" s="476">
        <v>0</v>
      </c>
      <c r="Z58" s="38">
        <f t="shared" si="12"/>
        <v>0</v>
      </c>
      <c r="AA58" s="564">
        <f t="shared" si="13"/>
        <v>0</v>
      </c>
      <c r="AB58" s="564">
        <f t="shared" si="14"/>
        <v>3.6349999999999998</v>
      </c>
      <c r="AC58" s="564">
        <f t="shared" si="15"/>
        <v>0</v>
      </c>
      <c r="AD58" s="559"/>
      <c r="AE58" s="564">
        <f t="shared" si="16"/>
        <v>0</v>
      </c>
      <c r="AF58" s="564">
        <f t="shared" si="17"/>
        <v>0</v>
      </c>
      <c r="AG58" s="564">
        <f t="shared" si="18"/>
        <v>0</v>
      </c>
    </row>
    <row r="59" spans="1:33">
      <c r="A59" s="21" t="s">
        <v>109</v>
      </c>
      <c r="B59" s="21" t="s">
        <v>110</v>
      </c>
      <c r="C59" s="68" t="s">
        <v>8</v>
      </c>
      <c r="D59" s="449"/>
      <c r="E59" s="529">
        <f>VLOOKUP(C59,'Q1 DMV -  Revenue'!C:S,17,FALSE)</f>
        <v>0</v>
      </c>
      <c r="F59" s="579"/>
      <c r="G59" s="579"/>
      <c r="H59" s="524"/>
      <c r="I59" s="379">
        <f t="shared" si="22"/>
        <v>0</v>
      </c>
      <c r="J59" s="31"/>
      <c r="K59" s="84"/>
      <c r="L59" s="42">
        <v>0</v>
      </c>
      <c r="M59" s="31">
        <v>0</v>
      </c>
      <c r="N59" s="429"/>
      <c r="O59" s="31">
        <v>0</v>
      </c>
      <c r="P59" s="426">
        <f t="shared" si="1"/>
        <v>0</v>
      </c>
      <c r="Q59" s="178"/>
      <c r="R59" s="295"/>
      <c r="S59" s="385">
        <f t="shared" si="11"/>
        <v>0</v>
      </c>
      <c r="T59" s="31"/>
      <c r="U59" s="474">
        <f t="shared" si="2"/>
        <v>0</v>
      </c>
      <c r="V59" s="474">
        <f t="shared" si="3"/>
        <v>0</v>
      </c>
      <c r="W59" s="475">
        <f t="shared" si="4"/>
        <v>0</v>
      </c>
      <c r="X59" s="475">
        <v>0</v>
      </c>
      <c r="Y59" s="476">
        <v>0</v>
      </c>
      <c r="Z59" s="38">
        <f t="shared" si="12"/>
        <v>0</v>
      </c>
      <c r="AA59" s="564">
        <f t="shared" si="13"/>
        <v>0</v>
      </c>
      <c r="AB59" s="564">
        <f t="shared" si="14"/>
        <v>0</v>
      </c>
      <c r="AC59" s="564">
        <f t="shared" si="15"/>
        <v>0</v>
      </c>
      <c r="AE59" s="564">
        <f t="shared" si="16"/>
        <v>0</v>
      </c>
      <c r="AF59" s="564">
        <f t="shared" si="17"/>
        <v>0</v>
      </c>
      <c r="AG59" s="564">
        <f t="shared" si="18"/>
        <v>0</v>
      </c>
    </row>
    <row r="60" spans="1:33">
      <c r="A60" s="20" t="s">
        <v>211</v>
      </c>
      <c r="B60" s="20" t="s">
        <v>109</v>
      </c>
      <c r="C60" s="68" t="s">
        <v>9</v>
      </c>
      <c r="D60" s="449">
        <v>4384.26</v>
      </c>
      <c r="E60" s="529">
        <f>VLOOKUP(C60,'Q1 DMV -  Revenue'!C:S,17,FALSE)</f>
        <v>-10395.540000000001</v>
      </c>
      <c r="F60" s="579"/>
      <c r="G60" s="579"/>
      <c r="H60" s="524"/>
      <c r="I60" s="379">
        <f t="shared" si="22"/>
        <v>-6011.2800000000007</v>
      </c>
      <c r="J60" s="31"/>
      <c r="K60" s="84"/>
      <c r="L60" s="42">
        <v>4000</v>
      </c>
      <c r="M60" s="31">
        <v>0</v>
      </c>
      <c r="N60" s="429">
        <v>9146.64</v>
      </c>
      <c r="O60" s="31">
        <v>0</v>
      </c>
      <c r="P60" s="426">
        <f t="shared" si="1"/>
        <v>4000</v>
      </c>
      <c r="Q60" s="178">
        <v>8135.14</v>
      </c>
      <c r="R60" s="295"/>
      <c r="S60" s="385">
        <f t="shared" si="11"/>
        <v>4135.1400000000003</v>
      </c>
      <c r="T60" s="2"/>
      <c r="U60" s="474">
        <f t="shared" si="2"/>
        <v>0</v>
      </c>
      <c r="V60" s="474">
        <f t="shared" si="3"/>
        <v>4000</v>
      </c>
      <c r="W60" s="475">
        <f t="shared" si="4"/>
        <v>0</v>
      </c>
      <c r="X60" s="475">
        <v>0</v>
      </c>
      <c r="Y60" s="476">
        <v>0</v>
      </c>
      <c r="Z60" s="38">
        <f t="shared" si="12"/>
        <v>0</v>
      </c>
      <c r="AA60" s="564">
        <f t="shared" si="13"/>
        <v>0</v>
      </c>
      <c r="AB60" s="564">
        <f t="shared" si="14"/>
        <v>-6011.2800000000007</v>
      </c>
      <c r="AC60" s="564">
        <f t="shared" si="15"/>
        <v>0</v>
      </c>
      <c r="AE60" s="564">
        <f t="shared" si="16"/>
        <v>0</v>
      </c>
      <c r="AF60" s="564">
        <f t="shared" si="17"/>
        <v>4000</v>
      </c>
      <c r="AG60" s="564">
        <f t="shared" si="18"/>
        <v>0</v>
      </c>
    </row>
    <row r="61" spans="1:33">
      <c r="A61" s="20" t="s">
        <v>211</v>
      </c>
      <c r="B61" s="20" t="s">
        <v>110</v>
      </c>
      <c r="C61" s="68" t="s">
        <v>487</v>
      </c>
      <c r="D61" s="449">
        <v>1449</v>
      </c>
      <c r="E61" s="529">
        <f>VLOOKUP(C61,'Q1 DMV -  Revenue'!C:S,17,FALSE)</f>
        <v>448</v>
      </c>
      <c r="F61" s="579"/>
      <c r="G61" s="579"/>
      <c r="H61" s="524"/>
      <c r="I61" s="379">
        <f t="shared" si="22"/>
        <v>1897</v>
      </c>
      <c r="J61" s="31"/>
      <c r="K61" s="84"/>
      <c r="L61" s="42">
        <v>400</v>
      </c>
      <c r="M61" s="31">
        <v>0</v>
      </c>
      <c r="N61" s="429">
        <v>1897</v>
      </c>
      <c r="O61" s="31">
        <v>0</v>
      </c>
      <c r="P61" s="426">
        <f t="shared" si="1"/>
        <v>400</v>
      </c>
      <c r="Q61" s="178"/>
      <c r="R61" s="295"/>
      <c r="S61" s="385">
        <f t="shared" si="11"/>
        <v>-400</v>
      </c>
      <c r="T61" s="31"/>
      <c r="U61" s="474">
        <f t="shared" si="2"/>
        <v>400</v>
      </c>
      <c r="V61" s="474">
        <f t="shared" si="3"/>
        <v>0</v>
      </c>
      <c r="W61" s="475">
        <f t="shared" si="4"/>
        <v>0</v>
      </c>
      <c r="X61" s="475">
        <v>0</v>
      </c>
      <c r="Y61" s="476">
        <v>0</v>
      </c>
      <c r="Z61" s="38">
        <f t="shared" si="12"/>
        <v>0</v>
      </c>
      <c r="AA61" s="564">
        <f t="shared" si="13"/>
        <v>1897</v>
      </c>
      <c r="AB61" s="564">
        <f t="shared" si="14"/>
        <v>0</v>
      </c>
      <c r="AC61" s="564">
        <f t="shared" si="15"/>
        <v>0</v>
      </c>
      <c r="AE61" s="564">
        <f t="shared" si="16"/>
        <v>400</v>
      </c>
      <c r="AF61" s="564">
        <f t="shared" si="17"/>
        <v>0</v>
      </c>
      <c r="AG61" s="564">
        <f t="shared" si="18"/>
        <v>0</v>
      </c>
    </row>
    <row r="62" spans="1:33">
      <c r="A62" s="20"/>
      <c r="B62" s="20" t="s">
        <v>109</v>
      </c>
      <c r="C62" s="68" t="s">
        <v>373</v>
      </c>
      <c r="D62" s="449"/>
      <c r="E62" s="529">
        <f>VLOOKUP(C62,'Q1 DMV -  Revenue'!C:S,17,FALSE)</f>
        <v>0</v>
      </c>
      <c r="F62" s="579"/>
      <c r="G62" s="579"/>
      <c r="H62" s="524"/>
      <c r="I62" s="379">
        <f t="shared" si="22"/>
        <v>0</v>
      </c>
      <c r="J62" s="31"/>
      <c r="K62" s="84"/>
      <c r="L62" s="42">
        <v>0</v>
      </c>
      <c r="M62" s="31">
        <v>0</v>
      </c>
      <c r="N62" s="429"/>
      <c r="O62" s="31">
        <v>0</v>
      </c>
      <c r="P62" s="426">
        <f t="shared" si="1"/>
        <v>0</v>
      </c>
      <c r="Q62" s="178"/>
      <c r="R62" s="295"/>
      <c r="S62" s="385">
        <f t="shared" si="11"/>
        <v>0</v>
      </c>
      <c r="T62" s="31"/>
      <c r="U62" s="474">
        <f t="shared" si="2"/>
        <v>0</v>
      </c>
      <c r="V62" s="474">
        <f t="shared" si="3"/>
        <v>0</v>
      </c>
      <c r="W62" s="475">
        <f t="shared" si="4"/>
        <v>0</v>
      </c>
      <c r="X62" s="475">
        <v>0</v>
      </c>
      <c r="Y62" s="476">
        <v>0</v>
      </c>
      <c r="Z62" s="38">
        <f t="shared" si="12"/>
        <v>0</v>
      </c>
      <c r="AA62" s="564">
        <f t="shared" si="13"/>
        <v>0</v>
      </c>
      <c r="AB62" s="564">
        <f t="shared" si="14"/>
        <v>0</v>
      </c>
      <c r="AC62" s="564">
        <f t="shared" si="15"/>
        <v>0</v>
      </c>
      <c r="AE62" s="564">
        <f t="shared" si="16"/>
        <v>0</v>
      </c>
      <c r="AF62" s="564">
        <f t="shared" si="17"/>
        <v>0</v>
      </c>
      <c r="AG62" s="564">
        <f t="shared" si="18"/>
        <v>0</v>
      </c>
    </row>
    <row r="63" spans="1:33">
      <c r="A63" s="20"/>
      <c r="B63" s="20" t="s">
        <v>109</v>
      </c>
      <c r="C63" s="68" t="s">
        <v>374</v>
      </c>
      <c r="D63" s="449"/>
      <c r="E63" s="529">
        <f>VLOOKUP(C63,'Q1 DMV -  Revenue'!C:S,17,FALSE)</f>
        <v>-1731.8899999999999</v>
      </c>
      <c r="F63" s="579"/>
      <c r="G63" s="579"/>
      <c r="H63" s="524"/>
      <c r="I63" s="379">
        <f t="shared" si="22"/>
        <v>-1731.8899999999999</v>
      </c>
      <c r="J63" s="31"/>
      <c r="K63" s="84"/>
      <c r="L63" s="42">
        <v>0</v>
      </c>
      <c r="M63" s="31">
        <v>0</v>
      </c>
      <c r="N63" s="429"/>
      <c r="O63" s="31">
        <v>0</v>
      </c>
      <c r="P63" s="426">
        <f t="shared" si="1"/>
        <v>0</v>
      </c>
      <c r="Q63" s="178">
        <v>1709.43</v>
      </c>
      <c r="R63" s="295"/>
      <c r="S63" s="385">
        <f t="shared" si="11"/>
        <v>1709.43</v>
      </c>
      <c r="T63" s="31"/>
      <c r="U63" s="474">
        <f t="shared" si="2"/>
        <v>0</v>
      </c>
      <c r="V63" s="474">
        <f t="shared" si="3"/>
        <v>0</v>
      </c>
      <c r="W63" s="475">
        <f t="shared" si="4"/>
        <v>0</v>
      </c>
      <c r="X63" s="475">
        <v>0</v>
      </c>
      <c r="Y63" s="476">
        <v>0</v>
      </c>
      <c r="Z63" s="38">
        <f t="shared" si="12"/>
        <v>0</v>
      </c>
      <c r="AA63" s="564">
        <f t="shared" si="13"/>
        <v>0</v>
      </c>
      <c r="AB63" s="564">
        <f t="shared" si="14"/>
        <v>-1731.8899999999999</v>
      </c>
      <c r="AC63" s="564">
        <f t="shared" si="15"/>
        <v>0</v>
      </c>
      <c r="AE63" s="564">
        <f t="shared" si="16"/>
        <v>0</v>
      </c>
      <c r="AF63" s="564">
        <f t="shared" si="17"/>
        <v>0</v>
      </c>
      <c r="AG63" s="564">
        <f t="shared" si="18"/>
        <v>0</v>
      </c>
    </row>
    <row r="64" spans="1:33">
      <c r="A64" s="20"/>
      <c r="B64" s="20" t="s">
        <v>109</v>
      </c>
      <c r="C64" s="68" t="s">
        <v>375</v>
      </c>
      <c r="D64" s="449"/>
      <c r="E64" s="529">
        <f>VLOOKUP(C64,'Q1 DMV -  Revenue'!C:S,17,FALSE)</f>
        <v>-5000</v>
      </c>
      <c r="F64" s="579"/>
      <c r="G64" s="579"/>
      <c r="H64" s="524"/>
      <c r="I64" s="379">
        <f t="shared" si="22"/>
        <v>-5000</v>
      </c>
      <c r="J64" s="31"/>
      <c r="K64" s="84"/>
      <c r="L64" s="42">
        <v>0</v>
      </c>
      <c r="M64" s="31">
        <v>0</v>
      </c>
      <c r="N64" s="429"/>
      <c r="O64" s="31">
        <v>0</v>
      </c>
      <c r="P64" s="426">
        <f t="shared" si="1"/>
        <v>0</v>
      </c>
      <c r="Q64" s="178"/>
      <c r="R64" s="295"/>
      <c r="S64" s="385">
        <f t="shared" si="11"/>
        <v>0</v>
      </c>
      <c r="T64" s="31"/>
      <c r="U64" s="474">
        <f t="shared" si="2"/>
        <v>0</v>
      </c>
      <c r="V64" s="474">
        <f t="shared" si="3"/>
        <v>0</v>
      </c>
      <c r="W64" s="475">
        <f t="shared" si="4"/>
        <v>0</v>
      </c>
      <c r="X64" s="475">
        <v>0</v>
      </c>
      <c r="Y64" s="476">
        <v>0</v>
      </c>
      <c r="Z64" s="38">
        <f t="shared" si="12"/>
        <v>0</v>
      </c>
      <c r="AA64" s="564">
        <f t="shared" si="13"/>
        <v>0</v>
      </c>
      <c r="AB64" s="564">
        <f t="shared" si="14"/>
        <v>-5000</v>
      </c>
      <c r="AC64" s="564">
        <f t="shared" si="15"/>
        <v>0</v>
      </c>
      <c r="AE64" s="564">
        <f t="shared" si="16"/>
        <v>0</v>
      </c>
      <c r="AF64" s="564">
        <f t="shared" si="17"/>
        <v>0</v>
      </c>
      <c r="AG64" s="564">
        <f t="shared" si="18"/>
        <v>0</v>
      </c>
    </row>
    <row r="65" spans="1:33">
      <c r="A65" s="21" t="s">
        <v>109</v>
      </c>
      <c r="B65" s="21" t="s">
        <v>110</v>
      </c>
      <c r="C65" s="68" t="s">
        <v>502</v>
      </c>
      <c r="D65" s="449"/>
      <c r="E65" s="529">
        <v>0</v>
      </c>
      <c r="F65" s="579"/>
      <c r="G65" s="579"/>
      <c r="H65" s="524"/>
      <c r="I65" s="379">
        <f t="shared" ref="I65" si="23">SUM(D65:H65)</f>
        <v>0</v>
      </c>
      <c r="J65" s="31"/>
      <c r="K65" s="84"/>
      <c r="L65" s="42">
        <v>0</v>
      </c>
      <c r="M65" s="31">
        <v>0</v>
      </c>
      <c r="N65" s="429"/>
      <c r="O65" s="31">
        <v>0</v>
      </c>
      <c r="P65" s="426">
        <f t="shared" ref="P65" si="24">K65+L65</f>
        <v>0</v>
      </c>
      <c r="Q65" s="178">
        <v>293.5</v>
      </c>
      <c r="R65" s="295"/>
      <c r="S65" s="385">
        <f t="shared" si="11"/>
        <v>293.5</v>
      </c>
      <c r="T65" s="31"/>
      <c r="U65" s="474">
        <f t="shared" ref="U65" si="25">IF(B65="D",P65,0)</f>
        <v>0</v>
      </c>
      <c r="V65" s="474">
        <f t="shared" ref="V65" si="26">IF(B65="M",P65,0)</f>
        <v>0</v>
      </c>
      <c r="W65" s="475">
        <f t="shared" ref="W65" si="27">IF(B65="V",P65,0)</f>
        <v>0</v>
      </c>
      <c r="X65" s="475">
        <v>0</v>
      </c>
      <c r="Y65" s="476">
        <v>0</v>
      </c>
      <c r="Z65" s="38">
        <f t="shared" ref="Z65" si="28">(K65+L65)-(U65+V65+W65+X65+Y65)</f>
        <v>0</v>
      </c>
      <c r="AA65" s="564">
        <f t="shared" ref="AA65" si="29">IF(B65="D",I65,0)</f>
        <v>0</v>
      </c>
      <c r="AB65" s="564">
        <f t="shared" ref="AB65" si="30">IF(B65="M",I65,0)</f>
        <v>0</v>
      </c>
      <c r="AC65" s="564">
        <f t="shared" ref="AC65" si="31">IF(B65="V",I65,0)</f>
        <v>0</v>
      </c>
      <c r="AE65" s="564">
        <f t="shared" ref="AE65" si="32">IF(B65="D",P65,0)</f>
        <v>0</v>
      </c>
      <c r="AF65" s="564">
        <f t="shared" ref="AF65" si="33">IF(B65="M",P65,0)</f>
        <v>0</v>
      </c>
      <c r="AG65" s="564">
        <f t="shared" ref="AG65" si="34">IF(B65="V",P65,0)</f>
        <v>0</v>
      </c>
    </row>
    <row r="66" spans="1:33">
      <c r="A66" s="21"/>
      <c r="B66" s="21" t="s">
        <v>110</v>
      </c>
      <c r="C66" s="68" t="s">
        <v>138</v>
      </c>
      <c r="D66" s="449"/>
      <c r="E66" s="529">
        <f>VLOOKUP(C66,'Q1 DMV -  Revenue'!C:S,17,FALSE)</f>
        <v>3287.09</v>
      </c>
      <c r="F66" s="576">
        <v>14151.3</v>
      </c>
      <c r="G66" s="576">
        <v>15332.76</v>
      </c>
      <c r="H66" s="524"/>
      <c r="I66" s="379">
        <f t="shared" si="22"/>
        <v>32771.15</v>
      </c>
      <c r="J66" s="31"/>
      <c r="K66" s="84"/>
      <c r="L66" s="42">
        <f t="shared" ref="L66:L72" si="35">SUM(F66+G66)/2</f>
        <v>14742.029999999999</v>
      </c>
      <c r="M66" s="31">
        <v>0</v>
      </c>
      <c r="N66" s="429">
        <v>280054.46999999997</v>
      </c>
      <c r="O66" s="31">
        <v>0</v>
      </c>
      <c r="P66" s="426">
        <f t="shared" si="1"/>
        <v>14742.029999999999</v>
      </c>
      <c r="Q66" s="178">
        <v>17750.2</v>
      </c>
      <c r="R66" s="295"/>
      <c r="S66" s="385">
        <f t="shared" si="11"/>
        <v>3008.1700000000019</v>
      </c>
      <c r="T66" s="2"/>
      <c r="U66" s="474">
        <f t="shared" si="2"/>
        <v>14742.029999999999</v>
      </c>
      <c r="V66" s="474">
        <f t="shared" si="3"/>
        <v>0</v>
      </c>
      <c r="W66" s="475">
        <f t="shared" si="4"/>
        <v>0</v>
      </c>
      <c r="X66" s="475">
        <v>0</v>
      </c>
      <c r="Y66" s="476">
        <v>0</v>
      </c>
      <c r="Z66" s="38">
        <f t="shared" si="12"/>
        <v>0</v>
      </c>
      <c r="AA66" s="564">
        <f t="shared" si="13"/>
        <v>32771.15</v>
      </c>
      <c r="AB66" s="564">
        <f t="shared" si="14"/>
        <v>0</v>
      </c>
      <c r="AC66" s="564">
        <f t="shared" si="15"/>
        <v>0</v>
      </c>
      <c r="AE66" s="564">
        <f t="shared" si="16"/>
        <v>14742.029999999999</v>
      </c>
      <c r="AF66" s="564">
        <f t="shared" si="17"/>
        <v>0</v>
      </c>
      <c r="AG66" s="564">
        <f t="shared" si="18"/>
        <v>0</v>
      </c>
    </row>
    <row r="67" spans="1:33">
      <c r="A67" s="21"/>
      <c r="B67" s="21" t="s">
        <v>110</v>
      </c>
      <c r="C67" s="68" t="s">
        <v>437</v>
      </c>
      <c r="D67" s="449"/>
      <c r="E67" s="529">
        <f>VLOOKUP(C67,'Q1 DMV -  Revenue'!C:S,17,FALSE)</f>
        <v>-189.60500000000025</v>
      </c>
      <c r="F67" s="576">
        <v>6640.86</v>
      </c>
      <c r="G67" s="576">
        <v>7876.02</v>
      </c>
      <c r="H67" s="524"/>
      <c r="I67" s="379">
        <f t="shared" si="22"/>
        <v>14327.275</v>
      </c>
      <c r="J67" s="31"/>
      <c r="K67" s="84"/>
      <c r="L67" s="42">
        <f t="shared" si="35"/>
        <v>7258.4400000000005</v>
      </c>
      <c r="M67" s="31">
        <v>0</v>
      </c>
      <c r="N67" s="429"/>
      <c r="O67" s="31">
        <v>0</v>
      </c>
      <c r="P67" s="426">
        <f t="shared" si="1"/>
        <v>7258.4400000000005</v>
      </c>
      <c r="Q67" s="178">
        <v>8325.65</v>
      </c>
      <c r="R67" s="295"/>
      <c r="S67" s="385">
        <f t="shared" si="11"/>
        <v>1067.2099999999991</v>
      </c>
      <c r="T67" s="2"/>
      <c r="U67" s="474">
        <f t="shared" si="2"/>
        <v>7258.4400000000005</v>
      </c>
      <c r="V67" s="474">
        <f t="shared" si="3"/>
        <v>0</v>
      </c>
      <c r="W67" s="475">
        <f t="shared" si="4"/>
        <v>0</v>
      </c>
      <c r="X67" s="475">
        <v>0</v>
      </c>
      <c r="Y67" s="476">
        <v>0</v>
      </c>
      <c r="Z67" s="38">
        <f t="shared" si="12"/>
        <v>0</v>
      </c>
      <c r="AA67" s="564">
        <f t="shared" si="13"/>
        <v>14327.275</v>
      </c>
      <c r="AB67" s="564">
        <f t="shared" si="14"/>
        <v>0</v>
      </c>
      <c r="AC67" s="564">
        <f t="shared" si="15"/>
        <v>0</v>
      </c>
      <c r="AE67" s="564">
        <f t="shared" si="16"/>
        <v>7258.4400000000005</v>
      </c>
      <c r="AF67" s="564">
        <f t="shared" si="17"/>
        <v>0</v>
      </c>
      <c r="AG67" s="564">
        <f t="shared" si="18"/>
        <v>0</v>
      </c>
    </row>
    <row r="68" spans="1:33">
      <c r="A68" s="21"/>
      <c r="B68" s="21" t="s">
        <v>110</v>
      </c>
      <c r="C68" s="68" t="s">
        <v>436</v>
      </c>
      <c r="D68" s="449"/>
      <c r="E68" s="529">
        <f>VLOOKUP(C68,'Q1 DMV -  Revenue'!C:S,17,FALSE)</f>
        <v>749.46500000000015</v>
      </c>
      <c r="F68" s="576">
        <v>1868.44</v>
      </c>
      <c r="G68" s="576">
        <v>1974.49</v>
      </c>
      <c r="H68" s="524"/>
      <c r="I68" s="379">
        <f t="shared" si="22"/>
        <v>4592.3950000000004</v>
      </c>
      <c r="J68" s="31"/>
      <c r="K68" s="84"/>
      <c r="L68" s="42">
        <f t="shared" si="35"/>
        <v>1921.4650000000001</v>
      </c>
      <c r="M68" s="31">
        <v>0</v>
      </c>
      <c r="N68" s="429"/>
      <c r="O68" s="31">
        <v>0</v>
      </c>
      <c r="P68" s="426">
        <f t="shared" si="1"/>
        <v>1921.4650000000001</v>
      </c>
      <c r="Q68" s="178">
        <v>2919.46</v>
      </c>
      <c r="R68" s="295"/>
      <c r="S68" s="385">
        <f t="shared" si="11"/>
        <v>997.99499999999989</v>
      </c>
      <c r="T68" s="2"/>
      <c r="U68" s="474">
        <f t="shared" si="2"/>
        <v>1921.4650000000001</v>
      </c>
      <c r="V68" s="474">
        <f t="shared" si="3"/>
        <v>0</v>
      </c>
      <c r="W68" s="475">
        <f t="shared" si="4"/>
        <v>0</v>
      </c>
      <c r="X68" s="475">
        <v>0</v>
      </c>
      <c r="Y68" s="476">
        <v>0</v>
      </c>
      <c r="Z68" s="38">
        <f t="shared" si="12"/>
        <v>0</v>
      </c>
      <c r="AA68" s="564">
        <f t="shared" si="13"/>
        <v>4592.3950000000004</v>
      </c>
      <c r="AB68" s="564">
        <f t="shared" si="14"/>
        <v>0</v>
      </c>
      <c r="AC68" s="564">
        <f t="shared" si="15"/>
        <v>0</v>
      </c>
      <c r="AE68" s="564">
        <f t="shared" si="16"/>
        <v>1921.4650000000001</v>
      </c>
      <c r="AF68" s="564">
        <f t="shared" si="17"/>
        <v>0</v>
      </c>
      <c r="AG68" s="564">
        <f t="shared" si="18"/>
        <v>0</v>
      </c>
    </row>
    <row r="69" spans="1:33">
      <c r="A69" s="21"/>
      <c r="B69" s="21" t="s">
        <v>110</v>
      </c>
      <c r="C69" s="68" t="s">
        <v>391</v>
      </c>
      <c r="D69" s="449"/>
      <c r="E69" s="529">
        <f>VLOOKUP(C69,'Q1 DMV -  Revenue'!C:S,17,FALSE)</f>
        <v>205.10500000000002</v>
      </c>
      <c r="F69" s="576">
        <v>1535.99</v>
      </c>
      <c r="G69" s="576">
        <v>1535.98</v>
      </c>
      <c r="H69" s="524"/>
      <c r="I69" s="379">
        <f t="shared" si="22"/>
        <v>3277.0749999999998</v>
      </c>
      <c r="J69" s="31"/>
      <c r="K69" s="84"/>
      <c r="L69" s="42">
        <f t="shared" si="35"/>
        <v>1535.9850000000001</v>
      </c>
      <c r="M69" s="31">
        <v>0</v>
      </c>
      <c r="N69" s="429"/>
      <c r="O69" s="31">
        <v>0</v>
      </c>
      <c r="P69" s="426">
        <f t="shared" si="1"/>
        <v>1535.9850000000001</v>
      </c>
      <c r="Q69" s="178">
        <v>1578.06</v>
      </c>
      <c r="R69" s="295"/>
      <c r="S69" s="385">
        <f t="shared" si="11"/>
        <v>42.074999999999818</v>
      </c>
      <c r="T69" s="2"/>
      <c r="U69" s="474">
        <f t="shared" si="2"/>
        <v>1535.9850000000001</v>
      </c>
      <c r="V69" s="474">
        <f t="shared" si="3"/>
        <v>0</v>
      </c>
      <c r="W69" s="475">
        <f t="shared" si="4"/>
        <v>0</v>
      </c>
      <c r="X69" s="475">
        <v>0</v>
      </c>
      <c r="Y69" s="476">
        <v>0</v>
      </c>
      <c r="Z69" s="38">
        <f t="shared" si="12"/>
        <v>0</v>
      </c>
      <c r="AA69" s="564">
        <f t="shared" si="13"/>
        <v>3277.0749999999998</v>
      </c>
      <c r="AB69" s="564">
        <f t="shared" si="14"/>
        <v>0</v>
      </c>
      <c r="AC69" s="564">
        <f t="shared" si="15"/>
        <v>0</v>
      </c>
      <c r="AE69" s="564">
        <f t="shared" si="16"/>
        <v>1535.9850000000001</v>
      </c>
      <c r="AF69" s="564">
        <f t="shared" si="17"/>
        <v>0</v>
      </c>
      <c r="AG69" s="564">
        <f t="shared" si="18"/>
        <v>0</v>
      </c>
    </row>
    <row r="70" spans="1:33">
      <c r="A70" s="21"/>
      <c r="B70" s="21" t="s">
        <v>110</v>
      </c>
      <c r="C70" s="68" t="s">
        <v>392</v>
      </c>
      <c r="D70" s="449"/>
      <c r="E70" s="529">
        <f>VLOOKUP(C70,'Q1 DMV -  Revenue'!C:S,17,FALSE)</f>
        <v>12595.474999999999</v>
      </c>
      <c r="F70" s="576">
        <v>68743.149999999994</v>
      </c>
      <c r="G70" s="576">
        <v>71338.48</v>
      </c>
      <c r="H70" s="524"/>
      <c r="I70" s="379">
        <f t="shared" si="22"/>
        <v>152677.10499999998</v>
      </c>
      <c r="J70" s="31"/>
      <c r="K70" s="84"/>
      <c r="L70" s="42">
        <f t="shared" si="35"/>
        <v>70040.815000000002</v>
      </c>
      <c r="M70" s="31">
        <v>0</v>
      </c>
      <c r="N70" s="429"/>
      <c r="O70" s="31">
        <v>0</v>
      </c>
      <c r="P70" s="426">
        <f t="shared" si="1"/>
        <v>70040.815000000002</v>
      </c>
      <c r="Q70" s="178">
        <v>76233.16</v>
      </c>
      <c r="R70" s="295"/>
      <c r="S70" s="385">
        <f t="shared" si="11"/>
        <v>6192.3450000000012</v>
      </c>
      <c r="T70" s="2"/>
      <c r="U70" s="474">
        <f t="shared" si="2"/>
        <v>70040.815000000002</v>
      </c>
      <c r="V70" s="474">
        <f t="shared" si="3"/>
        <v>0</v>
      </c>
      <c r="W70" s="475">
        <f t="shared" si="4"/>
        <v>0</v>
      </c>
      <c r="X70" s="475">
        <v>0</v>
      </c>
      <c r="Y70" s="476">
        <v>0</v>
      </c>
      <c r="Z70" s="38">
        <f t="shared" si="12"/>
        <v>0</v>
      </c>
      <c r="AA70" s="564">
        <f t="shared" si="13"/>
        <v>152677.10499999998</v>
      </c>
      <c r="AB70" s="564">
        <f t="shared" si="14"/>
        <v>0</v>
      </c>
      <c r="AC70" s="564">
        <f t="shared" si="15"/>
        <v>0</v>
      </c>
      <c r="AE70" s="564">
        <f t="shared" si="16"/>
        <v>70040.815000000002</v>
      </c>
      <c r="AF70" s="564">
        <f t="shared" si="17"/>
        <v>0</v>
      </c>
      <c r="AG70" s="564">
        <f t="shared" si="18"/>
        <v>0</v>
      </c>
    </row>
    <row r="71" spans="1:33">
      <c r="A71" s="21"/>
      <c r="B71" s="21" t="s">
        <v>110</v>
      </c>
      <c r="C71" s="68" t="s">
        <v>483</v>
      </c>
      <c r="D71" s="449">
        <f>25.15+503.45+656.14</f>
        <v>1184.74</v>
      </c>
      <c r="E71" s="529">
        <f>VLOOKUP(C71,'Q1 DMV -  Revenue'!C:S,17,FALSE)</f>
        <v>2357.21</v>
      </c>
      <c r="F71" s="576">
        <v>633.88</v>
      </c>
      <c r="G71" s="576">
        <v>671.16</v>
      </c>
      <c r="H71" s="524"/>
      <c r="I71" s="379">
        <f t="shared" ref="I71" si="36">SUM(D71:H71)</f>
        <v>4846.99</v>
      </c>
      <c r="J71" s="31"/>
      <c r="K71" s="84"/>
      <c r="L71" s="42">
        <f t="shared" si="35"/>
        <v>652.52</v>
      </c>
      <c r="M71" s="31"/>
      <c r="N71" s="429"/>
      <c r="O71" s="31"/>
      <c r="P71" s="426">
        <f t="shared" si="1"/>
        <v>652.52</v>
      </c>
      <c r="Q71" s="178">
        <v>533.69000000000005</v>
      </c>
      <c r="R71" s="295"/>
      <c r="S71" s="385">
        <f t="shared" si="11"/>
        <v>-118.82999999999993</v>
      </c>
      <c r="T71" s="2"/>
      <c r="U71" s="474">
        <f t="shared" si="2"/>
        <v>652.52</v>
      </c>
      <c r="V71" s="474">
        <f t="shared" si="3"/>
        <v>0</v>
      </c>
      <c r="W71" s="475">
        <f t="shared" si="4"/>
        <v>0</v>
      </c>
      <c r="X71" s="475">
        <v>0</v>
      </c>
      <c r="Y71" s="476">
        <v>0</v>
      </c>
      <c r="Z71" s="38">
        <f t="shared" si="12"/>
        <v>0</v>
      </c>
      <c r="AA71" s="564">
        <f t="shared" si="13"/>
        <v>4846.99</v>
      </c>
      <c r="AB71" s="564">
        <f t="shared" si="14"/>
        <v>0</v>
      </c>
      <c r="AC71" s="564">
        <f t="shared" si="15"/>
        <v>0</v>
      </c>
      <c r="AE71" s="564">
        <f t="shared" si="16"/>
        <v>652.52</v>
      </c>
      <c r="AF71" s="564">
        <f t="shared" si="17"/>
        <v>0</v>
      </c>
      <c r="AG71" s="564">
        <f t="shared" si="18"/>
        <v>0</v>
      </c>
    </row>
    <row r="72" spans="1:33">
      <c r="A72" s="20"/>
      <c r="B72" s="20" t="s">
        <v>110</v>
      </c>
      <c r="C72" s="68" t="s">
        <v>450</v>
      </c>
      <c r="D72" s="449"/>
      <c r="E72" s="529">
        <f>VLOOKUP(C72,'Q1 DMV -  Revenue'!C:S,17,FALSE)</f>
        <v>-1835.52</v>
      </c>
      <c r="F72" s="576">
        <v>1593.66</v>
      </c>
      <c r="G72" s="576">
        <v>1398.22</v>
      </c>
      <c r="H72" s="524"/>
      <c r="I72" s="379">
        <f t="shared" si="22"/>
        <v>1156.3600000000001</v>
      </c>
      <c r="J72" s="31"/>
      <c r="K72" s="84"/>
      <c r="L72" s="42">
        <f t="shared" si="35"/>
        <v>1495.94</v>
      </c>
      <c r="M72" s="31">
        <v>0</v>
      </c>
      <c r="N72" s="429">
        <v>6656.36</v>
      </c>
      <c r="O72" s="31">
        <v>0</v>
      </c>
      <c r="P72" s="426">
        <f t="shared" si="1"/>
        <v>1495.94</v>
      </c>
      <c r="Q72" s="178">
        <v>825.21</v>
      </c>
      <c r="R72" s="295"/>
      <c r="S72" s="385">
        <f t="shared" si="11"/>
        <v>-670.73</v>
      </c>
      <c r="T72" s="31"/>
      <c r="U72" s="474">
        <f t="shared" si="2"/>
        <v>1495.94</v>
      </c>
      <c r="V72" s="474">
        <f t="shared" si="3"/>
        <v>0</v>
      </c>
      <c r="W72" s="475">
        <f t="shared" si="4"/>
        <v>0</v>
      </c>
      <c r="X72" s="475">
        <v>0</v>
      </c>
      <c r="Y72" s="476">
        <v>0</v>
      </c>
      <c r="Z72" s="38">
        <f t="shared" si="12"/>
        <v>0</v>
      </c>
      <c r="AA72" s="564">
        <f t="shared" si="13"/>
        <v>1156.3600000000001</v>
      </c>
      <c r="AB72" s="564">
        <f t="shared" si="14"/>
        <v>0</v>
      </c>
      <c r="AC72" s="564">
        <f t="shared" si="15"/>
        <v>0</v>
      </c>
      <c r="AE72" s="564">
        <f t="shared" si="16"/>
        <v>1495.94</v>
      </c>
      <c r="AF72" s="564">
        <f t="shared" si="17"/>
        <v>0</v>
      </c>
      <c r="AG72" s="564">
        <f t="shared" si="18"/>
        <v>0</v>
      </c>
    </row>
    <row r="73" spans="1:33">
      <c r="A73" s="21" t="s">
        <v>109</v>
      </c>
      <c r="B73" s="21" t="s">
        <v>110</v>
      </c>
      <c r="C73" s="68" t="s">
        <v>438</v>
      </c>
      <c r="D73" s="449"/>
      <c r="E73" s="529">
        <f>VLOOKUP(C73,'Q1 DMV -  Revenue'!C:S,17,FALSE)</f>
        <v>0</v>
      </c>
      <c r="F73" s="579"/>
      <c r="G73" s="579"/>
      <c r="H73" s="524"/>
      <c r="I73" s="379">
        <f t="shared" si="22"/>
        <v>0</v>
      </c>
      <c r="J73" s="31"/>
      <c r="K73" s="84"/>
      <c r="L73" s="42">
        <v>0</v>
      </c>
      <c r="M73" s="31">
        <v>0</v>
      </c>
      <c r="N73" s="429"/>
      <c r="O73" s="31">
        <v>0</v>
      </c>
      <c r="P73" s="426">
        <f t="shared" si="1"/>
        <v>0</v>
      </c>
      <c r="Q73" s="178"/>
      <c r="R73" s="295"/>
      <c r="S73" s="385">
        <f t="shared" si="11"/>
        <v>0</v>
      </c>
      <c r="T73" s="2"/>
      <c r="U73" s="474">
        <f t="shared" si="2"/>
        <v>0</v>
      </c>
      <c r="V73" s="474">
        <f t="shared" si="3"/>
        <v>0</v>
      </c>
      <c r="W73" s="475">
        <f t="shared" si="4"/>
        <v>0</v>
      </c>
      <c r="X73" s="475">
        <v>0</v>
      </c>
      <c r="Y73" s="476">
        <v>0</v>
      </c>
      <c r="Z73" s="38">
        <f t="shared" si="12"/>
        <v>0</v>
      </c>
      <c r="AA73" s="564">
        <f t="shared" si="13"/>
        <v>0</v>
      </c>
      <c r="AB73" s="564">
        <f t="shared" si="14"/>
        <v>0</v>
      </c>
      <c r="AC73" s="564">
        <f t="shared" si="15"/>
        <v>0</v>
      </c>
      <c r="AE73" s="564">
        <f t="shared" si="16"/>
        <v>0</v>
      </c>
      <c r="AF73" s="564">
        <f t="shared" si="17"/>
        <v>0</v>
      </c>
      <c r="AG73" s="564">
        <f t="shared" si="18"/>
        <v>0</v>
      </c>
    </row>
    <row r="74" spans="1:33">
      <c r="A74" s="21"/>
      <c r="B74" s="21" t="s">
        <v>110</v>
      </c>
      <c r="C74" s="68" t="s">
        <v>11</v>
      </c>
      <c r="D74" s="449"/>
      <c r="E74" s="529">
        <f>VLOOKUP(C74,'Q1 DMV -  Revenue'!C:S,17,FALSE)</f>
        <v>0</v>
      </c>
      <c r="F74" s="579"/>
      <c r="G74" s="579"/>
      <c r="H74" s="524"/>
      <c r="I74" s="379">
        <f t="shared" si="22"/>
        <v>0</v>
      </c>
      <c r="J74" s="31"/>
      <c r="K74" s="84"/>
      <c r="L74" s="42">
        <v>0</v>
      </c>
      <c r="M74" s="31">
        <v>0</v>
      </c>
      <c r="N74" s="429"/>
      <c r="O74" s="31">
        <v>0</v>
      </c>
      <c r="P74" s="426">
        <f t="shared" si="1"/>
        <v>0</v>
      </c>
      <c r="Q74" s="178"/>
      <c r="R74" s="295"/>
      <c r="S74" s="385">
        <f t="shared" si="11"/>
        <v>0</v>
      </c>
      <c r="T74" s="2"/>
      <c r="U74" s="474">
        <f t="shared" si="2"/>
        <v>0</v>
      </c>
      <c r="V74" s="474">
        <f t="shared" si="3"/>
        <v>0</v>
      </c>
      <c r="W74" s="475">
        <f t="shared" si="4"/>
        <v>0</v>
      </c>
      <c r="X74" s="475">
        <v>0</v>
      </c>
      <c r="Y74" s="476">
        <v>0</v>
      </c>
      <c r="Z74" s="38">
        <f t="shared" si="12"/>
        <v>0</v>
      </c>
      <c r="AA74" s="564">
        <f t="shared" si="13"/>
        <v>0</v>
      </c>
      <c r="AB74" s="564">
        <f t="shared" si="14"/>
        <v>0</v>
      </c>
      <c r="AC74" s="564">
        <f t="shared" si="15"/>
        <v>0</v>
      </c>
      <c r="AE74" s="564">
        <f t="shared" si="16"/>
        <v>0</v>
      </c>
      <c r="AF74" s="564">
        <f t="shared" si="17"/>
        <v>0</v>
      </c>
      <c r="AG74" s="564">
        <f t="shared" si="18"/>
        <v>0</v>
      </c>
    </row>
    <row r="75" spans="1:33">
      <c r="A75" s="21"/>
      <c r="B75" s="21" t="s">
        <v>110</v>
      </c>
      <c r="C75" s="68" t="s">
        <v>12</v>
      </c>
      <c r="D75" s="449"/>
      <c r="E75" s="529">
        <f>VLOOKUP(C75,'Q1 DMV -  Revenue'!C:S,17,FALSE)</f>
        <v>100.47000000000003</v>
      </c>
      <c r="F75" s="576">
        <v>767.79</v>
      </c>
      <c r="G75" s="576">
        <v>787.95</v>
      </c>
      <c r="H75" s="524"/>
      <c r="I75" s="379">
        <f t="shared" si="22"/>
        <v>1656.21</v>
      </c>
      <c r="J75" s="31"/>
      <c r="K75" s="84"/>
      <c r="L75" s="42">
        <f>SUM(F75+G75)/2</f>
        <v>777.87</v>
      </c>
      <c r="M75" s="31">
        <v>0</v>
      </c>
      <c r="N75" s="429">
        <v>2404.09</v>
      </c>
      <c r="O75" s="31">
        <v>0</v>
      </c>
      <c r="P75" s="426">
        <f t="shared" si="1"/>
        <v>777.87</v>
      </c>
      <c r="Q75" s="178">
        <v>719.97</v>
      </c>
      <c r="R75" s="295"/>
      <c r="S75" s="385">
        <f t="shared" si="11"/>
        <v>-57.899999999999977</v>
      </c>
      <c r="T75" s="31"/>
      <c r="U75" s="474">
        <f t="shared" si="2"/>
        <v>777.87</v>
      </c>
      <c r="V75" s="474">
        <f t="shared" si="3"/>
        <v>0</v>
      </c>
      <c r="W75" s="475">
        <f t="shared" si="4"/>
        <v>0</v>
      </c>
      <c r="X75" s="475">
        <v>0</v>
      </c>
      <c r="Y75" s="476">
        <v>0</v>
      </c>
      <c r="Z75" s="38">
        <f t="shared" si="12"/>
        <v>0</v>
      </c>
      <c r="AA75" s="564">
        <f t="shared" si="13"/>
        <v>1656.21</v>
      </c>
      <c r="AB75" s="564">
        <f t="shared" si="14"/>
        <v>0</v>
      </c>
      <c r="AC75" s="564">
        <f t="shared" si="15"/>
        <v>0</v>
      </c>
      <c r="AE75" s="564">
        <f t="shared" si="16"/>
        <v>777.87</v>
      </c>
      <c r="AF75" s="564">
        <f t="shared" si="17"/>
        <v>0</v>
      </c>
      <c r="AG75" s="564">
        <f t="shared" si="18"/>
        <v>0</v>
      </c>
    </row>
    <row r="76" spans="1:33" s="232" customFormat="1">
      <c r="A76" s="283" t="s">
        <v>211</v>
      </c>
      <c r="B76" s="283" t="s">
        <v>110</v>
      </c>
      <c r="C76" s="123" t="s">
        <v>170</v>
      </c>
      <c r="D76" s="449"/>
      <c r="E76" s="529">
        <f>VLOOKUP(C76,'Q1 DMV -  Revenue'!C:S,17,FALSE)</f>
        <v>38824.522500000021</v>
      </c>
      <c r="F76" s="576">
        <v>71.540000000000006</v>
      </c>
      <c r="G76" s="579"/>
      <c r="H76" s="524"/>
      <c r="I76" s="379">
        <f t="shared" si="22"/>
        <v>38896.062500000022</v>
      </c>
      <c r="J76" s="31"/>
      <c r="K76" s="84"/>
      <c r="L76" s="42">
        <v>480000</v>
      </c>
      <c r="M76" s="31">
        <v>0</v>
      </c>
      <c r="N76" s="429">
        <v>535506.57999999996</v>
      </c>
      <c r="O76" s="31">
        <v>0</v>
      </c>
      <c r="P76" s="426">
        <f t="shared" si="1"/>
        <v>480000</v>
      </c>
      <c r="Q76" s="178">
        <v>361995.42</v>
      </c>
      <c r="R76" s="295"/>
      <c r="S76" s="385">
        <f t="shared" si="11"/>
        <v>-118004.58000000002</v>
      </c>
      <c r="T76" s="31"/>
      <c r="U76" s="474">
        <f t="shared" si="2"/>
        <v>480000</v>
      </c>
      <c r="V76" s="474">
        <f t="shared" si="3"/>
        <v>0</v>
      </c>
      <c r="W76" s="475">
        <f t="shared" si="4"/>
        <v>0</v>
      </c>
      <c r="X76" s="475">
        <v>0</v>
      </c>
      <c r="Y76" s="476">
        <v>0</v>
      </c>
      <c r="Z76" s="38">
        <f t="shared" si="12"/>
        <v>0</v>
      </c>
      <c r="AA76" s="564">
        <f t="shared" si="13"/>
        <v>38896.062500000022</v>
      </c>
      <c r="AB76" s="564">
        <f t="shared" si="14"/>
        <v>0</v>
      </c>
      <c r="AC76" s="564">
        <f t="shared" si="15"/>
        <v>0</v>
      </c>
      <c r="AD76" s="559"/>
      <c r="AE76" s="564">
        <f t="shared" si="16"/>
        <v>480000</v>
      </c>
      <c r="AF76" s="564">
        <f t="shared" si="17"/>
        <v>0</v>
      </c>
      <c r="AG76" s="564">
        <f t="shared" si="18"/>
        <v>0</v>
      </c>
    </row>
    <row r="77" spans="1:33" s="232" customFormat="1">
      <c r="A77" s="283" t="s">
        <v>211</v>
      </c>
      <c r="B77" s="283" t="s">
        <v>110</v>
      </c>
      <c r="C77" s="123" t="s">
        <v>171</v>
      </c>
      <c r="D77" s="449"/>
      <c r="E77" s="529">
        <f>VLOOKUP(C77,'Q1 DMV -  Revenue'!C:S,17,FALSE)</f>
        <v>66.599999999999909</v>
      </c>
      <c r="F77" s="579"/>
      <c r="G77" s="579"/>
      <c r="H77" s="524"/>
      <c r="I77" s="379">
        <f t="shared" si="22"/>
        <v>66.599999999999909</v>
      </c>
      <c r="J77" s="31"/>
      <c r="K77" s="84"/>
      <c r="L77" s="42">
        <v>0</v>
      </c>
      <c r="M77" s="31">
        <v>0</v>
      </c>
      <c r="N77" s="429"/>
      <c r="O77" s="31">
        <v>0</v>
      </c>
      <c r="P77" s="426">
        <f t="shared" si="1"/>
        <v>0</v>
      </c>
      <c r="Q77" s="178">
        <v>2155.83</v>
      </c>
      <c r="R77" s="295"/>
      <c r="S77" s="385">
        <f t="shared" si="11"/>
        <v>2155.83</v>
      </c>
      <c r="T77" s="31"/>
      <c r="U77" s="474">
        <f t="shared" si="2"/>
        <v>0</v>
      </c>
      <c r="V77" s="474">
        <f t="shared" si="3"/>
        <v>0</v>
      </c>
      <c r="W77" s="475">
        <f t="shared" si="4"/>
        <v>0</v>
      </c>
      <c r="X77" s="475">
        <v>0</v>
      </c>
      <c r="Y77" s="476">
        <v>0</v>
      </c>
      <c r="Z77" s="38">
        <f t="shared" si="12"/>
        <v>0</v>
      </c>
      <c r="AA77" s="564">
        <f t="shared" si="13"/>
        <v>66.599999999999909</v>
      </c>
      <c r="AB77" s="564">
        <f t="shared" si="14"/>
        <v>0</v>
      </c>
      <c r="AC77" s="564">
        <f t="shared" si="15"/>
        <v>0</v>
      </c>
      <c r="AD77" s="559"/>
      <c r="AE77" s="564">
        <f t="shared" si="16"/>
        <v>0</v>
      </c>
      <c r="AF77" s="564">
        <f t="shared" si="17"/>
        <v>0</v>
      </c>
      <c r="AG77" s="564">
        <f t="shared" si="18"/>
        <v>0</v>
      </c>
    </row>
    <row r="78" spans="1:33" s="232" customFormat="1">
      <c r="A78" s="283" t="s">
        <v>211</v>
      </c>
      <c r="B78" s="283" t="s">
        <v>110</v>
      </c>
      <c r="C78" s="123" t="s">
        <v>13</v>
      </c>
      <c r="D78" s="449"/>
      <c r="E78" s="529">
        <f>VLOOKUP(C78,'Q1 DMV -  Revenue'!C:S,17,FALSE)</f>
        <v>12704.387500000012</v>
      </c>
      <c r="F78" s="579"/>
      <c r="G78" s="579"/>
      <c r="H78" s="524"/>
      <c r="I78" s="379">
        <f t="shared" si="22"/>
        <v>12704.387500000012</v>
      </c>
      <c r="J78" s="31"/>
      <c r="K78" s="84"/>
      <c r="L78" s="42">
        <v>0</v>
      </c>
      <c r="M78" s="31">
        <v>0</v>
      </c>
      <c r="N78" s="429"/>
      <c r="O78" s="31">
        <v>0</v>
      </c>
      <c r="P78" s="426">
        <f t="shared" si="1"/>
        <v>0</v>
      </c>
      <c r="Q78" s="178">
        <v>104843.91</v>
      </c>
      <c r="R78" s="295"/>
      <c r="S78" s="385">
        <f t="shared" si="11"/>
        <v>104843.91</v>
      </c>
      <c r="T78" s="31"/>
      <c r="U78" s="474">
        <f t="shared" si="2"/>
        <v>0</v>
      </c>
      <c r="V78" s="474">
        <f t="shared" si="3"/>
        <v>0</v>
      </c>
      <c r="W78" s="475">
        <f t="shared" si="4"/>
        <v>0</v>
      </c>
      <c r="X78" s="475">
        <v>0</v>
      </c>
      <c r="Y78" s="476">
        <v>0</v>
      </c>
      <c r="Z78" s="38">
        <f t="shared" si="12"/>
        <v>0</v>
      </c>
      <c r="AA78" s="564">
        <f t="shared" si="13"/>
        <v>12704.387500000012</v>
      </c>
      <c r="AB78" s="564">
        <f t="shared" si="14"/>
        <v>0</v>
      </c>
      <c r="AC78" s="564">
        <f t="shared" si="15"/>
        <v>0</v>
      </c>
      <c r="AD78" s="559"/>
      <c r="AE78" s="564">
        <f t="shared" si="16"/>
        <v>0</v>
      </c>
      <c r="AF78" s="564">
        <f t="shared" si="17"/>
        <v>0</v>
      </c>
      <c r="AG78" s="564">
        <f t="shared" si="18"/>
        <v>0</v>
      </c>
    </row>
    <row r="79" spans="1:33" s="232" customFormat="1">
      <c r="A79" s="283" t="s">
        <v>211</v>
      </c>
      <c r="B79" s="283" t="s">
        <v>110</v>
      </c>
      <c r="C79" s="123" t="s">
        <v>172</v>
      </c>
      <c r="D79" s="449"/>
      <c r="E79" s="529">
        <f>VLOOKUP(C79,'Q1 DMV -  Revenue'!C:S,17,FALSE)</f>
        <v>-11.22</v>
      </c>
      <c r="F79" s="579"/>
      <c r="G79" s="579"/>
      <c r="H79" s="524"/>
      <c r="I79" s="379">
        <f t="shared" si="22"/>
        <v>-11.22</v>
      </c>
      <c r="J79" s="31"/>
      <c r="K79" s="84"/>
      <c r="L79" s="42">
        <v>0</v>
      </c>
      <c r="M79" s="31">
        <v>0</v>
      </c>
      <c r="N79" s="429"/>
      <c r="O79" s="31">
        <v>0</v>
      </c>
      <c r="P79" s="426">
        <f t="shared" si="1"/>
        <v>0</v>
      </c>
      <c r="Q79" s="178">
        <v>28.71</v>
      </c>
      <c r="R79" s="295"/>
      <c r="S79" s="385">
        <f t="shared" si="11"/>
        <v>28.71</v>
      </c>
      <c r="T79" s="31"/>
      <c r="U79" s="474">
        <f t="shared" si="2"/>
        <v>0</v>
      </c>
      <c r="V79" s="474">
        <f t="shared" si="3"/>
        <v>0</v>
      </c>
      <c r="W79" s="475">
        <f t="shared" si="4"/>
        <v>0</v>
      </c>
      <c r="X79" s="475">
        <v>0</v>
      </c>
      <c r="Y79" s="476">
        <v>0</v>
      </c>
      <c r="Z79" s="38">
        <f t="shared" si="12"/>
        <v>0</v>
      </c>
      <c r="AA79" s="564">
        <f t="shared" si="13"/>
        <v>-11.22</v>
      </c>
      <c r="AB79" s="564">
        <f t="shared" si="14"/>
        <v>0</v>
      </c>
      <c r="AC79" s="564">
        <f t="shared" si="15"/>
        <v>0</v>
      </c>
      <c r="AD79" s="559"/>
      <c r="AE79" s="564">
        <f t="shared" si="16"/>
        <v>0</v>
      </c>
      <c r="AF79" s="564">
        <f t="shared" si="17"/>
        <v>0</v>
      </c>
      <c r="AG79" s="564">
        <f t="shared" si="18"/>
        <v>0</v>
      </c>
    </row>
    <row r="80" spans="1:33" s="232" customFormat="1">
      <c r="A80" s="283" t="s">
        <v>211</v>
      </c>
      <c r="B80" s="283" t="s">
        <v>110</v>
      </c>
      <c r="C80" s="123" t="s">
        <v>173</v>
      </c>
      <c r="D80" s="449"/>
      <c r="E80" s="529">
        <f>VLOOKUP(C80,'Q1 DMV -  Revenue'!C:S,17,FALSE)</f>
        <v>5907.9550000000017</v>
      </c>
      <c r="F80" s="579"/>
      <c r="G80" s="579"/>
      <c r="H80" s="524"/>
      <c r="I80" s="379">
        <f t="shared" si="22"/>
        <v>5907.9550000000017</v>
      </c>
      <c r="J80" s="31"/>
      <c r="K80" s="84"/>
      <c r="L80" s="42">
        <v>0</v>
      </c>
      <c r="M80" s="31">
        <v>0</v>
      </c>
      <c r="N80" s="429"/>
      <c r="O80" s="31">
        <v>0</v>
      </c>
      <c r="P80" s="426">
        <f t="shared" si="1"/>
        <v>0</v>
      </c>
      <c r="Q80" s="178">
        <v>34380.68</v>
      </c>
      <c r="R80" s="295"/>
      <c r="S80" s="385">
        <f t="shared" si="11"/>
        <v>34380.68</v>
      </c>
      <c r="T80" s="31"/>
      <c r="U80" s="474">
        <f t="shared" si="2"/>
        <v>0</v>
      </c>
      <c r="V80" s="474">
        <f t="shared" si="3"/>
        <v>0</v>
      </c>
      <c r="W80" s="475">
        <f t="shared" si="4"/>
        <v>0</v>
      </c>
      <c r="X80" s="475">
        <v>0</v>
      </c>
      <c r="Y80" s="476">
        <v>0</v>
      </c>
      <c r="Z80" s="38">
        <f t="shared" si="12"/>
        <v>0</v>
      </c>
      <c r="AA80" s="564">
        <f t="shared" si="13"/>
        <v>5907.9550000000017</v>
      </c>
      <c r="AB80" s="564">
        <f t="shared" si="14"/>
        <v>0</v>
      </c>
      <c r="AC80" s="564">
        <f t="shared" si="15"/>
        <v>0</v>
      </c>
      <c r="AD80" s="559"/>
      <c r="AE80" s="564">
        <f t="shared" si="16"/>
        <v>0</v>
      </c>
      <c r="AF80" s="564">
        <f t="shared" si="17"/>
        <v>0</v>
      </c>
      <c r="AG80" s="564">
        <f t="shared" si="18"/>
        <v>0</v>
      </c>
    </row>
    <row r="81" spans="1:33" s="232" customFormat="1">
      <c r="A81" s="283" t="s">
        <v>211</v>
      </c>
      <c r="B81" s="283" t="s">
        <v>110</v>
      </c>
      <c r="C81" s="123" t="s">
        <v>174</v>
      </c>
      <c r="D81" s="449"/>
      <c r="E81" s="529">
        <f>VLOOKUP(C81,'Q1 DMV -  Revenue'!C:S,17,FALSE)</f>
        <v>-5.25</v>
      </c>
      <c r="F81" s="579"/>
      <c r="G81" s="579"/>
      <c r="H81" s="524"/>
      <c r="I81" s="379">
        <f t="shared" si="22"/>
        <v>-5.25</v>
      </c>
      <c r="J81" s="31"/>
      <c r="K81" s="84"/>
      <c r="L81" s="42">
        <v>0</v>
      </c>
      <c r="M81" s="31">
        <v>0</v>
      </c>
      <c r="N81" s="429"/>
      <c r="O81" s="31">
        <v>0</v>
      </c>
      <c r="P81" s="426">
        <f t="shared" si="1"/>
        <v>0</v>
      </c>
      <c r="Q81" s="178">
        <v>20.45</v>
      </c>
      <c r="R81" s="295"/>
      <c r="S81" s="385">
        <f t="shared" si="11"/>
        <v>20.45</v>
      </c>
      <c r="T81" s="31"/>
      <c r="U81" s="474">
        <f t="shared" si="2"/>
        <v>0</v>
      </c>
      <c r="V81" s="474">
        <f t="shared" si="3"/>
        <v>0</v>
      </c>
      <c r="W81" s="475">
        <f t="shared" si="4"/>
        <v>0</v>
      </c>
      <c r="X81" s="475">
        <v>0</v>
      </c>
      <c r="Y81" s="476">
        <v>0</v>
      </c>
      <c r="Z81" s="38">
        <f t="shared" si="12"/>
        <v>0</v>
      </c>
      <c r="AA81" s="564">
        <f t="shared" si="13"/>
        <v>-5.25</v>
      </c>
      <c r="AB81" s="564">
        <f t="shared" si="14"/>
        <v>0</v>
      </c>
      <c r="AC81" s="564">
        <f t="shared" si="15"/>
        <v>0</v>
      </c>
      <c r="AD81" s="559"/>
      <c r="AE81" s="564">
        <f t="shared" si="16"/>
        <v>0</v>
      </c>
      <c r="AF81" s="564">
        <f t="shared" si="17"/>
        <v>0</v>
      </c>
      <c r="AG81" s="564">
        <f t="shared" si="18"/>
        <v>0</v>
      </c>
    </row>
    <row r="82" spans="1:33">
      <c r="A82" s="21"/>
      <c r="B82" s="21" t="s">
        <v>109</v>
      </c>
      <c r="C82" s="68" t="s">
        <v>94</v>
      </c>
      <c r="D82" s="449"/>
      <c r="E82" s="529">
        <f>VLOOKUP(C82,'Q1 DMV -  Revenue'!C:S,17,FALSE)</f>
        <v>-750</v>
      </c>
      <c r="F82" s="579"/>
      <c r="G82" s="579"/>
      <c r="H82" s="524"/>
      <c r="I82" s="379">
        <f t="shared" si="22"/>
        <v>-750</v>
      </c>
      <c r="J82" s="31"/>
      <c r="K82" s="84"/>
      <c r="L82" s="42">
        <v>0</v>
      </c>
      <c r="M82" s="31">
        <v>0</v>
      </c>
      <c r="N82" s="429"/>
      <c r="O82" s="31">
        <v>0</v>
      </c>
      <c r="P82" s="426">
        <f t="shared" si="1"/>
        <v>0</v>
      </c>
      <c r="Q82" s="178"/>
      <c r="R82" s="295"/>
      <c r="S82" s="385">
        <f t="shared" si="11"/>
        <v>0</v>
      </c>
      <c r="T82" s="2"/>
      <c r="U82" s="474">
        <f t="shared" si="2"/>
        <v>0</v>
      </c>
      <c r="V82" s="474">
        <f t="shared" si="3"/>
        <v>0</v>
      </c>
      <c r="W82" s="475">
        <f t="shared" si="4"/>
        <v>0</v>
      </c>
      <c r="X82" s="475">
        <v>0</v>
      </c>
      <c r="Y82" s="476">
        <v>0</v>
      </c>
      <c r="Z82" s="38">
        <f t="shared" si="12"/>
        <v>0</v>
      </c>
      <c r="AA82" s="564">
        <f t="shared" si="13"/>
        <v>0</v>
      </c>
      <c r="AB82" s="564">
        <f t="shared" si="14"/>
        <v>-750</v>
      </c>
      <c r="AC82" s="564">
        <f t="shared" si="15"/>
        <v>0</v>
      </c>
      <c r="AE82" s="564">
        <f t="shared" si="16"/>
        <v>0</v>
      </c>
      <c r="AF82" s="564">
        <f t="shared" si="17"/>
        <v>0</v>
      </c>
      <c r="AG82" s="564">
        <f t="shared" si="18"/>
        <v>0</v>
      </c>
    </row>
    <row r="83" spans="1:33">
      <c r="A83" s="21" t="s">
        <v>109</v>
      </c>
      <c r="B83" s="21" t="s">
        <v>110</v>
      </c>
      <c r="C83" s="68" t="s">
        <v>319</v>
      </c>
      <c r="D83" s="449"/>
      <c r="E83" s="529">
        <f>VLOOKUP(C83,'Q1 DMV -  Revenue'!C:S,17,FALSE)</f>
        <v>0</v>
      </c>
      <c r="F83" s="579"/>
      <c r="G83" s="579"/>
      <c r="H83" s="524"/>
      <c r="I83" s="379">
        <f t="shared" si="22"/>
        <v>0</v>
      </c>
      <c r="J83" s="31"/>
      <c r="K83" s="84"/>
      <c r="L83" s="42">
        <v>0</v>
      </c>
      <c r="M83" s="31">
        <v>0</v>
      </c>
      <c r="N83" s="429"/>
      <c r="O83" s="31">
        <v>0</v>
      </c>
      <c r="P83" s="426">
        <f t="shared" si="1"/>
        <v>0</v>
      </c>
      <c r="Q83" s="178"/>
      <c r="R83" s="295"/>
      <c r="S83" s="385">
        <f t="shared" si="11"/>
        <v>0</v>
      </c>
      <c r="T83" s="2"/>
      <c r="U83" s="474">
        <f t="shared" si="2"/>
        <v>0</v>
      </c>
      <c r="V83" s="474">
        <f t="shared" si="3"/>
        <v>0</v>
      </c>
      <c r="W83" s="475">
        <f t="shared" si="4"/>
        <v>0</v>
      </c>
      <c r="X83" s="475">
        <v>0</v>
      </c>
      <c r="Y83" s="476">
        <v>0</v>
      </c>
      <c r="Z83" s="38">
        <f t="shared" si="12"/>
        <v>0</v>
      </c>
      <c r="AA83" s="564">
        <f t="shared" si="13"/>
        <v>0</v>
      </c>
      <c r="AB83" s="564">
        <f t="shared" si="14"/>
        <v>0</v>
      </c>
      <c r="AC83" s="564">
        <f t="shared" si="15"/>
        <v>0</v>
      </c>
      <c r="AE83" s="564">
        <f t="shared" si="16"/>
        <v>0</v>
      </c>
      <c r="AF83" s="564">
        <f t="shared" si="17"/>
        <v>0</v>
      </c>
      <c r="AG83" s="564">
        <f t="shared" si="18"/>
        <v>0</v>
      </c>
    </row>
    <row r="84" spans="1:33">
      <c r="A84" s="20" t="s">
        <v>211</v>
      </c>
      <c r="B84" s="20" t="s">
        <v>109</v>
      </c>
      <c r="C84" s="68" t="s">
        <v>14</v>
      </c>
      <c r="D84" s="449"/>
      <c r="E84" s="529">
        <f>VLOOKUP(C84,'Q1 DMV -  Revenue'!C:S,17,FALSE)</f>
        <v>-1000</v>
      </c>
      <c r="F84" s="579"/>
      <c r="G84" s="579"/>
      <c r="H84" s="524"/>
      <c r="I84" s="379">
        <f t="shared" si="22"/>
        <v>-1000</v>
      </c>
      <c r="J84" s="31"/>
      <c r="K84" s="84"/>
      <c r="L84" s="42">
        <v>0</v>
      </c>
      <c r="M84" s="31">
        <v>0</v>
      </c>
      <c r="N84" s="429"/>
      <c r="O84" s="31">
        <v>0</v>
      </c>
      <c r="P84" s="426">
        <f t="shared" si="1"/>
        <v>0</v>
      </c>
      <c r="Q84" s="178"/>
      <c r="R84" s="295"/>
      <c r="S84" s="385">
        <f t="shared" ref="S84:S147" si="37">Q84-P84</f>
        <v>0</v>
      </c>
      <c r="T84" s="31"/>
      <c r="U84" s="474">
        <f t="shared" ref="U84:U153" si="38">IF(B84="D",P84,0)</f>
        <v>0</v>
      </c>
      <c r="V84" s="474">
        <f t="shared" ref="V84:V153" si="39">IF(B84="M",P84,0)</f>
        <v>0</v>
      </c>
      <c r="W84" s="475">
        <f t="shared" ref="W84:W153" si="40">IF(B84="V",P84,0)</f>
        <v>0</v>
      </c>
      <c r="X84" s="475">
        <v>0</v>
      </c>
      <c r="Y84" s="476">
        <v>0</v>
      </c>
      <c r="Z84" s="38">
        <f t="shared" si="12"/>
        <v>0</v>
      </c>
      <c r="AA84" s="564">
        <f t="shared" si="13"/>
        <v>0</v>
      </c>
      <c r="AB84" s="564">
        <f t="shared" si="14"/>
        <v>-1000</v>
      </c>
      <c r="AC84" s="564">
        <f t="shared" si="15"/>
        <v>0</v>
      </c>
      <c r="AE84" s="564">
        <f t="shared" si="16"/>
        <v>0</v>
      </c>
      <c r="AF84" s="564">
        <f t="shared" si="17"/>
        <v>0</v>
      </c>
      <c r="AG84" s="564">
        <f t="shared" si="18"/>
        <v>0</v>
      </c>
    </row>
    <row r="85" spans="1:33">
      <c r="A85" s="20"/>
      <c r="B85" s="20" t="s">
        <v>110</v>
      </c>
      <c r="C85" s="68" t="s">
        <v>15</v>
      </c>
      <c r="D85" s="449"/>
      <c r="E85" s="529">
        <f>VLOOKUP(C85,'Q1 DMV -  Revenue'!C:S,17,FALSE)</f>
        <v>0</v>
      </c>
      <c r="F85" s="576">
        <v>9635.7999999999993</v>
      </c>
      <c r="G85" s="576">
        <v>10587.29</v>
      </c>
      <c r="H85" s="525">
        <v>10946.29</v>
      </c>
      <c r="I85" s="379">
        <f t="shared" si="22"/>
        <v>31169.38</v>
      </c>
      <c r="J85" s="31"/>
      <c r="K85" s="84"/>
      <c r="L85" s="42">
        <v>0</v>
      </c>
      <c r="M85" s="31">
        <v>0</v>
      </c>
      <c r="N85" s="429">
        <f>20223.07+10946.29</f>
        <v>31169.360000000001</v>
      </c>
      <c r="O85" s="31">
        <v>0</v>
      </c>
      <c r="P85" s="426">
        <f t="shared" si="1"/>
        <v>0</v>
      </c>
      <c r="Q85" s="178"/>
      <c r="R85" s="295"/>
      <c r="S85" s="385">
        <f t="shared" si="37"/>
        <v>0</v>
      </c>
      <c r="T85" s="31"/>
      <c r="U85" s="474">
        <f t="shared" si="38"/>
        <v>0</v>
      </c>
      <c r="V85" s="474">
        <f t="shared" si="39"/>
        <v>0</v>
      </c>
      <c r="W85" s="475">
        <f t="shared" si="40"/>
        <v>0</v>
      </c>
      <c r="X85" s="475">
        <v>0</v>
      </c>
      <c r="Y85" s="476">
        <v>0</v>
      </c>
      <c r="Z85" s="38">
        <f t="shared" ref="Z85:Z154" si="41">(K85+L85)-(U85+V85+W85+X85+Y85)</f>
        <v>0</v>
      </c>
      <c r="AA85" s="564">
        <f t="shared" ref="AA85:AA154" si="42">IF(B85="D",I85,0)</f>
        <v>31169.38</v>
      </c>
      <c r="AB85" s="564">
        <f t="shared" ref="AB85:AB154" si="43">IF(B85="M",I85,0)</f>
        <v>0</v>
      </c>
      <c r="AC85" s="564">
        <f t="shared" ref="AC85:AC154" si="44">IF(B85="V",I85,0)</f>
        <v>0</v>
      </c>
      <c r="AE85" s="564">
        <f t="shared" ref="AE85:AE154" si="45">IF(B85="D",P85,0)</f>
        <v>0</v>
      </c>
      <c r="AF85" s="564">
        <f t="shared" ref="AF85:AF154" si="46">IF(B85="M",P85,0)</f>
        <v>0</v>
      </c>
      <c r="AG85" s="564">
        <f t="shared" ref="AG85:AG154" si="47">IF(B85="V",P85,0)</f>
        <v>0</v>
      </c>
    </row>
    <row r="86" spans="1:33">
      <c r="A86" s="20" t="s">
        <v>109</v>
      </c>
      <c r="B86" s="20" t="s">
        <v>109</v>
      </c>
      <c r="C86" s="68" t="s">
        <v>510</v>
      </c>
      <c r="D86" s="449"/>
      <c r="E86" s="529">
        <v>0</v>
      </c>
      <c r="F86" s="579"/>
      <c r="G86" s="579"/>
      <c r="H86" s="524"/>
      <c r="I86" s="379">
        <f t="shared" ref="I86" si="48">SUM(D86:H86)</f>
        <v>0</v>
      </c>
      <c r="J86" s="31"/>
      <c r="K86" s="84"/>
      <c r="L86" s="42">
        <v>0</v>
      </c>
      <c r="M86" s="31">
        <v>0</v>
      </c>
      <c r="N86" s="429"/>
      <c r="O86" s="31">
        <v>0</v>
      </c>
      <c r="P86" s="426">
        <f t="shared" ref="P86" si="49">K86+L86</f>
        <v>0</v>
      </c>
      <c r="Q86" s="178">
        <f>352.73+148.03</f>
        <v>500.76</v>
      </c>
      <c r="R86" s="295"/>
      <c r="S86" s="385">
        <f t="shared" si="37"/>
        <v>500.76</v>
      </c>
      <c r="T86" s="31"/>
      <c r="U86" s="474">
        <f t="shared" ref="U86" si="50">IF(B86="D",P86,0)</f>
        <v>0</v>
      </c>
      <c r="V86" s="474">
        <f t="shared" ref="V86" si="51">IF(B86="M",P86,0)</f>
        <v>0</v>
      </c>
      <c r="W86" s="475">
        <f t="shared" ref="W86" si="52">IF(B86="V",P86,0)</f>
        <v>0</v>
      </c>
      <c r="X86" s="475">
        <v>0</v>
      </c>
      <c r="Y86" s="476">
        <v>0</v>
      </c>
      <c r="Z86" s="38">
        <f t="shared" si="41"/>
        <v>0</v>
      </c>
      <c r="AA86" s="564">
        <f t="shared" si="42"/>
        <v>0</v>
      </c>
      <c r="AB86" s="564">
        <f t="shared" si="43"/>
        <v>0</v>
      </c>
      <c r="AC86" s="564">
        <f t="shared" si="44"/>
        <v>0</v>
      </c>
      <c r="AE86" s="564">
        <f t="shared" si="45"/>
        <v>0</v>
      </c>
      <c r="AF86" s="564">
        <f t="shared" si="46"/>
        <v>0</v>
      </c>
      <c r="AG86" s="564">
        <f t="shared" si="47"/>
        <v>0</v>
      </c>
    </row>
    <row r="87" spans="1:33">
      <c r="A87" s="20"/>
      <c r="B87" s="20" t="s">
        <v>109</v>
      </c>
      <c r="C87" s="68" t="s">
        <v>16</v>
      </c>
      <c r="D87" s="449">
        <f>190.49+232.89+189.83+186.72+206.29</f>
        <v>1006.22</v>
      </c>
      <c r="E87" s="529">
        <f>VLOOKUP(C87,'Q1 DMV -  Revenue'!C:S,17,FALSE)</f>
        <v>-850</v>
      </c>
      <c r="F87" s="579"/>
      <c r="G87" s="579"/>
      <c r="H87" s="524"/>
      <c r="I87" s="379">
        <f t="shared" si="22"/>
        <v>156.22000000000003</v>
      </c>
      <c r="J87" s="31"/>
      <c r="K87" s="84"/>
      <c r="L87" s="42">
        <v>0</v>
      </c>
      <c r="M87" s="31">
        <v>0</v>
      </c>
      <c r="N87" s="429">
        <v>1506.37</v>
      </c>
      <c r="O87" s="31">
        <v>0</v>
      </c>
      <c r="P87" s="426">
        <f t="shared" si="1"/>
        <v>0</v>
      </c>
      <c r="Q87" s="178"/>
      <c r="R87" s="295"/>
      <c r="S87" s="385">
        <f t="shared" si="37"/>
        <v>0</v>
      </c>
      <c r="T87" s="31"/>
      <c r="U87" s="474">
        <f t="shared" si="38"/>
        <v>0</v>
      </c>
      <c r="V87" s="474">
        <f t="shared" si="39"/>
        <v>0</v>
      </c>
      <c r="W87" s="475">
        <f t="shared" si="40"/>
        <v>0</v>
      </c>
      <c r="X87" s="475">
        <v>0</v>
      </c>
      <c r="Y87" s="476">
        <v>0</v>
      </c>
      <c r="Z87" s="38">
        <f t="shared" si="41"/>
        <v>0</v>
      </c>
      <c r="AA87" s="564">
        <f t="shared" si="42"/>
        <v>0</v>
      </c>
      <c r="AB87" s="564">
        <f t="shared" si="43"/>
        <v>156.22000000000003</v>
      </c>
      <c r="AC87" s="564">
        <f t="shared" si="44"/>
        <v>0</v>
      </c>
      <c r="AE87" s="564">
        <f t="shared" si="45"/>
        <v>0</v>
      </c>
      <c r="AF87" s="564">
        <f t="shared" si="46"/>
        <v>0</v>
      </c>
      <c r="AG87" s="564">
        <f t="shared" si="47"/>
        <v>0</v>
      </c>
    </row>
    <row r="88" spans="1:33">
      <c r="A88" s="20"/>
      <c r="B88" s="20" t="s">
        <v>109</v>
      </c>
      <c r="C88" s="68" t="s">
        <v>208</v>
      </c>
      <c r="D88" s="449">
        <f>78.74+93.22+132.74+91.4+104.05</f>
        <v>500.15000000000003</v>
      </c>
      <c r="E88" s="529">
        <f>VLOOKUP(C88,'Q1 DMV -  Revenue'!C:S,17,FALSE)</f>
        <v>-250</v>
      </c>
      <c r="F88" s="579"/>
      <c r="G88" s="579"/>
      <c r="H88" s="524"/>
      <c r="I88" s="379">
        <f t="shared" si="22"/>
        <v>250.15000000000003</v>
      </c>
      <c r="J88" s="31"/>
      <c r="K88" s="84"/>
      <c r="L88" s="42">
        <v>0</v>
      </c>
      <c r="M88" s="31">
        <v>0</v>
      </c>
      <c r="N88" s="429"/>
      <c r="O88" s="31">
        <v>0</v>
      </c>
      <c r="P88" s="426">
        <f t="shared" si="1"/>
        <v>0</v>
      </c>
      <c r="Q88" s="178"/>
      <c r="R88" s="295"/>
      <c r="S88" s="385">
        <f t="shared" si="37"/>
        <v>0</v>
      </c>
      <c r="T88" s="31"/>
      <c r="U88" s="474">
        <f t="shared" si="38"/>
        <v>0</v>
      </c>
      <c r="V88" s="474">
        <f t="shared" si="39"/>
        <v>0</v>
      </c>
      <c r="W88" s="475">
        <f t="shared" si="40"/>
        <v>0</v>
      </c>
      <c r="X88" s="475">
        <v>0</v>
      </c>
      <c r="Y88" s="476">
        <v>0</v>
      </c>
      <c r="Z88" s="38">
        <f t="shared" si="41"/>
        <v>0</v>
      </c>
      <c r="AA88" s="564">
        <f t="shared" si="42"/>
        <v>0</v>
      </c>
      <c r="AB88" s="564">
        <f t="shared" si="43"/>
        <v>250.15000000000003</v>
      </c>
      <c r="AC88" s="564">
        <f t="shared" si="44"/>
        <v>0</v>
      </c>
      <c r="AE88" s="564">
        <f t="shared" si="45"/>
        <v>0</v>
      </c>
      <c r="AF88" s="564">
        <f t="shared" si="46"/>
        <v>0</v>
      </c>
      <c r="AG88" s="564">
        <f t="shared" si="47"/>
        <v>0</v>
      </c>
    </row>
    <row r="89" spans="1:33">
      <c r="A89" s="20"/>
      <c r="B89" s="20" t="s">
        <v>110</v>
      </c>
      <c r="C89" s="68" t="s">
        <v>17</v>
      </c>
      <c r="D89" s="449"/>
      <c r="E89" s="529">
        <f>VLOOKUP(C89,'Q1 DMV -  Revenue'!C:S,17,FALSE)</f>
        <v>-15</v>
      </c>
      <c r="F89" s="579"/>
      <c r="G89" s="579"/>
      <c r="H89" s="524"/>
      <c r="I89" s="379">
        <f t="shared" si="22"/>
        <v>-15</v>
      </c>
      <c r="J89" s="31"/>
      <c r="K89" s="84"/>
      <c r="L89" s="42">
        <v>0</v>
      </c>
      <c r="M89" s="31">
        <v>0</v>
      </c>
      <c r="N89" s="429"/>
      <c r="O89" s="31">
        <v>0</v>
      </c>
      <c r="P89" s="426">
        <f t="shared" si="1"/>
        <v>0</v>
      </c>
      <c r="Q89" s="178"/>
      <c r="R89" s="295"/>
      <c r="S89" s="385">
        <f t="shared" si="37"/>
        <v>0</v>
      </c>
      <c r="T89" s="31"/>
      <c r="U89" s="474">
        <f t="shared" si="38"/>
        <v>0</v>
      </c>
      <c r="V89" s="474">
        <f t="shared" si="39"/>
        <v>0</v>
      </c>
      <c r="W89" s="475">
        <f t="shared" si="40"/>
        <v>0</v>
      </c>
      <c r="X89" s="475">
        <v>0</v>
      </c>
      <c r="Y89" s="476">
        <v>0</v>
      </c>
      <c r="Z89" s="38">
        <f t="shared" si="41"/>
        <v>0</v>
      </c>
      <c r="AA89" s="564">
        <f t="shared" si="42"/>
        <v>-15</v>
      </c>
      <c r="AB89" s="564">
        <f t="shared" si="43"/>
        <v>0</v>
      </c>
      <c r="AC89" s="564">
        <f t="shared" si="44"/>
        <v>0</v>
      </c>
      <c r="AE89" s="564">
        <f t="shared" si="45"/>
        <v>0</v>
      </c>
      <c r="AF89" s="564">
        <f t="shared" si="46"/>
        <v>0</v>
      </c>
      <c r="AG89" s="564">
        <f t="shared" si="47"/>
        <v>0</v>
      </c>
    </row>
    <row r="90" spans="1:33" s="232" customFormat="1">
      <c r="A90" s="283"/>
      <c r="B90" s="283" t="s">
        <v>109</v>
      </c>
      <c r="C90" s="373" t="s">
        <v>410</v>
      </c>
      <c r="D90" s="449"/>
      <c r="E90" s="529">
        <f>VLOOKUP(C90,'Q1 DMV -  Revenue'!C:S,17,FALSE)</f>
        <v>0</v>
      </c>
      <c r="F90" s="576">
        <v>12768.6</v>
      </c>
      <c r="G90" s="576">
        <v>12490.1</v>
      </c>
      <c r="H90" s="524"/>
      <c r="I90" s="379">
        <f t="shared" si="22"/>
        <v>25258.7</v>
      </c>
      <c r="J90" s="31"/>
      <c r="K90" s="84"/>
      <c r="L90" s="42">
        <f>SUM(F90+G90)/2</f>
        <v>12629.35</v>
      </c>
      <c r="M90" s="31">
        <v>0</v>
      </c>
      <c r="N90" s="429">
        <v>27974.81</v>
      </c>
      <c r="O90" s="31">
        <v>0</v>
      </c>
      <c r="P90" s="426">
        <f t="shared" si="1"/>
        <v>12629.35</v>
      </c>
      <c r="Q90" s="178">
        <v>10737.2</v>
      </c>
      <c r="R90" s="295"/>
      <c r="S90" s="385">
        <f t="shared" si="37"/>
        <v>-1892.1499999999996</v>
      </c>
      <c r="T90" s="31"/>
      <c r="U90" s="474">
        <f t="shared" si="38"/>
        <v>0</v>
      </c>
      <c r="V90" s="474">
        <f t="shared" si="39"/>
        <v>12629.35</v>
      </c>
      <c r="W90" s="475">
        <f t="shared" si="40"/>
        <v>0</v>
      </c>
      <c r="X90" s="475">
        <v>0</v>
      </c>
      <c r="Y90" s="476">
        <v>0</v>
      </c>
      <c r="Z90" s="38">
        <f t="shared" si="41"/>
        <v>0</v>
      </c>
      <c r="AA90" s="564">
        <f t="shared" si="42"/>
        <v>0</v>
      </c>
      <c r="AB90" s="564">
        <f t="shared" si="43"/>
        <v>25258.7</v>
      </c>
      <c r="AC90" s="564">
        <f t="shared" si="44"/>
        <v>0</v>
      </c>
      <c r="AD90" s="559"/>
      <c r="AE90" s="564">
        <f t="shared" si="45"/>
        <v>0</v>
      </c>
      <c r="AF90" s="564">
        <f t="shared" si="46"/>
        <v>12629.35</v>
      </c>
      <c r="AG90" s="564">
        <f t="shared" si="47"/>
        <v>0</v>
      </c>
    </row>
    <row r="91" spans="1:33" s="232" customFormat="1">
      <c r="A91" s="283"/>
      <c r="B91" s="283" t="s">
        <v>109</v>
      </c>
      <c r="C91" s="373" t="s">
        <v>412</v>
      </c>
      <c r="D91" s="598"/>
      <c r="E91" s="598">
        <v>0</v>
      </c>
      <c r="F91" s="590"/>
      <c r="G91" s="590"/>
      <c r="H91" s="591"/>
      <c r="I91" s="592">
        <f t="shared" ref="I91:I94" si="53">SUM(D91:H91)</f>
        <v>0</v>
      </c>
      <c r="J91" s="31"/>
      <c r="K91" s="599"/>
      <c r="L91" s="198">
        <v>0</v>
      </c>
      <c r="M91" s="31">
        <v>0</v>
      </c>
      <c r="N91" s="429"/>
      <c r="O91" s="31">
        <v>0</v>
      </c>
      <c r="P91" s="426">
        <f t="shared" si="1"/>
        <v>0</v>
      </c>
      <c r="Q91" s="178"/>
      <c r="R91" s="295"/>
      <c r="S91" s="385">
        <f t="shared" si="37"/>
        <v>0</v>
      </c>
      <c r="T91" s="31"/>
      <c r="U91" s="474">
        <f t="shared" si="38"/>
        <v>0</v>
      </c>
      <c r="V91" s="474">
        <f t="shared" si="39"/>
        <v>0</v>
      </c>
      <c r="W91" s="475">
        <f t="shared" si="40"/>
        <v>0</v>
      </c>
      <c r="X91" s="475">
        <v>0</v>
      </c>
      <c r="Y91" s="476">
        <v>0</v>
      </c>
      <c r="Z91" s="38">
        <f t="shared" si="41"/>
        <v>0</v>
      </c>
      <c r="AA91" s="564">
        <f t="shared" si="42"/>
        <v>0</v>
      </c>
      <c r="AB91" s="564">
        <f t="shared" si="43"/>
        <v>0</v>
      </c>
      <c r="AC91" s="564">
        <f t="shared" si="44"/>
        <v>0</v>
      </c>
      <c r="AD91" s="559"/>
      <c r="AE91" s="564">
        <f t="shared" si="45"/>
        <v>0</v>
      </c>
      <c r="AF91" s="564">
        <f t="shared" si="46"/>
        <v>0</v>
      </c>
      <c r="AG91" s="564">
        <f t="shared" si="47"/>
        <v>0</v>
      </c>
    </row>
    <row r="92" spans="1:33" s="232" customFormat="1">
      <c r="A92" s="283"/>
      <c r="B92" s="283" t="s">
        <v>109</v>
      </c>
      <c r="C92" s="373" t="s">
        <v>413</v>
      </c>
      <c r="D92" s="449"/>
      <c r="E92" s="529">
        <f>VLOOKUP(C92,'Q1 DMV -  Revenue'!C:S,17,FALSE)</f>
        <v>0</v>
      </c>
      <c r="F92" s="576">
        <v>1405.32</v>
      </c>
      <c r="G92" s="576">
        <v>1310.79</v>
      </c>
      <c r="H92" s="524"/>
      <c r="I92" s="379">
        <f t="shared" si="53"/>
        <v>2716.1099999999997</v>
      </c>
      <c r="J92" s="31"/>
      <c r="K92" s="84"/>
      <c r="L92" s="42">
        <f>SUM(F92+G92)/2</f>
        <v>1358.0549999999998</v>
      </c>
      <c r="M92" s="31">
        <v>0</v>
      </c>
      <c r="N92" s="429"/>
      <c r="O92" s="31">
        <v>0</v>
      </c>
      <c r="P92" s="426">
        <f t="shared" si="1"/>
        <v>1358.0549999999998</v>
      </c>
      <c r="Q92" s="178">
        <v>1203</v>
      </c>
      <c r="R92" s="295"/>
      <c r="S92" s="385">
        <f t="shared" si="37"/>
        <v>-155.05499999999984</v>
      </c>
      <c r="T92" s="31"/>
      <c r="U92" s="474">
        <f t="shared" si="38"/>
        <v>0</v>
      </c>
      <c r="V92" s="474">
        <f t="shared" si="39"/>
        <v>1358.0549999999998</v>
      </c>
      <c r="W92" s="475">
        <f t="shared" si="40"/>
        <v>0</v>
      </c>
      <c r="X92" s="475">
        <v>0</v>
      </c>
      <c r="Y92" s="476">
        <v>0</v>
      </c>
      <c r="Z92" s="38">
        <f t="shared" si="41"/>
        <v>0</v>
      </c>
      <c r="AA92" s="564">
        <f t="shared" si="42"/>
        <v>0</v>
      </c>
      <c r="AB92" s="564">
        <f t="shared" si="43"/>
        <v>2716.1099999999997</v>
      </c>
      <c r="AC92" s="564">
        <f t="shared" si="44"/>
        <v>0</v>
      </c>
      <c r="AD92" s="559"/>
      <c r="AE92" s="564">
        <f t="shared" si="45"/>
        <v>0</v>
      </c>
      <c r="AF92" s="564">
        <f t="shared" si="46"/>
        <v>1358.0549999999998</v>
      </c>
      <c r="AG92" s="564">
        <f t="shared" si="47"/>
        <v>0</v>
      </c>
    </row>
    <row r="93" spans="1:33" s="232" customFormat="1">
      <c r="A93" s="283"/>
      <c r="B93" s="283" t="s">
        <v>110</v>
      </c>
      <c r="C93" s="351" t="s">
        <v>507</v>
      </c>
      <c r="D93" s="449"/>
      <c r="E93" s="529">
        <v>0</v>
      </c>
      <c r="F93" s="579"/>
      <c r="G93" s="579"/>
      <c r="H93" s="524"/>
      <c r="I93" s="379">
        <f t="shared" si="53"/>
        <v>0</v>
      </c>
      <c r="J93" s="31"/>
      <c r="K93" s="84"/>
      <c r="L93" s="42">
        <v>0</v>
      </c>
      <c r="M93" s="31">
        <v>0</v>
      </c>
      <c r="N93" s="429"/>
      <c r="O93" s="31">
        <v>0</v>
      </c>
      <c r="P93" s="426">
        <f t="shared" ref="P93:P94" si="54">K93+L93</f>
        <v>0</v>
      </c>
      <c r="Q93" s="178">
        <f>476.36+689.61</f>
        <v>1165.97</v>
      </c>
      <c r="R93" s="295"/>
      <c r="S93" s="385">
        <f t="shared" si="37"/>
        <v>1165.97</v>
      </c>
      <c r="T93" s="31"/>
      <c r="U93" s="474"/>
      <c r="V93" s="474"/>
      <c r="W93" s="475"/>
      <c r="X93" s="475"/>
      <c r="Y93" s="476"/>
      <c r="Z93" s="38"/>
      <c r="AA93" s="564"/>
      <c r="AB93" s="564"/>
      <c r="AC93" s="564"/>
      <c r="AD93" s="559"/>
      <c r="AE93" s="564"/>
      <c r="AF93" s="564"/>
      <c r="AG93" s="564"/>
    </row>
    <row r="94" spans="1:33" s="232" customFormat="1">
      <c r="A94" s="283"/>
      <c r="B94" s="283" t="s">
        <v>110</v>
      </c>
      <c r="C94" s="351" t="s">
        <v>506</v>
      </c>
      <c r="D94" s="449"/>
      <c r="E94" s="529">
        <v>0</v>
      </c>
      <c r="F94" s="579"/>
      <c r="G94" s="579"/>
      <c r="H94" s="524"/>
      <c r="I94" s="379">
        <f t="shared" si="53"/>
        <v>0</v>
      </c>
      <c r="J94" s="31"/>
      <c r="K94" s="84"/>
      <c r="L94" s="42">
        <v>0</v>
      </c>
      <c r="M94" s="31">
        <v>0</v>
      </c>
      <c r="N94" s="429"/>
      <c r="O94" s="31">
        <v>0</v>
      </c>
      <c r="P94" s="426">
        <f t="shared" si="54"/>
        <v>0</v>
      </c>
      <c r="Q94" s="178">
        <f>644.79+726.93</f>
        <v>1371.7199999999998</v>
      </c>
      <c r="R94" s="295"/>
      <c r="S94" s="385">
        <f t="shared" si="37"/>
        <v>1371.7199999999998</v>
      </c>
      <c r="T94" s="31"/>
      <c r="U94" s="474"/>
      <c r="V94" s="474"/>
      <c r="W94" s="475"/>
      <c r="X94" s="475"/>
      <c r="Y94" s="476"/>
      <c r="Z94" s="38"/>
      <c r="AA94" s="564"/>
      <c r="AB94" s="564"/>
      <c r="AC94" s="564"/>
      <c r="AD94" s="559"/>
      <c r="AE94" s="564"/>
      <c r="AF94" s="564"/>
      <c r="AG94" s="564"/>
    </row>
    <row r="95" spans="1:33">
      <c r="A95" s="20"/>
      <c r="B95" s="20" t="s">
        <v>110</v>
      </c>
      <c r="C95" s="351" t="s">
        <v>409</v>
      </c>
      <c r="D95" s="449"/>
      <c r="E95" s="529">
        <v>0</v>
      </c>
      <c r="F95" s="579"/>
      <c r="G95" s="579"/>
      <c r="H95" s="524"/>
      <c r="I95" s="379">
        <f t="shared" ref="I95:I137" si="55">SUM(D95:H95)</f>
        <v>0</v>
      </c>
      <c r="J95" s="31"/>
      <c r="K95" s="84"/>
      <c r="L95" s="42">
        <v>0</v>
      </c>
      <c r="M95" s="31">
        <v>0</v>
      </c>
      <c r="N95" s="429"/>
      <c r="O95" s="31">
        <v>0</v>
      </c>
      <c r="P95" s="426">
        <f t="shared" si="1"/>
        <v>0</v>
      </c>
      <c r="Q95" s="178"/>
      <c r="R95" s="295"/>
      <c r="S95" s="385">
        <f t="shared" si="37"/>
        <v>0</v>
      </c>
      <c r="T95" s="31"/>
      <c r="U95" s="474">
        <f t="shared" si="38"/>
        <v>0</v>
      </c>
      <c r="V95" s="474">
        <f t="shared" si="39"/>
        <v>0</v>
      </c>
      <c r="W95" s="475">
        <f t="shared" si="40"/>
        <v>0</v>
      </c>
      <c r="X95" s="475">
        <v>0</v>
      </c>
      <c r="Y95" s="476">
        <v>0</v>
      </c>
      <c r="Z95" s="38">
        <f t="shared" si="41"/>
        <v>0</v>
      </c>
      <c r="AA95" s="564">
        <f t="shared" si="42"/>
        <v>0</v>
      </c>
      <c r="AB95" s="564">
        <f t="shared" si="43"/>
        <v>0</v>
      </c>
      <c r="AC95" s="564">
        <f t="shared" si="44"/>
        <v>0</v>
      </c>
      <c r="AE95" s="564">
        <f t="shared" si="45"/>
        <v>0</v>
      </c>
      <c r="AF95" s="564">
        <f t="shared" si="46"/>
        <v>0</v>
      </c>
      <c r="AG95" s="564">
        <f t="shared" si="47"/>
        <v>0</v>
      </c>
    </row>
    <row r="96" spans="1:33">
      <c r="A96" s="20"/>
      <c r="B96" s="20" t="s">
        <v>110</v>
      </c>
      <c r="C96" s="68" t="s">
        <v>305</v>
      </c>
      <c r="D96" s="449"/>
      <c r="E96" s="529">
        <v>0</v>
      </c>
      <c r="F96" s="576">
        <v>167.71</v>
      </c>
      <c r="G96" s="576">
        <v>845.98</v>
      </c>
      <c r="H96" s="524"/>
      <c r="I96" s="379">
        <f t="shared" si="55"/>
        <v>1013.69</v>
      </c>
      <c r="J96" s="31"/>
      <c r="K96" s="84"/>
      <c r="L96" s="42">
        <f>F96*2</f>
        <v>335.42</v>
      </c>
      <c r="M96" s="31">
        <v>0</v>
      </c>
      <c r="N96" s="429">
        <v>1176.94</v>
      </c>
      <c r="O96" s="31">
        <v>0</v>
      </c>
      <c r="P96" s="426">
        <f t="shared" si="1"/>
        <v>335.42</v>
      </c>
      <c r="Q96" s="178">
        <v>966.63</v>
      </c>
      <c r="R96" s="295"/>
      <c r="S96" s="385">
        <f t="shared" si="37"/>
        <v>631.21</v>
      </c>
      <c r="T96" s="31"/>
      <c r="U96" s="474">
        <f t="shared" si="38"/>
        <v>335.42</v>
      </c>
      <c r="V96" s="474">
        <f t="shared" si="39"/>
        <v>0</v>
      </c>
      <c r="W96" s="475">
        <f t="shared" si="40"/>
        <v>0</v>
      </c>
      <c r="X96" s="475">
        <v>0</v>
      </c>
      <c r="Y96" s="476">
        <v>0</v>
      </c>
      <c r="Z96" s="38">
        <f t="shared" si="41"/>
        <v>0</v>
      </c>
      <c r="AA96" s="564">
        <f t="shared" si="42"/>
        <v>1013.69</v>
      </c>
      <c r="AB96" s="564">
        <f t="shared" si="43"/>
        <v>0</v>
      </c>
      <c r="AC96" s="564">
        <f t="shared" si="44"/>
        <v>0</v>
      </c>
      <c r="AE96" s="564">
        <f t="shared" si="45"/>
        <v>335.42</v>
      </c>
      <c r="AF96" s="564">
        <f t="shared" si="46"/>
        <v>0</v>
      </c>
      <c r="AG96" s="564">
        <f t="shared" si="47"/>
        <v>0</v>
      </c>
    </row>
    <row r="97" spans="1:33">
      <c r="A97" s="20"/>
      <c r="B97" s="20" t="s">
        <v>110</v>
      </c>
      <c r="C97" s="68" t="s">
        <v>199</v>
      </c>
      <c r="D97" s="449"/>
      <c r="E97" s="529">
        <v>0</v>
      </c>
      <c r="F97" s="576">
        <v>100.43</v>
      </c>
      <c r="G97" s="576">
        <v>32.28</v>
      </c>
      <c r="H97" s="525">
        <v>85.03</v>
      </c>
      <c r="I97" s="379">
        <f t="shared" si="55"/>
        <v>217.74</v>
      </c>
      <c r="J97" s="31"/>
      <c r="K97" s="84"/>
      <c r="L97" s="42">
        <v>0</v>
      </c>
      <c r="M97" s="31">
        <v>0</v>
      </c>
      <c r="N97" s="429">
        <v>1298.2</v>
      </c>
      <c r="O97" s="31">
        <v>0</v>
      </c>
      <c r="P97" s="426">
        <f t="shared" si="1"/>
        <v>0</v>
      </c>
      <c r="Q97" s="178"/>
      <c r="R97" s="295"/>
      <c r="S97" s="385">
        <f t="shared" si="37"/>
        <v>0</v>
      </c>
      <c r="T97" s="31"/>
      <c r="U97" s="474">
        <f t="shared" si="38"/>
        <v>0</v>
      </c>
      <c r="V97" s="474">
        <f t="shared" si="39"/>
        <v>0</v>
      </c>
      <c r="W97" s="475">
        <f t="shared" si="40"/>
        <v>0</v>
      </c>
      <c r="X97" s="475">
        <v>0</v>
      </c>
      <c r="Y97" s="476">
        <v>0</v>
      </c>
      <c r="Z97" s="38">
        <f t="shared" si="41"/>
        <v>0</v>
      </c>
      <c r="AA97" s="564">
        <f t="shared" si="42"/>
        <v>217.74</v>
      </c>
      <c r="AB97" s="564">
        <f t="shared" si="43"/>
        <v>0</v>
      </c>
      <c r="AC97" s="564">
        <f t="shared" si="44"/>
        <v>0</v>
      </c>
      <c r="AE97" s="564">
        <f t="shared" si="45"/>
        <v>0</v>
      </c>
      <c r="AF97" s="564">
        <f t="shared" si="46"/>
        <v>0</v>
      </c>
      <c r="AG97" s="564">
        <f t="shared" si="47"/>
        <v>0</v>
      </c>
    </row>
    <row r="98" spans="1:33">
      <c r="A98" s="20"/>
      <c r="B98" s="20" t="s">
        <v>110</v>
      </c>
      <c r="C98" s="68" t="s">
        <v>200</v>
      </c>
      <c r="D98" s="449">
        <f>-3203.13+524.19</f>
        <v>-2678.94</v>
      </c>
      <c r="E98" s="529">
        <v>0</v>
      </c>
      <c r="F98" s="576">
        <v>178.5</v>
      </c>
      <c r="G98" s="576">
        <v>167.3</v>
      </c>
      <c r="H98" s="525">
        <v>200.9</v>
      </c>
      <c r="I98" s="379">
        <f t="shared" si="55"/>
        <v>-2132.2399999999998</v>
      </c>
      <c r="J98" s="31"/>
      <c r="K98" s="84"/>
      <c r="L98" s="42">
        <v>0</v>
      </c>
      <c r="M98" s="31">
        <v>0</v>
      </c>
      <c r="N98" s="429"/>
      <c r="O98" s="31">
        <v>0</v>
      </c>
      <c r="P98" s="426">
        <f t="shared" si="1"/>
        <v>0</v>
      </c>
      <c r="Q98" s="178"/>
      <c r="R98" s="295"/>
      <c r="S98" s="385">
        <f t="shared" si="37"/>
        <v>0</v>
      </c>
      <c r="T98" s="31"/>
      <c r="U98" s="474">
        <f t="shared" si="38"/>
        <v>0</v>
      </c>
      <c r="V98" s="474">
        <f t="shared" si="39"/>
        <v>0</v>
      </c>
      <c r="W98" s="475">
        <f t="shared" si="40"/>
        <v>0</v>
      </c>
      <c r="X98" s="475">
        <v>0</v>
      </c>
      <c r="Y98" s="476">
        <v>0</v>
      </c>
      <c r="Z98" s="38">
        <f t="shared" si="41"/>
        <v>0</v>
      </c>
      <c r="AA98" s="564">
        <f t="shared" si="42"/>
        <v>-2132.2399999999998</v>
      </c>
      <c r="AB98" s="564">
        <f t="shared" si="43"/>
        <v>0</v>
      </c>
      <c r="AC98" s="564">
        <f t="shared" si="44"/>
        <v>0</v>
      </c>
      <c r="AE98" s="564">
        <f t="shared" si="45"/>
        <v>0</v>
      </c>
      <c r="AF98" s="564">
        <f t="shared" si="46"/>
        <v>0</v>
      </c>
      <c r="AG98" s="564">
        <f t="shared" si="47"/>
        <v>0</v>
      </c>
    </row>
    <row r="99" spans="1:33">
      <c r="A99" s="20"/>
      <c r="B99" s="20" t="s">
        <v>110</v>
      </c>
      <c r="C99" s="68" t="s">
        <v>201</v>
      </c>
      <c r="D99" s="449"/>
      <c r="E99" s="529">
        <v>0</v>
      </c>
      <c r="F99" s="576">
        <v>3.2</v>
      </c>
      <c r="G99" s="576">
        <v>1.6</v>
      </c>
      <c r="H99" s="525">
        <v>4.7699999999999996</v>
      </c>
      <c r="I99" s="379">
        <f t="shared" si="55"/>
        <v>9.57</v>
      </c>
      <c r="J99" s="31"/>
      <c r="K99" s="84"/>
      <c r="L99" s="42">
        <v>0</v>
      </c>
      <c r="M99" s="31">
        <v>0</v>
      </c>
      <c r="N99" s="429"/>
      <c r="O99" s="31">
        <v>0</v>
      </c>
      <c r="P99" s="426">
        <f t="shared" si="1"/>
        <v>0</v>
      </c>
      <c r="Q99" s="178"/>
      <c r="R99" s="295"/>
      <c r="S99" s="385">
        <f t="shared" si="37"/>
        <v>0</v>
      </c>
      <c r="T99" s="31"/>
      <c r="U99" s="474">
        <f t="shared" si="38"/>
        <v>0</v>
      </c>
      <c r="V99" s="474">
        <f t="shared" si="39"/>
        <v>0</v>
      </c>
      <c r="W99" s="475">
        <f t="shared" si="40"/>
        <v>0</v>
      </c>
      <c r="X99" s="475">
        <v>0</v>
      </c>
      <c r="Y99" s="476">
        <v>0</v>
      </c>
      <c r="Z99" s="38">
        <f t="shared" si="41"/>
        <v>0</v>
      </c>
      <c r="AA99" s="564">
        <f t="shared" si="42"/>
        <v>9.57</v>
      </c>
      <c r="AB99" s="564">
        <f t="shared" si="43"/>
        <v>0</v>
      </c>
      <c r="AC99" s="564">
        <f t="shared" si="44"/>
        <v>0</v>
      </c>
      <c r="AE99" s="564">
        <f t="shared" si="45"/>
        <v>0</v>
      </c>
      <c r="AF99" s="564">
        <f t="shared" si="46"/>
        <v>0</v>
      </c>
      <c r="AG99" s="564">
        <f t="shared" si="47"/>
        <v>0</v>
      </c>
    </row>
    <row r="100" spans="1:33">
      <c r="A100" s="20"/>
      <c r="B100" s="20" t="s">
        <v>110</v>
      </c>
      <c r="C100" s="68" t="s">
        <v>64</v>
      </c>
      <c r="D100" s="449"/>
      <c r="E100" s="529">
        <v>0</v>
      </c>
      <c r="F100" s="576">
        <v>1277.77</v>
      </c>
      <c r="G100" s="579"/>
      <c r="H100" s="524"/>
      <c r="I100" s="379">
        <f t="shared" si="55"/>
        <v>1277.77</v>
      </c>
      <c r="J100" s="31"/>
      <c r="K100" s="84"/>
      <c r="L100" s="42">
        <f>F100*2</f>
        <v>2555.54</v>
      </c>
      <c r="M100" s="31">
        <v>0</v>
      </c>
      <c r="N100" s="429">
        <v>1277.77</v>
      </c>
      <c r="O100" s="31">
        <v>0</v>
      </c>
      <c r="P100" s="426">
        <f t="shared" si="1"/>
        <v>2555.54</v>
      </c>
      <c r="Q100" s="178"/>
      <c r="R100" s="295"/>
      <c r="S100" s="385">
        <f t="shared" si="37"/>
        <v>-2555.54</v>
      </c>
      <c r="T100" s="31"/>
      <c r="U100" s="474">
        <f t="shared" si="38"/>
        <v>2555.54</v>
      </c>
      <c r="V100" s="474">
        <f t="shared" si="39"/>
        <v>0</v>
      </c>
      <c r="W100" s="475">
        <f t="shared" si="40"/>
        <v>0</v>
      </c>
      <c r="X100" s="475">
        <v>0</v>
      </c>
      <c r="Y100" s="476">
        <v>0</v>
      </c>
      <c r="Z100" s="38">
        <f t="shared" si="41"/>
        <v>0</v>
      </c>
      <c r="AA100" s="564">
        <f t="shared" si="42"/>
        <v>1277.77</v>
      </c>
      <c r="AB100" s="564">
        <f t="shared" si="43"/>
        <v>0</v>
      </c>
      <c r="AC100" s="564">
        <f t="shared" si="44"/>
        <v>0</v>
      </c>
      <c r="AE100" s="564">
        <f t="shared" si="45"/>
        <v>2555.54</v>
      </c>
      <c r="AF100" s="564">
        <f t="shared" si="46"/>
        <v>0</v>
      </c>
      <c r="AG100" s="564">
        <f t="shared" si="47"/>
        <v>0</v>
      </c>
    </row>
    <row r="101" spans="1:33">
      <c r="A101" s="20" t="s">
        <v>211</v>
      </c>
      <c r="B101" s="20" t="s">
        <v>109</v>
      </c>
      <c r="C101" s="68" t="s">
        <v>18</v>
      </c>
      <c r="D101" s="449"/>
      <c r="E101" s="529">
        <v>0</v>
      </c>
      <c r="F101" s="579"/>
      <c r="G101" s="579"/>
      <c r="H101" s="524"/>
      <c r="I101" s="379">
        <f t="shared" si="55"/>
        <v>0</v>
      </c>
      <c r="J101" s="31"/>
      <c r="K101" s="84"/>
      <c r="L101" s="42">
        <v>0</v>
      </c>
      <c r="M101" s="31">
        <v>0</v>
      </c>
      <c r="N101" s="429">
        <v>20.91</v>
      </c>
      <c r="O101" s="31">
        <v>0</v>
      </c>
      <c r="P101" s="426">
        <f t="shared" si="1"/>
        <v>0</v>
      </c>
      <c r="Q101" s="178"/>
      <c r="R101" s="295"/>
      <c r="S101" s="385">
        <f t="shared" si="37"/>
        <v>0</v>
      </c>
      <c r="T101" s="2"/>
      <c r="U101" s="474">
        <f t="shared" si="38"/>
        <v>0</v>
      </c>
      <c r="V101" s="474">
        <f t="shared" si="39"/>
        <v>0</v>
      </c>
      <c r="W101" s="475">
        <f t="shared" si="40"/>
        <v>0</v>
      </c>
      <c r="X101" s="475">
        <v>0</v>
      </c>
      <c r="Y101" s="476">
        <v>0</v>
      </c>
      <c r="Z101" s="38">
        <f t="shared" si="41"/>
        <v>0</v>
      </c>
      <c r="AA101" s="564">
        <f t="shared" si="42"/>
        <v>0</v>
      </c>
      <c r="AB101" s="564">
        <f t="shared" si="43"/>
        <v>0</v>
      </c>
      <c r="AC101" s="564">
        <f t="shared" si="44"/>
        <v>0</v>
      </c>
      <c r="AE101" s="564">
        <f t="shared" si="45"/>
        <v>0</v>
      </c>
      <c r="AF101" s="564">
        <f t="shared" si="46"/>
        <v>0</v>
      </c>
      <c r="AG101" s="564">
        <f t="shared" si="47"/>
        <v>0</v>
      </c>
    </row>
    <row r="102" spans="1:33">
      <c r="A102" s="20" t="s">
        <v>97</v>
      </c>
      <c r="B102" s="20" t="s">
        <v>109</v>
      </c>
      <c r="C102" s="68" t="s">
        <v>19</v>
      </c>
      <c r="D102" s="449"/>
      <c r="E102" s="529">
        <v>0</v>
      </c>
      <c r="F102" s="579"/>
      <c r="G102" s="579"/>
      <c r="H102" s="524"/>
      <c r="I102" s="379">
        <f t="shared" si="55"/>
        <v>0</v>
      </c>
      <c r="J102" s="31"/>
      <c r="K102" s="84"/>
      <c r="L102" s="42">
        <v>0</v>
      </c>
      <c r="M102" s="31">
        <v>0</v>
      </c>
      <c r="N102" s="429"/>
      <c r="O102" s="31">
        <v>0</v>
      </c>
      <c r="P102" s="426">
        <f t="shared" si="1"/>
        <v>0</v>
      </c>
      <c r="Q102" s="178"/>
      <c r="R102" s="295"/>
      <c r="S102" s="385">
        <f t="shared" si="37"/>
        <v>0</v>
      </c>
      <c r="T102" s="31"/>
      <c r="U102" s="474">
        <f t="shared" si="38"/>
        <v>0</v>
      </c>
      <c r="V102" s="474">
        <f t="shared" si="39"/>
        <v>0</v>
      </c>
      <c r="W102" s="475">
        <f t="shared" si="40"/>
        <v>0</v>
      </c>
      <c r="X102" s="475">
        <v>0</v>
      </c>
      <c r="Y102" s="476">
        <v>0</v>
      </c>
      <c r="Z102" s="38">
        <f t="shared" si="41"/>
        <v>0</v>
      </c>
      <c r="AA102" s="564">
        <f t="shared" si="42"/>
        <v>0</v>
      </c>
      <c r="AB102" s="564">
        <f t="shared" si="43"/>
        <v>0</v>
      </c>
      <c r="AC102" s="564">
        <f t="shared" si="44"/>
        <v>0</v>
      </c>
      <c r="AE102" s="564">
        <f t="shared" si="45"/>
        <v>0</v>
      </c>
      <c r="AF102" s="564">
        <f t="shared" si="46"/>
        <v>0</v>
      </c>
      <c r="AG102" s="564">
        <f t="shared" si="47"/>
        <v>0</v>
      </c>
    </row>
    <row r="103" spans="1:33">
      <c r="A103" s="20" t="s">
        <v>97</v>
      </c>
      <c r="B103" s="20" t="s">
        <v>109</v>
      </c>
      <c r="C103" s="68" t="s">
        <v>463</v>
      </c>
      <c r="D103" s="449"/>
      <c r="E103" s="529">
        <v>0</v>
      </c>
      <c r="F103" s="579"/>
      <c r="G103" s="579"/>
      <c r="H103" s="524"/>
      <c r="I103" s="379">
        <f t="shared" si="55"/>
        <v>0</v>
      </c>
      <c r="J103" s="31"/>
      <c r="K103" s="84"/>
      <c r="L103" s="42">
        <v>0</v>
      </c>
      <c r="M103" s="31">
        <v>0</v>
      </c>
      <c r="N103" s="429"/>
      <c r="O103" s="31">
        <v>0</v>
      </c>
      <c r="P103" s="426">
        <f t="shared" si="1"/>
        <v>0</v>
      </c>
      <c r="Q103" s="178"/>
      <c r="R103" s="295"/>
      <c r="S103" s="385">
        <f t="shared" si="37"/>
        <v>0</v>
      </c>
      <c r="T103" s="31"/>
      <c r="U103" s="474">
        <f t="shared" si="38"/>
        <v>0</v>
      </c>
      <c r="V103" s="474">
        <f t="shared" si="39"/>
        <v>0</v>
      </c>
      <c r="W103" s="475">
        <f t="shared" si="40"/>
        <v>0</v>
      </c>
      <c r="X103" s="475">
        <v>0</v>
      </c>
      <c r="Y103" s="476">
        <v>0</v>
      </c>
      <c r="Z103" s="38">
        <f t="shared" si="41"/>
        <v>0</v>
      </c>
      <c r="AA103" s="564">
        <f t="shared" si="42"/>
        <v>0</v>
      </c>
      <c r="AB103" s="564">
        <f t="shared" si="43"/>
        <v>0</v>
      </c>
      <c r="AC103" s="564">
        <f t="shared" si="44"/>
        <v>0</v>
      </c>
      <c r="AE103" s="564">
        <f t="shared" si="45"/>
        <v>0</v>
      </c>
      <c r="AF103" s="564">
        <f t="shared" si="46"/>
        <v>0</v>
      </c>
      <c r="AG103" s="564">
        <f t="shared" si="47"/>
        <v>0</v>
      </c>
    </row>
    <row r="104" spans="1:33">
      <c r="A104" s="20" t="s">
        <v>97</v>
      </c>
      <c r="B104" s="20" t="s">
        <v>114</v>
      </c>
      <c r="C104" s="68" t="s">
        <v>387</v>
      </c>
      <c r="D104" s="449"/>
      <c r="E104" s="529">
        <v>0</v>
      </c>
      <c r="F104" s="579"/>
      <c r="G104" s="579"/>
      <c r="H104" s="524"/>
      <c r="I104" s="379">
        <f t="shared" si="55"/>
        <v>0</v>
      </c>
      <c r="J104" s="31"/>
      <c r="K104" s="84"/>
      <c r="L104" s="42">
        <v>0</v>
      </c>
      <c r="M104" s="31">
        <v>0</v>
      </c>
      <c r="N104" s="429">
        <v>7009.19</v>
      </c>
      <c r="O104" s="31">
        <v>0</v>
      </c>
      <c r="P104" s="426">
        <f t="shared" si="1"/>
        <v>0</v>
      </c>
      <c r="Q104" s="178"/>
      <c r="R104" s="295"/>
      <c r="S104" s="385">
        <f t="shared" si="37"/>
        <v>0</v>
      </c>
      <c r="T104" s="31"/>
      <c r="U104" s="474">
        <f t="shared" si="38"/>
        <v>0</v>
      </c>
      <c r="V104" s="474">
        <f t="shared" si="39"/>
        <v>0</v>
      </c>
      <c r="W104" s="475">
        <f t="shared" si="40"/>
        <v>0</v>
      </c>
      <c r="X104" s="475">
        <v>0</v>
      </c>
      <c r="Y104" s="476">
        <v>0</v>
      </c>
      <c r="Z104" s="38">
        <f t="shared" si="41"/>
        <v>0</v>
      </c>
      <c r="AA104" s="564">
        <f t="shared" si="42"/>
        <v>0</v>
      </c>
      <c r="AB104" s="564">
        <f t="shared" si="43"/>
        <v>0</v>
      </c>
      <c r="AC104" s="564">
        <f t="shared" si="44"/>
        <v>0</v>
      </c>
      <c r="AE104" s="564">
        <f t="shared" si="45"/>
        <v>0</v>
      </c>
      <c r="AF104" s="564">
        <f t="shared" si="46"/>
        <v>0</v>
      </c>
      <c r="AG104" s="564">
        <f t="shared" si="47"/>
        <v>0</v>
      </c>
    </row>
    <row r="105" spans="1:33">
      <c r="A105" s="20" t="s">
        <v>97</v>
      </c>
      <c r="B105" s="20" t="s">
        <v>114</v>
      </c>
      <c r="C105" s="68" t="s">
        <v>482</v>
      </c>
      <c r="D105" s="449"/>
      <c r="E105" s="529">
        <v>0</v>
      </c>
      <c r="F105" s="579"/>
      <c r="G105" s="579"/>
      <c r="H105" s="524"/>
      <c r="I105" s="379"/>
      <c r="J105" s="31"/>
      <c r="K105" s="84"/>
      <c r="L105" s="42"/>
      <c r="M105" s="31"/>
      <c r="N105" s="429"/>
      <c r="O105" s="31"/>
      <c r="P105" s="426">
        <f t="shared" si="1"/>
        <v>0</v>
      </c>
      <c r="Q105" s="178"/>
      <c r="R105" s="295"/>
      <c r="S105" s="385">
        <f t="shared" si="37"/>
        <v>0</v>
      </c>
      <c r="T105" s="31"/>
      <c r="U105" s="474">
        <f t="shared" si="38"/>
        <v>0</v>
      </c>
      <c r="V105" s="474">
        <f t="shared" si="39"/>
        <v>0</v>
      </c>
      <c r="W105" s="475">
        <f t="shared" si="40"/>
        <v>0</v>
      </c>
      <c r="X105" s="475">
        <v>0</v>
      </c>
      <c r="Y105" s="476">
        <v>0</v>
      </c>
      <c r="Z105" s="38">
        <f t="shared" si="41"/>
        <v>0</v>
      </c>
      <c r="AA105" s="564">
        <f t="shared" si="42"/>
        <v>0</v>
      </c>
      <c r="AB105" s="564">
        <f t="shared" si="43"/>
        <v>0</v>
      </c>
      <c r="AC105" s="564">
        <f t="shared" si="44"/>
        <v>0</v>
      </c>
      <c r="AE105" s="564">
        <f t="shared" si="45"/>
        <v>0</v>
      </c>
      <c r="AF105" s="564">
        <f t="shared" si="46"/>
        <v>0</v>
      </c>
      <c r="AG105" s="564">
        <f t="shared" si="47"/>
        <v>0</v>
      </c>
    </row>
    <row r="106" spans="1:33">
      <c r="A106" s="20" t="s">
        <v>109</v>
      </c>
      <c r="B106" s="20" t="s">
        <v>109</v>
      </c>
      <c r="C106" s="68" t="s">
        <v>66</v>
      </c>
      <c r="D106" s="449"/>
      <c r="E106" s="529">
        <v>0</v>
      </c>
      <c r="F106" s="579"/>
      <c r="G106" s="579"/>
      <c r="H106" s="524"/>
      <c r="I106" s="379">
        <f t="shared" si="55"/>
        <v>0</v>
      </c>
      <c r="J106" s="31"/>
      <c r="K106" s="84"/>
      <c r="L106" s="42">
        <v>0</v>
      </c>
      <c r="M106" s="31">
        <v>0</v>
      </c>
      <c r="N106" s="429"/>
      <c r="O106" s="31">
        <v>0</v>
      </c>
      <c r="P106" s="426">
        <f t="shared" si="1"/>
        <v>0</v>
      </c>
      <c r="Q106" s="178"/>
      <c r="R106" s="295"/>
      <c r="S106" s="385">
        <f t="shared" si="37"/>
        <v>0</v>
      </c>
      <c r="T106" s="31"/>
      <c r="U106" s="474">
        <f t="shared" si="38"/>
        <v>0</v>
      </c>
      <c r="V106" s="474">
        <f t="shared" si="39"/>
        <v>0</v>
      </c>
      <c r="W106" s="475">
        <f t="shared" si="40"/>
        <v>0</v>
      </c>
      <c r="X106" s="475">
        <v>0</v>
      </c>
      <c r="Y106" s="476">
        <v>0</v>
      </c>
      <c r="Z106" s="38">
        <f t="shared" si="41"/>
        <v>0</v>
      </c>
      <c r="AA106" s="564">
        <f t="shared" si="42"/>
        <v>0</v>
      </c>
      <c r="AB106" s="564">
        <f t="shared" si="43"/>
        <v>0</v>
      </c>
      <c r="AC106" s="564">
        <f t="shared" si="44"/>
        <v>0</v>
      </c>
      <c r="AE106" s="564">
        <f t="shared" si="45"/>
        <v>0</v>
      </c>
      <c r="AF106" s="564">
        <f t="shared" si="46"/>
        <v>0</v>
      </c>
      <c r="AG106" s="564">
        <f t="shared" si="47"/>
        <v>0</v>
      </c>
    </row>
    <row r="107" spans="1:33">
      <c r="A107" s="20" t="s">
        <v>109</v>
      </c>
      <c r="B107" s="20" t="s">
        <v>109</v>
      </c>
      <c r="C107" s="68" t="s">
        <v>383</v>
      </c>
      <c r="D107" s="449">
        <f>1068.19+1007.35+1047.18+824.71</f>
        <v>3947.4300000000003</v>
      </c>
      <c r="E107" s="529">
        <v>0</v>
      </c>
      <c r="F107" s="576">
        <v>405.13</v>
      </c>
      <c r="G107" s="576">
        <v>407.09</v>
      </c>
      <c r="H107" s="524"/>
      <c r="I107" s="379">
        <f t="shared" si="55"/>
        <v>4759.6500000000005</v>
      </c>
      <c r="J107" s="31"/>
      <c r="K107" s="84"/>
      <c r="L107" s="42">
        <v>0</v>
      </c>
      <c r="M107" s="31">
        <v>0</v>
      </c>
      <c r="N107" s="429">
        <v>6322.59</v>
      </c>
      <c r="O107" s="31">
        <v>0</v>
      </c>
      <c r="P107" s="426">
        <f t="shared" si="1"/>
        <v>0</v>
      </c>
      <c r="Q107" s="178">
        <v>316.95</v>
      </c>
      <c r="R107" s="295"/>
      <c r="S107" s="385">
        <f t="shared" si="37"/>
        <v>316.95</v>
      </c>
      <c r="T107" s="31"/>
      <c r="U107" s="474">
        <f t="shared" si="38"/>
        <v>0</v>
      </c>
      <c r="V107" s="474">
        <f t="shared" si="39"/>
        <v>0</v>
      </c>
      <c r="W107" s="475">
        <f t="shared" si="40"/>
        <v>0</v>
      </c>
      <c r="X107" s="475">
        <v>0</v>
      </c>
      <c r="Y107" s="476">
        <v>0</v>
      </c>
      <c r="Z107" s="38">
        <f t="shared" si="41"/>
        <v>0</v>
      </c>
      <c r="AA107" s="564">
        <f t="shared" si="42"/>
        <v>0</v>
      </c>
      <c r="AB107" s="564">
        <f t="shared" si="43"/>
        <v>4759.6500000000005</v>
      </c>
      <c r="AC107" s="564">
        <f t="shared" si="44"/>
        <v>0</v>
      </c>
      <c r="AE107" s="564">
        <f t="shared" si="45"/>
        <v>0</v>
      </c>
      <c r="AF107" s="564">
        <f t="shared" si="46"/>
        <v>0</v>
      </c>
      <c r="AG107" s="564">
        <f t="shared" si="47"/>
        <v>0</v>
      </c>
    </row>
    <row r="108" spans="1:33">
      <c r="A108" s="21" t="s">
        <v>109</v>
      </c>
      <c r="B108" s="21" t="s">
        <v>110</v>
      </c>
      <c r="C108" s="68" t="s">
        <v>65</v>
      </c>
      <c r="D108" s="449"/>
      <c r="E108" s="529">
        <v>0</v>
      </c>
      <c r="F108" s="579"/>
      <c r="G108" s="579"/>
      <c r="H108" s="524"/>
      <c r="I108" s="379">
        <f t="shared" si="55"/>
        <v>0</v>
      </c>
      <c r="J108" s="31"/>
      <c r="K108" s="84"/>
      <c r="L108" s="42">
        <v>0</v>
      </c>
      <c r="M108" s="31">
        <v>0</v>
      </c>
      <c r="N108" s="429"/>
      <c r="O108" s="31">
        <v>0</v>
      </c>
      <c r="P108" s="426">
        <f t="shared" si="1"/>
        <v>0</v>
      </c>
      <c r="Q108" s="178"/>
      <c r="R108" s="295"/>
      <c r="S108" s="385">
        <f t="shared" si="37"/>
        <v>0</v>
      </c>
      <c r="T108" s="31"/>
      <c r="U108" s="474">
        <f t="shared" si="38"/>
        <v>0</v>
      </c>
      <c r="V108" s="474">
        <f t="shared" si="39"/>
        <v>0</v>
      </c>
      <c r="W108" s="475">
        <f t="shared" si="40"/>
        <v>0</v>
      </c>
      <c r="X108" s="475">
        <v>0</v>
      </c>
      <c r="Y108" s="476">
        <v>0</v>
      </c>
      <c r="Z108" s="38">
        <f t="shared" si="41"/>
        <v>0</v>
      </c>
      <c r="AA108" s="564">
        <f t="shared" si="42"/>
        <v>0</v>
      </c>
      <c r="AB108" s="564">
        <f t="shared" si="43"/>
        <v>0</v>
      </c>
      <c r="AC108" s="564">
        <f t="shared" si="44"/>
        <v>0</v>
      </c>
      <c r="AE108" s="564">
        <f t="shared" si="45"/>
        <v>0</v>
      </c>
      <c r="AF108" s="564">
        <f t="shared" si="46"/>
        <v>0</v>
      </c>
      <c r="AG108" s="564">
        <f t="shared" si="47"/>
        <v>0</v>
      </c>
    </row>
    <row r="109" spans="1:33">
      <c r="A109" s="21" t="s">
        <v>211</v>
      </c>
      <c r="B109" s="21" t="s">
        <v>109</v>
      </c>
      <c r="C109" s="68" t="s">
        <v>181</v>
      </c>
      <c r="D109" s="449">
        <v>760.33</v>
      </c>
      <c r="E109" s="529">
        <v>0</v>
      </c>
      <c r="F109" s="579"/>
      <c r="G109" s="579"/>
      <c r="H109" s="524"/>
      <c r="I109" s="379">
        <f t="shared" si="55"/>
        <v>760.33</v>
      </c>
      <c r="J109" s="31"/>
      <c r="K109" s="84"/>
      <c r="L109" s="42">
        <v>3000</v>
      </c>
      <c r="M109" s="31">
        <v>0</v>
      </c>
      <c r="N109" s="429">
        <v>3795.1</v>
      </c>
      <c r="O109" s="31">
        <v>0</v>
      </c>
      <c r="P109" s="426">
        <f t="shared" si="1"/>
        <v>3000</v>
      </c>
      <c r="Q109" s="178">
        <v>1851.1</v>
      </c>
      <c r="R109" s="295"/>
      <c r="S109" s="385">
        <f t="shared" si="37"/>
        <v>-1148.9000000000001</v>
      </c>
      <c r="T109" s="31"/>
      <c r="U109" s="474">
        <f t="shared" si="38"/>
        <v>0</v>
      </c>
      <c r="V109" s="474">
        <f t="shared" si="39"/>
        <v>3000</v>
      </c>
      <c r="W109" s="475">
        <f t="shared" si="40"/>
        <v>0</v>
      </c>
      <c r="X109" s="475">
        <v>0</v>
      </c>
      <c r="Y109" s="476">
        <v>0</v>
      </c>
      <c r="Z109" s="38">
        <f t="shared" si="41"/>
        <v>0</v>
      </c>
      <c r="AA109" s="564">
        <f t="shared" si="42"/>
        <v>0</v>
      </c>
      <c r="AB109" s="564">
        <f t="shared" si="43"/>
        <v>760.33</v>
      </c>
      <c r="AC109" s="564">
        <f t="shared" si="44"/>
        <v>0</v>
      </c>
      <c r="AE109" s="564">
        <f t="shared" si="45"/>
        <v>0</v>
      </c>
      <c r="AF109" s="564">
        <f t="shared" si="46"/>
        <v>3000</v>
      </c>
      <c r="AG109" s="564">
        <f t="shared" si="47"/>
        <v>0</v>
      </c>
    </row>
    <row r="110" spans="1:33">
      <c r="A110" s="20" t="s">
        <v>211</v>
      </c>
      <c r="B110" s="20" t="s">
        <v>110</v>
      </c>
      <c r="C110" s="351" t="s">
        <v>504</v>
      </c>
      <c r="D110" s="449"/>
      <c r="E110" s="529">
        <v>0</v>
      </c>
      <c r="F110" s="579"/>
      <c r="G110" s="579"/>
      <c r="H110" s="524"/>
      <c r="I110" s="379">
        <f t="shared" ref="I110" si="56">SUM(D110:H110)</f>
        <v>0</v>
      </c>
      <c r="J110" s="31"/>
      <c r="K110" s="84"/>
      <c r="L110" s="42">
        <v>0</v>
      </c>
      <c r="M110" s="31">
        <v>0</v>
      </c>
      <c r="N110" s="429"/>
      <c r="O110" s="31">
        <v>0</v>
      </c>
      <c r="P110" s="426">
        <f t="shared" ref="P110" si="57">K110+L110</f>
        <v>0</v>
      </c>
      <c r="Q110" s="178">
        <v>55.63</v>
      </c>
      <c r="R110" s="295"/>
      <c r="S110" s="385">
        <f t="shared" si="37"/>
        <v>55.63</v>
      </c>
      <c r="T110" s="31"/>
      <c r="U110" s="474">
        <f t="shared" ref="U110" si="58">IF(B110="D",P110,0)</f>
        <v>0</v>
      </c>
      <c r="V110" s="474">
        <f t="shared" ref="V110" si="59">IF(B110="M",P110,0)</f>
        <v>0</v>
      </c>
      <c r="W110" s="475">
        <f t="shared" ref="W110" si="60">IF(B110="V",P110,0)</f>
        <v>0</v>
      </c>
      <c r="X110" s="475">
        <v>0</v>
      </c>
      <c r="Y110" s="476">
        <v>0</v>
      </c>
      <c r="Z110" s="38">
        <f t="shared" ref="Z110" si="61">(K110+L110)-(U110+V110+W110+X110+Y110)</f>
        <v>0</v>
      </c>
      <c r="AA110" s="564">
        <f t="shared" ref="AA110" si="62">IF(B110="D",I110,0)</f>
        <v>0</v>
      </c>
      <c r="AB110" s="564">
        <f t="shared" ref="AB110" si="63">IF(B110="M",I110,0)</f>
        <v>0</v>
      </c>
      <c r="AC110" s="564">
        <f t="shared" ref="AC110" si="64">IF(B110="V",I110,0)</f>
        <v>0</v>
      </c>
      <c r="AE110" s="564">
        <f t="shared" ref="AE110" si="65">IF(B110="D",P110,0)</f>
        <v>0</v>
      </c>
      <c r="AF110" s="564">
        <f t="shared" ref="AF110" si="66">IF(B110="M",P110,0)</f>
        <v>0</v>
      </c>
      <c r="AG110" s="564">
        <f t="shared" ref="AG110" si="67">IF(B110="V",P110,0)</f>
        <v>0</v>
      </c>
    </row>
    <row r="111" spans="1:33">
      <c r="A111" s="20" t="s">
        <v>211</v>
      </c>
      <c r="B111" s="20" t="s">
        <v>109</v>
      </c>
      <c r="C111" s="68" t="s">
        <v>142</v>
      </c>
      <c r="D111" s="449">
        <v>13110.51</v>
      </c>
      <c r="E111" s="529">
        <v>0</v>
      </c>
      <c r="F111" s="631"/>
      <c r="G111" s="631"/>
      <c r="H111" s="524"/>
      <c r="I111" s="379">
        <f>SUM(D111:H111)</f>
        <v>13110.51</v>
      </c>
      <c r="J111" s="31"/>
      <c r="K111" s="84">
        <v>3246.26</v>
      </c>
      <c r="L111" s="42">
        <v>3200</v>
      </c>
      <c r="M111" s="31">
        <v>0</v>
      </c>
      <c r="N111" s="429">
        <f>22996.77</f>
        <v>22996.77</v>
      </c>
      <c r="O111" s="31">
        <v>0</v>
      </c>
      <c r="P111" s="426">
        <f t="shared" si="1"/>
        <v>6446.26</v>
      </c>
      <c r="Q111" s="178">
        <v>5189.38</v>
      </c>
      <c r="R111" s="295"/>
      <c r="S111" s="385">
        <f t="shared" si="37"/>
        <v>-1256.8800000000001</v>
      </c>
      <c r="T111" s="2"/>
      <c r="U111" s="474">
        <f t="shared" si="38"/>
        <v>0</v>
      </c>
      <c r="V111" s="474">
        <f t="shared" si="39"/>
        <v>6446.26</v>
      </c>
      <c r="W111" s="475">
        <f t="shared" si="40"/>
        <v>0</v>
      </c>
      <c r="X111" s="475">
        <v>0</v>
      </c>
      <c r="Y111" s="476">
        <v>0</v>
      </c>
      <c r="Z111" s="38">
        <f t="shared" si="41"/>
        <v>0</v>
      </c>
      <c r="AA111" s="564">
        <f t="shared" si="42"/>
        <v>0</v>
      </c>
      <c r="AB111" s="564">
        <f t="shared" si="43"/>
        <v>13110.51</v>
      </c>
      <c r="AC111" s="564">
        <f t="shared" si="44"/>
        <v>0</v>
      </c>
      <c r="AE111" s="564">
        <f t="shared" si="45"/>
        <v>0</v>
      </c>
      <c r="AF111" s="564">
        <f t="shared" si="46"/>
        <v>6446.26</v>
      </c>
      <c r="AG111" s="564">
        <f t="shared" si="47"/>
        <v>0</v>
      </c>
    </row>
    <row r="112" spans="1:33">
      <c r="A112" s="20" t="s">
        <v>211</v>
      </c>
      <c r="B112" s="20" t="s">
        <v>109</v>
      </c>
      <c r="C112" s="68" t="s">
        <v>143</v>
      </c>
      <c r="D112" s="449">
        <v>841.1</v>
      </c>
      <c r="E112" s="529">
        <v>0</v>
      </c>
      <c r="F112" s="579"/>
      <c r="G112" s="579"/>
      <c r="H112" s="524"/>
      <c r="I112" s="379">
        <f t="shared" si="55"/>
        <v>841.1</v>
      </c>
      <c r="J112" s="31"/>
      <c r="K112" s="84"/>
      <c r="L112" s="42">
        <v>2000</v>
      </c>
      <c r="M112" s="31">
        <v>0</v>
      </c>
      <c r="N112" s="429"/>
      <c r="O112" s="31">
        <v>0</v>
      </c>
      <c r="P112" s="426">
        <f t="shared" si="1"/>
        <v>2000</v>
      </c>
      <c r="Q112" s="178">
        <v>305.77999999999997</v>
      </c>
      <c r="R112" s="295"/>
      <c r="S112" s="385">
        <f t="shared" si="37"/>
        <v>-1694.22</v>
      </c>
      <c r="T112" s="2"/>
      <c r="U112" s="474">
        <f t="shared" si="38"/>
        <v>0</v>
      </c>
      <c r="V112" s="474">
        <f t="shared" si="39"/>
        <v>2000</v>
      </c>
      <c r="W112" s="475">
        <f t="shared" si="40"/>
        <v>0</v>
      </c>
      <c r="X112" s="475">
        <v>0</v>
      </c>
      <c r="Y112" s="476">
        <v>0</v>
      </c>
      <c r="Z112" s="38">
        <f t="shared" si="41"/>
        <v>0</v>
      </c>
      <c r="AA112" s="564">
        <f t="shared" si="42"/>
        <v>0</v>
      </c>
      <c r="AB112" s="564">
        <f t="shared" si="43"/>
        <v>841.1</v>
      </c>
      <c r="AC112" s="564">
        <f t="shared" si="44"/>
        <v>0</v>
      </c>
      <c r="AE112" s="564">
        <f t="shared" si="45"/>
        <v>0</v>
      </c>
      <c r="AF112" s="564">
        <f t="shared" si="46"/>
        <v>2000</v>
      </c>
      <c r="AG112" s="564">
        <f t="shared" si="47"/>
        <v>0</v>
      </c>
    </row>
    <row r="113" spans="1:33">
      <c r="A113" s="20" t="s">
        <v>109</v>
      </c>
      <c r="B113" s="20" t="s">
        <v>109</v>
      </c>
      <c r="C113" s="68" t="s">
        <v>498</v>
      </c>
      <c r="D113" s="449"/>
      <c r="E113" s="529">
        <v>0</v>
      </c>
      <c r="F113" s="579"/>
      <c r="G113" s="579"/>
      <c r="H113" s="524"/>
      <c r="I113" s="379">
        <f t="shared" ref="I113" si="68">SUM(D113:H113)</f>
        <v>0</v>
      </c>
      <c r="J113" s="31"/>
      <c r="K113" s="84"/>
      <c r="L113" s="42">
        <v>0</v>
      </c>
      <c r="M113" s="31">
        <v>0</v>
      </c>
      <c r="N113" s="429"/>
      <c r="O113" s="31">
        <v>0</v>
      </c>
      <c r="P113" s="426">
        <f t="shared" ref="P113" si="69">K113+L113</f>
        <v>0</v>
      </c>
      <c r="Q113" s="178">
        <v>1980.13</v>
      </c>
      <c r="R113" s="295"/>
      <c r="S113" s="385">
        <f t="shared" si="37"/>
        <v>1980.13</v>
      </c>
      <c r="T113" s="31"/>
      <c r="U113" s="474">
        <f t="shared" ref="U113" si="70">IF(B113="D",P113,0)</f>
        <v>0</v>
      </c>
      <c r="V113" s="474">
        <f t="shared" ref="V113" si="71">IF(B113="M",P113,0)</f>
        <v>0</v>
      </c>
      <c r="W113" s="475">
        <f t="shared" ref="W113" si="72">IF(B113="V",P113,0)</f>
        <v>0</v>
      </c>
      <c r="X113" s="475">
        <v>0</v>
      </c>
      <c r="Y113" s="476">
        <v>0</v>
      </c>
      <c r="Z113" s="38">
        <f t="shared" ref="Z113" si="73">(K113+L113)-(U113+V113+W113+X113+Y113)</f>
        <v>0</v>
      </c>
      <c r="AA113" s="564">
        <f t="shared" ref="AA113" si="74">IF(B113="D",I113,0)</f>
        <v>0</v>
      </c>
      <c r="AB113" s="564">
        <f t="shared" ref="AB113" si="75">IF(B113="M",I113,0)</f>
        <v>0</v>
      </c>
      <c r="AC113" s="564">
        <f t="shared" ref="AC113" si="76">IF(B113="V",I113,0)</f>
        <v>0</v>
      </c>
      <c r="AE113" s="564">
        <f t="shared" ref="AE113" si="77">IF(B113="D",P113,0)</f>
        <v>0</v>
      </c>
      <c r="AF113" s="564">
        <f t="shared" ref="AF113" si="78">IF(B113="M",P113,0)</f>
        <v>0</v>
      </c>
      <c r="AG113" s="564">
        <f t="shared" ref="AG113" si="79">IF(B113="V",P113,0)</f>
        <v>0</v>
      </c>
    </row>
    <row r="114" spans="1:33">
      <c r="A114" s="21"/>
      <c r="B114" s="21" t="s">
        <v>110</v>
      </c>
      <c r="C114" s="68" t="s">
        <v>20</v>
      </c>
      <c r="D114" s="449"/>
      <c r="E114" s="529">
        <v>0</v>
      </c>
      <c r="F114" s="576">
        <f>117.42/3</f>
        <v>39.14</v>
      </c>
      <c r="G114" s="576">
        <f t="shared" ref="G114:H114" si="80">117.42/3</f>
        <v>39.14</v>
      </c>
      <c r="H114" s="525">
        <f t="shared" si="80"/>
        <v>39.14</v>
      </c>
      <c r="I114" s="379">
        <f t="shared" si="55"/>
        <v>117.42</v>
      </c>
      <c r="J114" s="31"/>
      <c r="K114" s="84"/>
      <c r="L114" s="42">
        <v>0</v>
      </c>
      <c r="M114" s="31">
        <v>0</v>
      </c>
      <c r="N114" s="429">
        <v>117.42</v>
      </c>
      <c r="O114" s="31">
        <v>0</v>
      </c>
      <c r="P114" s="426">
        <f t="shared" si="1"/>
        <v>0</v>
      </c>
      <c r="Q114" s="178"/>
      <c r="R114" s="295"/>
      <c r="S114" s="385">
        <f t="shared" si="37"/>
        <v>0</v>
      </c>
      <c r="T114" s="31"/>
      <c r="U114" s="474">
        <f t="shared" si="38"/>
        <v>0</v>
      </c>
      <c r="V114" s="474">
        <f t="shared" si="39"/>
        <v>0</v>
      </c>
      <c r="W114" s="475">
        <f t="shared" si="40"/>
        <v>0</v>
      </c>
      <c r="X114" s="475">
        <v>0</v>
      </c>
      <c r="Y114" s="476">
        <v>0</v>
      </c>
      <c r="Z114" s="38">
        <f t="shared" si="41"/>
        <v>0</v>
      </c>
      <c r="AA114" s="564">
        <f t="shared" si="42"/>
        <v>117.42</v>
      </c>
      <c r="AB114" s="564">
        <f t="shared" si="43"/>
        <v>0</v>
      </c>
      <c r="AC114" s="564">
        <f t="shared" si="44"/>
        <v>0</v>
      </c>
      <c r="AE114" s="564">
        <f t="shared" si="45"/>
        <v>0</v>
      </c>
      <c r="AF114" s="564">
        <f t="shared" si="46"/>
        <v>0</v>
      </c>
      <c r="AG114" s="564">
        <f t="shared" si="47"/>
        <v>0</v>
      </c>
    </row>
    <row r="115" spans="1:33">
      <c r="A115" s="21"/>
      <c r="B115" s="21" t="s">
        <v>110</v>
      </c>
      <c r="C115" s="68" t="s">
        <v>203</v>
      </c>
      <c r="D115" s="449"/>
      <c r="E115" s="529">
        <v>0</v>
      </c>
      <c r="F115" s="576">
        <v>601.15</v>
      </c>
      <c r="G115" s="576">
        <v>665.82</v>
      </c>
      <c r="H115" s="524"/>
      <c r="I115" s="379">
        <f t="shared" si="55"/>
        <v>1266.97</v>
      </c>
      <c r="J115" s="31"/>
      <c r="K115" s="84"/>
      <c r="L115" s="42">
        <f>SUM(F115+G115)/2</f>
        <v>633.48500000000001</v>
      </c>
      <c r="M115" s="31">
        <v>0</v>
      </c>
      <c r="N115" s="429">
        <v>6050.1</v>
      </c>
      <c r="O115" s="31">
        <v>0</v>
      </c>
      <c r="P115" s="426">
        <f t="shared" si="1"/>
        <v>633.48500000000001</v>
      </c>
      <c r="Q115" s="178">
        <v>478.81</v>
      </c>
      <c r="R115" s="295"/>
      <c r="S115" s="385">
        <f t="shared" si="37"/>
        <v>-154.67500000000001</v>
      </c>
      <c r="T115" s="31"/>
      <c r="U115" s="474">
        <f t="shared" si="38"/>
        <v>633.48500000000001</v>
      </c>
      <c r="V115" s="474">
        <f t="shared" si="39"/>
        <v>0</v>
      </c>
      <c r="W115" s="475">
        <f t="shared" si="40"/>
        <v>0</v>
      </c>
      <c r="X115" s="475">
        <v>0</v>
      </c>
      <c r="Y115" s="476">
        <v>0</v>
      </c>
      <c r="Z115" s="38">
        <f t="shared" si="41"/>
        <v>0</v>
      </c>
      <c r="AA115" s="564">
        <f t="shared" si="42"/>
        <v>1266.97</v>
      </c>
      <c r="AB115" s="564">
        <f t="shared" si="43"/>
        <v>0</v>
      </c>
      <c r="AC115" s="564">
        <f t="shared" si="44"/>
        <v>0</v>
      </c>
      <c r="AE115" s="564">
        <f t="shared" si="45"/>
        <v>633.48500000000001</v>
      </c>
      <c r="AF115" s="564">
        <f t="shared" si="46"/>
        <v>0</v>
      </c>
      <c r="AG115" s="564">
        <f t="shared" si="47"/>
        <v>0</v>
      </c>
    </row>
    <row r="116" spans="1:33">
      <c r="A116" s="21"/>
      <c r="B116" s="21" t="s">
        <v>110</v>
      </c>
      <c r="C116" s="68" t="s">
        <v>202</v>
      </c>
      <c r="D116" s="449"/>
      <c r="E116" s="529">
        <v>0</v>
      </c>
      <c r="F116" s="576">
        <v>1154.02</v>
      </c>
      <c r="G116" s="576">
        <v>907.93</v>
      </c>
      <c r="H116" s="524"/>
      <c r="I116" s="379">
        <f t="shared" si="55"/>
        <v>2061.9499999999998</v>
      </c>
      <c r="J116" s="31"/>
      <c r="K116" s="84"/>
      <c r="L116" s="42">
        <f>SUM(F116+G116)/2</f>
        <v>1030.9749999999999</v>
      </c>
      <c r="M116" s="31">
        <v>0</v>
      </c>
      <c r="N116" s="429"/>
      <c r="O116" s="31">
        <v>0</v>
      </c>
      <c r="P116" s="426">
        <f t="shared" si="1"/>
        <v>1030.9749999999999</v>
      </c>
      <c r="Q116" s="178">
        <v>907.06</v>
      </c>
      <c r="R116" s="295"/>
      <c r="S116" s="385">
        <f t="shared" si="37"/>
        <v>-123.91499999999996</v>
      </c>
      <c r="T116" s="31"/>
      <c r="U116" s="474">
        <f t="shared" si="38"/>
        <v>1030.9749999999999</v>
      </c>
      <c r="V116" s="474">
        <f t="shared" si="39"/>
        <v>0</v>
      </c>
      <c r="W116" s="475">
        <f t="shared" si="40"/>
        <v>0</v>
      </c>
      <c r="X116" s="475">
        <v>0</v>
      </c>
      <c r="Y116" s="476">
        <v>0</v>
      </c>
      <c r="Z116" s="38">
        <f t="shared" si="41"/>
        <v>0</v>
      </c>
      <c r="AA116" s="564">
        <f t="shared" si="42"/>
        <v>2061.9499999999998</v>
      </c>
      <c r="AB116" s="564">
        <f t="shared" si="43"/>
        <v>0</v>
      </c>
      <c r="AC116" s="564">
        <f t="shared" si="44"/>
        <v>0</v>
      </c>
      <c r="AE116" s="564">
        <f t="shared" si="45"/>
        <v>1030.9749999999999</v>
      </c>
      <c r="AF116" s="564">
        <f t="shared" si="46"/>
        <v>0</v>
      </c>
      <c r="AG116" s="564">
        <f t="shared" si="47"/>
        <v>0</v>
      </c>
    </row>
    <row r="117" spans="1:33">
      <c r="A117" s="20" t="s">
        <v>211</v>
      </c>
      <c r="B117" s="20" t="s">
        <v>110</v>
      </c>
      <c r="C117" s="373" t="s">
        <v>466</v>
      </c>
      <c r="D117" s="449"/>
      <c r="E117" s="529">
        <v>0</v>
      </c>
      <c r="F117" s="576">
        <v>1147.0899999999999</v>
      </c>
      <c r="G117" s="579"/>
      <c r="H117" s="524"/>
      <c r="I117" s="379">
        <f t="shared" si="55"/>
        <v>1147.0899999999999</v>
      </c>
      <c r="J117" s="31"/>
      <c r="K117" s="84"/>
      <c r="L117" s="42">
        <f>F117*2</f>
        <v>2294.1799999999998</v>
      </c>
      <c r="M117" s="31">
        <v>0</v>
      </c>
      <c r="N117" s="429">
        <v>1147.0899999999999</v>
      </c>
      <c r="O117" s="31">
        <v>0</v>
      </c>
      <c r="P117" s="426">
        <f t="shared" si="1"/>
        <v>2294.1799999999998</v>
      </c>
      <c r="Q117" s="178">
        <f>1050.76+1254.25</f>
        <v>2305.0100000000002</v>
      </c>
      <c r="R117" s="295"/>
      <c r="S117" s="385">
        <f t="shared" si="37"/>
        <v>10.830000000000382</v>
      </c>
      <c r="T117" s="2"/>
      <c r="U117" s="474">
        <f t="shared" si="38"/>
        <v>2294.1799999999998</v>
      </c>
      <c r="V117" s="474">
        <f t="shared" si="39"/>
        <v>0</v>
      </c>
      <c r="W117" s="475">
        <f t="shared" si="40"/>
        <v>0</v>
      </c>
      <c r="X117" s="475">
        <v>0</v>
      </c>
      <c r="Y117" s="476">
        <v>0</v>
      </c>
      <c r="Z117" s="38">
        <f t="shared" si="41"/>
        <v>0</v>
      </c>
      <c r="AA117" s="564">
        <f t="shared" si="42"/>
        <v>1147.0899999999999</v>
      </c>
      <c r="AB117" s="564">
        <f t="shared" si="43"/>
        <v>0</v>
      </c>
      <c r="AC117" s="564">
        <f t="shared" si="44"/>
        <v>0</v>
      </c>
      <c r="AE117" s="564">
        <f t="shared" si="45"/>
        <v>2294.1799999999998</v>
      </c>
      <c r="AF117" s="564">
        <f t="shared" si="46"/>
        <v>0</v>
      </c>
      <c r="AG117" s="564">
        <f t="shared" si="47"/>
        <v>0</v>
      </c>
    </row>
    <row r="118" spans="1:33" s="232" customFormat="1">
      <c r="A118" s="283"/>
      <c r="B118" s="283" t="s">
        <v>110</v>
      </c>
      <c r="C118" s="123" t="s">
        <v>386</v>
      </c>
      <c r="D118" s="449">
        <v>113.09</v>
      </c>
      <c r="E118" s="529">
        <v>0</v>
      </c>
      <c r="F118" s="576">
        <f>2604674.06+120.74</f>
        <v>2604794.8000000003</v>
      </c>
      <c r="G118" s="576">
        <v>2048676.1</v>
      </c>
      <c r="H118" s="525">
        <v>2025706.12</v>
      </c>
      <c r="I118" s="379">
        <f t="shared" si="55"/>
        <v>6679290.1100000003</v>
      </c>
      <c r="J118" s="31"/>
      <c r="K118" s="84"/>
      <c r="L118" s="42">
        <v>0</v>
      </c>
      <c r="M118" s="31">
        <v>0</v>
      </c>
      <c r="N118" s="429">
        <v>6786418.6600000001</v>
      </c>
      <c r="O118" s="31">
        <v>0</v>
      </c>
      <c r="P118" s="426">
        <f t="shared" si="1"/>
        <v>0</v>
      </c>
      <c r="Q118" s="178"/>
      <c r="R118" s="295"/>
      <c r="S118" s="385">
        <f t="shared" si="37"/>
        <v>0</v>
      </c>
      <c r="T118" s="31"/>
      <c r="U118" s="474">
        <f t="shared" si="38"/>
        <v>0</v>
      </c>
      <c r="V118" s="474">
        <f t="shared" si="39"/>
        <v>0</v>
      </c>
      <c r="W118" s="475">
        <f t="shared" si="40"/>
        <v>0</v>
      </c>
      <c r="X118" s="475">
        <v>0</v>
      </c>
      <c r="Y118" s="476">
        <v>0</v>
      </c>
      <c r="Z118" s="38">
        <f t="shared" si="41"/>
        <v>0</v>
      </c>
      <c r="AA118" s="564">
        <f t="shared" si="42"/>
        <v>6679290.1100000003</v>
      </c>
      <c r="AB118" s="564">
        <f t="shared" si="43"/>
        <v>0</v>
      </c>
      <c r="AC118" s="564">
        <f t="shared" si="44"/>
        <v>0</v>
      </c>
      <c r="AD118" s="559"/>
      <c r="AE118" s="564">
        <f t="shared" si="45"/>
        <v>0</v>
      </c>
      <c r="AF118" s="564">
        <f t="shared" si="46"/>
        <v>0</v>
      </c>
      <c r="AG118" s="564">
        <f t="shared" si="47"/>
        <v>0</v>
      </c>
    </row>
    <row r="119" spans="1:33" s="232" customFormat="1">
      <c r="A119" s="283"/>
      <c r="B119" s="283" t="s">
        <v>110</v>
      </c>
      <c r="C119" s="123" t="s">
        <v>331</v>
      </c>
      <c r="D119" s="449"/>
      <c r="E119" s="529">
        <v>0</v>
      </c>
      <c r="F119" s="576">
        <v>39517.9</v>
      </c>
      <c r="G119" s="576">
        <v>33293.9</v>
      </c>
      <c r="H119" s="525">
        <v>33799.199999999997</v>
      </c>
      <c r="I119" s="379">
        <f t="shared" si="55"/>
        <v>106611</v>
      </c>
      <c r="J119" s="31"/>
      <c r="K119" s="84"/>
      <c r="L119" s="42">
        <v>0</v>
      </c>
      <c r="M119" s="31">
        <v>0</v>
      </c>
      <c r="N119" s="429"/>
      <c r="O119" s="31">
        <v>0</v>
      </c>
      <c r="P119" s="426">
        <f t="shared" si="1"/>
        <v>0</v>
      </c>
      <c r="Q119" s="178"/>
      <c r="R119" s="295"/>
      <c r="S119" s="385">
        <f t="shared" si="37"/>
        <v>0</v>
      </c>
      <c r="T119" s="31"/>
      <c r="U119" s="474">
        <f t="shared" si="38"/>
        <v>0</v>
      </c>
      <c r="V119" s="474">
        <f t="shared" si="39"/>
        <v>0</v>
      </c>
      <c r="W119" s="475">
        <f t="shared" si="40"/>
        <v>0</v>
      </c>
      <c r="X119" s="475">
        <v>0</v>
      </c>
      <c r="Y119" s="476">
        <v>0</v>
      </c>
      <c r="Z119" s="38">
        <f t="shared" si="41"/>
        <v>0</v>
      </c>
      <c r="AA119" s="564">
        <f t="shared" si="42"/>
        <v>106611</v>
      </c>
      <c r="AB119" s="564">
        <f t="shared" si="43"/>
        <v>0</v>
      </c>
      <c r="AC119" s="564">
        <f t="shared" si="44"/>
        <v>0</v>
      </c>
      <c r="AD119" s="559"/>
      <c r="AE119" s="564">
        <f t="shared" si="45"/>
        <v>0</v>
      </c>
      <c r="AF119" s="564">
        <f t="shared" si="46"/>
        <v>0</v>
      </c>
      <c r="AG119" s="564">
        <f t="shared" si="47"/>
        <v>0</v>
      </c>
    </row>
    <row r="120" spans="1:33" s="232" customFormat="1">
      <c r="A120" s="283"/>
      <c r="B120" s="283" t="s">
        <v>110</v>
      </c>
      <c r="C120" s="413" t="s">
        <v>332</v>
      </c>
      <c r="D120" s="449"/>
      <c r="E120" s="529">
        <v>0</v>
      </c>
      <c r="F120" s="576">
        <f>1198978.12+5739.94</f>
        <v>1204718.06</v>
      </c>
      <c r="G120" s="576">
        <f>995155.32+4303.89</f>
        <v>999459.21</v>
      </c>
      <c r="H120" s="525">
        <f>1062713.17+3759.04</f>
        <v>1066472.21</v>
      </c>
      <c r="I120" s="379">
        <f t="shared" si="55"/>
        <v>3270649.48</v>
      </c>
      <c r="J120" s="31"/>
      <c r="K120" s="84"/>
      <c r="L120" s="42">
        <v>0</v>
      </c>
      <c r="M120" s="31">
        <v>0</v>
      </c>
      <c r="N120" s="429">
        <f>3264608.4+13802.87</f>
        <v>3278411.27</v>
      </c>
      <c r="O120" s="31">
        <v>0</v>
      </c>
      <c r="P120" s="426">
        <f t="shared" si="1"/>
        <v>0</v>
      </c>
      <c r="Q120" s="178"/>
      <c r="R120" s="295"/>
      <c r="S120" s="385">
        <f t="shared" si="37"/>
        <v>0</v>
      </c>
      <c r="T120" s="31"/>
      <c r="U120" s="474">
        <f t="shared" si="38"/>
        <v>0</v>
      </c>
      <c r="V120" s="474">
        <f t="shared" si="39"/>
        <v>0</v>
      </c>
      <c r="W120" s="475">
        <f t="shared" si="40"/>
        <v>0</v>
      </c>
      <c r="X120" s="475">
        <v>0</v>
      </c>
      <c r="Y120" s="476">
        <v>0</v>
      </c>
      <c r="Z120" s="38">
        <f t="shared" si="41"/>
        <v>0</v>
      </c>
      <c r="AA120" s="564">
        <f t="shared" si="42"/>
        <v>3270649.48</v>
      </c>
      <c r="AB120" s="564">
        <f t="shared" si="43"/>
        <v>0</v>
      </c>
      <c r="AC120" s="564">
        <f t="shared" si="44"/>
        <v>0</v>
      </c>
      <c r="AD120" s="559"/>
      <c r="AE120" s="564">
        <f t="shared" si="45"/>
        <v>0</v>
      </c>
      <c r="AF120" s="564">
        <f t="shared" si="46"/>
        <v>0</v>
      </c>
      <c r="AG120" s="564">
        <f t="shared" si="47"/>
        <v>0</v>
      </c>
    </row>
    <row r="121" spans="1:33" s="232" customFormat="1">
      <c r="A121" s="283"/>
      <c r="B121" s="283" t="s">
        <v>110</v>
      </c>
      <c r="C121" s="123" t="s">
        <v>333</v>
      </c>
      <c r="D121" s="449"/>
      <c r="E121" s="529">
        <v>0</v>
      </c>
      <c r="F121" s="576">
        <v>1770.61</v>
      </c>
      <c r="G121" s="576">
        <v>1980.62</v>
      </c>
      <c r="H121" s="525">
        <v>4010.56</v>
      </c>
      <c r="I121" s="379">
        <f t="shared" si="55"/>
        <v>7761.7899999999991</v>
      </c>
      <c r="J121" s="31"/>
      <c r="K121" s="84"/>
      <c r="L121" s="42">
        <v>0</v>
      </c>
      <c r="M121" s="31">
        <v>0</v>
      </c>
      <c r="N121" s="429"/>
      <c r="O121" s="31">
        <v>0</v>
      </c>
      <c r="P121" s="426">
        <f t="shared" si="1"/>
        <v>0</v>
      </c>
      <c r="Q121" s="178"/>
      <c r="R121" s="295"/>
      <c r="S121" s="385">
        <f t="shared" si="37"/>
        <v>0</v>
      </c>
      <c r="T121" s="31"/>
      <c r="U121" s="474">
        <f t="shared" si="38"/>
        <v>0</v>
      </c>
      <c r="V121" s="474">
        <f t="shared" si="39"/>
        <v>0</v>
      </c>
      <c r="W121" s="475">
        <f t="shared" si="40"/>
        <v>0</v>
      </c>
      <c r="X121" s="475">
        <v>0</v>
      </c>
      <c r="Y121" s="476">
        <v>0</v>
      </c>
      <c r="Z121" s="38">
        <f t="shared" si="41"/>
        <v>0</v>
      </c>
      <c r="AA121" s="564">
        <f t="shared" si="42"/>
        <v>7761.7899999999991</v>
      </c>
      <c r="AB121" s="564">
        <f t="shared" si="43"/>
        <v>0</v>
      </c>
      <c r="AC121" s="564">
        <f t="shared" si="44"/>
        <v>0</v>
      </c>
      <c r="AD121" s="559"/>
      <c r="AE121" s="564">
        <f t="shared" si="45"/>
        <v>0</v>
      </c>
      <c r="AF121" s="564">
        <f t="shared" si="46"/>
        <v>0</v>
      </c>
      <c r="AG121" s="564">
        <f t="shared" si="47"/>
        <v>0</v>
      </c>
    </row>
    <row r="122" spans="1:33" s="232" customFormat="1">
      <c r="A122" s="283"/>
      <c r="B122" s="283" t="s">
        <v>110</v>
      </c>
      <c r="C122" s="123" t="s">
        <v>334</v>
      </c>
      <c r="D122" s="449"/>
      <c r="E122" s="529">
        <v>0</v>
      </c>
      <c r="F122" s="576">
        <v>248769.33</v>
      </c>
      <c r="G122" s="576">
        <v>200462.14</v>
      </c>
      <c r="H122" s="525">
        <v>202387.52</v>
      </c>
      <c r="I122" s="379">
        <f t="shared" si="55"/>
        <v>651618.99</v>
      </c>
      <c r="J122" s="31"/>
      <c r="K122" s="84"/>
      <c r="L122" s="42">
        <v>0</v>
      </c>
      <c r="M122" s="31">
        <v>0</v>
      </c>
      <c r="N122" s="429">
        <v>654777.43999999994</v>
      </c>
      <c r="O122" s="31">
        <v>0</v>
      </c>
      <c r="P122" s="426">
        <f t="shared" si="1"/>
        <v>0</v>
      </c>
      <c r="Q122" s="178"/>
      <c r="R122" s="295"/>
      <c r="S122" s="385">
        <f t="shared" si="37"/>
        <v>0</v>
      </c>
      <c r="T122" s="31"/>
      <c r="U122" s="474">
        <f t="shared" si="38"/>
        <v>0</v>
      </c>
      <c r="V122" s="474">
        <f t="shared" si="39"/>
        <v>0</v>
      </c>
      <c r="W122" s="475">
        <f t="shared" si="40"/>
        <v>0</v>
      </c>
      <c r="X122" s="475">
        <v>0</v>
      </c>
      <c r="Y122" s="476">
        <v>0</v>
      </c>
      <c r="Z122" s="38">
        <f t="shared" si="41"/>
        <v>0</v>
      </c>
      <c r="AA122" s="564">
        <f t="shared" si="42"/>
        <v>651618.99</v>
      </c>
      <c r="AB122" s="564">
        <f t="shared" si="43"/>
        <v>0</v>
      </c>
      <c r="AC122" s="564">
        <f t="shared" si="44"/>
        <v>0</v>
      </c>
      <c r="AD122" s="559"/>
      <c r="AE122" s="564">
        <f t="shared" si="45"/>
        <v>0</v>
      </c>
      <c r="AF122" s="564">
        <f t="shared" si="46"/>
        <v>0</v>
      </c>
      <c r="AG122" s="564">
        <f t="shared" si="47"/>
        <v>0</v>
      </c>
    </row>
    <row r="123" spans="1:33" s="232" customFormat="1">
      <c r="A123" s="283"/>
      <c r="B123" s="283" t="s">
        <v>110</v>
      </c>
      <c r="C123" s="123" t="s">
        <v>335</v>
      </c>
      <c r="D123" s="449"/>
      <c r="E123" s="529">
        <v>0</v>
      </c>
      <c r="F123" s="576">
        <v>960.27</v>
      </c>
      <c r="G123" s="576">
        <v>931.91</v>
      </c>
      <c r="H123" s="525">
        <v>1266.27</v>
      </c>
      <c r="I123" s="379">
        <f t="shared" si="55"/>
        <v>3158.45</v>
      </c>
      <c r="J123" s="31"/>
      <c r="K123" s="84"/>
      <c r="L123" s="42">
        <v>0</v>
      </c>
      <c r="M123" s="31">
        <v>0</v>
      </c>
      <c r="N123" s="429"/>
      <c r="O123" s="31">
        <v>0</v>
      </c>
      <c r="P123" s="426">
        <f t="shared" si="1"/>
        <v>0</v>
      </c>
      <c r="Q123" s="178"/>
      <c r="R123" s="295"/>
      <c r="S123" s="385">
        <f t="shared" si="37"/>
        <v>0</v>
      </c>
      <c r="T123" s="31"/>
      <c r="U123" s="474">
        <f t="shared" si="38"/>
        <v>0</v>
      </c>
      <c r="V123" s="474">
        <f t="shared" si="39"/>
        <v>0</v>
      </c>
      <c r="W123" s="475">
        <f t="shared" si="40"/>
        <v>0</v>
      </c>
      <c r="X123" s="475">
        <v>0</v>
      </c>
      <c r="Y123" s="476">
        <v>0</v>
      </c>
      <c r="Z123" s="38">
        <f t="shared" si="41"/>
        <v>0</v>
      </c>
      <c r="AA123" s="564">
        <f t="shared" si="42"/>
        <v>3158.45</v>
      </c>
      <c r="AB123" s="564">
        <f t="shared" si="43"/>
        <v>0</v>
      </c>
      <c r="AC123" s="564">
        <f t="shared" si="44"/>
        <v>0</v>
      </c>
      <c r="AD123" s="559"/>
      <c r="AE123" s="564">
        <f t="shared" si="45"/>
        <v>0</v>
      </c>
      <c r="AF123" s="564">
        <f t="shared" si="46"/>
        <v>0</v>
      </c>
      <c r="AG123" s="564">
        <f t="shared" si="47"/>
        <v>0</v>
      </c>
    </row>
    <row r="124" spans="1:33" s="232" customFormat="1">
      <c r="A124" s="283"/>
      <c r="B124" s="283" t="s">
        <v>110</v>
      </c>
      <c r="C124" s="123" t="s">
        <v>336</v>
      </c>
      <c r="D124" s="449"/>
      <c r="E124" s="529">
        <v>0</v>
      </c>
      <c r="F124" s="576">
        <v>274294.40000000002</v>
      </c>
      <c r="G124" s="576">
        <v>224100.07</v>
      </c>
      <c r="H124" s="525">
        <v>241048.24</v>
      </c>
      <c r="I124" s="379">
        <f t="shared" si="55"/>
        <v>739442.71</v>
      </c>
      <c r="J124" s="31"/>
      <c r="K124" s="84"/>
      <c r="L124" s="42">
        <v>0</v>
      </c>
      <c r="M124" s="31">
        <v>0</v>
      </c>
      <c r="N124" s="429">
        <v>742754.14</v>
      </c>
      <c r="O124" s="31">
        <v>0</v>
      </c>
      <c r="P124" s="426">
        <f t="shared" si="1"/>
        <v>0</v>
      </c>
      <c r="Q124" s="178"/>
      <c r="R124" s="295"/>
      <c r="S124" s="385">
        <f t="shared" si="37"/>
        <v>0</v>
      </c>
      <c r="T124" s="31"/>
      <c r="U124" s="474">
        <f t="shared" si="38"/>
        <v>0</v>
      </c>
      <c r="V124" s="474">
        <f t="shared" si="39"/>
        <v>0</v>
      </c>
      <c r="W124" s="475">
        <f t="shared" si="40"/>
        <v>0</v>
      </c>
      <c r="X124" s="475">
        <v>0</v>
      </c>
      <c r="Y124" s="476">
        <v>0</v>
      </c>
      <c r="Z124" s="38">
        <f t="shared" si="41"/>
        <v>0</v>
      </c>
      <c r="AA124" s="564">
        <f t="shared" si="42"/>
        <v>739442.71</v>
      </c>
      <c r="AB124" s="564">
        <f t="shared" si="43"/>
        <v>0</v>
      </c>
      <c r="AC124" s="564">
        <f t="shared" si="44"/>
        <v>0</v>
      </c>
      <c r="AD124" s="559"/>
      <c r="AE124" s="564">
        <f t="shared" si="45"/>
        <v>0</v>
      </c>
      <c r="AF124" s="564">
        <f t="shared" si="46"/>
        <v>0</v>
      </c>
      <c r="AG124" s="564">
        <f t="shared" si="47"/>
        <v>0</v>
      </c>
    </row>
    <row r="125" spans="1:33" s="232" customFormat="1">
      <c r="A125" s="283"/>
      <c r="B125" s="283" t="s">
        <v>110</v>
      </c>
      <c r="C125" s="123" t="s">
        <v>337</v>
      </c>
      <c r="D125" s="449"/>
      <c r="E125" s="529">
        <v>0</v>
      </c>
      <c r="F125" s="576">
        <v>1137.03</v>
      </c>
      <c r="G125" s="576">
        <v>966.95</v>
      </c>
      <c r="H125" s="525">
        <v>1207.46</v>
      </c>
      <c r="I125" s="379">
        <f t="shared" si="55"/>
        <v>3311.44</v>
      </c>
      <c r="J125" s="31"/>
      <c r="K125" s="84"/>
      <c r="L125" s="42">
        <v>0</v>
      </c>
      <c r="M125" s="31">
        <v>0</v>
      </c>
      <c r="N125" s="429"/>
      <c r="O125" s="31">
        <v>0</v>
      </c>
      <c r="P125" s="426">
        <f t="shared" si="1"/>
        <v>0</v>
      </c>
      <c r="Q125" s="178"/>
      <c r="R125" s="295"/>
      <c r="S125" s="385">
        <f t="shared" si="37"/>
        <v>0</v>
      </c>
      <c r="T125" s="31"/>
      <c r="U125" s="474">
        <f t="shared" si="38"/>
        <v>0</v>
      </c>
      <c r="V125" s="474">
        <f t="shared" si="39"/>
        <v>0</v>
      </c>
      <c r="W125" s="475">
        <f t="shared" si="40"/>
        <v>0</v>
      </c>
      <c r="X125" s="475">
        <v>0</v>
      </c>
      <c r="Y125" s="476">
        <v>0</v>
      </c>
      <c r="Z125" s="38">
        <f t="shared" si="41"/>
        <v>0</v>
      </c>
      <c r="AA125" s="564">
        <f t="shared" si="42"/>
        <v>3311.44</v>
      </c>
      <c r="AB125" s="564">
        <f t="shared" si="43"/>
        <v>0</v>
      </c>
      <c r="AC125" s="564">
        <f t="shared" si="44"/>
        <v>0</v>
      </c>
      <c r="AD125" s="559"/>
      <c r="AE125" s="564">
        <f t="shared" si="45"/>
        <v>0</v>
      </c>
      <c r="AF125" s="564">
        <f t="shared" si="46"/>
        <v>0</v>
      </c>
      <c r="AG125" s="564">
        <f t="shared" si="47"/>
        <v>0</v>
      </c>
    </row>
    <row r="126" spans="1:33" s="232" customFormat="1">
      <c r="A126" s="283"/>
      <c r="B126" s="283" t="s">
        <v>110</v>
      </c>
      <c r="C126" s="123" t="s">
        <v>338</v>
      </c>
      <c r="D126" s="449"/>
      <c r="E126" s="529">
        <v>0</v>
      </c>
      <c r="F126" s="576">
        <v>93497.31</v>
      </c>
      <c r="G126" s="576">
        <v>79838.06</v>
      </c>
      <c r="H126" s="525">
        <v>87425.44</v>
      </c>
      <c r="I126" s="379">
        <f t="shared" si="55"/>
        <v>260760.81</v>
      </c>
      <c r="J126" s="31"/>
      <c r="K126" s="84"/>
      <c r="L126" s="42">
        <v>0</v>
      </c>
      <c r="M126" s="31">
        <v>0</v>
      </c>
      <c r="N126" s="429">
        <v>260760.81</v>
      </c>
      <c r="O126" s="31">
        <v>0</v>
      </c>
      <c r="P126" s="426">
        <f t="shared" si="1"/>
        <v>0</v>
      </c>
      <c r="Q126" s="178"/>
      <c r="R126" s="295"/>
      <c r="S126" s="385">
        <f t="shared" si="37"/>
        <v>0</v>
      </c>
      <c r="T126" s="31"/>
      <c r="U126" s="474">
        <f t="shared" si="38"/>
        <v>0</v>
      </c>
      <c r="V126" s="474">
        <f t="shared" si="39"/>
        <v>0</v>
      </c>
      <c r="W126" s="475">
        <f t="shared" si="40"/>
        <v>0</v>
      </c>
      <c r="X126" s="475">
        <v>0</v>
      </c>
      <c r="Y126" s="476">
        <v>0</v>
      </c>
      <c r="Z126" s="38">
        <f t="shared" si="41"/>
        <v>0</v>
      </c>
      <c r="AA126" s="564">
        <f t="shared" si="42"/>
        <v>260760.81</v>
      </c>
      <c r="AB126" s="564">
        <f t="shared" si="43"/>
        <v>0</v>
      </c>
      <c r="AC126" s="564">
        <f t="shared" si="44"/>
        <v>0</v>
      </c>
      <c r="AD126" s="559"/>
      <c r="AE126" s="564">
        <f t="shared" si="45"/>
        <v>0</v>
      </c>
      <c r="AF126" s="564">
        <f t="shared" si="46"/>
        <v>0</v>
      </c>
      <c r="AG126" s="564">
        <f t="shared" si="47"/>
        <v>0</v>
      </c>
    </row>
    <row r="127" spans="1:33" s="232" customFormat="1">
      <c r="A127" s="283"/>
      <c r="B127" s="283" t="s">
        <v>110</v>
      </c>
      <c r="C127" s="123" t="s">
        <v>339</v>
      </c>
      <c r="D127" s="449"/>
      <c r="E127" s="529">
        <v>0</v>
      </c>
      <c r="F127" s="576">
        <v>63332.95</v>
      </c>
      <c r="G127" s="576">
        <v>51702.6</v>
      </c>
      <c r="H127" s="525">
        <v>53192.15</v>
      </c>
      <c r="I127" s="379">
        <f t="shared" si="55"/>
        <v>168227.69999999998</v>
      </c>
      <c r="J127" s="31"/>
      <c r="K127" s="84"/>
      <c r="L127" s="42">
        <v>0</v>
      </c>
      <c r="M127" s="31">
        <v>0</v>
      </c>
      <c r="N127" s="429">
        <v>168892.64</v>
      </c>
      <c r="O127" s="31">
        <v>0</v>
      </c>
      <c r="P127" s="426">
        <f t="shared" si="1"/>
        <v>0</v>
      </c>
      <c r="Q127" s="178"/>
      <c r="R127" s="295"/>
      <c r="S127" s="385">
        <f t="shared" si="37"/>
        <v>0</v>
      </c>
      <c r="T127" s="31"/>
      <c r="U127" s="474">
        <f t="shared" si="38"/>
        <v>0</v>
      </c>
      <c r="V127" s="474">
        <f t="shared" si="39"/>
        <v>0</v>
      </c>
      <c r="W127" s="475">
        <f t="shared" si="40"/>
        <v>0</v>
      </c>
      <c r="X127" s="475">
        <v>0</v>
      </c>
      <c r="Y127" s="476">
        <v>0</v>
      </c>
      <c r="Z127" s="38">
        <f t="shared" si="41"/>
        <v>0</v>
      </c>
      <c r="AA127" s="564">
        <f t="shared" si="42"/>
        <v>168227.69999999998</v>
      </c>
      <c r="AB127" s="564">
        <f t="shared" si="43"/>
        <v>0</v>
      </c>
      <c r="AC127" s="564">
        <f t="shared" si="44"/>
        <v>0</v>
      </c>
      <c r="AD127" s="559"/>
      <c r="AE127" s="564">
        <f t="shared" si="45"/>
        <v>0</v>
      </c>
      <c r="AF127" s="564">
        <f t="shared" si="46"/>
        <v>0</v>
      </c>
      <c r="AG127" s="564">
        <f t="shared" si="47"/>
        <v>0</v>
      </c>
    </row>
    <row r="128" spans="1:33" s="232" customFormat="1">
      <c r="A128" s="283"/>
      <c r="B128" s="283" t="s">
        <v>110</v>
      </c>
      <c r="C128" s="123" t="s">
        <v>340</v>
      </c>
      <c r="D128" s="449"/>
      <c r="E128" s="529">
        <v>0</v>
      </c>
      <c r="F128" s="576">
        <v>218.95</v>
      </c>
      <c r="G128" s="576">
        <v>219.58</v>
      </c>
      <c r="H128" s="525">
        <v>226.41</v>
      </c>
      <c r="I128" s="379">
        <f t="shared" si="55"/>
        <v>664.93999999999994</v>
      </c>
      <c r="J128" s="31"/>
      <c r="K128" s="84"/>
      <c r="L128" s="42">
        <v>0</v>
      </c>
      <c r="M128" s="31">
        <v>0</v>
      </c>
      <c r="N128" s="429"/>
      <c r="O128" s="31">
        <v>0</v>
      </c>
      <c r="P128" s="426">
        <f t="shared" si="1"/>
        <v>0</v>
      </c>
      <c r="Q128" s="178"/>
      <c r="R128" s="295"/>
      <c r="S128" s="385">
        <f t="shared" si="37"/>
        <v>0</v>
      </c>
      <c r="T128" s="31"/>
      <c r="U128" s="474">
        <f t="shared" si="38"/>
        <v>0</v>
      </c>
      <c r="V128" s="474">
        <f t="shared" si="39"/>
        <v>0</v>
      </c>
      <c r="W128" s="475">
        <f t="shared" si="40"/>
        <v>0</v>
      </c>
      <c r="X128" s="475">
        <v>0</v>
      </c>
      <c r="Y128" s="476">
        <v>0</v>
      </c>
      <c r="Z128" s="38">
        <f t="shared" si="41"/>
        <v>0</v>
      </c>
      <c r="AA128" s="564">
        <f t="shared" si="42"/>
        <v>664.93999999999994</v>
      </c>
      <c r="AB128" s="564">
        <f t="shared" si="43"/>
        <v>0</v>
      </c>
      <c r="AC128" s="564">
        <f t="shared" si="44"/>
        <v>0</v>
      </c>
      <c r="AD128" s="559"/>
      <c r="AE128" s="564">
        <f t="shared" si="45"/>
        <v>0</v>
      </c>
      <c r="AF128" s="564">
        <f t="shared" si="46"/>
        <v>0</v>
      </c>
      <c r="AG128" s="564">
        <f t="shared" si="47"/>
        <v>0</v>
      </c>
    </row>
    <row r="129" spans="1:33" s="232" customFormat="1">
      <c r="A129" s="283"/>
      <c r="B129" s="283" t="s">
        <v>110</v>
      </c>
      <c r="C129" s="123" t="s">
        <v>439</v>
      </c>
      <c r="D129" s="449"/>
      <c r="E129" s="529">
        <v>0</v>
      </c>
      <c r="F129" s="576">
        <v>161.29</v>
      </c>
      <c r="G129" s="576">
        <v>134.16</v>
      </c>
      <c r="H129" s="525">
        <v>266.08</v>
      </c>
      <c r="I129" s="379">
        <f t="shared" si="55"/>
        <v>561.53</v>
      </c>
      <c r="J129" s="31"/>
      <c r="K129" s="84"/>
      <c r="L129" s="42">
        <v>0</v>
      </c>
      <c r="M129" s="31">
        <v>0</v>
      </c>
      <c r="N129" s="429">
        <v>561.53</v>
      </c>
      <c r="O129" s="31">
        <v>0</v>
      </c>
      <c r="P129" s="426">
        <f t="shared" si="1"/>
        <v>0</v>
      </c>
      <c r="Q129" s="178"/>
      <c r="R129" s="295"/>
      <c r="S129" s="385">
        <f t="shared" si="37"/>
        <v>0</v>
      </c>
      <c r="T129" s="31"/>
      <c r="U129" s="474">
        <f t="shared" si="38"/>
        <v>0</v>
      </c>
      <c r="V129" s="474">
        <f t="shared" si="39"/>
        <v>0</v>
      </c>
      <c r="W129" s="475">
        <f t="shared" si="40"/>
        <v>0</v>
      </c>
      <c r="X129" s="475">
        <v>0</v>
      </c>
      <c r="Y129" s="476">
        <v>0</v>
      </c>
      <c r="Z129" s="38">
        <f t="shared" si="41"/>
        <v>0</v>
      </c>
      <c r="AA129" s="564">
        <f t="shared" si="42"/>
        <v>561.53</v>
      </c>
      <c r="AB129" s="564">
        <f t="shared" si="43"/>
        <v>0</v>
      </c>
      <c r="AC129" s="564">
        <f t="shared" si="44"/>
        <v>0</v>
      </c>
      <c r="AD129" s="559"/>
      <c r="AE129" s="564">
        <f t="shared" si="45"/>
        <v>0</v>
      </c>
      <c r="AF129" s="564">
        <f t="shared" si="46"/>
        <v>0</v>
      </c>
      <c r="AG129" s="564">
        <f t="shared" si="47"/>
        <v>0</v>
      </c>
    </row>
    <row r="130" spans="1:33">
      <c r="A130" s="21"/>
      <c r="B130" s="21" t="s">
        <v>109</v>
      </c>
      <c r="C130" s="68" t="s">
        <v>461</v>
      </c>
      <c r="D130" s="449"/>
      <c r="E130" s="529">
        <v>0</v>
      </c>
      <c r="F130" s="576">
        <v>3771.55</v>
      </c>
      <c r="G130" s="576">
        <v>4352.41</v>
      </c>
      <c r="H130" s="524"/>
      <c r="I130" s="379">
        <f t="shared" si="55"/>
        <v>8123.96</v>
      </c>
      <c r="J130" s="31"/>
      <c r="K130" s="84"/>
      <c r="L130" s="42">
        <f>SUM(F130+G130)/2</f>
        <v>4061.98</v>
      </c>
      <c r="M130" s="31">
        <v>0</v>
      </c>
      <c r="N130" s="429">
        <v>11446.74</v>
      </c>
      <c r="O130" s="31">
        <v>0</v>
      </c>
      <c r="P130" s="426">
        <f t="shared" si="1"/>
        <v>4061.98</v>
      </c>
      <c r="Q130" s="178">
        <v>4866.09</v>
      </c>
      <c r="R130" s="295"/>
      <c r="S130" s="385">
        <f t="shared" si="37"/>
        <v>804.11000000000013</v>
      </c>
      <c r="T130" s="31"/>
      <c r="U130" s="474">
        <f t="shared" si="38"/>
        <v>0</v>
      </c>
      <c r="V130" s="474">
        <f t="shared" si="39"/>
        <v>4061.98</v>
      </c>
      <c r="W130" s="475">
        <f t="shared" si="40"/>
        <v>0</v>
      </c>
      <c r="X130" s="475">
        <v>0</v>
      </c>
      <c r="Y130" s="476">
        <v>0</v>
      </c>
      <c r="Z130" s="38">
        <f t="shared" si="41"/>
        <v>0</v>
      </c>
      <c r="AA130" s="564">
        <f t="shared" si="42"/>
        <v>0</v>
      </c>
      <c r="AB130" s="564">
        <f t="shared" si="43"/>
        <v>8123.96</v>
      </c>
      <c r="AC130" s="564">
        <f t="shared" si="44"/>
        <v>0</v>
      </c>
      <c r="AE130" s="564">
        <f t="shared" si="45"/>
        <v>0</v>
      </c>
      <c r="AF130" s="564">
        <f t="shared" si="46"/>
        <v>4061.98</v>
      </c>
      <c r="AG130" s="564">
        <f t="shared" si="47"/>
        <v>0</v>
      </c>
    </row>
    <row r="131" spans="1:33">
      <c r="A131" s="20"/>
      <c r="B131" s="20" t="s">
        <v>109</v>
      </c>
      <c r="C131" s="68" t="s">
        <v>22</v>
      </c>
      <c r="D131" s="449"/>
      <c r="E131" s="529">
        <v>0</v>
      </c>
      <c r="F131" s="579"/>
      <c r="G131" s="579"/>
      <c r="H131" s="524"/>
      <c r="I131" s="379">
        <f t="shared" si="55"/>
        <v>0</v>
      </c>
      <c r="J131" s="31"/>
      <c r="K131" s="84"/>
      <c r="L131" s="42">
        <v>0</v>
      </c>
      <c r="M131" s="31">
        <v>0</v>
      </c>
      <c r="N131" s="429"/>
      <c r="O131" s="31">
        <v>0</v>
      </c>
      <c r="P131" s="426">
        <f t="shared" si="1"/>
        <v>0</v>
      </c>
      <c r="Q131" s="178">
        <f>244.75+322.75+210.75</f>
        <v>778.25</v>
      </c>
      <c r="R131" s="295"/>
      <c r="S131" s="385">
        <f t="shared" si="37"/>
        <v>778.25</v>
      </c>
      <c r="T131" s="31"/>
      <c r="U131" s="474">
        <f t="shared" si="38"/>
        <v>0</v>
      </c>
      <c r="V131" s="474">
        <f t="shared" si="39"/>
        <v>0</v>
      </c>
      <c r="W131" s="475">
        <f t="shared" si="40"/>
        <v>0</v>
      </c>
      <c r="X131" s="475">
        <v>0</v>
      </c>
      <c r="Y131" s="476">
        <v>0</v>
      </c>
      <c r="Z131" s="38">
        <f t="shared" si="41"/>
        <v>0</v>
      </c>
      <c r="AA131" s="564">
        <f t="shared" si="42"/>
        <v>0</v>
      </c>
      <c r="AB131" s="564">
        <f t="shared" si="43"/>
        <v>0</v>
      </c>
      <c r="AC131" s="564">
        <f t="shared" si="44"/>
        <v>0</v>
      </c>
      <c r="AE131" s="564">
        <f t="shared" si="45"/>
        <v>0</v>
      </c>
      <c r="AF131" s="564">
        <f t="shared" si="46"/>
        <v>0</v>
      </c>
      <c r="AG131" s="564">
        <f t="shared" si="47"/>
        <v>0</v>
      </c>
    </row>
    <row r="132" spans="1:33">
      <c r="A132" s="20" t="s">
        <v>211</v>
      </c>
      <c r="B132" s="20" t="s">
        <v>110</v>
      </c>
      <c r="C132" s="68" t="s">
        <v>23</v>
      </c>
      <c r="D132" s="449"/>
      <c r="E132" s="529">
        <v>0</v>
      </c>
      <c r="F132" s="579"/>
      <c r="G132" s="579"/>
      <c r="H132" s="524"/>
      <c r="I132" s="379">
        <f t="shared" si="55"/>
        <v>0</v>
      </c>
      <c r="J132" s="31"/>
      <c r="K132" s="84"/>
      <c r="L132" s="42">
        <v>0</v>
      </c>
      <c r="M132" s="31">
        <v>0</v>
      </c>
      <c r="N132" s="429"/>
      <c r="O132" s="31">
        <v>0</v>
      </c>
      <c r="P132" s="426">
        <f t="shared" si="1"/>
        <v>0</v>
      </c>
      <c r="Q132" s="178"/>
      <c r="R132" s="295"/>
      <c r="S132" s="385">
        <f t="shared" si="37"/>
        <v>0</v>
      </c>
      <c r="T132" s="31"/>
      <c r="U132" s="474">
        <f t="shared" si="38"/>
        <v>0</v>
      </c>
      <c r="V132" s="474">
        <f t="shared" si="39"/>
        <v>0</v>
      </c>
      <c r="W132" s="475">
        <f t="shared" si="40"/>
        <v>0</v>
      </c>
      <c r="X132" s="475">
        <v>0</v>
      </c>
      <c r="Y132" s="476">
        <v>0</v>
      </c>
      <c r="Z132" s="38">
        <f t="shared" si="41"/>
        <v>0</v>
      </c>
      <c r="AA132" s="564">
        <f t="shared" si="42"/>
        <v>0</v>
      </c>
      <c r="AB132" s="564">
        <f t="shared" si="43"/>
        <v>0</v>
      </c>
      <c r="AC132" s="564">
        <f t="shared" si="44"/>
        <v>0</v>
      </c>
      <c r="AE132" s="564">
        <f t="shared" si="45"/>
        <v>0</v>
      </c>
      <c r="AF132" s="564">
        <f t="shared" si="46"/>
        <v>0</v>
      </c>
      <c r="AG132" s="564">
        <f t="shared" si="47"/>
        <v>0</v>
      </c>
    </row>
    <row r="133" spans="1:33">
      <c r="A133" s="20" t="s">
        <v>109</v>
      </c>
      <c r="B133" s="20" t="s">
        <v>110</v>
      </c>
      <c r="C133" s="68" t="s">
        <v>321</v>
      </c>
      <c r="D133" s="449"/>
      <c r="E133" s="529">
        <v>0</v>
      </c>
      <c r="F133" s="579"/>
      <c r="G133" s="579"/>
      <c r="H133" s="524"/>
      <c r="I133" s="379">
        <f t="shared" si="55"/>
        <v>0</v>
      </c>
      <c r="J133" s="31"/>
      <c r="K133" s="84"/>
      <c r="L133" s="42">
        <v>0</v>
      </c>
      <c r="M133" s="31">
        <v>0</v>
      </c>
      <c r="N133" s="429"/>
      <c r="O133" s="31">
        <v>0</v>
      </c>
      <c r="P133" s="426">
        <f t="shared" si="1"/>
        <v>0</v>
      </c>
      <c r="Q133" s="178"/>
      <c r="R133" s="295"/>
      <c r="S133" s="385">
        <f t="shared" si="37"/>
        <v>0</v>
      </c>
      <c r="T133" s="31"/>
      <c r="U133" s="474">
        <f t="shared" si="38"/>
        <v>0</v>
      </c>
      <c r="V133" s="474">
        <f t="shared" si="39"/>
        <v>0</v>
      </c>
      <c r="W133" s="475">
        <f t="shared" si="40"/>
        <v>0</v>
      </c>
      <c r="X133" s="475">
        <v>0</v>
      </c>
      <c r="Y133" s="476">
        <v>0</v>
      </c>
      <c r="Z133" s="38">
        <f t="shared" si="41"/>
        <v>0</v>
      </c>
      <c r="AA133" s="564">
        <f t="shared" si="42"/>
        <v>0</v>
      </c>
      <c r="AB133" s="564">
        <f t="shared" si="43"/>
        <v>0</v>
      </c>
      <c r="AC133" s="564">
        <f t="shared" si="44"/>
        <v>0</v>
      </c>
      <c r="AE133" s="564">
        <f t="shared" si="45"/>
        <v>0</v>
      </c>
      <c r="AF133" s="564">
        <f t="shared" si="46"/>
        <v>0</v>
      </c>
      <c r="AG133" s="564">
        <f t="shared" si="47"/>
        <v>0</v>
      </c>
    </row>
    <row r="134" spans="1:33">
      <c r="A134" s="20"/>
      <c r="B134" s="20" t="s">
        <v>110</v>
      </c>
      <c r="C134" s="68" t="s">
        <v>24</v>
      </c>
      <c r="D134" s="449"/>
      <c r="E134" s="529">
        <v>0</v>
      </c>
      <c r="F134" s="576">
        <v>3936.14</v>
      </c>
      <c r="G134" s="576">
        <v>3824.19</v>
      </c>
      <c r="H134" s="524"/>
      <c r="I134" s="379">
        <f t="shared" si="55"/>
        <v>7760.33</v>
      </c>
      <c r="J134" s="31"/>
      <c r="K134" s="84"/>
      <c r="L134" s="42">
        <f>SUM(F134+G134)/2</f>
        <v>3880.165</v>
      </c>
      <c r="M134" s="31">
        <v>0</v>
      </c>
      <c r="N134" s="429">
        <v>7760.33</v>
      </c>
      <c r="O134" s="31">
        <v>0</v>
      </c>
      <c r="P134" s="426">
        <f t="shared" si="1"/>
        <v>3880.165</v>
      </c>
      <c r="Q134" s="178">
        <f>4093.26+36.99+26.95+29.34</f>
        <v>4186.54</v>
      </c>
      <c r="R134" s="295"/>
      <c r="S134" s="385">
        <f t="shared" si="37"/>
        <v>306.375</v>
      </c>
      <c r="T134" s="31"/>
      <c r="U134" s="474">
        <f t="shared" si="38"/>
        <v>3880.165</v>
      </c>
      <c r="V134" s="474">
        <f t="shared" si="39"/>
        <v>0</v>
      </c>
      <c r="W134" s="475">
        <f t="shared" si="40"/>
        <v>0</v>
      </c>
      <c r="X134" s="475">
        <v>0</v>
      </c>
      <c r="Y134" s="476">
        <v>0</v>
      </c>
      <c r="Z134" s="38">
        <f t="shared" si="41"/>
        <v>0</v>
      </c>
      <c r="AA134" s="564">
        <f t="shared" si="42"/>
        <v>7760.33</v>
      </c>
      <c r="AB134" s="564">
        <f t="shared" si="43"/>
        <v>0</v>
      </c>
      <c r="AC134" s="564">
        <f t="shared" si="44"/>
        <v>0</v>
      </c>
      <c r="AE134" s="564">
        <f t="shared" si="45"/>
        <v>3880.165</v>
      </c>
      <c r="AF134" s="564">
        <f t="shared" si="46"/>
        <v>0</v>
      </c>
      <c r="AG134" s="564">
        <f t="shared" si="47"/>
        <v>0</v>
      </c>
    </row>
    <row r="135" spans="1:33">
      <c r="A135" s="20" t="s">
        <v>211</v>
      </c>
      <c r="B135" s="20" t="s">
        <v>110</v>
      </c>
      <c r="C135" s="68" t="s">
        <v>91</v>
      </c>
      <c r="D135" s="449"/>
      <c r="E135" s="529">
        <v>0</v>
      </c>
      <c r="F135" s="579"/>
      <c r="G135" s="579"/>
      <c r="H135" s="524"/>
      <c r="I135" s="379">
        <f t="shared" si="55"/>
        <v>0</v>
      </c>
      <c r="J135" s="31"/>
      <c r="K135" s="84"/>
      <c r="L135" s="42">
        <v>0</v>
      </c>
      <c r="M135" s="31">
        <v>0</v>
      </c>
      <c r="N135" s="429"/>
      <c r="O135" s="31">
        <v>0</v>
      </c>
      <c r="P135" s="426">
        <f t="shared" si="1"/>
        <v>0</v>
      </c>
      <c r="Q135" s="178"/>
      <c r="R135" s="295"/>
      <c r="S135" s="385">
        <f t="shared" si="37"/>
        <v>0</v>
      </c>
      <c r="T135" s="2"/>
      <c r="U135" s="474">
        <f t="shared" si="38"/>
        <v>0</v>
      </c>
      <c r="V135" s="474">
        <f t="shared" si="39"/>
        <v>0</v>
      </c>
      <c r="W135" s="475">
        <f t="shared" si="40"/>
        <v>0</v>
      </c>
      <c r="X135" s="475">
        <v>0</v>
      </c>
      <c r="Y135" s="476">
        <v>0</v>
      </c>
      <c r="Z135" s="38">
        <f t="shared" si="41"/>
        <v>0</v>
      </c>
      <c r="AA135" s="564">
        <f t="shared" si="42"/>
        <v>0</v>
      </c>
      <c r="AB135" s="564">
        <f t="shared" si="43"/>
        <v>0</v>
      </c>
      <c r="AC135" s="564">
        <f t="shared" si="44"/>
        <v>0</v>
      </c>
      <c r="AE135" s="564">
        <f t="shared" si="45"/>
        <v>0</v>
      </c>
      <c r="AF135" s="564">
        <f t="shared" si="46"/>
        <v>0</v>
      </c>
      <c r="AG135" s="564">
        <f t="shared" si="47"/>
        <v>0</v>
      </c>
    </row>
    <row r="136" spans="1:33">
      <c r="A136" s="20"/>
      <c r="B136" s="20" t="s">
        <v>110</v>
      </c>
      <c r="C136" s="68" t="s">
        <v>118</v>
      </c>
      <c r="D136" s="449"/>
      <c r="E136" s="529">
        <v>0</v>
      </c>
      <c r="F136" s="576">
        <v>0</v>
      </c>
      <c r="G136" s="576">
        <v>0</v>
      </c>
      <c r="H136" s="525">
        <v>34.81</v>
      </c>
      <c r="I136" s="379">
        <f t="shared" si="55"/>
        <v>34.81</v>
      </c>
      <c r="J136" s="31"/>
      <c r="K136" s="84"/>
      <c r="L136" s="42">
        <v>0</v>
      </c>
      <c r="M136" s="31">
        <v>0</v>
      </c>
      <c r="N136" s="429">
        <v>34.81</v>
      </c>
      <c r="O136" s="31">
        <v>0</v>
      </c>
      <c r="P136" s="426">
        <f t="shared" si="1"/>
        <v>0</v>
      </c>
      <c r="Q136" s="178"/>
      <c r="R136" s="295"/>
      <c r="S136" s="385">
        <f t="shared" si="37"/>
        <v>0</v>
      </c>
      <c r="T136" s="2"/>
      <c r="U136" s="474">
        <f t="shared" si="38"/>
        <v>0</v>
      </c>
      <c r="V136" s="474">
        <f t="shared" si="39"/>
        <v>0</v>
      </c>
      <c r="W136" s="475">
        <f t="shared" si="40"/>
        <v>0</v>
      </c>
      <c r="X136" s="475">
        <v>0</v>
      </c>
      <c r="Y136" s="476">
        <v>0</v>
      </c>
      <c r="Z136" s="38">
        <f t="shared" si="41"/>
        <v>0</v>
      </c>
      <c r="AA136" s="564">
        <f t="shared" si="42"/>
        <v>34.81</v>
      </c>
      <c r="AB136" s="564">
        <f t="shared" si="43"/>
        <v>0</v>
      </c>
      <c r="AC136" s="564">
        <f t="shared" si="44"/>
        <v>0</v>
      </c>
      <c r="AE136" s="564">
        <f t="shared" si="45"/>
        <v>0</v>
      </c>
      <c r="AF136" s="564">
        <f t="shared" si="46"/>
        <v>0</v>
      </c>
      <c r="AG136" s="564">
        <f t="shared" si="47"/>
        <v>0</v>
      </c>
    </row>
    <row r="137" spans="1:33">
      <c r="A137" s="20" t="s">
        <v>211</v>
      </c>
      <c r="B137" s="20" t="s">
        <v>110</v>
      </c>
      <c r="C137" s="68" t="s">
        <v>486</v>
      </c>
      <c r="D137" s="449">
        <v>210.69</v>
      </c>
      <c r="E137" s="529">
        <v>0</v>
      </c>
      <c r="F137" s="576">
        <v>9.5</v>
      </c>
      <c r="G137" s="579"/>
      <c r="H137" s="524"/>
      <c r="I137" s="379">
        <f t="shared" si="55"/>
        <v>220.19</v>
      </c>
      <c r="J137" s="31"/>
      <c r="K137" s="84"/>
      <c r="L137" s="42">
        <f>F137*2</f>
        <v>19</v>
      </c>
      <c r="M137" s="31">
        <v>0</v>
      </c>
      <c r="N137" s="429">
        <v>251.52</v>
      </c>
      <c r="O137" s="31">
        <v>0</v>
      </c>
      <c r="P137" s="426">
        <f t="shared" si="1"/>
        <v>19</v>
      </c>
      <c r="Q137" s="178"/>
      <c r="R137" s="295"/>
      <c r="S137" s="385">
        <f t="shared" si="37"/>
        <v>-19</v>
      </c>
      <c r="T137" s="31"/>
      <c r="U137" s="474">
        <f t="shared" si="38"/>
        <v>19</v>
      </c>
      <c r="V137" s="474">
        <f t="shared" si="39"/>
        <v>0</v>
      </c>
      <c r="W137" s="475">
        <f t="shared" si="40"/>
        <v>0</v>
      </c>
      <c r="X137" s="475">
        <v>0</v>
      </c>
      <c r="Y137" s="476">
        <v>0</v>
      </c>
      <c r="Z137" s="38">
        <f t="shared" si="41"/>
        <v>0</v>
      </c>
      <c r="AA137" s="564">
        <f t="shared" si="42"/>
        <v>220.19</v>
      </c>
      <c r="AB137" s="564">
        <f t="shared" si="43"/>
        <v>0</v>
      </c>
      <c r="AC137" s="564">
        <f t="shared" si="44"/>
        <v>0</v>
      </c>
      <c r="AE137" s="564">
        <f t="shared" si="45"/>
        <v>19</v>
      </c>
      <c r="AF137" s="564">
        <f t="shared" si="46"/>
        <v>0</v>
      </c>
      <c r="AG137" s="564">
        <f t="shared" si="47"/>
        <v>0</v>
      </c>
    </row>
    <row r="138" spans="1:33">
      <c r="A138" s="21"/>
      <c r="B138" s="21" t="s">
        <v>110</v>
      </c>
      <c r="C138" s="68" t="s">
        <v>268</v>
      </c>
      <c r="D138" s="449"/>
      <c r="E138" s="529">
        <v>0</v>
      </c>
      <c r="F138" s="576">
        <v>3179.25</v>
      </c>
      <c r="G138" s="579"/>
      <c r="H138" s="524"/>
      <c r="I138" s="379">
        <f t="shared" ref="I138:I174" si="81">SUM(D138:H138)</f>
        <v>3179.25</v>
      </c>
      <c r="J138" s="31"/>
      <c r="K138" s="84"/>
      <c r="L138" s="42">
        <f>F138*2</f>
        <v>6358.5</v>
      </c>
      <c r="M138" s="31">
        <v>0</v>
      </c>
      <c r="N138" s="429">
        <v>3179.25</v>
      </c>
      <c r="O138" s="31">
        <v>0</v>
      </c>
      <c r="P138" s="426">
        <f t="shared" si="1"/>
        <v>6358.5</v>
      </c>
      <c r="Q138" s="178">
        <f>3296+4280.2</f>
        <v>7576.2</v>
      </c>
      <c r="R138" s="295"/>
      <c r="S138" s="385">
        <f t="shared" si="37"/>
        <v>1217.6999999999998</v>
      </c>
      <c r="T138" s="31"/>
      <c r="U138" s="474">
        <f t="shared" si="38"/>
        <v>6358.5</v>
      </c>
      <c r="V138" s="474">
        <f t="shared" si="39"/>
        <v>0</v>
      </c>
      <c r="W138" s="475">
        <f t="shared" si="40"/>
        <v>0</v>
      </c>
      <c r="X138" s="475">
        <v>0</v>
      </c>
      <c r="Y138" s="476">
        <v>0</v>
      </c>
      <c r="Z138" s="38">
        <f t="shared" si="41"/>
        <v>0</v>
      </c>
      <c r="AA138" s="564">
        <f t="shared" si="42"/>
        <v>3179.25</v>
      </c>
      <c r="AB138" s="564">
        <f t="shared" si="43"/>
        <v>0</v>
      </c>
      <c r="AC138" s="564">
        <f t="shared" si="44"/>
        <v>0</v>
      </c>
      <c r="AE138" s="564">
        <f t="shared" si="45"/>
        <v>6358.5</v>
      </c>
      <c r="AF138" s="564">
        <f t="shared" si="46"/>
        <v>0</v>
      </c>
      <c r="AG138" s="564">
        <f t="shared" si="47"/>
        <v>0</v>
      </c>
    </row>
    <row r="139" spans="1:33">
      <c r="A139" s="21"/>
      <c r="B139" s="21" t="s">
        <v>110</v>
      </c>
      <c r="C139" s="68" t="s">
        <v>183</v>
      </c>
      <c r="D139" s="449"/>
      <c r="E139" s="529">
        <v>0</v>
      </c>
      <c r="F139" s="579"/>
      <c r="G139" s="579"/>
      <c r="H139" s="524"/>
      <c r="I139" s="379">
        <f t="shared" si="81"/>
        <v>0</v>
      </c>
      <c r="J139" s="31"/>
      <c r="K139" s="84"/>
      <c r="L139" s="42">
        <v>0</v>
      </c>
      <c r="M139" s="31">
        <v>0</v>
      </c>
      <c r="N139" s="429"/>
      <c r="O139" s="31">
        <v>0</v>
      </c>
      <c r="P139" s="426">
        <f t="shared" si="1"/>
        <v>0</v>
      </c>
      <c r="Q139" s="178"/>
      <c r="R139" s="295"/>
      <c r="S139" s="385">
        <f t="shared" si="37"/>
        <v>0</v>
      </c>
      <c r="T139" s="31"/>
      <c r="U139" s="474">
        <f t="shared" si="38"/>
        <v>0</v>
      </c>
      <c r="V139" s="474">
        <f t="shared" si="39"/>
        <v>0</v>
      </c>
      <c r="W139" s="475">
        <f t="shared" si="40"/>
        <v>0</v>
      </c>
      <c r="X139" s="475">
        <v>0</v>
      </c>
      <c r="Y139" s="476">
        <v>0</v>
      </c>
      <c r="Z139" s="38">
        <f t="shared" si="41"/>
        <v>0</v>
      </c>
      <c r="AA139" s="564">
        <f t="shared" si="42"/>
        <v>0</v>
      </c>
      <c r="AB139" s="564">
        <f t="shared" si="43"/>
        <v>0</v>
      </c>
      <c r="AC139" s="564">
        <f t="shared" si="44"/>
        <v>0</v>
      </c>
      <c r="AE139" s="564">
        <f t="shared" si="45"/>
        <v>0</v>
      </c>
      <c r="AF139" s="564">
        <f t="shared" si="46"/>
        <v>0</v>
      </c>
      <c r="AG139" s="564">
        <f t="shared" si="47"/>
        <v>0</v>
      </c>
    </row>
    <row r="140" spans="1:33">
      <c r="A140" s="21"/>
      <c r="B140" s="21" t="s">
        <v>110</v>
      </c>
      <c r="C140" s="68" t="s">
        <v>282</v>
      </c>
      <c r="D140" s="449"/>
      <c r="E140" s="529">
        <v>0</v>
      </c>
      <c r="F140" s="576">
        <v>34780.080000000002</v>
      </c>
      <c r="G140" s="576">
        <v>34395.71</v>
      </c>
      <c r="H140" s="524"/>
      <c r="I140" s="379">
        <f t="shared" si="81"/>
        <v>69175.790000000008</v>
      </c>
      <c r="J140" s="31"/>
      <c r="K140" s="84"/>
      <c r="L140" s="42">
        <f>SUM(F140+G140)/2</f>
        <v>34587.895000000004</v>
      </c>
      <c r="M140" s="31">
        <v>0</v>
      </c>
      <c r="N140" s="429">
        <f>71219.22+34395.71</f>
        <v>105614.93</v>
      </c>
      <c r="O140" s="31">
        <v>0</v>
      </c>
      <c r="P140" s="426">
        <f t="shared" si="1"/>
        <v>34587.895000000004</v>
      </c>
      <c r="Q140" s="178">
        <v>35231.910000000003</v>
      </c>
      <c r="R140" s="295"/>
      <c r="S140" s="385">
        <f t="shared" si="37"/>
        <v>644.01499999999942</v>
      </c>
      <c r="T140" s="31"/>
      <c r="U140" s="474">
        <f t="shared" si="38"/>
        <v>34587.895000000004</v>
      </c>
      <c r="V140" s="474">
        <f t="shared" si="39"/>
        <v>0</v>
      </c>
      <c r="W140" s="475">
        <f t="shared" si="40"/>
        <v>0</v>
      </c>
      <c r="X140" s="475">
        <v>0</v>
      </c>
      <c r="Y140" s="476">
        <v>0</v>
      </c>
      <c r="Z140" s="38">
        <f t="shared" si="41"/>
        <v>0</v>
      </c>
      <c r="AA140" s="564">
        <f t="shared" si="42"/>
        <v>69175.790000000008</v>
      </c>
      <c r="AB140" s="564">
        <f t="shared" si="43"/>
        <v>0</v>
      </c>
      <c r="AC140" s="564">
        <f t="shared" si="44"/>
        <v>0</v>
      </c>
      <c r="AE140" s="564">
        <f t="shared" si="45"/>
        <v>34587.895000000004</v>
      </c>
      <c r="AF140" s="564">
        <f t="shared" si="46"/>
        <v>0</v>
      </c>
      <c r="AG140" s="564">
        <f t="shared" si="47"/>
        <v>0</v>
      </c>
    </row>
    <row r="141" spans="1:33">
      <c r="A141" s="21"/>
      <c r="B141" s="21" t="s">
        <v>110</v>
      </c>
      <c r="C141" s="68" t="s">
        <v>27</v>
      </c>
      <c r="D141" s="449"/>
      <c r="E141" s="529">
        <v>0</v>
      </c>
      <c r="F141" s="579"/>
      <c r="G141" s="579"/>
      <c r="H141" s="524"/>
      <c r="I141" s="379">
        <f t="shared" si="81"/>
        <v>0</v>
      </c>
      <c r="J141" s="31"/>
      <c r="K141" s="84"/>
      <c r="L141" s="42">
        <v>0</v>
      </c>
      <c r="M141" s="31">
        <v>0</v>
      </c>
      <c r="N141" s="429"/>
      <c r="O141" s="31">
        <v>0</v>
      </c>
      <c r="P141" s="426">
        <f t="shared" si="1"/>
        <v>0</v>
      </c>
      <c r="Q141" s="178"/>
      <c r="R141" s="295"/>
      <c r="S141" s="385">
        <f t="shared" si="37"/>
        <v>0</v>
      </c>
      <c r="T141" s="31"/>
      <c r="U141" s="474">
        <f t="shared" si="38"/>
        <v>0</v>
      </c>
      <c r="V141" s="474">
        <f t="shared" si="39"/>
        <v>0</v>
      </c>
      <c r="W141" s="475">
        <f t="shared" si="40"/>
        <v>0</v>
      </c>
      <c r="X141" s="475">
        <v>0</v>
      </c>
      <c r="Y141" s="476">
        <v>0</v>
      </c>
      <c r="Z141" s="38">
        <f t="shared" si="41"/>
        <v>0</v>
      </c>
      <c r="AA141" s="564">
        <f t="shared" si="42"/>
        <v>0</v>
      </c>
      <c r="AB141" s="564">
        <f t="shared" si="43"/>
        <v>0</v>
      </c>
      <c r="AC141" s="564">
        <f t="shared" si="44"/>
        <v>0</v>
      </c>
      <c r="AE141" s="564">
        <f t="shared" si="45"/>
        <v>0</v>
      </c>
      <c r="AF141" s="564">
        <f t="shared" si="46"/>
        <v>0</v>
      </c>
      <c r="AG141" s="564">
        <f t="shared" si="47"/>
        <v>0</v>
      </c>
    </row>
    <row r="142" spans="1:33">
      <c r="A142" s="21"/>
      <c r="B142" s="21" t="s">
        <v>109</v>
      </c>
      <c r="C142" s="68" t="s">
        <v>499</v>
      </c>
      <c r="D142" s="449"/>
      <c r="E142" s="529">
        <v>0</v>
      </c>
      <c r="F142" s="579"/>
      <c r="G142" s="579"/>
      <c r="H142" s="524"/>
      <c r="I142" s="379">
        <f t="shared" ref="I142" si="82">SUM(D142:H142)</f>
        <v>0</v>
      </c>
      <c r="J142" s="31"/>
      <c r="K142" s="84"/>
      <c r="L142" s="42">
        <f>F142*2</f>
        <v>0</v>
      </c>
      <c r="M142" s="31">
        <v>0</v>
      </c>
      <c r="N142" s="429"/>
      <c r="O142" s="31">
        <v>0</v>
      </c>
      <c r="P142" s="426">
        <f t="shared" ref="P142" si="83">K142+L142</f>
        <v>0</v>
      </c>
      <c r="Q142" s="178">
        <f>216.87+72.53</f>
        <v>289.39999999999998</v>
      </c>
      <c r="R142" s="295"/>
      <c r="S142" s="385">
        <f t="shared" si="37"/>
        <v>289.39999999999998</v>
      </c>
      <c r="T142" s="31"/>
      <c r="U142" s="474">
        <f t="shared" ref="U142" si="84">IF(B142="D",P142,0)</f>
        <v>0</v>
      </c>
      <c r="V142" s="474">
        <f t="shared" ref="V142" si="85">IF(B142="M",P142,0)</f>
        <v>0</v>
      </c>
      <c r="W142" s="475">
        <f t="shared" ref="W142" si="86">IF(B142="V",P142,0)</f>
        <v>0</v>
      </c>
      <c r="X142" s="475">
        <v>0</v>
      </c>
      <c r="Y142" s="476">
        <v>0</v>
      </c>
      <c r="Z142" s="38">
        <f t="shared" ref="Z142" si="87">(K142+L142)-(U142+V142+W142+X142+Y142)</f>
        <v>0</v>
      </c>
      <c r="AA142" s="564">
        <f t="shared" ref="AA142" si="88">IF(B142="D",I142,0)</f>
        <v>0</v>
      </c>
      <c r="AB142" s="564">
        <f t="shared" ref="AB142" si="89">IF(B142="M",I142,0)</f>
        <v>0</v>
      </c>
      <c r="AC142" s="564">
        <f t="shared" ref="AC142" si="90">IF(B142="V",I142,0)</f>
        <v>0</v>
      </c>
      <c r="AE142" s="564">
        <f t="shared" ref="AE142" si="91">IF(B142="D",P142,0)</f>
        <v>0</v>
      </c>
      <c r="AF142" s="564">
        <f t="shared" ref="AF142" si="92">IF(B142="M",P142,0)</f>
        <v>0</v>
      </c>
      <c r="AG142" s="564">
        <f t="shared" ref="AG142" si="93">IF(B142="V",P142,0)</f>
        <v>0</v>
      </c>
    </row>
    <row r="143" spans="1:33">
      <c r="A143" s="21"/>
      <c r="B143" s="21" t="s">
        <v>110</v>
      </c>
      <c r="C143" s="68" t="s">
        <v>28</v>
      </c>
      <c r="D143" s="449"/>
      <c r="E143" s="529">
        <v>0</v>
      </c>
      <c r="F143" s="576">
        <v>1568</v>
      </c>
      <c r="G143" s="576">
        <v>1432.2</v>
      </c>
      <c r="H143" s="525">
        <v>1258.5999999999999</v>
      </c>
      <c r="I143" s="379">
        <f t="shared" si="81"/>
        <v>4258.7999999999993</v>
      </c>
      <c r="J143" s="31"/>
      <c r="K143" s="84"/>
      <c r="L143" s="42">
        <v>0</v>
      </c>
      <c r="M143" s="31">
        <v>0</v>
      </c>
      <c r="N143" s="429">
        <v>6039.6</v>
      </c>
      <c r="O143" s="31">
        <v>0</v>
      </c>
      <c r="P143" s="426">
        <f t="shared" si="1"/>
        <v>0</v>
      </c>
      <c r="Q143" s="178"/>
      <c r="R143" s="295"/>
      <c r="S143" s="385">
        <f t="shared" si="37"/>
        <v>0</v>
      </c>
      <c r="T143" s="31"/>
      <c r="U143" s="474">
        <f t="shared" si="38"/>
        <v>0</v>
      </c>
      <c r="V143" s="474">
        <f t="shared" si="39"/>
        <v>0</v>
      </c>
      <c r="W143" s="475">
        <f t="shared" si="40"/>
        <v>0</v>
      </c>
      <c r="X143" s="475">
        <v>0</v>
      </c>
      <c r="Y143" s="476">
        <v>0</v>
      </c>
      <c r="Z143" s="38">
        <f t="shared" si="41"/>
        <v>0</v>
      </c>
      <c r="AA143" s="564">
        <f t="shared" si="42"/>
        <v>4258.7999999999993</v>
      </c>
      <c r="AB143" s="564">
        <f t="shared" si="43"/>
        <v>0</v>
      </c>
      <c r="AC143" s="564">
        <f t="shared" si="44"/>
        <v>0</v>
      </c>
      <c r="AE143" s="564">
        <f t="shared" si="45"/>
        <v>0</v>
      </c>
      <c r="AF143" s="564">
        <f t="shared" si="46"/>
        <v>0</v>
      </c>
      <c r="AG143" s="564">
        <f t="shared" si="47"/>
        <v>0</v>
      </c>
    </row>
    <row r="144" spans="1:33">
      <c r="A144" s="21"/>
      <c r="B144" s="21" t="s">
        <v>109</v>
      </c>
      <c r="C144" s="68" t="s">
        <v>308</v>
      </c>
      <c r="D144" s="449"/>
      <c r="E144" s="529">
        <v>0</v>
      </c>
      <c r="F144" s="576">
        <v>558.51</v>
      </c>
      <c r="G144" s="579"/>
      <c r="H144" s="524"/>
      <c r="I144" s="379">
        <f t="shared" si="81"/>
        <v>558.51</v>
      </c>
      <c r="J144" s="31"/>
      <c r="K144" s="84"/>
      <c r="L144" s="42">
        <f>F144*2</f>
        <v>1117.02</v>
      </c>
      <c r="M144" s="31">
        <v>0</v>
      </c>
      <c r="N144" s="429">
        <v>1113.95</v>
      </c>
      <c r="O144" s="31">
        <v>0</v>
      </c>
      <c r="P144" s="426">
        <f t="shared" si="1"/>
        <v>1117.02</v>
      </c>
      <c r="Q144" s="178">
        <f>468.85+346.95</f>
        <v>815.8</v>
      </c>
      <c r="R144" s="295"/>
      <c r="S144" s="385">
        <f t="shared" si="37"/>
        <v>-301.22000000000003</v>
      </c>
      <c r="T144" s="31"/>
      <c r="U144" s="474">
        <f t="shared" si="38"/>
        <v>0</v>
      </c>
      <c r="V144" s="474">
        <f t="shared" si="39"/>
        <v>1117.02</v>
      </c>
      <c r="W144" s="475">
        <f t="shared" si="40"/>
        <v>0</v>
      </c>
      <c r="X144" s="475">
        <v>0</v>
      </c>
      <c r="Y144" s="476">
        <v>0</v>
      </c>
      <c r="Z144" s="38">
        <f t="shared" si="41"/>
        <v>0</v>
      </c>
      <c r="AA144" s="564">
        <f t="shared" si="42"/>
        <v>0</v>
      </c>
      <c r="AB144" s="564">
        <f t="shared" si="43"/>
        <v>558.51</v>
      </c>
      <c r="AC144" s="564">
        <f t="shared" si="44"/>
        <v>0</v>
      </c>
      <c r="AE144" s="564">
        <f t="shared" si="45"/>
        <v>0</v>
      </c>
      <c r="AF144" s="564">
        <f t="shared" si="46"/>
        <v>1117.02</v>
      </c>
      <c r="AG144" s="564">
        <f t="shared" si="47"/>
        <v>0</v>
      </c>
    </row>
    <row r="145" spans="1:33" s="232" customFormat="1">
      <c r="A145" s="283" t="s">
        <v>211</v>
      </c>
      <c r="B145" s="283" t="s">
        <v>109</v>
      </c>
      <c r="C145" s="123" t="s">
        <v>389</v>
      </c>
      <c r="D145" s="449"/>
      <c r="E145" s="529">
        <v>0</v>
      </c>
      <c r="F145" s="579"/>
      <c r="G145" s="579"/>
      <c r="H145" s="524"/>
      <c r="I145" s="379">
        <f t="shared" si="81"/>
        <v>0</v>
      </c>
      <c r="J145" s="31"/>
      <c r="K145" s="84"/>
      <c r="L145" s="42">
        <v>40000</v>
      </c>
      <c r="M145" s="31">
        <v>0</v>
      </c>
      <c r="N145" s="429">
        <v>40516.120000000003</v>
      </c>
      <c r="O145" s="31">
        <v>0</v>
      </c>
      <c r="P145" s="426">
        <f t="shared" si="1"/>
        <v>40000</v>
      </c>
      <c r="Q145" s="178">
        <f>44704.18+51.3</f>
        <v>44755.48</v>
      </c>
      <c r="R145" s="295"/>
      <c r="S145" s="385">
        <f t="shared" si="37"/>
        <v>4755.4800000000032</v>
      </c>
      <c r="T145" s="31"/>
      <c r="U145" s="474">
        <f t="shared" si="38"/>
        <v>0</v>
      </c>
      <c r="V145" s="474">
        <f t="shared" si="39"/>
        <v>40000</v>
      </c>
      <c r="W145" s="475">
        <f t="shared" si="40"/>
        <v>0</v>
      </c>
      <c r="X145" s="475">
        <v>0</v>
      </c>
      <c r="Y145" s="476">
        <v>0</v>
      </c>
      <c r="Z145" s="38">
        <f t="shared" si="41"/>
        <v>0</v>
      </c>
      <c r="AA145" s="564">
        <f t="shared" si="42"/>
        <v>0</v>
      </c>
      <c r="AB145" s="564">
        <f t="shared" si="43"/>
        <v>0</v>
      </c>
      <c r="AC145" s="564">
        <f t="shared" si="44"/>
        <v>0</v>
      </c>
      <c r="AD145" s="559"/>
      <c r="AE145" s="564">
        <f t="shared" si="45"/>
        <v>0</v>
      </c>
      <c r="AF145" s="564">
        <f t="shared" si="46"/>
        <v>40000</v>
      </c>
      <c r="AG145" s="564">
        <f t="shared" si="47"/>
        <v>0</v>
      </c>
    </row>
    <row r="146" spans="1:33" s="232" customFormat="1">
      <c r="A146" s="283"/>
      <c r="B146" s="283" t="s">
        <v>110</v>
      </c>
      <c r="C146" s="68" t="s">
        <v>488</v>
      </c>
      <c r="D146" s="449"/>
      <c r="E146" s="529">
        <v>0</v>
      </c>
      <c r="F146" s="576">
        <v>16565.07</v>
      </c>
      <c r="G146" s="576">
        <v>179.16</v>
      </c>
      <c r="H146" s="524"/>
      <c r="I146" s="379">
        <f t="shared" ref="I146" si="94">SUM(D146:H146)</f>
        <v>16744.23</v>
      </c>
      <c r="J146" s="31"/>
      <c r="K146" s="84"/>
      <c r="L146" s="42">
        <v>0</v>
      </c>
      <c r="M146" s="31">
        <v>0</v>
      </c>
      <c r="N146" s="429">
        <v>16744.23</v>
      </c>
      <c r="O146" s="31">
        <v>0</v>
      </c>
      <c r="P146" s="426">
        <f t="shared" si="1"/>
        <v>0</v>
      </c>
      <c r="Q146" s="178"/>
      <c r="R146" s="295"/>
      <c r="S146" s="385">
        <f t="shared" si="37"/>
        <v>0</v>
      </c>
      <c r="T146" s="31"/>
      <c r="U146" s="474">
        <f t="shared" si="38"/>
        <v>0</v>
      </c>
      <c r="V146" s="474">
        <f t="shared" si="39"/>
        <v>0</v>
      </c>
      <c r="W146" s="475">
        <f t="shared" si="40"/>
        <v>0</v>
      </c>
      <c r="X146" s="475">
        <v>0</v>
      </c>
      <c r="Y146" s="476">
        <v>0</v>
      </c>
      <c r="Z146" s="38">
        <f t="shared" si="41"/>
        <v>0</v>
      </c>
      <c r="AA146" s="564">
        <f t="shared" si="42"/>
        <v>16744.23</v>
      </c>
      <c r="AB146" s="564">
        <f t="shared" si="43"/>
        <v>0</v>
      </c>
      <c r="AC146" s="564">
        <f t="shared" si="44"/>
        <v>0</v>
      </c>
      <c r="AD146" s="559"/>
      <c r="AE146" s="564">
        <f t="shared" si="45"/>
        <v>0</v>
      </c>
      <c r="AF146" s="564">
        <f t="shared" si="46"/>
        <v>0</v>
      </c>
      <c r="AG146" s="564">
        <f t="shared" si="47"/>
        <v>0</v>
      </c>
    </row>
    <row r="147" spans="1:33">
      <c r="A147" s="20" t="s">
        <v>211</v>
      </c>
      <c r="B147" s="20" t="s">
        <v>109</v>
      </c>
      <c r="C147" s="68" t="s">
        <v>236</v>
      </c>
      <c r="D147" s="449"/>
      <c r="E147" s="529">
        <v>0</v>
      </c>
      <c r="F147" s="579"/>
      <c r="G147" s="579"/>
      <c r="H147" s="524"/>
      <c r="I147" s="379">
        <f t="shared" si="81"/>
        <v>0</v>
      </c>
      <c r="J147" s="31"/>
      <c r="K147" s="84"/>
      <c r="L147" s="42">
        <v>0</v>
      </c>
      <c r="M147" s="31">
        <v>0</v>
      </c>
      <c r="N147" s="429"/>
      <c r="O147" s="31">
        <v>0</v>
      </c>
      <c r="P147" s="426">
        <f t="shared" si="1"/>
        <v>0</v>
      </c>
      <c r="Q147" s="178"/>
      <c r="R147" s="295"/>
      <c r="S147" s="385">
        <f t="shared" si="37"/>
        <v>0</v>
      </c>
      <c r="T147" s="2"/>
      <c r="U147" s="474">
        <f t="shared" si="38"/>
        <v>0</v>
      </c>
      <c r="V147" s="474">
        <f t="shared" si="39"/>
        <v>0</v>
      </c>
      <c r="W147" s="475">
        <f t="shared" si="40"/>
        <v>0</v>
      </c>
      <c r="X147" s="475">
        <v>0</v>
      </c>
      <c r="Y147" s="476">
        <v>0</v>
      </c>
      <c r="Z147" s="38">
        <f t="shared" si="41"/>
        <v>0</v>
      </c>
      <c r="AA147" s="564">
        <f t="shared" si="42"/>
        <v>0</v>
      </c>
      <c r="AB147" s="564">
        <f t="shared" si="43"/>
        <v>0</v>
      </c>
      <c r="AC147" s="564">
        <f t="shared" si="44"/>
        <v>0</v>
      </c>
      <c r="AE147" s="564">
        <f t="shared" si="45"/>
        <v>0</v>
      </c>
      <c r="AF147" s="564">
        <f t="shared" si="46"/>
        <v>0</v>
      </c>
      <c r="AG147" s="564">
        <f t="shared" si="47"/>
        <v>0</v>
      </c>
    </row>
    <row r="148" spans="1:33" s="232" customFormat="1">
      <c r="A148" s="283"/>
      <c r="B148" s="283" t="s">
        <v>110</v>
      </c>
      <c r="C148" s="123" t="s">
        <v>192</v>
      </c>
      <c r="D148" s="449"/>
      <c r="E148" s="529">
        <v>0</v>
      </c>
      <c r="F148" s="576">
        <v>7226.57</v>
      </c>
      <c r="G148" s="576">
        <v>8047.85</v>
      </c>
      <c r="H148" s="525">
        <v>9001.57</v>
      </c>
      <c r="I148" s="379">
        <f t="shared" si="81"/>
        <v>24275.989999999998</v>
      </c>
      <c r="J148" s="31"/>
      <c r="K148" s="84"/>
      <c r="L148" s="42">
        <v>0</v>
      </c>
      <c r="M148" s="31">
        <v>0</v>
      </c>
      <c r="N148" s="429">
        <v>40205.82</v>
      </c>
      <c r="O148" s="31">
        <v>0</v>
      </c>
      <c r="P148" s="426">
        <f t="shared" si="1"/>
        <v>0</v>
      </c>
      <c r="Q148" s="178"/>
      <c r="R148" s="295"/>
      <c r="S148" s="385">
        <f t="shared" ref="S148:S211" si="95">Q148-P148</f>
        <v>0</v>
      </c>
      <c r="T148" s="31"/>
      <c r="U148" s="474">
        <f t="shared" si="38"/>
        <v>0</v>
      </c>
      <c r="V148" s="474">
        <f t="shared" si="39"/>
        <v>0</v>
      </c>
      <c r="W148" s="475">
        <f t="shared" si="40"/>
        <v>0</v>
      </c>
      <c r="X148" s="475">
        <v>0</v>
      </c>
      <c r="Y148" s="476">
        <v>0</v>
      </c>
      <c r="Z148" s="38">
        <f t="shared" si="41"/>
        <v>0</v>
      </c>
      <c r="AA148" s="564">
        <f t="shared" si="42"/>
        <v>24275.989999999998</v>
      </c>
      <c r="AB148" s="564">
        <f t="shared" si="43"/>
        <v>0</v>
      </c>
      <c r="AC148" s="564">
        <f t="shared" si="44"/>
        <v>0</v>
      </c>
      <c r="AD148" s="559"/>
      <c r="AE148" s="564">
        <f t="shared" si="45"/>
        <v>0</v>
      </c>
      <c r="AF148" s="564">
        <f t="shared" si="46"/>
        <v>0</v>
      </c>
      <c r="AG148" s="564">
        <f t="shared" si="47"/>
        <v>0</v>
      </c>
    </row>
    <row r="149" spans="1:33" s="232" customFormat="1">
      <c r="A149" s="283"/>
      <c r="B149" s="283" t="s">
        <v>110</v>
      </c>
      <c r="C149" s="123" t="s">
        <v>193</v>
      </c>
      <c r="D149" s="449"/>
      <c r="E149" s="529">
        <v>0</v>
      </c>
      <c r="F149" s="576">
        <v>517.54999999999995</v>
      </c>
      <c r="G149" s="576">
        <v>648.45000000000005</v>
      </c>
      <c r="H149" s="525">
        <v>605.1</v>
      </c>
      <c r="I149" s="379">
        <f t="shared" si="81"/>
        <v>1771.1</v>
      </c>
      <c r="J149" s="31"/>
      <c r="K149" s="84"/>
      <c r="L149" s="42">
        <v>0</v>
      </c>
      <c r="M149" s="31">
        <v>0</v>
      </c>
      <c r="N149" s="429"/>
      <c r="O149" s="31">
        <v>0</v>
      </c>
      <c r="P149" s="426">
        <f t="shared" si="1"/>
        <v>0</v>
      </c>
      <c r="Q149" s="178"/>
      <c r="R149" s="295"/>
      <c r="S149" s="385">
        <f t="shared" si="95"/>
        <v>0</v>
      </c>
      <c r="T149" s="31"/>
      <c r="U149" s="474">
        <f t="shared" si="38"/>
        <v>0</v>
      </c>
      <c r="V149" s="474">
        <f t="shared" si="39"/>
        <v>0</v>
      </c>
      <c r="W149" s="475">
        <f t="shared" si="40"/>
        <v>0</v>
      </c>
      <c r="X149" s="475">
        <v>0</v>
      </c>
      <c r="Y149" s="476">
        <v>0</v>
      </c>
      <c r="Z149" s="38">
        <f t="shared" si="41"/>
        <v>0</v>
      </c>
      <c r="AA149" s="564">
        <f t="shared" si="42"/>
        <v>1771.1</v>
      </c>
      <c r="AB149" s="564">
        <f t="shared" si="43"/>
        <v>0</v>
      </c>
      <c r="AC149" s="564">
        <f t="shared" si="44"/>
        <v>0</v>
      </c>
      <c r="AD149" s="559"/>
      <c r="AE149" s="564">
        <f t="shared" si="45"/>
        <v>0</v>
      </c>
      <c r="AF149" s="564">
        <f t="shared" si="46"/>
        <v>0</v>
      </c>
      <c r="AG149" s="564">
        <f t="shared" si="47"/>
        <v>0</v>
      </c>
    </row>
    <row r="150" spans="1:33" s="232" customFormat="1">
      <c r="A150" s="283"/>
      <c r="B150" s="283" t="s">
        <v>110</v>
      </c>
      <c r="C150" s="123" t="s">
        <v>194</v>
      </c>
      <c r="D150" s="449"/>
      <c r="E150" s="529">
        <v>0</v>
      </c>
      <c r="F150" s="576">
        <v>183.35</v>
      </c>
      <c r="G150" s="576">
        <v>151.51</v>
      </c>
      <c r="H150" s="525">
        <v>188.25</v>
      </c>
      <c r="I150" s="379">
        <f t="shared" si="81"/>
        <v>523.11</v>
      </c>
      <c r="J150" s="31"/>
      <c r="K150" s="84"/>
      <c r="L150" s="42">
        <v>0</v>
      </c>
      <c r="M150" s="31">
        <v>0</v>
      </c>
      <c r="N150" s="429"/>
      <c r="O150" s="31">
        <v>0</v>
      </c>
      <c r="P150" s="426">
        <f t="shared" si="1"/>
        <v>0</v>
      </c>
      <c r="Q150" s="178"/>
      <c r="R150" s="295"/>
      <c r="S150" s="385">
        <f t="shared" si="95"/>
        <v>0</v>
      </c>
      <c r="T150" s="31"/>
      <c r="U150" s="474">
        <f t="shared" si="38"/>
        <v>0</v>
      </c>
      <c r="V150" s="474">
        <f t="shared" si="39"/>
        <v>0</v>
      </c>
      <c r="W150" s="475">
        <f t="shared" si="40"/>
        <v>0</v>
      </c>
      <c r="X150" s="475">
        <v>0</v>
      </c>
      <c r="Y150" s="476">
        <v>0</v>
      </c>
      <c r="Z150" s="38">
        <f t="shared" si="41"/>
        <v>0</v>
      </c>
      <c r="AA150" s="564">
        <f t="shared" si="42"/>
        <v>523.11</v>
      </c>
      <c r="AB150" s="564">
        <f t="shared" si="43"/>
        <v>0</v>
      </c>
      <c r="AC150" s="564">
        <f t="shared" si="44"/>
        <v>0</v>
      </c>
      <c r="AD150" s="559"/>
      <c r="AE150" s="564">
        <f t="shared" si="45"/>
        <v>0</v>
      </c>
      <c r="AF150" s="564">
        <f t="shared" si="46"/>
        <v>0</v>
      </c>
      <c r="AG150" s="564">
        <f t="shared" si="47"/>
        <v>0</v>
      </c>
    </row>
    <row r="151" spans="1:33" s="232" customFormat="1">
      <c r="A151" s="283"/>
      <c r="B151" s="283" t="s">
        <v>110</v>
      </c>
      <c r="C151" s="123" t="s">
        <v>195</v>
      </c>
      <c r="D151" s="449"/>
      <c r="E151" s="529">
        <v>0</v>
      </c>
      <c r="F151" s="576">
        <v>16.84</v>
      </c>
      <c r="G151" s="576">
        <v>10.27</v>
      </c>
      <c r="H151" s="525">
        <v>17.87</v>
      </c>
      <c r="I151" s="379">
        <f t="shared" si="81"/>
        <v>44.980000000000004</v>
      </c>
      <c r="J151" s="31"/>
      <c r="K151" s="84"/>
      <c r="L151" s="42">
        <v>0</v>
      </c>
      <c r="M151" s="31">
        <v>0</v>
      </c>
      <c r="N151" s="429"/>
      <c r="O151" s="31">
        <v>0</v>
      </c>
      <c r="P151" s="426">
        <f t="shared" si="1"/>
        <v>0</v>
      </c>
      <c r="Q151" s="178"/>
      <c r="R151" s="295"/>
      <c r="S151" s="385">
        <f t="shared" si="95"/>
        <v>0</v>
      </c>
      <c r="T151" s="31"/>
      <c r="U151" s="474">
        <f t="shared" si="38"/>
        <v>0</v>
      </c>
      <c r="V151" s="474">
        <f t="shared" si="39"/>
        <v>0</v>
      </c>
      <c r="W151" s="475">
        <f t="shared" si="40"/>
        <v>0</v>
      </c>
      <c r="X151" s="475">
        <v>0</v>
      </c>
      <c r="Y151" s="476">
        <v>0</v>
      </c>
      <c r="Z151" s="38">
        <f t="shared" si="41"/>
        <v>0</v>
      </c>
      <c r="AA151" s="564">
        <f t="shared" si="42"/>
        <v>44.980000000000004</v>
      </c>
      <c r="AB151" s="564">
        <f t="shared" si="43"/>
        <v>0</v>
      </c>
      <c r="AC151" s="564">
        <f t="shared" si="44"/>
        <v>0</v>
      </c>
      <c r="AD151" s="559"/>
      <c r="AE151" s="564">
        <f t="shared" si="45"/>
        <v>0</v>
      </c>
      <c r="AF151" s="564">
        <f t="shared" si="46"/>
        <v>0</v>
      </c>
      <c r="AG151" s="564">
        <f t="shared" si="47"/>
        <v>0</v>
      </c>
    </row>
    <row r="152" spans="1:33" s="232" customFormat="1">
      <c r="A152" s="283"/>
      <c r="B152" s="283" t="s">
        <v>110</v>
      </c>
      <c r="C152" s="123" t="s">
        <v>196</v>
      </c>
      <c r="D152" s="449"/>
      <c r="E152" s="529">
        <v>0</v>
      </c>
      <c r="F152" s="576">
        <v>189.03</v>
      </c>
      <c r="G152" s="576">
        <v>132.86000000000001</v>
      </c>
      <c r="H152" s="525">
        <v>166.54</v>
      </c>
      <c r="I152" s="379">
        <f t="shared" si="81"/>
        <v>488.42999999999995</v>
      </c>
      <c r="J152" s="31"/>
      <c r="K152" s="84"/>
      <c r="L152" s="42">
        <v>0</v>
      </c>
      <c r="M152" s="31">
        <v>0</v>
      </c>
      <c r="N152" s="429"/>
      <c r="O152" s="31">
        <v>0</v>
      </c>
      <c r="P152" s="426">
        <f t="shared" si="1"/>
        <v>0</v>
      </c>
      <c r="Q152" s="178"/>
      <c r="R152" s="295"/>
      <c r="S152" s="385">
        <f t="shared" si="95"/>
        <v>0</v>
      </c>
      <c r="T152" s="31"/>
      <c r="U152" s="474">
        <f t="shared" si="38"/>
        <v>0</v>
      </c>
      <c r="V152" s="474">
        <f t="shared" si="39"/>
        <v>0</v>
      </c>
      <c r="W152" s="475">
        <f t="shared" si="40"/>
        <v>0</v>
      </c>
      <c r="X152" s="475">
        <v>0</v>
      </c>
      <c r="Y152" s="476">
        <v>0</v>
      </c>
      <c r="Z152" s="38">
        <f t="shared" si="41"/>
        <v>0</v>
      </c>
      <c r="AA152" s="564">
        <f t="shared" si="42"/>
        <v>488.42999999999995</v>
      </c>
      <c r="AB152" s="564">
        <f t="shared" si="43"/>
        <v>0</v>
      </c>
      <c r="AC152" s="564">
        <f t="shared" si="44"/>
        <v>0</v>
      </c>
      <c r="AD152" s="559"/>
      <c r="AE152" s="564">
        <f t="shared" si="45"/>
        <v>0</v>
      </c>
      <c r="AF152" s="564">
        <f t="shared" si="46"/>
        <v>0</v>
      </c>
      <c r="AG152" s="564">
        <f t="shared" si="47"/>
        <v>0</v>
      </c>
    </row>
    <row r="153" spans="1:33" s="232" customFormat="1">
      <c r="A153" s="283"/>
      <c r="B153" s="283" t="s">
        <v>110</v>
      </c>
      <c r="C153" s="123" t="s">
        <v>197</v>
      </c>
      <c r="D153" s="449"/>
      <c r="E153" s="529">
        <v>0</v>
      </c>
      <c r="F153" s="576">
        <v>6.61</v>
      </c>
      <c r="G153" s="576">
        <v>10.87</v>
      </c>
      <c r="H153" s="525">
        <v>5.51</v>
      </c>
      <c r="I153" s="379">
        <f t="shared" si="81"/>
        <v>22.990000000000002</v>
      </c>
      <c r="J153" s="31"/>
      <c r="K153" s="84"/>
      <c r="L153" s="42">
        <v>0</v>
      </c>
      <c r="M153" s="31">
        <v>0</v>
      </c>
      <c r="N153" s="429"/>
      <c r="O153" s="31">
        <v>0</v>
      </c>
      <c r="P153" s="426">
        <f t="shared" si="1"/>
        <v>0</v>
      </c>
      <c r="Q153" s="178"/>
      <c r="R153" s="295"/>
      <c r="S153" s="385">
        <f t="shared" si="95"/>
        <v>0</v>
      </c>
      <c r="T153" s="31"/>
      <c r="U153" s="474">
        <f t="shared" si="38"/>
        <v>0</v>
      </c>
      <c r="V153" s="474">
        <f t="shared" si="39"/>
        <v>0</v>
      </c>
      <c r="W153" s="475">
        <f t="shared" si="40"/>
        <v>0</v>
      </c>
      <c r="X153" s="475">
        <v>0</v>
      </c>
      <c r="Y153" s="476">
        <v>0</v>
      </c>
      <c r="Z153" s="38">
        <f t="shared" si="41"/>
        <v>0</v>
      </c>
      <c r="AA153" s="564">
        <f t="shared" si="42"/>
        <v>22.990000000000002</v>
      </c>
      <c r="AB153" s="564">
        <f t="shared" si="43"/>
        <v>0</v>
      </c>
      <c r="AC153" s="564">
        <f t="shared" si="44"/>
        <v>0</v>
      </c>
      <c r="AD153" s="559"/>
      <c r="AE153" s="564">
        <f t="shared" si="45"/>
        <v>0</v>
      </c>
      <c r="AF153" s="564">
        <f t="shared" si="46"/>
        <v>0</v>
      </c>
      <c r="AG153" s="564">
        <f t="shared" si="47"/>
        <v>0</v>
      </c>
    </row>
    <row r="154" spans="1:33" s="232" customFormat="1">
      <c r="A154" s="283"/>
      <c r="B154" s="283" t="s">
        <v>110</v>
      </c>
      <c r="C154" s="123" t="s">
        <v>440</v>
      </c>
      <c r="D154" s="449"/>
      <c r="E154" s="529">
        <v>0</v>
      </c>
      <c r="F154" s="576">
        <f>1583.91+282.58+816.61</f>
        <v>2683.1</v>
      </c>
      <c r="G154" s="576">
        <f>1918.96+351.61+690.92</f>
        <v>2961.4900000000002</v>
      </c>
      <c r="H154" s="525">
        <f>2228.57+405.23+747.82</f>
        <v>3381.6200000000003</v>
      </c>
      <c r="I154" s="379">
        <f t="shared" si="81"/>
        <v>9026.2100000000009</v>
      </c>
      <c r="J154" s="31"/>
      <c r="K154" s="84"/>
      <c r="L154" s="42">
        <v>0</v>
      </c>
      <c r="M154" s="31">
        <v>0</v>
      </c>
      <c r="N154" s="429"/>
      <c r="O154" s="31">
        <v>0</v>
      </c>
      <c r="P154" s="426">
        <f t="shared" si="1"/>
        <v>0</v>
      </c>
      <c r="Q154" s="178"/>
      <c r="R154" s="295"/>
      <c r="S154" s="385">
        <f t="shared" si="95"/>
        <v>0</v>
      </c>
      <c r="T154" s="31"/>
      <c r="U154" s="474">
        <f t="shared" ref="U154:U221" si="96">IF(B154="D",P154,0)</f>
        <v>0</v>
      </c>
      <c r="V154" s="474">
        <f t="shared" ref="V154:V221" si="97">IF(B154="M",P154,0)</f>
        <v>0</v>
      </c>
      <c r="W154" s="475">
        <f t="shared" ref="W154:W221" si="98">IF(B154="V",P154,0)</f>
        <v>0</v>
      </c>
      <c r="X154" s="475">
        <v>0</v>
      </c>
      <c r="Y154" s="476">
        <v>0</v>
      </c>
      <c r="Z154" s="38">
        <f t="shared" si="41"/>
        <v>0</v>
      </c>
      <c r="AA154" s="564">
        <f t="shared" si="42"/>
        <v>9026.2100000000009</v>
      </c>
      <c r="AB154" s="564">
        <f t="shared" si="43"/>
        <v>0</v>
      </c>
      <c r="AC154" s="564">
        <f t="shared" si="44"/>
        <v>0</v>
      </c>
      <c r="AD154" s="559"/>
      <c r="AE154" s="564">
        <f t="shared" si="45"/>
        <v>0</v>
      </c>
      <c r="AF154" s="564">
        <f t="shared" si="46"/>
        <v>0</v>
      </c>
      <c r="AG154" s="564">
        <f t="shared" si="47"/>
        <v>0</v>
      </c>
    </row>
    <row r="155" spans="1:33" s="232" customFormat="1">
      <c r="A155" s="283"/>
      <c r="B155" s="283" t="s">
        <v>110</v>
      </c>
      <c r="C155" s="123" t="s">
        <v>481</v>
      </c>
      <c r="D155" s="449"/>
      <c r="E155" s="529">
        <v>0</v>
      </c>
      <c r="F155" s="576">
        <v>1261.4100000000001</v>
      </c>
      <c r="G155" s="576">
        <v>1515.45</v>
      </c>
      <c r="H155" s="525">
        <v>1276.1400000000001</v>
      </c>
      <c r="I155" s="379">
        <f t="shared" si="81"/>
        <v>4053</v>
      </c>
      <c r="J155" s="31"/>
      <c r="K155" s="84"/>
      <c r="L155" s="42">
        <v>0</v>
      </c>
      <c r="M155" s="31">
        <v>0</v>
      </c>
      <c r="N155" s="429"/>
      <c r="O155" s="31">
        <v>0</v>
      </c>
      <c r="P155" s="426">
        <f t="shared" si="1"/>
        <v>0</v>
      </c>
      <c r="Q155" s="178"/>
      <c r="R155" s="295"/>
      <c r="S155" s="385">
        <f t="shared" si="95"/>
        <v>0</v>
      </c>
      <c r="T155" s="31"/>
      <c r="U155" s="474">
        <f t="shared" si="96"/>
        <v>0</v>
      </c>
      <c r="V155" s="474">
        <f t="shared" si="97"/>
        <v>0</v>
      </c>
      <c r="W155" s="475">
        <f t="shared" si="98"/>
        <v>0</v>
      </c>
      <c r="X155" s="475">
        <v>0</v>
      </c>
      <c r="Y155" s="476">
        <v>0</v>
      </c>
      <c r="Z155" s="38">
        <f t="shared" ref="Z155:Z222" si="99">(K155+L155)-(U155+V155+W155+X155+Y155)</f>
        <v>0</v>
      </c>
      <c r="AA155" s="564">
        <f t="shared" ref="AA155:AA222" si="100">IF(B155="D",I155,0)</f>
        <v>4053</v>
      </c>
      <c r="AB155" s="564">
        <f t="shared" ref="AB155:AB222" si="101">IF(B155="M",I155,0)</f>
        <v>0</v>
      </c>
      <c r="AC155" s="564">
        <f t="shared" ref="AC155:AC222" si="102">IF(B155="V",I155,0)</f>
        <v>0</v>
      </c>
      <c r="AD155" s="559"/>
      <c r="AE155" s="564">
        <f t="shared" ref="AE155:AE222" si="103">IF(B155="D",P155,0)</f>
        <v>0</v>
      </c>
      <c r="AF155" s="564">
        <f t="shared" ref="AF155:AF222" si="104">IF(B155="M",P155,0)</f>
        <v>0</v>
      </c>
      <c r="AG155" s="564">
        <f t="shared" ref="AG155:AG222" si="105">IF(B155="V",P155,0)</f>
        <v>0</v>
      </c>
    </row>
    <row r="156" spans="1:33" s="232" customFormat="1">
      <c r="A156" s="283"/>
      <c r="B156" s="283" t="s">
        <v>109</v>
      </c>
      <c r="C156" s="123" t="s">
        <v>248</v>
      </c>
      <c r="D156" s="449"/>
      <c r="E156" s="529">
        <v>0</v>
      </c>
      <c r="F156" s="579"/>
      <c r="G156" s="579"/>
      <c r="H156" s="524"/>
      <c r="I156" s="379">
        <f t="shared" si="81"/>
        <v>0</v>
      </c>
      <c r="J156" s="31"/>
      <c r="K156" s="84"/>
      <c r="L156" s="42">
        <v>0</v>
      </c>
      <c r="M156" s="31">
        <v>0</v>
      </c>
      <c r="N156" s="429"/>
      <c r="O156" s="31">
        <v>0</v>
      </c>
      <c r="P156" s="426">
        <f t="shared" si="1"/>
        <v>0</v>
      </c>
      <c r="Q156" s="178"/>
      <c r="R156" s="295"/>
      <c r="S156" s="385">
        <f t="shared" si="95"/>
        <v>0</v>
      </c>
      <c r="T156" s="31"/>
      <c r="U156" s="474">
        <f t="shared" si="96"/>
        <v>0</v>
      </c>
      <c r="V156" s="474">
        <f t="shared" si="97"/>
        <v>0</v>
      </c>
      <c r="W156" s="475">
        <f t="shared" si="98"/>
        <v>0</v>
      </c>
      <c r="X156" s="475">
        <v>0</v>
      </c>
      <c r="Y156" s="476">
        <v>0</v>
      </c>
      <c r="Z156" s="38">
        <f t="shared" si="99"/>
        <v>0</v>
      </c>
      <c r="AA156" s="564">
        <f t="shared" si="100"/>
        <v>0</v>
      </c>
      <c r="AB156" s="564">
        <f t="shared" si="101"/>
        <v>0</v>
      </c>
      <c r="AC156" s="564">
        <f t="shared" si="102"/>
        <v>0</v>
      </c>
      <c r="AD156" s="559"/>
      <c r="AE156" s="564">
        <f t="shared" si="103"/>
        <v>0</v>
      </c>
      <c r="AF156" s="564">
        <f t="shared" si="104"/>
        <v>0</v>
      </c>
      <c r="AG156" s="564">
        <f t="shared" si="105"/>
        <v>0</v>
      </c>
    </row>
    <row r="157" spans="1:33" s="232" customFormat="1">
      <c r="A157" s="283"/>
      <c r="B157" s="32" t="s">
        <v>110</v>
      </c>
      <c r="C157" s="68" t="s">
        <v>465</v>
      </c>
      <c r="D157" s="449">
        <v>-27401.71</v>
      </c>
      <c r="E157" s="529">
        <v>0</v>
      </c>
      <c r="F157" s="579"/>
      <c r="G157" s="579"/>
      <c r="H157" s="524"/>
      <c r="I157" s="379">
        <f t="shared" si="81"/>
        <v>-27401.71</v>
      </c>
      <c r="J157" s="31"/>
      <c r="K157" s="84"/>
      <c r="L157" s="42">
        <v>0</v>
      </c>
      <c r="M157" s="31">
        <v>0</v>
      </c>
      <c r="N157" s="429"/>
      <c r="O157" s="31">
        <v>0</v>
      </c>
      <c r="P157" s="426">
        <f t="shared" si="1"/>
        <v>0</v>
      </c>
      <c r="Q157" s="178"/>
      <c r="R157" s="295"/>
      <c r="S157" s="385">
        <f t="shared" si="95"/>
        <v>0</v>
      </c>
      <c r="T157" s="31"/>
      <c r="U157" s="474">
        <f t="shared" si="96"/>
        <v>0</v>
      </c>
      <c r="V157" s="474">
        <f t="shared" si="97"/>
        <v>0</v>
      </c>
      <c r="W157" s="475">
        <f t="shared" si="98"/>
        <v>0</v>
      </c>
      <c r="X157" s="475">
        <v>0</v>
      </c>
      <c r="Y157" s="476">
        <v>0</v>
      </c>
      <c r="Z157" s="38">
        <f t="shared" si="99"/>
        <v>0</v>
      </c>
      <c r="AA157" s="564">
        <f t="shared" si="100"/>
        <v>-27401.71</v>
      </c>
      <c r="AB157" s="564">
        <f t="shared" si="101"/>
        <v>0</v>
      </c>
      <c r="AC157" s="564">
        <f t="shared" si="102"/>
        <v>0</v>
      </c>
      <c r="AD157" s="559"/>
      <c r="AE157" s="564">
        <f t="shared" si="103"/>
        <v>0</v>
      </c>
      <c r="AF157" s="564">
        <f t="shared" si="104"/>
        <v>0</v>
      </c>
      <c r="AG157" s="564">
        <f t="shared" si="105"/>
        <v>0</v>
      </c>
    </row>
    <row r="158" spans="1:33">
      <c r="A158" s="21"/>
      <c r="B158" s="21" t="s">
        <v>109</v>
      </c>
      <c r="C158" s="68" t="s">
        <v>31</v>
      </c>
      <c r="D158" s="449"/>
      <c r="E158" s="529">
        <v>0</v>
      </c>
      <c r="F158" s="579"/>
      <c r="G158" s="579"/>
      <c r="H158" s="524"/>
      <c r="I158" s="379">
        <f t="shared" si="81"/>
        <v>0</v>
      </c>
      <c r="J158" s="31"/>
      <c r="K158" s="84"/>
      <c r="L158" s="42">
        <v>0</v>
      </c>
      <c r="M158" s="31">
        <v>0</v>
      </c>
      <c r="N158" s="429"/>
      <c r="O158" s="31">
        <v>0</v>
      </c>
      <c r="P158" s="426">
        <f t="shared" si="1"/>
        <v>0</v>
      </c>
      <c r="Q158" s="178"/>
      <c r="R158" s="295"/>
      <c r="S158" s="385">
        <f t="shared" si="95"/>
        <v>0</v>
      </c>
      <c r="T158" s="31"/>
      <c r="U158" s="474">
        <f t="shared" si="96"/>
        <v>0</v>
      </c>
      <c r="V158" s="474">
        <f t="shared" si="97"/>
        <v>0</v>
      </c>
      <c r="W158" s="475">
        <f t="shared" si="98"/>
        <v>0</v>
      </c>
      <c r="X158" s="475">
        <v>0</v>
      </c>
      <c r="Y158" s="476">
        <v>0</v>
      </c>
      <c r="Z158" s="38">
        <f t="shared" si="99"/>
        <v>0</v>
      </c>
      <c r="AA158" s="564">
        <f t="shared" si="100"/>
        <v>0</v>
      </c>
      <c r="AB158" s="564">
        <f t="shared" si="101"/>
        <v>0</v>
      </c>
      <c r="AC158" s="564">
        <f t="shared" si="102"/>
        <v>0</v>
      </c>
      <c r="AE158" s="564">
        <f t="shared" si="103"/>
        <v>0</v>
      </c>
      <c r="AF158" s="564">
        <f t="shared" si="104"/>
        <v>0</v>
      </c>
      <c r="AG158" s="564">
        <f t="shared" si="105"/>
        <v>0</v>
      </c>
    </row>
    <row r="159" spans="1:33">
      <c r="A159" s="21"/>
      <c r="B159" s="21" t="s">
        <v>110</v>
      </c>
      <c r="C159" s="68" t="s">
        <v>261</v>
      </c>
      <c r="D159" s="449"/>
      <c r="E159" s="529">
        <v>0</v>
      </c>
      <c r="F159" s="576">
        <f>58480.23-F160</f>
        <v>39877.19</v>
      </c>
      <c r="G159" s="576">
        <f>SUM(61160.25-G160)</f>
        <v>40857.03</v>
      </c>
      <c r="H159" s="524"/>
      <c r="I159" s="379">
        <f t="shared" si="81"/>
        <v>80734.22</v>
      </c>
      <c r="J159" s="31"/>
      <c r="K159" s="84"/>
      <c r="L159" s="42">
        <f>SUM(F159+G159)/2</f>
        <v>40367.11</v>
      </c>
      <c r="M159" s="31">
        <v>0</v>
      </c>
      <c r="N159" s="429">
        <v>179461.56</v>
      </c>
      <c r="O159" s="31">
        <v>0</v>
      </c>
      <c r="P159" s="426">
        <f t="shared" si="1"/>
        <v>40367.11</v>
      </c>
      <c r="Q159" s="178">
        <f>56718.8-Q160</f>
        <v>38742.120000000003</v>
      </c>
      <c r="R159" s="295"/>
      <c r="S159" s="385">
        <f t="shared" si="95"/>
        <v>-1624.989999999998</v>
      </c>
      <c r="T159" s="31"/>
      <c r="U159" s="474">
        <f t="shared" si="96"/>
        <v>40367.11</v>
      </c>
      <c r="V159" s="474">
        <f t="shared" si="97"/>
        <v>0</v>
      </c>
      <c r="W159" s="475">
        <f t="shared" si="98"/>
        <v>0</v>
      </c>
      <c r="X159" s="475">
        <v>0</v>
      </c>
      <c r="Y159" s="476">
        <v>0</v>
      </c>
      <c r="Z159" s="38">
        <f t="shared" si="99"/>
        <v>0</v>
      </c>
      <c r="AA159" s="564">
        <f t="shared" si="100"/>
        <v>80734.22</v>
      </c>
      <c r="AB159" s="564">
        <f t="shared" si="101"/>
        <v>0</v>
      </c>
      <c r="AC159" s="564">
        <f t="shared" si="102"/>
        <v>0</v>
      </c>
      <c r="AE159" s="564">
        <f t="shared" si="103"/>
        <v>40367.11</v>
      </c>
      <c r="AF159" s="564">
        <f t="shared" si="104"/>
        <v>0</v>
      </c>
      <c r="AG159" s="564">
        <f t="shared" si="105"/>
        <v>0</v>
      </c>
    </row>
    <row r="160" spans="1:33" s="269" customFormat="1">
      <c r="A160" s="21"/>
      <c r="B160" s="21" t="s">
        <v>110</v>
      </c>
      <c r="C160" s="68" t="s">
        <v>262</v>
      </c>
      <c r="D160" s="449"/>
      <c r="E160" s="529">
        <v>0</v>
      </c>
      <c r="F160" s="576">
        <f>803.73+17799.31</f>
        <v>18603.04</v>
      </c>
      <c r="G160" s="576">
        <f>19415.29+887.93</f>
        <v>20303.22</v>
      </c>
      <c r="H160" s="524"/>
      <c r="I160" s="379">
        <f t="shared" si="81"/>
        <v>38906.26</v>
      </c>
      <c r="J160" s="31"/>
      <c r="K160" s="84"/>
      <c r="L160" s="42">
        <f>SUM(F160+G160)/2</f>
        <v>19453.13</v>
      </c>
      <c r="M160" s="31">
        <v>0</v>
      </c>
      <c r="N160" s="429"/>
      <c r="O160" s="31">
        <v>0</v>
      </c>
      <c r="P160" s="426">
        <f t="shared" si="1"/>
        <v>19453.13</v>
      </c>
      <c r="Q160" s="647">
        <v>17976.68</v>
      </c>
      <c r="R160" s="295"/>
      <c r="S160" s="385">
        <f t="shared" si="95"/>
        <v>-1476.4500000000007</v>
      </c>
      <c r="T160" s="31"/>
      <c r="U160" s="474">
        <f t="shared" si="96"/>
        <v>19453.13</v>
      </c>
      <c r="V160" s="474">
        <f t="shared" si="97"/>
        <v>0</v>
      </c>
      <c r="W160" s="475">
        <f t="shared" si="98"/>
        <v>0</v>
      </c>
      <c r="X160" s="475">
        <v>0</v>
      </c>
      <c r="Y160" s="476">
        <v>0</v>
      </c>
      <c r="Z160" s="38">
        <f t="shared" si="99"/>
        <v>0</v>
      </c>
      <c r="AA160" s="564">
        <f t="shared" si="100"/>
        <v>38906.26</v>
      </c>
      <c r="AB160" s="564">
        <f t="shared" si="101"/>
        <v>0</v>
      </c>
      <c r="AC160" s="564">
        <f t="shared" si="102"/>
        <v>0</v>
      </c>
      <c r="AD160" s="559"/>
      <c r="AE160" s="564">
        <f t="shared" si="103"/>
        <v>19453.13</v>
      </c>
      <c r="AF160" s="564">
        <f t="shared" si="104"/>
        <v>0</v>
      </c>
      <c r="AG160" s="564">
        <f t="shared" si="105"/>
        <v>0</v>
      </c>
    </row>
    <row r="161" spans="1:33">
      <c r="A161" s="21"/>
      <c r="B161" s="21" t="s">
        <v>109</v>
      </c>
      <c r="C161" s="68" t="s">
        <v>190</v>
      </c>
      <c r="D161" s="449"/>
      <c r="E161" s="529">
        <v>0</v>
      </c>
      <c r="F161" s="576">
        <v>417.4</v>
      </c>
      <c r="G161" s="579"/>
      <c r="H161" s="524"/>
      <c r="I161" s="379">
        <f t="shared" si="81"/>
        <v>417.4</v>
      </c>
      <c r="J161" s="31"/>
      <c r="K161" s="84"/>
      <c r="L161" s="42">
        <f>F161*2</f>
        <v>834.8</v>
      </c>
      <c r="M161" s="31">
        <v>0</v>
      </c>
      <c r="N161" s="429">
        <v>1298.1500000000001</v>
      </c>
      <c r="O161" s="31">
        <v>0</v>
      </c>
      <c r="P161" s="426">
        <f t="shared" ref="P161:P228" si="106">K161+L161</f>
        <v>834.8</v>
      </c>
      <c r="Q161" s="178"/>
      <c r="R161" s="295"/>
      <c r="S161" s="385">
        <f t="shared" si="95"/>
        <v>-834.8</v>
      </c>
      <c r="T161" s="31"/>
      <c r="U161" s="474">
        <f t="shared" si="96"/>
        <v>0</v>
      </c>
      <c r="V161" s="474">
        <f t="shared" si="97"/>
        <v>834.8</v>
      </c>
      <c r="W161" s="475">
        <f t="shared" si="98"/>
        <v>0</v>
      </c>
      <c r="X161" s="475">
        <v>0</v>
      </c>
      <c r="Y161" s="476">
        <v>0</v>
      </c>
      <c r="Z161" s="38">
        <f t="shared" si="99"/>
        <v>0</v>
      </c>
      <c r="AA161" s="564">
        <f t="shared" si="100"/>
        <v>0</v>
      </c>
      <c r="AB161" s="564">
        <f t="shared" si="101"/>
        <v>417.4</v>
      </c>
      <c r="AC161" s="564">
        <f t="shared" si="102"/>
        <v>0</v>
      </c>
      <c r="AE161" s="564">
        <f t="shared" si="103"/>
        <v>0</v>
      </c>
      <c r="AF161" s="564">
        <f t="shared" si="104"/>
        <v>834.8</v>
      </c>
      <c r="AG161" s="564">
        <f t="shared" si="105"/>
        <v>0</v>
      </c>
    </row>
    <row r="162" spans="1:33">
      <c r="A162" s="21"/>
      <c r="B162" s="21" t="s">
        <v>109</v>
      </c>
      <c r="C162" s="68" t="s">
        <v>231</v>
      </c>
      <c r="D162" s="449"/>
      <c r="E162" s="529">
        <v>0</v>
      </c>
      <c r="F162" s="579"/>
      <c r="G162" s="579"/>
      <c r="H162" s="524"/>
      <c r="I162" s="379">
        <f t="shared" si="81"/>
        <v>0</v>
      </c>
      <c r="J162" s="31"/>
      <c r="K162" s="84"/>
      <c r="L162" s="42">
        <v>1500</v>
      </c>
      <c r="M162" s="31">
        <v>0</v>
      </c>
      <c r="N162" s="429">
        <f>1376.26+193.55</f>
        <v>1569.81</v>
      </c>
      <c r="O162" s="31">
        <v>0</v>
      </c>
      <c r="P162" s="426">
        <f t="shared" si="106"/>
        <v>1500</v>
      </c>
      <c r="Q162" s="178"/>
      <c r="R162" s="295"/>
      <c r="S162" s="385">
        <f t="shared" si="95"/>
        <v>-1500</v>
      </c>
      <c r="T162" s="31"/>
      <c r="U162" s="474">
        <f t="shared" si="96"/>
        <v>0</v>
      </c>
      <c r="V162" s="474">
        <f t="shared" si="97"/>
        <v>1500</v>
      </c>
      <c r="W162" s="475">
        <f t="shared" si="98"/>
        <v>0</v>
      </c>
      <c r="X162" s="475">
        <v>0</v>
      </c>
      <c r="Y162" s="476">
        <v>0</v>
      </c>
      <c r="Z162" s="38">
        <f t="shared" si="99"/>
        <v>0</v>
      </c>
      <c r="AA162" s="564">
        <f t="shared" si="100"/>
        <v>0</v>
      </c>
      <c r="AB162" s="564">
        <f t="shared" si="101"/>
        <v>0</v>
      </c>
      <c r="AC162" s="564">
        <f t="shared" si="102"/>
        <v>0</v>
      </c>
      <c r="AE162" s="564">
        <f t="shared" si="103"/>
        <v>0</v>
      </c>
      <c r="AF162" s="564">
        <f t="shared" si="104"/>
        <v>1500</v>
      </c>
      <c r="AG162" s="564">
        <f t="shared" si="105"/>
        <v>0</v>
      </c>
    </row>
    <row r="163" spans="1:33">
      <c r="A163" s="21"/>
      <c r="B163" s="21" t="s">
        <v>109</v>
      </c>
      <c r="C163" s="68" t="s">
        <v>396</v>
      </c>
      <c r="D163" s="449"/>
      <c r="E163" s="529">
        <v>0</v>
      </c>
      <c r="F163" s="579"/>
      <c r="G163" s="579"/>
      <c r="H163" s="524"/>
      <c r="I163" s="379">
        <f t="shared" si="81"/>
        <v>0</v>
      </c>
      <c r="J163" s="31"/>
      <c r="K163" s="84"/>
      <c r="L163" s="42">
        <v>0</v>
      </c>
      <c r="M163" s="31">
        <v>0</v>
      </c>
      <c r="N163" s="429"/>
      <c r="O163" s="31">
        <v>0</v>
      </c>
      <c r="P163" s="426">
        <f t="shared" si="106"/>
        <v>0</v>
      </c>
      <c r="Q163" s="178"/>
      <c r="R163" s="295"/>
      <c r="S163" s="385">
        <f t="shared" si="95"/>
        <v>0</v>
      </c>
      <c r="T163" s="31"/>
      <c r="U163" s="474">
        <f t="shared" si="96"/>
        <v>0</v>
      </c>
      <c r="V163" s="474">
        <f t="shared" si="97"/>
        <v>0</v>
      </c>
      <c r="W163" s="475">
        <f t="shared" si="98"/>
        <v>0</v>
      </c>
      <c r="X163" s="475">
        <v>0</v>
      </c>
      <c r="Y163" s="476">
        <v>0</v>
      </c>
      <c r="Z163" s="38">
        <f t="shared" si="99"/>
        <v>0</v>
      </c>
      <c r="AA163" s="564">
        <f t="shared" si="100"/>
        <v>0</v>
      </c>
      <c r="AB163" s="564">
        <f t="shared" si="101"/>
        <v>0</v>
      </c>
      <c r="AC163" s="564">
        <f t="shared" si="102"/>
        <v>0</v>
      </c>
      <c r="AE163" s="564">
        <f t="shared" si="103"/>
        <v>0</v>
      </c>
      <c r="AF163" s="564">
        <f t="shared" si="104"/>
        <v>0</v>
      </c>
      <c r="AG163" s="564">
        <f t="shared" si="105"/>
        <v>0</v>
      </c>
    </row>
    <row r="164" spans="1:33">
      <c r="A164" s="21"/>
      <c r="B164" s="21" t="s">
        <v>110</v>
      </c>
      <c r="C164" s="68" t="s">
        <v>342</v>
      </c>
      <c r="D164" s="449"/>
      <c r="E164" s="529">
        <v>0</v>
      </c>
      <c r="F164" s="579"/>
      <c r="G164" s="579"/>
      <c r="H164" s="524"/>
      <c r="I164" s="379">
        <f t="shared" si="81"/>
        <v>0</v>
      </c>
      <c r="J164" s="31"/>
      <c r="K164" s="84"/>
      <c r="L164" s="42">
        <v>2000</v>
      </c>
      <c r="M164" s="31">
        <v>0</v>
      </c>
      <c r="N164" s="429"/>
      <c r="O164" s="31">
        <v>0</v>
      </c>
      <c r="P164" s="426">
        <f t="shared" si="106"/>
        <v>2000</v>
      </c>
      <c r="Q164" s="178"/>
      <c r="R164" s="295"/>
      <c r="S164" s="385">
        <f t="shared" si="95"/>
        <v>-2000</v>
      </c>
      <c r="T164" s="31"/>
      <c r="U164" s="474">
        <f t="shared" si="96"/>
        <v>2000</v>
      </c>
      <c r="V164" s="474">
        <f t="shared" si="97"/>
        <v>0</v>
      </c>
      <c r="W164" s="475">
        <f t="shared" si="98"/>
        <v>0</v>
      </c>
      <c r="X164" s="475">
        <v>0</v>
      </c>
      <c r="Y164" s="476">
        <v>0</v>
      </c>
      <c r="Z164" s="38">
        <f t="shared" si="99"/>
        <v>0</v>
      </c>
      <c r="AA164" s="564">
        <f t="shared" si="100"/>
        <v>0</v>
      </c>
      <c r="AB164" s="564">
        <f t="shared" si="101"/>
        <v>0</v>
      </c>
      <c r="AC164" s="564">
        <f t="shared" si="102"/>
        <v>0</v>
      </c>
      <c r="AE164" s="564">
        <f t="shared" si="103"/>
        <v>2000</v>
      </c>
      <c r="AF164" s="564">
        <f t="shared" si="104"/>
        <v>0</v>
      </c>
      <c r="AG164" s="564">
        <f t="shared" si="105"/>
        <v>0</v>
      </c>
    </row>
    <row r="165" spans="1:33">
      <c r="A165" s="20"/>
      <c r="B165" s="20" t="s">
        <v>109</v>
      </c>
      <c r="C165" s="68" t="s">
        <v>32</v>
      </c>
      <c r="D165" s="449"/>
      <c r="E165" s="529">
        <v>0</v>
      </c>
      <c r="F165" s="576">
        <v>421.63</v>
      </c>
      <c r="G165" s="576">
        <f>6.31+441.2</f>
        <v>447.51</v>
      </c>
      <c r="H165" s="524"/>
      <c r="I165" s="379">
        <f t="shared" si="81"/>
        <v>869.14</v>
      </c>
      <c r="J165" s="31"/>
      <c r="K165" s="84"/>
      <c r="L165" s="42">
        <f>SUM(F165+G165)/2</f>
        <v>434.57</v>
      </c>
      <c r="M165" s="31">
        <v>0</v>
      </c>
      <c r="N165" s="429">
        <v>3042.18</v>
      </c>
      <c r="O165" s="31">
        <v>0</v>
      </c>
      <c r="P165" s="426">
        <f t="shared" si="106"/>
        <v>434.57</v>
      </c>
      <c r="Q165" s="178">
        <v>402.08</v>
      </c>
      <c r="R165" s="295"/>
      <c r="S165" s="385">
        <f t="shared" si="95"/>
        <v>-32.490000000000009</v>
      </c>
      <c r="T165" s="31"/>
      <c r="U165" s="474">
        <f t="shared" si="96"/>
        <v>0</v>
      </c>
      <c r="V165" s="474">
        <f t="shared" si="97"/>
        <v>434.57</v>
      </c>
      <c r="W165" s="475">
        <f t="shared" si="98"/>
        <v>0</v>
      </c>
      <c r="X165" s="475">
        <v>0</v>
      </c>
      <c r="Y165" s="476">
        <v>0</v>
      </c>
      <c r="Z165" s="38">
        <f t="shared" si="99"/>
        <v>0</v>
      </c>
      <c r="AA165" s="564">
        <f t="shared" si="100"/>
        <v>0</v>
      </c>
      <c r="AB165" s="564">
        <f t="shared" si="101"/>
        <v>869.14</v>
      </c>
      <c r="AC165" s="564">
        <f t="shared" si="102"/>
        <v>0</v>
      </c>
      <c r="AE165" s="564">
        <f t="shared" si="103"/>
        <v>0</v>
      </c>
      <c r="AF165" s="564">
        <f t="shared" si="104"/>
        <v>434.57</v>
      </c>
      <c r="AG165" s="564">
        <f t="shared" si="105"/>
        <v>0</v>
      </c>
    </row>
    <row r="166" spans="1:33">
      <c r="A166" s="21"/>
      <c r="B166" s="21" t="s">
        <v>110</v>
      </c>
      <c r="C166" s="68" t="s">
        <v>448</v>
      </c>
      <c r="D166" s="449"/>
      <c r="E166" s="529">
        <v>0</v>
      </c>
      <c r="F166" s="579"/>
      <c r="G166" s="579"/>
      <c r="H166" s="524"/>
      <c r="I166" s="379">
        <f t="shared" si="81"/>
        <v>0</v>
      </c>
      <c r="J166" s="31"/>
      <c r="K166" s="84"/>
      <c r="L166" s="42">
        <v>300</v>
      </c>
      <c r="M166" s="31">
        <v>0</v>
      </c>
      <c r="N166" s="429">
        <v>349.8</v>
      </c>
      <c r="O166" s="31">
        <v>0</v>
      </c>
      <c r="P166" s="426">
        <f t="shared" si="106"/>
        <v>300</v>
      </c>
      <c r="Q166" s="178">
        <v>294.52999999999997</v>
      </c>
      <c r="R166" s="295"/>
      <c r="S166" s="385">
        <f t="shared" si="95"/>
        <v>-5.4700000000000273</v>
      </c>
      <c r="T166" s="31"/>
      <c r="U166" s="474">
        <f t="shared" si="96"/>
        <v>300</v>
      </c>
      <c r="V166" s="474">
        <f t="shared" si="97"/>
        <v>0</v>
      </c>
      <c r="W166" s="475">
        <f t="shared" si="98"/>
        <v>0</v>
      </c>
      <c r="X166" s="475">
        <v>0</v>
      </c>
      <c r="Y166" s="476">
        <v>0</v>
      </c>
      <c r="Z166" s="38">
        <f t="shared" si="99"/>
        <v>0</v>
      </c>
      <c r="AA166" s="564">
        <f t="shared" si="100"/>
        <v>0</v>
      </c>
      <c r="AB166" s="564">
        <f t="shared" si="101"/>
        <v>0</v>
      </c>
      <c r="AC166" s="564">
        <f t="shared" si="102"/>
        <v>0</v>
      </c>
      <c r="AE166" s="564">
        <f t="shared" si="103"/>
        <v>300</v>
      </c>
      <c r="AF166" s="564">
        <f t="shared" si="104"/>
        <v>0</v>
      </c>
      <c r="AG166" s="564">
        <f t="shared" si="105"/>
        <v>0</v>
      </c>
    </row>
    <row r="167" spans="1:33">
      <c r="A167" s="21" t="s">
        <v>211</v>
      </c>
      <c r="B167" s="21" t="s">
        <v>110</v>
      </c>
      <c r="C167" s="68" t="s">
        <v>122</v>
      </c>
      <c r="D167" s="449"/>
      <c r="E167" s="529">
        <v>0</v>
      </c>
      <c r="F167" s="576">
        <v>3568.71</v>
      </c>
      <c r="G167" s="579"/>
      <c r="H167" s="524"/>
      <c r="I167" s="379">
        <f t="shared" si="81"/>
        <v>3568.71</v>
      </c>
      <c r="J167" s="31"/>
      <c r="K167" s="84"/>
      <c r="L167" s="42">
        <v>3500</v>
      </c>
      <c r="M167" s="31">
        <v>0</v>
      </c>
      <c r="N167" s="429">
        <v>16684.89</v>
      </c>
      <c r="O167" s="31">
        <v>0</v>
      </c>
      <c r="P167" s="426">
        <f t="shared" si="106"/>
        <v>3500</v>
      </c>
      <c r="Q167" s="178">
        <f>3185.5+212.86+4199.16</f>
        <v>7597.52</v>
      </c>
      <c r="R167" s="295"/>
      <c r="S167" s="385">
        <f t="shared" si="95"/>
        <v>4097.5200000000004</v>
      </c>
      <c r="T167" s="31"/>
      <c r="U167" s="474">
        <f t="shared" si="96"/>
        <v>3500</v>
      </c>
      <c r="V167" s="474">
        <f t="shared" si="97"/>
        <v>0</v>
      </c>
      <c r="W167" s="475">
        <f t="shared" si="98"/>
        <v>0</v>
      </c>
      <c r="X167" s="475">
        <v>0</v>
      </c>
      <c r="Y167" s="476">
        <v>0</v>
      </c>
      <c r="Z167" s="38">
        <f t="shared" si="99"/>
        <v>0</v>
      </c>
      <c r="AA167" s="564">
        <f t="shared" si="100"/>
        <v>3568.71</v>
      </c>
      <c r="AB167" s="564">
        <f t="shared" si="101"/>
        <v>0</v>
      </c>
      <c r="AC167" s="564">
        <f t="shared" si="102"/>
        <v>0</v>
      </c>
      <c r="AE167" s="564">
        <f t="shared" si="103"/>
        <v>3500</v>
      </c>
      <c r="AF167" s="564">
        <f t="shared" si="104"/>
        <v>0</v>
      </c>
      <c r="AG167" s="564">
        <f t="shared" si="105"/>
        <v>0</v>
      </c>
    </row>
    <row r="168" spans="1:33">
      <c r="A168" s="21"/>
      <c r="B168" s="21" t="s">
        <v>109</v>
      </c>
      <c r="C168" s="68" t="s">
        <v>33</v>
      </c>
      <c r="D168" s="449"/>
      <c r="E168" s="529">
        <v>0</v>
      </c>
      <c r="F168" s="576">
        <v>7939.4</v>
      </c>
      <c r="G168" s="576">
        <v>8325</v>
      </c>
      <c r="H168" s="525">
        <v>8613.4</v>
      </c>
      <c r="I168" s="379">
        <f t="shared" si="81"/>
        <v>24877.8</v>
      </c>
      <c r="J168" s="31"/>
      <c r="K168" s="84"/>
      <c r="L168" s="42">
        <v>0</v>
      </c>
      <c r="M168" s="31">
        <v>0</v>
      </c>
      <c r="N168" s="429">
        <v>24877.8</v>
      </c>
      <c r="O168" s="31">
        <v>0</v>
      </c>
      <c r="P168" s="426">
        <f t="shared" si="106"/>
        <v>0</v>
      </c>
      <c r="Q168" s="178"/>
      <c r="R168" s="295"/>
      <c r="S168" s="385">
        <f t="shared" si="95"/>
        <v>0</v>
      </c>
      <c r="T168" s="31"/>
      <c r="U168" s="474">
        <f t="shared" si="96"/>
        <v>0</v>
      </c>
      <c r="V168" s="474">
        <f t="shared" si="97"/>
        <v>0</v>
      </c>
      <c r="W168" s="475">
        <f t="shared" si="98"/>
        <v>0</v>
      </c>
      <c r="X168" s="475">
        <v>0</v>
      </c>
      <c r="Y168" s="476">
        <v>0</v>
      </c>
      <c r="Z168" s="38">
        <f t="shared" si="99"/>
        <v>0</v>
      </c>
      <c r="AA168" s="564">
        <f t="shared" si="100"/>
        <v>0</v>
      </c>
      <c r="AB168" s="564">
        <f t="shared" si="101"/>
        <v>24877.8</v>
      </c>
      <c r="AC168" s="564">
        <f t="shared" si="102"/>
        <v>0</v>
      </c>
      <c r="AE168" s="564">
        <f t="shared" si="103"/>
        <v>0</v>
      </c>
      <c r="AF168" s="564">
        <f t="shared" si="104"/>
        <v>0</v>
      </c>
      <c r="AG168" s="564">
        <f t="shared" si="105"/>
        <v>0</v>
      </c>
    </row>
    <row r="169" spans="1:33">
      <c r="A169" s="21"/>
      <c r="B169" s="21" t="s">
        <v>109</v>
      </c>
      <c r="C169" s="68" t="s">
        <v>379</v>
      </c>
      <c r="D169" s="449"/>
      <c r="E169" s="529">
        <v>0</v>
      </c>
      <c r="F169" s="576">
        <v>415.25</v>
      </c>
      <c r="G169" s="576">
        <v>507.69</v>
      </c>
      <c r="H169" s="524"/>
      <c r="I169" s="379">
        <f t="shared" si="81"/>
        <v>922.94</v>
      </c>
      <c r="J169" s="31"/>
      <c r="K169" s="84"/>
      <c r="L169" s="42">
        <f t="shared" ref="L169:L174" si="107">SUM(F169+G169)/2</f>
        <v>461.47</v>
      </c>
      <c r="M169" s="31">
        <v>0</v>
      </c>
      <c r="N169" s="429">
        <v>1424.796</v>
      </c>
      <c r="O169" s="31">
        <v>0</v>
      </c>
      <c r="P169" s="426">
        <f t="shared" si="106"/>
        <v>461.47</v>
      </c>
      <c r="Q169" s="178">
        <v>389.87</v>
      </c>
      <c r="R169" s="295"/>
      <c r="S169" s="385">
        <f t="shared" si="95"/>
        <v>-71.600000000000023</v>
      </c>
      <c r="T169" s="31"/>
      <c r="U169" s="474">
        <f t="shared" si="96"/>
        <v>0</v>
      </c>
      <c r="V169" s="474">
        <f t="shared" si="97"/>
        <v>461.47</v>
      </c>
      <c r="W169" s="475">
        <f t="shared" si="98"/>
        <v>0</v>
      </c>
      <c r="X169" s="475">
        <v>0</v>
      </c>
      <c r="Y169" s="476">
        <v>0</v>
      </c>
      <c r="Z169" s="38">
        <f t="shared" si="99"/>
        <v>0</v>
      </c>
      <c r="AA169" s="564">
        <f t="shared" si="100"/>
        <v>0</v>
      </c>
      <c r="AB169" s="564">
        <f t="shared" si="101"/>
        <v>922.94</v>
      </c>
      <c r="AC169" s="564">
        <f t="shared" si="102"/>
        <v>0</v>
      </c>
      <c r="AE169" s="564">
        <f t="shared" si="103"/>
        <v>0</v>
      </c>
      <c r="AF169" s="564">
        <f t="shared" si="104"/>
        <v>461.47</v>
      </c>
      <c r="AG169" s="564">
        <f t="shared" si="105"/>
        <v>0</v>
      </c>
    </row>
    <row r="170" spans="1:33" s="232" customFormat="1">
      <c r="A170" s="283"/>
      <c r="B170" s="283" t="s">
        <v>110</v>
      </c>
      <c r="C170" s="455" t="s">
        <v>322</v>
      </c>
      <c r="D170" s="449"/>
      <c r="E170" s="529">
        <v>0</v>
      </c>
      <c r="F170" s="576">
        <f>11112.5+399.44+1235.35+2025.12+11388.86+4308.29</f>
        <v>30469.56</v>
      </c>
      <c r="G170" s="576">
        <f>14582.48+9792.75+4197.38</f>
        <v>28572.61</v>
      </c>
      <c r="H170" s="524"/>
      <c r="I170" s="379">
        <f t="shared" si="81"/>
        <v>59042.17</v>
      </c>
      <c r="J170" s="31"/>
      <c r="K170" s="84"/>
      <c r="L170" s="42">
        <f t="shared" si="107"/>
        <v>29521.084999999999</v>
      </c>
      <c r="M170" s="31">
        <v>0</v>
      </c>
      <c r="N170" s="429">
        <f>135809.2+65414.4+711.02</f>
        <v>201934.62</v>
      </c>
      <c r="O170" s="31">
        <v>0</v>
      </c>
      <c r="P170" s="426">
        <f t="shared" si="106"/>
        <v>29521.084999999999</v>
      </c>
      <c r="Q170" s="178">
        <f>10392.8+316.76+1197.13+2268.31+8760.8+3651.8</f>
        <v>26587.599999999995</v>
      </c>
      <c r="R170" s="295"/>
      <c r="S170" s="385">
        <f t="shared" si="95"/>
        <v>-2933.4850000000042</v>
      </c>
      <c r="T170" s="31"/>
      <c r="U170" s="474">
        <f t="shared" si="96"/>
        <v>29521.084999999999</v>
      </c>
      <c r="V170" s="474">
        <f t="shared" si="97"/>
        <v>0</v>
      </c>
      <c r="W170" s="475">
        <f t="shared" si="98"/>
        <v>0</v>
      </c>
      <c r="X170" s="475">
        <v>0</v>
      </c>
      <c r="Y170" s="476">
        <v>0</v>
      </c>
      <c r="Z170" s="38">
        <f t="shared" si="99"/>
        <v>0</v>
      </c>
      <c r="AA170" s="564">
        <f t="shared" si="100"/>
        <v>59042.17</v>
      </c>
      <c r="AB170" s="564">
        <f t="shared" si="101"/>
        <v>0</v>
      </c>
      <c r="AC170" s="564">
        <f t="shared" si="102"/>
        <v>0</v>
      </c>
      <c r="AD170" s="559"/>
      <c r="AE170" s="564">
        <f t="shared" si="103"/>
        <v>29521.084999999999</v>
      </c>
      <c r="AF170" s="564">
        <f t="shared" si="104"/>
        <v>0</v>
      </c>
      <c r="AG170" s="564">
        <f t="shared" si="105"/>
        <v>0</v>
      </c>
    </row>
    <row r="171" spans="1:33" s="232" customFormat="1">
      <c r="A171" s="283"/>
      <c r="B171" s="283" t="s">
        <v>110</v>
      </c>
      <c r="C171" s="455" t="s">
        <v>323</v>
      </c>
      <c r="D171" s="449"/>
      <c r="E171" s="529">
        <v>0</v>
      </c>
      <c r="F171" s="576">
        <f>13222.92+1777.51+2071.27+13324.96+3606.38+1450.75</f>
        <v>35453.79</v>
      </c>
      <c r="G171" s="576">
        <f>32268.42+3096.13+1477.24</f>
        <v>36841.789999999994</v>
      </c>
      <c r="H171" s="524"/>
      <c r="I171" s="379">
        <f t="shared" si="81"/>
        <v>72295.579999999987</v>
      </c>
      <c r="J171" s="31"/>
      <c r="K171" s="84"/>
      <c r="L171" s="42">
        <f t="shared" si="107"/>
        <v>36147.789999999994</v>
      </c>
      <c r="M171" s="31">
        <v>0</v>
      </c>
      <c r="N171" s="429"/>
      <c r="O171" s="31">
        <v>0</v>
      </c>
      <c r="P171" s="426">
        <f t="shared" si="106"/>
        <v>36147.789999999994</v>
      </c>
      <c r="Q171" s="178">
        <f>12391.49+1870.16+1681.89+14182.29+2758.12+1429.6</f>
        <v>34313.550000000003</v>
      </c>
      <c r="R171" s="295"/>
      <c r="S171" s="385">
        <f t="shared" si="95"/>
        <v>-1834.2399999999907</v>
      </c>
      <c r="T171" s="31"/>
      <c r="U171" s="474">
        <f t="shared" si="96"/>
        <v>36147.789999999994</v>
      </c>
      <c r="V171" s="474">
        <f t="shared" si="97"/>
        <v>0</v>
      </c>
      <c r="W171" s="475">
        <f t="shared" si="98"/>
        <v>0</v>
      </c>
      <c r="X171" s="475">
        <v>0</v>
      </c>
      <c r="Y171" s="476">
        <v>0</v>
      </c>
      <c r="Z171" s="38">
        <f t="shared" si="99"/>
        <v>0</v>
      </c>
      <c r="AA171" s="564">
        <f t="shared" si="100"/>
        <v>72295.579999999987</v>
      </c>
      <c r="AB171" s="564">
        <f t="shared" si="101"/>
        <v>0</v>
      </c>
      <c r="AC171" s="564">
        <f t="shared" si="102"/>
        <v>0</v>
      </c>
      <c r="AD171" s="559"/>
      <c r="AE171" s="564">
        <f t="shared" si="103"/>
        <v>36147.789999999994</v>
      </c>
      <c r="AF171" s="564">
        <f t="shared" si="104"/>
        <v>0</v>
      </c>
      <c r="AG171" s="564">
        <f t="shared" si="105"/>
        <v>0</v>
      </c>
    </row>
    <row r="172" spans="1:33" s="232" customFormat="1">
      <c r="A172" s="283"/>
      <c r="B172" s="283" t="s">
        <v>109</v>
      </c>
      <c r="C172" s="455" t="s">
        <v>423</v>
      </c>
      <c r="D172" s="449"/>
      <c r="E172" s="529">
        <v>0</v>
      </c>
      <c r="F172" s="576">
        <v>0</v>
      </c>
      <c r="G172" s="576">
        <v>0</v>
      </c>
      <c r="H172" s="524"/>
      <c r="I172" s="379">
        <f t="shared" si="81"/>
        <v>0</v>
      </c>
      <c r="J172" s="31"/>
      <c r="K172" s="84"/>
      <c r="L172" s="42">
        <f t="shared" si="107"/>
        <v>0</v>
      </c>
      <c r="M172" s="31">
        <v>0</v>
      </c>
      <c r="N172" s="429"/>
      <c r="O172" s="31">
        <v>0</v>
      </c>
      <c r="P172" s="426">
        <f t="shared" si="106"/>
        <v>0</v>
      </c>
      <c r="Q172" s="178"/>
      <c r="R172" s="295"/>
      <c r="S172" s="385">
        <f t="shared" si="95"/>
        <v>0</v>
      </c>
      <c r="T172" s="31"/>
      <c r="U172" s="474">
        <f t="shared" si="96"/>
        <v>0</v>
      </c>
      <c r="V172" s="474">
        <f t="shared" si="97"/>
        <v>0</v>
      </c>
      <c r="W172" s="475">
        <f t="shared" si="98"/>
        <v>0</v>
      </c>
      <c r="X172" s="475">
        <v>0</v>
      </c>
      <c r="Y172" s="476">
        <v>0</v>
      </c>
      <c r="Z172" s="38">
        <f t="shared" si="99"/>
        <v>0</v>
      </c>
      <c r="AA172" s="564">
        <f t="shared" si="100"/>
        <v>0</v>
      </c>
      <c r="AB172" s="564">
        <f t="shared" si="101"/>
        <v>0</v>
      </c>
      <c r="AC172" s="564">
        <f t="shared" si="102"/>
        <v>0</v>
      </c>
      <c r="AD172" s="559"/>
      <c r="AE172" s="564">
        <f t="shared" si="103"/>
        <v>0</v>
      </c>
      <c r="AF172" s="564">
        <f t="shared" si="104"/>
        <v>0</v>
      </c>
      <c r="AG172" s="564">
        <f t="shared" si="105"/>
        <v>0</v>
      </c>
    </row>
    <row r="173" spans="1:33" s="232" customFormat="1">
      <c r="A173" s="283"/>
      <c r="B173" s="283" t="s">
        <v>110</v>
      </c>
      <c r="C173" s="455" t="s">
        <v>324</v>
      </c>
      <c r="D173" s="449"/>
      <c r="E173" s="529">
        <v>0</v>
      </c>
      <c r="F173" s="576">
        <f>169.83+146.94</f>
        <v>316.77</v>
      </c>
      <c r="G173" s="576">
        <f>183.98+156.21</f>
        <v>340.19</v>
      </c>
      <c r="H173" s="524"/>
      <c r="I173" s="379">
        <f t="shared" si="81"/>
        <v>656.96</v>
      </c>
      <c r="J173" s="31"/>
      <c r="K173" s="84"/>
      <c r="L173" s="42">
        <f t="shared" si="107"/>
        <v>328.48</v>
      </c>
      <c r="M173" s="31">
        <v>0</v>
      </c>
      <c r="N173" s="429"/>
      <c r="O173" s="31">
        <v>0</v>
      </c>
      <c r="P173" s="426">
        <f t="shared" si="106"/>
        <v>328.48</v>
      </c>
      <c r="Q173" s="178">
        <f>215.03+83.98</f>
        <v>299.01</v>
      </c>
      <c r="R173" s="295"/>
      <c r="S173" s="385">
        <f t="shared" si="95"/>
        <v>-29.470000000000027</v>
      </c>
      <c r="T173" s="31"/>
      <c r="U173" s="474">
        <f t="shared" si="96"/>
        <v>328.48</v>
      </c>
      <c r="V173" s="474">
        <f t="shared" si="97"/>
        <v>0</v>
      </c>
      <c r="W173" s="475">
        <f t="shared" si="98"/>
        <v>0</v>
      </c>
      <c r="X173" s="475">
        <v>0</v>
      </c>
      <c r="Y173" s="476">
        <v>0</v>
      </c>
      <c r="Z173" s="38">
        <f t="shared" si="99"/>
        <v>0</v>
      </c>
      <c r="AA173" s="564">
        <f t="shared" si="100"/>
        <v>656.96</v>
      </c>
      <c r="AB173" s="564">
        <f t="shared" si="101"/>
        <v>0</v>
      </c>
      <c r="AC173" s="564">
        <f t="shared" si="102"/>
        <v>0</v>
      </c>
      <c r="AD173" s="559"/>
      <c r="AE173" s="564">
        <f t="shared" si="103"/>
        <v>328.48</v>
      </c>
      <c r="AF173" s="564">
        <f t="shared" si="104"/>
        <v>0</v>
      </c>
      <c r="AG173" s="564">
        <f t="shared" si="105"/>
        <v>0</v>
      </c>
    </row>
    <row r="174" spans="1:33" s="232" customFormat="1">
      <c r="A174" s="283"/>
      <c r="B174" s="283" t="s">
        <v>110</v>
      </c>
      <c r="C174" s="455" t="s">
        <v>325</v>
      </c>
      <c r="D174" s="449"/>
      <c r="E174" s="529">
        <v>0</v>
      </c>
      <c r="F174" s="576">
        <f>342.36+0.25+0.05+54.53</f>
        <v>397.19000000000005</v>
      </c>
      <c r="G174" s="576">
        <f>328+42.83</f>
        <v>370.83</v>
      </c>
      <c r="H174" s="524"/>
      <c r="I174" s="379">
        <f t="shared" si="81"/>
        <v>768.02</v>
      </c>
      <c r="J174" s="31"/>
      <c r="K174" s="84"/>
      <c r="L174" s="42">
        <f t="shared" si="107"/>
        <v>384.01</v>
      </c>
      <c r="M174" s="31">
        <v>0</v>
      </c>
      <c r="N174" s="429"/>
      <c r="O174" s="31">
        <v>0</v>
      </c>
      <c r="P174" s="426">
        <f t="shared" si="106"/>
        <v>384.01</v>
      </c>
      <c r="Q174" s="182">
        <f>298.52+44.19</f>
        <v>342.71</v>
      </c>
      <c r="R174" s="295"/>
      <c r="S174" s="385">
        <f t="shared" si="95"/>
        <v>-41.300000000000011</v>
      </c>
      <c r="T174" s="31"/>
      <c r="U174" s="474">
        <f t="shared" si="96"/>
        <v>384.01</v>
      </c>
      <c r="V174" s="474">
        <f t="shared" si="97"/>
        <v>0</v>
      </c>
      <c r="W174" s="475">
        <f t="shared" si="98"/>
        <v>0</v>
      </c>
      <c r="X174" s="475">
        <v>0</v>
      </c>
      <c r="Y174" s="476">
        <v>0</v>
      </c>
      <c r="Z174" s="38">
        <f t="shared" si="99"/>
        <v>0</v>
      </c>
      <c r="AA174" s="564">
        <f t="shared" si="100"/>
        <v>768.02</v>
      </c>
      <c r="AB174" s="564">
        <f t="shared" si="101"/>
        <v>0</v>
      </c>
      <c r="AC174" s="564">
        <f t="shared" si="102"/>
        <v>0</v>
      </c>
      <c r="AD174" s="559"/>
      <c r="AE174" s="564">
        <f t="shared" si="103"/>
        <v>384.01</v>
      </c>
      <c r="AF174" s="564">
        <f t="shared" si="104"/>
        <v>0</v>
      </c>
      <c r="AG174" s="564">
        <f t="shared" si="105"/>
        <v>0</v>
      </c>
    </row>
    <row r="175" spans="1:33" s="232" customFormat="1">
      <c r="A175" s="283"/>
      <c r="B175" s="283" t="s">
        <v>114</v>
      </c>
      <c r="C175" s="500" t="s">
        <v>408</v>
      </c>
      <c r="D175" s="449"/>
      <c r="E175" s="529">
        <v>0</v>
      </c>
      <c r="F175" s="579"/>
      <c r="G175" s="579"/>
      <c r="H175" s="524"/>
      <c r="I175" s="379">
        <f t="shared" ref="I175:I179" si="108">SUM(D175:H175)</f>
        <v>0</v>
      </c>
      <c r="J175" s="31"/>
      <c r="K175" s="84"/>
      <c r="L175" s="42">
        <v>5000</v>
      </c>
      <c r="M175" s="31">
        <v>0</v>
      </c>
      <c r="N175" s="429">
        <v>8000</v>
      </c>
      <c r="O175" s="31">
        <v>0</v>
      </c>
      <c r="P175" s="426">
        <f t="shared" si="106"/>
        <v>5000</v>
      </c>
      <c r="Q175" s="178"/>
      <c r="R175" s="295"/>
      <c r="S175" s="385">
        <f t="shared" si="95"/>
        <v>-5000</v>
      </c>
      <c r="T175" s="31"/>
      <c r="U175" s="474">
        <f t="shared" si="96"/>
        <v>0</v>
      </c>
      <c r="V175" s="474">
        <f t="shared" si="97"/>
        <v>0</v>
      </c>
      <c r="W175" s="475">
        <f t="shared" si="98"/>
        <v>5000</v>
      </c>
      <c r="X175" s="475">
        <v>0</v>
      </c>
      <c r="Y175" s="476">
        <v>0</v>
      </c>
      <c r="Z175" s="38">
        <f t="shared" si="99"/>
        <v>0</v>
      </c>
      <c r="AA175" s="564">
        <f t="shared" si="100"/>
        <v>0</v>
      </c>
      <c r="AB175" s="564">
        <f t="shared" si="101"/>
        <v>0</v>
      </c>
      <c r="AC175" s="564">
        <f t="shared" si="102"/>
        <v>0</v>
      </c>
      <c r="AD175" s="559"/>
      <c r="AE175" s="564">
        <f t="shared" si="103"/>
        <v>0</v>
      </c>
      <c r="AF175" s="564">
        <f t="shared" si="104"/>
        <v>0</v>
      </c>
      <c r="AG175" s="564">
        <f t="shared" si="105"/>
        <v>5000</v>
      </c>
    </row>
    <row r="176" spans="1:33" s="232" customFormat="1">
      <c r="A176" s="283"/>
      <c r="B176" s="283" t="s">
        <v>114</v>
      </c>
      <c r="C176" s="567" t="s">
        <v>445</v>
      </c>
      <c r="D176" s="449"/>
      <c r="E176" s="529">
        <v>0</v>
      </c>
      <c r="F176" s="579"/>
      <c r="G176" s="579"/>
      <c r="H176" s="524"/>
      <c r="I176" s="379">
        <f t="shared" si="108"/>
        <v>0</v>
      </c>
      <c r="J176" s="31"/>
      <c r="K176" s="84"/>
      <c r="L176" s="42">
        <v>0</v>
      </c>
      <c r="M176" s="31">
        <v>0</v>
      </c>
      <c r="N176" s="429"/>
      <c r="O176" s="31">
        <v>0</v>
      </c>
      <c r="P176" s="426">
        <f t="shared" si="106"/>
        <v>0</v>
      </c>
      <c r="Q176" s="178"/>
      <c r="R176" s="295"/>
      <c r="S176" s="385">
        <f t="shared" si="95"/>
        <v>0</v>
      </c>
      <c r="T176" s="31"/>
      <c r="U176" s="474">
        <f t="shared" si="96"/>
        <v>0</v>
      </c>
      <c r="V176" s="474">
        <f t="shared" si="97"/>
        <v>0</v>
      </c>
      <c r="W176" s="475">
        <f t="shared" si="98"/>
        <v>0</v>
      </c>
      <c r="X176" s="475">
        <v>0</v>
      </c>
      <c r="Y176" s="476">
        <v>0</v>
      </c>
      <c r="Z176" s="38">
        <f t="shared" si="99"/>
        <v>0</v>
      </c>
      <c r="AA176" s="564">
        <f t="shared" si="100"/>
        <v>0</v>
      </c>
      <c r="AB176" s="564">
        <f t="shared" si="101"/>
        <v>0</v>
      </c>
      <c r="AC176" s="564">
        <f t="shared" si="102"/>
        <v>0</v>
      </c>
      <c r="AD176" s="559"/>
      <c r="AE176" s="564">
        <f t="shared" si="103"/>
        <v>0</v>
      </c>
      <c r="AF176" s="564">
        <f t="shared" si="104"/>
        <v>0</v>
      </c>
      <c r="AG176" s="564">
        <f t="shared" si="105"/>
        <v>0</v>
      </c>
    </row>
    <row r="177" spans="1:33" s="232" customFormat="1">
      <c r="A177" s="283"/>
      <c r="B177" s="283" t="s">
        <v>110</v>
      </c>
      <c r="C177" s="567" t="s">
        <v>489</v>
      </c>
      <c r="D177" s="449">
        <v>3021.03</v>
      </c>
      <c r="E177" s="529">
        <v>0</v>
      </c>
      <c r="F177" s="579"/>
      <c r="G177" s="579"/>
      <c r="H177" s="524"/>
      <c r="I177" s="379">
        <f t="shared" si="108"/>
        <v>3021.03</v>
      </c>
      <c r="J177" s="31"/>
      <c r="K177" s="84"/>
      <c r="L177" s="42"/>
      <c r="M177" s="31"/>
      <c r="N177" s="429">
        <v>3163.02</v>
      </c>
      <c r="O177" s="31"/>
      <c r="P177" s="426">
        <f t="shared" si="106"/>
        <v>0</v>
      </c>
      <c r="Q177" s="178"/>
      <c r="R177" s="295"/>
      <c r="S177" s="385">
        <f t="shared" si="95"/>
        <v>0</v>
      </c>
      <c r="T177" s="31"/>
      <c r="U177" s="474">
        <f t="shared" si="96"/>
        <v>0</v>
      </c>
      <c r="V177" s="474">
        <f t="shared" si="97"/>
        <v>0</v>
      </c>
      <c r="W177" s="475">
        <f t="shared" si="98"/>
        <v>0</v>
      </c>
      <c r="X177" s="475">
        <v>0</v>
      </c>
      <c r="Y177" s="476">
        <v>0</v>
      </c>
      <c r="Z177" s="38">
        <f t="shared" si="99"/>
        <v>0</v>
      </c>
      <c r="AA177" s="564">
        <f t="shared" si="100"/>
        <v>3021.03</v>
      </c>
      <c r="AB177" s="564">
        <f t="shared" si="101"/>
        <v>0</v>
      </c>
      <c r="AC177" s="564">
        <f t="shared" si="102"/>
        <v>0</v>
      </c>
      <c r="AD177" s="559"/>
      <c r="AE177" s="564">
        <f t="shared" si="103"/>
        <v>0</v>
      </c>
      <c r="AF177" s="564">
        <f t="shared" si="104"/>
        <v>0</v>
      </c>
      <c r="AG177" s="564">
        <f t="shared" si="105"/>
        <v>0</v>
      </c>
    </row>
    <row r="178" spans="1:33" s="232" customFormat="1">
      <c r="A178" s="283"/>
      <c r="B178" s="283" t="s">
        <v>109</v>
      </c>
      <c r="C178" s="567" t="s">
        <v>480</v>
      </c>
      <c r="D178" s="449">
        <v>10409.790000000001</v>
      </c>
      <c r="E178" s="529">
        <v>0</v>
      </c>
      <c r="F178" s="576">
        <v>13964.44</v>
      </c>
      <c r="G178" s="576">
        <v>12749.48</v>
      </c>
      <c r="H178" s="524"/>
      <c r="I178" s="379">
        <f t="shared" ref="I178" si="109">SUM(D178:H178)</f>
        <v>37123.710000000006</v>
      </c>
      <c r="J178" s="31"/>
      <c r="K178" s="84"/>
      <c r="L178" s="42">
        <f>SUM(F178+G178)/2</f>
        <v>13356.96</v>
      </c>
      <c r="M178" s="31">
        <v>0</v>
      </c>
      <c r="N178" s="429">
        <f>90715.4-15393.57</f>
        <v>75321.829999999987</v>
      </c>
      <c r="O178" s="31">
        <v>0</v>
      </c>
      <c r="P178" s="426">
        <f t="shared" si="106"/>
        <v>13356.96</v>
      </c>
      <c r="Q178" s="178">
        <v>13722.42</v>
      </c>
      <c r="R178" s="295"/>
      <c r="S178" s="385">
        <f t="shared" si="95"/>
        <v>365.46000000000095</v>
      </c>
      <c r="T178" s="31"/>
      <c r="U178" s="474">
        <f t="shared" si="96"/>
        <v>0</v>
      </c>
      <c r="V178" s="474">
        <f t="shared" si="97"/>
        <v>13356.96</v>
      </c>
      <c r="W178" s="475">
        <f t="shared" si="98"/>
        <v>0</v>
      </c>
      <c r="X178" s="475">
        <v>0</v>
      </c>
      <c r="Y178" s="476">
        <v>0</v>
      </c>
      <c r="Z178" s="38">
        <f t="shared" si="99"/>
        <v>0</v>
      </c>
      <c r="AA178" s="564">
        <f t="shared" si="100"/>
        <v>0</v>
      </c>
      <c r="AB178" s="564">
        <f t="shared" si="101"/>
        <v>37123.710000000006</v>
      </c>
      <c r="AC178" s="564">
        <f t="shared" si="102"/>
        <v>0</v>
      </c>
      <c r="AD178" s="559"/>
      <c r="AE178" s="564">
        <f t="shared" si="103"/>
        <v>0</v>
      </c>
      <c r="AF178" s="564">
        <f t="shared" si="104"/>
        <v>13356.96</v>
      </c>
      <c r="AG178" s="564">
        <f t="shared" si="105"/>
        <v>0</v>
      </c>
    </row>
    <row r="179" spans="1:33" s="232" customFormat="1">
      <c r="A179" s="403"/>
      <c r="B179" s="403" t="s">
        <v>109</v>
      </c>
      <c r="C179" s="123" t="s">
        <v>327</v>
      </c>
      <c r="D179" s="449"/>
      <c r="E179" s="529">
        <v>0</v>
      </c>
      <c r="F179" s="576">
        <v>72273.009999999995</v>
      </c>
      <c r="G179" s="576">
        <v>67266.13</v>
      </c>
      <c r="H179" s="524"/>
      <c r="I179" s="379">
        <f t="shared" si="108"/>
        <v>139539.14000000001</v>
      </c>
      <c r="J179" s="31"/>
      <c r="K179" s="84"/>
      <c r="L179" s="42">
        <v>50000</v>
      </c>
      <c r="M179" s="31">
        <v>0</v>
      </c>
      <c r="N179" s="429">
        <v>288655.23</v>
      </c>
      <c r="O179" s="31">
        <v>0</v>
      </c>
      <c r="P179" s="426">
        <f t="shared" si="106"/>
        <v>50000</v>
      </c>
      <c r="Q179" s="178">
        <v>61645.82</v>
      </c>
      <c r="R179" s="295"/>
      <c r="S179" s="385">
        <f t="shared" si="95"/>
        <v>11645.82</v>
      </c>
      <c r="T179" s="31"/>
      <c r="U179" s="474">
        <f t="shared" si="96"/>
        <v>0</v>
      </c>
      <c r="V179" s="474">
        <f t="shared" si="97"/>
        <v>50000</v>
      </c>
      <c r="W179" s="475">
        <f t="shared" si="98"/>
        <v>0</v>
      </c>
      <c r="X179" s="475">
        <v>0</v>
      </c>
      <c r="Y179" s="476">
        <v>0</v>
      </c>
      <c r="Z179" s="38">
        <f t="shared" si="99"/>
        <v>0</v>
      </c>
      <c r="AA179" s="564">
        <f t="shared" si="100"/>
        <v>0</v>
      </c>
      <c r="AB179" s="564">
        <f t="shared" si="101"/>
        <v>139539.14000000001</v>
      </c>
      <c r="AC179" s="564">
        <f t="shared" si="102"/>
        <v>0</v>
      </c>
      <c r="AD179" s="559"/>
      <c r="AE179" s="564">
        <f t="shared" si="103"/>
        <v>0</v>
      </c>
      <c r="AF179" s="564">
        <f t="shared" si="104"/>
        <v>50000</v>
      </c>
      <c r="AG179" s="564">
        <f t="shared" si="105"/>
        <v>0</v>
      </c>
    </row>
    <row r="180" spans="1:33" s="232" customFormat="1">
      <c r="A180" s="403"/>
      <c r="B180" s="403" t="s">
        <v>110</v>
      </c>
      <c r="C180" s="123" t="s">
        <v>464</v>
      </c>
      <c r="D180" s="449"/>
      <c r="E180" s="529">
        <v>0</v>
      </c>
      <c r="F180" s="579"/>
      <c r="G180" s="579"/>
      <c r="H180" s="524"/>
      <c r="I180" s="379">
        <f t="shared" ref="I180:I250" si="110">SUM(D180:H180)</f>
        <v>0</v>
      </c>
      <c r="J180" s="31"/>
      <c r="K180" s="84"/>
      <c r="L180" s="42">
        <f t="shared" ref="L180:L187" si="111">SUM(F180+G180)/2</f>
        <v>0</v>
      </c>
      <c r="M180" s="31">
        <v>0</v>
      </c>
      <c r="N180" s="429"/>
      <c r="O180" s="31">
        <v>0</v>
      </c>
      <c r="P180" s="426">
        <f t="shared" si="106"/>
        <v>0</v>
      </c>
      <c r="Q180" s="178"/>
      <c r="R180" s="295"/>
      <c r="S180" s="385">
        <f t="shared" si="95"/>
        <v>0</v>
      </c>
      <c r="T180" s="31"/>
      <c r="U180" s="474">
        <f t="shared" si="96"/>
        <v>0</v>
      </c>
      <c r="V180" s="474">
        <f t="shared" si="97"/>
        <v>0</v>
      </c>
      <c r="W180" s="475">
        <f t="shared" si="98"/>
        <v>0</v>
      </c>
      <c r="X180" s="475">
        <v>0</v>
      </c>
      <c r="Y180" s="476">
        <v>0</v>
      </c>
      <c r="Z180" s="38">
        <f t="shared" si="99"/>
        <v>0</v>
      </c>
      <c r="AA180" s="564">
        <f t="shared" si="100"/>
        <v>0</v>
      </c>
      <c r="AB180" s="564">
        <f t="shared" si="101"/>
        <v>0</v>
      </c>
      <c r="AC180" s="564">
        <f t="shared" si="102"/>
        <v>0</v>
      </c>
      <c r="AD180" s="559"/>
      <c r="AE180" s="564">
        <f t="shared" si="103"/>
        <v>0</v>
      </c>
      <c r="AF180" s="564">
        <f t="shared" si="104"/>
        <v>0</v>
      </c>
      <c r="AG180" s="564">
        <f t="shared" si="105"/>
        <v>0</v>
      </c>
    </row>
    <row r="181" spans="1:33">
      <c r="A181" s="21" t="s">
        <v>212</v>
      </c>
      <c r="B181" s="21" t="s">
        <v>110</v>
      </c>
      <c r="C181" s="68" t="s">
        <v>35</v>
      </c>
      <c r="D181" s="449"/>
      <c r="E181" s="529">
        <v>0</v>
      </c>
      <c r="F181" s="579"/>
      <c r="G181" s="579"/>
      <c r="H181" s="524"/>
      <c r="I181" s="379">
        <f t="shared" si="110"/>
        <v>0</v>
      </c>
      <c r="J181" s="31"/>
      <c r="K181" s="84"/>
      <c r="L181" s="42">
        <f t="shared" si="111"/>
        <v>0</v>
      </c>
      <c r="M181" s="31">
        <v>0</v>
      </c>
      <c r="N181" s="429"/>
      <c r="O181" s="31">
        <v>0</v>
      </c>
      <c r="P181" s="426">
        <f t="shared" si="106"/>
        <v>0</v>
      </c>
      <c r="Q181" s="178"/>
      <c r="R181" s="295"/>
      <c r="S181" s="385">
        <f t="shared" si="95"/>
        <v>0</v>
      </c>
      <c r="T181" s="31"/>
      <c r="U181" s="474">
        <f t="shared" si="96"/>
        <v>0</v>
      </c>
      <c r="V181" s="474">
        <f t="shared" si="97"/>
        <v>0</v>
      </c>
      <c r="W181" s="475">
        <f t="shared" si="98"/>
        <v>0</v>
      </c>
      <c r="X181" s="475">
        <v>0</v>
      </c>
      <c r="Y181" s="476">
        <v>0</v>
      </c>
      <c r="Z181" s="38">
        <f t="shared" si="99"/>
        <v>0</v>
      </c>
      <c r="AA181" s="564">
        <f t="shared" si="100"/>
        <v>0</v>
      </c>
      <c r="AB181" s="564">
        <f t="shared" si="101"/>
        <v>0</v>
      </c>
      <c r="AC181" s="564">
        <f t="shared" si="102"/>
        <v>0</v>
      </c>
      <c r="AE181" s="564">
        <f t="shared" si="103"/>
        <v>0</v>
      </c>
      <c r="AF181" s="564">
        <f t="shared" si="104"/>
        <v>0</v>
      </c>
      <c r="AG181" s="564">
        <f t="shared" si="105"/>
        <v>0</v>
      </c>
    </row>
    <row r="182" spans="1:33">
      <c r="A182" s="21" t="s">
        <v>212</v>
      </c>
      <c r="B182" s="21" t="s">
        <v>110</v>
      </c>
      <c r="C182" s="68" t="s">
        <v>232</v>
      </c>
      <c r="D182" s="449">
        <v>8013.86</v>
      </c>
      <c r="E182" s="529">
        <v>0</v>
      </c>
      <c r="F182" s="579"/>
      <c r="G182" s="579"/>
      <c r="H182" s="524"/>
      <c r="I182" s="379">
        <f t="shared" si="110"/>
        <v>8013.86</v>
      </c>
      <c r="J182" s="31"/>
      <c r="K182" s="84"/>
      <c r="L182" s="42">
        <f t="shared" si="111"/>
        <v>0</v>
      </c>
      <c r="M182" s="31">
        <v>0</v>
      </c>
      <c r="N182" s="429">
        <v>8013.86</v>
      </c>
      <c r="O182" s="31">
        <v>0</v>
      </c>
      <c r="P182" s="426">
        <f t="shared" si="106"/>
        <v>0</v>
      </c>
      <c r="Q182" s="178"/>
      <c r="R182" s="295"/>
      <c r="S182" s="385">
        <f t="shared" si="95"/>
        <v>0</v>
      </c>
      <c r="T182" s="31"/>
      <c r="U182" s="474">
        <f t="shared" si="96"/>
        <v>0</v>
      </c>
      <c r="V182" s="474">
        <f t="shared" si="97"/>
        <v>0</v>
      </c>
      <c r="W182" s="475">
        <f t="shared" si="98"/>
        <v>0</v>
      </c>
      <c r="X182" s="475">
        <v>0</v>
      </c>
      <c r="Y182" s="476">
        <v>0</v>
      </c>
      <c r="Z182" s="38">
        <f t="shared" si="99"/>
        <v>0</v>
      </c>
      <c r="AA182" s="564">
        <f t="shared" si="100"/>
        <v>8013.86</v>
      </c>
      <c r="AB182" s="564">
        <f t="shared" si="101"/>
        <v>0</v>
      </c>
      <c r="AC182" s="564">
        <f t="shared" si="102"/>
        <v>0</v>
      </c>
      <c r="AE182" s="564">
        <f t="shared" si="103"/>
        <v>0</v>
      </c>
      <c r="AF182" s="564">
        <f t="shared" si="104"/>
        <v>0</v>
      </c>
      <c r="AG182" s="564">
        <f t="shared" si="105"/>
        <v>0</v>
      </c>
    </row>
    <row r="183" spans="1:33">
      <c r="A183" s="21" t="s">
        <v>212</v>
      </c>
      <c r="B183" s="21" t="s">
        <v>110</v>
      </c>
      <c r="C183" s="68" t="s">
        <v>238</v>
      </c>
      <c r="D183" s="449"/>
      <c r="E183" s="529">
        <v>0</v>
      </c>
      <c r="F183" s="579"/>
      <c r="G183" s="579"/>
      <c r="H183" s="524"/>
      <c r="I183" s="379">
        <f t="shared" si="110"/>
        <v>0</v>
      </c>
      <c r="J183" s="31"/>
      <c r="K183" s="84"/>
      <c r="L183" s="42">
        <f t="shared" si="111"/>
        <v>0</v>
      </c>
      <c r="M183" s="31">
        <v>0</v>
      </c>
      <c r="N183" s="429"/>
      <c r="O183" s="31">
        <v>0</v>
      </c>
      <c r="P183" s="426">
        <f t="shared" si="106"/>
        <v>0</v>
      </c>
      <c r="Q183" s="178"/>
      <c r="R183" s="295"/>
      <c r="S183" s="385">
        <f t="shared" si="95"/>
        <v>0</v>
      </c>
      <c r="T183" s="31"/>
      <c r="U183" s="474">
        <f t="shared" si="96"/>
        <v>0</v>
      </c>
      <c r="V183" s="474">
        <f t="shared" si="97"/>
        <v>0</v>
      </c>
      <c r="W183" s="475">
        <f t="shared" si="98"/>
        <v>0</v>
      </c>
      <c r="X183" s="475">
        <v>0</v>
      </c>
      <c r="Y183" s="476">
        <v>0</v>
      </c>
      <c r="Z183" s="38">
        <f t="shared" si="99"/>
        <v>0</v>
      </c>
      <c r="AA183" s="564">
        <f t="shared" si="100"/>
        <v>0</v>
      </c>
      <c r="AB183" s="564">
        <f t="shared" si="101"/>
        <v>0</v>
      </c>
      <c r="AC183" s="564">
        <f t="shared" si="102"/>
        <v>0</v>
      </c>
      <c r="AE183" s="564">
        <f t="shared" si="103"/>
        <v>0</v>
      </c>
      <c r="AF183" s="564">
        <f t="shared" si="104"/>
        <v>0</v>
      </c>
      <c r="AG183" s="564">
        <f t="shared" si="105"/>
        <v>0</v>
      </c>
    </row>
    <row r="184" spans="1:33">
      <c r="A184" s="21"/>
      <c r="B184" s="21" t="s">
        <v>110</v>
      </c>
      <c r="C184" s="68" t="s">
        <v>68</v>
      </c>
      <c r="D184" s="449"/>
      <c r="E184" s="529">
        <v>0</v>
      </c>
      <c r="F184" s="579"/>
      <c r="G184" s="579"/>
      <c r="H184" s="524"/>
      <c r="I184" s="379">
        <f t="shared" si="110"/>
        <v>0</v>
      </c>
      <c r="J184" s="31"/>
      <c r="K184" s="84"/>
      <c r="L184" s="42">
        <f t="shared" si="111"/>
        <v>0</v>
      </c>
      <c r="M184" s="31">
        <v>0</v>
      </c>
      <c r="N184" s="429"/>
      <c r="O184" s="31">
        <v>0</v>
      </c>
      <c r="P184" s="426">
        <f t="shared" si="106"/>
        <v>0</v>
      </c>
      <c r="Q184" s="178">
        <v>11.64</v>
      </c>
      <c r="R184" s="295"/>
      <c r="S184" s="385">
        <f t="shared" si="95"/>
        <v>11.64</v>
      </c>
      <c r="T184" s="31"/>
      <c r="U184" s="474">
        <f t="shared" si="96"/>
        <v>0</v>
      </c>
      <c r="V184" s="474">
        <f t="shared" si="97"/>
        <v>0</v>
      </c>
      <c r="W184" s="475">
        <f t="shared" si="98"/>
        <v>0</v>
      </c>
      <c r="X184" s="475">
        <v>0</v>
      </c>
      <c r="Y184" s="476">
        <v>0</v>
      </c>
      <c r="Z184" s="38">
        <f t="shared" si="99"/>
        <v>0</v>
      </c>
      <c r="AA184" s="564">
        <f t="shared" si="100"/>
        <v>0</v>
      </c>
      <c r="AB184" s="564">
        <f t="shared" si="101"/>
        <v>0</v>
      </c>
      <c r="AC184" s="564">
        <f t="shared" si="102"/>
        <v>0</v>
      </c>
      <c r="AE184" s="564">
        <f t="shared" si="103"/>
        <v>0</v>
      </c>
      <c r="AF184" s="564">
        <f t="shared" si="104"/>
        <v>0</v>
      </c>
      <c r="AG184" s="564">
        <f t="shared" si="105"/>
        <v>0</v>
      </c>
    </row>
    <row r="185" spans="1:33">
      <c r="A185" s="21"/>
      <c r="B185" s="21" t="s">
        <v>110</v>
      </c>
      <c r="C185" s="68" t="s">
        <v>384</v>
      </c>
      <c r="D185" s="449"/>
      <c r="E185" s="529">
        <v>0</v>
      </c>
      <c r="F185" s="579"/>
      <c r="G185" s="579"/>
      <c r="H185" s="524"/>
      <c r="I185" s="379">
        <f t="shared" si="110"/>
        <v>0</v>
      </c>
      <c r="J185" s="31"/>
      <c r="K185" s="84"/>
      <c r="L185" s="42">
        <f t="shared" si="111"/>
        <v>0</v>
      </c>
      <c r="M185" s="31">
        <v>0</v>
      </c>
      <c r="N185" s="429"/>
      <c r="O185" s="31">
        <v>0</v>
      </c>
      <c r="P185" s="426">
        <f t="shared" si="106"/>
        <v>0</v>
      </c>
      <c r="Q185" s="178"/>
      <c r="R185" s="295"/>
      <c r="S185" s="385">
        <f t="shared" si="95"/>
        <v>0</v>
      </c>
      <c r="T185" s="31"/>
      <c r="U185" s="474">
        <f t="shared" si="96"/>
        <v>0</v>
      </c>
      <c r="V185" s="474">
        <f t="shared" si="97"/>
        <v>0</v>
      </c>
      <c r="W185" s="475">
        <f t="shared" si="98"/>
        <v>0</v>
      </c>
      <c r="X185" s="475">
        <v>0</v>
      </c>
      <c r="Y185" s="476">
        <v>0</v>
      </c>
      <c r="Z185" s="38">
        <f t="shared" si="99"/>
        <v>0</v>
      </c>
      <c r="AA185" s="564">
        <f t="shared" si="100"/>
        <v>0</v>
      </c>
      <c r="AB185" s="564">
        <f t="shared" si="101"/>
        <v>0</v>
      </c>
      <c r="AC185" s="564">
        <f t="shared" si="102"/>
        <v>0</v>
      </c>
      <c r="AE185" s="564">
        <f t="shared" si="103"/>
        <v>0</v>
      </c>
      <c r="AF185" s="564">
        <f t="shared" si="104"/>
        <v>0</v>
      </c>
      <c r="AG185" s="564">
        <f t="shared" si="105"/>
        <v>0</v>
      </c>
    </row>
    <row r="186" spans="1:33">
      <c r="A186" s="21"/>
      <c r="B186" s="21" t="s">
        <v>109</v>
      </c>
      <c r="C186" s="68" t="s">
        <v>306</v>
      </c>
      <c r="D186" s="449">
        <f>196.65-889.69</f>
        <v>-693.04000000000008</v>
      </c>
      <c r="E186" s="529">
        <v>0</v>
      </c>
      <c r="F186" s="576">
        <f>1137.52+81.32+462.3+6016.72+809.29</f>
        <v>8507.1500000000015</v>
      </c>
      <c r="G186" s="576">
        <f>913.05+230.67+559.31+111.96+4552.61</f>
        <v>6367.5999999999995</v>
      </c>
      <c r="H186" s="524"/>
      <c r="I186" s="379">
        <f t="shared" si="110"/>
        <v>14181.710000000001</v>
      </c>
      <c r="J186" s="31"/>
      <c r="K186" s="84"/>
      <c r="L186" s="42">
        <f t="shared" si="111"/>
        <v>7437.375</v>
      </c>
      <c r="M186" s="31">
        <v>0</v>
      </c>
      <c r="N186" s="429">
        <v>30890.3</v>
      </c>
      <c r="O186" s="31">
        <v>0</v>
      </c>
      <c r="P186" s="426">
        <f t="shared" si="106"/>
        <v>7437.375</v>
      </c>
      <c r="Q186" s="178">
        <f>1974.08+100.15+20.56+110.46+12.18+16.89+8.7+19.75+403.85+40.33+62.58+59.26+125.21+13.97+46.92+5.8+0.46+2.61+1.36</f>
        <v>3025.12</v>
      </c>
      <c r="R186" s="295"/>
      <c r="S186" s="385">
        <f t="shared" si="95"/>
        <v>-4412.2550000000001</v>
      </c>
      <c r="T186" s="31"/>
      <c r="U186" s="474">
        <f t="shared" si="96"/>
        <v>0</v>
      </c>
      <c r="V186" s="474">
        <f t="shared" si="97"/>
        <v>7437.375</v>
      </c>
      <c r="W186" s="475">
        <f t="shared" si="98"/>
        <v>0</v>
      </c>
      <c r="X186" s="475">
        <v>0</v>
      </c>
      <c r="Y186" s="476">
        <v>0</v>
      </c>
      <c r="Z186" s="38">
        <f t="shared" si="99"/>
        <v>0</v>
      </c>
      <c r="AA186" s="564">
        <f t="shared" si="100"/>
        <v>0</v>
      </c>
      <c r="AB186" s="564">
        <f t="shared" si="101"/>
        <v>14181.710000000001</v>
      </c>
      <c r="AC186" s="564">
        <f t="shared" si="102"/>
        <v>0</v>
      </c>
      <c r="AE186" s="564">
        <f t="shared" si="103"/>
        <v>0</v>
      </c>
      <c r="AF186" s="564">
        <f t="shared" si="104"/>
        <v>7437.375</v>
      </c>
      <c r="AG186" s="564">
        <f t="shared" si="105"/>
        <v>0</v>
      </c>
    </row>
    <row r="187" spans="1:33">
      <c r="A187" s="21"/>
      <c r="B187" s="21" t="s">
        <v>109</v>
      </c>
      <c r="C187" s="68" t="s">
        <v>307</v>
      </c>
      <c r="D187" s="449"/>
      <c r="E187" s="529">
        <v>0</v>
      </c>
      <c r="F187" s="576">
        <f>280.82+433.23+1164.29</f>
        <v>1878.34</v>
      </c>
      <c r="G187" s="576">
        <f>95.55+257.63+1046.45</f>
        <v>1399.63</v>
      </c>
      <c r="H187" s="524"/>
      <c r="I187" s="379">
        <f t="shared" si="110"/>
        <v>3277.9700000000003</v>
      </c>
      <c r="J187" s="31"/>
      <c r="K187" s="84"/>
      <c r="L187" s="42">
        <f t="shared" si="111"/>
        <v>1638.9850000000001</v>
      </c>
      <c r="M187" s="31">
        <v>0</v>
      </c>
      <c r="N187" s="429"/>
      <c r="O187" s="31">
        <v>0</v>
      </c>
      <c r="P187" s="426">
        <f t="shared" si="106"/>
        <v>1638.9850000000001</v>
      </c>
      <c r="Q187" s="178">
        <f>93.88+48.97+725.78</f>
        <v>868.63</v>
      </c>
      <c r="R187" s="295"/>
      <c r="S187" s="385">
        <f t="shared" si="95"/>
        <v>-770.35500000000013</v>
      </c>
      <c r="T187" s="31"/>
      <c r="U187" s="474">
        <f t="shared" si="96"/>
        <v>0</v>
      </c>
      <c r="V187" s="474">
        <f t="shared" si="97"/>
        <v>1638.9850000000001</v>
      </c>
      <c r="W187" s="475">
        <f t="shared" si="98"/>
        <v>0</v>
      </c>
      <c r="X187" s="475">
        <v>0</v>
      </c>
      <c r="Y187" s="476">
        <v>0</v>
      </c>
      <c r="Z187" s="38">
        <f t="shared" si="99"/>
        <v>0</v>
      </c>
      <c r="AA187" s="564">
        <f t="shared" si="100"/>
        <v>0</v>
      </c>
      <c r="AB187" s="564">
        <f t="shared" si="101"/>
        <v>3277.9700000000003</v>
      </c>
      <c r="AC187" s="564">
        <f t="shared" si="102"/>
        <v>0</v>
      </c>
      <c r="AE187" s="564">
        <f t="shared" si="103"/>
        <v>0</v>
      </c>
      <c r="AF187" s="564">
        <f t="shared" si="104"/>
        <v>1638.9850000000001</v>
      </c>
      <c r="AG187" s="564">
        <f t="shared" si="105"/>
        <v>0</v>
      </c>
    </row>
    <row r="188" spans="1:33">
      <c r="A188" s="21"/>
      <c r="B188" s="21" t="s">
        <v>109</v>
      </c>
      <c r="C188" s="68" t="s">
        <v>485</v>
      </c>
      <c r="D188" s="449"/>
      <c r="E188" s="529">
        <v>0</v>
      </c>
      <c r="F188" s="579"/>
      <c r="G188" s="579"/>
      <c r="H188" s="524"/>
      <c r="I188" s="379">
        <f t="shared" ref="I188" si="112">SUM(D188:H188)</f>
        <v>0</v>
      </c>
      <c r="J188" s="31"/>
      <c r="K188" s="84"/>
      <c r="L188" s="42">
        <v>25000</v>
      </c>
      <c r="M188" s="31"/>
      <c r="N188" s="429">
        <v>32736.09</v>
      </c>
      <c r="O188" s="31"/>
      <c r="P188" s="426">
        <f t="shared" si="106"/>
        <v>25000</v>
      </c>
      <c r="Q188" s="178">
        <f>10286.91+7598.29+3121.37+476.39+60995.92</f>
        <v>82478.880000000005</v>
      </c>
      <c r="R188" s="295"/>
      <c r="S188" s="385">
        <f t="shared" si="95"/>
        <v>57478.880000000005</v>
      </c>
      <c r="T188" s="31"/>
      <c r="U188" s="474">
        <f t="shared" si="96"/>
        <v>0</v>
      </c>
      <c r="V188" s="474">
        <f t="shared" si="97"/>
        <v>25000</v>
      </c>
      <c r="W188" s="475">
        <f t="shared" si="98"/>
        <v>0</v>
      </c>
      <c r="X188" s="475">
        <v>0</v>
      </c>
      <c r="Y188" s="476">
        <v>0</v>
      </c>
      <c r="Z188" s="38">
        <f t="shared" si="99"/>
        <v>0</v>
      </c>
      <c r="AA188" s="564">
        <f t="shared" si="100"/>
        <v>0</v>
      </c>
      <c r="AB188" s="564">
        <f t="shared" si="101"/>
        <v>0</v>
      </c>
      <c r="AC188" s="564">
        <f t="shared" si="102"/>
        <v>0</v>
      </c>
      <c r="AE188" s="564">
        <f t="shared" si="103"/>
        <v>0</v>
      </c>
      <c r="AF188" s="564">
        <f t="shared" si="104"/>
        <v>25000</v>
      </c>
      <c r="AG188" s="564">
        <f t="shared" si="105"/>
        <v>0</v>
      </c>
    </row>
    <row r="189" spans="1:33" s="232" customFormat="1">
      <c r="A189" s="403"/>
      <c r="B189" s="403" t="s">
        <v>109</v>
      </c>
      <c r="C189" s="123" t="s">
        <v>220</v>
      </c>
      <c r="D189" s="449"/>
      <c r="E189" s="529">
        <v>0</v>
      </c>
      <c r="F189" s="579"/>
      <c r="G189" s="579"/>
      <c r="H189" s="524"/>
      <c r="I189" s="379">
        <f t="shared" si="110"/>
        <v>0</v>
      </c>
      <c r="J189" s="31"/>
      <c r="K189" s="84"/>
      <c r="L189" s="42">
        <f>SUM(F189+G189)/2</f>
        <v>0</v>
      </c>
      <c r="M189" s="31">
        <v>0</v>
      </c>
      <c r="N189" s="429"/>
      <c r="O189" s="31">
        <v>0</v>
      </c>
      <c r="P189" s="426">
        <f t="shared" si="106"/>
        <v>0</v>
      </c>
      <c r="Q189" s="178"/>
      <c r="R189" s="295"/>
      <c r="S189" s="385">
        <f t="shared" si="95"/>
        <v>0</v>
      </c>
      <c r="T189" s="31"/>
      <c r="U189" s="474">
        <f t="shared" si="96"/>
        <v>0</v>
      </c>
      <c r="V189" s="474">
        <f t="shared" si="97"/>
        <v>0</v>
      </c>
      <c r="W189" s="475">
        <f t="shared" si="98"/>
        <v>0</v>
      </c>
      <c r="X189" s="475">
        <v>0</v>
      </c>
      <c r="Y189" s="476">
        <v>0</v>
      </c>
      <c r="Z189" s="38">
        <f t="shared" si="99"/>
        <v>0</v>
      </c>
      <c r="AA189" s="564">
        <f t="shared" si="100"/>
        <v>0</v>
      </c>
      <c r="AB189" s="564">
        <f t="shared" si="101"/>
        <v>0</v>
      </c>
      <c r="AC189" s="564">
        <f t="shared" si="102"/>
        <v>0</v>
      </c>
      <c r="AD189" s="559"/>
      <c r="AE189" s="564">
        <f t="shared" si="103"/>
        <v>0</v>
      </c>
      <c r="AF189" s="564">
        <f t="shared" si="104"/>
        <v>0</v>
      </c>
      <c r="AG189" s="564">
        <f t="shared" si="105"/>
        <v>0</v>
      </c>
    </row>
    <row r="190" spans="1:33">
      <c r="A190" s="21"/>
      <c r="B190" s="21" t="s">
        <v>109</v>
      </c>
      <c r="C190" s="68" t="s">
        <v>505</v>
      </c>
      <c r="D190" s="449"/>
      <c r="E190" s="529">
        <v>0</v>
      </c>
      <c r="F190" s="579"/>
      <c r="G190" s="579"/>
      <c r="H190" s="524"/>
      <c r="I190" s="379">
        <f t="shared" ref="I190" si="113">SUM(D190:H190)</f>
        <v>0</v>
      </c>
      <c r="J190" s="31"/>
      <c r="K190" s="84"/>
      <c r="L190" s="42">
        <f>SUM(F190+G190)/2</f>
        <v>0</v>
      </c>
      <c r="M190" s="31">
        <v>0</v>
      </c>
      <c r="N190" s="429"/>
      <c r="O190" s="31">
        <v>0</v>
      </c>
      <c r="P190" s="426">
        <f t="shared" ref="P190" si="114">K190+L190</f>
        <v>0</v>
      </c>
      <c r="Q190" s="178">
        <f>13303.07+(5552.63/10*2)+(12631.57/4)</f>
        <v>17571.488499999999</v>
      </c>
      <c r="R190" s="295"/>
      <c r="S190" s="385">
        <f t="shared" si="95"/>
        <v>17571.488499999999</v>
      </c>
      <c r="T190" s="31"/>
      <c r="U190" s="474">
        <f t="shared" ref="U190" si="115">IF(B190="D",P190,0)</f>
        <v>0</v>
      </c>
      <c r="V190" s="474">
        <f t="shared" ref="V190" si="116">IF(B190="M",P190,0)</f>
        <v>0</v>
      </c>
      <c r="W190" s="475">
        <f t="shared" ref="W190" si="117">IF(B190="V",P190,0)</f>
        <v>0</v>
      </c>
      <c r="X190" s="475">
        <v>0</v>
      </c>
      <c r="Y190" s="476">
        <v>0</v>
      </c>
      <c r="Z190" s="38">
        <f t="shared" ref="Z190" si="118">(K190+L190)-(U190+V190+W190+X190+Y190)</f>
        <v>0</v>
      </c>
      <c r="AA190" s="564">
        <f t="shared" ref="AA190" si="119">IF(B190="D",I190,0)</f>
        <v>0</v>
      </c>
      <c r="AB190" s="564">
        <f t="shared" ref="AB190" si="120">IF(B190="M",I190,0)</f>
        <v>0</v>
      </c>
      <c r="AC190" s="564">
        <f t="shared" ref="AC190" si="121">IF(B190="V",I190,0)</f>
        <v>0</v>
      </c>
      <c r="AE190" s="564">
        <f t="shared" ref="AE190" si="122">IF(B190="D",P190,0)</f>
        <v>0</v>
      </c>
      <c r="AF190" s="564">
        <f t="shared" ref="AF190" si="123">IF(B190="M",P190,0)</f>
        <v>0</v>
      </c>
      <c r="AG190" s="564">
        <f t="shared" ref="AG190" si="124">IF(B190="V",P190,0)</f>
        <v>0</v>
      </c>
    </row>
    <row r="191" spans="1:33">
      <c r="A191" s="21"/>
      <c r="B191" s="21" t="s">
        <v>109</v>
      </c>
      <c r="C191" s="68" t="s">
        <v>38</v>
      </c>
      <c r="D191" s="449"/>
      <c r="E191" s="529">
        <v>0</v>
      </c>
      <c r="F191" s="579"/>
      <c r="G191" s="579"/>
      <c r="H191" s="524"/>
      <c r="I191" s="379">
        <f t="shared" si="110"/>
        <v>0</v>
      </c>
      <c r="J191" s="31"/>
      <c r="K191" s="84"/>
      <c r="L191" s="42">
        <f>SUM(F191+G191)/2</f>
        <v>0</v>
      </c>
      <c r="M191" s="31">
        <v>0</v>
      </c>
      <c r="N191" s="429"/>
      <c r="O191" s="31">
        <v>0</v>
      </c>
      <c r="P191" s="426">
        <f t="shared" si="106"/>
        <v>0</v>
      </c>
      <c r="Q191" s="178"/>
      <c r="R191" s="295"/>
      <c r="S191" s="385">
        <f t="shared" si="95"/>
        <v>0</v>
      </c>
      <c r="T191" s="31"/>
      <c r="U191" s="474">
        <f t="shared" si="96"/>
        <v>0</v>
      </c>
      <c r="V191" s="474">
        <f t="shared" si="97"/>
        <v>0</v>
      </c>
      <c r="W191" s="475">
        <f t="shared" si="98"/>
        <v>0</v>
      </c>
      <c r="X191" s="475">
        <v>0</v>
      </c>
      <c r="Y191" s="476">
        <v>0</v>
      </c>
      <c r="Z191" s="38">
        <f t="shared" si="99"/>
        <v>0</v>
      </c>
      <c r="AA191" s="564">
        <f t="shared" si="100"/>
        <v>0</v>
      </c>
      <c r="AB191" s="564">
        <f t="shared" si="101"/>
        <v>0</v>
      </c>
      <c r="AC191" s="564">
        <f t="shared" si="102"/>
        <v>0</v>
      </c>
      <c r="AE191" s="564">
        <f t="shared" si="103"/>
        <v>0</v>
      </c>
      <c r="AF191" s="564">
        <f t="shared" si="104"/>
        <v>0</v>
      </c>
      <c r="AG191" s="564">
        <f t="shared" si="105"/>
        <v>0</v>
      </c>
    </row>
    <row r="192" spans="1:33">
      <c r="A192" s="21"/>
      <c r="B192" s="21" t="s">
        <v>110</v>
      </c>
      <c r="C192" s="68" t="s">
        <v>484</v>
      </c>
      <c r="D192" s="449"/>
      <c r="E192" s="529">
        <v>0</v>
      </c>
      <c r="F192" s="576">
        <f>29060.7+2893.06+9805.34+121.5+446.03+2001.91</f>
        <v>44328.540000000008</v>
      </c>
      <c r="G192" s="579"/>
      <c r="H192" s="524"/>
      <c r="I192" s="379">
        <f t="shared" ref="I192" si="125">SUM(D192:H192)</f>
        <v>44328.540000000008</v>
      </c>
      <c r="J192" s="31"/>
      <c r="K192" s="84"/>
      <c r="L192" s="42">
        <f>35000*2</f>
        <v>70000</v>
      </c>
      <c r="M192" s="31">
        <v>0</v>
      </c>
      <c r="N192" s="429">
        <v>56513.54</v>
      </c>
      <c r="O192" s="31">
        <v>0</v>
      </c>
      <c r="P192" s="426">
        <f t="shared" si="106"/>
        <v>70000</v>
      </c>
      <c r="Q192" s="178">
        <f>26733.66+2881.48+1859.73+9414.45+444.47+76.38+21729.52+8993.27+2052.24+95.76+362.86+2746.62</f>
        <v>77390.44</v>
      </c>
      <c r="R192" s="295"/>
      <c r="S192" s="385">
        <f t="shared" si="95"/>
        <v>7390.4400000000023</v>
      </c>
      <c r="T192" s="31"/>
      <c r="U192" s="474">
        <f t="shared" si="96"/>
        <v>70000</v>
      </c>
      <c r="V192" s="474">
        <f t="shared" si="97"/>
        <v>0</v>
      </c>
      <c r="W192" s="475">
        <f t="shared" si="98"/>
        <v>0</v>
      </c>
      <c r="X192" s="475">
        <v>0</v>
      </c>
      <c r="Y192" s="476">
        <v>0</v>
      </c>
      <c r="Z192" s="38">
        <f t="shared" si="99"/>
        <v>0</v>
      </c>
      <c r="AA192" s="564">
        <f t="shared" si="100"/>
        <v>44328.540000000008</v>
      </c>
      <c r="AB192" s="564">
        <f t="shared" si="101"/>
        <v>0</v>
      </c>
      <c r="AC192" s="564">
        <f t="shared" si="102"/>
        <v>0</v>
      </c>
      <c r="AE192" s="564">
        <f t="shared" si="103"/>
        <v>70000</v>
      </c>
      <c r="AF192" s="564">
        <f t="shared" si="104"/>
        <v>0</v>
      </c>
      <c r="AG192" s="564">
        <f t="shared" si="105"/>
        <v>0</v>
      </c>
    </row>
    <row r="193" spans="1:33">
      <c r="A193" s="21"/>
      <c r="B193" s="21" t="s">
        <v>110</v>
      </c>
      <c r="C193" s="68" t="s">
        <v>185</v>
      </c>
      <c r="D193" s="449"/>
      <c r="E193" s="529">
        <v>0</v>
      </c>
      <c r="F193" s="576">
        <v>174.3</v>
      </c>
      <c r="G193" s="576">
        <v>179.2</v>
      </c>
      <c r="H193" s="524"/>
      <c r="I193" s="379">
        <f t="shared" si="110"/>
        <v>353.5</v>
      </c>
      <c r="J193" s="31"/>
      <c r="K193" s="84"/>
      <c r="L193" s="42">
        <f>SUM(F193+G193)/2</f>
        <v>176.75</v>
      </c>
      <c r="M193" s="31">
        <v>0</v>
      </c>
      <c r="N193" s="429">
        <v>2453.25</v>
      </c>
      <c r="O193" s="31">
        <v>0</v>
      </c>
      <c r="P193" s="426">
        <f t="shared" si="106"/>
        <v>176.75</v>
      </c>
      <c r="Q193" s="178">
        <v>179.2</v>
      </c>
      <c r="R193" s="295"/>
      <c r="S193" s="385">
        <f t="shared" si="95"/>
        <v>2.4499999999999886</v>
      </c>
      <c r="T193" s="31"/>
      <c r="U193" s="474">
        <f t="shared" si="96"/>
        <v>176.75</v>
      </c>
      <c r="V193" s="474">
        <f t="shared" si="97"/>
        <v>0</v>
      </c>
      <c r="W193" s="475">
        <f t="shared" si="98"/>
        <v>0</v>
      </c>
      <c r="X193" s="475">
        <v>0</v>
      </c>
      <c r="Y193" s="476">
        <v>0</v>
      </c>
      <c r="Z193" s="38">
        <f t="shared" si="99"/>
        <v>0</v>
      </c>
      <c r="AA193" s="564">
        <f t="shared" si="100"/>
        <v>353.5</v>
      </c>
      <c r="AB193" s="564">
        <f t="shared" si="101"/>
        <v>0</v>
      </c>
      <c r="AC193" s="564">
        <f t="shared" si="102"/>
        <v>0</v>
      </c>
      <c r="AE193" s="564">
        <f t="shared" si="103"/>
        <v>176.75</v>
      </c>
      <c r="AF193" s="564">
        <f t="shared" si="104"/>
        <v>0</v>
      </c>
      <c r="AG193" s="564">
        <f t="shared" si="105"/>
        <v>0</v>
      </c>
    </row>
    <row r="194" spans="1:33">
      <c r="A194" s="21"/>
      <c r="B194" s="21" t="s">
        <v>110</v>
      </c>
      <c r="C194" s="68" t="s">
        <v>186</v>
      </c>
      <c r="D194" s="449"/>
      <c r="E194" s="529">
        <v>0</v>
      </c>
      <c r="F194" s="576">
        <v>239.75</v>
      </c>
      <c r="G194" s="576">
        <v>156.62</v>
      </c>
      <c r="H194" s="524"/>
      <c r="I194" s="379">
        <f t="shared" si="110"/>
        <v>396.37</v>
      </c>
      <c r="J194" s="31"/>
      <c r="K194" s="84"/>
      <c r="L194" s="42">
        <f>SUM(F194+G194)/2</f>
        <v>198.185</v>
      </c>
      <c r="M194" s="31">
        <v>0</v>
      </c>
      <c r="N194" s="429"/>
      <c r="O194" s="31">
        <v>0</v>
      </c>
      <c r="P194" s="426">
        <f t="shared" si="106"/>
        <v>198.185</v>
      </c>
      <c r="Q194" s="178">
        <v>187.92</v>
      </c>
      <c r="R194" s="295"/>
      <c r="S194" s="385">
        <f t="shared" si="95"/>
        <v>-10.265000000000015</v>
      </c>
      <c r="T194" s="31"/>
      <c r="U194" s="474">
        <f t="shared" si="96"/>
        <v>198.185</v>
      </c>
      <c r="V194" s="474">
        <f t="shared" si="97"/>
        <v>0</v>
      </c>
      <c r="W194" s="475">
        <f t="shared" si="98"/>
        <v>0</v>
      </c>
      <c r="X194" s="475">
        <v>0</v>
      </c>
      <c r="Y194" s="476">
        <v>0</v>
      </c>
      <c r="Z194" s="38">
        <f t="shared" si="99"/>
        <v>0</v>
      </c>
      <c r="AA194" s="564">
        <f t="shared" si="100"/>
        <v>396.37</v>
      </c>
      <c r="AB194" s="564">
        <f t="shared" si="101"/>
        <v>0</v>
      </c>
      <c r="AC194" s="564">
        <f t="shared" si="102"/>
        <v>0</v>
      </c>
      <c r="AE194" s="564">
        <f t="shared" si="103"/>
        <v>198.185</v>
      </c>
      <c r="AF194" s="564">
        <f t="shared" si="104"/>
        <v>0</v>
      </c>
      <c r="AG194" s="564">
        <f t="shared" si="105"/>
        <v>0</v>
      </c>
    </row>
    <row r="195" spans="1:33">
      <c r="A195" s="21"/>
      <c r="B195" s="21" t="s">
        <v>110</v>
      </c>
      <c r="C195" s="68" t="s">
        <v>449</v>
      </c>
      <c r="D195" s="449"/>
      <c r="E195" s="529">
        <v>0</v>
      </c>
      <c r="F195" s="579"/>
      <c r="G195" s="579"/>
      <c r="H195" s="524"/>
      <c r="I195" s="379">
        <f t="shared" si="110"/>
        <v>0</v>
      </c>
      <c r="J195" s="31"/>
      <c r="K195" s="84"/>
      <c r="L195" s="42">
        <f>SUM(F195+G195)/2</f>
        <v>0</v>
      </c>
      <c r="M195" s="31">
        <v>0</v>
      </c>
      <c r="N195" s="429"/>
      <c r="O195" s="31">
        <v>0</v>
      </c>
      <c r="P195" s="426">
        <f t="shared" si="106"/>
        <v>0</v>
      </c>
      <c r="Q195" s="178">
        <v>1089.1400000000001</v>
      </c>
      <c r="R195" s="295"/>
      <c r="S195" s="385">
        <f t="shared" si="95"/>
        <v>1089.1400000000001</v>
      </c>
      <c r="T195" s="31"/>
      <c r="U195" s="474">
        <f t="shared" si="96"/>
        <v>0</v>
      </c>
      <c r="V195" s="474">
        <f t="shared" si="97"/>
        <v>0</v>
      </c>
      <c r="W195" s="475">
        <f t="shared" si="98"/>
        <v>0</v>
      </c>
      <c r="X195" s="475">
        <v>0</v>
      </c>
      <c r="Y195" s="476">
        <v>0</v>
      </c>
      <c r="Z195" s="38">
        <f t="shared" si="99"/>
        <v>0</v>
      </c>
      <c r="AA195" s="564">
        <f t="shared" si="100"/>
        <v>0</v>
      </c>
      <c r="AB195" s="564">
        <f t="shared" si="101"/>
        <v>0</v>
      </c>
      <c r="AC195" s="564">
        <f t="shared" si="102"/>
        <v>0</v>
      </c>
      <c r="AE195" s="564">
        <f t="shared" si="103"/>
        <v>0</v>
      </c>
      <c r="AF195" s="564">
        <f t="shared" si="104"/>
        <v>0</v>
      </c>
      <c r="AG195" s="564">
        <f t="shared" si="105"/>
        <v>0</v>
      </c>
    </row>
    <row r="196" spans="1:33">
      <c r="A196" s="21"/>
      <c r="B196" s="21" t="s">
        <v>110</v>
      </c>
      <c r="C196" s="68" t="s">
        <v>39</v>
      </c>
      <c r="D196" s="449"/>
      <c r="E196" s="529">
        <v>0</v>
      </c>
      <c r="F196" s="576">
        <v>1038</v>
      </c>
      <c r="G196" s="576">
        <v>1189.8800000000001</v>
      </c>
      <c r="H196" s="524"/>
      <c r="I196" s="379">
        <f t="shared" si="110"/>
        <v>2227.88</v>
      </c>
      <c r="J196" s="31"/>
      <c r="K196" s="84"/>
      <c r="L196" s="42">
        <f>F196*2</f>
        <v>2076</v>
      </c>
      <c r="M196" s="31">
        <v>0</v>
      </c>
      <c r="N196" s="429">
        <v>2795.15</v>
      </c>
      <c r="O196" s="31">
        <v>0</v>
      </c>
      <c r="P196" s="426">
        <f t="shared" si="106"/>
        <v>2076</v>
      </c>
      <c r="Q196" s="178">
        <f>974.67+186.03+163.65+165.84</f>
        <v>1490.19</v>
      </c>
      <c r="R196" s="295"/>
      <c r="S196" s="385">
        <f t="shared" si="95"/>
        <v>-585.80999999999995</v>
      </c>
      <c r="T196" s="31"/>
      <c r="U196" s="474">
        <f t="shared" si="96"/>
        <v>2076</v>
      </c>
      <c r="V196" s="474">
        <f t="shared" si="97"/>
        <v>0</v>
      </c>
      <c r="W196" s="475">
        <f t="shared" si="98"/>
        <v>0</v>
      </c>
      <c r="X196" s="475">
        <v>0</v>
      </c>
      <c r="Y196" s="476">
        <v>0</v>
      </c>
      <c r="Z196" s="38">
        <f t="shared" si="99"/>
        <v>0</v>
      </c>
      <c r="AA196" s="564">
        <f t="shared" si="100"/>
        <v>2227.88</v>
      </c>
      <c r="AB196" s="564">
        <f t="shared" si="101"/>
        <v>0</v>
      </c>
      <c r="AC196" s="564">
        <f t="shared" si="102"/>
        <v>0</v>
      </c>
      <c r="AE196" s="564">
        <f t="shared" si="103"/>
        <v>2076</v>
      </c>
      <c r="AF196" s="564">
        <f t="shared" si="104"/>
        <v>0</v>
      </c>
      <c r="AG196" s="564">
        <f t="shared" si="105"/>
        <v>0</v>
      </c>
    </row>
    <row r="197" spans="1:33">
      <c r="A197" s="21"/>
      <c r="B197" s="21" t="s">
        <v>109</v>
      </c>
      <c r="C197" s="68" t="s">
        <v>435</v>
      </c>
      <c r="D197" s="449"/>
      <c r="E197" s="529">
        <v>0</v>
      </c>
      <c r="F197" s="576">
        <f>4573.69+582.75</f>
        <v>5156.4399999999996</v>
      </c>
      <c r="G197" s="576">
        <f>5621.23+675.65</f>
        <v>6296.8799999999992</v>
      </c>
      <c r="H197" s="525">
        <f>5653.87+715.55</f>
        <v>6369.42</v>
      </c>
      <c r="I197" s="379">
        <f t="shared" si="110"/>
        <v>17822.739999999998</v>
      </c>
      <c r="J197" s="31"/>
      <c r="K197" s="84"/>
      <c r="L197" s="42">
        <v>0</v>
      </c>
      <c r="M197" s="31">
        <v>0</v>
      </c>
      <c r="N197" s="429">
        <v>17822.740000000002</v>
      </c>
      <c r="O197" s="31">
        <v>0</v>
      </c>
      <c r="P197" s="426">
        <f t="shared" si="106"/>
        <v>0</v>
      </c>
      <c r="Q197" s="178"/>
      <c r="R197" s="295"/>
      <c r="S197" s="385">
        <f t="shared" si="95"/>
        <v>0</v>
      </c>
      <c r="T197" s="31"/>
      <c r="U197" s="474">
        <f t="shared" si="96"/>
        <v>0</v>
      </c>
      <c r="V197" s="474">
        <f t="shared" si="97"/>
        <v>0</v>
      </c>
      <c r="W197" s="475">
        <f t="shared" si="98"/>
        <v>0</v>
      </c>
      <c r="X197" s="475">
        <v>0</v>
      </c>
      <c r="Y197" s="476">
        <v>0</v>
      </c>
      <c r="Z197" s="38">
        <f t="shared" si="99"/>
        <v>0</v>
      </c>
      <c r="AA197" s="564">
        <f t="shared" si="100"/>
        <v>0</v>
      </c>
      <c r="AB197" s="564">
        <f t="shared" si="101"/>
        <v>17822.739999999998</v>
      </c>
      <c r="AC197" s="564">
        <f t="shared" si="102"/>
        <v>0</v>
      </c>
      <c r="AE197" s="564">
        <f t="shared" si="103"/>
        <v>0</v>
      </c>
      <c r="AF197" s="564">
        <f t="shared" si="104"/>
        <v>0</v>
      </c>
      <c r="AG197" s="564">
        <f t="shared" si="105"/>
        <v>0</v>
      </c>
    </row>
    <row r="198" spans="1:33">
      <c r="A198" s="21"/>
      <c r="B198" s="21" t="s">
        <v>110</v>
      </c>
      <c r="C198" s="68" t="s">
        <v>99</v>
      </c>
      <c r="D198" s="449"/>
      <c r="E198" s="529">
        <v>0</v>
      </c>
      <c r="F198" s="579"/>
      <c r="G198" s="579"/>
      <c r="H198" s="524"/>
      <c r="I198" s="379">
        <f t="shared" si="110"/>
        <v>0</v>
      </c>
      <c r="J198" s="31"/>
      <c r="K198" s="84"/>
      <c r="L198" s="42">
        <v>0</v>
      </c>
      <c r="M198" s="31">
        <v>0</v>
      </c>
      <c r="N198" s="429">
        <v>17936.759999999998</v>
      </c>
      <c r="O198" s="31">
        <v>0</v>
      </c>
      <c r="P198" s="426">
        <f t="shared" si="106"/>
        <v>0</v>
      </c>
      <c r="Q198" s="178">
        <f>16534.99+13595.84+16006.86</f>
        <v>46137.69</v>
      </c>
      <c r="R198" s="295"/>
      <c r="S198" s="385">
        <f t="shared" si="95"/>
        <v>46137.69</v>
      </c>
      <c r="T198" s="31"/>
      <c r="U198" s="474">
        <f t="shared" si="96"/>
        <v>0</v>
      </c>
      <c r="V198" s="474">
        <f t="shared" si="97"/>
        <v>0</v>
      </c>
      <c r="W198" s="475">
        <f t="shared" si="98"/>
        <v>0</v>
      </c>
      <c r="X198" s="475">
        <v>0</v>
      </c>
      <c r="Y198" s="476">
        <v>0</v>
      </c>
      <c r="Z198" s="38">
        <f t="shared" si="99"/>
        <v>0</v>
      </c>
      <c r="AA198" s="564">
        <f t="shared" si="100"/>
        <v>0</v>
      </c>
      <c r="AB198" s="564">
        <f t="shared" si="101"/>
        <v>0</v>
      </c>
      <c r="AC198" s="564">
        <f t="shared" si="102"/>
        <v>0</v>
      </c>
      <c r="AE198" s="564">
        <f t="shared" si="103"/>
        <v>0</v>
      </c>
      <c r="AF198" s="564">
        <f t="shared" si="104"/>
        <v>0</v>
      </c>
      <c r="AG198" s="564">
        <f t="shared" si="105"/>
        <v>0</v>
      </c>
    </row>
    <row r="199" spans="1:33" s="232" customFormat="1">
      <c r="A199" s="403"/>
      <c r="B199" s="403" t="s">
        <v>110</v>
      </c>
      <c r="C199" s="123" t="s">
        <v>378</v>
      </c>
      <c r="D199" s="449"/>
      <c r="E199" s="529">
        <v>0</v>
      </c>
      <c r="F199" s="579"/>
      <c r="G199" s="579"/>
      <c r="H199" s="524"/>
      <c r="I199" s="379">
        <f t="shared" si="110"/>
        <v>0</v>
      </c>
      <c r="J199" s="31"/>
      <c r="K199" s="84"/>
      <c r="L199" s="42">
        <v>0</v>
      </c>
      <c r="M199" s="31">
        <v>0</v>
      </c>
      <c r="N199" s="429"/>
      <c r="O199" s="31">
        <v>0</v>
      </c>
      <c r="P199" s="426">
        <f t="shared" si="106"/>
        <v>0</v>
      </c>
      <c r="Q199" s="178"/>
      <c r="R199" s="295"/>
      <c r="S199" s="385">
        <f t="shared" si="95"/>
        <v>0</v>
      </c>
      <c r="T199" s="31"/>
      <c r="U199" s="474">
        <f t="shared" si="96"/>
        <v>0</v>
      </c>
      <c r="V199" s="474">
        <f t="shared" si="97"/>
        <v>0</v>
      </c>
      <c r="W199" s="475">
        <f t="shared" si="98"/>
        <v>0</v>
      </c>
      <c r="X199" s="475">
        <v>0</v>
      </c>
      <c r="Y199" s="476">
        <v>0</v>
      </c>
      <c r="Z199" s="38">
        <f t="shared" si="99"/>
        <v>0</v>
      </c>
      <c r="AA199" s="564">
        <f t="shared" si="100"/>
        <v>0</v>
      </c>
      <c r="AB199" s="564">
        <f t="shared" si="101"/>
        <v>0</v>
      </c>
      <c r="AC199" s="564">
        <f t="shared" si="102"/>
        <v>0</v>
      </c>
      <c r="AD199" s="559"/>
      <c r="AE199" s="564">
        <f t="shared" si="103"/>
        <v>0</v>
      </c>
      <c r="AF199" s="564">
        <f t="shared" si="104"/>
        <v>0</v>
      </c>
      <c r="AG199" s="564">
        <f t="shared" si="105"/>
        <v>0</v>
      </c>
    </row>
    <row r="200" spans="1:33" s="232" customFormat="1">
      <c r="A200" s="403"/>
      <c r="B200" s="403" t="s">
        <v>110</v>
      </c>
      <c r="C200" s="123" t="s">
        <v>303</v>
      </c>
      <c r="D200" s="449"/>
      <c r="E200" s="529">
        <v>0</v>
      </c>
      <c r="F200" s="576">
        <v>87793.919999999998</v>
      </c>
      <c r="G200" s="576">
        <v>89129.05</v>
      </c>
      <c r="H200" s="524"/>
      <c r="I200" s="379">
        <f t="shared" si="110"/>
        <v>176922.97</v>
      </c>
      <c r="J200" s="31"/>
      <c r="K200" s="84"/>
      <c r="L200" s="42">
        <f>SUM(F200+G200)/2</f>
        <v>88461.485000000001</v>
      </c>
      <c r="M200" s="31">
        <v>0</v>
      </c>
      <c r="N200" s="429">
        <f>177145.04+89129.05</f>
        <v>266274.09000000003</v>
      </c>
      <c r="O200" s="31">
        <v>0</v>
      </c>
      <c r="P200" s="426">
        <f t="shared" si="106"/>
        <v>88461.485000000001</v>
      </c>
      <c r="Q200" s="178">
        <v>84859.97</v>
      </c>
      <c r="R200" s="295"/>
      <c r="S200" s="385">
        <f t="shared" si="95"/>
        <v>-3601.5149999999994</v>
      </c>
      <c r="T200" s="31"/>
      <c r="U200" s="474">
        <f t="shared" si="96"/>
        <v>88461.485000000001</v>
      </c>
      <c r="V200" s="474">
        <f t="shared" si="97"/>
        <v>0</v>
      </c>
      <c r="W200" s="475">
        <f t="shared" si="98"/>
        <v>0</v>
      </c>
      <c r="X200" s="475">
        <v>0</v>
      </c>
      <c r="Y200" s="476">
        <v>0</v>
      </c>
      <c r="Z200" s="38">
        <f t="shared" si="99"/>
        <v>0</v>
      </c>
      <c r="AA200" s="564">
        <f t="shared" si="100"/>
        <v>176922.97</v>
      </c>
      <c r="AB200" s="564">
        <f t="shared" si="101"/>
        <v>0</v>
      </c>
      <c r="AC200" s="564">
        <f t="shared" si="102"/>
        <v>0</v>
      </c>
      <c r="AD200" s="559"/>
      <c r="AE200" s="564">
        <f t="shared" si="103"/>
        <v>88461.485000000001</v>
      </c>
      <c r="AF200" s="564">
        <f t="shared" si="104"/>
        <v>0</v>
      </c>
      <c r="AG200" s="564">
        <f t="shared" si="105"/>
        <v>0</v>
      </c>
    </row>
    <row r="201" spans="1:33" s="232" customFormat="1">
      <c r="A201" s="403"/>
      <c r="B201" s="403" t="s">
        <v>110</v>
      </c>
      <c r="C201" s="123" t="s">
        <v>206</v>
      </c>
      <c r="D201" s="449"/>
      <c r="E201" s="529">
        <v>0</v>
      </c>
      <c r="F201" s="579"/>
      <c r="G201" s="579"/>
      <c r="H201" s="524"/>
      <c r="I201" s="379">
        <f t="shared" si="110"/>
        <v>0</v>
      </c>
      <c r="J201" s="31"/>
      <c r="K201" s="84"/>
      <c r="L201" s="42">
        <v>0</v>
      </c>
      <c r="M201" s="31">
        <v>0</v>
      </c>
      <c r="N201" s="429"/>
      <c r="O201" s="31">
        <v>0</v>
      </c>
      <c r="P201" s="426">
        <f t="shared" si="106"/>
        <v>0</v>
      </c>
      <c r="Q201" s="178"/>
      <c r="R201" s="295"/>
      <c r="S201" s="385">
        <f t="shared" si="95"/>
        <v>0</v>
      </c>
      <c r="T201" s="31"/>
      <c r="U201" s="474">
        <f t="shared" si="96"/>
        <v>0</v>
      </c>
      <c r="V201" s="474">
        <f t="shared" si="97"/>
        <v>0</v>
      </c>
      <c r="W201" s="475">
        <f t="shared" si="98"/>
        <v>0</v>
      </c>
      <c r="X201" s="475">
        <v>0</v>
      </c>
      <c r="Y201" s="476">
        <v>0</v>
      </c>
      <c r="Z201" s="38">
        <f t="shared" si="99"/>
        <v>0</v>
      </c>
      <c r="AA201" s="564">
        <f t="shared" si="100"/>
        <v>0</v>
      </c>
      <c r="AB201" s="564">
        <f t="shared" si="101"/>
        <v>0</v>
      </c>
      <c r="AC201" s="564">
        <f t="shared" si="102"/>
        <v>0</v>
      </c>
      <c r="AD201" s="559"/>
      <c r="AE201" s="564">
        <f t="shared" si="103"/>
        <v>0</v>
      </c>
      <c r="AF201" s="564">
        <f t="shared" si="104"/>
        <v>0</v>
      </c>
      <c r="AG201" s="564">
        <f t="shared" si="105"/>
        <v>0</v>
      </c>
    </row>
    <row r="202" spans="1:33" s="232" customFormat="1">
      <c r="A202" s="403"/>
      <c r="B202" s="403" t="s">
        <v>109</v>
      </c>
      <c r="C202" s="123" t="s">
        <v>468</v>
      </c>
      <c r="D202" s="449"/>
      <c r="E202" s="529">
        <v>0</v>
      </c>
      <c r="F202" s="576">
        <v>20499.39</v>
      </c>
      <c r="G202" s="576">
        <v>30010.35</v>
      </c>
      <c r="H202" s="524"/>
      <c r="I202" s="379">
        <f t="shared" si="110"/>
        <v>50509.74</v>
      </c>
      <c r="J202" s="31"/>
      <c r="K202" s="84"/>
      <c r="L202" s="42">
        <f>SUM(F202+G202)/2</f>
        <v>25254.87</v>
      </c>
      <c r="M202" s="31">
        <v>0</v>
      </c>
      <c r="N202" s="429">
        <v>60478.879999999997</v>
      </c>
      <c r="O202" s="31">
        <v>0</v>
      </c>
      <c r="P202" s="426">
        <f t="shared" si="106"/>
        <v>25254.87</v>
      </c>
      <c r="Q202" s="178">
        <v>29766.06</v>
      </c>
      <c r="R202" s="295"/>
      <c r="S202" s="385">
        <f t="shared" si="95"/>
        <v>4511.1900000000023</v>
      </c>
      <c r="T202" s="31"/>
      <c r="U202" s="474">
        <f t="shared" si="96"/>
        <v>0</v>
      </c>
      <c r="V202" s="474">
        <f t="shared" si="97"/>
        <v>25254.87</v>
      </c>
      <c r="W202" s="475">
        <f t="shared" si="98"/>
        <v>0</v>
      </c>
      <c r="X202" s="475">
        <v>0</v>
      </c>
      <c r="Y202" s="476">
        <v>0</v>
      </c>
      <c r="Z202" s="38">
        <f t="shared" si="99"/>
        <v>0</v>
      </c>
      <c r="AA202" s="564">
        <f t="shared" si="100"/>
        <v>0</v>
      </c>
      <c r="AB202" s="564">
        <f t="shared" si="101"/>
        <v>50509.74</v>
      </c>
      <c r="AC202" s="564">
        <f t="shared" si="102"/>
        <v>0</v>
      </c>
      <c r="AD202" s="559"/>
      <c r="AE202" s="564">
        <f t="shared" si="103"/>
        <v>0</v>
      </c>
      <c r="AF202" s="564">
        <f t="shared" si="104"/>
        <v>25254.87</v>
      </c>
      <c r="AG202" s="564">
        <f t="shared" si="105"/>
        <v>0</v>
      </c>
    </row>
    <row r="203" spans="1:33" s="232" customFormat="1">
      <c r="A203" s="403"/>
      <c r="B203" s="403" t="s">
        <v>114</v>
      </c>
      <c r="C203" s="123" t="s">
        <v>241</v>
      </c>
      <c r="D203" s="449"/>
      <c r="E203" s="529">
        <v>0</v>
      </c>
      <c r="F203" s="579"/>
      <c r="G203" s="579"/>
      <c r="H203" s="524"/>
      <c r="I203" s="379">
        <f t="shared" si="110"/>
        <v>0</v>
      </c>
      <c r="J203" s="31"/>
      <c r="K203" s="84"/>
      <c r="L203" s="42">
        <v>0</v>
      </c>
      <c r="M203" s="31">
        <v>0</v>
      </c>
      <c r="N203" s="429"/>
      <c r="O203" s="31">
        <v>0</v>
      </c>
      <c r="P203" s="426">
        <f t="shared" si="106"/>
        <v>0</v>
      </c>
      <c r="Q203" s="178"/>
      <c r="R203" s="295"/>
      <c r="S203" s="385">
        <f t="shared" si="95"/>
        <v>0</v>
      </c>
      <c r="T203" s="31"/>
      <c r="U203" s="474">
        <f t="shared" si="96"/>
        <v>0</v>
      </c>
      <c r="V203" s="474">
        <f t="shared" si="97"/>
        <v>0</v>
      </c>
      <c r="W203" s="475">
        <f t="shared" si="98"/>
        <v>0</v>
      </c>
      <c r="X203" s="475">
        <v>0</v>
      </c>
      <c r="Y203" s="476">
        <v>0</v>
      </c>
      <c r="Z203" s="38">
        <f t="shared" si="99"/>
        <v>0</v>
      </c>
      <c r="AA203" s="564">
        <f t="shared" si="100"/>
        <v>0</v>
      </c>
      <c r="AB203" s="564">
        <f t="shared" si="101"/>
        <v>0</v>
      </c>
      <c r="AC203" s="564">
        <f t="shared" si="102"/>
        <v>0</v>
      </c>
      <c r="AD203" s="559"/>
      <c r="AE203" s="564">
        <f t="shared" si="103"/>
        <v>0</v>
      </c>
      <c r="AF203" s="564">
        <f t="shared" si="104"/>
        <v>0</v>
      </c>
      <c r="AG203" s="564">
        <f t="shared" si="105"/>
        <v>0</v>
      </c>
    </row>
    <row r="204" spans="1:33">
      <c r="A204" s="20"/>
      <c r="B204" s="20" t="s">
        <v>109</v>
      </c>
      <c r="C204" s="68" t="s">
        <v>41</v>
      </c>
      <c r="D204" s="449"/>
      <c r="E204" s="529">
        <v>0</v>
      </c>
      <c r="F204" s="579"/>
      <c r="G204" s="579"/>
      <c r="H204" s="524"/>
      <c r="I204" s="379">
        <f t="shared" si="110"/>
        <v>0</v>
      </c>
      <c r="J204" s="31"/>
      <c r="K204" s="84"/>
      <c r="L204" s="42">
        <v>0</v>
      </c>
      <c r="M204" s="31">
        <v>0</v>
      </c>
      <c r="N204" s="429"/>
      <c r="O204" s="31">
        <v>0</v>
      </c>
      <c r="P204" s="426">
        <f t="shared" si="106"/>
        <v>0</v>
      </c>
      <c r="Q204" s="178">
        <v>10161.129999999999</v>
      </c>
      <c r="R204" s="295"/>
      <c r="S204" s="385">
        <f t="shared" si="95"/>
        <v>10161.129999999999</v>
      </c>
      <c r="T204" s="31"/>
      <c r="U204" s="474">
        <f t="shared" si="96"/>
        <v>0</v>
      </c>
      <c r="V204" s="474">
        <f t="shared" si="97"/>
        <v>0</v>
      </c>
      <c r="W204" s="475">
        <f t="shared" si="98"/>
        <v>0</v>
      </c>
      <c r="X204" s="475">
        <v>0</v>
      </c>
      <c r="Y204" s="476">
        <v>0</v>
      </c>
      <c r="Z204" s="38">
        <f t="shared" si="99"/>
        <v>0</v>
      </c>
      <c r="AA204" s="564">
        <f t="shared" si="100"/>
        <v>0</v>
      </c>
      <c r="AB204" s="564">
        <f t="shared" si="101"/>
        <v>0</v>
      </c>
      <c r="AC204" s="564">
        <f t="shared" si="102"/>
        <v>0</v>
      </c>
      <c r="AE204" s="564">
        <f t="shared" si="103"/>
        <v>0</v>
      </c>
      <c r="AF204" s="564">
        <f t="shared" si="104"/>
        <v>0</v>
      </c>
      <c r="AG204" s="564">
        <f t="shared" si="105"/>
        <v>0</v>
      </c>
    </row>
    <row r="205" spans="1:33">
      <c r="A205" s="20"/>
      <c r="B205" s="20" t="s">
        <v>109</v>
      </c>
      <c r="C205" s="68" t="s">
        <v>221</v>
      </c>
      <c r="D205" s="449"/>
      <c r="E205" s="529">
        <v>0</v>
      </c>
      <c r="F205" s="579"/>
      <c r="G205" s="579"/>
      <c r="H205" s="524"/>
      <c r="I205" s="379">
        <f t="shared" si="110"/>
        <v>0</v>
      </c>
      <c r="J205" s="31"/>
      <c r="K205" s="84"/>
      <c r="L205" s="42">
        <v>0</v>
      </c>
      <c r="M205" s="31">
        <v>0</v>
      </c>
      <c r="N205" s="429"/>
      <c r="O205" s="31">
        <v>0</v>
      </c>
      <c r="P205" s="426">
        <f t="shared" si="106"/>
        <v>0</v>
      </c>
      <c r="Q205" s="178">
        <f>213.04+214.13+202.82</f>
        <v>629.99</v>
      </c>
      <c r="R205" s="295"/>
      <c r="S205" s="385">
        <f t="shared" si="95"/>
        <v>629.99</v>
      </c>
      <c r="T205" s="31"/>
      <c r="U205" s="474">
        <f t="shared" si="96"/>
        <v>0</v>
      </c>
      <c r="V205" s="474">
        <f t="shared" si="97"/>
        <v>0</v>
      </c>
      <c r="W205" s="475">
        <f t="shared" si="98"/>
        <v>0</v>
      </c>
      <c r="X205" s="475">
        <v>0</v>
      </c>
      <c r="Y205" s="476">
        <v>0</v>
      </c>
      <c r="Z205" s="38">
        <f t="shared" si="99"/>
        <v>0</v>
      </c>
      <c r="AA205" s="564">
        <f t="shared" si="100"/>
        <v>0</v>
      </c>
      <c r="AB205" s="564">
        <f t="shared" si="101"/>
        <v>0</v>
      </c>
      <c r="AC205" s="564">
        <f t="shared" si="102"/>
        <v>0</v>
      </c>
      <c r="AE205" s="564">
        <f t="shared" si="103"/>
        <v>0</v>
      </c>
      <c r="AF205" s="564">
        <f t="shared" si="104"/>
        <v>0</v>
      </c>
      <c r="AG205" s="564">
        <f t="shared" si="105"/>
        <v>0</v>
      </c>
    </row>
    <row r="206" spans="1:33" s="146" customFormat="1">
      <c r="A206" s="21" t="s">
        <v>109</v>
      </c>
      <c r="B206" s="21" t="s">
        <v>110</v>
      </c>
      <c r="C206" s="68" t="s">
        <v>98</v>
      </c>
      <c r="D206" s="449">
        <v>-1963.99</v>
      </c>
      <c r="E206" s="529">
        <v>0</v>
      </c>
      <c r="F206" s="579"/>
      <c r="G206" s="579"/>
      <c r="H206" s="524"/>
      <c r="I206" s="379">
        <f t="shared" si="110"/>
        <v>-1963.99</v>
      </c>
      <c r="J206" s="31"/>
      <c r="K206" s="84"/>
      <c r="L206" s="42">
        <v>0</v>
      </c>
      <c r="M206" s="31">
        <v>0</v>
      </c>
      <c r="N206" s="429"/>
      <c r="O206" s="31">
        <v>0</v>
      </c>
      <c r="P206" s="426">
        <f t="shared" si="106"/>
        <v>0</v>
      </c>
      <c r="Q206" s="178"/>
      <c r="R206" s="295"/>
      <c r="S206" s="385">
        <f t="shared" si="95"/>
        <v>0</v>
      </c>
      <c r="T206" s="31"/>
      <c r="U206" s="474">
        <f t="shared" si="96"/>
        <v>0</v>
      </c>
      <c r="V206" s="474">
        <f t="shared" si="97"/>
        <v>0</v>
      </c>
      <c r="W206" s="475">
        <f t="shared" si="98"/>
        <v>0</v>
      </c>
      <c r="X206" s="475">
        <v>0</v>
      </c>
      <c r="Y206" s="476">
        <v>0</v>
      </c>
      <c r="Z206" s="38">
        <f t="shared" si="99"/>
        <v>0</v>
      </c>
      <c r="AA206" s="564">
        <f t="shared" si="100"/>
        <v>-1963.99</v>
      </c>
      <c r="AB206" s="564">
        <f t="shared" si="101"/>
        <v>0</v>
      </c>
      <c r="AC206" s="564">
        <f t="shared" si="102"/>
        <v>0</v>
      </c>
      <c r="AD206" s="559"/>
      <c r="AE206" s="564">
        <f t="shared" si="103"/>
        <v>0</v>
      </c>
      <c r="AF206" s="564">
        <f t="shared" si="104"/>
        <v>0</v>
      </c>
      <c r="AG206" s="564">
        <f t="shared" si="105"/>
        <v>0</v>
      </c>
    </row>
    <row r="207" spans="1:33">
      <c r="A207" s="20"/>
      <c r="B207" s="20" t="s">
        <v>110</v>
      </c>
      <c r="C207" s="68" t="s">
        <v>508</v>
      </c>
      <c r="D207" s="449"/>
      <c r="E207" s="529">
        <v>0</v>
      </c>
      <c r="F207" s="579"/>
      <c r="G207" s="579"/>
      <c r="H207" s="524"/>
      <c r="I207" s="379">
        <f t="shared" ref="I207" si="126">SUM(D207:H207)</f>
        <v>0</v>
      </c>
      <c r="J207" s="31"/>
      <c r="K207" s="84"/>
      <c r="L207" s="42">
        <v>0</v>
      </c>
      <c r="M207" s="31">
        <v>0</v>
      </c>
      <c r="N207" s="429"/>
      <c r="O207" s="31">
        <v>0</v>
      </c>
      <c r="P207" s="426">
        <f t="shared" si="106"/>
        <v>0</v>
      </c>
      <c r="Q207" s="178">
        <v>47</v>
      </c>
      <c r="R207" s="295"/>
      <c r="S207" s="385">
        <f t="shared" si="95"/>
        <v>47</v>
      </c>
      <c r="T207" s="31"/>
      <c r="U207" s="474">
        <f t="shared" si="96"/>
        <v>0</v>
      </c>
      <c r="V207" s="474">
        <f t="shared" si="97"/>
        <v>0</v>
      </c>
      <c r="W207" s="475">
        <f t="shared" si="98"/>
        <v>0</v>
      </c>
      <c r="X207" s="475">
        <v>0</v>
      </c>
      <c r="Y207" s="476">
        <v>0</v>
      </c>
      <c r="Z207" s="38">
        <f t="shared" si="99"/>
        <v>0</v>
      </c>
      <c r="AA207" s="564">
        <f t="shared" si="100"/>
        <v>0</v>
      </c>
      <c r="AB207" s="564">
        <f t="shared" si="101"/>
        <v>0</v>
      </c>
      <c r="AC207" s="564">
        <f t="shared" si="102"/>
        <v>0</v>
      </c>
      <c r="AE207" s="564">
        <f t="shared" si="103"/>
        <v>0</v>
      </c>
      <c r="AF207" s="564">
        <f t="shared" si="104"/>
        <v>0</v>
      </c>
      <c r="AG207" s="564">
        <f t="shared" si="105"/>
        <v>0</v>
      </c>
    </row>
    <row r="208" spans="1:33">
      <c r="A208" s="21"/>
      <c r="B208" s="21" t="s">
        <v>110</v>
      </c>
      <c r="C208" s="68" t="s">
        <v>43</v>
      </c>
      <c r="D208" s="449"/>
      <c r="E208" s="529">
        <v>0</v>
      </c>
      <c r="F208" s="576">
        <v>995.04</v>
      </c>
      <c r="G208" s="576">
        <v>947.81</v>
      </c>
      <c r="H208" s="524"/>
      <c r="I208" s="379">
        <f t="shared" si="110"/>
        <v>1942.85</v>
      </c>
      <c r="J208" s="31"/>
      <c r="K208" s="84"/>
      <c r="L208" s="42">
        <f>F208*2</f>
        <v>1990.08</v>
      </c>
      <c r="M208" s="31">
        <v>0</v>
      </c>
      <c r="N208" s="429">
        <v>1942.84</v>
      </c>
      <c r="O208" s="31">
        <v>0</v>
      </c>
      <c r="P208" s="426">
        <f t="shared" si="106"/>
        <v>1990.08</v>
      </c>
      <c r="Q208" s="178">
        <v>1058.78</v>
      </c>
      <c r="R208" s="295"/>
      <c r="S208" s="385">
        <f t="shared" si="95"/>
        <v>-931.3</v>
      </c>
      <c r="T208" s="31"/>
      <c r="U208" s="474">
        <f t="shared" si="96"/>
        <v>1990.08</v>
      </c>
      <c r="V208" s="474">
        <f t="shared" si="97"/>
        <v>0</v>
      </c>
      <c r="W208" s="475">
        <f t="shared" si="98"/>
        <v>0</v>
      </c>
      <c r="X208" s="475">
        <v>0</v>
      </c>
      <c r="Y208" s="476">
        <v>0</v>
      </c>
      <c r="Z208" s="38">
        <f t="shared" si="99"/>
        <v>0</v>
      </c>
      <c r="AA208" s="564">
        <f t="shared" si="100"/>
        <v>1942.85</v>
      </c>
      <c r="AB208" s="564">
        <f t="shared" si="101"/>
        <v>0</v>
      </c>
      <c r="AC208" s="564">
        <f t="shared" si="102"/>
        <v>0</v>
      </c>
      <c r="AE208" s="564">
        <f t="shared" si="103"/>
        <v>1990.08</v>
      </c>
      <c r="AF208" s="564">
        <f t="shared" si="104"/>
        <v>0</v>
      </c>
      <c r="AG208" s="564">
        <f t="shared" si="105"/>
        <v>0</v>
      </c>
    </row>
    <row r="209" spans="1:33">
      <c r="A209" s="21"/>
      <c r="B209" s="21" t="s">
        <v>109</v>
      </c>
      <c r="C209" s="68" t="s">
        <v>44</v>
      </c>
      <c r="D209" s="449"/>
      <c r="E209" s="529">
        <v>0</v>
      </c>
      <c r="F209" s="576">
        <v>5454</v>
      </c>
      <c r="G209" s="576">
        <v>4707.3</v>
      </c>
      <c r="H209" s="524"/>
      <c r="I209" s="379">
        <f t="shared" si="110"/>
        <v>10161.299999999999</v>
      </c>
      <c r="J209" s="31"/>
      <c r="K209" s="84"/>
      <c r="L209" s="42">
        <f>SUM(F209+G209)/2</f>
        <v>5080.6499999999996</v>
      </c>
      <c r="M209" s="31">
        <v>0</v>
      </c>
      <c r="N209" s="429">
        <v>15518.7</v>
      </c>
      <c r="O209" s="31">
        <v>0</v>
      </c>
      <c r="P209" s="426">
        <f t="shared" si="106"/>
        <v>5080.6499999999996</v>
      </c>
      <c r="Q209" s="178">
        <v>6121.8</v>
      </c>
      <c r="R209" s="295"/>
      <c r="S209" s="385">
        <f t="shared" si="95"/>
        <v>1041.1500000000005</v>
      </c>
      <c r="T209" s="31"/>
      <c r="U209" s="474">
        <f t="shared" si="96"/>
        <v>0</v>
      </c>
      <c r="V209" s="474">
        <f t="shared" si="97"/>
        <v>5080.6499999999996</v>
      </c>
      <c r="W209" s="475">
        <f t="shared" si="98"/>
        <v>0</v>
      </c>
      <c r="X209" s="475">
        <v>0</v>
      </c>
      <c r="Y209" s="476">
        <v>0</v>
      </c>
      <c r="Z209" s="38">
        <f t="shared" si="99"/>
        <v>0</v>
      </c>
      <c r="AA209" s="564">
        <f t="shared" si="100"/>
        <v>0</v>
      </c>
      <c r="AB209" s="564">
        <f t="shared" si="101"/>
        <v>10161.299999999999</v>
      </c>
      <c r="AC209" s="564">
        <f t="shared" si="102"/>
        <v>0</v>
      </c>
      <c r="AE209" s="564">
        <f t="shared" si="103"/>
        <v>0</v>
      </c>
      <c r="AF209" s="564">
        <f t="shared" si="104"/>
        <v>5080.6499999999996</v>
      </c>
      <c r="AG209" s="564">
        <f t="shared" si="105"/>
        <v>0</v>
      </c>
    </row>
    <row r="210" spans="1:33">
      <c r="A210" s="21"/>
      <c r="B210" s="21" t="s">
        <v>110</v>
      </c>
      <c r="C210" s="68" t="s">
        <v>388</v>
      </c>
      <c r="D210" s="449"/>
      <c r="E210" s="529">
        <v>0</v>
      </c>
      <c r="F210" s="576">
        <v>10895.95</v>
      </c>
      <c r="G210" s="576">
        <v>12078.55</v>
      </c>
      <c r="H210" s="524"/>
      <c r="I210" s="379">
        <f t="shared" si="110"/>
        <v>22974.5</v>
      </c>
      <c r="J210" s="31"/>
      <c r="K210" s="84"/>
      <c r="L210" s="42">
        <f>SUM(F210+G210)/2</f>
        <v>11487.25</v>
      </c>
      <c r="M210" s="31">
        <v>0</v>
      </c>
      <c r="N210" s="429">
        <v>33785.49</v>
      </c>
      <c r="O210" s="31">
        <v>0</v>
      </c>
      <c r="P210" s="426">
        <f t="shared" si="106"/>
        <v>11487.25</v>
      </c>
      <c r="Q210" s="178">
        <v>15475.81</v>
      </c>
      <c r="R210" s="295"/>
      <c r="S210" s="385">
        <f t="shared" si="95"/>
        <v>3988.5599999999995</v>
      </c>
      <c r="T210" s="31"/>
      <c r="U210" s="474">
        <f t="shared" si="96"/>
        <v>11487.25</v>
      </c>
      <c r="V210" s="474">
        <f t="shared" si="97"/>
        <v>0</v>
      </c>
      <c r="W210" s="475">
        <f t="shared" si="98"/>
        <v>0</v>
      </c>
      <c r="X210" s="475">
        <v>0</v>
      </c>
      <c r="Y210" s="476">
        <v>0</v>
      </c>
      <c r="Z210" s="38">
        <f t="shared" si="99"/>
        <v>0</v>
      </c>
      <c r="AA210" s="564">
        <f t="shared" si="100"/>
        <v>22974.5</v>
      </c>
      <c r="AB210" s="564">
        <f t="shared" si="101"/>
        <v>0</v>
      </c>
      <c r="AC210" s="564">
        <f t="shared" si="102"/>
        <v>0</v>
      </c>
      <c r="AE210" s="564">
        <f t="shared" si="103"/>
        <v>11487.25</v>
      </c>
      <c r="AF210" s="564">
        <f t="shared" si="104"/>
        <v>0</v>
      </c>
      <c r="AG210" s="564">
        <f t="shared" si="105"/>
        <v>0</v>
      </c>
    </row>
    <row r="211" spans="1:33">
      <c r="A211" s="21"/>
      <c r="B211" s="21" t="s">
        <v>110</v>
      </c>
      <c r="C211" s="68" t="s">
        <v>45</v>
      </c>
      <c r="D211" s="449"/>
      <c r="E211" s="529">
        <v>0</v>
      </c>
      <c r="F211" s="576">
        <v>3732.3</v>
      </c>
      <c r="G211" s="579"/>
      <c r="H211" s="524"/>
      <c r="I211" s="379">
        <f t="shared" si="110"/>
        <v>3732.3</v>
      </c>
      <c r="J211" s="31"/>
      <c r="K211" s="84"/>
      <c r="L211" s="42">
        <f>F211*2</f>
        <v>7464.6</v>
      </c>
      <c r="M211" s="31">
        <v>0</v>
      </c>
      <c r="N211" s="429">
        <v>19350.060000000001</v>
      </c>
      <c r="O211" s="31">
        <v>0</v>
      </c>
      <c r="P211" s="426">
        <f t="shared" si="106"/>
        <v>7464.6</v>
      </c>
      <c r="Q211" s="178">
        <f>157.38+4623.55</f>
        <v>4780.93</v>
      </c>
      <c r="R211" s="295"/>
      <c r="S211" s="385">
        <f t="shared" si="95"/>
        <v>-2683.67</v>
      </c>
      <c r="T211" s="31"/>
      <c r="U211" s="474">
        <f t="shared" si="96"/>
        <v>7464.6</v>
      </c>
      <c r="V211" s="474">
        <f t="shared" si="97"/>
        <v>0</v>
      </c>
      <c r="W211" s="475">
        <f t="shared" si="98"/>
        <v>0</v>
      </c>
      <c r="X211" s="475">
        <v>0</v>
      </c>
      <c r="Y211" s="476">
        <v>0</v>
      </c>
      <c r="Z211" s="38">
        <f t="shared" si="99"/>
        <v>0</v>
      </c>
      <c r="AA211" s="564">
        <f t="shared" si="100"/>
        <v>3732.3</v>
      </c>
      <c r="AB211" s="564">
        <f t="shared" si="101"/>
        <v>0</v>
      </c>
      <c r="AC211" s="564">
        <f t="shared" si="102"/>
        <v>0</v>
      </c>
      <c r="AE211" s="564">
        <f t="shared" si="103"/>
        <v>7464.6</v>
      </c>
      <c r="AF211" s="564">
        <f t="shared" si="104"/>
        <v>0</v>
      </c>
      <c r="AG211" s="564">
        <f t="shared" si="105"/>
        <v>0</v>
      </c>
    </row>
    <row r="212" spans="1:33">
      <c r="A212" s="20"/>
      <c r="B212" s="20" t="s">
        <v>110</v>
      </c>
      <c r="C212" s="68" t="s">
        <v>46</v>
      </c>
      <c r="D212" s="449"/>
      <c r="E212" s="529">
        <v>0</v>
      </c>
      <c r="F212" s="579"/>
      <c r="G212" s="579"/>
      <c r="H212" s="524"/>
      <c r="I212" s="379">
        <f t="shared" si="110"/>
        <v>0</v>
      </c>
      <c r="J212" s="31"/>
      <c r="K212" s="84"/>
      <c r="L212" s="42">
        <v>0</v>
      </c>
      <c r="M212" s="31">
        <v>0</v>
      </c>
      <c r="N212" s="429"/>
      <c r="O212" s="31">
        <v>0</v>
      </c>
      <c r="P212" s="426">
        <f t="shared" si="106"/>
        <v>0</v>
      </c>
      <c r="Q212" s="178"/>
      <c r="R212" s="295"/>
      <c r="S212" s="385">
        <f t="shared" ref="S212:S265" si="127">Q212-P212</f>
        <v>0</v>
      </c>
      <c r="T212" s="31"/>
      <c r="U212" s="474">
        <f t="shared" si="96"/>
        <v>0</v>
      </c>
      <c r="V212" s="474">
        <f t="shared" si="97"/>
        <v>0</v>
      </c>
      <c r="W212" s="475">
        <f t="shared" si="98"/>
        <v>0</v>
      </c>
      <c r="X212" s="475">
        <v>0</v>
      </c>
      <c r="Y212" s="476">
        <v>0</v>
      </c>
      <c r="Z212" s="38">
        <f t="shared" si="99"/>
        <v>0</v>
      </c>
      <c r="AA212" s="564">
        <f t="shared" si="100"/>
        <v>0</v>
      </c>
      <c r="AB212" s="564">
        <f t="shared" si="101"/>
        <v>0</v>
      </c>
      <c r="AC212" s="564">
        <f t="shared" si="102"/>
        <v>0</v>
      </c>
      <c r="AE212" s="564">
        <f t="shared" si="103"/>
        <v>0</v>
      </c>
      <c r="AF212" s="564">
        <f t="shared" si="104"/>
        <v>0</v>
      </c>
      <c r="AG212" s="564">
        <f t="shared" si="105"/>
        <v>0</v>
      </c>
    </row>
    <row r="213" spans="1:33">
      <c r="A213" s="21"/>
      <c r="B213" s="21" t="s">
        <v>109</v>
      </c>
      <c r="C213" s="68" t="s">
        <v>47</v>
      </c>
      <c r="D213" s="449"/>
      <c r="E213" s="529">
        <v>0</v>
      </c>
      <c r="F213" s="579"/>
      <c r="G213" s="579"/>
      <c r="H213" s="524"/>
      <c r="I213" s="379">
        <f t="shared" si="110"/>
        <v>0</v>
      </c>
      <c r="J213" s="31"/>
      <c r="K213" s="84"/>
      <c r="L213" s="42">
        <v>0</v>
      </c>
      <c r="M213" s="31">
        <v>0</v>
      </c>
      <c r="N213" s="429"/>
      <c r="O213" s="31">
        <v>0</v>
      </c>
      <c r="P213" s="426">
        <f t="shared" si="106"/>
        <v>0</v>
      </c>
      <c r="Q213" s="178"/>
      <c r="R213" s="295"/>
      <c r="S213" s="385">
        <f t="shared" si="127"/>
        <v>0</v>
      </c>
      <c r="T213" s="31"/>
      <c r="U213" s="474">
        <f t="shared" si="96"/>
        <v>0</v>
      </c>
      <c r="V213" s="474">
        <f t="shared" si="97"/>
        <v>0</v>
      </c>
      <c r="W213" s="475">
        <f t="shared" si="98"/>
        <v>0</v>
      </c>
      <c r="X213" s="475">
        <v>0</v>
      </c>
      <c r="Y213" s="476">
        <v>0</v>
      </c>
      <c r="Z213" s="38">
        <f t="shared" si="99"/>
        <v>0</v>
      </c>
      <c r="AA213" s="564">
        <f t="shared" si="100"/>
        <v>0</v>
      </c>
      <c r="AB213" s="564">
        <f t="shared" si="101"/>
        <v>0</v>
      </c>
      <c r="AC213" s="564">
        <f t="shared" si="102"/>
        <v>0</v>
      </c>
      <c r="AE213" s="564">
        <f t="shared" si="103"/>
        <v>0</v>
      </c>
      <c r="AF213" s="564">
        <f t="shared" si="104"/>
        <v>0</v>
      </c>
      <c r="AG213" s="564">
        <f t="shared" si="105"/>
        <v>0</v>
      </c>
    </row>
    <row r="214" spans="1:33">
      <c r="A214" s="20" t="s">
        <v>211</v>
      </c>
      <c r="B214" s="20" t="s">
        <v>110</v>
      </c>
      <c r="C214" s="68" t="s">
        <v>233</v>
      </c>
      <c r="D214" s="449"/>
      <c r="E214" s="529">
        <v>0</v>
      </c>
      <c r="F214" s="579"/>
      <c r="G214" s="579"/>
      <c r="H214" s="524"/>
      <c r="I214" s="379">
        <f t="shared" si="110"/>
        <v>0</v>
      </c>
      <c r="J214" s="31"/>
      <c r="K214" s="84"/>
      <c r="L214" s="42">
        <v>0</v>
      </c>
      <c r="M214" s="31">
        <v>0</v>
      </c>
      <c r="N214" s="429"/>
      <c r="O214" s="31">
        <v>0</v>
      </c>
      <c r="P214" s="426">
        <f t="shared" si="106"/>
        <v>0</v>
      </c>
      <c r="Q214" s="178"/>
      <c r="R214" s="295"/>
      <c r="S214" s="385">
        <f t="shared" si="127"/>
        <v>0</v>
      </c>
      <c r="T214" s="2"/>
      <c r="U214" s="474">
        <f t="shared" si="96"/>
        <v>0</v>
      </c>
      <c r="V214" s="474">
        <f t="shared" si="97"/>
        <v>0</v>
      </c>
      <c r="W214" s="475">
        <f t="shared" si="98"/>
        <v>0</v>
      </c>
      <c r="X214" s="475">
        <v>0</v>
      </c>
      <c r="Y214" s="476">
        <v>0</v>
      </c>
      <c r="Z214" s="38">
        <f t="shared" si="99"/>
        <v>0</v>
      </c>
      <c r="AA214" s="564">
        <f t="shared" si="100"/>
        <v>0</v>
      </c>
      <c r="AB214" s="564">
        <f t="shared" si="101"/>
        <v>0</v>
      </c>
      <c r="AC214" s="564">
        <f t="shared" si="102"/>
        <v>0</v>
      </c>
      <c r="AE214" s="564">
        <f t="shared" si="103"/>
        <v>0</v>
      </c>
      <c r="AF214" s="564">
        <f t="shared" si="104"/>
        <v>0</v>
      </c>
      <c r="AG214" s="564">
        <f t="shared" si="105"/>
        <v>0</v>
      </c>
    </row>
    <row r="215" spans="1:33">
      <c r="A215" s="20" t="s">
        <v>211</v>
      </c>
      <c r="B215" s="20" t="s">
        <v>110</v>
      </c>
      <c r="C215" s="68" t="s">
        <v>503</v>
      </c>
      <c r="D215" s="449"/>
      <c r="E215" s="529">
        <v>0</v>
      </c>
      <c r="F215" s="579"/>
      <c r="G215" s="579"/>
      <c r="H215" s="524"/>
      <c r="I215" s="379">
        <f t="shared" ref="I215" si="128">SUM(D215:H215)</f>
        <v>0</v>
      </c>
      <c r="J215" s="31"/>
      <c r="K215" s="84"/>
      <c r="L215" s="42">
        <v>0</v>
      </c>
      <c r="M215" s="31">
        <v>0</v>
      </c>
      <c r="N215" s="429"/>
      <c r="O215" s="31">
        <v>0</v>
      </c>
      <c r="P215" s="426">
        <f t="shared" ref="P215" si="129">K215+L215</f>
        <v>0</v>
      </c>
      <c r="Q215" s="178"/>
      <c r="R215" s="295"/>
      <c r="S215" s="385">
        <f t="shared" si="127"/>
        <v>0</v>
      </c>
      <c r="T215" s="2"/>
      <c r="U215" s="474">
        <f t="shared" ref="U215" si="130">IF(B215="D",P215,0)</f>
        <v>0</v>
      </c>
      <c r="V215" s="474">
        <f t="shared" ref="V215" si="131">IF(B215="M",P215,0)</f>
        <v>0</v>
      </c>
      <c r="W215" s="475">
        <f t="shared" ref="W215" si="132">IF(B215="V",P215,0)</f>
        <v>0</v>
      </c>
      <c r="X215" s="475">
        <v>0</v>
      </c>
      <c r="Y215" s="476">
        <v>0</v>
      </c>
      <c r="Z215" s="38">
        <f t="shared" ref="Z215" si="133">(K215+L215)-(U215+V215+W215+X215+Y215)</f>
        <v>0</v>
      </c>
      <c r="AA215" s="564">
        <f t="shared" ref="AA215" si="134">IF(B215="D",I215,0)</f>
        <v>0</v>
      </c>
      <c r="AB215" s="564">
        <f t="shared" ref="AB215" si="135">IF(B215="M",I215,0)</f>
        <v>0</v>
      </c>
      <c r="AC215" s="564">
        <f t="shared" ref="AC215" si="136">IF(B215="V",I215,0)</f>
        <v>0</v>
      </c>
      <c r="AE215" s="564">
        <f t="shared" ref="AE215" si="137">IF(B215="D",P215,0)</f>
        <v>0</v>
      </c>
      <c r="AF215" s="564">
        <f t="shared" ref="AF215" si="138">IF(B215="M",P215,0)</f>
        <v>0</v>
      </c>
      <c r="AG215" s="564">
        <f t="shared" ref="AG215" si="139">IF(B215="V",P215,0)</f>
        <v>0</v>
      </c>
    </row>
    <row r="216" spans="1:33">
      <c r="A216" s="20" t="s">
        <v>211</v>
      </c>
      <c r="B216" s="20" t="s">
        <v>109</v>
      </c>
      <c r="C216" s="68" t="s">
        <v>48</v>
      </c>
      <c r="D216" s="449">
        <f>430.49+308.8+336.76+244.98</f>
        <v>1321.03</v>
      </c>
      <c r="E216" s="529">
        <v>0</v>
      </c>
      <c r="F216" s="579"/>
      <c r="G216" s="579"/>
      <c r="H216" s="524"/>
      <c r="I216" s="379">
        <f t="shared" si="110"/>
        <v>1321.03</v>
      </c>
      <c r="J216" s="31"/>
      <c r="K216" s="84"/>
      <c r="L216" s="42">
        <v>0</v>
      </c>
      <c r="M216" s="31">
        <v>0</v>
      </c>
      <c r="N216" s="429">
        <v>1484.61</v>
      </c>
      <c r="O216" s="31">
        <v>0</v>
      </c>
      <c r="P216" s="426">
        <f t="shared" si="106"/>
        <v>0</v>
      </c>
      <c r="Q216" s="178"/>
      <c r="R216" s="295"/>
      <c r="S216" s="385">
        <f t="shared" si="127"/>
        <v>0</v>
      </c>
      <c r="T216" s="2"/>
      <c r="U216" s="474">
        <f t="shared" si="96"/>
        <v>0</v>
      </c>
      <c r="V216" s="474">
        <f t="shared" si="97"/>
        <v>0</v>
      </c>
      <c r="W216" s="475">
        <f t="shared" si="98"/>
        <v>0</v>
      </c>
      <c r="X216" s="475">
        <v>0</v>
      </c>
      <c r="Y216" s="476">
        <v>0</v>
      </c>
      <c r="Z216" s="38">
        <f t="shared" si="99"/>
        <v>0</v>
      </c>
      <c r="AA216" s="564">
        <f t="shared" si="100"/>
        <v>0</v>
      </c>
      <c r="AB216" s="564">
        <f t="shared" si="101"/>
        <v>1321.03</v>
      </c>
      <c r="AC216" s="564">
        <f t="shared" si="102"/>
        <v>0</v>
      </c>
      <c r="AE216" s="564">
        <f t="shared" si="103"/>
        <v>0</v>
      </c>
      <c r="AF216" s="564">
        <f t="shared" si="104"/>
        <v>0</v>
      </c>
      <c r="AG216" s="564">
        <f t="shared" si="105"/>
        <v>0</v>
      </c>
    </row>
    <row r="217" spans="1:33">
      <c r="A217" s="20"/>
      <c r="B217" s="20" t="s">
        <v>110</v>
      </c>
      <c r="C217" s="68" t="s">
        <v>102</v>
      </c>
      <c r="D217" s="449"/>
      <c r="E217" s="529">
        <v>0</v>
      </c>
      <c r="F217" s="576">
        <v>353802.97</v>
      </c>
      <c r="G217" s="579"/>
      <c r="H217" s="524"/>
      <c r="I217" s="379">
        <f t="shared" si="110"/>
        <v>353802.97</v>
      </c>
      <c r="J217" s="31"/>
      <c r="K217" s="258">
        <f>248537+124000+10573+250105+128000+18192</f>
        <v>779407</v>
      </c>
      <c r="L217" s="42"/>
      <c r="M217" s="31">
        <v>0</v>
      </c>
      <c r="N217" s="429">
        <v>697568.68</v>
      </c>
      <c r="O217" s="31">
        <v>0</v>
      </c>
      <c r="P217" s="426">
        <f t="shared" si="106"/>
        <v>779407</v>
      </c>
      <c r="Q217" s="178">
        <f>385938+392760.14</f>
        <v>778698.14</v>
      </c>
      <c r="R217" s="295"/>
      <c r="S217" s="385">
        <f t="shared" si="127"/>
        <v>-708.85999999998603</v>
      </c>
      <c r="T217" s="2"/>
      <c r="U217" s="474">
        <f t="shared" si="96"/>
        <v>779407</v>
      </c>
      <c r="V217" s="474">
        <f t="shared" si="97"/>
        <v>0</v>
      </c>
      <c r="W217" s="475">
        <f t="shared" si="98"/>
        <v>0</v>
      </c>
      <c r="X217" s="475">
        <v>0</v>
      </c>
      <c r="Y217" s="476">
        <v>0</v>
      </c>
      <c r="Z217" s="38">
        <f t="shared" si="99"/>
        <v>0</v>
      </c>
      <c r="AA217" s="564">
        <f t="shared" si="100"/>
        <v>353802.97</v>
      </c>
      <c r="AB217" s="564">
        <f t="shared" si="101"/>
        <v>0</v>
      </c>
      <c r="AC217" s="564">
        <f t="shared" si="102"/>
        <v>0</v>
      </c>
      <c r="AE217" s="564">
        <f t="shared" si="103"/>
        <v>779407</v>
      </c>
      <c r="AF217" s="564">
        <f t="shared" si="104"/>
        <v>0</v>
      </c>
      <c r="AG217" s="564">
        <f t="shared" si="105"/>
        <v>0</v>
      </c>
    </row>
    <row r="218" spans="1:33">
      <c r="A218" s="20"/>
      <c r="B218" s="20" t="s">
        <v>110</v>
      </c>
      <c r="C218" s="68" t="s">
        <v>511</v>
      </c>
      <c r="D218" s="449"/>
      <c r="E218" s="529">
        <v>0</v>
      </c>
      <c r="F218" s="524"/>
      <c r="G218" s="524"/>
      <c r="H218" s="524"/>
      <c r="I218" s="379">
        <f t="shared" ref="I218" si="140">SUM(D218:H218)</f>
        <v>0</v>
      </c>
      <c r="J218" s="31"/>
      <c r="K218" s="258"/>
      <c r="L218" s="42"/>
      <c r="M218" s="31">
        <v>0</v>
      </c>
      <c r="N218" s="429"/>
      <c r="O218" s="31">
        <v>0</v>
      </c>
      <c r="P218" s="426">
        <f t="shared" ref="P218" si="141">K218+L218</f>
        <v>0</v>
      </c>
      <c r="Q218" s="178">
        <f>10580.41+18061.46+5.07</f>
        <v>28646.94</v>
      </c>
      <c r="R218" s="295"/>
      <c r="S218" s="385">
        <f t="shared" si="127"/>
        <v>28646.94</v>
      </c>
      <c r="T218" s="2"/>
      <c r="U218" s="474">
        <f t="shared" ref="U218" si="142">IF(B218="D",P218,0)</f>
        <v>0</v>
      </c>
      <c r="V218" s="474">
        <f t="shared" ref="V218" si="143">IF(B218="M",P218,0)</f>
        <v>0</v>
      </c>
      <c r="W218" s="475">
        <f t="shared" ref="W218" si="144">IF(B218="V",P218,0)</f>
        <v>0</v>
      </c>
      <c r="X218" s="475">
        <v>0</v>
      </c>
      <c r="Y218" s="476">
        <v>0</v>
      </c>
      <c r="Z218" s="38">
        <f t="shared" ref="Z218" si="145">(K218+L218)-(U218+V218+W218+X218+Y218)</f>
        <v>0</v>
      </c>
      <c r="AA218" s="564">
        <f t="shared" ref="AA218" si="146">IF(B218="D",I218,0)</f>
        <v>0</v>
      </c>
      <c r="AB218" s="564">
        <f t="shared" ref="AB218" si="147">IF(B218="M",I218,0)</f>
        <v>0</v>
      </c>
      <c r="AC218" s="564">
        <f t="shared" ref="AC218" si="148">IF(B218="V",I218,0)</f>
        <v>0</v>
      </c>
      <c r="AE218" s="564">
        <f t="shared" ref="AE218" si="149">IF(B218="D",P218,0)</f>
        <v>0</v>
      </c>
      <c r="AF218" s="564">
        <f t="shared" ref="AF218" si="150">IF(B218="M",P218,0)</f>
        <v>0</v>
      </c>
      <c r="AG218" s="564">
        <f t="shared" ref="AG218" si="151">IF(B218="V",P218,0)</f>
        <v>0</v>
      </c>
    </row>
    <row r="219" spans="1:33">
      <c r="A219" s="21"/>
      <c r="B219" s="21" t="s">
        <v>110</v>
      </c>
      <c r="C219" s="68" t="s">
        <v>50</v>
      </c>
      <c r="D219" s="449"/>
      <c r="E219" s="529">
        <v>0</v>
      </c>
      <c r="F219" s="576">
        <v>1378.32</v>
      </c>
      <c r="G219" s="576">
        <v>1719.62</v>
      </c>
      <c r="H219" s="525">
        <v>2556.5500000000002</v>
      </c>
      <c r="I219" s="379">
        <f t="shared" si="110"/>
        <v>5654.49</v>
      </c>
      <c r="J219" s="31"/>
      <c r="K219" s="84"/>
      <c r="L219" s="42">
        <v>0</v>
      </c>
      <c r="M219" s="31">
        <v>0</v>
      </c>
      <c r="N219" s="429">
        <v>9324.0400000000009</v>
      </c>
      <c r="O219" s="31">
        <v>0</v>
      </c>
      <c r="P219" s="426">
        <f t="shared" si="106"/>
        <v>0</v>
      </c>
      <c r="Q219" s="178"/>
      <c r="R219" s="295"/>
      <c r="S219" s="385">
        <f t="shared" si="127"/>
        <v>0</v>
      </c>
      <c r="T219" s="31"/>
      <c r="U219" s="474">
        <f t="shared" si="96"/>
        <v>0</v>
      </c>
      <c r="V219" s="474">
        <f t="shared" si="97"/>
        <v>0</v>
      </c>
      <c r="W219" s="475">
        <f t="shared" si="98"/>
        <v>0</v>
      </c>
      <c r="X219" s="475">
        <v>0</v>
      </c>
      <c r="Y219" s="476">
        <v>0</v>
      </c>
      <c r="Z219" s="38">
        <f t="shared" si="99"/>
        <v>0</v>
      </c>
      <c r="AA219" s="564">
        <f t="shared" si="100"/>
        <v>5654.49</v>
      </c>
      <c r="AB219" s="564">
        <f t="shared" si="101"/>
        <v>0</v>
      </c>
      <c r="AC219" s="564">
        <f t="shared" si="102"/>
        <v>0</v>
      </c>
      <c r="AE219" s="564">
        <f t="shared" si="103"/>
        <v>0</v>
      </c>
      <c r="AF219" s="564">
        <f t="shared" si="104"/>
        <v>0</v>
      </c>
      <c r="AG219" s="564">
        <f t="shared" si="105"/>
        <v>0</v>
      </c>
    </row>
    <row r="220" spans="1:33">
      <c r="A220" s="21"/>
      <c r="B220" s="21" t="s">
        <v>109</v>
      </c>
      <c r="C220" s="68" t="s">
        <v>51</v>
      </c>
      <c r="D220" s="449"/>
      <c r="E220" s="529">
        <v>0</v>
      </c>
      <c r="F220" s="579"/>
      <c r="G220" s="579"/>
      <c r="H220" s="524"/>
      <c r="I220" s="379">
        <f t="shared" si="110"/>
        <v>0</v>
      </c>
      <c r="J220" s="31"/>
      <c r="K220" s="84"/>
      <c r="L220" s="42">
        <v>0</v>
      </c>
      <c r="M220" s="31">
        <v>0</v>
      </c>
      <c r="N220" s="429"/>
      <c r="O220" s="31">
        <v>0</v>
      </c>
      <c r="P220" s="426">
        <f t="shared" si="106"/>
        <v>0</v>
      </c>
      <c r="Q220" s="178"/>
      <c r="R220" s="295"/>
      <c r="S220" s="385">
        <f t="shared" si="127"/>
        <v>0</v>
      </c>
      <c r="T220" s="31"/>
      <c r="U220" s="474">
        <f t="shared" si="96"/>
        <v>0</v>
      </c>
      <c r="V220" s="474">
        <f t="shared" si="97"/>
        <v>0</v>
      </c>
      <c r="W220" s="475">
        <f t="shared" si="98"/>
        <v>0</v>
      </c>
      <c r="X220" s="475">
        <v>0</v>
      </c>
      <c r="Y220" s="476">
        <v>0</v>
      </c>
      <c r="Z220" s="38">
        <f t="shared" si="99"/>
        <v>0</v>
      </c>
      <c r="AA220" s="564">
        <f t="shared" si="100"/>
        <v>0</v>
      </c>
      <c r="AB220" s="564">
        <f t="shared" si="101"/>
        <v>0</v>
      </c>
      <c r="AC220" s="564">
        <f t="shared" si="102"/>
        <v>0</v>
      </c>
      <c r="AE220" s="564">
        <f t="shared" si="103"/>
        <v>0</v>
      </c>
      <c r="AF220" s="564">
        <f t="shared" si="104"/>
        <v>0</v>
      </c>
      <c r="AG220" s="564">
        <f t="shared" si="105"/>
        <v>0</v>
      </c>
    </row>
    <row r="221" spans="1:33">
      <c r="A221" s="21"/>
      <c r="B221" s="21" t="s">
        <v>109</v>
      </c>
      <c r="C221" s="68" t="s">
        <v>107</v>
      </c>
      <c r="D221" s="449"/>
      <c r="E221" s="529">
        <v>0</v>
      </c>
      <c r="F221" s="576">
        <v>3899.07</v>
      </c>
      <c r="G221" s="576">
        <v>3482.31</v>
      </c>
      <c r="H221" s="524"/>
      <c r="I221" s="379">
        <f t="shared" si="110"/>
        <v>7381.38</v>
      </c>
      <c r="J221" s="31"/>
      <c r="K221" s="84"/>
      <c r="L221" s="42">
        <f>SUM(F221+G221)/2</f>
        <v>3690.69</v>
      </c>
      <c r="M221" s="31">
        <v>0</v>
      </c>
      <c r="N221" s="429">
        <v>14397.05</v>
      </c>
      <c r="O221" s="31">
        <v>0</v>
      </c>
      <c r="P221" s="426">
        <f t="shared" si="106"/>
        <v>3690.69</v>
      </c>
      <c r="Q221" s="178"/>
      <c r="R221" s="295"/>
      <c r="S221" s="385">
        <f t="shared" si="127"/>
        <v>-3690.69</v>
      </c>
      <c r="T221" s="31"/>
      <c r="U221" s="474">
        <f t="shared" si="96"/>
        <v>0</v>
      </c>
      <c r="V221" s="474">
        <f t="shared" si="97"/>
        <v>3690.69</v>
      </c>
      <c r="W221" s="475">
        <f t="shared" si="98"/>
        <v>0</v>
      </c>
      <c r="X221" s="475">
        <v>0</v>
      </c>
      <c r="Y221" s="476">
        <v>0</v>
      </c>
      <c r="Z221" s="38">
        <f t="shared" si="99"/>
        <v>0</v>
      </c>
      <c r="AA221" s="564">
        <f t="shared" si="100"/>
        <v>0</v>
      </c>
      <c r="AB221" s="564">
        <f t="shared" si="101"/>
        <v>7381.38</v>
      </c>
      <c r="AC221" s="564">
        <f t="shared" si="102"/>
        <v>0</v>
      </c>
      <c r="AE221" s="564">
        <f t="shared" si="103"/>
        <v>0</v>
      </c>
      <c r="AF221" s="564">
        <f t="shared" si="104"/>
        <v>3690.69</v>
      </c>
      <c r="AG221" s="564">
        <f t="shared" si="105"/>
        <v>0</v>
      </c>
    </row>
    <row r="222" spans="1:33">
      <c r="A222" s="20"/>
      <c r="B222" s="20" t="s">
        <v>109</v>
      </c>
      <c r="C222" s="68" t="s">
        <v>156</v>
      </c>
      <c r="D222" s="449"/>
      <c r="E222" s="529">
        <v>0</v>
      </c>
      <c r="F222" s="576">
        <v>401.57</v>
      </c>
      <c r="G222" s="576">
        <v>561.9</v>
      </c>
      <c r="H222" s="524"/>
      <c r="I222" s="379">
        <f t="shared" si="110"/>
        <v>963.47</v>
      </c>
      <c r="J222" s="31"/>
      <c r="K222" s="84"/>
      <c r="L222" s="42">
        <f>SUM(F222+G222)/2</f>
        <v>481.73500000000001</v>
      </c>
      <c r="M222" s="31">
        <v>0</v>
      </c>
      <c r="N222" s="429">
        <f>9405.48+4164.35</f>
        <v>13569.83</v>
      </c>
      <c r="O222" s="31">
        <v>0</v>
      </c>
      <c r="P222" s="426">
        <f t="shared" si="106"/>
        <v>481.73500000000001</v>
      </c>
      <c r="Q222" s="178">
        <v>280.91000000000003</v>
      </c>
      <c r="R222" s="295"/>
      <c r="S222" s="385">
        <f t="shared" si="127"/>
        <v>-200.82499999999999</v>
      </c>
      <c r="T222" s="31"/>
      <c r="U222" s="474">
        <f t="shared" ref="U222:U265" si="152">IF(B222="D",P222,0)</f>
        <v>0</v>
      </c>
      <c r="V222" s="474">
        <f t="shared" ref="V222:V265" si="153">IF(B222="M",P222,0)</f>
        <v>481.73500000000001</v>
      </c>
      <c r="W222" s="475">
        <f t="shared" ref="W222:W265" si="154">IF(B222="V",P222,0)</f>
        <v>0</v>
      </c>
      <c r="X222" s="475">
        <v>0</v>
      </c>
      <c r="Y222" s="476">
        <v>0</v>
      </c>
      <c r="Z222" s="38">
        <f t="shared" si="99"/>
        <v>0</v>
      </c>
      <c r="AA222" s="564">
        <f t="shared" si="100"/>
        <v>0</v>
      </c>
      <c r="AB222" s="564">
        <f t="shared" si="101"/>
        <v>963.47</v>
      </c>
      <c r="AC222" s="564">
        <f t="shared" si="102"/>
        <v>0</v>
      </c>
      <c r="AE222" s="564">
        <f t="shared" si="103"/>
        <v>0</v>
      </c>
      <c r="AF222" s="564">
        <f t="shared" si="104"/>
        <v>481.73500000000001</v>
      </c>
      <c r="AG222" s="564">
        <f t="shared" si="105"/>
        <v>0</v>
      </c>
    </row>
    <row r="223" spans="1:33">
      <c r="A223" s="20"/>
      <c r="B223" s="20" t="s">
        <v>109</v>
      </c>
      <c r="C223" s="68" t="s">
        <v>157</v>
      </c>
      <c r="D223" s="449"/>
      <c r="E223" s="529">
        <v>0</v>
      </c>
      <c r="F223" s="576">
        <v>0</v>
      </c>
      <c r="G223" s="576">
        <v>0</v>
      </c>
      <c r="H223" s="524"/>
      <c r="I223" s="379">
        <f t="shared" si="110"/>
        <v>0</v>
      </c>
      <c r="J223" s="31"/>
      <c r="K223" s="84"/>
      <c r="L223" s="42">
        <v>0</v>
      </c>
      <c r="M223" s="31">
        <v>0</v>
      </c>
      <c r="N223" s="429"/>
      <c r="O223" s="31">
        <v>0</v>
      </c>
      <c r="P223" s="426">
        <f t="shared" si="106"/>
        <v>0</v>
      </c>
      <c r="Q223" s="178"/>
      <c r="R223" s="295"/>
      <c r="S223" s="385">
        <f t="shared" si="127"/>
        <v>0</v>
      </c>
      <c r="T223" s="31"/>
      <c r="U223" s="474">
        <f t="shared" si="152"/>
        <v>0</v>
      </c>
      <c r="V223" s="474">
        <f t="shared" si="153"/>
        <v>0</v>
      </c>
      <c r="W223" s="475">
        <f t="shared" si="154"/>
        <v>0</v>
      </c>
      <c r="X223" s="475">
        <v>0</v>
      </c>
      <c r="Y223" s="476">
        <v>0</v>
      </c>
      <c r="Z223" s="38">
        <f t="shared" ref="Z223:Z265" si="155">(K223+L223)-(U223+V223+W223+X223+Y223)</f>
        <v>0</v>
      </c>
      <c r="AA223" s="564">
        <f t="shared" ref="AA223:AA265" si="156">IF(B223="D",I223,0)</f>
        <v>0</v>
      </c>
      <c r="AB223" s="564">
        <f t="shared" ref="AB223:AB265" si="157">IF(B223="M",I223,0)</f>
        <v>0</v>
      </c>
      <c r="AC223" s="564">
        <f t="shared" ref="AC223:AC265" si="158">IF(B223="V",I223,0)</f>
        <v>0</v>
      </c>
      <c r="AE223" s="564">
        <f t="shared" ref="AE223:AE265" si="159">IF(B223="D",P223,0)</f>
        <v>0</v>
      </c>
      <c r="AF223" s="564">
        <f t="shared" ref="AF223:AF265" si="160">IF(B223="M",P223,0)</f>
        <v>0</v>
      </c>
      <c r="AG223" s="564">
        <f t="shared" ref="AG223:AG265" si="161">IF(B223="V",P223,0)</f>
        <v>0</v>
      </c>
    </row>
    <row r="224" spans="1:33">
      <c r="A224" s="20"/>
      <c r="B224" s="20" t="s">
        <v>109</v>
      </c>
      <c r="C224" s="68" t="s">
        <v>158</v>
      </c>
      <c r="D224" s="449"/>
      <c r="E224" s="529">
        <v>0</v>
      </c>
      <c r="F224" s="576">
        <v>4251.96</v>
      </c>
      <c r="G224" s="576">
        <v>3602.45</v>
      </c>
      <c r="H224" s="524"/>
      <c r="I224" s="379">
        <f t="shared" si="110"/>
        <v>7854.41</v>
      </c>
      <c r="J224" s="31"/>
      <c r="K224" s="84"/>
      <c r="L224" s="42">
        <f>SUM(F224+G224)/2</f>
        <v>3927.2049999999999</v>
      </c>
      <c r="M224" s="31">
        <v>0</v>
      </c>
      <c r="N224" s="429"/>
      <c r="O224" s="31">
        <v>0</v>
      </c>
      <c r="P224" s="426">
        <f t="shared" si="106"/>
        <v>3927.2049999999999</v>
      </c>
      <c r="Q224" s="178">
        <v>3330.29</v>
      </c>
      <c r="R224" s="295"/>
      <c r="S224" s="385">
        <f t="shared" si="127"/>
        <v>-596.91499999999996</v>
      </c>
      <c r="T224" s="31"/>
      <c r="U224" s="474">
        <f t="shared" si="152"/>
        <v>0</v>
      </c>
      <c r="V224" s="474">
        <f t="shared" si="153"/>
        <v>3927.2049999999999</v>
      </c>
      <c r="W224" s="475">
        <f t="shared" si="154"/>
        <v>0</v>
      </c>
      <c r="X224" s="475">
        <v>0</v>
      </c>
      <c r="Y224" s="476">
        <v>0</v>
      </c>
      <c r="Z224" s="38">
        <f t="shared" si="155"/>
        <v>0</v>
      </c>
      <c r="AA224" s="564">
        <f t="shared" si="156"/>
        <v>0</v>
      </c>
      <c r="AB224" s="564">
        <f t="shared" si="157"/>
        <v>7854.41</v>
      </c>
      <c r="AC224" s="564">
        <f t="shared" si="158"/>
        <v>0</v>
      </c>
      <c r="AE224" s="564">
        <f t="shared" si="159"/>
        <v>0</v>
      </c>
      <c r="AF224" s="564">
        <f t="shared" si="160"/>
        <v>3927.2049999999999</v>
      </c>
      <c r="AG224" s="564">
        <f t="shared" si="161"/>
        <v>0</v>
      </c>
    </row>
    <row r="225" spans="1:33">
      <c r="A225" s="21" t="s">
        <v>97</v>
      </c>
      <c r="B225" s="21" t="s">
        <v>109</v>
      </c>
      <c r="C225" s="68" t="s">
        <v>52</v>
      </c>
      <c r="D225" s="449"/>
      <c r="E225" s="529">
        <v>0</v>
      </c>
      <c r="F225" s="579"/>
      <c r="G225" s="579"/>
      <c r="H225" s="524"/>
      <c r="I225" s="379">
        <f t="shared" si="110"/>
        <v>0</v>
      </c>
      <c r="J225" s="31"/>
      <c r="K225" s="84"/>
      <c r="L225" s="42">
        <v>0</v>
      </c>
      <c r="M225" s="31">
        <v>0</v>
      </c>
      <c r="N225" s="429"/>
      <c r="O225" s="31">
        <v>0</v>
      </c>
      <c r="P225" s="426">
        <f t="shared" si="106"/>
        <v>0</v>
      </c>
      <c r="Q225" s="178"/>
      <c r="R225" s="295"/>
      <c r="S225" s="385">
        <f t="shared" si="127"/>
        <v>0</v>
      </c>
      <c r="T225" s="31"/>
      <c r="U225" s="474">
        <f t="shared" si="152"/>
        <v>0</v>
      </c>
      <c r="V225" s="474">
        <f t="shared" si="153"/>
        <v>0</v>
      </c>
      <c r="W225" s="475">
        <f t="shared" si="154"/>
        <v>0</v>
      </c>
      <c r="X225" s="475">
        <v>0</v>
      </c>
      <c r="Y225" s="476">
        <v>0</v>
      </c>
      <c r="Z225" s="38">
        <f t="shared" si="155"/>
        <v>0</v>
      </c>
      <c r="AA225" s="564">
        <f t="shared" si="156"/>
        <v>0</v>
      </c>
      <c r="AB225" s="564">
        <f t="shared" si="157"/>
        <v>0</v>
      </c>
      <c r="AC225" s="564">
        <f t="shared" si="158"/>
        <v>0</v>
      </c>
      <c r="AE225" s="564">
        <f t="shared" si="159"/>
        <v>0</v>
      </c>
      <c r="AF225" s="564">
        <f t="shared" si="160"/>
        <v>0</v>
      </c>
      <c r="AG225" s="564">
        <f t="shared" si="161"/>
        <v>0</v>
      </c>
    </row>
    <row r="226" spans="1:33">
      <c r="A226" s="21"/>
      <c r="B226" s="21" t="s">
        <v>109</v>
      </c>
      <c r="C226" s="68" t="s">
        <v>467</v>
      </c>
      <c r="D226" s="449"/>
      <c r="E226" s="529">
        <v>0</v>
      </c>
      <c r="F226" s="576">
        <v>1116.3499999999999</v>
      </c>
      <c r="G226" s="576">
        <v>576.39</v>
      </c>
      <c r="H226" s="524"/>
      <c r="I226" s="379">
        <f t="shared" si="110"/>
        <v>1692.7399999999998</v>
      </c>
      <c r="J226" s="31"/>
      <c r="K226" s="84"/>
      <c r="L226" s="42">
        <f>SUM(F226+G226)/2</f>
        <v>846.36999999999989</v>
      </c>
      <c r="M226" s="31">
        <v>0</v>
      </c>
      <c r="N226" s="429">
        <v>3145.5</v>
      </c>
      <c r="O226" s="31">
        <v>0</v>
      </c>
      <c r="P226" s="426">
        <f t="shared" si="106"/>
        <v>846.36999999999989</v>
      </c>
      <c r="Q226" s="178">
        <v>141.88999999999999</v>
      </c>
      <c r="R226" s="295"/>
      <c r="S226" s="385">
        <f t="shared" si="127"/>
        <v>-704.4799999999999</v>
      </c>
      <c r="T226" s="31"/>
      <c r="U226" s="474">
        <f t="shared" si="152"/>
        <v>0</v>
      </c>
      <c r="V226" s="474">
        <f t="shared" si="153"/>
        <v>846.36999999999989</v>
      </c>
      <c r="W226" s="475">
        <f t="shared" si="154"/>
        <v>0</v>
      </c>
      <c r="X226" s="475">
        <v>0</v>
      </c>
      <c r="Y226" s="476">
        <v>0</v>
      </c>
      <c r="Z226" s="38">
        <f t="shared" si="155"/>
        <v>0</v>
      </c>
      <c r="AA226" s="564">
        <f t="shared" si="156"/>
        <v>0</v>
      </c>
      <c r="AB226" s="564">
        <f t="shared" si="157"/>
        <v>1692.7399999999998</v>
      </c>
      <c r="AC226" s="564">
        <f t="shared" si="158"/>
        <v>0</v>
      </c>
      <c r="AE226" s="564">
        <f t="shared" si="159"/>
        <v>0</v>
      </c>
      <c r="AF226" s="564">
        <f t="shared" si="160"/>
        <v>846.36999999999989</v>
      </c>
      <c r="AG226" s="564">
        <f t="shared" si="161"/>
        <v>0</v>
      </c>
    </row>
    <row r="227" spans="1:33">
      <c r="A227" s="21"/>
      <c r="B227" s="21" t="s">
        <v>109</v>
      </c>
      <c r="C227" s="68" t="s">
        <v>54</v>
      </c>
      <c r="D227" s="449"/>
      <c r="E227" s="529">
        <v>0</v>
      </c>
      <c r="F227" s="579"/>
      <c r="G227" s="579"/>
      <c r="H227" s="524"/>
      <c r="I227" s="379">
        <f t="shared" si="110"/>
        <v>0</v>
      </c>
      <c r="J227" s="31"/>
      <c r="K227" s="84"/>
      <c r="L227" s="42">
        <v>0</v>
      </c>
      <c r="M227" s="31">
        <v>0</v>
      </c>
      <c r="N227" s="429">
        <v>1382.04</v>
      </c>
      <c r="O227" s="31">
        <v>0</v>
      </c>
      <c r="P227" s="426">
        <f t="shared" si="106"/>
        <v>0</v>
      </c>
      <c r="Q227" s="178">
        <f>453.18+577.53+811.9</f>
        <v>1842.6100000000001</v>
      </c>
      <c r="R227" s="295"/>
      <c r="S227" s="385">
        <f t="shared" si="127"/>
        <v>1842.6100000000001</v>
      </c>
      <c r="T227" s="31"/>
      <c r="U227" s="474">
        <f t="shared" si="152"/>
        <v>0</v>
      </c>
      <c r="V227" s="474">
        <f t="shared" si="153"/>
        <v>0</v>
      </c>
      <c r="W227" s="475">
        <f t="shared" si="154"/>
        <v>0</v>
      </c>
      <c r="X227" s="475">
        <v>0</v>
      </c>
      <c r="Y227" s="476">
        <v>0</v>
      </c>
      <c r="Z227" s="38">
        <f t="shared" si="155"/>
        <v>0</v>
      </c>
      <c r="AA227" s="564">
        <f t="shared" si="156"/>
        <v>0</v>
      </c>
      <c r="AB227" s="564">
        <f t="shared" si="157"/>
        <v>0</v>
      </c>
      <c r="AC227" s="564">
        <f t="shared" si="158"/>
        <v>0</v>
      </c>
      <c r="AE227" s="564">
        <f t="shared" si="159"/>
        <v>0</v>
      </c>
      <c r="AF227" s="564">
        <f t="shared" si="160"/>
        <v>0</v>
      </c>
      <c r="AG227" s="564">
        <f t="shared" si="161"/>
        <v>0</v>
      </c>
    </row>
    <row r="228" spans="1:33">
      <c r="A228" s="20"/>
      <c r="B228" s="20" t="s">
        <v>110</v>
      </c>
      <c r="C228" s="68" t="s">
        <v>394</v>
      </c>
      <c r="D228" s="449"/>
      <c r="E228" s="529">
        <v>0</v>
      </c>
      <c r="F228" s="579"/>
      <c r="G228" s="579"/>
      <c r="H228" s="524"/>
      <c r="I228" s="379">
        <f t="shared" si="110"/>
        <v>0</v>
      </c>
      <c r="J228" s="31"/>
      <c r="K228" s="84"/>
      <c r="L228" s="42">
        <v>0</v>
      </c>
      <c r="M228" s="31">
        <v>0</v>
      </c>
      <c r="N228" s="429">
        <v>3339.9</v>
      </c>
      <c r="O228" s="31">
        <v>0</v>
      </c>
      <c r="P228" s="426">
        <f t="shared" si="106"/>
        <v>0</v>
      </c>
      <c r="Q228" s="178">
        <v>212.08</v>
      </c>
      <c r="R228" s="295"/>
      <c r="S228" s="385">
        <f t="shared" si="127"/>
        <v>212.08</v>
      </c>
      <c r="T228" s="31"/>
      <c r="U228" s="474">
        <f t="shared" si="152"/>
        <v>0</v>
      </c>
      <c r="V228" s="474">
        <f t="shared" si="153"/>
        <v>0</v>
      </c>
      <c r="W228" s="475">
        <f t="shared" si="154"/>
        <v>0</v>
      </c>
      <c r="X228" s="475">
        <v>0</v>
      </c>
      <c r="Y228" s="476">
        <v>0</v>
      </c>
      <c r="Z228" s="38">
        <f t="shared" si="155"/>
        <v>0</v>
      </c>
      <c r="AA228" s="564">
        <f t="shared" si="156"/>
        <v>0</v>
      </c>
      <c r="AB228" s="564">
        <f t="shared" si="157"/>
        <v>0</v>
      </c>
      <c r="AC228" s="564">
        <f t="shared" si="158"/>
        <v>0</v>
      </c>
      <c r="AE228" s="564">
        <f t="shared" si="159"/>
        <v>0</v>
      </c>
      <c r="AF228" s="564">
        <f t="shared" si="160"/>
        <v>0</v>
      </c>
      <c r="AG228" s="564">
        <f t="shared" si="161"/>
        <v>0</v>
      </c>
    </row>
    <row r="229" spans="1:33">
      <c r="A229" s="20"/>
      <c r="B229" s="20" t="s">
        <v>110</v>
      </c>
      <c r="C229" s="68" t="s">
        <v>55</v>
      </c>
      <c r="D229" s="449"/>
      <c r="E229" s="529">
        <v>0</v>
      </c>
      <c r="F229" s="576">
        <v>686.52</v>
      </c>
      <c r="G229" s="576">
        <v>843.36</v>
      </c>
      <c r="H229" s="525">
        <v>648.67999999999995</v>
      </c>
      <c r="I229" s="379">
        <f t="shared" si="110"/>
        <v>2178.56</v>
      </c>
      <c r="J229" s="31"/>
      <c r="K229" s="84"/>
      <c r="L229" s="42">
        <v>0</v>
      </c>
      <c r="M229" s="31">
        <v>0</v>
      </c>
      <c r="N229" s="429">
        <v>2178.56</v>
      </c>
      <c r="O229" s="31">
        <v>0</v>
      </c>
      <c r="P229" s="426">
        <f t="shared" ref="P229:P265" si="162">K229+L229</f>
        <v>0</v>
      </c>
      <c r="Q229" s="178"/>
      <c r="R229" s="295"/>
      <c r="S229" s="385">
        <f t="shared" si="127"/>
        <v>0</v>
      </c>
      <c r="T229" s="31"/>
      <c r="U229" s="474">
        <f t="shared" si="152"/>
        <v>0</v>
      </c>
      <c r="V229" s="474">
        <f t="shared" si="153"/>
        <v>0</v>
      </c>
      <c r="W229" s="475">
        <f t="shared" si="154"/>
        <v>0</v>
      </c>
      <c r="X229" s="475">
        <v>0</v>
      </c>
      <c r="Y229" s="476">
        <v>0</v>
      </c>
      <c r="Z229" s="38">
        <f t="shared" si="155"/>
        <v>0</v>
      </c>
      <c r="AA229" s="564">
        <f t="shared" si="156"/>
        <v>2178.56</v>
      </c>
      <c r="AB229" s="564">
        <f t="shared" si="157"/>
        <v>0</v>
      </c>
      <c r="AC229" s="564">
        <f t="shared" si="158"/>
        <v>0</v>
      </c>
      <c r="AE229" s="564">
        <f t="shared" si="159"/>
        <v>0</v>
      </c>
      <c r="AF229" s="564">
        <f t="shared" si="160"/>
        <v>0</v>
      </c>
      <c r="AG229" s="564">
        <f t="shared" si="161"/>
        <v>0</v>
      </c>
    </row>
    <row r="230" spans="1:33">
      <c r="A230" s="21" t="s">
        <v>97</v>
      </c>
      <c r="B230" s="21" t="s">
        <v>110</v>
      </c>
      <c r="C230" s="68" t="s">
        <v>175</v>
      </c>
      <c r="D230" s="449">
        <v>1152.4000000000001</v>
      </c>
      <c r="E230" s="529">
        <v>0</v>
      </c>
      <c r="F230" s="579"/>
      <c r="G230" s="579"/>
      <c r="H230" s="524"/>
      <c r="I230" s="379">
        <f t="shared" si="110"/>
        <v>1152.4000000000001</v>
      </c>
      <c r="J230" s="31"/>
      <c r="K230" s="84"/>
      <c r="L230" s="42">
        <v>0</v>
      </c>
      <c r="M230" s="31">
        <v>0</v>
      </c>
      <c r="N230" s="429">
        <v>1152.4000000000001</v>
      </c>
      <c r="O230" s="31">
        <v>0</v>
      </c>
      <c r="P230" s="426">
        <f t="shared" si="162"/>
        <v>0</v>
      </c>
      <c r="Q230" s="178"/>
      <c r="R230" s="295"/>
      <c r="S230" s="385">
        <f t="shared" si="127"/>
        <v>0</v>
      </c>
      <c r="T230" s="31"/>
      <c r="U230" s="474">
        <f t="shared" si="152"/>
        <v>0</v>
      </c>
      <c r="V230" s="474">
        <f t="shared" si="153"/>
        <v>0</v>
      </c>
      <c r="W230" s="475">
        <f t="shared" si="154"/>
        <v>0</v>
      </c>
      <c r="X230" s="475">
        <v>0</v>
      </c>
      <c r="Y230" s="476">
        <v>0</v>
      </c>
      <c r="Z230" s="38">
        <f t="shared" si="155"/>
        <v>0</v>
      </c>
      <c r="AA230" s="564">
        <f t="shared" si="156"/>
        <v>1152.4000000000001</v>
      </c>
      <c r="AB230" s="564">
        <f t="shared" si="157"/>
        <v>0</v>
      </c>
      <c r="AC230" s="564">
        <f t="shared" si="158"/>
        <v>0</v>
      </c>
      <c r="AE230" s="564">
        <f t="shared" si="159"/>
        <v>0</v>
      </c>
      <c r="AF230" s="564">
        <f t="shared" si="160"/>
        <v>0</v>
      </c>
      <c r="AG230" s="564">
        <f t="shared" si="161"/>
        <v>0</v>
      </c>
    </row>
    <row r="231" spans="1:33">
      <c r="A231" s="20" t="s">
        <v>211</v>
      </c>
      <c r="B231" s="20" t="s">
        <v>109</v>
      </c>
      <c r="C231" s="68" t="s">
        <v>56</v>
      </c>
      <c r="D231" s="449"/>
      <c r="E231" s="529">
        <v>0</v>
      </c>
      <c r="F231" s="579"/>
      <c r="G231" s="579"/>
      <c r="H231" s="524"/>
      <c r="I231" s="379">
        <f t="shared" si="110"/>
        <v>0</v>
      </c>
      <c r="J231" s="31"/>
      <c r="K231" s="84"/>
      <c r="L231" s="42">
        <v>0</v>
      </c>
      <c r="M231" s="31">
        <v>0</v>
      </c>
      <c r="N231" s="429"/>
      <c r="O231" s="31">
        <v>0</v>
      </c>
      <c r="P231" s="426">
        <f t="shared" si="162"/>
        <v>0</v>
      </c>
      <c r="Q231" s="178"/>
      <c r="R231" s="295"/>
      <c r="S231" s="385">
        <f t="shared" si="127"/>
        <v>0</v>
      </c>
      <c r="T231" s="2"/>
      <c r="U231" s="474">
        <f t="shared" si="152"/>
        <v>0</v>
      </c>
      <c r="V231" s="474">
        <f t="shared" si="153"/>
        <v>0</v>
      </c>
      <c r="W231" s="475">
        <f t="shared" si="154"/>
        <v>0</v>
      </c>
      <c r="X231" s="475">
        <v>0</v>
      </c>
      <c r="Y231" s="476">
        <v>0</v>
      </c>
      <c r="Z231" s="38">
        <f t="shared" si="155"/>
        <v>0</v>
      </c>
      <c r="AA231" s="564">
        <f t="shared" si="156"/>
        <v>0</v>
      </c>
      <c r="AB231" s="564">
        <f t="shared" si="157"/>
        <v>0</v>
      </c>
      <c r="AC231" s="564">
        <f t="shared" si="158"/>
        <v>0</v>
      </c>
      <c r="AE231" s="564">
        <f t="shared" si="159"/>
        <v>0</v>
      </c>
      <c r="AF231" s="564">
        <f t="shared" si="160"/>
        <v>0</v>
      </c>
      <c r="AG231" s="564">
        <f t="shared" si="161"/>
        <v>0</v>
      </c>
    </row>
    <row r="232" spans="1:33">
      <c r="A232" s="20"/>
      <c r="B232" s="20" t="s">
        <v>109</v>
      </c>
      <c r="C232" s="68" t="s">
        <v>159</v>
      </c>
      <c r="D232" s="449"/>
      <c r="E232" s="529">
        <v>0</v>
      </c>
      <c r="F232" s="576">
        <v>33053.64</v>
      </c>
      <c r="G232" s="576">
        <v>32830.639999999999</v>
      </c>
      <c r="H232" s="524"/>
      <c r="I232" s="379">
        <f t="shared" si="110"/>
        <v>65884.28</v>
      </c>
      <c r="J232" s="31"/>
      <c r="K232" s="84"/>
      <c r="L232" s="42">
        <f>SUM(F232+G232)/2</f>
        <v>32942.14</v>
      </c>
      <c r="M232" s="31">
        <v>0</v>
      </c>
      <c r="N232" s="429">
        <v>207530.76</v>
      </c>
      <c r="O232" s="31">
        <v>0</v>
      </c>
      <c r="P232" s="426">
        <f t="shared" si="162"/>
        <v>32942.14</v>
      </c>
      <c r="Q232" s="178">
        <v>31675.68</v>
      </c>
      <c r="R232" s="295"/>
      <c r="S232" s="385">
        <f t="shared" si="127"/>
        <v>-1266.4599999999991</v>
      </c>
      <c r="T232" s="31"/>
      <c r="U232" s="474">
        <f t="shared" si="152"/>
        <v>0</v>
      </c>
      <c r="V232" s="474">
        <f t="shared" si="153"/>
        <v>32942.14</v>
      </c>
      <c r="W232" s="475">
        <f t="shared" si="154"/>
        <v>0</v>
      </c>
      <c r="X232" s="475">
        <v>0</v>
      </c>
      <c r="Y232" s="476">
        <v>0</v>
      </c>
      <c r="Z232" s="38">
        <f t="shared" si="155"/>
        <v>0</v>
      </c>
      <c r="AA232" s="564">
        <f t="shared" si="156"/>
        <v>0</v>
      </c>
      <c r="AB232" s="564">
        <f t="shared" si="157"/>
        <v>65884.28</v>
      </c>
      <c r="AC232" s="564">
        <f t="shared" si="158"/>
        <v>0</v>
      </c>
      <c r="AE232" s="564">
        <f t="shared" si="159"/>
        <v>0</v>
      </c>
      <c r="AF232" s="564">
        <f t="shared" si="160"/>
        <v>32942.14</v>
      </c>
      <c r="AG232" s="564">
        <f t="shared" si="161"/>
        <v>0</v>
      </c>
    </row>
    <row r="233" spans="1:33">
      <c r="A233" s="20"/>
      <c r="B233" s="20" t="s">
        <v>109</v>
      </c>
      <c r="C233" s="68" t="s">
        <v>160</v>
      </c>
      <c r="D233" s="449"/>
      <c r="E233" s="529">
        <v>0</v>
      </c>
      <c r="F233" s="576">
        <v>16028.52</v>
      </c>
      <c r="G233" s="576">
        <v>16810.54</v>
      </c>
      <c r="H233" s="524"/>
      <c r="I233" s="379">
        <f t="shared" si="110"/>
        <v>32839.06</v>
      </c>
      <c r="J233" s="31"/>
      <c r="K233" s="84"/>
      <c r="L233" s="42">
        <f>SUM(F233+G233)/2</f>
        <v>16419.53</v>
      </c>
      <c r="M233" s="31">
        <v>0</v>
      </c>
      <c r="N233" s="429"/>
      <c r="O233" s="31">
        <v>0</v>
      </c>
      <c r="P233" s="426">
        <f t="shared" si="162"/>
        <v>16419.53</v>
      </c>
      <c r="Q233" s="178">
        <v>16263.57</v>
      </c>
      <c r="R233" s="295"/>
      <c r="S233" s="385">
        <f t="shared" si="127"/>
        <v>-155.95999999999913</v>
      </c>
      <c r="T233" s="31"/>
      <c r="U233" s="474">
        <f t="shared" si="152"/>
        <v>0</v>
      </c>
      <c r="V233" s="474">
        <f t="shared" si="153"/>
        <v>16419.53</v>
      </c>
      <c r="W233" s="475">
        <f t="shared" si="154"/>
        <v>0</v>
      </c>
      <c r="X233" s="475">
        <v>0</v>
      </c>
      <c r="Y233" s="476">
        <v>0</v>
      </c>
      <c r="Z233" s="38">
        <f t="shared" si="155"/>
        <v>0</v>
      </c>
      <c r="AA233" s="564">
        <f t="shared" si="156"/>
        <v>0</v>
      </c>
      <c r="AB233" s="564">
        <f t="shared" si="157"/>
        <v>32839.06</v>
      </c>
      <c r="AC233" s="564">
        <f t="shared" si="158"/>
        <v>0</v>
      </c>
      <c r="AE233" s="564">
        <f t="shared" si="159"/>
        <v>0</v>
      </c>
      <c r="AF233" s="564">
        <f t="shared" si="160"/>
        <v>16419.53</v>
      </c>
      <c r="AG233" s="564">
        <f t="shared" si="161"/>
        <v>0</v>
      </c>
    </row>
    <row r="234" spans="1:33">
      <c r="A234" s="21"/>
      <c r="B234" s="21" t="s">
        <v>109</v>
      </c>
      <c r="C234" s="68" t="s">
        <v>161</v>
      </c>
      <c r="D234" s="449"/>
      <c r="E234" s="529">
        <v>0</v>
      </c>
      <c r="F234" s="576">
        <v>35768.31</v>
      </c>
      <c r="G234" s="576">
        <v>26067.81</v>
      </c>
      <c r="H234" s="524"/>
      <c r="I234" s="379">
        <f t="shared" si="110"/>
        <v>61836.119999999995</v>
      </c>
      <c r="J234" s="31"/>
      <c r="K234" s="84"/>
      <c r="L234" s="42">
        <f>SUM(F234+G234)/2</f>
        <v>30918.059999999998</v>
      </c>
      <c r="M234" s="31">
        <v>0</v>
      </c>
      <c r="N234" s="429"/>
      <c r="O234" s="31">
        <v>0</v>
      </c>
      <c r="P234" s="426">
        <f t="shared" si="162"/>
        <v>30918.059999999998</v>
      </c>
      <c r="Q234" s="178">
        <v>23650.080000000002</v>
      </c>
      <c r="R234" s="295"/>
      <c r="S234" s="385">
        <f t="shared" si="127"/>
        <v>-7267.9799999999959</v>
      </c>
      <c r="T234" s="31"/>
      <c r="U234" s="474">
        <f t="shared" si="152"/>
        <v>0</v>
      </c>
      <c r="V234" s="474">
        <f t="shared" si="153"/>
        <v>30918.059999999998</v>
      </c>
      <c r="W234" s="475">
        <f t="shared" si="154"/>
        <v>0</v>
      </c>
      <c r="X234" s="475">
        <v>0</v>
      </c>
      <c r="Y234" s="476">
        <v>0</v>
      </c>
      <c r="Z234" s="38">
        <f t="shared" si="155"/>
        <v>0</v>
      </c>
      <c r="AA234" s="564">
        <f t="shared" si="156"/>
        <v>0</v>
      </c>
      <c r="AB234" s="564">
        <f t="shared" si="157"/>
        <v>61836.119999999995</v>
      </c>
      <c r="AC234" s="564">
        <f t="shared" si="158"/>
        <v>0</v>
      </c>
      <c r="AE234" s="564">
        <f t="shared" si="159"/>
        <v>0</v>
      </c>
      <c r="AF234" s="564">
        <f t="shared" si="160"/>
        <v>30918.059999999998</v>
      </c>
      <c r="AG234" s="564">
        <f t="shared" si="161"/>
        <v>0</v>
      </c>
    </row>
    <row r="235" spans="1:33">
      <c r="A235" s="21"/>
      <c r="B235" s="21" t="s">
        <v>109</v>
      </c>
      <c r="C235" s="68" t="s">
        <v>162</v>
      </c>
      <c r="D235" s="449"/>
      <c r="E235" s="529">
        <v>0</v>
      </c>
      <c r="F235" s="576">
        <v>2048.85</v>
      </c>
      <c r="G235" s="576">
        <v>2042.76</v>
      </c>
      <c r="H235" s="524"/>
      <c r="I235" s="379">
        <f t="shared" si="110"/>
        <v>4091.6099999999997</v>
      </c>
      <c r="J235" s="31"/>
      <c r="K235" s="84"/>
      <c r="L235" s="42">
        <f>SUM(F235+G235)/2</f>
        <v>2045.8049999999998</v>
      </c>
      <c r="M235" s="31">
        <v>0</v>
      </c>
      <c r="N235" s="429"/>
      <c r="O235" s="31">
        <v>0</v>
      </c>
      <c r="P235" s="426">
        <f t="shared" si="162"/>
        <v>2045.8049999999998</v>
      </c>
      <c r="Q235" s="178">
        <v>1725.21</v>
      </c>
      <c r="R235" s="295"/>
      <c r="S235" s="385">
        <f t="shared" si="127"/>
        <v>-320.5949999999998</v>
      </c>
      <c r="T235" s="31"/>
      <c r="U235" s="474">
        <f t="shared" si="152"/>
        <v>0</v>
      </c>
      <c r="V235" s="474">
        <f t="shared" si="153"/>
        <v>2045.8049999999998</v>
      </c>
      <c r="W235" s="475">
        <f t="shared" si="154"/>
        <v>0</v>
      </c>
      <c r="X235" s="475">
        <v>0</v>
      </c>
      <c r="Y235" s="476">
        <v>0</v>
      </c>
      <c r="Z235" s="38">
        <f t="shared" si="155"/>
        <v>0</v>
      </c>
      <c r="AA235" s="564">
        <f t="shared" si="156"/>
        <v>0</v>
      </c>
      <c r="AB235" s="564">
        <f t="shared" si="157"/>
        <v>4091.6099999999997</v>
      </c>
      <c r="AC235" s="564">
        <f t="shared" si="158"/>
        <v>0</v>
      </c>
      <c r="AE235" s="564">
        <f t="shared" si="159"/>
        <v>0</v>
      </c>
      <c r="AF235" s="564">
        <f t="shared" si="160"/>
        <v>2045.8049999999998</v>
      </c>
      <c r="AG235" s="564">
        <f t="shared" si="161"/>
        <v>0</v>
      </c>
    </row>
    <row r="236" spans="1:33">
      <c r="A236" s="21"/>
      <c r="B236" s="21" t="s">
        <v>109</v>
      </c>
      <c r="C236" s="68" t="s">
        <v>163</v>
      </c>
      <c r="D236" s="449"/>
      <c r="E236" s="529">
        <v>0</v>
      </c>
      <c r="F236" s="576">
        <v>5981.58</v>
      </c>
      <c r="G236" s="576">
        <v>5547.59</v>
      </c>
      <c r="H236" s="525">
        <v>5985.3</v>
      </c>
      <c r="I236" s="379">
        <f t="shared" si="110"/>
        <v>17514.47</v>
      </c>
      <c r="J236" s="31"/>
      <c r="K236" s="84"/>
      <c r="L236" s="42">
        <v>0</v>
      </c>
      <c r="M236" s="31">
        <v>0</v>
      </c>
      <c r="N236" s="429">
        <v>17836.64</v>
      </c>
      <c r="O236" s="31">
        <v>0</v>
      </c>
      <c r="P236" s="426">
        <f t="shared" si="162"/>
        <v>0</v>
      </c>
      <c r="Q236" s="178"/>
      <c r="R236" s="296"/>
      <c r="S236" s="385">
        <f t="shared" si="127"/>
        <v>0</v>
      </c>
      <c r="T236" s="3"/>
      <c r="U236" s="474">
        <f t="shared" si="152"/>
        <v>0</v>
      </c>
      <c r="V236" s="474">
        <f t="shared" si="153"/>
        <v>0</v>
      </c>
      <c r="W236" s="475">
        <f t="shared" si="154"/>
        <v>0</v>
      </c>
      <c r="X236" s="475">
        <v>0</v>
      </c>
      <c r="Y236" s="476">
        <v>0</v>
      </c>
      <c r="Z236" s="38">
        <f t="shared" si="155"/>
        <v>0</v>
      </c>
      <c r="AA236" s="564">
        <f t="shared" si="156"/>
        <v>0</v>
      </c>
      <c r="AB236" s="564">
        <f t="shared" si="157"/>
        <v>17514.47</v>
      </c>
      <c r="AC236" s="564">
        <f t="shared" si="158"/>
        <v>0</v>
      </c>
      <c r="AE236" s="564">
        <f t="shared" si="159"/>
        <v>0</v>
      </c>
      <c r="AF236" s="564">
        <f t="shared" si="160"/>
        <v>0</v>
      </c>
      <c r="AG236" s="564">
        <f t="shared" si="161"/>
        <v>0</v>
      </c>
    </row>
    <row r="237" spans="1:33">
      <c r="A237" s="21"/>
      <c r="B237" s="21" t="s">
        <v>109</v>
      </c>
      <c r="C237" s="412" t="s">
        <v>164</v>
      </c>
      <c r="D237" s="449"/>
      <c r="E237" s="529">
        <v>0</v>
      </c>
      <c r="F237" s="576">
        <v>147.24</v>
      </c>
      <c r="G237" s="576">
        <v>74.63</v>
      </c>
      <c r="H237" s="525">
        <v>100.3</v>
      </c>
      <c r="I237" s="379">
        <f t="shared" si="110"/>
        <v>322.17</v>
      </c>
      <c r="J237" s="31"/>
      <c r="K237" s="84"/>
      <c r="L237" s="42">
        <v>0</v>
      </c>
      <c r="M237" s="31">
        <v>0</v>
      </c>
      <c r="N237" s="429"/>
      <c r="O237" s="31">
        <v>0</v>
      </c>
      <c r="P237" s="426">
        <f t="shared" si="162"/>
        <v>0</v>
      </c>
      <c r="Q237" s="178"/>
      <c r="R237" s="296"/>
      <c r="S237" s="385">
        <f t="shared" si="127"/>
        <v>0</v>
      </c>
      <c r="T237" s="3"/>
      <c r="U237" s="474">
        <f t="shared" si="152"/>
        <v>0</v>
      </c>
      <c r="V237" s="474">
        <f t="shared" si="153"/>
        <v>0</v>
      </c>
      <c r="W237" s="475">
        <f t="shared" si="154"/>
        <v>0</v>
      </c>
      <c r="X237" s="475">
        <v>0</v>
      </c>
      <c r="Y237" s="476">
        <v>0</v>
      </c>
      <c r="Z237" s="38">
        <f t="shared" si="155"/>
        <v>0</v>
      </c>
      <c r="AA237" s="564">
        <f t="shared" si="156"/>
        <v>0</v>
      </c>
      <c r="AB237" s="564">
        <f t="shared" si="157"/>
        <v>322.17</v>
      </c>
      <c r="AC237" s="564">
        <f t="shared" si="158"/>
        <v>0</v>
      </c>
      <c r="AE237" s="564">
        <f t="shared" si="159"/>
        <v>0</v>
      </c>
      <c r="AF237" s="564">
        <f t="shared" si="160"/>
        <v>0</v>
      </c>
      <c r="AG237" s="564">
        <f t="shared" si="161"/>
        <v>0</v>
      </c>
    </row>
    <row r="238" spans="1:33">
      <c r="A238" s="21" t="s">
        <v>109</v>
      </c>
      <c r="B238" s="21" t="s">
        <v>114</v>
      </c>
      <c r="C238" s="412" t="s">
        <v>318</v>
      </c>
      <c r="D238" s="449"/>
      <c r="E238" s="529">
        <v>0</v>
      </c>
      <c r="F238" s="576">
        <v>14739</v>
      </c>
      <c r="G238" s="579"/>
      <c r="H238" s="524"/>
      <c r="I238" s="379">
        <f t="shared" si="110"/>
        <v>14739</v>
      </c>
      <c r="J238" s="31"/>
      <c r="K238" s="84"/>
      <c r="L238" s="42">
        <f>F238*2</f>
        <v>29478</v>
      </c>
      <c r="M238" s="31">
        <v>0</v>
      </c>
      <c r="N238" s="429">
        <f>44003+14739</f>
        <v>58742</v>
      </c>
      <c r="O238" s="31">
        <v>0</v>
      </c>
      <c r="P238" s="426">
        <f t="shared" si="162"/>
        <v>29478</v>
      </c>
      <c r="Q238" s="178">
        <v>16833</v>
      </c>
      <c r="R238" s="296"/>
      <c r="S238" s="385">
        <f t="shared" si="127"/>
        <v>-12645</v>
      </c>
      <c r="T238" s="31"/>
      <c r="U238" s="474">
        <f t="shared" si="152"/>
        <v>0</v>
      </c>
      <c r="V238" s="474">
        <f t="shared" si="153"/>
        <v>0</v>
      </c>
      <c r="W238" s="475">
        <f t="shared" si="154"/>
        <v>29478</v>
      </c>
      <c r="X238" s="475">
        <v>0</v>
      </c>
      <c r="Y238" s="476">
        <v>0</v>
      </c>
      <c r="Z238" s="38">
        <f t="shared" si="155"/>
        <v>0</v>
      </c>
      <c r="AA238" s="564">
        <f t="shared" si="156"/>
        <v>0</v>
      </c>
      <c r="AB238" s="564">
        <f t="shared" si="157"/>
        <v>0</v>
      </c>
      <c r="AC238" s="564">
        <f t="shared" si="158"/>
        <v>14739</v>
      </c>
      <c r="AE238" s="564">
        <f t="shared" si="159"/>
        <v>0</v>
      </c>
      <c r="AF238" s="564">
        <f t="shared" si="160"/>
        <v>0</v>
      </c>
      <c r="AG238" s="564">
        <f t="shared" si="161"/>
        <v>29478</v>
      </c>
    </row>
    <row r="239" spans="1:33">
      <c r="A239" s="20" t="s">
        <v>211</v>
      </c>
      <c r="B239" s="20" t="s">
        <v>109</v>
      </c>
      <c r="C239" s="68" t="s">
        <v>57</v>
      </c>
      <c r="D239" s="449"/>
      <c r="E239" s="529">
        <v>0</v>
      </c>
      <c r="F239" s="579"/>
      <c r="G239" s="579"/>
      <c r="H239" s="524"/>
      <c r="I239" s="379">
        <f t="shared" si="110"/>
        <v>0</v>
      </c>
      <c r="J239" s="31"/>
      <c r="K239" s="84"/>
      <c r="L239" s="42">
        <v>0</v>
      </c>
      <c r="M239" s="31">
        <v>0</v>
      </c>
      <c r="N239" s="429"/>
      <c r="O239" s="31">
        <v>0</v>
      </c>
      <c r="P239" s="426">
        <f t="shared" si="162"/>
        <v>0</v>
      </c>
      <c r="Q239" s="178"/>
      <c r="R239" s="295"/>
      <c r="S239" s="385">
        <f t="shared" si="127"/>
        <v>0</v>
      </c>
      <c r="T239" s="31"/>
      <c r="U239" s="474">
        <f t="shared" si="152"/>
        <v>0</v>
      </c>
      <c r="V239" s="474">
        <f t="shared" si="153"/>
        <v>0</v>
      </c>
      <c r="W239" s="475">
        <f t="shared" si="154"/>
        <v>0</v>
      </c>
      <c r="X239" s="475">
        <v>0</v>
      </c>
      <c r="Y239" s="476">
        <v>0</v>
      </c>
      <c r="Z239" s="38">
        <f t="shared" si="155"/>
        <v>0</v>
      </c>
      <c r="AA239" s="564">
        <f t="shared" si="156"/>
        <v>0</v>
      </c>
      <c r="AB239" s="564">
        <f t="shared" si="157"/>
        <v>0</v>
      </c>
      <c r="AC239" s="564">
        <f t="shared" si="158"/>
        <v>0</v>
      </c>
      <c r="AE239" s="564">
        <f t="shared" si="159"/>
        <v>0</v>
      </c>
      <c r="AF239" s="564">
        <f t="shared" si="160"/>
        <v>0</v>
      </c>
      <c r="AG239" s="564">
        <f t="shared" si="161"/>
        <v>0</v>
      </c>
    </row>
    <row r="240" spans="1:33">
      <c r="A240" s="20" t="s">
        <v>109</v>
      </c>
      <c r="B240" s="20" t="s">
        <v>109</v>
      </c>
      <c r="C240" s="68" t="s">
        <v>239</v>
      </c>
      <c r="D240" s="449"/>
      <c r="E240" s="529">
        <v>0</v>
      </c>
      <c r="F240" s="579"/>
      <c r="G240" s="579"/>
      <c r="H240" s="524"/>
      <c r="I240" s="379">
        <f t="shared" si="110"/>
        <v>0</v>
      </c>
      <c r="J240" s="31"/>
      <c r="K240" s="84"/>
      <c r="L240" s="42">
        <v>0</v>
      </c>
      <c r="M240" s="31">
        <v>0</v>
      </c>
      <c r="N240" s="429"/>
      <c r="O240" s="31">
        <v>0</v>
      </c>
      <c r="P240" s="426">
        <f t="shared" si="162"/>
        <v>0</v>
      </c>
      <c r="Q240" s="178">
        <f>354.26+6.36+361.85+11.45+522.53+12.4</f>
        <v>1268.8500000000001</v>
      </c>
      <c r="R240" s="295"/>
      <c r="S240" s="385">
        <f t="shared" si="127"/>
        <v>1268.8500000000001</v>
      </c>
      <c r="T240" s="31"/>
      <c r="U240" s="474">
        <f t="shared" si="152"/>
        <v>0</v>
      </c>
      <c r="V240" s="474">
        <f t="shared" si="153"/>
        <v>0</v>
      </c>
      <c r="W240" s="475">
        <f t="shared" si="154"/>
        <v>0</v>
      </c>
      <c r="X240" s="475">
        <v>0</v>
      </c>
      <c r="Y240" s="476">
        <v>0</v>
      </c>
      <c r="Z240" s="38">
        <f t="shared" si="155"/>
        <v>0</v>
      </c>
      <c r="AA240" s="564">
        <f t="shared" si="156"/>
        <v>0</v>
      </c>
      <c r="AB240" s="564">
        <f t="shared" si="157"/>
        <v>0</v>
      </c>
      <c r="AC240" s="564">
        <f t="shared" si="158"/>
        <v>0</v>
      </c>
      <c r="AE240" s="564">
        <f t="shared" si="159"/>
        <v>0</v>
      </c>
      <c r="AF240" s="564">
        <f t="shared" si="160"/>
        <v>0</v>
      </c>
      <c r="AG240" s="564">
        <f t="shared" si="161"/>
        <v>0</v>
      </c>
    </row>
    <row r="241" spans="1:33">
      <c r="A241" s="20"/>
      <c r="B241" s="20" t="s">
        <v>110</v>
      </c>
      <c r="C241" s="68" t="s">
        <v>497</v>
      </c>
      <c r="D241" s="449"/>
      <c r="E241" s="529">
        <v>0</v>
      </c>
      <c r="F241" s="579"/>
      <c r="G241" s="579"/>
      <c r="H241" s="524"/>
      <c r="I241" s="379">
        <f t="shared" si="110"/>
        <v>0</v>
      </c>
      <c r="J241" s="31"/>
      <c r="K241" s="84"/>
      <c r="L241" s="42">
        <v>0</v>
      </c>
      <c r="M241" s="31">
        <v>0</v>
      </c>
      <c r="N241" s="429"/>
      <c r="O241" s="31">
        <v>0</v>
      </c>
      <c r="P241" s="426">
        <f t="shared" si="162"/>
        <v>0</v>
      </c>
      <c r="Q241" s="178">
        <f>95.96+105.99+107.33</f>
        <v>309.27999999999997</v>
      </c>
      <c r="R241" s="295"/>
      <c r="S241" s="385">
        <f t="shared" si="127"/>
        <v>309.27999999999997</v>
      </c>
      <c r="T241" s="31"/>
      <c r="U241" s="474">
        <f t="shared" si="152"/>
        <v>0</v>
      </c>
      <c r="V241" s="474">
        <f t="shared" si="153"/>
        <v>0</v>
      </c>
      <c r="W241" s="475">
        <f t="shared" si="154"/>
        <v>0</v>
      </c>
      <c r="X241" s="475">
        <v>0</v>
      </c>
      <c r="Y241" s="476">
        <v>0</v>
      </c>
      <c r="Z241" s="38">
        <f t="shared" si="155"/>
        <v>0</v>
      </c>
      <c r="AA241" s="564">
        <f t="shared" si="156"/>
        <v>0</v>
      </c>
      <c r="AB241" s="564">
        <f t="shared" si="157"/>
        <v>0</v>
      </c>
      <c r="AC241" s="564">
        <f t="shared" si="158"/>
        <v>0</v>
      </c>
      <c r="AE241" s="564">
        <f t="shared" si="159"/>
        <v>0</v>
      </c>
      <c r="AF241" s="564">
        <f t="shared" si="160"/>
        <v>0</v>
      </c>
      <c r="AG241" s="564">
        <f t="shared" si="161"/>
        <v>0</v>
      </c>
    </row>
    <row r="242" spans="1:33">
      <c r="A242" s="20"/>
      <c r="B242" s="20" t="s">
        <v>110</v>
      </c>
      <c r="C242" s="68" t="s">
        <v>509</v>
      </c>
      <c r="D242" s="449"/>
      <c r="E242" s="529">
        <v>0</v>
      </c>
      <c r="F242" s="579"/>
      <c r="G242" s="579"/>
      <c r="H242" s="524"/>
      <c r="I242" s="379">
        <v>0</v>
      </c>
      <c r="J242" s="31"/>
      <c r="K242" s="84"/>
      <c r="L242" s="42"/>
      <c r="M242" s="31"/>
      <c r="N242" s="429"/>
      <c r="O242" s="31"/>
      <c r="P242" s="426"/>
      <c r="Q242" s="178">
        <v>45554.64</v>
      </c>
      <c r="R242" s="295"/>
      <c r="S242" s="385">
        <f t="shared" si="127"/>
        <v>45554.64</v>
      </c>
      <c r="T242" s="31"/>
      <c r="U242" s="474"/>
      <c r="V242" s="474"/>
      <c r="W242" s="475"/>
      <c r="X242" s="475"/>
      <c r="Y242" s="476"/>
      <c r="Z242" s="38"/>
      <c r="AA242" s="564"/>
      <c r="AB242" s="564"/>
      <c r="AC242" s="564"/>
      <c r="AE242" s="564"/>
      <c r="AF242" s="564"/>
      <c r="AG242" s="564"/>
    </row>
    <row r="243" spans="1:33" s="627" customFormat="1">
      <c r="A243" s="610"/>
      <c r="B243" s="610" t="s">
        <v>110</v>
      </c>
      <c r="C243" s="612" t="s">
        <v>476</v>
      </c>
      <c r="D243" s="449"/>
      <c r="E243" s="529">
        <v>0</v>
      </c>
      <c r="F243" s="576">
        <v>89932.21</v>
      </c>
      <c r="G243" s="576">
        <v>135099.51999999999</v>
      </c>
      <c r="H243" s="524"/>
      <c r="I243" s="379">
        <f t="shared" si="110"/>
        <v>225031.72999999998</v>
      </c>
      <c r="J243" s="31"/>
      <c r="K243" s="84"/>
      <c r="L243" s="42">
        <f>0.7*198521</f>
        <v>138964.69999999998</v>
      </c>
      <c r="M243" s="31">
        <v>0</v>
      </c>
      <c r="N243" s="429">
        <v>471848.45</v>
      </c>
      <c r="O243" s="31">
        <v>0</v>
      </c>
      <c r="P243" s="426">
        <f t="shared" si="162"/>
        <v>138964.69999999998</v>
      </c>
      <c r="Q243" s="178">
        <v>158750.91</v>
      </c>
      <c r="R243" s="620"/>
      <c r="S243" s="385">
        <f t="shared" si="127"/>
        <v>19786.210000000021</v>
      </c>
      <c r="T243" s="616"/>
      <c r="U243" s="474">
        <f t="shared" si="152"/>
        <v>138964.69999999998</v>
      </c>
      <c r="V243" s="474">
        <f t="shared" si="153"/>
        <v>0</v>
      </c>
      <c r="W243" s="475">
        <f t="shared" si="154"/>
        <v>0</v>
      </c>
      <c r="X243" s="475">
        <v>0</v>
      </c>
      <c r="Y243" s="476">
        <v>0</v>
      </c>
      <c r="Z243" s="38">
        <f t="shared" si="155"/>
        <v>0</v>
      </c>
      <c r="AA243" s="564">
        <f t="shared" si="156"/>
        <v>225031.72999999998</v>
      </c>
      <c r="AB243" s="564">
        <f t="shared" si="157"/>
        <v>0</v>
      </c>
      <c r="AC243" s="564">
        <f t="shared" si="158"/>
        <v>0</v>
      </c>
      <c r="AD243" s="559"/>
      <c r="AE243" s="564">
        <f t="shared" si="159"/>
        <v>138964.69999999998</v>
      </c>
      <c r="AF243" s="564">
        <f t="shared" si="160"/>
        <v>0</v>
      </c>
      <c r="AG243" s="564">
        <f t="shared" si="161"/>
        <v>0</v>
      </c>
    </row>
    <row r="244" spans="1:33" s="232" customFormat="1">
      <c r="A244" s="283"/>
      <c r="B244" s="283" t="s">
        <v>114</v>
      </c>
      <c r="C244" s="123" t="s">
        <v>371</v>
      </c>
      <c r="D244" s="449"/>
      <c r="E244" s="529">
        <v>0</v>
      </c>
      <c r="F244" s="576">
        <v>1145.47</v>
      </c>
      <c r="G244" s="576">
        <v>1465.16</v>
      </c>
      <c r="H244" s="524"/>
      <c r="I244" s="379">
        <f t="shared" si="110"/>
        <v>2610.63</v>
      </c>
      <c r="J244" s="31"/>
      <c r="K244" s="84"/>
      <c r="L244" s="42">
        <f>0.3*198521</f>
        <v>59556.299999999996</v>
      </c>
      <c r="M244" s="31">
        <v>0</v>
      </c>
      <c r="N244" s="429"/>
      <c r="O244" s="31">
        <v>0</v>
      </c>
      <c r="P244" s="426">
        <f t="shared" si="162"/>
        <v>59556.299999999996</v>
      </c>
      <c r="Q244" s="178">
        <f>1510.98+734.9-450.23</f>
        <v>1795.65</v>
      </c>
      <c r="R244" s="295"/>
      <c r="S244" s="385">
        <f t="shared" si="127"/>
        <v>-57760.649999999994</v>
      </c>
      <c r="T244" s="31"/>
      <c r="U244" s="474">
        <f t="shared" si="152"/>
        <v>0</v>
      </c>
      <c r="V244" s="474">
        <f t="shared" si="153"/>
        <v>0</v>
      </c>
      <c r="W244" s="475">
        <f t="shared" si="154"/>
        <v>59556.299999999996</v>
      </c>
      <c r="X244" s="475">
        <v>0</v>
      </c>
      <c r="Y244" s="476">
        <v>0</v>
      </c>
      <c r="Z244" s="38">
        <f t="shared" si="155"/>
        <v>0</v>
      </c>
      <c r="AA244" s="564">
        <f t="shared" si="156"/>
        <v>0</v>
      </c>
      <c r="AB244" s="564">
        <f t="shared" si="157"/>
        <v>0</v>
      </c>
      <c r="AC244" s="564">
        <f t="shared" si="158"/>
        <v>2610.63</v>
      </c>
      <c r="AD244" s="559"/>
      <c r="AE244" s="564">
        <f t="shared" si="159"/>
        <v>0</v>
      </c>
      <c r="AF244" s="564">
        <f t="shared" si="160"/>
        <v>0</v>
      </c>
      <c r="AG244" s="564">
        <f t="shared" si="161"/>
        <v>59556.299999999996</v>
      </c>
    </row>
    <row r="245" spans="1:33" s="232" customFormat="1">
      <c r="A245" s="283"/>
      <c r="B245" s="283" t="s">
        <v>110</v>
      </c>
      <c r="C245" s="123" t="s">
        <v>422</v>
      </c>
      <c r="D245" s="449"/>
      <c r="E245" s="529">
        <v>0</v>
      </c>
      <c r="F245" s="576">
        <v>21316.42</v>
      </c>
      <c r="G245" s="576">
        <v>38482.58</v>
      </c>
      <c r="H245" s="524"/>
      <c r="I245" s="379">
        <f t="shared" si="110"/>
        <v>59799</v>
      </c>
      <c r="J245" s="31"/>
      <c r="K245" s="84"/>
      <c r="L245" s="42">
        <v>0</v>
      </c>
      <c r="M245" s="31">
        <v>0</v>
      </c>
      <c r="N245" s="429"/>
      <c r="O245" s="31">
        <v>0</v>
      </c>
      <c r="P245" s="426">
        <f t="shared" si="162"/>
        <v>0</v>
      </c>
      <c r="Q245" s="178">
        <f>45980.49+8988.73+11.54</f>
        <v>54980.76</v>
      </c>
      <c r="R245" s="295"/>
      <c r="S245" s="385">
        <f t="shared" si="127"/>
        <v>54980.76</v>
      </c>
      <c r="T245" s="31"/>
      <c r="U245" s="474">
        <f t="shared" si="152"/>
        <v>0</v>
      </c>
      <c r="V245" s="474">
        <f t="shared" si="153"/>
        <v>0</v>
      </c>
      <c r="W245" s="475">
        <f t="shared" si="154"/>
        <v>0</v>
      </c>
      <c r="X245" s="475">
        <v>0</v>
      </c>
      <c r="Y245" s="476">
        <v>0</v>
      </c>
      <c r="Z245" s="38">
        <f t="shared" si="155"/>
        <v>0</v>
      </c>
      <c r="AA245" s="564">
        <f t="shared" si="156"/>
        <v>59799</v>
      </c>
      <c r="AB245" s="564">
        <f t="shared" si="157"/>
        <v>0</v>
      </c>
      <c r="AC245" s="564">
        <f t="shared" si="158"/>
        <v>0</v>
      </c>
      <c r="AD245" s="559"/>
      <c r="AE245" s="564">
        <f t="shared" si="159"/>
        <v>0</v>
      </c>
      <c r="AF245" s="564">
        <f t="shared" si="160"/>
        <v>0</v>
      </c>
      <c r="AG245" s="564">
        <f t="shared" si="161"/>
        <v>0</v>
      </c>
    </row>
    <row r="246" spans="1:33" s="232" customFormat="1">
      <c r="A246" s="283"/>
      <c r="B246" s="283" t="s">
        <v>110</v>
      </c>
      <c r="C246" s="123" t="s">
        <v>442</v>
      </c>
      <c r="D246" s="449"/>
      <c r="E246" s="529">
        <v>0</v>
      </c>
      <c r="F246" s="576">
        <v>10672.62</v>
      </c>
      <c r="G246" s="576">
        <v>18684.32</v>
      </c>
      <c r="H246" s="524"/>
      <c r="I246" s="379">
        <f t="shared" si="110"/>
        <v>29356.940000000002</v>
      </c>
      <c r="J246" s="31"/>
      <c r="K246" s="84"/>
      <c r="L246" s="42">
        <v>0</v>
      </c>
      <c r="M246" s="31">
        <v>0</v>
      </c>
      <c r="N246" s="429"/>
      <c r="O246" s="31">
        <v>0</v>
      </c>
      <c r="P246" s="426">
        <f t="shared" si="162"/>
        <v>0</v>
      </c>
      <c r="Q246" s="178">
        <f>23298.36+6388.4-25626.53</f>
        <v>4060.2300000000032</v>
      </c>
      <c r="R246" s="295"/>
      <c r="S246" s="385">
        <f t="shared" si="127"/>
        <v>4060.2300000000032</v>
      </c>
      <c r="T246" s="31"/>
      <c r="U246" s="474">
        <f t="shared" si="152"/>
        <v>0</v>
      </c>
      <c r="V246" s="474">
        <f t="shared" si="153"/>
        <v>0</v>
      </c>
      <c r="W246" s="475">
        <f t="shared" si="154"/>
        <v>0</v>
      </c>
      <c r="X246" s="475">
        <v>0</v>
      </c>
      <c r="Y246" s="476">
        <v>0</v>
      </c>
      <c r="Z246" s="38">
        <f t="shared" si="155"/>
        <v>0</v>
      </c>
      <c r="AA246" s="564">
        <f t="shared" si="156"/>
        <v>29356.940000000002</v>
      </c>
      <c r="AB246" s="564">
        <f t="shared" si="157"/>
        <v>0</v>
      </c>
      <c r="AC246" s="564">
        <f t="shared" si="158"/>
        <v>0</v>
      </c>
      <c r="AD246" s="559"/>
      <c r="AE246" s="564">
        <f t="shared" si="159"/>
        <v>0</v>
      </c>
      <c r="AF246" s="564">
        <f t="shared" si="160"/>
        <v>0</v>
      </c>
      <c r="AG246" s="564">
        <f t="shared" si="161"/>
        <v>0</v>
      </c>
    </row>
    <row r="247" spans="1:33">
      <c r="A247" s="20"/>
      <c r="B247" s="20" t="s">
        <v>109</v>
      </c>
      <c r="C247" s="68" t="s">
        <v>304</v>
      </c>
      <c r="D247" s="449"/>
      <c r="E247" s="529">
        <v>0</v>
      </c>
      <c r="F247" s="579"/>
      <c r="G247" s="579"/>
      <c r="H247" s="524"/>
      <c r="I247" s="379">
        <f t="shared" si="110"/>
        <v>0</v>
      </c>
      <c r="J247" s="31"/>
      <c r="K247" s="84"/>
      <c r="L247" s="42">
        <v>0</v>
      </c>
      <c r="M247" s="31">
        <v>0</v>
      </c>
      <c r="N247" s="429"/>
      <c r="O247" s="31">
        <v>0</v>
      </c>
      <c r="P247" s="426">
        <f t="shared" si="162"/>
        <v>0</v>
      </c>
      <c r="Q247" s="178"/>
      <c r="R247" s="295"/>
      <c r="S247" s="385">
        <f t="shared" si="127"/>
        <v>0</v>
      </c>
      <c r="T247" s="31"/>
      <c r="U247" s="474">
        <f t="shared" si="152"/>
        <v>0</v>
      </c>
      <c r="V247" s="474">
        <f t="shared" si="153"/>
        <v>0</v>
      </c>
      <c r="W247" s="475">
        <f t="shared" si="154"/>
        <v>0</v>
      </c>
      <c r="X247" s="475">
        <v>0</v>
      </c>
      <c r="Y247" s="476">
        <v>0</v>
      </c>
      <c r="Z247" s="38">
        <f t="shared" si="155"/>
        <v>0</v>
      </c>
      <c r="AA247" s="564">
        <f t="shared" si="156"/>
        <v>0</v>
      </c>
      <c r="AB247" s="564">
        <f t="shared" si="157"/>
        <v>0</v>
      </c>
      <c r="AC247" s="564">
        <f t="shared" si="158"/>
        <v>0</v>
      </c>
      <c r="AE247" s="564">
        <f t="shared" si="159"/>
        <v>0</v>
      </c>
      <c r="AF247" s="564">
        <f t="shared" si="160"/>
        <v>0</v>
      </c>
      <c r="AG247" s="564">
        <f t="shared" si="161"/>
        <v>0</v>
      </c>
    </row>
    <row r="248" spans="1:33">
      <c r="A248" s="21" t="s">
        <v>97</v>
      </c>
      <c r="B248" s="21" t="s">
        <v>109</v>
      </c>
      <c r="C248" s="68" t="s">
        <v>381</v>
      </c>
      <c r="D248" s="449"/>
      <c r="E248" s="529">
        <v>0</v>
      </c>
      <c r="F248" s="579"/>
      <c r="G248" s="579"/>
      <c r="H248" s="524"/>
      <c r="I248" s="379">
        <f t="shared" si="110"/>
        <v>0</v>
      </c>
      <c r="J248" s="31"/>
      <c r="K248" s="84"/>
      <c r="L248" s="42">
        <v>0</v>
      </c>
      <c r="M248" s="31">
        <v>0</v>
      </c>
      <c r="N248" s="429">
        <v>1982.84</v>
      </c>
      <c r="O248" s="31">
        <v>0</v>
      </c>
      <c r="P248" s="426">
        <f t="shared" si="162"/>
        <v>0</v>
      </c>
      <c r="Q248" s="178">
        <f>1042.15+907.69</f>
        <v>1949.8400000000001</v>
      </c>
      <c r="R248" s="295"/>
      <c r="S248" s="385">
        <f t="shared" si="127"/>
        <v>1949.8400000000001</v>
      </c>
      <c r="T248" s="31"/>
      <c r="U248" s="474">
        <f t="shared" si="152"/>
        <v>0</v>
      </c>
      <c r="V248" s="474">
        <f t="shared" si="153"/>
        <v>0</v>
      </c>
      <c r="W248" s="475">
        <f t="shared" si="154"/>
        <v>0</v>
      </c>
      <c r="X248" s="475">
        <v>0</v>
      </c>
      <c r="Y248" s="476">
        <v>0</v>
      </c>
      <c r="Z248" s="38">
        <f t="shared" si="155"/>
        <v>0</v>
      </c>
      <c r="AA248" s="564">
        <f t="shared" si="156"/>
        <v>0</v>
      </c>
      <c r="AB248" s="564">
        <f t="shared" si="157"/>
        <v>0</v>
      </c>
      <c r="AC248" s="564">
        <f t="shared" si="158"/>
        <v>0</v>
      </c>
      <c r="AE248" s="564">
        <f t="shared" si="159"/>
        <v>0</v>
      </c>
      <c r="AF248" s="564">
        <f t="shared" si="160"/>
        <v>0</v>
      </c>
      <c r="AG248" s="564">
        <f t="shared" si="161"/>
        <v>0</v>
      </c>
    </row>
    <row r="249" spans="1:33">
      <c r="A249" s="21" t="s">
        <v>97</v>
      </c>
      <c r="B249" s="21" t="s">
        <v>114</v>
      </c>
      <c r="C249" s="68" t="s">
        <v>376</v>
      </c>
      <c r="D249" s="449"/>
      <c r="E249" s="529">
        <v>0</v>
      </c>
      <c r="F249" s="579"/>
      <c r="G249" s="579"/>
      <c r="H249" s="524"/>
      <c r="I249" s="379">
        <f t="shared" si="110"/>
        <v>0</v>
      </c>
      <c r="J249" s="31"/>
      <c r="K249" s="84"/>
      <c r="L249" s="42">
        <v>0</v>
      </c>
      <c r="M249" s="31">
        <v>0</v>
      </c>
      <c r="N249" s="429"/>
      <c r="O249" s="31">
        <v>0</v>
      </c>
      <c r="P249" s="426">
        <f t="shared" si="162"/>
        <v>0</v>
      </c>
      <c r="Q249" s="178">
        <v>2.35</v>
      </c>
      <c r="R249" s="295"/>
      <c r="S249" s="385">
        <f t="shared" si="127"/>
        <v>2.35</v>
      </c>
      <c r="T249" s="31"/>
      <c r="U249" s="474">
        <f t="shared" si="152"/>
        <v>0</v>
      </c>
      <c r="V249" s="474">
        <f t="shared" si="153"/>
        <v>0</v>
      </c>
      <c r="W249" s="475">
        <f t="shared" si="154"/>
        <v>0</v>
      </c>
      <c r="X249" s="475">
        <v>0</v>
      </c>
      <c r="Y249" s="476">
        <v>0</v>
      </c>
      <c r="Z249" s="38">
        <f t="shared" si="155"/>
        <v>0</v>
      </c>
      <c r="AA249" s="564">
        <f t="shared" si="156"/>
        <v>0</v>
      </c>
      <c r="AB249" s="564">
        <f t="shared" si="157"/>
        <v>0</v>
      </c>
      <c r="AC249" s="564">
        <f t="shared" si="158"/>
        <v>0</v>
      </c>
      <c r="AE249" s="564">
        <f t="shared" si="159"/>
        <v>0</v>
      </c>
      <c r="AF249" s="564">
        <f t="shared" si="160"/>
        <v>0</v>
      </c>
      <c r="AG249" s="564">
        <f t="shared" si="161"/>
        <v>0</v>
      </c>
    </row>
    <row r="250" spans="1:33">
      <c r="A250" s="20"/>
      <c r="B250" s="20" t="s">
        <v>109</v>
      </c>
      <c r="C250" s="68" t="s">
        <v>390</v>
      </c>
      <c r="D250" s="449">
        <v>710.67</v>
      </c>
      <c r="E250" s="529">
        <v>0</v>
      </c>
      <c r="F250" s="579"/>
      <c r="G250" s="579"/>
      <c r="H250" s="524"/>
      <c r="I250" s="379">
        <f t="shared" si="110"/>
        <v>710.67</v>
      </c>
      <c r="J250" s="31"/>
      <c r="K250" s="84"/>
      <c r="L250" s="42">
        <v>0</v>
      </c>
      <c r="M250" s="31">
        <v>0</v>
      </c>
      <c r="N250" s="429">
        <v>1092.53</v>
      </c>
      <c r="O250" s="31">
        <v>0</v>
      </c>
      <c r="P250" s="426">
        <f t="shared" si="162"/>
        <v>0</v>
      </c>
      <c r="Q250" s="178"/>
      <c r="R250" s="295"/>
      <c r="S250" s="385">
        <f t="shared" si="127"/>
        <v>0</v>
      </c>
      <c r="T250" s="31"/>
      <c r="U250" s="474">
        <f t="shared" si="152"/>
        <v>0</v>
      </c>
      <c r="V250" s="474">
        <f t="shared" si="153"/>
        <v>0</v>
      </c>
      <c r="W250" s="475">
        <f t="shared" si="154"/>
        <v>0</v>
      </c>
      <c r="X250" s="475">
        <v>0</v>
      </c>
      <c r="Y250" s="476">
        <v>0</v>
      </c>
      <c r="Z250" s="38">
        <f t="shared" si="155"/>
        <v>0</v>
      </c>
      <c r="AA250" s="564">
        <f t="shared" si="156"/>
        <v>0</v>
      </c>
      <c r="AB250" s="564">
        <f t="shared" si="157"/>
        <v>710.67</v>
      </c>
      <c r="AC250" s="564">
        <f t="shared" si="158"/>
        <v>0</v>
      </c>
      <c r="AE250" s="564">
        <f t="shared" si="159"/>
        <v>0</v>
      </c>
      <c r="AF250" s="564">
        <f t="shared" si="160"/>
        <v>0</v>
      </c>
      <c r="AG250" s="564">
        <f t="shared" si="161"/>
        <v>0</v>
      </c>
    </row>
    <row r="251" spans="1:33">
      <c r="A251" s="20"/>
      <c r="B251" s="20" t="s">
        <v>110</v>
      </c>
      <c r="C251" s="123" t="s">
        <v>166</v>
      </c>
      <c r="D251" s="449"/>
      <c r="E251" s="529">
        <v>0</v>
      </c>
      <c r="F251" s="576">
        <v>648.9</v>
      </c>
      <c r="G251" s="579"/>
      <c r="H251" s="524"/>
      <c r="I251" s="379">
        <f t="shared" ref="I251:I262" si="163">SUM(D251:H251)</f>
        <v>648.9</v>
      </c>
      <c r="J251" s="31"/>
      <c r="K251" s="84">
        <f>988.52+690.47</f>
        <v>1678.99</v>
      </c>
      <c r="L251" s="42">
        <v>1600</v>
      </c>
      <c r="M251" s="31">
        <v>0</v>
      </c>
      <c r="N251" s="429">
        <v>1319.81</v>
      </c>
      <c r="O251" s="31">
        <v>0</v>
      </c>
      <c r="P251" s="426">
        <f t="shared" si="162"/>
        <v>3278.99</v>
      </c>
      <c r="Q251" s="178">
        <f>623.32+690.47+713.34+33.25+759.36</f>
        <v>2819.7400000000002</v>
      </c>
      <c r="R251" s="295"/>
      <c r="S251" s="385">
        <f t="shared" si="127"/>
        <v>-459.24999999999955</v>
      </c>
      <c r="T251" s="31"/>
      <c r="U251" s="474">
        <f t="shared" si="152"/>
        <v>3278.99</v>
      </c>
      <c r="V251" s="474">
        <f t="shared" si="153"/>
        <v>0</v>
      </c>
      <c r="W251" s="475">
        <f t="shared" si="154"/>
        <v>0</v>
      </c>
      <c r="X251" s="475">
        <v>0</v>
      </c>
      <c r="Y251" s="476">
        <v>0</v>
      </c>
      <c r="Z251" s="38">
        <f t="shared" si="155"/>
        <v>0</v>
      </c>
      <c r="AA251" s="564">
        <f t="shared" si="156"/>
        <v>648.9</v>
      </c>
      <c r="AB251" s="564">
        <f t="shared" si="157"/>
        <v>0</v>
      </c>
      <c r="AC251" s="564">
        <f t="shared" si="158"/>
        <v>0</v>
      </c>
      <c r="AE251" s="564">
        <f t="shared" si="159"/>
        <v>3278.99</v>
      </c>
      <c r="AF251" s="564">
        <f t="shared" si="160"/>
        <v>0</v>
      </c>
      <c r="AG251" s="564">
        <f t="shared" si="161"/>
        <v>0</v>
      </c>
    </row>
    <row r="252" spans="1:33">
      <c r="A252" s="20"/>
      <c r="B252" s="20" t="s">
        <v>109</v>
      </c>
      <c r="C252" s="123" t="s">
        <v>165</v>
      </c>
      <c r="D252" s="449"/>
      <c r="E252" s="529">
        <v>0</v>
      </c>
      <c r="F252" s="576">
        <v>1354.56</v>
      </c>
      <c r="G252" s="579"/>
      <c r="H252" s="524"/>
      <c r="I252" s="379">
        <f t="shared" si="163"/>
        <v>1354.56</v>
      </c>
      <c r="J252" s="31"/>
      <c r="K252" s="84">
        <f>5068.47+4835.11</f>
        <v>9903.58</v>
      </c>
      <c r="L252" s="42">
        <v>9000</v>
      </c>
      <c r="M252" s="31">
        <v>0</v>
      </c>
      <c r="N252" s="429">
        <v>2963.91</v>
      </c>
      <c r="O252" s="31">
        <v>0</v>
      </c>
      <c r="P252" s="426">
        <f t="shared" si="162"/>
        <v>18903.580000000002</v>
      </c>
      <c r="Q252" s="178">
        <f>1608.99+4835.11+3730.31+19.06+1444.72</f>
        <v>11638.189999999999</v>
      </c>
      <c r="R252" s="295"/>
      <c r="S252" s="385">
        <f t="shared" si="127"/>
        <v>-7265.3900000000031</v>
      </c>
      <c r="T252" s="31"/>
      <c r="U252" s="474">
        <f t="shared" si="152"/>
        <v>0</v>
      </c>
      <c r="V252" s="474">
        <f t="shared" si="153"/>
        <v>18903.580000000002</v>
      </c>
      <c r="W252" s="475">
        <f t="shared" si="154"/>
        <v>0</v>
      </c>
      <c r="X252" s="475">
        <v>0</v>
      </c>
      <c r="Y252" s="476">
        <v>0</v>
      </c>
      <c r="Z252" s="38">
        <f t="shared" si="155"/>
        <v>0</v>
      </c>
      <c r="AA252" s="564">
        <f t="shared" si="156"/>
        <v>0</v>
      </c>
      <c r="AB252" s="564">
        <f t="shared" si="157"/>
        <v>1354.56</v>
      </c>
      <c r="AC252" s="564">
        <f t="shared" si="158"/>
        <v>0</v>
      </c>
      <c r="AE252" s="564">
        <f t="shared" si="159"/>
        <v>0</v>
      </c>
      <c r="AF252" s="564">
        <f t="shared" si="160"/>
        <v>18903.580000000002</v>
      </c>
      <c r="AG252" s="564">
        <f t="shared" si="161"/>
        <v>0</v>
      </c>
    </row>
    <row r="253" spans="1:33">
      <c r="A253" s="20"/>
      <c r="B253" s="20" t="s">
        <v>109</v>
      </c>
      <c r="C253" s="123" t="s">
        <v>310</v>
      </c>
      <c r="D253" s="449"/>
      <c r="E253" s="529">
        <v>0</v>
      </c>
      <c r="F253" s="579"/>
      <c r="G253" s="579"/>
      <c r="H253" s="524"/>
      <c r="I253" s="379">
        <f t="shared" si="163"/>
        <v>0</v>
      </c>
      <c r="J253" s="31"/>
      <c r="K253" s="84"/>
      <c r="L253" s="42">
        <v>0</v>
      </c>
      <c r="M253" s="31">
        <v>0</v>
      </c>
      <c r="N253" s="429"/>
      <c r="O253" s="31">
        <v>0</v>
      </c>
      <c r="P253" s="426">
        <f t="shared" si="162"/>
        <v>0</v>
      </c>
      <c r="Q253" s="178"/>
      <c r="R253" s="295"/>
      <c r="S253" s="385">
        <f t="shared" si="127"/>
        <v>0</v>
      </c>
      <c r="T253" s="31"/>
      <c r="U253" s="474">
        <f t="shared" si="152"/>
        <v>0</v>
      </c>
      <c r="V253" s="474">
        <f t="shared" si="153"/>
        <v>0</v>
      </c>
      <c r="W253" s="475">
        <f t="shared" si="154"/>
        <v>0</v>
      </c>
      <c r="X253" s="475">
        <v>0</v>
      </c>
      <c r="Y253" s="476">
        <v>0</v>
      </c>
      <c r="Z253" s="38">
        <f t="shared" si="155"/>
        <v>0</v>
      </c>
      <c r="AA253" s="564">
        <f t="shared" si="156"/>
        <v>0</v>
      </c>
      <c r="AB253" s="564">
        <f t="shared" si="157"/>
        <v>0</v>
      </c>
      <c r="AC253" s="564">
        <f t="shared" si="158"/>
        <v>0</v>
      </c>
      <c r="AE253" s="564">
        <f t="shared" si="159"/>
        <v>0</v>
      </c>
      <c r="AF253" s="564">
        <f t="shared" si="160"/>
        <v>0</v>
      </c>
      <c r="AG253" s="564">
        <f t="shared" si="161"/>
        <v>0</v>
      </c>
    </row>
    <row r="254" spans="1:33">
      <c r="A254" s="20"/>
      <c r="B254" s="20" t="s">
        <v>109</v>
      </c>
      <c r="C254" s="123" t="s">
        <v>441</v>
      </c>
      <c r="D254" s="449"/>
      <c r="E254" s="529">
        <v>0</v>
      </c>
      <c r="F254" s="579"/>
      <c r="G254" s="579"/>
      <c r="H254" s="524"/>
      <c r="I254" s="379">
        <f t="shared" si="163"/>
        <v>0</v>
      </c>
      <c r="J254" s="31"/>
      <c r="K254" s="84"/>
      <c r="L254" s="42">
        <v>0</v>
      </c>
      <c r="M254" s="31">
        <v>0</v>
      </c>
      <c r="N254" s="429">
        <v>2594.67</v>
      </c>
      <c r="O254" s="31">
        <v>0</v>
      </c>
      <c r="P254" s="426">
        <f t="shared" si="162"/>
        <v>0</v>
      </c>
      <c r="Q254" s="178"/>
      <c r="R254" s="295"/>
      <c r="S254" s="385">
        <f t="shared" si="127"/>
        <v>0</v>
      </c>
      <c r="T254" s="31"/>
      <c r="U254" s="474">
        <f t="shared" si="152"/>
        <v>0</v>
      </c>
      <c r="V254" s="474">
        <f t="shared" si="153"/>
        <v>0</v>
      </c>
      <c r="W254" s="475">
        <f t="shared" si="154"/>
        <v>0</v>
      </c>
      <c r="X254" s="475">
        <v>0</v>
      </c>
      <c r="Y254" s="476">
        <v>0</v>
      </c>
      <c r="Z254" s="38">
        <f t="shared" si="155"/>
        <v>0</v>
      </c>
      <c r="AA254" s="564">
        <f t="shared" si="156"/>
        <v>0</v>
      </c>
      <c r="AB254" s="564">
        <f t="shared" si="157"/>
        <v>0</v>
      </c>
      <c r="AC254" s="564">
        <f t="shared" si="158"/>
        <v>0</v>
      </c>
      <c r="AE254" s="564">
        <f t="shared" si="159"/>
        <v>0</v>
      </c>
      <c r="AF254" s="564">
        <f t="shared" si="160"/>
        <v>0</v>
      </c>
      <c r="AG254" s="564">
        <f t="shared" si="161"/>
        <v>0</v>
      </c>
    </row>
    <row r="255" spans="1:33">
      <c r="A255" s="20"/>
      <c r="B255" s="20" t="s">
        <v>109</v>
      </c>
      <c r="C255" s="68" t="s">
        <v>121</v>
      </c>
      <c r="D255" s="449"/>
      <c r="E255" s="529">
        <v>0</v>
      </c>
      <c r="F255" s="579"/>
      <c r="G255" s="579"/>
      <c r="H255" s="524"/>
      <c r="I255" s="379">
        <f t="shared" si="163"/>
        <v>0</v>
      </c>
      <c r="J255" s="31"/>
      <c r="K255" s="84"/>
      <c r="L255" s="42">
        <v>0</v>
      </c>
      <c r="M255" s="31">
        <v>0</v>
      </c>
      <c r="N255" s="429"/>
      <c r="O255" s="31">
        <v>0</v>
      </c>
      <c r="P255" s="426">
        <f t="shared" si="162"/>
        <v>0</v>
      </c>
      <c r="Q255" s="178"/>
      <c r="R255" s="295"/>
      <c r="S255" s="385">
        <f t="shared" si="127"/>
        <v>0</v>
      </c>
      <c r="T255" s="31"/>
      <c r="U255" s="474">
        <f t="shared" si="152"/>
        <v>0</v>
      </c>
      <c r="V255" s="474">
        <f t="shared" si="153"/>
        <v>0</v>
      </c>
      <c r="W255" s="475">
        <f t="shared" si="154"/>
        <v>0</v>
      </c>
      <c r="X255" s="475">
        <v>0</v>
      </c>
      <c r="Y255" s="476">
        <v>0</v>
      </c>
      <c r="Z255" s="38">
        <f t="shared" si="155"/>
        <v>0</v>
      </c>
      <c r="AA255" s="564">
        <f t="shared" si="156"/>
        <v>0</v>
      </c>
      <c r="AB255" s="564">
        <f t="shared" si="157"/>
        <v>0</v>
      </c>
      <c r="AC255" s="564">
        <f t="shared" si="158"/>
        <v>0</v>
      </c>
      <c r="AE255" s="564">
        <f t="shared" si="159"/>
        <v>0</v>
      </c>
      <c r="AF255" s="564">
        <f t="shared" si="160"/>
        <v>0</v>
      </c>
      <c r="AG255" s="564">
        <f t="shared" si="161"/>
        <v>0</v>
      </c>
    </row>
    <row r="256" spans="1:33">
      <c r="A256" s="20"/>
      <c r="B256" s="20" t="s">
        <v>110</v>
      </c>
      <c r="C256" s="68" t="s">
        <v>168</v>
      </c>
      <c r="D256" s="449"/>
      <c r="E256" s="529">
        <v>0</v>
      </c>
      <c r="F256" s="579"/>
      <c r="G256" s="579"/>
      <c r="H256" s="524"/>
      <c r="I256" s="379">
        <f t="shared" si="163"/>
        <v>0</v>
      </c>
      <c r="J256" s="31"/>
      <c r="K256" s="84"/>
      <c r="L256" s="42">
        <v>0</v>
      </c>
      <c r="M256" s="31">
        <v>0</v>
      </c>
      <c r="N256" s="429"/>
      <c r="O256" s="31">
        <v>0</v>
      </c>
      <c r="P256" s="426">
        <f t="shared" si="162"/>
        <v>0</v>
      </c>
      <c r="Q256" s="178"/>
      <c r="R256" s="295"/>
      <c r="S256" s="385">
        <f t="shared" si="127"/>
        <v>0</v>
      </c>
      <c r="T256" s="31"/>
      <c r="U256" s="474">
        <f t="shared" si="152"/>
        <v>0</v>
      </c>
      <c r="V256" s="474">
        <f t="shared" si="153"/>
        <v>0</v>
      </c>
      <c r="W256" s="475">
        <f t="shared" si="154"/>
        <v>0</v>
      </c>
      <c r="X256" s="475">
        <v>0</v>
      </c>
      <c r="Y256" s="476">
        <v>0</v>
      </c>
      <c r="Z256" s="38">
        <f t="shared" si="155"/>
        <v>0</v>
      </c>
      <c r="AA256" s="564">
        <f t="shared" si="156"/>
        <v>0</v>
      </c>
      <c r="AB256" s="564">
        <f t="shared" si="157"/>
        <v>0</v>
      </c>
      <c r="AC256" s="564">
        <f t="shared" si="158"/>
        <v>0</v>
      </c>
      <c r="AE256" s="564">
        <f t="shared" si="159"/>
        <v>0</v>
      </c>
      <c r="AF256" s="564">
        <f t="shared" si="160"/>
        <v>0</v>
      </c>
      <c r="AG256" s="564">
        <f t="shared" si="161"/>
        <v>0</v>
      </c>
    </row>
    <row r="257" spans="1:33">
      <c r="A257" s="20"/>
      <c r="B257" s="20" t="s">
        <v>109</v>
      </c>
      <c r="C257" s="68" t="s">
        <v>167</v>
      </c>
      <c r="D257" s="449"/>
      <c r="E257" s="529">
        <v>0</v>
      </c>
      <c r="F257" s="576">
        <v>38.340000000000003</v>
      </c>
      <c r="G257" s="579"/>
      <c r="H257" s="524"/>
      <c r="I257" s="379">
        <f t="shared" si="163"/>
        <v>38.340000000000003</v>
      </c>
      <c r="J257" s="31"/>
      <c r="K257" s="84"/>
      <c r="L257" s="42">
        <v>0</v>
      </c>
      <c r="M257" s="31">
        <v>0</v>
      </c>
      <c r="N257" s="429">
        <v>230.02</v>
      </c>
      <c r="O257" s="31">
        <v>0</v>
      </c>
      <c r="P257" s="426">
        <f t="shared" si="162"/>
        <v>0</v>
      </c>
      <c r="Q257" s="178">
        <f>35.75+57.12</f>
        <v>92.87</v>
      </c>
      <c r="R257" s="295"/>
      <c r="S257" s="385">
        <f t="shared" si="127"/>
        <v>92.87</v>
      </c>
      <c r="T257" s="31"/>
      <c r="U257" s="474">
        <f t="shared" si="152"/>
        <v>0</v>
      </c>
      <c r="V257" s="474">
        <f t="shared" si="153"/>
        <v>0</v>
      </c>
      <c r="W257" s="475">
        <f t="shared" si="154"/>
        <v>0</v>
      </c>
      <c r="X257" s="475">
        <v>0</v>
      </c>
      <c r="Y257" s="476">
        <v>0</v>
      </c>
      <c r="Z257" s="38">
        <f t="shared" si="155"/>
        <v>0</v>
      </c>
      <c r="AA257" s="564">
        <f t="shared" si="156"/>
        <v>0</v>
      </c>
      <c r="AB257" s="564">
        <f t="shared" si="157"/>
        <v>38.340000000000003</v>
      </c>
      <c r="AC257" s="564">
        <f t="shared" si="158"/>
        <v>0</v>
      </c>
      <c r="AE257" s="564">
        <f t="shared" si="159"/>
        <v>0</v>
      </c>
      <c r="AF257" s="564">
        <f t="shared" si="160"/>
        <v>0</v>
      </c>
      <c r="AG257" s="564">
        <f t="shared" si="161"/>
        <v>0</v>
      </c>
    </row>
    <row r="258" spans="1:33">
      <c r="A258" s="20" t="s">
        <v>218</v>
      </c>
      <c r="B258" s="20" t="s">
        <v>110</v>
      </c>
      <c r="C258" s="68" t="s">
        <v>240</v>
      </c>
      <c r="D258" s="449"/>
      <c r="E258" s="529">
        <v>0</v>
      </c>
      <c r="F258" s="579"/>
      <c r="G258" s="579"/>
      <c r="H258" s="524"/>
      <c r="I258" s="379">
        <f t="shared" si="163"/>
        <v>0</v>
      </c>
      <c r="J258" s="31"/>
      <c r="K258" s="84"/>
      <c r="L258" s="42">
        <v>0</v>
      </c>
      <c r="M258" s="31">
        <v>0</v>
      </c>
      <c r="N258" s="429">
        <v>3517.04</v>
      </c>
      <c r="O258" s="31">
        <v>0</v>
      </c>
      <c r="P258" s="426">
        <f t="shared" si="162"/>
        <v>0</v>
      </c>
      <c r="Q258" s="178"/>
      <c r="R258" s="295"/>
      <c r="S258" s="385">
        <f t="shared" si="127"/>
        <v>0</v>
      </c>
      <c r="T258" s="2"/>
      <c r="U258" s="474">
        <f t="shared" si="152"/>
        <v>0</v>
      </c>
      <c r="V258" s="474">
        <f t="shared" si="153"/>
        <v>0</v>
      </c>
      <c r="W258" s="475">
        <f t="shared" si="154"/>
        <v>0</v>
      </c>
      <c r="X258" s="475">
        <v>0</v>
      </c>
      <c r="Y258" s="476">
        <v>0</v>
      </c>
      <c r="Z258" s="38">
        <f t="shared" si="155"/>
        <v>0</v>
      </c>
      <c r="AA258" s="564">
        <f t="shared" si="156"/>
        <v>0</v>
      </c>
      <c r="AB258" s="564">
        <f t="shared" si="157"/>
        <v>0</v>
      </c>
      <c r="AC258" s="564">
        <f t="shared" si="158"/>
        <v>0</v>
      </c>
      <c r="AE258" s="564">
        <f t="shared" si="159"/>
        <v>0</v>
      </c>
      <c r="AF258" s="564">
        <f t="shared" si="160"/>
        <v>0</v>
      </c>
      <c r="AG258" s="564">
        <f t="shared" si="161"/>
        <v>0</v>
      </c>
    </row>
    <row r="259" spans="1:33">
      <c r="A259" s="20" t="s">
        <v>218</v>
      </c>
      <c r="B259" s="20" t="s">
        <v>110</v>
      </c>
      <c r="C259" s="68" t="s">
        <v>60</v>
      </c>
      <c r="D259" s="449"/>
      <c r="E259" s="529">
        <v>0</v>
      </c>
      <c r="F259" s="579"/>
      <c r="G259" s="579"/>
      <c r="H259" s="524"/>
      <c r="I259" s="379">
        <f t="shared" si="163"/>
        <v>0</v>
      </c>
      <c r="J259" s="31"/>
      <c r="K259" s="84"/>
      <c r="L259" s="42">
        <v>0</v>
      </c>
      <c r="M259" s="31">
        <v>0</v>
      </c>
      <c r="N259" s="429">
        <v>8249.81</v>
      </c>
      <c r="O259" s="31">
        <v>0</v>
      </c>
      <c r="P259" s="426">
        <f t="shared" si="162"/>
        <v>0</v>
      </c>
      <c r="Q259" s="178"/>
      <c r="R259" s="295"/>
      <c r="S259" s="385">
        <f t="shared" si="127"/>
        <v>0</v>
      </c>
      <c r="T259" s="2"/>
      <c r="U259" s="474">
        <f t="shared" si="152"/>
        <v>0</v>
      </c>
      <c r="V259" s="474">
        <f t="shared" si="153"/>
        <v>0</v>
      </c>
      <c r="W259" s="475">
        <f t="shared" si="154"/>
        <v>0</v>
      </c>
      <c r="X259" s="475">
        <v>0</v>
      </c>
      <c r="Y259" s="476">
        <v>0</v>
      </c>
      <c r="Z259" s="38">
        <f t="shared" si="155"/>
        <v>0</v>
      </c>
      <c r="AA259" s="564">
        <f t="shared" si="156"/>
        <v>0</v>
      </c>
      <c r="AB259" s="564">
        <f t="shared" si="157"/>
        <v>0</v>
      </c>
      <c r="AC259" s="564">
        <f t="shared" si="158"/>
        <v>0</v>
      </c>
      <c r="AE259" s="564">
        <f t="shared" si="159"/>
        <v>0</v>
      </c>
      <c r="AF259" s="564">
        <f t="shared" si="160"/>
        <v>0</v>
      </c>
      <c r="AG259" s="564">
        <f t="shared" si="161"/>
        <v>0</v>
      </c>
    </row>
    <row r="260" spans="1:33">
      <c r="A260" s="20"/>
      <c r="B260" s="20" t="s">
        <v>110</v>
      </c>
      <c r="C260" s="68" t="s">
        <v>61</v>
      </c>
      <c r="D260" s="449"/>
      <c r="E260" s="529">
        <v>0</v>
      </c>
      <c r="F260" s="579"/>
      <c r="G260" s="579"/>
      <c r="H260" s="524"/>
      <c r="I260" s="379">
        <f t="shared" si="163"/>
        <v>0</v>
      </c>
      <c r="J260" s="31"/>
      <c r="K260" s="84"/>
      <c r="L260" s="42">
        <v>0</v>
      </c>
      <c r="M260" s="31">
        <v>0</v>
      </c>
      <c r="N260" s="429"/>
      <c r="O260" s="31">
        <v>0</v>
      </c>
      <c r="P260" s="426">
        <f t="shared" si="162"/>
        <v>0</v>
      </c>
      <c r="Q260" s="178"/>
      <c r="R260" s="295"/>
      <c r="S260" s="385">
        <f t="shared" si="127"/>
        <v>0</v>
      </c>
      <c r="T260" s="2"/>
      <c r="U260" s="474">
        <f t="shared" si="152"/>
        <v>0</v>
      </c>
      <c r="V260" s="474">
        <f t="shared" si="153"/>
        <v>0</v>
      </c>
      <c r="W260" s="475">
        <f t="shared" si="154"/>
        <v>0</v>
      </c>
      <c r="X260" s="475">
        <v>0</v>
      </c>
      <c r="Y260" s="476">
        <v>0</v>
      </c>
      <c r="Z260" s="38">
        <f t="shared" si="155"/>
        <v>0</v>
      </c>
      <c r="AA260" s="564">
        <f t="shared" si="156"/>
        <v>0</v>
      </c>
      <c r="AB260" s="564">
        <f t="shared" si="157"/>
        <v>0</v>
      </c>
      <c r="AC260" s="564">
        <f t="shared" si="158"/>
        <v>0</v>
      </c>
      <c r="AE260" s="564">
        <f t="shared" si="159"/>
        <v>0</v>
      </c>
      <c r="AF260" s="564">
        <f t="shared" si="160"/>
        <v>0</v>
      </c>
      <c r="AG260" s="564">
        <f t="shared" si="161"/>
        <v>0</v>
      </c>
    </row>
    <row r="261" spans="1:33">
      <c r="A261" s="20"/>
      <c r="B261" s="20" t="s">
        <v>110</v>
      </c>
      <c r="C261" s="68" t="s">
        <v>169</v>
      </c>
      <c r="D261" s="449"/>
      <c r="E261" s="529">
        <v>0</v>
      </c>
      <c r="F261" s="576">
        <v>1656.08</v>
      </c>
      <c r="G261" s="576">
        <v>1746.48</v>
      </c>
      <c r="H261" s="524"/>
      <c r="I261" s="379">
        <f t="shared" si="163"/>
        <v>3402.56</v>
      </c>
      <c r="J261" s="31"/>
      <c r="K261" s="84"/>
      <c r="L261" s="42">
        <f>SUM(F261+G261)/2</f>
        <v>1701.28</v>
      </c>
      <c r="M261" s="31">
        <v>0</v>
      </c>
      <c r="N261" s="429">
        <v>5201.53</v>
      </c>
      <c r="O261" s="31">
        <v>0</v>
      </c>
      <c r="P261" s="426">
        <f t="shared" si="162"/>
        <v>1701.28</v>
      </c>
      <c r="Q261" s="178">
        <v>2180.4499999999998</v>
      </c>
      <c r="R261" s="295"/>
      <c r="S261" s="385">
        <f t="shared" si="127"/>
        <v>479.16999999999985</v>
      </c>
      <c r="T261" s="31"/>
      <c r="U261" s="474">
        <f t="shared" si="152"/>
        <v>1701.28</v>
      </c>
      <c r="V261" s="474">
        <f t="shared" si="153"/>
        <v>0</v>
      </c>
      <c r="W261" s="475">
        <f t="shared" si="154"/>
        <v>0</v>
      </c>
      <c r="X261" s="475">
        <v>0</v>
      </c>
      <c r="Y261" s="476">
        <v>0</v>
      </c>
      <c r="Z261" s="38">
        <f t="shared" si="155"/>
        <v>0</v>
      </c>
      <c r="AA261" s="564">
        <f t="shared" si="156"/>
        <v>3402.56</v>
      </c>
      <c r="AB261" s="564">
        <f t="shared" si="157"/>
        <v>0</v>
      </c>
      <c r="AC261" s="564">
        <f t="shared" si="158"/>
        <v>0</v>
      </c>
      <c r="AE261" s="564">
        <f t="shared" si="159"/>
        <v>1701.28</v>
      </c>
      <c r="AF261" s="564">
        <f t="shared" si="160"/>
        <v>0</v>
      </c>
      <c r="AG261" s="564">
        <f t="shared" si="161"/>
        <v>0</v>
      </c>
    </row>
    <row r="262" spans="1:33">
      <c r="A262" s="21"/>
      <c r="B262" s="21" t="s">
        <v>110</v>
      </c>
      <c r="C262" s="68" t="s">
        <v>302</v>
      </c>
      <c r="D262" s="449"/>
      <c r="E262" s="529">
        <v>0</v>
      </c>
      <c r="F262" s="579"/>
      <c r="G262" s="579"/>
      <c r="H262" s="524"/>
      <c r="I262" s="379">
        <f t="shared" si="163"/>
        <v>0</v>
      </c>
      <c r="J262" s="31"/>
      <c r="K262" s="84"/>
      <c r="L262" s="42">
        <v>0</v>
      </c>
      <c r="M262" s="31">
        <v>0</v>
      </c>
      <c r="N262" s="429">
        <v>0</v>
      </c>
      <c r="O262" s="31">
        <v>0</v>
      </c>
      <c r="P262" s="426">
        <f t="shared" si="162"/>
        <v>0</v>
      </c>
      <c r="Q262" s="178"/>
      <c r="R262" s="295"/>
      <c r="S262" s="385">
        <f t="shared" si="127"/>
        <v>0</v>
      </c>
      <c r="T262" s="31"/>
      <c r="U262" s="474">
        <f t="shared" si="152"/>
        <v>0</v>
      </c>
      <c r="V262" s="474">
        <f t="shared" si="153"/>
        <v>0</v>
      </c>
      <c r="W262" s="475">
        <f t="shared" si="154"/>
        <v>0</v>
      </c>
      <c r="X262" s="475">
        <v>0</v>
      </c>
      <c r="Y262" s="476">
        <v>0</v>
      </c>
      <c r="Z262" s="38">
        <f t="shared" si="155"/>
        <v>0</v>
      </c>
      <c r="AA262" s="564">
        <f t="shared" si="156"/>
        <v>0</v>
      </c>
      <c r="AB262" s="564">
        <f t="shared" si="157"/>
        <v>0</v>
      </c>
      <c r="AC262" s="564">
        <f t="shared" si="158"/>
        <v>0</v>
      </c>
      <c r="AE262" s="564">
        <f t="shared" si="159"/>
        <v>0</v>
      </c>
      <c r="AF262" s="564">
        <f t="shared" si="160"/>
        <v>0</v>
      </c>
      <c r="AG262" s="564">
        <f t="shared" si="161"/>
        <v>0</v>
      </c>
    </row>
    <row r="263" spans="1:33">
      <c r="A263" s="21"/>
      <c r="B263" s="21" t="s">
        <v>114</v>
      </c>
      <c r="C263" s="519" t="s">
        <v>433</v>
      </c>
      <c r="D263" s="449"/>
      <c r="E263" s="529">
        <v>0</v>
      </c>
      <c r="F263" s="579"/>
      <c r="G263" s="579"/>
      <c r="H263" s="524"/>
      <c r="I263" s="379">
        <v>0</v>
      </c>
      <c r="J263" s="31"/>
      <c r="K263" s="84"/>
      <c r="L263" s="42">
        <v>0</v>
      </c>
      <c r="M263" s="31">
        <v>0</v>
      </c>
      <c r="N263" s="429">
        <v>0</v>
      </c>
      <c r="O263" s="31">
        <v>0</v>
      </c>
      <c r="P263" s="426">
        <f t="shared" si="162"/>
        <v>0</v>
      </c>
      <c r="Q263" s="178"/>
      <c r="R263" s="295"/>
      <c r="S263" s="385">
        <f t="shared" si="127"/>
        <v>0</v>
      </c>
      <c r="T263" s="31"/>
      <c r="U263" s="474">
        <f t="shared" si="152"/>
        <v>0</v>
      </c>
      <c r="V263" s="474">
        <f t="shared" si="153"/>
        <v>0</v>
      </c>
      <c r="W263" s="475">
        <f t="shared" si="154"/>
        <v>0</v>
      </c>
      <c r="X263" s="475">
        <v>0</v>
      </c>
      <c r="Y263" s="476">
        <v>0</v>
      </c>
      <c r="Z263" s="38">
        <f t="shared" si="155"/>
        <v>0</v>
      </c>
      <c r="AA263" s="564">
        <f t="shared" si="156"/>
        <v>0</v>
      </c>
      <c r="AB263" s="564">
        <f t="shared" si="157"/>
        <v>0</v>
      </c>
      <c r="AC263" s="564">
        <f t="shared" si="158"/>
        <v>0</v>
      </c>
      <c r="AE263" s="564">
        <f t="shared" si="159"/>
        <v>0</v>
      </c>
      <c r="AF263" s="564">
        <f t="shared" si="160"/>
        <v>0</v>
      </c>
      <c r="AG263" s="564">
        <f t="shared" si="161"/>
        <v>0</v>
      </c>
    </row>
    <row r="264" spans="1:33" s="146" customFormat="1">
      <c r="A264" s="21"/>
      <c r="B264" s="21" t="s">
        <v>109</v>
      </c>
      <c r="C264" s="68" t="s">
        <v>93</v>
      </c>
      <c r="D264" s="449">
        <v>-374.81</v>
      </c>
      <c r="E264" s="529">
        <v>0</v>
      </c>
      <c r="F264" s="579"/>
      <c r="G264" s="579"/>
      <c r="H264" s="524"/>
      <c r="I264" s="379">
        <f>SUM(D264:H264)</f>
        <v>-374.81</v>
      </c>
      <c r="J264" s="31"/>
      <c r="K264" s="84"/>
      <c r="L264" s="42">
        <v>0</v>
      </c>
      <c r="M264" s="31">
        <v>0</v>
      </c>
      <c r="N264" s="429">
        <v>0</v>
      </c>
      <c r="O264" s="31">
        <v>0</v>
      </c>
      <c r="P264" s="426">
        <f t="shared" si="162"/>
        <v>0</v>
      </c>
      <c r="Q264" s="178">
        <f>191.27+62.61</f>
        <v>253.88</v>
      </c>
      <c r="R264" s="295"/>
      <c r="S264" s="385">
        <f t="shared" si="127"/>
        <v>253.88</v>
      </c>
      <c r="T264" s="31"/>
      <c r="U264" s="474">
        <f t="shared" si="152"/>
        <v>0</v>
      </c>
      <c r="V264" s="474">
        <f t="shared" si="153"/>
        <v>0</v>
      </c>
      <c r="W264" s="475">
        <f t="shared" si="154"/>
        <v>0</v>
      </c>
      <c r="X264" s="475">
        <v>0</v>
      </c>
      <c r="Y264" s="476">
        <v>0</v>
      </c>
      <c r="Z264" s="38">
        <f t="shared" si="155"/>
        <v>0</v>
      </c>
      <c r="AA264" s="564">
        <f t="shared" si="156"/>
        <v>0</v>
      </c>
      <c r="AB264" s="564">
        <f t="shared" si="157"/>
        <v>-374.81</v>
      </c>
      <c r="AC264" s="564">
        <f t="shared" si="158"/>
        <v>0</v>
      </c>
      <c r="AD264" s="559"/>
      <c r="AE264" s="564">
        <f t="shared" si="159"/>
        <v>0</v>
      </c>
      <c r="AF264" s="564">
        <f t="shared" si="160"/>
        <v>0</v>
      </c>
      <c r="AG264" s="564">
        <f t="shared" si="161"/>
        <v>0</v>
      </c>
    </row>
    <row r="265" spans="1:33" s="146" customFormat="1" ht="13" thickBot="1">
      <c r="A265" s="21"/>
      <c r="B265" s="21" t="s">
        <v>110</v>
      </c>
      <c r="C265" s="68" t="s">
        <v>434</v>
      </c>
      <c r="D265" s="449"/>
      <c r="E265" s="529">
        <v>0</v>
      </c>
      <c r="F265" s="579"/>
      <c r="G265" s="579"/>
      <c r="H265" s="524"/>
      <c r="I265" s="379">
        <f t="shared" ref="I265" si="164">SUM(D265:H265)</f>
        <v>0</v>
      </c>
      <c r="J265" s="31"/>
      <c r="K265" s="84"/>
      <c r="L265" s="42">
        <v>0</v>
      </c>
      <c r="M265" s="31">
        <v>0</v>
      </c>
      <c r="N265" s="429"/>
      <c r="O265" s="31">
        <v>0</v>
      </c>
      <c r="P265" s="426">
        <f t="shared" si="162"/>
        <v>0</v>
      </c>
      <c r="Q265" s="178"/>
      <c r="R265" s="295"/>
      <c r="S265" s="385">
        <f t="shared" si="127"/>
        <v>0</v>
      </c>
      <c r="T265" s="31"/>
      <c r="U265" s="474">
        <f t="shared" si="152"/>
        <v>0</v>
      </c>
      <c r="V265" s="474">
        <f t="shared" si="153"/>
        <v>0</v>
      </c>
      <c r="W265" s="475">
        <f t="shared" si="154"/>
        <v>0</v>
      </c>
      <c r="X265" s="475">
        <v>0</v>
      </c>
      <c r="Y265" s="476">
        <v>0</v>
      </c>
      <c r="Z265" s="38">
        <f t="shared" si="155"/>
        <v>0</v>
      </c>
      <c r="AA265" s="564">
        <f t="shared" si="156"/>
        <v>0</v>
      </c>
      <c r="AB265" s="564">
        <f t="shared" si="157"/>
        <v>0</v>
      </c>
      <c r="AC265" s="564">
        <f t="shared" si="158"/>
        <v>0</v>
      </c>
      <c r="AD265" s="559"/>
      <c r="AE265" s="564">
        <f t="shared" si="159"/>
        <v>0</v>
      </c>
      <c r="AF265" s="564">
        <f t="shared" si="160"/>
        <v>0</v>
      </c>
      <c r="AG265" s="564">
        <f t="shared" si="161"/>
        <v>0</v>
      </c>
    </row>
    <row r="266" spans="1:33" ht="13" thickBot="1">
      <c r="A266" s="107"/>
      <c r="B266" s="108"/>
      <c r="C266" s="71" t="s">
        <v>86</v>
      </c>
      <c r="D266" s="454">
        <f t="shared" ref="D266:I266" si="165">SUM(D19:D265)</f>
        <v>67710.330000000016</v>
      </c>
      <c r="E266" s="454">
        <f>SUM(E19:E265)</f>
        <v>95362.860000000073</v>
      </c>
      <c r="F266" s="454">
        <f t="shared" si="165"/>
        <v>6330075.25</v>
      </c>
      <c r="G266" s="454">
        <f t="shared" si="165"/>
        <v>5073037.8500000006</v>
      </c>
      <c r="H266" s="454">
        <f t="shared" si="165"/>
        <v>3809624.65</v>
      </c>
      <c r="I266" s="454">
        <f t="shared" si="165"/>
        <v>15375810.940000009</v>
      </c>
      <c r="J266" s="454">
        <f t="shared" ref="J266" si="166">SUM(J19:J265)</f>
        <v>0</v>
      </c>
      <c r="K266" s="454">
        <f>SUM(K19:K265)</f>
        <v>794235.83</v>
      </c>
      <c r="L266" s="454">
        <f>SUM(L19:L265)</f>
        <v>2148140.2850000006</v>
      </c>
      <c r="M266" s="454">
        <f>SUM(M19:M265)</f>
        <v>0</v>
      </c>
      <c r="N266" s="100">
        <f>SUM(N19:N265)</f>
        <v>17895832.845999997</v>
      </c>
      <c r="O266" s="157">
        <f>SUM(O21:O265)</f>
        <v>0</v>
      </c>
      <c r="P266" s="100">
        <f>SUM(P19:P265)</f>
        <v>2942376.1150000007</v>
      </c>
      <c r="Q266" s="314">
        <f>SUM(Q19:Q265)</f>
        <v>3166981.7184999995</v>
      </c>
      <c r="R266" s="297"/>
      <c r="S266" s="314">
        <f>SUM(S19:S265)</f>
        <v>224605.6035</v>
      </c>
      <c r="T266" s="314">
        <f>SUM(T21:T265)</f>
        <v>0</v>
      </c>
      <c r="U266" s="314">
        <f>SUM(U19:U265)</f>
        <v>2426164.2400000007</v>
      </c>
      <c r="V266" s="314">
        <f>SUM(V19:V265)</f>
        <v>421617.34500000003</v>
      </c>
      <c r="W266" s="314">
        <f>SUM(W19:W265)</f>
        <v>94594.53</v>
      </c>
      <c r="X266" s="314">
        <f>SUM(X19:X265)</f>
        <v>0</v>
      </c>
      <c r="Y266" s="314">
        <f>SUM(Y19:Y265)</f>
        <v>0</v>
      </c>
      <c r="AA266" s="314">
        <f>SUM(AA19:AA265)</f>
        <v>14694392.999999998</v>
      </c>
      <c r="AB266" s="314">
        <f>SUM(AB19:AB265)</f>
        <v>662660.70999999985</v>
      </c>
      <c r="AC266" s="314">
        <f>SUM(AC19:AC265)</f>
        <v>18757.23</v>
      </c>
      <c r="AE266" s="314">
        <f>SUM(AE19:AE265)</f>
        <v>2426164.2400000007</v>
      </c>
      <c r="AF266" s="314">
        <f>SUM(AF19:AF265)</f>
        <v>421617.34500000003</v>
      </c>
      <c r="AG266" s="314">
        <f>SUM(AG19:AG265)</f>
        <v>94594.53</v>
      </c>
    </row>
    <row r="267" spans="1:33" ht="13" thickBot="1">
      <c r="A267" s="65"/>
      <c r="B267" s="65"/>
      <c r="C267" s="141"/>
      <c r="D267" s="310" t="s">
        <v>293</v>
      </c>
      <c r="E267" s="160">
        <f>E266+D266</f>
        <v>163073.19000000009</v>
      </c>
      <c r="F267" s="153"/>
      <c r="G267" s="153" t="s">
        <v>225</v>
      </c>
      <c r="H267" s="160">
        <f>H266+G266+F266</f>
        <v>15212737.75</v>
      </c>
      <c r="I267" s="323"/>
      <c r="J267" s="153"/>
      <c r="K267" s="153" t="s">
        <v>296</v>
      </c>
      <c r="L267" s="100">
        <f>L266+K266</f>
        <v>2942376.1150000007</v>
      </c>
      <c r="M267" s="153"/>
      <c r="N267" s="641"/>
      <c r="O267" s="153"/>
      <c r="P267" s="153"/>
      <c r="Q267" s="153"/>
      <c r="R267" s="153"/>
      <c r="S267" s="153"/>
      <c r="T267" s="153"/>
      <c r="U267" s="139"/>
      <c r="V267" s="139"/>
      <c r="W267" s="139"/>
      <c r="X267" s="139"/>
      <c r="Y267" s="104"/>
    </row>
    <row r="268" spans="1:33" ht="13" thickBot="1">
      <c r="A268" s="65"/>
      <c r="B268" s="65"/>
      <c r="D268" s="128"/>
      <c r="E268" s="47"/>
      <c r="F268" s="153"/>
      <c r="G268" s="153"/>
      <c r="H268" s="153"/>
      <c r="I268" s="153"/>
      <c r="J268" s="153"/>
      <c r="K268" s="153"/>
      <c r="L268" s="67"/>
      <c r="M268" s="153"/>
      <c r="N268" s="153"/>
      <c r="O268" s="153"/>
      <c r="P268" s="153"/>
      <c r="Q268" s="153"/>
      <c r="R268" s="153"/>
      <c r="S268" s="153"/>
      <c r="T268" s="153"/>
      <c r="U268" s="331" t="s">
        <v>345</v>
      </c>
      <c r="V268" s="139"/>
      <c r="W268" s="139"/>
      <c r="X268" s="139"/>
      <c r="Y268" s="104"/>
      <c r="AA268" s="577"/>
      <c r="AB268" s="577"/>
      <c r="AC268" s="577"/>
    </row>
    <row r="269" spans="1:33" ht="17" thickTop="1" thickBot="1">
      <c r="G269" s="309"/>
      <c r="H269" s="79"/>
      <c r="I269" s="164"/>
      <c r="K269" s="232"/>
      <c r="L269" s="233"/>
      <c r="N269" s="642"/>
      <c r="O269" s="151"/>
      <c r="P269" s="139"/>
      <c r="U269" s="332"/>
      <c r="V269" s="333"/>
      <c r="W269" s="491"/>
      <c r="X269" s="491"/>
      <c r="Y269" s="334"/>
      <c r="Z269" s="18" t="s">
        <v>474</v>
      </c>
      <c r="AA269" s="559">
        <f>-56170.61-39892.27-39202.8</f>
        <v>-135265.68</v>
      </c>
      <c r="AB269" s="559">
        <v>0</v>
      </c>
      <c r="AC269" s="559">
        <f>-AA269</f>
        <v>135265.68</v>
      </c>
    </row>
    <row r="270" spans="1:33" ht="17" thickBot="1">
      <c r="G270" s="309"/>
      <c r="H270" s="79"/>
      <c r="I270" s="18"/>
      <c r="L270" s="493"/>
      <c r="N270" s="643"/>
      <c r="O270" s="27"/>
      <c r="P270" s="139"/>
      <c r="U270" s="487"/>
      <c r="V270" s="488"/>
      <c r="W270" s="492" t="s">
        <v>399</v>
      </c>
      <c r="X270" s="492" t="s">
        <v>400</v>
      </c>
      <c r="Y270" s="414"/>
      <c r="Z270" s="605" t="s">
        <v>475</v>
      </c>
      <c r="AA270" s="606">
        <f>AA266+AA269</f>
        <v>14559127.319999998</v>
      </c>
      <c r="AB270" s="606">
        <f>AB266</f>
        <v>662660.70999999985</v>
      </c>
      <c r="AC270" s="607">
        <f>AC266+AC269</f>
        <v>154022.91</v>
      </c>
    </row>
    <row r="271" spans="1:33" ht="14">
      <c r="C271" s="143" t="s">
        <v>294</v>
      </c>
      <c r="G271" s="142"/>
      <c r="H271" s="489" t="s">
        <v>494</v>
      </c>
      <c r="I271" s="79">
        <f>I266</f>
        <v>15375810.940000009</v>
      </c>
      <c r="K271" s="639"/>
      <c r="L271" s="642"/>
      <c r="M271" s="146"/>
      <c r="N271" s="643"/>
      <c r="O271" s="27"/>
      <c r="P271" s="139"/>
      <c r="U271" s="158" t="s">
        <v>346</v>
      </c>
      <c r="V271" s="104" t="s">
        <v>352</v>
      </c>
      <c r="W271" s="104">
        <f>U266+V266+W266</f>
        <v>2942376.1150000007</v>
      </c>
      <c r="X271" s="104"/>
      <c r="Y271" s="136"/>
      <c r="Z271" s="578"/>
    </row>
    <row r="272" spans="1:33" ht="15" thickBot="1">
      <c r="C272" s="143" t="s">
        <v>295</v>
      </c>
      <c r="G272" s="17" t="s">
        <v>249</v>
      </c>
      <c r="H272" s="633" t="s">
        <v>492</v>
      </c>
      <c r="I272" s="634">
        <f>L267</f>
        <v>2942376.1150000007</v>
      </c>
      <c r="K272" s="639"/>
      <c r="L272" s="643"/>
      <c r="M272" s="27"/>
      <c r="N272" s="76"/>
      <c r="O272" s="27"/>
      <c r="P272" s="644"/>
      <c r="Q272" s="151"/>
      <c r="R272" s="151"/>
      <c r="S272" s="151"/>
      <c r="U272" s="158"/>
      <c r="V272" s="104"/>
      <c r="W272" s="104"/>
      <c r="X272" s="104"/>
      <c r="Y272" s="136"/>
      <c r="Z272" s="578"/>
    </row>
    <row r="273" spans="3:25" ht="15" thickTop="1">
      <c r="C273" s="143" t="s">
        <v>297</v>
      </c>
      <c r="H273" s="489" t="s">
        <v>493</v>
      </c>
      <c r="I273" s="643">
        <f>I271+I272</f>
        <v>18318187.055000011</v>
      </c>
      <c r="K273" s="639"/>
      <c r="L273" s="172"/>
      <c r="N273" s="139"/>
      <c r="O273" s="27"/>
      <c r="P273" s="151"/>
      <c r="Q273" s="151"/>
      <c r="R273" s="151"/>
      <c r="S273" s="151"/>
      <c r="U273" s="158" t="s">
        <v>351</v>
      </c>
      <c r="V273" s="104" t="s">
        <v>355</v>
      </c>
      <c r="W273" s="104"/>
      <c r="X273" s="104">
        <f>U266</f>
        <v>2426164.2400000007</v>
      </c>
      <c r="Y273" s="136"/>
    </row>
    <row r="274" spans="3:25" ht="14">
      <c r="C274" s="143" t="s">
        <v>297</v>
      </c>
      <c r="H274" s="490"/>
      <c r="K274" s="645"/>
      <c r="L274" s="76"/>
      <c r="N274" s="644"/>
      <c r="O274" s="27"/>
      <c r="P274" s="139"/>
      <c r="Q274" s="54"/>
      <c r="R274" s="151"/>
      <c r="S274" s="294"/>
      <c r="U274" s="158" t="s">
        <v>350</v>
      </c>
      <c r="V274" s="104" t="s">
        <v>356</v>
      </c>
      <c r="W274" s="104"/>
      <c r="X274" s="104">
        <f>X266</f>
        <v>0</v>
      </c>
      <c r="Y274" s="136"/>
    </row>
    <row r="275" spans="3:25" ht="15" thickBot="1">
      <c r="C275" s="143"/>
      <c r="H275" s="633" t="s">
        <v>251</v>
      </c>
      <c r="I275" s="634">
        <v>15576716</v>
      </c>
      <c r="K275" s="639"/>
      <c r="L275" s="632"/>
      <c r="N275" s="33"/>
      <c r="P275" s="151"/>
      <c r="Q275" s="151"/>
      <c r="R275" s="151"/>
      <c r="S275" s="151"/>
      <c r="U275" s="158"/>
      <c r="V275" s="104"/>
      <c r="W275" s="104"/>
      <c r="X275" s="104"/>
      <c r="Y275" s="136"/>
    </row>
    <row r="276" spans="3:25" ht="15" thickTop="1">
      <c r="H276" s="489"/>
      <c r="I276" s="632">
        <f>I273-I275</f>
        <v>2741471.0550000109</v>
      </c>
      <c r="K276" s="639"/>
      <c r="L276" s="632"/>
      <c r="N276" s="33"/>
      <c r="P276" s="139"/>
      <c r="Q276" s="151"/>
      <c r="R276" s="151"/>
      <c r="S276" s="151"/>
      <c r="U276" s="158" t="s">
        <v>349</v>
      </c>
      <c r="V276" s="104" t="s">
        <v>357</v>
      </c>
      <c r="W276" s="104"/>
      <c r="X276" s="104">
        <f>V266</f>
        <v>421617.34500000003</v>
      </c>
      <c r="Y276" s="136"/>
    </row>
    <row r="277" spans="3:25" ht="13" thickBot="1">
      <c r="H277" s="24"/>
      <c r="I277" s="325"/>
      <c r="K277" s="76"/>
      <c r="L277" s="640"/>
      <c r="P277" s="151"/>
      <c r="Q277" s="151"/>
      <c r="R277" s="151"/>
      <c r="S277" s="151"/>
      <c r="U277" s="415" t="s">
        <v>348</v>
      </c>
      <c r="V277" s="104" t="s">
        <v>358</v>
      </c>
      <c r="W277" s="104"/>
      <c r="X277" s="104">
        <f>Y266</f>
        <v>0</v>
      </c>
      <c r="Y277" s="136"/>
    </row>
    <row r="278" spans="3:25" ht="13" thickBot="1">
      <c r="H278" s="635" t="s">
        <v>454</v>
      </c>
      <c r="I278" s="638">
        <f>I276-I272</f>
        <v>-200905.05999998981</v>
      </c>
      <c r="K278" s="636"/>
      <c r="L278" s="637"/>
      <c r="P278" s="151"/>
      <c r="Q278" s="151"/>
      <c r="R278" s="151"/>
      <c r="S278" s="151"/>
      <c r="U278" s="415"/>
      <c r="V278" s="104"/>
      <c r="W278" s="104"/>
      <c r="X278" s="104"/>
      <c r="Y278" s="136"/>
    </row>
    <row r="279" spans="3:25">
      <c r="K279" s="603"/>
      <c r="L279" s="604"/>
      <c r="P279" s="151"/>
      <c r="Q279" s="151"/>
      <c r="R279" s="151"/>
      <c r="S279" s="151"/>
      <c r="U279" s="415" t="s">
        <v>347</v>
      </c>
      <c r="V279" s="488" t="s">
        <v>359</v>
      </c>
      <c r="W279" s="488"/>
      <c r="X279" s="488">
        <f>W266</f>
        <v>94594.53</v>
      </c>
      <c r="Y279" s="414"/>
    </row>
    <row r="280" spans="3:25">
      <c r="L280" s="37"/>
      <c r="U280" s="416"/>
      <c r="V280" s="104"/>
      <c r="W280" s="80">
        <f>SUM(W271:W279)</f>
        <v>2942376.1150000007</v>
      </c>
      <c r="X280" s="80">
        <f>SUM(X273:X279)</f>
        <v>2942376.1150000007</v>
      </c>
      <c r="Y280" s="136"/>
    </row>
    <row r="281" spans="3:25">
      <c r="U281" s="416"/>
      <c r="V281" s="104"/>
      <c r="W281" s="104"/>
      <c r="X281" s="104"/>
      <c r="Y281" s="136"/>
    </row>
    <row r="282" spans="3:25" ht="13" thickBot="1">
      <c r="U282" s="330"/>
      <c r="V282" s="279"/>
      <c r="W282" s="279"/>
      <c r="X282" s="279"/>
      <c r="Y282" s="280"/>
    </row>
    <row r="283" spans="3:25">
      <c r="U283" s="104"/>
      <c r="V283" s="104"/>
      <c r="W283" s="104"/>
      <c r="X283" s="104"/>
      <c r="Y283" s="104"/>
    </row>
    <row r="285" spans="3:25">
      <c r="K285" s="169"/>
    </row>
    <row r="286" spans="3:25">
      <c r="K286" s="169"/>
    </row>
    <row r="287" spans="3:25">
      <c r="K287" s="169"/>
    </row>
    <row r="288" spans="3:25">
      <c r="K288" s="169"/>
    </row>
  </sheetData>
  <customSheetViews>
    <customSheetView guid="{005F2F7B-A3A9-4755-A4DF-7CE06C365CC2}" showPageBreaks="1">
      <pane xSplit="3" ySplit="18" topLeftCell="D226" activePane="bottomRight" state="frozenSplit"/>
      <selection pane="bottomRight" activeCell="Q238" sqref="Q238"/>
      <pageSetup scale="65" fitToHeight="5" orientation="portrait" horizontalDpi="1200" verticalDpi="1200"/>
    </customSheetView>
    <customSheetView guid="{D3CBD86D-0B34-40AC-BD97-D8082E871349}" scale="89" showPageBreaks="1" fitToPage="1" printArea="1" topLeftCell="A186">
      <selection activeCell="F217" sqref="F217"/>
      <pageSetup scale="70" fitToHeight="3" orientation="portrait" horizontalDpi="1200" verticalDpi="1200"/>
    </customSheetView>
    <customSheetView guid="{A6D105A8-F3F8-4045-83EA-8812D2E401D6}" scale="89" showPageBreaks="1" fitToPage="1" printArea="1" topLeftCell="A24">
      <selection activeCell="C45" sqref="C45"/>
      <pageSetup scale="70" fitToHeight="3" orientation="portrait" horizontalDpi="1200" verticalDpi="1200"/>
    </customSheetView>
    <customSheetView guid="{30EF2F7D-596A-4F42-BFFC-293775FB231D}" showPageBreaks="1" topLeftCell="A16">
      <pane xSplit="3" ySplit="3" topLeftCell="E152" activePane="bottomRight" state="frozenSplit"/>
      <selection pane="bottomRight" activeCell="Q160" sqref="Q160"/>
      <pageSetup scale="65" fitToHeight="5" orientation="portrait" horizontalDpi="1200" verticalDpi="1200"/>
    </customSheetView>
    <customSheetView guid="{19673ADA-0B6E-420C-87C4-DFC2B9AF85E8}" showPageBreaks="1" printArea="1" topLeftCell="D1">
      <pane ySplit="18" topLeftCell="A206" activePane="bottomLeft" state="frozenSplit"/>
      <selection pane="bottomLeft" activeCell="Q220" sqref="Q220"/>
      <pageSetup paperSize="5" scale="58" orientation="landscape"/>
    </customSheetView>
    <customSheetView guid="{EAD60427-EED9-4BA8-BD26-3C00E46B1F0E}" scale="115" showPageBreaks="1" fitToPage="1" printArea="1" topLeftCell="B1">
      <pane ySplit="18" topLeftCell="A245" activePane="bottomLeft" state="frozenSplit"/>
      <selection pane="bottomLeft" activeCell="Q248" sqref="Q248"/>
      <pageSetup scale="70" fitToHeight="3" orientation="portrait" horizontalDpi="1200" verticalDpi="1200"/>
    </customSheetView>
    <customSheetView guid="{041E0462-B6EA-414A-9F2E-C14ADEFAE5F2}" scale="89" showPageBreaks="1" fitToPage="1" printArea="1" topLeftCell="A27">
      <selection activeCell="F217" sqref="F217"/>
      <pageSetup scale="70" fitToHeight="3" orientation="portrait" horizontalDpi="1200" verticalDpi="1200"/>
    </customSheetView>
    <customSheetView guid="{86CCC894-C193-4761-8385-3C374FD67B70}" scale="89" showPageBreaks="1" fitToPage="1" printArea="1" topLeftCell="A27">
      <selection activeCell="F217" sqref="F217"/>
      <pageSetup scale="70" fitToHeight="3" orientation="portrait" horizontalDpi="1200" verticalDpi="1200"/>
    </customSheetView>
  </customSheetViews>
  <pageMargins left="0.25" right="0.25" top="0.18" bottom="0.28000000000000003" header="0.3" footer="0.3"/>
  <pageSetup scale="70" fitToHeight="3" orientation="portrait" horizontalDpi="1200" verticalDpi="1200"/>
  <legacyDrawing r:id="rId1"/>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G288"/>
  <sheetViews>
    <sheetView topLeftCell="A196" zoomScale="91" zoomScaleNormal="91" zoomScalePageLayoutView="91" workbookViewId="0">
      <selection activeCell="L216" sqref="L216"/>
    </sheetView>
  </sheetViews>
  <sheetFormatPr baseColWidth="10" defaultColWidth="9.3984375" defaultRowHeight="12" outlineLevelCol="1" x14ac:dyDescent="0"/>
  <cols>
    <col min="1" max="1" width="16.19921875" style="18" customWidth="1" outlineLevel="1"/>
    <col min="2" max="2" width="11.59765625" style="18" customWidth="1" outlineLevel="1"/>
    <col min="3" max="3" width="30.19921875" style="147" customWidth="1"/>
    <col min="4" max="4" width="15.796875" style="35" bestFit="1" customWidth="1"/>
    <col min="5" max="5" width="13.3984375" style="152" bestFit="1" customWidth="1"/>
    <col min="6" max="7" width="14.19921875" style="17" bestFit="1" customWidth="1"/>
    <col min="8" max="8" width="15.19921875" style="131" bestFit="1" customWidth="1"/>
    <col min="9" max="9" width="15.19921875" style="24" bestFit="1" customWidth="1"/>
    <col min="10" max="10" width="1.59765625" style="24" customWidth="1"/>
    <col min="11" max="11" width="14.59765625" style="24" bestFit="1" customWidth="1"/>
    <col min="12" max="12" width="15.796875" style="24" bestFit="1" customWidth="1"/>
    <col min="13" max="13" width="1" style="16" customWidth="1"/>
    <col min="14" max="14" width="16.3984375" style="146" bestFit="1" customWidth="1"/>
    <col min="15" max="15" width="1" style="16" customWidth="1"/>
    <col min="16" max="16" width="14.59765625" style="146" bestFit="1" customWidth="1"/>
    <col min="17" max="17" width="19" style="146" customWidth="1"/>
    <col min="18" max="18" width="1" style="146" customWidth="1"/>
    <col min="19" max="19" width="16.796875" style="146" customWidth="1"/>
    <col min="20" max="20" width="1.59765625" style="24" customWidth="1"/>
    <col min="21" max="21" width="16" style="38" customWidth="1"/>
    <col min="22" max="22" width="19.796875" style="38" customWidth="1"/>
    <col min="23" max="23" width="13.796875" style="38" bestFit="1" customWidth="1"/>
    <col min="24" max="24" width="16.19921875" style="38" bestFit="1" customWidth="1"/>
    <col min="25" max="25" width="17" style="38" bestFit="1" customWidth="1"/>
    <col min="26" max="26" width="11.19921875" style="16" bestFit="1" customWidth="1"/>
    <col min="27" max="27" width="17.19921875" style="559" customWidth="1"/>
    <col min="28" max="28" width="15" style="559" customWidth="1"/>
    <col min="29" max="29" width="15.796875" style="559" customWidth="1"/>
    <col min="30" max="30" width="9.3984375" style="559"/>
    <col min="31" max="31" width="15.19921875" style="559" bestFit="1" customWidth="1"/>
    <col min="32" max="33" width="14.19921875" style="559" customWidth="1"/>
    <col min="34" max="16384" width="9.3984375" style="16"/>
  </cols>
  <sheetData>
    <row r="1" spans="1:24">
      <c r="C1" s="147" t="s">
        <v>71</v>
      </c>
      <c r="E1" s="29"/>
      <c r="F1" s="162"/>
      <c r="G1" s="163"/>
      <c r="I1" s="20" t="s">
        <v>119</v>
      </c>
      <c r="J1" s="40"/>
      <c r="K1" s="20" t="s">
        <v>119</v>
      </c>
      <c r="L1" s="20" t="s">
        <v>120</v>
      </c>
      <c r="T1" s="40"/>
    </row>
    <row r="2" spans="1:24">
      <c r="C2" s="147" t="s">
        <v>72</v>
      </c>
      <c r="E2" s="29"/>
      <c r="F2" s="162"/>
      <c r="G2" s="163"/>
      <c r="I2" s="20" t="s">
        <v>377</v>
      </c>
      <c r="J2" s="40"/>
      <c r="K2" s="20" t="s">
        <v>299</v>
      </c>
      <c r="L2" s="20" t="s">
        <v>300</v>
      </c>
      <c r="T2" s="40"/>
    </row>
    <row r="3" spans="1:24">
      <c r="C3" s="147" t="s">
        <v>456</v>
      </c>
      <c r="E3" s="29"/>
      <c r="F3" s="18"/>
      <c r="G3" s="168"/>
      <c r="I3" s="140"/>
      <c r="K3" s="140"/>
      <c r="L3" s="236"/>
    </row>
    <row r="4" spans="1:24">
      <c r="C4" s="148" t="s">
        <v>228</v>
      </c>
      <c r="F4" s="164"/>
      <c r="G4" s="168"/>
      <c r="H4" s="161"/>
    </row>
    <row r="5" spans="1:24" ht="13" thickBot="1">
      <c r="C5" s="148"/>
      <c r="F5" s="161"/>
      <c r="G5" s="161"/>
      <c r="H5" s="161"/>
    </row>
    <row r="6" spans="1:24">
      <c r="B6" s="460"/>
      <c r="C6" s="461" t="s">
        <v>84</v>
      </c>
      <c r="D6" s="462" t="s">
        <v>85</v>
      </c>
      <c r="F6" s="161"/>
      <c r="G6" s="161"/>
      <c r="H6" s="161"/>
      <c r="I6" s="18"/>
      <c r="K6" s="18"/>
      <c r="L6" s="18"/>
      <c r="M6" s="18"/>
      <c r="N6" s="152"/>
      <c r="O6" s="18"/>
      <c r="P6" s="152"/>
      <c r="Q6" s="152"/>
      <c r="R6" s="152"/>
      <c r="S6" s="152"/>
    </row>
    <row r="7" spans="1:24">
      <c r="B7" s="459"/>
      <c r="C7" s="458" t="s">
        <v>74</v>
      </c>
      <c r="D7" s="463" t="s">
        <v>77</v>
      </c>
      <c r="F7" s="161"/>
      <c r="G7" s="161"/>
      <c r="H7" s="161"/>
      <c r="I7" s="478"/>
      <c r="K7" s="169"/>
      <c r="L7" s="169"/>
    </row>
    <row r="8" spans="1:24">
      <c r="B8" s="459"/>
      <c r="C8" s="458" t="s">
        <v>75</v>
      </c>
      <c r="D8" s="287" t="s">
        <v>115</v>
      </c>
      <c r="E8" s="29"/>
      <c r="F8" s="161"/>
      <c r="G8" s="161"/>
      <c r="H8" s="629"/>
      <c r="I8" s="172"/>
      <c r="J8" s="41"/>
      <c r="K8" s="37"/>
      <c r="L8" s="37"/>
      <c r="T8" s="41"/>
    </row>
    <row r="9" spans="1:24">
      <c r="B9" s="459"/>
      <c r="C9" s="568" t="s">
        <v>73</v>
      </c>
      <c r="D9" s="572" t="s">
        <v>446</v>
      </c>
      <c r="E9" s="29"/>
      <c r="F9" s="164"/>
      <c r="G9" s="630"/>
      <c r="H9" s="629"/>
      <c r="I9" s="75"/>
      <c r="J9" s="41"/>
      <c r="K9" s="77"/>
      <c r="L9" s="77"/>
      <c r="M9" s="27"/>
      <c r="N9" s="151"/>
      <c r="O9" s="27"/>
      <c r="P9" s="151"/>
      <c r="Q9" s="151"/>
      <c r="R9" s="151"/>
      <c r="S9" s="151"/>
      <c r="T9" s="41"/>
    </row>
    <row r="10" spans="1:24">
      <c r="B10" s="459"/>
      <c r="C10" s="458" t="s">
        <v>76</v>
      </c>
      <c r="D10" s="465" t="s">
        <v>79</v>
      </c>
      <c r="E10" s="29"/>
      <c r="F10" s="161"/>
      <c r="G10" s="161"/>
      <c r="H10" s="629"/>
      <c r="I10" s="78"/>
      <c r="K10" s="79"/>
      <c r="L10" s="79"/>
      <c r="M10" s="27"/>
      <c r="N10" s="151"/>
      <c r="O10" s="27"/>
      <c r="P10" s="151"/>
      <c r="Q10" s="151"/>
      <c r="R10" s="151"/>
      <c r="S10" s="151"/>
    </row>
    <row r="11" spans="1:24">
      <c r="B11" s="459"/>
      <c r="C11" s="458" t="s">
        <v>81</v>
      </c>
      <c r="D11" s="466" t="s">
        <v>80</v>
      </c>
      <c r="E11" s="29"/>
      <c r="F11" s="161"/>
      <c r="G11" s="134"/>
      <c r="H11" s="10"/>
      <c r="I11" s="78"/>
      <c r="K11" s="79"/>
      <c r="L11" s="79"/>
      <c r="M11" s="27"/>
      <c r="N11" s="151"/>
      <c r="O11" s="27"/>
      <c r="P11" s="151"/>
      <c r="Q11" s="151"/>
      <c r="R11" s="151"/>
      <c r="S11" s="151"/>
    </row>
    <row r="12" spans="1:24">
      <c r="B12" s="459"/>
      <c r="C12" s="458" t="s">
        <v>83</v>
      </c>
      <c r="D12" s="467" t="s">
        <v>82</v>
      </c>
      <c r="E12" s="165"/>
      <c r="F12" s="147"/>
      <c r="G12" s="134"/>
      <c r="I12" s="78"/>
      <c r="K12" s="80"/>
      <c r="L12" s="80"/>
      <c r="M12" s="81"/>
      <c r="N12" s="12"/>
      <c r="O12" s="81"/>
      <c r="P12" s="12"/>
      <c r="Q12" s="12"/>
      <c r="R12" s="12"/>
      <c r="S12" s="12"/>
    </row>
    <row r="13" spans="1:24">
      <c r="B13" s="459"/>
      <c r="C13" s="458" t="s">
        <v>88</v>
      </c>
      <c r="D13" s="468" t="s">
        <v>89</v>
      </c>
      <c r="E13" s="29"/>
      <c r="I13" s="76"/>
      <c r="K13" s="174"/>
      <c r="L13" s="76"/>
      <c r="M13" s="27"/>
      <c r="N13" s="151"/>
      <c r="O13" s="27"/>
      <c r="P13" s="151"/>
      <c r="Q13" s="151"/>
      <c r="R13" s="151"/>
      <c r="S13" s="151"/>
    </row>
    <row r="14" spans="1:24">
      <c r="B14" s="459"/>
      <c r="C14" s="458" t="s">
        <v>116</v>
      </c>
      <c r="D14" s="99" t="s">
        <v>117</v>
      </c>
      <c r="E14" s="29"/>
      <c r="F14" s="166"/>
      <c r="G14" s="145"/>
      <c r="I14" s="76"/>
      <c r="K14" s="173"/>
      <c r="L14" s="173"/>
      <c r="M14" s="27"/>
      <c r="N14" s="151"/>
      <c r="O14" s="27"/>
      <c r="P14" s="151"/>
      <c r="Q14" s="151"/>
      <c r="R14" s="151"/>
      <c r="S14" s="151"/>
    </row>
    <row r="15" spans="1:24" ht="13" thickBot="1">
      <c r="B15" s="469"/>
      <c r="C15" s="470" t="s">
        <v>103</v>
      </c>
      <c r="D15" s="471" t="s">
        <v>101</v>
      </c>
      <c r="E15" s="29"/>
      <c r="F15" s="166"/>
      <c r="G15" s="150"/>
      <c r="I15" s="76"/>
    </row>
    <row r="16" spans="1:24" ht="13" thickBot="1">
      <c r="A16" s="152"/>
      <c r="B16" s="152"/>
      <c r="C16" s="54"/>
      <c r="D16" s="34"/>
      <c r="F16" s="167"/>
      <c r="G16" s="49"/>
      <c r="H16" s="67"/>
      <c r="I16" s="50"/>
      <c r="J16" s="50"/>
      <c r="K16" s="50"/>
      <c r="L16" s="50"/>
      <c r="M16" s="146"/>
      <c r="O16" s="146"/>
      <c r="T16" s="50"/>
      <c r="U16" s="33"/>
      <c r="V16" s="33"/>
      <c r="W16" s="33"/>
      <c r="X16" s="33"/>
    </row>
    <row r="17" spans="1:33" ht="13" thickBot="1">
      <c r="C17" s="526"/>
      <c r="D17" s="582" t="s">
        <v>457</v>
      </c>
      <c r="E17" s="583" t="s">
        <v>227</v>
      </c>
      <c r="F17" s="96" t="s">
        <v>254</v>
      </c>
      <c r="G17" s="96" t="s">
        <v>254</v>
      </c>
      <c r="H17" s="304" t="s">
        <v>254</v>
      </c>
      <c r="I17" s="96" t="s">
        <v>254</v>
      </c>
      <c r="J17" s="581" t="s">
        <v>227</v>
      </c>
      <c r="K17" s="96" t="s">
        <v>254</v>
      </c>
      <c r="L17" s="304" t="s">
        <v>254</v>
      </c>
      <c r="M17" s="93"/>
      <c r="N17" s="13"/>
      <c r="O17" s="93"/>
      <c r="P17" s="13"/>
      <c r="Q17" s="96"/>
      <c r="R17" s="101"/>
      <c r="S17" s="96"/>
      <c r="T17" s="93"/>
      <c r="U17" s="96"/>
      <c r="V17" s="96"/>
      <c r="W17" s="304"/>
      <c r="X17" s="304"/>
      <c r="Y17" s="304"/>
      <c r="AB17" s="560" t="s">
        <v>266</v>
      </c>
      <c r="AF17" s="561" t="s">
        <v>267</v>
      </c>
    </row>
    <row r="18" spans="1:33" ht="13" thickBot="1">
      <c r="A18" s="22" t="s">
        <v>95</v>
      </c>
      <c r="B18" s="22" t="s">
        <v>100</v>
      </c>
      <c r="C18" s="36" t="s">
        <v>67</v>
      </c>
      <c r="D18" s="450" t="s">
        <v>230</v>
      </c>
      <c r="E18" s="528" t="s">
        <v>229</v>
      </c>
      <c r="F18" s="176" t="s">
        <v>222</v>
      </c>
      <c r="G18" s="545" t="s">
        <v>255</v>
      </c>
      <c r="H18" s="442" t="s">
        <v>256</v>
      </c>
      <c r="I18" s="313" t="s">
        <v>105</v>
      </c>
      <c r="J18" s="93"/>
      <c r="K18" s="94" t="s">
        <v>104</v>
      </c>
      <c r="L18" s="95" t="s">
        <v>106</v>
      </c>
      <c r="M18" s="102"/>
      <c r="N18" s="427" t="s">
        <v>372</v>
      </c>
      <c r="O18" s="102"/>
      <c r="P18" s="313" t="s">
        <v>458</v>
      </c>
      <c r="Q18" s="156" t="s">
        <v>459</v>
      </c>
      <c r="R18" s="149"/>
      <c r="S18" s="327" t="s">
        <v>291</v>
      </c>
      <c r="T18" s="93"/>
      <c r="U18" s="103" t="s">
        <v>111</v>
      </c>
      <c r="V18" s="74" t="s">
        <v>112</v>
      </c>
      <c r="W18" s="103" t="s">
        <v>113</v>
      </c>
      <c r="X18" s="103" t="s">
        <v>223</v>
      </c>
      <c r="Y18" s="307" t="s">
        <v>224</v>
      </c>
      <c r="AA18" s="562" t="s">
        <v>263</v>
      </c>
      <c r="AB18" s="563" t="s">
        <v>264</v>
      </c>
      <c r="AC18" s="563" t="s">
        <v>265</v>
      </c>
      <c r="AE18" s="562" t="s">
        <v>263</v>
      </c>
      <c r="AF18" s="563" t="s">
        <v>264</v>
      </c>
      <c r="AG18" s="563" t="s">
        <v>265</v>
      </c>
    </row>
    <row r="19" spans="1:33">
      <c r="A19" s="472" t="s">
        <v>109</v>
      </c>
      <c r="B19" s="472" t="s">
        <v>110</v>
      </c>
      <c r="C19" s="373" t="s">
        <v>320</v>
      </c>
      <c r="D19" s="535"/>
      <c r="E19" s="529">
        <f>VLOOKUP(C19,'Q4 DMV - Revenue'!C:S,17,FALSE)</f>
        <v>-200</v>
      </c>
      <c r="F19" s="579"/>
      <c r="G19" s="579"/>
      <c r="H19" s="524"/>
      <c r="I19" s="379">
        <f>SUM(D19:H19)</f>
        <v>-200</v>
      </c>
      <c r="J19" s="380"/>
      <c r="K19" s="337"/>
      <c r="L19" s="381">
        <v>200</v>
      </c>
      <c r="M19" s="380">
        <v>0</v>
      </c>
      <c r="N19" s="428"/>
      <c r="O19" s="380">
        <v>0</v>
      </c>
      <c r="P19" s="426">
        <f t="shared" ref="P19:P83" si="0">K19+L19</f>
        <v>200</v>
      </c>
      <c r="Q19" s="473">
        <v>0</v>
      </c>
      <c r="R19" s="384"/>
      <c r="S19" s="385">
        <f>IF(Q19="","",Q19-P19)</f>
        <v>-200</v>
      </c>
      <c r="T19" s="380"/>
      <c r="U19" s="474">
        <f t="shared" ref="U19:U83" si="1">IF(B19="D",P19,0)</f>
        <v>200</v>
      </c>
      <c r="V19" s="474">
        <f t="shared" ref="V19:V83" si="2">IF(B19="M",P19,0)</f>
        <v>0</v>
      </c>
      <c r="W19" s="475">
        <f t="shared" ref="W19:W83" si="3">IF(B19="V",P19,0)</f>
        <v>0</v>
      </c>
      <c r="X19" s="475">
        <v>0</v>
      </c>
      <c r="Y19" s="476">
        <v>0</v>
      </c>
      <c r="Z19" s="38">
        <f t="shared" ref="Z19:Z83" si="4">(K19+L19)-(U19+V19+W19+X19+Y19)</f>
        <v>0</v>
      </c>
      <c r="AA19" s="564">
        <f t="shared" ref="AA19:AA83" si="5">IF(B19="D",I19,0)</f>
        <v>-200</v>
      </c>
      <c r="AB19" s="564">
        <f t="shared" ref="AB19:AB83" si="6">IF(B19="M",I19,0)</f>
        <v>0</v>
      </c>
      <c r="AC19" s="564">
        <f t="shared" ref="AC19:AC83" si="7">IF(B19="V",I19,0)</f>
        <v>0</v>
      </c>
      <c r="AE19" s="564">
        <f t="shared" ref="AE19:AE83" si="8">IF(B19="D",P19,0)</f>
        <v>200</v>
      </c>
      <c r="AF19" s="564">
        <f t="shared" ref="AF19:AF83" si="9">IF(B19="M",P19,0)</f>
        <v>0</v>
      </c>
      <c r="AG19" s="564">
        <f t="shared" ref="AG19:AG83" si="10">IF(B19="V",P19,0)</f>
        <v>0</v>
      </c>
    </row>
    <row r="20" spans="1:33">
      <c r="A20" s="372" t="s">
        <v>109</v>
      </c>
      <c r="B20" s="472" t="s">
        <v>109</v>
      </c>
      <c r="C20" s="373" t="s">
        <v>382</v>
      </c>
      <c r="D20" s="449"/>
      <c r="E20" s="529">
        <f>VLOOKUP(C20,'Q4 DMV - Revenue'!C:S,17,FALSE)</f>
        <v>-7000</v>
      </c>
      <c r="F20" s="579"/>
      <c r="G20" s="579"/>
      <c r="H20" s="524"/>
      <c r="I20" s="379">
        <f>SUM(D20:H20)</f>
        <v>-7000</v>
      </c>
      <c r="J20" s="380"/>
      <c r="K20" s="337"/>
      <c r="L20" s="381">
        <v>7000</v>
      </c>
      <c r="M20" s="380">
        <v>0</v>
      </c>
      <c r="N20" s="428"/>
      <c r="O20" s="380">
        <v>0</v>
      </c>
      <c r="P20" s="426">
        <f t="shared" si="0"/>
        <v>7000</v>
      </c>
      <c r="Q20" s="383">
        <v>0</v>
      </c>
      <c r="R20" s="384"/>
      <c r="S20" s="385">
        <f t="shared" ref="S20:S83" si="11">IF(Q20="","",Q20-P20)</f>
        <v>-7000</v>
      </c>
      <c r="T20" s="380"/>
      <c r="U20" s="474">
        <f t="shared" si="1"/>
        <v>0</v>
      </c>
      <c r="V20" s="474">
        <f t="shared" si="2"/>
        <v>7000</v>
      </c>
      <c r="W20" s="475">
        <f t="shared" si="3"/>
        <v>0</v>
      </c>
      <c r="X20" s="475">
        <v>0</v>
      </c>
      <c r="Y20" s="476">
        <v>0</v>
      </c>
      <c r="Z20" s="38">
        <f t="shared" si="4"/>
        <v>0</v>
      </c>
      <c r="AA20" s="564">
        <f t="shared" si="5"/>
        <v>0</v>
      </c>
      <c r="AB20" s="564">
        <f t="shared" si="6"/>
        <v>-7000</v>
      </c>
      <c r="AC20" s="564">
        <f t="shared" si="7"/>
        <v>0</v>
      </c>
      <c r="AE20" s="564">
        <f t="shared" si="8"/>
        <v>0</v>
      </c>
      <c r="AF20" s="564">
        <f t="shared" si="9"/>
        <v>7000</v>
      </c>
      <c r="AG20" s="564">
        <f t="shared" si="10"/>
        <v>0</v>
      </c>
    </row>
    <row r="21" spans="1:33">
      <c r="A21" s="20" t="s">
        <v>109</v>
      </c>
      <c r="B21" s="20" t="s">
        <v>110</v>
      </c>
      <c r="C21" s="123" t="s">
        <v>317</v>
      </c>
      <c r="D21" s="449"/>
      <c r="E21" s="529">
        <f>VLOOKUP(C21,'Q4 DMV - Revenue'!C:S,17,FALSE)</f>
        <v>0</v>
      </c>
      <c r="F21" s="576">
        <f>12106.81+9442.28</f>
        <v>21549.09</v>
      </c>
      <c r="G21" s="576">
        <f>10316.42+7830.36</f>
        <v>18146.78</v>
      </c>
      <c r="H21" s="524"/>
      <c r="I21" s="379">
        <f>SUM(D21:H21)</f>
        <v>39695.869999999995</v>
      </c>
      <c r="J21" s="31"/>
      <c r="K21" s="84"/>
      <c r="L21" s="42">
        <f>(F21+G21)/2</f>
        <v>19847.934999999998</v>
      </c>
      <c r="M21" s="31">
        <v>0</v>
      </c>
      <c r="N21" s="429">
        <v>87744.89</v>
      </c>
      <c r="O21" s="31">
        <v>0</v>
      </c>
      <c r="P21" s="426">
        <f t="shared" si="0"/>
        <v>19847.934999999998</v>
      </c>
      <c r="Q21" s="178">
        <f>11355.76+10795.26</f>
        <v>22151.02</v>
      </c>
      <c r="R21" s="295"/>
      <c r="S21" s="385">
        <f t="shared" si="11"/>
        <v>2303.0850000000028</v>
      </c>
      <c r="T21" s="31"/>
      <c r="U21" s="474">
        <f t="shared" si="1"/>
        <v>19847.934999999998</v>
      </c>
      <c r="V21" s="474">
        <f t="shared" si="2"/>
        <v>0</v>
      </c>
      <c r="W21" s="475">
        <f t="shared" si="3"/>
        <v>0</v>
      </c>
      <c r="X21" s="475">
        <v>0</v>
      </c>
      <c r="Y21" s="476">
        <v>0</v>
      </c>
      <c r="Z21" s="38">
        <f t="shared" si="4"/>
        <v>0</v>
      </c>
      <c r="AA21" s="564">
        <f t="shared" si="5"/>
        <v>39695.869999999995</v>
      </c>
      <c r="AB21" s="564">
        <f t="shared" si="6"/>
        <v>0</v>
      </c>
      <c r="AC21" s="564">
        <f t="shared" si="7"/>
        <v>0</v>
      </c>
      <c r="AE21" s="564">
        <f t="shared" si="8"/>
        <v>19847.934999999998</v>
      </c>
      <c r="AF21" s="564">
        <f t="shared" si="9"/>
        <v>0</v>
      </c>
      <c r="AG21" s="564">
        <f t="shared" si="10"/>
        <v>0</v>
      </c>
    </row>
    <row r="22" spans="1:33">
      <c r="A22" s="20" t="s">
        <v>109</v>
      </c>
      <c r="B22" s="20" t="s">
        <v>109</v>
      </c>
      <c r="C22" s="68" t="s">
        <v>393</v>
      </c>
      <c r="D22" s="449"/>
      <c r="E22" s="529">
        <f>VLOOKUP(C22,'Q4 DMV - Revenue'!C:S,17,FALSE)</f>
        <v>0</v>
      </c>
      <c r="F22" s="576">
        <v>23620.02</v>
      </c>
      <c r="G22" s="576">
        <v>24300.6</v>
      </c>
      <c r="H22" s="524"/>
      <c r="I22" s="379">
        <f>SUM(D22:H22)</f>
        <v>47920.619999999995</v>
      </c>
      <c r="J22" s="31"/>
      <c r="K22" s="335"/>
      <c r="L22" s="42">
        <f>(F22+G22)/2</f>
        <v>23960.309999999998</v>
      </c>
      <c r="M22" s="31">
        <v>0</v>
      </c>
      <c r="N22" s="429"/>
      <c r="O22" s="31">
        <v>0</v>
      </c>
      <c r="P22" s="426">
        <f t="shared" si="0"/>
        <v>23960.309999999998</v>
      </c>
      <c r="Q22" s="178">
        <v>29027.59</v>
      </c>
      <c r="R22" s="295"/>
      <c r="S22" s="385">
        <f t="shared" si="11"/>
        <v>5067.2800000000025</v>
      </c>
      <c r="T22" s="31"/>
      <c r="U22" s="474">
        <f t="shared" si="1"/>
        <v>0</v>
      </c>
      <c r="V22" s="474">
        <f t="shared" si="2"/>
        <v>23960.309999999998</v>
      </c>
      <c r="W22" s="475">
        <f t="shared" si="3"/>
        <v>0</v>
      </c>
      <c r="X22" s="475">
        <v>0</v>
      </c>
      <c r="Y22" s="476">
        <v>0</v>
      </c>
      <c r="Z22" s="38">
        <f t="shared" si="4"/>
        <v>0</v>
      </c>
      <c r="AA22" s="564">
        <f t="shared" si="5"/>
        <v>0</v>
      </c>
      <c r="AB22" s="564">
        <f t="shared" si="6"/>
        <v>47920.619999999995</v>
      </c>
      <c r="AC22" s="564">
        <f t="shared" si="7"/>
        <v>0</v>
      </c>
      <c r="AE22" s="564">
        <f t="shared" si="8"/>
        <v>0</v>
      </c>
      <c r="AF22" s="564">
        <f t="shared" si="9"/>
        <v>23960.309999999998</v>
      </c>
      <c r="AG22" s="564">
        <f t="shared" si="10"/>
        <v>0</v>
      </c>
    </row>
    <row r="23" spans="1:33">
      <c r="A23" s="20" t="s">
        <v>109</v>
      </c>
      <c r="B23" s="20" t="s">
        <v>110</v>
      </c>
      <c r="C23" s="68" t="s">
        <v>128</v>
      </c>
      <c r="D23" s="536"/>
      <c r="E23" s="530">
        <v>0</v>
      </c>
      <c r="F23" s="530">
        <f>'Q2 DMV - Revenue'!U22</f>
        <v>0</v>
      </c>
      <c r="G23" s="547"/>
      <c r="H23" s="430"/>
      <c r="I23" s="522">
        <v>0</v>
      </c>
      <c r="J23" s="522"/>
      <c r="K23" s="198"/>
      <c r="L23" s="198">
        <v>0</v>
      </c>
      <c r="M23" s="31">
        <v>0</v>
      </c>
      <c r="N23" s="430"/>
      <c r="O23" s="31">
        <v>0</v>
      </c>
      <c r="P23" s="426">
        <f t="shared" si="0"/>
        <v>0</v>
      </c>
      <c r="Q23" s="178">
        <v>0</v>
      </c>
      <c r="R23" s="295"/>
      <c r="S23" s="385">
        <f t="shared" si="11"/>
        <v>0</v>
      </c>
      <c r="T23" s="198"/>
      <c r="U23" s="474">
        <f t="shared" si="1"/>
        <v>0</v>
      </c>
      <c r="V23" s="474">
        <f t="shared" si="2"/>
        <v>0</v>
      </c>
      <c r="W23" s="475">
        <f t="shared" si="3"/>
        <v>0</v>
      </c>
      <c r="X23" s="475">
        <v>0</v>
      </c>
      <c r="Y23" s="476">
        <v>0</v>
      </c>
      <c r="Z23" s="38">
        <f t="shared" si="4"/>
        <v>0</v>
      </c>
      <c r="AA23" s="564">
        <f t="shared" si="5"/>
        <v>0</v>
      </c>
      <c r="AB23" s="564">
        <f t="shared" si="6"/>
        <v>0</v>
      </c>
      <c r="AC23" s="564">
        <f t="shared" si="7"/>
        <v>0</v>
      </c>
      <c r="AE23" s="564">
        <f t="shared" si="8"/>
        <v>0</v>
      </c>
      <c r="AF23" s="564">
        <f t="shared" si="9"/>
        <v>0</v>
      </c>
      <c r="AG23" s="564">
        <f t="shared" si="10"/>
        <v>0</v>
      </c>
    </row>
    <row r="24" spans="1:33">
      <c r="A24" s="20" t="s">
        <v>109</v>
      </c>
      <c r="B24" s="20" t="s">
        <v>110</v>
      </c>
      <c r="C24" s="68" t="s">
        <v>129</v>
      </c>
      <c r="D24" s="449"/>
      <c r="E24" s="529">
        <f>VLOOKUP(C24,'Q4 DMV - Revenue'!C:S,17,FALSE)</f>
        <v>0</v>
      </c>
      <c r="F24" s="576">
        <v>68.34</v>
      </c>
      <c r="G24" s="576">
        <v>60.07</v>
      </c>
      <c r="H24" s="524"/>
      <c r="I24" s="379">
        <f>SUM(D24:H24)</f>
        <v>128.41</v>
      </c>
      <c r="J24" s="31"/>
      <c r="K24" s="84"/>
      <c r="L24" s="42">
        <f>(F24+G24)/2</f>
        <v>64.204999999999998</v>
      </c>
      <c r="M24" s="31">
        <v>0</v>
      </c>
      <c r="N24" s="429"/>
      <c r="O24" s="31">
        <v>0</v>
      </c>
      <c r="P24" s="426">
        <f t="shared" si="0"/>
        <v>64.204999999999998</v>
      </c>
      <c r="Q24" s="178">
        <v>87.43</v>
      </c>
      <c r="R24" s="295"/>
      <c r="S24" s="385">
        <f t="shared" si="11"/>
        <v>23.225000000000009</v>
      </c>
      <c r="T24" s="31"/>
      <c r="U24" s="474">
        <f t="shared" si="1"/>
        <v>64.204999999999998</v>
      </c>
      <c r="V24" s="474">
        <f t="shared" si="2"/>
        <v>0</v>
      </c>
      <c r="W24" s="475">
        <f t="shared" si="3"/>
        <v>0</v>
      </c>
      <c r="X24" s="475">
        <v>0</v>
      </c>
      <c r="Y24" s="476">
        <v>0</v>
      </c>
      <c r="Z24" s="38">
        <f t="shared" si="4"/>
        <v>0</v>
      </c>
      <c r="AA24" s="564">
        <f t="shared" si="5"/>
        <v>128.41</v>
      </c>
      <c r="AB24" s="564">
        <f t="shared" si="6"/>
        <v>0</v>
      </c>
      <c r="AC24" s="564">
        <f t="shared" si="7"/>
        <v>0</v>
      </c>
      <c r="AE24" s="564">
        <f t="shared" si="8"/>
        <v>64.204999999999998</v>
      </c>
      <c r="AF24" s="564">
        <f t="shared" si="9"/>
        <v>0</v>
      </c>
      <c r="AG24" s="564">
        <f t="shared" si="10"/>
        <v>0</v>
      </c>
    </row>
    <row r="25" spans="1:33">
      <c r="A25" s="20" t="s">
        <v>109</v>
      </c>
      <c r="B25" s="20" t="s">
        <v>110</v>
      </c>
      <c r="C25" s="68" t="s">
        <v>130</v>
      </c>
      <c r="D25" s="536"/>
      <c r="E25" s="530" t="str">
        <f>'Q2 DMV - Revenue'!T24</f>
        <v/>
      </c>
      <c r="F25" s="197"/>
      <c r="G25" s="547"/>
      <c r="H25" s="430"/>
      <c r="I25" s="522">
        <v>0</v>
      </c>
      <c r="J25" s="522"/>
      <c r="K25" s="198"/>
      <c r="L25" s="198">
        <v>0</v>
      </c>
      <c r="M25" s="31">
        <v>0</v>
      </c>
      <c r="N25" s="430"/>
      <c r="O25" s="31">
        <v>0</v>
      </c>
      <c r="P25" s="426">
        <f t="shared" si="0"/>
        <v>0</v>
      </c>
      <c r="Q25" s="178">
        <v>0</v>
      </c>
      <c r="R25" s="295"/>
      <c r="S25" s="385">
        <f t="shared" si="11"/>
        <v>0</v>
      </c>
      <c r="T25" s="198"/>
      <c r="U25" s="474">
        <f t="shared" si="1"/>
        <v>0</v>
      </c>
      <c r="V25" s="474">
        <f t="shared" si="2"/>
        <v>0</v>
      </c>
      <c r="W25" s="475">
        <f t="shared" si="3"/>
        <v>0</v>
      </c>
      <c r="X25" s="475">
        <v>0</v>
      </c>
      <c r="Y25" s="476">
        <v>0</v>
      </c>
      <c r="Z25" s="38">
        <f t="shared" si="4"/>
        <v>0</v>
      </c>
      <c r="AA25" s="564">
        <f t="shared" si="5"/>
        <v>0</v>
      </c>
      <c r="AB25" s="564">
        <f t="shared" si="6"/>
        <v>0</v>
      </c>
      <c r="AC25" s="564">
        <f t="shared" si="7"/>
        <v>0</v>
      </c>
      <c r="AE25" s="564">
        <f t="shared" si="8"/>
        <v>0</v>
      </c>
      <c r="AF25" s="564">
        <f t="shared" si="9"/>
        <v>0</v>
      </c>
      <c r="AG25" s="564">
        <f t="shared" si="10"/>
        <v>0</v>
      </c>
    </row>
    <row r="26" spans="1:33">
      <c r="A26" s="20"/>
      <c r="B26" s="20" t="s">
        <v>110</v>
      </c>
      <c r="C26" s="123" t="s">
        <v>380</v>
      </c>
      <c r="D26" s="537"/>
      <c r="E26" s="529">
        <f>VLOOKUP(C26,'Q4 DMV - Revenue'!C:S,17,FALSE)</f>
        <v>0</v>
      </c>
      <c r="F26" s="576">
        <v>3342.34</v>
      </c>
      <c r="G26" s="576">
        <v>3645.32</v>
      </c>
      <c r="H26" s="525">
        <v>3861.32</v>
      </c>
      <c r="I26" s="379">
        <f t="shared" ref="I26:I57" si="12">SUM(D26:H26)</f>
        <v>10848.98</v>
      </c>
      <c r="J26" s="31"/>
      <c r="K26" s="84"/>
      <c r="L26" s="42">
        <v>0</v>
      </c>
      <c r="M26" s="31">
        <v>0</v>
      </c>
      <c r="N26" s="429">
        <v>28292.1</v>
      </c>
      <c r="O26" s="31">
        <v>0</v>
      </c>
      <c r="P26" s="426">
        <f t="shared" si="0"/>
        <v>0</v>
      </c>
      <c r="Q26" s="178">
        <v>0</v>
      </c>
      <c r="R26" s="295"/>
      <c r="S26" s="385">
        <f t="shared" si="11"/>
        <v>0</v>
      </c>
      <c r="T26" s="31"/>
      <c r="U26" s="474">
        <f t="shared" si="1"/>
        <v>0</v>
      </c>
      <c r="V26" s="474">
        <f t="shared" si="2"/>
        <v>0</v>
      </c>
      <c r="W26" s="475">
        <f t="shared" si="3"/>
        <v>0</v>
      </c>
      <c r="X26" s="475">
        <v>0</v>
      </c>
      <c r="Y26" s="476">
        <v>0</v>
      </c>
      <c r="Z26" s="38">
        <f t="shared" si="4"/>
        <v>0</v>
      </c>
      <c r="AA26" s="564">
        <f t="shared" si="5"/>
        <v>10848.98</v>
      </c>
      <c r="AB26" s="564">
        <f t="shared" si="6"/>
        <v>0</v>
      </c>
      <c r="AC26" s="564">
        <f t="shared" si="7"/>
        <v>0</v>
      </c>
      <c r="AE26" s="564">
        <f t="shared" si="8"/>
        <v>0</v>
      </c>
      <c r="AF26" s="564">
        <f t="shared" si="9"/>
        <v>0</v>
      </c>
      <c r="AG26" s="564">
        <f t="shared" si="10"/>
        <v>0</v>
      </c>
    </row>
    <row r="27" spans="1:33">
      <c r="A27" s="20"/>
      <c r="B27" s="20" t="s">
        <v>110</v>
      </c>
      <c r="C27" s="123" t="s">
        <v>132</v>
      </c>
      <c r="D27" s="537"/>
      <c r="E27" s="529">
        <f>VLOOKUP(C27,'Q4 DMV - Revenue'!C:S,17,FALSE)</f>
        <v>0</v>
      </c>
      <c r="F27" s="576">
        <v>3794.61</v>
      </c>
      <c r="G27" s="576">
        <v>3551.18</v>
      </c>
      <c r="H27" s="525">
        <v>4757.33</v>
      </c>
      <c r="I27" s="379">
        <f t="shared" si="12"/>
        <v>12103.119999999999</v>
      </c>
      <c r="J27" s="31"/>
      <c r="K27" s="84"/>
      <c r="L27" s="42">
        <v>0</v>
      </c>
      <c r="M27" s="31">
        <v>0</v>
      </c>
      <c r="N27" s="429"/>
      <c r="O27" s="31">
        <v>0</v>
      </c>
      <c r="P27" s="426">
        <f t="shared" si="0"/>
        <v>0</v>
      </c>
      <c r="Q27" s="178">
        <v>0</v>
      </c>
      <c r="R27" s="295"/>
      <c r="S27" s="385">
        <f t="shared" si="11"/>
        <v>0</v>
      </c>
      <c r="T27" s="31"/>
      <c r="U27" s="474">
        <f t="shared" si="1"/>
        <v>0</v>
      </c>
      <c r="V27" s="474">
        <f t="shared" si="2"/>
        <v>0</v>
      </c>
      <c r="W27" s="475">
        <f t="shared" si="3"/>
        <v>0</v>
      </c>
      <c r="X27" s="475">
        <v>0</v>
      </c>
      <c r="Y27" s="476">
        <v>0</v>
      </c>
      <c r="Z27" s="38">
        <f t="shared" si="4"/>
        <v>0</v>
      </c>
      <c r="AA27" s="564">
        <f t="shared" si="5"/>
        <v>12103.119999999999</v>
      </c>
      <c r="AB27" s="564">
        <f t="shared" si="6"/>
        <v>0</v>
      </c>
      <c r="AC27" s="564">
        <f t="shared" si="7"/>
        <v>0</v>
      </c>
      <c r="AE27" s="564">
        <f t="shared" si="8"/>
        <v>0</v>
      </c>
      <c r="AF27" s="564">
        <f t="shared" si="9"/>
        <v>0</v>
      </c>
      <c r="AG27" s="564">
        <f t="shared" si="10"/>
        <v>0</v>
      </c>
    </row>
    <row r="28" spans="1:33">
      <c r="A28" s="20"/>
      <c r="B28" s="20" t="s">
        <v>110</v>
      </c>
      <c r="C28" s="123" t="s">
        <v>133</v>
      </c>
      <c r="D28" s="449"/>
      <c r="E28" s="529">
        <f>VLOOKUP(C28,'Q4 DMV - Revenue'!C:S,17,FALSE)</f>
        <v>0</v>
      </c>
      <c r="F28" s="576">
        <v>1578.6</v>
      </c>
      <c r="G28" s="576">
        <v>1804.2</v>
      </c>
      <c r="H28" s="525">
        <v>1957.2</v>
      </c>
      <c r="I28" s="379">
        <f t="shared" si="12"/>
        <v>5340</v>
      </c>
      <c r="J28" s="31"/>
      <c r="K28" s="84"/>
      <c r="L28" s="42">
        <v>0</v>
      </c>
      <c r="M28" s="31">
        <v>0</v>
      </c>
      <c r="N28" s="429"/>
      <c r="O28" s="31">
        <v>0</v>
      </c>
      <c r="P28" s="426">
        <f t="shared" si="0"/>
        <v>0</v>
      </c>
      <c r="Q28" s="178">
        <v>0</v>
      </c>
      <c r="R28" s="295"/>
      <c r="S28" s="385">
        <f t="shared" si="11"/>
        <v>0</v>
      </c>
      <c r="T28" s="31"/>
      <c r="U28" s="474">
        <f t="shared" si="1"/>
        <v>0</v>
      </c>
      <c r="V28" s="474">
        <f t="shared" si="2"/>
        <v>0</v>
      </c>
      <c r="W28" s="475">
        <f t="shared" si="3"/>
        <v>0</v>
      </c>
      <c r="X28" s="475">
        <v>0</v>
      </c>
      <c r="Y28" s="476">
        <v>0</v>
      </c>
      <c r="Z28" s="38">
        <f t="shared" si="4"/>
        <v>0</v>
      </c>
      <c r="AA28" s="564">
        <f t="shared" si="5"/>
        <v>5340</v>
      </c>
      <c r="AB28" s="564">
        <f t="shared" si="6"/>
        <v>0</v>
      </c>
      <c r="AC28" s="564">
        <f t="shared" si="7"/>
        <v>0</v>
      </c>
      <c r="AE28" s="564">
        <f t="shared" si="8"/>
        <v>0</v>
      </c>
      <c r="AF28" s="564">
        <f t="shared" si="9"/>
        <v>0</v>
      </c>
      <c r="AG28" s="564">
        <f t="shared" si="10"/>
        <v>0</v>
      </c>
    </row>
    <row r="29" spans="1:33" s="232" customFormat="1">
      <c r="A29" s="283" t="s">
        <v>211</v>
      </c>
      <c r="B29" s="283" t="s">
        <v>109</v>
      </c>
      <c r="C29" s="123" t="s">
        <v>419</v>
      </c>
      <c r="D29" s="514"/>
      <c r="E29" s="529">
        <f>VLOOKUP(C29,'Q4 DMV - Revenue'!C:S,17,FALSE)</f>
        <v>-40000</v>
      </c>
      <c r="F29" s="579"/>
      <c r="G29" s="579"/>
      <c r="H29" s="524"/>
      <c r="I29" s="379">
        <f t="shared" si="12"/>
        <v>-40000</v>
      </c>
      <c r="J29" s="31"/>
      <c r="K29" s="86"/>
      <c r="L29" s="585">
        <f>40000*2</f>
        <v>80000</v>
      </c>
      <c r="M29" s="31">
        <v>0</v>
      </c>
      <c r="N29" s="429"/>
      <c r="O29" s="31">
        <v>0</v>
      </c>
      <c r="P29" s="426">
        <f t="shared" si="0"/>
        <v>80000</v>
      </c>
      <c r="Q29" s="14">
        <v>40388.15</v>
      </c>
      <c r="R29" s="295"/>
      <c r="S29" s="385">
        <f t="shared" si="11"/>
        <v>-39611.85</v>
      </c>
      <c r="T29" s="31"/>
      <c r="U29" s="474">
        <f t="shared" si="1"/>
        <v>0</v>
      </c>
      <c r="V29" s="474">
        <f t="shared" si="2"/>
        <v>80000</v>
      </c>
      <c r="W29" s="475">
        <f t="shared" si="3"/>
        <v>0</v>
      </c>
      <c r="X29" s="475">
        <v>0</v>
      </c>
      <c r="Y29" s="476">
        <v>0</v>
      </c>
      <c r="Z29" s="38">
        <f t="shared" si="4"/>
        <v>0</v>
      </c>
      <c r="AA29" s="564">
        <f t="shared" si="5"/>
        <v>0</v>
      </c>
      <c r="AB29" s="564">
        <f t="shared" si="6"/>
        <v>-40000</v>
      </c>
      <c r="AC29" s="564">
        <f t="shared" si="7"/>
        <v>0</v>
      </c>
      <c r="AD29" s="597"/>
      <c r="AE29" s="564">
        <f t="shared" si="8"/>
        <v>0</v>
      </c>
      <c r="AF29" s="564">
        <f t="shared" si="9"/>
        <v>80000</v>
      </c>
      <c r="AG29" s="564">
        <f t="shared" si="10"/>
        <v>0</v>
      </c>
    </row>
    <row r="30" spans="1:33" s="232" customFormat="1">
      <c r="A30" s="283"/>
      <c r="B30" s="283" t="s">
        <v>109</v>
      </c>
      <c r="C30" s="413" t="s">
        <v>420</v>
      </c>
      <c r="D30" s="514"/>
      <c r="E30" s="529">
        <f>VLOOKUP(C30,'Q4 DMV - Revenue'!C:S,17,FALSE)</f>
        <v>-2000</v>
      </c>
      <c r="F30" s="579"/>
      <c r="G30" s="579"/>
      <c r="H30" s="524"/>
      <c r="I30" s="379">
        <f t="shared" si="12"/>
        <v>-2000</v>
      </c>
      <c r="J30" s="31"/>
      <c r="K30" s="86"/>
      <c r="L30" s="585">
        <f>2000*2</f>
        <v>4000</v>
      </c>
      <c r="M30" s="31">
        <v>0</v>
      </c>
      <c r="N30" s="429"/>
      <c r="O30" s="31">
        <v>0</v>
      </c>
      <c r="P30" s="426">
        <f t="shared" si="0"/>
        <v>4000</v>
      </c>
      <c r="Q30" s="14">
        <v>1450.03</v>
      </c>
      <c r="R30" s="295"/>
      <c r="S30" s="385">
        <f t="shared" si="11"/>
        <v>-2549.9700000000003</v>
      </c>
      <c r="T30" s="31"/>
      <c r="U30" s="474">
        <f t="shared" si="1"/>
        <v>0</v>
      </c>
      <c r="V30" s="474">
        <f t="shared" si="2"/>
        <v>4000</v>
      </c>
      <c r="W30" s="475">
        <f t="shared" si="3"/>
        <v>0</v>
      </c>
      <c r="X30" s="475">
        <v>0</v>
      </c>
      <c r="Y30" s="476">
        <v>0</v>
      </c>
      <c r="Z30" s="38">
        <f t="shared" si="4"/>
        <v>0</v>
      </c>
      <c r="AA30" s="564">
        <f t="shared" si="5"/>
        <v>0</v>
      </c>
      <c r="AB30" s="564">
        <f t="shared" si="6"/>
        <v>-2000</v>
      </c>
      <c r="AC30" s="564">
        <f t="shared" si="7"/>
        <v>0</v>
      </c>
      <c r="AD30" s="597"/>
      <c r="AE30" s="564">
        <f t="shared" si="8"/>
        <v>0</v>
      </c>
      <c r="AF30" s="564">
        <f t="shared" si="9"/>
        <v>4000</v>
      </c>
      <c r="AG30" s="564">
        <f t="shared" si="10"/>
        <v>0</v>
      </c>
    </row>
    <row r="31" spans="1:33" s="232" customFormat="1">
      <c r="A31" s="283"/>
      <c r="B31" s="283" t="s">
        <v>109</v>
      </c>
      <c r="C31" s="413" t="s">
        <v>421</v>
      </c>
      <c r="D31" s="514"/>
      <c r="E31" s="529">
        <f>VLOOKUP(C31,'Q4 DMV - Revenue'!C:S,17,FALSE)</f>
        <v>-1000</v>
      </c>
      <c r="F31" s="579"/>
      <c r="G31" s="579"/>
      <c r="H31" s="524"/>
      <c r="I31" s="379">
        <f t="shared" si="12"/>
        <v>-1000</v>
      </c>
      <c r="J31" s="31"/>
      <c r="K31" s="86"/>
      <c r="L31" s="585">
        <f>1000*2</f>
        <v>2000</v>
      </c>
      <c r="M31" s="31">
        <v>0</v>
      </c>
      <c r="N31" s="429"/>
      <c r="O31" s="31">
        <v>0</v>
      </c>
      <c r="P31" s="426">
        <f t="shared" si="0"/>
        <v>2000</v>
      </c>
      <c r="Q31" s="14">
        <f>418.09+356.42</f>
        <v>774.51</v>
      </c>
      <c r="R31" s="295"/>
      <c r="S31" s="385">
        <f t="shared" si="11"/>
        <v>-1225.49</v>
      </c>
      <c r="T31" s="31"/>
      <c r="U31" s="474">
        <f t="shared" si="1"/>
        <v>0</v>
      </c>
      <c r="V31" s="474">
        <f t="shared" si="2"/>
        <v>2000</v>
      </c>
      <c r="W31" s="475">
        <f t="shared" si="3"/>
        <v>0</v>
      </c>
      <c r="X31" s="475">
        <v>0</v>
      </c>
      <c r="Y31" s="476">
        <v>0</v>
      </c>
      <c r="Z31" s="38">
        <f t="shared" si="4"/>
        <v>0</v>
      </c>
      <c r="AA31" s="564">
        <f t="shared" si="5"/>
        <v>0</v>
      </c>
      <c r="AB31" s="564">
        <f t="shared" si="6"/>
        <v>-1000</v>
      </c>
      <c r="AC31" s="564">
        <f t="shared" si="7"/>
        <v>0</v>
      </c>
      <c r="AD31" s="597"/>
      <c r="AE31" s="564">
        <f t="shared" si="8"/>
        <v>0</v>
      </c>
      <c r="AF31" s="564">
        <f t="shared" si="9"/>
        <v>2000</v>
      </c>
      <c r="AG31" s="564">
        <f t="shared" si="10"/>
        <v>0</v>
      </c>
    </row>
    <row r="32" spans="1:33">
      <c r="A32" s="20"/>
      <c r="B32" s="20" t="s">
        <v>110</v>
      </c>
      <c r="C32" s="68" t="s">
        <v>191</v>
      </c>
      <c r="D32" s="449"/>
      <c r="E32" s="529">
        <f>VLOOKUP(C32,'Q4 DMV - Revenue'!C:S,17,FALSE)</f>
        <v>0</v>
      </c>
      <c r="F32" s="576">
        <v>162.80000000000001</v>
      </c>
      <c r="G32" s="576">
        <v>153.88999999999999</v>
      </c>
      <c r="H32" s="525">
        <v>353.05</v>
      </c>
      <c r="I32" s="379">
        <f t="shared" si="12"/>
        <v>669.74</v>
      </c>
      <c r="J32" s="31"/>
      <c r="K32" s="84"/>
      <c r="L32" s="42">
        <v>0</v>
      </c>
      <c r="M32" s="31">
        <v>0</v>
      </c>
      <c r="N32" s="429"/>
      <c r="O32" s="31">
        <v>0</v>
      </c>
      <c r="P32" s="426">
        <f t="shared" si="0"/>
        <v>0</v>
      </c>
      <c r="Q32" s="178">
        <f>347.75-353.05</f>
        <v>-5.3000000000000114</v>
      </c>
      <c r="R32" s="295"/>
      <c r="S32" s="385">
        <f t="shared" si="11"/>
        <v>-5.3000000000000114</v>
      </c>
      <c r="T32" s="31"/>
      <c r="U32" s="474">
        <f t="shared" si="1"/>
        <v>0</v>
      </c>
      <c r="V32" s="474">
        <f t="shared" si="2"/>
        <v>0</v>
      </c>
      <c r="W32" s="475">
        <f t="shared" si="3"/>
        <v>0</v>
      </c>
      <c r="X32" s="475">
        <v>0</v>
      </c>
      <c r="Y32" s="476">
        <v>0</v>
      </c>
      <c r="Z32" s="38">
        <f t="shared" si="4"/>
        <v>0</v>
      </c>
      <c r="AA32" s="564">
        <f t="shared" si="5"/>
        <v>669.74</v>
      </c>
      <c r="AB32" s="564">
        <f t="shared" si="6"/>
        <v>0</v>
      </c>
      <c r="AC32" s="564">
        <f t="shared" si="7"/>
        <v>0</v>
      </c>
      <c r="AE32" s="564">
        <f t="shared" si="8"/>
        <v>0</v>
      </c>
      <c r="AF32" s="564">
        <f t="shared" si="9"/>
        <v>0</v>
      </c>
      <c r="AG32" s="564">
        <f t="shared" si="10"/>
        <v>0</v>
      </c>
    </row>
    <row r="33" spans="1:33">
      <c r="A33" s="20"/>
      <c r="B33" s="20" t="s">
        <v>109</v>
      </c>
      <c r="C33" s="68" t="s">
        <v>1</v>
      </c>
      <c r="D33" s="449"/>
      <c r="E33" s="529">
        <f>VLOOKUP(C33,'Q4 DMV - Revenue'!C:S,17,FALSE)</f>
        <v>0</v>
      </c>
      <c r="F33" s="579"/>
      <c r="G33" s="579"/>
      <c r="H33" s="524"/>
      <c r="I33" s="379">
        <f t="shared" si="12"/>
        <v>0</v>
      </c>
      <c r="J33" s="31"/>
      <c r="K33" s="84"/>
      <c r="L33" s="42">
        <v>0</v>
      </c>
      <c r="M33" s="31">
        <v>0</v>
      </c>
      <c r="N33" s="429"/>
      <c r="O33" s="31">
        <v>0</v>
      </c>
      <c r="P33" s="426">
        <f t="shared" si="0"/>
        <v>0</v>
      </c>
      <c r="Q33" s="178">
        <v>0</v>
      </c>
      <c r="R33" s="295"/>
      <c r="S33" s="385">
        <f t="shared" si="11"/>
        <v>0</v>
      </c>
      <c r="T33" s="31"/>
      <c r="U33" s="474">
        <f t="shared" si="1"/>
        <v>0</v>
      </c>
      <c r="V33" s="474">
        <f t="shared" si="2"/>
        <v>0</v>
      </c>
      <c r="W33" s="475">
        <f t="shared" si="3"/>
        <v>0</v>
      </c>
      <c r="X33" s="475">
        <v>0</v>
      </c>
      <c r="Y33" s="476">
        <v>0</v>
      </c>
      <c r="Z33" s="38">
        <f t="shared" si="4"/>
        <v>0</v>
      </c>
      <c r="AA33" s="564">
        <f t="shared" si="5"/>
        <v>0</v>
      </c>
      <c r="AB33" s="564">
        <f t="shared" si="6"/>
        <v>0</v>
      </c>
      <c r="AC33" s="564">
        <f t="shared" si="7"/>
        <v>0</v>
      </c>
      <c r="AE33" s="564">
        <f t="shared" si="8"/>
        <v>0</v>
      </c>
      <c r="AF33" s="564">
        <f t="shared" si="9"/>
        <v>0</v>
      </c>
      <c r="AG33" s="564">
        <f t="shared" si="10"/>
        <v>0</v>
      </c>
    </row>
    <row r="34" spans="1:33">
      <c r="A34" s="20"/>
      <c r="B34" s="20" t="s">
        <v>109</v>
      </c>
      <c r="C34" s="68" t="s">
        <v>385</v>
      </c>
      <c r="D34" s="449"/>
      <c r="E34" s="529">
        <f>VLOOKUP(C34,'Q4 DMV - Revenue'!C:S,17,FALSE)</f>
        <v>0</v>
      </c>
      <c r="F34" s="576">
        <v>1678.72</v>
      </c>
      <c r="G34" s="576">
        <v>1588.37</v>
      </c>
      <c r="H34" s="586"/>
      <c r="I34" s="379">
        <f t="shared" si="12"/>
        <v>3267.09</v>
      </c>
      <c r="J34" s="380"/>
      <c r="K34" s="337"/>
      <c r="L34" s="381">
        <f>(F34+G34)/2</f>
        <v>1633.5450000000001</v>
      </c>
      <c r="M34" s="380">
        <v>0</v>
      </c>
      <c r="N34" s="429"/>
      <c r="O34" s="380">
        <v>0</v>
      </c>
      <c r="P34" s="426">
        <f t="shared" si="0"/>
        <v>1633.5450000000001</v>
      </c>
      <c r="Q34" s="178">
        <v>2108.2600000000002</v>
      </c>
      <c r="R34" s="295"/>
      <c r="S34" s="385">
        <f t="shared" si="11"/>
        <v>474.71500000000015</v>
      </c>
      <c r="T34" s="380"/>
      <c r="U34" s="474">
        <f t="shared" si="1"/>
        <v>0</v>
      </c>
      <c r="V34" s="474">
        <f t="shared" si="2"/>
        <v>1633.5450000000001</v>
      </c>
      <c r="W34" s="475">
        <f t="shared" si="3"/>
        <v>0</v>
      </c>
      <c r="X34" s="475">
        <v>0</v>
      </c>
      <c r="Y34" s="476">
        <v>0</v>
      </c>
      <c r="Z34" s="38">
        <f t="shared" si="4"/>
        <v>0</v>
      </c>
      <c r="AA34" s="564">
        <f t="shared" si="5"/>
        <v>0</v>
      </c>
      <c r="AB34" s="564">
        <f t="shared" si="6"/>
        <v>3267.09</v>
      </c>
      <c r="AC34" s="564">
        <f t="shared" si="7"/>
        <v>0</v>
      </c>
      <c r="AE34" s="564">
        <f t="shared" si="8"/>
        <v>0</v>
      </c>
      <c r="AF34" s="564">
        <f t="shared" si="9"/>
        <v>1633.5450000000001</v>
      </c>
      <c r="AG34" s="564">
        <f t="shared" si="10"/>
        <v>0</v>
      </c>
    </row>
    <row r="35" spans="1:33" s="232" customFormat="1">
      <c r="A35" s="283"/>
      <c r="B35" s="283" t="s">
        <v>110</v>
      </c>
      <c r="C35" s="123" t="s">
        <v>401</v>
      </c>
      <c r="D35" s="514"/>
      <c r="E35" s="529">
        <f>VLOOKUP(C35,'Q4 DMV - Revenue'!C:S,17,FALSE)</f>
        <v>0</v>
      </c>
      <c r="F35" s="576">
        <v>301577</v>
      </c>
      <c r="G35" s="576">
        <v>262454.59999999998</v>
      </c>
      <c r="H35" s="586"/>
      <c r="I35" s="379">
        <f t="shared" si="12"/>
        <v>564031.6</v>
      </c>
      <c r="J35" s="31"/>
      <c r="K35" s="400"/>
      <c r="L35" s="381">
        <f t="shared" ref="L35:L42" si="13">G35</f>
        <v>262454.59999999998</v>
      </c>
      <c r="M35" s="31">
        <v>0</v>
      </c>
      <c r="N35" s="429">
        <v>647593.47</v>
      </c>
      <c r="O35" s="31">
        <v>0</v>
      </c>
      <c r="P35" s="426">
        <f t="shared" si="0"/>
        <v>262454.59999999998</v>
      </c>
      <c r="Q35" s="14">
        <v>315160</v>
      </c>
      <c r="R35" s="295"/>
      <c r="S35" s="385">
        <f t="shared" si="11"/>
        <v>52705.400000000023</v>
      </c>
      <c r="T35" s="31"/>
      <c r="U35" s="474">
        <f t="shared" si="1"/>
        <v>262454.59999999998</v>
      </c>
      <c r="V35" s="474">
        <f t="shared" si="2"/>
        <v>0</v>
      </c>
      <c r="W35" s="475">
        <f t="shared" si="3"/>
        <v>0</v>
      </c>
      <c r="X35" s="475">
        <v>0</v>
      </c>
      <c r="Y35" s="476">
        <v>0</v>
      </c>
      <c r="Z35" s="38">
        <f t="shared" si="4"/>
        <v>0</v>
      </c>
      <c r="AA35" s="564">
        <f t="shared" si="5"/>
        <v>564031.6</v>
      </c>
      <c r="AB35" s="564">
        <f t="shared" si="6"/>
        <v>0</v>
      </c>
      <c r="AC35" s="564">
        <f t="shared" si="7"/>
        <v>0</v>
      </c>
      <c r="AD35" s="597"/>
      <c r="AE35" s="564">
        <f t="shared" si="8"/>
        <v>262454.59999999998</v>
      </c>
      <c r="AF35" s="564">
        <f t="shared" si="9"/>
        <v>0</v>
      </c>
      <c r="AG35" s="564">
        <f t="shared" si="10"/>
        <v>0</v>
      </c>
    </row>
    <row r="36" spans="1:33" s="232" customFormat="1">
      <c r="A36" s="283"/>
      <c r="B36" s="283" t="s">
        <v>110</v>
      </c>
      <c r="C36" s="123" t="s">
        <v>402</v>
      </c>
      <c r="D36" s="514"/>
      <c r="E36" s="529">
        <f>VLOOKUP(C36,'Q4 DMV - Revenue'!C:S,17,FALSE)</f>
        <v>0</v>
      </c>
      <c r="F36" s="576">
        <v>6950.3</v>
      </c>
      <c r="G36" s="576">
        <v>6634.6</v>
      </c>
      <c r="H36" s="586"/>
      <c r="I36" s="379">
        <f t="shared" si="12"/>
        <v>13584.900000000001</v>
      </c>
      <c r="J36" s="31"/>
      <c r="K36" s="86"/>
      <c r="L36" s="381">
        <f t="shared" si="13"/>
        <v>6634.6</v>
      </c>
      <c r="M36" s="31">
        <v>0</v>
      </c>
      <c r="N36" s="429"/>
      <c r="O36" s="31">
        <v>0</v>
      </c>
      <c r="P36" s="426">
        <f t="shared" si="0"/>
        <v>6634.6</v>
      </c>
      <c r="Q36" s="14">
        <v>7220.5</v>
      </c>
      <c r="R36" s="295"/>
      <c r="S36" s="385">
        <f t="shared" si="11"/>
        <v>585.89999999999964</v>
      </c>
      <c r="T36" s="31"/>
      <c r="U36" s="474">
        <f t="shared" si="1"/>
        <v>6634.6</v>
      </c>
      <c r="V36" s="474">
        <f t="shared" si="2"/>
        <v>0</v>
      </c>
      <c r="W36" s="475">
        <f t="shared" si="3"/>
        <v>0</v>
      </c>
      <c r="X36" s="475">
        <v>0</v>
      </c>
      <c r="Y36" s="476">
        <v>0</v>
      </c>
      <c r="Z36" s="38">
        <f t="shared" si="4"/>
        <v>0</v>
      </c>
      <c r="AA36" s="564">
        <f t="shared" si="5"/>
        <v>13584.900000000001</v>
      </c>
      <c r="AB36" s="564">
        <f t="shared" si="6"/>
        <v>0</v>
      </c>
      <c r="AC36" s="564">
        <f t="shared" si="7"/>
        <v>0</v>
      </c>
      <c r="AD36" s="597"/>
      <c r="AE36" s="564">
        <f t="shared" si="8"/>
        <v>6634.6</v>
      </c>
      <c r="AF36" s="564">
        <f t="shared" si="9"/>
        <v>0</v>
      </c>
      <c r="AG36" s="564">
        <f t="shared" si="10"/>
        <v>0</v>
      </c>
    </row>
    <row r="37" spans="1:33" s="232" customFormat="1">
      <c r="A37" s="283"/>
      <c r="B37" s="283" t="s">
        <v>110</v>
      </c>
      <c r="C37" s="123" t="s">
        <v>403</v>
      </c>
      <c r="D37" s="514"/>
      <c r="E37" s="529">
        <f>VLOOKUP(C37,'Q4 DMV - Revenue'!C:S,17,FALSE)</f>
        <v>0</v>
      </c>
      <c r="F37" s="576">
        <v>57931.85</v>
      </c>
      <c r="G37" s="576">
        <v>55732.53</v>
      </c>
      <c r="H37" s="586"/>
      <c r="I37" s="379">
        <f t="shared" si="12"/>
        <v>113664.38</v>
      </c>
      <c r="J37" s="31"/>
      <c r="K37" s="400"/>
      <c r="L37" s="381">
        <f t="shared" si="13"/>
        <v>55732.53</v>
      </c>
      <c r="M37" s="31">
        <v>0</v>
      </c>
      <c r="N37" s="429">
        <f>302903.99+12568.15</f>
        <v>315472.14</v>
      </c>
      <c r="O37" s="31">
        <v>0</v>
      </c>
      <c r="P37" s="426">
        <f t="shared" si="0"/>
        <v>55732.53</v>
      </c>
      <c r="Q37" s="14">
        <v>60288.83</v>
      </c>
      <c r="R37" s="295"/>
      <c r="S37" s="385">
        <f t="shared" si="11"/>
        <v>4556.3000000000029</v>
      </c>
      <c r="T37" s="31"/>
      <c r="U37" s="474">
        <f t="shared" si="1"/>
        <v>55732.53</v>
      </c>
      <c r="V37" s="474">
        <f t="shared" si="2"/>
        <v>0</v>
      </c>
      <c r="W37" s="475">
        <f t="shared" si="3"/>
        <v>0</v>
      </c>
      <c r="X37" s="475">
        <v>0</v>
      </c>
      <c r="Y37" s="476">
        <v>0</v>
      </c>
      <c r="Z37" s="38">
        <f t="shared" si="4"/>
        <v>0</v>
      </c>
      <c r="AA37" s="564">
        <f t="shared" si="5"/>
        <v>113664.38</v>
      </c>
      <c r="AB37" s="564">
        <f t="shared" si="6"/>
        <v>0</v>
      </c>
      <c r="AC37" s="564">
        <f t="shared" si="7"/>
        <v>0</v>
      </c>
      <c r="AD37" s="597"/>
      <c r="AE37" s="564">
        <f t="shared" si="8"/>
        <v>55732.53</v>
      </c>
      <c r="AF37" s="564">
        <f t="shared" si="9"/>
        <v>0</v>
      </c>
      <c r="AG37" s="564">
        <f t="shared" si="10"/>
        <v>0</v>
      </c>
    </row>
    <row r="38" spans="1:33" s="232" customFormat="1">
      <c r="A38" s="283"/>
      <c r="B38" s="283" t="s">
        <v>110</v>
      </c>
      <c r="C38" s="123" t="s">
        <v>404</v>
      </c>
      <c r="D38" s="514"/>
      <c r="E38" s="529">
        <f>VLOOKUP(C38,'Q4 DMV - Revenue'!C:S,17,FALSE)</f>
        <v>0</v>
      </c>
      <c r="F38" s="576">
        <v>65837.759999999995</v>
      </c>
      <c r="G38" s="576">
        <v>64794.87</v>
      </c>
      <c r="H38" s="586"/>
      <c r="I38" s="379">
        <f t="shared" si="12"/>
        <v>130632.63</v>
      </c>
      <c r="J38" s="31"/>
      <c r="K38" s="400"/>
      <c r="L38" s="381">
        <f t="shared" si="13"/>
        <v>64794.87</v>
      </c>
      <c r="M38" s="31">
        <v>0</v>
      </c>
      <c r="N38" s="429"/>
      <c r="O38" s="31">
        <v>0</v>
      </c>
      <c r="P38" s="426">
        <f t="shared" si="0"/>
        <v>64794.87</v>
      </c>
      <c r="Q38" s="14">
        <v>69074.2</v>
      </c>
      <c r="R38" s="295"/>
      <c r="S38" s="385">
        <f t="shared" si="11"/>
        <v>4279.3299999999945</v>
      </c>
      <c r="T38" s="31"/>
      <c r="U38" s="474">
        <f t="shared" si="1"/>
        <v>64794.87</v>
      </c>
      <c r="V38" s="474">
        <f t="shared" si="2"/>
        <v>0</v>
      </c>
      <c r="W38" s="475">
        <f t="shared" si="3"/>
        <v>0</v>
      </c>
      <c r="X38" s="475">
        <v>0</v>
      </c>
      <c r="Y38" s="476">
        <v>0</v>
      </c>
      <c r="Z38" s="38">
        <f t="shared" si="4"/>
        <v>0</v>
      </c>
      <c r="AA38" s="564">
        <f t="shared" si="5"/>
        <v>130632.63</v>
      </c>
      <c r="AB38" s="564">
        <f t="shared" si="6"/>
        <v>0</v>
      </c>
      <c r="AC38" s="564">
        <f t="shared" si="7"/>
        <v>0</v>
      </c>
      <c r="AD38" s="597"/>
      <c r="AE38" s="564">
        <f t="shared" si="8"/>
        <v>64794.87</v>
      </c>
      <c r="AF38" s="564">
        <f t="shared" si="9"/>
        <v>0</v>
      </c>
      <c r="AG38" s="564">
        <f t="shared" si="10"/>
        <v>0</v>
      </c>
    </row>
    <row r="39" spans="1:33" s="232" customFormat="1">
      <c r="A39" s="283"/>
      <c r="B39" s="283" t="s">
        <v>110</v>
      </c>
      <c r="C39" s="123" t="s">
        <v>405</v>
      </c>
      <c r="D39" s="514"/>
      <c r="E39" s="529">
        <f>VLOOKUP(C39,'Q4 DMV - Revenue'!C:S,17,FALSE)</f>
        <v>0</v>
      </c>
      <c r="F39" s="576">
        <v>16523.5</v>
      </c>
      <c r="G39" s="576">
        <v>17007.54</v>
      </c>
      <c r="H39" s="586"/>
      <c r="I39" s="379">
        <f t="shared" si="12"/>
        <v>33531.040000000001</v>
      </c>
      <c r="J39" s="31"/>
      <c r="K39" s="400"/>
      <c r="L39" s="381">
        <f t="shared" si="13"/>
        <v>17007.54</v>
      </c>
      <c r="M39" s="31">
        <v>0</v>
      </c>
      <c r="N39" s="429"/>
      <c r="O39" s="31">
        <v>0</v>
      </c>
      <c r="P39" s="426">
        <f t="shared" si="0"/>
        <v>17007.54</v>
      </c>
      <c r="Q39" s="14">
        <v>16953.72</v>
      </c>
      <c r="R39" s="295"/>
      <c r="S39" s="385">
        <f t="shared" si="11"/>
        <v>-53.819999999999709</v>
      </c>
      <c r="T39" s="31"/>
      <c r="U39" s="474">
        <f t="shared" si="1"/>
        <v>17007.54</v>
      </c>
      <c r="V39" s="474">
        <f t="shared" si="2"/>
        <v>0</v>
      </c>
      <c r="W39" s="475">
        <f t="shared" si="3"/>
        <v>0</v>
      </c>
      <c r="X39" s="475">
        <v>0</v>
      </c>
      <c r="Y39" s="476">
        <v>0</v>
      </c>
      <c r="Z39" s="38">
        <f t="shared" si="4"/>
        <v>0</v>
      </c>
      <c r="AA39" s="564">
        <f t="shared" si="5"/>
        <v>33531.040000000001</v>
      </c>
      <c r="AB39" s="564">
        <f t="shared" si="6"/>
        <v>0</v>
      </c>
      <c r="AC39" s="564">
        <f t="shared" si="7"/>
        <v>0</v>
      </c>
      <c r="AD39" s="597"/>
      <c r="AE39" s="564">
        <f t="shared" si="8"/>
        <v>17007.54</v>
      </c>
      <c r="AF39" s="564">
        <f t="shared" si="9"/>
        <v>0</v>
      </c>
      <c r="AG39" s="564">
        <f t="shared" si="10"/>
        <v>0</v>
      </c>
    </row>
    <row r="40" spans="1:33" s="232" customFormat="1">
      <c r="A40" s="283"/>
      <c r="B40" s="283" t="s">
        <v>110</v>
      </c>
      <c r="C40" s="123" t="s">
        <v>406</v>
      </c>
      <c r="D40" s="514"/>
      <c r="E40" s="529">
        <f>VLOOKUP(C40,'Q4 DMV - Revenue'!C:S,17,FALSE)</f>
        <v>0</v>
      </c>
      <c r="F40" s="576">
        <v>5263.94</v>
      </c>
      <c r="G40" s="576">
        <v>4986.78</v>
      </c>
      <c r="H40" s="586"/>
      <c r="I40" s="379">
        <f t="shared" si="12"/>
        <v>10250.719999999999</v>
      </c>
      <c r="J40" s="31"/>
      <c r="K40" s="86"/>
      <c r="L40" s="381">
        <f t="shared" si="13"/>
        <v>4986.78</v>
      </c>
      <c r="M40" s="31"/>
      <c r="N40" s="429"/>
      <c r="O40" s="31"/>
      <c r="P40" s="426">
        <f t="shared" si="0"/>
        <v>4986.78</v>
      </c>
      <c r="Q40" s="14">
        <v>5738.39</v>
      </c>
      <c r="R40" s="295"/>
      <c r="S40" s="385">
        <f t="shared" si="11"/>
        <v>751.61000000000058</v>
      </c>
      <c r="T40" s="31"/>
      <c r="U40" s="474">
        <f t="shared" si="1"/>
        <v>4986.78</v>
      </c>
      <c r="V40" s="474">
        <f t="shared" si="2"/>
        <v>0</v>
      </c>
      <c r="W40" s="475">
        <f t="shared" si="3"/>
        <v>0</v>
      </c>
      <c r="X40" s="475">
        <v>0</v>
      </c>
      <c r="Y40" s="476">
        <v>0</v>
      </c>
      <c r="Z40" s="38">
        <f t="shared" si="4"/>
        <v>0</v>
      </c>
      <c r="AA40" s="564">
        <f t="shared" si="5"/>
        <v>10250.719999999999</v>
      </c>
      <c r="AB40" s="564">
        <f t="shared" si="6"/>
        <v>0</v>
      </c>
      <c r="AC40" s="564">
        <f t="shared" si="7"/>
        <v>0</v>
      </c>
      <c r="AD40" s="597"/>
      <c r="AE40" s="564">
        <f t="shared" si="8"/>
        <v>4986.78</v>
      </c>
      <c r="AF40" s="564">
        <f t="shared" si="9"/>
        <v>0</v>
      </c>
      <c r="AG40" s="564">
        <f t="shared" si="10"/>
        <v>0</v>
      </c>
    </row>
    <row r="41" spans="1:33" s="232" customFormat="1">
      <c r="A41" s="283"/>
      <c r="B41" s="283" t="s">
        <v>110</v>
      </c>
      <c r="C41" s="123" t="s">
        <v>407</v>
      </c>
      <c r="D41" s="514"/>
      <c r="E41" s="529">
        <f>VLOOKUP(C41,'Q4 DMV - Revenue'!C:S,17,FALSE)</f>
        <v>0</v>
      </c>
      <c r="F41" s="576">
        <v>1990.77</v>
      </c>
      <c r="G41" s="576">
        <v>1783.85</v>
      </c>
      <c r="H41" s="586"/>
      <c r="I41" s="379">
        <f t="shared" si="12"/>
        <v>3774.62</v>
      </c>
      <c r="J41" s="31"/>
      <c r="K41" s="86"/>
      <c r="L41" s="381">
        <f t="shared" si="13"/>
        <v>1783.85</v>
      </c>
      <c r="M41" s="31"/>
      <c r="N41" s="429"/>
      <c r="O41" s="31"/>
      <c r="P41" s="426">
        <f t="shared" si="0"/>
        <v>1783.85</v>
      </c>
      <c r="Q41" s="14">
        <v>2026.99</v>
      </c>
      <c r="R41" s="295"/>
      <c r="S41" s="385">
        <f t="shared" si="11"/>
        <v>243.1400000000001</v>
      </c>
      <c r="T41" s="31"/>
      <c r="U41" s="474">
        <f t="shared" si="1"/>
        <v>1783.85</v>
      </c>
      <c r="V41" s="474">
        <f t="shared" si="2"/>
        <v>0</v>
      </c>
      <c r="W41" s="475">
        <f t="shared" si="3"/>
        <v>0</v>
      </c>
      <c r="X41" s="475">
        <v>0</v>
      </c>
      <c r="Y41" s="476">
        <v>0</v>
      </c>
      <c r="Z41" s="38">
        <f t="shared" si="4"/>
        <v>0</v>
      </c>
      <c r="AA41" s="564">
        <f t="shared" si="5"/>
        <v>3774.62</v>
      </c>
      <c r="AB41" s="564">
        <f t="shared" si="6"/>
        <v>0</v>
      </c>
      <c r="AC41" s="564">
        <f t="shared" si="7"/>
        <v>0</v>
      </c>
      <c r="AD41" s="597"/>
      <c r="AE41" s="564">
        <f t="shared" si="8"/>
        <v>1783.85</v>
      </c>
      <c r="AF41" s="564">
        <f t="shared" si="9"/>
        <v>0</v>
      </c>
      <c r="AG41" s="564">
        <f t="shared" si="10"/>
        <v>0</v>
      </c>
    </row>
    <row r="42" spans="1:33" s="232" customFormat="1">
      <c r="A42" s="283"/>
      <c r="B42" s="283" t="s">
        <v>110</v>
      </c>
      <c r="C42" s="123" t="s">
        <v>447</v>
      </c>
      <c r="D42" s="514"/>
      <c r="E42" s="529">
        <f>VLOOKUP(C42,'Q4 DMV - Revenue'!C:S,17,FALSE)</f>
        <v>0</v>
      </c>
      <c r="F42" s="576">
        <v>11050.6</v>
      </c>
      <c r="G42" s="595">
        <v>12568.15</v>
      </c>
      <c r="H42" s="586"/>
      <c r="I42" s="379">
        <f t="shared" si="12"/>
        <v>23618.75</v>
      </c>
      <c r="J42" s="31"/>
      <c r="K42" s="86"/>
      <c r="L42" s="587">
        <f t="shared" si="13"/>
        <v>12568.15</v>
      </c>
      <c r="M42" s="31"/>
      <c r="N42" s="429"/>
      <c r="O42" s="31"/>
      <c r="P42" s="426">
        <f t="shared" si="0"/>
        <v>12568.15</v>
      </c>
      <c r="Q42" s="14">
        <v>12833.81</v>
      </c>
      <c r="R42" s="295"/>
      <c r="S42" s="385">
        <f t="shared" si="11"/>
        <v>265.65999999999985</v>
      </c>
      <c r="T42" s="31"/>
      <c r="U42" s="474">
        <f t="shared" si="1"/>
        <v>12568.15</v>
      </c>
      <c r="V42" s="474">
        <f t="shared" si="2"/>
        <v>0</v>
      </c>
      <c r="W42" s="475">
        <f t="shared" si="3"/>
        <v>0</v>
      </c>
      <c r="X42" s="475">
        <v>0</v>
      </c>
      <c r="Y42" s="476">
        <v>0</v>
      </c>
      <c r="Z42" s="38">
        <f t="shared" si="4"/>
        <v>0</v>
      </c>
      <c r="AA42" s="564">
        <f t="shared" si="5"/>
        <v>23618.75</v>
      </c>
      <c r="AB42" s="564">
        <f t="shared" si="6"/>
        <v>0</v>
      </c>
      <c r="AC42" s="564">
        <f t="shared" si="7"/>
        <v>0</v>
      </c>
      <c r="AD42" s="597"/>
      <c r="AE42" s="564">
        <f t="shared" si="8"/>
        <v>12568.15</v>
      </c>
      <c r="AF42" s="564">
        <f t="shared" si="9"/>
        <v>0</v>
      </c>
      <c r="AG42" s="564">
        <f t="shared" si="10"/>
        <v>0</v>
      </c>
    </row>
    <row r="43" spans="1:33" s="232" customFormat="1">
      <c r="A43" s="283"/>
      <c r="B43" s="283" t="s">
        <v>110</v>
      </c>
      <c r="C43" s="123" t="s">
        <v>460</v>
      </c>
      <c r="D43" s="514"/>
      <c r="E43" s="529">
        <f>VLOOKUP(C43,'Q4 DMV - Revenue'!C:S,17,FALSE)</f>
        <v>0</v>
      </c>
      <c r="F43" s="576">
        <v>11834.03</v>
      </c>
      <c r="G43" s="576">
        <v>25111.66</v>
      </c>
      <c r="H43" s="525">
        <v>33031.279999999999</v>
      </c>
      <c r="I43" s="379">
        <f t="shared" si="12"/>
        <v>69976.97</v>
      </c>
      <c r="J43" s="31"/>
      <c r="K43" s="86"/>
      <c r="L43" s="510">
        <v>0</v>
      </c>
      <c r="M43" s="31"/>
      <c r="N43" s="429"/>
      <c r="O43" s="31"/>
      <c r="P43" s="426">
        <f t="shared" si="0"/>
        <v>0</v>
      </c>
      <c r="Q43" s="14">
        <v>0</v>
      </c>
      <c r="R43" s="295"/>
      <c r="S43" s="385">
        <f t="shared" si="11"/>
        <v>0</v>
      </c>
      <c r="T43" s="31"/>
      <c r="U43" s="474">
        <f t="shared" si="1"/>
        <v>0</v>
      </c>
      <c r="V43" s="474">
        <f t="shared" si="2"/>
        <v>0</v>
      </c>
      <c r="W43" s="475">
        <f t="shared" si="3"/>
        <v>0</v>
      </c>
      <c r="X43" s="475">
        <v>0</v>
      </c>
      <c r="Y43" s="476">
        <v>0</v>
      </c>
      <c r="Z43" s="38">
        <f t="shared" si="4"/>
        <v>0</v>
      </c>
      <c r="AA43" s="564">
        <f t="shared" si="5"/>
        <v>69976.97</v>
      </c>
      <c r="AB43" s="564">
        <f t="shared" si="6"/>
        <v>0</v>
      </c>
      <c r="AC43" s="564">
        <f t="shared" si="7"/>
        <v>0</v>
      </c>
      <c r="AD43" s="597"/>
      <c r="AE43" s="564">
        <f t="shared" si="8"/>
        <v>0</v>
      </c>
      <c r="AF43" s="564">
        <f t="shared" si="9"/>
        <v>0</v>
      </c>
      <c r="AG43" s="564">
        <f t="shared" si="10"/>
        <v>0</v>
      </c>
    </row>
    <row r="44" spans="1:33" s="232" customFormat="1">
      <c r="A44" s="403"/>
      <c r="B44" s="403" t="s">
        <v>114</v>
      </c>
      <c r="C44" s="123" t="s">
        <v>108</v>
      </c>
      <c r="D44" s="514"/>
      <c r="E44" s="529">
        <f>VLOOKUP(C44,'Q4 DMV - Revenue'!C:S,17,FALSE)</f>
        <v>0</v>
      </c>
      <c r="F44" s="579"/>
      <c r="G44" s="579"/>
      <c r="H44" s="524"/>
      <c r="I44" s="379">
        <f t="shared" si="12"/>
        <v>0</v>
      </c>
      <c r="J44" s="31"/>
      <c r="K44" s="86"/>
      <c r="L44" s="42">
        <v>1500</v>
      </c>
      <c r="M44" s="31">
        <v>0</v>
      </c>
      <c r="N44" s="429"/>
      <c r="O44" s="31">
        <v>0</v>
      </c>
      <c r="P44" s="426">
        <f t="shared" si="0"/>
        <v>1500</v>
      </c>
      <c r="Q44" s="14">
        <f>942.61+288.06+556.47</f>
        <v>1787.14</v>
      </c>
      <c r="R44" s="295"/>
      <c r="S44" s="385">
        <f t="shared" si="11"/>
        <v>287.1400000000001</v>
      </c>
      <c r="T44" s="31"/>
      <c r="U44" s="474">
        <f t="shared" si="1"/>
        <v>0</v>
      </c>
      <c r="V44" s="474">
        <f t="shared" si="2"/>
        <v>0</v>
      </c>
      <c r="W44" s="475">
        <f t="shared" si="3"/>
        <v>1500</v>
      </c>
      <c r="X44" s="475">
        <v>0</v>
      </c>
      <c r="Y44" s="476">
        <v>0</v>
      </c>
      <c r="Z44" s="38">
        <f t="shared" si="4"/>
        <v>0</v>
      </c>
      <c r="AA44" s="564">
        <f t="shared" si="5"/>
        <v>0</v>
      </c>
      <c r="AB44" s="564">
        <f t="shared" si="6"/>
        <v>0</v>
      </c>
      <c r="AC44" s="564">
        <f t="shared" si="7"/>
        <v>0</v>
      </c>
      <c r="AD44" s="597"/>
      <c r="AE44" s="564">
        <f t="shared" si="8"/>
        <v>0</v>
      </c>
      <c r="AF44" s="564">
        <f t="shared" si="9"/>
        <v>0</v>
      </c>
      <c r="AG44" s="564">
        <f t="shared" si="10"/>
        <v>1500</v>
      </c>
    </row>
    <row r="45" spans="1:33">
      <c r="A45" s="21"/>
      <c r="B45" s="21" t="s">
        <v>110</v>
      </c>
      <c r="C45" s="68" t="s">
        <v>234</v>
      </c>
      <c r="D45" s="449">
        <v>1693.07</v>
      </c>
      <c r="E45" s="529">
        <f>VLOOKUP(C45,'Q4 DMV - Revenue'!C:S,17,FALSE)</f>
        <v>1976.77</v>
      </c>
      <c r="F45" s="579"/>
      <c r="G45" s="579"/>
      <c r="H45" s="524"/>
      <c r="I45" s="379">
        <f t="shared" si="12"/>
        <v>3669.84</v>
      </c>
      <c r="J45" s="31"/>
      <c r="K45" s="84"/>
      <c r="L45" s="42">
        <v>3000</v>
      </c>
      <c r="M45" s="31">
        <v>0</v>
      </c>
      <c r="N45" s="429"/>
      <c r="O45" s="31">
        <v>0</v>
      </c>
      <c r="P45" s="426">
        <f t="shared" si="0"/>
        <v>3000</v>
      </c>
      <c r="Q45" s="178">
        <v>3196.34</v>
      </c>
      <c r="R45" s="295"/>
      <c r="S45" s="385">
        <f t="shared" si="11"/>
        <v>196.34000000000015</v>
      </c>
      <c r="T45" s="31"/>
      <c r="U45" s="474">
        <f t="shared" si="1"/>
        <v>3000</v>
      </c>
      <c r="V45" s="474">
        <f t="shared" si="2"/>
        <v>0</v>
      </c>
      <c r="W45" s="475">
        <f t="shared" si="3"/>
        <v>0</v>
      </c>
      <c r="X45" s="475">
        <v>0</v>
      </c>
      <c r="Y45" s="476">
        <v>0</v>
      </c>
      <c r="Z45" s="38">
        <f t="shared" si="4"/>
        <v>0</v>
      </c>
      <c r="AA45" s="564">
        <f t="shared" si="5"/>
        <v>3669.84</v>
      </c>
      <c r="AB45" s="564">
        <f t="shared" si="6"/>
        <v>0</v>
      </c>
      <c r="AC45" s="564">
        <f t="shared" si="7"/>
        <v>0</v>
      </c>
      <c r="AE45" s="564">
        <f t="shared" si="8"/>
        <v>3000</v>
      </c>
      <c r="AF45" s="564">
        <f t="shared" si="9"/>
        <v>0</v>
      </c>
      <c r="AG45" s="564">
        <f t="shared" si="10"/>
        <v>0</v>
      </c>
    </row>
    <row r="46" spans="1:33">
      <c r="A46" s="21"/>
      <c r="B46" s="21" t="s">
        <v>110</v>
      </c>
      <c r="C46" s="68" t="s">
        <v>3</v>
      </c>
      <c r="D46" s="449"/>
      <c r="E46" s="529">
        <f>VLOOKUP(C46,'Q4 DMV - Revenue'!C:S,17,FALSE)</f>
        <v>-1000</v>
      </c>
      <c r="F46" s="579"/>
      <c r="G46" s="579"/>
      <c r="H46" s="524"/>
      <c r="I46" s="379">
        <f t="shared" si="12"/>
        <v>-1000</v>
      </c>
      <c r="J46" s="31"/>
      <c r="K46" s="84"/>
      <c r="L46" s="42">
        <v>1000</v>
      </c>
      <c r="M46" s="31">
        <v>0</v>
      </c>
      <c r="N46" s="429"/>
      <c r="O46" s="31">
        <v>0</v>
      </c>
      <c r="P46" s="426">
        <f t="shared" si="0"/>
        <v>1000</v>
      </c>
      <c r="Q46" s="178">
        <v>0</v>
      </c>
      <c r="R46" s="295"/>
      <c r="S46" s="385">
        <f t="shared" si="11"/>
        <v>-1000</v>
      </c>
      <c r="T46" s="31"/>
      <c r="U46" s="474">
        <f t="shared" si="1"/>
        <v>1000</v>
      </c>
      <c r="V46" s="474">
        <f t="shared" si="2"/>
        <v>0</v>
      </c>
      <c r="W46" s="475">
        <f t="shared" si="3"/>
        <v>0</v>
      </c>
      <c r="X46" s="475">
        <v>0</v>
      </c>
      <c r="Y46" s="476">
        <v>0</v>
      </c>
      <c r="Z46" s="38">
        <f t="shared" si="4"/>
        <v>0</v>
      </c>
      <c r="AA46" s="564">
        <f t="shared" si="5"/>
        <v>-1000</v>
      </c>
      <c r="AB46" s="564">
        <f t="shared" si="6"/>
        <v>0</v>
      </c>
      <c r="AC46" s="564">
        <f t="shared" si="7"/>
        <v>0</v>
      </c>
      <c r="AE46" s="564">
        <f t="shared" si="8"/>
        <v>1000</v>
      </c>
      <c r="AF46" s="564">
        <f t="shared" si="9"/>
        <v>0</v>
      </c>
      <c r="AG46" s="564">
        <f t="shared" si="10"/>
        <v>0</v>
      </c>
    </row>
    <row r="47" spans="1:33">
      <c r="A47" s="20"/>
      <c r="B47" s="20" t="s">
        <v>109</v>
      </c>
      <c r="C47" s="68" t="s">
        <v>4</v>
      </c>
      <c r="D47" s="449"/>
      <c r="E47" s="529">
        <f>VLOOKUP(C47,'Q4 DMV - Revenue'!C:S,17,FALSE)</f>
        <v>-1992.82</v>
      </c>
      <c r="F47" s="579"/>
      <c r="G47" s="579"/>
      <c r="H47" s="524"/>
      <c r="I47" s="379">
        <f t="shared" si="12"/>
        <v>-1992.82</v>
      </c>
      <c r="J47" s="31"/>
      <c r="K47" s="84"/>
      <c r="L47" s="42">
        <v>2000</v>
      </c>
      <c r="M47" s="31">
        <v>0</v>
      </c>
      <c r="N47" s="429"/>
      <c r="O47" s="31">
        <v>0</v>
      </c>
      <c r="P47" s="426">
        <f t="shared" si="0"/>
        <v>2000</v>
      </c>
      <c r="Q47" s="178">
        <v>0</v>
      </c>
      <c r="R47" s="295"/>
      <c r="S47" s="385">
        <f t="shared" si="11"/>
        <v>-2000</v>
      </c>
      <c r="T47" s="31"/>
      <c r="U47" s="474">
        <f t="shared" si="1"/>
        <v>0</v>
      </c>
      <c r="V47" s="474">
        <f t="shared" si="2"/>
        <v>2000</v>
      </c>
      <c r="W47" s="475">
        <f t="shared" si="3"/>
        <v>0</v>
      </c>
      <c r="X47" s="475">
        <v>0</v>
      </c>
      <c r="Y47" s="476">
        <v>0</v>
      </c>
      <c r="Z47" s="38">
        <f t="shared" si="4"/>
        <v>0</v>
      </c>
      <c r="AA47" s="564">
        <f t="shared" si="5"/>
        <v>0</v>
      </c>
      <c r="AB47" s="564">
        <f t="shared" si="6"/>
        <v>-1992.82</v>
      </c>
      <c r="AC47" s="564">
        <f t="shared" si="7"/>
        <v>0</v>
      </c>
      <c r="AE47" s="564">
        <f t="shared" si="8"/>
        <v>0</v>
      </c>
      <c r="AF47" s="564">
        <f t="shared" si="9"/>
        <v>2000</v>
      </c>
      <c r="AG47" s="564">
        <f t="shared" si="10"/>
        <v>0</v>
      </c>
    </row>
    <row r="48" spans="1:33">
      <c r="A48" s="20"/>
      <c r="B48" s="20" t="s">
        <v>109</v>
      </c>
      <c r="C48" s="68" t="s">
        <v>5</v>
      </c>
      <c r="D48" s="449"/>
      <c r="E48" s="529">
        <f>VLOOKUP(C48,'Q4 DMV - Revenue'!C:S,17,FALSE)</f>
        <v>-1000</v>
      </c>
      <c r="F48" s="579"/>
      <c r="G48" s="579"/>
      <c r="H48" s="524"/>
      <c r="I48" s="379">
        <f t="shared" si="12"/>
        <v>-1000</v>
      </c>
      <c r="J48" s="31"/>
      <c r="K48" s="84"/>
      <c r="L48" s="42">
        <v>1000</v>
      </c>
      <c r="M48" s="31">
        <v>0</v>
      </c>
      <c r="N48" s="429"/>
      <c r="O48" s="31">
        <v>0</v>
      </c>
      <c r="P48" s="426">
        <f t="shared" si="0"/>
        <v>1000</v>
      </c>
      <c r="Q48" s="178">
        <f>564.94+599.01+618.79</f>
        <v>1782.74</v>
      </c>
      <c r="R48" s="295"/>
      <c r="S48" s="385">
        <f t="shared" si="11"/>
        <v>782.74</v>
      </c>
      <c r="T48" s="31"/>
      <c r="U48" s="474">
        <f t="shared" si="1"/>
        <v>0</v>
      </c>
      <c r="V48" s="474">
        <f t="shared" si="2"/>
        <v>1000</v>
      </c>
      <c r="W48" s="475">
        <f t="shared" si="3"/>
        <v>0</v>
      </c>
      <c r="X48" s="475">
        <v>0</v>
      </c>
      <c r="Y48" s="476">
        <v>0</v>
      </c>
      <c r="Z48" s="38">
        <f t="shared" si="4"/>
        <v>0</v>
      </c>
      <c r="AA48" s="564">
        <f t="shared" si="5"/>
        <v>0</v>
      </c>
      <c r="AB48" s="564">
        <f t="shared" si="6"/>
        <v>-1000</v>
      </c>
      <c r="AC48" s="564">
        <f t="shared" si="7"/>
        <v>0</v>
      </c>
      <c r="AE48" s="564">
        <f t="shared" si="8"/>
        <v>0</v>
      </c>
      <c r="AF48" s="564">
        <f t="shared" si="9"/>
        <v>1000</v>
      </c>
      <c r="AG48" s="564">
        <f t="shared" si="10"/>
        <v>0</v>
      </c>
    </row>
    <row r="49" spans="1:33">
      <c r="A49" s="20"/>
      <c r="B49" s="20" t="s">
        <v>109</v>
      </c>
      <c r="C49" s="68" t="s">
        <v>470</v>
      </c>
      <c r="D49" s="449">
        <v>768.72</v>
      </c>
      <c r="E49" s="529">
        <v>0</v>
      </c>
      <c r="F49" s="579"/>
      <c r="G49" s="579"/>
      <c r="H49" s="524"/>
      <c r="I49" s="379">
        <f t="shared" si="12"/>
        <v>768.72</v>
      </c>
      <c r="J49" s="31"/>
      <c r="K49" s="84"/>
      <c r="L49" s="42">
        <v>1000</v>
      </c>
      <c r="M49" s="31"/>
      <c r="N49" s="429"/>
      <c r="O49" s="31"/>
      <c r="P49" s="426">
        <f t="shared" si="0"/>
        <v>1000</v>
      </c>
      <c r="Q49" s="178">
        <v>0</v>
      </c>
      <c r="R49" s="295"/>
      <c r="S49" s="385">
        <f t="shared" si="11"/>
        <v>-1000</v>
      </c>
      <c r="T49" s="31"/>
      <c r="U49" s="474">
        <f t="shared" si="1"/>
        <v>0</v>
      </c>
      <c r="V49" s="474">
        <f t="shared" si="2"/>
        <v>1000</v>
      </c>
      <c r="W49" s="475">
        <f t="shared" si="3"/>
        <v>0</v>
      </c>
      <c r="X49" s="475">
        <v>0</v>
      </c>
      <c r="Y49" s="476">
        <v>0</v>
      </c>
      <c r="Z49" s="38">
        <f t="shared" si="4"/>
        <v>0</v>
      </c>
      <c r="AA49" s="564">
        <f t="shared" si="5"/>
        <v>0</v>
      </c>
      <c r="AB49" s="564">
        <f t="shared" si="6"/>
        <v>768.72</v>
      </c>
      <c r="AC49" s="564">
        <f t="shared" si="7"/>
        <v>0</v>
      </c>
      <c r="AE49" s="564">
        <f t="shared" si="8"/>
        <v>0</v>
      </c>
      <c r="AF49" s="564">
        <f t="shared" si="9"/>
        <v>1000</v>
      </c>
      <c r="AG49" s="564">
        <f t="shared" si="10"/>
        <v>0</v>
      </c>
    </row>
    <row r="50" spans="1:33">
      <c r="A50" s="20"/>
      <c r="B50" s="20" t="s">
        <v>110</v>
      </c>
      <c r="C50" s="68" t="s">
        <v>311</v>
      </c>
      <c r="D50" s="449"/>
      <c r="E50" s="529">
        <f>VLOOKUP(C50,'Q4 DMV - Revenue'!C:S,17,FALSE)</f>
        <v>-4204.9799999999996</v>
      </c>
      <c r="F50" s="579"/>
      <c r="G50" s="579"/>
      <c r="H50" s="524"/>
      <c r="I50" s="379">
        <f t="shared" si="12"/>
        <v>-4204.9799999999996</v>
      </c>
      <c r="J50" s="31"/>
      <c r="K50" s="84"/>
      <c r="L50" s="42">
        <v>3000</v>
      </c>
      <c r="M50" s="31"/>
      <c r="N50" s="429"/>
      <c r="O50" s="31"/>
      <c r="P50" s="426">
        <f t="shared" si="0"/>
        <v>3000</v>
      </c>
      <c r="Q50" s="178">
        <f>4068.6+4300.77+3829.52</f>
        <v>12198.890000000001</v>
      </c>
      <c r="R50" s="295"/>
      <c r="S50" s="385">
        <f t="shared" si="11"/>
        <v>9198.8900000000012</v>
      </c>
      <c r="T50" s="31"/>
      <c r="U50" s="474">
        <f t="shared" si="1"/>
        <v>3000</v>
      </c>
      <c r="V50" s="474">
        <f t="shared" si="2"/>
        <v>0</v>
      </c>
      <c r="W50" s="475">
        <f t="shared" si="3"/>
        <v>0</v>
      </c>
      <c r="X50" s="475">
        <v>0</v>
      </c>
      <c r="Y50" s="476">
        <v>0</v>
      </c>
      <c r="Z50" s="38">
        <f t="shared" si="4"/>
        <v>0</v>
      </c>
      <c r="AA50" s="564">
        <f t="shared" si="5"/>
        <v>-4204.9799999999996</v>
      </c>
      <c r="AB50" s="564">
        <f t="shared" si="6"/>
        <v>0</v>
      </c>
      <c r="AC50" s="564">
        <f t="shared" si="7"/>
        <v>0</v>
      </c>
      <c r="AE50" s="564">
        <f t="shared" si="8"/>
        <v>3000</v>
      </c>
      <c r="AF50" s="564">
        <f t="shared" si="9"/>
        <v>0</v>
      </c>
      <c r="AG50" s="564">
        <f t="shared" si="10"/>
        <v>0</v>
      </c>
    </row>
    <row r="51" spans="1:33">
      <c r="A51" s="20"/>
      <c r="B51" s="20" t="s">
        <v>109</v>
      </c>
      <c r="C51" s="68" t="s">
        <v>451</v>
      </c>
      <c r="D51" s="449"/>
      <c r="E51" s="529">
        <f>VLOOKUP(C51,'Q4 DMV - Revenue'!C:S,17,FALSE)</f>
        <v>0</v>
      </c>
      <c r="F51" s="579"/>
      <c r="G51" s="579"/>
      <c r="H51" s="524"/>
      <c r="I51" s="379">
        <f t="shared" si="12"/>
        <v>0</v>
      </c>
      <c r="J51" s="31"/>
      <c r="K51" s="84"/>
      <c r="L51" s="42">
        <v>4500</v>
      </c>
      <c r="M51" s="31">
        <v>0</v>
      </c>
      <c r="N51" s="429"/>
      <c r="O51" s="31">
        <v>0</v>
      </c>
      <c r="P51" s="426">
        <f t="shared" si="0"/>
        <v>4500</v>
      </c>
      <c r="Q51" s="178">
        <v>0</v>
      </c>
      <c r="R51" s="295"/>
      <c r="S51" s="385">
        <f t="shared" si="11"/>
        <v>-4500</v>
      </c>
      <c r="T51" s="31"/>
      <c r="U51" s="474">
        <f t="shared" si="1"/>
        <v>0</v>
      </c>
      <c r="V51" s="474">
        <f t="shared" si="2"/>
        <v>4500</v>
      </c>
      <c r="W51" s="475">
        <f t="shared" si="3"/>
        <v>0</v>
      </c>
      <c r="X51" s="475">
        <v>0</v>
      </c>
      <c r="Y51" s="476">
        <v>0</v>
      </c>
      <c r="Z51" s="38">
        <f t="shared" si="4"/>
        <v>0</v>
      </c>
      <c r="AA51" s="564">
        <f t="shared" si="5"/>
        <v>0</v>
      </c>
      <c r="AB51" s="564">
        <f t="shared" si="6"/>
        <v>0</v>
      </c>
      <c r="AC51" s="564">
        <f t="shared" si="7"/>
        <v>0</v>
      </c>
      <c r="AE51" s="564">
        <f t="shared" si="8"/>
        <v>0</v>
      </c>
      <c r="AF51" s="564">
        <f t="shared" si="9"/>
        <v>4500</v>
      </c>
      <c r="AG51" s="564">
        <f t="shared" si="10"/>
        <v>0</v>
      </c>
    </row>
    <row r="52" spans="1:33">
      <c r="A52" s="20"/>
      <c r="B52" s="20" t="s">
        <v>109</v>
      </c>
      <c r="C52" s="68" t="s">
        <v>469</v>
      </c>
      <c r="D52" s="449"/>
      <c r="E52" s="529">
        <f>VLOOKUP(C52,'Q4 DMV - Revenue'!C:S,17,FALSE)</f>
        <v>502.65</v>
      </c>
      <c r="F52" s="576">
        <v>1803.75</v>
      </c>
      <c r="G52" s="576">
        <v>5178.3900000000003</v>
      </c>
      <c r="H52" s="525">
        <v>6248.41</v>
      </c>
      <c r="I52" s="379">
        <f t="shared" si="12"/>
        <v>13733.2</v>
      </c>
      <c r="J52" s="31"/>
      <c r="K52" s="84"/>
      <c r="L52" s="42">
        <v>0</v>
      </c>
      <c r="M52" s="31">
        <v>0</v>
      </c>
      <c r="N52" s="429"/>
      <c r="O52" s="31">
        <v>0</v>
      </c>
      <c r="P52" s="426">
        <f t="shared" si="0"/>
        <v>0</v>
      </c>
      <c r="Q52" s="178">
        <v>0</v>
      </c>
      <c r="R52" s="295"/>
      <c r="S52" s="385">
        <f t="shared" si="11"/>
        <v>0</v>
      </c>
      <c r="T52" s="31"/>
      <c r="U52" s="474">
        <f t="shared" si="1"/>
        <v>0</v>
      </c>
      <c r="V52" s="474">
        <f t="shared" si="2"/>
        <v>0</v>
      </c>
      <c r="W52" s="475">
        <f t="shared" si="3"/>
        <v>0</v>
      </c>
      <c r="X52" s="475">
        <v>0</v>
      </c>
      <c r="Y52" s="476">
        <v>0</v>
      </c>
      <c r="Z52" s="38">
        <f t="shared" si="4"/>
        <v>0</v>
      </c>
      <c r="AA52" s="564">
        <f t="shared" si="5"/>
        <v>0</v>
      </c>
      <c r="AB52" s="564">
        <f t="shared" si="6"/>
        <v>13733.2</v>
      </c>
      <c r="AC52" s="564">
        <f t="shared" si="7"/>
        <v>0</v>
      </c>
      <c r="AE52" s="564">
        <f t="shared" si="8"/>
        <v>0</v>
      </c>
      <c r="AF52" s="564">
        <f t="shared" si="9"/>
        <v>0</v>
      </c>
      <c r="AG52" s="564">
        <f t="shared" si="10"/>
        <v>0</v>
      </c>
    </row>
    <row r="53" spans="1:33">
      <c r="A53" s="20"/>
      <c r="B53" s="20" t="s">
        <v>109</v>
      </c>
      <c r="C53" s="68" t="s">
        <v>462</v>
      </c>
      <c r="D53" s="449">
        <v>1487.31</v>
      </c>
      <c r="E53" s="529">
        <v>0</v>
      </c>
      <c r="F53" s="579"/>
      <c r="G53" s="579"/>
      <c r="H53" s="524"/>
      <c r="I53" s="379">
        <f t="shared" si="12"/>
        <v>1487.31</v>
      </c>
      <c r="J53" s="31"/>
      <c r="K53" s="84"/>
      <c r="L53" s="42">
        <v>750</v>
      </c>
      <c r="M53" s="31">
        <v>0</v>
      </c>
      <c r="N53" s="429"/>
      <c r="O53" s="31">
        <v>0</v>
      </c>
      <c r="P53" s="426">
        <f t="shared" si="0"/>
        <v>750</v>
      </c>
      <c r="Q53" s="178">
        <v>0</v>
      </c>
      <c r="R53" s="295"/>
      <c r="S53" s="385">
        <f t="shared" si="11"/>
        <v>-750</v>
      </c>
      <c r="T53" s="31"/>
      <c r="U53" s="474">
        <f t="shared" si="1"/>
        <v>0</v>
      </c>
      <c r="V53" s="474">
        <f t="shared" si="2"/>
        <v>750</v>
      </c>
      <c r="W53" s="475">
        <f t="shared" si="3"/>
        <v>0</v>
      </c>
      <c r="X53" s="475">
        <v>0</v>
      </c>
      <c r="Y53" s="476">
        <v>0</v>
      </c>
      <c r="Z53" s="38">
        <f t="shared" si="4"/>
        <v>0</v>
      </c>
      <c r="AA53" s="564">
        <f t="shared" si="5"/>
        <v>0</v>
      </c>
      <c r="AB53" s="564">
        <f t="shared" si="6"/>
        <v>1487.31</v>
      </c>
      <c r="AC53" s="564">
        <f t="shared" si="7"/>
        <v>0</v>
      </c>
      <c r="AE53" s="564">
        <f t="shared" si="8"/>
        <v>0</v>
      </c>
      <c r="AF53" s="564">
        <f t="shared" si="9"/>
        <v>750</v>
      </c>
      <c r="AG53" s="564">
        <f t="shared" si="10"/>
        <v>0</v>
      </c>
    </row>
    <row r="54" spans="1:33">
      <c r="A54" s="20"/>
      <c r="B54" s="20" t="s">
        <v>110</v>
      </c>
      <c r="C54" s="68" t="s">
        <v>69</v>
      </c>
      <c r="D54" s="449"/>
      <c r="E54" s="529">
        <f>VLOOKUP(C54,'Q4 DMV - Revenue'!C:S,17,FALSE)</f>
        <v>0</v>
      </c>
      <c r="F54" s="576">
        <v>2614.41</v>
      </c>
      <c r="G54" s="576">
        <v>2721.05</v>
      </c>
      <c r="H54" s="524"/>
      <c r="I54" s="379">
        <f t="shared" si="12"/>
        <v>5335.46</v>
      </c>
      <c r="J54" s="31"/>
      <c r="K54" s="84"/>
      <c r="L54" s="42">
        <f>(F54+G54)/2</f>
        <v>2667.73</v>
      </c>
      <c r="M54" s="31">
        <v>0</v>
      </c>
      <c r="N54" s="429"/>
      <c r="O54" s="31">
        <v>0</v>
      </c>
      <c r="P54" s="426">
        <f t="shared" si="0"/>
        <v>2667.73</v>
      </c>
      <c r="Q54" s="178">
        <v>2656.33</v>
      </c>
      <c r="R54" s="295"/>
      <c r="S54" s="385">
        <f t="shared" si="11"/>
        <v>-11.400000000000091</v>
      </c>
      <c r="T54" s="31"/>
      <c r="U54" s="474">
        <f t="shared" si="1"/>
        <v>2667.73</v>
      </c>
      <c r="V54" s="474">
        <f t="shared" si="2"/>
        <v>0</v>
      </c>
      <c r="W54" s="475">
        <f t="shared" si="3"/>
        <v>0</v>
      </c>
      <c r="X54" s="475">
        <v>0</v>
      </c>
      <c r="Y54" s="476">
        <v>0</v>
      </c>
      <c r="Z54" s="38">
        <f t="shared" si="4"/>
        <v>0</v>
      </c>
      <c r="AA54" s="564">
        <f t="shared" si="5"/>
        <v>5335.46</v>
      </c>
      <c r="AB54" s="564">
        <f t="shared" si="6"/>
        <v>0</v>
      </c>
      <c r="AC54" s="564">
        <f t="shared" si="7"/>
        <v>0</v>
      </c>
      <c r="AE54" s="564">
        <f t="shared" si="8"/>
        <v>2667.73</v>
      </c>
      <c r="AF54" s="564">
        <f t="shared" si="9"/>
        <v>0</v>
      </c>
      <c r="AG54" s="564">
        <f t="shared" si="10"/>
        <v>0</v>
      </c>
    </row>
    <row r="55" spans="1:33">
      <c r="A55" s="20"/>
      <c r="B55" s="20" t="s">
        <v>110</v>
      </c>
      <c r="C55" s="68" t="s">
        <v>237</v>
      </c>
      <c r="D55" s="449"/>
      <c r="E55" s="529">
        <f>VLOOKUP(C55,'Q4 DMV - Revenue'!C:S,17,FALSE)</f>
        <v>0</v>
      </c>
      <c r="F55" s="576">
        <v>13126.38</v>
      </c>
      <c r="G55" s="576">
        <v>13802.41</v>
      </c>
      <c r="H55" s="524"/>
      <c r="I55" s="379">
        <f t="shared" si="12"/>
        <v>26928.79</v>
      </c>
      <c r="J55" s="31"/>
      <c r="K55" s="84"/>
      <c r="L55" s="42">
        <f>(F55+G55)/2</f>
        <v>13464.395</v>
      </c>
      <c r="M55" s="31">
        <v>0</v>
      </c>
      <c r="N55" s="429">
        <v>26928.79</v>
      </c>
      <c r="O55" s="31">
        <v>0</v>
      </c>
      <c r="P55" s="426">
        <f t="shared" si="0"/>
        <v>13464.395</v>
      </c>
      <c r="Q55" s="178">
        <v>19758.66</v>
      </c>
      <c r="R55" s="295"/>
      <c r="S55" s="385">
        <f t="shared" si="11"/>
        <v>6294.2649999999994</v>
      </c>
      <c r="T55" s="31"/>
      <c r="U55" s="474">
        <f t="shared" si="1"/>
        <v>13464.395</v>
      </c>
      <c r="V55" s="474">
        <f t="shared" si="2"/>
        <v>0</v>
      </c>
      <c r="W55" s="475">
        <f t="shared" si="3"/>
        <v>0</v>
      </c>
      <c r="X55" s="475">
        <v>0</v>
      </c>
      <c r="Y55" s="476">
        <v>0</v>
      </c>
      <c r="Z55" s="38">
        <f t="shared" si="4"/>
        <v>0</v>
      </c>
      <c r="AA55" s="564">
        <f t="shared" si="5"/>
        <v>26928.79</v>
      </c>
      <c r="AB55" s="564">
        <f t="shared" si="6"/>
        <v>0</v>
      </c>
      <c r="AC55" s="564">
        <f t="shared" si="7"/>
        <v>0</v>
      </c>
      <c r="AE55" s="564">
        <f t="shared" si="8"/>
        <v>13464.395</v>
      </c>
      <c r="AF55" s="564">
        <f t="shared" si="9"/>
        <v>0</v>
      </c>
      <c r="AG55" s="564">
        <f t="shared" si="10"/>
        <v>0</v>
      </c>
    </row>
    <row r="56" spans="1:33">
      <c r="A56" s="20" t="s">
        <v>211</v>
      </c>
      <c r="B56" s="20" t="s">
        <v>110</v>
      </c>
      <c r="C56" s="68" t="s">
        <v>7</v>
      </c>
      <c r="D56" s="449"/>
      <c r="E56" s="529">
        <f>VLOOKUP(C56,'Q4 DMV - Revenue'!C:S,17,FALSE)</f>
        <v>0</v>
      </c>
      <c r="F56" s="579"/>
      <c r="G56" s="579"/>
      <c r="H56" s="524"/>
      <c r="I56" s="379">
        <f t="shared" si="12"/>
        <v>0</v>
      </c>
      <c r="J56" s="2"/>
      <c r="K56" s="336"/>
      <c r="L56" s="42">
        <v>15000</v>
      </c>
      <c r="M56" s="31">
        <v>0</v>
      </c>
      <c r="N56" s="429"/>
      <c r="O56" s="31">
        <v>0</v>
      </c>
      <c r="P56" s="426">
        <f t="shared" si="0"/>
        <v>15000</v>
      </c>
      <c r="Q56" s="178">
        <v>27161.19</v>
      </c>
      <c r="R56" s="295"/>
      <c r="S56" s="385">
        <f t="shared" si="11"/>
        <v>12161.189999999999</v>
      </c>
      <c r="T56" s="2"/>
      <c r="U56" s="474">
        <f t="shared" si="1"/>
        <v>15000</v>
      </c>
      <c r="V56" s="474">
        <f t="shared" si="2"/>
        <v>0</v>
      </c>
      <c r="W56" s="475">
        <f t="shared" si="3"/>
        <v>0</v>
      </c>
      <c r="X56" s="475">
        <v>0</v>
      </c>
      <c r="Y56" s="476">
        <v>0</v>
      </c>
      <c r="Z56" s="38">
        <f t="shared" si="4"/>
        <v>0</v>
      </c>
      <c r="AA56" s="564">
        <f t="shared" si="5"/>
        <v>0</v>
      </c>
      <c r="AB56" s="564">
        <f t="shared" si="6"/>
        <v>0</v>
      </c>
      <c r="AC56" s="564">
        <f t="shared" si="7"/>
        <v>0</v>
      </c>
      <c r="AE56" s="564">
        <f t="shared" si="8"/>
        <v>15000</v>
      </c>
      <c r="AF56" s="564">
        <f t="shared" si="9"/>
        <v>0</v>
      </c>
      <c r="AG56" s="564">
        <f t="shared" si="10"/>
        <v>0</v>
      </c>
    </row>
    <row r="57" spans="1:33" s="232" customFormat="1">
      <c r="A57" s="283" t="s">
        <v>97</v>
      </c>
      <c r="B57" s="283" t="s">
        <v>109</v>
      </c>
      <c r="C57" s="123" t="s">
        <v>415</v>
      </c>
      <c r="D57" s="514"/>
      <c r="E57" s="529">
        <f>VLOOKUP(C57,'Q4 DMV - Revenue'!C:S,17,FALSE)</f>
        <v>0</v>
      </c>
      <c r="F57" s="576">
        <f>444.5+83.29</f>
        <v>527.79</v>
      </c>
      <c r="G57" s="576">
        <f>316.55+35.47</f>
        <v>352.02</v>
      </c>
      <c r="H57" s="524"/>
      <c r="I57" s="379">
        <f t="shared" si="12"/>
        <v>879.81</v>
      </c>
      <c r="J57" s="31"/>
      <c r="K57" s="86"/>
      <c r="L57" s="42">
        <f>(F57+G57)/2</f>
        <v>439.90499999999997</v>
      </c>
      <c r="M57" s="31">
        <v>0</v>
      </c>
      <c r="N57" s="429"/>
      <c r="O57" s="31">
        <v>0</v>
      </c>
      <c r="P57" s="426">
        <f t="shared" si="0"/>
        <v>439.90499999999997</v>
      </c>
      <c r="Q57" s="14">
        <f>396.54+53.69</f>
        <v>450.23</v>
      </c>
      <c r="R57" s="295"/>
      <c r="S57" s="385">
        <f t="shared" si="11"/>
        <v>10.325000000000045</v>
      </c>
      <c r="T57" s="31"/>
      <c r="U57" s="474">
        <f t="shared" si="1"/>
        <v>0</v>
      </c>
      <c r="V57" s="474">
        <f t="shared" si="2"/>
        <v>439.90499999999997</v>
      </c>
      <c r="W57" s="475">
        <f t="shared" si="3"/>
        <v>0</v>
      </c>
      <c r="X57" s="475">
        <v>0</v>
      </c>
      <c r="Y57" s="476">
        <v>0</v>
      </c>
      <c r="Z57" s="38">
        <f t="shared" si="4"/>
        <v>0</v>
      </c>
      <c r="AA57" s="564">
        <f t="shared" si="5"/>
        <v>0</v>
      </c>
      <c r="AB57" s="564">
        <f t="shared" si="6"/>
        <v>879.81</v>
      </c>
      <c r="AC57" s="564">
        <f t="shared" si="7"/>
        <v>0</v>
      </c>
      <c r="AD57" s="597"/>
      <c r="AE57" s="564">
        <f t="shared" si="8"/>
        <v>0</v>
      </c>
      <c r="AF57" s="564">
        <f t="shared" si="9"/>
        <v>439.90499999999997</v>
      </c>
      <c r="AG57" s="564">
        <f t="shared" si="10"/>
        <v>0</v>
      </c>
    </row>
    <row r="58" spans="1:33" s="232" customFormat="1">
      <c r="A58" s="283"/>
      <c r="B58" s="283" t="s">
        <v>109</v>
      </c>
      <c r="C58" s="123" t="s">
        <v>416</v>
      </c>
      <c r="D58" s="514"/>
      <c r="E58" s="529">
        <f>VLOOKUP(C58,'Q4 DMV - Revenue'!C:S,17,FALSE)</f>
        <v>0</v>
      </c>
      <c r="F58" s="576">
        <v>926.35</v>
      </c>
      <c r="G58" s="576">
        <v>907.13</v>
      </c>
      <c r="H58" s="524"/>
      <c r="I58" s="379">
        <f t="shared" ref="I58:I90" si="14">SUM(D58:H58)</f>
        <v>1833.48</v>
      </c>
      <c r="J58" s="31"/>
      <c r="K58" s="86"/>
      <c r="L58" s="42">
        <f>(F58+G58)/2</f>
        <v>916.74</v>
      </c>
      <c r="M58" s="31">
        <v>0</v>
      </c>
      <c r="N58" s="429"/>
      <c r="O58" s="31">
        <v>0</v>
      </c>
      <c r="P58" s="426">
        <f t="shared" si="0"/>
        <v>916.74</v>
      </c>
      <c r="Q58" s="14">
        <v>840.93</v>
      </c>
      <c r="R58" s="295"/>
      <c r="S58" s="385">
        <f t="shared" si="11"/>
        <v>-75.810000000000059</v>
      </c>
      <c r="T58" s="31"/>
      <c r="U58" s="474">
        <f t="shared" si="1"/>
        <v>0</v>
      </c>
      <c r="V58" s="474">
        <f t="shared" si="2"/>
        <v>916.74</v>
      </c>
      <c r="W58" s="475">
        <f t="shared" si="3"/>
        <v>0</v>
      </c>
      <c r="X58" s="475">
        <v>0</v>
      </c>
      <c r="Y58" s="476">
        <v>0</v>
      </c>
      <c r="Z58" s="38">
        <f t="shared" si="4"/>
        <v>0</v>
      </c>
      <c r="AA58" s="564">
        <f t="shared" si="5"/>
        <v>0</v>
      </c>
      <c r="AB58" s="564">
        <f t="shared" si="6"/>
        <v>1833.48</v>
      </c>
      <c r="AC58" s="564">
        <f t="shared" si="7"/>
        <v>0</v>
      </c>
      <c r="AD58" s="597"/>
      <c r="AE58" s="564">
        <f t="shared" si="8"/>
        <v>0</v>
      </c>
      <c r="AF58" s="564">
        <f t="shared" si="9"/>
        <v>916.74</v>
      </c>
      <c r="AG58" s="564">
        <f t="shared" si="10"/>
        <v>0</v>
      </c>
    </row>
    <row r="59" spans="1:33" s="232" customFormat="1">
      <c r="A59" s="283"/>
      <c r="B59" s="283" t="s">
        <v>109</v>
      </c>
      <c r="C59" s="123" t="s">
        <v>417</v>
      </c>
      <c r="D59" s="514"/>
      <c r="E59" s="529">
        <f>VLOOKUP(C59,'Q4 DMV - Revenue'!C:S,17,FALSE)</f>
        <v>0</v>
      </c>
      <c r="F59" s="576">
        <v>1160.26</v>
      </c>
      <c r="G59" s="576">
        <v>890.19</v>
      </c>
      <c r="H59" s="524"/>
      <c r="I59" s="379">
        <f t="shared" si="14"/>
        <v>2050.4499999999998</v>
      </c>
      <c r="J59" s="31"/>
      <c r="K59" s="86"/>
      <c r="L59" s="42">
        <f>(F59+G59)/2</f>
        <v>1025.2249999999999</v>
      </c>
      <c r="M59" s="31">
        <v>0</v>
      </c>
      <c r="N59" s="429"/>
      <c r="O59" s="31">
        <v>0</v>
      </c>
      <c r="P59" s="426">
        <f t="shared" si="0"/>
        <v>1025.2249999999999</v>
      </c>
      <c r="Q59" s="14">
        <v>969.3</v>
      </c>
      <c r="R59" s="295"/>
      <c r="S59" s="385">
        <f t="shared" si="11"/>
        <v>-55.924999999999955</v>
      </c>
      <c r="T59" s="31"/>
      <c r="U59" s="474">
        <f t="shared" si="1"/>
        <v>0</v>
      </c>
      <c r="V59" s="474">
        <f t="shared" si="2"/>
        <v>1025.2249999999999</v>
      </c>
      <c r="W59" s="475">
        <f t="shared" si="3"/>
        <v>0</v>
      </c>
      <c r="X59" s="475">
        <v>0</v>
      </c>
      <c r="Y59" s="476">
        <v>0</v>
      </c>
      <c r="Z59" s="38">
        <f t="shared" si="4"/>
        <v>0</v>
      </c>
      <c r="AA59" s="564">
        <f t="shared" si="5"/>
        <v>0</v>
      </c>
      <c r="AB59" s="564">
        <f t="shared" si="6"/>
        <v>2050.4499999999998</v>
      </c>
      <c r="AC59" s="564">
        <f t="shared" si="7"/>
        <v>0</v>
      </c>
      <c r="AD59" s="597"/>
      <c r="AE59" s="564">
        <f t="shared" si="8"/>
        <v>0</v>
      </c>
      <c r="AF59" s="564">
        <f t="shared" si="9"/>
        <v>1025.2249999999999</v>
      </c>
      <c r="AG59" s="564">
        <f t="shared" si="10"/>
        <v>0</v>
      </c>
    </row>
    <row r="60" spans="1:33" s="232" customFormat="1">
      <c r="A60" s="283"/>
      <c r="B60" s="283" t="s">
        <v>109</v>
      </c>
      <c r="C60" s="123" t="s">
        <v>418</v>
      </c>
      <c r="D60" s="514"/>
      <c r="E60" s="529">
        <f>VLOOKUP(C60,'Q4 DMV - Revenue'!C:S,17,FALSE)</f>
        <v>0</v>
      </c>
      <c r="F60" s="576">
        <v>4.53</v>
      </c>
      <c r="G60" s="576">
        <v>25.06</v>
      </c>
      <c r="H60" s="524"/>
      <c r="I60" s="379">
        <f t="shared" si="14"/>
        <v>29.59</v>
      </c>
      <c r="J60" s="31"/>
      <c r="K60" s="86"/>
      <c r="L60" s="42">
        <f>(F60+G60)/2</f>
        <v>14.795</v>
      </c>
      <c r="M60" s="31">
        <v>0</v>
      </c>
      <c r="N60" s="429"/>
      <c r="O60" s="31">
        <v>0</v>
      </c>
      <c r="P60" s="426">
        <f t="shared" si="0"/>
        <v>14.795</v>
      </c>
      <c r="Q60" s="14">
        <v>18.43</v>
      </c>
      <c r="R60" s="295"/>
      <c r="S60" s="385">
        <f t="shared" si="11"/>
        <v>3.6349999999999998</v>
      </c>
      <c r="T60" s="31"/>
      <c r="U60" s="474">
        <f t="shared" si="1"/>
        <v>0</v>
      </c>
      <c r="V60" s="474">
        <f t="shared" si="2"/>
        <v>14.795</v>
      </c>
      <c r="W60" s="475">
        <f t="shared" si="3"/>
        <v>0</v>
      </c>
      <c r="X60" s="475">
        <v>0</v>
      </c>
      <c r="Y60" s="476">
        <v>0</v>
      </c>
      <c r="Z60" s="38">
        <f t="shared" si="4"/>
        <v>0</v>
      </c>
      <c r="AA60" s="564">
        <f t="shared" si="5"/>
        <v>0</v>
      </c>
      <c r="AB60" s="564">
        <f t="shared" si="6"/>
        <v>29.59</v>
      </c>
      <c r="AC60" s="564">
        <f t="shared" si="7"/>
        <v>0</v>
      </c>
      <c r="AD60" s="597"/>
      <c r="AE60" s="564">
        <f t="shared" si="8"/>
        <v>0</v>
      </c>
      <c r="AF60" s="564">
        <f t="shared" si="9"/>
        <v>14.795</v>
      </c>
      <c r="AG60" s="564">
        <f t="shared" si="10"/>
        <v>0</v>
      </c>
    </row>
    <row r="61" spans="1:33">
      <c r="A61" s="21" t="s">
        <v>109</v>
      </c>
      <c r="B61" s="21" t="s">
        <v>110</v>
      </c>
      <c r="C61" s="68" t="s">
        <v>8</v>
      </c>
      <c r="D61" s="449"/>
      <c r="E61" s="529">
        <f>VLOOKUP(C61,'Q4 DMV - Revenue'!C:S,17,FALSE)</f>
        <v>0</v>
      </c>
      <c r="F61" s="579"/>
      <c r="G61" s="579"/>
      <c r="H61" s="524"/>
      <c r="I61" s="379">
        <f t="shared" si="14"/>
        <v>0</v>
      </c>
      <c r="J61" s="31"/>
      <c r="K61" s="84"/>
      <c r="L61" s="42">
        <v>0</v>
      </c>
      <c r="M61" s="31">
        <v>0</v>
      </c>
      <c r="N61" s="429"/>
      <c r="O61" s="31">
        <v>0</v>
      </c>
      <c r="P61" s="426">
        <f t="shared" si="0"/>
        <v>0</v>
      </c>
      <c r="Q61" s="178">
        <v>0</v>
      </c>
      <c r="R61" s="295"/>
      <c r="S61" s="385">
        <f t="shared" si="11"/>
        <v>0</v>
      </c>
      <c r="T61" s="31"/>
      <c r="U61" s="474">
        <f t="shared" si="1"/>
        <v>0</v>
      </c>
      <c r="V61" s="474">
        <f t="shared" si="2"/>
        <v>0</v>
      </c>
      <c r="W61" s="475">
        <f t="shared" si="3"/>
        <v>0</v>
      </c>
      <c r="X61" s="475">
        <v>0</v>
      </c>
      <c r="Y61" s="476">
        <v>0</v>
      </c>
      <c r="Z61" s="38">
        <f t="shared" si="4"/>
        <v>0</v>
      </c>
      <c r="AA61" s="564">
        <f t="shared" si="5"/>
        <v>0</v>
      </c>
      <c r="AB61" s="564">
        <f t="shared" si="6"/>
        <v>0</v>
      </c>
      <c r="AC61" s="564">
        <f t="shared" si="7"/>
        <v>0</v>
      </c>
      <c r="AE61" s="564">
        <f t="shared" si="8"/>
        <v>0</v>
      </c>
      <c r="AF61" s="564">
        <f t="shared" si="9"/>
        <v>0</v>
      </c>
      <c r="AG61" s="564">
        <f t="shared" si="10"/>
        <v>0</v>
      </c>
    </row>
    <row r="62" spans="1:33">
      <c r="A62" s="20" t="s">
        <v>211</v>
      </c>
      <c r="B62" s="20" t="s">
        <v>109</v>
      </c>
      <c r="C62" s="68" t="s">
        <v>9</v>
      </c>
      <c r="D62" s="449"/>
      <c r="E62" s="529">
        <f>VLOOKUP(C62,'Q4 DMV - Revenue'!C:S,17,FALSE)</f>
        <v>-7000</v>
      </c>
      <c r="F62" s="576">
        <v>7578.96</v>
      </c>
      <c r="G62" s="579"/>
      <c r="H62" s="524"/>
      <c r="I62" s="379">
        <f t="shared" si="14"/>
        <v>578.96</v>
      </c>
      <c r="J62" s="2"/>
      <c r="K62" s="336"/>
      <c r="L62" s="42">
        <f>F62*2</f>
        <v>15157.92</v>
      </c>
      <c r="M62" s="31">
        <v>0</v>
      </c>
      <c r="N62" s="429"/>
      <c r="O62" s="31">
        <v>0</v>
      </c>
      <c r="P62" s="426">
        <f t="shared" si="0"/>
        <v>15157.92</v>
      </c>
      <c r="Q62" s="178">
        <v>4762.38</v>
      </c>
      <c r="R62" s="295"/>
      <c r="S62" s="385">
        <f t="shared" si="11"/>
        <v>-10395.540000000001</v>
      </c>
      <c r="T62" s="2"/>
      <c r="U62" s="474">
        <f t="shared" si="1"/>
        <v>0</v>
      </c>
      <c r="V62" s="474">
        <f t="shared" si="2"/>
        <v>15157.92</v>
      </c>
      <c r="W62" s="475">
        <f t="shared" si="3"/>
        <v>0</v>
      </c>
      <c r="X62" s="475">
        <v>0</v>
      </c>
      <c r="Y62" s="476">
        <v>0</v>
      </c>
      <c r="Z62" s="38">
        <f t="shared" si="4"/>
        <v>0</v>
      </c>
      <c r="AA62" s="564">
        <f t="shared" si="5"/>
        <v>0</v>
      </c>
      <c r="AB62" s="564">
        <f t="shared" si="6"/>
        <v>578.96</v>
      </c>
      <c r="AC62" s="564">
        <f t="shared" si="7"/>
        <v>0</v>
      </c>
      <c r="AE62" s="564">
        <f t="shared" si="8"/>
        <v>0</v>
      </c>
      <c r="AF62" s="564">
        <f t="shared" si="9"/>
        <v>15157.92</v>
      </c>
      <c r="AG62" s="564">
        <f t="shared" si="10"/>
        <v>0</v>
      </c>
    </row>
    <row r="63" spans="1:33">
      <c r="A63" s="20"/>
      <c r="B63" s="20" t="s">
        <v>109</v>
      </c>
      <c r="C63" s="68" t="s">
        <v>487</v>
      </c>
      <c r="D63" s="449"/>
      <c r="E63" s="529"/>
      <c r="F63" s="579"/>
      <c r="G63" s="579"/>
      <c r="H63" s="524"/>
      <c r="I63" s="379">
        <f t="shared" si="14"/>
        <v>0</v>
      </c>
      <c r="J63" s="31"/>
      <c r="K63" s="84"/>
      <c r="L63" s="42">
        <v>0</v>
      </c>
      <c r="M63" s="31">
        <v>0</v>
      </c>
      <c r="N63" s="429"/>
      <c r="O63" s="31">
        <v>0</v>
      </c>
      <c r="P63" s="426">
        <f t="shared" si="0"/>
        <v>0</v>
      </c>
      <c r="Q63" s="178">
        <v>448</v>
      </c>
      <c r="R63" s="295"/>
      <c r="S63" s="385">
        <f t="shared" si="11"/>
        <v>448</v>
      </c>
      <c r="T63" s="31"/>
      <c r="U63" s="474">
        <f t="shared" si="1"/>
        <v>0</v>
      </c>
      <c r="V63" s="474">
        <f t="shared" si="2"/>
        <v>0</v>
      </c>
      <c r="W63" s="475">
        <f t="shared" si="3"/>
        <v>0</v>
      </c>
      <c r="X63" s="475">
        <v>0</v>
      </c>
      <c r="Y63" s="476">
        <v>0</v>
      </c>
      <c r="Z63" s="38">
        <f t="shared" si="4"/>
        <v>0</v>
      </c>
      <c r="AA63" s="564">
        <f t="shared" si="5"/>
        <v>0</v>
      </c>
      <c r="AB63" s="564">
        <f t="shared" si="6"/>
        <v>0</v>
      </c>
      <c r="AC63" s="564">
        <f t="shared" si="7"/>
        <v>0</v>
      </c>
      <c r="AE63" s="564">
        <f t="shared" si="8"/>
        <v>0</v>
      </c>
      <c r="AF63" s="564">
        <f t="shared" si="9"/>
        <v>0</v>
      </c>
      <c r="AG63" s="564">
        <f t="shared" si="10"/>
        <v>0</v>
      </c>
    </row>
    <row r="64" spans="1:33">
      <c r="A64" s="20"/>
      <c r="B64" s="20" t="s">
        <v>109</v>
      </c>
      <c r="C64" s="68" t="s">
        <v>373</v>
      </c>
      <c r="D64" s="449"/>
      <c r="E64" s="529">
        <f>VLOOKUP(C64,'Q4 DMV - Revenue'!C:S,17,FALSE)</f>
        <v>0</v>
      </c>
      <c r="F64" s="579"/>
      <c r="G64" s="579"/>
      <c r="H64" s="524"/>
      <c r="I64" s="379">
        <f t="shared" si="14"/>
        <v>0</v>
      </c>
      <c r="J64" s="31"/>
      <c r="K64" s="84"/>
      <c r="L64" s="42">
        <v>0</v>
      </c>
      <c r="M64" s="31">
        <v>0</v>
      </c>
      <c r="N64" s="429"/>
      <c r="O64" s="31">
        <v>0</v>
      </c>
      <c r="P64" s="426">
        <f t="shared" si="0"/>
        <v>0</v>
      </c>
      <c r="Q64" s="178">
        <v>0</v>
      </c>
      <c r="R64" s="295"/>
      <c r="S64" s="385">
        <f t="shared" si="11"/>
        <v>0</v>
      </c>
      <c r="T64" s="31"/>
      <c r="U64" s="474">
        <f t="shared" si="1"/>
        <v>0</v>
      </c>
      <c r="V64" s="474">
        <f t="shared" si="2"/>
        <v>0</v>
      </c>
      <c r="W64" s="475">
        <f t="shared" si="3"/>
        <v>0</v>
      </c>
      <c r="X64" s="475">
        <v>0</v>
      </c>
      <c r="Y64" s="476">
        <v>0</v>
      </c>
      <c r="Z64" s="38">
        <f t="shared" si="4"/>
        <v>0</v>
      </c>
      <c r="AA64" s="564">
        <f t="shared" si="5"/>
        <v>0</v>
      </c>
      <c r="AB64" s="564">
        <f t="shared" si="6"/>
        <v>0</v>
      </c>
      <c r="AC64" s="564">
        <f t="shared" si="7"/>
        <v>0</v>
      </c>
      <c r="AE64" s="564">
        <f t="shared" si="8"/>
        <v>0</v>
      </c>
      <c r="AF64" s="564">
        <f t="shared" si="9"/>
        <v>0</v>
      </c>
      <c r="AG64" s="564">
        <f t="shared" si="10"/>
        <v>0</v>
      </c>
    </row>
    <row r="65" spans="1:33">
      <c r="A65" s="20"/>
      <c r="B65" s="20" t="s">
        <v>109</v>
      </c>
      <c r="C65" s="68" t="s">
        <v>374</v>
      </c>
      <c r="D65" s="449"/>
      <c r="E65" s="529">
        <f>VLOOKUP(C65,'Q4 DMV - Revenue'!C:S,17,FALSE)</f>
        <v>-215.93500000000017</v>
      </c>
      <c r="F65" s="576">
        <v>1923.95</v>
      </c>
      <c r="G65" s="576">
        <v>1539.83</v>
      </c>
      <c r="H65" s="524"/>
      <c r="I65" s="379">
        <f t="shared" si="14"/>
        <v>3247.8449999999998</v>
      </c>
      <c r="J65" s="31"/>
      <c r="K65" s="84"/>
      <c r="L65" s="42">
        <f>(F65+G65)/2</f>
        <v>1731.8899999999999</v>
      </c>
      <c r="M65" s="31">
        <v>0</v>
      </c>
      <c r="N65" s="429"/>
      <c r="O65" s="31">
        <v>0</v>
      </c>
      <c r="P65" s="426">
        <f t="shared" si="0"/>
        <v>1731.8899999999999</v>
      </c>
      <c r="Q65" s="178">
        <v>0</v>
      </c>
      <c r="R65" s="295"/>
      <c r="S65" s="385">
        <f t="shared" si="11"/>
        <v>-1731.8899999999999</v>
      </c>
      <c r="T65" s="31"/>
      <c r="U65" s="474">
        <f t="shared" si="1"/>
        <v>0</v>
      </c>
      <c r="V65" s="474">
        <f t="shared" si="2"/>
        <v>1731.8899999999999</v>
      </c>
      <c r="W65" s="475">
        <f t="shared" si="3"/>
        <v>0</v>
      </c>
      <c r="X65" s="475">
        <v>0</v>
      </c>
      <c r="Y65" s="476">
        <v>0</v>
      </c>
      <c r="Z65" s="38">
        <f t="shared" si="4"/>
        <v>0</v>
      </c>
      <c r="AA65" s="564">
        <f t="shared" si="5"/>
        <v>0</v>
      </c>
      <c r="AB65" s="564">
        <f t="shared" si="6"/>
        <v>3247.8449999999998</v>
      </c>
      <c r="AC65" s="564">
        <f t="shared" si="7"/>
        <v>0</v>
      </c>
      <c r="AE65" s="564">
        <f t="shared" si="8"/>
        <v>0</v>
      </c>
      <c r="AF65" s="564">
        <f t="shared" si="9"/>
        <v>1731.8899999999999</v>
      </c>
      <c r="AG65" s="564">
        <f t="shared" si="10"/>
        <v>0</v>
      </c>
    </row>
    <row r="66" spans="1:33">
      <c r="A66" s="20"/>
      <c r="B66" s="20" t="s">
        <v>109</v>
      </c>
      <c r="C66" s="68" t="s">
        <v>375</v>
      </c>
      <c r="D66" s="449"/>
      <c r="E66" s="529">
        <f>VLOOKUP(C66,'Q4 DMV - Revenue'!C:S,17,FALSE)</f>
        <v>-5000</v>
      </c>
      <c r="F66" s="579"/>
      <c r="G66" s="579"/>
      <c r="H66" s="524"/>
      <c r="I66" s="379">
        <f t="shared" si="14"/>
        <v>-5000</v>
      </c>
      <c r="J66" s="31"/>
      <c r="K66" s="84"/>
      <c r="L66" s="42">
        <v>5000</v>
      </c>
      <c r="M66" s="31">
        <v>0</v>
      </c>
      <c r="N66" s="429"/>
      <c r="O66" s="31">
        <v>0</v>
      </c>
      <c r="P66" s="426">
        <f t="shared" si="0"/>
        <v>5000</v>
      </c>
      <c r="Q66" s="178">
        <v>0</v>
      </c>
      <c r="R66" s="295"/>
      <c r="S66" s="385">
        <f t="shared" si="11"/>
        <v>-5000</v>
      </c>
      <c r="T66" s="31"/>
      <c r="U66" s="474">
        <f t="shared" si="1"/>
        <v>0</v>
      </c>
      <c r="V66" s="474">
        <f t="shared" si="2"/>
        <v>5000</v>
      </c>
      <c r="W66" s="475">
        <f t="shared" si="3"/>
        <v>0</v>
      </c>
      <c r="X66" s="475">
        <v>0</v>
      </c>
      <c r="Y66" s="476">
        <v>0</v>
      </c>
      <c r="Z66" s="38">
        <f t="shared" si="4"/>
        <v>0</v>
      </c>
      <c r="AA66" s="564">
        <f t="shared" si="5"/>
        <v>0</v>
      </c>
      <c r="AB66" s="564">
        <f t="shared" si="6"/>
        <v>-5000</v>
      </c>
      <c r="AC66" s="564">
        <f t="shared" si="7"/>
        <v>0</v>
      </c>
      <c r="AE66" s="564">
        <f t="shared" si="8"/>
        <v>0</v>
      </c>
      <c r="AF66" s="564">
        <f t="shared" si="9"/>
        <v>5000</v>
      </c>
      <c r="AG66" s="564">
        <f t="shared" si="10"/>
        <v>0</v>
      </c>
    </row>
    <row r="67" spans="1:33">
      <c r="A67" s="21"/>
      <c r="B67" s="21" t="s">
        <v>110</v>
      </c>
      <c r="C67" s="68" t="s">
        <v>138</v>
      </c>
      <c r="D67" s="449"/>
      <c r="E67" s="529">
        <f>VLOOKUP(C67,'Q4 DMV - Revenue'!C:S,17,FALSE)</f>
        <v>0</v>
      </c>
      <c r="F67" s="576">
        <v>7359.06</v>
      </c>
      <c r="G67" s="576">
        <v>11551.24</v>
      </c>
      <c r="H67" s="524"/>
      <c r="I67" s="379">
        <f t="shared" si="14"/>
        <v>18910.3</v>
      </c>
      <c r="J67" s="2"/>
      <c r="K67" s="5"/>
      <c r="L67" s="4">
        <f>(F67+G67)/2</f>
        <v>9455.15</v>
      </c>
      <c r="M67" s="31">
        <v>0</v>
      </c>
      <c r="N67" s="429">
        <v>135124.96</v>
      </c>
      <c r="O67" s="31">
        <v>0</v>
      </c>
      <c r="P67" s="426">
        <f t="shared" si="0"/>
        <v>9455.15</v>
      </c>
      <c r="Q67" s="178">
        <v>12742.24</v>
      </c>
      <c r="R67" s="295"/>
      <c r="S67" s="385">
        <f t="shared" si="11"/>
        <v>3287.09</v>
      </c>
      <c r="T67" s="2"/>
      <c r="U67" s="474">
        <f t="shared" si="1"/>
        <v>9455.15</v>
      </c>
      <c r="V67" s="474">
        <f t="shared" si="2"/>
        <v>0</v>
      </c>
      <c r="W67" s="475">
        <f t="shared" si="3"/>
        <v>0</v>
      </c>
      <c r="X67" s="475">
        <v>0</v>
      </c>
      <c r="Y67" s="476">
        <v>0</v>
      </c>
      <c r="Z67" s="38">
        <f t="shared" si="4"/>
        <v>0</v>
      </c>
      <c r="AA67" s="564">
        <f t="shared" si="5"/>
        <v>18910.3</v>
      </c>
      <c r="AB67" s="564">
        <f t="shared" si="6"/>
        <v>0</v>
      </c>
      <c r="AC67" s="564">
        <f t="shared" si="7"/>
        <v>0</v>
      </c>
      <c r="AE67" s="564">
        <f t="shared" si="8"/>
        <v>9455.15</v>
      </c>
      <c r="AF67" s="564">
        <f t="shared" si="9"/>
        <v>0</v>
      </c>
      <c r="AG67" s="564">
        <f t="shared" si="10"/>
        <v>0</v>
      </c>
    </row>
    <row r="68" spans="1:33">
      <c r="A68" s="21"/>
      <c r="B68" s="21" t="s">
        <v>110</v>
      </c>
      <c r="C68" s="68" t="s">
        <v>437</v>
      </c>
      <c r="D68" s="449"/>
      <c r="E68" s="529">
        <f>VLOOKUP(C68,'Q4 DMV - Revenue'!C:S,17,FALSE)</f>
        <v>0</v>
      </c>
      <c r="F68" s="576">
        <v>1818.46</v>
      </c>
      <c r="G68" s="576">
        <v>2645.97</v>
      </c>
      <c r="H68" s="524"/>
      <c r="I68" s="379">
        <f t="shared" si="14"/>
        <v>4464.43</v>
      </c>
      <c r="J68" s="2"/>
      <c r="K68" s="5"/>
      <c r="L68" s="4">
        <f>(F68+G68)/2</f>
        <v>2232.2150000000001</v>
      </c>
      <c r="M68" s="31"/>
      <c r="N68" s="429"/>
      <c r="O68" s="31"/>
      <c r="P68" s="426">
        <f t="shared" si="0"/>
        <v>2232.2150000000001</v>
      </c>
      <c r="Q68" s="178">
        <v>2042.61</v>
      </c>
      <c r="R68" s="295"/>
      <c r="S68" s="385">
        <f t="shared" si="11"/>
        <v>-189.60500000000025</v>
      </c>
      <c r="T68" s="2"/>
      <c r="U68" s="474">
        <f t="shared" si="1"/>
        <v>2232.2150000000001</v>
      </c>
      <c r="V68" s="474">
        <f t="shared" si="2"/>
        <v>0</v>
      </c>
      <c r="W68" s="475">
        <f t="shared" si="3"/>
        <v>0</v>
      </c>
      <c r="X68" s="475">
        <v>0</v>
      </c>
      <c r="Y68" s="476">
        <v>0</v>
      </c>
      <c r="Z68" s="38">
        <f t="shared" si="4"/>
        <v>0</v>
      </c>
      <c r="AA68" s="564">
        <f t="shared" si="5"/>
        <v>4464.43</v>
      </c>
      <c r="AB68" s="564">
        <f t="shared" si="6"/>
        <v>0</v>
      </c>
      <c r="AC68" s="564">
        <f t="shared" si="7"/>
        <v>0</v>
      </c>
      <c r="AE68" s="564">
        <f t="shared" si="8"/>
        <v>2232.2150000000001</v>
      </c>
      <c r="AF68" s="564">
        <f t="shared" si="9"/>
        <v>0</v>
      </c>
      <c r="AG68" s="564">
        <f t="shared" si="10"/>
        <v>0</v>
      </c>
    </row>
    <row r="69" spans="1:33">
      <c r="A69" s="21"/>
      <c r="B69" s="21" t="s">
        <v>110</v>
      </c>
      <c r="C69" s="68" t="s">
        <v>436</v>
      </c>
      <c r="D69" s="449"/>
      <c r="E69" s="529">
        <f>VLOOKUP(C69,'Q4 DMV - Revenue'!C:S,17,FALSE)</f>
        <v>0</v>
      </c>
      <c r="F69" s="576">
        <v>6026.27</v>
      </c>
      <c r="G69" s="576">
        <v>6178.84</v>
      </c>
      <c r="H69" s="524"/>
      <c r="I69" s="379">
        <f t="shared" si="14"/>
        <v>12205.11</v>
      </c>
      <c r="J69" s="2"/>
      <c r="K69" s="5"/>
      <c r="L69" s="4">
        <f>(F69+G69)/2</f>
        <v>6102.5550000000003</v>
      </c>
      <c r="M69" s="31"/>
      <c r="N69" s="429"/>
      <c r="O69" s="31"/>
      <c r="P69" s="426">
        <f t="shared" si="0"/>
        <v>6102.5550000000003</v>
      </c>
      <c r="Q69" s="178">
        <v>6852.02</v>
      </c>
      <c r="R69" s="295"/>
      <c r="S69" s="385">
        <f t="shared" si="11"/>
        <v>749.46500000000015</v>
      </c>
      <c r="T69" s="2"/>
      <c r="U69" s="474">
        <f t="shared" si="1"/>
        <v>6102.5550000000003</v>
      </c>
      <c r="V69" s="474">
        <f t="shared" si="2"/>
        <v>0</v>
      </c>
      <c r="W69" s="475">
        <f t="shared" si="3"/>
        <v>0</v>
      </c>
      <c r="X69" s="475">
        <v>0</v>
      </c>
      <c r="Y69" s="476">
        <v>0</v>
      </c>
      <c r="Z69" s="38">
        <f t="shared" si="4"/>
        <v>0</v>
      </c>
      <c r="AA69" s="564">
        <f t="shared" si="5"/>
        <v>12205.11</v>
      </c>
      <c r="AB69" s="564">
        <f t="shared" si="6"/>
        <v>0</v>
      </c>
      <c r="AC69" s="564">
        <f t="shared" si="7"/>
        <v>0</v>
      </c>
      <c r="AE69" s="564">
        <f t="shared" si="8"/>
        <v>6102.5550000000003</v>
      </c>
      <c r="AF69" s="564">
        <f t="shared" si="9"/>
        <v>0</v>
      </c>
      <c r="AG69" s="564">
        <f t="shared" si="10"/>
        <v>0</v>
      </c>
    </row>
    <row r="70" spans="1:33">
      <c r="A70" s="21"/>
      <c r="B70" s="21" t="s">
        <v>110</v>
      </c>
      <c r="C70" s="68" t="s">
        <v>391</v>
      </c>
      <c r="D70" s="449"/>
      <c r="E70" s="529">
        <f>VLOOKUP(C70,'Q4 DMV - Revenue'!C:S,17,FALSE)</f>
        <v>0</v>
      </c>
      <c r="F70" s="576">
        <v>1089.47</v>
      </c>
      <c r="G70" s="576">
        <v>1484.9</v>
      </c>
      <c r="H70" s="524"/>
      <c r="I70" s="379">
        <f t="shared" si="14"/>
        <v>2574.37</v>
      </c>
      <c r="J70" s="2"/>
      <c r="K70" s="5"/>
      <c r="L70" s="4">
        <f>(F70+G70)/2</f>
        <v>1287.1849999999999</v>
      </c>
      <c r="M70" s="31"/>
      <c r="N70" s="429"/>
      <c r="O70" s="31"/>
      <c r="P70" s="426">
        <f t="shared" si="0"/>
        <v>1287.1849999999999</v>
      </c>
      <c r="Q70" s="178">
        <v>1492.29</v>
      </c>
      <c r="R70" s="295"/>
      <c r="S70" s="385">
        <f t="shared" si="11"/>
        <v>205.10500000000002</v>
      </c>
      <c r="T70" s="2"/>
      <c r="U70" s="474">
        <f t="shared" si="1"/>
        <v>1287.1849999999999</v>
      </c>
      <c r="V70" s="474">
        <f t="shared" si="2"/>
        <v>0</v>
      </c>
      <c r="W70" s="475">
        <f t="shared" si="3"/>
        <v>0</v>
      </c>
      <c r="X70" s="475">
        <v>0</v>
      </c>
      <c r="Y70" s="476">
        <v>0</v>
      </c>
      <c r="Z70" s="38">
        <f t="shared" si="4"/>
        <v>0</v>
      </c>
      <c r="AA70" s="564">
        <f t="shared" si="5"/>
        <v>2574.37</v>
      </c>
      <c r="AB70" s="564">
        <f t="shared" si="6"/>
        <v>0</v>
      </c>
      <c r="AC70" s="564">
        <f t="shared" si="7"/>
        <v>0</v>
      </c>
      <c r="AE70" s="564">
        <f t="shared" si="8"/>
        <v>1287.1849999999999</v>
      </c>
      <c r="AF70" s="564">
        <f t="shared" si="9"/>
        <v>0</v>
      </c>
      <c r="AG70" s="564">
        <f t="shared" si="10"/>
        <v>0</v>
      </c>
    </row>
    <row r="71" spans="1:33">
      <c r="A71" s="21"/>
      <c r="B71" s="21" t="s">
        <v>110</v>
      </c>
      <c r="C71" s="68" t="s">
        <v>392</v>
      </c>
      <c r="D71" s="449"/>
      <c r="E71" s="529">
        <f>VLOOKUP(C71,'Q4 DMV - Revenue'!C:S,17,FALSE)</f>
        <v>0</v>
      </c>
      <c r="F71" s="576">
        <v>43635.3</v>
      </c>
      <c r="G71" s="576">
        <v>53335.45</v>
      </c>
      <c r="H71" s="524"/>
      <c r="I71" s="379">
        <f t="shared" si="14"/>
        <v>96970.75</v>
      </c>
      <c r="J71" s="2"/>
      <c r="K71" s="5"/>
      <c r="L71" s="4">
        <f>(F71+G71)/2</f>
        <v>48485.375</v>
      </c>
      <c r="M71" s="31"/>
      <c r="N71" s="429"/>
      <c r="O71" s="31"/>
      <c r="P71" s="426">
        <f t="shared" si="0"/>
        <v>48485.375</v>
      </c>
      <c r="Q71" s="178">
        <v>61080.85</v>
      </c>
      <c r="R71" s="295"/>
      <c r="S71" s="385">
        <f t="shared" si="11"/>
        <v>12595.474999999999</v>
      </c>
      <c r="T71" s="2"/>
      <c r="U71" s="474">
        <f t="shared" si="1"/>
        <v>48485.375</v>
      </c>
      <c r="V71" s="474">
        <f t="shared" si="2"/>
        <v>0</v>
      </c>
      <c r="W71" s="475">
        <f t="shared" si="3"/>
        <v>0</v>
      </c>
      <c r="X71" s="475">
        <v>0</v>
      </c>
      <c r="Y71" s="476">
        <v>0</v>
      </c>
      <c r="Z71" s="38">
        <f t="shared" si="4"/>
        <v>0</v>
      </c>
      <c r="AA71" s="564">
        <f t="shared" si="5"/>
        <v>96970.75</v>
      </c>
      <c r="AB71" s="564">
        <f t="shared" si="6"/>
        <v>0</v>
      </c>
      <c r="AC71" s="564">
        <f t="shared" si="7"/>
        <v>0</v>
      </c>
      <c r="AE71" s="564">
        <f t="shared" si="8"/>
        <v>48485.375</v>
      </c>
      <c r="AF71" s="564">
        <f t="shared" si="9"/>
        <v>0</v>
      </c>
      <c r="AG71" s="564">
        <f t="shared" si="10"/>
        <v>0</v>
      </c>
    </row>
    <row r="72" spans="1:33">
      <c r="A72" s="21"/>
      <c r="B72" s="21" t="s">
        <v>110</v>
      </c>
      <c r="C72" s="68" t="s">
        <v>483</v>
      </c>
      <c r="D72" s="449"/>
      <c r="E72" s="529">
        <v>0</v>
      </c>
      <c r="F72" s="579"/>
      <c r="G72" s="579"/>
      <c r="H72" s="524"/>
      <c r="I72" s="379">
        <f t="shared" ref="I72" si="15">SUM(D72:H72)</f>
        <v>0</v>
      </c>
      <c r="J72" s="2"/>
      <c r="K72" s="5"/>
      <c r="L72" s="4"/>
      <c r="M72" s="31"/>
      <c r="N72" s="429"/>
      <c r="O72" s="31"/>
      <c r="P72" s="426">
        <f t="shared" si="0"/>
        <v>0</v>
      </c>
      <c r="Q72" s="178">
        <f>868.18+738.54+750.49</f>
        <v>2357.21</v>
      </c>
      <c r="R72" s="295"/>
      <c r="S72" s="385">
        <f t="shared" si="11"/>
        <v>2357.21</v>
      </c>
      <c r="T72" s="2"/>
      <c r="U72" s="474"/>
      <c r="V72" s="474"/>
      <c r="W72" s="475"/>
      <c r="X72" s="475"/>
      <c r="Y72" s="476"/>
      <c r="Z72" s="38"/>
      <c r="AA72" s="564">
        <f>IF(B72="D",I72,0)</f>
        <v>0</v>
      </c>
      <c r="AB72" s="564">
        <f>IF(B72="M",I72,0)</f>
        <v>0</v>
      </c>
      <c r="AC72" s="564">
        <f>IF(B72="V",I72,0)</f>
        <v>0</v>
      </c>
      <c r="AE72" s="564"/>
      <c r="AF72" s="564"/>
      <c r="AG72" s="564"/>
    </row>
    <row r="73" spans="1:33">
      <c r="A73" s="20"/>
      <c r="B73" s="20" t="s">
        <v>110</v>
      </c>
      <c r="C73" s="68" t="s">
        <v>450</v>
      </c>
      <c r="D73" s="449"/>
      <c r="E73" s="529">
        <f>VLOOKUP(C73,'Q4 DMV - Revenue'!C:S,17,FALSE)</f>
        <v>0</v>
      </c>
      <c r="F73" s="579"/>
      <c r="G73" s="579"/>
      <c r="H73" s="524"/>
      <c r="I73" s="379">
        <f t="shared" si="14"/>
        <v>0</v>
      </c>
      <c r="J73" s="31"/>
      <c r="K73" s="84"/>
      <c r="L73" s="42">
        <v>5500</v>
      </c>
      <c r="M73" s="31">
        <v>0</v>
      </c>
      <c r="N73" s="429"/>
      <c r="O73" s="31">
        <v>0</v>
      </c>
      <c r="P73" s="426">
        <f t="shared" si="0"/>
        <v>5500</v>
      </c>
      <c r="Q73" s="178">
        <f>1080.64+1378.78+1205.06</f>
        <v>3664.48</v>
      </c>
      <c r="R73" s="295"/>
      <c r="S73" s="385">
        <f t="shared" si="11"/>
        <v>-1835.52</v>
      </c>
      <c r="T73" s="31"/>
      <c r="U73" s="474">
        <f t="shared" si="1"/>
        <v>5500</v>
      </c>
      <c r="V73" s="474">
        <f t="shared" si="2"/>
        <v>0</v>
      </c>
      <c r="W73" s="475">
        <f t="shared" si="3"/>
        <v>0</v>
      </c>
      <c r="X73" s="475">
        <v>0</v>
      </c>
      <c r="Y73" s="476">
        <v>0</v>
      </c>
      <c r="Z73" s="38">
        <f t="shared" si="4"/>
        <v>0</v>
      </c>
      <c r="AA73" s="564">
        <f t="shared" si="5"/>
        <v>0</v>
      </c>
      <c r="AB73" s="564">
        <f t="shared" si="6"/>
        <v>0</v>
      </c>
      <c r="AC73" s="564">
        <f t="shared" si="7"/>
        <v>0</v>
      </c>
      <c r="AE73" s="564">
        <f t="shared" si="8"/>
        <v>5500</v>
      </c>
      <c r="AF73" s="564">
        <f t="shared" si="9"/>
        <v>0</v>
      </c>
      <c r="AG73" s="564">
        <f t="shared" si="10"/>
        <v>0</v>
      </c>
    </row>
    <row r="74" spans="1:33">
      <c r="A74" s="21" t="s">
        <v>109</v>
      </c>
      <c r="B74" s="21" t="s">
        <v>110</v>
      </c>
      <c r="C74" s="68" t="s">
        <v>438</v>
      </c>
      <c r="D74" s="539"/>
      <c r="E74" s="529">
        <f>VLOOKUP(C74,'Q4 DMV - Revenue'!C:S,17,FALSE)</f>
        <v>-244.24</v>
      </c>
      <c r="F74" s="579"/>
      <c r="G74" s="579"/>
      <c r="H74" s="524"/>
      <c r="I74" s="379">
        <f t="shared" si="14"/>
        <v>-244.24</v>
      </c>
      <c r="J74" s="2"/>
      <c r="K74" s="84"/>
      <c r="L74" s="4">
        <v>0</v>
      </c>
      <c r="M74" s="31">
        <v>0</v>
      </c>
      <c r="N74" s="429"/>
      <c r="O74" s="31">
        <v>0</v>
      </c>
      <c r="P74" s="426">
        <f t="shared" si="0"/>
        <v>0</v>
      </c>
      <c r="Q74" s="178">
        <v>0</v>
      </c>
      <c r="R74" s="295"/>
      <c r="S74" s="385">
        <f t="shared" si="11"/>
        <v>0</v>
      </c>
      <c r="T74" s="2"/>
      <c r="U74" s="474">
        <f t="shared" si="1"/>
        <v>0</v>
      </c>
      <c r="V74" s="474">
        <f t="shared" si="2"/>
        <v>0</v>
      </c>
      <c r="W74" s="475">
        <f t="shared" si="3"/>
        <v>0</v>
      </c>
      <c r="X74" s="475">
        <v>0</v>
      </c>
      <c r="Y74" s="476">
        <v>0</v>
      </c>
      <c r="Z74" s="38">
        <f t="shared" si="4"/>
        <v>0</v>
      </c>
      <c r="AA74" s="564">
        <f t="shared" si="5"/>
        <v>-244.24</v>
      </c>
      <c r="AB74" s="564">
        <f t="shared" si="6"/>
        <v>0</v>
      </c>
      <c r="AC74" s="564">
        <f t="shared" si="7"/>
        <v>0</v>
      </c>
      <c r="AE74" s="564">
        <f t="shared" si="8"/>
        <v>0</v>
      </c>
      <c r="AF74" s="564">
        <f t="shared" si="9"/>
        <v>0</v>
      </c>
      <c r="AG74" s="564">
        <f t="shared" si="10"/>
        <v>0</v>
      </c>
    </row>
    <row r="75" spans="1:33">
      <c r="A75" s="21"/>
      <c r="B75" s="21" t="s">
        <v>110</v>
      </c>
      <c r="C75" s="68" t="s">
        <v>11</v>
      </c>
      <c r="D75" s="449"/>
      <c r="E75" s="529">
        <f>VLOOKUP(C75,'Q4 DMV - Revenue'!C:S,17,FALSE)</f>
        <v>0</v>
      </c>
      <c r="F75" s="579"/>
      <c r="G75" s="579"/>
      <c r="H75" s="524"/>
      <c r="I75" s="379">
        <f t="shared" si="14"/>
        <v>0</v>
      </c>
      <c r="J75" s="2"/>
      <c r="K75" s="5"/>
      <c r="L75" s="42">
        <v>0</v>
      </c>
      <c r="M75" s="31">
        <v>0</v>
      </c>
      <c r="N75" s="429"/>
      <c r="O75" s="31">
        <v>0</v>
      </c>
      <c r="P75" s="426">
        <f t="shared" si="0"/>
        <v>0</v>
      </c>
      <c r="Q75" s="178">
        <v>0</v>
      </c>
      <c r="R75" s="295"/>
      <c r="S75" s="385">
        <f t="shared" si="11"/>
        <v>0</v>
      </c>
      <c r="T75" s="2"/>
      <c r="U75" s="474">
        <f t="shared" si="1"/>
        <v>0</v>
      </c>
      <c r="V75" s="474">
        <f t="shared" si="2"/>
        <v>0</v>
      </c>
      <c r="W75" s="475">
        <f t="shared" si="3"/>
        <v>0</v>
      </c>
      <c r="X75" s="475">
        <v>0</v>
      </c>
      <c r="Y75" s="476">
        <v>0</v>
      </c>
      <c r="Z75" s="38">
        <f t="shared" si="4"/>
        <v>0</v>
      </c>
      <c r="AA75" s="564">
        <f t="shared" si="5"/>
        <v>0</v>
      </c>
      <c r="AB75" s="564">
        <f t="shared" si="6"/>
        <v>0</v>
      </c>
      <c r="AC75" s="564">
        <f t="shared" si="7"/>
        <v>0</v>
      </c>
      <c r="AE75" s="564">
        <f t="shared" si="8"/>
        <v>0</v>
      </c>
      <c r="AF75" s="564">
        <f t="shared" si="9"/>
        <v>0</v>
      </c>
      <c r="AG75" s="564">
        <f t="shared" si="10"/>
        <v>0</v>
      </c>
    </row>
    <row r="76" spans="1:33">
      <c r="A76" s="21"/>
      <c r="B76" s="21" t="s">
        <v>110</v>
      </c>
      <c r="C76" s="68" t="s">
        <v>12</v>
      </c>
      <c r="D76" s="449"/>
      <c r="E76" s="529">
        <f>VLOOKUP(C76,'Q4 DMV - Revenue'!C:S,17,FALSE)</f>
        <v>15.909999999999968</v>
      </c>
      <c r="F76" s="576">
        <v>763.28</v>
      </c>
      <c r="G76" s="576">
        <v>732.48</v>
      </c>
      <c r="H76" s="524"/>
      <c r="I76" s="379">
        <f t="shared" si="14"/>
        <v>1511.67</v>
      </c>
      <c r="J76" s="31"/>
      <c r="K76" s="84"/>
      <c r="L76" s="42">
        <f>(F76+G76)/2</f>
        <v>747.88</v>
      </c>
      <c r="M76" s="31">
        <v>0</v>
      </c>
      <c r="N76" s="429"/>
      <c r="O76" s="31">
        <v>0</v>
      </c>
      <c r="P76" s="426">
        <f t="shared" si="0"/>
        <v>747.88</v>
      </c>
      <c r="Q76" s="178">
        <v>848.35</v>
      </c>
      <c r="R76" s="295"/>
      <c r="S76" s="385">
        <f t="shared" si="11"/>
        <v>100.47000000000003</v>
      </c>
      <c r="T76" s="31"/>
      <c r="U76" s="474">
        <f t="shared" si="1"/>
        <v>747.88</v>
      </c>
      <c r="V76" s="474">
        <f t="shared" si="2"/>
        <v>0</v>
      </c>
      <c r="W76" s="475">
        <f t="shared" si="3"/>
        <v>0</v>
      </c>
      <c r="X76" s="475">
        <v>0</v>
      </c>
      <c r="Y76" s="476">
        <v>0</v>
      </c>
      <c r="Z76" s="38">
        <f t="shared" si="4"/>
        <v>0</v>
      </c>
      <c r="AA76" s="564">
        <f t="shared" si="5"/>
        <v>1511.67</v>
      </c>
      <c r="AB76" s="564">
        <f t="shared" si="6"/>
        <v>0</v>
      </c>
      <c r="AC76" s="564">
        <f t="shared" si="7"/>
        <v>0</v>
      </c>
      <c r="AE76" s="564">
        <f t="shared" si="8"/>
        <v>747.88</v>
      </c>
      <c r="AF76" s="564">
        <f t="shared" si="9"/>
        <v>0</v>
      </c>
      <c r="AG76" s="564">
        <f t="shared" si="10"/>
        <v>0</v>
      </c>
    </row>
    <row r="77" spans="1:33" s="232" customFormat="1">
      <c r="A77" s="283" t="s">
        <v>211</v>
      </c>
      <c r="B77" s="283" t="s">
        <v>110</v>
      </c>
      <c r="C77" s="123" t="s">
        <v>170</v>
      </c>
      <c r="D77" s="514"/>
      <c r="E77" s="529">
        <f>VLOOKUP(C77,'Q4 DMV - Revenue'!C:S,17,FALSE)</f>
        <v>0</v>
      </c>
      <c r="F77" s="579"/>
      <c r="G77" s="579"/>
      <c r="H77" s="524"/>
      <c r="I77" s="379">
        <f t="shared" si="14"/>
        <v>0</v>
      </c>
      <c r="J77" s="31"/>
      <c r="K77" s="410"/>
      <c r="L77" s="585">
        <f>475866.37*0.75</f>
        <v>356899.77749999997</v>
      </c>
      <c r="M77" s="31">
        <v>0</v>
      </c>
      <c r="N77" s="429"/>
      <c r="O77" s="31">
        <v>0</v>
      </c>
      <c r="P77" s="426">
        <f t="shared" si="0"/>
        <v>356899.77749999997</v>
      </c>
      <c r="Q77" s="14">
        <v>395724.3</v>
      </c>
      <c r="R77" s="295"/>
      <c r="S77" s="385">
        <f t="shared" si="11"/>
        <v>38824.522500000021</v>
      </c>
      <c r="T77" s="31"/>
      <c r="U77" s="474">
        <f t="shared" si="1"/>
        <v>356899.77749999997</v>
      </c>
      <c r="V77" s="474">
        <f t="shared" si="2"/>
        <v>0</v>
      </c>
      <c r="W77" s="475">
        <f t="shared" si="3"/>
        <v>0</v>
      </c>
      <c r="X77" s="475">
        <v>0</v>
      </c>
      <c r="Y77" s="476">
        <v>0</v>
      </c>
      <c r="Z77" s="38">
        <f t="shared" si="4"/>
        <v>0</v>
      </c>
      <c r="AA77" s="564">
        <f t="shared" si="5"/>
        <v>0</v>
      </c>
      <c r="AB77" s="564">
        <f t="shared" si="6"/>
        <v>0</v>
      </c>
      <c r="AC77" s="564">
        <f t="shared" si="7"/>
        <v>0</v>
      </c>
      <c r="AD77" s="597"/>
      <c r="AE77" s="564">
        <f t="shared" si="8"/>
        <v>356899.77749999997</v>
      </c>
      <c r="AF77" s="564">
        <f t="shared" si="9"/>
        <v>0</v>
      </c>
      <c r="AG77" s="564">
        <f t="shared" si="10"/>
        <v>0</v>
      </c>
    </row>
    <row r="78" spans="1:33" s="232" customFormat="1">
      <c r="A78" s="283" t="s">
        <v>211</v>
      </c>
      <c r="B78" s="283" t="s">
        <v>110</v>
      </c>
      <c r="C78" s="123" t="s">
        <v>171</v>
      </c>
      <c r="D78" s="514"/>
      <c r="E78" s="529">
        <f>VLOOKUP(C78,'Q4 DMV - Revenue'!C:S,17,FALSE)</f>
        <v>0</v>
      </c>
      <c r="F78" s="579"/>
      <c r="G78" s="579"/>
      <c r="H78" s="524"/>
      <c r="I78" s="379">
        <f t="shared" si="14"/>
        <v>0</v>
      </c>
      <c r="J78" s="31"/>
      <c r="K78" s="410"/>
      <c r="L78" s="585">
        <v>1380.75</v>
      </c>
      <c r="M78" s="31">
        <v>0</v>
      </c>
      <c r="N78" s="429"/>
      <c r="O78" s="31">
        <v>0</v>
      </c>
      <c r="P78" s="426">
        <f t="shared" si="0"/>
        <v>1380.75</v>
      </c>
      <c r="Q78" s="14">
        <v>1447.35</v>
      </c>
      <c r="R78" s="295"/>
      <c r="S78" s="385">
        <f t="shared" si="11"/>
        <v>66.599999999999909</v>
      </c>
      <c r="T78" s="31"/>
      <c r="U78" s="474">
        <f t="shared" si="1"/>
        <v>1380.75</v>
      </c>
      <c r="V78" s="474">
        <f t="shared" si="2"/>
        <v>0</v>
      </c>
      <c r="W78" s="475">
        <f t="shared" si="3"/>
        <v>0</v>
      </c>
      <c r="X78" s="475">
        <v>0</v>
      </c>
      <c r="Y78" s="476">
        <v>0</v>
      </c>
      <c r="Z78" s="38">
        <f t="shared" si="4"/>
        <v>0</v>
      </c>
      <c r="AA78" s="564">
        <f t="shared" si="5"/>
        <v>0</v>
      </c>
      <c r="AB78" s="564">
        <f t="shared" si="6"/>
        <v>0</v>
      </c>
      <c r="AC78" s="564">
        <f t="shared" si="7"/>
        <v>0</v>
      </c>
      <c r="AD78" s="597"/>
      <c r="AE78" s="564">
        <f t="shared" si="8"/>
        <v>1380.75</v>
      </c>
      <c r="AF78" s="564">
        <f t="shared" si="9"/>
        <v>0</v>
      </c>
      <c r="AG78" s="564">
        <f t="shared" si="10"/>
        <v>0</v>
      </c>
    </row>
    <row r="79" spans="1:33" s="232" customFormat="1">
      <c r="A79" s="283" t="s">
        <v>211</v>
      </c>
      <c r="B79" s="283" t="s">
        <v>110</v>
      </c>
      <c r="C79" s="123" t="s">
        <v>13</v>
      </c>
      <c r="D79" s="514"/>
      <c r="E79" s="529">
        <f>VLOOKUP(C79,'Q4 DMV - Revenue'!C:S,17,FALSE)</f>
        <v>0</v>
      </c>
      <c r="F79" s="579"/>
      <c r="G79" s="579"/>
      <c r="H79" s="524"/>
      <c r="I79" s="379">
        <f t="shared" si="14"/>
        <v>0</v>
      </c>
      <c r="J79" s="31"/>
      <c r="K79" s="410"/>
      <c r="L79" s="585">
        <f>122852.95*0.75</f>
        <v>92139.712499999994</v>
      </c>
      <c r="M79" s="31">
        <v>0</v>
      </c>
      <c r="N79" s="429"/>
      <c r="O79" s="31">
        <v>0</v>
      </c>
      <c r="P79" s="426">
        <f t="shared" si="0"/>
        <v>92139.712499999994</v>
      </c>
      <c r="Q79" s="14">
        <v>104844.1</v>
      </c>
      <c r="R79" s="295"/>
      <c r="S79" s="385">
        <f t="shared" si="11"/>
        <v>12704.387500000012</v>
      </c>
      <c r="T79" s="31"/>
      <c r="U79" s="474">
        <f t="shared" si="1"/>
        <v>92139.712499999994</v>
      </c>
      <c r="V79" s="474">
        <f t="shared" si="2"/>
        <v>0</v>
      </c>
      <c r="W79" s="475">
        <f t="shared" si="3"/>
        <v>0</v>
      </c>
      <c r="X79" s="475">
        <v>0</v>
      </c>
      <c r="Y79" s="476">
        <v>0</v>
      </c>
      <c r="Z79" s="38">
        <f t="shared" si="4"/>
        <v>0</v>
      </c>
      <c r="AA79" s="564">
        <f t="shared" si="5"/>
        <v>0</v>
      </c>
      <c r="AB79" s="564">
        <f t="shared" si="6"/>
        <v>0</v>
      </c>
      <c r="AC79" s="564">
        <f t="shared" si="7"/>
        <v>0</v>
      </c>
      <c r="AD79" s="597"/>
      <c r="AE79" s="564">
        <f t="shared" si="8"/>
        <v>92139.712499999994</v>
      </c>
      <c r="AF79" s="564">
        <f t="shared" si="9"/>
        <v>0</v>
      </c>
      <c r="AG79" s="564">
        <f t="shared" si="10"/>
        <v>0</v>
      </c>
    </row>
    <row r="80" spans="1:33" s="232" customFormat="1">
      <c r="A80" s="283" t="s">
        <v>211</v>
      </c>
      <c r="B80" s="283" t="s">
        <v>110</v>
      </c>
      <c r="C80" s="123" t="s">
        <v>172</v>
      </c>
      <c r="D80" s="514"/>
      <c r="E80" s="529">
        <f>VLOOKUP(C80,'Q4 DMV - Revenue'!C:S,17,FALSE)</f>
        <v>0</v>
      </c>
      <c r="F80" s="579"/>
      <c r="G80" s="579"/>
      <c r="H80" s="524"/>
      <c r="I80" s="379">
        <f t="shared" si="14"/>
        <v>0</v>
      </c>
      <c r="J80" s="31"/>
      <c r="K80" s="410"/>
      <c r="L80" s="585">
        <v>25.89</v>
      </c>
      <c r="M80" s="31">
        <v>0</v>
      </c>
      <c r="N80" s="429"/>
      <c r="O80" s="31">
        <v>0</v>
      </c>
      <c r="P80" s="426">
        <f t="shared" si="0"/>
        <v>25.89</v>
      </c>
      <c r="Q80" s="14">
        <v>14.67</v>
      </c>
      <c r="R80" s="295"/>
      <c r="S80" s="385">
        <f t="shared" si="11"/>
        <v>-11.22</v>
      </c>
      <c r="T80" s="31"/>
      <c r="U80" s="474">
        <f t="shared" si="1"/>
        <v>25.89</v>
      </c>
      <c r="V80" s="474">
        <f t="shared" si="2"/>
        <v>0</v>
      </c>
      <c r="W80" s="475">
        <f t="shared" si="3"/>
        <v>0</v>
      </c>
      <c r="X80" s="475">
        <v>0</v>
      </c>
      <c r="Y80" s="476">
        <v>0</v>
      </c>
      <c r="Z80" s="38">
        <f t="shared" si="4"/>
        <v>0</v>
      </c>
      <c r="AA80" s="564">
        <f t="shared" si="5"/>
        <v>0</v>
      </c>
      <c r="AB80" s="564">
        <f t="shared" si="6"/>
        <v>0</v>
      </c>
      <c r="AC80" s="564">
        <f t="shared" si="7"/>
        <v>0</v>
      </c>
      <c r="AD80" s="597"/>
      <c r="AE80" s="564">
        <f t="shared" si="8"/>
        <v>25.89</v>
      </c>
      <c r="AF80" s="564">
        <f t="shared" si="9"/>
        <v>0</v>
      </c>
      <c r="AG80" s="564">
        <f t="shared" si="10"/>
        <v>0</v>
      </c>
    </row>
    <row r="81" spans="1:33" s="232" customFormat="1">
      <c r="A81" s="283" t="s">
        <v>211</v>
      </c>
      <c r="B81" s="283" t="s">
        <v>110</v>
      </c>
      <c r="C81" s="123" t="s">
        <v>173</v>
      </c>
      <c r="D81" s="514"/>
      <c r="E81" s="529">
        <f>VLOOKUP(C81,'Q4 DMV - Revenue'!C:S,17,FALSE)</f>
        <v>0</v>
      </c>
      <c r="F81" s="579"/>
      <c r="G81" s="579"/>
      <c r="H81" s="524"/>
      <c r="I81" s="379">
        <f t="shared" si="14"/>
        <v>0</v>
      </c>
      <c r="J81" s="31"/>
      <c r="K81" s="410"/>
      <c r="L81" s="585">
        <f>0.75*36659.94</f>
        <v>27494.955000000002</v>
      </c>
      <c r="M81" s="31">
        <v>0</v>
      </c>
      <c r="N81" s="429"/>
      <c r="O81" s="31">
        <v>0</v>
      </c>
      <c r="P81" s="426">
        <f t="shared" si="0"/>
        <v>27494.955000000002</v>
      </c>
      <c r="Q81" s="14">
        <v>33402.910000000003</v>
      </c>
      <c r="R81" s="295"/>
      <c r="S81" s="385">
        <f t="shared" si="11"/>
        <v>5907.9550000000017</v>
      </c>
      <c r="T81" s="31"/>
      <c r="U81" s="474">
        <f t="shared" si="1"/>
        <v>27494.955000000002</v>
      </c>
      <c r="V81" s="474">
        <f t="shared" si="2"/>
        <v>0</v>
      </c>
      <c r="W81" s="475">
        <f t="shared" si="3"/>
        <v>0</v>
      </c>
      <c r="X81" s="475">
        <v>0</v>
      </c>
      <c r="Y81" s="476">
        <v>0</v>
      </c>
      <c r="Z81" s="38">
        <f t="shared" si="4"/>
        <v>0</v>
      </c>
      <c r="AA81" s="564">
        <f t="shared" si="5"/>
        <v>0</v>
      </c>
      <c r="AB81" s="564">
        <f t="shared" si="6"/>
        <v>0</v>
      </c>
      <c r="AC81" s="564">
        <f t="shared" si="7"/>
        <v>0</v>
      </c>
      <c r="AD81" s="597"/>
      <c r="AE81" s="564">
        <f t="shared" si="8"/>
        <v>27494.955000000002</v>
      </c>
      <c r="AF81" s="564">
        <f t="shared" si="9"/>
        <v>0</v>
      </c>
      <c r="AG81" s="564">
        <f t="shared" si="10"/>
        <v>0</v>
      </c>
    </row>
    <row r="82" spans="1:33" s="232" customFormat="1">
      <c r="A82" s="283" t="s">
        <v>211</v>
      </c>
      <c r="B82" s="283" t="s">
        <v>110</v>
      </c>
      <c r="C82" s="123" t="s">
        <v>174</v>
      </c>
      <c r="D82" s="514"/>
      <c r="E82" s="529">
        <f>VLOOKUP(C82,'Q4 DMV - Revenue'!C:S,17,FALSE)</f>
        <v>0</v>
      </c>
      <c r="F82" s="579"/>
      <c r="G82" s="579"/>
      <c r="H82" s="524"/>
      <c r="I82" s="379">
        <f t="shared" si="14"/>
        <v>0</v>
      </c>
      <c r="J82" s="31"/>
      <c r="K82" s="410"/>
      <c r="L82" s="585">
        <v>6.96</v>
      </c>
      <c r="M82" s="31">
        <v>0</v>
      </c>
      <c r="N82" s="429"/>
      <c r="O82" s="31">
        <v>0</v>
      </c>
      <c r="P82" s="426">
        <f t="shared" si="0"/>
        <v>6.96</v>
      </c>
      <c r="Q82" s="14">
        <v>1.71</v>
      </c>
      <c r="R82" s="295"/>
      <c r="S82" s="385">
        <f t="shared" si="11"/>
        <v>-5.25</v>
      </c>
      <c r="T82" s="31"/>
      <c r="U82" s="474">
        <f t="shared" si="1"/>
        <v>6.96</v>
      </c>
      <c r="V82" s="474">
        <f t="shared" si="2"/>
        <v>0</v>
      </c>
      <c r="W82" s="475">
        <f t="shared" si="3"/>
        <v>0</v>
      </c>
      <c r="X82" s="475">
        <v>0</v>
      </c>
      <c r="Y82" s="476">
        <v>0</v>
      </c>
      <c r="Z82" s="38">
        <f t="shared" si="4"/>
        <v>0</v>
      </c>
      <c r="AA82" s="564">
        <f t="shared" si="5"/>
        <v>0</v>
      </c>
      <c r="AB82" s="564">
        <f t="shared" si="6"/>
        <v>0</v>
      </c>
      <c r="AC82" s="564">
        <f t="shared" si="7"/>
        <v>0</v>
      </c>
      <c r="AD82" s="597"/>
      <c r="AE82" s="564">
        <f t="shared" si="8"/>
        <v>6.96</v>
      </c>
      <c r="AF82" s="564">
        <f t="shared" si="9"/>
        <v>0</v>
      </c>
      <c r="AG82" s="564">
        <f t="shared" si="10"/>
        <v>0</v>
      </c>
    </row>
    <row r="83" spans="1:33">
      <c r="A83" s="21"/>
      <c r="B83" s="21" t="s">
        <v>109</v>
      </c>
      <c r="C83" s="68" t="s">
        <v>94</v>
      </c>
      <c r="D83" s="538"/>
      <c r="E83" s="529">
        <f>VLOOKUP(C83,'Q4 DMV - Revenue'!C:S,17,FALSE)</f>
        <v>0</v>
      </c>
      <c r="F83" s="576">
        <v>229.46</v>
      </c>
      <c r="G83" s="579"/>
      <c r="H83" s="524"/>
      <c r="I83" s="379">
        <f t="shared" si="14"/>
        <v>229.46</v>
      </c>
      <c r="J83" s="2"/>
      <c r="K83" s="84"/>
      <c r="L83" s="4">
        <v>750</v>
      </c>
      <c r="M83" s="31">
        <v>0</v>
      </c>
      <c r="N83" s="429"/>
      <c r="O83" s="31">
        <v>0</v>
      </c>
      <c r="P83" s="426">
        <f t="shared" si="0"/>
        <v>750</v>
      </c>
      <c r="Q83" s="178">
        <v>0</v>
      </c>
      <c r="R83" s="295"/>
      <c r="S83" s="385">
        <f t="shared" si="11"/>
        <v>-750</v>
      </c>
      <c r="T83" s="2"/>
      <c r="U83" s="474">
        <f t="shared" si="1"/>
        <v>0</v>
      </c>
      <c r="V83" s="474">
        <f t="shared" si="2"/>
        <v>750</v>
      </c>
      <c r="W83" s="475">
        <f t="shared" si="3"/>
        <v>0</v>
      </c>
      <c r="X83" s="475">
        <v>0</v>
      </c>
      <c r="Y83" s="476">
        <v>0</v>
      </c>
      <c r="Z83" s="38">
        <f t="shared" si="4"/>
        <v>0</v>
      </c>
      <c r="AA83" s="564">
        <f t="shared" si="5"/>
        <v>0</v>
      </c>
      <c r="AB83" s="564">
        <f t="shared" si="6"/>
        <v>229.46</v>
      </c>
      <c r="AC83" s="564">
        <f t="shared" si="7"/>
        <v>0</v>
      </c>
      <c r="AE83" s="564">
        <f t="shared" si="8"/>
        <v>0</v>
      </c>
      <c r="AF83" s="564">
        <f t="shared" si="9"/>
        <v>750</v>
      </c>
      <c r="AG83" s="564">
        <f t="shared" si="10"/>
        <v>0</v>
      </c>
    </row>
    <row r="84" spans="1:33">
      <c r="A84" s="21" t="s">
        <v>109</v>
      </c>
      <c r="B84" s="21" t="s">
        <v>110</v>
      </c>
      <c r="C84" s="68" t="s">
        <v>319</v>
      </c>
      <c r="D84" s="539"/>
      <c r="E84" s="529">
        <f>VLOOKUP(C84,'Q4 DMV - Revenue'!C:S,17,FALSE)</f>
        <v>0</v>
      </c>
      <c r="F84" s="579"/>
      <c r="G84" s="579"/>
      <c r="H84" s="524"/>
      <c r="I84" s="379">
        <f t="shared" si="14"/>
        <v>0</v>
      </c>
      <c r="J84" s="2"/>
      <c r="K84" s="84"/>
      <c r="L84" s="4">
        <v>0</v>
      </c>
      <c r="M84" s="31">
        <v>0</v>
      </c>
      <c r="N84" s="429"/>
      <c r="O84" s="31">
        <v>0</v>
      </c>
      <c r="P84" s="426">
        <f t="shared" ref="P84:P147" si="16">K84+L84</f>
        <v>0</v>
      </c>
      <c r="Q84" s="178">
        <v>0</v>
      </c>
      <c r="R84" s="295"/>
      <c r="S84" s="385">
        <f t="shared" ref="S84:S147" si="17">IF(Q84="","",Q84-P84)</f>
        <v>0</v>
      </c>
      <c r="T84" s="2"/>
      <c r="U84" s="474">
        <f t="shared" ref="U84:U148" si="18">IF(B84="D",P84,0)</f>
        <v>0</v>
      </c>
      <c r="V84" s="474">
        <f t="shared" ref="V84:V148" si="19">IF(B84="M",P84,0)</f>
        <v>0</v>
      </c>
      <c r="W84" s="475">
        <f t="shared" ref="W84:W148" si="20">IF(B84="V",P84,0)</f>
        <v>0</v>
      </c>
      <c r="X84" s="475">
        <v>0</v>
      </c>
      <c r="Y84" s="476">
        <v>0</v>
      </c>
      <c r="Z84" s="38">
        <f t="shared" ref="Z84:Z148" si="21">(K84+L84)-(U84+V84+W84+X84+Y84)</f>
        <v>0</v>
      </c>
      <c r="AA84" s="564">
        <f t="shared" ref="AA84:AA148" si="22">IF(B84="D",I84,0)</f>
        <v>0</v>
      </c>
      <c r="AB84" s="564">
        <f t="shared" ref="AB84:AB148" si="23">IF(B84="M",I84,0)</f>
        <v>0</v>
      </c>
      <c r="AC84" s="564">
        <f t="shared" ref="AC84:AC148" si="24">IF(B84="V",I84,0)</f>
        <v>0</v>
      </c>
      <c r="AE84" s="564">
        <f t="shared" ref="AE84:AE148" si="25">IF(B84="D",P84,0)</f>
        <v>0</v>
      </c>
      <c r="AF84" s="564">
        <f t="shared" ref="AF84:AF148" si="26">IF(B84="M",P84,0)</f>
        <v>0</v>
      </c>
      <c r="AG84" s="564">
        <f t="shared" ref="AG84:AG148" si="27">IF(B84="V",P84,0)</f>
        <v>0</v>
      </c>
    </row>
    <row r="85" spans="1:33">
      <c r="A85" s="20" t="s">
        <v>211</v>
      </c>
      <c r="B85" s="20" t="s">
        <v>109</v>
      </c>
      <c r="C85" s="68" t="s">
        <v>14</v>
      </c>
      <c r="D85" s="449"/>
      <c r="E85" s="529">
        <f>VLOOKUP(C85,'Q4 DMV - Revenue'!C:S,17,FALSE)</f>
        <v>-1154.6399999999999</v>
      </c>
      <c r="F85" s="579"/>
      <c r="G85" s="579"/>
      <c r="H85" s="524"/>
      <c r="I85" s="379">
        <f t="shared" si="14"/>
        <v>-1154.6399999999999</v>
      </c>
      <c r="J85" s="31"/>
      <c r="K85" s="84"/>
      <c r="L85" s="42">
        <v>1000</v>
      </c>
      <c r="M85" s="31">
        <v>0</v>
      </c>
      <c r="N85" s="429"/>
      <c r="O85" s="31">
        <v>0</v>
      </c>
      <c r="P85" s="426">
        <f t="shared" si="16"/>
        <v>1000</v>
      </c>
      <c r="Q85" s="178">
        <v>0</v>
      </c>
      <c r="R85" s="295"/>
      <c r="S85" s="385">
        <f t="shared" si="17"/>
        <v>-1000</v>
      </c>
      <c r="T85" s="31"/>
      <c r="U85" s="474">
        <f t="shared" si="18"/>
        <v>0</v>
      </c>
      <c r="V85" s="474">
        <f t="shared" si="19"/>
        <v>1000</v>
      </c>
      <c r="W85" s="475">
        <f t="shared" si="20"/>
        <v>0</v>
      </c>
      <c r="X85" s="475">
        <v>0</v>
      </c>
      <c r="Y85" s="476">
        <v>0</v>
      </c>
      <c r="Z85" s="38">
        <f t="shared" si="21"/>
        <v>0</v>
      </c>
      <c r="AA85" s="564">
        <f t="shared" si="22"/>
        <v>0</v>
      </c>
      <c r="AB85" s="564">
        <f t="shared" si="23"/>
        <v>-1154.6399999999999</v>
      </c>
      <c r="AC85" s="564">
        <f t="shared" si="24"/>
        <v>0</v>
      </c>
      <c r="AE85" s="564">
        <f t="shared" si="25"/>
        <v>0</v>
      </c>
      <c r="AF85" s="564">
        <f t="shared" si="26"/>
        <v>1000</v>
      </c>
      <c r="AG85" s="564">
        <f t="shared" si="27"/>
        <v>0</v>
      </c>
    </row>
    <row r="86" spans="1:33">
      <c r="A86" s="20"/>
      <c r="B86" s="20" t="s">
        <v>110</v>
      </c>
      <c r="C86" s="68" t="s">
        <v>15</v>
      </c>
      <c r="D86" s="449"/>
      <c r="E86" s="529">
        <f>VLOOKUP(C86,'Q4 DMV - Revenue'!C:S,17,FALSE)</f>
        <v>0</v>
      </c>
      <c r="F86" s="576">
        <v>9395.07</v>
      </c>
      <c r="G86" s="576">
        <v>10329.67</v>
      </c>
      <c r="H86" s="525">
        <v>11038.62</v>
      </c>
      <c r="I86" s="379">
        <f t="shared" si="14"/>
        <v>30763.360000000001</v>
      </c>
      <c r="J86" s="31"/>
      <c r="K86" s="84"/>
      <c r="L86" s="42">
        <v>0</v>
      </c>
      <c r="M86" s="31">
        <v>0</v>
      </c>
      <c r="N86" s="429">
        <v>30763.37</v>
      </c>
      <c r="O86" s="31">
        <v>0</v>
      </c>
      <c r="P86" s="426">
        <f t="shared" si="16"/>
        <v>0</v>
      </c>
      <c r="Q86" s="178">
        <v>0</v>
      </c>
      <c r="R86" s="295"/>
      <c r="S86" s="385">
        <f t="shared" si="17"/>
        <v>0</v>
      </c>
      <c r="T86" s="31"/>
      <c r="U86" s="474">
        <f t="shared" si="18"/>
        <v>0</v>
      </c>
      <c r="V86" s="474">
        <f t="shared" si="19"/>
        <v>0</v>
      </c>
      <c r="W86" s="475">
        <f t="shared" si="20"/>
        <v>0</v>
      </c>
      <c r="X86" s="475">
        <v>0</v>
      </c>
      <c r="Y86" s="476">
        <v>0</v>
      </c>
      <c r="Z86" s="38">
        <f t="shared" si="21"/>
        <v>0</v>
      </c>
      <c r="AA86" s="564">
        <f t="shared" si="22"/>
        <v>30763.360000000001</v>
      </c>
      <c r="AB86" s="564">
        <f t="shared" si="23"/>
        <v>0</v>
      </c>
      <c r="AC86" s="564">
        <f t="shared" si="24"/>
        <v>0</v>
      </c>
      <c r="AE86" s="564">
        <f t="shared" si="25"/>
        <v>0</v>
      </c>
      <c r="AF86" s="564">
        <f t="shared" si="26"/>
        <v>0</v>
      </c>
      <c r="AG86" s="564">
        <f t="shared" si="27"/>
        <v>0</v>
      </c>
    </row>
    <row r="87" spans="1:33">
      <c r="A87" s="20"/>
      <c r="B87" s="20" t="s">
        <v>109</v>
      </c>
      <c r="C87" s="68" t="s">
        <v>16</v>
      </c>
      <c r="D87" s="449">
        <f>190.49+232.89</f>
        <v>423.38</v>
      </c>
      <c r="E87" s="529">
        <f>VLOOKUP(C87,'Q4 DMV - Revenue'!C:S,17,FALSE)</f>
        <v>-307.19000000000005</v>
      </c>
      <c r="F87" s="579"/>
      <c r="G87" s="579"/>
      <c r="H87" s="524"/>
      <c r="I87" s="379">
        <f t="shared" si="14"/>
        <v>116.18999999999994</v>
      </c>
      <c r="J87" s="31"/>
      <c r="K87" s="84"/>
      <c r="L87" s="42">
        <v>850</v>
      </c>
      <c r="M87" s="31">
        <v>0</v>
      </c>
      <c r="N87" s="429"/>
      <c r="O87" s="31">
        <v>0</v>
      </c>
      <c r="P87" s="426">
        <f t="shared" si="16"/>
        <v>850</v>
      </c>
      <c r="Q87" s="178">
        <v>0</v>
      </c>
      <c r="R87" s="295"/>
      <c r="S87" s="385">
        <f t="shared" si="17"/>
        <v>-850</v>
      </c>
      <c r="T87" s="31"/>
      <c r="U87" s="474">
        <f t="shared" si="18"/>
        <v>0</v>
      </c>
      <c r="V87" s="474">
        <f t="shared" si="19"/>
        <v>850</v>
      </c>
      <c r="W87" s="475">
        <f t="shared" si="20"/>
        <v>0</v>
      </c>
      <c r="X87" s="475">
        <v>0</v>
      </c>
      <c r="Y87" s="476">
        <v>0</v>
      </c>
      <c r="Z87" s="38">
        <f t="shared" si="21"/>
        <v>0</v>
      </c>
      <c r="AA87" s="564">
        <f t="shared" si="22"/>
        <v>0</v>
      </c>
      <c r="AB87" s="564">
        <f t="shared" si="23"/>
        <v>116.18999999999994</v>
      </c>
      <c r="AC87" s="564">
        <f t="shared" si="24"/>
        <v>0</v>
      </c>
      <c r="AE87" s="564">
        <f t="shared" si="25"/>
        <v>0</v>
      </c>
      <c r="AF87" s="564">
        <f t="shared" si="26"/>
        <v>850</v>
      </c>
      <c r="AG87" s="564">
        <f t="shared" si="27"/>
        <v>0</v>
      </c>
    </row>
    <row r="88" spans="1:33">
      <c r="A88" s="20"/>
      <c r="B88" s="20" t="s">
        <v>109</v>
      </c>
      <c r="C88" s="68" t="s">
        <v>208</v>
      </c>
      <c r="D88" s="449">
        <f>78.74+93.22</f>
        <v>171.95999999999998</v>
      </c>
      <c r="E88" s="529">
        <f>VLOOKUP(C88,'Q4 DMV - Revenue'!C:S,17,FALSE)</f>
        <v>68.19</v>
      </c>
      <c r="F88" s="579"/>
      <c r="G88" s="579"/>
      <c r="H88" s="524"/>
      <c r="I88" s="379">
        <f t="shared" si="14"/>
        <v>240.14999999999998</v>
      </c>
      <c r="J88" s="31"/>
      <c r="K88" s="84"/>
      <c r="L88" s="42">
        <v>250</v>
      </c>
      <c r="M88" s="31">
        <v>0</v>
      </c>
      <c r="N88" s="429"/>
      <c r="O88" s="31">
        <v>0</v>
      </c>
      <c r="P88" s="426">
        <f t="shared" si="16"/>
        <v>250</v>
      </c>
      <c r="Q88" s="178">
        <v>0</v>
      </c>
      <c r="R88" s="295"/>
      <c r="S88" s="385">
        <f t="shared" si="17"/>
        <v>-250</v>
      </c>
      <c r="T88" s="31"/>
      <c r="U88" s="474">
        <f t="shared" si="18"/>
        <v>0</v>
      </c>
      <c r="V88" s="474">
        <f t="shared" si="19"/>
        <v>250</v>
      </c>
      <c r="W88" s="475">
        <f t="shared" si="20"/>
        <v>0</v>
      </c>
      <c r="X88" s="475">
        <v>0</v>
      </c>
      <c r="Y88" s="476">
        <v>0</v>
      </c>
      <c r="Z88" s="38">
        <f t="shared" si="21"/>
        <v>0</v>
      </c>
      <c r="AA88" s="564">
        <f t="shared" si="22"/>
        <v>0</v>
      </c>
      <c r="AB88" s="564">
        <f t="shared" si="23"/>
        <v>240.14999999999998</v>
      </c>
      <c r="AC88" s="564">
        <f t="shared" si="24"/>
        <v>0</v>
      </c>
      <c r="AE88" s="564">
        <f t="shared" si="25"/>
        <v>0</v>
      </c>
      <c r="AF88" s="564">
        <f t="shared" si="26"/>
        <v>250</v>
      </c>
      <c r="AG88" s="564">
        <f t="shared" si="27"/>
        <v>0</v>
      </c>
    </row>
    <row r="89" spans="1:33">
      <c r="A89" s="20"/>
      <c r="B89" s="20" t="s">
        <v>110</v>
      </c>
      <c r="C89" s="68" t="s">
        <v>17</v>
      </c>
      <c r="D89" s="449"/>
      <c r="E89" s="529">
        <f>VLOOKUP(C89,'Q4 DMV - Revenue'!C:S,17,FALSE)</f>
        <v>-14</v>
      </c>
      <c r="F89" s="579"/>
      <c r="G89" s="579"/>
      <c r="H89" s="524"/>
      <c r="I89" s="379">
        <f t="shared" si="14"/>
        <v>-14</v>
      </c>
      <c r="J89" s="31"/>
      <c r="K89" s="84"/>
      <c r="L89" s="42">
        <v>15</v>
      </c>
      <c r="M89" s="31">
        <v>0</v>
      </c>
      <c r="N89" s="429"/>
      <c r="O89" s="31">
        <v>0</v>
      </c>
      <c r="P89" s="426">
        <f t="shared" si="16"/>
        <v>15</v>
      </c>
      <c r="Q89" s="178">
        <v>0</v>
      </c>
      <c r="R89" s="295"/>
      <c r="S89" s="385">
        <f t="shared" si="17"/>
        <v>-15</v>
      </c>
      <c r="T89" s="31"/>
      <c r="U89" s="474">
        <f t="shared" si="18"/>
        <v>15</v>
      </c>
      <c r="V89" s="474">
        <f t="shared" si="19"/>
        <v>0</v>
      </c>
      <c r="W89" s="475">
        <f t="shared" si="20"/>
        <v>0</v>
      </c>
      <c r="X89" s="475">
        <v>0</v>
      </c>
      <c r="Y89" s="476">
        <v>0</v>
      </c>
      <c r="Z89" s="38">
        <f t="shared" si="21"/>
        <v>0</v>
      </c>
      <c r="AA89" s="564">
        <f t="shared" si="22"/>
        <v>-14</v>
      </c>
      <c r="AB89" s="564">
        <f t="shared" si="23"/>
        <v>0</v>
      </c>
      <c r="AC89" s="564">
        <f t="shared" si="24"/>
        <v>0</v>
      </c>
      <c r="AE89" s="564">
        <f t="shared" si="25"/>
        <v>15</v>
      </c>
      <c r="AF89" s="564">
        <f t="shared" si="26"/>
        <v>0</v>
      </c>
      <c r="AG89" s="564">
        <f t="shared" si="27"/>
        <v>0</v>
      </c>
    </row>
    <row r="90" spans="1:33" s="232" customFormat="1">
      <c r="A90" s="283"/>
      <c r="B90" s="283" t="s">
        <v>109</v>
      </c>
      <c r="C90" s="373" t="s">
        <v>410</v>
      </c>
      <c r="D90" s="514"/>
      <c r="E90" s="529">
        <f>VLOOKUP(C90,'Q4 DMV - Revenue'!C:S,17,FALSE)</f>
        <v>0</v>
      </c>
      <c r="F90" s="576">
        <v>17218.64</v>
      </c>
      <c r="G90" s="576">
        <v>13794.86</v>
      </c>
      <c r="H90" s="525">
        <v>14741.53</v>
      </c>
      <c r="I90" s="379">
        <f t="shared" si="14"/>
        <v>45755.03</v>
      </c>
      <c r="J90" s="31"/>
      <c r="K90" s="86"/>
      <c r="L90" s="290">
        <v>0</v>
      </c>
      <c r="M90" s="31">
        <v>0</v>
      </c>
      <c r="N90" s="429">
        <v>50543.14</v>
      </c>
      <c r="O90" s="31">
        <v>0</v>
      </c>
      <c r="P90" s="426">
        <f t="shared" si="16"/>
        <v>0</v>
      </c>
      <c r="Q90" s="14">
        <v>0</v>
      </c>
      <c r="R90" s="295"/>
      <c r="S90" s="385">
        <f t="shared" si="17"/>
        <v>0</v>
      </c>
      <c r="T90" s="31"/>
      <c r="U90" s="474">
        <f t="shared" si="18"/>
        <v>0</v>
      </c>
      <c r="V90" s="474">
        <f t="shared" si="19"/>
        <v>0</v>
      </c>
      <c r="W90" s="475">
        <f t="shared" si="20"/>
        <v>0</v>
      </c>
      <c r="X90" s="475">
        <v>0</v>
      </c>
      <c r="Y90" s="476">
        <v>0</v>
      </c>
      <c r="Z90" s="38">
        <f t="shared" si="21"/>
        <v>0</v>
      </c>
      <c r="AA90" s="564">
        <f t="shared" si="22"/>
        <v>0</v>
      </c>
      <c r="AB90" s="564">
        <f t="shared" si="23"/>
        <v>45755.03</v>
      </c>
      <c r="AC90" s="564">
        <f t="shared" si="24"/>
        <v>0</v>
      </c>
      <c r="AD90" s="597"/>
      <c r="AE90" s="564">
        <f t="shared" si="25"/>
        <v>0</v>
      </c>
      <c r="AF90" s="564">
        <f t="shared" si="26"/>
        <v>0</v>
      </c>
      <c r="AG90" s="564">
        <f t="shared" si="27"/>
        <v>0</v>
      </c>
    </row>
    <row r="91" spans="1:33" s="232" customFormat="1">
      <c r="A91" s="283"/>
      <c r="B91" s="283" t="s">
        <v>109</v>
      </c>
      <c r="C91" s="373" t="s">
        <v>411</v>
      </c>
      <c r="D91" s="523"/>
      <c r="E91" s="523">
        <f>'Q3 DMV - Revenue'!S82</f>
        <v>0</v>
      </c>
      <c r="F91" s="523"/>
      <c r="G91" s="548"/>
      <c r="H91" s="553"/>
      <c r="I91" s="553">
        <v>0</v>
      </c>
      <c r="J91" s="31"/>
      <c r="K91" s="508"/>
      <c r="L91" s="508"/>
      <c r="M91" s="31">
        <v>0</v>
      </c>
      <c r="N91" s="509"/>
      <c r="O91" s="31">
        <v>0</v>
      </c>
      <c r="P91" s="426">
        <f t="shared" si="16"/>
        <v>0</v>
      </c>
      <c r="Q91" s="14">
        <v>0</v>
      </c>
      <c r="R91" s="295"/>
      <c r="S91" s="385">
        <f t="shared" si="17"/>
        <v>0</v>
      </c>
      <c r="T91" s="31"/>
      <c r="U91" s="474">
        <f t="shared" si="18"/>
        <v>0</v>
      </c>
      <c r="V91" s="474">
        <f t="shared" si="19"/>
        <v>0</v>
      </c>
      <c r="W91" s="475">
        <f t="shared" si="20"/>
        <v>0</v>
      </c>
      <c r="X91" s="475">
        <v>0</v>
      </c>
      <c r="Y91" s="476">
        <v>0</v>
      </c>
      <c r="Z91" s="38">
        <f t="shared" si="21"/>
        <v>0</v>
      </c>
      <c r="AA91" s="564">
        <f t="shared" si="22"/>
        <v>0</v>
      </c>
      <c r="AB91" s="564">
        <f t="shared" si="23"/>
        <v>0</v>
      </c>
      <c r="AC91" s="564">
        <f t="shared" si="24"/>
        <v>0</v>
      </c>
      <c r="AD91" s="597"/>
      <c r="AE91" s="564">
        <f t="shared" si="25"/>
        <v>0</v>
      </c>
      <c r="AF91" s="564">
        <f t="shared" si="26"/>
        <v>0</v>
      </c>
      <c r="AG91" s="564">
        <f t="shared" si="27"/>
        <v>0</v>
      </c>
    </row>
    <row r="92" spans="1:33" s="232" customFormat="1">
      <c r="A92" s="283"/>
      <c r="B92" s="283" t="s">
        <v>109</v>
      </c>
      <c r="C92" s="373" t="s">
        <v>412</v>
      </c>
      <c r="D92" s="514"/>
      <c r="E92" s="529">
        <f>VLOOKUP(C92,'Q4 DMV - Revenue'!C:S,17,FALSE)</f>
        <v>0</v>
      </c>
      <c r="F92" s="579"/>
      <c r="G92" s="579"/>
      <c r="H92" s="524"/>
      <c r="I92" s="379">
        <f>SUM(D92:H92)</f>
        <v>0</v>
      </c>
      <c r="J92" s="31"/>
      <c r="K92" s="86"/>
      <c r="L92" s="290">
        <v>100</v>
      </c>
      <c r="M92" s="31">
        <v>0</v>
      </c>
      <c r="N92" s="429"/>
      <c r="O92" s="31">
        <v>0</v>
      </c>
      <c r="P92" s="426">
        <f t="shared" si="16"/>
        <v>100</v>
      </c>
      <c r="Q92" s="14">
        <v>0</v>
      </c>
      <c r="R92" s="295"/>
      <c r="S92" s="385">
        <f t="shared" si="17"/>
        <v>-100</v>
      </c>
      <c r="T92" s="31"/>
      <c r="U92" s="474">
        <f t="shared" si="18"/>
        <v>0</v>
      </c>
      <c r="V92" s="474">
        <f t="shared" si="19"/>
        <v>100</v>
      </c>
      <c r="W92" s="475">
        <f t="shared" si="20"/>
        <v>0</v>
      </c>
      <c r="X92" s="475">
        <v>0</v>
      </c>
      <c r="Y92" s="476">
        <v>0</v>
      </c>
      <c r="Z92" s="38">
        <f t="shared" si="21"/>
        <v>0</v>
      </c>
      <c r="AA92" s="564">
        <f t="shared" si="22"/>
        <v>0</v>
      </c>
      <c r="AB92" s="564">
        <f t="shared" si="23"/>
        <v>0</v>
      </c>
      <c r="AC92" s="564">
        <f t="shared" si="24"/>
        <v>0</v>
      </c>
      <c r="AD92" s="597"/>
      <c r="AE92" s="564">
        <f t="shared" si="25"/>
        <v>0</v>
      </c>
      <c r="AF92" s="564">
        <f t="shared" si="26"/>
        <v>100</v>
      </c>
      <c r="AG92" s="564">
        <f t="shared" si="27"/>
        <v>0</v>
      </c>
    </row>
    <row r="93" spans="1:33" s="232" customFormat="1">
      <c r="A93" s="283"/>
      <c r="B93" s="283" t="s">
        <v>109</v>
      </c>
      <c r="C93" s="373" t="s">
        <v>413</v>
      </c>
      <c r="D93" s="514"/>
      <c r="E93" s="529">
        <f>VLOOKUP(C93,'Q4 DMV - Revenue'!C:S,17,FALSE)</f>
        <v>0</v>
      </c>
      <c r="F93" s="576">
        <v>1896.55</v>
      </c>
      <c r="G93" s="576">
        <v>1403.3</v>
      </c>
      <c r="H93" s="525">
        <v>1488.26</v>
      </c>
      <c r="I93" s="379">
        <f>SUM(D93:H93)</f>
        <v>4788.1099999999997</v>
      </c>
      <c r="J93" s="31"/>
      <c r="K93" s="86"/>
      <c r="L93" s="290">
        <v>0</v>
      </c>
      <c r="M93" s="31">
        <v>0</v>
      </c>
      <c r="N93" s="429"/>
      <c r="O93" s="31">
        <v>0</v>
      </c>
      <c r="P93" s="426">
        <f t="shared" si="16"/>
        <v>0</v>
      </c>
      <c r="Q93" s="14">
        <v>0</v>
      </c>
      <c r="R93" s="295"/>
      <c r="S93" s="385">
        <f t="shared" si="17"/>
        <v>0</v>
      </c>
      <c r="T93" s="31"/>
      <c r="U93" s="474">
        <f t="shared" si="18"/>
        <v>0</v>
      </c>
      <c r="V93" s="474">
        <f t="shared" si="19"/>
        <v>0</v>
      </c>
      <c r="W93" s="475">
        <f t="shared" si="20"/>
        <v>0</v>
      </c>
      <c r="X93" s="475">
        <v>0</v>
      </c>
      <c r="Y93" s="476">
        <v>0</v>
      </c>
      <c r="Z93" s="38">
        <f t="shared" si="21"/>
        <v>0</v>
      </c>
      <c r="AA93" s="564">
        <f t="shared" si="22"/>
        <v>0</v>
      </c>
      <c r="AB93" s="564">
        <f t="shared" si="23"/>
        <v>4788.1099999999997</v>
      </c>
      <c r="AC93" s="564">
        <f t="shared" si="24"/>
        <v>0</v>
      </c>
      <c r="AD93" s="597"/>
      <c r="AE93" s="564">
        <f t="shared" si="25"/>
        <v>0</v>
      </c>
      <c r="AF93" s="564">
        <f t="shared" si="26"/>
        <v>0</v>
      </c>
      <c r="AG93" s="564">
        <f t="shared" si="27"/>
        <v>0</v>
      </c>
    </row>
    <row r="94" spans="1:33" s="232" customFormat="1">
      <c r="A94" s="283"/>
      <c r="B94" s="283" t="s">
        <v>109</v>
      </c>
      <c r="C94" s="373" t="s">
        <v>414</v>
      </c>
      <c r="D94" s="523"/>
      <c r="E94" s="523">
        <f>'Q3 DMV - Revenue'!S85</f>
        <v>0</v>
      </c>
      <c r="F94" s="523"/>
      <c r="G94" s="548"/>
      <c r="H94" s="553"/>
      <c r="I94" s="553">
        <v>0</v>
      </c>
      <c r="J94" s="31"/>
      <c r="K94" s="508"/>
      <c r="L94" s="508"/>
      <c r="M94" s="31">
        <v>0</v>
      </c>
      <c r="N94" s="509"/>
      <c r="O94" s="31">
        <v>0</v>
      </c>
      <c r="P94" s="426">
        <f t="shared" si="16"/>
        <v>0</v>
      </c>
      <c r="Q94" s="14">
        <v>0</v>
      </c>
      <c r="R94" s="295"/>
      <c r="S94" s="385">
        <f t="shared" si="17"/>
        <v>0</v>
      </c>
      <c r="T94" s="31"/>
      <c r="U94" s="474">
        <f t="shared" si="18"/>
        <v>0</v>
      </c>
      <c r="V94" s="474">
        <f t="shared" si="19"/>
        <v>0</v>
      </c>
      <c r="W94" s="475">
        <f t="shared" si="20"/>
        <v>0</v>
      </c>
      <c r="X94" s="475">
        <v>0</v>
      </c>
      <c r="Y94" s="476">
        <v>0</v>
      </c>
      <c r="Z94" s="38">
        <f t="shared" si="21"/>
        <v>0</v>
      </c>
      <c r="AA94" s="564">
        <f t="shared" si="22"/>
        <v>0</v>
      </c>
      <c r="AB94" s="564">
        <f t="shared" si="23"/>
        <v>0</v>
      </c>
      <c r="AC94" s="564">
        <f t="shared" si="24"/>
        <v>0</v>
      </c>
      <c r="AD94" s="597"/>
      <c r="AE94" s="564">
        <f t="shared" si="25"/>
        <v>0</v>
      </c>
      <c r="AF94" s="564">
        <f t="shared" si="26"/>
        <v>0</v>
      </c>
      <c r="AG94" s="564">
        <f t="shared" si="27"/>
        <v>0</v>
      </c>
    </row>
    <row r="95" spans="1:33">
      <c r="A95" s="20"/>
      <c r="B95" s="20" t="s">
        <v>110</v>
      </c>
      <c r="C95" s="351" t="s">
        <v>409</v>
      </c>
      <c r="D95" s="449"/>
      <c r="E95" s="529">
        <f>VLOOKUP(C95,'Q4 DMV - Revenue'!C:S,17,FALSE)</f>
        <v>-490</v>
      </c>
      <c r="F95" s="579"/>
      <c r="G95" s="579"/>
      <c r="H95" s="524"/>
      <c r="I95" s="379">
        <f t="shared" ref="I95:I135" si="28">SUM(D95:H95)</f>
        <v>-490</v>
      </c>
      <c r="J95" s="31"/>
      <c r="K95" s="501"/>
      <c r="L95" s="502">
        <v>450</v>
      </c>
      <c r="M95" s="31"/>
      <c r="N95" s="428"/>
      <c r="O95" s="31"/>
      <c r="P95" s="426">
        <f t="shared" si="16"/>
        <v>450</v>
      </c>
      <c r="Q95" s="178">
        <v>0</v>
      </c>
      <c r="R95" s="295"/>
      <c r="S95" s="385">
        <f t="shared" si="17"/>
        <v>-450</v>
      </c>
      <c r="T95" s="31"/>
      <c r="U95" s="474">
        <f t="shared" si="18"/>
        <v>450</v>
      </c>
      <c r="V95" s="474">
        <f t="shared" si="19"/>
        <v>0</v>
      </c>
      <c r="W95" s="475">
        <f t="shared" si="20"/>
        <v>0</v>
      </c>
      <c r="X95" s="475">
        <v>0</v>
      </c>
      <c r="Y95" s="476">
        <v>0</v>
      </c>
      <c r="Z95" s="38">
        <f t="shared" si="21"/>
        <v>0</v>
      </c>
      <c r="AA95" s="564">
        <f t="shared" si="22"/>
        <v>-490</v>
      </c>
      <c r="AB95" s="564">
        <f t="shared" si="23"/>
        <v>0</v>
      </c>
      <c r="AC95" s="564">
        <f t="shared" si="24"/>
        <v>0</v>
      </c>
      <c r="AE95" s="564">
        <f t="shared" si="25"/>
        <v>450</v>
      </c>
      <c r="AF95" s="564">
        <f t="shared" si="26"/>
        <v>0</v>
      </c>
      <c r="AG95" s="564">
        <f t="shared" si="27"/>
        <v>0</v>
      </c>
    </row>
    <row r="96" spans="1:33">
      <c r="A96" s="20"/>
      <c r="B96" s="20" t="s">
        <v>110</v>
      </c>
      <c r="C96" s="68" t="s">
        <v>305</v>
      </c>
      <c r="D96" s="449"/>
      <c r="E96" s="529">
        <f>VLOOKUP(C96,'Q4 DMV - Revenue'!C:S,17,FALSE)</f>
        <v>0</v>
      </c>
      <c r="F96" s="576">
        <v>219.52</v>
      </c>
      <c r="G96" s="576">
        <v>280.44</v>
      </c>
      <c r="H96" s="524"/>
      <c r="I96" s="379">
        <f t="shared" si="28"/>
        <v>499.96000000000004</v>
      </c>
      <c r="J96" s="31"/>
      <c r="K96" s="84"/>
      <c r="L96" s="502">
        <f>(F96+G96)/2</f>
        <v>249.98000000000002</v>
      </c>
      <c r="M96" s="31"/>
      <c r="N96" s="429"/>
      <c r="O96" s="31"/>
      <c r="P96" s="426">
        <f t="shared" si="16"/>
        <v>249.98000000000002</v>
      </c>
      <c r="Q96" s="178">
        <v>163.25</v>
      </c>
      <c r="R96" s="295"/>
      <c r="S96" s="385">
        <f t="shared" si="17"/>
        <v>-86.730000000000018</v>
      </c>
      <c r="T96" s="31"/>
      <c r="U96" s="474">
        <f t="shared" si="18"/>
        <v>249.98000000000002</v>
      </c>
      <c r="V96" s="474">
        <f t="shared" si="19"/>
        <v>0</v>
      </c>
      <c r="W96" s="475">
        <f t="shared" si="20"/>
        <v>0</v>
      </c>
      <c r="X96" s="475">
        <v>0</v>
      </c>
      <c r="Y96" s="476">
        <v>0</v>
      </c>
      <c r="Z96" s="38">
        <f t="shared" si="21"/>
        <v>0</v>
      </c>
      <c r="AA96" s="564">
        <f t="shared" si="22"/>
        <v>499.96000000000004</v>
      </c>
      <c r="AB96" s="564">
        <f t="shared" si="23"/>
        <v>0</v>
      </c>
      <c r="AC96" s="564">
        <f t="shared" si="24"/>
        <v>0</v>
      </c>
      <c r="AE96" s="564">
        <f t="shared" si="25"/>
        <v>249.98000000000002</v>
      </c>
      <c r="AF96" s="564">
        <f t="shared" si="26"/>
        <v>0</v>
      </c>
      <c r="AG96" s="564">
        <f t="shared" si="27"/>
        <v>0</v>
      </c>
    </row>
    <row r="97" spans="1:33">
      <c r="A97" s="20"/>
      <c r="B97" s="20" t="s">
        <v>110</v>
      </c>
      <c r="C97" s="68" t="s">
        <v>199</v>
      </c>
      <c r="D97" s="449"/>
      <c r="E97" s="529">
        <f>VLOOKUP(C97,'Q4 DMV - Revenue'!C:S,17,FALSE)</f>
        <v>0</v>
      </c>
      <c r="F97" s="576">
        <v>124.91</v>
      </c>
      <c r="G97" s="576">
        <v>130.94999999999999</v>
      </c>
      <c r="H97" s="525">
        <v>84.51</v>
      </c>
      <c r="I97" s="379">
        <f t="shared" si="28"/>
        <v>340.37</v>
      </c>
      <c r="J97" s="31"/>
      <c r="K97" s="84"/>
      <c r="L97" s="42">
        <v>0</v>
      </c>
      <c r="M97" s="31">
        <v>0</v>
      </c>
      <c r="N97" s="429"/>
      <c r="O97" s="31">
        <v>0</v>
      </c>
      <c r="P97" s="426">
        <f t="shared" si="16"/>
        <v>0</v>
      </c>
      <c r="Q97" s="178">
        <v>0</v>
      </c>
      <c r="R97" s="295"/>
      <c r="S97" s="385">
        <f t="shared" si="17"/>
        <v>0</v>
      </c>
      <c r="T97" s="31"/>
      <c r="U97" s="474">
        <f t="shared" si="18"/>
        <v>0</v>
      </c>
      <c r="V97" s="474">
        <f t="shared" si="19"/>
        <v>0</v>
      </c>
      <c r="W97" s="475">
        <f t="shared" si="20"/>
        <v>0</v>
      </c>
      <c r="X97" s="475">
        <v>0</v>
      </c>
      <c r="Y97" s="476">
        <v>0</v>
      </c>
      <c r="Z97" s="38">
        <f t="shared" si="21"/>
        <v>0</v>
      </c>
      <c r="AA97" s="564">
        <f t="shared" si="22"/>
        <v>340.37</v>
      </c>
      <c r="AB97" s="564">
        <f t="shared" si="23"/>
        <v>0</v>
      </c>
      <c r="AC97" s="564">
        <f t="shared" si="24"/>
        <v>0</v>
      </c>
      <c r="AE97" s="564">
        <f t="shared" si="25"/>
        <v>0</v>
      </c>
      <c r="AF97" s="564">
        <f t="shared" si="26"/>
        <v>0</v>
      </c>
      <c r="AG97" s="564">
        <f t="shared" si="27"/>
        <v>0</v>
      </c>
    </row>
    <row r="98" spans="1:33">
      <c r="A98" s="20"/>
      <c r="B98" s="20" t="s">
        <v>110</v>
      </c>
      <c r="C98" s="68" t="s">
        <v>200</v>
      </c>
      <c r="D98" s="449"/>
      <c r="E98" s="529">
        <f>VLOOKUP(C98,'Q4 DMV - Revenue'!C:S,17,FALSE)</f>
        <v>0</v>
      </c>
      <c r="F98" s="576">
        <v>173.6</v>
      </c>
      <c r="G98" s="576">
        <v>329</v>
      </c>
      <c r="H98" s="525">
        <v>165.2</v>
      </c>
      <c r="I98" s="379">
        <f t="shared" si="28"/>
        <v>667.8</v>
      </c>
      <c r="J98" s="31"/>
      <c r="K98" s="84"/>
      <c r="L98" s="42">
        <v>0</v>
      </c>
      <c r="M98" s="31">
        <v>0</v>
      </c>
      <c r="N98" s="429"/>
      <c r="O98" s="31">
        <v>0</v>
      </c>
      <c r="P98" s="426">
        <f t="shared" si="16"/>
        <v>0</v>
      </c>
      <c r="Q98" s="178">
        <v>0</v>
      </c>
      <c r="R98" s="295"/>
      <c r="S98" s="385">
        <f t="shared" si="17"/>
        <v>0</v>
      </c>
      <c r="T98" s="31"/>
      <c r="U98" s="474">
        <f t="shared" si="18"/>
        <v>0</v>
      </c>
      <c r="V98" s="474">
        <f t="shared" si="19"/>
        <v>0</v>
      </c>
      <c r="W98" s="475">
        <f t="shared" si="20"/>
        <v>0</v>
      </c>
      <c r="X98" s="475">
        <v>0</v>
      </c>
      <c r="Y98" s="476">
        <v>0</v>
      </c>
      <c r="Z98" s="38">
        <f t="shared" si="21"/>
        <v>0</v>
      </c>
      <c r="AA98" s="564">
        <f t="shared" si="22"/>
        <v>667.8</v>
      </c>
      <c r="AB98" s="564">
        <f t="shared" si="23"/>
        <v>0</v>
      </c>
      <c r="AC98" s="564">
        <f t="shared" si="24"/>
        <v>0</v>
      </c>
      <c r="AE98" s="564">
        <f t="shared" si="25"/>
        <v>0</v>
      </c>
      <c r="AF98" s="564">
        <f t="shared" si="26"/>
        <v>0</v>
      </c>
      <c r="AG98" s="564">
        <f t="shared" si="27"/>
        <v>0</v>
      </c>
    </row>
    <row r="99" spans="1:33">
      <c r="A99" s="20"/>
      <c r="B99" s="20" t="s">
        <v>110</v>
      </c>
      <c r="C99" s="68" t="s">
        <v>201</v>
      </c>
      <c r="D99" s="449"/>
      <c r="E99" s="529">
        <f>VLOOKUP(C99,'Q4 DMV - Revenue'!C:S,17,FALSE)</f>
        <v>0</v>
      </c>
      <c r="F99" s="576">
        <v>12.36</v>
      </c>
      <c r="G99" s="576">
        <v>2.37</v>
      </c>
      <c r="H99" s="525">
        <v>2.38</v>
      </c>
      <c r="I99" s="379">
        <f t="shared" si="28"/>
        <v>17.11</v>
      </c>
      <c r="J99" s="31"/>
      <c r="K99" s="84"/>
      <c r="L99" s="42">
        <v>0</v>
      </c>
      <c r="M99" s="31">
        <v>0</v>
      </c>
      <c r="N99" s="429"/>
      <c r="O99" s="31">
        <v>0</v>
      </c>
      <c r="P99" s="426">
        <f t="shared" si="16"/>
        <v>0</v>
      </c>
      <c r="Q99" s="178">
        <v>0</v>
      </c>
      <c r="R99" s="295"/>
      <c r="S99" s="385">
        <f t="shared" si="17"/>
        <v>0</v>
      </c>
      <c r="T99" s="31"/>
      <c r="U99" s="474">
        <f t="shared" si="18"/>
        <v>0</v>
      </c>
      <c r="V99" s="474">
        <f t="shared" si="19"/>
        <v>0</v>
      </c>
      <c r="W99" s="475">
        <f t="shared" si="20"/>
        <v>0</v>
      </c>
      <c r="X99" s="475">
        <v>0</v>
      </c>
      <c r="Y99" s="476">
        <v>0</v>
      </c>
      <c r="Z99" s="38">
        <f t="shared" si="21"/>
        <v>0</v>
      </c>
      <c r="AA99" s="564">
        <f t="shared" si="22"/>
        <v>17.11</v>
      </c>
      <c r="AB99" s="564">
        <f t="shared" si="23"/>
        <v>0</v>
      </c>
      <c r="AC99" s="564">
        <f t="shared" si="24"/>
        <v>0</v>
      </c>
      <c r="AE99" s="564">
        <f t="shared" si="25"/>
        <v>0</v>
      </c>
      <c r="AF99" s="564">
        <f t="shared" si="26"/>
        <v>0</v>
      </c>
      <c r="AG99" s="564">
        <f t="shared" si="27"/>
        <v>0</v>
      </c>
    </row>
    <row r="100" spans="1:33">
      <c r="A100" s="20"/>
      <c r="B100" s="20" t="s">
        <v>110</v>
      </c>
      <c r="C100" s="68" t="s">
        <v>64</v>
      </c>
      <c r="D100" s="449"/>
      <c r="E100" s="529">
        <f>VLOOKUP(C100,'Q4 DMV - Revenue'!C:S,17,FALSE)</f>
        <v>0</v>
      </c>
      <c r="F100" s="576">
        <v>200.67</v>
      </c>
      <c r="G100" s="576">
        <v>255.9</v>
      </c>
      <c r="H100" s="525">
        <v>447.39</v>
      </c>
      <c r="I100" s="379">
        <f t="shared" si="28"/>
        <v>903.96</v>
      </c>
      <c r="J100" s="31"/>
      <c r="K100" s="84"/>
      <c r="L100" s="42">
        <v>0</v>
      </c>
      <c r="M100" s="31">
        <v>0</v>
      </c>
      <c r="N100" s="429"/>
      <c r="O100" s="31">
        <v>0</v>
      </c>
      <c r="P100" s="426">
        <f t="shared" si="16"/>
        <v>0</v>
      </c>
      <c r="Q100" s="178">
        <v>0</v>
      </c>
      <c r="R100" s="295"/>
      <c r="S100" s="385">
        <f t="shared" si="17"/>
        <v>0</v>
      </c>
      <c r="T100" s="31"/>
      <c r="U100" s="474">
        <f t="shared" si="18"/>
        <v>0</v>
      </c>
      <c r="V100" s="474">
        <f t="shared" si="19"/>
        <v>0</v>
      </c>
      <c r="W100" s="475">
        <f t="shared" si="20"/>
        <v>0</v>
      </c>
      <c r="X100" s="475">
        <v>0</v>
      </c>
      <c r="Y100" s="476">
        <v>0</v>
      </c>
      <c r="Z100" s="38">
        <f t="shared" si="21"/>
        <v>0</v>
      </c>
      <c r="AA100" s="564">
        <f t="shared" si="22"/>
        <v>903.96</v>
      </c>
      <c r="AB100" s="564">
        <f t="shared" si="23"/>
        <v>0</v>
      </c>
      <c r="AC100" s="564">
        <f t="shared" si="24"/>
        <v>0</v>
      </c>
      <c r="AE100" s="564">
        <f t="shared" si="25"/>
        <v>0</v>
      </c>
      <c r="AF100" s="564">
        <f t="shared" si="26"/>
        <v>0</v>
      </c>
      <c r="AG100" s="564">
        <f t="shared" si="27"/>
        <v>0</v>
      </c>
    </row>
    <row r="101" spans="1:33">
      <c r="A101" s="20" t="s">
        <v>211</v>
      </c>
      <c r="B101" s="20" t="s">
        <v>109</v>
      </c>
      <c r="C101" s="68" t="s">
        <v>18</v>
      </c>
      <c r="D101" s="449"/>
      <c r="E101" s="529">
        <f>VLOOKUP(C101,'Q4 DMV - Revenue'!C:S,17,FALSE)</f>
        <v>-100</v>
      </c>
      <c r="F101" s="579"/>
      <c r="G101" s="579"/>
      <c r="H101" s="524"/>
      <c r="I101" s="379">
        <f t="shared" si="28"/>
        <v>-100</v>
      </c>
      <c r="J101" s="2"/>
      <c r="K101" s="336"/>
      <c r="L101" s="42">
        <v>100</v>
      </c>
      <c r="M101" s="31">
        <v>0</v>
      </c>
      <c r="N101" s="429"/>
      <c r="O101" s="31">
        <v>0</v>
      </c>
      <c r="P101" s="426">
        <f t="shared" si="16"/>
        <v>100</v>
      </c>
      <c r="Q101" s="178">
        <v>20.91</v>
      </c>
      <c r="R101" s="295"/>
      <c r="S101" s="385">
        <f t="shared" si="17"/>
        <v>-79.09</v>
      </c>
      <c r="T101" s="2"/>
      <c r="U101" s="474">
        <f t="shared" si="18"/>
        <v>0</v>
      </c>
      <c r="V101" s="474">
        <f t="shared" si="19"/>
        <v>100</v>
      </c>
      <c r="W101" s="475">
        <f t="shared" si="20"/>
        <v>0</v>
      </c>
      <c r="X101" s="475">
        <v>0</v>
      </c>
      <c r="Y101" s="476">
        <v>0</v>
      </c>
      <c r="Z101" s="38">
        <f t="shared" si="21"/>
        <v>0</v>
      </c>
      <c r="AA101" s="564">
        <f t="shared" si="22"/>
        <v>0</v>
      </c>
      <c r="AB101" s="564">
        <f t="shared" si="23"/>
        <v>-100</v>
      </c>
      <c r="AC101" s="564">
        <f t="shared" si="24"/>
        <v>0</v>
      </c>
      <c r="AE101" s="564">
        <f t="shared" si="25"/>
        <v>0</v>
      </c>
      <c r="AF101" s="564">
        <f t="shared" si="26"/>
        <v>100</v>
      </c>
      <c r="AG101" s="564">
        <f t="shared" si="27"/>
        <v>0</v>
      </c>
    </row>
    <row r="102" spans="1:33">
      <c r="A102" s="20" t="s">
        <v>97</v>
      </c>
      <c r="B102" s="20" t="s">
        <v>109</v>
      </c>
      <c r="C102" s="68" t="s">
        <v>19</v>
      </c>
      <c r="D102" s="449"/>
      <c r="E102" s="529">
        <f>VLOOKUP(C102,'Q4 DMV - Revenue'!C:S,17,FALSE)</f>
        <v>0</v>
      </c>
      <c r="F102" s="576">
        <v>2942.99</v>
      </c>
      <c r="G102" s="576">
        <v>317.54000000000002</v>
      </c>
      <c r="H102" s="524"/>
      <c r="I102" s="379">
        <f t="shared" si="28"/>
        <v>3260.5299999999997</v>
      </c>
      <c r="J102" s="31"/>
      <c r="K102" s="84"/>
      <c r="L102" s="42">
        <f>(F102+G102)/2</f>
        <v>1630.2649999999999</v>
      </c>
      <c r="M102" s="31">
        <v>0</v>
      </c>
      <c r="N102" s="429"/>
      <c r="O102" s="31">
        <v>0</v>
      </c>
      <c r="P102" s="426">
        <f t="shared" si="16"/>
        <v>1630.2649999999999</v>
      </c>
      <c r="Q102" s="178">
        <v>0</v>
      </c>
      <c r="R102" s="295"/>
      <c r="S102" s="385">
        <f t="shared" si="17"/>
        <v>-1630.2649999999999</v>
      </c>
      <c r="T102" s="31"/>
      <c r="U102" s="474">
        <f t="shared" si="18"/>
        <v>0</v>
      </c>
      <c r="V102" s="474">
        <f t="shared" si="19"/>
        <v>1630.2649999999999</v>
      </c>
      <c r="W102" s="475">
        <f t="shared" si="20"/>
        <v>0</v>
      </c>
      <c r="X102" s="475">
        <v>0</v>
      </c>
      <c r="Y102" s="476">
        <v>0</v>
      </c>
      <c r="Z102" s="38">
        <f t="shared" si="21"/>
        <v>0</v>
      </c>
      <c r="AA102" s="564">
        <f t="shared" si="22"/>
        <v>0</v>
      </c>
      <c r="AB102" s="564">
        <f t="shared" si="23"/>
        <v>3260.5299999999997</v>
      </c>
      <c r="AC102" s="564">
        <f t="shared" si="24"/>
        <v>0</v>
      </c>
      <c r="AE102" s="564">
        <f t="shared" si="25"/>
        <v>0</v>
      </c>
      <c r="AF102" s="564">
        <f t="shared" si="26"/>
        <v>1630.2649999999999</v>
      </c>
      <c r="AG102" s="564">
        <f t="shared" si="27"/>
        <v>0</v>
      </c>
    </row>
    <row r="103" spans="1:33">
      <c r="A103" s="20" t="s">
        <v>97</v>
      </c>
      <c r="B103" s="20" t="s">
        <v>109</v>
      </c>
      <c r="C103" s="68" t="s">
        <v>463</v>
      </c>
      <c r="D103" s="449"/>
      <c r="E103" s="529">
        <v>0</v>
      </c>
      <c r="F103" s="576">
        <v>117.17</v>
      </c>
      <c r="G103" s="579"/>
      <c r="H103" s="524"/>
      <c r="I103" s="379">
        <f t="shared" si="28"/>
        <v>117.17</v>
      </c>
      <c r="J103" s="31"/>
      <c r="K103" s="84"/>
      <c r="L103" s="42">
        <f>F103*2</f>
        <v>234.34</v>
      </c>
      <c r="M103" s="31">
        <v>0</v>
      </c>
      <c r="N103" s="429"/>
      <c r="O103" s="31">
        <v>0</v>
      </c>
      <c r="P103" s="426">
        <f t="shared" si="16"/>
        <v>234.34</v>
      </c>
      <c r="Q103" s="178">
        <v>0</v>
      </c>
      <c r="R103" s="295"/>
      <c r="S103" s="385">
        <f t="shared" si="17"/>
        <v>-234.34</v>
      </c>
      <c r="T103" s="31"/>
      <c r="U103" s="474">
        <f t="shared" si="18"/>
        <v>0</v>
      </c>
      <c r="V103" s="474">
        <f t="shared" si="19"/>
        <v>234.34</v>
      </c>
      <c r="W103" s="475">
        <f t="shared" si="20"/>
        <v>0</v>
      </c>
      <c r="X103" s="475">
        <v>0</v>
      </c>
      <c r="Y103" s="476">
        <v>0</v>
      </c>
      <c r="Z103" s="38">
        <f t="shared" si="21"/>
        <v>0</v>
      </c>
      <c r="AA103" s="564">
        <f t="shared" si="22"/>
        <v>0</v>
      </c>
      <c r="AB103" s="564">
        <f t="shared" si="23"/>
        <v>117.17</v>
      </c>
      <c r="AC103" s="564">
        <f t="shared" si="24"/>
        <v>0</v>
      </c>
      <c r="AE103" s="564">
        <f t="shared" si="25"/>
        <v>0</v>
      </c>
      <c r="AF103" s="564">
        <f t="shared" si="26"/>
        <v>234.34</v>
      </c>
      <c r="AG103" s="564">
        <f t="shared" si="27"/>
        <v>0</v>
      </c>
    </row>
    <row r="104" spans="1:33">
      <c r="A104" s="20" t="s">
        <v>97</v>
      </c>
      <c r="B104" s="20" t="s">
        <v>114</v>
      </c>
      <c r="C104" s="68" t="s">
        <v>387</v>
      </c>
      <c r="D104" s="449"/>
      <c r="E104" s="529">
        <f>VLOOKUP(C104,'Q4 DMV - Revenue'!C:S,17,FALSE)</f>
        <v>-3555.1900000000005</v>
      </c>
      <c r="F104" s="579"/>
      <c r="G104" s="579"/>
      <c r="H104" s="524"/>
      <c r="I104" s="379">
        <f t="shared" si="28"/>
        <v>-3555.1900000000005</v>
      </c>
      <c r="J104" s="31"/>
      <c r="K104" s="84"/>
      <c r="L104" s="42">
        <v>8500</v>
      </c>
      <c r="M104" s="31">
        <v>0</v>
      </c>
      <c r="N104" s="429"/>
      <c r="O104" s="31">
        <v>0</v>
      </c>
      <c r="P104" s="426">
        <f t="shared" si="16"/>
        <v>8500</v>
      </c>
      <c r="Q104" s="178">
        <v>7009.19</v>
      </c>
      <c r="R104" s="295"/>
      <c r="S104" s="385">
        <f t="shared" si="17"/>
        <v>-1490.8100000000004</v>
      </c>
      <c r="T104" s="31"/>
      <c r="U104" s="474">
        <f t="shared" si="18"/>
        <v>0</v>
      </c>
      <c r="V104" s="474">
        <f t="shared" si="19"/>
        <v>0</v>
      </c>
      <c r="W104" s="475">
        <f t="shared" si="20"/>
        <v>8500</v>
      </c>
      <c r="X104" s="475">
        <v>0</v>
      </c>
      <c r="Y104" s="476">
        <v>0</v>
      </c>
      <c r="Z104" s="38">
        <f t="shared" si="21"/>
        <v>0</v>
      </c>
      <c r="AA104" s="564">
        <f t="shared" si="22"/>
        <v>0</v>
      </c>
      <c r="AB104" s="564">
        <f t="shared" si="23"/>
        <v>0</v>
      </c>
      <c r="AC104" s="564">
        <f t="shared" si="24"/>
        <v>-3555.1900000000005</v>
      </c>
      <c r="AE104" s="564">
        <f t="shared" si="25"/>
        <v>0</v>
      </c>
      <c r="AF104" s="564">
        <f t="shared" si="26"/>
        <v>0</v>
      </c>
      <c r="AG104" s="564">
        <f t="shared" si="27"/>
        <v>8500</v>
      </c>
    </row>
    <row r="105" spans="1:33">
      <c r="A105" s="20"/>
      <c r="B105" s="20" t="s">
        <v>114</v>
      </c>
      <c r="C105" s="68" t="s">
        <v>482</v>
      </c>
      <c r="D105" s="449"/>
      <c r="E105" s="529">
        <v>0</v>
      </c>
      <c r="F105" s="579"/>
      <c r="G105" s="579"/>
      <c r="H105" s="524"/>
      <c r="I105" s="379">
        <f t="shared" si="28"/>
        <v>0</v>
      </c>
      <c r="J105" s="31"/>
      <c r="K105" s="84"/>
      <c r="L105" s="42"/>
      <c r="M105" s="31"/>
      <c r="N105" s="429"/>
      <c r="O105" s="31"/>
      <c r="P105" s="426">
        <f t="shared" si="16"/>
        <v>0</v>
      </c>
      <c r="Q105" s="178">
        <v>0</v>
      </c>
      <c r="R105" s="295"/>
      <c r="S105" s="385">
        <f t="shared" si="17"/>
        <v>0</v>
      </c>
      <c r="T105" s="31"/>
      <c r="U105" s="474">
        <f t="shared" si="18"/>
        <v>0</v>
      </c>
      <c r="V105" s="474">
        <f t="shared" si="19"/>
        <v>0</v>
      </c>
      <c r="W105" s="475">
        <f t="shared" si="20"/>
        <v>0</v>
      </c>
      <c r="X105" s="475"/>
      <c r="Y105" s="476"/>
      <c r="Z105" s="38"/>
      <c r="AA105" s="564">
        <f t="shared" si="22"/>
        <v>0</v>
      </c>
      <c r="AB105" s="564">
        <f t="shared" si="23"/>
        <v>0</v>
      </c>
      <c r="AC105" s="564">
        <f t="shared" si="24"/>
        <v>0</v>
      </c>
      <c r="AE105" s="564">
        <f t="shared" si="25"/>
        <v>0</v>
      </c>
      <c r="AF105" s="564">
        <f t="shared" si="26"/>
        <v>0</v>
      </c>
      <c r="AG105" s="564">
        <f t="shared" si="27"/>
        <v>0</v>
      </c>
    </row>
    <row r="106" spans="1:33">
      <c r="A106" s="20" t="s">
        <v>109</v>
      </c>
      <c r="B106" s="20" t="s">
        <v>109</v>
      </c>
      <c r="C106" s="68" t="s">
        <v>66</v>
      </c>
      <c r="D106" s="449"/>
      <c r="E106" s="529">
        <f>VLOOKUP(C106,'Q4 DMV - Revenue'!C:S,17,FALSE)</f>
        <v>2772.25</v>
      </c>
      <c r="F106" s="579"/>
      <c r="G106" s="579"/>
      <c r="H106" s="524"/>
      <c r="I106" s="379">
        <f t="shared" si="28"/>
        <v>2772.25</v>
      </c>
      <c r="J106" s="31"/>
      <c r="K106" s="84"/>
      <c r="L106" s="42">
        <f>(F106+G106)/2</f>
        <v>0</v>
      </c>
      <c r="M106" s="31">
        <v>0</v>
      </c>
      <c r="N106" s="429">
        <f>22996.77-3246.26</f>
        <v>19750.510000000002</v>
      </c>
      <c r="O106" s="31">
        <v>0</v>
      </c>
      <c r="P106" s="426">
        <f t="shared" si="16"/>
        <v>0</v>
      </c>
      <c r="Q106" s="178">
        <v>0</v>
      </c>
      <c r="R106" s="295"/>
      <c r="S106" s="385">
        <f t="shared" si="17"/>
        <v>0</v>
      </c>
      <c r="T106" s="31"/>
      <c r="U106" s="474">
        <f t="shared" si="18"/>
        <v>0</v>
      </c>
      <c r="V106" s="474">
        <f t="shared" si="19"/>
        <v>0</v>
      </c>
      <c r="W106" s="475">
        <f t="shared" si="20"/>
        <v>0</v>
      </c>
      <c r="X106" s="475">
        <v>0</v>
      </c>
      <c r="Y106" s="476">
        <v>0</v>
      </c>
      <c r="Z106" s="38">
        <f t="shared" si="21"/>
        <v>0</v>
      </c>
      <c r="AA106" s="564">
        <f t="shared" si="22"/>
        <v>0</v>
      </c>
      <c r="AB106" s="564">
        <f t="shared" si="23"/>
        <v>2772.25</v>
      </c>
      <c r="AC106" s="564">
        <f t="shared" si="24"/>
        <v>0</v>
      </c>
      <c r="AE106" s="564">
        <f t="shared" si="25"/>
        <v>0</v>
      </c>
      <c r="AF106" s="564">
        <f t="shared" si="26"/>
        <v>0</v>
      </c>
      <c r="AG106" s="564">
        <f t="shared" si="27"/>
        <v>0</v>
      </c>
    </row>
    <row r="107" spans="1:33">
      <c r="A107" s="20" t="s">
        <v>109</v>
      </c>
      <c r="B107" s="20" t="s">
        <v>109</v>
      </c>
      <c r="C107" s="68" t="s">
        <v>383</v>
      </c>
      <c r="D107" s="449"/>
      <c r="E107" s="529">
        <f>VLOOKUP(C107,'Q4 DMV - Revenue'!C:S,17,FALSE)</f>
        <v>0</v>
      </c>
      <c r="F107" s="579"/>
      <c r="G107" s="579"/>
      <c r="H107" s="524"/>
      <c r="I107" s="379">
        <f t="shared" si="28"/>
        <v>0</v>
      </c>
      <c r="J107" s="31"/>
      <c r="K107" s="84"/>
      <c r="L107" s="42">
        <v>0</v>
      </c>
      <c r="M107" s="31">
        <v>0</v>
      </c>
      <c r="N107" s="429"/>
      <c r="O107" s="31">
        <v>0</v>
      </c>
      <c r="P107" s="426">
        <f t="shared" si="16"/>
        <v>0</v>
      </c>
      <c r="Q107" s="178">
        <f>775.46+410.09+377.37</f>
        <v>1562.92</v>
      </c>
      <c r="R107" s="295"/>
      <c r="S107" s="385">
        <f t="shared" si="17"/>
        <v>1562.92</v>
      </c>
      <c r="T107" s="31"/>
      <c r="U107" s="474">
        <f t="shared" si="18"/>
        <v>0</v>
      </c>
      <c r="V107" s="474">
        <f t="shared" si="19"/>
        <v>0</v>
      </c>
      <c r="W107" s="475">
        <f t="shared" si="20"/>
        <v>0</v>
      </c>
      <c r="X107" s="475">
        <v>0</v>
      </c>
      <c r="Y107" s="476">
        <v>0</v>
      </c>
      <c r="Z107" s="38">
        <f t="shared" si="21"/>
        <v>0</v>
      </c>
      <c r="AA107" s="564">
        <f t="shared" si="22"/>
        <v>0</v>
      </c>
      <c r="AB107" s="564">
        <f t="shared" si="23"/>
        <v>0</v>
      </c>
      <c r="AC107" s="564">
        <f t="shared" si="24"/>
        <v>0</v>
      </c>
      <c r="AE107" s="564">
        <f t="shared" si="25"/>
        <v>0</v>
      </c>
      <c r="AF107" s="564">
        <f t="shared" si="26"/>
        <v>0</v>
      </c>
      <c r="AG107" s="564">
        <f t="shared" si="27"/>
        <v>0</v>
      </c>
    </row>
    <row r="108" spans="1:33">
      <c r="A108" s="21" t="s">
        <v>109</v>
      </c>
      <c r="B108" s="21" t="s">
        <v>110</v>
      </c>
      <c r="C108" s="68" t="s">
        <v>65</v>
      </c>
      <c r="D108" s="449"/>
      <c r="E108" s="529">
        <f>VLOOKUP(C108,'Q4 DMV - Revenue'!C:S,17,FALSE)</f>
        <v>0</v>
      </c>
      <c r="F108" s="579"/>
      <c r="G108" s="579"/>
      <c r="H108" s="524"/>
      <c r="I108" s="379">
        <f t="shared" si="28"/>
        <v>0</v>
      </c>
      <c r="J108" s="31"/>
      <c r="K108" s="84"/>
      <c r="L108" s="42">
        <v>11000</v>
      </c>
      <c r="M108" s="31">
        <v>0</v>
      </c>
      <c r="N108" s="429"/>
      <c r="O108" s="31">
        <v>0</v>
      </c>
      <c r="P108" s="426">
        <f t="shared" si="16"/>
        <v>11000</v>
      </c>
      <c r="Q108" s="178">
        <v>0</v>
      </c>
      <c r="R108" s="295"/>
      <c r="S108" s="385">
        <f t="shared" si="17"/>
        <v>-11000</v>
      </c>
      <c r="T108" s="31"/>
      <c r="U108" s="474">
        <f t="shared" si="18"/>
        <v>11000</v>
      </c>
      <c r="V108" s="474">
        <f t="shared" si="19"/>
        <v>0</v>
      </c>
      <c r="W108" s="475">
        <f t="shared" si="20"/>
        <v>0</v>
      </c>
      <c r="X108" s="475">
        <v>0</v>
      </c>
      <c r="Y108" s="476">
        <v>0</v>
      </c>
      <c r="Z108" s="38">
        <f t="shared" si="21"/>
        <v>0</v>
      </c>
      <c r="AA108" s="564">
        <f t="shared" si="22"/>
        <v>0</v>
      </c>
      <c r="AB108" s="564">
        <f t="shared" si="23"/>
        <v>0</v>
      </c>
      <c r="AC108" s="564">
        <f t="shared" si="24"/>
        <v>0</v>
      </c>
      <c r="AE108" s="564">
        <f t="shared" si="25"/>
        <v>11000</v>
      </c>
      <c r="AF108" s="564">
        <f t="shared" si="26"/>
        <v>0</v>
      </c>
      <c r="AG108" s="564">
        <f t="shared" si="27"/>
        <v>0</v>
      </c>
    </row>
    <row r="109" spans="1:33">
      <c r="A109" s="21" t="s">
        <v>211</v>
      </c>
      <c r="B109" s="21" t="s">
        <v>109</v>
      </c>
      <c r="C109" s="68" t="s">
        <v>181</v>
      </c>
      <c r="D109" s="449">
        <f>4196.54+2575.63+3354.15</f>
        <v>10126.32</v>
      </c>
      <c r="E109" s="529">
        <f>VLOOKUP(C109,'Q4 DMV - Revenue'!C:S,17,FALSE)</f>
        <v>10562.930000000002</v>
      </c>
      <c r="F109" s="579"/>
      <c r="G109" s="579"/>
      <c r="H109" s="524"/>
      <c r="I109" s="379">
        <f t="shared" si="28"/>
        <v>20689.25</v>
      </c>
      <c r="J109" s="31"/>
      <c r="K109" s="84"/>
      <c r="L109" s="42">
        <v>10000</v>
      </c>
      <c r="M109" s="31">
        <v>0</v>
      </c>
      <c r="N109" s="429">
        <v>21341.63</v>
      </c>
      <c r="O109" s="31">
        <v>0</v>
      </c>
      <c r="P109" s="426">
        <f t="shared" si="16"/>
        <v>10000</v>
      </c>
      <c r="Q109" s="178">
        <f>3795.1-760.33</f>
        <v>3034.77</v>
      </c>
      <c r="R109" s="295"/>
      <c r="S109" s="385">
        <f t="shared" si="17"/>
        <v>-6965.23</v>
      </c>
      <c r="T109" s="31"/>
      <c r="U109" s="474">
        <f t="shared" si="18"/>
        <v>0</v>
      </c>
      <c r="V109" s="474">
        <f t="shared" si="19"/>
        <v>10000</v>
      </c>
      <c r="W109" s="475">
        <f t="shared" si="20"/>
        <v>0</v>
      </c>
      <c r="X109" s="475">
        <v>0</v>
      </c>
      <c r="Y109" s="476">
        <v>0</v>
      </c>
      <c r="Z109" s="38">
        <f t="shared" si="21"/>
        <v>0</v>
      </c>
      <c r="AA109" s="564">
        <f t="shared" si="22"/>
        <v>0</v>
      </c>
      <c r="AB109" s="564">
        <f t="shared" si="23"/>
        <v>20689.25</v>
      </c>
      <c r="AC109" s="564">
        <f t="shared" si="24"/>
        <v>0</v>
      </c>
      <c r="AE109" s="564">
        <f t="shared" si="25"/>
        <v>0</v>
      </c>
      <c r="AF109" s="564">
        <f t="shared" si="26"/>
        <v>10000</v>
      </c>
      <c r="AG109" s="564">
        <f t="shared" si="27"/>
        <v>0</v>
      </c>
    </row>
    <row r="110" spans="1:33">
      <c r="A110" s="20" t="s">
        <v>211</v>
      </c>
      <c r="B110" s="20" t="s">
        <v>109</v>
      </c>
      <c r="C110" s="68" t="s">
        <v>142</v>
      </c>
      <c r="D110" s="449"/>
      <c r="E110" s="529">
        <f>VLOOKUP(C110,'Q4 DMV - Revenue'!C:S,17,FALSE)</f>
        <v>0</v>
      </c>
      <c r="F110" s="579"/>
      <c r="G110" s="579"/>
      <c r="H110" s="524"/>
      <c r="I110" s="379">
        <f t="shared" si="28"/>
        <v>0</v>
      </c>
      <c r="J110" s="2"/>
      <c r="K110" s="336"/>
      <c r="L110" s="596">
        <v>2126.83</v>
      </c>
      <c r="M110" s="31">
        <v>0</v>
      </c>
      <c r="N110" s="429"/>
      <c r="O110" s="31">
        <v>0</v>
      </c>
      <c r="P110" s="426">
        <f t="shared" si="16"/>
        <v>2126.83</v>
      </c>
      <c r="Q110" s="178">
        <v>5655.45</v>
      </c>
      <c r="R110" s="295"/>
      <c r="S110" s="385">
        <f t="shared" si="17"/>
        <v>3528.62</v>
      </c>
      <c r="T110" s="2"/>
      <c r="U110" s="474">
        <f t="shared" si="18"/>
        <v>0</v>
      </c>
      <c r="V110" s="474">
        <f t="shared" si="19"/>
        <v>2126.83</v>
      </c>
      <c r="W110" s="475">
        <f t="shared" si="20"/>
        <v>0</v>
      </c>
      <c r="X110" s="475">
        <v>0</v>
      </c>
      <c r="Y110" s="476">
        <v>0</v>
      </c>
      <c r="Z110" s="38">
        <f t="shared" si="21"/>
        <v>0</v>
      </c>
      <c r="AA110" s="564">
        <f t="shared" si="22"/>
        <v>0</v>
      </c>
      <c r="AB110" s="564">
        <f t="shared" si="23"/>
        <v>0</v>
      </c>
      <c r="AC110" s="564">
        <f t="shared" si="24"/>
        <v>0</v>
      </c>
      <c r="AE110" s="564">
        <f t="shared" si="25"/>
        <v>0</v>
      </c>
      <c r="AF110" s="564">
        <f t="shared" si="26"/>
        <v>2126.83</v>
      </c>
      <c r="AG110" s="564">
        <f t="shared" si="27"/>
        <v>0</v>
      </c>
    </row>
    <row r="111" spans="1:33">
      <c r="A111" s="20" t="s">
        <v>211</v>
      </c>
      <c r="B111" s="20" t="s">
        <v>109</v>
      </c>
      <c r="C111" s="68" t="s">
        <v>143</v>
      </c>
      <c r="D111" s="449"/>
      <c r="E111" s="529">
        <f>VLOOKUP(C111,'Q4 DMV - Revenue'!C:S,17,FALSE)</f>
        <v>0</v>
      </c>
      <c r="F111" s="579"/>
      <c r="G111" s="579"/>
      <c r="H111" s="524"/>
      <c r="I111" s="379">
        <f t="shared" si="28"/>
        <v>0</v>
      </c>
      <c r="J111" s="2"/>
      <c r="K111" s="336"/>
      <c r="L111" s="234">
        <v>1000</v>
      </c>
      <c r="M111" s="31">
        <v>0</v>
      </c>
      <c r="N111" s="429"/>
      <c r="O111" s="31">
        <v>0</v>
      </c>
      <c r="P111" s="426">
        <f t="shared" si="16"/>
        <v>1000</v>
      </c>
      <c r="Q111" s="178">
        <v>143.44999999999999</v>
      </c>
      <c r="R111" s="295"/>
      <c r="S111" s="385">
        <f t="shared" si="17"/>
        <v>-856.55</v>
      </c>
      <c r="T111" s="2"/>
      <c r="U111" s="474">
        <f t="shared" si="18"/>
        <v>0</v>
      </c>
      <c r="V111" s="474">
        <f t="shared" si="19"/>
        <v>1000</v>
      </c>
      <c r="W111" s="475">
        <f t="shared" si="20"/>
        <v>0</v>
      </c>
      <c r="X111" s="475">
        <v>0</v>
      </c>
      <c r="Y111" s="476">
        <v>0</v>
      </c>
      <c r="Z111" s="38">
        <f t="shared" si="21"/>
        <v>0</v>
      </c>
      <c r="AA111" s="564">
        <f t="shared" si="22"/>
        <v>0</v>
      </c>
      <c r="AB111" s="564">
        <f t="shared" si="23"/>
        <v>0</v>
      </c>
      <c r="AC111" s="564">
        <f t="shared" si="24"/>
        <v>0</v>
      </c>
      <c r="AE111" s="564">
        <f t="shared" si="25"/>
        <v>0</v>
      </c>
      <c r="AF111" s="564">
        <f t="shared" si="26"/>
        <v>1000</v>
      </c>
      <c r="AG111" s="564">
        <f t="shared" si="27"/>
        <v>0</v>
      </c>
    </row>
    <row r="112" spans="1:33">
      <c r="A112" s="21"/>
      <c r="B112" s="21" t="s">
        <v>110</v>
      </c>
      <c r="C112" s="68" t="s">
        <v>20</v>
      </c>
      <c r="D112" s="449"/>
      <c r="E112" s="529">
        <f>VLOOKUP(C112,'Q4 DMV - Revenue'!C:S,17,FALSE)</f>
        <v>0</v>
      </c>
      <c r="F112" s="576">
        <v>130.6</v>
      </c>
      <c r="G112" s="576">
        <f>134.89/2</f>
        <v>67.444999999999993</v>
      </c>
      <c r="H112" s="576">
        <f>134.89/2</f>
        <v>67.444999999999993</v>
      </c>
      <c r="I112" s="379">
        <f t="shared" si="28"/>
        <v>265.49</v>
      </c>
      <c r="J112" s="31"/>
      <c r="K112" s="84"/>
      <c r="L112" s="42">
        <v>350</v>
      </c>
      <c r="M112" s="31">
        <v>0</v>
      </c>
      <c r="N112" s="429"/>
      <c r="O112" s="31">
        <v>0</v>
      </c>
      <c r="P112" s="426">
        <f t="shared" si="16"/>
        <v>350</v>
      </c>
      <c r="Q112" s="178">
        <v>0</v>
      </c>
      <c r="R112" s="295"/>
      <c r="S112" s="385">
        <f t="shared" si="17"/>
        <v>-350</v>
      </c>
      <c r="T112" s="31"/>
      <c r="U112" s="474">
        <f t="shared" si="18"/>
        <v>350</v>
      </c>
      <c r="V112" s="474">
        <f t="shared" si="19"/>
        <v>0</v>
      </c>
      <c r="W112" s="475">
        <f t="shared" si="20"/>
        <v>0</v>
      </c>
      <c r="X112" s="475">
        <v>0</v>
      </c>
      <c r="Y112" s="476">
        <v>0</v>
      </c>
      <c r="Z112" s="38">
        <f t="shared" si="21"/>
        <v>0</v>
      </c>
      <c r="AA112" s="564">
        <f t="shared" si="22"/>
        <v>265.49</v>
      </c>
      <c r="AB112" s="564">
        <f t="shared" si="23"/>
        <v>0</v>
      </c>
      <c r="AC112" s="564">
        <f t="shared" si="24"/>
        <v>0</v>
      </c>
      <c r="AE112" s="564">
        <f t="shared" si="25"/>
        <v>350</v>
      </c>
      <c r="AF112" s="564">
        <f t="shared" si="26"/>
        <v>0</v>
      </c>
      <c r="AG112" s="564">
        <f t="shared" si="27"/>
        <v>0</v>
      </c>
    </row>
    <row r="113" spans="1:33">
      <c r="A113" s="21"/>
      <c r="B113" s="21" t="s">
        <v>110</v>
      </c>
      <c r="C113" s="68" t="s">
        <v>203</v>
      </c>
      <c r="D113" s="449"/>
      <c r="E113" s="529">
        <f>VLOOKUP(C113,'Q4 DMV - Revenue'!C:S,17,FALSE)</f>
        <v>0</v>
      </c>
      <c r="F113" s="576">
        <v>583.55999999999995</v>
      </c>
      <c r="G113" s="576">
        <v>431.18</v>
      </c>
      <c r="H113" s="525">
        <v>517.41999999999996</v>
      </c>
      <c r="I113" s="379">
        <f t="shared" si="28"/>
        <v>1532.1599999999999</v>
      </c>
      <c r="J113" s="31"/>
      <c r="K113" s="84"/>
      <c r="L113" s="42">
        <v>0</v>
      </c>
      <c r="M113" s="31">
        <v>0</v>
      </c>
      <c r="N113" s="429"/>
      <c r="O113" s="31">
        <v>0</v>
      </c>
      <c r="P113" s="426">
        <f t="shared" si="16"/>
        <v>0</v>
      </c>
      <c r="Q113" s="178">
        <v>0</v>
      </c>
      <c r="R113" s="295"/>
      <c r="S113" s="385">
        <f t="shared" si="17"/>
        <v>0</v>
      </c>
      <c r="T113" s="31"/>
      <c r="U113" s="474">
        <f t="shared" si="18"/>
        <v>0</v>
      </c>
      <c r="V113" s="474">
        <f t="shared" si="19"/>
        <v>0</v>
      </c>
      <c r="W113" s="475">
        <f t="shared" si="20"/>
        <v>0</v>
      </c>
      <c r="X113" s="475">
        <v>0</v>
      </c>
      <c r="Y113" s="476">
        <v>0</v>
      </c>
      <c r="Z113" s="38">
        <f t="shared" si="21"/>
        <v>0</v>
      </c>
      <c r="AA113" s="564">
        <f t="shared" si="22"/>
        <v>1532.1599999999999</v>
      </c>
      <c r="AB113" s="564">
        <f t="shared" si="23"/>
        <v>0</v>
      </c>
      <c r="AC113" s="564">
        <f t="shared" si="24"/>
        <v>0</v>
      </c>
      <c r="AE113" s="564">
        <f t="shared" si="25"/>
        <v>0</v>
      </c>
      <c r="AF113" s="564">
        <f t="shared" si="26"/>
        <v>0</v>
      </c>
      <c r="AG113" s="564">
        <f t="shared" si="27"/>
        <v>0</v>
      </c>
    </row>
    <row r="114" spans="1:33">
      <c r="A114" s="21"/>
      <c r="B114" s="21" t="s">
        <v>110</v>
      </c>
      <c r="C114" s="68" t="s">
        <v>202</v>
      </c>
      <c r="D114" s="449"/>
      <c r="E114" s="529">
        <f>VLOOKUP(C114,'Q4 DMV - Revenue'!C:S,17,FALSE)</f>
        <v>0</v>
      </c>
      <c r="F114" s="576">
        <v>1975.2</v>
      </c>
      <c r="G114" s="576">
        <v>1234.6500000000001</v>
      </c>
      <c r="H114" s="524"/>
      <c r="I114" s="379">
        <f t="shared" si="28"/>
        <v>3209.8500000000004</v>
      </c>
      <c r="J114" s="31"/>
      <c r="K114" s="84"/>
      <c r="L114" s="42">
        <f>(F114+G114)/2</f>
        <v>1604.9250000000002</v>
      </c>
      <c r="M114" s="31">
        <v>0</v>
      </c>
      <c r="N114" s="429"/>
      <c r="O114" s="31">
        <v>0</v>
      </c>
      <c r="P114" s="426">
        <f t="shared" si="16"/>
        <v>1604.9250000000002</v>
      </c>
      <c r="Q114" s="178">
        <v>2721.18</v>
      </c>
      <c r="R114" s="295"/>
      <c r="S114" s="385">
        <f t="shared" si="17"/>
        <v>1116.2549999999997</v>
      </c>
      <c r="T114" s="31"/>
      <c r="U114" s="474">
        <f t="shared" si="18"/>
        <v>1604.9250000000002</v>
      </c>
      <c r="V114" s="474">
        <f t="shared" si="19"/>
        <v>0</v>
      </c>
      <c r="W114" s="475">
        <f t="shared" si="20"/>
        <v>0</v>
      </c>
      <c r="X114" s="475">
        <v>0</v>
      </c>
      <c r="Y114" s="476">
        <v>0</v>
      </c>
      <c r="Z114" s="38">
        <f t="shared" si="21"/>
        <v>0</v>
      </c>
      <c r="AA114" s="564">
        <f t="shared" si="22"/>
        <v>3209.8500000000004</v>
      </c>
      <c r="AB114" s="564">
        <f t="shared" si="23"/>
        <v>0</v>
      </c>
      <c r="AC114" s="564">
        <f t="shared" si="24"/>
        <v>0</v>
      </c>
      <c r="AE114" s="564">
        <f t="shared" si="25"/>
        <v>1604.9250000000002</v>
      </c>
      <c r="AF114" s="564">
        <f t="shared" si="26"/>
        <v>0</v>
      </c>
      <c r="AG114" s="564">
        <f t="shared" si="27"/>
        <v>0</v>
      </c>
    </row>
    <row r="115" spans="1:33">
      <c r="A115" s="20" t="s">
        <v>211</v>
      </c>
      <c r="B115" s="20" t="s">
        <v>109</v>
      </c>
      <c r="C115" s="373" t="s">
        <v>466</v>
      </c>
      <c r="D115" s="449"/>
      <c r="E115" s="529">
        <v>0</v>
      </c>
      <c r="F115" s="579"/>
      <c r="G115" s="576">
        <v>849.88</v>
      </c>
      <c r="H115" s="525">
        <v>1621.54</v>
      </c>
      <c r="I115" s="379">
        <f t="shared" si="28"/>
        <v>2471.42</v>
      </c>
      <c r="J115" s="2"/>
      <c r="K115" s="336"/>
      <c r="L115" s="42">
        <v>0</v>
      </c>
      <c r="M115" s="31">
        <v>0</v>
      </c>
      <c r="N115" s="429"/>
      <c r="O115" s="31">
        <v>0</v>
      </c>
      <c r="P115" s="426">
        <f t="shared" si="16"/>
        <v>0</v>
      </c>
      <c r="Q115" s="178">
        <v>0</v>
      </c>
      <c r="R115" s="295"/>
      <c r="S115" s="385">
        <f t="shared" si="17"/>
        <v>0</v>
      </c>
      <c r="T115" s="2"/>
      <c r="U115" s="474">
        <f t="shared" si="18"/>
        <v>0</v>
      </c>
      <c r="V115" s="474">
        <f t="shared" si="19"/>
        <v>0</v>
      </c>
      <c r="W115" s="475">
        <f t="shared" si="20"/>
        <v>0</v>
      </c>
      <c r="X115" s="475">
        <v>0</v>
      </c>
      <c r="Y115" s="476">
        <v>0</v>
      </c>
      <c r="Z115" s="38">
        <f t="shared" si="21"/>
        <v>0</v>
      </c>
      <c r="AA115" s="564">
        <f t="shared" si="22"/>
        <v>0</v>
      </c>
      <c r="AB115" s="564">
        <f t="shared" si="23"/>
        <v>2471.42</v>
      </c>
      <c r="AC115" s="564">
        <f t="shared" si="24"/>
        <v>0</v>
      </c>
      <c r="AE115" s="564">
        <f t="shared" si="25"/>
        <v>0</v>
      </c>
      <c r="AF115" s="564">
        <f t="shared" si="26"/>
        <v>0</v>
      </c>
      <c r="AG115" s="564">
        <f t="shared" si="27"/>
        <v>0</v>
      </c>
    </row>
    <row r="116" spans="1:33" s="232" customFormat="1">
      <c r="A116" s="283"/>
      <c r="B116" s="283" t="s">
        <v>110</v>
      </c>
      <c r="C116" s="123" t="s">
        <v>386</v>
      </c>
      <c r="D116" s="514"/>
      <c r="E116" s="529">
        <f>VLOOKUP(C116,'Q4 DMV - Revenue'!C:S,17,FALSE)</f>
        <v>0</v>
      </c>
      <c r="F116" s="576">
        <v>3100354.22</v>
      </c>
      <c r="G116" s="576">
        <v>2053236.7</v>
      </c>
      <c r="H116" s="525">
        <v>2058045.74</v>
      </c>
      <c r="I116" s="379">
        <f t="shared" si="28"/>
        <v>7211636.6600000001</v>
      </c>
      <c r="J116" s="31"/>
      <c r="K116" s="411"/>
      <c r="L116" s="290">
        <v>0</v>
      </c>
      <c r="M116" s="31">
        <v>0</v>
      </c>
      <c r="N116" s="429">
        <v>732028.76</v>
      </c>
      <c r="O116" s="31">
        <v>0</v>
      </c>
      <c r="P116" s="426">
        <f t="shared" si="16"/>
        <v>0</v>
      </c>
      <c r="Q116" s="14">
        <f>249.37+119.7+145.51+2.97</f>
        <v>517.54999999999995</v>
      </c>
      <c r="R116" s="295"/>
      <c r="S116" s="385">
        <f t="shared" si="17"/>
        <v>517.54999999999995</v>
      </c>
      <c r="T116" s="31"/>
      <c r="U116" s="474">
        <f t="shared" si="18"/>
        <v>0</v>
      </c>
      <c r="V116" s="474">
        <f t="shared" si="19"/>
        <v>0</v>
      </c>
      <c r="W116" s="475">
        <f t="shared" si="20"/>
        <v>0</v>
      </c>
      <c r="X116" s="475">
        <v>0</v>
      </c>
      <c r="Y116" s="476">
        <v>0</v>
      </c>
      <c r="Z116" s="38">
        <f t="shared" si="21"/>
        <v>0</v>
      </c>
      <c r="AA116" s="564">
        <f t="shared" si="22"/>
        <v>7211636.6600000001</v>
      </c>
      <c r="AB116" s="564">
        <f t="shared" si="23"/>
        <v>0</v>
      </c>
      <c r="AC116" s="564">
        <f t="shared" si="24"/>
        <v>0</v>
      </c>
      <c r="AD116" s="597"/>
      <c r="AE116" s="564">
        <f t="shared" si="25"/>
        <v>0</v>
      </c>
      <c r="AF116" s="564">
        <f t="shared" si="26"/>
        <v>0</v>
      </c>
      <c r="AG116" s="564">
        <f t="shared" si="27"/>
        <v>0</v>
      </c>
    </row>
    <row r="117" spans="1:33" s="232" customFormat="1">
      <c r="A117" s="283"/>
      <c r="B117" s="283" t="s">
        <v>110</v>
      </c>
      <c r="C117" s="123" t="s">
        <v>331</v>
      </c>
      <c r="D117" s="514"/>
      <c r="E117" s="529">
        <f>VLOOKUP(C117,'Q4 DMV - Revenue'!C:S,17,FALSE)</f>
        <v>0</v>
      </c>
      <c r="F117" s="576">
        <v>50383</v>
      </c>
      <c r="G117" s="576">
        <v>32317.1</v>
      </c>
      <c r="H117" s="525">
        <v>31692</v>
      </c>
      <c r="I117" s="379">
        <f t="shared" si="28"/>
        <v>114392.1</v>
      </c>
      <c r="J117" s="31"/>
      <c r="K117" s="410"/>
      <c r="L117" s="290">
        <v>0</v>
      </c>
      <c r="M117" s="31">
        <v>0</v>
      </c>
      <c r="N117" s="429"/>
      <c r="O117" s="31">
        <v>0</v>
      </c>
      <c r="P117" s="426">
        <f t="shared" si="16"/>
        <v>0</v>
      </c>
      <c r="Q117" s="14">
        <v>0</v>
      </c>
      <c r="R117" s="295"/>
      <c r="S117" s="385">
        <f t="shared" si="17"/>
        <v>0</v>
      </c>
      <c r="T117" s="31"/>
      <c r="U117" s="474">
        <f t="shared" si="18"/>
        <v>0</v>
      </c>
      <c r="V117" s="474">
        <f t="shared" si="19"/>
        <v>0</v>
      </c>
      <c r="W117" s="475">
        <f t="shared" si="20"/>
        <v>0</v>
      </c>
      <c r="X117" s="475">
        <v>0</v>
      </c>
      <c r="Y117" s="476">
        <v>0</v>
      </c>
      <c r="Z117" s="38">
        <f t="shared" si="21"/>
        <v>0</v>
      </c>
      <c r="AA117" s="564">
        <f t="shared" si="22"/>
        <v>114392.1</v>
      </c>
      <c r="AB117" s="564">
        <f t="shared" si="23"/>
        <v>0</v>
      </c>
      <c r="AC117" s="564">
        <f t="shared" si="24"/>
        <v>0</v>
      </c>
      <c r="AD117" s="597"/>
      <c r="AE117" s="564">
        <f t="shared" si="25"/>
        <v>0</v>
      </c>
      <c r="AF117" s="564">
        <f t="shared" si="26"/>
        <v>0</v>
      </c>
      <c r="AG117" s="564">
        <f t="shared" si="27"/>
        <v>0</v>
      </c>
    </row>
    <row r="118" spans="1:33" s="232" customFormat="1">
      <c r="A118" s="283"/>
      <c r="B118" s="283" t="s">
        <v>110</v>
      </c>
      <c r="C118" s="413" t="s">
        <v>332</v>
      </c>
      <c r="D118" s="540"/>
      <c r="E118" s="529">
        <f>VLOOKUP(C118,'Q4 DMV - Revenue'!C:S,17,FALSE)</f>
        <v>0</v>
      </c>
      <c r="F118" s="576">
        <f>1283288.91+12290.91</f>
        <v>1295579.8199999998</v>
      </c>
      <c r="G118" s="576">
        <f>929329.33+7047.9</f>
        <v>936377.23</v>
      </c>
      <c r="H118" s="525">
        <f>930386.46+5214.44</f>
        <v>935600.89999999991</v>
      </c>
      <c r="I118" s="379">
        <f t="shared" si="28"/>
        <v>3167557.9499999997</v>
      </c>
      <c r="J118" s="31"/>
      <c r="K118" s="410"/>
      <c r="L118" s="290">
        <v>0</v>
      </c>
      <c r="M118" s="31">
        <v>0</v>
      </c>
      <c r="N118" s="429">
        <f>3147907.88+24553.25</f>
        <v>3172461.13</v>
      </c>
      <c r="O118" s="31">
        <v>0</v>
      </c>
      <c r="P118" s="426">
        <f t="shared" si="16"/>
        <v>0</v>
      </c>
      <c r="Q118" s="14">
        <v>0</v>
      </c>
      <c r="R118" s="295"/>
      <c r="S118" s="385">
        <f t="shared" si="17"/>
        <v>0</v>
      </c>
      <c r="T118" s="31"/>
      <c r="U118" s="474">
        <f t="shared" si="18"/>
        <v>0</v>
      </c>
      <c r="V118" s="474">
        <f t="shared" si="19"/>
        <v>0</v>
      </c>
      <c r="W118" s="475">
        <f t="shared" si="20"/>
        <v>0</v>
      </c>
      <c r="X118" s="475">
        <v>0</v>
      </c>
      <c r="Y118" s="476">
        <v>0</v>
      </c>
      <c r="Z118" s="38">
        <f t="shared" si="21"/>
        <v>0</v>
      </c>
      <c r="AA118" s="564">
        <f t="shared" si="22"/>
        <v>3167557.9499999997</v>
      </c>
      <c r="AB118" s="564">
        <f t="shared" si="23"/>
        <v>0</v>
      </c>
      <c r="AC118" s="564">
        <f t="shared" si="24"/>
        <v>0</v>
      </c>
      <c r="AD118" s="597"/>
      <c r="AE118" s="564">
        <f t="shared" si="25"/>
        <v>0</v>
      </c>
      <c r="AF118" s="564">
        <f t="shared" si="26"/>
        <v>0</v>
      </c>
      <c r="AG118" s="564">
        <f t="shared" si="27"/>
        <v>0</v>
      </c>
    </row>
    <row r="119" spans="1:33" s="232" customFormat="1">
      <c r="A119" s="283"/>
      <c r="B119" s="283" t="s">
        <v>110</v>
      </c>
      <c r="C119" s="123" t="s">
        <v>333</v>
      </c>
      <c r="D119" s="514"/>
      <c r="E119" s="529">
        <f>VLOOKUP(C119,'Q4 DMV - Revenue'!C:S,17,FALSE)</f>
        <v>0</v>
      </c>
      <c r="F119" s="576">
        <v>1725.42</v>
      </c>
      <c r="G119" s="576">
        <v>1627.59</v>
      </c>
      <c r="H119" s="525">
        <v>1550.17</v>
      </c>
      <c r="I119" s="379">
        <f t="shared" si="28"/>
        <v>4903.18</v>
      </c>
      <c r="J119" s="31"/>
      <c r="K119" s="410"/>
      <c r="L119" s="290">
        <v>0</v>
      </c>
      <c r="M119" s="31">
        <v>0</v>
      </c>
      <c r="N119" s="429"/>
      <c r="O119" s="31">
        <v>0</v>
      </c>
      <c r="P119" s="426">
        <f t="shared" si="16"/>
        <v>0</v>
      </c>
      <c r="Q119" s="14">
        <v>0</v>
      </c>
      <c r="R119" s="295"/>
      <c r="S119" s="385">
        <f t="shared" si="17"/>
        <v>0</v>
      </c>
      <c r="T119" s="31"/>
      <c r="U119" s="474">
        <f t="shared" si="18"/>
        <v>0</v>
      </c>
      <c r="V119" s="474">
        <f t="shared" si="19"/>
        <v>0</v>
      </c>
      <c r="W119" s="475">
        <f t="shared" si="20"/>
        <v>0</v>
      </c>
      <c r="X119" s="475">
        <v>0</v>
      </c>
      <c r="Y119" s="476">
        <v>0</v>
      </c>
      <c r="Z119" s="38">
        <f t="shared" si="21"/>
        <v>0</v>
      </c>
      <c r="AA119" s="564">
        <f t="shared" si="22"/>
        <v>4903.18</v>
      </c>
      <c r="AB119" s="564">
        <f t="shared" si="23"/>
        <v>0</v>
      </c>
      <c r="AC119" s="564">
        <f t="shared" si="24"/>
        <v>0</v>
      </c>
      <c r="AD119" s="597"/>
      <c r="AE119" s="564">
        <f t="shared" si="25"/>
        <v>0</v>
      </c>
      <c r="AF119" s="564">
        <f t="shared" si="26"/>
        <v>0</v>
      </c>
      <c r="AG119" s="564">
        <f t="shared" si="27"/>
        <v>0</v>
      </c>
    </row>
    <row r="120" spans="1:33" s="232" customFormat="1">
      <c r="A120" s="283"/>
      <c r="B120" s="283" t="s">
        <v>110</v>
      </c>
      <c r="C120" s="123" t="s">
        <v>334</v>
      </c>
      <c r="D120" s="514"/>
      <c r="E120" s="529">
        <f>VLOOKUP(C120,'Q4 DMV - Revenue'!C:S,17,FALSE)</f>
        <v>0</v>
      </c>
      <c r="F120" s="576">
        <v>310985.99</v>
      </c>
      <c r="G120" s="576">
        <v>201021.99</v>
      </c>
      <c r="H120" s="525">
        <v>194334.25</v>
      </c>
      <c r="I120" s="379">
        <f t="shared" si="28"/>
        <v>706342.23</v>
      </c>
      <c r="J120" s="31"/>
      <c r="K120" s="411"/>
      <c r="L120" s="290">
        <v>0</v>
      </c>
      <c r="M120" s="31">
        <v>0</v>
      </c>
      <c r="N120" s="429">
        <v>708784.76</v>
      </c>
      <c r="O120" s="31">
        <v>0</v>
      </c>
      <c r="P120" s="426">
        <f t="shared" si="16"/>
        <v>0</v>
      </c>
      <c r="Q120" s="14">
        <v>0</v>
      </c>
      <c r="R120" s="295"/>
      <c r="S120" s="385">
        <f t="shared" si="17"/>
        <v>0</v>
      </c>
      <c r="T120" s="31"/>
      <c r="U120" s="474">
        <f t="shared" si="18"/>
        <v>0</v>
      </c>
      <c r="V120" s="474">
        <f t="shared" si="19"/>
        <v>0</v>
      </c>
      <c r="W120" s="475">
        <f t="shared" si="20"/>
        <v>0</v>
      </c>
      <c r="X120" s="475">
        <v>0</v>
      </c>
      <c r="Y120" s="476">
        <v>0</v>
      </c>
      <c r="Z120" s="38">
        <f t="shared" si="21"/>
        <v>0</v>
      </c>
      <c r="AA120" s="564">
        <f t="shared" si="22"/>
        <v>706342.23</v>
      </c>
      <c r="AB120" s="564">
        <f t="shared" si="23"/>
        <v>0</v>
      </c>
      <c r="AC120" s="564">
        <f t="shared" si="24"/>
        <v>0</v>
      </c>
      <c r="AD120" s="597"/>
      <c r="AE120" s="564">
        <f t="shared" si="25"/>
        <v>0</v>
      </c>
      <c r="AF120" s="564">
        <f t="shared" si="26"/>
        <v>0</v>
      </c>
      <c r="AG120" s="564">
        <f t="shared" si="27"/>
        <v>0</v>
      </c>
    </row>
    <row r="121" spans="1:33" s="232" customFormat="1">
      <c r="A121" s="283"/>
      <c r="B121" s="283" t="s">
        <v>110</v>
      </c>
      <c r="C121" s="123" t="s">
        <v>335</v>
      </c>
      <c r="D121" s="449"/>
      <c r="E121" s="529">
        <f>VLOOKUP(C121,'Q4 DMV - Revenue'!C:S,17,FALSE)</f>
        <v>0</v>
      </c>
      <c r="F121" s="576">
        <v>1013.46</v>
      </c>
      <c r="G121" s="576">
        <v>756.15</v>
      </c>
      <c r="H121" s="525">
        <v>672.92</v>
      </c>
      <c r="I121" s="379">
        <f t="shared" si="28"/>
        <v>2442.5300000000002</v>
      </c>
      <c r="J121" s="31"/>
      <c r="K121" s="410"/>
      <c r="L121" s="290">
        <v>0</v>
      </c>
      <c r="M121" s="31">
        <v>0</v>
      </c>
      <c r="N121" s="429"/>
      <c r="O121" s="31">
        <v>0</v>
      </c>
      <c r="P121" s="426">
        <f t="shared" si="16"/>
        <v>0</v>
      </c>
      <c r="Q121" s="14">
        <v>0</v>
      </c>
      <c r="R121" s="295"/>
      <c r="S121" s="385">
        <f t="shared" si="17"/>
        <v>0</v>
      </c>
      <c r="T121" s="31"/>
      <c r="U121" s="474">
        <f t="shared" si="18"/>
        <v>0</v>
      </c>
      <c r="V121" s="474">
        <f t="shared" si="19"/>
        <v>0</v>
      </c>
      <c r="W121" s="475">
        <f t="shared" si="20"/>
        <v>0</v>
      </c>
      <c r="X121" s="475">
        <v>0</v>
      </c>
      <c r="Y121" s="476">
        <v>0</v>
      </c>
      <c r="Z121" s="38">
        <f t="shared" si="21"/>
        <v>0</v>
      </c>
      <c r="AA121" s="564">
        <f t="shared" si="22"/>
        <v>2442.5300000000002</v>
      </c>
      <c r="AB121" s="564">
        <f t="shared" si="23"/>
        <v>0</v>
      </c>
      <c r="AC121" s="564">
        <f t="shared" si="24"/>
        <v>0</v>
      </c>
      <c r="AD121" s="597"/>
      <c r="AE121" s="564">
        <f t="shared" si="25"/>
        <v>0</v>
      </c>
      <c r="AF121" s="564">
        <f t="shared" si="26"/>
        <v>0</v>
      </c>
      <c r="AG121" s="564">
        <f t="shared" si="27"/>
        <v>0</v>
      </c>
    </row>
    <row r="122" spans="1:33" s="232" customFormat="1">
      <c r="A122" s="283"/>
      <c r="B122" s="283" t="s">
        <v>110</v>
      </c>
      <c r="C122" s="123" t="s">
        <v>336</v>
      </c>
      <c r="D122" s="449"/>
      <c r="E122" s="529">
        <f>VLOOKUP(C122,'Q4 DMV - Revenue'!C:S,17,FALSE)</f>
        <v>0</v>
      </c>
      <c r="F122" s="576">
        <v>287886.59000000003</v>
      </c>
      <c r="G122" s="576">
        <v>192462.4</v>
      </c>
      <c r="H122" s="525">
        <v>200873.66</v>
      </c>
      <c r="I122" s="379">
        <f t="shared" si="28"/>
        <v>681222.65</v>
      </c>
      <c r="J122" s="31"/>
      <c r="K122" s="410"/>
      <c r="L122" s="290">
        <v>0</v>
      </c>
      <c r="M122" s="31">
        <v>0</v>
      </c>
      <c r="N122" s="429">
        <v>694078.05</v>
      </c>
      <c r="O122" s="31">
        <v>0</v>
      </c>
      <c r="P122" s="426">
        <f t="shared" si="16"/>
        <v>0</v>
      </c>
      <c r="Q122" s="14">
        <v>0</v>
      </c>
      <c r="R122" s="295"/>
      <c r="S122" s="385">
        <f t="shared" si="17"/>
        <v>0</v>
      </c>
      <c r="T122" s="31"/>
      <c r="U122" s="474">
        <f t="shared" si="18"/>
        <v>0</v>
      </c>
      <c r="V122" s="474">
        <f t="shared" si="19"/>
        <v>0</v>
      </c>
      <c r="W122" s="475">
        <f t="shared" si="20"/>
        <v>0</v>
      </c>
      <c r="X122" s="475">
        <v>0</v>
      </c>
      <c r="Y122" s="476">
        <v>0</v>
      </c>
      <c r="Z122" s="38">
        <f t="shared" si="21"/>
        <v>0</v>
      </c>
      <c r="AA122" s="564">
        <f t="shared" si="22"/>
        <v>681222.65</v>
      </c>
      <c r="AB122" s="564">
        <f t="shared" si="23"/>
        <v>0</v>
      </c>
      <c r="AC122" s="564">
        <f t="shared" si="24"/>
        <v>0</v>
      </c>
      <c r="AD122" s="597"/>
      <c r="AE122" s="564">
        <f t="shared" si="25"/>
        <v>0</v>
      </c>
      <c r="AF122" s="564">
        <f t="shared" si="26"/>
        <v>0</v>
      </c>
      <c r="AG122" s="564">
        <f t="shared" si="27"/>
        <v>0</v>
      </c>
    </row>
    <row r="123" spans="1:33" s="232" customFormat="1">
      <c r="A123" s="283"/>
      <c r="B123" s="283" t="s">
        <v>110</v>
      </c>
      <c r="C123" s="123" t="s">
        <v>337</v>
      </c>
      <c r="D123" s="449"/>
      <c r="E123" s="529">
        <f>VLOOKUP(C123,'Q4 DMV - Revenue'!C:S,17,FALSE)</f>
        <v>0</v>
      </c>
      <c r="F123" s="576">
        <v>1266.8900000000001</v>
      </c>
      <c r="G123" s="576">
        <v>754.17</v>
      </c>
      <c r="H123" s="525">
        <v>834.33</v>
      </c>
      <c r="I123" s="379">
        <f t="shared" si="28"/>
        <v>2855.39</v>
      </c>
      <c r="J123" s="31"/>
      <c r="K123" s="410"/>
      <c r="L123" s="290">
        <v>0</v>
      </c>
      <c r="M123" s="31">
        <v>0</v>
      </c>
      <c r="N123" s="429"/>
      <c r="O123" s="31">
        <v>0</v>
      </c>
      <c r="P123" s="426">
        <f t="shared" si="16"/>
        <v>0</v>
      </c>
      <c r="Q123" s="14">
        <v>0</v>
      </c>
      <c r="R123" s="295"/>
      <c r="S123" s="385">
        <f t="shared" si="17"/>
        <v>0</v>
      </c>
      <c r="T123" s="31"/>
      <c r="U123" s="474">
        <f t="shared" si="18"/>
        <v>0</v>
      </c>
      <c r="V123" s="474">
        <f t="shared" si="19"/>
        <v>0</v>
      </c>
      <c r="W123" s="475">
        <f t="shared" si="20"/>
        <v>0</v>
      </c>
      <c r="X123" s="475">
        <v>0</v>
      </c>
      <c r="Y123" s="476">
        <v>0</v>
      </c>
      <c r="Z123" s="38">
        <f t="shared" si="21"/>
        <v>0</v>
      </c>
      <c r="AA123" s="564">
        <f t="shared" si="22"/>
        <v>2855.39</v>
      </c>
      <c r="AB123" s="564">
        <f t="shared" si="23"/>
        <v>0</v>
      </c>
      <c r="AC123" s="564">
        <f t="shared" si="24"/>
        <v>0</v>
      </c>
      <c r="AD123" s="597"/>
      <c r="AE123" s="564">
        <f t="shared" si="25"/>
        <v>0</v>
      </c>
      <c r="AF123" s="564">
        <f t="shared" si="26"/>
        <v>0</v>
      </c>
      <c r="AG123" s="564">
        <f t="shared" si="27"/>
        <v>0</v>
      </c>
    </row>
    <row r="124" spans="1:33" s="232" customFormat="1">
      <c r="A124" s="283"/>
      <c r="B124" s="283" t="s">
        <v>110</v>
      </c>
      <c r="C124" s="123" t="s">
        <v>338</v>
      </c>
      <c r="D124" s="449"/>
      <c r="E124" s="529">
        <f>VLOOKUP(C124,'Q4 DMV - Revenue'!C:S,17,FALSE)</f>
        <v>0</v>
      </c>
      <c r="F124" s="576">
        <v>94248.51</v>
      </c>
      <c r="G124" s="576">
        <v>80348.13</v>
      </c>
      <c r="H124" s="525">
        <v>78259.14</v>
      </c>
      <c r="I124" s="379">
        <f t="shared" si="28"/>
        <v>252855.78000000003</v>
      </c>
      <c r="J124" s="31"/>
      <c r="K124" s="410"/>
      <c r="L124" s="290">
        <v>0</v>
      </c>
      <c r="M124" s="31">
        <v>0</v>
      </c>
      <c r="N124" s="429">
        <v>252855.78</v>
      </c>
      <c r="O124" s="31">
        <v>0</v>
      </c>
      <c r="P124" s="426">
        <f t="shared" si="16"/>
        <v>0</v>
      </c>
      <c r="Q124" s="14">
        <v>0</v>
      </c>
      <c r="R124" s="295"/>
      <c r="S124" s="385">
        <f t="shared" si="17"/>
        <v>0</v>
      </c>
      <c r="T124" s="31"/>
      <c r="U124" s="474">
        <f t="shared" si="18"/>
        <v>0</v>
      </c>
      <c r="V124" s="474">
        <f t="shared" si="19"/>
        <v>0</v>
      </c>
      <c r="W124" s="475">
        <f t="shared" si="20"/>
        <v>0</v>
      </c>
      <c r="X124" s="475">
        <v>0</v>
      </c>
      <c r="Y124" s="476">
        <v>0</v>
      </c>
      <c r="Z124" s="38">
        <f t="shared" si="21"/>
        <v>0</v>
      </c>
      <c r="AA124" s="564">
        <f t="shared" si="22"/>
        <v>252855.78000000003</v>
      </c>
      <c r="AB124" s="564">
        <f t="shared" si="23"/>
        <v>0</v>
      </c>
      <c r="AC124" s="564">
        <f t="shared" si="24"/>
        <v>0</v>
      </c>
      <c r="AD124" s="597"/>
      <c r="AE124" s="564">
        <f t="shared" si="25"/>
        <v>0</v>
      </c>
      <c r="AF124" s="564">
        <f t="shared" si="26"/>
        <v>0</v>
      </c>
      <c r="AG124" s="564">
        <f t="shared" si="27"/>
        <v>0</v>
      </c>
    </row>
    <row r="125" spans="1:33" s="232" customFormat="1">
      <c r="A125" s="283"/>
      <c r="B125" s="283" t="s">
        <v>110</v>
      </c>
      <c r="C125" s="123" t="s">
        <v>339</v>
      </c>
      <c r="D125" s="449"/>
      <c r="E125" s="529">
        <f>VLOOKUP(C125,'Q4 DMV - Revenue'!C:S,17,FALSE)</f>
        <v>0</v>
      </c>
      <c r="F125" s="576">
        <v>68520.73</v>
      </c>
      <c r="G125" s="576">
        <v>51151</v>
      </c>
      <c r="H125" s="525">
        <v>49649.21</v>
      </c>
      <c r="I125" s="379">
        <f t="shared" si="28"/>
        <v>169320.94</v>
      </c>
      <c r="J125" s="31"/>
      <c r="K125" s="411"/>
      <c r="L125" s="290">
        <v>0</v>
      </c>
      <c r="M125" s="31">
        <v>0</v>
      </c>
      <c r="N125" s="429">
        <v>169839.76</v>
      </c>
      <c r="O125" s="31">
        <v>0</v>
      </c>
      <c r="P125" s="426">
        <f t="shared" si="16"/>
        <v>0</v>
      </c>
      <c r="Q125" s="14">
        <v>0</v>
      </c>
      <c r="R125" s="295"/>
      <c r="S125" s="385">
        <f t="shared" si="17"/>
        <v>0</v>
      </c>
      <c r="T125" s="31"/>
      <c r="U125" s="474">
        <f t="shared" si="18"/>
        <v>0</v>
      </c>
      <c r="V125" s="474">
        <f t="shared" si="19"/>
        <v>0</v>
      </c>
      <c r="W125" s="475">
        <f t="shared" si="20"/>
        <v>0</v>
      </c>
      <c r="X125" s="475">
        <v>0</v>
      </c>
      <c r="Y125" s="476">
        <v>0</v>
      </c>
      <c r="Z125" s="38">
        <f t="shared" si="21"/>
        <v>0</v>
      </c>
      <c r="AA125" s="564">
        <f t="shared" si="22"/>
        <v>169320.94</v>
      </c>
      <c r="AB125" s="564">
        <f t="shared" si="23"/>
        <v>0</v>
      </c>
      <c r="AC125" s="564">
        <f t="shared" si="24"/>
        <v>0</v>
      </c>
      <c r="AD125" s="597"/>
      <c r="AE125" s="564">
        <f t="shared" si="25"/>
        <v>0</v>
      </c>
      <c r="AF125" s="564">
        <f t="shared" si="26"/>
        <v>0</v>
      </c>
      <c r="AG125" s="564">
        <f t="shared" si="27"/>
        <v>0</v>
      </c>
    </row>
    <row r="126" spans="1:33" s="232" customFormat="1">
      <c r="A126" s="283"/>
      <c r="B126" s="283" t="s">
        <v>110</v>
      </c>
      <c r="C126" s="123" t="s">
        <v>340</v>
      </c>
      <c r="D126" s="449"/>
      <c r="E126" s="529">
        <f>VLOOKUP(C126,'Q4 DMV - Revenue'!C:S,17,FALSE)</f>
        <v>0</v>
      </c>
      <c r="F126" s="576">
        <v>177.89</v>
      </c>
      <c r="G126" s="576">
        <v>177.76</v>
      </c>
      <c r="H126" s="525">
        <v>163.16999999999999</v>
      </c>
      <c r="I126" s="379">
        <f t="shared" si="28"/>
        <v>518.81999999999994</v>
      </c>
      <c r="J126" s="31"/>
      <c r="K126" s="410"/>
      <c r="L126" s="290">
        <v>0</v>
      </c>
      <c r="M126" s="31">
        <v>0</v>
      </c>
      <c r="N126" s="429"/>
      <c r="O126" s="31">
        <v>0</v>
      </c>
      <c r="P126" s="426">
        <f t="shared" si="16"/>
        <v>0</v>
      </c>
      <c r="Q126" s="14">
        <v>0</v>
      </c>
      <c r="R126" s="295"/>
      <c r="S126" s="385">
        <f t="shared" si="17"/>
        <v>0</v>
      </c>
      <c r="T126" s="31"/>
      <c r="U126" s="474">
        <f t="shared" si="18"/>
        <v>0</v>
      </c>
      <c r="V126" s="474">
        <f t="shared" si="19"/>
        <v>0</v>
      </c>
      <c r="W126" s="475">
        <f t="shared" si="20"/>
        <v>0</v>
      </c>
      <c r="X126" s="475">
        <v>0</v>
      </c>
      <c r="Y126" s="476">
        <v>0</v>
      </c>
      <c r="Z126" s="38">
        <f t="shared" si="21"/>
        <v>0</v>
      </c>
      <c r="AA126" s="564">
        <f t="shared" si="22"/>
        <v>518.81999999999994</v>
      </c>
      <c r="AB126" s="564">
        <f t="shared" si="23"/>
        <v>0</v>
      </c>
      <c r="AC126" s="564">
        <f t="shared" si="24"/>
        <v>0</v>
      </c>
      <c r="AD126" s="597"/>
      <c r="AE126" s="564">
        <f t="shared" si="25"/>
        <v>0</v>
      </c>
      <c r="AF126" s="564">
        <f t="shared" si="26"/>
        <v>0</v>
      </c>
      <c r="AG126" s="564">
        <f t="shared" si="27"/>
        <v>0</v>
      </c>
    </row>
    <row r="127" spans="1:33" s="232" customFormat="1">
      <c r="A127" s="283"/>
      <c r="B127" s="283" t="s">
        <v>110</v>
      </c>
      <c r="C127" s="123" t="s">
        <v>439</v>
      </c>
      <c r="D127" s="449"/>
      <c r="E127" s="529">
        <f>VLOOKUP(C127,'Q4 DMV - Revenue'!C:S,17,FALSE)</f>
        <v>0</v>
      </c>
      <c r="F127" s="576">
        <v>255.09</v>
      </c>
      <c r="G127" s="576">
        <v>67.599999999999994</v>
      </c>
      <c r="H127" s="525">
        <v>71.010000000000005</v>
      </c>
      <c r="I127" s="379">
        <f t="shared" si="28"/>
        <v>393.7</v>
      </c>
      <c r="J127" s="31"/>
      <c r="K127" s="410"/>
      <c r="L127" s="290">
        <v>0</v>
      </c>
      <c r="M127" s="31">
        <v>0</v>
      </c>
      <c r="N127" s="429">
        <v>393.7</v>
      </c>
      <c r="O127" s="31">
        <v>0</v>
      </c>
      <c r="P127" s="426">
        <f t="shared" si="16"/>
        <v>0</v>
      </c>
      <c r="Q127" s="14">
        <v>0</v>
      </c>
      <c r="R127" s="295"/>
      <c r="S127" s="385">
        <f t="shared" si="17"/>
        <v>0</v>
      </c>
      <c r="T127" s="31"/>
      <c r="U127" s="474">
        <f t="shared" si="18"/>
        <v>0</v>
      </c>
      <c r="V127" s="474">
        <f t="shared" si="19"/>
        <v>0</v>
      </c>
      <c r="W127" s="475">
        <f t="shared" si="20"/>
        <v>0</v>
      </c>
      <c r="X127" s="475">
        <v>0</v>
      </c>
      <c r="Y127" s="476">
        <v>0</v>
      </c>
      <c r="Z127" s="38">
        <f t="shared" si="21"/>
        <v>0</v>
      </c>
      <c r="AA127" s="564">
        <f t="shared" si="22"/>
        <v>393.7</v>
      </c>
      <c r="AB127" s="564">
        <f t="shared" si="23"/>
        <v>0</v>
      </c>
      <c r="AC127" s="564">
        <f t="shared" si="24"/>
        <v>0</v>
      </c>
      <c r="AD127" s="597"/>
      <c r="AE127" s="564">
        <f t="shared" si="25"/>
        <v>0</v>
      </c>
      <c r="AF127" s="564">
        <f t="shared" si="26"/>
        <v>0</v>
      </c>
      <c r="AG127" s="564">
        <f t="shared" si="27"/>
        <v>0</v>
      </c>
    </row>
    <row r="128" spans="1:33">
      <c r="A128" s="21"/>
      <c r="B128" s="21" t="s">
        <v>109</v>
      </c>
      <c r="C128" s="68" t="s">
        <v>461</v>
      </c>
      <c r="D128" s="449"/>
      <c r="E128" s="529">
        <v>0</v>
      </c>
      <c r="F128" s="576">
        <v>2998.55</v>
      </c>
      <c r="G128" s="576">
        <v>2471.98</v>
      </c>
      <c r="H128" s="524"/>
      <c r="I128" s="379">
        <f t="shared" si="28"/>
        <v>5470.5300000000007</v>
      </c>
      <c r="J128" s="31"/>
      <c r="K128" s="84"/>
      <c r="L128" s="42">
        <f>(F128+G128)/2</f>
        <v>2735.2650000000003</v>
      </c>
      <c r="M128" s="31">
        <v>0</v>
      </c>
      <c r="N128" s="429"/>
      <c r="O128" s="31">
        <v>0</v>
      </c>
      <c r="P128" s="426">
        <f t="shared" si="16"/>
        <v>2735.2650000000003</v>
      </c>
      <c r="Q128" s="178">
        <v>3322.77</v>
      </c>
      <c r="R128" s="295"/>
      <c r="S128" s="385">
        <f t="shared" si="17"/>
        <v>587.50499999999965</v>
      </c>
      <c r="T128" s="31"/>
      <c r="U128" s="474">
        <f t="shared" si="18"/>
        <v>0</v>
      </c>
      <c r="V128" s="474">
        <f t="shared" si="19"/>
        <v>2735.2650000000003</v>
      </c>
      <c r="W128" s="475">
        <f t="shared" si="20"/>
        <v>0</v>
      </c>
      <c r="X128" s="475">
        <v>0</v>
      </c>
      <c r="Y128" s="476">
        <v>0</v>
      </c>
      <c r="Z128" s="38">
        <f t="shared" si="21"/>
        <v>0</v>
      </c>
      <c r="AA128" s="564">
        <f t="shared" si="22"/>
        <v>0</v>
      </c>
      <c r="AB128" s="564">
        <f t="shared" si="23"/>
        <v>5470.5300000000007</v>
      </c>
      <c r="AC128" s="564">
        <f t="shared" si="24"/>
        <v>0</v>
      </c>
      <c r="AE128" s="564">
        <f t="shared" si="25"/>
        <v>0</v>
      </c>
      <c r="AF128" s="564">
        <f t="shared" si="26"/>
        <v>2735.2650000000003</v>
      </c>
      <c r="AG128" s="564">
        <f t="shared" si="27"/>
        <v>0</v>
      </c>
    </row>
    <row r="129" spans="1:33">
      <c r="A129" s="20"/>
      <c r="B129" s="20" t="s">
        <v>109</v>
      </c>
      <c r="C129" s="68" t="s">
        <v>22</v>
      </c>
      <c r="D129" s="449"/>
      <c r="E129" s="529">
        <f>VLOOKUP(C129,'Q4 DMV - Revenue'!C:S,17,FALSE)</f>
        <v>0</v>
      </c>
      <c r="F129" s="576">
        <v>24.71</v>
      </c>
      <c r="G129" s="576">
        <v>16.38</v>
      </c>
      <c r="H129" s="524"/>
      <c r="I129" s="379">
        <f t="shared" si="28"/>
        <v>41.09</v>
      </c>
      <c r="J129" s="31"/>
      <c r="K129" s="84"/>
      <c r="L129" s="42">
        <f>(F129+G129)/2</f>
        <v>20.545000000000002</v>
      </c>
      <c r="M129" s="31">
        <v>0</v>
      </c>
      <c r="N129" s="429"/>
      <c r="O129" s="31">
        <v>0</v>
      </c>
      <c r="P129" s="426">
        <f t="shared" si="16"/>
        <v>20.545000000000002</v>
      </c>
      <c r="Q129" s="178">
        <v>0</v>
      </c>
      <c r="R129" s="295"/>
      <c r="S129" s="385">
        <f t="shared" si="17"/>
        <v>-20.545000000000002</v>
      </c>
      <c r="T129" s="31"/>
      <c r="U129" s="474">
        <f t="shared" si="18"/>
        <v>0</v>
      </c>
      <c r="V129" s="474">
        <f t="shared" si="19"/>
        <v>20.545000000000002</v>
      </c>
      <c r="W129" s="475">
        <f t="shared" si="20"/>
        <v>0</v>
      </c>
      <c r="X129" s="475">
        <v>0</v>
      </c>
      <c r="Y129" s="476">
        <v>0</v>
      </c>
      <c r="Z129" s="38">
        <f t="shared" si="21"/>
        <v>0</v>
      </c>
      <c r="AA129" s="564">
        <f t="shared" si="22"/>
        <v>0</v>
      </c>
      <c r="AB129" s="564">
        <f t="shared" si="23"/>
        <v>41.09</v>
      </c>
      <c r="AC129" s="564">
        <f t="shared" si="24"/>
        <v>0</v>
      </c>
      <c r="AE129" s="564">
        <f t="shared" si="25"/>
        <v>0</v>
      </c>
      <c r="AF129" s="564">
        <f t="shared" si="26"/>
        <v>20.545000000000002</v>
      </c>
      <c r="AG129" s="564">
        <f t="shared" si="27"/>
        <v>0</v>
      </c>
    </row>
    <row r="130" spans="1:33">
      <c r="A130" s="20" t="s">
        <v>211</v>
      </c>
      <c r="B130" s="20" t="s">
        <v>110</v>
      </c>
      <c r="C130" s="68" t="s">
        <v>23</v>
      </c>
      <c r="D130" s="449"/>
      <c r="E130" s="529">
        <f>VLOOKUP(C130,'Q4 DMV - Revenue'!C:S,17,FALSE)</f>
        <v>0</v>
      </c>
      <c r="F130" s="579"/>
      <c r="G130" s="579"/>
      <c r="H130" s="524"/>
      <c r="I130" s="379">
        <f t="shared" si="28"/>
        <v>0</v>
      </c>
      <c r="J130" s="31"/>
      <c r="K130" s="84"/>
      <c r="L130" s="42">
        <v>0</v>
      </c>
      <c r="M130" s="31">
        <v>0</v>
      </c>
      <c r="N130" s="429"/>
      <c r="O130" s="31">
        <v>0</v>
      </c>
      <c r="P130" s="426">
        <f t="shared" si="16"/>
        <v>0</v>
      </c>
      <c r="Q130" s="178">
        <v>0</v>
      </c>
      <c r="R130" s="295"/>
      <c r="S130" s="385">
        <f t="shared" si="17"/>
        <v>0</v>
      </c>
      <c r="T130" s="31"/>
      <c r="U130" s="474">
        <f t="shared" si="18"/>
        <v>0</v>
      </c>
      <c r="V130" s="474">
        <f t="shared" si="19"/>
        <v>0</v>
      </c>
      <c r="W130" s="475">
        <f t="shared" si="20"/>
        <v>0</v>
      </c>
      <c r="X130" s="475">
        <v>0</v>
      </c>
      <c r="Y130" s="476">
        <v>0</v>
      </c>
      <c r="Z130" s="38">
        <f t="shared" si="21"/>
        <v>0</v>
      </c>
      <c r="AA130" s="564">
        <f t="shared" si="22"/>
        <v>0</v>
      </c>
      <c r="AB130" s="564">
        <f t="shared" si="23"/>
        <v>0</v>
      </c>
      <c r="AC130" s="564">
        <f t="shared" si="24"/>
        <v>0</v>
      </c>
      <c r="AE130" s="564">
        <f t="shared" si="25"/>
        <v>0</v>
      </c>
      <c r="AF130" s="564">
        <f t="shared" si="26"/>
        <v>0</v>
      </c>
      <c r="AG130" s="564">
        <f t="shared" si="27"/>
        <v>0</v>
      </c>
    </row>
    <row r="131" spans="1:33">
      <c r="A131" s="20" t="s">
        <v>109</v>
      </c>
      <c r="B131" s="20" t="s">
        <v>110</v>
      </c>
      <c r="C131" s="68" t="s">
        <v>321</v>
      </c>
      <c r="D131" s="449"/>
      <c r="E131" s="529">
        <f>VLOOKUP(C131,'Q4 DMV - Revenue'!C:S,17,FALSE)</f>
        <v>0</v>
      </c>
      <c r="F131" s="576">
        <v>102.65</v>
      </c>
      <c r="G131" s="576">
        <v>70.22</v>
      </c>
      <c r="H131" s="524"/>
      <c r="I131" s="379">
        <f t="shared" si="28"/>
        <v>172.87</v>
      </c>
      <c r="J131" s="31"/>
      <c r="K131" s="84"/>
      <c r="L131" s="42">
        <f>(F131+G131)/2</f>
        <v>86.435000000000002</v>
      </c>
      <c r="M131" s="31">
        <v>0</v>
      </c>
      <c r="N131" s="429"/>
      <c r="O131" s="31">
        <v>0</v>
      </c>
      <c r="P131" s="426">
        <f t="shared" si="16"/>
        <v>86.435000000000002</v>
      </c>
      <c r="Q131" s="178">
        <v>0</v>
      </c>
      <c r="R131" s="295"/>
      <c r="S131" s="385">
        <f t="shared" si="17"/>
        <v>-86.435000000000002</v>
      </c>
      <c r="T131" s="31"/>
      <c r="U131" s="474">
        <f t="shared" si="18"/>
        <v>86.435000000000002</v>
      </c>
      <c r="V131" s="474">
        <f t="shared" si="19"/>
        <v>0</v>
      </c>
      <c r="W131" s="475">
        <f t="shared" si="20"/>
        <v>0</v>
      </c>
      <c r="X131" s="475">
        <v>0</v>
      </c>
      <c r="Y131" s="476">
        <v>0</v>
      </c>
      <c r="Z131" s="38">
        <f t="shared" si="21"/>
        <v>0</v>
      </c>
      <c r="AA131" s="564">
        <f t="shared" si="22"/>
        <v>172.87</v>
      </c>
      <c r="AB131" s="564">
        <f t="shared" si="23"/>
        <v>0</v>
      </c>
      <c r="AC131" s="564">
        <f t="shared" si="24"/>
        <v>0</v>
      </c>
      <c r="AE131" s="564">
        <f t="shared" si="25"/>
        <v>86.435000000000002</v>
      </c>
      <c r="AF131" s="564">
        <f t="shared" si="26"/>
        <v>0</v>
      </c>
      <c r="AG131" s="564">
        <f t="shared" si="27"/>
        <v>0</v>
      </c>
    </row>
    <row r="132" spans="1:33">
      <c r="A132" s="20"/>
      <c r="B132" s="20" t="s">
        <v>110</v>
      </c>
      <c r="C132" s="68" t="s">
        <v>24</v>
      </c>
      <c r="D132" s="449"/>
      <c r="E132" s="529">
        <f>VLOOKUP(C132,'Q4 DMV - Revenue'!C:S,17,FALSE)</f>
        <v>0</v>
      </c>
      <c r="F132" s="576">
        <v>3342.39</v>
      </c>
      <c r="G132" s="576">
        <v>3222.92</v>
      </c>
      <c r="H132" s="525">
        <v>3429.9</v>
      </c>
      <c r="I132" s="379">
        <f t="shared" si="28"/>
        <v>9995.2099999999991</v>
      </c>
      <c r="J132" s="31"/>
      <c r="K132" s="84"/>
      <c r="L132" s="42">
        <v>0</v>
      </c>
      <c r="M132" s="31">
        <v>0</v>
      </c>
      <c r="N132" s="429"/>
      <c r="O132" s="31">
        <v>0</v>
      </c>
      <c r="P132" s="426">
        <f t="shared" si="16"/>
        <v>0</v>
      </c>
      <c r="Q132" s="178">
        <v>0</v>
      </c>
      <c r="R132" s="295"/>
      <c r="S132" s="385">
        <f t="shared" si="17"/>
        <v>0</v>
      </c>
      <c r="T132" s="31"/>
      <c r="U132" s="474">
        <f t="shared" si="18"/>
        <v>0</v>
      </c>
      <c r="V132" s="474">
        <f t="shared" si="19"/>
        <v>0</v>
      </c>
      <c r="W132" s="475">
        <f t="shared" si="20"/>
        <v>0</v>
      </c>
      <c r="X132" s="475">
        <v>0</v>
      </c>
      <c r="Y132" s="476">
        <v>0</v>
      </c>
      <c r="Z132" s="38">
        <f t="shared" si="21"/>
        <v>0</v>
      </c>
      <c r="AA132" s="564">
        <f t="shared" si="22"/>
        <v>9995.2099999999991</v>
      </c>
      <c r="AB132" s="564">
        <f t="shared" si="23"/>
        <v>0</v>
      </c>
      <c r="AC132" s="564">
        <f t="shared" si="24"/>
        <v>0</v>
      </c>
      <c r="AE132" s="564">
        <f t="shared" si="25"/>
        <v>0</v>
      </c>
      <c r="AF132" s="564">
        <f t="shared" si="26"/>
        <v>0</v>
      </c>
      <c r="AG132" s="564">
        <f t="shared" si="27"/>
        <v>0</v>
      </c>
    </row>
    <row r="133" spans="1:33">
      <c r="A133" s="20" t="s">
        <v>211</v>
      </c>
      <c r="B133" s="20" t="s">
        <v>110</v>
      </c>
      <c r="C133" s="68" t="s">
        <v>91</v>
      </c>
      <c r="D133" s="449"/>
      <c r="E133" s="529">
        <f>VLOOKUP(C133,'Q4 DMV - Revenue'!C:S,17,FALSE)</f>
        <v>0</v>
      </c>
      <c r="F133" s="579"/>
      <c r="G133" s="579"/>
      <c r="H133" s="524"/>
      <c r="I133" s="379">
        <f t="shared" si="28"/>
        <v>0</v>
      </c>
      <c r="J133" s="2"/>
      <c r="K133" s="336"/>
      <c r="L133" s="42">
        <v>0</v>
      </c>
      <c r="M133" s="31">
        <v>0</v>
      </c>
      <c r="N133" s="429"/>
      <c r="O133" s="31">
        <v>0</v>
      </c>
      <c r="P133" s="426">
        <f t="shared" si="16"/>
        <v>0</v>
      </c>
      <c r="Q133" s="178">
        <v>0</v>
      </c>
      <c r="R133" s="295"/>
      <c r="S133" s="385">
        <f t="shared" si="17"/>
        <v>0</v>
      </c>
      <c r="T133" s="2"/>
      <c r="U133" s="474">
        <f t="shared" si="18"/>
        <v>0</v>
      </c>
      <c r="V133" s="474">
        <f t="shared" si="19"/>
        <v>0</v>
      </c>
      <c r="W133" s="475">
        <f t="shared" si="20"/>
        <v>0</v>
      </c>
      <c r="X133" s="475">
        <v>0</v>
      </c>
      <c r="Y133" s="476">
        <v>0</v>
      </c>
      <c r="Z133" s="38">
        <f t="shared" si="21"/>
        <v>0</v>
      </c>
      <c r="AA133" s="564">
        <f t="shared" si="22"/>
        <v>0</v>
      </c>
      <c r="AB133" s="564">
        <f t="shared" si="23"/>
        <v>0</v>
      </c>
      <c r="AC133" s="564">
        <f t="shared" si="24"/>
        <v>0</v>
      </c>
      <c r="AE133" s="564">
        <f t="shared" si="25"/>
        <v>0</v>
      </c>
      <c r="AF133" s="564">
        <f t="shared" si="26"/>
        <v>0</v>
      </c>
      <c r="AG133" s="564">
        <f t="shared" si="27"/>
        <v>0</v>
      </c>
    </row>
    <row r="134" spans="1:33">
      <c r="A134" s="20"/>
      <c r="B134" s="20" t="s">
        <v>110</v>
      </c>
      <c r="C134" s="68" t="s">
        <v>118</v>
      </c>
      <c r="D134" s="449"/>
      <c r="E134" s="529">
        <f>VLOOKUP(C134,'Q4 DMV - Revenue'!C:S,17,FALSE)</f>
        <v>0</v>
      </c>
      <c r="F134" s="579"/>
      <c r="G134" s="579"/>
      <c r="H134" s="524"/>
      <c r="I134" s="379">
        <f t="shared" si="28"/>
        <v>0</v>
      </c>
      <c r="J134" s="2"/>
      <c r="K134" s="336"/>
      <c r="L134" s="42">
        <v>0</v>
      </c>
      <c r="M134" s="31">
        <v>0</v>
      </c>
      <c r="N134" s="429"/>
      <c r="O134" s="31">
        <v>0</v>
      </c>
      <c r="P134" s="426">
        <f t="shared" si="16"/>
        <v>0</v>
      </c>
      <c r="Q134" s="178">
        <v>0</v>
      </c>
      <c r="R134" s="295"/>
      <c r="S134" s="385">
        <f t="shared" si="17"/>
        <v>0</v>
      </c>
      <c r="T134" s="2"/>
      <c r="U134" s="474">
        <f t="shared" si="18"/>
        <v>0</v>
      </c>
      <c r="V134" s="474">
        <f t="shared" si="19"/>
        <v>0</v>
      </c>
      <c r="W134" s="475">
        <f t="shared" si="20"/>
        <v>0</v>
      </c>
      <c r="X134" s="475">
        <v>0</v>
      </c>
      <c r="Y134" s="476">
        <v>0</v>
      </c>
      <c r="Z134" s="38">
        <f t="shared" si="21"/>
        <v>0</v>
      </c>
      <c r="AA134" s="564">
        <f t="shared" si="22"/>
        <v>0</v>
      </c>
      <c r="AB134" s="564">
        <f t="shared" si="23"/>
        <v>0</v>
      </c>
      <c r="AC134" s="564">
        <f t="shared" si="24"/>
        <v>0</v>
      </c>
      <c r="AE134" s="564">
        <f t="shared" si="25"/>
        <v>0</v>
      </c>
      <c r="AF134" s="564">
        <f t="shared" si="26"/>
        <v>0</v>
      </c>
      <c r="AG134" s="564">
        <f t="shared" si="27"/>
        <v>0</v>
      </c>
    </row>
    <row r="135" spans="1:33">
      <c r="A135" s="20" t="s">
        <v>211</v>
      </c>
      <c r="B135" s="20" t="s">
        <v>110</v>
      </c>
      <c r="C135" s="68" t="s">
        <v>486</v>
      </c>
      <c r="D135" s="449"/>
      <c r="E135" s="529">
        <v>0</v>
      </c>
      <c r="F135" s="579"/>
      <c r="G135" s="579"/>
      <c r="H135" s="524"/>
      <c r="I135" s="379">
        <f t="shared" si="28"/>
        <v>0</v>
      </c>
      <c r="J135" s="31"/>
      <c r="K135" s="336"/>
      <c r="L135" s="42">
        <v>0</v>
      </c>
      <c r="M135" s="31">
        <v>0</v>
      </c>
      <c r="N135" s="429"/>
      <c r="O135" s="31">
        <v>0</v>
      </c>
      <c r="P135" s="426">
        <f t="shared" si="16"/>
        <v>0</v>
      </c>
      <c r="Q135" s="178">
        <f>5.22+5.22+4.75+5.22+5.7+5.22</f>
        <v>31.33</v>
      </c>
      <c r="R135" s="295"/>
      <c r="S135" s="385">
        <f t="shared" si="17"/>
        <v>31.33</v>
      </c>
      <c r="T135" s="31"/>
      <c r="U135" s="474">
        <f t="shared" si="18"/>
        <v>0</v>
      </c>
      <c r="V135" s="474">
        <f t="shared" si="19"/>
        <v>0</v>
      </c>
      <c r="W135" s="475">
        <f t="shared" si="20"/>
        <v>0</v>
      </c>
      <c r="X135" s="475">
        <v>0</v>
      </c>
      <c r="Y135" s="476">
        <v>0</v>
      </c>
      <c r="Z135" s="38">
        <f t="shared" si="21"/>
        <v>0</v>
      </c>
      <c r="AA135" s="564">
        <f t="shared" si="22"/>
        <v>0</v>
      </c>
      <c r="AB135" s="564">
        <f t="shared" si="23"/>
        <v>0</v>
      </c>
      <c r="AC135" s="564">
        <f t="shared" si="24"/>
        <v>0</v>
      </c>
      <c r="AE135" s="564">
        <f t="shared" si="25"/>
        <v>0</v>
      </c>
      <c r="AF135" s="564">
        <f t="shared" si="26"/>
        <v>0</v>
      </c>
      <c r="AG135" s="564">
        <f t="shared" si="27"/>
        <v>0</v>
      </c>
    </row>
    <row r="136" spans="1:33">
      <c r="A136" s="21"/>
      <c r="B136" s="21" t="s">
        <v>110</v>
      </c>
      <c r="C136" s="68" t="s">
        <v>26</v>
      </c>
      <c r="D136" s="598"/>
      <c r="E136" s="598"/>
      <c r="F136" s="590"/>
      <c r="G136" s="590"/>
      <c r="H136" s="591"/>
      <c r="I136" s="592">
        <v>0</v>
      </c>
      <c r="J136" s="31"/>
      <c r="K136" s="599"/>
      <c r="L136" s="198"/>
      <c r="M136" s="31">
        <v>0</v>
      </c>
      <c r="N136" s="429"/>
      <c r="O136" s="31">
        <v>0</v>
      </c>
      <c r="P136" s="426">
        <f t="shared" si="16"/>
        <v>0</v>
      </c>
      <c r="Q136" s="178">
        <v>0</v>
      </c>
      <c r="R136" s="295"/>
      <c r="S136" s="385">
        <f t="shared" si="17"/>
        <v>0</v>
      </c>
      <c r="T136" s="31"/>
      <c r="U136" s="474">
        <f t="shared" si="18"/>
        <v>0</v>
      </c>
      <c r="V136" s="474">
        <f t="shared" si="19"/>
        <v>0</v>
      </c>
      <c r="W136" s="475">
        <f t="shared" si="20"/>
        <v>0</v>
      </c>
      <c r="X136" s="475">
        <v>0</v>
      </c>
      <c r="Y136" s="476">
        <v>0</v>
      </c>
      <c r="Z136" s="38">
        <f t="shared" si="21"/>
        <v>0</v>
      </c>
      <c r="AA136" s="564">
        <f t="shared" si="22"/>
        <v>0</v>
      </c>
      <c r="AB136" s="564">
        <f t="shared" si="23"/>
        <v>0</v>
      </c>
      <c r="AC136" s="564">
        <f t="shared" si="24"/>
        <v>0</v>
      </c>
      <c r="AE136" s="564">
        <f t="shared" si="25"/>
        <v>0</v>
      </c>
      <c r="AF136" s="564">
        <f t="shared" si="26"/>
        <v>0</v>
      </c>
      <c r="AG136" s="564">
        <f t="shared" si="27"/>
        <v>0</v>
      </c>
    </row>
    <row r="137" spans="1:33">
      <c r="A137" s="21"/>
      <c r="B137" s="21" t="s">
        <v>110</v>
      </c>
      <c r="C137" s="68" t="s">
        <v>268</v>
      </c>
      <c r="D137" s="449"/>
      <c r="E137" s="529">
        <f>VLOOKUP(C137,'Q4 DMV - Revenue'!C:S,17,FALSE)</f>
        <v>0</v>
      </c>
      <c r="F137" s="576">
        <v>3507.95</v>
      </c>
      <c r="G137" s="576">
        <v>3695.9</v>
      </c>
      <c r="H137" s="525">
        <v>4801.45</v>
      </c>
      <c r="I137" s="379">
        <f t="shared" ref="I137:I171" si="29">SUM(D137:H137)</f>
        <v>12005.3</v>
      </c>
      <c r="J137" s="31"/>
      <c r="K137" s="84"/>
      <c r="L137" s="42">
        <v>0</v>
      </c>
      <c r="M137" s="31">
        <v>0</v>
      </c>
      <c r="N137" s="429">
        <v>12005.3</v>
      </c>
      <c r="O137" s="31">
        <v>0</v>
      </c>
      <c r="P137" s="426">
        <f t="shared" si="16"/>
        <v>0</v>
      </c>
      <c r="Q137" s="178">
        <v>0</v>
      </c>
      <c r="R137" s="295"/>
      <c r="S137" s="385">
        <f t="shared" si="17"/>
        <v>0</v>
      </c>
      <c r="T137" s="31"/>
      <c r="U137" s="474">
        <f t="shared" si="18"/>
        <v>0</v>
      </c>
      <c r="V137" s="474">
        <f t="shared" si="19"/>
        <v>0</v>
      </c>
      <c r="W137" s="475">
        <f t="shared" si="20"/>
        <v>0</v>
      </c>
      <c r="X137" s="475">
        <v>0</v>
      </c>
      <c r="Y137" s="476">
        <v>0</v>
      </c>
      <c r="Z137" s="38">
        <f t="shared" si="21"/>
        <v>0</v>
      </c>
      <c r="AA137" s="564">
        <f t="shared" si="22"/>
        <v>12005.3</v>
      </c>
      <c r="AB137" s="564">
        <f t="shared" si="23"/>
        <v>0</v>
      </c>
      <c r="AC137" s="564">
        <f t="shared" si="24"/>
        <v>0</v>
      </c>
      <c r="AE137" s="564">
        <f t="shared" si="25"/>
        <v>0</v>
      </c>
      <c r="AF137" s="564">
        <f t="shared" si="26"/>
        <v>0</v>
      </c>
      <c r="AG137" s="564">
        <f t="shared" si="27"/>
        <v>0</v>
      </c>
    </row>
    <row r="138" spans="1:33">
      <c r="A138" s="21"/>
      <c r="B138" s="21" t="s">
        <v>110</v>
      </c>
      <c r="C138" s="68" t="s">
        <v>183</v>
      </c>
      <c r="D138" s="449"/>
      <c r="E138" s="529">
        <f>VLOOKUP(C138,'Q4 DMV - Revenue'!C:S,17,FALSE)</f>
        <v>474.96499999999969</v>
      </c>
      <c r="F138" s="576">
        <v>2828.6</v>
      </c>
      <c r="G138" s="579"/>
      <c r="H138" s="524"/>
      <c r="I138" s="379">
        <f t="shared" si="29"/>
        <v>3303.5649999999996</v>
      </c>
      <c r="J138" s="31"/>
      <c r="K138" s="84"/>
      <c r="L138" s="42">
        <f>F138*2</f>
        <v>5657.2</v>
      </c>
      <c r="M138" s="31">
        <v>0</v>
      </c>
      <c r="N138" s="429"/>
      <c r="O138" s="31">
        <v>0</v>
      </c>
      <c r="P138" s="426">
        <f t="shared" si="16"/>
        <v>5657.2</v>
      </c>
      <c r="Q138" s="178">
        <v>0</v>
      </c>
      <c r="R138" s="295"/>
      <c r="S138" s="385">
        <f t="shared" si="17"/>
        <v>-5657.2</v>
      </c>
      <c r="T138" s="31"/>
      <c r="U138" s="474">
        <f t="shared" si="18"/>
        <v>5657.2</v>
      </c>
      <c r="V138" s="474">
        <f t="shared" si="19"/>
        <v>0</v>
      </c>
      <c r="W138" s="475">
        <f t="shared" si="20"/>
        <v>0</v>
      </c>
      <c r="X138" s="475">
        <v>0</v>
      </c>
      <c r="Y138" s="476">
        <v>0</v>
      </c>
      <c r="Z138" s="38">
        <f t="shared" si="21"/>
        <v>0</v>
      </c>
      <c r="AA138" s="564">
        <f t="shared" si="22"/>
        <v>3303.5649999999996</v>
      </c>
      <c r="AB138" s="564">
        <f t="shared" si="23"/>
        <v>0</v>
      </c>
      <c r="AC138" s="564">
        <f t="shared" si="24"/>
        <v>0</v>
      </c>
      <c r="AE138" s="564">
        <f t="shared" si="25"/>
        <v>5657.2</v>
      </c>
      <c r="AF138" s="564">
        <f t="shared" si="26"/>
        <v>0</v>
      </c>
      <c r="AG138" s="564">
        <f t="shared" si="27"/>
        <v>0</v>
      </c>
    </row>
    <row r="139" spans="1:33">
      <c r="A139" s="21"/>
      <c r="B139" s="21" t="s">
        <v>110</v>
      </c>
      <c r="C139" s="68" t="s">
        <v>282</v>
      </c>
      <c r="D139" s="449"/>
      <c r="E139" s="529">
        <f>VLOOKUP(C139,'Q4 DMV - Revenue'!C:S,17,FALSE)</f>
        <v>0</v>
      </c>
      <c r="F139" s="576">
        <v>31998.06</v>
      </c>
      <c r="G139" s="576">
        <v>33697.96</v>
      </c>
      <c r="H139" s="524"/>
      <c r="I139" s="379">
        <f t="shared" si="29"/>
        <v>65696.02</v>
      </c>
      <c r="J139" s="31"/>
      <c r="K139" s="84"/>
      <c r="L139" s="42">
        <f>(F139+G139)/2</f>
        <v>32848.01</v>
      </c>
      <c r="M139" s="31">
        <v>0</v>
      </c>
      <c r="N139" s="429">
        <v>65696.02</v>
      </c>
      <c r="O139" s="31">
        <v>0</v>
      </c>
      <c r="P139" s="426">
        <f t="shared" si="16"/>
        <v>32848.01</v>
      </c>
      <c r="Q139" s="178">
        <v>36439.14</v>
      </c>
      <c r="R139" s="295"/>
      <c r="S139" s="385">
        <f t="shared" si="17"/>
        <v>3591.1299999999974</v>
      </c>
      <c r="T139" s="31"/>
      <c r="U139" s="474">
        <f t="shared" si="18"/>
        <v>32848.01</v>
      </c>
      <c r="V139" s="474">
        <f t="shared" si="19"/>
        <v>0</v>
      </c>
      <c r="W139" s="475">
        <f t="shared" si="20"/>
        <v>0</v>
      </c>
      <c r="X139" s="475">
        <v>0</v>
      </c>
      <c r="Y139" s="476">
        <v>0</v>
      </c>
      <c r="Z139" s="38">
        <f t="shared" si="21"/>
        <v>0</v>
      </c>
      <c r="AA139" s="564">
        <f t="shared" si="22"/>
        <v>65696.02</v>
      </c>
      <c r="AB139" s="564">
        <f t="shared" si="23"/>
        <v>0</v>
      </c>
      <c r="AC139" s="564">
        <f t="shared" si="24"/>
        <v>0</v>
      </c>
      <c r="AE139" s="564">
        <f t="shared" si="25"/>
        <v>32848.01</v>
      </c>
      <c r="AF139" s="564">
        <f t="shared" si="26"/>
        <v>0</v>
      </c>
      <c r="AG139" s="564">
        <f t="shared" si="27"/>
        <v>0</v>
      </c>
    </row>
    <row r="140" spans="1:33">
      <c r="A140" s="21"/>
      <c r="B140" s="21" t="s">
        <v>110</v>
      </c>
      <c r="C140" s="68" t="s">
        <v>27</v>
      </c>
      <c r="D140" s="449"/>
      <c r="E140" s="529">
        <f>VLOOKUP(C140,'Q4 DMV - Revenue'!C:S,17,FALSE)</f>
        <v>0</v>
      </c>
      <c r="F140" s="579"/>
      <c r="G140" s="579"/>
      <c r="H140" s="524"/>
      <c r="I140" s="379">
        <f t="shared" si="29"/>
        <v>0</v>
      </c>
      <c r="J140" s="31"/>
      <c r="K140" s="84"/>
      <c r="L140" s="42">
        <v>0</v>
      </c>
      <c r="M140" s="31">
        <v>0</v>
      </c>
      <c r="N140" s="429"/>
      <c r="O140" s="31">
        <v>0</v>
      </c>
      <c r="P140" s="426">
        <f t="shared" si="16"/>
        <v>0</v>
      </c>
      <c r="Q140" s="178">
        <v>0</v>
      </c>
      <c r="R140" s="295"/>
      <c r="S140" s="385">
        <f t="shared" si="17"/>
        <v>0</v>
      </c>
      <c r="T140" s="31"/>
      <c r="U140" s="474">
        <f t="shared" si="18"/>
        <v>0</v>
      </c>
      <c r="V140" s="474">
        <f t="shared" si="19"/>
        <v>0</v>
      </c>
      <c r="W140" s="475">
        <f t="shared" si="20"/>
        <v>0</v>
      </c>
      <c r="X140" s="475">
        <v>0</v>
      </c>
      <c r="Y140" s="476">
        <v>0</v>
      </c>
      <c r="Z140" s="38">
        <f t="shared" si="21"/>
        <v>0</v>
      </c>
      <c r="AA140" s="564">
        <f t="shared" si="22"/>
        <v>0</v>
      </c>
      <c r="AB140" s="564">
        <f t="shared" si="23"/>
        <v>0</v>
      </c>
      <c r="AC140" s="564">
        <f t="shared" si="24"/>
        <v>0</v>
      </c>
      <c r="AE140" s="564">
        <f t="shared" si="25"/>
        <v>0</v>
      </c>
      <c r="AF140" s="564">
        <f t="shared" si="26"/>
        <v>0</v>
      </c>
      <c r="AG140" s="564">
        <f t="shared" si="27"/>
        <v>0</v>
      </c>
    </row>
    <row r="141" spans="1:33">
      <c r="A141" s="21"/>
      <c r="B141" s="21" t="s">
        <v>110</v>
      </c>
      <c r="C141" s="68" t="s">
        <v>28</v>
      </c>
      <c r="D141" s="449"/>
      <c r="E141" s="529">
        <f>VLOOKUP(C141,'Q4 DMV - Revenue'!C:S,17,FALSE)</f>
        <v>0</v>
      </c>
      <c r="F141" s="576">
        <v>1507.1</v>
      </c>
      <c r="G141" s="576">
        <v>1705.2</v>
      </c>
      <c r="H141" s="524"/>
      <c r="I141" s="379">
        <f t="shared" si="29"/>
        <v>3212.3</v>
      </c>
      <c r="J141" s="31"/>
      <c r="K141" s="84"/>
      <c r="L141" s="42">
        <f>(F141+G141)/2</f>
        <v>1606.15</v>
      </c>
      <c r="M141" s="31">
        <v>0</v>
      </c>
      <c r="N141" s="429"/>
      <c r="O141" s="31">
        <v>0</v>
      </c>
      <c r="P141" s="426">
        <f t="shared" si="16"/>
        <v>1606.15</v>
      </c>
      <c r="Q141" s="178">
        <v>1780.8</v>
      </c>
      <c r="R141" s="295"/>
      <c r="S141" s="385">
        <f t="shared" si="17"/>
        <v>174.64999999999986</v>
      </c>
      <c r="T141" s="31"/>
      <c r="U141" s="474">
        <f t="shared" si="18"/>
        <v>1606.15</v>
      </c>
      <c r="V141" s="474">
        <f t="shared" si="19"/>
        <v>0</v>
      </c>
      <c r="W141" s="475">
        <f t="shared" si="20"/>
        <v>0</v>
      </c>
      <c r="X141" s="475">
        <v>0</v>
      </c>
      <c r="Y141" s="476">
        <v>0</v>
      </c>
      <c r="Z141" s="38">
        <f t="shared" si="21"/>
        <v>0</v>
      </c>
      <c r="AA141" s="564">
        <f t="shared" si="22"/>
        <v>3212.3</v>
      </c>
      <c r="AB141" s="564">
        <f t="shared" si="23"/>
        <v>0</v>
      </c>
      <c r="AC141" s="564">
        <f t="shared" si="24"/>
        <v>0</v>
      </c>
      <c r="AE141" s="564">
        <f t="shared" si="25"/>
        <v>1606.15</v>
      </c>
      <c r="AF141" s="564">
        <f t="shared" si="26"/>
        <v>0</v>
      </c>
      <c r="AG141" s="564">
        <f t="shared" si="27"/>
        <v>0</v>
      </c>
    </row>
    <row r="142" spans="1:33">
      <c r="A142" s="21"/>
      <c r="B142" s="21" t="s">
        <v>109</v>
      </c>
      <c r="C142" s="68" t="s">
        <v>308</v>
      </c>
      <c r="D142" s="449"/>
      <c r="E142" s="529">
        <f>VLOOKUP(C142,'Q4 DMV - Revenue'!C:S,17,FALSE)</f>
        <v>1925.04</v>
      </c>
      <c r="F142" s="576">
        <v>638.62</v>
      </c>
      <c r="G142" s="576">
        <v>550.79</v>
      </c>
      <c r="H142" s="524"/>
      <c r="I142" s="379">
        <f t="shared" si="29"/>
        <v>3114.45</v>
      </c>
      <c r="J142" s="31"/>
      <c r="K142" s="84"/>
      <c r="L142" s="42">
        <f>(F142+G142)/2</f>
        <v>594.70499999999993</v>
      </c>
      <c r="M142" s="31"/>
      <c r="N142" s="429"/>
      <c r="O142" s="31"/>
      <c r="P142" s="426">
        <f t="shared" si="16"/>
        <v>594.70499999999993</v>
      </c>
      <c r="Q142" s="178">
        <v>555.44000000000005</v>
      </c>
      <c r="R142" s="295"/>
      <c r="S142" s="385">
        <f t="shared" si="17"/>
        <v>-39.264999999999873</v>
      </c>
      <c r="T142" s="31"/>
      <c r="U142" s="474">
        <f t="shared" si="18"/>
        <v>0</v>
      </c>
      <c r="V142" s="474">
        <f t="shared" si="19"/>
        <v>594.70499999999993</v>
      </c>
      <c r="W142" s="475">
        <f t="shared" si="20"/>
        <v>0</v>
      </c>
      <c r="X142" s="475">
        <v>0</v>
      </c>
      <c r="Y142" s="476">
        <v>0</v>
      </c>
      <c r="Z142" s="38">
        <f t="shared" si="21"/>
        <v>0</v>
      </c>
      <c r="AA142" s="564">
        <f t="shared" si="22"/>
        <v>0</v>
      </c>
      <c r="AB142" s="564">
        <f t="shared" si="23"/>
        <v>3114.45</v>
      </c>
      <c r="AC142" s="564">
        <f t="shared" si="24"/>
        <v>0</v>
      </c>
      <c r="AE142" s="564">
        <f t="shared" si="25"/>
        <v>0</v>
      </c>
      <c r="AF142" s="564">
        <f t="shared" si="26"/>
        <v>594.70499999999993</v>
      </c>
      <c r="AG142" s="564">
        <f t="shared" si="27"/>
        <v>0</v>
      </c>
    </row>
    <row r="143" spans="1:33" s="232" customFormat="1">
      <c r="A143" s="283" t="s">
        <v>211</v>
      </c>
      <c r="B143" s="283" t="s">
        <v>109</v>
      </c>
      <c r="C143" s="123" t="s">
        <v>389</v>
      </c>
      <c r="D143" s="514"/>
      <c r="E143" s="529">
        <f>VLOOKUP(C143,'Q4 DMV - Revenue'!C:S,17,FALSE)</f>
        <v>142.16999999999825</v>
      </c>
      <c r="F143" s="579"/>
      <c r="G143" s="579"/>
      <c r="H143" s="524"/>
      <c r="I143" s="379">
        <f t="shared" si="29"/>
        <v>142.16999999999825</v>
      </c>
      <c r="J143" s="31"/>
      <c r="K143" s="86"/>
      <c r="L143" s="585">
        <f>45000*0.75</f>
        <v>33750</v>
      </c>
      <c r="M143" s="31">
        <v>0</v>
      </c>
      <c r="N143" s="429">
        <v>45142.17</v>
      </c>
      <c r="O143" s="31">
        <v>0</v>
      </c>
      <c r="P143" s="426">
        <f t="shared" si="16"/>
        <v>33750</v>
      </c>
      <c r="Q143" s="14">
        <v>40516.120000000003</v>
      </c>
      <c r="R143" s="295"/>
      <c r="S143" s="385">
        <f t="shared" si="17"/>
        <v>6766.1200000000026</v>
      </c>
      <c r="T143" s="31"/>
      <c r="U143" s="474">
        <f t="shared" si="18"/>
        <v>0</v>
      </c>
      <c r="V143" s="474">
        <f t="shared" si="19"/>
        <v>33750</v>
      </c>
      <c r="W143" s="475">
        <f t="shared" si="20"/>
        <v>0</v>
      </c>
      <c r="X143" s="475">
        <v>0</v>
      </c>
      <c r="Y143" s="476">
        <v>0</v>
      </c>
      <c r="Z143" s="38">
        <f t="shared" si="21"/>
        <v>0</v>
      </c>
      <c r="AA143" s="564">
        <f t="shared" si="22"/>
        <v>0</v>
      </c>
      <c r="AB143" s="564">
        <f t="shared" si="23"/>
        <v>142.16999999999825</v>
      </c>
      <c r="AC143" s="564">
        <f t="shared" si="24"/>
        <v>0</v>
      </c>
      <c r="AD143" s="597"/>
      <c r="AE143" s="564">
        <f t="shared" si="25"/>
        <v>0</v>
      </c>
      <c r="AF143" s="564">
        <f t="shared" si="26"/>
        <v>33750</v>
      </c>
      <c r="AG143" s="564">
        <f t="shared" si="27"/>
        <v>0</v>
      </c>
    </row>
    <row r="144" spans="1:33">
      <c r="A144" s="20" t="s">
        <v>211</v>
      </c>
      <c r="B144" s="20" t="s">
        <v>109</v>
      </c>
      <c r="C144" s="68" t="s">
        <v>236</v>
      </c>
      <c r="D144" s="449"/>
      <c r="E144" s="529">
        <f>VLOOKUP(C144,'Q4 DMV - Revenue'!C:S,17,FALSE)</f>
        <v>0</v>
      </c>
      <c r="F144" s="579"/>
      <c r="G144" s="579"/>
      <c r="H144" s="524"/>
      <c r="I144" s="379">
        <f t="shared" si="29"/>
        <v>0</v>
      </c>
      <c r="J144" s="2"/>
      <c r="K144" s="336"/>
      <c r="L144" s="42">
        <v>0</v>
      </c>
      <c r="M144" s="31">
        <v>0</v>
      </c>
      <c r="N144" s="429"/>
      <c r="O144" s="31">
        <v>0</v>
      </c>
      <c r="P144" s="426">
        <f t="shared" si="16"/>
        <v>0</v>
      </c>
      <c r="Q144" s="178">
        <v>0</v>
      </c>
      <c r="R144" s="295"/>
      <c r="S144" s="385">
        <f t="shared" si="17"/>
        <v>0</v>
      </c>
      <c r="T144" s="2"/>
      <c r="U144" s="474">
        <f t="shared" si="18"/>
        <v>0</v>
      </c>
      <c r="V144" s="474">
        <f t="shared" si="19"/>
        <v>0</v>
      </c>
      <c r="W144" s="475">
        <f t="shared" si="20"/>
        <v>0</v>
      </c>
      <c r="X144" s="475">
        <v>0</v>
      </c>
      <c r="Y144" s="476">
        <v>0</v>
      </c>
      <c r="Z144" s="38">
        <f t="shared" si="21"/>
        <v>0</v>
      </c>
      <c r="AA144" s="564">
        <f t="shared" si="22"/>
        <v>0</v>
      </c>
      <c r="AB144" s="564">
        <f t="shared" si="23"/>
        <v>0</v>
      </c>
      <c r="AC144" s="564">
        <f t="shared" si="24"/>
        <v>0</v>
      </c>
      <c r="AE144" s="564">
        <f t="shared" si="25"/>
        <v>0</v>
      </c>
      <c r="AF144" s="564">
        <f t="shared" si="26"/>
        <v>0</v>
      </c>
      <c r="AG144" s="564">
        <f t="shared" si="27"/>
        <v>0</v>
      </c>
    </row>
    <row r="145" spans="1:33" s="232" customFormat="1">
      <c r="A145" s="283"/>
      <c r="B145" s="283" t="s">
        <v>110</v>
      </c>
      <c r="C145" s="123" t="s">
        <v>192</v>
      </c>
      <c r="D145" s="514"/>
      <c r="E145" s="529">
        <f>VLOOKUP(C145,'Q4 DMV - Revenue'!C:S,17,FALSE)</f>
        <v>0</v>
      </c>
      <c r="F145" s="576">
        <v>7025.98</v>
      </c>
      <c r="G145" s="576">
        <v>7032.12</v>
      </c>
      <c r="H145" s="525">
        <v>7289.43</v>
      </c>
      <c r="I145" s="379">
        <f t="shared" si="29"/>
        <v>21347.53</v>
      </c>
      <c r="J145" s="31"/>
      <c r="K145" s="86"/>
      <c r="L145" s="290">
        <v>0</v>
      </c>
      <c r="M145" s="31">
        <v>0</v>
      </c>
      <c r="N145" s="429">
        <v>35945.660000000003</v>
      </c>
      <c r="O145" s="31">
        <v>0</v>
      </c>
      <c r="P145" s="426">
        <f t="shared" si="16"/>
        <v>0</v>
      </c>
      <c r="Q145" s="14">
        <v>0</v>
      </c>
      <c r="R145" s="295"/>
      <c r="S145" s="385">
        <f t="shared" si="17"/>
        <v>0</v>
      </c>
      <c r="T145" s="31"/>
      <c r="U145" s="474">
        <f t="shared" si="18"/>
        <v>0</v>
      </c>
      <c r="V145" s="474">
        <f t="shared" si="19"/>
        <v>0</v>
      </c>
      <c r="W145" s="475">
        <f t="shared" si="20"/>
        <v>0</v>
      </c>
      <c r="X145" s="475">
        <v>0</v>
      </c>
      <c r="Y145" s="476">
        <v>0</v>
      </c>
      <c r="Z145" s="38">
        <f t="shared" si="21"/>
        <v>0</v>
      </c>
      <c r="AA145" s="564">
        <f t="shared" si="22"/>
        <v>21347.53</v>
      </c>
      <c r="AB145" s="564">
        <f t="shared" si="23"/>
        <v>0</v>
      </c>
      <c r="AC145" s="564">
        <f t="shared" si="24"/>
        <v>0</v>
      </c>
      <c r="AD145" s="597"/>
      <c r="AE145" s="564">
        <f t="shared" si="25"/>
        <v>0</v>
      </c>
      <c r="AF145" s="564">
        <f t="shared" si="26"/>
        <v>0</v>
      </c>
      <c r="AG145" s="564">
        <f t="shared" si="27"/>
        <v>0</v>
      </c>
    </row>
    <row r="146" spans="1:33" s="232" customFormat="1">
      <c r="A146" s="283"/>
      <c r="B146" s="283" t="s">
        <v>110</v>
      </c>
      <c r="C146" s="123" t="s">
        <v>193</v>
      </c>
      <c r="D146" s="514"/>
      <c r="E146" s="529">
        <f>VLOOKUP(C146,'Q4 DMV - Revenue'!C:S,17,FALSE)</f>
        <v>0</v>
      </c>
      <c r="F146" s="576">
        <v>714.38</v>
      </c>
      <c r="G146" s="576">
        <v>596.25</v>
      </c>
      <c r="H146" s="525">
        <v>702.06</v>
      </c>
      <c r="I146" s="379">
        <f t="shared" si="29"/>
        <v>2012.69</v>
      </c>
      <c r="J146" s="31"/>
      <c r="K146" s="86"/>
      <c r="L146" s="290">
        <v>0</v>
      </c>
      <c r="M146" s="31">
        <v>0</v>
      </c>
      <c r="N146" s="429"/>
      <c r="O146" s="31">
        <v>0</v>
      </c>
      <c r="P146" s="426">
        <f t="shared" si="16"/>
        <v>0</v>
      </c>
      <c r="Q146" s="14">
        <v>0</v>
      </c>
      <c r="R146" s="295"/>
      <c r="S146" s="385">
        <f t="shared" si="17"/>
        <v>0</v>
      </c>
      <c r="T146" s="31"/>
      <c r="U146" s="474">
        <f t="shared" si="18"/>
        <v>0</v>
      </c>
      <c r="V146" s="474">
        <f t="shared" si="19"/>
        <v>0</v>
      </c>
      <c r="W146" s="475">
        <f t="shared" si="20"/>
        <v>0</v>
      </c>
      <c r="X146" s="475">
        <v>0</v>
      </c>
      <c r="Y146" s="476">
        <v>0</v>
      </c>
      <c r="Z146" s="38">
        <f t="shared" si="21"/>
        <v>0</v>
      </c>
      <c r="AA146" s="564">
        <f t="shared" si="22"/>
        <v>2012.69</v>
      </c>
      <c r="AB146" s="564">
        <f t="shared" si="23"/>
        <v>0</v>
      </c>
      <c r="AC146" s="564">
        <f t="shared" si="24"/>
        <v>0</v>
      </c>
      <c r="AD146" s="597"/>
      <c r="AE146" s="564">
        <f t="shared" si="25"/>
        <v>0</v>
      </c>
      <c r="AF146" s="564">
        <f t="shared" si="26"/>
        <v>0</v>
      </c>
      <c r="AG146" s="564">
        <f t="shared" si="27"/>
        <v>0</v>
      </c>
    </row>
    <row r="147" spans="1:33" s="232" customFormat="1">
      <c r="A147" s="283"/>
      <c r="B147" s="283" t="s">
        <v>110</v>
      </c>
      <c r="C147" s="123" t="s">
        <v>194</v>
      </c>
      <c r="D147" s="514"/>
      <c r="E147" s="529">
        <f>VLOOKUP(C147,'Q4 DMV - Revenue'!C:S,17,FALSE)</f>
        <v>0</v>
      </c>
      <c r="F147" s="576">
        <v>217.26</v>
      </c>
      <c r="G147" s="576">
        <v>211.44</v>
      </c>
      <c r="H147" s="342">
        <v>257.35000000000002</v>
      </c>
      <c r="I147" s="379">
        <f t="shared" si="29"/>
        <v>686.05</v>
      </c>
      <c r="J147" s="31"/>
      <c r="K147" s="86"/>
      <c r="L147" s="290">
        <v>0</v>
      </c>
      <c r="M147" s="31">
        <v>0</v>
      </c>
      <c r="N147" s="429"/>
      <c r="O147" s="31">
        <v>0</v>
      </c>
      <c r="P147" s="426">
        <f t="shared" si="16"/>
        <v>0</v>
      </c>
      <c r="Q147" s="14">
        <v>0</v>
      </c>
      <c r="R147" s="295"/>
      <c r="S147" s="385">
        <f t="shared" si="17"/>
        <v>0</v>
      </c>
      <c r="T147" s="31"/>
      <c r="U147" s="474">
        <f t="shared" si="18"/>
        <v>0</v>
      </c>
      <c r="V147" s="474">
        <f t="shared" si="19"/>
        <v>0</v>
      </c>
      <c r="W147" s="475">
        <f t="shared" si="20"/>
        <v>0</v>
      </c>
      <c r="X147" s="475">
        <v>0</v>
      </c>
      <c r="Y147" s="476">
        <v>0</v>
      </c>
      <c r="Z147" s="38">
        <f t="shared" si="21"/>
        <v>0</v>
      </c>
      <c r="AA147" s="564">
        <f t="shared" si="22"/>
        <v>686.05</v>
      </c>
      <c r="AB147" s="564">
        <f t="shared" si="23"/>
        <v>0</v>
      </c>
      <c r="AC147" s="564">
        <f t="shared" si="24"/>
        <v>0</v>
      </c>
      <c r="AD147" s="597"/>
      <c r="AE147" s="564">
        <f t="shared" si="25"/>
        <v>0</v>
      </c>
      <c r="AF147" s="564">
        <f t="shared" si="26"/>
        <v>0</v>
      </c>
      <c r="AG147" s="564">
        <f t="shared" si="27"/>
        <v>0</v>
      </c>
    </row>
    <row r="148" spans="1:33" s="232" customFormat="1">
      <c r="A148" s="283"/>
      <c r="B148" s="283" t="s">
        <v>110</v>
      </c>
      <c r="C148" s="123" t="s">
        <v>195</v>
      </c>
      <c r="D148" s="514"/>
      <c r="E148" s="529">
        <f>VLOOKUP(C148,'Q4 DMV - Revenue'!C:S,17,FALSE)</f>
        <v>0</v>
      </c>
      <c r="F148" s="576">
        <v>15.01</v>
      </c>
      <c r="G148" s="576">
        <v>11.74</v>
      </c>
      <c r="H148" s="525">
        <v>9.7200000000000006</v>
      </c>
      <c r="I148" s="379">
        <f t="shared" si="29"/>
        <v>36.47</v>
      </c>
      <c r="J148" s="31"/>
      <c r="K148" s="86"/>
      <c r="L148" s="290">
        <v>0</v>
      </c>
      <c r="M148" s="31">
        <v>0</v>
      </c>
      <c r="N148" s="429"/>
      <c r="O148" s="31">
        <v>0</v>
      </c>
      <c r="P148" s="426">
        <f t="shared" ref="P148:P211" si="30">K148+L148</f>
        <v>0</v>
      </c>
      <c r="Q148" s="14">
        <v>0</v>
      </c>
      <c r="R148" s="295"/>
      <c r="S148" s="385">
        <f t="shared" ref="S148:S211" si="31">IF(Q148="","",Q148-P148)</f>
        <v>0</v>
      </c>
      <c r="T148" s="31"/>
      <c r="U148" s="474">
        <f t="shared" si="18"/>
        <v>0</v>
      </c>
      <c r="V148" s="474">
        <f t="shared" si="19"/>
        <v>0</v>
      </c>
      <c r="W148" s="475">
        <f t="shared" si="20"/>
        <v>0</v>
      </c>
      <c r="X148" s="475">
        <v>0</v>
      </c>
      <c r="Y148" s="476">
        <v>0</v>
      </c>
      <c r="Z148" s="38">
        <f t="shared" si="21"/>
        <v>0</v>
      </c>
      <c r="AA148" s="564">
        <f t="shared" si="22"/>
        <v>36.47</v>
      </c>
      <c r="AB148" s="564">
        <f t="shared" si="23"/>
        <v>0</v>
      </c>
      <c r="AC148" s="564">
        <f t="shared" si="24"/>
        <v>0</v>
      </c>
      <c r="AD148" s="597"/>
      <c r="AE148" s="564">
        <f t="shared" si="25"/>
        <v>0</v>
      </c>
      <c r="AF148" s="564">
        <f t="shared" si="26"/>
        <v>0</v>
      </c>
      <c r="AG148" s="564">
        <f t="shared" si="27"/>
        <v>0</v>
      </c>
    </row>
    <row r="149" spans="1:33" s="232" customFormat="1">
      <c r="A149" s="283"/>
      <c r="B149" s="283" t="s">
        <v>110</v>
      </c>
      <c r="C149" s="123" t="s">
        <v>196</v>
      </c>
      <c r="D149" s="514"/>
      <c r="E149" s="529">
        <f>VLOOKUP(C149,'Q4 DMV - Revenue'!C:S,17,FALSE)</f>
        <v>0</v>
      </c>
      <c r="F149" s="576">
        <v>159.66</v>
      </c>
      <c r="G149" s="576">
        <v>123.72</v>
      </c>
      <c r="H149" s="525">
        <v>131.99</v>
      </c>
      <c r="I149" s="379">
        <f t="shared" si="29"/>
        <v>415.37</v>
      </c>
      <c r="J149" s="31"/>
      <c r="K149" s="86"/>
      <c r="L149" s="290">
        <v>0</v>
      </c>
      <c r="M149" s="31">
        <v>0</v>
      </c>
      <c r="N149" s="429"/>
      <c r="O149" s="31">
        <v>0</v>
      </c>
      <c r="P149" s="426">
        <f t="shared" si="30"/>
        <v>0</v>
      </c>
      <c r="Q149" s="14">
        <v>0</v>
      </c>
      <c r="R149" s="295"/>
      <c r="S149" s="385">
        <f t="shared" si="31"/>
        <v>0</v>
      </c>
      <c r="T149" s="31"/>
      <c r="U149" s="474">
        <f t="shared" ref="U149:U216" si="32">IF(B149="D",P149,0)</f>
        <v>0</v>
      </c>
      <c r="V149" s="474">
        <f t="shared" ref="V149:V216" si="33">IF(B149="M",P149,0)</f>
        <v>0</v>
      </c>
      <c r="W149" s="475">
        <f t="shared" ref="W149:W216" si="34">IF(B149="V",P149,0)</f>
        <v>0</v>
      </c>
      <c r="X149" s="475">
        <v>0</v>
      </c>
      <c r="Y149" s="476">
        <v>0</v>
      </c>
      <c r="Z149" s="38">
        <f t="shared" ref="Z149:Z216" si="35">(K149+L149)-(U149+V149+W149+X149+Y149)</f>
        <v>0</v>
      </c>
      <c r="AA149" s="564">
        <f t="shared" ref="AA149:AA216" si="36">IF(B149="D",I149,0)</f>
        <v>415.37</v>
      </c>
      <c r="AB149" s="564">
        <f t="shared" ref="AB149:AB216" si="37">IF(B149="M",I149,0)</f>
        <v>0</v>
      </c>
      <c r="AC149" s="564">
        <f t="shared" ref="AC149:AC216" si="38">IF(B149="V",I149,0)</f>
        <v>0</v>
      </c>
      <c r="AD149" s="597"/>
      <c r="AE149" s="564">
        <f t="shared" ref="AE149:AE216" si="39">IF(B149="D",P149,0)</f>
        <v>0</v>
      </c>
      <c r="AF149" s="564">
        <f t="shared" ref="AF149:AF216" si="40">IF(B149="M",P149,0)</f>
        <v>0</v>
      </c>
      <c r="AG149" s="564">
        <f t="shared" ref="AG149:AG216" si="41">IF(B149="V",P149,0)</f>
        <v>0</v>
      </c>
    </row>
    <row r="150" spans="1:33" s="232" customFormat="1">
      <c r="A150" s="283"/>
      <c r="B150" s="283" t="s">
        <v>110</v>
      </c>
      <c r="C150" s="123" t="s">
        <v>197</v>
      </c>
      <c r="D150" s="514"/>
      <c r="E150" s="529">
        <f>VLOOKUP(C150,'Q4 DMV - Revenue'!C:S,17,FALSE)</f>
        <v>0</v>
      </c>
      <c r="F150" s="576">
        <v>7.83</v>
      </c>
      <c r="G150" s="576">
        <v>4.49</v>
      </c>
      <c r="H150" s="525">
        <v>4.33</v>
      </c>
      <c r="I150" s="379">
        <f t="shared" si="29"/>
        <v>16.649999999999999</v>
      </c>
      <c r="J150" s="31"/>
      <c r="K150" s="86"/>
      <c r="L150" s="290">
        <v>0</v>
      </c>
      <c r="M150" s="31">
        <v>0</v>
      </c>
      <c r="N150" s="429"/>
      <c r="O150" s="31">
        <v>0</v>
      </c>
      <c r="P150" s="426">
        <f t="shared" si="30"/>
        <v>0</v>
      </c>
      <c r="Q150" s="14">
        <v>0</v>
      </c>
      <c r="R150" s="295"/>
      <c r="S150" s="385">
        <f t="shared" si="31"/>
        <v>0</v>
      </c>
      <c r="T150" s="31"/>
      <c r="U150" s="474">
        <f t="shared" si="32"/>
        <v>0</v>
      </c>
      <c r="V150" s="474">
        <f t="shared" si="33"/>
        <v>0</v>
      </c>
      <c r="W150" s="475">
        <f t="shared" si="34"/>
        <v>0</v>
      </c>
      <c r="X150" s="475">
        <v>0</v>
      </c>
      <c r="Y150" s="476">
        <v>0</v>
      </c>
      <c r="Z150" s="38">
        <f t="shared" si="35"/>
        <v>0</v>
      </c>
      <c r="AA150" s="564">
        <f t="shared" si="36"/>
        <v>16.649999999999999</v>
      </c>
      <c r="AB150" s="564">
        <f t="shared" si="37"/>
        <v>0</v>
      </c>
      <c r="AC150" s="564">
        <f t="shared" si="38"/>
        <v>0</v>
      </c>
      <c r="AD150" s="597"/>
      <c r="AE150" s="564">
        <f t="shared" si="39"/>
        <v>0</v>
      </c>
      <c r="AF150" s="564">
        <f t="shared" si="40"/>
        <v>0</v>
      </c>
      <c r="AG150" s="564">
        <f t="shared" si="41"/>
        <v>0</v>
      </c>
    </row>
    <row r="151" spans="1:33" s="232" customFormat="1">
      <c r="A151" s="283"/>
      <c r="B151" s="283" t="s">
        <v>110</v>
      </c>
      <c r="C151" s="123" t="s">
        <v>440</v>
      </c>
      <c r="D151" s="514"/>
      <c r="E151" s="529">
        <f>VLOOKUP(C151,'Q4 DMV - Revenue'!C:S,17,FALSE)</f>
        <v>0</v>
      </c>
      <c r="F151" s="375">
        <f>1940.27+434.84+1020.13+703.44</f>
        <v>4098.68</v>
      </c>
      <c r="G151" s="576">
        <f>1525.78+398.09+894.28+511.8</f>
        <v>3329.95</v>
      </c>
      <c r="H151" s="525">
        <f>1699.68+306.41+1176.81+819.37</f>
        <v>4002.27</v>
      </c>
      <c r="I151" s="379">
        <f t="shared" si="29"/>
        <v>11430.9</v>
      </c>
      <c r="J151" s="31"/>
      <c r="K151" s="86"/>
      <c r="L151" s="290">
        <v>0</v>
      </c>
      <c r="M151" s="31">
        <v>0</v>
      </c>
      <c r="N151" s="429"/>
      <c r="O151" s="31">
        <v>0</v>
      </c>
      <c r="P151" s="426">
        <f t="shared" si="30"/>
        <v>0</v>
      </c>
      <c r="Q151" s="14">
        <v>0</v>
      </c>
      <c r="R151" s="295"/>
      <c r="S151" s="385">
        <f t="shared" si="31"/>
        <v>0</v>
      </c>
      <c r="T151" s="31"/>
      <c r="U151" s="474">
        <f t="shared" si="32"/>
        <v>0</v>
      </c>
      <c r="V151" s="474">
        <f t="shared" si="33"/>
        <v>0</v>
      </c>
      <c r="W151" s="475">
        <f t="shared" si="34"/>
        <v>0</v>
      </c>
      <c r="X151" s="475">
        <v>0</v>
      </c>
      <c r="Y151" s="476">
        <v>0</v>
      </c>
      <c r="Z151" s="38">
        <f t="shared" si="35"/>
        <v>0</v>
      </c>
      <c r="AA151" s="564">
        <f t="shared" si="36"/>
        <v>11430.9</v>
      </c>
      <c r="AB151" s="564">
        <f t="shared" si="37"/>
        <v>0</v>
      </c>
      <c r="AC151" s="564">
        <f t="shared" si="38"/>
        <v>0</v>
      </c>
      <c r="AD151" s="597"/>
      <c r="AE151" s="564">
        <f t="shared" si="39"/>
        <v>0</v>
      </c>
      <c r="AF151" s="564">
        <f t="shared" si="40"/>
        <v>0</v>
      </c>
      <c r="AG151" s="564">
        <f t="shared" si="41"/>
        <v>0</v>
      </c>
    </row>
    <row r="152" spans="1:33" s="232" customFormat="1">
      <c r="A152" s="283"/>
      <c r="B152" s="283" t="s">
        <v>110</v>
      </c>
      <c r="C152" s="123" t="s">
        <v>198</v>
      </c>
      <c r="D152" s="514"/>
      <c r="E152" s="529">
        <f>VLOOKUP(C152,'Q4 DMV - Revenue'!C:S,17,FALSE)</f>
        <v>-86.14</v>
      </c>
      <c r="F152" s="579"/>
      <c r="G152" s="579"/>
      <c r="H152" s="524"/>
      <c r="I152" s="379">
        <f t="shared" si="29"/>
        <v>-86.14</v>
      </c>
      <c r="J152" s="31"/>
      <c r="K152" s="86"/>
      <c r="L152" s="290">
        <v>85</v>
      </c>
      <c r="M152" s="31">
        <v>0</v>
      </c>
      <c r="N152" s="429"/>
      <c r="O152" s="31">
        <v>0</v>
      </c>
      <c r="P152" s="426">
        <f t="shared" si="30"/>
        <v>85</v>
      </c>
      <c r="Q152" s="14">
        <v>0</v>
      </c>
      <c r="R152" s="295"/>
      <c r="S152" s="385">
        <f t="shared" si="31"/>
        <v>-85</v>
      </c>
      <c r="T152" s="31"/>
      <c r="U152" s="474">
        <f t="shared" si="32"/>
        <v>85</v>
      </c>
      <c r="V152" s="474">
        <f t="shared" si="33"/>
        <v>0</v>
      </c>
      <c r="W152" s="475">
        <f t="shared" si="34"/>
        <v>0</v>
      </c>
      <c r="X152" s="475">
        <v>0</v>
      </c>
      <c r="Y152" s="476">
        <v>0</v>
      </c>
      <c r="Z152" s="38">
        <f t="shared" si="35"/>
        <v>0</v>
      </c>
      <c r="AA152" s="564">
        <f t="shared" si="36"/>
        <v>-86.14</v>
      </c>
      <c r="AB152" s="564">
        <f t="shared" si="37"/>
        <v>0</v>
      </c>
      <c r="AC152" s="564">
        <f t="shared" si="38"/>
        <v>0</v>
      </c>
      <c r="AD152" s="597"/>
      <c r="AE152" s="564">
        <f t="shared" si="39"/>
        <v>85</v>
      </c>
      <c r="AF152" s="564">
        <f t="shared" si="40"/>
        <v>0</v>
      </c>
      <c r="AG152" s="564">
        <f t="shared" si="41"/>
        <v>0</v>
      </c>
    </row>
    <row r="153" spans="1:33" s="232" customFormat="1">
      <c r="A153" s="283"/>
      <c r="B153" s="283" t="s">
        <v>109</v>
      </c>
      <c r="C153" s="123" t="s">
        <v>248</v>
      </c>
      <c r="D153" s="514"/>
      <c r="E153" s="529">
        <f>VLOOKUP(C153,'Q4 DMV - Revenue'!C:S,17,FALSE)</f>
        <v>-95.22</v>
      </c>
      <c r="F153" s="579"/>
      <c r="G153" s="579"/>
      <c r="H153" s="524"/>
      <c r="I153" s="379">
        <f t="shared" si="29"/>
        <v>-95.22</v>
      </c>
      <c r="J153" s="31"/>
      <c r="K153" s="86"/>
      <c r="L153" s="290">
        <v>95</v>
      </c>
      <c r="M153" s="31"/>
      <c r="N153" s="429"/>
      <c r="O153" s="31"/>
      <c r="P153" s="426">
        <f t="shared" si="30"/>
        <v>95</v>
      </c>
      <c r="Q153" s="14">
        <v>0</v>
      </c>
      <c r="R153" s="295"/>
      <c r="S153" s="385">
        <f t="shared" si="31"/>
        <v>-95</v>
      </c>
      <c r="T153" s="31"/>
      <c r="U153" s="474">
        <f t="shared" si="32"/>
        <v>0</v>
      </c>
      <c r="V153" s="474">
        <f t="shared" si="33"/>
        <v>95</v>
      </c>
      <c r="W153" s="475">
        <f t="shared" si="34"/>
        <v>0</v>
      </c>
      <c r="X153" s="475">
        <v>0</v>
      </c>
      <c r="Y153" s="476">
        <v>0</v>
      </c>
      <c r="Z153" s="38">
        <f t="shared" si="35"/>
        <v>0</v>
      </c>
      <c r="AA153" s="564">
        <f t="shared" si="36"/>
        <v>0</v>
      </c>
      <c r="AB153" s="564">
        <f t="shared" si="37"/>
        <v>-95.22</v>
      </c>
      <c r="AC153" s="564">
        <f t="shared" si="38"/>
        <v>0</v>
      </c>
      <c r="AD153" s="597"/>
      <c r="AE153" s="564">
        <f t="shared" si="39"/>
        <v>0</v>
      </c>
      <c r="AF153" s="564">
        <f t="shared" si="40"/>
        <v>95</v>
      </c>
      <c r="AG153" s="564">
        <f t="shared" si="41"/>
        <v>0</v>
      </c>
    </row>
    <row r="154" spans="1:33" s="232" customFormat="1">
      <c r="A154" s="283"/>
      <c r="B154" s="32" t="s">
        <v>110</v>
      </c>
      <c r="C154" s="68" t="s">
        <v>465</v>
      </c>
      <c r="D154" s="449">
        <v>27401.71</v>
      </c>
      <c r="E154" s="529">
        <v>0</v>
      </c>
      <c r="F154" s="579"/>
      <c r="G154" s="579"/>
      <c r="H154" s="524"/>
      <c r="I154" s="379">
        <f t="shared" si="29"/>
        <v>27401.71</v>
      </c>
      <c r="J154" s="31"/>
      <c r="K154" s="86"/>
      <c r="L154" s="290">
        <v>0</v>
      </c>
      <c r="M154" s="31"/>
      <c r="N154" s="429">
        <v>27401.71</v>
      </c>
      <c r="O154" s="31"/>
      <c r="P154" s="426">
        <f t="shared" si="30"/>
        <v>0</v>
      </c>
      <c r="Q154" s="14">
        <v>0</v>
      </c>
      <c r="R154" s="295"/>
      <c r="S154" s="385">
        <f t="shared" si="31"/>
        <v>0</v>
      </c>
      <c r="T154" s="31"/>
      <c r="U154" s="474">
        <f t="shared" si="32"/>
        <v>0</v>
      </c>
      <c r="V154" s="474">
        <f t="shared" si="33"/>
        <v>0</v>
      </c>
      <c r="W154" s="475">
        <f t="shared" si="34"/>
        <v>0</v>
      </c>
      <c r="X154" s="475">
        <v>0</v>
      </c>
      <c r="Y154" s="476">
        <v>0</v>
      </c>
      <c r="Z154" s="38">
        <f t="shared" si="35"/>
        <v>0</v>
      </c>
      <c r="AA154" s="564">
        <f t="shared" si="36"/>
        <v>27401.71</v>
      </c>
      <c r="AB154" s="564">
        <f t="shared" si="37"/>
        <v>0</v>
      </c>
      <c r="AC154" s="564">
        <f t="shared" si="38"/>
        <v>0</v>
      </c>
      <c r="AD154" s="597"/>
      <c r="AE154" s="564">
        <f t="shared" si="39"/>
        <v>0</v>
      </c>
      <c r="AF154" s="564">
        <f t="shared" si="40"/>
        <v>0</v>
      </c>
      <c r="AG154" s="564">
        <f t="shared" si="41"/>
        <v>0</v>
      </c>
    </row>
    <row r="155" spans="1:33">
      <c r="A155" s="21"/>
      <c r="B155" s="21" t="s">
        <v>109</v>
      </c>
      <c r="C155" s="68" t="s">
        <v>31</v>
      </c>
      <c r="D155" s="449"/>
      <c r="E155" s="529">
        <f>VLOOKUP(C155,'Q4 DMV - Revenue'!C:S,17,FALSE)</f>
        <v>-1040.2</v>
      </c>
      <c r="F155" s="576">
        <v>12.41</v>
      </c>
      <c r="G155" s="576">
        <v>17.96</v>
      </c>
      <c r="H155" s="524"/>
      <c r="I155" s="379">
        <f t="shared" si="29"/>
        <v>-1009.8299999999999</v>
      </c>
      <c r="J155" s="31"/>
      <c r="K155" s="84"/>
      <c r="L155" s="42">
        <f>(F155+G155)/2</f>
        <v>15.185</v>
      </c>
      <c r="M155" s="31">
        <v>0</v>
      </c>
      <c r="N155" s="429"/>
      <c r="O155" s="31">
        <v>0</v>
      </c>
      <c r="P155" s="426">
        <f t="shared" si="30"/>
        <v>15.185</v>
      </c>
      <c r="Q155" s="576">
        <v>0</v>
      </c>
      <c r="R155" s="295"/>
      <c r="S155" s="385">
        <f t="shared" si="31"/>
        <v>-15.185</v>
      </c>
      <c r="T155" s="31"/>
      <c r="U155" s="474">
        <f t="shared" si="32"/>
        <v>0</v>
      </c>
      <c r="V155" s="474">
        <f t="shared" si="33"/>
        <v>15.185</v>
      </c>
      <c r="W155" s="475">
        <f t="shared" si="34"/>
        <v>0</v>
      </c>
      <c r="X155" s="475">
        <v>0</v>
      </c>
      <c r="Y155" s="476">
        <v>0</v>
      </c>
      <c r="Z155" s="38">
        <f t="shared" si="35"/>
        <v>0</v>
      </c>
      <c r="AA155" s="564">
        <f t="shared" si="36"/>
        <v>0</v>
      </c>
      <c r="AB155" s="564">
        <f t="shared" si="37"/>
        <v>-1009.8299999999999</v>
      </c>
      <c r="AC155" s="564">
        <f t="shared" si="38"/>
        <v>0</v>
      </c>
      <c r="AE155" s="564">
        <f t="shared" si="39"/>
        <v>0</v>
      </c>
      <c r="AF155" s="564">
        <f t="shared" si="40"/>
        <v>15.185</v>
      </c>
      <c r="AG155" s="564">
        <f t="shared" si="41"/>
        <v>0</v>
      </c>
    </row>
    <row r="156" spans="1:33">
      <c r="A156" s="21"/>
      <c r="B156" s="21" t="s">
        <v>110</v>
      </c>
      <c r="C156" s="68" t="s">
        <v>261</v>
      </c>
      <c r="D156" s="449"/>
      <c r="E156" s="529">
        <f>VLOOKUP(C156,'Q4 DMV - Revenue'!C:S,17,FALSE)</f>
        <v>0</v>
      </c>
      <c r="F156" s="576">
        <f>56741.24-F157</f>
        <v>39632.74</v>
      </c>
      <c r="G156" s="576">
        <f>56985.22-G157</f>
        <v>39536.39</v>
      </c>
      <c r="H156" s="524"/>
      <c r="I156" s="379">
        <f t="shared" si="29"/>
        <v>79169.13</v>
      </c>
      <c r="J156" s="31"/>
      <c r="K156" s="84"/>
      <c r="L156" s="234">
        <f>(F156+G156)/2</f>
        <v>39584.565000000002</v>
      </c>
      <c r="M156" s="31">
        <v>1</v>
      </c>
      <c r="N156" s="429">
        <v>113726.46</v>
      </c>
      <c r="O156" s="31">
        <v>1</v>
      </c>
      <c r="P156" s="426">
        <f t="shared" si="30"/>
        <v>39584.565000000002</v>
      </c>
      <c r="Q156" s="576">
        <f>59821.08-Q157</f>
        <v>42416.11</v>
      </c>
      <c r="R156" s="295"/>
      <c r="S156" s="385">
        <f t="shared" si="31"/>
        <v>2831.5449999999983</v>
      </c>
      <c r="T156" s="31"/>
      <c r="U156" s="474">
        <f t="shared" si="32"/>
        <v>39584.565000000002</v>
      </c>
      <c r="V156" s="474">
        <f t="shared" si="33"/>
        <v>0</v>
      </c>
      <c r="W156" s="475">
        <f t="shared" si="34"/>
        <v>0</v>
      </c>
      <c r="X156" s="475">
        <v>0</v>
      </c>
      <c r="Y156" s="476">
        <v>0</v>
      </c>
      <c r="Z156" s="38">
        <f t="shared" si="35"/>
        <v>0</v>
      </c>
      <c r="AA156" s="564">
        <f t="shared" si="36"/>
        <v>79169.13</v>
      </c>
      <c r="AB156" s="564">
        <f t="shared" si="37"/>
        <v>0</v>
      </c>
      <c r="AC156" s="564">
        <f t="shared" si="38"/>
        <v>0</v>
      </c>
      <c r="AE156" s="564">
        <f t="shared" si="39"/>
        <v>39584.565000000002</v>
      </c>
      <c r="AF156" s="564">
        <f t="shared" si="40"/>
        <v>0</v>
      </c>
      <c r="AG156" s="564">
        <f t="shared" si="41"/>
        <v>0</v>
      </c>
    </row>
    <row r="157" spans="1:33" s="269" customFormat="1">
      <c r="A157" s="21"/>
      <c r="B157" s="21" t="s">
        <v>110</v>
      </c>
      <c r="C157" s="68" t="s">
        <v>262</v>
      </c>
      <c r="D157" s="449"/>
      <c r="E157" s="529">
        <f>VLOOKUP(C157,'Q4 DMV - Revenue'!C:S,17,FALSE)</f>
        <v>0</v>
      </c>
      <c r="F157" s="576">
        <v>17108.5</v>
      </c>
      <c r="G157" s="576">
        <v>17448.830000000002</v>
      </c>
      <c r="H157" s="524"/>
      <c r="I157" s="379">
        <f t="shared" si="29"/>
        <v>34557.33</v>
      </c>
      <c r="J157" s="31"/>
      <c r="K157" s="84"/>
      <c r="L157" s="234">
        <f>(F157+G157)/2</f>
        <v>17278.665000000001</v>
      </c>
      <c r="M157" s="31">
        <v>1</v>
      </c>
      <c r="N157" s="429"/>
      <c r="O157" s="31">
        <v>1</v>
      </c>
      <c r="P157" s="426">
        <f t="shared" si="30"/>
        <v>17278.665000000001</v>
      </c>
      <c r="Q157" s="178">
        <v>17404.97</v>
      </c>
      <c r="R157" s="295"/>
      <c r="S157" s="385">
        <f t="shared" si="31"/>
        <v>126.30500000000029</v>
      </c>
      <c r="T157" s="31"/>
      <c r="U157" s="474">
        <f t="shared" si="32"/>
        <v>17278.665000000001</v>
      </c>
      <c r="V157" s="474">
        <f t="shared" si="33"/>
        <v>0</v>
      </c>
      <c r="W157" s="475">
        <f t="shared" si="34"/>
        <v>0</v>
      </c>
      <c r="X157" s="475">
        <v>0</v>
      </c>
      <c r="Y157" s="476">
        <v>0</v>
      </c>
      <c r="Z157" s="38">
        <f t="shared" si="35"/>
        <v>0</v>
      </c>
      <c r="AA157" s="564">
        <f t="shared" si="36"/>
        <v>34557.33</v>
      </c>
      <c r="AB157" s="564">
        <f t="shared" si="37"/>
        <v>0</v>
      </c>
      <c r="AC157" s="564">
        <f t="shared" si="38"/>
        <v>0</v>
      </c>
      <c r="AD157" s="566"/>
      <c r="AE157" s="564">
        <f t="shared" si="39"/>
        <v>17278.665000000001</v>
      </c>
      <c r="AF157" s="564">
        <f t="shared" si="40"/>
        <v>0</v>
      </c>
      <c r="AG157" s="564">
        <f t="shared" si="41"/>
        <v>0</v>
      </c>
    </row>
    <row r="158" spans="1:33">
      <c r="A158" s="21"/>
      <c r="B158" s="21" t="s">
        <v>109</v>
      </c>
      <c r="C158" s="68" t="s">
        <v>190</v>
      </c>
      <c r="D158" s="449"/>
      <c r="E158" s="529">
        <f>VLOOKUP(C158,'Q4 DMV - Revenue'!C:S,17,FALSE)</f>
        <v>0</v>
      </c>
      <c r="F158" s="579"/>
      <c r="G158" s="579"/>
      <c r="H158" s="524"/>
      <c r="I158" s="379">
        <f t="shared" si="29"/>
        <v>0</v>
      </c>
      <c r="J158" s="31"/>
      <c r="K158" s="84"/>
      <c r="L158" s="42">
        <v>1000</v>
      </c>
      <c r="M158" s="31">
        <v>0</v>
      </c>
      <c r="N158" s="429"/>
      <c r="O158" s="31">
        <v>0</v>
      </c>
      <c r="P158" s="426">
        <f t="shared" si="30"/>
        <v>1000</v>
      </c>
      <c r="Q158" s="178">
        <f>298.81+197.73+384.21</f>
        <v>880.75</v>
      </c>
      <c r="R158" s="295"/>
      <c r="S158" s="385">
        <f t="shared" si="31"/>
        <v>-119.25</v>
      </c>
      <c r="T158" s="31"/>
      <c r="U158" s="474">
        <f t="shared" si="32"/>
        <v>0</v>
      </c>
      <c r="V158" s="474">
        <f t="shared" si="33"/>
        <v>1000</v>
      </c>
      <c r="W158" s="475">
        <f t="shared" si="34"/>
        <v>0</v>
      </c>
      <c r="X158" s="475">
        <v>0</v>
      </c>
      <c r="Y158" s="476">
        <v>0</v>
      </c>
      <c r="Z158" s="38">
        <f t="shared" si="35"/>
        <v>0</v>
      </c>
      <c r="AA158" s="564">
        <f t="shared" si="36"/>
        <v>0</v>
      </c>
      <c r="AB158" s="564">
        <f t="shared" si="37"/>
        <v>0</v>
      </c>
      <c r="AC158" s="564">
        <f t="shared" si="38"/>
        <v>0</v>
      </c>
      <c r="AE158" s="564">
        <f t="shared" si="39"/>
        <v>0</v>
      </c>
      <c r="AF158" s="564">
        <f t="shared" si="40"/>
        <v>1000</v>
      </c>
      <c r="AG158" s="564">
        <f t="shared" si="41"/>
        <v>0</v>
      </c>
    </row>
    <row r="159" spans="1:33">
      <c r="A159" s="21"/>
      <c r="B159" s="21" t="s">
        <v>109</v>
      </c>
      <c r="C159" s="68" t="s">
        <v>231</v>
      </c>
      <c r="D159" s="449"/>
      <c r="E159" s="529">
        <f>VLOOKUP(C159,'Q4 DMV - Revenue'!C:S,17,FALSE)</f>
        <v>0</v>
      </c>
      <c r="F159" s="579"/>
      <c r="G159" s="579"/>
      <c r="H159" s="524"/>
      <c r="I159" s="379">
        <f t="shared" si="29"/>
        <v>0</v>
      </c>
      <c r="J159" s="31"/>
      <c r="K159" s="84"/>
      <c r="L159" s="42">
        <v>1500</v>
      </c>
      <c r="M159" s="31">
        <v>0</v>
      </c>
      <c r="N159" s="429"/>
      <c r="O159" s="31">
        <v>0</v>
      </c>
      <c r="P159" s="426">
        <f t="shared" si="30"/>
        <v>1500</v>
      </c>
      <c r="Q159" s="178">
        <f>1376.26+193.55</f>
        <v>1569.81</v>
      </c>
      <c r="R159" s="295"/>
      <c r="S159" s="385">
        <f t="shared" si="31"/>
        <v>69.809999999999945</v>
      </c>
      <c r="T159" s="31"/>
      <c r="U159" s="474">
        <f t="shared" si="32"/>
        <v>0</v>
      </c>
      <c r="V159" s="474">
        <f t="shared" si="33"/>
        <v>1500</v>
      </c>
      <c r="W159" s="475">
        <f t="shared" si="34"/>
        <v>0</v>
      </c>
      <c r="X159" s="475">
        <v>0</v>
      </c>
      <c r="Y159" s="476">
        <v>0</v>
      </c>
      <c r="Z159" s="38">
        <f t="shared" si="35"/>
        <v>0</v>
      </c>
      <c r="AA159" s="564">
        <f t="shared" si="36"/>
        <v>0</v>
      </c>
      <c r="AB159" s="564">
        <f t="shared" si="37"/>
        <v>0</v>
      </c>
      <c r="AC159" s="564">
        <f t="shared" si="38"/>
        <v>0</v>
      </c>
      <c r="AE159" s="564">
        <f t="shared" si="39"/>
        <v>0</v>
      </c>
      <c r="AF159" s="564">
        <f t="shared" si="40"/>
        <v>1500</v>
      </c>
      <c r="AG159" s="564">
        <f t="shared" si="41"/>
        <v>0</v>
      </c>
    </row>
    <row r="160" spans="1:33">
      <c r="A160" s="21"/>
      <c r="B160" s="21" t="s">
        <v>109</v>
      </c>
      <c r="C160" s="68" t="s">
        <v>396</v>
      </c>
      <c r="D160" s="449"/>
      <c r="E160" s="529">
        <f>VLOOKUP(C160,'Q4 DMV - Revenue'!C:S,17,FALSE)</f>
        <v>0</v>
      </c>
      <c r="F160" s="579"/>
      <c r="G160" s="579"/>
      <c r="H160" s="524"/>
      <c r="I160" s="379">
        <f t="shared" si="29"/>
        <v>0</v>
      </c>
      <c r="J160" s="31"/>
      <c r="K160" s="84"/>
      <c r="L160" s="42">
        <v>0</v>
      </c>
      <c r="M160" s="31"/>
      <c r="N160" s="429"/>
      <c r="O160" s="31"/>
      <c r="P160" s="426">
        <f t="shared" si="30"/>
        <v>0</v>
      </c>
      <c r="Q160" s="178">
        <v>0</v>
      </c>
      <c r="R160" s="295"/>
      <c r="S160" s="385">
        <f t="shared" si="31"/>
        <v>0</v>
      </c>
      <c r="T160" s="31"/>
      <c r="U160" s="474">
        <f t="shared" si="32"/>
        <v>0</v>
      </c>
      <c r="V160" s="474">
        <f t="shared" si="33"/>
        <v>0</v>
      </c>
      <c r="W160" s="475">
        <f t="shared" si="34"/>
        <v>0</v>
      </c>
      <c r="X160" s="475">
        <v>0</v>
      </c>
      <c r="Y160" s="476">
        <v>0</v>
      </c>
      <c r="Z160" s="38">
        <f t="shared" si="35"/>
        <v>0</v>
      </c>
      <c r="AA160" s="564">
        <f t="shared" si="36"/>
        <v>0</v>
      </c>
      <c r="AB160" s="564">
        <f t="shared" si="37"/>
        <v>0</v>
      </c>
      <c r="AC160" s="564">
        <f t="shared" si="38"/>
        <v>0</v>
      </c>
      <c r="AE160" s="564">
        <f t="shared" si="39"/>
        <v>0</v>
      </c>
      <c r="AF160" s="564">
        <f t="shared" si="40"/>
        <v>0</v>
      </c>
      <c r="AG160" s="564">
        <f t="shared" si="41"/>
        <v>0</v>
      </c>
    </row>
    <row r="161" spans="1:33">
      <c r="A161" s="21"/>
      <c r="B161" s="21" t="s">
        <v>110</v>
      </c>
      <c r="C161" s="68" t="s">
        <v>342</v>
      </c>
      <c r="D161" s="449"/>
      <c r="E161" s="529">
        <f>VLOOKUP(C161,'Q4 DMV - Revenue'!C:S,17,FALSE)</f>
        <v>0</v>
      </c>
      <c r="F161" s="576">
        <v>1678.72</v>
      </c>
      <c r="G161" s="576">
        <v>1588.37</v>
      </c>
      <c r="H161" s="524"/>
      <c r="I161" s="379">
        <f t="shared" si="29"/>
        <v>3267.09</v>
      </c>
      <c r="J161" s="31"/>
      <c r="K161" s="84"/>
      <c r="L161" s="42">
        <f>(F161+G161)/2</f>
        <v>1633.5450000000001</v>
      </c>
      <c r="M161" s="31"/>
      <c r="N161" s="429"/>
      <c r="O161" s="31"/>
      <c r="P161" s="426">
        <f t="shared" si="30"/>
        <v>1633.5450000000001</v>
      </c>
      <c r="Q161" s="178">
        <v>2108.2600000000002</v>
      </c>
      <c r="R161" s="295"/>
      <c r="S161" s="385">
        <f t="shared" si="31"/>
        <v>474.71500000000015</v>
      </c>
      <c r="T161" s="31"/>
      <c r="U161" s="474">
        <f t="shared" si="32"/>
        <v>1633.5450000000001</v>
      </c>
      <c r="V161" s="474">
        <f t="shared" si="33"/>
        <v>0</v>
      </c>
      <c r="W161" s="475">
        <f t="shared" si="34"/>
        <v>0</v>
      </c>
      <c r="X161" s="475">
        <v>0</v>
      </c>
      <c r="Y161" s="476">
        <v>0</v>
      </c>
      <c r="Z161" s="38">
        <f t="shared" si="35"/>
        <v>0</v>
      </c>
      <c r="AA161" s="564">
        <f t="shared" si="36"/>
        <v>3267.09</v>
      </c>
      <c r="AB161" s="564">
        <f t="shared" si="37"/>
        <v>0</v>
      </c>
      <c r="AC161" s="564">
        <f t="shared" si="38"/>
        <v>0</v>
      </c>
      <c r="AE161" s="564">
        <f t="shared" si="39"/>
        <v>1633.5450000000001</v>
      </c>
      <c r="AF161" s="564">
        <f t="shared" si="40"/>
        <v>0</v>
      </c>
      <c r="AG161" s="564">
        <f t="shared" si="41"/>
        <v>0</v>
      </c>
    </row>
    <row r="162" spans="1:33">
      <c r="A162" s="20"/>
      <c r="B162" s="20" t="s">
        <v>109</v>
      </c>
      <c r="C162" s="68" t="s">
        <v>32</v>
      </c>
      <c r="D162" s="449"/>
      <c r="E162" s="529">
        <f>VLOOKUP(C162,'Q4 DMV - Revenue'!C:S,17,FALSE)</f>
        <v>1955.0349999999999</v>
      </c>
      <c r="F162" s="576">
        <v>311.86</v>
      </c>
      <c r="G162" s="579"/>
      <c r="H162" s="524"/>
      <c r="I162" s="379">
        <f t="shared" si="29"/>
        <v>2266.895</v>
      </c>
      <c r="J162" s="31"/>
      <c r="K162" s="84"/>
      <c r="L162" s="42">
        <f>F162*2</f>
        <v>623.72</v>
      </c>
      <c r="M162" s="31">
        <v>0</v>
      </c>
      <c r="N162" s="429"/>
      <c r="O162" s="31">
        <v>0</v>
      </c>
      <c r="P162" s="426">
        <f t="shared" si="30"/>
        <v>623.72</v>
      </c>
      <c r="Q162" s="178">
        <f>995.98+1177.06</f>
        <v>2173.04</v>
      </c>
      <c r="R162" s="295"/>
      <c r="S162" s="385">
        <f t="shared" si="31"/>
        <v>1549.32</v>
      </c>
      <c r="T162" s="31"/>
      <c r="U162" s="474">
        <f t="shared" si="32"/>
        <v>0</v>
      </c>
      <c r="V162" s="474">
        <f t="shared" si="33"/>
        <v>623.72</v>
      </c>
      <c r="W162" s="475">
        <f t="shared" si="34"/>
        <v>0</v>
      </c>
      <c r="X162" s="475">
        <v>0</v>
      </c>
      <c r="Y162" s="476">
        <v>0</v>
      </c>
      <c r="Z162" s="38">
        <f t="shared" si="35"/>
        <v>0</v>
      </c>
      <c r="AA162" s="564">
        <f t="shared" si="36"/>
        <v>0</v>
      </c>
      <c r="AB162" s="564">
        <f t="shared" si="37"/>
        <v>2266.895</v>
      </c>
      <c r="AC162" s="564">
        <f t="shared" si="38"/>
        <v>0</v>
      </c>
      <c r="AE162" s="564">
        <f t="shared" si="39"/>
        <v>0</v>
      </c>
      <c r="AF162" s="564">
        <f t="shared" si="40"/>
        <v>623.72</v>
      </c>
      <c r="AG162" s="564">
        <f t="shared" si="41"/>
        <v>0</v>
      </c>
    </row>
    <row r="163" spans="1:33">
      <c r="A163" s="21"/>
      <c r="B163" s="21" t="s">
        <v>109</v>
      </c>
      <c r="C163" s="68" t="s">
        <v>448</v>
      </c>
      <c r="D163" s="449"/>
      <c r="E163" s="529">
        <f>VLOOKUP(C163,'Q4 DMV - Revenue'!C:S,17,FALSE)</f>
        <v>0</v>
      </c>
      <c r="F163" s="579"/>
      <c r="G163" s="579"/>
      <c r="H163" s="524"/>
      <c r="I163" s="379">
        <f t="shared" si="29"/>
        <v>0</v>
      </c>
      <c r="J163" s="31"/>
      <c r="K163" s="84"/>
      <c r="L163" s="42">
        <v>150</v>
      </c>
      <c r="M163" s="31"/>
      <c r="N163" s="429"/>
      <c r="O163" s="31"/>
      <c r="P163" s="426">
        <f t="shared" si="30"/>
        <v>150</v>
      </c>
      <c r="Q163" s="178">
        <v>349.8</v>
      </c>
      <c r="R163" s="295"/>
      <c r="S163" s="385">
        <f t="shared" si="31"/>
        <v>199.8</v>
      </c>
      <c r="T163" s="31"/>
      <c r="U163" s="474">
        <f t="shared" si="32"/>
        <v>0</v>
      </c>
      <c r="V163" s="474">
        <f t="shared" si="33"/>
        <v>150</v>
      </c>
      <c r="W163" s="475">
        <f t="shared" si="34"/>
        <v>0</v>
      </c>
      <c r="X163" s="475">
        <v>0</v>
      </c>
      <c r="Y163" s="476">
        <v>0</v>
      </c>
      <c r="Z163" s="38">
        <f t="shared" si="35"/>
        <v>0</v>
      </c>
      <c r="AA163" s="564">
        <f t="shared" si="36"/>
        <v>0</v>
      </c>
      <c r="AB163" s="564">
        <f t="shared" si="37"/>
        <v>0</v>
      </c>
      <c r="AC163" s="564">
        <f t="shared" si="38"/>
        <v>0</v>
      </c>
      <c r="AE163" s="564">
        <f t="shared" si="39"/>
        <v>0</v>
      </c>
      <c r="AF163" s="564">
        <f t="shared" si="40"/>
        <v>150</v>
      </c>
      <c r="AG163" s="564">
        <f t="shared" si="41"/>
        <v>0</v>
      </c>
    </row>
    <row r="164" spans="1:33">
      <c r="A164" s="21" t="s">
        <v>211</v>
      </c>
      <c r="B164" s="21" t="s">
        <v>110</v>
      </c>
      <c r="C164" s="68" t="s">
        <v>122</v>
      </c>
      <c r="D164" s="449">
        <f>20859.28+9093.55</f>
        <v>29952.829999999998</v>
      </c>
      <c r="E164" s="529">
        <f>VLOOKUP(C164,'Q4 DMV - Revenue'!C:S,17,FALSE)</f>
        <v>391.15999999999985</v>
      </c>
      <c r="F164" s="579"/>
      <c r="G164" s="579"/>
      <c r="H164" s="524"/>
      <c r="I164" s="379">
        <f t="shared" si="29"/>
        <v>30343.989999999998</v>
      </c>
      <c r="J164" s="31"/>
      <c r="K164" s="84"/>
      <c r="L164" s="234">
        <v>8000</v>
      </c>
      <c r="M164" s="31">
        <v>0</v>
      </c>
      <c r="N164" s="429">
        <v>38117.58</v>
      </c>
      <c r="O164" s="31">
        <v>0</v>
      </c>
      <c r="P164" s="426">
        <f t="shared" si="30"/>
        <v>8000</v>
      </c>
      <c r="Q164" s="178">
        <f>3262.34+1939.2+2688.23</f>
        <v>7889.77</v>
      </c>
      <c r="R164" s="295"/>
      <c r="S164" s="385">
        <f t="shared" si="31"/>
        <v>-110.22999999999956</v>
      </c>
      <c r="T164" s="31"/>
      <c r="U164" s="474">
        <f t="shared" si="32"/>
        <v>8000</v>
      </c>
      <c r="V164" s="474">
        <f t="shared" si="33"/>
        <v>0</v>
      </c>
      <c r="W164" s="475">
        <f t="shared" si="34"/>
        <v>0</v>
      </c>
      <c r="X164" s="475">
        <v>0</v>
      </c>
      <c r="Y164" s="476">
        <v>0</v>
      </c>
      <c r="Z164" s="38">
        <f t="shared" si="35"/>
        <v>0</v>
      </c>
      <c r="AA164" s="564">
        <f t="shared" si="36"/>
        <v>30343.989999999998</v>
      </c>
      <c r="AB164" s="564">
        <f t="shared" si="37"/>
        <v>0</v>
      </c>
      <c r="AC164" s="564">
        <f t="shared" si="38"/>
        <v>0</v>
      </c>
      <c r="AE164" s="564">
        <f t="shared" si="39"/>
        <v>8000</v>
      </c>
      <c r="AF164" s="564">
        <f t="shared" si="40"/>
        <v>0</v>
      </c>
      <c r="AG164" s="564">
        <f t="shared" si="41"/>
        <v>0</v>
      </c>
    </row>
    <row r="165" spans="1:33">
      <c r="A165" s="21"/>
      <c r="B165" s="21" t="s">
        <v>109</v>
      </c>
      <c r="C165" s="68" t="s">
        <v>33</v>
      </c>
      <c r="D165" s="449"/>
      <c r="E165" s="529">
        <f>VLOOKUP(C165,'Q4 DMV - Revenue'!C:S,17,FALSE)</f>
        <v>627.29999999999927</v>
      </c>
      <c r="F165" s="576">
        <v>9910.7999999999993</v>
      </c>
      <c r="G165" s="576">
        <v>8667.9</v>
      </c>
      <c r="H165" s="525">
        <v>9766.4</v>
      </c>
      <c r="I165" s="379">
        <f t="shared" si="29"/>
        <v>28972.400000000001</v>
      </c>
      <c r="J165" s="31"/>
      <c r="K165" s="84"/>
      <c r="L165" s="42">
        <v>0</v>
      </c>
      <c r="M165" s="31">
        <v>0</v>
      </c>
      <c r="N165" s="429">
        <v>38410.6</v>
      </c>
      <c r="O165" s="31">
        <v>0</v>
      </c>
      <c r="P165" s="426">
        <f t="shared" si="30"/>
        <v>0</v>
      </c>
      <c r="Q165" s="178">
        <v>0</v>
      </c>
      <c r="R165" s="295"/>
      <c r="S165" s="385">
        <f t="shared" si="31"/>
        <v>0</v>
      </c>
      <c r="T165" s="31"/>
      <c r="U165" s="474">
        <f t="shared" si="32"/>
        <v>0</v>
      </c>
      <c r="V165" s="474">
        <f t="shared" si="33"/>
        <v>0</v>
      </c>
      <c r="W165" s="475">
        <f t="shared" si="34"/>
        <v>0</v>
      </c>
      <c r="X165" s="475">
        <v>0</v>
      </c>
      <c r="Y165" s="476">
        <v>0</v>
      </c>
      <c r="Z165" s="38">
        <f t="shared" si="35"/>
        <v>0</v>
      </c>
      <c r="AA165" s="564">
        <f t="shared" si="36"/>
        <v>0</v>
      </c>
      <c r="AB165" s="564">
        <f t="shared" si="37"/>
        <v>28972.400000000001</v>
      </c>
      <c r="AC165" s="564">
        <f t="shared" si="38"/>
        <v>0</v>
      </c>
      <c r="AE165" s="564">
        <f t="shared" si="39"/>
        <v>0</v>
      </c>
      <c r="AF165" s="564">
        <f t="shared" si="40"/>
        <v>0</v>
      </c>
      <c r="AG165" s="564">
        <f t="shared" si="41"/>
        <v>0</v>
      </c>
    </row>
    <row r="166" spans="1:33">
      <c r="A166" s="21"/>
      <c r="B166" s="21" t="s">
        <v>109</v>
      </c>
      <c r="C166" s="68" t="s">
        <v>379</v>
      </c>
      <c r="D166" s="449"/>
      <c r="E166" s="529">
        <f>VLOOKUP(C166,'Q4 DMV - Revenue'!C:S,17,FALSE)</f>
        <v>0</v>
      </c>
      <c r="F166" s="576">
        <v>582.12</v>
      </c>
      <c r="G166" s="576">
        <v>499.9</v>
      </c>
      <c r="H166" s="524"/>
      <c r="I166" s="379">
        <f t="shared" si="29"/>
        <v>1082.02</v>
      </c>
      <c r="J166" s="31"/>
      <c r="K166" s="84"/>
      <c r="L166" s="42">
        <f t="shared" ref="L166:L171" si="42">(F166+G166)/2</f>
        <v>541.01</v>
      </c>
      <c r="M166" s="31">
        <v>0</v>
      </c>
      <c r="N166" s="429"/>
      <c r="O166" s="31">
        <v>0</v>
      </c>
      <c r="P166" s="426">
        <f t="shared" si="30"/>
        <v>541.01</v>
      </c>
      <c r="Q166" s="178">
        <v>501.82</v>
      </c>
      <c r="R166" s="295"/>
      <c r="S166" s="385">
        <f t="shared" si="31"/>
        <v>-39.19</v>
      </c>
      <c r="T166" s="31"/>
      <c r="U166" s="474">
        <f t="shared" si="32"/>
        <v>0</v>
      </c>
      <c r="V166" s="474">
        <f t="shared" si="33"/>
        <v>541.01</v>
      </c>
      <c r="W166" s="475">
        <f t="shared" si="34"/>
        <v>0</v>
      </c>
      <c r="X166" s="475">
        <v>0</v>
      </c>
      <c r="Y166" s="476">
        <v>0</v>
      </c>
      <c r="Z166" s="38">
        <f t="shared" si="35"/>
        <v>0</v>
      </c>
      <c r="AA166" s="564">
        <f t="shared" si="36"/>
        <v>0</v>
      </c>
      <c r="AB166" s="564">
        <f t="shared" si="37"/>
        <v>1082.02</v>
      </c>
      <c r="AC166" s="564">
        <f t="shared" si="38"/>
        <v>0</v>
      </c>
      <c r="AE166" s="564">
        <f t="shared" si="39"/>
        <v>0</v>
      </c>
      <c r="AF166" s="564">
        <f t="shared" si="40"/>
        <v>541.01</v>
      </c>
      <c r="AG166" s="564">
        <f t="shared" si="41"/>
        <v>0</v>
      </c>
    </row>
    <row r="167" spans="1:33" s="232" customFormat="1">
      <c r="A167" s="283"/>
      <c r="B167" s="283" t="s">
        <v>110</v>
      </c>
      <c r="C167" s="455" t="s">
        <v>322</v>
      </c>
      <c r="D167" s="514"/>
      <c r="E167" s="529">
        <f>VLOOKUP(C167,'Q4 DMV - Revenue'!C:S,17,FALSE)</f>
        <v>0</v>
      </c>
      <c r="F167" s="576">
        <v>34509.65</v>
      </c>
      <c r="G167" s="576">
        <f>15126.8+13717.51+4036.96</f>
        <v>32881.269999999997</v>
      </c>
      <c r="H167" s="524"/>
      <c r="I167" s="379">
        <f t="shared" si="29"/>
        <v>67390.92</v>
      </c>
      <c r="J167" s="31"/>
      <c r="K167" s="86"/>
      <c r="L167" s="234">
        <f t="shared" si="42"/>
        <v>33695.46</v>
      </c>
      <c r="M167" s="31">
        <v>0</v>
      </c>
      <c r="N167" s="429">
        <v>145181.74</v>
      </c>
      <c r="O167" s="31">
        <v>0</v>
      </c>
      <c r="P167" s="426">
        <f t="shared" si="30"/>
        <v>33695.46</v>
      </c>
      <c r="Q167" s="14">
        <f>12627.3+304.83+1150.94+1947.35+12079.8+4239.97</f>
        <v>32350.190000000002</v>
      </c>
      <c r="R167" s="295"/>
      <c r="S167" s="385">
        <f t="shared" si="31"/>
        <v>-1345.2699999999968</v>
      </c>
      <c r="T167" s="31"/>
      <c r="U167" s="474">
        <f t="shared" si="32"/>
        <v>33695.46</v>
      </c>
      <c r="V167" s="474">
        <f t="shared" si="33"/>
        <v>0</v>
      </c>
      <c r="W167" s="475">
        <f t="shared" si="34"/>
        <v>0</v>
      </c>
      <c r="X167" s="475">
        <v>0</v>
      </c>
      <c r="Y167" s="476">
        <v>0</v>
      </c>
      <c r="Z167" s="38">
        <f t="shared" si="35"/>
        <v>0</v>
      </c>
      <c r="AA167" s="564">
        <f t="shared" si="36"/>
        <v>67390.92</v>
      </c>
      <c r="AB167" s="564">
        <f t="shared" si="37"/>
        <v>0</v>
      </c>
      <c r="AC167" s="564">
        <f t="shared" si="38"/>
        <v>0</v>
      </c>
      <c r="AD167" s="597"/>
      <c r="AE167" s="564">
        <f t="shared" si="39"/>
        <v>33695.46</v>
      </c>
      <c r="AF167" s="564">
        <f t="shared" si="40"/>
        <v>0</v>
      </c>
      <c r="AG167" s="564">
        <f t="shared" si="41"/>
        <v>0</v>
      </c>
    </row>
    <row r="168" spans="1:33" s="232" customFormat="1">
      <c r="A168" s="283"/>
      <c r="B168" s="283" t="s">
        <v>110</v>
      </c>
      <c r="C168" s="455" t="s">
        <v>323</v>
      </c>
      <c r="D168" s="514"/>
      <c r="E168" s="529">
        <f>VLOOKUP(C168,'Q4 DMV - Revenue'!C:S,17,FALSE)</f>
        <v>0</v>
      </c>
      <c r="F168" s="576">
        <v>36473.21</v>
      </c>
      <c r="G168" s="576">
        <f>30266.82+4520.62+1543.52</f>
        <v>36330.959999999999</v>
      </c>
      <c r="H168" s="524"/>
      <c r="I168" s="379">
        <f t="shared" si="29"/>
        <v>72804.17</v>
      </c>
      <c r="J168" s="31"/>
      <c r="K168" s="86"/>
      <c r="L168" s="234">
        <f t="shared" si="42"/>
        <v>36402.084999999999</v>
      </c>
      <c r="M168" s="31">
        <v>0</v>
      </c>
      <c r="N168" s="429"/>
      <c r="O168" s="31">
        <v>0</v>
      </c>
      <c r="P168" s="426">
        <f t="shared" si="30"/>
        <v>36402.084999999999</v>
      </c>
      <c r="Q168" s="14">
        <f>13463.53+1870.81+2017.04+13154.81+3894.62+1466.19</f>
        <v>35867.000000000007</v>
      </c>
      <c r="R168" s="295"/>
      <c r="S168" s="385">
        <f t="shared" si="31"/>
        <v>-535.08499999999185</v>
      </c>
      <c r="T168" s="31"/>
      <c r="U168" s="474">
        <f t="shared" si="32"/>
        <v>36402.084999999999</v>
      </c>
      <c r="V168" s="474">
        <f t="shared" si="33"/>
        <v>0</v>
      </c>
      <c r="W168" s="475">
        <f t="shared" si="34"/>
        <v>0</v>
      </c>
      <c r="X168" s="475">
        <v>0</v>
      </c>
      <c r="Y168" s="476">
        <v>0</v>
      </c>
      <c r="Z168" s="38">
        <f t="shared" si="35"/>
        <v>0</v>
      </c>
      <c r="AA168" s="564">
        <f t="shared" si="36"/>
        <v>72804.17</v>
      </c>
      <c r="AB168" s="564">
        <f t="shared" si="37"/>
        <v>0</v>
      </c>
      <c r="AC168" s="564">
        <f t="shared" si="38"/>
        <v>0</v>
      </c>
      <c r="AD168" s="597"/>
      <c r="AE168" s="564">
        <f t="shared" si="39"/>
        <v>36402.084999999999</v>
      </c>
      <c r="AF168" s="564">
        <f t="shared" si="40"/>
        <v>0</v>
      </c>
      <c r="AG168" s="564">
        <f t="shared" si="41"/>
        <v>0</v>
      </c>
    </row>
    <row r="169" spans="1:33" s="232" customFormat="1">
      <c r="A169" s="283"/>
      <c r="B169" s="283" t="s">
        <v>109</v>
      </c>
      <c r="C169" s="455" t="s">
        <v>423</v>
      </c>
      <c r="D169" s="514"/>
      <c r="E169" s="529">
        <f>VLOOKUP(C169,'Q4 DMV - Revenue'!C:S,17,FALSE)</f>
        <v>0</v>
      </c>
      <c r="F169" s="576">
        <v>2280.1999999999998</v>
      </c>
      <c r="G169" s="576">
        <v>1037.4000000000001</v>
      </c>
      <c r="H169" s="524"/>
      <c r="I169" s="379">
        <f t="shared" si="29"/>
        <v>3317.6</v>
      </c>
      <c r="J169" s="31"/>
      <c r="K169" s="86"/>
      <c r="L169" s="234">
        <f t="shared" si="42"/>
        <v>1658.8</v>
      </c>
      <c r="M169" s="31"/>
      <c r="N169" s="429"/>
      <c r="O169" s="31">
        <v>0</v>
      </c>
      <c r="P169" s="426">
        <f t="shared" si="30"/>
        <v>1658.8</v>
      </c>
      <c r="Q169" s="14">
        <f>309.7</f>
        <v>309.7</v>
      </c>
      <c r="R169" s="295"/>
      <c r="S169" s="385">
        <f t="shared" si="31"/>
        <v>-1349.1</v>
      </c>
      <c r="T169" s="31"/>
      <c r="U169" s="474">
        <f t="shared" si="32"/>
        <v>0</v>
      </c>
      <c r="V169" s="474">
        <f t="shared" si="33"/>
        <v>1658.8</v>
      </c>
      <c r="W169" s="475">
        <f t="shared" si="34"/>
        <v>0</v>
      </c>
      <c r="X169" s="475">
        <v>0</v>
      </c>
      <c r="Y169" s="476">
        <v>0</v>
      </c>
      <c r="Z169" s="38">
        <f t="shared" si="35"/>
        <v>0</v>
      </c>
      <c r="AA169" s="564">
        <f t="shared" si="36"/>
        <v>0</v>
      </c>
      <c r="AB169" s="564">
        <f t="shared" si="37"/>
        <v>3317.6</v>
      </c>
      <c r="AC169" s="564">
        <f t="shared" si="38"/>
        <v>0</v>
      </c>
      <c r="AD169" s="597"/>
      <c r="AE169" s="564">
        <f t="shared" si="39"/>
        <v>0</v>
      </c>
      <c r="AF169" s="564">
        <f t="shared" si="40"/>
        <v>1658.8</v>
      </c>
      <c r="AG169" s="564">
        <f t="shared" si="41"/>
        <v>0</v>
      </c>
    </row>
    <row r="170" spans="1:33" s="232" customFormat="1">
      <c r="A170" s="283"/>
      <c r="B170" s="283" t="s">
        <v>110</v>
      </c>
      <c r="C170" s="455" t="s">
        <v>324</v>
      </c>
      <c r="D170" s="514"/>
      <c r="E170" s="529">
        <f>VLOOKUP(C170,'Q4 DMV - Revenue'!C:S,17,FALSE)</f>
        <v>0</v>
      </c>
      <c r="F170" s="576">
        <f>274.64+18</f>
        <v>292.64</v>
      </c>
      <c r="G170" s="576">
        <f>228.25+14+203.13</f>
        <v>445.38</v>
      </c>
      <c r="H170" s="524"/>
      <c r="I170" s="379">
        <f t="shared" si="29"/>
        <v>738.02</v>
      </c>
      <c r="J170" s="31"/>
      <c r="K170" s="86"/>
      <c r="L170" s="234">
        <f t="shared" si="42"/>
        <v>369.01</v>
      </c>
      <c r="M170" s="31">
        <v>0</v>
      </c>
      <c r="N170" s="429"/>
      <c r="O170" s="31">
        <v>0</v>
      </c>
      <c r="P170" s="426">
        <f t="shared" si="30"/>
        <v>369.01</v>
      </c>
      <c r="Q170" s="14">
        <f>140.47+5+117.68</f>
        <v>263.14999999999998</v>
      </c>
      <c r="R170" s="295"/>
      <c r="S170" s="385">
        <f t="shared" si="31"/>
        <v>-105.86000000000001</v>
      </c>
      <c r="T170" s="31"/>
      <c r="U170" s="474">
        <f t="shared" si="32"/>
        <v>369.01</v>
      </c>
      <c r="V170" s="474">
        <f t="shared" si="33"/>
        <v>0</v>
      </c>
      <c r="W170" s="475">
        <f t="shared" si="34"/>
        <v>0</v>
      </c>
      <c r="X170" s="475">
        <v>0</v>
      </c>
      <c r="Y170" s="476">
        <v>0</v>
      </c>
      <c r="Z170" s="38">
        <f t="shared" si="35"/>
        <v>0</v>
      </c>
      <c r="AA170" s="564">
        <f t="shared" si="36"/>
        <v>738.02</v>
      </c>
      <c r="AB170" s="564">
        <f t="shared" si="37"/>
        <v>0</v>
      </c>
      <c r="AC170" s="564">
        <f t="shared" si="38"/>
        <v>0</v>
      </c>
      <c r="AD170" s="597"/>
      <c r="AE170" s="564">
        <f t="shared" si="39"/>
        <v>369.01</v>
      </c>
      <c r="AF170" s="564">
        <f t="shared" si="40"/>
        <v>0</v>
      </c>
      <c r="AG170" s="564">
        <f t="shared" si="41"/>
        <v>0</v>
      </c>
    </row>
    <row r="171" spans="1:33" s="232" customFormat="1">
      <c r="A171" s="283"/>
      <c r="B171" s="283" t="s">
        <v>110</v>
      </c>
      <c r="C171" s="455" t="s">
        <v>325</v>
      </c>
      <c r="D171" s="514"/>
      <c r="E171" s="529">
        <f>VLOOKUP(C171,'Q4 DMV - Revenue'!C:S,17,FALSE)</f>
        <v>0</v>
      </c>
      <c r="F171" s="576">
        <v>483.15</v>
      </c>
      <c r="G171" s="576">
        <f>372+75.9</f>
        <v>447.9</v>
      </c>
      <c r="H171" s="524"/>
      <c r="I171" s="379">
        <f t="shared" si="29"/>
        <v>931.05</v>
      </c>
      <c r="J171" s="31"/>
      <c r="K171" s="86"/>
      <c r="L171" s="234">
        <f t="shared" si="42"/>
        <v>465.52499999999998</v>
      </c>
      <c r="M171" s="31">
        <v>0</v>
      </c>
      <c r="N171" s="429"/>
      <c r="O171" s="31">
        <v>0</v>
      </c>
      <c r="P171" s="426">
        <f t="shared" si="30"/>
        <v>465.52499999999998</v>
      </c>
      <c r="Q171" s="14">
        <f>324.42+57.43</f>
        <v>381.85</v>
      </c>
      <c r="R171" s="295"/>
      <c r="S171" s="385">
        <f t="shared" si="31"/>
        <v>-83.674999999999955</v>
      </c>
      <c r="T171" s="31"/>
      <c r="U171" s="474">
        <f t="shared" si="32"/>
        <v>465.52499999999998</v>
      </c>
      <c r="V171" s="474">
        <f t="shared" si="33"/>
        <v>0</v>
      </c>
      <c r="W171" s="475">
        <f t="shared" si="34"/>
        <v>0</v>
      </c>
      <c r="X171" s="475">
        <v>0</v>
      </c>
      <c r="Y171" s="476">
        <v>0</v>
      </c>
      <c r="Z171" s="38">
        <f t="shared" si="35"/>
        <v>0</v>
      </c>
      <c r="AA171" s="564">
        <f t="shared" si="36"/>
        <v>931.05</v>
      </c>
      <c r="AB171" s="564">
        <f t="shared" si="37"/>
        <v>0</v>
      </c>
      <c r="AC171" s="564">
        <f t="shared" si="38"/>
        <v>0</v>
      </c>
      <c r="AD171" s="597"/>
      <c r="AE171" s="564">
        <f t="shared" si="39"/>
        <v>465.52499999999998</v>
      </c>
      <c r="AF171" s="564">
        <f t="shared" si="40"/>
        <v>0</v>
      </c>
      <c r="AG171" s="564">
        <f t="shared" si="41"/>
        <v>0</v>
      </c>
    </row>
    <row r="172" spans="1:33" s="232" customFormat="1">
      <c r="A172" s="283"/>
      <c r="B172" s="283" t="s">
        <v>109</v>
      </c>
      <c r="C172" s="455" t="s">
        <v>63</v>
      </c>
      <c r="D172" s="541"/>
      <c r="E172" s="380">
        <v>0</v>
      </c>
      <c r="F172" s="523"/>
      <c r="G172" s="548"/>
      <c r="H172" s="553"/>
      <c r="I172" s="553">
        <v>0</v>
      </c>
      <c r="J172" s="31"/>
      <c r="K172" s="553"/>
      <c r="L172" s="553"/>
      <c r="M172" s="31">
        <v>0</v>
      </c>
      <c r="N172" s="553"/>
      <c r="O172" s="31">
        <v>0</v>
      </c>
      <c r="P172" s="426">
        <f t="shared" si="30"/>
        <v>0</v>
      </c>
      <c r="Q172" s="14">
        <v>0</v>
      </c>
      <c r="R172" s="295"/>
      <c r="S172" s="385">
        <f t="shared" si="31"/>
        <v>0</v>
      </c>
      <c r="T172" s="31"/>
      <c r="U172" s="474">
        <f t="shared" si="32"/>
        <v>0</v>
      </c>
      <c r="V172" s="474">
        <f t="shared" si="33"/>
        <v>0</v>
      </c>
      <c r="W172" s="475">
        <f t="shared" si="34"/>
        <v>0</v>
      </c>
      <c r="X172" s="475">
        <v>0</v>
      </c>
      <c r="Y172" s="476">
        <v>0</v>
      </c>
      <c r="Z172" s="38">
        <f t="shared" si="35"/>
        <v>0</v>
      </c>
      <c r="AA172" s="564">
        <f t="shared" si="36"/>
        <v>0</v>
      </c>
      <c r="AB172" s="564">
        <f t="shared" si="37"/>
        <v>0</v>
      </c>
      <c r="AC172" s="564">
        <f t="shared" si="38"/>
        <v>0</v>
      </c>
      <c r="AD172" s="597"/>
      <c r="AE172" s="564">
        <f t="shared" si="39"/>
        <v>0</v>
      </c>
      <c r="AF172" s="564">
        <f t="shared" si="40"/>
        <v>0</v>
      </c>
      <c r="AG172" s="564">
        <f t="shared" si="41"/>
        <v>0</v>
      </c>
    </row>
    <row r="173" spans="1:33" s="232" customFormat="1">
      <c r="A173" s="283"/>
      <c r="B173" s="283" t="s">
        <v>109</v>
      </c>
      <c r="C173" s="455" t="s">
        <v>326</v>
      </c>
      <c r="D173" s="541"/>
      <c r="E173" s="380">
        <v>0</v>
      </c>
      <c r="F173" s="513"/>
      <c r="G173" s="549"/>
      <c r="H173" s="509"/>
      <c r="I173" s="553">
        <v>0</v>
      </c>
      <c r="J173" s="31"/>
      <c r="K173" s="553"/>
      <c r="L173" s="553"/>
      <c r="M173" s="31">
        <v>0</v>
      </c>
      <c r="N173" s="553"/>
      <c r="O173" s="31">
        <v>0</v>
      </c>
      <c r="P173" s="426">
        <f t="shared" si="30"/>
        <v>0</v>
      </c>
      <c r="Q173" s="14">
        <v>0</v>
      </c>
      <c r="R173" s="295"/>
      <c r="S173" s="385">
        <f t="shared" si="31"/>
        <v>0</v>
      </c>
      <c r="T173" s="31"/>
      <c r="U173" s="474">
        <f t="shared" si="32"/>
        <v>0</v>
      </c>
      <c r="V173" s="474">
        <f t="shared" si="33"/>
        <v>0</v>
      </c>
      <c r="W173" s="475">
        <f t="shared" si="34"/>
        <v>0</v>
      </c>
      <c r="X173" s="475">
        <v>0</v>
      </c>
      <c r="Y173" s="476">
        <v>0</v>
      </c>
      <c r="Z173" s="38">
        <f t="shared" si="35"/>
        <v>0</v>
      </c>
      <c r="AA173" s="564">
        <f t="shared" si="36"/>
        <v>0</v>
      </c>
      <c r="AB173" s="564">
        <f t="shared" si="37"/>
        <v>0</v>
      </c>
      <c r="AC173" s="564">
        <f t="shared" si="38"/>
        <v>0</v>
      </c>
      <c r="AD173" s="597"/>
      <c r="AE173" s="564">
        <f t="shared" si="39"/>
        <v>0</v>
      </c>
      <c r="AF173" s="564">
        <f t="shared" si="40"/>
        <v>0</v>
      </c>
      <c r="AG173" s="564">
        <f t="shared" si="41"/>
        <v>0</v>
      </c>
    </row>
    <row r="174" spans="1:33" s="232" customFormat="1">
      <c r="A174" s="283" t="s">
        <v>109</v>
      </c>
      <c r="B174" s="283" t="s">
        <v>109</v>
      </c>
      <c r="C174" s="456" t="s">
        <v>281</v>
      </c>
      <c r="D174" s="541"/>
      <c r="E174" s="380">
        <v>0</v>
      </c>
      <c r="F174" s="513"/>
      <c r="G174" s="549"/>
      <c r="H174" s="509"/>
      <c r="I174" s="553">
        <v>0</v>
      </c>
      <c r="J174" s="31"/>
      <c r="K174" s="553"/>
      <c r="L174" s="553"/>
      <c r="M174" s="31">
        <v>0</v>
      </c>
      <c r="N174" s="553"/>
      <c r="O174" s="31">
        <v>0</v>
      </c>
      <c r="P174" s="426">
        <f t="shared" si="30"/>
        <v>0</v>
      </c>
      <c r="Q174" s="14">
        <v>0</v>
      </c>
      <c r="R174" s="295"/>
      <c r="S174" s="385">
        <f t="shared" si="31"/>
        <v>0</v>
      </c>
      <c r="T174" s="31"/>
      <c r="U174" s="474">
        <f t="shared" si="32"/>
        <v>0</v>
      </c>
      <c r="V174" s="474">
        <f t="shared" si="33"/>
        <v>0</v>
      </c>
      <c r="W174" s="475">
        <f t="shared" si="34"/>
        <v>0</v>
      </c>
      <c r="X174" s="475">
        <v>0</v>
      </c>
      <c r="Y174" s="476">
        <v>0</v>
      </c>
      <c r="Z174" s="38">
        <f t="shared" si="35"/>
        <v>0</v>
      </c>
      <c r="AA174" s="564">
        <f t="shared" si="36"/>
        <v>0</v>
      </c>
      <c r="AB174" s="564">
        <f t="shared" si="37"/>
        <v>0</v>
      </c>
      <c r="AC174" s="564">
        <f t="shared" si="38"/>
        <v>0</v>
      </c>
      <c r="AD174" s="597"/>
      <c r="AE174" s="564">
        <f t="shared" si="39"/>
        <v>0</v>
      </c>
      <c r="AF174" s="564">
        <f t="shared" si="40"/>
        <v>0</v>
      </c>
      <c r="AG174" s="564">
        <f t="shared" si="41"/>
        <v>0</v>
      </c>
    </row>
    <row r="175" spans="1:33" s="232" customFormat="1">
      <c r="A175" s="283"/>
      <c r="B175" s="283" t="s">
        <v>114</v>
      </c>
      <c r="C175" s="500" t="s">
        <v>408</v>
      </c>
      <c r="D175" s="542"/>
      <c r="E175" s="529">
        <f>VLOOKUP(C175,'Q4 DMV - Revenue'!C:S,17,FALSE)</f>
        <v>-5000</v>
      </c>
      <c r="F175" s="579"/>
      <c r="G175" s="579"/>
      <c r="H175" s="524"/>
      <c r="I175" s="379">
        <f>SUM(D175:H175)</f>
        <v>-5000</v>
      </c>
      <c r="J175" s="31"/>
      <c r="K175" s="337"/>
      <c r="L175" s="42">
        <v>5000</v>
      </c>
      <c r="M175" s="31">
        <v>0</v>
      </c>
      <c r="N175" s="429"/>
      <c r="O175" s="31"/>
      <c r="P175" s="426">
        <f t="shared" si="30"/>
        <v>5000</v>
      </c>
      <c r="Q175" s="14">
        <v>8000</v>
      </c>
      <c r="R175" s="295"/>
      <c r="S175" s="385">
        <f t="shared" si="31"/>
        <v>3000</v>
      </c>
      <c r="T175" s="31"/>
      <c r="U175" s="474">
        <f t="shared" si="32"/>
        <v>0</v>
      </c>
      <c r="V175" s="474">
        <f t="shared" si="33"/>
        <v>0</v>
      </c>
      <c r="W175" s="475">
        <f t="shared" si="34"/>
        <v>5000</v>
      </c>
      <c r="X175" s="475">
        <v>0</v>
      </c>
      <c r="Y175" s="476">
        <v>0</v>
      </c>
      <c r="Z175" s="38">
        <f t="shared" si="35"/>
        <v>0</v>
      </c>
      <c r="AA175" s="564">
        <f t="shared" si="36"/>
        <v>0</v>
      </c>
      <c r="AB175" s="564">
        <f t="shared" si="37"/>
        <v>0</v>
      </c>
      <c r="AC175" s="564">
        <f t="shared" si="38"/>
        <v>-5000</v>
      </c>
      <c r="AD175" s="597"/>
      <c r="AE175" s="564">
        <f t="shared" si="39"/>
        <v>0</v>
      </c>
      <c r="AF175" s="564">
        <f t="shared" si="40"/>
        <v>0</v>
      </c>
      <c r="AG175" s="564">
        <f t="shared" si="41"/>
        <v>5000</v>
      </c>
    </row>
    <row r="176" spans="1:33" s="232" customFormat="1">
      <c r="A176" s="283"/>
      <c r="B176" s="283" t="s">
        <v>114</v>
      </c>
      <c r="C176" s="567" t="s">
        <v>445</v>
      </c>
      <c r="D176" s="542"/>
      <c r="E176" s="529">
        <f>VLOOKUP(C176,'Q4 DMV - Revenue'!C:S,17,FALSE)</f>
        <v>0</v>
      </c>
      <c r="F176" s="579"/>
      <c r="G176" s="579"/>
      <c r="H176" s="524"/>
      <c r="I176" s="379">
        <f>SUM(D176:H176)</f>
        <v>0</v>
      </c>
      <c r="J176" s="31"/>
      <c r="K176" s="337"/>
      <c r="L176" s="42">
        <v>180</v>
      </c>
      <c r="M176" s="31">
        <v>0</v>
      </c>
      <c r="N176" s="429"/>
      <c r="O176" s="31"/>
      <c r="P176" s="426">
        <f t="shared" si="30"/>
        <v>180</v>
      </c>
      <c r="Q176" s="14">
        <v>0</v>
      </c>
      <c r="R176" s="295"/>
      <c r="S176" s="385">
        <f t="shared" si="31"/>
        <v>-180</v>
      </c>
      <c r="T176" s="31"/>
      <c r="U176" s="474">
        <f t="shared" si="32"/>
        <v>0</v>
      </c>
      <c r="V176" s="474">
        <f t="shared" si="33"/>
        <v>0</v>
      </c>
      <c r="W176" s="475">
        <f t="shared" si="34"/>
        <v>180</v>
      </c>
      <c r="X176" s="475">
        <v>0</v>
      </c>
      <c r="Y176" s="476">
        <v>0</v>
      </c>
      <c r="Z176" s="38">
        <f t="shared" si="35"/>
        <v>0</v>
      </c>
      <c r="AA176" s="564">
        <f t="shared" si="36"/>
        <v>0</v>
      </c>
      <c r="AB176" s="564">
        <f t="shared" si="37"/>
        <v>0</v>
      </c>
      <c r="AC176" s="564">
        <f t="shared" si="38"/>
        <v>0</v>
      </c>
      <c r="AD176" s="597"/>
      <c r="AE176" s="564">
        <f t="shared" si="39"/>
        <v>0</v>
      </c>
      <c r="AF176" s="564">
        <f t="shared" si="40"/>
        <v>0</v>
      </c>
      <c r="AG176" s="564">
        <f t="shared" si="41"/>
        <v>180</v>
      </c>
    </row>
    <row r="177" spans="1:33" s="232" customFormat="1">
      <c r="A177" s="283"/>
      <c r="B177" s="283" t="s">
        <v>110</v>
      </c>
      <c r="C177" s="567" t="s">
        <v>489</v>
      </c>
      <c r="D177" s="542"/>
      <c r="E177" s="529">
        <v>0</v>
      </c>
      <c r="F177" s="579"/>
      <c r="G177" s="579"/>
      <c r="H177" s="524"/>
      <c r="I177" s="379"/>
      <c r="J177" s="31"/>
      <c r="K177" s="337"/>
      <c r="L177" s="42"/>
      <c r="M177" s="31"/>
      <c r="N177" s="429"/>
      <c r="O177" s="31"/>
      <c r="P177" s="426">
        <f t="shared" si="30"/>
        <v>0</v>
      </c>
      <c r="Q177" s="14">
        <f>109.2+32.79</f>
        <v>141.99</v>
      </c>
      <c r="R177" s="295"/>
      <c r="S177" s="385">
        <f t="shared" si="31"/>
        <v>141.99</v>
      </c>
      <c r="T177" s="31"/>
      <c r="U177" s="474">
        <f t="shared" si="32"/>
        <v>0</v>
      </c>
      <c r="V177" s="474">
        <f t="shared" si="33"/>
        <v>0</v>
      </c>
      <c r="W177" s="475">
        <f t="shared" si="34"/>
        <v>0</v>
      </c>
      <c r="X177" s="475"/>
      <c r="Y177" s="476"/>
      <c r="Z177" s="38"/>
      <c r="AA177" s="564"/>
      <c r="AB177" s="564"/>
      <c r="AC177" s="564"/>
      <c r="AD177" s="597"/>
      <c r="AE177" s="564">
        <f t="shared" si="39"/>
        <v>0</v>
      </c>
      <c r="AF177" s="564">
        <f t="shared" si="40"/>
        <v>0</v>
      </c>
      <c r="AG177" s="564">
        <f t="shared" si="41"/>
        <v>0</v>
      </c>
    </row>
    <row r="178" spans="1:33" s="232" customFormat="1">
      <c r="A178" s="283"/>
      <c r="B178" s="283" t="s">
        <v>109</v>
      </c>
      <c r="C178" s="567" t="s">
        <v>480</v>
      </c>
      <c r="D178" s="542"/>
      <c r="E178" s="529">
        <v>0</v>
      </c>
      <c r="F178" s="579"/>
      <c r="G178" s="579"/>
      <c r="H178" s="524"/>
      <c r="I178" s="379">
        <f>SUM(D178:H178)</f>
        <v>0</v>
      </c>
      <c r="J178" s="31"/>
      <c r="K178" s="337"/>
      <c r="L178" s="42"/>
      <c r="M178" s="31">
        <v>0</v>
      </c>
      <c r="N178" s="429"/>
      <c r="O178" s="31"/>
      <c r="P178" s="426">
        <f t="shared" si="30"/>
        <v>0</v>
      </c>
      <c r="Q178" s="14">
        <f>10326.61+13277.94+14593.57</f>
        <v>38198.120000000003</v>
      </c>
      <c r="R178" s="295"/>
      <c r="S178" s="385">
        <f t="shared" si="31"/>
        <v>38198.120000000003</v>
      </c>
      <c r="T178" s="31"/>
      <c r="U178" s="474">
        <f t="shared" ref="U178" si="43">IF(B178="D",P178,0)</f>
        <v>0</v>
      </c>
      <c r="V178" s="474">
        <f t="shared" ref="V178" si="44">IF(B178="M",P178,0)</f>
        <v>0</v>
      </c>
      <c r="W178" s="475">
        <f t="shared" ref="W178" si="45">IF(B178="V",P178,0)</f>
        <v>0</v>
      </c>
      <c r="X178" s="475">
        <v>0</v>
      </c>
      <c r="Y178" s="476">
        <v>0</v>
      </c>
      <c r="Z178" s="38">
        <f t="shared" ref="Z178" si="46">(K178+L178)-(U178+V178+W178+X178+Y178)</f>
        <v>0</v>
      </c>
      <c r="AA178" s="564">
        <f t="shared" ref="AA178" si="47">IF(B178="D",I178,0)</f>
        <v>0</v>
      </c>
      <c r="AB178" s="564">
        <f t="shared" ref="AB178" si="48">IF(B178="M",I178,0)</f>
        <v>0</v>
      </c>
      <c r="AC178" s="564">
        <f t="shared" ref="AC178" si="49">IF(B178="V",I178,0)</f>
        <v>0</v>
      </c>
      <c r="AD178" s="597"/>
      <c r="AE178" s="564">
        <f t="shared" ref="AE178" si="50">IF(B178="D",P178,0)</f>
        <v>0</v>
      </c>
      <c r="AF178" s="564">
        <f t="shared" ref="AF178" si="51">IF(B178="M",P178,0)</f>
        <v>0</v>
      </c>
      <c r="AG178" s="564">
        <f t="shared" ref="AG178" si="52">IF(B178="V",P178,0)</f>
        <v>0</v>
      </c>
    </row>
    <row r="179" spans="1:33" s="232" customFormat="1">
      <c r="A179" s="403"/>
      <c r="B179" s="403" t="s">
        <v>109</v>
      </c>
      <c r="C179" s="123" t="s">
        <v>327</v>
      </c>
      <c r="D179" s="514"/>
      <c r="E179" s="529">
        <f>VLOOKUP(C179,'Q4 DMV - Revenue'!C:S,17,FALSE)</f>
        <v>16410.5</v>
      </c>
      <c r="F179" s="576">
        <v>140838.07</v>
      </c>
      <c r="G179" s="576">
        <v>140819.75</v>
      </c>
      <c r="H179" s="524"/>
      <c r="I179" s="379">
        <f>SUM(D179:H179)</f>
        <v>298068.32</v>
      </c>
      <c r="J179" s="31"/>
      <c r="K179" s="86"/>
      <c r="L179" s="234">
        <f>(F179+G179)/2</f>
        <v>140828.91</v>
      </c>
      <c r="M179" s="31">
        <v>0</v>
      </c>
      <c r="N179" s="429">
        <v>409772.5</v>
      </c>
      <c r="O179" s="31">
        <v>0</v>
      </c>
      <c r="P179" s="426">
        <f t="shared" si="30"/>
        <v>140828.91</v>
      </c>
      <c r="Q179" s="14">
        <v>149116.09</v>
      </c>
      <c r="R179" s="295"/>
      <c r="S179" s="385">
        <f t="shared" si="31"/>
        <v>8287.179999999993</v>
      </c>
      <c r="T179" s="31"/>
      <c r="U179" s="474">
        <f t="shared" si="32"/>
        <v>0</v>
      </c>
      <c r="V179" s="474">
        <f t="shared" si="33"/>
        <v>140828.91</v>
      </c>
      <c r="W179" s="475">
        <f t="shared" si="34"/>
        <v>0</v>
      </c>
      <c r="X179" s="475">
        <v>0</v>
      </c>
      <c r="Y179" s="476">
        <v>0</v>
      </c>
      <c r="Z179" s="38">
        <f t="shared" si="35"/>
        <v>0</v>
      </c>
      <c r="AA179" s="564">
        <f t="shared" si="36"/>
        <v>0</v>
      </c>
      <c r="AB179" s="564">
        <f t="shared" si="37"/>
        <v>298068.32</v>
      </c>
      <c r="AC179" s="564">
        <f t="shared" si="38"/>
        <v>0</v>
      </c>
      <c r="AD179" s="597"/>
      <c r="AE179" s="564">
        <f t="shared" si="39"/>
        <v>0</v>
      </c>
      <c r="AF179" s="564">
        <f t="shared" si="40"/>
        <v>140828.91</v>
      </c>
      <c r="AG179" s="564">
        <f t="shared" si="41"/>
        <v>0</v>
      </c>
    </row>
    <row r="180" spans="1:33" s="232" customFormat="1">
      <c r="A180" s="403"/>
      <c r="B180" s="403" t="s">
        <v>109</v>
      </c>
      <c r="C180" s="123" t="s">
        <v>328</v>
      </c>
      <c r="D180" s="588"/>
      <c r="E180" s="589">
        <v>0</v>
      </c>
      <c r="F180" s="590"/>
      <c r="G180" s="590"/>
      <c r="H180" s="591"/>
      <c r="I180" s="592">
        <v>0</v>
      </c>
      <c r="J180" s="31"/>
      <c r="K180" s="593"/>
      <c r="L180" s="198"/>
      <c r="M180" s="31">
        <v>0</v>
      </c>
      <c r="N180" s="594"/>
      <c r="O180" s="31">
        <v>0</v>
      </c>
      <c r="P180" s="426">
        <f t="shared" si="30"/>
        <v>0</v>
      </c>
      <c r="Q180" s="14">
        <v>0</v>
      </c>
      <c r="R180" s="295"/>
      <c r="S180" s="385">
        <f t="shared" si="31"/>
        <v>0</v>
      </c>
      <c r="T180" s="31"/>
      <c r="U180" s="474">
        <f t="shared" si="32"/>
        <v>0</v>
      </c>
      <c r="V180" s="474">
        <f t="shared" si="33"/>
        <v>0</v>
      </c>
      <c r="W180" s="475">
        <f t="shared" si="34"/>
        <v>0</v>
      </c>
      <c r="X180" s="475">
        <v>0</v>
      </c>
      <c r="Y180" s="476">
        <v>0</v>
      </c>
      <c r="Z180" s="38">
        <f t="shared" si="35"/>
        <v>0</v>
      </c>
      <c r="AA180" s="564">
        <f t="shared" si="36"/>
        <v>0</v>
      </c>
      <c r="AB180" s="564">
        <f t="shared" si="37"/>
        <v>0</v>
      </c>
      <c r="AC180" s="564">
        <f t="shared" si="38"/>
        <v>0</v>
      </c>
      <c r="AD180" s="597"/>
      <c r="AE180" s="564">
        <f t="shared" si="39"/>
        <v>0</v>
      </c>
      <c r="AF180" s="564">
        <f t="shared" si="40"/>
        <v>0</v>
      </c>
      <c r="AG180" s="564">
        <f t="shared" si="41"/>
        <v>0</v>
      </c>
    </row>
    <row r="181" spans="1:33" s="232" customFormat="1">
      <c r="A181" s="403"/>
      <c r="B181" s="403" t="s">
        <v>109</v>
      </c>
      <c r="C181" s="123" t="s">
        <v>329</v>
      </c>
      <c r="D181" s="588"/>
      <c r="E181" s="589">
        <v>0</v>
      </c>
      <c r="F181" s="590"/>
      <c r="G181" s="590"/>
      <c r="H181" s="591"/>
      <c r="I181" s="592">
        <v>0</v>
      </c>
      <c r="J181" s="31"/>
      <c r="K181" s="593"/>
      <c r="L181" s="198"/>
      <c r="M181" s="31">
        <v>0</v>
      </c>
      <c r="N181" s="594"/>
      <c r="O181" s="31">
        <v>0</v>
      </c>
      <c r="P181" s="426">
        <f t="shared" si="30"/>
        <v>0</v>
      </c>
      <c r="Q181" s="14">
        <v>0</v>
      </c>
      <c r="R181" s="295"/>
      <c r="S181" s="385">
        <f t="shared" si="31"/>
        <v>0</v>
      </c>
      <c r="T181" s="31"/>
      <c r="U181" s="474">
        <f t="shared" si="32"/>
        <v>0</v>
      </c>
      <c r="V181" s="474">
        <f t="shared" si="33"/>
        <v>0</v>
      </c>
      <c r="W181" s="475">
        <f t="shared" si="34"/>
        <v>0</v>
      </c>
      <c r="X181" s="475">
        <v>0</v>
      </c>
      <c r="Y181" s="476">
        <v>0</v>
      </c>
      <c r="Z181" s="38">
        <f t="shared" si="35"/>
        <v>0</v>
      </c>
      <c r="AA181" s="564">
        <f t="shared" si="36"/>
        <v>0</v>
      </c>
      <c r="AB181" s="564">
        <f t="shared" si="37"/>
        <v>0</v>
      </c>
      <c r="AC181" s="564">
        <f t="shared" si="38"/>
        <v>0</v>
      </c>
      <c r="AD181" s="597"/>
      <c r="AE181" s="564">
        <f t="shared" si="39"/>
        <v>0</v>
      </c>
      <c r="AF181" s="564">
        <f t="shared" si="40"/>
        <v>0</v>
      </c>
      <c r="AG181" s="564">
        <f t="shared" si="41"/>
        <v>0</v>
      </c>
    </row>
    <row r="182" spans="1:33" s="232" customFormat="1">
      <c r="A182" s="403"/>
      <c r="B182" s="403" t="s">
        <v>110</v>
      </c>
      <c r="C182" s="123" t="s">
        <v>464</v>
      </c>
      <c r="D182" s="514"/>
      <c r="E182" s="529">
        <v>0</v>
      </c>
      <c r="F182" s="579"/>
      <c r="G182" s="579"/>
      <c r="H182" s="525">
        <f>504537.6+162399.3</f>
        <v>666936.89999999991</v>
      </c>
      <c r="I182" s="379">
        <f t="shared" ref="I182:I215" si="53">SUM(D182:H182)</f>
        <v>666936.89999999991</v>
      </c>
      <c r="J182" s="31"/>
      <c r="K182" s="86"/>
      <c r="L182" s="42">
        <v>0</v>
      </c>
      <c r="M182" s="31">
        <v>0</v>
      </c>
      <c r="N182" s="429">
        <v>666936.9</v>
      </c>
      <c r="O182" s="31">
        <v>0</v>
      </c>
      <c r="P182" s="426">
        <f t="shared" si="30"/>
        <v>0</v>
      </c>
      <c r="Q182" s="14">
        <v>0</v>
      </c>
      <c r="R182" s="295"/>
      <c r="S182" s="385">
        <f t="shared" si="31"/>
        <v>0</v>
      </c>
      <c r="T182" s="31"/>
      <c r="U182" s="474">
        <f t="shared" si="32"/>
        <v>0</v>
      </c>
      <c r="V182" s="474">
        <f t="shared" si="33"/>
        <v>0</v>
      </c>
      <c r="W182" s="475">
        <f t="shared" si="34"/>
        <v>0</v>
      </c>
      <c r="X182" s="475">
        <v>0</v>
      </c>
      <c r="Y182" s="476">
        <v>0</v>
      </c>
      <c r="Z182" s="38">
        <f t="shared" si="35"/>
        <v>0</v>
      </c>
      <c r="AA182" s="564">
        <f t="shared" si="36"/>
        <v>666936.89999999991</v>
      </c>
      <c r="AB182" s="564">
        <f t="shared" si="37"/>
        <v>0</v>
      </c>
      <c r="AC182" s="564">
        <f t="shared" si="38"/>
        <v>0</v>
      </c>
      <c r="AD182" s="597"/>
      <c r="AE182" s="564">
        <f t="shared" si="39"/>
        <v>0</v>
      </c>
      <c r="AF182" s="564">
        <f t="shared" si="40"/>
        <v>0</v>
      </c>
      <c r="AG182" s="564">
        <f t="shared" si="41"/>
        <v>0</v>
      </c>
    </row>
    <row r="183" spans="1:33">
      <c r="A183" s="21" t="s">
        <v>212</v>
      </c>
      <c r="B183" s="21" t="s">
        <v>110</v>
      </c>
      <c r="C183" s="68" t="s">
        <v>35</v>
      </c>
      <c r="D183" s="449"/>
      <c r="E183" s="529">
        <f>VLOOKUP(C183,'Q4 DMV - Revenue'!C:S,17,FALSE)</f>
        <v>0</v>
      </c>
      <c r="F183" s="579"/>
      <c r="G183" s="579"/>
      <c r="H183" s="524"/>
      <c r="I183" s="379">
        <f t="shared" si="53"/>
        <v>0</v>
      </c>
      <c r="J183" s="31"/>
      <c r="K183" s="84"/>
      <c r="L183" s="42">
        <v>0</v>
      </c>
      <c r="M183" s="31">
        <v>0</v>
      </c>
      <c r="N183" s="429"/>
      <c r="O183" s="31">
        <v>0</v>
      </c>
      <c r="P183" s="426">
        <f t="shared" si="30"/>
        <v>0</v>
      </c>
      <c r="Q183" s="178">
        <v>0</v>
      </c>
      <c r="R183" s="295"/>
      <c r="S183" s="385">
        <f t="shared" si="31"/>
        <v>0</v>
      </c>
      <c r="T183" s="31"/>
      <c r="U183" s="474">
        <f t="shared" si="32"/>
        <v>0</v>
      </c>
      <c r="V183" s="474">
        <f t="shared" si="33"/>
        <v>0</v>
      </c>
      <c r="W183" s="475">
        <f t="shared" si="34"/>
        <v>0</v>
      </c>
      <c r="X183" s="475">
        <v>0</v>
      </c>
      <c r="Y183" s="476">
        <v>0</v>
      </c>
      <c r="Z183" s="38">
        <f t="shared" si="35"/>
        <v>0</v>
      </c>
      <c r="AA183" s="564">
        <f t="shared" si="36"/>
        <v>0</v>
      </c>
      <c r="AB183" s="564">
        <f t="shared" si="37"/>
        <v>0</v>
      </c>
      <c r="AC183" s="564">
        <f t="shared" si="38"/>
        <v>0</v>
      </c>
      <c r="AE183" s="564">
        <f t="shared" si="39"/>
        <v>0</v>
      </c>
      <c r="AF183" s="564">
        <f t="shared" si="40"/>
        <v>0</v>
      </c>
      <c r="AG183" s="564">
        <f t="shared" si="41"/>
        <v>0</v>
      </c>
    </row>
    <row r="184" spans="1:33">
      <c r="A184" s="21" t="s">
        <v>212</v>
      </c>
      <c r="B184" s="21" t="s">
        <v>110</v>
      </c>
      <c r="C184" s="68" t="s">
        <v>232</v>
      </c>
      <c r="D184" s="449"/>
      <c r="E184" s="529">
        <f>VLOOKUP(C184,'Q4 DMV - Revenue'!C:S,17,FALSE)</f>
        <v>-9000</v>
      </c>
      <c r="F184" s="579"/>
      <c r="G184" s="579"/>
      <c r="H184" s="524"/>
      <c r="I184" s="379">
        <f t="shared" si="53"/>
        <v>-9000</v>
      </c>
      <c r="J184" s="31"/>
      <c r="K184" s="84"/>
      <c r="L184" s="42">
        <v>9000</v>
      </c>
      <c r="M184" s="31">
        <v>0</v>
      </c>
      <c r="N184" s="429"/>
      <c r="O184" s="31">
        <v>0</v>
      </c>
      <c r="P184" s="426">
        <f t="shared" si="30"/>
        <v>9000</v>
      </c>
      <c r="Q184" s="178">
        <v>0</v>
      </c>
      <c r="R184" s="295"/>
      <c r="S184" s="385">
        <f t="shared" si="31"/>
        <v>-9000</v>
      </c>
      <c r="T184" s="31"/>
      <c r="U184" s="474">
        <f t="shared" si="32"/>
        <v>9000</v>
      </c>
      <c r="V184" s="474">
        <f t="shared" si="33"/>
        <v>0</v>
      </c>
      <c r="W184" s="475">
        <f t="shared" si="34"/>
        <v>0</v>
      </c>
      <c r="X184" s="475">
        <v>0</v>
      </c>
      <c r="Y184" s="476">
        <v>0</v>
      </c>
      <c r="Z184" s="38">
        <f t="shared" si="35"/>
        <v>0</v>
      </c>
      <c r="AA184" s="564">
        <f t="shared" si="36"/>
        <v>-9000</v>
      </c>
      <c r="AB184" s="564">
        <f t="shared" si="37"/>
        <v>0</v>
      </c>
      <c r="AC184" s="564">
        <f t="shared" si="38"/>
        <v>0</v>
      </c>
      <c r="AE184" s="564">
        <f t="shared" si="39"/>
        <v>9000</v>
      </c>
      <c r="AF184" s="564">
        <f t="shared" si="40"/>
        <v>0</v>
      </c>
      <c r="AG184" s="564">
        <f t="shared" si="41"/>
        <v>0</v>
      </c>
    </row>
    <row r="185" spans="1:33">
      <c r="A185" s="21" t="s">
        <v>212</v>
      </c>
      <c r="B185" s="21" t="s">
        <v>110</v>
      </c>
      <c r="C185" s="68" t="s">
        <v>238</v>
      </c>
      <c r="D185" s="449"/>
      <c r="E185" s="529">
        <f>VLOOKUP(C185,'Q4 DMV - Revenue'!C:S,17,FALSE)</f>
        <v>-3000</v>
      </c>
      <c r="F185" s="579"/>
      <c r="G185" s="579"/>
      <c r="H185" s="524"/>
      <c r="I185" s="379">
        <f t="shared" si="53"/>
        <v>-3000</v>
      </c>
      <c r="J185" s="31"/>
      <c r="K185" s="84"/>
      <c r="L185" s="42">
        <v>3000</v>
      </c>
      <c r="M185" s="31">
        <v>0</v>
      </c>
      <c r="N185" s="429"/>
      <c r="O185" s="31">
        <v>0</v>
      </c>
      <c r="P185" s="426">
        <f t="shared" si="30"/>
        <v>3000</v>
      </c>
      <c r="Q185" s="178">
        <v>0</v>
      </c>
      <c r="R185" s="295"/>
      <c r="S185" s="385">
        <f t="shared" si="31"/>
        <v>-3000</v>
      </c>
      <c r="T185" s="31"/>
      <c r="U185" s="474">
        <f t="shared" si="32"/>
        <v>3000</v>
      </c>
      <c r="V185" s="474">
        <f t="shared" si="33"/>
        <v>0</v>
      </c>
      <c r="W185" s="475">
        <f t="shared" si="34"/>
        <v>0</v>
      </c>
      <c r="X185" s="475">
        <v>0</v>
      </c>
      <c r="Y185" s="476">
        <v>0</v>
      </c>
      <c r="Z185" s="38">
        <f t="shared" si="35"/>
        <v>0</v>
      </c>
      <c r="AA185" s="564">
        <f t="shared" si="36"/>
        <v>-3000</v>
      </c>
      <c r="AB185" s="564">
        <f t="shared" si="37"/>
        <v>0</v>
      </c>
      <c r="AC185" s="564">
        <f t="shared" si="38"/>
        <v>0</v>
      </c>
      <c r="AE185" s="564">
        <f t="shared" si="39"/>
        <v>3000</v>
      </c>
      <c r="AF185" s="564">
        <f t="shared" si="40"/>
        <v>0</v>
      </c>
      <c r="AG185" s="564">
        <f t="shared" si="41"/>
        <v>0</v>
      </c>
    </row>
    <row r="186" spans="1:33">
      <c r="A186" s="21"/>
      <c r="B186" s="21" t="s">
        <v>110</v>
      </c>
      <c r="C186" s="68" t="s">
        <v>68</v>
      </c>
      <c r="D186" s="449"/>
      <c r="E186" s="529">
        <f>VLOOKUP(C186,'Q4 DMV - Revenue'!C:S,17,FALSE)</f>
        <v>0</v>
      </c>
      <c r="F186" s="579"/>
      <c r="G186" s="579"/>
      <c r="H186" s="524"/>
      <c r="I186" s="379">
        <f t="shared" si="53"/>
        <v>0</v>
      </c>
      <c r="J186" s="31"/>
      <c r="K186" s="84"/>
      <c r="L186" s="42">
        <v>0</v>
      </c>
      <c r="M186" s="31">
        <v>0</v>
      </c>
      <c r="N186" s="429"/>
      <c r="O186" s="31">
        <v>0</v>
      </c>
      <c r="P186" s="426">
        <f t="shared" si="30"/>
        <v>0</v>
      </c>
      <c r="Q186" s="178">
        <v>0</v>
      </c>
      <c r="R186" s="295"/>
      <c r="S186" s="385">
        <f t="shared" si="31"/>
        <v>0</v>
      </c>
      <c r="T186" s="31"/>
      <c r="U186" s="474">
        <f t="shared" si="32"/>
        <v>0</v>
      </c>
      <c r="V186" s="474">
        <f t="shared" si="33"/>
        <v>0</v>
      </c>
      <c r="W186" s="475">
        <f t="shared" si="34"/>
        <v>0</v>
      </c>
      <c r="X186" s="475">
        <v>0</v>
      </c>
      <c r="Y186" s="476">
        <v>0</v>
      </c>
      <c r="Z186" s="38">
        <f t="shared" si="35"/>
        <v>0</v>
      </c>
      <c r="AA186" s="564">
        <f t="shared" si="36"/>
        <v>0</v>
      </c>
      <c r="AB186" s="564">
        <f t="shared" si="37"/>
        <v>0</v>
      </c>
      <c r="AC186" s="564">
        <f t="shared" si="38"/>
        <v>0</v>
      </c>
      <c r="AE186" s="564">
        <f t="shared" si="39"/>
        <v>0</v>
      </c>
      <c r="AF186" s="564">
        <f t="shared" si="40"/>
        <v>0</v>
      </c>
      <c r="AG186" s="564">
        <f t="shared" si="41"/>
        <v>0</v>
      </c>
    </row>
    <row r="187" spans="1:33">
      <c r="A187" s="21"/>
      <c r="B187" s="21" t="s">
        <v>110</v>
      </c>
      <c r="C187" s="68" t="s">
        <v>384</v>
      </c>
      <c r="D187" s="449"/>
      <c r="E187" s="529">
        <f>VLOOKUP(C187,'Q4 DMV - Revenue'!C:S,17,FALSE)</f>
        <v>0</v>
      </c>
      <c r="F187" s="579"/>
      <c r="G187" s="579"/>
      <c r="H187" s="524"/>
      <c r="I187" s="379">
        <f t="shared" si="53"/>
        <v>0</v>
      </c>
      <c r="J187" s="31"/>
      <c r="K187" s="84"/>
      <c r="L187" s="42">
        <v>0</v>
      </c>
      <c r="M187" s="31">
        <v>0</v>
      </c>
      <c r="N187" s="429"/>
      <c r="O187" s="31">
        <v>0</v>
      </c>
      <c r="P187" s="426">
        <f t="shared" si="30"/>
        <v>0</v>
      </c>
      <c r="Q187" s="178">
        <v>0</v>
      </c>
      <c r="R187" s="295"/>
      <c r="S187" s="385">
        <f t="shared" si="31"/>
        <v>0</v>
      </c>
      <c r="T187" s="31"/>
      <c r="U187" s="474">
        <f t="shared" si="32"/>
        <v>0</v>
      </c>
      <c r="V187" s="474">
        <f t="shared" si="33"/>
        <v>0</v>
      </c>
      <c r="W187" s="475">
        <f t="shared" si="34"/>
        <v>0</v>
      </c>
      <c r="X187" s="475">
        <v>0</v>
      </c>
      <c r="Y187" s="476">
        <v>0</v>
      </c>
      <c r="Z187" s="38">
        <f t="shared" si="35"/>
        <v>0</v>
      </c>
      <c r="AA187" s="564">
        <f t="shared" si="36"/>
        <v>0</v>
      </c>
      <c r="AB187" s="564">
        <f t="shared" si="37"/>
        <v>0</v>
      </c>
      <c r="AC187" s="564">
        <f t="shared" si="38"/>
        <v>0</v>
      </c>
      <c r="AE187" s="564">
        <f t="shared" si="39"/>
        <v>0</v>
      </c>
      <c r="AF187" s="564">
        <f t="shared" si="40"/>
        <v>0</v>
      </c>
      <c r="AG187" s="564">
        <f t="shared" si="41"/>
        <v>0</v>
      </c>
    </row>
    <row r="188" spans="1:33">
      <c r="A188" s="21"/>
      <c r="B188" s="21" t="s">
        <v>109</v>
      </c>
      <c r="C188" s="68" t="s">
        <v>306</v>
      </c>
      <c r="D188" s="449"/>
      <c r="E188" s="529">
        <f>VLOOKUP(C188,'Q4 DMV - Revenue'!C:S,17,FALSE)</f>
        <v>196.65</v>
      </c>
      <c r="F188" s="576">
        <f>762.13+684.67+4174.53+163.07+395.38</f>
        <v>6179.78</v>
      </c>
      <c r="G188" s="576">
        <f>849.84+496.59+6046.31+21.82+336.08</f>
        <v>7750.64</v>
      </c>
      <c r="H188" s="524"/>
      <c r="I188" s="379">
        <f t="shared" si="53"/>
        <v>14127.07</v>
      </c>
      <c r="J188" s="31"/>
      <c r="K188" s="84"/>
      <c r="L188" s="234">
        <f>(F188+G188)/2</f>
        <v>6965.21</v>
      </c>
      <c r="M188" s="31"/>
      <c r="N188" s="429">
        <v>20925.2</v>
      </c>
      <c r="O188" s="31"/>
      <c r="P188" s="426">
        <f t="shared" si="30"/>
        <v>6965.21</v>
      </c>
      <c r="Q188" s="178">
        <f>8122.17+1025.09</f>
        <v>9147.26</v>
      </c>
      <c r="R188" s="295"/>
      <c r="S188" s="385">
        <f t="shared" si="31"/>
        <v>2182.0500000000002</v>
      </c>
      <c r="T188" s="31"/>
      <c r="U188" s="474">
        <f t="shared" si="32"/>
        <v>0</v>
      </c>
      <c r="V188" s="474">
        <f t="shared" si="33"/>
        <v>6965.21</v>
      </c>
      <c r="W188" s="475">
        <f t="shared" si="34"/>
        <v>0</v>
      </c>
      <c r="X188" s="475">
        <v>0</v>
      </c>
      <c r="Y188" s="476">
        <v>0</v>
      </c>
      <c r="Z188" s="38">
        <f t="shared" si="35"/>
        <v>0</v>
      </c>
      <c r="AA188" s="564">
        <f t="shared" si="36"/>
        <v>0</v>
      </c>
      <c r="AB188" s="564">
        <f t="shared" si="37"/>
        <v>14127.07</v>
      </c>
      <c r="AC188" s="564">
        <f t="shared" si="38"/>
        <v>0</v>
      </c>
      <c r="AE188" s="564">
        <f t="shared" si="39"/>
        <v>0</v>
      </c>
      <c r="AF188" s="564">
        <f t="shared" si="40"/>
        <v>6965.21</v>
      </c>
      <c r="AG188" s="564">
        <f t="shared" si="41"/>
        <v>0</v>
      </c>
    </row>
    <row r="189" spans="1:33">
      <c r="A189" s="21"/>
      <c r="B189" s="21" t="s">
        <v>109</v>
      </c>
      <c r="C189" s="68" t="s">
        <v>307</v>
      </c>
      <c r="D189" s="449">
        <f>96.53+381.2</f>
        <v>477.73</v>
      </c>
      <c r="E189" s="529">
        <f>VLOOKUP(C189,'Q4 DMV - Revenue'!C:S,17,FALSE)</f>
        <v>0</v>
      </c>
      <c r="F189" s="576">
        <f>822.44+1137.92+415.92</f>
        <v>2376.2800000000002</v>
      </c>
      <c r="G189" s="576">
        <f>875.05+1266.13+1160.36</f>
        <v>3301.54</v>
      </c>
      <c r="H189" s="524"/>
      <c r="I189" s="379">
        <f t="shared" si="53"/>
        <v>6155.55</v>
      </c>
      <c r="J189" s="31"/>
      <c r="K189" s="84"/>
      <c r="L189" s="234">
        <f>(F189+G189)/2</f>
        <v>2838.91</v>
      </c>
      <c r="M189" s="31"/>
      <c r="N189" s="429"/>
      <c r="O189" s="31"/>
      <c r="P189" s="426">
        <f t="shared" si="30"/>
        <v>2838.91</v>
      </c>
      <c r="Q189" s="178">
        <f>1465.04+142.73+633.7+1152.22</f>
        <v>3393.6900000000005</v>
      </c>
      <c r="R189" s="295"/>
      <c r="S189" s="385">
        <f t="shared" si="31"/>
        <v>554.78000000000065</v>
      </c>
      <c r="T189" s="31"/>
      <c r="U189" s="474">
        <f t="shared" si="32"/>
        <v>0</v>
      </c>
      <c r="V189" s="474">
        <f t="shared" si="33"/>
        <v>2838.91</v>
      </c>
      <c r="W189" s="475">
        <f t="shared" si="34"/>
        <v>0</v>
      </c>
      <c r="X189" s="475">
        <v>0</v>
      </c>
      <c r="Y189" s="476">
        <v>0</v>
      </c>
      <c r="Z189" s="38">
        <f t="shared" si="35"/>
        <v>0</v>
      </c>
      <c r="AA189" s="564">
        <f t="shared" si="36"/>
        <v>0</v>
      </c>
      <c r="AB189" s="564">
        <f t="shared" si="37"/>
        <v>6155.55</v>
      </c>
      <c r="AC189" s="564">
        <f t="shared" si="38"/>
        <v>0</v>
      </c>
      <c r="AE189" s="564">
        <f t="shared" si="39"/>
        <v>0</v>
      </c>
      <c r="AF189" s="564">
        <f t="shared" si="40"/>
        <v>2838.91</v>
      </c>
      <c r="AG189" s="564">
        <f t="shared" si="41"/>
        <v>0</v>
      </c>
    </row>
    <row r="190" spans="1:33">
      <c r="A190" s="21"/>
      <c r="B190" s="21" t="s">
        <v>109</v>
      </c>
      <c r="C190" s="68" t="s">
        <v>485</v>
      </c>
      <c r="D190" s="449"/>
      <c r="E190" s="529">
        <v>0</v>
      </c>
      <c r="F190" s="579"/>
      <c r="G190" s="579"/>
      <c r="H190" s="524"/>
      <c r="I190" s="379">
        <f t="shared" ref="I190" si="54">SUM(D190:H190)</f>
        <v>0</v>
      </c>
      <c r="J190" s="31"/>
      <c r="K190" s="84"/>
      <c r="L190" s="42">
        <v>0</v>
      </c>
      <c r="M190" s="31">
        <v>0</v>
      </c>
      <c r="N190" s="429"/>
      <c r="O190" s="31">
        <v>0</v>
      </c>
      <c r="P190" s="426">
        <f t="shared" si="30"/>
        <v>0</v>
      </c>
      <c r="Q190" s="178">
        <f>14012.25+165.38+946.03+9897.15+7715.28</f>
        <v>32736.089999999997</v>
      </c>
      <c r="R190" s="295"/>
      <c r="S190" s="385">
        <f t="shared" si="31"/>
        <v>32736.089999999997</v>
      </c>
      <c r="T190" s="31"/>
      <c r="U190" s="474">
        <f t="shared" ref="U190" si="55">IF(B190="D",P190,0)</f>
        <v>0</v>
      </c>
      <c r="V190" s="474">
        <f t="shared" ref="V190" si="56">IF(B190="M",P190,0)</f>
        <v>0</v>
      </c>
      <c r="W190" s="475">
        <f t="shared" ref="W190" si="57">IF(B190="V",P190,0)</f>
        <v>0</v>
      </c>
      <c r="X190" s="475">
        <v>0</v>
      </c>
      <c r="Y190" s="476">
        <v>0</v>
      </c>
      <c r="Z190" s="38">
        <f t="shared" ref="Z190" si="58">(K190+L190)-(U190+V190+W190+X190+Y190)</f>
        <v>0</v>
      </c>
      <c r="AA190" s="564">
        <f t="shared" ref="AA190" si="59">IF(B190="D",I190,0)</f>
        <v>0</v>
      </c>
      <c r="AB190" s="564">
        <f t="shared" ref="AB190" si="60">IF(B190="M",I190,0)</f>
        <v>0</v>
      </c>
      <c r="AC190" s="564">
        <f t="shared" ref="AC190" si="61">IF(B190="V",I190,0)</f>
        <v>0</v>
      </c>
      <c r="AE190" s="564">
        <f t="shared" ref="AE190" si="62">IF(B190="D",P190,0)</f>
        <v>0</v>
      </c>
      <c r="AF190" s="564">
        <f t="shared" ref="AF190" si="63">IF(B190="M",P190,0)</f>
        <v>0</v>
      </c>
      <c r="AG190" s="564">
        <f t="shared" ref="AG190" si="64">IF(B190="V",P190,0)</f>
        <v>0</v>
      </c>
    </row>
    <row r="191" spans="1:33" s="232" customFormat="1">
      <c r="A191" s="403"/>
      <c r="B191" s="403" t="s">
        <v>109</v>
      </c>
      <c r="C191" s="123" t="s">
        <v>220</v>
      </c>
      <c r="D191" s="540">
        <f>2018.19+119.2</f>
        <v>2137.39</v>
      </c>
      <c r="E191" s="529">
        <f>VLOOKUP(C191,'Q4 DMV - Revenue'!C:S,17,FALSE)</f>
        <v>2921.32</v>
      </c>
      <c r="F191" s="576">
        <v>1026.53</v>
      </c>
      <c r="G191" s="576">
        <v>756.06</v>
      </c>
      <c r="H191" s="524"/>
      <c r="I191" s="379">
        <f t="shared" si="53"/>
        <v>6841.2999999999993</v>
      </c>
      <c r="J191" s="31"/>
      <c r="K191" s="86"/>
      <c r="L191" s="42">
        <f>(F191+G191)/2</f>
        <v>891.29499999999996</v>
      </c>
      <c r="M191" s="31">
        <v>0</v>
      </c>
      <c r="N191" s="429">
        <v>16061.7</v>
      </c>
      <c r="O191" s="31">
        <v>0</v>
      </c>
      <c r="P191" s="426">
        <f t="shared" si="30"/>
        <v>891.29499999999996</v>
      </c>
      <c r="Q191" s="14">
        <v>0</v>
      </c>
      <c r="R191" s="295"/>
      <c r="S191" s="385">
        <f t="shared" si="31"/>
        <v>-891.29499999999996</v>
      </c>
      <c r="T191" s="31"/>
      <c r="U191" s="474">
        <f t="shared" si="32"/>
        <v>0</v>
      </c>
      <c r="V191" s="474">
        <f t="shared" si="33"/>
        <v>891.29499999999996</v>
      </c>
      <c r="W191" s="475">
        <f t="shared" si="34"/>
        <v>0</v>
      </c>
      <c r="X191" s="475">
        <v>0</v>
      </c>
      <c r="Y191" s="476">
        <v>0</v>
      </c>
      <c r="Z191" s="38">
        <f t="shared" si="35"/>
        <v>0</v>
      </c>
      <c r="AA191" s="564">
        <f t="shared" si="36"/>
        <v>0</v>
      </c>
      <c r="AB191" s="564">
        <f t="shared" si="37"/>
        <v>6841.2999999999993</v>
      </c>
      <c r="AC191" s="564">
        <f t="shared" si="38"/>
        <v>0</v>
      </c>
      <c r="AD191" s="597"/>
      <c r="AE191" s="564">
        <f t="shared" si="39"/>
        <v>0</v>
      </c>
      <c r="AF191" s="564">
        <f t="shared" si="40"/>
        <v>891.29499999999996</v>
      </c>
      <c r="AG191" s="564">
        <f t="shared" si="41"/>
        <v>0</v>
      </c>
    </row>
    <row r="192" spans="1:33">
      <c r="A192" s="21"/>
      <c r="B192" s="21" t="s">
        <v>109</v>
      </c>
      <c r="C192" s="68" t="s">
        <v>38</v>
      </c>
      <c r="D192" s="449"/>
      <c r="E192" s="529">
        <f>VLOOKUP(C192,'Q4 DMV - Revenue'!C:S,17,FALSE)</f>
        <v>0</v>
      </c>
      <c r="F192" s="579"/>
      <c r="G192" s="579"/>
      <c r="H192" s="524"/>
      <c r="I192" s="379">
        <f t="shared" si="53"/>
        <v>0</v>
      </c>
      <c r="J192" s="31"/>
      <c r="K192" s="84"/>
      <c r="L192" s="42">
        <v>0</v>
      </c>
      <c r="M192" s="31">
        <v>0</v>
      </c>
      <c r="N192" s="429"/>
      <c r="O192" s="31">
        <v>0</v>
      </c>
      <c r="P192" s="426">
        <f t="shared" si="30"/>
        <v>0</v>
      </c>
      <c r="Q192" s="178">
        <v>0</v>
      </c>
      <c r="R192" s="295"/>
      <c r="S192" s="385">
        <f t="shared" si="31"/>
        <v>0</v>
      </c>
      <c r="T192" s="31"/>
      <c r="U192" s="474">
        <f t="shared" si="32"/>
        <v>0</v>
      </c>
      <c r="V192" s="474">
        <f t="shared" si="33"/>
        <v>0</v>
      </c>
      <c r="W192" s="475">
        <f t="shared" si="34"/>
        <v>0</v>
      </c>
      <c r="X192" s="475">
        <v>0</v>
      </c>
      <c r="Y192" s="476">
        <v>0</v>
      </c>
      <c r="Z192" s="38">
        <f t="shared" si="35"/>
        <v>0</v>
      </c>
      <c r="AA192" s="564">
        <f t="shared" si="36"/>
        <v>0</v>
      </c>
      <c r="AB192" s="564">
        <f t="shared" si="37"/>
        <v>0</v>
      </c>
      <c r="AC192" s="564">
        <f t="shared" si="38"/>
        <v>0</v>
      </c>
      <c r="AE192" s="564">
        <f t="shared" si="39"/>
        <v>0</v>
      </c>
      <c r="AF192" s="564">
        <f t="shared" si="40"/>
        <v>0</v>
      </c>
      <c r="AG192" s="564">
        <f t="shared" si="41"/>
        <v>0</v>
      </c>
    </row>
    <row r="193" spans="1:33">
      <c r="A193" s="21"/>
      <c r="B193" s="21" t="s">
        <v>110</v>
      </c>
      <c r="C193" s="68" t="s">
        <v>484</v>
      </c>
      <c r="D193" s="449"/>
      <c r="E193" s="529">
        <v>0</v>
      </c>
      <c r="F193" s="579"/>
      <c r="G193" s="579"/>
      <c r="H193" s="524"/>
      <c r="I193" s="379">
        <f t="shared" ref="I193" si="65">SUM(D193:H193)</f>
        <v>0</v>
      </c>
      <c r="J193" s="31"/>
      <c r="K193" s="84"/>
      <c r="L193" s="42">
        <v>0</v>
      </c>
      <c r="M193" s="31">
        <v>0</v>
      </c>
      <c r="N193" s="429"/>
      <c r="O193" s="31">
        <v>0</v>
      </c>
      <c r="P193" s="426">
        <f t="shared" si="30"/>
        <v>0</v>
      </c>
      <c r="Q193" s="178">
        <v>12185</v>
      </c>
      <c r="R193" s="295"/>
      <c r="S193" s="385">
        <f t="shared" si="31"/>
        <v>12185</v>
      </c>
      <c r="T193" s="31"/>
      <c r="U193" s="474">
        <f t="shared" ref="U193" si="66">IF(B193="D",P193,0)</f>
        <v>0</v>
      </c>
      <c r="V193" s="474">
        <f t="shared" ref="V193" si="67">IF(B193="M",P193,0)</f>
        <v>0</v>
      </c>
      <c r="W193" s="475">
        <f t="shared" ref="W193" si="68">IF(B193="V",P193,0)</f>
        <v>0</v>
      </c>
      <c r="X193" s="475">
        <v>0</v>
      </c>
      <c r="Y193" s="476">
        <v>0</v>
      </c>
      <c r="Z193" s="38">
        <f t="shared" ref="Z193" si="69">(K193+L193)-(U193+V193+W193+X193+Y193)</f>
        <v>0</v>
      </c>
      <c r="AA193" s="564">
        <f t="shared" ref="AA193" si="70">IF(B193="D",I193,0)</f>
        <v>0</v>
      </c>
      <c r="AB193" s="564">
        <f t="shared" ref="AB193" si="71">IF(B193="M",I193,0)</f>
        <v>0</v>
      </c>
      <c r="AC193" s="564">
        <f t="shared" ref="AC193" si="72">IF(B193="V",I193,0)</f>
        <v>0</v>
      </c>
      <c r="AE193" s="564">
        <f t="shared" ref="AE193" si="73">IF(B193="D",P193,0)</f>
        <v>0</v>
      </c>
      <c r="AF193" s="564">
        <f t="shared" ref="AF193" si="74">IF(B193="M",P193,0)</f>
        <v>0</v>
      </c>
      <c r="AG193" s="564">
        <f t="shared" ref="AG193" si="75">IF(B193="V",P193,0)</f>
        <v>0</v>
      </c>
    </row>
    <row r="194" spans="1:33">
      <c r="A194" s="21"/>
      <c r="B194" s="21" t="s">
        <v>110</v>
      </c>
      <c r="C194" s="68" t="s">
        <v>185</v>
      </c>
      <c r="D194" s="449"/>
      <c r="E194" s="529">
        <f>VLOOKUP(C194,'Q4 DMV - Revenue'!C:S,17,FALSE)</f>
        <v>0</v>
      </c>
      <c r="F194" s="576">
        <v>261.10000000000002</v>
      </c>
      <c r="G194" s="576">
        <v>238</v>
      </c>
      <c r="H194" s="524"/>
      <c r="I194" s="379">
        <f t="shared" si="53"/>
        <v>499.1</v>
      </c>
      <c r="J194" s="31"/>
      <c r="K194" s="84"/>
      <c r="L194" s="42">
        <f>(F194+G194)/2</f>
        <v>249.55</v>
      </c>
      <c r="M194" s="31">
        <v>0</v>
      </c>
      <c r="N194" s="429"/>
      <c r="O194" s="31">
        <v>0</v>
      </c>
      <c r="P194" s="426">
        <f t="shared" si="30"/>
        <v>249.55</v>
      </c>
      <c r="Q194" s="178">
        <v>207.9</v>
      </c>
      <c r="R194" s="295"/>
      <c r="S194" s="385">
        <f t="shared" si="31"/>
        <v>-41.650000000000006</v>
      </c>
      <c r="T194" s="31"/>
      <c r="U194" s="474">
        <f t="shared" si="32"/>
        <v>249.55</v>
      </c>
      <c r="V194" s="474">
        <f t="shared" si="33"/>
        <v>0</v>
      </c>
      <c r="W194" s="475">
        <f t="shared" si="34"/>
        <v>0</v>
      </c>
      <c r="X194" s="475">
        <v>0</v>
      </c>
      <c r="Y194" s="476">
        <v>0</v>
      </c>
      <c r="Z194" s="38">
        <f t="shared" si="35"/>
        <v>0</v>
      </c>
      <c r="AA194" s="564">
        <f t="shared" si="36"/>
        <v>499.1</v>
      </c>
      <c r="AB194" s="564">
        <f t="shared" si="37"/>
        <v>0</v>
      </c>
      <c r="AC194" s="564">
        <f t="shared" si="38"/>
        <v>0</v>
      </c>
      <c r="AE194" s="564">
        <f t="shared" si="39"/>
        <v>249.55</v>
      </c>
      <c r="AF194" s="564">
        <f t="shared" si="40"/>
        <v>0</v>
      </c>
      <c r="AG194" s="564">
        <f t="shared" si="41"/>
        <v>0</v>
      </c>
    </row>
    <row r="195" spans="1:33">
      <c r="A195" s="21"/>
      <c r="B195" s="21" t="s">
        <v>110</v>
      </c>
      <c r="C195" s="68" t="s">
        <v>186</v>
      </c>
      <c r="D195" s="449"/>
      <c r="E195" s="529">
        <f>VLOOKUP(C195,'Q4 DMV - Revenue'!C:S,17,FALSE)</f>
        <v>0</v>
      </c>
      <c r="F195" s="576">
        <v>227.63</v>
      </c>
      <c r="G195" s="576">
        <v>182.63</v>
      </c>
      <c r="H195" s="524"/>
      <c r="I195" s="379">
        <f t="shared" si="53"/>
        <v>410.26</v>
      </c>
      <c r="J195" s="31"/>
      <c r="K195" s="84"/>
      <c r="L195" s="42">
        <f>(F195+G195)/2</f>
        <v>205.13</v>
      </c>
      <c r="M195" s="31">
        <v>0</v>
      </c>
      <c r="N195" s="429"/>
      <c r="O195" s="31">
        <v>0</v>
      </c>
      <c r="P195" s="426">
        <f t="shared" si="30"/>
        <v>205.13</v>
      </c>
      <c r="Q195" s="178">
        <v>294.54000000000002</v>
      </c>
      <c r="R195" s="295"/>
      <c r="S195" s="385">
        <f t="shared" si="31"/>
        <v>89.410000000000025</v>
      </c>
      <c r="T195" s="31"/>
      <c r="U195" s="474">
        <f t="shared" si="32"/>
        <v>205.13</v>
      </c>
      <c r="V195" s="474">
        <f t="shared" si="33"/>
        <v>0</v>
      </c>
      <c r="W195" s="475">
        <f t="shared" si="34"/>
        <v>0</v>
      </c>
      <c r="X195" s="475">
        <v>0</v>
      </c>
      <c r="Y195" s="476">
        <v>0</v>
      </c>
      <c r="Z195" s="38">
        <f t="shared" si="35"/>
        <v>0</v>
      </c>
      <c r="AA195" s="564">
        <f t="shared" si="36"/>
        <v>410.26</v>
      </c>
      <c r="AB195" s="564">
        <f t="shared" si="37"/>
        <v>0</v>
      </c>
      <c r="AC195" s="564">
        <f t="shared" si="38"/>
        <v>0</v>
      </c>
      <c r="AE195" s="564">
        <f t="shared" si="39"/>
        <v>205.13</v>
      </c>
      <c r="AF195" s="564">
        <f t="shared" si="40"/>
        <v>0</v>
      </c>
      <c r="AG195" s="564">
        <f t="shared" si="41"/>
        <v>0</v>
      </c>
    </row>
    <row r="196" spans="1:33">
      <c r="A196" s="21"/>
      <c r="B196" s="21" t="s">
        <v>110</v>
      </c>
      <c r="C196" s="68" t="s">
        <v>449</v>
      </c>
      <c r="D196" s="449"/>
      <c r="E196" s="529">
        <f>VLOOKUP(C196,'Q4 DMV - Revenue'!C:S,17,FALSE)</f>
        <v>0</v>
      </c>
      <c r="F196" s="579"/>
      <c r="G196" s="579"/>
      <c r="H196" s="524"/>
      <c r="I196" s="379">
        <f t="shared" si="53"/>
        <v>0</v>
      </c>
      <c r="J196" s="31"/>
      <c r="K196" s="84"/>
      <c r="L196" s="42">
        <v>1000</v>
      </c>
      <c r="M196" s="31">
        <v>0</v>
      </c>
      <c r="N196" s="429"/>
      <c r="O196" s="31">
        <v>0</v>
      </c>
      <c r="P196" s="426">
        <f t="shared" si="30"/>
        <v>1000</v>
      </c>
      <c r="Q196" s="178">
        <v>1200.94</v>
      </c>
      <c r="R196" s="295"/>
      <c r="S196" s="385">
        <f t="shared" si="31"/>
        <v>200.94000000000005</v>
      </c>
      <c r="T196" s="31"/>
      <c r="U196" s="474">
        <f t="shared" si="32"/>
        <v>1000</v>
      </c>
      <c r="V196" s="474">
        <f t="shared" si="33"/>
        <v>0</v>
      </c>
      <c r="W196" s="475">
        <f t="shared" si="34"/>
        <v>0</v>
      </c>
      <c r="X196" s="475">
        <v>0</v>
      </c>
      <c r="Y196" s="476">
        <v>0</v>
      </c>
      <c r="Z196" s="38">
        <f t="shared" si="35"/>
        <v>0</v>
      </c>
      <c r="AA196" s="564">
        <f t="shared" si="36"/>
        <v>0</v>
      </c>
      <c r="AB196" s="564">
        <f t="shared" si="37"/>
        <v>0</v>
      </c>
      <c r="AC196" s="564">
        <f t="shared" si="38"/>
        <v>0</v>
      </c>
      <c r="AE196" s="564">
        <f t="shared" si="39"/>
        <v>1000</v>
      </c>
      <c r="AF196" s="564">
        <f t="shared" si="40"/>
        <v>0</v>
      </c>
      <c r="AG196" s="564">
        <f t="shared" si="41"/>
        <v>0</v>
      </c>
    </row>
    <row r="197" spans="1:33">
      <c r="A197" s="21"/>
      <c r="B197" s="21" t="s">
        <v>110</v>
      </c>
      <c r="C197" s="68" t="s">
        <v>39</v>
      </c>
      <c r="D197" s="449"/>
      <c r="E197" s="529">
        <f>VLOOKUP(C197,'Q4 DMV - Revenue'!C:S,17,FALSE)</f>
        <v>229.82</v>
      </c>
      <c r="F197" s="576">
        <v>667.71</v>
      </c>
      <c r="G197" s="576">
        <v>2533.0700000000002</v>
      </c>
      <c r="H197" s="525">
        <v>1019.38</v>
      </c>
      <c r="I197" s="379">
        <f t="shared" si="53"/>
        <v>4449.9800000000005</v>
      </c>
      <c r="J197" s="31"/>
      <c r="K197" s="84"/>
      <c r="L197" s="42">
        <v>0</v>
      </c>
      <c r="M197" s="31">
        <v>0</v>
      </c>
      <c r="N197" s="429"/>
      <c r="O197" s="31">
        <v>0</v>
      </c>
      <c r="P197" s="426">
        <f t="shared" si="30"/>
        <v>0</v>
      </c>
      <c r="Q197" s="178">
        <f>95.55+142.5+99.39</f>
        <v>337.44</v>
      </c>
      <c r="R197" s="295"/>
      <c r="S197" s="385">
        <f t="shared" si="31"/>
        <v>337.44</v>
      </c>
      <c r="T197" s="31"/>
      <c r="U197" s="474">
        <f t="shared" si="32"/>
        <v>0</v>
      </c>
      <c r="V197" s="474">
        <f t="shared" si="33"/>
        <v>0</v>
      </c>
      <c r="W197" s="475">
        <f t="shared" si="34"/>
        <v>0</v>
      </c>
      <c r="X197" s="475">
        <v>0</v>
      </c>
      <c r="Y197" s="476">
        <v>0</v>
      </c>
      <c r="Z197" s="38">
        <f t="shared" si="35"/>
        <v>0</v>
      </c>
      <c r="AA197" s="564">
        <f t="shared" si="36"/>
        <v>4449.9800000000005</v>
      </c>
      <c r="AB197" s="564">
        <f t="shared" si="37"/>
        <v>0</v>
      </c>
      <c r="AC197" s="564">
        <f t="shared" si="38"/>
        <v>0</v>
      </c>
      <c r="AE197" s="564">
        <f t="shared" si="39"/>
        <v>0</v>
      </c>
      <c r="AF197" s="564">
        <f t="shared" si="40"/>
        <v>0</v>
      </c>
      <c r="AG197" s="564">
        <f t="shared" si="41"/>
        <v>0</v>
      </c>
    </row>
    <row r="198" spans="1:33">
      <c r="A198" s="21"/>
      <c r="B198" s="21" t="s">
        <v>109</v>
      </c>
      <c r="C198" s="68" t="s">
        <v>435</v>
      </c>
      <c r="D198" s="449"/>
      <c r="E198" s="529">
        <f>VLOOKUP(C198,'Q4 DMV - Revenue'!C:S,17,FALSE)</f>
        <v>0</v>
      </c>
      <c r="F198" s="576">
        <f>193.28+2608.96</f>
        <v>2802.2400000000002</v>
      </c>
      <c r="G198" s="576">
        <f>295.67+3152.99</f>
        <v>3448.66</v>
      </c>
      <c r="H198" s="525">
        <f>4227.75+404</f>
        <v>4631.75</v>
      </c>
      <c r="I198" s="379">
        <f t="shared" si="53"/>
        <v>10882.65</v>
      </c>
      <c r="J198" s="31"/>
      <c r="K198" s="84"/>
      <c r="L198" s="42">
        <v>0</v>
      </c>
      <c r="M198" s="31">
        <v>0</v>
      </c>
      <c r="N198" s="429"/>
      <c r="O198" s="31">
        <v>0</v>
      </c>
      <c r="P198" s="426">
        <f t="shared" si="30"/>
        <v>0</v>
      </c>
      <c r="Q198" s="178">
        <v>0</v>
      </c>
      <c r="R198" s="295"/>
      <c r="S198" s="385">
        <f t="shared" si="31"/>
        <v>0</v>
      </c>
      <c r="T198" s="31"/>
      <c r="U198" s="474">
        <f t="shared" si="32"/>
        <v>0</v>
      </c>
      <c r="V198" s="474">
        <f t="shared" si="33"/>
        <v>0</v>
      </c>
      <c r="W198" s="475">
        <f t="shared" si="34"/>
        <v>0</v>
      </c>
      <c r="X198" s="475">
        <v>0</v>
      </c>
      <c r="Y198" s="476">
        <v>0</v>
      </c>
      <c r="Z198" s="38">
        <f t="shared" si="35"/>
        <v>0</v>
      </c>
      <c r="AA198" s="564">
        <f t="shared" si="36"/>
        <v>0</v>
      </c>
      <c r="AB198" s="564">
        <f t="shared" si="37"/>
        <v>10882.65</v>
      </c>
      <c r="AC198" s="564">
        <f t="shared" si="38"/>
        <v>0</v>
      </c>
      <c r="AE198" s="564">
        <f t="shared" si="39"/>
        <v>0</v>
      </c>
      <c r="AF198" s="564">
        <f t="shared" si="40"/>
        <v>0</v>
      </c>
      <c r="AG198" s="564">
        <f t="shared" si="41"/>
        <v>0</v>
      </c>
    </row>
    <row r="199" spans="1:33">
      <c r="A199" s="21"/>
      <c r="B199" s="21" t="s">
        <v>110</v>
      </c>
      <c r="C199" s="68" t="s">
        <v>99</v>
      </c>
      <c r="D199" s="449"/>
      <c r="E199" s="529">
        <f>VLOOKUP(C199,'Q4 DMV - Revenue'!C:S,17,FALSE)</f>
        <v>0</v>
      </c>
      <c r="F199" s="576">
        <v>14978.32</v>
      </c>
      <c r="G199" s="576">
        <v>14644.23</v>
      </c>
      <c r="H199" s="524"/>
      <c r="I199" s="379">
        <f t="shared" si="53"/>
        <v>29622.55</v>
      </c>
      <c r="J199" s="31"/>
      <c r="K199" s="84"/>
      <c r="L199" s="42">
        <f>(F199+G199)/2</f>
        <v>14811.275</v>
      </c>
      <c r="M199" s="31">
        <v>0</v>
      </c>
      <c r="N199" s="429">
        <v>29662.53</v>
      </c>
      <c r="O199" s="31">
        <v>0</v>
      </c>
      <c r="P199" s="426">
        <f t="shared" si="30"/>
        <v>14811.275</v>
      </c>
      <c r="Q199" s="178">
        <v>17936.759999999998</v>
      </c>
      <c r="R199" s="295"/>
      <c r="S199" s="385">
        <f t="shared" si="31"/>
        <v>3125.4849999999988</v>
      </c>
      <c r="T199" s="31"/>
      <c r="U199" s="474">
        <f t="shared" si="32"/>
        <v>14811.275</v>
      </c>
      <c r="V199" s="474">
        <f t="shared" si="33"/>
        <v>0</v>
      </c>
      <c r="W199" s="475">
        <f t="shared" si="34"/>
        <v>0</v>
      </c>
      <c r="X199" s="475">
        <v>0</v>
      </c>
      <c r="Y199" s="476">
        <v>0</v>
      </c>
      <c r="Z199" s="38">
        <f t="shared" si="35"/>
        <v>0</v>
      </c>
      <c r="AA199" s="564">
        <f t="shared" si="36"/>
        <v>29622.55</v>
      </c>
      <c r="AB199" s="564">
        <f t="shared" si="37"/>
        <v>0</v>
      </c>
      <c r="AC199" s="564">
        <f t="shared" si="38"/>
        <v>0</v>
      </c>
      <c r="AE199" s="564">
        <f t="shared" si="39"/>
        <v>14811.275</v>
      </c>
      <c r="AF199" s="564">
        <f t="shared" si="40"/>
        <v>0</v>
      </c>
      <c r="AG199" s="564">
        <f t="shared" si="41"/>
        <v>0</v>
      </c>
    </row>
    <row r="200" spans="1:33" s="232" customFormat="1">
      <c r="A200" s="403"/>
      <c r="B200" s="403" t="s">
        <v>110</v>
      </c>
      <c r="C200" s="123" t="s">
        <v>378</v>
      </c>
      <c r="D200" s="540"/>
      <c r="E200" s="529">
        <f>VLOOKUP(C200,'Q4 DMV - Revenue'!C:S,17,FALSE)</f>
        <v>0</v>
      </c>
      <c r="F200" s="579"/>
      <c r="G200" s="579"/>
      <c r="H200" s="524"/>
      <c r="I200" s="379">
        <f t="shared" si="53"/>
        <v>0</v>
      </c>
      <c r="J200" s="31"/>
      <c r="K200" s="86"/>
      <c r="L200" s="42"/>
      <c r="M200" s="31">
        <v>0</v>
      </c>
      <c r="N200" s="429"/>
      <c r="O200" s="31">
        <v>0</v>
      </c>
      <c r="P200" s="426">
        <f t="shared" si="30"/>
        <v>0</v>
      </c>
      <c r="Q200" s="14">
        <v>0</v>
      </c>
      <c r="R200" s="295"/>
      <c r="S200" s="385">
        <f t="shared" si="31"/>
        <v>0</v>
      </c>
      <c r="T200" s="31"/>
      <c r="U200" s="474">
        <f t="shared" si="32"/>
        <v>0</v>
      </c>
      <c r="V200" s="474">
        <f t="shared" si="33"/>
        <v>0</v>
      </c>
      <c r="W200" s="475">
        <f t="shared" si="34"/>
        <v>0</v>
      </c>
      <c r="X200" s="475">
        <v>0</v>
      </c>
      <c r="Y200" s="476">
        <v>0</v>
      </c>
      <c r="Z200" s="38">
        <f t="shared" si="35"/>
        <v>0</v>
      </c>
      <c r="AA200" s="564">
        <f t="shared" si="36"/>
        <v>0</v>
      </c>
      <c r="AB200" s="564">
        <f t="shared" si="37"/>
        <v>0</v>
      </c>
      <c r="AC200" s="564">
        <f t="shared" si="38"/>
        <v>0</v>
      </c>
      <c r="AD200" s="597"/>
      <c r="AE200" s="564">
        <f t="shared" si="39"/>
        <v>0</v>
      </c>
      <c r="AF200" s="564">
        <f t="shared" si="40"/>
        <v>0</v>
      </c>
      <c r="AG200" s="564">
        <f t="shared" si="41"/>
        <v>0</v>
      </c>
    </row>
    <row r="201" spans="1:33" s="232" customFormat="1">
      <c r="A201" s="403"/>
      <c r="B201" s="403" t="s">
        <v>110</v>
      </c>
      <c r="C201" s="123" t="s">
        <v>303</v>
      </c>
      <c r="D201" s="514"/>
      <c r="E201" s="529">
        <f>VLOOKUP(C201,'Q4 DMV - Revenue'!C:S,17,FALSE)</f>
        <v>0</v>
      </c>
      <c r="F201" s="576">
        <v>86592.62</v>
      </c>
      <c r="G201" s="576">
        <v>80562.990000000005</v>
      </c>
      <c r="H201" s="524"/>
      <c r="I201" s="379">
        <f t="shared" si="53"/>
        <v>167155.60999999999</v>
      </c>
      <c r="J201" s="31"/>
      <c r="K201" s="86"/>
      <c r="L201" s="234">
        <f>(F201+G201)/2</f>
        <v>83577.804999999993</v>
      </c>
      <c r="M201" s="31">
        <v>0</v>
      </c>
      <c r="N201" s="429">
        <v>167155.60999999999</v>
      </c>
      <c r="O201" s="31">
        <v>0</v>
      </c>
      <c r="P201" s="426">
        <f t="shared" si="30"/>
        <v>83577.804999999993</v>
      </c>
      <c r="Q201" s="14">
        <v>89351.12</v>
      </c>
      <c r="R201" s="295"/>
      <c r="S201" s="385">
        <f t="shared" si="31"/>
        <v>5773.3150000000023</v>
      </c>
      <c r="T201" s="31"/>
      <c r="U201" s="474">
        <f t="shared" si="32"/>
        <v>83577.804999999993</v>
      </c>
      <c r="V201" s="474">
        <f t="shared" si="33"/>
        <v>0</v>
      </c>
      <c r="W201" s="475">
        <f t="shared" si="34"/>
        <v>0</v>
      </c>
      <c r="X201" s="475">
        <v>0</v>
      </c>
      <c r="Y201" s="476">
        <v>0</v>
      </c>
      <c r="Z201" s="38">
        <f t="shared" si="35"/>
        <v>0</v>
      </c>
      <c r="AA201" s="564">
        <f t="shared" si="36"/>
        <v>167155.60999999999</v>
      </c>
      <c r="AB201" s="564">
        <f t="shared" si="37"/>
        <v>0</v>
      </c>
      <c r="AC201" s="564">
        <f t="shared" si="38"/>
        <v>0</v>
      </c>
      <c r="AD201" s="597"/>
      <c r="AE201" s="564">
        <f t="shared" si="39"/>
        <v>83577.804999999993</v>
      </c>
      <c r="AF201" s="564">
        <f t="shared" si="40"/>
        <v>0</v>
      </c>
      <c r="AG201" s="564">
        <f t="shared" si="41"/>
        <v>0</v>
      </c>
    </row>
    <row r="202" spans="1:33" s="232" customFormat="1">
      <c r="A202" s="403"/>
      <c r="B202" s="403" t="s">
        <v>110</v>
      </c>
      <c r="C202" s="123" t="s">
        <v>206</v>
      </c>
      <c r="D202" s="514"/>
      <c r="E202" s="529">
        <f>VLOOKUP(C202,'Q4 DMV - Revenue'!C:S,17,FALSE)</f>
        <v>0</v>
      </c>
      <c r="F202" s="579"/>
      <c r="G202" s="579"/>
      <c r="H202" s="524"/>
      <c r="I202" s="379">
        <f t="shared" si="53"/>
        <v>0</v>
      </c>
      <c r="J202" s="31"/>
      <c r="K202" s="86"/>
      <c r="L202" s="290">
        <v>500</v>
      </c>
      <c r="M202" s="31">
        <v>0</v>
      </c>
      <c r="N202" s="429"/>
      <c r="O202" s="31">
        <v>0</v>
      </c>
      <c r="P202" s="426">
        <f t="shared" si="30"/>
        <v>500</v>
      </c>
      <c r="Q202" s="14">
        <v>0</v>
      </c>
      <c r="R202" s="295"/>
      <c r="S202" s="385">
        <f t="shared" si="31"/>
        <v>-500</v>
      </c>
      <c r="T202" s="31"/>
      <c r="U202" s="474">
        <f t="shared" si="32"/>
        <v>500</v>
      </c>
      <c r="V202" s="474">
        <f t="shared" si="33"/>
        <v>0</v>
      </c>
      <c r="W202" s="475">
        <f t="shared" si="34"/>
        <v>0</v>
      </c>
      <c r="X202" s="475">
        <v>0</v>
      </c>
      <c r="Y202" s="476">
        <v>0</v>
      </c>
      <c r="Z202" s="38">
        <f t="shared" si="35"/>
        <v>0</v>
      </c>
      <c r="AA202" s="564">
        <f t="shared" si="36"/>
        <v>0</v>
      </c>
      <c r="AB202" s="564">
        <f t="shared" si="37"/>
        <v>0</v>
      </c>
      <c r="AC202" s="564">
        <f t="shared" si="38"/>
        <v>0</v>
      </c>
      <c r="AD202" s="597"/>
      <c r="AE202" s="564">
        <f t="shared" si="39"/>
        <v>500</v>
      </c>
      <c r="AF202" s="564">
        <f t="shared" si="40"/>
        <v>0</v>
      </c>
      <c r="AG202" s="564">
        <f t="shared" si="41"/>
        <v>0</v>
      </c>
    </row>
    <row r="203" spans="1:33" s="232" customFormat="1">
      <c r="A203" s="403"/>
      <c r="B203" s="403" t="s">
        <v>109</v>
      </c>
      <c r="C203" s="123" t="s">
        <v>468</v>
      </c>
      <c r="D203" s="514"/>
      <c r="E203" s="529">
        <f>VLOOKUP(C203,'Q4 DMV - Revenue'!C:S,17,FALSE)</f>
        <v>12136.029999999999</v>
      </c>
      <c r="F203" s="579"/>
      <c r="G203" s="579"/>
      <c r="H203" s="524"/>
      <c r="I203" s="379">
        <f t="shared" si="53"/>
        <v>12136.029999999999</v>
      </c>
      <c r="J203" s="31"/>
      <c r="K203" s="86"/>
      <c r="L203" s="290">
        <v>12000</v>
      </c>
      <c r="M203" s="31">
        <v>0</v>
      </c>
      <c r="N203" s="232">
        <v>12136.03</v>
      </c>
      <c r="O203" s="31">
        <v>0</v>
      </c>
      <c r="P203" s="426">
        <f t="shared" si="30"/>
        <v>12000</v>
      </c>
      <c r="Q203" s="14">
        <v>9969.14</v>
      </c>
      <c r="R203" s="295"/>
      <c r="S203" s="385">
        <f t="shared" si="31"/>
        <v>-2030.8600000000006</v>
      </c>
      <c r="T203" s="31"/>
      <c r="U203" s="474">
        <f t="shared" si="32"/>
        <v>0</v>
      </c>
      <c r="V203" s="474">
        <f t="shared" si="33"/>
        <v>12000</v>
      </c>
      <c r="W203" s="475">
        <f t="shared" si="34"/>
        <v>0</v>
      </c>
      <c r="X203" s="475">
        <v>0</v>
      </c>
      <c r="Y203" s="476">
        <v>0</v>
      </c>
      <c r="Z203" s="38">
        <f t="shared" si="35"/>
        <v>0</v>
      </c>
      <c r="AA203" s="564">
        <f t="shared" si="36"/>
        <v>0</v>
      </c>
      <c r="AB203" s="564">
        <f t="shared" si="37"/>
        <v>12136.029999999999</v>
      </c>
      <c r="AC203" s="564">
        <f t="shared" si="38"/>
        <v>0</v>
      </c>
      <c r="AD203" s="597"/>
      <c r="AE203" s="564">
        <f t="shared" si="39"/>
        <v>0</v>
      </c>
      <c r="AF203" s="564">
        <f t="shared" si="40"/>
        <v>12000</v>
      </c>
      <c r="AG203" s="564">
        <f t="shared" si="41"/>
        <v>0</v>
      </c>
    </row>
    <row r="204" spans="1:33" s="232" customFormat="1">
      <c r="A204" s="403"/>
      <c r="B204" s="403" t="s">
        <v>114</v>
      </c>
      <c r="C204" s="123" t="s">
        <v>241</v>
      </c>
      <c r="D204" s="514"/>
      <c r="E204" s="529">
        <f>VLOOKUP(C204,'Q4 DMV - Revenue'!C:S,17,FALSE)</f>
        <v>0</v>
      </c>
      <c r="F204" s="579"/>
      <c r="G204" s="579"/>
      <c r="H204" s="525">
        <v>50000</v>
      </c>
      <c r="I204" s="379">
        <f t="shared" si="53"/>
        <v>50000</v>
      </c>
      <c r="J204" s="31"/>
      <c r="K204" s="86"/>
      <c r="L204" s="42">
        <v>0</v>
      </c>
      <c r="M204" s="31"/>
      <c r="N204" s="429"/>
      <c r="O204" s="31"/>
      <c r="P204" s="426">
        <f t="shared" si="30"/>
        <v>0</v>
      </c>
      <c r="Q204" s="14">
        <v>0</v>
      </c>
      <c r="R204" s="295"/>
      <c r="S204" s="385">
        <f t="shared" si="31"/>
        <v>0</v>
      </c>
      <c r="T204" s="31"/>
      <c r="U204" s="474">
        <f t="shared" si="32"/>
        <v>0</v>
      </c>
      <c r="V204" s="474">
        <f t="shared" si="33"/>
        <v>0</v>
      </c>
      <c r="W204" s="475">
        <f t="shared" si="34"/>
        <v>0</v>
      </c>
      <c r="X204" s="475">
        <v>0</v>
      </c>
      <c r="Y204" s="476">
        <v>0</v>
      </c>
      <c r="Z204" s="38">
        <f t="shared" si="35"/>
        <v>0</v>
      </c>
      <c r="AA204" s="564">
        <f t="shared" si="36"/>
        <v>0</v>
      </c>
      <c r="AB204" s="564">
        <f t="shared" si="37"/>
        <v>0</v>
      </c>
      <c r="AC204" s="564">
        <f t="shared" si="38"/>
        <v>50000</v>
      </c>
      <c r="AD204" s="597"/>
      <c r="AE204" s="564">
        <f t="shared" si="39"/>
        <v>0</v>
      </c>
      <c r="AF204" s="564">
        <f t="shared" si="40"/>
        <v>0</v>
      </c>
      <c r="AG204" s="564">
        <f t="shared" si="41"/>
        <v>0</v>
      </c>
    </row>
    <row r="205" spans="1:33">
      <c r="A205" s="20"/>
      <c r="B205" s="20" t="s">
        <v>109</v>
      </c>
      <c r="C205" s="68" t="s">
        <v>41</v>
      </c>
      <c r="D205" s="449"/>
      <c r="E205" s="529">
        <f>VLOOKUP(C205,'Q4 DMV - Revenue'!C:S,17,FALSE)</f>
        <v>0</v>
      </c>
      <c r="F205" s="579"/>
      <c r="G205" s="579"/>
      <c r="H205" s="524"/>
      <c r="I205" s="379">
        <f t="shared" si="53"/>
        <v>0</v>
      </c>
      <c r="J205" s="31"/>
      <c r="K205" s="84"/>
      <c r="L205" s="42">
        <v>0</v>
      </c>
      <c r="M205" s="31">
        <v>0</v>
      </c>
      <c r="N205" s="429"/>
      <c r="O205" s="31">
        <v>0</v>
      </c>
      <c r="P205" s="426">
        <f t="shared" si="30"/>
        <v>0</v>
      </c>
      <c r="Q205" s="178">
        <v>0</v>
      </c>
      <c r="R205" s="295"/>
      <c r="S205" s="385">
        <f t="shared" si="31"/>
        <v>0</v>
      </c>
      <c r="T205" s="31"/>
      <c r="U205" s="474">
        <f t="shared" si="32"/>
        <v>0</v>
      </c>
      <c r="V205" s="474">
        <f t="shared" si="33"/>
        <v>0</v>
      </c>
      <c r="W205" s="475">
        <f t="shared" si="34"/>
        <v>0</v>
      </c>
      <c r="X205" s="475">
        <v>0</v>
      </c>
      <c r="Y205" s="476">
        <v>0</v>
      </c>
      <c r="Z205" s="38">
        <f t="shared" si="35"/>
        <v>0</v>
      </c>
      <c r="AA205" s="564">
        <f t="shared" si="36"/>
        <v>0</v>
      </c>
      <c r="AB205" s="564">
        <f t="shared" si="37"/>
        <v>0</v>
      </c>
      <c r="AC205" s="564">
        <f t="shared" si="38"/>
        <v>0</v>
      </c>
      <c r="AE205" s="564">
        <f t="shared" si="39"/>
        <v>0</v>
      </c>
      <c r="AF205" s="564">
        <f t="shared" si="40"/>
        <v>0</v>
      </c>
      <c r="AG205" s="564">
        <f t="shared" si="41"/>
        <v>0</v>
      </c>
    </row>
    <row r="206" spans="1:33">
      <c r="A206" s="20"/>
      <c r="B206" s="20" t="s">
        <v>109</v>
      </c>
      <c r="C206" s="68" t="s">
        <v>221</v>
      </c>
      <c r="D206" s="449"/>
      <c r="E206" s="529">
        <f>VLOOKUP(C206,'Q4 DMV - Revenue'!C:S,17,FALSE)</f>
        <v>0</v>
      </c>
      <c r="F206" s="579"/>
      <c r="G206" s="579"/>
      <c r="H206" s="524"/>
      <c r="I206" s="379">
        <f t="shared" si="53"/>
        <v>0</v>
      </c>
      <c r="J206" s="31"/>
      <c r="K206" s="84"/>
      <c r="L206" s="42">
        <v>0</v>
      </c>
      <c r="M206" s="31">
        <v>0</v>
      </c>
      <c r="N206" s="429"/>
      <c r="O206" s="31">
        <v>0</v>
      </c>
      <c r="P206" s="426">
        <f t="shared" si="30"/>
        <v>0</v>
      </c>
      <c r="Q206" s="178">
        <v>0</v>
      </c>
      <c r="R206" s="295"/>
      <c r="S206" s="385">
        <f t="shared" si="31"/>
        <v>0</v>
      </c>
      <c r="T206" s="31"/>
      <c r="U206" s="474">
        <f t="shared" si="32"/>
        <v>0</v>
      </c>
      <c r="V206" s="474">
        <f t="shared" si="33"/>
        <v>0</v>
      </c>
      <c r="W206" s="475">
        <f t="shared" si="34"/>
        <v>0</v>
      </c>
      <c r="X206" s="475">
        <v>0</v>
      </c>
      <c r="Y206" s="476">
        <v>0</v>
      </c>
      <c r="Z206" s="38">
        <f t="shared" si="35"/>
        <v>0</v>
      </c>
      <c r="AA206" s="564">
        <f t="shared" si="36"/>
        <v>0</v>
      </c>
      <c r="AB206" s="564">
        <f t="shared" si="37"/>
        <v>0</v>
      </c>
      <c r="AC206" s="564">
        <f t="shared" si="38"/>
        <v>0</v>
      </c>
      <c r="AE206" s="564">
        <f t="shared" si="39"/>
        <v>0</v>
      </c>
      <c r="AF206" s="564">
        <f t="shared" si="40"/>
        <v>0</v>
      </c>
      <c r="AG206" s="564">
        <f t="shared" si="41"/>
        <v>0</v>
      </c>
    </row>
    <row r="207" spans="1:33" s="146" customFormat="1">
      <c r="A207" s="21" t="s">
        <v>109</v>
      </c>
      <c r="B207" s="21" t="s">
        <v>110</v>
      </c>
      <c r="C207" s="68" t="s">
        <v>98</v>
      </c>
      <c r="D207" s="449"/>
      <c r="E207" s="529">
        <f>VLOOKUP(C207,'Q4 DMV - Revenue'!C:S,17,FALSE)</f>
        <v>-5000</v>
      </c>
      <c r="F207" s="579"/>
      <c r="G207" s="579"/>
      <c r="H207" s="524"/>
      <c r="I207" s="379">
        <f t="shared" si="53"/>
        <v>-5000</v>
      </c>
      <c r="J207" s="31"/>
      <c r="K207" s="84"/>
      <c r="L207" s="42">
        <v>5000</v>
      </c>
      <c r="M207" s="31">
        <v>0</v>
      </c>
      <c r="N207" s="429"/>
      <c r="O207" s="31">
        <v>0</v>
      </c>
      <c r="P207" s="426">
        <f t="shared" si="30"/>
        <v>5000</v>
      </c>
      <c r="Q207" s="178">
        <v>0</v>
      </c>
      <c r="R207" s="295"/>
      <c r="S207" s="385">
        <f t="shared" si="31"/>
        <v>-5000</v>
      </c>
      <c r="T207" s="31"/>
      <c r="U207" s="474">
        <f t="shared" si="32"/>
        <v>5000</v>
      </c>
      <c r="V207" s="474">
        <f t="shared" si="33"/>
        <v>0</v>
      </c>
      <c r="W207" s="475">
        <f t="shared" si="34"/>
        <v>0</v>
      </c>
      <c r="X207" s="475">
        <v>0</v>
      </c>
      <c r="Y207" s="476">
        <v>0</v>
      </c>
      <c r="Z207" s="38">
        <f t="shared" si="35"/>
        <v>0</v>
      </c>
      <c r="AA207" s="564">
        <f t="shared" si="36"/>
        <v>-5000</v>
      </c>
      <c r="AB207" s="564">
        <f t="shared" si="37"/>
        <v>0</v>
      </c>
      <c r="AC207" s="564">
        <f t="shared" si="38"/>
        <v>0</v>
      </c>
      <c r="AD207" s="566"/>
      <c r="AE207" s="564">
        <f t="shared" si="39"/>
        <v>5000</v>
      </c>
      <c r="AF207" s="564">
        <f t="shared" si="40"/>
        <v>0</v>
      </c>
      <c r="AG207" s="564">
        <f t="shared" si="41"/>
        <v>0</v>
      </c>
    </row>
    <row r="208" spans="1:33">
      <c r="A208" s="21"/>
      <c r="B208" s="21" t="s">
        <v>110</v>
      </c>
      <c r="C208" s="68" t="s">
        <v>43</v>
      </c>
      <c r="D208" s="449"/>
      <c r="E208" s="529">
        <f>VLOOKUP(C208,'Q4 DMV - Revenue'!C:S,17,FALSE)</f>
        <v>0</v>
      </c>
      <c r="F208" s="576">
        <v>1178.46</v>
      </c>
      <c r="G208" s="576">
        <v>823.24</v>
      </c>
      <c r="H208" s="525">
        <v>967.1</v>
      </c>
      <c r="I208" s="379">
        <f t="shared" si="53"/>
        <v>2968.8</v>
      </c>
      <c r="J208" s="31"/>
      <c r="K208" s="84"/>
      <c r="L208" s="42">
        <v>0</v>
      </c>
      <c r="M208" s="31">
        <v>0</v>
      </c>
      <c r="N208" s="429"/>
      <c r="O208" s="31">
        <v>0</v>
      </c>
      <c r="P208" s="426">
        <f t="shared" si="30"/>
        <v>0</v>
      </c>
      <c r="Q208" s="178">
        <v>0</v>
      </c>
      <c r="R208" s="295"/>
      <c r="S208" s="385">
        <f t="shared" si="31"/>
        <v>0</v>
      </c>
      <c r="T208" s="31"/>
      <c r="U208" s="474">
        <f t="shared" si="32"/>
        <v>0</v>
      </c>
      <c r="V208" s="474">
        <f t="shared" si="33"/>
        <v>0</v>
      </c>
      <c r="W208" s="475">
        <f t="shared" si="34"/>
        <v>0</v>
      </c>
      <c r="X208" s="475">
        <v>0</v>
      </c>
      <c r="Y208" s="476">
        <v>0</v>
      </c>
      <c r="Z208" s="38">
        <f t="shared" si="35"/>
        <v>0</v>
      </c>
      <c r="AA208" s="564">
        <f t="shared" si="36"/>
        <v>2968.8</v>
      </c>
      <c r="AB208" s="564">
        <f t="shared" si="37"/>
        <v>0</v>
      </c>
      <c r="AC208" s="564">
        <f t="shared" si="38"/>
        <v>0</v>
      </c>
      <c r="AE208" s="564">
        <f t="shared" si="39"/>
        <v>0</v>
      </c>
      <c r="AF208" s="564">
        <f t="shared" si="40"/>
        <v>0</v>
      </c>
      <c r="AG208" s="564">
        <f t="shared" si="41"/>
        <v>0</v>
      </c>
    </row>
    <row r="209" spans="1:33">
      <c r="A209" s="21"/>
      <c r="B209" s="21" t="s">
        <v>109</v>
      </c>
      <c r="C209" s="68" t="s">
        <v>44</v>
      </c>
      <c r="D209" s="449"/>
      <c r="E209" s="529">
        <f>VLOOKUP(C209,'Q4 DMV - Revenue'!C:S,17,FALSE)</f>
        <v>0</v>
      </c>
      <c r="F209" s="579"/>
      <c r="G209" s="579"/>
      <c r="H209" s="524"/>
      <c r="I209" s="379">
        <f t="shared" si="53"/>
        <v>0</v>
      </c>
      <c r="J209" s="31"/>
      <c r="K209" s="84"/>
      <c r="L209" s="42">
        <v>0</v>
      </c>
      <c r="M209" s="31">
        <v>0</v>
      </c>
      <c r="N209" s="429"/>
      <c r="O209" s="31">
        <v>0</v>
      </c>
      <c r="P209" s="426">
        <f t="shared" si="30"/>
        <v>0</v>
      </c>
      <c r="Q209" s="178">
        <v>5357.4</v>
      </c>
      <c r="R209" s="295"/>
      <c r="S209" s="385">
        <f t="shared" si="31"/>
        <v>5357.4</v>
      </c>
      <c r="T209" s="31"/>
      <c r="U209" s="474">
        <f t="shared" si="32"/>
        <v>0</v>
      </c>
      <c r="V209" s="474">
        <f t="shared" si="33"/>
        <v>0</v>
      </c>
      <c r="W209" s="475">
        <f t="shared" si="34"/>
        <v>0</v>
      </c>
      <c r="X209" s="475">
        <v>0</v>
      </c>
      <c r="Y209" s="476">
        <v>0</v>
      </c>
      <c r="Z209" s="38">
        <f t="shared" si="35"/>
        <v>0</v>
      </c>
      <c r="AA209" s="564">
        <f t="shared" si="36"/>
        <v>0</v>
      </c>
      <c r="AB209" s="564">
        <f t="shared" si="37"/>
        <v>0</v>
      </c>
      <c r="AC209" s="564">
        <f t="shared" si="38"/>
        <v>0</v>
      </c>
      <c r="AE209" s="564">
        <f t="shared" si="39"/>
        <v>0</v>
      </c>
      <c r="AF209" s="564">
        <f t="shared" si="40"/>
        <v>0</v>
      </c>
      <c r="AG209" s="564">
        <f t="shared" si="41"/>
        <v>0</v>
      </c>
    </row>
    <row r="210" spans="1:33">
      <c r="A210" s="21"/>
      <c r="B210" s="21" t="s">
        <v>110</v>
      </c>
      <c r="C210" s="68" t="s">
        <v>388</v>
      </c>
      <c r="D210" s="449"/>
      <c r="E210" s="529">
        <f>VLOOKUP(C210,'Q4 DMV - Revenue'!C:S,17,FALSE)</f>
        <v>0</v>
      </c>
      <c r="F210" s="576">
        <v>6243.81</v>
      </c>
      <c r="G210" s="576">
        <v>6841.65</v>
      </c>
      <c r="H210" s="524"/>
      <c r="I210" s="379">
        <f t="shared" si="53"/>
        <v>13085.46</v>
      </c>
      <c r="J210" s="31"/>
      <c r="K210" s="84"/>
      <c r="L210" s="42">
        <f>(F210+G210)/2</f>
        <v>6542.73</v>
      </c>
      <c r="M210" s="31">
        <v>0</v>
      </c>
      <c r="N210" s="429"/>
      <c r="O210" s="31">
        <v>0</v>
      </c>
      <c r="P210" s="426">
        <f t="shared" si="30"/>
        <v>6542.73</v>
      </c>
      <c r="Q210" s="178">
        <v>10810.99</v>
      </c>
      <c r="R210" s="295"/>
      <c r="S210" s="385">
        <f t="shared" si="31"/>
        <v>4268.26</v>
      </c>
      <c r="T210" s="31"/>
      <c r="U210" s="474">
        <f t="shared" si="32"/>
        <v>6542.73</v>
      </c>
      <c r="V210" s="474">
        <f t="shared" si="33"/>
        <v>0</v>
      </c>
      <c r="W210" s="475">
        <f t="shared" si="34"/>
        <v>0</v>
      </c>
      <c r="X210" s="475">
        <v>0</v>
      </c>
      <c r="Y210" s="476">
        <v>0</v>
      </c>
      <c r="Z210" s="38">
        <f t="shared" si="35"/>
        <v>0</v>
      </c>
      <c r="AA210" s="564">
        <f t="shared" si="36"/>
        <v>13085.46</v>
      </c>
      <c r="AB210" s="564">
        <f t="shared" si="37"/>
        <v>0</v>
      </c>
      <c r="AC210" s="564">
        <f t="shared" si="38"/>
        <v>0</v>
      </c>
      <c r="AE210" s="564">
        <f t="shared" si="39"/>
        <v>6542.73</v>
      </c>
      <c r="AF210" s="564">
        <f t="shared" si="40"/>
        <v>0</v>
      </c>
      <c r="AG210" s="564">
        <f t="shared" si="41"/>
        <v>0</v>
      </c>
    </row>
    <row r="211" spans="1:33">
      <c r="A211" s="21"/>
      <c r="B211" s="21" t="s">
        <v>110</v>
      </c>
      <c r="C211" s="68" t="s">
        <v>45</v>
      </c>
      <c r="D211" s="449"/>
      <c r="E211" s="529">
        <f>VLOOKUP(C211,'Q4 DMV - Revenue'!C:S,17,FALSE)</f>
        <v>0</v>
      </c>
      <c r="F211" s="579"/>
      <c r="G211" s="579"/>
      <c r="H211" s="524"/>
      <c r="I211" s="379">
        <f t="shared" si="53"/>
        <v>0</v>
      </c>
      <c r="J211" s="31"/>
      <c r="K211" s="84"/>
      <c r="L211" s="42">
        <v>0</v>
      </c>
      <c r="M211" s="31">
        <v>0</v>
      </c>
      <c r="N211" s="429"/>
      <c r="O211" s="31">
        <v>0</v>
      </c>
      <c r="P211" s="426">
        <f t="shared" si="30"/>
        <v>0</v>
      </c>
      <c r="Q211" s="178">
        <f>3399.08+3426.87+4143.78</f>
        <v>10969.73</v>
      </c>
      <c r="R211" s="295"/>
      <c r="S211" s="385">
        <f t="shared" si="31"/>
        <v>10969.73</v>
      </c>
      <c r="T211" s="31"/>
      <c r="U211" s="474">
        <f t="shared" si="32"/>
        <v>0</v>
      </c>
      <c r="V211" s="474">
        <f t="shared" si="33"/>
        <v>0</v>
      </c>
      <c r="W211" s="475">
        <f t="shared" si="34"/>
        <v>0</v>
      </c>
      <c r="X211" s="475">
        <v>0</v>
      </c>
      <c r="Y211" s="476">
        <v>0</v>
      </c>
      <c r="Z211" s="38">
        <f t="shared" si="35"/>
        <v>0</v>
      </c>
      <c r="AA211" s="564">
        <f t="shared" si="36"/>
        <v>0</v>
      </c>
      <c r="AB211" s="564">
        <f t="shared" si="37"/>
        <v>0</v>
      </c>
      <c r="AC211" s="564">
        <f t="shared" si="38"/>
        <v>0</v>
      </c>
      <c r="AE211" s="564">
        <f t="shared" si="39"/>
        <v>0</v>
      </c>
      <c r="AF211" s="564">
        <f t="shared" si="40"/>
        <v>0</v>
      </c>
      <c r="AG211" s="564">
        <f t="shared" si="41"/>
        <v>0</v>
      </c>
    </row>
    <row r="212" spans="1:33">
      <c r="A212" s="20"/>
      <c r="B212" s="20" t="s">
        <v>110</v>
      </c>
      <c r="C212" s="68" t="s">
        <v>46</v>
      </c>
      <c r="D212" s="449"/>
      <c r="E212" s="529">
        <f>VLOOKUP(C212,'Q4 DMV - Revenue'!C:S,17,FALSE)</f>
        <v>0</v>
      </c>
      <c r="F212" s="579"/>
      <c r="G212" s="579"/>
      <c r="H212" s="524"/>
      <c r="I212" s="379">
        <f t="shared" si="53"/>
        <v>0</v>
      </c>
      <c r="J212" s="31"/>
      <c r="K212" s="84"/>
      <c r="L212" s="42">
        <v>0</v>
      </c>
      <c r="M212" s="31">
        <v>0</v>
      </c>
      <c r="N212" s="429"/>
      <c r="O212" s="31">
        <v>0</v>
      </c>
      <c r="P212" s="426">
        <f t="shared" ref="P212:P270" si="76">K212+L212</f>
        <v>0</v>
      </c>
      <c r="Q212" s="178">
        <v>0</v>
      </c>
      <c r="R212" s="295"/>
      <c r="S212" s="385">
        <f t="shared" ref="S212:S270" si="77">IF(Q212="","",Q212-P212)</f>
        <v>0</v>
      </c>
      <c r="T212" s="31"/>
      <c r="U212" s="474">
        <f t="shared" si="32"/>
        <v>0</v>
      </c>
      <c r="V212" s="474">
        <f t="shared" si="33"/>
        <v>0</v>
      </c>
      <c r="W212" s="475">
        <f t="shared" si="34"/>
        <v>0</v>
      </c>
      <c r="X212" s="475">
        <v>0</v>
      </c>
      <c r="Y212" s="476">
        <v>0</v>
      </c>
      <c r="Z212" s="38">
        <f t="shared" si="35"/>
        <v>0</v>
      </c>
      <c r="AA212" s="564">
        <f t="shared" si="36"/>
        <v>0</v>
      </c>
      <c r="AB212" s="564">
        <f t="shared" si="37"/>
        <v>0</v>
      </c>
      <c r="AC212" s="564">
        <f t="shared" si="38"/>
        <v>0</v>
      </c>
      <c r="AE212" s="564">
        <f t="shared" si="39"/>
        <v>0</v>
      </c>
      <c r="AF212" s="564">
        <f t="shared" si="40"/>
        <v>0</v>
      </c>
      <c r="AG212" s="564">
        <f t="shared" si="41"/>
        <v>0</v>
      </c>
    </row>
    <row r="213" spans="1:33">
      <c r="A213" s="21"/>
      <c r="B213" s="21" t="s">
        <v>109</v>
      </c>
      <c r="C213" s="68" t="s">
        <v>47</v>
      </c>
      <c r="D213" s="449"/>
      <c r="E213" s="529">
        <f>VLOOKUP(C213,'Q4 DMV - Revenue'!C:S,17,FALSE)</f>
        <v>-459.245</v>
      </c>
      <c r="F213" s="579"/>
      <c r="G213" s="579"/>
      <c r="H213" s="524"/>
      <c r="I213" s="379">
        <f t="shared" si="53"/>
        <v>-459.245</v>
      </c>
      <c r="J213" s="31"/>
      <c r="K213" s="84"/>
      <c r="L213" s="42"/>
      <c r="M213" s="31">
        <v>0</v>
      </c>
      <c r="N213" s="429"/>
      <c r="O213" s="31">
        <v>0</v>
      </c>
      <c r="P213" s="426">
        <f t="shared" si="76"/>
        <v>0</v>
      </c>
      <c r="Q213" s="178">
        <v>0</v>
      </c>
      <c r="R213" s="295"/>
      <c r="S213" s="385">
        <f t="shared" si="77"/>
        <v>0</v>
      </c>
      <c r="T213" s="31"/>
      <c r="U213" s="474">
        <f t="shared" si="32"/>
        <v>0</v>
      </c>
      <c r="V213" s="474">
        <f t="shared" si="33"/>
        <v>0</v>
      </c>
      <c r="W213" s="475">
        <f t="shared" si="34"/>
        <v>0</v>
      </c>
      <c r="X213" s="475">
        <v>0</v>
      </c>
      <c r="Y213" s="476">
        <v>0</v>
      </c>
      <c r="Z213" s="38">
        <f t="shared" si="35"/>
        <v>0</v>
      </c>
      <c r="AA213" s="564">
        <f t="shared" si="36"/>
        <v>0</v>
      </c>
      <c r="AB213" s="564">
        <f t="shared" si="37"/>
        <v>-459.245</v>
      </c>
      <c r="AC213" s="564">
        <f t="shared" si="38"/>
        <v>0</v>
      </c>
      <c r="AE213" s="564">
        <f t="shared" si="39"/>
        <v>0</v>
      </c>
      <c r="AF213" s="564">
        <f t="shared" si="40"/>
        <v>0</v>
      </c>
      <c r="AG213" s="564">
        <f t="shared" si="41"/>
        <v>0</v>
      </c>
    </row>
    <row r="214" spans="1:33">
      <c r="A214" s="20" t="s">
        <v>211</v>
      </c>
      <c r="B214" s="20" t="s">
        <v>110</v>
      </c>
      <c r="C214" s="68" t="s">
        <v>233</v>
      </c>
      <c r="D214" s="449"/>
      <c r="E214" s="529">
        <f>VLOOKUP(C214,'Q4 DMV - Revenue'!C:S,17,FALSE)</f>
        <v>0</v>
      </c>
      <c r="F214" s="579"/>
      <c r="G214" s="579"/>
      <c r="H214" s="524"/>
      <c r="I214" s="379">
        <f t="shared" si="53"/>
        <v>0</v>
      </c>
      <c r="J214" s="2"/>
      <c r="K214" s="336"/>
      <c r="L214" s="42">
        <v>450</v>
      </c>
      <c r="M214" s="31">
        <v>0</v>
      </c>
      <c r="N214" s="429"/>
      <c r="O214" s="31">
        <v>0</v>
      </c>
      <c r="P214" s="426">
        <f t="shared" si="76"/>
        <v>450</v>
      </c>
      <c r="Q214" s="178">
        <v>0</v>
      </c>
      <c r="R214" s="295"/>
      <c r="S214" s="385">
        <f t="shared" si="77"/>
        <v>-450</v>
      </c>
      <c r="T214" s="2"/>
      <c r="U214" s="474">
        <f t="shared" si="32"/>
        <v>450</v>
      </c>
      <c r="V214" s="474">
        <f t="shared" si="33"/>
        <v>0</v>
      </c>
      <c r="W214" s="475">
        <f t="shared" si="34"/>
        <v>0</v>
      </c>
      <c r="X214" s="475">
        <v>0</v>
      </c>
      <c r="Y214" s="476">
        <v>0</v>
      </c>
      <c r="Z214" s="38">
        <f t="shared" si="35"/>
        <v>0</v>
      </c>
      <c r="AA214" s="564">
        <f t="shared" si="36"/>
        <v>0</v>
      </c>
      <c r="AB214" s="564">
        <f t="shared" si="37"/>
        <v>0</v>
      </c>
      <c r="AC214" s="564">
        <f t="shared" si="38"/>
        <v>0</v>
      </c>
      <c r="AE214" s="564">
        <f t="shared" si="39"/>
        <v>450</v>
      </c>
      <c r="AF214" s="564">
        <f t="shared" si="40"/>
        <v>0</v>
      </c>
      <c r="AG214" s="564">
        <f t="shared" si="41"/>
        <v>0</v>
      </c>
    </row>
    <row r="215" spans="1:33">
      <c r="A215" s="20" t="s">
        <v>211</v>
      </c>
      <c r="B215" s="20" t="s">
        <v>109</v>
      </c>
      <c r="C215" s="68" t="s">
        <v>48</v>
      </c>
      <c r="D215" s="449"/>
      <c r="E215" s="529">
        <f>VLOOKUP(C215,'Q4 DMV - Revenue'!C:S,17,FALSE)</f>
        <v>0</v>
      </c>
      <c r="F215" s="579"/>
      <c r="G215" s="579"/>
      <c r="H215" s="524"/>
      <c r="I215" s="379">
        <f t="shared" si="53"/>
        <v>0</v>
      </c>
      <c r="J215" s="2"/>
      <c r="K215" s="336"/>
      <c r="L215" s="42">
        <v>0</v>
      </c>
      <c r="M215" s="31">
        <v>0</v>
      </c>
      <c r="N215" s="429"/>
      <c r="O215" s="31">
        <v>0</v>
      </c>
      <c r="P215" s="426">
        <f t="shared" si="76"/>
        <v>0</v>
      </c>
      <c r="Q215" s="178">
        <v>163.58000000000001</v>
      </c>
      <c r="R215" s="295"/>
      <c r="S215" s="385">
        <f t="shared" si="77"/>
        <v>163.58000000000001</v>
      </c>
      <c r="T215" s="2"/>
      <c r="U215" s="474">
        <f t="shared" si="32"/>
        <v>0</v>
      </c>
      <c r="V215" s="474">
        <f t="shared" si="33"/>
        <v>0</v>
      </c>
      <c r="W215" s="475">
        <f t="shared" si="34"/>
        <v>0</v>
      </c>
      <c r="X215" s="475">
        <v>0</v>
      </c>
      <c r="Y215" s="476">
        <v>0</v>
      </c>
      <c r="Z215" s="38">
        <f t="shared" si="35"/>
        <v>0</v>
      </c>
      <c r="AA215" s="564">
        <f t="shared" si="36"/>
        <v>0</v>
      </c>
      <c r="AB215" s="564">
        <f t="shared" si="37"/>
        <v>0</v>
      </c>
      <c r="AC215" s="564">
        <f t="shared" si="38"/>
        <v>0</v>
      </c>
      <c r="AE215" s="564">
        <f t="shared" si="39"/>
        <v>0</v>
      </c>
      <c r="AF215" s="564">
        <f t="shared" si="40"/>
        <v>0</v>
      </c>
      <c r="AG215" s="564">
        <f t="shared" si="41"/>
        <v>0</v>
      </c>
    </row>
    <row r="216" spans="1:33">
      <c r="A216" s="20"/>
      <c r="B216" s="20" t="s">
        <v>110</v>
      </c>
      <c r="C216" s="68" t="s">
        <v>102</v>
      </c>
      <c r="D216" s="449"/>
      <c r="E216" s="529">
        <f>VLOOKUP(C216,'Q4 DMV - Revenue'!C:S,17,FALSE)</f>
        <v>38657.33</v>
      </c>
      <c r="F216" s="576">
        <v>280548.75</v>
      </c>
      <c r="G216" s="576">
        <v>295087.27</v>
      </c>
      <c r="H216" s="524"/>
      <c r="I216" s="379">
        <f t="shared" ref="I216:I247" si="78">SUM(D216:H216)</f>
        <v>614293.35000000009</v>
      </c>
      <c r="J216" s="2"/>
      <c r="K216" s="336"/>
      <c r="L216" s="234">
        <f>(F216+G216)/2</f>
        <v>287818.01</v>
      </c>
      <c r="M216" s="31">
        <v>0</v>
      </c>
      <c r="N216" s="429">
        <v>614293.35</v>
      </c>
      <c r="O216" s="31">
        <v>0</v>
      </c>
      <c r="P216" s="426">
        <f t="shared" si="76"/>
        <v>287818.01</v>
      </c>
      <c r="Q216" s="178">
        <v>343765.71</v>
      </c>
      <c r="R216" s="295"/>
      <c r="S216" s="385">
        <f t="shared" si="77"/>
        <v>55947.700000000012</v>
      </c>
      <c r="T216" s="2"/>
      <c r="U216" s="474">
        <f t="shared" si="32"/>
        <v>287818.01</v>
      </c>
      <c r="V216" s="474">
        <f t="shared" si="33"/>
        <v>0</v>
      </c>
      <c r="W216" s="475">
        <f t="shared" si="34"/>
        <v>0</v>
      </c>
      <c r="X216" s="475">
        <v>0</v>
      </c>
      <c r="Y216" s="476">
        <v>0</v>
      </c>
      <c r="Z216" s="38">
        <f t="shared" si="35"/>
        <v>0</v>
      </c>
      <c r="AA216" s="564">
        <f t="shared" si="36"/>
        <v>614293.35000000009</v>
      </c>
      <c r="AB216" s="564">
        <f t="shared" si="37"/>
        <v>0</v>
      </c>
      <c r="AC216" s="564">
        <f t="shared" si="38"/>
        <v>0</v>
      </c>
      <c r="AE216" s="564">
        <f t="shared" si="39"/>
        <v>287818.01</v>
      </c>
      <c r="AF216" s="564">
        <f t="shared" si="40"/>
        <v>0</v>
      </c>
      <c r="AG216" s="564">
        <f t="shared" si="41"/>
        <v>0</v>
      </c>
    </row>
    <row r="217" spans="1:33">
      <c r="A217" s="21"/>
      <c r="B217" s="21" t="s">
        <v>110</v>
      </c>
      <c r="C217" s="68" t="s">
        <v>50</v>
      </c>
      <c r="D217" s="449"/>
      <c r="E217" s="529">
        <f>VLOOKUP(C217,'Q4 DMV - Revenue'!C:S,17,FALSE)</f>
        <v>0</v>
      </c>
      <c r="F217" s="576">
        <v>1404.31</v>
      </c>
      <c r="G217" s="576">
        <v>1398.95</v>
      </c>
      <c r="H217" s="525">
        <v>2351.73</v>
      </c>
      <c r="I217" s="379">
        <f t="shared" si="78"/>
        <v>5154.99</v>
      </c>
      <c r="J217" s="31"/>
      <c r="K217" s="84"/>
      <c r="L217" s="42">
        <v>0</v>
      </c>
      <c r="M217" s="31">
        <v>0</v>
      </c>
      <c r="N217" s="429"/>
      <c r="O217" s="31">
        <v>0</v>
      </c>
      <c r="P217" s="426">
        <f t="shared" si="76"/>
        <v>0</v>
      </c>
      <c r="Q217" s="178">
        <f>-2351.73+1679.33</f>
        <v>-672.40000000000009</v>
      </c>
      <c r="R217" s="295"/>
      <c r="S217" s="385">
        <f t="shared" si="77"/>
        <v>-672.40000000000009</v>
      </c>
      <c r="T217" s="31"/>
      <c r="U217" s="474">
        <f t="shared" ref="U217:U270" si="79">IF(B217="D",P217,0)</f>
        <v>0</v>
      </c>
      <c r="V217" s="474">
        <f t="shared" ref="V217:V270" si="80">IF(B217="M",P217,0)</f>
        <v>0</v>
      </c>
      <c r="W217" s="475">
        <f t="shared" ref="W217:W270" si="81">IF(B217="V",P217,0)</f>
        <v>0</v>
      </c>
      <c r="X217" s="475">
        <v>0</v>
      </c>
      <c r="Y217" s="476">
        <v>0</v>
      </c>
      <c r="Z217" s="38">
        <f t="shared" ref="Z217:Z270" si="82">(K217+L217)-(U217+V217+W217+X217+Y217)</f>
        <v>0</v>
      </c>
      <c r="AA217" s="564">
        <f t="shared" ref="AA217:AA270" si="83">IF(B217="D",I217,0)</f>
        <v>5154.99</v>
      </c>
      <c r="AB217" s="564">
        <f t="shared" ref="AB217:AB270" si="84">IF(B217="M",I217,0)</f>
        <v>0</v>
      </c>
      <c r="AC217" s="564">
        <f t="shared" ref="AC217:AC270" si="85">IF(B217="V",I217,0)</f>
        <v>0</v>
      </c>
      <c r="AE217" s="564">
        <f t="shared" ref="AE217:AE270" si="86">IF(B217="D",P217,0)</f>
        <v>0</v>
      </c>
      <c r="AF217" s="564">
        <f t="shared" ref="AF217:AF270" si="87">IF(B217="M",P217,0)</f>
        <v>0</v>
      </c>
      <c r="AG217" s="564">
        <f t="shared" ref="AG217:AG270" si="88">IF(B217="V",P217,0)</f>
        <v>0</v>
      </c>
    </row>
    <row r="218" spans="1:33">
      <c r="A218" s="21"/>
      <c r="B218" s="21" t="s">
        <v>109</v>
      </c>
      <c r="C218" s="68" t="s">
        <v>51</v>
      </c>
      <c r="D218" s="449"/>
      <c r="E218" s="529">
        <f>VLOOKUP(C218,'Q4 DMV - Revenue'!C:S,17,FALSE)</f>
        <v>0</v>
      </c>
      <c r="F218" s="579"/>
      <c r="G218" s="579"/>
      <c r="H218" s="524"/>
      <c r="I218" s="379">
        <f t="shared" si="78"/>
        <v>0</v>
      </c>
      <c r="J218" s="31"/>
      <c r="K218" s="84"/>
      <c r="L218" s="42">
        <v>0</v>
      </c>
      <c r="M218" s="31">
        <v>0</v>
      </c>
      <c r="N218" s="429"/>
      <c r="O218" s="31">
        <v>0</v>
      </c>
      <c r="P218" s="426">
        <f t="shared" si="76"/>
        <v>0</v>
      </c>
      <c r="Q218" s="178">
        <v>0</v>
      </c>
      <c r="R218" s="295"/>
      <c r="S218" s="385">
        <f t="shared" si="77"/>
        <v>0</v>
      </c>
      <c r="T218" s="31"/>
      <c r="U218" s="474">
        <f t="shared" si="79"/>
        <v>0</v>
      </c>
      <c r="V218" s="474">
        <f t="shared" si="80"/>
        <v>0</v>
      </c>
      <c r="W218" s="475">
        <f t="shared" si="81"/>
        <v>0</v>
      </c>
      <c r="X218" s="475">
        <v>0</v>
      </c>
      <c r="Y218" s="476">
        <v>0</v>
      </c>
      <c r="Z218" s="38">
        <f t="shared" si="82"/>
        <v>0</v>
      </c>
      <c r="AA218" s="564">
        <f t="shared" si="83"/>
        <v>0</v>
      </c>
      <c r="AB218" s="564">
        <f t="shared" si="84"/>
        <v>0</v>
      </c>
      <c r="AC218" s="564">
        <f t="shared" si="85"/>
        <v>0</v>
      </c>
      <c r="AE218" s="564">
        <f t="shared" si="86"/>
        <v>0</v>
      </c>
      <c r="AF218" s="564">
        <f t="shared" si="87"/>
        <v>0</v>
      </c>
      <c r="AG218" s="564">
        <f t="shared" si="88"/>
        <v>0</v>
      </c>
    </row>
    <row r="219" spans="1:33">
      <c r="A219" s="21"/>
      <c r="B219" s="21" t="s">
        <v>109</v>
      </c>
      <c r="C219" s="68" t="s">
        <v>107</v>
      </c>
      <c r="D219" s="449">
        <v>906.66</v>
      </c>
      <c r="E219" s="529">
        <f>VLOOKUP(C219,'Q4 DMV - Revenue'!C:S,17,FALSE)</f>
        <v>14515.44</v>
      </c>
      <c r="F219" s="576">
        <v>4076.86</v>
      </c>
      <c r="G219" s="579"/>
      <c r="H219" s="524"/>
      <c r="I219" s="379">
        <f t="shared" si="78"/>
        <v>19498.96</v>
      </c>
      <c r="J219" s="31"/>
      <c r="K219" s="84"/>
      <c r="L219" s="42">
        <f>F219*2</f>
        <v>8153.72</v>
      </c>
      <c r="M219" s="31">
        <v>-18700</v>
      </c>
      <c r="N219" s="429">
        <v>19498.97</v>
      </c>
      <c r="O219" s="31">
        <v>-18700</v>
      </c>
      <c r="P219" s="426">
        <f t="shared" si="76"/>
        <v>8153.72</v>
      </c>
      <c r="Q219" s="178">
        <v>7511.2</v>
      </c>
      <c r="R219" s="295"/>
      <c r="S219" s="385">
        <f t="shared" si="77"/>
        <v>-642.52000000000044</v>
      </c>
      <c r="T219" s="31"/>
      <c r="U219" s="474">
        <f t="shared" si="79"/>
        <v>0</v>
      </c>
      <c r="V219" s="474">
        <f t="shared" si="80"/>
        <v>8153.72</v>
      </c>
      <c r="W219" s="475">
        <f t="shared" si="81"/>
        <v>0</v>
      </c>
      <c r="X219" s="475">
        <v>0</v>
      </c>
      <c r="Y219" s="476">
        <v>0</v>
      </c>
      <c r="Z219" s="38">
        <f t="shared" si="82"/>
        <v>0</v>
      </c>
      <c r="AA219" s="564">
        <f t="shared" si="83"/>
        <v>0</v>
      </c>
      <c r="AB219" s="564">
        <f t="shared" si="84"/>
        <v>19498.96</v>
      </c>
      <c r="AC219" s="564">
        <f t="shared" si="85"/>
        <v>0</v>
      </c>
      <c r="AE219" s="564">
        <f t="shared" si="86"/>
        <v>0</v>
      </c>
      <c r="AF219" s="564">
        <f t="shared" si="87"/>
        <v>8153.72</v>
      </c>
      <c r="AG219" s="564">
        <f t="shared" si="88"/>
        <v>0</v>
      </c>
    </row>
    <row r="220" spans="1:33">
      <c r="A220" s="20"/>
      <c r="B220" s="20" t="s">
        <v>109</v>
      </c>
      <c r="C220" s="68" t="s">
        <v>156</v>
      </c>
      <c r="D220" s="449"/>
      <c r="E220" s="529">
        <f>VLOOKUP(C220,'Q4 DMV - Revenue'!C:S,17,FALSE)</f>
        <v>0</v>
      </c>
      <c r="F220" s="576">
        <v>460.06</v>
      </c>
      <c r="G220" s="576">
        <v>359.42</v>
      </c>
      <c r="H220" s="524"/>
      <c r="I220" s="379">
        <f t="shared" si="78"/>
        <v>819.48</v>
      </c>
      <c r="J220" s="31"/>
      <c r="K220" s="84"/>
      <c r="L220" s="42">
        <f>(F220+G220)/2</f>
        <v>409.74</v>
      </c>
      <c r="M220" s="31">
        <v>0</v>
      </c>
      <c r="N220" s="429"/>
      <c r="O220" s="31">
        <v>0</v>
      </c>
      <c r="P220" s="426">
        <f t="shared" si="76"/>
        <v>409.74</v>
      </c>
      <c r="Q220" s="178">
        <v>420.84</v>
      </c>
      <c r="R220" s="295"/>
      <c r="S220" s="385">
        <f t="shared" si="77"/>
        <v>11.099999999999966</v>
      </c>
      <c r="T220" s="31"/>
      <c r="U220" s="474">
        <f t="shared" si="79"/>
        <v>0</v>
      </c>
      <c r="V220" s="474">
        <f t="shared" si="80"/>
        <v>409.74</v>
      </c>
      <c r="W220" s="475">
        <f t="shared" si="81"/>
        <v>0</v>
      </c>
      <c r="X220" s="475">
        <v>0</v>
      </c>
      <c r="Y220" s="476">
        <v>0</v>
      </c>
      <c r="Z220" s="38">
        <f t="shared" si="82"/>
        <v>0</v>
      </c>
      <c r="AA220" s="564">
        <f t="shared" si="83"/>
        <v>0</v>
      </c>
      <c r="AB220" s="564">
        <f t="shared" si="84"/>
        <v>819.48</v>
      </c>
      <c r="AC220" s="564">
        <f t="shared" si="85"/>
        <v>0</v>
      </c>
      <c r="AE220" s="564">
        <f t="shared" si="86"/>
        <v>0</v>
      </c>
      <c r="AF220" s="564">
        <f t="shared" si="87"/>
        <v>409.74</v>
      </c>
      <c r="AG220" s="564">
        <f t="shared" si="88"/>
        <v>0</v>
      </c>
    </row>
    <row r="221" spans="1:33">
      <c r="A221" s="20"/>
      <c r="B221" s="20" t="s">
        <v>109</v>
      </c>
      <c r="C221" s="68" t="s">
        <v>157</v>
      </c>
      <c r="D221" s="449"/>
      <c r="E221" s="529">
        <f>VLOOKUP(C221,'Q4 DMV - Revenue'!C:S,17,FALSE)</f>
        <v>0</v>
      </c>
      <c r="F221" s="576">
        <v>0</v>
      </c>
      <c r="G221" s="576">
        <v>0</v>
      </c>
      <c r="H221" s="524"/>
      <c r="I221" s="379">
        <f t="shared" si="78"/>
        <v>0</v>
      </c>
      <c r="J221" s="31"/>
      <c r="K221" s="84"/>
      <c r="L221" s="42">
        <v>0</v>
      </c>
      <c r="M221" s="31">
        <v>0</v>
      </c>
      <c r="N221" s="429"/>
      <c r="O221" s="31">
        <v>0</v>
      </c>
      <c r="P221" s="426">
        <f t="shared" si="76"/>
        <v>0</v>
      </c>
      <c r="Q221" s="178">
        <v>0</v>
      </c>
      <c r="R221" s="295"/>
      <c r="S221" s="385">
        <f t="shared" si="77"/>
        <v>0</v>
      </c>
      <c r="T221" s="31"/>
      <c r="U221" s="474">
        <f t="shared" si="79"/>
        <v>0</v>
      </c>
      <c r="V221" s="474">
        <f t="shared" si="80"/>
        <v>0</v>
      </c>
      <c r="W221" s="475">
        <f t="shared" si="81"/>
        <v>0</v>
      </c>
      <c r="X221" s="475">
        <v>0</v>
      </c>
      <c r="Y221" s="476">
        <v>0</v>
      </c>
      <c r="Z221" s="38">
        <f t="shared" si="82"/>
        <v>0</v>
      </c>
      <c r="AA221" s="564">
        <f t="shared" si="83"/>
        <v>0</v>
      </c>
      <c r="AB221" s="564">
        <f t="shared" si="84"/>
        <v>0</v>
      </c>
      <c r="AC221" s="564">
        <f t="shared" si="85"/>
        <v>0</v>
      </c>
      <c r="AE221" s="564">
        <f t="shared" si="86"/>
        <v>0</v>
      </c>
      <c r="AF221" s="564">
        <f t="shared" si="87"/>
        <v>0</v>
      </c>
      <c r="AG221" s="564">
        <f t="shared" si="88"/>
        <v>0</v>
      </c>
    </row>
    <row r="222" spans="1:33">
      <c r="A222" s="20"/>
      <c r="B222" s="20" t="s">
        <v>109</v>
      </c>
      <c r="C222" s="68" t="s">
        <v>158</v>
      </c>
      <c r="D222" s="449"/>
      <c r="E222" s="529">
        <f>VLOOKUP(C222,'Q4 DMV - Revenue'!C:S,17,FALSE)</f>
        <v>0</v>
      </c>
      <c r="F222" s="576">
        <v>4443.33</v>
      </c>
      <c r="G222" s="576">
        <v>4419.43</v>
      </c>
      <c r="H222" s="524"/>
      <c r="I222" s="379">
        <f t="shared" si="78"/>
        <v>8862.76</v>
      </c>
      <c r="J222" s="31"/>
      <c r="K222" s="84"/>
      <c r="L222" s="42">
        <f>(F222+G222)/2</f>
        <v>4431.38</v>
      </c>
      <c r="M222" s="31">
        <v>0</v>
      </c>
      <c r="N222" s="429"/>
      <c r="O222" s="31">
        <v>0</v>
      </c>
      <c r="P222" s="426">
        <f t="shared" si="76"/>
        <v>4431.38</v>
      </c>
      <c r="Q222" s="178">
        <v>4331.1099999999997</v>
      </c>
      <c r="R222" s="295"/>
      <c r="S222" s="385">
        <f t="shared" si="77"/>
        <v>-100.27000000000044</v>
      </c>
      <c r="T222" s="31"/>
      <c r="U222" s="474">
        <f t="shared" si="79"/>
        <v>0</v>
      </c>
      <c r="V222" s="474">
        <f t="shared" si="80"/>
        <v>4431.38</v>
      </c>
      <c r="W222" s="475">
        <f t="shared" si="81"/>
        <v>0</v>
      </c>
      <c r="X222" s="475">
        <v>0</v>
      </c>
      <c r="Y222" s="476">
        <v>0</v>
      </c>
      <c r="Z222" s="38">
        <f t="shared" si="82"/>
        <v>0</v>
      </c>
      <c r="AA222" s="564">
        <f t="shared" si="83"/>
        <v>0</v>
      </c>
      <c r="AB222" s="564">
        <f t="shared" si="84"/>
        <v>8862.76</v>
      </c>
      <c r="AC222" s="564">
        <f t="shared" si="85"/>
        <v>0</v>
      </c>
      <c r="AE222" s="564">
        <f t="shared" si="86"/>
        <v>0</v>
      </c>
      <c r="AF222" s="564">
        <f t="shared" si="87"/>
        <v>4431.38</v>
      </c>
      <c r="AG222" s="564">
        <f t="shared" si="88"/>
        <v>0</v>
      </c>
    </row>
    <row r="223" spans="1:33">
      <c r="A223" s="21" t="s">
        <v>97</v>
      </c>
      <c r="B223" s="21" t="s">
        <v>109</v>
      </c>
      <c r="C223" s="68" t="s">
        <v>52</v>
      </c>
      <c r="D223" s="449"/>
      <c r="E223" s="529">
        <f>VLOOKUP(C223,'Q4 DMV - Revenue'!C:S,17,FALSE)</f>
        <v>3.9049999999999994</v>
      </c>
      <c r="F223" s="576">
        <f>18.9/3</f>
        <v>6.3</v>
      </c>
      <c r="G223" s="579"/>
      <c r="H223" s="524"/>
      <c r="I223" s="379">
        <f t="shared" si="78"/>
        <v>10.204999999999998</v>
      </c>
      <c r="J223" s="31"/>
      <c r="K223" s="84"/>
      <c r="L223" s="42">
        <f>F223*2</f>
        <v>12.6</v>
      </c>
      <c r="M223" s="31">
        <v>0</v>
      </c>
      <c r="N223" s="429"/>
      <c r="O223" s="31">
        <v>0</v>
      </c>
      <c r="P223" s="426">
        <f t="shared" si="76"/>
        <v>12.6</v>
      </c>
      <c r="Q223" s="178">
        <v>0</v>
      </c>
      <c r="R223" s="295"/>
      <c r="S223" s="385">
        <f t="shared" si="77"/>
        <v>-12.6</v>
      </c>
      <c r="T223" s="31"/>
      <c r="U223" s="474">
        <f t="shared" si="79"/>
        <v>0</v>
      </c>
      <c r="V223" s="474">
        <f t="shared" si="80"/>
        <v>12.6</v>
      </c>
      <c r="W223" s="475">
        <f t="shared" si="81"/>
        <v>0</v>
      </c>
      <c r="X223" s="475">
        <v>0</v>
      </c>
      <c r="Y223" s="476">
        <v>0</v>
      </c>
      <c r="Z223" s="38">
        <f t="shared" si="82"/>
        <v>0</v>
      </c>
      <c r="AA223" s="564">
        <f t="shared" si="83"/>
        <v>0</v>
      </c>
      <c r="AB223" s="564">
        <f t="shared" si="84"/>
        <v>10.204999999999998</v>
      </c>
      <c r="AC223" s="564">
        <f t="shared" si="85"/>
        <v>0</v>
      </c>
      <c r="AE223" s="564">
        <f t="shared" si="86"/>
        <v>0</v>
      </c>
      <c r="AF223" s="564">
        <f t="shared" si="87"/>
        <v>12.6</v>
      </c>
      <c r="AG223" s="564">
        <f t="shared" si="88"/>
        <v>0</v>
      </c>
    </row>
    <row r="224" spans="1:33">
      <c r="A224" s="21"/>
      <c r="B224" s="21" t="s">
        <v>109</v>
      </c>
      <c r="C224" s="68" t="s">
        <v>467</v>
      </c>
      <c r="D224" s="449"/>
      <c r="E224" s="529">
        <v>0</v>
      </c>
      <c r="F224" s="576">
        <v>7240.11</v>
      </c>
      <c r="G224" s="576">
        <v>6878.29</v>
      </c>
      <c r="H224" s="524"/>
      <c r="I224" s="379">
        <f t="shared" si="78"/>
        <v>14118.4</v>
      </c>
      <c r="J224" s="31"/>
      <c r="K224" s="84"/>
      <c r="L224" s="42">
        <f>(F224+G224)/2</f>
        <v>7059.2</v>
      </c>
      <c r="M224" s="31">
        <v>0</v>
      </c>
      <c r="N224" s="429">
        <v>14480.22</v>
      </c>
      <c r="O224" s="31">
        <v>0</v>
      </c>
      <c r="P224" s="426">
        <f t="shared" si="76"/>
        <v>7059.2</v>
      </c>
      <c r="Q224" s="178">
        <v>1452.76</v>
      </c>
      <c r="R224" s="295"/>
      <c r="S224" s="385">
        <f t="shared" si="77"/>
        <v>-5606.44</v>
      </c>
      <c r="T224" s="31"/>
      <c r="U224" s="474">
        <f t="shared" si="79"/>
        <v>0</v>
      </c>
      <c r="V224" s="474">
        <f t="shared" si="80"/>
        <v>7059.2</v>
      </c>
      <c r="W224" s="475">
        <f t="shared" si="81"/>
        <v>0</v>
      </c>
      <c r="X224" s="475">
        <v>0</v>
      </c>
      <c r="Y224" s="476">
        <v>0</v>
      </c>
      <c r="Z224" s="38">
        <f t="shared" si="82"/>
        <v>0</v>
      </c>
      <c r="AA224" s="564">
        <f t="shared" si="83"/>
        <v>0</v>
      </c>
      <c r="AB224" s="564">
        <f t="shared" si="84"/>
        <v>14118.4</v>
      </c>
      <c r="AC224" s="564">
        <f t="shared" si="85"/>
        <v>0</v>
      </c>
      <c r="AE224" s="564">
        <f t="shared" si="86"/>
        <v>0</v>
      </c>
      <c r="AF224" s="564">
        <f t="shared" si="87"/>
        <v>7059.2</v>
      </c>
      <c r="AG224" s="564">
        <f t="shared" si="88"/>
        <v>0</v>
      </c>
    </row>
    <row r="225" spans="1:33">
      <c r="A225" s="21"/>
      <c r="B225" s="21" t="s">
        <v>109</v>
      </c>
      <c r="C225" s="68" t="s">
        <v>54</v>
      </c>
      <c r="D225" s="449"/>
      <c r="E225" s="529">
        <f>VLOOKUP(C225,'Q4 DMV - Revenue'!C:S,17,FALSE)</f>
        <v>1418.0700000000002</v>
      </c>
      <c r="F225" s="576">
        <v>1192.18</v>
      </c>
      <c r="G225" s="579"/>
      <c r="H225" s="524"/>
      <c r="I225" s="379">
        <f t="shared" si="78"/>
        <v>2610.25</v>
      </c>
      <c r="J225" s="31"/>
      <c r="K225" s="84"/>
      <c r="L225" s="42">
        <f>F225*2</f>
        <v>2384.36</v>
      </c>
      <c r="M225" s="31">
        <v>0</v>
      </c>
      <c r="N225" s="429"/>
      <c r="O225" s="31">
        <v>0</v>
      </c>
      <c r="P225" s="426">
        <f t="shared" si="76"/>
        <v>2384.36</v>
      </c>
      <c r="Q225" s="178">
        <f>744.54+637.5</f>
        <v>1382.04</v>
      </c>
      <c r="R225" s="295"/>
      <c r="S225" s="385">
        <f t="shared" si="77"/>
        <v>-1002.3200000000002</v>
      </c>
      <c r="T225" s="31"/>
      <c r="U225" s="474">
        <f t="shared" si="79"/>
        <v>0</v>
      </c>
      <c r="V225" s="474">
        <f t="shared" si="80"/>
        <v>2384.36</v>
      </c>
      <c r="W225" s="475">
        <f t="shared" si="81"/>
        <v>0</v>
      </c>
      <c r="X225" s="475">
        <v>0</v>
      </c>
      <c r="Y225" s="476">
        <v>0</v>
      </c>
      <c r="Z225" s="38">
        <f t="shared" si="82"/>
        <v>0</v>
      </c>
      <c r="AA225" s="564">
        <f t="shared" si="83"/>
        <v>0</v>
      </c>
      <c r="AB225" s="564">
        <f t="shared" si="84"/>
        <v>2610.25</v>
      </c>
      <c r="AC225" s="564">
        <f t="shared" si="85"/>
        <v>0</v>
      </c>
      <c r="AE225" s="564">
        <f t="shared" si="86"/>
        <v>0</v>
      </c>
      <c r="AF225" s="564">
        <f t="shared" si="87"/>
        <v>2384.36</v>
      </c>
      <c r="AG225" s="564">
        <f t="shared" si="88"/>
        <v>0</v>
      </c>
    </row>
    <row r="226" spans="1:33">
      <c r="A226" s="20"/>
      <c r="B226" s="20" t="s">
        <v>110</v>
      </c>
      <c r="C226" s="68" t="s">
        <v>394</v>
      </c>
      <c r="D226" s="449"/>
      <c r="E226" s="529">
        <f>VLOOKUP(C226,'Q4 DMV - Revenue'!C:S,17,FALSE)</f>
        <v>-1457.75</v>
      </c>
      <c r="F226" s="579"/>
      <c r="G226" s="579"/>
      <c r="H226" s="524"/>
      <c r="I226" s="379">
        <f t="shared" si="78"/>
        <v>-1457.75</v>
      </c>
      <c r="J226" s="31"/>
      <c r="K226" s="84"/>
      <c r="L226" s="42">
        <v>3000</v>
      </c>
      <c r="M226" s="31">
        <v>0</v>
      </c>
      <c r="N226" s="429"/>
      <c r="O226" s="31">
        <v>0</v>
      </c>
      <c r="P226" s="426">
        <f t="shared" si="76"/>
        <v>3000</v>
      </c>
      <c r="Q226" s="178">
        <f>675.14+2664.76</f>
        <v>3339.9</v>
      </c>
      <c r="R226" s="295"/>
      <c r="S226" s="385">
        <f t="shared" si="77"/>
        <v>339.90000000000009</v>
      </c>
      <c r="T226" s="31"/>
      <c r="U226" s="474">
        <f t="shared" si="79"/>
        <v>3000</v>
      </c>
      <c r="V226" s="474">
        <f t="shared" si="80"/>
        <v>0</v>
      </c>
      <c r="W226" s="475">
        <f t="shared" si="81"/>
        <v>0</v>
      </c>
      <c r="X226" s="475">
        <v>0</v>
      </c>
      <c r="Y226" s="476">
        <v>0</v>
      </c>
      <c r="Z226" s="38">
        <f t="shared" si="82"/>
        <v>0</v>
      </c>
      <c r="AA226" s="564">
        <f t="shared" si="83"/>
        <v>-1457.75</v>
      </c>
      <c r="AB226" s="564">
        <f t="shared" si="84"/>
        <v>0</v>
      </c>
      <c r="AC226" s="564">
        <f t="shared" si="85"/>
        <v>0</v>
      </c>
      <c r="AE226" s="564">
        <f t="shared" si="86"/>
        <v>3000</v>
      </c>
      <c r="AF226" s="564">
        <f t="shared" si="87"/>
        <v>0</v>
      </c>
      <c r="AG226" s="564">
        <f t="shared" si="88"/>
        <v>0</v>
      </c>
    </row>
    <row r="227" spans="1:33">
      <c r="A227" s="20"/>
      <c r="B227" s="20" t="s">
        <v>110</v>
      </c>
      <c r="C227" s="68" t="s">
        <v>55</v>
      </c>
      <c r="D227" s="449"/>
      <c r="E227" s="529">
        <f>VLOOKUP(C227,'Q4 DMV - Revenue'!C:S,17,FALSE)</f>
        <v>0</v>
      </c>
      <c r="F227" s="576">
        <v>457.95</v>
      </c>
      <c r="G227" s="576">
        <v>572.16</v>
      </c>
      <c r="H227" s="525">
        <v>809.39</v>
      </c>
      <c r="I227" s="379">
        <f t="shared" si="78"/>
        <v>1839.5</v>
      </c>
      <c r="J227" s="31"/>
      <c r="K227" s="84"/>
      <c r="L227" s="42">
        <v>0</v>
      </c>
      <c r="M227" s="31">
        <v>0</v>
      </c>
      <c r="N227" s="429"/>
      <c r="O227" s="31">
        <v>0</v>
      </c>
      <c r="P227" s="426">
        <f t="shared" si="76"/>
        <v>0</v>
      </c>
      <c r="Q227" s="178">
        <v>0</v>
      </c>
      <c r="R227" s="295"/>
      <c r="S227" s="385">
        <f t="shared" si="77"/>
        <v>0</v>
      </c>
      <c r="T227" s="31"/>
      <c r="U227" s="474">
        <f t="shared" si="79"/>
        <v>0</v>
      </c>
      <c r="V227" s="474">
        <f t="shared" si="80"/>
        <v>0</v>
      </c>
      <c r="W227" s="475">
        <f t="shared" si="81"/>
        <v>0</v>
      </c>
      <c r="X227" s="475">
        <v>0</v>
      </c>
      <c r="Y227" s="476">
        <v>0</v>
      </c>
      <c r="Z227" s="38">
        <f t="shared" si="82"/>
        <v>0</v>
      </c>
      <c r="AA227" s="564">
        <f t="shared" si="83"/>
        <v>1839.5</v>
      </c>
      <c r="AB227" s="564">
        <f t="shared" si="84"/>
        <v>0</v>
      </c>
      <c r="AC227" s="564">
        <f t="shared" si="85"/>
        <v>0</v>
      </c>
      <c r="AE227" s="564">
        <f t="shared" si="86"/>
        <v>0</v>
      </c>
      <c r="AF227" s="564">
        <f t="shared" si="87"/>
        <v>0</v>
      </c>
      <c r="AG227" s="564">
        <f t="shared" si="88"/>
        <v>0</v>
      </c>
    </row>
    <row r="228" spans="1:33">
      <c r="A228" s="21" t="s">
        <v>97</v>
      </c>
      <c r="B228" s="21" t="s">
        <v>110</v>
      </c>
      <c r="C228" s="68" t="s">
        <v>175</v>
      </c>
      <c r="D228" s="449"/>
      <c r="E228" s="529">
        <f>VLOOKUP(C228,'Q4 DMV - Revenue'!C:S,17,FALSE)</f>
        <v>0</v>
      </c>
      <c r="F228" s="579"/>
      <c r="G228" s="579"/>
      <c r="H228" s="524"/>
      <c r="I228" s="379">
        <f t="shared" si="78"/>
        <v>0</v>
      </c>
      <c r="J228" s="31"/>
      <c r="K228" s="84"/>
      <c r="L228" s="42">
        <v>0</v>
      </c>
      <c r="M228" s="31">
        <v>0</v>
      </c>
      <c r="N228" s="429"/>
      <c r="O228" s="31">
        <v>0</v>
      </c>
      <c r="P228" s="426">
        <f t="shared" si="76"/>
        <v>0</v>
      </c>
      <c r="Q228" s="178">
        <v>0</v>
      </c>
      <c r="R228" s="295"/>
      <c r="S228" s="385">
        <f t="shared" si="77"/>
        <v>0</v>
      </c>
      <c r="T228" s="31"/>
      <c r="U228" s="474">
        <f t="shared" si="79"/>
        <v>0</v>
      </c>
      <c r="V228" s="474">
        <f t="shared" si="80"/>
        <v>0</v>
      </c>
      <c r="W228" s="475">
        <f t="shared" si="81"/>
        <v>0</v>
      </c>
      <c r="X228" s="475">
        <v>0</v>
      </c>
      <c r="Y228" s="476">
        <v>0</v>
      </c>
      <c r="Z228" s="38">
        <f t="shared" si="82"/>
        <v>0</v>
      </c>
      <c r="AA228" s="564">
        <f t="shared" si="83"/>
        <v>0</v>
      </c>
      <c r="AB228" s="564">
        <f t="shared" si="84"/>
        <v>0</v>
      </c>
      <c r="AC228" s="564">
        <f t="shared" si="85"/>
        <v>0</v>
      </c>
      <c r="AE228" s="564">
        <f t="shared" si="86"/>
        <v>0</v>
      </c>
      <c r="AF228" s="564">
        <f t="shared" si="87"/>
        <v>0</v>
      </c>
      <c r="AG228" s="564">
        <f t="shared" si="88"/>
        <v>0</v>
      </c>
    </row>
    <row r="229" spans="1:33">
      <c r="A229" s="20" t="s">
        <v>211</v>
      </c>
      <c r="B229" s="20" t="s">
        <v>109</v>
      </c>
      <c r="C229" s="68" t="s">
        <v>56</v>
      </c>
      <c r="D229" s="449"/>
      <c r="E229" s="529">
        <f>VLOOKUP(C229,'Q4 DMV - Revenue'!C:S,17,FALSE)</f>
        <v>0</v>
      </c>
      <c r="F229" s="579"/>
      <c r="G229" s="579"/>
      <c r="H229" s="524"/>
      <c r="I229" s="379">
        <f t="shared" si="78"/>
        <v>0</v>
      </c>
      <c r="J229" s="2"/>
      <c r="K229" s="336"/>
      <c r="L229" s="42">
        <v>0</v>
      </c>
      <c r="M229" s="31">
        <v>0</v>
      </c>
      <c r="N229" s="429"/>
      <c r="O229" s="31">
        <v>0</v>
      </c>
      <c r="P229" s="426">
        <f t="shared" si="76"/>
        <v>0</v>
      </c>
      <c r="Q229" s="178">
        <v>0</v>
      </c>
      <c r="R229" s="295"/>
      <c r="S229" s="385">
        <f t="shared" si="77"/>
        <v>0</v>
      </c>
      <c r="T229" s="2"/>
      <c r="U229" s="474">
        <f t="shared" si="79"/>
        <v>0</v>
      </c>
      <c r="V229" s="474">
        <f t="shared" si="80"/>
        <v>0</v>
      </c>
      <c r="W229" s="475">
        <f t="shared" si="81"/>
        <v>0</v>
      </c>
      <c r="X229" s="475">
        <v>0</v>
      </c>
      <c r="Y229" s="476">
        <v>0</v>
      </c>
      <c r="Z229" s="38">
        <f t="shared" si="82"/>
        <v>0</v>
      </c>
      <c r="AA229" s="564">
        <f t="shared" si="83"/>
        <v>0</v>
      </c>
      <c r="AB229" s="564">
        <f t="shared" si="84"/>
        <v>0</v>
      </c>
      <c r="AC229" s="564">
        <f t="shared" si="85"/>
        <v>0</v>
      </c>
      <c r="AE229" s="564">
        <f t="shared" si="86"/>
        <v>0</v>
      </c>
      <c r="AF229" s="564">
        <f t="shared" si="87"/>
        <v>0</v>
      </c>
      <c r="AG229" s="564">
        <f t="shared" si="88"/>
        <v>0</v>
      </c>
    </row>
    <row r="230" spans="1:33">
      <c r="A230" s="20"/>
      <c r="B230" s="20" t="s">
        <v>109</v>
      </c>
      <c r="C230" s="68" t="s">
        <v>159</v>
      </c>
      <c r="D230" s="449"/>
      <c r="E230" s="529">
        <f>VLOOKUP(C230,'Q4 DMV - Revenue'!C:S,17,FALSE)</f>
        <v>0</v>
      </c>
      <c r="F230" s="576">
        <v>33464.720000000001</v>
      </c>
      <c r="G230" s="576">
        <v>33272.68</v>
      </c>
      <c r="H230" s="525">
        <v>33727.089999999997</v>
      </c>
      <c r="I230" s="379">
        <f t="shared" si="78"/>
        <v>100464.48999999999</v>
      </c>
      <c r="J230" s="31"/>
      <c r="K230" s="84"/>
      <c r="L230" s="42">
        <v>0</v>
      </c>
      <c r="M230" s="31">
        <v>0</v>
      </c>
      <c r="N230" s="429">
        <v>251232.87</v>
      </c>
      <c r="O230" s="31">
        <v>0</v>
      </c>
      <c r="P230" s="426">
        <f t="shared" si="76"/>
        <v>0</v>
      </c>
      <c r="Q230" s="178">
        <v>0</v>
      </c>
      <c r="R230" s="295"/>
      <c r="S230" s="385">
        <f t="shared" si="77"/>
        <v>0</v>
      </c>
      <c r="T230" s="31"/>
      <c r="U230" s="474">
        <f t="shared" si="79"/>
        <v>0</v>
      </c>
      <c r="V230" s="474">
        <f t="shared" si="80"/>
        <v>0</v>
      </c>
      <c r="W230" s="475">
        <f t="shared" si="81"/>
        <v>0</v>
      </c>
      <c r="X230" s="475">
        <v>0</v>
      </c>
      <c r="Y230" s="476">
        <v>0</v>
      </c>
      <c r="Z230" s="38">
        <f t="shared" si="82"/>
        <v>0</v>
      </c>
      <c r="AA230" s="564">
        <f t="shared" si="83"/>
        <v>0</v>
      </c>
      <c r="AB230" s="564">
        <f t="shared" si="84"/>
        <v>100464.48999999999</v>
      </c>
      <c r="AC230" s="564">
        <f t="shared" si="85"/>
        <v>0</v>
      </c>
      <c r="AE230" s="564">
        <f t="shared" si="86"/>
        <v>0</v>
      </c>
      <c r="AF230" s="564">
        <f t="shared" si="87"/>
        <v>0</v>
      </c>
      <c r="AG230" s="564">
        <f t="shared" si="88"/>
        <v>0</v>
      </c>
    </row>
    <row r="231" spans="1:33">
      <c r="A231" s="20"/>
      <c r="B231" s="20" t="s">
        <v>109</v>
      </c>
      <c r="C231" s="68" t="s">
        <v>160</v>
      </c>
      <c r="D231" s="449"/>
      <c r="E231" s="529">
        <f>VLOOKUP(C231,'Q4 DMV - Revenue'!C:S,17,FALSE)</f>
        <v>0</v>
      </c>
      <c r="F231" s="576">
        <v>14486.73</v>
      </c>
      <c r="G231" s="576">
        <v>13240.1</v>
      </c>
      <c r="H231" s="525">
        <v>15453.96</v>
      </c>
      <c r="I231" s="379">
        <f t="shared" si="78"/>
        <v>43180.79</v>
      </c>
      <c r="J231" s="31"/>
      <c r="K231" s="84"/>
      <c r="L231" s="42">
        <v>0</v>
      </c>
      <c r="M231" s="31">
        <v>0</v>
      </c>
      <c r="N231" s="429"/>
      <c r="O231" s="31">
        <v>0</v>
      </c>
      <c r="P231" s="426">
        <f t="shared" si="76"/>
        <v>0</v>
      </c>
      <c r="Q231" s="178">
        <v>0</v>
      </c>
      <c r="R231" s="295"/>
      <c r="S231" s="385">
        <f t="shared" si="77"/>
        <v>0</v>
      </c>
      <c r="T231" s="31"/>
      <c r="U231" s="474">
        <f t="shared" si="79"/>
        <v>0</v>
      </c>
      <c r="V231" s="474">
        <f t="shared" si="80"/>
        <v>0</v>
      </c>
      <c r="W231" s="475">
        <f t="shared" si="81"/>
        <v>0</v>
      </c>
      <c r="X231" s="475">
        <v>0</v>
      </c>
      <c r="Y231" s="476">
        <v>0</v>
      </c>
      <c r="Z231" s="38">
        <f t="shared" si="82"/>
        <v>0</v>
      </c>
      <c r="AA231" s="564">
        <f t="shared" si="83"/>
        <v>0</v>
      </c>
      <c r="AB231" s="564">
        <f t="shared" si="84"/>
        <v>43180.79</v>
      </c>
      <c r="AC231" s="564">
        <f t="shared" si="85"/>
        <v>0</v>
      </c>
      <c r="AE231" s="564">
        <f t="shared" si="86"/>
        <v>0</v>
      </c>
      <c r="AF231" s="564">
        <f t="shared" si="87"/>
        <v>0</v>
      </c>
      <c r="AG231" s="564">
        <f t="shared" si="88"/>
        <v>0</v>
      </c>
    </row>
    <row r="232" spans="1:33">
      <c r="A232" s="21"/>
      <c r="B232" s="21" t="s">
        <v>109</v>
      </c>
      <c r="C232" s="68" t="s">
        <v>161</v>
      </c>
      <c r="D232" s="449"/>
      <c r="E232" s="529">
        <f>VLOOKUP(C232,'Q4 DMV - Revenue'!C:S,17,FALSE)</f>
        <v>0</v>
      </c>
      <c r="F232" s="576">
        <v>55988.76</v>
      </c>
      <c r="G232" s="576">
        <v>45621.93</v>
      </c>
      <c r="H232" s="524"/>
      <c r="I232" s="379">
        <f t="shared" si="78"/>
        <v>101610.69</v>
      </c>
      <c r="J232" s="31"/>
      <c r="K232" s="84"/>
      <c r="L232" s="234">
        <f>G232</f>
        <v>45621.93</v>
      </c>
      <c r="M232" s="31">
        <v>0</v>
      </c>
      <c r="N232" s="429"/>
      <c r="O232" s="31">
        <v>0</v>
      </c>
      <c r="P232" s="426">
        <f t="shared" si="76"/>
        <v>45621.93</v>
      </c>
      <c r="Q232" s="178">
        <v>40418.46</v>
      </c>
      <c r="R232" s="295"/>
      <c r="S232" s="385">
        <f t="shared" si="77"/>
        <v>-5203.4700000000012</v>
      </c>
      <c r="T232" s="31"/>
      <c r="U232" s="474">
        <f t="shared" si="79"/>
        <v>0</v>
      </c>
      <c r="V232" s="474">
        <f t="shared" si="80"/>
        <v>45621.93</v>
      </c>
      <c r="W232" s="475">
        <f t="shared" si="81"/>
        <v>0</v>
      </c>
      <c r="X232" s="475">
        <v>0</v>
      </c>
      <c r="Y232" s="476">
        <v>0</v>
      </c>
      <c r="Z232" s="38">
        <f t="shared" si="82"/>
        <v>0</v>
      </c>
      <c r="AA232" s="564">
        <f t="shared" si="83"/>
        <v>0</v>
      </c>
      <c r="AB232" s="564">
        <f t="shared" si="84"/>
        <v>101610.69</v>
      </c>
      <c r="AC232" s="564">
        <f t="shared" si="85"/>
        <v>0</v>
      </c>
      <c r="AE232" s="564">
        <f t="shared" si="86"/>
        <v>0</v>
      </c>
      <c r="AF232" s="564">
        <f t="shared" si="87"/>
        <v>45621.93</v>
      </c>
      <c r="AG232" s="564">
        <f t="shared" si="88"/>
        <v>0</v>
      </c>
    </row>
    <row r="233" spans="1:33">
      <c r="A233" s="21"/>
      <c r="B233" s="21" t="s">
        <v>109</v>
      </c>
      <c r="C233" s="68" t="s">
        <v>162</v>
      </c>
      <c r="D233" s="449"/>
      <c r="E233" s="529">
        <f>VLOOKUP(C233,'Q4 DMV - Revenue'!C:S,17,FALSE)</f>
        <v>0</v>
      </c>
      <c r="F233" s="576">
        <v>3481.74</v>
      </c>
      <c r="G233" s="576">
        <v>2495.16</v>
      </c>
      <c r="H233" s="524"/>
      <c r="I233" s="379">
        <f t="shared" si="78"/>
        <v>5976.9</v>
      </c>
      <c r="J233" s="31"/>
      <c r="K233" s="84"/>
      <c r="L233" s="234">
        <f>(F233+G233)/2</f>
        <v>2988.45</v>
      </c>
      <c r="M233" s="31">
        <v>0</v>
      </c>
      <c r="N233" s="429"/>
      <c r="O233" s="31">
        <v>0</v>
      </c>
      <c r="P233" s="426">
        <f t="shared" si="76"/>
        <v>2988.45</v>
      </c>
      <c r="Q233" s="178">
        <v>2461.23</v>
      </c>
      <c r="R233" s="295"/>
      <c r="S233" s="385">
        <f t="shared" si="77"/>
        <v>-527.2199999999998</v>
      </c>
      <c r="T233" s="31"/>
      <c r="U233" s="474">
        <f t="shared" si="79"/>
        <v>0</v>
      </c>
      <c r="V233" s="474">
        <f t="shared" si="80"/>
        <v>2988.45</v>
      </c>
      <c r="W233" s="475">
        <f t="shared" si="81"/>
        <v>0</v>
      </c>
      <c r="X233" s="475">
        <v>0</v>
      </c>
      <c r="Y233" s="476">
        <v>0</v>
      </c>
      <c r="Z233" s="38">
        <f t="shared" si="82"/>
        <v>0</v>
      </c>
      <c r="AA233" s="564">
        <f t="shared" si="83"/>
        <v>0</v>
      </c>
      <c r="AB233" s="564">
        <f t="shared" si="84"/>
        <v>5976.9</v>
      </c>
      <c r="AC233" s="564">
        <f t="shared" si="85"/>
        <v>0</v>
      </c>
      <c r="AE233" s="564">
        <f t="shared" si="86"/>
        <v>0</v>
      </c>
      <c r="AF233" s="564">
        <f t="shared" si="87"/>
        <v>2988.45</v>
      </c>
      <c r="AG233" s="564">
        <f t="shared" si="88"/>
        <v>0</v>
      </c>
    </row>
    <row r="234" spans="1:33">
      <c r="A234" s="21"/>
      <c r="B234" s="21" t="s">
        <v>109</v>
      </c>
      <c r="C234" s="68" t="s">
        <v>163</v>
      </c>
      <c r="D234" s="449"/>
      <c r="E234" s="529">
        <f>VLOOKUP(C234,'Q4 DMV - Revenue'!C:S,17,FALSE)</f>
        <v>0</v>
      </c>
      <c r="F234" s="576">
        <v>6782.29</v>
      </c>
      <c r="G234" s="576">
        <v>6454.72</v>
      </c>
      <c r="H234" s="525">
        <v>5756.71</v>
      </c>
      <c r="I234" s="379">
        <f t="shared" si="78"/>
        <v>18993.72</v>
      </c>
      <c r="J234" s="3"/>
      <c r="K234" s="84"/>
      <c r="L234" s="42">
        <v>0</v>
      </c>
      <c r="M234" s="11">
        <v>0</v>
      </c>
      <c r="N234" s="429">
        <v>19458.22</v>
      </c>
      <c r="O234" s="11">
        <v>0</v>
      </c>
      <c r="P234" s="426">
        <f t="shared" si="76"/>
        <v>0</v>
      </c>
      <c r="Q234" s="178">
        <v>0</v>
      </c>
      <c r="R234" s="296"/>
      <c r="S234" s="385">
        <f t="shared" si="77"/>
        <v>0</v>
      </c>
      <c r="T234" s="3"/>
      <c r="U234" s="474">
        <f t="shared" si="79"/>
        <v>0</v>
      </c>
      <c r="V234" s="474">
        <f t="shared" si="80"/>
        <v>0</v>
      </c>
      <c r="W234" s="475">
        <f t="shared" si="81"/>
        <v>0</v>
      </c>
      <c r="X234" s="475">
        <v>0</v>
      </c>
      <c r="Y234" s="476">
        <v>0</v>
      </c>
      <c r="Z234" s="38">
        <f t="shared" si="82"/>
        <v>0</v>
      </c>
      <c r="AA234" s="564">
        <f t="shared" si="83"/>
        <v>0</v>
      </c>
      <c r="AB234" s="564">
        <f t="shared" si="84"/>
        <v>18993.72</v>
      </c>
      <c r="AC234" s="564">
        <f t="shared" si="85"/>
        <v>0</v>
      </c>
      <c r="AE234" s="564">
        <f t="shared" si="86"/>
        <v>0</v>
      </c>
      <c r="AF234" s="564">
        <f t="shared" si="87"/>
        <v>0</v>
      </c>
      <c r="AG234" s="564">
        <f t="shared" si="88"/>
        <v>0</v>
      </c>
    </row>
    <row r="235" spans="1:33">
      <c r="A235" s="21"/>
      <c r="B235" s="21" t="s">
        <v>109</v>
      </c>
      <c r="C235" s="412" t="s">
        <v>164</v>
      </c>
      <c r="D235" s="449"/>
      <c r="E235" s="529">
        <f>VLOOKUP(C235,'Q4 DMV - Revenue'!C:S,17,FALSE)</f>
        <v>0</v>
      </c>
      <c r="F235" s="576">
        <v>246.39</v>
      </c>
      <c r="G235" s="576">
        <v>126.31</v>
      </c>
      <c r="H235" s="525">
        <v>91.8</v>
      </c>
      <c r="I235" s="379">
        <f t="shared" si="78"/>
        <v>464.5</v>
      </c>
      <c r="J235" s="3"/>
      <c r="K235" s="84"/>
      <c r="L235" s="42">
        <v>0</v>
      </c>
      <c r="M235" s="11">
        <v>0</v>
      </c>
      <c r="N235" s="429"/>
      <c r="O235" s="11">
        <v>0</v>
      </c>
      <c r="P235" s="426">
        <f t="shared" si="76"/>
        <v>0</v>
      </c>
      <c r="Q235" s="178">
        <v>0</v>
      </c>
      <c r="R235" s="296"/>
      <c r="S235" s="385">
        <f t="shared" si="77"/>
        <v>0</v>
      </c>
      <c r="T235" s="3"/>
      <c r="U235" s="474">
        <f t="shared" si="79"/>
        <v>0</v>
      </c>
      <c r="V235" s="474">
        <f t="shared" si="80"/>
        <v>0</v>
      </c>
      <c r="W235" s="475">
        <f t="shared" si="81"/>
        <v>0</v>
      </c>
      <c r="X235" s="475">
        <v>0</v>
      </c>
      <c r="Y235" s="476">
        <v>0</v>
      </c>
      <c r="Z235" s="38">
        <f t="shared" si="82"/>
        <v>0</v>
      </c>
      <c r="AA235" s="564">
        <f t="shared" si="83"/>
        <v>0</v>
      </c>
      <c r="AB235" s="564">
        <f t="shared" si="84"/>
        <v>464.5</v>
      </c>
      <c r="AC235" s="564">
        <f t="shared" si="85"/>
        <v>0</v>
      </c>
      <c r="AE235" s="564">
        <f t="shared" si="86"/>
        <v>0</v>
      </c>
      <c r="AF235" s="564">
        <f t="shared" si="87"/>
        <v>0</v>
      </c>
      <c r="AG235" s="564">
        <f t="shared" si="88"/>
        <v>0</v>
      </c>
    </row>
    <row r="236" spans="1:33">
      <c r="A236" s="21" t="s">
        <v>109</v>
      </c>
      <c r="B236" s="21" t="s">
        <v>114</v>
      </c>
      <c r="C236" s="412" t="s">
        <v>318</v>
      </c>
      <c r="D236" s="449">
        <f>274+375</f>
        <v>649</v>
      </c>
      <c r="E236" s="529">
        <f>VLOOKUP(C236,'Q4 DMV - Revenue'!C:S,17,FALSE)</f>
        <v>803</v>
      </c>
      <c r="F236" s="584">
        <v>1940</v>
      </c>
      <c r="G236" s="579"/>
      <c r="H236" s="524"/>
      <c r="I236" s="379">
        <f t="shared" si="78"/>
        <v>3392</v>
      </c>
      <c r="J236" s="31"/>
      <c r="K236" s="84">
        <v>3140</v>
      </c>
      <c r="L236" s="42">
        <f>K236</f>
        <v>3140</v>
      </c>
      <c r="M236" s="11">
        <v>0</v>
      </c>
      <c r="N236" s="429"/>
      <c r="O236" s="11">
        <v>0</v>
      </c>
      <c r="P236" s="426">
        <f t="shared" si="76"/>
        <v>6280</v>
      </c>
      <c r="Q236" s="178">
        <f>10388-1940+14990+18625</f>
        <v>42063</v>
      </c>
      <c r="R236" s="296"/>
      <c r="S236" s="385">
        <f t="shared" si="77"/>
        <v>35783</v>
      </c>
      <c r="T236" s="31"/>
      <c r="U236" s="474">
        <f t="shared" si="79"/>
        <v>0</v>
      </c>
      <c r="V236" s="474">
        <f t="shared" si="80"/>
        <v>0</v>
      </c>
      <c r="W236" s="475">
        <f t="shared" si="81"/>
        <v>6280</v>
      </c>
      <c r="X236" s="475">
        <v>0</v>
      </c>
      <c r="Y236" s="476">
        <v>0</v>
      </c>
      <c r="Z236" s="38">
        <f t="shared" si="82"/>
        <v>0</v>
      </c>
      <c r="AA236" s="564">
        <f t="shared" si="83"/>
        <v>0</v>
      </c>
      <c r="AB236" s="564">
        <f t="shared" si="84"/>
        <v>0</v>
      </c>
      <c r="AC236" s="564">
        <f t="shared" si="85"/>
        <v>3392</v>
      </c>
      <c r="AE236" s="564">
        <f t="shared" si="86"/>
        <v>0</v>
      </c>
      <c r="AF236" s="564">
        <f t="shared" si="87"/>
        <v>0</v>
      </c>
      <c r="AG236" s="564">
        <f t="shared" si="88"/>
        <v>6280</v>
      </c>
    </row>
    <row r="237" spans="1:33">
      <c r="A237" s="20" t="s">
        <v>211</v>
      </c>
      <c r="B237" s="20" t="s">
        <v>109</v>
      </c>
      <c r="C237" s="68" t="s">
        <v>57</v>
      </c>
      <c r="D237" s="449"/>
      <c r="E237" s="529">
        <f>VLOOKUP(C237,'Q4 DMV - Revenue'!C:S,17,FALSE)</f>
        <v>257.1099999999999</v>
      </c>
      <c r="F237" s="579"/>
      <c r="G237" s="579"/>
      <c r="H237" s="524"/>
      <c r="I237" s="379">
        <f t="shared" si="78"/>
        <v>257.1099999999999</v>
      </c>
      <c r="J237" s="31"/>
      <c r="K237" s="84"/>
      <c r="L237" s="42">
        <v>1250</v>
      </c>
      <c r="M237" s="31">
        <v>0</v>
      </c>
      <c r="N237" s="429"/>
      <c r="O237" s="31">
        <v>0</v>
      </c>
      <c r="P237" s="426">
        <f t="shared" si="76"/>
        <v>1250</v>
      </c>
      <c r="Q237" s="178">
        <v>0</v>
      </c>
      <c r="R237" s="295"/>
      <c r="S237" s="385">
        <f t="shared" si="77"/>
        <v>-1250</v>
      </c>
      <c r="T237" s="31"/>
      <c r="U237" s="474">
        <f t="shared" si="79"/>
        <v>0</v>
      </c>
      <c r="V237" s="474">
        <f t="shared" si="80"/>
        <v>1250</v>
      </c>
      <c r="W237" s="475">
        <f t="shared" si="81"/>
        <v>0</v>
      </c>
      <c r="X237" s="475">
        <v>0</v>
      </c>
      <c r="Y237" s="476">
        <v>0</v>
      </c>
      <c r="Z237" s="38">
        <f t="shared" si="82"/>
        <v>0</v>
      </c>
      <c r="AA237" s="564">
        <f t="shared" si="83"/>
        <v>0</v>
      </c>
      <c r="AB237" s="564">
        <f t="shared" si="84"/>
        <v>257.1099999999999</v>
      </c>
      <c r="AC237" s="564">
        <f t="shared" si="85"/>
        <v>0</v>
      </c>
      <c r="AE237" s="564">
        <f t="shared" si="86"/>
        <v>0</v>
      </c>
      <c r="AF237" s="564">
        <f t="shared" si="87"/>
        <v>1250</v>
      </c>
      <c r="AG237" s="564">
        <f t="shared" si="88"/>
        <v>0</v>
      </c>
    </row>
    <row r="238" spans="1:33">
      <c r="A238" s="20" t="s">
        <v>109</v>
      </c>
      <c r="B238" s="20" t="s">
        <v>109</v>
      </c>
      <c r="C238" s="68" t="s">
        <v>239</v>
      </c>
      <c r="D238" s="449"/>
      <c r="E238" s="529">
        <f>VLOOKUP(C238,'Q4 DMV - Revenue'!C:S,17,FALSE)</f>
        <v>0</v>
      </c>
      <c r="F238" s="579"/>
      <c r="G238" s="579"/>
      <c r="H238" s="524"/>
      <c r="I238" s="379">
        <f t="shared" si="78"/>
        <v>0</v>
      </c>
      <c r="J238" s="31"/>
      <c r="K238" s="84"/>
      <c r="L238" s="42">
        <v>0</v>
      </c>
      <c r="M238" s="31">
        <v>0</v>
      </c>
      <c r="N238" s="429"/>
      <c r="O238" s="31">
        <v>0</v>
      </c>
      <c r="P238" s="426">
        <f t="shared" si="76"/>
        <v>0</v>
      </c>
      <c r="Q238" s="178">
        <v>0</v>
      </c>
      <c r="R238" s="295"/>
      <c r="S238" s="385">
        <f t="shared" si="77"/>
        <v>0</v>
      </c>
      <c r="T238" s="31"/>
      <c r="U238" s="474">
        <f t="shared" si="79"/>
        <v>0</v>
      </c>
      <c r="V238" s="474">
        <f t="shared" si="80"/>
        <v>0</v>
      </c>
      <c r="W238" s="475">
        <f t="shared" si="81"/>
        <v>0</v>
      </c>
      <c r="X238" s="475">
        <v>0</v>
      </c>
      <c r="Y238" s="476">
        <v>0</v>
      </c>
      <c r="Z238" s="38">
        <f t="shared" si="82"/>
        <v>0</v>
      </c>
      <c r="AA238" s="564">
        <f t="shared" si="83"/>
        <v>0</v>
      </c>
      <c r="AB238" s="564">
        <f t="shared" si="84"/>
        <v>0</v>
      </c>
      <c r="AC238" s="564">
        <f t="shared" si="85"/>
        <v>0</v>
      </c>
      <c r="AE238" s="564">
        <f t="shared" si="86"/>
        <v>0</v>
      </c>
      <c r="AF238" s="564">
        <f t="shared" si="87"/>
        <v>0</v>
      </c>
      <c r="AG238" s="564">
        <f t="shared" si="88"/>
        <v>0</v>
      </c>
    </row>
    <row r="239" spans="1:33">
      <c r="A239" s="20"/>
      <c r="B239" s="20" t="s">
        <v>110</v>
      </c>
      <c r="C239" s="68" t="s">
        <v>395</v>
      </c>
      <c r="D239" s="449"/>
      <c r="E239" s="529">
        <f>VLOOKUP(C239,'Q4 DMV - Revenue'!C:S,17,FALSE)</f>
        <v>0</v>
      </c>
      <c r="F239" s="579"/>
      <c r="G239" s="579"/>
      <c r="H239" s="524"/>
      <c r="I239" s="379">
        <f t="shared" si="78"/>
        <v>0</v>
      </c>
      <c r="J239" s="31"/>
      <c r="K239" s="84"/>
      <c r="L239" s="42">
        <v>0</v>
      </c>
      <c r="M239" s="31"/>
      <c r="N239" s="429"/>
      <c r="O239" s="31"/>
      <c r="P239" s="426">
        <f t="shared" si="76"/>
        <v>0</v>
      </c>
      <c r="Q239" s="178">
        <v>0</v>
      </c>
      <c r="R239" s="295"/>
      <c r="S239" s="385">
        <f t="shared" si="77"/>
        <v>0</v>
      </c>
      <c r="T239" s="31"/>
      <c r="U239" s="474">
        <f t="shared" si="79"/>
        <v>0</v>
      </c>
      <c r="V239" s="474">
        <f t="shared" si="80"/>
        <v>0</v>
      </c>
      <c r="W239" s="475">
        <f t="shared" si="81"/>
        <v>0</v>
      </c>
      <c r="X239" s="475">
        <v>0</v>
      </c>
      <c r="Y239" s="476">
        <v>0</v>
      </c>
      <c r="Z239" s="38">
        <f t="shared" si="82"/>
        <v>0</v>
      </c>
      <c r="AA239" s="564">
        <f t="shared" si="83"/>
        <v>0</v>
      </c>
      <c r="AB239" s="564">
        <f t="shared" si="84"/>
        <v>0</v>
      </c>
      <c r="AC239" s="564">
        <f t="shared" si="85"/>
        <v>0</v>
      </c>
      <c r="AE239" s="564">
        <f t="shared" si="86"/>
        <v>0</v>
      </c>
      <c r="AF239" s="564">
        <f t="shared" si="87"/>
        <v>0</v>
      </c>
      <c r="AG239" s="564">
        <f t="shared" si="88"/>
        <v>0</v>
      </c>
    </row>
    <row r="240" spans="1:33" s="627" customFormat="1">
      <c r="A240" s="610"/>
      <c r="B240" s="610" t="s">
        <v>110</v>
      </c>
      <c r="C240" s="612" t="s">
        <v>476</v>
      </c>
      <c r="D240" s="613"/>
      <c r="E240" s="529">
        <v>0</v>
      </c>
      <c r="F240" s="628">
        <v>65840</v>
      </c>
      <c r="G240" s="628">
        <f>72290</f>
        <v>72290</v>
      </c>
      <c r="H240" s="614"/>
      <c r="I240" s="615">
        <f t="shared" si="78"/>
        <v>138130</v>
      </c>
      <c r="J240" s="616"/>
      <c r="K240" s="617"/>
      <c r="L240" s="618">
        <f>(F240+G240)/2</f>
        <v>69065</v>
      </c>
      <c r="M240" s="616">
        <v>0</v>
      </c>
      <c r="N240" s="619">
        <v>19366.07</v>
      </c>
      <c r="O240" s="616">
        <v>0</v>
      </c>
      <c r="P240" s="426">
        <f t="shared" si="76"/>
        <v>69065</v>
      </c>
      <c r="Q240" s="611">
        <v>79929.179999999993</v>
      </c>
      <c r="R240" s="620"/>
      <c r="S240" s="385">
        <f t="shared" si="77"/>
        <v>10864.179999999993</v>
      </c>
      <c r="T240" s="616"/>
      <c r="U240" s="621">
        <f t="shared" si="79"/>
        <v>69065</v>
      </c>
      <c r="V240" s="621">
        <f t="shared" si="80"/>
        <v>0</v>
      </c>
      <c r="W240" s="622">
        <f t="shared" si="81"/>
        <v>0</v>
      </c>
      <c r="X240" s="622">
        <v>0</v>
      </c>
      <c r="Y240" s="623">
        <v>0</v>
      </c>
      <c r="Z240" s="624">
        <f t="shared" si="82"/>
        <v>0</v>
      </c>
      <c r="AA240" s="625">
        <f t="shared" si="83"/>
        <v>138130</v>
      </c>
      <c r="AB240" s="625">
        <f t="shared" si="84"/>
        <v>0</v>
      </c>
      <c r="AC240" s="625">
        <f t="shared" si="85"/>
        <v>0</v>
      </c>
      <c r="AD240" s="626"/>
      <c r="AE240" s="625">
        <f t="shared" si="86"/>
        <v>69065</v>
      </c>
      <c r="AF240" s="625">
        <f t="shared" si="87"/>
        <v>0</v>
      </c>
      <c r="AG240" s="625">
        <f t="shared" si="88"/>
        <v>0</v>
      </c>
    </row>
    <row r="241" spans="1:33" s="232" customFormat="1">
      <c r="A241" s="283"/>
      <c r="B241" s="283" t="s">
        <v>114</v>
      </c>
      <c r="C241" s="123" t="s">
        <v>371</v>
      </c>
      <c r="D241" s="514"/>
      <c r="E241" s="529">
        <f>VLOOKUP(C241,'Q4 DMV - Revenue'!C:S,17,FALSE)</f>
        <v>0.66999999999825377</v>
      </c>
      <c r="F241" s="579">
        <v>0</v>
      </c>
      <c r="G241" s="579">
        <v>0</v>
      </c>
      <c r="H241" s="524"/>
      <c r="I241" s="379">
        <f t="shared" si="78"/>
        <v>0.66999999999825377</v>
      </c>
      <c r="J241" s="31"/>
      <c r="K241" s="86">
        <f>2860+3520+3100</f>
        <v>9480</v>
      </c>
      <c r="L241" s="234">
        <f>(F241+G241)/2</f>
        <v>0</v>
      </c>
      <c r="M241" s="31">
        <v>0</v>
      </c>
      <c r="N241" s="429">
        <v>19366.07</v>
      </c>
      <c r="O241" s="31">
        <v>0</v>
      </c>
      <c r="P241" s="426">
        <f t="shared" si="76"/>
        <v>9480</v>
      </c>
      <c r="Q241" s="14">
        <v>9532.07</v>
      </c>
      <c r="R241" s="295"/>
      <c r="S241" s="385">
        <f t="shared" si="77"/>
        <v>52.069999999999709</v>
      </c>
      <c r="T241" s="31"/>
      <c r="U241" s="474">
        <f t="shared" si="79"/>
        <v>0</v>
      </c>
      <c r="V241" s="474">
        <f t="shared" si="80"/>
        <v>0</v>
      </c>
      <c r="W241" s="475">
        <f t="shared" si="81"/>
        <v>9480</v>
      </c>
      <c r="X241" s="475">
        <v>0</v>
      </c>
      <c r="Y241" s="476">
        <v>0</v>
      </c>
      <c r="Z241" s="38">
        <f t="shared" si="82"/>
        <v>0</v>
      </c>
      <c r="AA241" s="564">
        <f t="shared" si="83"/>
        <v>0</v>
      </c>
      <c r="AB241" s="564">
        <f t="shared" si="84"/>
        <v>0</v>
      </c>
      <c r="AC241" s="564">
        <f t="shared" si="85"/>
        <v>0.66999999999825377</v>
      </c>
      <c r="AD241" s="597"/>
      <c r="AE241" s="564">
        <f t="shared" si="86"/>
        <v>0</v>
      </c>
      <c r="AF241" s="564">
        <f t="shared" si="87"/>
        <v>0</v>
      </c>
      <c r="AG241" s="564">
        <f t="shared" si="88"/>
        <v>9480</v>
      </c>
    </row>
    <row r="242" spans="1:33" s="232" customFormat="1">
      <c r="A242" s="283"/>
      <c r="B242" s="283" t="s">
        <v>110</v>
      </c>
      <c r="C242" s="123" t="s">
        <v>422</v>
      </c>
      <c r="D242" s="514"/>
      <c r="E242" s="529">
        <f>VLOOKUP(C242,'Q4 DMV - Revenue'!C:S,17,FALSE)</f>
        <v>0</v>
      </c>
      <c r="F242" s="579">
        <v>0</v>
      </c>
      <c r="G242" s="579">
        <v>0</v>
      </c>
      <c r="H242" s="524"/>
      <c r="I242" s="379">
        <f t="shared" si="78"/>
        <v>0</v>
      </c>
      <c r="J242" s="31"/>
      <c r="K242" s="86">
        <f>15440+14405+14900</f>
        <v>44745</v>
      </c>
      <c r="L242" s="234">
        <f>(F242+G242)/2</f>
        <v>0</v>
      </c>
      <c r="M242" s="31">
        <v>0</v>
      </c>
      <c r="N242" s="429"/>
      <c r="O242" s="31">
        <v>0</v>
      </c>
      <c r="P242" s="426">
        <f t="shared" si="76"/>
        <v>44745</v>
      </c>
      <c r="Q242" s="14">
        <v>44295.29</v>
      </c>
      <c r="R242" s="295"/>
      <c r="S242" s="385">
        <f t="shared" si="77"/>
        <v>-449.70999999999913</v>
      </c>
      <c r="T242" s="31"/>
      <c r="U242" s="474">
        <f t="shared" si="79"/>
        <v>44745</v>
      </c>
      <c r="V242" s="474">
        <f t="shared" si="80"/>
        <v>0</v>
      </c>
      <c r="W242" s="475">
        <f t="shared" si="81"/>
        <v>0</v>
      </c>
      <c r="X242" s="475">
        <v>0</v>
      </c>
      <c r="Y242" s="476">
        <v>0</v>
      </c>
      <c r="Z242" s="38">
        <f t="shared" si="82"/>
        <v>0</v>
      </c>
      <c r="AA242" s="564">
        <f t="shared" si="83"/>
        <v>0</v>
      </c>
      <c r="AB242" s="564">
        <f t="shared" si="84"/>
        <v>0</v>
      </c>
      <c r="AC242" s="564">
        <f t="shared" si="85"/>
        <v>0</v>
      </c>
      <c r="AD242" s="597"/>
      <c r="AE242" s="564">
        <f t="shared" si="86"/>
        <v>44745</v>
      </c>
      <c r="AF242" s="564">
        <f t="shared" si="87"/>
        <v>0</v>
      </c>
      <c r="AG242" s="564">
        <f t="shared" si="88"/>
        <v>0</v>
      </c>
    </row>
    <row r="243" spans="1:33" s="232" customFormat="1">
      <c r="A243" s="283"/>
      <c r="B243" s="283" t="s">
        <v>110</v>
      </c>
      <c r="C243" s="123" t="s">
        <v>442</v>
      </c>
      <c r="D243" s="514">
        <f>1202.45+519.56+1564.15+251.12+8.97+0.09+4.92</f>
        <v>3551.2599999999998</v>
      </c>
      <c r="E243" s="529">
        <f>VLOOKUP(C243,'Q4 DMV - Revenue'!C:S,17,FALSE)</f>
        <v>60.979999999995925</v>
      </c>
      <c r="F243" s="579">
        <v>0</v>
      </c>
      <c r="G243" s="579">
        <v>0</v>
      </c>
      <c r="H243" s="524"/>
      <c r="I243" s="379">
        <f t="shared" si="78"/>
        <v>3612.2399999999957</v>
      </c>
      <c r="J243" s="31"/>
      <c r="K243" s="86">
        <f>6020+6860+6400</f>
        <v>19280</v>
      </c>
      <c r="L243" s="234">
        <f>(F243+G243)/2</f>
        <v>0</v>
      </c>
      <c r="M243" s="31">
        <v>0</v>
      </c>
      <c r="N243" s="429">
        <v>33432.239999999998</v>
      </c>
      <c r="O243" s="31">
        <v>0</v>
      </c>
      <c r="P243" s="426">
        <f t="shared" si="76"/>
        <v>19280</v>
      </c>
      <c r="Q243" s="14">
        <v>21293.61</v>
      </c>
      <c r="R243" s="295"/>
      <c r="S243" s="385">
        <f t="shared" si="77"/>
        <v>2013.6100000000006</v>
      </c>
      <c r="T243" s="31"/>
      <c r="U243" s="474">
        <f t="shared" si="79"/>
        <v>19280</v>
      </c>
      <c r="V243" s="474">
        <f t="shared" si="80"/>
        <v>0</v>
      </c>
      <c r="W243" s="475">
        <f t="shared" si="81"/>
        <v>0</v>
      </c>
      <c r="X243" s="475">
        <v>0</v>
      </c>
      <c r="Y243" s="476">
        <v>0</v>
      </c>
      <c r="Z243" s="38">
        <f t="shared" si="82"/>
        <v>0</v>
      </c>
      <c r="AA243" s="564">
        <f t="shared" si="83"/>
        <v>3612.2399999999957</v>
      </c>
      <c r="AB243" s="564">
        <f t="shared" si="84"/>
        <v>0</v>
      </c>
      <c r="AC243" s="564">
        <f t="shared" si="85"/>
        <v>0</v>
      </c>
      <c r="AD243" s="597"/>
      <c r="AE243" s="564">
        <f t="shared" si="86"/>
        <v>19280</v>
      </c>
      <c r="AF243" s="564">
        <f t="shared" si="87"/>
        <v>0</v>
      </c>
      <c r="AG243" s="564">
        <f t="shared" si="88"/>
        <v>0</v>
      </c>
    </row>
    <row r="244" spans="1:33">
      <c r="A244" s="20"/>
      <c r="B244" s="20" t="s">
        <v>109</v>
      </c>
      <c r="C244" s="68" t="s">
        <v>304</v>
      </c>
      <c r="D244" s="449">
        <f>10906.91-2154.64</f>
        <v>8752.27</v>
      </c>
      <c r="E244" s="529">
        <f>VLOOKUP(C244,'Q4 DMV - Revenue'!C:S,17,FALSE)</f>
        <v>2154.64</v>
      </c>
      <c r="F244" s="579"/>
      <c r="G244" s="579"/>
      <c r="H244" s="524"/>
      <c r="I244" s="379">
        <f t="shared" si="78"/>
        <v>10906.91</v>
      </c>
      <c r="J244" s="31"/>
      <c r="K244" s="84"/>
      <c r="L244" s="42">
        <v>2000</v>
      </c>
      <c r="M244" s="31">
        <v>0</v>
      </c>
      <c r="N244" s="429"/>
      <c r="O244" s="31">
        <v>0</v>
      </c>
      <c r="P244" s="426">
        <f t="shared" si="76"/>
        <v>2000</v>
      </c>
      <c r="Q244" s="178">
        <v>0</v>
      </c>
      <c r="R244" s="295"/>
      <c r="S244" s="385">
        <f t="shared" si="77"/>
        <v>-2000</v>
      </c>
      <c r="T244" s="31"/>
      <c r="U244" s="474">
        <f t="shared" si="79"/>
        <v>0</v>
      </c>
      <c r="V244" s="474">
        <f t="shared" si="80"/>
        <v>2000</v>
      </c>
      <c r="W244" s="475">
        <f t="shared" si="81"/>
        <v>0</v>
      </c>
      <c r="X244" s="475">
        <v>0</v>
      </c>
      <c r="Y244" s="476">
        <v>0</v>
      </c>
      <c r="Z244" s="38">
        <f t="shared" si="82"/>
        <v>0</v>
      </c>
      <c r="AA244" s="564">
        <f t="shared" si="83"/>
        <v>0</v>
      </c>
      <c r="AB244" s="564">
        <f t="shared" si="84"/>
        <v>10906.91</v>
      </c>
      <c r="AC244" s="564">
        <f t="shared" si="85"/>
        <v>0</v>
      </c>
      <c r="AE244" s="564">
        <f t="shared" si="86"/>
        <v>0</v>
      </c>
      <c r="AF244" s="564">
        <f t="shared" si="87"/>
        <v>2000</v>
      </c>
      <c r="AG244" s="564">
        <f t="shared" si="88"/>
        <v>0</v>
      </c>
    </row>
    <row r="245" spans="1:33">
      <c r="A245" s="21" t="s">
        <v>97</v>
      </c>
      <c r="B245" s="21" t="s">
        <v>109</v>
      </c>
      <c r="C245" s="68" t="s">
        <v>381</v>
      </c>
      <c r="D245" s="449"/>
      <c r="E245" s="529">
        <f>VLOOKUP(C245,'Q4 DMV - Revenue'!C:S,17,FALSE)</f>
        <v>-2023.15</v>
      </c>
      <c r="F245" s="579"/>
      <c r="G245" s="579"/>
      <c r="H245" s="524"/>
      <c r="I245" s="379">
        <f t="shared" si="78"/>
        <v>-2023.15</v>
      </c>
      <c r="J245" s="31"/>
      <c r="K245" s="84"/>
      <c r="L245" s="42">
        <v>3000</v>
      </c>
      <c r="M245" s="31">
        <v>0</v>
      </c>
      <c r="N245" s="429"/>
      <c r="O245" s="31">
        <v>0</v>
      </c>
      <c r="P245" s="426">
        <f t="shared" si="76"/>
        <v>3000</v>
      </c>
      <c r="Q245" s="178">
        <v>1211.76</v>
      </c>
      <c r="R245" s="295"/>
      <c r="S245" s="385">
        <f t="shared" si="77"/>
        <v>-1788.24</v>
      </c>
      <c r="T245" s="31"/>
      <c r="U245" s="474">
        <f t="shared" si="79"/>
        <v>0</v>
      </c>
      <c r="V245" s="474">
        <f t="shared" si="80"/>
        <v>3000</v>
      </c>
      <c r="W245" s="475">
        <f t="shared" si="81"/>
        <v>0</v>
      </c>
      <c r="X245" s="475">
        <v>0</v>
      </c>
      <c r="Y245" s="476">
        <v>0</v>
      </c>
      <c r="Z245" s="38">
        <f t="shared" si="82"/>
        <v>0</v>
      </c>
      <c r="AA245" s="564">
        <f t="shared" si="83"/>
        <v>0</v>
      </c>
      <c r="AB245" s="564">
        <f t="shared" si="84"/>
        <v>-2023.15</v>
      </c>
      <c r="AC245" s="564">
        <f t="shared" si="85"/>
        <v>0</v>
      </c>
      <c r="AE245" s="564">
        <f t="shared" si="86"/>
        <v>0</v>
      </c>
      <c r="AF245" s="564">
        <f t="shared" si="87"/>
        <v>3000</v>
      </c>
      <c r="AG245" s="564">
        <f t="shared" si="88"/>
        <v>0</v>
      </c>
    </row>
    <row r="246" spans="1:33">
      <c r="A246" s="21" t="s">
        <v>97</v>
      </c>
      <c r="B246" s="21" t="s">
        <v>114</v>
      </c>
      <c r="C246" s="68" t="s">
        <v>376</v>
      </c>
      <c r="D246" s="449"/>
      <c r="E246" s="529">
        <f>VLOOKUP(C246,'Q4 DMV - Revenue'!C:S,17,FALSE)</f>
        <v>0</v>
      </c>
      <c r="F246" s="579"/>
      <c r="G246" s="579"/>
      <c r="H246" s="524"/>
      <c r="I246" s="379">
        <f t="shared" si="78"/>
        <v>0</v>
      </c>
      <c r="J246" s="31"/>
      <c r="K246" s="84"/>
      <c r="L246" s="42">
        <v>0</v>
      </c>
      <c r="M246" s="31">
        <v>0</v>
      </c>
      <c r="N246" s="429"/>
      <c r="O246" s="31">
        <v>0</v>
      </c>
      <c r="P246" s="426">
        <f t="shared" si="76"/>
        <v>0</v>
      </c>
      <c r="Q246" s="178">
        <v>0</v>
      </c>
      <c r="R246" s="295"/>
      <c r="S246" s="385">
        <f t="shared" si="77"/>
        <v>0</v>
      </c>
      <c r="T246" s="31"/>
      <c r="U246" s="474">
        <f t="shared" si="79"/>
        <v>0</v>
      </c>
      <c r="V246" s="474">
        <f t="shared" si="80"/>
        <v>0</v>
      </c>
      <c r="W246" s="475">
        <f t="shared" si="81"/>
        <v>0</v>
      </c>
      <c r="X246" s="475">
        <v>0</v>
      </c>
      <c r="Y246" s="476">
        <v>0</v>
      </c>
      <c r="Z246" s="38">
        <f t="shared" si="82"/>
        <v>0</v>
      </c>
      <c r="AA246" s="564">
        <f t="shared" si="83"/>
        <v>0</v>
      </c>
      <c r="AB246" s="564">
        <f t="shared" si="84"/>
        <v>0</v>
      </c>
      <c r="AC246" s="564">
        <f t="shared" si="85"/>
        <v>0</v>
      </c>
      <c r="AE246" s="564">
        <f t="shared" si="86"/>
        <v>0</v>
      </c>
      <c r="AF246" s="564">
        <f t="shared" si="87"/>
        <v>0</v>
      </c>
      <c r="AG246" s="564">
        <f t="shared" si="88"/>
        <v>0</v>
      </c>
    </row>
    <row r="247" spans="1:33">
      <c r="A247" s="20"/>
      <c r="B247" s="20" t="s">
        <v>109</v>
      </c>
      <c r="C247" s="68" t="s">
        <v>390</v>
      </c>
      <c r="D247" s="449"/>
      <c r="E247" s="529">
        <f>VLOOKUP(C247,'Q4 DMV - Revenue'!C:S,17,FALSE)</f>
        <v>349.27</v>
      </c>
      <c r="F247" s="579"/>
      <c r="G247" s="579"/>
      <c r="H247" s="524"/>
      <c r="I247" s="379">
        <f t="shared" si="78"/>
        <v>349.27</v>
      </c>
      <c r="J247" s="31"/>
      <c r="K247" s="84"/>
      <c r="L247" s="42">
        <v>350</v>
      </c>
      <c r="M247" s="31">
        <v>0</v>
      </c>
      <c r="N247" s="429"/>
      <c r="O247" s="31">
        <v>0</v>
      </c>
      <c r="P247" s="426">
        <f t="shared" si="76"/>
        <v>350</v>
      </c>
      <c r="Q247" s="178">
        <v>381.86</v>
      </c>
      <c r="R247" s="295"/>
      <c r="S247" s="385">
        <f t="shared" si="77"/>
        <v>31.860000000000014</v>
      </c>
      <c r="T247" s="31"/>
      <c r="U247" s="474">
        <f t="shared" si="79"/>
        <v>0</v>
      </c>
      <c r="V247" s="474">
        <f t="shared" si="80"/>
        <v>350</v>
      </c>
      <c r="W247" s="475">
        <f t="shared" si="81"/>
        <v>0</v>
      </c>
      <c r="X247" s="475">
        <v>0</v>
      </c>
      <c r="Y247" s="476">
        <v>0</v>
      </c>
      <c r="Z247" s="38">
        <f t="shared" si="82"/>
        <v>0</v>
      </c>
      <c r="AA247" s="564">
        <f t="shared" si="83"/>
        <v>0</v>
      </c>
      <c r="AB247" s="564">
        <f t="shared" si="84"/>
        <v>349.27</v>
      </c>
      <c r="AC247" s="564">
        <f t="shared" si="85"/>
        <v>0</v>
      </c>
      <c r="AE247" s="564">
        <f t="shared" si="86"/>
        <v>0</v>
      </c>
      <c r="AF247" s="564">
        <f t="shared" si="87"/>
        <v>350</v>
      </c>
      <c r="AG247" s="564">
        <f t="shared" si="88"/>
        <v>0</v>
      </c>
    </row>
    <row r="248" spans="1:33">
      <c r="A248" s="20"/>
      <c r="B248" s="20" t="s">
        <v>110</v>
      </c>
      <c r="C248" s="123" t="s">
        <v>166</v>
      </c>
      <c r="D248" s="449"/>
      <c r="E248" s="529">
        <f>VLOOKUP(C248,'Q4 DMV - Revenue'!C:S,17,FALSE)</f>
        <v>-4.5384000000012747E-3</v>
      </c>
      <c r="F248" s="576">
        <f>1197.58+707.05</f>
        <v>1904.6299999999999</v>
      </c>
      <c r="G248" s="576">
        <f>1630.96+594.53</f>
        <v>2225.4899999999998</v>
      </c>
      <c r="H248" s="524"/>
      <c r="I248" s="379">
        <f t="shared" ref="I248:I260" si="89">SUM(D248:H248)</f>
        <v>4130.1154615999994</v>
      </c>
      <c r="J248" s="31"/>
      <c r="K248" s="84"/>
      <c r="L248" s="42">
        <f>(F248+G248)/2</f>
        <v>2065.06</v>
      </c>
      <c r="M248" s="31">
        <v>0</v>
      </c>
      <c r="N248" s="429">
        <v>25080.77</v>
      </c>
      <c r="O248" s="31">
        <v>0</v>
      </c>
      <c r="P248" s="426">
        <f t="shared" si="76"/>
        <v>2065.06</v>
      </c>
      <c r="Q248" s="178">
        <v>670.92</v>
      </c>
      <c r="R248" s="295"/>
      <c r="S248" s="385">
        <f t="shared" si="77"/>
        <v>-1394.1399999999999</v>
      </c>
      <c r="T248" s="31"/>
      <c r="U248" s="474">
        <f t="shared" si="79"/>
        <v>2065.06</v>
      </c>
      <c r="V248" s="474">
        <f t="shared" si="80"/>
        <v>0</v>
      </c>
      <c r="W248" s="475">
        <f t="shared" si="81"/>
        <v>0</v>
      </c>
      <c r="X248" s="475">
        <v>0</v>
      </c>
      <c r="Y248" s="476">
        <v>0</v>
      </c>
      <c r="Z248" s="38">
        <f t="shared" si="82"/>
        <v>0</v>
      </c>
      <c r="AA248" s="564">
        <f t="shared" si="83"/>
        <v>4130.1154615999994</v>
      </c>
      <c r="AB248" s="564">
        <f t="shared" si="84"/>
        <v>0</v>
      </c>
      <c r="AC248" s="564">
        <f t="shared" si="85"/>
        <v>0</v>
      </c>
      <c r="AE248" s="564">
        <f t="shared" si="86"/>
        <v>2065.06</v>
      </c>
      <c r="AF248" s="564">
        <f t="shared" si="87"/>
        <v>0</v>
      </c>
      <c r="AG248" s="564">
        <f t="shared" si="88"/>
        <v>0</v>
      </c>
    </row>
    <row r="249" spans="1:33">
      <c r="A249" s="20"/>
      <c r="B249" s="20" t="s">
        <v>109</v>
      </c>
      <c r="C249" s="123" t="s">
        <v>165</v>
      </c>
      <c r="D249" s="449"/>
      <c r="E249" s="529">
        <f>VLOOKUP(C249,'Q4 DMV - Revenue'!C:S,17,FALSE)</f>
        <v>-6.0500000472529791E-5</v>
      </c>
      <c r="F249" s="576">
        <f>7346.65+1837.46</f>
        <v>9184.11</v>
      </c>
      <c r="G249" s="576">
        <f>6292.16+1578.35</f>
        <v>7870.51</v>
      </c>
      <c r="H249" s="524"/>
      <c r="I249" s="379">
        <f t="shared" si="89"/>
        <v>17054.6199395</v>
      </c>
      <c r="J249" s="31"/>
      <c r="K249" s="84"/>
      <c r="L249" s="42">
        <f>(F249+G249)/2</f>
        <v>8527.3100000000013</v>
      </c>
      <c r="M249" s="31">
        <v>0</v>
      </c>
      <c r="N249" s="429"/>
      <c r="O249" s="31">
        <v>0</v>
      </c>
      <c r="P249" s="426">
        <f t="shared" si="76"/>
        <v>8527.3100000000013</v>
      </c>
      <c r="Q249" s="178">
        <v>1609.35</v>
      </c>
      <c r="R249" s="295"/>
      <c r="S249" s="385">
        <f t="shared" si="77"/>
        <v>-6917.9600000000009</v>
      </c>
      <c r="T249" s="31"/>
      <c r="U249" s="474">
        <f t="shared" si="79"/>
        <v>0</v>
      </c>
      <c r="V249" s="474">
        <f t="shared" si="80"/>
        <v>8527.3100000000013</v>
      </c>
      <c r="W249" s="475">
        <f t="shared" si="81"/>
        <v>0</v>
      </c>
      <c r="X249" s="475">
        <v>0</v>
      </c>
      <c r="Y249" s="476">
        <v>0</v>
      </c>
      <c r="Z249" s="38">
        <f t="shared" si="82"/>
        <v>0</v>
      </c>
      <c r="AA249" s="564">
        <f t="shared" si="83"/>
        <v>0</v>
      </c>
      <c r="AB249" s="564">
        <f t="shared" si="84"/>
        <v>17054.6199395</v>
      </c>
      <c r="AC249" s="564">
        <f t="shared" si="85"/>
        <v>0</v>
      </c>
      <c r="AE249" s="564">
        <f t="shared" si="86"/>
        <v>0</v>
      </c>
      <c r="AF249" s="564">
        <f t="shared" si="87"/>
        <v>8527.3100000000013</v>
      </c>
      <c r="AG249" s="564">
        <f t="shared" si="88"/>
        <v>0</v>
      </c>
    </row>
    <row r="250" spans="1:33">
      <c r="A250" s="20"/>
      <c r="B250" s="20" t="s">
        <v>109</v>
      </c>
      <c r="C250" s="123" t="s">
        <v>310</v>
      </c>
      <c r="D250" s="449"/>
      <c r="E250" s="529">
        <f>VLOOKUP(C250,'Q4 DMV - Revenue'!C:S,17,FALSE)</f>
        <v>-295.21500000000003</v>
      </c>
      <c r="F250" s="579"/>
      <c r="G250" s="579"/>
      <c r="H250" s="524"/>
      <c r="I250" s="379">
        <f t="shared" si="89"/>
        <v>-295.21500000000003</v>
      </c>
      <c r="J250" s="31"/>
      <c r="K250" s="84"/>
      <c r="L250" s="42">
        <v>0</v>
      </c>
      <c r="M250" s="31"/>
      <c r="N250" s="429"/>
      <c r="O250" s="31"/>
      <c r="P250" s="426">
        <f t="shared" si="76"/>
        <v>0</v>
      </c>
      <c r="Q250" s="178">
        <v>0</v>
      </c>
      <c r="R250" s="295"/>
      <c r="S250" s="385">
        <f t="shared" si="77"/>
        <v>0</v>
      </c>
      <c r="T250" s="31"/>
      <c r="U250" s="474">
        <f t="shared" si="79"/>
        <v>0</v>
      </c>
      <c r="V250" s="474">
        <f t="shared" si="80"/>
        <v>0</v>
      </c>
      <c r="W250" s="475">
        <f t="shared" si="81"/>
        <v>0</v>
      </c>
      <c r="X250" s="475">
        <v>0</v>
      </c>
      <c r="Y250" s="476">
        <v>0</v>
      </c>
      <c r="Z250" s="38">
        <f t="shared" si="82"/>
        <v>0</v>
      </c>
      <c r="AA250" s="564">
        <f t="shared" si="83"/>
        <v>0</v>
      </c>
      <c r="AB250" s="564">
        <f t="shared" si="84"/>
        <v>-295.21500000000003</v>
      </c>
      <c r="AC250" s="564">
        <f t="shared" si="85"/>
        <v>0</v>
      </c>
      <c r="AE250" s="564">
        <f t="shared" si="86"/>
        <v>0</v>
      </c>
      <c r="AF250" s="564">
        <f t="shared" si="87"/>
        <v>0</v>
      </c>
      <c r="AG250" s="564">
        <f t="shared" si="88"/>
        <v>0</v>
      </c>
    </row>
    <row r="251" spans="1:33">
      <c r="A251" s="20"/>
      <c r="B251" s="20" t="s">
        <v>109</v>
      </c>
      <c r="C251" s="123" t="s">
        <v>441</v>
      </c>
      <c r="D251" s="449"/>
      <c r="E251" s="529">
        <f>VLOOKUP(C251,'Q4 DMV - Revenue'!C:S,17,FALSE)</f>
        <v>0</v>
      </c>
      <c r="F251" s="579"/>
      <c r="G251" s="579"/>
      <c r="H251" s="524"/>
      <c r="I251" s="379">
        <f t="shared" si="89"/>
        <v>0</v>
      </c>
      <c r="J251" s="31"/>
      <c r="K251" s="84"/>
      <c r="L251" s="42">
        <v>1000</v>
      </c>
      <c r="M251" s="31">
        <v>0</v>
      </c>
      <c r="N251" s="429"/>
      <c r="O251" s="31">
        <v>0</v>
      </c>
      <c r="P251" s="426">
        <f t="shared" si="76"/>
        <v>1000</v>
      </c>
      <c r="Q251" s="178">
        <v>0</v>
      </c>
      <c r="R251" s="295"/>
      <c r="S251" s="385">
        <f t="shared" si="77"/>
        <v>-1000</v>
      </c>
      <c r="T251" s="31"/>
      <c r="U251" s="474">
        <f t="shared" si="79"/>
        <v>0</v>
      </c>
      <c r="V251" s="474">
        <f t="shared" si="80"/>
        <v>1000</v>
      </c>
      <c r="W251" s="475">
        <f t="shared" si="81"/>
        <v>0</v>
      </c>
      <c r="X251" s="475">
        <v>0</v>
      </c>
      <c r="Y251" s="476">
        <v>0</v>
      </c>
      <c r="Z251" s="38">
        <f t="shared" si="82"/>
        <v>0</v>
      </c>
      <c r="AA251" s="564">
        <f t="shared" si="83"/>
        <v>0</v>
      </c>
      <c r="AB251" s="564">
        <f t="shared" si="84"/>
        <v>0</v>
      </c>
      <c r="AC251" s="564">
        <f t="shared" si="85"/>
        <v>0</v>
      </c>
      <c r="AE251" s="564">
        <f t="shared" si="86"/>
        <v>0</v>
      </c>
      <c r="AF251" s="564">
        <f t="shared" si="87"/>
        <v>1000</v>
      </c>
      <c r="AG251" s="564">
        <f t="shared" si="88"/>
        <v>0</v>
      </c>
    </row>
    <row r="252" spans="1:33">
      <c r="A252" s="20"/>
      <c r="B252" s="20" t="s">
        <v>109</v>
      </c>
      <c r="C252" s="68" t="s">
        <v>121</v>
      </c>
      <c r="D252" s="540"/>
      <c r="E252" s="529">
        <f>VLOOKUP(C252,'Q4 DMV - Revenue'!C:S,17,FALSE)</f>
        <v>0</v>
      </c>
      <c r="F252" s="579"/>
      <c r="G252" s="579"/>
      <c r="H252" s="524"/>
      <c r="I252" s="379">
        <f t="shared" si="89"/>
        <v>0</v>
      </c>
      <c r="J252" s="31"/>
      <c r="K252" s="84"/>
      <c r="L252" s="42">
        <v>1500</v>
      </c>
      <c r="M252" s="31">
        <v>0</v>
      </c>
      <c r="N252" s="429"/>
      <c r="O252" s="31">
        <v>0</v>
      </c>
      <c r="P252" s="426">
        <f t="shared" si="76"/>
        <v>1500</v>
      </c>
      <c r="Q252" s="178">
        <v>0</v>
      </c>
      <c r="R252" s="295"/>
      <c r="S252" s="385">
        <f t="shared" si="77"/>
        <v>-1500</v>
      </c>
      <c r="T252" s="31"/>
      <c r="U252" s="474">
        <f t="shared" si="79"/>
        <v>0</v>
      </c>
      <c r="V252" s="474">
        <f t="shared" si="80"/>
        <v>1500</v>
      </c>
      <c r="W252" s="475">
        <f t="shared" si="81"/>
        <v>0</v>
      </c>
      <c r="X252" s="475">
        <v>0</v>
      </c>
      <c r="Y252" s="476">
        <v>0</v>
      </c>
      <c r="Z252" s="38">
        <f t="shared" si="82"/>
        <v>0</v>
      </c>
      <c r="AA252" s="564">
        <f t="shared" si="83"/>
        <v>0</v>
      </c>
      <c r="AB252" s="564">
        <f t="shared" si="84"/>
        <v>0</v>
      </c>
      <c r="AC252" s="564">
        <f t="shared" si="85"/>
        <v>0</v>
      </c>
      <c r="AE252" s="564">
        <f t="shared" si="86"/>
        <v>0</v>
      </c>
      <c r="AF252" s="564">
        <f t="shared" si="87"/>
        <v>1500</v>
      </c>
      <c r="AG252" s="564">
        <f t="shared" si="88"/>
        <v>0</v>
      </c>
    </row>
    <row r="253" spans="1:33">
      <c r="A253" s="20"/>
      <c r="B253" s="20" t="s">
        <v>110</v>
      </c>
      <c r="C253" s="68" t="s">
        <v>168</v>
      </c>
      <c r="D253" s="449"/>
      <c r="E253" s="529">
        <f>VLOOKUP(C253,'Q4 DMV - Revenue'!C:S,17,FALSE)</f>
        <v>0</v>
      </c>
      <c r="F253" s="579"/>
      <c r="G253" s="579"/>
      <c r="H253" s="524"/>
      <c r="I253" s="379">
        <f t="shared" si="89"/>
        <v>0</v>
      </c>
      <c r="J253" s="31"/>
      <c r="K253" s="84"/>
      <c r="L253" s="42">
        <v>450</v>
      </c>
      <c r="M253" s="31">
        <v>0</v>
      </c>
      <c r="N253" s="429"/>
      <c r="O253" s="31">
        <v>0</v>
      </c>
      <c r="P253" s="426">
        <f t="shared" si="76"/>
        <v>450</v>
      </c>
      <c r="Q253" s="178">
        <v>0</v>
      </c>
      <c r="R253" s="295"/>
      <c r="S253" s="385">
        <f t="shared" si="77"/>
        <v>-450</v>
      </c>
      <c r="T253" s="31"/>
      <c r="U253" s="474">
        <f t="shared" si="79"/>
        <v>450</v>
      </c>
      <c r="V253" s="474">
        <f t="shared" si="80"/>
        <v>0</v>
      </c>
      <c r="W253" s="475">
        <f t="shared" si="81"/>
        <v>0</v>
      </c>
      <c r="X253" s="475">
        <v>0</v>
      </c>
      <c r="Y253" s="476">
        <v>0</v>
      </c>
      <c r="Z253" s="38">
        <f t="shared" si="82"/>
        <v>0</v>
      </c>
      <c r="AA253" s="564">
        <f t="shared" si="83"/>
        <v>0</v>
      </c>
      <c r="AB253" s="564">
        <f t="shared" si="84"/>
        <v>0</v>
      </c>
      <c r="AC253" s="564">
        <f t="shared" si="85"/>
        <v>0</v>
      </c>
      <c r="AE253" s="564">
        <f t="shared" si="86"/>
        <v>450</v>
      </c>
      <c r="AF253" s="564">
        <f t="shared" si="87"/>
        <v>0</v>
      </c>
      <c r="AG253" s="564">
        <f t="shared" si="88"/>
        <v>0</v>
      </c>
    </row>
    <row r="254" spans="1:33">
      <c r="A254" s="20"/>
      <c r="B254" s="20" t="s">
        <v>109</v>
      </c>
      <c r="C254" s="68" t="s">
        <v>167</v>
      </c>
      <c r="D254" s="449"/>
      <c r="E254" s="529">
        <f>VLOOKUP(C254,'Q4 DMV - Revenue'!C:S,17,FALSE)</f>
        <v>0</v>
      </c>
      <c r="F254" s="579"/>
      <c r="G254" s="546" t="s">
        <v>473</v>
      </c>
      <c r="H254" s="524"/>
      <c r="I254" s="379">
        <f t="shared" si="89"/>
        <v>0</v>
      </c>
      <c r="J254" s="31"/>
      <c r="K254" s="84"/>
      <c r="L254" s="42">
        <v>250</v>
      </c>
      <c r="M254" s="31">
        <v>0</v>
      </c>
      <c r="N254" s="429"/>
      <c r="O254" s="31">
        <v>0</v>
      </c>
      <c r="P254" s="426">
        <f t="shared" si="76"/>
        <v>250</v>
      </c>
      <c r="Q254" s="178">
        <f>76.55+66.39+48.74</f>
        <v>191.68</v>
      </c>
      <c r="R254" s="295"/>
      <c r="S254" s="385">
        <f t="shared" si="77"/>
        <v>-58.319999999999993</v>
      </c>
      <c r="T254" s="31"/>
      <c r="U254" s="474">
        <f t="shared" si="79"/>
        <v>0</v>
      </c>
      <c r="V254" s="474">
        <f t="shared" si="80"/>
        <v>250</v>
      </c>
      <c r="W254" s="475">
        <f t="shared" si="81"/>
        <v>0</v>
      </c>
      <c r="X254" s="475">
        <v>0</v>
      </c>
      <c r="Y254" s="476">
        <v>0</v>
      </c>
      <c r="Z254" s="38">
        <f t="shared" si="82"/>
        <v>0</v>
      </c>
      <c r="AA254" s="564">
        <f t="shared" si="83"/>
        <v>0</v>
      </c>
      <c r="AB254" s="564">
        <f t="shared" si="84"/>
        <v>0</v>
      </c>
      <c r="AC254" s="564">
        <f t="shared" si="85"/>
        <v>0</v>
      </c>
      <c r="AE254" s="564">
        <f t="shared" si="86"/>
        <v>0</v>
      </c>
      <c r="AF254" s="564">
        <f t="shared" si="87"/>
        <v>250</v>
      </c>
      <c r="AG254" s="564">
        <f t="shared" si="88"/>
        <v>0</v>
      </c>
    </row>
    <row r="255" spans="1:33">
      <c r="A255" s="20" t="s">
        <v>218</v>
      </c>
      <c r="B255" s="20" t="s">
        <v>110</v>
      </c>
      <c r="C255" s="68" t="s">
        <v>240</v>
      </c>
      <c r="D255" s="449"/>
      <c r="E255" s="529">
        <f>VLOOKUP(C255,'Q4 DMV - Revenue'!C:S,17,FALSE)</f>
        <v>0</v>
      </c>
      <c r="F255" s="579"/>
      <c r="G255" s="579"/>
      <c r="H255" s="524"/>
      <c r="I255" s="379">
        <f t="shared" si="89"/>
        <v>0</v>
      </c>
      <c r="J255" s="2"/>
      <c r="K255" s="84"/>
      <c r="L255" s="42">
        <v>0</v>
      </c>
      <c r="M255" s="31">
        <v>0</v>
      </c>
      <c r="N255" s="429"/>
      <c r="O255" s="31">
        <v>0</v>
      </c>
      <c r="P255" s="426">
        <f t="shared" si="76"/>
        <v>0</v>
      </c>
      <c r="Q255" s="178">
        <v>0</v>
      </c>
      <c r="R255" s="295"/>
      <c r="S255" s="385">
        <f t="shared" si="77"/>
        <v>0</v>
      </c>
      <c r="T255" s="2"/>
      <c r="U255" s="474">
        <f t="shared" si="79"/>
        <v>0</v>
      </c>
      <c r="V255" s="474">
        <f t="shared" si="80"/>
        <v>0</v>
      </c>
      <c r="W255" s="475">
        <f t="shared" si="81"/>
        <v>0</v>
      </c>
      <c r="X255" s="475">
        <v>0</v>
      </c>
      <c r="Y255" s="476">
        <v>0</v>
      </c>
      <c r="Z255" s="38">
        <f t="shared" si="82"/>
        <v>0</v>
      </c>
      <c r="AA255" s="564">
        <f t="shared" si="83"/>
        <v>0</v>
      </c>
      <c r="AB255" s="564">
        <f t="shared" si="84"/>
        <v>0</v>
      </c>
      <c r="AC255" s="564">
        <f t="shared" si="85"/>
        <v>0</v>
      </c>
      <c r="AE255" s="564">
        <f t="shared" si="86"/>
        <v>0</v>
      </c>
      <c r="AF255" s="564">
        <f t="shared" si="87"/>
        <v>0</v>
      </c>
      <c r="AG255" s="564">
        <f t="shared" si="88"/>
        <v>0</v>
      </c>
    </row>
    <row r="256" spans="1:33">
      <c r="A256" s="20" t="s">
        <v>218</v>
      </c>
      <c r="B256" s="20" t="s">
        <v>110</v>
      </c>
      <c r="C256" s="68" t="s">
        <v>60</v>
      </c>
      <c r="D256" s="449"/>
      <c r="E256" s="529">
        <f>VLOOKUP(C256,'Q4 DMV - Revenue'!C:S,17,FALSE)</f>
        <v>610.77000000000044</v>
      </c>
      <c r="F256" s="579"/>
      <c r="G256" s="579"/>
      <c r="H256" s="524"/>
      <c r="I256" s="379">
        <f t="shared" si="89"/>
        <v>610.77000000000044</v>
      </c>
      <c r="J256" s="2"/>
      <c r="K256" s="84"/>
      <c r="L256" s="600">
        <f>F256*2*0.5</f>
        <v>0</v>
      </c>
      <c r="M256" s="31">
        <v>0</v>
      </c>
      <c r="N256" s="429"/>
      <c r="O256" s="31">
        <v>0</v>
      </c>
      <c r="P256" s="426">
        <f t="shared" si="76"/>
        <v>0</v>
      </c>
      <c r="Q256" s="178">
        <f>3055.7+2187.04+3007.07</f>
        <v>8249.81</v>
      </c>
      <c r="R256" s="295"/>
      <c r="S256" s="385">
        <f t="shared" si="77"/>
        <v>8249.81</v>
      </c>
      <c r="T256" s="2"/>
      <c r="U256" s="474">
        <f t="shared" si="79"/>
        <v>0</v>
      </c>
      <c r="V256" s="474">
        <f t="shared" si="80"/>
        <v>0</v>
      </c>
      <c r="W256" s="475">
        <f t="shared" si="81"/>
        <v>0</v>
      </c>
      <c r="X256" s="475">
        <v>0</v>
      </c>
      <c r="Y256" s="476">
        <v>0</v>
      </c>
      <c r="Z256" s="38">
        <f t="shared" si="82"/>
        <v>0</v>
      </c>
      <c r="AA256" s="564">
        <f t="shared" si="83"/>
        <v>610.77000000000044</v>
      </c>
      <c r="AB256" s="564">
        <f t="shared" si="84"/>
        <v>0</v>
      </c>
      <c r="AC256" s="564">
        <f t="shared" si="85"/>
        <v>0</v>
      </c>
      <c r="AE256" s="564">
        <f t="shared" si="86"/>
        <v>0</v>
      </c>
      <c r="AF256" s="564">
        <f t="shared" si="87"/>
        <v>0</v>
      </c>
      <c r="AG256" s="564">
        <f t="shared" si="88"/>
        <v>0</v>
      </c>
    </row>
    <row r="257" spans="1:33">
      <c r="A257" s="20"/>
      <c r="B257" s="20" t="s">
        <v>110</v>
      </c>
      <c r="C257" s="68" t="s">
        <v>61</v>
      </c>
      <c r="D257" s="449"/>
      <c r="E257" s="529">
        <f>VLOOKUP(C257,'Q4 DMV - Revenue'!C:S,17,FALSE)</f>
        <v>0</v>
      </c>
      <c r="F257" s="579"/>
      <c r="G257" s="579"/>
      <c r="H257" s="524"/>
      <c r="I257" s="379">
        <f t="shared" si="89"/>
        <v>0</v>
      </c>
      <c r="J257" s="2"/>
      <c r="K257" s="84"/>
      <c r="L257" s="42">
        <v>0</v>
      </c>
      <c r="M257" s="31">
        <v>0</v>
      </c>
      <c r="N257" s="429"/>
      <c r="O257" s="31">
        <v>0</v>
      </c>
      <c r="P257" s="426">
        <f t="shared" si="76"/>
        <v>0</v>
      </c>
      <c r="Q257" s="178">
        <v>0</v>
      </c>
      <c r="R257" s="295"/>
      <c r="S257" s="385">
        <f t="shared" si="77"/>
        <v>0</v>
      </c>
      <c r="T257" s="2"/>
      <c r="U257" s="474">
        <f t="shared" si="79"/>
        <v>0</v>
      </c>
      <c r="V257" s="474">
        <f t="shared" si="80"/>
        <v>0</v>
      </c>
      <c r="W257" s="475">
        <f t="shared" si="81"/>
        <v>0</v>
      </c>
      <c r="X257" s="475">
        <v>0</v>
      </c>
      <c r="Y257" s="476">
        <v>0</v>
      </c>
      <c r="Z257" s="38">
        <f t="shared" si="82"/>
        <v>0</v>
      </c>
      <c r="AA257" s="564">
        <f t="shared" si="83"/>
        <v>0</v>
      </c>
      <c r="AB257" s="564">
        <f t="shared" si="84"/>
        <v>0</v>
      </c>
      <c r="AC257" s="564">
        <f t="shared" si="85"/>
        <v>0</v>
      </c>
      <c r="AE257" s="564">
        <f t="shared" si="86"/>
        <v>0</v>
      </c>
      <c r="AF257" s="564">
        <f t="shared" si="87"/>
        <v>0</v>
      </c>
      <c r="AG257" s="564">
        <f t="shared" si="88"/>
        <v>0</v>
      </c>
    </row>
    <row r="258" spans="1:33">
      <c r="A258" s="20"/>
      <c r="B258" s="20" t="s">
        <v>110</v>
      </c>
      <c r="C258" s="68" t="s">
        <v>169</v>
      </c>
      <c r="D258" s="537"/>
      <c r="E258" s="529">
        <f>VLOOKUP(C258,'Q4 DMV - Revenue'!C:S,17,FALSE)</f>
        <v>0</v>
      </c>
      <c r="F258" s="576">
        <v>1708.8</v>
      </c>
      <c r="G258" s="576">
        <v>1627.21</v>
      </c>
      <c r="H258" s="524"/>
      <c r="I258" s="379">
        <f t="shared" si="89"/>
        <v>3336.01</v>
      </c>
      <c r="J258" s="31"/>
      <c r="K258" s="84"/>
      <c r="L258" s="42">
        <f>(F258+G258)/2</f>
        <v>1668.0050000000001</v>
      </c>
      <c r="M258" s="31">
        <v>0</v>
      </c>
      <c r="N258" s="429"/>
      <c r="O258" s="31">
        <v>0</v>
      </c>
      <c r="P258" s="426">
        <f t="shared" si="76"/>
        <v>1668.0050000000001</v>
      </c>
      <c r="Q258" s="178">
        <v>1798.97</v>
      </c>
      <c r="R258" s="295"/>
      <c r="S258" s="385">
        <f t="shared" si="77"/>
        <v>130.96499999999992</v>
      </c>
      <c r="T258" s="31"/>
      <c r="U258" s="474">
        <f t="shared" si="79"/>
        <v>1668.0050000000001</v>
      </c>
      <c r="V258" s="474">
        <f t="shared" si="80"/>
        <v>0</v>
      </c>
      <c r="W258" s="475">
        <f t="shared" si="81"/>
        <v>0</v>
      </c>
      <c r="X258" s="475">
        <v>0</v>
      </c>
      <c r="Y258" s="476">
        <v>0</v>
      </c>
      <c r="Z258" s="38">
        <f t="shared" si="82"/>
        <v>0</v>
      </c>
      <c r="AA258" s="564">
        <f t="shared" si="83"/>
        <v>3336.01</v>
      </c>
      <c r="AB258" s="564">
        <f t="shared" si="84"/>
        <v>0</v>
      </c>
      <c r="AC258" s="564">
        <f t="shared" si="85"/>
        <v>0</v>
      </c>
      <c r="AE258" s="564">
        <f t="shared" si="86"/>
        <v>1668.0050000000001</v>
      </c>
      <c r="AF258" s="564">
        <f t="shared" si="87"/>
        <v>0</v>
      </c>
      <c r="AG258" s="564">
        <f t="shared" si="88"/>
        <v>0</v>
      </c>
    </row>
    <row r="259" spans="1:33">
      <c r="A259" s="21"/>
      <c r="B259" s="21" t="s">
        <v>110</v>
      </c>
      <c r="C259" s="68" t="s">
        <v>302</v>
      </c>
      <c r="D259" s="537"/>
      <c r="E259" s="529">
        <f>VLOOKUP(C259,'Q4 DMV - Revenue'!C:S,17,FALSE)</f>
        <v>0</v>
      </c>
      <c r="F259" s="579"/>
      <c r="G259" s="579"/>
      <c r="H259" s="524"/>
      <c r="I259" s="379">
        <f t="shared" si="89"/>
        <v>0</v>
      </c>
      <c r="J259" s="31"/>
      <c r="K259" s="253"/>
      <c r="L259" s="558">
        <v>0</v>
      </c>
      <c r="M259" s="31">
        <v>0</v>
      </c>
      <c r="N259" s="429"/>
      <c r="O259" s="31">
        <v>0</v>
      </c>
      <c r="P259" s="426">
        <f t="shared" si="76"/>
        <v>0</v>
      </c>
      <c r="Q259" s="178">
        <v>0</v>
      </c>
      <c r="R259" s="295"/>
      <c r="S259" s="385">
        <f t="shared" si="77"/>
        <v>0</v>
      </c>
      <c r="T259" s="31"/>
      <c r="U259" s="474">
        <f t="shared" si="79"/>
        <v>0</v>
      </c>
      <c r="V259" s="474">
        <f t="shared" si="80"/>
        <v>0</v>
      </c>
      <c r="W259" s="475">
        <f t="shared" si="81"/>
        <v>0</v>
      </c>
      <c r="X259" s="475">
        <v>0</v>
      </c>
      <c r="Y259" s="476">
        <v>0</v>
      </c>
      <c r="Z259" s="38">
        <f t="shared" si="82"/>
        <v>0</v>
      </c>
      <c r="AA259" s="564">
        <f t="shared" si="83"/>
        <v>0</v>
      </c>
      <c r="AB259" s="564">
        <f t="shared" si="84"/>
        <v>0</v>
      </c>
      <c r="AC259" s="564">
        <f t="shared" si="85"/>
        <v>0</v>
      </c>
      <c r="AE259" s="564">
        <f t="shared" si="86"/>
        <v>0</v>
      </c>
      <c r="AF259" s="564">
        <f t="shared" si="87"/>
        <v>0</v>
      </c>
      <c r="AG259" s="564">
        <f t="shared" si="88"/>
        <v>0</v>
      </c>
    </row>
    <row r="260" spans="1:33">
      <c r="A260" s="21"/>
      <c r="B260" s="21" t="s">
        <v>114</v>
      </c>
      <c r="C260" s="519" t="s">
        <v>433</v>
      </c>
      <c r="D260" s="543"/>
      <c r="E260" s="529">
        <f>VLOOKUP(C260,'Q4 DMV - Revenue'!C:S,17,FALSE)</f>
        <v>0</v>
      </c>
      <c r="F260" s="579"/>
      <c r="G260" s="579"/>
      <c r="H260" s="524"/>
      <c r="I260" s="379">
        <f t="shared" si="89"/>
        <v>0</v>
      </c>
      <c r="J260" s="31"/>
      <c r="K260" s="253"/>
      <c r="L260" s="601">
        <f>8000*0.5</f>
        <v>4000</v>
      </c>
      <c r="M260" s="31"/>
      <c r="N260" s="429"/>
      <c r="O260" s="31"/>
      <c r="P260" s="426">
        <f t="shared" si="76"/>
        <v>4000</v>
      </c>
      <c r="Q260" s="178">
        <v>0</v>
      </c>
      <c r="R260" s="295"/>
      <c r="S260" s="385">
        <f t="shared" si="77"/>
        <v>-4000</v>
      </c>
      <c r="T260" s="31"/>
      <c r="U260" s="474">
        <f t="shared" si="79"/>
        <v>0</v>
      </c>
      <c r="V260" s="474">
        <f t="shared" si="80"/>
        <v>0</v>
      </c>
      <c r="W260" s="475">
        <f t="shared" si="81"/>
        <v>4000</v>
      </c>
      <c r="X260" s="475">
        <v>0</v>
      </c>
      <c r="Y260" s="476">
        <v>0</v>
      </c>
      <c r="Z260" s="38">
        <f t="shared" si="82"/>
        <v>0</v>
      </c>
      <c r="AA260" s="564">
        <f t="shared" si="83"/>
        <v>0</v>
      </c>
      <c r="AB260" s="564">
        <f t="shared" si="84"/>
        <v>0</v>
      </c>
      <c r="AC260" s="564">
        <f t="shared" si="85"/>
        <v>0</v>
      </c>
      <c r="AE260" s="564">
        <f t="shared" si="86"/>
        <v>0</v>
      </c>
      <c r="AF260" s="564">
        <f t="shared" si="87"/>
        <v>0</v>
      </c>
      <c r="AG260" s="564">
        <f t="shared" si="88"/>
        <v>4000</v>
      </c>
    </row>
    <row r="261" spans="1:33" ht="13" thickBot="1">
      <c r="A261" s="25"/>
      <c r="B261" s="25" t="s">
        <v>110</v>
      </c>
      <c r="C261" s="130" t="s">
        <v>87</v>
      </c>
      <c r="D261" s="451"/>
      <c r="E261" s="531">
        <v>0</v>
      </c>
      <c r="F261" s="222"/>
      <c r="G261" s="547"/>
      <c r="H261" s="555"/>
      <c r="I261" s="319">
        <v>0</v>
      </c>
      <c r="J261" s="31"/>
      <c r="K261" s="39"/>
      <c r="L261" s="45"/>
      <c r="M261" s="31">
        <v>0</v>
      </c>
      <c r="N261" s="45"/>
      <c r="O261" s="31">
        <v>0</v>
      </c>
      <c r="P261" s="426">
        <f t="shared" si="76"/>
        <v>0</v>
      </c>
      <c r="Q261" s="178">
        <v>0</v>
      </c>
      <c r="R261" s="295"/>
      <c r="S261" s="385">
        <f t="shared" si="77"/>
        <v>0</v>
      </c>
      <c r="T261" s="31"/>
      <c r="U261" s="474">
        <f t="shared" si="79"/>
        <v>0</v>
      </c>
      <c r="V261" s="474">
        <f t="shared" si="80"/>
        <v>0</v>
      </c>
      <c r="W261" s="475">
        <f t="shared" si="81"/>
        <v>0</v>
      </c>
      <c r="X261" s="475">
        <v>0</v>
      </c>
      <c r="Y261" s="476">
        <v>0</v>
      </c>
      <c r="Z261" s="38">
        <f t="shared" si="82"/>
        <v>0</v>
      </c>
      <c r="AA261" s="564">
        <f t="shared" si="83"/>
        <v>0</v>
      </c>
      <c r="AB261" s="564">
        <f t="shared" si="84"/>
        <v>0</v>
      </c>
      <c r="AC261" s="564">
        <f t="shared" si="85"/>
        <v>0</v>
      </c>
      <c r="AE261" s="564">
        <f t="shared" si="86"/>
        <v>0</v>
      </c>
      <c r="AF261" s="564">
        <f t="shared" si="87"/>
        <v>0</v>
      </c>
      <c r="AG261" s="564">
        <f t="shared" si="88"/>
        <v>0</v>
      </c>
    </row>
    <row r="262" spans="1:33">
      <c r="A262" s="25"/>
      <c r="B262" s="25" t="s">
        <v>110</v>
      </c>
      <c r="C262" s="69" t="s">
        <v>62</v>
      </c>
      <c r="D262" s="444"/>
      <c r="E262" s="532">
        <v>0</v>
      </c>
      <c r="F262" s="223"/>
      <c r="G262" s="171"/>
      <c r="H262" s="556"/>
      <c r="I262" s="320">
        <f t="shared" ref="I262:I270" si="90">SUM(D262:H262)</f>
        <v>0</v>
      </c>
      <c r="J262" s="31"/>
      <c r="K262" s="87"/>
      <c r="L262" s="43"/>
      <c r="M262" s="31">
        <v>0</v>
      </c>
      <c r="N262" s="429"/>
      <c r="O262" s="31">
        <v>0</v>
      </c>
      <c r="P262" s="426">
        <f t="shared" si="76"/>
        <v>0</v>
      </c>
      <c r="Q262" s="178">
        <v>0</v>
      </c>
      <c r="R262" s="295"/>
      <c r="S262" s="385">
        <f t="shared" si="77"/>
        <v>0</v>
      </c>
      <c r="T262" s="31"/>
      <c r="U262" s="474">
        <f t="shared" si="79"/>
        <v>0</v>
      </c>
      <c r="V262" s="474">
        <f t="shared" si="80"/>
        <v>0</v>
      </c>
      <c r="W262" s="475">
        <f t="shared" si="81"/>
        <v>0</v>
      </c>
      <c r="X262" s="475">
        <v>0</v>
      </c>
      <c r="Y262" s="476">
        <v>0</v>
      </c>
      <c r="Z262" s="38">
        <f t="shared" si="82"/>
        <v>0</v>
      </c>
      <c r="AA262" s="564">
        <f t="shared" si="83"/>
        <v>0</v>
      </c>
      <c r="AB262" s="564">
        <f t="shared" si="84"/>
        <v>0</v>
      </c>
      <c r="AC262" s="564">
        <f t="shared" si="85"/>
        <v>0</v>
      </c>
      <c r="AE262" s="564">
        <f t="shared" si="86"/>
        <v>0</v>
      </c>
      <c r="AF262" s="564">
        <f t="shared" si="87"/>
        <v>0</v>
      </c>
      <c r="AG262" s="564">
        <f t="shared" si="88"/>
        <v>0</v>
      </c>
    </row>
    <row r="263" spans="1:33">
      <c r="A263" s="25"/>
      <c r="B263" s="25"/>
      <c r="C263" s="70" t="s">
        <v>6</v>
      </c>
      <c r="D263" s="444"/>
      <c r="E263" s="532">
        <v>0</v>
      </c>
      <c r="F263" s="223"/>
      <c r="G263" s="171"/>
      <c r="H263" s="556"/>
      <c r="I263" s="320">
        <f t="shared" si="90"/>
        <v>0</v>
      </c>
      <c r="J263" s="31"/>
      <c r="K263" s="88"/>
      <c r="L263" s="44"/>
      <c r="M263" s="31">
        <v>0</v>
      </c>
      <c r="N263" s="429"/>
      <c r="O263" s="31">
        <v>0</v>
      </c>
      <c r="P263" s="426">
        <f t="shared" si="76"/>
        <v>0</v>
      </c>
      <c r="Q263" s="178">
        <v>0</v>
      </c>
      <c r="R263" s="295"/>
      <c r="S263" s="385">
        <f t="shared" si="77"/>
        <v>0</v>
      </c>
      <c r="T263" s="31"/>
      <c r="U263" s="474">
        <f t="shared" si="79"/>
        <v>0</v>
      </c>
      <c r="V263" s="474">
        <f t="shared" si="80"/>
        <v>0</v>
      </c>
      <c r="W263" s="475">
        <f t="shared" si="81"/>
        <v>0</v>
      </c>
      <c r="X263" s="475">
        <v>0</v>
      </c>
      <c r="Y263" s="476">
        <v>0</v>
      </c>
      <c r="Z263" s="38">
        <f t="shared" si="82"/>
        <v>0</v>
      </c>
      <c r="AA263" s="564">
        <f t="shared" si="83"/>
        <v>0</v>
      </c>
      <c r="AB263" s="564">
        <f t="shared" si="84"/>
        <v>0</v>
      </c>
      <c r="AC263" s="564">
        <f t="shared" si="85"/>
        <v>0</v>
      </c>
      <c r="AE263" s="564">
        <f t="shared" si="86"/>
        <v>0</v>
      </c>
      <c r="AF263" s="564">
        <f t="shared" si="87"/>
        <v>0</v>
      </c>
      <c r="AG263" s="564">
        <f t="shared" si="88"/>
        <v>0</v>
      </c>
    </row>
    <row r="264" spans="1:33">
      <c r="A264" s="25"/>
      <c r="B264" s="25"/>
      <c r="C264" s="70" t="s">
        <v>30</v>
      </c>
      <c r="D264" s="444"/>
      <c r="E264" s="533">
        <v>0</v>
      </c>
      <c r="F264" s="225"/>
      <c r="G264" s="550"/>
      <c r="H264" s="556"/>
      <c r="I264" s="320">
        <f t="shared" si="90"/>
        <v>0</v>
      </c>
      <c r="J264" s="31"/>
      <c r="K264" s="88"/>
      <c r="L264" s="44"/>
      <c r="M264" s="31">
        <v>0</v>
      </c>
      <c r="N264" s="429"/>
      <c r="O264" s="31">
        <v>0</v>
      </c>
      <c r="P264" s="426">
        <f t="shared" si="76"/>
        <v>0</v>
      </c>
      <c r="Q264" s="178">
        <v>0</v>
      </c>
      <c r="R264" s="295"/>
      <c r="S264" s="385">
        <f t="shared" si="77"/>
        <v>0</v>
      </c>
      <c r="T264" s="31"/>
      <c r="U264" s="474">
        <f t="shared" si="79"/>
        <v>0</v>
      </c>
      <c r="V264" s="474">
        <f t="shared" si="80"/>
        <v>0</v>
      </c>
      <c r="W264" s="475">
        <f t="shared" si="81"/>
        <v>0</v>
      </c>
      <c r="X264" s="475">
        <v>0</v>
      </c>
      <c r="Y264" s="476">
        <v>0</v>
      </c>
      <c r="Z264" s="38">
        <f t="shared" si="82"/>
        <v>0</v>
      </c>
      <c r="AA264" s="564">
        <f t="shared" si="83"/>
        <v>0</v>
      </c>
      <c r="AB264" s="564">
        <f t="shared" si="84"/>
        <v>0</v>
      </c>
      <c r="AC264" s="564">
        <f t="shared" si="85"/>
        <v>0</v>
      </c>
      <c r="AE264" s="564">
        <f t="shared" si="86"/>
        <v>0</v>
      </c>
      <c r="AF264" s="564">
        <f t="shared" si="87"/>
        <v>0</v>
      </c>
      <c r="AG264" s="564">
        <f t="shared" si="88"/>
        <v>0</v>
      </c>
    </row>
    <row r="265" spans="1:33">
      <c r="A265" s="25"/>
      <c r="B265" s="25"/>
      <c r="C265" s="70" t="s">
        <v>34</v>
      </c>
      <c r="D265" s="444"/>
      <c r="E265" s="533">
        <v>0</v>
      </c>
      <c r="F265" s="225"/>
      <c r="G265" s="550"/>
      <c r="H265" s="556"/>
      <c r="I265" s="320">
        <f t="shared" si="90"/>
        <v>0</v>
      </c>
      <c r="J265" s="31"/>
      <c r="K265" s="88"/>
      <c r="L265" s="44"/>
      <c r="M265" s="31">
        <v>0</v>
      </c>
      <c r="N265" s="429"/>
      <c r="O265" s="31">
        <v>0</v>
      </c>
      <c r="P265" s="426">
        <f t="shared" si="76"/>
        <v>0</v>
      </c>
      <c r="Q265" s="178">
        <v>0</v>
      </c>
      <c r="R265" s="295"/>
      <c r="S265" s="385">
        <f t="shared" si="77"/>
        <v>0</v>
      </c>
      <c r="T265" s="31"/>
      <c r="U265" s="474">
        <f t="shared" si="79"/>
        <v>0</v>
      </c>
      <c r="V265" s="474">
        <f t="shared" si="80"/>
        <v>0</v>
      </c>
      <c r="W265" s="475">
        <f t="shared" si="81"/>
        <v>0</v>
      </c>
      <c r="X265" s="475">
        <v>0</v>
      </c>
      <c r="Y265" s="476">
        <v>0</v>
      </c>
      <c r="Z265" s="38">
        <f t="shared" si="82"/>
        <v>0</v>
      </c>
      <c r="AA265" s="564">
        <f t="shared" si="83"/>
        <v>0</v>
      </c>
      <c r="AB265" s="564">
        <f t="shared" si="84"/>
        <v>0</v>
      </c>
      <c r="AC265" s="564">
        <f t="shared" si="85"/>
        <v>0</v>
      </c>
      <c r="AE265" s="564">
        <f t="shared" si="86"/>
        <v>0</v>
      </c>
      <c r="AF265" s="564">
        <f t="shared" si="87"/>
        <v>0</v>
      </c>
      <c r="AG265" s="564">
        <f t="shared" si="88"/>
        <v>0</v>
      </c>
    </row>
    <row r="266" spans="1:33">
      <c r="A266" s="25"/>
      <c r="B266" s="25"/>
      <c r="C266" s="70" t="s">
        <v>37</v>
      </c>
      <c r="D266" s="444"/>
      <c r="E266" s="533">
        <v>0</v>
      </c>
      <c r="F266" s="225"/>
      <c r="G266" s="550"/>
      <c r="H266" s="556"/>
      <c r="I266" s="320">
        <f t="shared" si="90"/>
        <v>0</v>
      </c>
      <c r="J266" s="31"/>
      <c r="K266" s="88"/>
      <c r="L266" s="44"/>
      <c r="M266" s="31">
        <v>0</v>
      </c>
      <c r="N266" s="429"/>
      <c r="O266" s="31">
        <v>0</v>
      </c>
      <c r="P266" s="426">
        <f t="shared" si="76"/>
        <v>0</v>
      </c>
      <c r="Q266" s="178">
        <v>0</v>
      </c>
      <c r="R266" s="295"/>
      <c r="S266" s="385">
        <f t="shared" si="77"/>
        <v>0</v>
      </c>
      <c r="T266" s="31"/>
      <c r="U266" s="474">
        <f t="shared" si="79"/>
        <v>0</v>
      </c>
      <c r="V266" s="474">
        <f t="shared" si="80"/>
        <v>0</v>
      </c>
      <c r="W266" s="475">
        <f t="shared" si="81"/>
        <v>0</v>
      </c>
      <c r="X266" s="475">
        <v>0</v>
      </c>
      <c r="Y266" s="476">
        <v>0</v>
      </c>
      <c r="Z266" s="38">
        <f t="shared" si="82"/>
        <v>0</v>
      </c>
      <c r="AA266" s="564">
        <f t="shared" si="83"/>
        <v>0</v>
      </c>
      <c r="AB266" s="564">
        <f t="shared" si="84"/>
        <v>0</v>
      </c>
      <c r="AC266" s="564">
        <f t="shared" si="85"/>
        <v>0</v>
      </c>
      <c r="AE266" s="564">
        <f t="shared" si="86"/>
        <v>0</v>
      </c>
      <c r="AF266" s="564">
        <f t="shared" si="87"/>
        <v>0</v>
      </c>
      <c r="AG266" s="564">
        <f t="shared" si="88"/>
        <v>0</v>
      </c>
    </row>
    <row r="267" spans="1:33">
      <c r="A267" s="25"/>
      <c r="B267" s="25"/>
      <c r="C267" s="70" t="s">
        <v>42</v>
      </c>
      <c r="D267" s="444"/>
      <c r="E267" s="533">
        <v>0</v>
      </c>
      <c r="F267" s="225"/>
      <c r="G267" s="550"/>
      <c r="H267" s="556"/>
      <c r="I267" s="320">
        <f t="shared" si="90"/>
        <v>0</v>
      </c>
      <c r="J267" s="31"/>
      <c r="K267" s="88"/>
      <c r="L267" s="44"/>
      <c r="M267" s="31">
        <v>0</v>
      </c>
      <c r="N267" s="429"/>
      <c r="O267" s="31">
        <v>0</v>
      </c>
      <c r="P267" s="426">
        <f t="shared" si="76"/>
        <v>0</v>
      </c>
      <c r="Q267" s="178">
        <v>0</v>
      </c>
      <c r="R267" s="295"/>
      <c r="S267" s="385">
        <f t="shared" si="77"/>
        <v>0</v>
      </c>
      <c r="T267" s="31"/>
      <c r="U267" s="474">
        <f t="shared" si="79"/>
        <v>0</v>
      </c>
      <c r="V267" s="474">
        <f t="shared" si="80"/>
        <v>0</v>
      </c>
      <c r="W267" s="475">
        <f t="shared" si="81"/>
        <v>0</v>
      </c>
      <c r="X267" s="475">
        <v>0</v>
      </c>
      <c r="Y267" s="476">
        <v>0</v>
      </c>
      <c r="Z267" s="38">
        <f t="shared" si="82"/>
        <v>0</v>
      </c>
      <c r="AA267" s="564">
        <f t="shared" si="83"/>
        <v>0</v>
      </c>
      <c r="AB267" s="564">
        <f t="shared" si="84"/>
        <v>0</v>
      </c>
      <c r="AC267" s="564">
        <f t="shared" si="85"/>
        <v>0</v>
      </c>
      <c r="AE267" s="564">
        <f t="shared" si="86"/>
        <v>0</v>
      </c>
      <c r="AF267" s="564">
        <f t="shared" si="87"/>
        <v>0</v>
      </c>
      <c r="AG267" s="564">
        <f t="shared" si="88"/>
        <v>0</v>
      </c>
    </row>
    <row r="268" spans="1:33" s="146" customFormat="1">
      <c r="A268" s="21"/>
      <c r="B268" s="21" t="s">
        <v>109</v>
      </c>
      <c r="C268" s="68" t="s">
        <v>93</v>
      </c>
      <c r="D268" s="350">
        <f>366.96+549.75+356.59+373.17</f>
        <v>1646.47</v>
      </c>
      <c r="E268" s="529">
        <f>'Q4 DMV - Revenue'!S261</f>
        <v>0</v>
      </c>
      <c r="F268" s="524"/>
      <c r="G268" s="521"/>
      <c r="H268" s="524"/>
      <c r="I268" s="379">
        <f t="shared" si="90"/>
        <v>1646.47</v>
      </c>
      <c r="J268" s="31"/>
      <c r="K268" s="84"/>
      <c r="L268" s="42"/>
      <c r="M268" s="31">
        <v>0</v>
      </c>
      <c r="N268" s="429"/>
      <c r="O268" s="31">
        <v>0</v>
      </c>
      <c r="P268" s="426">
        <f t="shared" si="76"/>
        <v>0</v>
      </c>
      <c r="Q268" s="178">
        <v>0</v>
      </c>
      <c r="R268" s="295"/>
      <c r="S268" s="385">
        <f t="shared" si="77"/>
        <v>0</v>
      </c>
      <c r="T268" s="31"/>
      <c r="U268" s="474">
        <f t="shared" si="79"/>
        <v>0</v>
      </c>
      <c r="V268" s="474">
        <f t="shared" si="80"/>
        <v>0</v>
      </c>
      <c r="W268" s="475">
        <f t="shared" si="81"/>
        <v>0</v>
      </c>
      <c r="X268" s="475">
        <v>0</v>
      </c>
      <c r="Y268" s="476">
        <v>0</v>
      </c>
      <c r="Z268" s="38">
        <f t="shared" si="82"/>
        <v>0</v>
      </c>
      <c r="AA268" s="564">
        <f t="shared" si="83"/>
        <v>0</v>
      </c>
      <c r="AB268" s="564">
        <f t="shared" si="84"/>
        <v>1646.47</v>
      </c>
      <c r="AC268" s="564">
        <f t="shared" si="85"/>
        <v>0</v>
      </c>
      <c r="AD268" s="566"/>
      <c r="AE268" s="564">
        <f t="shared" si="86"/>
        <v>0</v>
      </c>
      <c r="AF268" s="564">
        <f t="shared" si="87"/>
        <v>0</v>
      </c>
      <c r="AG268" s="564">
        <f t="shared" si="88"/>
        <v>0</v>
      </c>
    </row>
    <row r="269" spans="1:33" s="146" customFormat="1">
      <c r="A269" s="21"/>
      <c r="B269" s="21" t="s">
        <v>110</v>
      </c>
      <c r="C269" s="68" t="s">
        <v>434</v>
      </c>
      <c r="D269" s="446"/>
      <c r="E269" s="529">
        <f>'Q4 DMV - Revenue'!S256</f>
        <v>0</v>
      </c>
      <c r="F269" s="521"/>
      <c r="G269" s="521"/>
      <c r="H269" s="524"/>
      <c r="I269" s="379">
        <f t="shared" si="90"/>
        <v>0</v>
      </c>
      <c r="J269" s="31"/>
      <c r="K269" s="84"/>
      <c r="L269" s="42"/>
      <c r="M269" s="31">
        <v>0</v>
      </c>
      <c r="N269" s="429"/>
      <c r="O269" s="31">
        <v>0</v>
      </c>
      <c r="P269" s="426">
        <f t="shared" si="76"/>
        <v>0</v>
      </c>
      <c r="Q269" s="178">
        <v>0</v>
      </c>
      <c r="R269" s="295"/>
      <c r="S269" s="385">
        <f t="shared" si="77"/>
        <v>0</v>
      </c>
      <c r="T269" s="31"/>
      <c r="U269" s="474">
        <f t="shared" si="79"/>
        <v>0</v>
      </c>
      <c r="V269" s="474">
        <f t="shared" si="80"/>
        <v>0</v>
      </c>
      <c r="W269" s="475">
        <f t="shared" si="81"/>
        <v>0</v>
      </c>
      <c r="X269" s="475">
        <v>0</v>
      </c>
      <c r="Y269" s="476">
        <v>0</v>
      </c>
      <c r="Z269" s="38">
        <f t="shared" si="82"/>
        <v>0</v>
      </c>
      <c r="AA269" s="564">
        <f t="shared" si="83"/>
        <v>0</v>
      </c>
      <c r="AB269" s="564">
        <f t="shared" si="84"/>
        <v>0</v>
      </c>
      <c r="AC269" s="564">
        <f t="shared" si="85"/>
        <v>0</v>
      </c>
      <c r="AD269" s="566"/>
      <c r="AE269" s="564">
        <f t="shared" si="86"/>
        <v>0</v>
      </c>
      <c r="AF269" s="564">
        <f t="shared" si="87"/>
        <v>0</v>
      </c>
      <c r="AG269" s="564">
        <f t="shared" si="88"/>
        <v>0</v>
      </c>
    </row>
    <row r="270" spans="1:33" ht="13" thickBot="1">
      <c r="A270" s="106"/>
      <c r="B270" s="106"/>
      <c r="C270" s="70" t="s">
        <v>49</v>
      </c>
      <c r="D270" s="544"/>
      <c r="E270" s="534" t="str">
        <f>'Q1 DMV - Revenue'!T216</f>
        <v/>
      </c>
      <c r="F270" s="228"/>
      <c r="G270" s="551"/>
      <c r="H270" s="557"/>
      <c r="I270" s="552">
        <f t="shared" si="90"/>
        <v>0</v>
      </c>
      <c r="J270" s="31"/>
      <c r="K270" s="88"/>
      <c r="L270" s="44"/>
      <c r="M270" s="31">
        <v>0</v>
      </c>
      <c r="N270" s="429"/>
      <c r="O270" s="31">
        <v>0</v>
      </c>
      <c r="P270" s="426">
        <f t="shared" si="76"/>
        <v>0</v>
      </c>
      <c r="Q270" s="178">
        <v>0</v>
      </c>
      <c r="R270" s="295"/>
      <c r="S270" s="385">
        <f t="shared" si="77"/>
        <v>0</v>
      </c>
      <c r="T270" s="31"/>
      <c r="U270" s="474">
        <f t="shared" si="79"/>
        <v>0</v>
      </c>
      <c r="V270" s="474">
        <f t="shared" si="80"/>
        <v>0</v>
      </c>
      <c r="W270" s="475">
        <f t="shared" si="81"/>
        <v>0</v>
      </c>
      <c r="X270" s="475">
        <v>0</v>
      </c>
      <c r="Y270" s="476">
        <v>0</v>
      </c>
      <c r="Z270" s="38">
        <f t="shared" si="82"/>
        <v>0</v>
      </c>
      <c r="AA270" s="564">
        <f t="shared" si="83"/>
        <v>0</v>
      </c>
      <c r="AB270" s="564">
        <f t="shared" si="84"/>
        <v>0</v>
      </c>
      <c r="AC270" s="564">
        <f t="shared" si="85"/>
        <v>0</v>
      </c>
      <c r="AE270" s="564">
        <f t="shared" si="86"/>
        <v>0</v>
      </c>
      <c r="AF270" s="564">
        <f t="shared" si="87"/>
        <v>0</v>
      </c>
      <c r="AG270" s="564">
        <f t="shared" si="88"/>
        <v>0</v>
      </c>
    </row>
    <row r="271" spans="1:33" ht="13" thickBot="1">
      <c r="A271" s="107"/>
      <c r="B271" s="108"/>
      <c r="C271" s="71" t="s">
        <v>86</v>
      </c>
      <c r="D271" s="454">
        <f t="shared" ref="D271:I271" si="91">SUM(D19:D270)</f>
        <v>90146.08</v>
      </c>
      <c r="E271" s="454">
        <f t="shared" si="91"/>
        <v>8203.9554010999964</v>
      </c>
      <c r="F271" s="454">
        <f t="shared" si="91"/>
        <v>6833424.3999999994</v>
      </c>
      <c r="G271" s="454">
        <f t="shared" si="91"/>
        <v>5136880.3650000012</v>
      </c>
      <c r="H271" s="454">
        <f t="shared" si="91"/>
        <v>4444270.0949999997</v>
      </c>
      <c r="I271" s="454">
        <f t="shared" si="91"/>
        <v>16512924.895401102</v>
      </c>
      <c r="J271" s="454">
        <f t="shared" ref="J271" si="92">SUM(J19:J270)</f>
        <v>0</v>
      </c>
      <c r="K271" s="157">
        <f>SUM(K19:K270)</f>
        <v>76645</v>
      </c>
      <c r="L271" s="157">
        <f>SUM(L19:L270)</f>
        <v>2203388.7199999997</v>
      </c>
      <c r="M271" s="157">
        <f t="shared" ref="M271:O271" si="93">SUM(M21:M270)</f>
        <v>-18698</v>
      </c>
      <c r="N271" s="100">
        <f>SUM(N19:N270)</f>
        <v>9954483.429999996</v>
      </c>
      <c r="O271" s="157">
        <f t="shared" si="93"/>
        <v>-18698</v>
      </c>
      <c r="P271" s="314">
        <f>SUM(P19:P270)</f>
        <v>2280033.7199999997</v>
      </c>
      <c r="Q271" s="314">
        <f>SUM(Q19:Q270)</f>
        <v>2550920.3999999994</v>
      </c>
      <c r="R271" s="297"/>
      <c r="S271" s="314">
        <f>SUM(S19:S270)</f>
        <v>270886.68000000011</v>
      </c>
      <c r="T271" s="314">
        <f t="shared" ref="T271" si="94">SUM(T21:T270)</f>
        <v>0</v>
      </c>
      <c r="U271" s="314">
        <f>SUM(U19:U270)</f>
        <v>1779774.7099999993</v>
      </c>
      <c r="V271" s="314">
        <f>SUM(V19:V270)</f>
        <v>465319.00999999995</v>
      </c>
      <c r="W271" s="314">
        <f>SUM(W19:W270)</f>
        <v>34940</v>
      </c>
      <c r="X271" s="314">
        <f>SUM(X19:X270)</f>
        <v>0</v>
      </c>
      <c r="Y271" s="314">
        <f>SUM(Y19:Y270)</f>
        <v>0</v>
      </c>
      <c r="AA271" s="314">
        <f>SUM(AA19:AA270)</f>
        <v>15635537.300461601</v>
      </c>
      <c r="AB271" s="314">
        <f>SUM(AB19:AB270)</f>
        <v>832550.1149395</v>
      </c>
      <c r="AC271" s="314">
        <f>SUM(AC19:AC270)</f>
        <v>44837.479999999996</v>
      </c>
      <c r="AE271" s="314">
        <f>SUM(AE19:AE270)</f>
        <v>1779774.7099999993</v>
      </c>
      <c r="AF271" s="314">
        <f>SUM(AF19:AF270)</f>
        <v>465319.00999999995</v>
      </c>
      <c r="AG271" s="314">
        <f>SUM(AG19:AG270)</f>
        <v>34940</v>
      </c>
    </row>
    <row r="272" spans="1:33" ht="13" thickBot="1">
      <c r="A272" s="65"/>
      <c r="B272" s="65"/>
      <c r="C272" s="141"/>
      <c r="D272" s="310" t="s">
        <v>293</v>
      </c>
      <c r="E272" s="160">
        <f>E271+D271</f>
        <v>98350.035401100002</v>
      </c>
      <c r="F272" s="153"/>
      <c r="G272" s="153" t="s">
        <v>225</v>
      </c>
      <c r="H272" s="160">
        <f>H271+G271+F271</f>
        <v>16414574.859999999</v>
      </c>
      <c r="I272" s="323"/>
      <c r="J272" s="153"/>
      <c r="K272" s="153" t="s">
        <v>296</v>
      </c>
      <c r="L272" s="100">
        <f>L271+K271</f>
        <v>2280033.7199999997</v>
      </c>
      <c r="M272" s="153"/>
      <c r="N272" s="494">
        <f>I271-N271</f>
        <v>6558441.4654011056</v>
      </c>
      <c r="O272" s="153"/>
      <c r="P272" s="153"/>
      <c r="Q272" s="153"/>
      <c r="R272" s="153"/>
      <c r="S272" s="153"/>
      <c r="T272" s="153"/>
      <c r="U272" s="139"/>
      <c r="V272" s="139"/>
      <c r="W272" s="139"/>
      <c r="X272" s="139"/>
      <c r="Y272" s="104"/>
    </row>
    <row r="273" spans="1:29" ht="13" thickBot="1">
      <c r="A273" s="65"/>
      <c r="B273" s="65"/>
      <c r="D273" s="128"/>
      <c r="E273" s="47"/>
      <c r="F273" s="153"/>
      <c r="G273" s="153"/>
      <c r="H273" s="153"/>
      <c r="I273" s="153"/>
      <c r="J273" s="153"/>
      <c r="K273" s="153"/>
      <c r="L273" s="67"/>
      <c r="M273" s="153"/>
      <c r="N273" s="153">
        <f>N271+N272</f>
        <v>16512924.895401102</v>
      </c>
      <c r="O273" s="153"/>
      <c r="P273" s="153"/>
      <c r="Q273" s="153"/>
      <c r="R273" s="153"/>
      <c r="S273" s="153"/>
      <c r="T273" s="153"/>
      <c r="U273" s="331" t="s">
        <v>345</v>
      </c>
      <c r="V273" s="139"/>
      <c r="W273" s="139"/>
      <c r="X273" s="139"/>
      <c r="Y273" s="104"/>
      <c r="AA273" s="577"/>
      <c r="AB273" s="577"/>
      <c r="AC273" s="577"/>
    </row>
    <row r="274" spans="1:29" ht="17" thickTop="1" thickBot="1">
      <c r="G274" s="309"/>
      <c r="H274" s="79"/>
      <c r="I274" s="18"/>
      <c r="K274" s="232"/>
      <c r="L274" s="233"/>
      <c r="N274" s="602"/>
      <c r="U274" s="332"/>
      <c r="V274" s="333"/>
      <c r="W274" s="491"/>
      <c r="X274" s="491"/>
      <c r="Y274" s="334"/>
      <c r="Z274" s="18" t="s">
        <v>474</v>
      </c>
      <c r="AA274" s="559">
        <v>-171951.06</v>
      </c>
      <c r="AB274" s="559">
        <v>0</v>
      </c>
      <c r="AC274" s="559">
        <v>171951</v>
      </c>
    </row>
    <row r="275" spans="1:29" ht="17" thickBot="1">
      <c r="G275" s="309"/>
      <c r="H275" s="79"/>
      <c r="I275" s="18"/>
      <c r="L275" s="493"/>
      <c r="U275" s="487"/>
      <c r="V275" s="488"/>
      <c r="W275" s="492" t="s">
        <v>399</v>
      </c>
      <c r="X275" s="492" t="s">
        <v>400</v>
      </c>
      <c r="Y275" s="414"/>
      <c r="Z275" s="605" t="s">
        <v>475</v>
      </c>
      <c r="AA275" s="606">
        <f>AA271+AA274</f>
        <v>15463586.240461601</v>
      </c>
      <c r="AB275" s="606">
        <f>AB271</f>
        <v>832550.1149395</v>
      </c>
      <c r="AC275" s="607">
        <f>AC271+AC274</f>
        <v>216788.47999999998</v>
      </c>
    </row>
    <row r="276" spans="1:29" ht="15" thickBot="1">
      <c r="C276" s="143" t="s">
        <v>294</v>
      </c>
      <c r="G276" s="142"/>
      <c r="H276" s="159"/>
      <c r="I276" s="169"/>
      <c r="K276" s="489" t="s">
        <v>472</v>
      </c>
      <c r="L276" s="308">
        <f>I271</f>
        <v>16512924.895401102</v>
      </c>
      <c r="M276" s="146"/>
      <c r="O276" s="146"/>
      <c r="U276" s="158" t="s">
        <v>346</v>
      </c>
      <c r="V276" s="104" t="s">
        <v>352</v>
      </c>
      <c r="W276" s="104">
        <f>U271+V271+W271</f>
        <v>2280033.7199999993</v>
      </c>
      <c r="X276" s="104"/>
      <c r="Y276" s="136"/>
      <c r="Z276" s="578"/>
    </row>
    <row r="277" spans="1:29" ht="15" thickBot="1">
      <c r="C277" s="143" t="s">
        <v>295</v>
      </c>
      <c r="G277" s="17" t="s">
        <v>249</v>
      </c>
      <c r="H277" s="132"/>
      <c r="K277" s="490"/>
      <c r="L277" s="559"/>
      <c r="P277" s="151"/>
      <c r="Q277" s="151"/>
      <c r="R277" s="151"/>
      <c r="S277" s="151"/>
      <c r="U277" s="158"/>
      <c r="V277" s="104"/>
      <c r="W277" s="104"/>
      <c r="X277" s="104"/>
      <c r="Y277" s="136"/>
      <c r="Z277" s="578"/>
    </row>
    <row r="278" spans="1:29" ht="15" thickBot="1">
      <c r="C278" s="143" t="s">
        <v>297</v>
      </c>
      <c r="K278" s="489" t="s">
        <v>471</v>
      </c>
      <c r="L278" s="486">
        <f>P271</f>
        <v>2280033.7199999997</v>
      </c>
      <c r="N278" s="33"/>
      <c r="P278" s="151"/>
      <c r="Q278" s="151"/>
      <c r="R278" s="151"/>
      <c r="S278" s="151"/>
      <c r="U278" s="158" t="s">
        <v>351</v>
      </c>
      <c r="V278" s="104" t="s">
        <v>355</v>
      </c>
      <c r="W278" s="104"/>
      <c r="X278" s="104">
        <f>U271</f>
        <v>1779774.7099999993</v>
      </c>
      <c r="Y278" s="136"/>
    </row>
    <row r="279" spans="1:29" ht="15" thickBot="1">
      <c r="C279" s="143" t="s">
        <v>297</v>
      </c>
      <c r="K279" s="490"/>
      <c r="P279" s="151"/>
      <c r="Q279" s="54"/>
      <c r="R279" s="151"/>
      <c r="S279" s="294"/>
      <c r="U279" s="158" t="s">
        <v>350</v>
      </c>
      <c r="V279" s="104" t="s">
        <v>356</v>
      </c>
      <c r="W279" s="104"/>
      <c r="X279" s="104">
        <f>X271</f>
        <v>0</v>
      </c>
      <c r="Y279" s="136"/>
    </row>
    <row r="280" spans="1:29" ht="15" thickBot="1">
      <c r="C280" s="143"/>
      <c r="K280" s="489" t="s">
        <v>251</v>
      </c>
      <c r="L280" s="486">
        <v>16506020</v>
      </c>
      <c r="P280" s="151"/>
      <c r="Q280" s="151"/>
      <c r="R280" s="151"/>
      <c r="S280" s="151"/>
      <c r="U280" s="158"/>
      <c r="V280" s="104"/>
      <c r="W280" s="104"/>
      <c r="X280" s="104"/>
      <c r="Y280" s="136"/>
    </row>
    <row r="281" spans="1:29" ht="16">
      <c r="K281" s="490"/>
      <c r="L281" s="326">
        <f>L276+L278-L280</f>
        <v>2286938.6154011004</v>
      </c>
      <c r="P281" s="139"/>
      <c r="Q281" s="151"/>
      <c r="R281" s="151"/>
      <c r="S281" s="151"/>
      <c r="U281" s="158" t="s">
        <v>349</v>
      </c>
      <c r="V281" s="104" t="s">
        <v>357</v>
      </c>
      <c r="W281" s="104"/>
      <c r="X281" s="104">
        <f>V271</f>
        <v>465319.00999999995</v>
      </c>
      <c r="Y281" s="136"/>
    </row>
    <row r="282" spans="1:29" ht="13" thickBot="1">
      <c r="L282" s="325"/>
      <c r="P282" s="151"/>
      <c r="Q282" s="151"/>
      <c r="R282" s="151"/>
      <c r="S282" s="151"/>
      <c r="U282" s="415" t="s">
        <v>348</v>
      </c>
      <c r="V282" s="104" t="s">
        <v>358</v>
      </c>
      <c r="W282" s="104"/>
      <c r="X282" s="104">
        <f>Y271</f>
        <v>0</v>
      </c>
      <c r="Y282" s="136"/>
    </row>
    <row r="283" spans="1:29" ht="13" thickBot="1">
      <c r="K283" s="608" t="s">
        <v>454</v>
      </c>
      <c r="L283" s="609">
        <f>L281-L278</f>
        <v>6904.8954011006281</v>
      </c>
      <c r="P283" s="151"/>
      <c r="Q283" s="151"/>
      <c r="R283" s="151"/>
      <c r="S283" s="151"/>
      <c r="U283" s="415"/>
      <c r="V283" s="104"/>
      <c r="W283" s="104"/>
      <c r="X283" s="104"/>
      <c r="Y283" s="136"/>
    </row>
    <row r="284" spans="1:29">
      <c r="K284" s="603"/>
      <c r="L284" s="604"/>
      <c r="P284" s="151"/>
      <c r="Q284" s="151"/>
      <c r="R284" s="151"/>
      <c r="S284" s="151"/>
      <c r="U284" s="415" t="s">
        <v>347</v>
      </c>
      <c r="V284" s="488" t="s">
        <v>359</v>
      </c>
      <c r="W284" s="488"/>
      <c r="X284" s="488">
        <f>W271</f>
        <v>34940</v>
      </c>
      <c r="Y284" s="414"/>
    </row>
    <row r="285" spans="1:29">
      <c r="L285" s="37"/>
      <c r="U285" s="416"/>
      <c r="V285" s="104"/>
      <c r="W285" s="80">
        <f>SUM(W276:W284)</f>
        <v>2280033.7199999993</v>
      </c>
      <c r="X285" s="80">
        <f>SUM(X278:X284)</f>
        <v>2280033.7199999993</v>
      </c>
      <c r="Y285" s="136"/>
    </row>
    <row r="286" spans="1:29">
      <c r="U286" s="416"/>
      <c r="V286" s="104"/>
      <c r="W286" s="104"/>
      <c r="X286" s="104"/>
      <c r="Y286" s="136"/>
    </row>
    <row r="287" spans="1:29" ht="13" thickBot="1">
      <c r="U287" s="330"/>
      <c r="V287" s="279"/>
      <c r="W287" s="279"/>
      <c r="X287" s="279"/>
      <c r="Y287" s="280"/>
    </row>
    <row r="288" spans="1:29">
      <c r="U288" s="104"/>
      <c r="V288" s="104"/>
      <c r="W288" s="104"/>
      <c r="X288" s="104"/>
      <c r="Y288" s="104"/>
    </row>
  </sheetData>
  <customSheetViews>
    <customSheetView guid="{005F2F7B-A3A9-4755-A4DF-7CE06C365CC2}" showPageBreaks="1" topLeftCell="A168">
      <selection activeCell="Q190" sqref="Q190"/>
      <pageSetup orientation="portrait" horizontalDpi="1200" verticalDpi="1200"/>
    </customSheetView>
    <customSheetView guid="{D3CBD86D-0B34-40AC-BD97-D8082E871349}" scale="91" showPageBreaks="1" fitToPage="1" printArea="1" topLeftCell="A196">
      <selection activeCell="L216" sqref="L216"/>
      <pageSetup scale="68" fitToHeight="3" orientation="portrait" horizontalDpi="1200" verticalDpi="1200"/>
    </customSheetView>
    <customSheetView guid="{A6D105A8-F3F8-4045-83EA-8812D2E401D6}" scale="91" showPageBreaks="1" fitToPage="1" printArea="1" topLeftCell="B223">
      <selection activeCell="Q240" sqref="Q240"/>
      <pageSetup scale="68" fitToHeight="3" orientation="portrait" horizontalDpi="1200" verticalDpi="1200"/>
    </customSheetView>
    <customSheetView guid="{30EF2F7D-596A-4F42-BFFC-293775FB231D}" showPageBreaks="1" hiddenColumns="1" topLeftCell="C215">
      <selection activeCell="E50" sqref="E50"/>
      <pageSetup orientation="portrait" horizontalDpi="1200" verticalDpi="1200"/>
    </customSheetView>
    <customSheetView guid="{19673ADA-0B6E-420C-87C4-DFC2B9AF85E8}" showPageBreaks="1" fitToPage="1" printArea="1" topLeftCell="D1">
      <pane ySplit="18" topLeftCell="A203" activePane="bottomLeft" state="frozenSplit"/>
      <selection pane="bottomLeft" activeCell="N216" sqref="N216"/>
      <pageSetup orientation="landscape" horizontalDpi="1200" verticalDpi="1200"/>
    </customSheetView>
    <customSheetView guid="{EAD60427-EED9-4BA8-BD26-3C00E46B1F0E}" scale="91" showPageBreaks="1" fitToPage="1" printArea="1" topLeftCell="B187">
      <selection activeCell="S190" sqref="S190"/>
      <pageSetup scale="68" fitToHeight="3" orientation="portrait" horizontalDpi="1200" verticalDpi="1200"/>
    </customSheetView>
    <customSheetView guid="{041E0462-B6EA-414A-9F2E-C14ADEFAE5F2}" scale="91" showPageBreaks="1" fitToPage="1" printArea="1" topLeftCell="A196">
      <selection activeCell="L216" sqref="L216"/>
      <pageSetup scale="68" fitToHeight="3" orientation="portrait" horizontalDpi="1200" verticalDpi="1200"/>
    </customSheetView>
    <customSheetView guid="{86CCC894-C193-4761-8385-3C374FD67B70}" scale="91" showPageBreaks="1" fitToPage="1" printArea="1" topLeftCell="A196">
      <selection activeCell="L216" sqref="L216"/>
      <pageSetup scale="68" fitToHeight="3" orientation="portrait" horizontalDpi="1200" verticalDpi="1200"/>
    </customSheetView>
  </customSheetViews>
  <pageMargins left="0.25" right="0.25" top="0.75" bottom="0.52" header="0.3" footer="0.3"/>
  <pageSetup scale="68" fitToHeight="3" orientation="portrait" horizontalDpi="1200" verticalDpi="1200"/>
  <legacyDrawing r:id="rId1"/>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G275"/>
  <sheetViews>
    <sheetView topLeftCell="C37" zoomScale="110" zoomScaleNormal="110" zoomScalePageLayoutView="110" workbookViewId="0">
      <selection activeCell="H35" sqref="H35:H44"/>
    </sheetView>
  </sheetViews>
  <sheetFormatPr baseColWidth="10" defaultColWidth="9.3984375" defaultRowHeight="12" outlineLevelCol="1" x14ac:dyDescent="0"/>
  <cols>
    <col min="1" max="1" width="16.19921875" style="18" hidden="1" customWidth="1" outlineLevel="1"/>
    <col min="2" max="2" width="11.59765625" style="18" hidden="1" customWidth="1" outlineLevel="1"/>
    <col min="3" max="3" width="30.19921875" style="147" customWidth="1" collapsed="1"/>
    <col min="4" max="4" width="15.796875" style="35" bestFit="1" customWidth="1"/>
    <col min="5" max="5" width="13.3984375" style="152" bestFit="1" customWidth="1"/>
    <col min="6" max="7" width="14.19921875" style="17" bestFit="1" customWidth="1"/>
    <col min="8" max="8" width="15.19921875" style="131" bestFit="1" customWidth="1"/>
    <col min="9" max="9" width="15.19921875" style="24" bestFit="1" customWidth="1"/>
    <col min="10" max="10" width="1.59765625" style="24" customWidth="1"/>
    <col min="11" max="11" width="14.59765625" style="24" bestFit="1" customWidth="1"/>
    <col min="12" max="12" width="15.796875" style="24" bestFit="1" customWidth="1"/>
    <col min="13" max="13" width="1" style="16" customWidth="1"/>
    <col min="14" max="14" width="15.19921875" style="146" customWidth="1"/>
    <col min="15" max="15" width="1" style="16" customWidth="1"/>
    <col min="16" max="16" width="14.59765625" style="146" bestFit="1" customWidth="1"/>
    <col min="17" max="17" width="19" style="146" customWidth="1"/>
    <col min="18" max="18" width="1" style="146" customWidth="1"/>
    <col min="19" max="19" width="16.796875" style="146" customWidth="1"/>
    <col min="20" max="20" width="1.59765625" style="24" customWidth="1"/>
    <col min="21" max="21" width="16" style="38" customWidth="1"/>
    <col min="22" max="22" width="19.796875" style="38" customWidth="1"/>
    <col min="23" max="23" width="13.796875" style="38" bestFit="1" customWidth="1"/>
    <col min="24" max="24" width="16.19921875" style="38" bestFit="1" customWidth="1"/>
    <col min="25" max="25" width="17" style="38" bestFit="1" customWidth="1"/>
    <col min="26" max="26" width="11.19921875" style="16" bestFit="1" customWidth="1"/>
    <col min="27" max="27" width="17.19921875" style="559" customWidth="1"/>
    <col min="28" max="28" width="15" style="559" customWidth="1"/>
    <col min="29" max="29" width="15.796875" style="559" customWidth="1"/>
    <col min="30" max="30" width="9.3984375" style="559"/>
    <col min="31" max="31" width="14.19921875" style="559" bestFit="1" customWidth="1"/>
    <col min="32" max="33" width="14.19921875" style="559" customWidth="1"/>
    <col min="34" max="16384" width="9.3984375" style="16"/>
  </cols>
  <sheetData>
    <row r="1" spans="1:24">
      <c r="C1" s="147" t="s">
        <v>71</v>
      </c>
      <c r="E1" s="29"/>
      <c r="F1" s="162"/>
      <c r="G1" s="163"/>
      <c r="I1" s="20" t="s">
        <v>119</v>
      </c>
      <c r="J1" s="40"/>
      <c r="K1" s="20" t="s">
        <v>119</v>
      </c>
      <c r="L1" s="20" t="s">
        <v>120</v>
      </c>
      <c r="T1" s="40"/>
    </row>
    <row r="2" spans="1:24">
      <c r="C2" s="147" t="s">
        <v>72</v>
      </c>
      <c r="E2" s="29"/>
      <c r="F2" s="162"/>
      <c r="G2" s="163"/>
      <c r="I2" s="20" t="s">
        <v>377</v>
      </c>
      <c r="J2" s="40"/>
      <c r="K2" s="20" t="s">
        <v>299</v>
      </c>
      <c r="L2" s="20" t="s">
        <v>300</v>
      </c>
      <c r="T2" s="40"/>
    </row>
    <row r="3" spans="1:24">
      <c r="C3" s="147" t="s">
        <v>424</v>
      </c>
      <c r="E3" s="29"/>
      <c r="F3" s="18"/>
      <c r="G3" s="168"/>
      <c r="I3" s="140"/>
      <c r="K3" s="140"/>
      <c r="L3" s="236"/>
    </row>
    <row r="4" spans="1:24">
      <c r="C4" s="148" t="s">
        <v>228</v>
      </c>
      <c r="F4" s="164"/>
      <c r="G4" s="168"/>
      <c r="H4" s="161"/>
    </row>
    <row r="5" spans="1:24" ht="13" thickBot="1">
      <c r="C5" s="148"/>
      <c r="F5" s="161"/>
      <c r="G5" s="161"/>
      <c r="H5" s="161"/>
    </row>
    <row r="6" spans="1:24">
      <c r="B6" s="460"/>
      <c r="C6" s="461" t="s">
        <v>84</v>
      </c>
      <c r="D6" s="462" t="s">
        <v>85</v>
      </c>
      <c r="F6" s="161"/>
      <c r="G6" s="161"/>
      <c r="H6" s="161"/>
      <c r="I6" s="18"/>
      <c r="K6" s="18"/>
      <c r="L6" s="18"/>
      <c r="M6" s="18"/>
      <c r="N6" s="152"/>
      <c r="O6" s="18"/>
      <c r="P6" s="152"/>
      <c r="Q6" s="152"/>
      <c r="R6" s="152"/>
      <c r="S6" s="152"/>
    </row>
    <row r="7" spans="1:24">
      <c r="B7" s="459"/>
      <c r="C7" s="458" t="s">
        <v>74</v>
      </c>
      <c r="D7" s="463" t="s">
        <v>77</v>
      </c>
      <c r="F7" s="161"/>
      <c r="G7" s="161"/>
      <c r="H7" s="161"/>
      <c r="I7" s="478"/>
      <c r="K7" s="169"/>
      <c r="L7" s="169"/>
    </row>
    <row r="8" spans="1:24">
      <c r="B8" s="459"/>
      <c r="C8" s="458" t="s">
        <v>75</v>
      </c>
      <c r="D8" s="287" t="s">
        <v>115</v>
      </c>
      <c r="E8" s="29"/>
      <c r="F8" s="161"/>
      <c r="G8" s="161"/>
      <c r="H8" s="135"/>
      <c r="I8" s="172"/>
      <c r="J8" s="41"/>
      <c r="K8" s="37"/>
      <c r="L8" s="37"/>
      <c r="T8" s="41"/>
    </row>
    <row r="9" spans="1:24">
      <c r="B9" s="459"/>
      <c r="C9" s="568" t="s">
        <v>73</v>
      </c>
      <c r="D9" s="572" t="s">
        <v>446</v>
      </c>
      <c r="E9" s="29"/>
      <c r="F9" s="164"/>
      <c r="G9" s="175"/>
      <c r="H9" s="135"/>
      <c r="I9" s="75"/>
      <c r="J9" s="41"/>
      <c r="K9" s="77"/>
      <c r="L9" s="77"/>
      <c r="M9" s="27"/>
      <c r="N9" s="151"/>
      <c r="O9" s="27"/>
      <c r="P9" s="151"/>
      <c r="Q9" s="151"/>
      <c r="R9" s="151"/>
      <c r="S9" s="151"/>
      <c r="T9" s="41"/>
    </row>
    <row r="10" spans="1:24">
      <c r="B10" s="459"/>
      <c r="C10" s="458" t="s">
        <v>76</v>
      </c>
      <c r="D10" s="465" t="s">
        <v>79</v>
      </c>
      <c r="E10" s="29"/>
      <c r="F10" s="161"/>
      <c r="G10" s="134"/>
      <c r="H10" s="135"/>
      <c r="I10" s="78"/>
      <c r="K10" s="79"/>
      <c r="L10" s="79"/>
      <c r="M10" s="27"/>
      <c r="N10" s="151"/>
      <c r="O10" s="27"/>
      <c r="P10" s="151"/>
      <c r="Q10" s="151"/>
      <c r="R10" s="151"/>
      <c r="S10" s="151"/>
    </row>
    <row r="11" spans="1:24">
      <c r="B11" s="459"/>
      <c r="C11" s="458" t="s">
        <v>81</v>
      </c>
      <c r="D11" s="466" t="s">
        <v>80</v>
      </c>
      <c r="E11" s="29"/>
      <c r="F11" s="161"/>
      <c r="G11" s="134"/>
      <c r="H11" s="10"/>
      <c r="I11" s="78"/>
      <c r="K11" s="79"/>
      <c r="L11" s="79"/>
      <c r="M11" s="27"/>
      <c r="N11" s="151"/>
      <c r="O11" s="27"/>
      <c r="P11" s="151"/>
      <c r="Q11" s="151"/>
      <c r="R11" s="151"/>
      <c r="S11" s="151"/>
    </row>
    <row r="12" spans="1:24">
      <c r="B12" s="459"/>
      <c r="C12" s="458" t="s">
        <v>83</v>
      </c>
      <c r="D12" s="467" t="s">
        <v>82</v>
      </c>
      <c r="E12" s="165"/>
      <c r="F12" s="147"/>
      <c r="G12" s="134"/>
      <c r="I12" s="78"/>
      <c r="K12" s="80"/>
      <c r="L12" s="80"/>
      <c r="M12" s="81"/>
      <c r="N12" s="12"/>
      <c r="O12" s="81"/>
      <c r="P12" s="12"/>
      <c r="Q12" s="12"/>
      <c r="R12" s="12"/>
      <c r="S12" s="12"/>
    </row>
    <row r="13" spans="1:24">
      <c r="B13" s="459"/>
      <c r="C13" s="458" t="s">
        <v>88</v>
      </c>
      <c r="D13" s="468" t="s">
        <v>89</v>
      </c>
      <c r="E13" s="29"/>
      <c r="I13" s="76"/>
      <c r="K13" s="174"/>
      <c r="L13" s="76"/>
      <c r="M13" s="27"/>
      <c r="N13" s="151"/>
      <c r="O13" s="27"/>
      <c r="P13" s="151"/>
      <c r="Q13" s="151"/>
      <c r="R13" s="151"/>
      <c r="S13" s="151"/>
    </row>
    <row r="14" spans="1:24">
      <c r="B14" s="459"/>
      <c r="C14" s="458" t="s">
        <v>116</v>
      </c>
      <c r="D14" s="99" t="s">
        <v>117</v>
      </c>
      <c r="E14" s="29"/>
      <c r="F14" s="166"/>
      <c r="G14" s="145"/>
      <c r="I14" s="76"/>
      <c r="K14" s="173"/>
      <c r="L14" s="173"/>
      <c r="M14" s="27"/>
      <c r="N14" s="151"/>
      <c r="O14" s="27"/>
      <c r="P14" s="151"/>
      <c r="Q14" s="151"/>
      <c r="R14" s="151"/>
      <c r="S14" s="151"/>
    </row>
    <row r="15" spans="1:24" ht="13" thickBot="1">
      <c r="B15" s="469"/>
      <c r="C15" s="470" t="s">
        <v>103</v>
      </c>
      <c r="D15" s="471" t="s">
        <v>101</v>
      </c>
      <c r="E15" s="29"/>
      <c r="F15" s="166"/>
      <c r="G15" s="150"/>
      <c r="I15" s="76"/>
    </row>
    <row r="16" spans="1:24" ht="13" thickBot="1">
      <c r="A16" s="152"/>
      <c r="B16" s="152"/>
      <c r="C16" s="54"/>
      <c r="D16" s="34"/>
      <c r="F16" s="167"/>
      <c r="G16" s="49"/>
      <c r="H16" s="67"/>
      <c r="I16" s="50"/>
      <c r="J16" s="50"/>
      <c r="K16" s="50"/>
      <c r="L16" s="50"/>
      <c r="M16" s="146"/>
      <c r="O16" s="146"/>
      <c r="T16" s="50"/>
      <c r="U16" s="33"/>
      <c r="V16" s="33"/>
      <c r="W16" s="33"/>
      <c r="X16" s="33"/>
    </row>
    <row r="17" spans="1:33" ht="13" thickBot="1">
      <c r="C17" s="526"/>
      <c r="D17" s="448" t="s">
        <v>425</v>
      </c>
      <c r="E17" s="527" t="s">
        <v>361</v>
      </c>
      <c r="F17" s="96" t="s">
        <v>227</v>
      </c>
      <c r="G17" s="96" t="s">
        <v>227</v>
      </c>
      <c r="H17" s="304" t="s">
        <v>227</v>
      </c>
      <c r="I17" s="318" t="s">
        <v>227</v>
      </c>
      <c r="J17" s="93" t="s">
        <v>227</v>
      </c>
      <c r="K17" s="96" t="s">
        <v>227</v>
      </c>
      <c r="L17" s="96" t="s">
        <v>227</v>
      </c>
      <c r="M17" s="93"/>
      <c r="N17" s="13"/>
      <c r="O17" s="93"/>
      <c r="P17" s="13"/>
      <c r="Q17" s="96" t="s">
        <v>285</v>
      </c>
      <c r="R17" s="101"/>
      <c r="S17" s="96" t="s">
        <v>285</v>
      </c>
      <c r="T17" s="93"/>
      <c r="U17" s="96" t="s">
        <v>285</v>
      </c>
      <c r="V17" s="96" t="s">
        <v>285</v>
      </c>
      <c r="W17" s="304" t="s">
        <v>285</v>
      </c>
      <c r="X17" s="304" t="s">
        <v>285</v>
      </c>
      <c r="Y17" s="304" t="s">
        <v>285</v>
      </c>
      <c r="AB17" s="560" t="s">
        <v>266</v>
      </c>
      <c r="AF17" s="561" t="s">
        <v>267</v>
      </c>
    </row>
    <row r="18" spans="1:33" ht="13" thickBot="1">
      <c r="A18" s="22" t="s">
        <v>95</v>
      </c>
      <c r="B18" s="22" t="s">
        <v>100</v>
      </c>
      <c r="C18" s="36" t="s">
        <v>67</v>
      </c>
      <c r="D18" s="450" t="s">
        <v>230</v>
      </c>
      <c r="E18" s="528" t="s">
        <v>229</v>
      </c>
      <c r="F18" s="176" t="s">
        <v>427</v>
      </c>
      <c r="G18" s="545" t="s">
        <v>428</v>
      </c>
      <c r="H18" s="442" t="s">
        <v>429</v>
      </c>
      <c r="I18" s="313" t="s">
        <v>105</v>
      </c>
      <c r="J18" s="93"/>
      <c r="K18" s="94" t="s">
        <v>104</v>
      </c>
      <c r="L18" s="95" t="s">
        <v>106</v>
      </c>
      <c r="M18" s="102"/>
      <c r="N18" s="427" t="s">
        <v>372</v>
      </c>
      <c r="O18" s="102"/>
      <c r="P18" s="313" t="s">
        <v>430</v>
      </c>
      <c r="Q18" s="156" t="s">
        <v>431</v>
      </c>
      <c r="R18" s="149"/>
      <c r="S18" s="327" t="s">
        <v>432</v>
      </c>
      <c r="T18" s="93"/>
      <c r="U18" s="103" t="s">
        <v>111</v>
      </c>
      <c r="V18" s="74" t="s">
        <v>112</v>
      </c>
      <c r="W18" s="103" t="s">
        <v>113</v>
      </c>
      <c r="X18" s="103" t="s">
        <v>223</v>
      </c>
      <c r="Y18" s="307" t="s">
        <v>224</v>
      </c>
      <c r="AA18" s="562" t="s">
        <v>263</v>
      </c>
      <c r="AB18" s="563" t="s">
        <v>264</v>
      </c>
      <c r="AC18" s="563" t="s">
        <v>265</v>
      </c>
      <c r="AE18" s="562" t="s">
        <v>263</v>
      </c>
      <c r="AF18" s="563" t="s">
        <v>264</v>
      </c>
      <c r="AG18" s="563" t="s">
        <v>265</v>
      </c>
    </row>
    <row r="19" spans="1:33">
      <c r="A19" s="472" t="s">
        <v>109</v>
      </c>
      <c r="B19" s="472" t="s">
        <v>110</v>
      </c>
      <c r="C19" s="373" t="s">
        <v>320</v>
      </c>
      <c r="D19" s="535"/>
      <c r="E19" s="529">
        <f>'Q3 DMV - Revenue'!S19</f>
        <v>-186.9</v>
      </c>
      <c r="F19" s="315"/>
      <c r="G19" s="546"/>
      <c r="H19" s="315"/>
      <c r="I19" s="379">
        <f>SUM(D19:H19)</f>
        <v>-186.9</v>
      </c>
      <c r="J19" s="380"/>
      <c r="K19" s="337"/>
      <c r="L19" s="381">
        <v>200</v>
      </c>
      <c r="M19" s="380">
        <v>0</v>
      </c>
      <c r="N19" s="428"/>
      <c r="O19" s="380">
        <v>0</v>
      </c>
      <c r="P19" s="426">
        <f>K19+L19</f>
        <v>200</v>
      </c>
      <c r="Q19" s="473"/>
      <c r="R19" s="384"/>
      <c r="S19" s="385">
        <f t="shared" ref="S19:S83" si="0">Q19-P19</f>
        <v>-200</v>
      </c>
      <c r="T19" s="380"/>
      <c r="U19" s="474">
        <f>IF(B19="D",P19,0)</f>
        <v>200</v>
      </c>
      <c r="V19" s="474">
        <f>IF(B19="M",P19,0)</f>
        <v>0</v>
      </c>
      <c r="W19" s="475">
        <f>IF(B19="V",P19,0)</f>
        <v>0</v>
      </c>
      <c r="X19" s="475">
        <v>0</v>
      </c>
      <c r="Y19" s="476">
        <v>0</v>
      </c>
      <c r="Z19" s="38">
        <f t="shared" ref="Z19:Z52" si="1">(K19+L19)-(U19+V19+W19+X19+Y19)</f>
        <v>0</v>
      </c>
      <c r="AA19" s="564">
        <f>IF(B19="D",I19,0)</f>
        <v>-186.9</v>
      </c>
      <c r="AB19" s="564">
        <f>IF(B19="M",I19,0)</f>
        <v>0</v>
      </c>
      <c r="AC19" s="564">
        <f>IF(B19="V",I19,0)</f>
        <v>0</v>
      </c>
      <c r="AE19" s="564">
        <f>IF(B19="D",P19,0)</f>
        <v>200</v>
      </c>
      <c r="AF19" s="564">
        <f>IF(B19="M",P19,0)</f>
        <v>0</v>
      </c>
      <c r="AG19" s="564">
        <f>IF(B19="V",P19,0)</f>
        <v>0</v>
      </c>
    </row>
    <row r="20" spans="1:33">
      <c r="A20" s="372" t="s">
        <v>109</v>
      </c>
      <c r="B20" s="472" t="s">
        <v>109</v>
      </c>
      <c r="C20" s="373" t="s">
        <v>382</v>
      </c>
      <c r="D20" s="449"/>
      <c r="E20" s="529">
        <f>'Q3 DMV - Revenue'!S20</f>
        <v>6680.12</v>
      </c>
      <c r="F20" s="315"/>
      <c r="G20" s="546"/>
      <c r="H20" s="315"/>
      <c r="I20" s="379">
        <f>SUM(D20:H20)</f>
        <v>6680.12</v>
      </c>
      <c r="J20" s="380"/>
      <c r="K20" s="337"/>
      <c r="L20" s="381">
        <v>7000</v>
      </c>
      <c r="M20" s="380">
        <v>0</v>
      </c>
      <c r="N20" s="428">
        <v>6680.12</v>
      </c>
      <c r="O20" s="380">
        <v>0</v>
      </c>
      <c r="P20" s="426">
        <f t="shared" ref="P20:P89" si="2">K20+L20</f>
        <v>7000</v>
      </c>
      <c r="Q20" s="383"/>
      <c r="R20" s="384"/>
      <c r="S20" s="385">
        <f t="shared" si="0"/>
        <v>-7000</v>
      </c>
      <c r="T20" s="380"/>
      <c r="U20" s="474">
        <f t="shared" ref="U20:U85" si="3">IF(B20="D",P20,0)</f>
        <v>0</v>
      </c>
      <c r="V20" s="474">
        <f t="shared" ref="V20:V85" si="4">IF(B20="M",P20,0)</f>
        <v>7000</v>
      </c>
      <c r="W20" s="475">
        <f t="shared" ref="W20:W85" si="5">IF(B20="V",P20,0)</f>
        <v>0</v>
      </c>
      <c r="X20" s="475">
        <v>0</v>
      </c>
      <c r="Y20" s="476">
        <v>0</v>
      </c>
      <c r="Z20" s="38">
        <f t="shared" si="1"/>
        <v>0</v>
      </c>
      <c r="AA20" s="564">
        <f t="shared" ref="AA20:AA85" si="6">IF(B20="D",I20,0)</f>
        <v>0</v>
      </c>
      <c r="AB20" s="564">
        <f t="shared" ref="AB20:AB85" si="7">IF(B20="M",I20,0)</f>
        <v>6680.12</v>
      </c>
      <c r="AC20" s="564">
        <f t="shared" ref="AC20:AC85" si="8">IF(B20="V",I20,0)</f>
        <v>0</v>
      </c>
      <c r="AE20" s="564">
        <f t="shared" ref="AE20:AE85" si="9">IF(B20="D",P20,0)</f>
        <v>0</v>
      </c>
      <c r="AF20" s="564">
        <f t="shared" ref="AF20:AF85" si="10">IF(B20="M",P20,0)</f>
        <v>7000</v>
      </c>
      <c r="AG20" s="564">
        <f t="shared" ref="AG20:AG85" si="11">IF(B20="V",P20,0)</f>
        <v>0</v>
      </c>
    </row>
    <row r="21" spans="1:33">
      <c r="A21" s="20" t="s">
        <v>109</v>
      </c>
      <c r="B21" s="20" t="s">
        <v>110</v>
      </c>
      <c r="C21" s="123" t="s">
        <v>317</v>
      </c>
      <c r="D21" s="449"/>
      <c r="E21" s="529">
        <f>'Q3 DMV - Revenue'!S21</f>
        <v>-2441.130000000001</v>
      </c>
      <c r="F21" s="342">
        <f>10931.45+8258.92</f>
        <v>19190.370000000003</v>
      </c>
      <c r="G21" s="375">
        <f>13682.77+9818.21</f>
        <v>23500.98</v>
      </c>
      <c r="H21" s="342">
        <v>42288.49</v>
      </c>
      <c r="I21" s="379">
        <f>SUM(D21:H21)</f>
        <v>82538.709999999992</v>
      </c>
      <c r="J21" s="31"/>
      <c r="K21" s="84"/>
      <c r="L21" s="42"/>
      <c r="M21" s="31">
        <v>0</v>
      </c>
      <c r="N21" s="429">
        <v>184046.78</v>
      </c>
      <c r="O21" s="31">
        <v>0</v>
      </c>
      <c r="P21" s="426">
        <f t="shared" si="2"/>
        <v>0</v>
      </c>
      <c r="Q21" s="178"/>
      <c r="R21" s="295"/>
      <c r="S21" s="328">
        <f t="shared" si="0"/>
        <v>0</v>
      </c>
      <c r="T21" s="31"/>
      <c r="U21" s="474">
        <f t="shared" si="3"/>
        <v>0</v>
      </c>
      <c r="V21" s="474">
        <f t="shared" si="4"/>
        <v>0</v>
      </c>
      <c r="W21" s="475">
        <f t="shared" si="5"/>
        <v>0</v>
      </c>
      <c r="X21" s="475">
        <v>0</v>
      </c>
      <c r="Y21" s="476">
        <v>0</v>
      </c>
      <c r="Z21" s="38">
        <f t="shared" si="1"/>
        <v>0</v>
      </c>
      <c r="AA21" s="564">
        <f t="shared" si="6"/>
        <v>82538.709999999992</v>
      </c>
      <c r="AB21" s="564">
        <f t="shared" si="7"/>
        <v>0</v>
      </c>
      <c r="AC21" s="564">
        <f t="shared" si="8"/>
        <v>0</v>
      </c>
      <c r="AE21" s="564">
        <f t="shared" si="9"/>
        <v>0</v>
      </c>
      <c r="AF21" s="564">
        <f t="shared" si="10"/>
        <v>0</v>
      </c>
      <c r="AG21" s="564">
        <f t="shared" si="11"/>
        <v>0</v>
      </c>
    </row>
    <row r="22" spans="1:33">
      <c r="A22" s="20" t="s">
        <v>109</v>
      </c>
      <c r="B22" s="20" t="s">
        <v>109</v>
      </c>
      <c r="C22" s="68" t="s">
        <v>393</v>
      </c>
      <c r="D22" s="449"/>
      <c r="E22" s="529">
        <f>'Q3 DMV - Revenue'!S22</f>
        <v>-649.83000000000175</v>
      </c>
      <c r="F22" s="342">
        <v>24035.99</v>
      </c>
      <c r="G22" s="375">
        <v>20678.16</v>
      </c>
      <c r="H22" s="342">
        <v>19060.41</v>
      </c>
      <c r="I22" s="379">
        <f>SUM(D22:H22)</f>
        <v>63124.729999999996</v>
      </c>
      <c r="J22" s="31"/>
      <c r="K22" s="335"/>
      <c r="L22" s="42"/>
      <c r="M22" s="31">
        <v>0</v>
      </c>
      <c r="N22" s="429">
        <v>25000</v>
      </c>
      <c r="O22" s="31">
        <v>0</v>
      </c>
      <c r="P22" s="426">
        <f t="shared" si="2"/>
        <v>0</v>
      </c>
      <c r="Q22" s="178"/>
      <c r="R22" s="295"/>
      <c r="S22" s="328">
        <f t="shared" si="0"/>
        <v>0</v>
      </c>
      <c r="T22" s="31"/>
      <c r="U22" s="474">
        <f t="shared" si="3"/>
        <v>0</v>
      </c>
      <c r="V22" s="474">
        <f t="shared" si="4"/>
        <v>0</v>
      </c>
      <c r="W22" s="475">
        <f t="shared" si="5"/>
        <v>0</v>
      </c>
      <c r="X22" s="475">
        <v>0</v>
      </c>
      <c r="Y22" s="476">
        <v>0</v>
      </c>
      <c r="Z22" s="38">
        <f t="shared" si="1"/>
        <v>0</v>
      </c>
      <c r="AA22" s="564">
        <f t="shared" si="6"/>
        <v>0</v>
      </c>
      <c r="AB22" s="564">
        <f t="shared" si="7"/>
        <v>63124.729999999996</v>
      </c>
      <c r="AC22" s="564">
        <f t="shared" si="8"/>
        <v>0</v>
      </c>
      <c r="AE22" s="564">
        <f t="shared" si="9"/>
        <v>0</v>
      </c>
      <c r="AF22" s="564">
        <f t="shared" si="10"/>
        <v>0</v>
      </c>
      <c r="AG22" s="564">
        <f t="shared" si="11"/>
        <v>0</v>
      </c>
    </row>
    <row r="23" spans="1:33">
      <c r="A23" s="20" t="s">
        <v>109</v>
      </c>
      <c r="B23" s="20" t="s">
        <v>110</v>
      </c>
      <c r="C23" s="68" t="s">
        <v>128</v>
      </c>
      <c r="D23" s="536"/>
      <c r="E23" s="530" t="str">
        <f>'Q2 DMV - Revenue'!T22</f>
        <v/>
      </c>
      <c r="F23" s="530">
        <f>'Q2 DMV - Revenue'!U22</f>
        <v>0</v>
      </c>
      <c r="G23" s="547"/>
      <c r="H23" s="430"/>
      <c r="I23" s="522"/>
      <c r="J23" s="522"/>
      <c r="K23" s="198"/>
      <c r="L23" s="198"/>
      <c r="M23" s="31">
        <v>0</v>
      </c>
      <c r="N23" s="430"/>
      <c r="O23" s="31">
        <v>0</v>
      </c>
      <c r="P23" s="426">
        <f t="shared" si="2"/>
        <v>0</v>
      </c>
      <c r="Q23" s="178"/>
      <c r="R23" s="295"/>
      <c r="S23" s="328">
        <f t="shared" si="0"/>
        <v>0</v>
      </c>
      <c r="T23" s="198"/>
      <c r="U23" s="474">
        <f t="shared" si="3"/>
        <v>0</v>
      </c>
      <c r="V23" s="474">
        <f t="shared" si="4"/>
        <v>0</v>
      </c>
      <c r="W23" s="475">
        <f t="shared" si="5"/>
        <v>0</v>
      </c>
      <c r="X23" s="475">
        <v>0</v>
      </c>
      <c r="Y23" s="476">
        <v>0</v>
      </c>
      <c r="Z23" s="38">
        <f t="shared" si="1"/>
        <v>0</v>
      </c>
      <c r="AA23" s="564">
        <f t="shared" si="6"/>
        <v>0</v>
      </c>
      <c r="AB23" s="564">
        <f t="shared" si="7"/>
        <v>0</v>
      </c>
      <c r="AC23" s="564">
        <f t="shared" si="8"/>
        <v>0</v>
      </c>
      <c r="AE23" s="564">
        <f t="shared" si="9"/>
        <v>0</v>
      </c>
      <c r="AF23" s="564">
        <f t="shared" si="10"/>
        <v>0</v>
      </c>
      <c r="AG23" s="564">
        <f t="shared" si="11"/>
        <v>0</v>
      </c>
    </row>
    <row r="24" spans="1:33">
      <c r="A24" s="20" t="s">
        <v>109</v>
      </c>
      <c r="B24" s="20" t="s">
        <v>110</v>
      </c>
      <c r="C24" s="68" t="s">
        <v>129</v>
      </c>
      <c r="D24" s="449"/>
      <c r="E24" s="529">
        <f>'Q3 DMV - Revenue'!S24</f>
        <v>9.1899999999999977</v>
      </c>
      <c r="F24" s="342">
        <v>103.11</v>
      </c>
      <c r="G24" s="375">
        <v>144.87</v>
      </c>
      <c r="H24" s="342">
        <v>71.17</v>
      </c>
      <c r="I24" s="379">
        <f>SUM(D24:H24)</f>
        <v>328.34000000000003</v>
      </c>
      <c r="J24" s="31"/>
      <c r="K24" s="84"/>
      <c r="L24" s="42"/>
      <c r="M24" s="31">
        <v>0</v>
      </c>
      <c r="N24" s="429"/>
      <c r="O24" s="31">
        <v>0</v>
      </c>
      <c r="P24" s="426">
        <f t="shared" si="2"/>
        <v>0</v>
      </c>
      <c r="Q24" s="178"/>
      <c r="R24" s="295"/>
      <c r="S24" s="328">
        <f t="shared" si="0"/>
        <v>0</v>
      </c>
      <c r="T24" s="31"/>
      <c r="U24" s="474">
        <f t="shared" si="3"/>
        <v>0</v>
      </c>
      <c r="V24" s="474">
        <f t="shared" si="4"/>
        <v>0</v>
      </c>
      <c r="W24" s="475">
        <f t="shared" si="5"/>
        <v>0</v>
      </c>
      <c r="X24" s="475">
        <v>0</v>
      </c>
      <c r="Y24" s="476">
        <v>0</v>
      </c>
      <c r="Z24" s="38">
        <f t="shared" si="1"/>
        <v>0</v>
      </c>
      <c r="AA24" s="564">
        <f t="shared" si="6"/>
        <v>328.34000000000003</v>
      </c>
      <c r="AB24" s="564">
        <f t="shared" si="7"/>
        <v>0</v>
      </c>
      <c r="AC24" s="564">
        <f t="shared" si="8"/>
        <v>0</v>
      </c>
      <c r="AE24" s="564">
        <f t="shared" si="9"/>
        <v>0</v>
      </c>
      <c r="AF24" s="564">
        <f t="shared" si="10"/>
        <v>0</v>
      </c>
      <c r="AG24" s="564">
        <f t="shared" si="11"/>
        <v>0</v>
      </c>
    </row>
    <row r="25" spans="1:33">
      <c r="A25" s="20" t="s">
        <v>109</v>
      </c>
      <c r="B25" s="20" t="s">
        <v>110</v>
      </c>
      <c r="C25" s="68" t="s">
        <v>130</v>
      </c>
      <c r="D25" s="536"/>
      <c r="E25" s="530" t="str">
        <f>'Q2 DMV - Revenue'!T24</f>
        <v/>
      </c>
      <c r="F25" s="197"/>
      <c r="G25" s="547"/>
      <c r="H25" s="430"/>
      <c r="I25" s="522"/>
      <c r="J25" s="522"/>
      <c r="K25" s="198"/>
      <c r="L25" s="198"/>
      <c r="M25" s="31">
        <v>0</v>
      </c>
      <c r="N25" s="430"/>
      <c r="O25" s="31">
        <v>0</v>
      </c>
      <c r="P25" s="426">
        <f t="shared" si="2"/>
        <v>0</v>
      </c>
      <c r="Q25" s="178"/>
      <c r="R25" s="295"/>
      <c r="S25" s="328">
        <f t="shared" si="0"/>
        <v>0</v>
      </c>
      <c r="T25" s="198"/>
      <c r="U25" s="474">
        <f t="shared" si="3"/>
        <v>0</v>
      </c>
      <c r="V25" s="474">
        <f t="shared" si="4"/>
        <v>0</v>
      </c>
      <c r="W25" s="475">
        <f t="shared" si="5"/>
        <v>0</v>
      </c>
      <c r="X25" s="475">
        <v>0</v>
      </c>
      <c r="Y25" s="476">
        <v>0</v>
      </c>
      <c r="Z25" s="38">
        <f t="shared" si="1"/>
        <v>0</v>
      </c>
      <c r="AA25" s="564">
        <f t="shared" si="6"/>
        <v>0</v>
      </c>
      <c r="AB25" s="564">
        <f t="shared" si="7"/>
        <v>0</v>
      </c>
      <c r="AC25" s="564">
        <f t="shared" si="8"/>
        <v>0</v>
      </c>
      <c r="AE25" s="564">
        <f t="shared" si="9"/>
        <v>0</v>
      </c>
      <c r="AF25" s="564">
        <f t="shared" si="10"/>
        <v>0</v>
      </c>
      <c r="AG25" s="564">
        <f t="shared" si="11"/>
        <v>0</v>
      </c>
    </row>
    <row r="26" spans="1:33">
      <c r="A26" s="20"/>
      <c r="B26" s="20" t="s">
        <v>110</v>
      </c>
      <c r="C26" s="123" t="s">
        <v>380</v>
      </c>
      <c r="D26" s="537"/>
      <c r="E26" s="529">
        <f>'Q3 DMV - Revenue'!S26</f>
        <v>0</v>
      </c>
      <c r="F26" s="342">
        <v>3245.87</v>
      </c>
      <c r="G26" s="375">
        <v>3497.2</v>
      </c>
      <c r="H26" s="342">
        <v>3425.95</v>
      </c>
      <c r="I26" s="379">
        <f>SUM(D26:H26)</f>
        <v>10169.02</v>
      </c>
      <c r="J26" s="31"/>
      <c r="K26" s="84"/>
      <c r="L26" s="42"/>
      <c r="M26" s="31">
        <v>0</v>
      </c>
      <c r="N26" s="429">
        <v>26909.62</v>
      </c>
      <c r="O26" s="31">
        <v>0</v>
      </c>
      <c r="P26" s="426">
        <f t="shared" si="2"/>
        <v>0</v>
      </c>
      <c r="Q26" s="178"/>
      <c r="R26" s="295"/>
      <c r="S26" s="328">
        <f t="shared" si="0"/>
        <v>0</v>
      </c>
      <c r="T26" s="31"/>
      <c r="U26" s="474">
        <f t="shared" si="3"/>
        <v>0</v>
      </c>
      <c r="V26" s="474">
        <f t="shared" si="4"/>
        <v>0</v>
      </c>
      <c r="W26" s="475">
        <f t="shared" si="5"/>
        <v>0</v>
      </c>
      <c r="X26" s="475">
        <v>0</v>
      </c>
      <c r="Y26" s="476">
        <v>0</v>
      </c>
      <c r="Z26" s="38">
        <f t="shared" si="1"/>
        <v>0</v>
      </c>
      <c r="AA26" s="564">
        <f t="shared" si="6"/>
        <v>10169.02</v>
      </c>
      <c r="AB26" s="564">
        <f t="shared" si="7"/>
        <v>0</v>
      </c>
      <c r="AC26" s="564">
        <f t="shared" si="8"/>
        <v>0</v>
      </c>
      <c r="AE26" s="564">
        <f t="shared" si="9"/>
        <v>0</v>
      </c>
      <c r="AF26" s="564">
        <f t="shared" si="10"/>
        <v>0</v>
      </c>
      <c r="AG26" s="564">
        <f t="shared" si="11"/>
        <v>0</v>
      </c>
    </row>
    <row r="27" spans="1:33">
      <c r="A27" s="20"/>
      <c r="B27" s="20" t="s">
        <v>110</v>
      </c>
      <c r="C27" s="123" t="s">
        <v>132</v>
      </c>
      <c r="D27" s="537"/>
      <c r="E27" s="529">
        <f>'Q3 DMV - Revenue'!S27</f>
        <v>0</v>
      </c>
      <c r="F27" s="342">
        <v>4193.1099999999997</v>
      </c>
      <c r="G27" s="375">
        <v>3814.46</v>
      </c>
      <c r="H27" s="342">
        <v>3758.8</v>
      </c>
      <c r="I27" s="379">
        <f t="shared" ref="I27:I93" si="12">SUM(D27:H27)</f>
        <v>11766.369999999999</v>
      </c>
      <c r="J27" s="31"/>
      <c r="K27" s="84"/>
      <c r="L27" s="42"/>
      <c r="M27" s="31">
        <v>0</v>
      </c>
      <c r="N27" s="429"/>
      <c r="O27" s="31">
        <v>0</v>
      </c>
      <c r="P27" s="426">
        <f t="shared" si="2"/>
        <v>0</v>
      </c>
      <c r="Q27" s="178"/>
      <c r="R27" s="295"/>
      <c r="S27" s="328">
        <f t="shared" si="0"/>
        <v>0</v>
      </c>
      <c r="T27" s="31"/>
      <c r="U27" s="474">
        <f t="shared" si="3"/>
        <v>0</v>
      </c>
      <c r="V27" s="474">
        <f t="shared" si="4"/>
        <v>0</v>
      </c>
      <c r="W27" s="475">
        <f t="shared" si="5"/>
        <v>0</v>
      </c>
      <c r="X27" s="475">
        <v>0</v>
      </c>
      <c r="Y27" s="476">
        <v>0</v>
      </c>
      <c r="Z27" s="38">
        <f t="shared" si="1"/>
        <v>0</v>
      </c>
      <c r="AA27" s="564">
        <f t="shared" si="6"/>
        <v>11766.369999999999</v>
      </c>
      <c r="AB27" s="564">
        <f t="shared" si="7"/>
        <v>0</v>
      </c>
      <c r="AC27" s="564">
        <f t="shared" si="8"/>
        <v>0</v>
      </c>
      <c r="AE27" s="564">
        <f t="shared" si="9"/>
        <v>0</v>
      </c>
      <c r="AF27" s="564">
        <f t="shared" si="10"/>
        <v>0</v>
      </c>
      <c r="AG27" s="564">
        <f t="shared" si="11"/>
        <v>0</v>
      </c>
    </row>
    <row r="28" spans="1:33">
      <c r="A28" s="20"/>
      <c r="B28" s="20" t="s">
        <v>110</v>
      </c>
      <c r="C28" s="123" t="s">
        <v>133</v>
      </c>
      <c r="D28" s="449"/>
      <c r="E28" s="529">
        <f>'Q3 DMV - Revenue'!S28</f>
        <v>0</v>
      </c>
      <c r="F28" s="342">
        <v>1611.9</v>
      </c>
      <c r="G28" s="375">
        <v>1503.6</v>
      </c>
      <c r="H28" s="342">
        <v>1872.8</v>
      </c>
      <c r="I28" s="379">
        <f t="shared" si="12"/>
        <v>4988.3</v>
      </c>
      <c r="J28" s="31"/>
      <c r="K28" s="84"/>
      <c r="L28" s="42"/>
      <c r="M28" s="31">
        <v>0</v>
      </c>
      <c r="N28" s="429"/>
      <c r="O28" s="31">
        <v>0</v>
      </c>
      <c r="P28" s="426">
        <f t="shared" si="2"/>
        <v>0</v>
      </c>
      <c r="Q28" s="178"/>
      <c r="R28" s="295"/>
      <c r="S28" s="328">
        <f t="shared" si="0"/>
        <v>0</v>
      </c>
      <c r="T28" s="31"/>
      <c r="U28" s="474">
        <f t="shared" si="3"/>
        <v>0</v>
      </c>
      <c r="V28" s="474">
        <f t="shared" si="4"/>
        <v>0</v>
      </c>
      <c r="W28" s="475">
        <f t="shared" si="5"/>
        <v>0</v>
      </c>
      <c r="X28" s="475">
        <v>0</v>
      </c>
      <c r="Y28" s="476">
        <v>0</v>
      </c>
      <c r="Z28" s="38">
        <f t="shared" si="1"/>
        <v>0</v>
      </c>
      <c r="AA28" s="564">
        <f t="shared" si="6"/>
        <v>4988.3</v>
      </c>
      <c r="AB28" s="564">
        <f t="shared" si="7"/>
        <v>0</v>
      </c>
      <c r="AC28" s="564">
        <f t="shared" si="8"/>
        <v>0</v>
      </c>
      <c r="AE28" s="564">
        <f t="shared" si="9"/>
        <v>0</v>
      </c>
      <c r="AF28" s="564">
        <f t="shared" si="10"/>
        <v>0</v>
      </c>
      <c r="AG28" s="564">
        <f t="shared" si="11"/>
        <v>0</v>
      </c>
    </row>
    <row r="29" spans="1:33" s="232" customFormat="1">
      <c r="A29" s="283" t="s">
        <v>211</v>
      </c>
      <c r="B29" s="283" t="s">
        <v>109</v>
      </c>
      <c r="C29" s="573" t="s">
        <v>419</v>
      </c>
      <c r="D29" s="514"/>
      <c r="E29" s="529">
        <f>'Q3 DMV - Revenue'!S29</f>
        <v>-3768.5899999999965</v>
      </c>
      <c r="F29" s="315"/>
      <c r="G29" s="546"/>
      <c r="H29" s="315"/>
      <c r="I29" s="379">
        <f t="shared" si="12"/>
        <v>-3768.5899999999965</v>
      </c>
      <c r="J29" s="31"/>
      <c r="K29" s="86"/>
      <c r="L29" s="290">
        <v>40000</v>
      </c>
      <c r="M29" s="31">
        <v>0</v>
      </c>
      <c r="N29" s="429">
        <v>47098.6</v>
      </c>
      <c r="O29" s="31">
        <v>0</v>
      </c>
      <c r="P29" s="426">
        <f t="shared" si="2"/>
        <v>40000</v>
      </c>
      <c r="Q29" s="14"/>
      <c r="R29" s="295"/>
      <c r="S29" s="328">
        <f t="shared" si="0"/>
        <v>-40000</v>
      </c>
      <c r="T29" s="31"/>
      <c r="U29" s="474">
        <f t="shared" si="3"/>
        <v>0</v>
      </c>
      <c r="V29" s="474">
        <f t="shared" si="4"/>
        <v>40000</v>
      </c>
      <c r="W29" s="475">
        <f t="shared" si="5"/>
        <v>0</v>
      </c>
      <c r="X29" s="475">
        <v>0</v>
      </c>
      <c r="Y29" s="476">
        <v>0</v>
      </c>
      <c r="Z29" s="38">
        <f t="shared" si="1"/>
        <v>0</v>
      </c>
      <c r="AA29" s="564">
        <f t="shared" si="6"/>
        <v>0</v>
      </c>
      <c r="AB29" s="564">
        <f t="shared" si="7"/>
        <v>-3768.5899999999965</v>
      </c>
      <c r="AC29" s="564">
        <f t="shared" si="8"/>
        <v>0</v>
      </c>
      <c r="AD29" s="565"/>
      <c r="AE29" s="564">
        <f t="shared" si="9"/>
        <v>0</v>
      </c>
      <c r="AF29" s="564">
        <f t="shared" si="10"/>
        <v>40000</v>
      </c>
      <c r="AG29" s="564">
        <f t="shared" si="11"/>
        <v>0</v>
      </c>
    </row>
    <row r="30" spans="1:33" s="232" customFormat="1">
      <c r="A30" s="283"/>
      <c r="B30" s="283" t="s">
        <v>109</v>
      </c>
      <c r="C30" s="574" t="s">
        <v>420</v>
      </c>
      <c r="D30" s="514"/>
      <c r="E30" s="529">
        <f>'Q3 DMV - Revenue'!S30</f>
        <v>73.889999999999873</v>
      </c>
      <c r="F30" s="315"/>
      <c r="G30" s="546"/>
      <c r="H30" s="315"/>
      <c r="I30" s="379">
        <f t="shared" si="12"/>
        <v>73.889999999999873</v>
      </c>
      <c r="J30" s="31"/>
      <c r="K30" s="86"/>
      <c r="L30" s="290">
        <v>2000</v>
      </c>
      <c r="M30" s="31">
        <v>0</v>
      </c>
      <c r="N30" s="429"/>
      <c r="O30" s="31">
        <v>0</v>
      </c>
      <c r="P30" s="426">
        <f t="shared" si="2"/>
        <v>2000</v>
      </c>
      <c r="Q30" s="14"/>
      <c r="R30" s="295"/>
      <c r="S30" s="328">
        <f t="shared" si="0"/>
        <v>-2000</v>
      </c>
      <c r="T30" s="31"/>
      <c r="U30" s="474">
        <f t="shared" si="3"/>
        <v>0</v>
      </c>
      <c r="V30" s="474">
        <f t="shared" si="4"/>
        <v>2000</v>
      </c>
      <c r="W30" s="475">
        <f t="shared" si="5"/>
        <v>0</v>
      </c>
      <c r="X30" s="475">
        <v>0</v>
      </c>
      <c r="Y30" s="476">
        <v>0</v>
      </c>
      <c r="Z30" s="38">
        <f t="shared" si="1"/>
        <v>0</v>
      </c>
      <c r="AA30" s="564">
        <f t="shared" si="6"/>
        <v>0</v>
      </c>
      <c r="AB30" s="564">
        <f t="shared" si="7"/>
        <v>73.889999999999873</v>
      </c>
      <c r="AC30" s="564">
        <f t="shared" si="8"/>
        <v>0</v>
      </c>
      <c r="AD30" s="565"/>
      <c r="AE30" s="564">
        <f t="shared" si="9"/>
        <v>0</v>
      </c>
      <c r="AF30" s="564">
        <f t="shared" si="10"/>
        <v>2000</v>
      </c>
      <c r="AG30" s="564">
        <f t="shared" si="11"/>
        <v>0</v>
      </c>
    </row>
    <row r="31" spans="1:33" s="232" customFormat="1">
      <c r="A31" s="283"/>
      <c r="B31" s="283" t="s">
        <v>109</v>
      </c>
      <c r="C31" s="574" t="s">
        <v>421</v>
      </c>
      <c r="D31" s="514"/>
      <c r="E31" s="529">
        <f>'Q3 DMV - Revenue'!S31</f>
        <v>-206.70000000000005</v>
      </c>
      <c r="F31" s="315"/>
      <c r="G31" s="546"/>
      <c r="H31" s="315"/>
      <c r="I31" s="379">
        <f t="shared" si="12"/>
        <v>-206.70000000000005</v>
      </c>
      <c r="J31" s="31"/>
      <c r="K31" s="86"/>
      <c r="L31" s="290">
        <v>1000</v>
      </c>
      <c r="M31" s="31">
        <v>0</v>
      </c>
      <c r="N31" s="429"/>
      <c r="O31" s="31">
        <v>0</v>
      </c>
      <c r="P31" s="426">
        <f t="shared" si="2"/>
        <v>1000</v>
      </c>
      <c r="Q31" s="14"/>
      <c r="R31" s="295"/>
      <c r="S31" s="328">
        <f t="shared" si="0"/>
        <v>-1000</v>
      </c>
      <c r="T31" s="31"/>
      <c r="U31" s="474">
        <f t="shared" si="3"/>
        <v>0</v>
      </c>
      <c r="V31" s="474">
        <f t="shared" si="4"/>
        <v>1000</v>
      </c>
      <c r="W31" s="475">
        <f t="shared" si="5"/>
        <v>0</v>
      </c>
      <c r="X31" s="475">
        <v>0</v>
      </c>
      <c r="Y31" s="476">
        <v>0</v>
      </c>
      <c r="Z31" s="38">
        <f t="shared" si="1"/>
        <v>0</v>
      </c>
      <c r="AA31" s="564">
        <f t="shared" si="6"/>
        <v>0</v>
      </c>
      <c r="AB31" s="564">
        <f t="shared" si="7"/>
        <v>-206.70000000000005</v>
      </c>
      <c r="AC31" s="564">
        <f t="shared" si="8"/>
        <v>0</v>
      </c>
      <c r="AD31" s="565"/>
      <c r="AE31" s="564">
        <f t="shared" si="9"/>
        <v>0</v>
      </c>
      <c r="AF31" s="564">
        <f t="shared" si="10"/>
        <v>1000</v>
      </c>
      <c r="AG31" s="564">
        <f t="shared" si="11"/>
        <v>0</v>
      </c>
    </row>
    <row r="32" spans="1:33">
      <c r="A32" s="20"/>
      <c r="B32" s="20" t="s">
        <v>110</v>
      </c>
      <c r="C32" s="68" t="s">
        <v>191</v>
      </c>
      <c r="D32" s="449"/>
      <c r="E32" s="529">
        <f>'Q3 DMV - Revenue'!S32</f>
        <v>0</v>
      </c>
      <c r="F32" s="342">
        <v>183.88</v>
      </c>
      <c r="G32" s="375">
        <v>243.62</v>
      </c>
      <c r="H32" s="342">
        <v>735.92</v>
      </c>
      <c r="I32" s="379">
        <f t="shared" si="12"/>
        <v>1163.42</v>
      </c>
      <c r="J32" s="31"/>
      <c r="K32" s="84"/>
      <c r="L32" s="42"/>
      <c r="M32" s="31">
        <v>0</v>
      </c>
      <c r="N32" s="429">
        <v>1163.42</v>
      </c>
      <c r="O32" s="31">
        <v>0</v>
      </c>
      <c r="P32" s="426">
        <f t="shared" si="2"/>
        <v>0</v>
      </c>
      <c r="Q32" s="178"/>
      <c r="R32" s="295"/>
      <c r="S32" s="328">
        <f t="shared" si="0"/>
        <v>0</v>
      </c>
      <c r="T32" s="31"/>
      <c r="U32" s="474">
        <f t="shared" si="3"/>
        <v>0</v>
      </c>
      <c r="V32" s="474">
        <f t="shared" si="4"/>
        <v>0</v>
      </c>
      <c r="W32" s="475">
        <f t="shared" si="5"/>
        <v>0</v>
      </c>
      <c r="X32" s="475">
        <v>0</v>
      </c>
      <c r="Y32" s="476">
        <v>0</v>
      </c>
      <c r="Z32" s="38">
        <f t="shared" si="1"/>
        <v>0</v>
      </c>
      <c r="AA32" s="564">
        <f t="shared" si="6"/>
        <v>1163.42</v>
      </c>
      <c r="AB32" s="564">
        <f t="shared" si="7"/>
        <v>0</v>
      </c>
      <c r="AC32" s="564">
        <f t="shared" si="8"/>
        <v>0</v>
      </c>
      <c r="AE32" s="564">
        <f t="shared" si="9"/>
        <v>0</v>
      </c>
      <c r="AF32" s="564">
        <f t="shared" si="10"/>
        <v>0</v>
      </c>
      <c r="AG32" s="564">
        <f t="shared" si="11"/>
        <v>0</v>
      </c>
    </row>
    <row r="33" spans="1:33">
      <c r="A33" s="20"/>
      <c r="B33" s="20" t="s">
        <v>109</v>
      </c>
      <c r="C33" s="68" t="s">
        <v>1</v>
      </c>
      <c r="D33" s="449">
        <f>5.95+1.19+43.82</f>
        <v>50.96</v>
      </c>
      <c r="E33" s="529">
        <f>'Q3 DMV - Revenue'!S33</f>
        <v>21.409999999999997</v>
      </c>
      <c r="F33" s="342">
        <f>2.97+1.78</f>
        <v>4.75</v>
      </c>
      <c r="G33" s="375">
        <v>1.78</v>
      </c>
      <c r="H33" s="342">
        <f>1.19+1.19</f>
        <v>2.38</v>
      </c>
      <c r="I33" s="379">
        <f t="shared" si="12"/>
        <v>81.28</v>
      </c>
      <c r="J33" s="31"/>
      <c r="K33" s="84"/>
      <c r="L33" s="42"/>
      <c r="M33" s="31">
        <v>0</v>
      </c>
      <c r="N33" s="429">
        <v>43.82</v>
      </c>
      <c r="O33" s="31">
        <v>0</v>
      </c>
      <c r="P33" s="426">
        <f t="shared" si="2"/>
        <v>0</v>
      </c>
      <c r="Q33" s="178"/>
      <c r="R33" s="295"/>
      <c r="S33" s="328">
        <f t="shared" si="0"/>
        <v>0</v>
      </c>
      <c r="T33" s="31"/>
      <c r="U33" s="474">
        <f t="shared" si="3"/>
        <v>0</v>
      </c>
      <c r="V33" s="474">
        <f t="shared" si="4"/>
        <v>0</v>
      </c>
      <c r="W33" s="475">
        <f t="shared" si="5"/>
        <v>0</v>
      </c>
      <c r="X33" s="475">
        <v>0</v>
      </c>
      <c r="Y33" s="476">
        <v>0</v>
      </c>
      <c r="Z33" s="38">
        <f t="shared" si="1"/>
        <v>0</v>
      </c>
      <c r="AA33" s="564">
        <f t="shared" si="6"/>
        <v>0</v>
      </c>
      <c r="AB33" s="564">
        <f t="shared" si="7"/>
        <v>81.28</v>
      </c>
      <c r="AC33" s="564">
        <f t="shared" si="8"/>
        <v>0</v>
      </c>
      <c r="AE33" s="564">
        <f t="shared" si="9"/>
        <v>0</v>
      </c>
      <c r="AF33" s="564">
        <f t="shared" si="10"/>
        <v>0</v>
      </c>
      <c r="AG33" s="564">
        <f t="shared" si="11"/>
        <v>0</v>
      </c>
    </row>
    <row r="34" spans="1:33">
      <c r="A34" s="20"/>
      <c r="B34" s="20" t="s">
        <v>109</v>
      </c>
      <c r="C34" s="68" t="s">
        <v>385</v>
      </c>
      <c r="D34" s="449"/>
      <c r="E34" s="529">
        <f>'Q3 DMV - Revenue'!S34</f>
        <v>-125.44499999999994</v>
      </c>
      <c r="F34" s="342">
        <v>1961.8</v>
      </c>
      <c r="G34" s="375">
        <v>1825</v>
      </c>
      <c r="H34" s="342">
        <v>1731.02</v>
      </c>
      <c r="I34" s="379">
        <f t="shared" si="12"/>
        <v>5392.375</v>
      </c>
      <c r="J34" s="380"/>
      <c r="K34" s="337"/>
      <c r="L34" s="381"/>
      <c r="M34" s="380">
        <v>0</v>
      </c>
      <c r="N34" s="429">
        <v>7327.96</v>
      </c>
      <c r="O34" s="380">
        <v>0</v>
      </c>
      <c r="P34" s="426">
        <f t="shared" si="2"/>
        <v>0</v>
      </c>
      <c r="Q34" s="178"/>
      <c r="R34" s="295"/>
      <c r="S34" s="328">
        <f t="shared" si="0"/>
        <v>0</v>
      </c>
      <c r="T34" s="380"/>
      <c r="U34" s="474">
        <f t="shared" si="3"/>
        <v>0</v>
      </c>
      <c r="V34" s="474">
        <f t="shared" si="4"/>
        <v>0</v>
      </c>
      <c r="W34" s="475">
        <f t="shared" si="5"/>
        <v>0</v>
      </c>
      <c r="X34" s="475">
        <v>0</v>
      </c>
      <c r="Y34" s="476">
        <v>0</v>
      </c>
      <c r="Z34" s="38">
        <f t="shared" si="1"/>
        <v>0</v>
      </c>
      <c r="AA34" s="564">
        <f t="shared" si="6"/>
        <v>0</v>
      </c>
      <c r="AB34" s="564">
        <f t="shared" si="7"/>
        <v>5392.375</v>
      </c>
      <c r="AC34" s="564">
        <f t="shared" si="8"/>
        <v>0</v>
      </c>
      <c r="AE34" s="564">
        <f t="shared" si="9"/>
        <v>0</v>
      </c>
      <c r="AF34" s="564">
        <f t="shared" si="10"/>
        <v>0</v>
      </c>
      <c r="AG34" s="564">
        <f t="shared" si="11"/>
        <v>0</v>
      </c>
    </row>
    <row r="35" spans="1:33" s="232" customFormat="1">
      <c r="A35" s="283"/>
      <c r="B35" s="283" t="s">
        <v>110</v>
      </c>
      <c r="C35" s="123" t="s">
        <v>401</v>
      </c>
      <c r="D35" s="514"/>
      <c r="E35" s="529">
        <f>'Q3 DMV - Revenue'!S35</f>
        <v>-4102</v>
      </c>
      <c r="F35" s="342">
        <v>254997.8</v>
      </c>
      <c r="G35" s="375">
        <v>259932.2</v>
      </c>
      <c r="H35" s="342">
        <v>312829.42</v>
      </c>
      <c r="I35" s="379">
        <f t="shared" si="12"/>
        <v>823657.41999999993</v>
      </c>
      <c r="J35" s="31"/>
      <c r="K35" s="400"/>
      <c r="L35" s="381"/>
      <c r="M35" s="31">
        <v>0</v>
      </c>
      <c r="N35" s="429">
        <v>1089898.71</v>
      </c>
      <c r="O35" s="31">
        <v>0</v>
      </c>
      <c r="P35" s="426">
        <f t="shared" si="2"/>
        <v>0</v>
      </c>
      <c r="Q35" s="14"/>
      <c r="R35" s="295"/>
      <c r="S35" s="328">
        <f t="shared" si="0"/>
        <v>0</v>
      </c>
      <c r="T35" s="31"/>
      <c r="U35" s="474">
        <f t="shared" si="3"/>
        <v>0</v>
      </c>
      <c r="V35" s="474">
        <f t="shared" si="4"/>
        <v>0</v>
      </c>
      <c r="W35" s="475">
        <f t="shared" si="5"/>
        <v>0</v>
      </c>
      <c r="X35" s="475">
        <v>0</v>
      </c>
      <c r="Y35" s="476">
        <v>0</v>
      </c>
      <c r="Z35" s="38">
        <f t="shared" si="1"/>
        <v>0</v>
      </c>
      <c r="AA35" s="564">
        <f t="shared" si="6"/>
        <v>823657.41999999993</v>
      </c>
      <c r="AB35" s="564">
        <f t="shared" si="7"/>
        <v>0</v>
      </c>
      <c r="AC35" s="564">
        <f t="shared" si="8"/>
        <v>0</v>
      </c>
      <c r="AD35" s="565"/>
      <c r="AE35" s="564">
        <f t="shared" si="9"/>
        <v>0</v>
      </c>
      <c r="AF35" s="564">
        <f t="shared" si="10"/>
        <v>0</v>
      </c>
      <c r="AG35" s="564">
        <f t="shared" si="11"/>
        <v>0</v>
      </c>
    </row>
    <row r="36" spans="1:33" s="232" customFormat="1">
      <c r="A36" s="283"/>
      <c r="B36" s="283" t="s">
        <v>110</v>
      </c>
      <c r="C36" s="123" t="s">
        <v>402</v>
      </c>
      <c r="D36" s="514"/>
      <c r="E36" s="529">
        <f>'Q3 DMV - Revenue'!S36</f>
        <v>-962.85000000000036</v>
      </c>
      <c r="F36" s="342">
        <v>5686.1</v>
      </c>
      <c r="G36" s="375">
        <v>5191.8999999999996</v>
      </c>
      <c r="H36" s="342">
        <v>5905.9</v>
      </c>
      <c r="I36" s="379">
        <f t="shared" si="12"/>
        <v>15821.05</v>
      </c>
      <c r="J36" s="31"/>
      <c r="K36" s="86"/>
      <c r="L36" s="381"/>
      <c r="M36" s="31">
        <v>0</v>
      </c>
      <c r="N36" s="429"/>
      <c r="O36" s="31">
        <v>0</v>
      </c>
      <c r="P36" s="426">
        <f t="shared" si="2"/>
        <v>0</v>
      </c>
      <c r="Q36" s="14"/>
      <c r="R36" s="295"/>
      <c r="S36" s="328">
        <f t="shared" si="0"/>
        <v>0</v>
      </c>
      <c r="T36" s="31"/>
      <c r="U36" s="474">
        <f t="shared" si="3"/>
        <v>0</v>
      </c>
      <c r="V36" s="474">
        <f t="shared" si="4"/>
        <v>0</v>
      </c>
      <c r="W36" s="475">
        <f t="shared" si="5"/>
        <v>0</v>
      </c>
      <c r="X36" s="475">
        <v>0</v>
      </c>
      <c r="Y36" s="476">
        <v>0</v>
      </c>
      <c r="Z36" s="38">
        <f t="shared" si="1"/>
        <v>0</v>
      </c>
      <c r="AA36" s="564">
        <f t="shared" si="6"/>
        <v>15821.05</v>
      </c>
      <c r="AB36" s="564">
        <f t="shared" si="7"/>
        <v>0</v>
      </c>
      <c r="AC36" s="564">
        <f t="shared" si="8"/>
        <v>0</v>
      </c>
      <c r="AD36" s="565"/>
      <c r="AE36" s="564">
        <f t="shared" si="9"/>
        <v>0</v>
      </c>
      <c r="AF36" s="564">
        <f t="shared" si="10"/>
        <v>0</v>
      </c>
      <c r="AG36" s="564">
        <f t="shared" si="11"/>
        <v>0</v>
      </c>
    </row>
    <row r="37" spans="1:33" s="232" customFormat="1">
      <c r="A37" s="283"/>
      <c r="B37" s="283" t="s">
        <v>110</v>
      </c>
      <c r="C37" s="123" t="s">
        <v>403</v>
      </c>
      <c r="D37" s="514"/>
      <c r="E37" s="529">
        <f>'Q3 DMV - Revenue'!S37</f>
        <v>-448.00000000000728</v>
      </c>
      <c r="F37" s="342">
        <v>50399.18</v>
      </c>
      <c r="G37" s="375">
        <v>52644.36</v>
      </c>
      <c r="H37" s="342">
        <v>64436.59</v>
      </c>
      <c r="I37" s="379">
        <f t="shared" si="12"/>
        <v>167032.13</v>
      </c>
      <c r="J37" s="31"/>
      <c r="K37" s="400"/>
      <c r="L37" s="510"/>
      <c r="M37" s="31">
        <v>0</v>
      </c>
      <c r="N37" s="429">
        <v>560508.82999999996</v>
      </c>
      <c r="O37" s="31">
        <v>0</v>
      </c>
      <c r="P37" s="426">
        <f t="shared" si="2"/>
        <v>0</v>
      </c>
      <c r="Q37" s="14"/>
      <c r="R37" s="295"/>
      <c r="S37" s="328">
        <f t="shared" si="0"/>
        <v>0</v>
      </c>
      <c r="T37" s="31"/>
      <c r="U37" s="474">
        <f t="shared" si="3"/>
        <v>0</v>
      </c>
      <c r="V37" s="474">
        <f t="shared" si="4"/>
        <v>0</v>
      </c>
      <c r="W37" s="475">
        <f t="shared" si="5"/>
        <v>0</v>
      </c>
      <c r="X37" s="475">
        <v>0</v>
      </c>
      <c r="Y37" s="476">
        <v>0</v>
      </c>
      <c r="Z37" s="38">
        <f t="shared" si="1"/>
        <v>0</v>
      </c>
      <c r="AA37" s="564">
        <f t="shared" si="6"/>
        <v>167032.13</v>
      </c>
      <c r="AB37" s="564">
        <f t="shared" si="7"/>
        <v>0</v>
      </c>
      <c r="AC37" s="564">
        <f t="shared" si="8"/>
        <v>0</v>
      </c>
      <c r="AD37" s="565"/>
      <c r="AE37" s="564">
        <f t="shared" si="9"/>
        <v>0</v>
      </c>
      <c r="AF37" s="564">
        <f t="shared" si="10"/>
        <v>0</v>
      </c>
      <c r="AG37" s="564">
        <f t="shared" si="11"/>
        <v>0</v>
      </c>
    </row>
    <row r="38" spans="1:33" s="232" customFormat="1">
      <c r="A38" s="283"/>
      <c r="B38" s="283" t="s">
        <v>110</v>
      </c>
      <c r="C38" s="123" t="s">
        <v>404</v>
      </c>
      <c r="D38" s="514"/>
      <c r="E38" s="529">
        <f>'Q3 DMV - Revenue'!S38</f>
        <v>-9667.9999999999927</v>
      </c>
      <c r="F38" s="342">
        <v>64382.36</v>
      </c>
      <c r="G38" s="375">
        <v>65520.639999999999</v>
      </c>
      <c r="H38" s="342">
        <v>70462.259999999995</v>
      </c>
      <c r="I38" s="379">
        <f t="shared" si="12"/>
        <v>190697.26</v>
      </c>
      <c r="J38" s="31"/>
      <c r="K38" s="400"/>
      <c r="L38" s="510"/>
      <c r="M38" s="31">
        <v>0</v>
      </c>
      <c r="N38" s="429"/>
      <c r="O38" s="31">
        <v>0</v>
      </c>
      <c r="P38" s="426">
        <f t="shared" si="2"/>
        <v>0</v>
      </c>
      <c r="Q38" s="14"/>
      <c r="R38" s="295"/>
      <c r="S38" s="328">
        <f t="shared" si="0"/>
        <v>0</v>
      </c>
      <c r="T38" s="31"/>
      <c r="U38" s="474">
        <f t="shared" si="3"/>
        <v>0</v>
      </c>
      <c r="V38" s="474">
        <f t="shared" si="4"/>
        <v>0</v>
      </c>
      <c r="W38" s="475">
        <f t="shared" si="5"/>
        <v>0</v>
      </c>
      <c r="X38" s="475">
        <v>0</v>
      </c>
      <c r="Y38" s="476">
        <v>0</v>
      </c>
      <c r="Z38" s="38">
        <f t="shared" si="1"/>
        <v>0</v>
      </c>
      <c r="AA38" s="564">
        <f t="shared" si="6"/>
        <v>190697.26</v>
      </c>
      <c r="AB38" s="564">
        <f t="shared" si="7"/>
        <v>0</v>
      </c>
      <c r="AC38" s="564">
        <f t="shared" si="8"/>
        <v>0</v>
      </c>
      <c r="AD38" s="565"/>
      <c r="AE38" s="564">
        <f t="shared" si="9"/>
        <v>0</v>
      </c>
      <c r="AF38" s="564">
        <f t="shared" si="10"/>
        <v>0</v>
      </c>
      <c r="AG38" s="564">
        <f t="shared" si="11"/>
        <v>0</v>
      </c>
    </row>
    <row r="39" spans="1:33" s="232" customFormat="1">
      <c r="A39" s="283"/>
      <c r="B39" s="283" t="s">
        <v>110</v>
      </c>
      <c r="C39" s="123" t="s">
        <v>405</v>
      </c>
      <c r="D39" s="514"/>
      <c r="E39" s="529">
        <f>'Q3 DMV - Revenue'!S39</f>
        <v>-10.420000000000073</v>
      </c>
      <c r="F39" s="342">
        <v>12989.18</v>
      </c>
      <c r="G39" s="375">
        <v>14685.3</v>
      </c>
      <c r="H39" s="342">
        <v>17406.93</v>
      </c>
      <c r="I39" s="379">
        <f t="shared" si="12"/>
        <v>45070.99</v>
      </c>
      <c r="J39" s="31"/>
      <c r="K39" s="400"/>
      <c r="L39" s="510"/>
      <c r="M39" s="31">
        <v>0</v>
      </c>
      <c r="N39" s="429"/>
      <c r="O39" s="31">
        <v>0</v>
      </c>
      <c r="P39" s="426">
        <f t="shared" si="2"/>
        <v>0</v>
      </c>
      <c r="Q39" s="14"/>
      <c r="R39" s="295"/>
      <c r="S39" s="328">
        <f t="shared" si="0"/>
        <v>0</v>
      </c>
      <c r="T39" s="31"/>
      <c r="U39" s="474">
        <f t="shared" si="3"/>
        <v>0</v>
      </c>
      <c r="V39" s="474">
        <f t="shared" si="4"/>
        <v>0</v>
      </c>
      <c r="W39" s="475">
        <f t="shared" si="5"/>
        <v>0</v>
      </c>
      <c r="X39" s="475">
        <v>0</v>
      </c>
      <c r="Y39" s="476">
        <v>0</v>
      </c>
      <c r="Z39" s="38">
        <f t="shared" si="1"/>
        <v>0</v>
      </c>
      <c r="AA39" s="564">
        <f t="shared" si="6"/>
        <v>45070.99</v>
      </c>
      <c r="AB39" s="564">
        <f t="shared" si="7"/>
        <v>0</v>
      </c>
      <c r="AC39" s="564">
        <f t="shared" si="8"/>
        <v>0</v>
      </c>
      <c r="AD39" s="565"/>
      <c r="AE39" s="564">
        <f t="shared" si="9"/>
        <v>0</v>
      </c>
      <c r="AF39" s="564">
        <f t="shared" si="10"/>
        <v>0</v>
      </c>
      <c r="AG39" s="564">
        <f t="shared" si="11"/>
        <v>0</v>
      </c>
    </row>
    <row r="40" spans="1:33" s="232" customFormat="1">
      <c r="A40" s="283"/>
      <c r="B40" s="283" t="s">
        <v>110</v>
      </c>
      <c r="C40" s="123" t="s">
        <v>406</v>
      </c>
      <c r="D40" s="514"/>
      <c r="E40" s="529">
        <f>'Q3 DMV - Revenue'!S40</f>
        <v>-695.23</v>
      </c>
      <c r="F40" s="342">
        <v>4554.6499999999996</v>
      </c>
      <c r="G40" s="375">
        <v>4841.93</v>
      </c>
      <c r="H40" s="342">
        <v>5582.07</v>
      </c>
      <c r="I40" s="379">
        <f t="shared" si="12"/>
        <v>14283.42</v>
      </c>
      <c r="J40" s="31"/>
      <c r="K40" s="86"/>
      <c r="L40" s="510"/>
      <c r="M40" s="31"/>
      <c r="N40" s="429"/>
      <c r="O40" s="31"/>
      <c r="P40" s="426">
        <f t="shared" si="2"/>
        <v>0</v>
      </c>
      <c r="Q40" s="14"/>
      <c r="R40" s="295"/>
      <c r="S40" s="328">
        <f t="shared" si="0"/>
        <v>0</v>
      </c>
      <c r="T40" s="31"/>
      <c r="U40" s="474">
        <f t="shared" si="3"/>
        <v>0</v>
      </c>
      <c r="V40" s="474">
        <f t="shared" si="4"/>
        <v>0</v>
      </c>
      <c r="W40" s="475">
        <f t="shared" si="5"/>
        <v>0</v>
      </c>
      <c r="X40" s="475">
        <v>0</v>
      </c>
      <c r="Y40" s="476">
        <v>0</v>
      </c>
      <c r="Z40" s="38">
        <f t="shared" si="1"/>
        <v>0</v>
      </c>
      <c r="AA40" s="564">
        <f t="shared" si="6"/>
        <v>14283.42</v>
      </c>
      <c r="AB40" s="564">
        <f t="shared" si="7"/>
        <v>0</v>
      </c>
      <c r="AC40" s="564">
        <f t="shared" si="8"/>
        <v>0</v>
      </c>
      <c r="AD40" s="565"/>
      <c r="AE40" s="564">
        <f t="shared" si="9"/>
        <v>0</v>
      </c>
      <c r="AF40" s="564">
        <f t="shared" si="10"/>
        <v>0</v>
      </c>
      <c r="AG40" s="564">
        <f t="shared" si="11"/>
        <v>0</v>
      </c>
    </row>
    <row r="41" spans="1:33" s="232" customFormat="1">
      <c r="A41" s="283"/>
      <c r="B41" s="283" t="s">
        <v>110</v>
      </c>
      <c r="C41" s="123" t="s">
        <v>407</v>
      </c>
      <c r="D41" s="514"/>
      <c r="E41" s="529">
        <f>'Q3 DMV - Revenue'!S41</f>
        <v>-218.76</v>
      </c>
      <c r="F41" s="342">
        <v>1630.66</v>
      </c>
      <c r="G41" s="375">
        <v>1837.71</v>
      </c>
      <c r="H41" s="342">
        <v>2102.34</v>
      </c>
      <c r="I41" s="379">
        <f t="shared" si="12"/>
        <v>5351.9500000000007</v>
      </c>
      <c r="J41" s="31"/>
      <c r="K41" s="86"/>
      <c r="L41" s="510"/>
      <c r="M41" s="31"/>
      <c r="N41" s="429"/>
      <c r="O41" s="31"/>
      <c r="P41" s="426">
        <f t="shared" si="2"/>
        <v>0</v>
      </c>
      <c r="Q41" s="14"/>
      <c r="R41" s="295"/>
      <c r="S41" s="328">
        <f t="shared" si="0"/>
        <v>0</v>
      </c>
      <c r="T41" s="31"/>
      <c r="U41" s="474">
        <f t="shared" si="3"/>
        <v>0</v>
      </c>
      <c r="V41" s="474">
        <f t="shared" si="4"/>
        <v>0</v>
      </c>
      <c r="W41" s="475">
        <f t="shared" si="5"/>
        <v>0</v>
      </c>
      <c r="X41" s="475">
        <v>0</v>
      </c>
      <c r="Y41" s="476">
        <v>0</v>
      </c>
      <c r="Z41" s="38">
        <f t="shared" si="1"/>
        <v>0</v>
      </c>
      <c r="AA41" s="564">
        <f t="shared" si="6"/>
        <v>5351.9500000000007</v>
      </c>
      <c r="AB41" s="564">
        <f t="shared" si="7"/>
        <v>0</v>
      </c>
      <c r="AC41" s="564">
        <f t="shared" si="8"/>
        <v>0</v>
      </c>
      <c r="AD41" s="565"/>
      <c r="AE41" s="564">
        <f t="shared" si="9"/>
        <v>0</v>
      </c>
      <c r="AF41" s="564">
        <f t="shared" si="10"/>
        <v>0</v>
      </c>
      <c r="AG41" s="564">
        <f t="shared" si="11"/>
        <v>0</v>
      </c>
    </row>
    <row r="42" spans="1:33" s="232" customFormat="1">
      <c r="A42" s="283"/>
      <c r="B42" s="283" t="s">
        <v>110</v>
      </c>
      <c r="C42" s="123" t="s">
        <v>447</v>
      </c>
      <c r="D42" s="514"/>
      <c r="E42" s="529"/>
      <c r="F42" s="315"/>
      <c r="G42" s="375">
        <v>970.42</v>
      </c>
      <c r="H42" s="342">
        <v>12999.08</v>
      </c>
      <c r="I42" s="379">
        <f t="shared" si="12"/>
        <v>13969.5</v>
      </c>
      <c r="J42" s="31"/>
      <c r="K42" s="86"/>
      <c r="L42" s="510"/>
      <c r="M42" s="31"/>
      <c r="N42" s="429"/>
      <c r="O42" s="31"/>
      <c r="P42" s="426">
        <f t="shared" ref="P42:P43" si="13">K42+L42</f>
        <v>0</v>
      </c>
      <c r="Q42" s="14"/>
      <c r="R42" s="295"/>
      <c r="S42" s="328">
        <f t="shared" si="0"/>
        <v>0</v>
      </c>
      <c r="T42" s="31"/>
      <c r="U42" s="474">
        <f t="shared" si="3"/>
        <v>0</v>
      </c>
      <c r="V42" s="474">
        <f t="shared" si="4"/>
        <v>0</v>
      </c>
      <c r="W42" s="475">
        <f t="shared" si="5"/>
        <v>0</v>
      </c>
      <c r="X42" s="475">
        <v>0</v>
      </c>
      <c r="Y42" s="476">
        <v>0</v>
      </c>
      <c r="Z42" s="38">
        <f t="shared" si="1"/>
        <v>0</v>
      </c>
      <c r="AA42" s="564">
        <f t="shared" si="6"/>
        <v>13969.5</v>
      </c>
      <c r="AB42" s="564">
        <f t="shared" si="7"/>
        <v>0</v>
      </c>
      <c r="AC42" s="564">
        <f t="shared" si="8"/>
        <v>0</v>
      </c>
      <c r="AD42" s="565"/>
      <c r="AE42" s="564">
        <f t="shared" si="9"/>
        <v>0</v>
      </c>
      <c r="AF42" s="564">
        <f t="shared" si="10"/>
        <v>0</v>
      </c>
      <c r="AG42" s="564">
        <f t="shared" si="11"/>
        <v>0</v>
      </c>
    </row>
    <row r="43" spans="1:33" s="232" customFormat="1">
      <c r="A43" s="403"/>
      <c r="B43" s="403" t="s">
        <v>110</v>
      </c>
      <c r="C43" s="123" t="s">
        <v>460</v>
      </c>
      <c r="D43" s="540">
        <v>1725.66</v>
      </c>
      <c r="E43" s="529"/>
      <c r="F43" s="342">
        <v>346.58</v>
      </c>
      <c r="G43" s="375">
        <v>609.30999999999995</v>
      </c>
      <c r="H43" s="342">
        <v>1990.04</v>
      </c>
      <c r="I43" s="379">
        <f t="shared" si="12"/>
        <v>4671.59</v>
      </c>
      <c r="J43" s="31"/>
      <c r="K43" s="86"/>
      <c r="L43" s="42"/>
      <c r="M43" s="31">
        <v>0</v>
      </c>
      <c r="N43" s="429">
        <v>2049.84</v>
      </c>
      <c r="O43" s="31">
        <v>0</v>
      </c>
      <c r="P43" s="426">
        <f t="shared" si="13"/>
        <v>0</v>
      </c>
      <c r="Q43" s="14"/>
      <c r="R43" s="295"/>
      <c r="S43" s="328">
        <f t="shared" si="0"/>
        <v>0</v>
      </c>
      <c r="T43" s="31"/>
      <c r="U43" s="474">
        <f t="shared" si="3"/>
        <v>0</v>
      </c>
      <c r="V43" s="474">
        <f t="shared" si="4"/>
        <v>0</v>
      </c>
      <c r="W43" s="475">
        <f t="shared" si="5"/>
        <v>0</v>
      </c>
      <c r="X43" s="475">
        <v>0</v>
      </c>
      <c r="Y43" s="476">
        <v>0</v>
      </c>
      <c r="Z43" s="38">
        <f t="shared" si="1"/>
        <v>0</v>
      </c>
      <c r="AA43" s="564">
        <f t="shared" si="6"/>
        <v>4671.59</v>
      </c>
      <c r="AB43" s="564">
        <f t="shared" si="7"/>
        <v>0</v>
      </c>
      <c r="AC43" s="564">
        <f t="shared" si="8"/>
        <v>0</v>
      </c>
      <c r="AD43" s="580"/>
      <c r="AE43" s="564">
        <f t="shared" si="9"/>
        <v>0</v>
      </c>
      <c r="AF43" s="564">
        <f t="shared" si="10"/>
        <v>0</v>
      </c>
      <c r="AG43" s="564">
        <f t="shared" si="11"/>
        <v>0</v>
      </c>
    </row>
    <row r="44" spans="1:33" s="232" customFormat="1">
      <c r="A44" s="403"/>
      <c r="B44" s="403" t="s">
        <v>114</v>
      </c>
      <c r="C44" s="123" t="s">
        <v>108</v>
      </c>
      <c r="D44" s="514"/>
      <c r="E44" s="529">
        <f>'Q3 DMV - Revenue'!S42</f>
        <v>390.78</v>
      </c>
      <c r="F44" s="342">
        <v>690.16</v>
      </c>
      <c r="G44" s="375">
        <v>482.42</v>
      </c>
      <c r="H44" s="342">
        <v>486.48</v>
      </c>
      <c r="I44" s="379">
        <f t="shared" si="12"/>
        <v>2049.84</v>
      </c>
      <c r="J44" s="31"/>
      <c r="K44" s="86"/>
      <c r="L44" s="42"/>
      <c r="M44" s="31">
        <v>0</v>
      </c>
      <c r="N44" s="429">
        <v>2049.84</v>
      </c>
      <c r="O44" s="31">
        <v>0</v>
      </c>
      <c r="P44" s="426">
        <f t="shared" si="2"/>
        <v>0</v>
      </c>
      <c r="Q44" s="14"/>
      <c r="R44" s="295"/>
      <c r="S44" s="328">
        <f t="shared" si="0"/>
        <v>0</v>
      </c>
      <c r="T44" s="31"/>
      <c r="U44" s="474">
        <f t="shared" si="3"/>
        <v>0</v>
      </c>
      <c r="V44" s="474">
        <f t="shared" si="4"/>
        <v>0</v>
      </c>
      <c r="W44" s="475">
        <f t="shared" si="5"/>
        <v>0</v>
      </c>
      <c r="X44" s="475">
        <v>0</v>
      </c>
      <c r="Y44" s="476">
        <v>0</v>
      </c>
      <c r="Z44" s="38">
        <f t="shared" si="1"/>
        <v>0</v>
      </c>
      <c r="AA44" s="564">
        <f t="shared" si="6"/>
        <v>0</v>
      </c>
      <c r="AB44" s="564">
        <f t="shared" si="7"/>
        <v>0</v>
      </c>
      <c r="AC44" s="564">
        <f t="shared" si="8"/>
        <v>2049.84</v>
      </c>
      <c r="AD44" s="565"/>
      <c r="AE44" s="564">
        <f t="shared" si="9"/>
        <v>0</v>
      </c>
      <c r="AF44" s="564">
        <f t="shared" si="10"/>
        <v>0</v>
      </c>
      <c r="AG44" s="564">
        <f t="shared" si="11"/>
        <v>0</v>
      </c>
    </row>
    <row r="45" spans="1:33">
      <c r="A45" s="21"/>
      <c r="B45" s="21" t="s">
        <v>110</v>
      </c>
      <c r="C45" s="68" t="s">
        <v>234</v>
      </c>
      <c r="D45" s="449"/>
      <c r="E45" s="529">
        <f>'Q3 DMV - Revenue'!S43</f>
        <v>-625.63</v>
      </c>
      <c r="F45" s="315"/>
      <c r="G45" s="546"/>
      <c r="H45" s="315"/>
      <c r="I45" s="379">
        <f t="shared" si="12"/>
        <v>-625.63</v>
      </c>
      <c r="J45" s="31"/>
      <c r="K45" s="84"/>
      <c r="L45" s="42">
        <v>1000</v>
      </c>
      <c r="M45" s="31">
        <v>0</v>
      </c>
      <c r="N45" s="429">
        <v>113</v>
      </c>
      <c r="O45" s="31">
        <v>0</v>
      </c>
      <c r="P45" s="426">
        <f t="shared" si="2"/>
        <v>1000</v>
      </c>
      <c r="Q45" s="178">
        <v>2976.77</v>
      </c>
      <c r="R45" s="295"/>
      <c r="S45" s="328">
        <f t="shared" si="0"/>
        <v>1976.77</v>
      </c>
      <c r="T45" s="31"/>
      <c r="U45" s="474">
        <f t="shared" si="3"/>
        <v>1000</v>
      </c>
      <c r="V45" s="474">
        <f t="shared" si="4"/>
        <v>0</v>
      </c>
      <c r="W45" s="475">
        <f t="shared" si="5"/>
        <v>0</v>
      </c>
      <c r="X45" s="475">
        <v>0</v>
      </c>
      <c r="Y45" s="476">
        <v>0</v>
      </c>
      <c r="Z45" s="38">
        <f t="shared" si="1"/>
        <v>0</v>
      </c>
      <c r="AA45" s="564">
        <f t="shared" si="6"/>
        <v>-625.63</v>
      </c>
      <c r="AB45" s="564">
        <f t="shared" si="7"/>
        <v>0</v>
      </c>
      <c r="AC45" s="564">
        <f t="shared" si="8"/>
        <v>0</v>
      </c>
      <c r="AE45" s="564">
        <f t="shared" si="9"/>
        <v>1000</v>
      </c>
      <c r="AF45" s="564">
        <f t="shared" si="10"/>
        <v>0</v>
      </c>
      <c r="AG45" s="564">
        <f t="shared" si="11"/>
        <v>0</v>
      </c>
    </row>
    <row r="46" spans="1:33">
      <c r="A46" s="21"/>
      <c r="B46" s="21" t="s">
        <v>110</v>
      </c>
      <c r="C46" s="68" t="s">
        <v>3</v>
      </c>
      <c r="D46" s="449">
        <v>715.31</v>
      </c>
      <c r="E46" s="529">
        <f>'Q3 DMV - Revenue'!S44</f>
        <v>2951.15</v>
      </c>
      <c r="F46" s="315"/>
      <c r="G46" s="546"/>
      <c r="H46" s="315"/>
      <c r="I46" s="379">
        <f t="shared" si="12"/>
        <v>3666.46</v>
      </c>
      <c r="J46" s="31"/>
      <c r="K46" s="84"/>
      <c r="L46" s="42">
        <v>1000</v>
      </c>
      <c r="M46" s="31">
        <v>0</v>
      </c>
      <c r="N46" s="429">
        <v>3951.15</v>
      </c>
      <c r="O46" s="31">
        <v>0</v>
      </c>
      <c r="P46" s="426">
        <f t="shared" si="2"/>
        <v>1000</v>
      </c>
      <c r="Q46" s="178"/>
      <c r="R46" s="295"/>
      <c r="S46" s="328">
        <f t="shared" si="0"/>
        <v>-1000</v>
      </c>
      <c r="T46" s="31"/>
      <c r="U46" s="474">
        <f t="shared" si="3"/>
        <v>1000</v>
      </c>
      <c r="V46" s="474">
        <f t="shared" si="4"/>
        <v>0</v>
      </c>
      <c r="W46" s="475">
        <f t="shared" si="5"/>
        <v>0</v>
      </c>
      <c r="X46" s="475">
        <v>0</v>
      </c>
      <c r="Y46" s="476">
        <v>0</v>
      </c>
      <c r="Z46" s="38">
        <f t="shared" si="1"/>
        <v>0</v>
      </c>
      <c r="AA46" s="564">
        <f t="shared" si="6"/>
        <v>3666.46</v>
      </c>
      <c r="AB46" s="564">
        <f t="shared" si="7"/>
        <v>0</v>
      </c>
      <c r="AC46" s="564">
        <f t="shared" si="8"/>
        <v>0</v>
      </c>
      <c r="AE46" s="564">
        <f t="shared" si="9"/>
        <v>1000</v>
      </c>
      <c r="AF46" s="564">
        <f t="shared" si="10"/>
        <v>0</v>
      </c>
      <c r="AG46" s="564">
        <f t="shared" si="11"/>
        <v>0</v>
      </c>
    </row>
    <row r="47" spans="1:33">
      <c r="A47" s="20"/>
      <c r="B47" s="20" t="s">
        <v>109</v>
      </c>
      <c r="C47" s="68" t="s">
        <v>4</v>
      </c>
      <c r="D47" s="449"/>
      <c r="E47" s="529">
        <f>'Q3 DMV - Revenue'!S45</f>
        <v>0</v>
      </c>
      <c r="F47" s="342">
        <v>996.41</v>
      </c>
      <c r="G47" s="546"/>
      <c r="H47" s="315"/>
      <c r="I47" s="379">
        <f t="shared" si="12"/>
        <v>996.41</v>
      </c>
      <c r="J47" s="31"/>
      <c r="K47" s="84"/>
      <c r="L47" s="42">
        <f>F47*2</f>
        <v>1992.82</v>
      </c>
      <c r="M47" s="31">
        <v>0</v>
      </c>
      <c r="N47" s="429"/>
      <c r="O47" s="31">
        <v>0</v>
      </c>
      <c r="P47" s="426">
        <f t="shared" si="2"/>
        <v>1992.82</v>
      </c>
      <c r="Q47" s="178"/>
      <c r="R47" s="295"/>
      <c r="S47" s="328">
        <f t="shared" si="0"/>
        <v>-1992.82</v>
      </c>
      <c r="T47" s="31"/>
      <c r="U47" s="474">
        <f t="shared" si="3"/>
        <v>0</v>
      </c>
      <c r="V47" s="474">
        <f t="shared" si="4"/>
        <v>1992.82</v>
      </c>
      <c r="W47" s="475">
        <f t="shared" si="5"/>
        <v>0</v>
      </c>
      <c r="X47" s="475">
        <v>0</v>
      </c>
      <c r="Y47" s="476">
        <v>0</v>
      </c>
      <c r="Z47" s="38">
        <f t="shared" si="1"/>
        <v>0</v>
      </c>
      <c r="AA47" s="564">
        <f t="shared" si="6"/>
        <v>0</v>
      </c>
      <c r="AB47" s="564">
        <f t="shared" si="7"/>
        <v>996.41</v>
      </c>
      <c r="AC47" s="564">
        <f t="shared" si="8"/>
        <v>0</v>
      </c>
      <c r="AE47" s="564">
        <f t="shared" si="9"/>
        <v>0</v>
      </c>
      <c r="AF47" s="564">
        <f t="shared" si="10"/>
        <v>1992.82</v>
      </c>
      <c r="AG47" s="564">
        <f t="shared" si="11"/>
        <v>0</v>
      </c>
    </row>
    <row r="48" spans="1:33">
      <c r="A48" s="20"/>
      <c r="B48" s="20" t="s">
        <v>109</v>
      </c>
      <c r="C48" s="68" t="s">
        <v>5</v>
      </c>
      <c r="D48" s="449"/>
      <c r="E48" s="529">
        <f>'Q3 DMV - Revenue'!S46</f>
        <v>-974.58</v>
      </c>
      <c r="F48" s="315"/>
      <c r="G48" s="546"/>
      <c r="H48" s="315"/>
      <c r="I48" s="379">
        <f t="shared" si="12"/>
        <v>-974.58</v>
      </c>
      <c r="J48" s="31"/>
      <c r="K48" s="84"/>
      <c r="L48" s="42">
        <v>1000</v>
      </c>
      <c r="M48" s="31">
        <v>0</v>
      </c>
      <c r="N48" s="429"/>
      <c r="O48" s="31">
        <v>0</v>
      </c>
      <c r="P48" s="426">
        <f t="shared" si="2"/>
        <v>1000</v>
      </c>
      <c r="Q48" s="178"/>
      <c r="R48" s="295"/>
      <c r="S48" s="328">
        <f t="shared" si="0"/>
        <v>-1000</v>
      </c>
      <c r="T48" s="31"/>
      <c r="U48" s="474">
        <f t="shared" si="3"/>
        <v>0</v>
      </c>
      <c r="V48" s="474">
        <f t="shared" si="4"/>
        <v>1000</v>
      </c>
      <c r="W48" s="475">
        <f t="shared" si="5"/>
        <v>0</v>
      </c>
      <c r="X48" s="475">
        <v>0</v>
      </c>
      <c r="Y48" s="476">
        <v>0</v>
      </c>
      <c r="Z48" s="38">
        <f t="shared" si="1"/>
        <v>0</v>
      </c>
      <c r="AA48" s="564">
        <f t="shared" si="6"/>
        <v>0</v>
      </c>
      <c r="AB48" s="564">
        <f t="shared" si="7"/>
        <v>-974.58</v>
      </c>
      <c r="AC48" s="564">
        <f t="shared" si="8"/>
        <v>0</v>
      </c>
      <c r="AE48" s="564">
        <f t="shared" si="9"/>
        <v>0</v>
      </c>
      <c r="AF48" s="564">
        <f t="shared" si="10"/>
        <v>1000</v>
      </c>
      <c r="AG48" s="564">
        <f t="shared" si="11"/>
        <v>0</v>
      </c>
    </row>
    <row r="49" spans="1:33">
      <c r="A49" s="20"/>
      <c r="B49" s="20" t="s">
        <v>110</v>
      </c>
      <c r="C49" s="68" t="s">
        <v>311</v>
      </c>
      <c r="D49" s="449">
        <v>2897.28</v>
      </c>
      <c r="E49" s="529">
        <f>'Q3 DMV - Revenue'!S47</f>
        <v>1135.54</v>
      </c>
      <c r="F49" s="315"/>
      <c r="G49" s="546"/>
      <c r="H49" s="315"/>
      <c r="I49" s="379">
        <f t="shared" si="12"/>
        <v>4032.82</v>
      </c>
      <c r="J49" s="31"/>
      <c r="K49" s="84"/>
      <c r="L49" s="42">
        <f>2500*3</f>
        <v>7500</v>
      </c>
      <c r="M49" s="31"/>
      <c r="N49" s="429">
        <v>9847.3799999999992</v>
      </c>
      <c r="O49" s="31"/>
      <c r="P49" s="426">
        <f t="shared" si="2"/>
        <v>7500</v>
      </c>
      <c r="Q49" s="178">
        <v>3295.02</v>
      </c>
      <c r="R49" s="295"/>
      <c r="S49" s="328">
        <f t="shared" si="0"/>
        <v>-4204.9799999999996</v>
      </c>
      <c r="T49" s="31"/>
      <c r="U49" s="474">
        <f t="shared" si="3"/>
        <v>7500</v>
      </c>
      <c r="V49" s="474">
        <f t="shared" si="4"/>
        <v>0</v>
      </c>
      <c r="W49" s="475">
        <f t="shared" si="5"/>
        <v>0</v>
      </c>
      <c r="X49" s="475">
        <v>0</v>
      </c>
      <c r="Y49" s="476">
        <v>0</v>
      </c>
      <c r="Z49" s="38">
        <f t="shared" si="1"/>
        <v>0</v>
      </c>
      <c r="AA49" s="564">
        <f t="shared" si="6"/>
        <v>4032.82</v>
      </c>
      <c r="AB49" s="564">
        <f t="shared" si="7"/>
        <v>0</v>
      </c>
      <c r="AC49" s="564">
        <f t="shared" si="8"/>
        <v>0</v>
      </c>
      <c r="AE49" s="564">
        <f t="shared" si="9"/>
        <v>7500</v>
      </c>
      <c r="AF49" s="564">
        <f t="shared" si="10"/>
        <v>0</v>
      </c>
      <c r="AG49" s="564">
        <f t="shared" si="11"/>
        <v>0</v>
      </c>
    </row>
    <row r="50" spans="1:33">
      <c r="A50" s="20"/>
      <c r="B50" s="20" t="s">
        <v>109</v>
      </c>
      <c r="C50" s="68" t="s">
        <v>451</v>
      </c>
      <c r="D50" s="449">
        <f>81.74+960.7+1014.26+883.93</f>
        <v>2940.6299999999997</v>
      </c>
      <c r="E50" s="529">
        <f>1242.91+1280.05+1193</f>
        <v>3715.96</v>
      </c>
      <c r="F50" s="342">
        <v>1385.51</v>
      </c>
      <c r="G50" s="375">
        <v>1520.48</v>
      </c>
      <c r="H50" s="342">
        <v>1692.09</v>
      </c>
      <c r="I50" s="379">
        <f t="shared" si="12"/>
        <v>11254.67</v>
      </c>
      <c r="J50" s="31"/>
      <c r="K50" s="84"/>
      <c r="L50" s="42"/>
      <c r="M50" s="31">
        <v>0</v>
      </c>
      <c r="N50" s="429"/>
      <c r="O50" s="31">
        <v>0</v>
      </c>
      <c r="P50" s="426">
        <f>K50+L50</f>
        <v>0</v>
      </c>
      <c r="Q50" s="178"/>
      <c r="R50" s="295"/>
      <c r="S50" s="328">
        <f t="shared" si="0"/>
        <v>0</v>
      </c>
      <c r="T50" s="31"/>
      <c r="U50" s="474">
        <f t="shared" si="3"/>
        <v>0</v>
      </c>
      <c r="V50" s="474">
        <f t="shared" si="4"/>
        <v>0</v>
      </c>
      <c r="W50" s="475">
        <f t="shared" si="5"/>
        <v>0</v>
      </c>
      <c r="X50" s="475">
        <v>0</v>
      </c>
      <c r="Y50" s="476">
        <v>0</v>
      </c>
      <c r="Z50" s="38">
        <f t="shared" si="1"/>
        <v>0</v>
      </c>
      <c r="AA50" s="564">
        <f t="shared" si="6"/>
        <v>0</v>
      </c>
      <c r="AB50" s="564">
        <f t="shared" si="7"/>
        <v>11254.67</v>
      </c>
      <c r="AC50" s="564">
        <f t="shared" si="8"/>
        <v>0</v>
      </c>
      <c r="AE50" s="564">
        <f t="shared" si="9"/>
        <v>0</v>
      </c>
      <c r="AF50" s="564">
        <f t="shared" si="10"/>
        <v>0</v>
      </c>
      <c r="AG50" s="564">
        <f t="shared" si="11"/>
        <v>0</v>
      </c>
    </row>
    <row r="51" spans="1:33">
      <c r="A51" s="20"/>
      <c r="B51" s="20" t="s">
        <v>109</v>
      </c>
      <c r="C51" s="68" t="s">
        <v>469</v>
      </c>
      <c r="D51" s="449"/>
      <c r="E51" s="529"/>
      <c r="F51" s="315"/>
      <c r="G51" s="546"/>
      <c r="H51" s="315"/>
      <c r="I51" s="379">
        <f t="shared" ref="I51" si="14">SUM(D51:H51)</f>
        <v>0</v>
      </c>
      <c r="J51" s="31"/>
      <c r="K51" s="84"/>
      <c r="L51" s="42"/>
      <c r="M51" s="31">
        <v>0</v>
      </c>
      <c r="N51" s="429"/>
      <c r="O51" s="31">
        <v>0</v>
      </c>
      <c r="P51" s="426">
        <f t="shared" ref="P51" si="15">K51+L51</f>
        <v>0</v>
      </c>
      <c r="Q51" s="178">
        <v>502.65</v>
      </c>
      <c r="R51" s="295"/>
      <c r="S51" s="328">
        <f t="shared" si="0"/>
        <v>502.65</v>
      </c>
      <c r="T51" s="31"/>
      <c r="U51" s="474">
        <f t="shared" ref="U51" si="16">IF(B51="D",P51,0)</f>
        <v>0</v>
      </c>
      <c r="V51" s="474">
        <f t="shared" ref="V51" si="17">IF(B51="M",P51,0)</f>
        <v>0</v>
      </c>
      <c r="W51" s="475">
        <f t="shared" ref="W51" si="18">IF(B51="V",P51,0)</f>
        <v>0</v>
      </c>
      <c r="X51" s="475">
        <v>0</v>
      </c>
      <c r="Y51" s="476">
        <v>0</v>
      </c>
      <c r="Z51" s="38">
        <f t="shared" si="1"/>
        <v>0</v>
      </c>
      <c r="AA51" s="564">
        <f t="shared" ref="AA51" si="19">IF(B51="D",I51,0)</f>
        <v>0</v>
      </c>
      <c r="AB51" s="564">
        <f t="shared" ref="AB51" si="20">IF(B51="M",I51,0)</f>
        <v>0</v>
      </c>
      <c r="AC51" s="564">
        <f t="shared" ref="AC51" si="21">IF(B51="V",I51,0)</f>
        <v>0</v>
      </c>
      <c r="AE51" s="564">
        <f t="shared" ref="AE51" si="22">IF(B51="D",P51,0)</f>
        <v>0</v>
      </c>
      <c r="AF51" s="564">
        <f t="shared" ref="AF51" si="23">IF(B51="M",P51,0)</f>
        <v>0</v>
      </c>
      <c r="AG51" s="564">
        <f t="shared" ref="AG51" si="24">IF(B51="V",P51,0)</f>
        <v>0</v>
      </c>
    </row>
    <row r="52" spans="1:33">
      <c r="A52" s="20"/>
      <c r="B52" s="20" t="s">
        <v>110</v>
      </c>
      <c r="C52" s="68" t="s">
        <v>69</v>
      </c>
      <c r="D52" s="449"/>
      <c r="E52" s="529">
        <f>'Q3 DMV - Revenue'!S48</f>
        <v>499.23000000000047</v>
      </c>
      <c r="F52" s="342">
        <v>2999.15</v>
      </c>
      <c r="G52" s="375">
        <v>3100.74</v>
      </c>
      <c r="H52" s="342">
        <v>3580.99</v>
      </c>
      <c r="I52" s="379">
        <f t="shared" si="12"/>
        <v>10180.11</v>
      </c>
      <c r="J52" s="31"/>
      <c r="K52" s="84"/>
      <c r="L52" s="42"/>
      <c r="M52" s="31">
        <v>0</v>
      </c>
      <c r="N52" s="429">
        <v>16316.59</v>
      </c>
      <c r="O52" s="31">
        <v>0</v>
      </c>
      <c r="P52" s="426">
        <f t="shared" si="2"/>
        <v>0</v>
      </c>
      <c r="Q52" s="178"/>
      <c r="R52" s="295"/>
      <c r="S52" s="328">
        <f t="shared" si="0"/>
        <v>0</v>
      </c>
      <c r="T52" s="31"/>
      <c r="U52" s="474">
        <f t="shared" si="3"/>
        <v>0</v>
      </c>
      <c r="V52" s="474">
        <f t="shared" si="4"/>
        <v>0</v>
      </c>
      <c r="W52" s="475">
        <f t="shared" si="5"/>
        <v>0</v>
      </c>
      <c r="X52" s="475">
        <v>0</v>
      </c>
      <c r="Y52" s="476">
        <v>0</v>
      </c>
      <c r="Z52" s="38">
        <f t="shared" si="1"/>
        <v>0</v>
      </c>
      <c r="AA52" s="564">
        <f t="shared" si="6"/>
        <v>10180.11</v>
      </c>
      <c r="AB52" s="564">
        <f t="shared" si="7"/>
        <v>0</v>
      </c>
      <c r="AC52" s="564">
        <f t="shared" si="8"/>
        <v>0</v>
      </c>
      <c r="AE52" s="564">
        <f t="shared" si="9"/>
        <v>0</v>
      </c>
      <c r="AF52" s="564">
        <f t="shared" si="10"/>
        <v>0</v>
      </c>
      <c r="AG52" s="564">
        <f t="shared" si="11"/>
        <v>0</v>
      </c>
    </row>
    <row r="53" spans="1:33">
      <c r="A53" s="20"/>
      <c r="B53" s="20" t="s">
        <v>110</v>
      </c>
      <c r="C53" s="68" t="s">
        <v>237</v>
      </c>
      <c r="D53" s="449"/>
      <c r="E53" s="529">
        <f>'Q3 DMV - Revenue'!S49</f>
        <v>5925.7150000000001</v>
      </c>
      <c r="F53" s="342">
        <v>14463.41</v>
      </c>
      <c r="G53" s="375">
        <v>15693.05</v>
      </c>
      <c r="H53" s="342">
        <v>15986.28</v>
      </c>
      <c r="I53" s="379">
        <f t="shared" si="12"/>
        <v>52068.455000000002</v>
      </c>
      <c r="J53" s="31"/>
      <c r="K53" s="84"/>
      <c r="L53" s="42">
        <v>0</v>
      </c>
      <c r="M53" s="31">
        <v>0</v>
      </c>
      <c r="N53" s="429">
        <f>15986.28+42910.46</f>
        <v>58896.74</v>
      </c>
      <c r="O53" s="31">
        <v>0</v>
      </c>
      <c r="P53" s="426">
        <f t="shared" si="2"/>
        <v>0</v>
      </c>
      <c r="Q53" s="178"/>
      <c r="R53" s="295"/>
      <c r="S53" s="328">
        <f t="shared" si="0"/>
        <v>0</v>
      </c>
      <c r="T53" s="31"/>
      <c r="U53" s="474">
        <f t="shared" si="3"/>
        <v>0</v>
      </c>
      <c r="V53" s="474">
        <f t="shared" si="4"/>
        <v>0</v>
      </c>
      <c r="W53" s="475">
        <f t="shared" si="5"/>
        <v>0</v>
      </c>
      <c r="X53" s="475">
        <v>0</v>
      </c>
      <c r="Y53" s="476">
        <v>0</v>
      </c>
      <c r="Z53" s="38">
        <f t="shared" ref="Z53:Z84" si="25">(K53+L53)-(U53+V53+W53+X53+Y53)</f>
        <v>0</v>
      </c>
      <c r="AA53" s="564">
        <f t="shared" si="6"/>
        <v>52068.455000000002</v>
      </c>
      <c r="AB53" s="564">
        <f t="shared" si="7"/>
        <v>0</v>
      </c>
      <c r="AC53" s="564">
        <f t="shared" si="8"/>
        <v>0</v>
      </c>
      <c r="AE53" s="564">
        <f t="shared" si="9"/>
        <v>0</v>
      </c>
      <c r="AF53" s="564">
        <f t="shared" si="10"/>
        <v>0</v>
      </c>
      <c r="AG53" s="564">
        <f t="shared" si="11"/>
        <v>0</v>
      </c>
    </row>
    <row r="54" spans="1:33">
      <c r="A54" s="20" t="s">
        <v>211</v>
      </c>
      <c r="B54" s="20" t="s">
        <v>110</v>
      </c>
      <c r="C54" s="68" t="s">
        <v>7</v>
      </c>
      <c r="D54" s="449"/>
      <c r="E54" s="529">
        <f>'Q3 DMV - Revenue'!S50</f>
        <v>1622.1899999999987</v>
      </c>
      <c r="F54" s="342">
        <f>15689.92/3</f>
        <v>5229.9733333333334</v>
      </c>
      <c r="G54" s="342">
        <f>15689.92/3</f>
        <v>5229.9733333333334</v>
      </c>
      <c r="H54" s="342">
        <f>15689.92/3</f>
        <v>5229.9733333333334</v>
      </c>
      <c r="I54" s="379">
        <f t="shared" si="12"/>
        <v>17312.11</v>
      </c>
      <c r="J54" s="2"/>
      <c r="K54" s="336"/>
      <c r="L54" s="42"/>
      <c r="M54" s="31">
        <v>0</v>
      </c>
      <c r="N54" s="429">
        <v>32312.11</v>
      </c>
      <c r="O54" s="31">
        <v>0</v>
      </c>
      <c r="P54" s="426">
        <f t="shared" si="2"/>
        <v>0</v>
      </c>
      <c r="Q54" s="178"/>
      <c r="R54" s="295"/>
      <c r="S54" s="328">
        <f t="shared" si="0"/>
        <v>0</v>
      </c>
      <c r="T54" s="2"/>
      <c r="U54" s="474">
        <f t="shared" si="3"/>
        <v>0</v>
      </c>
      <c r="V54" s="474">
        <f t="shared" si="4"/>
        <v>0</v>
      </c>
      <c r="W54" s="475">
        <f t="shared" si="5"/>
        <v>0</v>
      </c>
      <c r="X54" s="475">
        <v>0</v>
      </c>
      <c r="Y54" s="476">
        <v>0</v>
      </c>
      <c r="Z54" s="38">
        <f t="shared" si="25"/>
        <v>0</v>
      </c>
      <c r="AA54" s="564">
        <f t="shared" si="6"/>
        <v>17312.11</v>
      </c>
      <c r="AB54" s="564">
        <f t="shared" si="7"/>
        <v>0</v>
      </c>
      <c r="AC54" s="564">
        <f t="shared" si="8"/>
        <v>0</v>
      </c>
      <c r="AE54" s="564">
        <f t="shared" si="9"/>
        <v>0</v>
      </c>
      <c r="AF54" s="564">
        <f t="shared" si="10"/>
        <v>0</v>
      </c>
      <c r="AG54" s="564">
        <f t="shared" si="11"/>
        <v>0</v>
      </c>
    </row>
    <row r="55" spans="1:33" s="232" customFormat="1">
      <c r="A55" s="283" t="s">
        <v>97</v>
      </c>
      <c r="B55" s="283" t="s">
        <v>109</v>
      </c>
      <c r="C55" s="123" t="s">
        <v>415</v>
      </c>
      <c r="D55" s="514"/>
      <c r="E55" s="529">
        <f>'Q3 DMV - Revenue'!S51</f>
        <v>135.07000000000005</v>
      </c>
      <c r="F55" s="342">
        <f>464.14+73.38</f>
        <v>537.52</v>
      </c>
      <c r="G55" s="375">
        <f>442.09+72.37</f>
        <v>514.46</v>
      </c>
      <c r="H55" s="342">
        <f>477.29+93.53</f>
        <v>570.82000000000005</v>
      </c>
      <c r="I55" s="379">
        <f t="shared" si="12"/>
        <v>1757.8700000000003</v>
      </c>
      <c r="J55" s="31"/>
      <c r="K55" s="86"/>
      <c r="L55" s="290"/>
      <c r="M55" s="31">
        <v>0</v>
      </c>
      <c r="N55" s="429">
        <v>12944.4</v>
      </c>
      <c r="O55" s="31">
        <v>0</v>
      </c>
      <c r="P55" s="426">
        <f t="shared" si="2"/>
        <v>0</v>
      </c>
      <c r="Q55" s="14"/>
      <c r="R55" s="295"/>
      <c r="S55" s="328">
        <f t="shared" si="0"/>
        <v>0</v>
      </c>
      <c r="T55" s="31"/>
      <c r="U55" s="474">
        <f t="shared" si="3"/>
        <v>0</v>
      </c>
      <c r="V55" s="474">
        <f t="shared" si="4"/>
        <v>0</v>
      </c>
      <c r="W55" s="475">
        <f t="shared" si="5"/>
        <v>0</v>
      </c>
      <c r="X55" s="475">
        <v>0</v>
      </c>
      <c r="Y55" s="476">
        <v>0</v>
      </c>
      <c r="Z55" s="38">
        <f t="shared" si="25"/>
        <v>0</v>
      </c>
      <c r="AA55" s="564">
        <f t="shared" si="6"/>
        <v>0</v>
      </c>
      <c r="AB55" s="564">
        <f t="shared" si="7"/>
        <v>1757.8700000000003</v>
      </c>
      <c r="AC55" s="564">
        <f t="shared" si="8"/>
        <v>0</v>
      </c>
      <c r="AD55" s="565"/>
      <c r="AE55" s="564">
        <f t="shared" si="9"/>
        <v>0</v>
      </c>
      <c r="AF55" s="564">
        <f t="shared" si="10"/>
        <v>0</v>
      </c>
      <c r="AG55" s="564">
        <f t="shared" si="11"/>
        <v>0</v>
      </c>
    </row>
    <row r="56" spans="1:33" s="232" customFormat="1">
      <c r="A56" s="283"/>
      <c r="B56" s="283" t="s">
        <v>109</v>
      </c>
      <c r="C56" s="123" t="s">
        <v>416</v>
      </c>
      <c r="D56" s="514"/>
      <c r="E56" s="529">
        <f>'Q3 DMV - Revenue'!S52</f>
        <v>-243.42000000000007</v>
      </c>
      <c r="F56" s="342">
        <v>1052.72</v>
      </c>
      <c r="G56" s="375">
        <v>1093.1199999999999</v>
      </c>
      <c r="H56" s="342">
        <v>1110.5899999999999</v>
      </c>
      <c r="I56" s="379">
        <f t="shared" si="12"/>
        <v>3013.0099999999998</v>
      </c>
      <c r="J56" s="31"/>
      <c r="K56" s="86"/>
      <c r="L56" s="290"/>
      <c r="M56" s="31">
        <v>0</v>
      </c>
      <c r="N56" s="429"/>
      <c r="O56" s="31">
        <v>0</v>
      </c>
      <c r="P56" s="426">
        <f t="shared" si="2"/>
        <v>0</v>
      </c>
      <c r="Q56" s="14"/>
      <c r="R56" s="295"/>
      <c r="S56" s="328">
        <f t="shared" si="0"/>
        <v>0</v>
      </c>
      <c r="T56" s="31"/>
      <c r="U56" s="474">
        <f t="shared" si="3"/>
        <v>0</v>
      </c>
      <c r="V56" s="474">
        <f t="shared" si="4"/>
        <v>0</v>
      </c>
      <c r="W56" s="475">
        <f t="shared" si="5"/>
        <v>0</v>
      </c>
      <c r="X56" s="475">
        <v>0</v>
      </c>
      <c r="Y56" s="476">
        <v>0</v>
      </c>
      <c r="Z56" s="38">
        <f t="shared" si="25"/>
        <v>0</v>
      </c>
      <c r="AA56" s="564">
        <f t="shared" si="6"/>
        <v>0</v>
      </c>
      <c r="AB56" s="564">
        <f t="shared" si="7"/>
        <v>3013.0099999999998</v>
      </c>
      <c r="AC56" s="564">
        <f t="shared" si="8"/>
        <v>0</v>
      </c>
      <c r="AD56" s="565"/>
      <c r="AE56" s="564">
        <f t="shared" si="9"/>
        <v>0</v>
      </c>
      <c r="AF56" s="564">
        <f t="shared" si="10"/>
        <v>0</v>
      </c>
      <c r="AG56" s="564">
        <f t="shared" si="11"/>
        <v>0</v>
      </c>
    </row>
    <row r="57" spans="1:33" s="232" customFormat="1">
      <c r="A57" s="283"/>
      <c r="B57" s="283" t="s">
        <v>109</v>
      </c>
      <c r="C57" s="123" t="s">
        <v>417</v>
      </c>
      <c r="D57" s="514"/>
      <c r="E57" s="529">
        <f>'Q3 DMV - Revenue'!S53</f>
        <v>6.0299999999999727</v>
      </c>
      <c r="F57" s="342">
        <v>1781.7</v>
      </c>
      <c r="G57" s="375">
        <v>1110.02</v>
      </c>
      <c r="H57" s="342">
        <v>1323.33</v>
      </c>
      <c r="I57" s="379">
        <f t="shared" si="12"/>
        <v>4221.08</v>
      </c>
      <c r="J57" s="31"/>
      <c r="K57" s="86"/>
      <c r="L57" s="290"/>
      <c r="M57" s="31">
        <v>0</v>
      </c>
      <c r="N57" s="429"/>
      <c r="O57" s="31">
        <v>0</v>
      </c>
      <c r="P57" s="426">
        <f t="shared" si="2"/>
        <v>0</v>
      </c>
      <c r="Q57" s="14"/>
      <c r="R57" s="295"/>
      <c r="S57" s="328">
        <f t="shared" si="0"/>
        <v>0</v>
      </c>
      <c r="T57" s="31"/>
      <c r="U57" s="474">
        <f t="shared" si="3"/>
        <v>0</v>
      </c>
      <c r="V57" s="474">
        <f t="shared" si="4"/>
        <v>0</v>
      </c>
      <c r="W57" s="475">
        <f t="shared" si="5"/>
        <v>0</v>
      </c>
      <c r="X57" s="475">
        <v>0</v>
      </c>
      <c r="Y57" s="476">
        <v>0</v>
      </c>
      <c r="Z57" s="38">
        <f t="shared" si="25"/>
        <v>0</v>
      </c>
      <c r="AA57" s="564">
        <f t="shared" si="6"/>
        <v>0</v>
      </c>
      <c r="AB57" s="564">
        <f t="shared" si="7"/>
        <v>4221.08</v>
      </c>
      <c r="AC57" s="564">
        <f t="shared" si="8"/>
        <v>0</v>
      </c>
      <c r="AD57" s="565"/>
      <c r="AE57" s="564">
        <f t="shared" si="9"/>
        <v>0</v>
      </c>
      <c r="AF57" s="564">
        <f t="shared" si="10"/>
        <v>0</v>
      </c>
      <c r="AG57" s="564">
        <f t="shared" si="11"/>
        <v>0</v>
      </c>
    </row>
    <row r="58" spans="1:33" s="232" customFormat="1">
      <c r="A58" s="283"/>
      <c r="B58" s="283" t="s">
        <v>109</v>
      </c>
      <c r="C58" s="123" t="s">
        <v>418</v>
      </c>
      <c r="D58" s="514"/>
      <c r="E58" s="529">
        <f>'Q3 DMV - Revenue'!S54</f>
        <v>-1.3899999999999988</v>
      </c>
      <c r="F58" s="342">
        <v>9.58</v>
      </c>
      <c r="G58" s="375">
        <v>27.42</v>
      </c>
      <c r="H58" s="342">
        <v>5.2</v>
      </c>
      <c r="I58" s="379">
        <f t="shared" si="12"/>
        <v>40.81</v>
      </c>
      <c r="J58" s="31"/>
      <c r="K58" s="86"/>
      <c r="L58" s="290"/>
      <c r="M58" s="31">
        <v>0</v>
      </c>
      <c r="N58" s="429"/>
      <c r="O58" s="31">
        <v>0</v>
      </c>
      <c r="P58" s="426">
        <f t="shared" si="2"/>
        <v>0</v>
      </c>
      <c r="Q58" s="14"/>
      <c r="R58" s="295"/>
      <c r="S58" s="328">
        <f t="shared" si="0"/>
        <v>0</v>
      </c>
      <c r="T58" s="31"/>
      <c r="U58" s="474">
        <f t="shared" si="3"/>
        <v>0</v>
      </c>
      <c r="V58" s="474">
        <f t="shared" si="4"/>
        <v>0</v>
      </c>
      <c r="W58" s="475">
        <f t="shared" si="5"/>
        <v>0</v>
      </c>
      <c r="X58" s="475">
        <v>0</v>
      </c>
      <c r="Y58" s="476">
        <v>0</v>
      </c>
      <c r="Z58" s="38">
        <f t="shared" si="25"/>
        <v>0</v>
      </c>
      <c r="AA58" s="564">
        <f t="shared" si="6"/>
        <v>0</v>
      </c>
      <c r="AB58" s="564">
        <f t="shared" si="7"/>
        <v>40.81</v>
      </c>
      <c r="AC58" s="564">
        <f t="shared" si="8"/>
        <v>0</v>
      </c>
      <c r="AD58" s="565"/>
      <c r="AE58" s="564">
        <f t="shared" si="9"/>
        <v>0</v>
      </c>
      <c r="AF58" s="564">
        <f t="shared" si="10"/>
        <v>0</v>
      </c>
      <c r="AG58" s="564">
        <f t="shared" si="11"/>
        <v>0</v>
      </c>
    </row>
    <row r="59" spans="1:33">
      <c r="A59" s="21" t="s">
        <v>109</v>
      </c>
      <c r="B59" s="21" t="s">
        <v>110</v>
      </c>
      <c r="C59" s="68" t="s">
        <v>8</v>
      </c>
      <c r="D59" s="449"/>
      <c r="E59" s="529">
        <f>'Q3 DMV - Revenue'!S55</f>
        <v>0</v>
      </c>
      <c r="F59" s="315"/>
      <c r="G59" s="546"/>
      <c r="H59" s="315"/>
      <c r="I59" s="379">
        <f t="shared" si="12"/>
        <v>0</v>
      </c>
      <c r="J59" s="31"/>
      <c r="K59" s="84"/>
      <c r="L59" s="42"/>
      <c r="M59" s="31">
        <v>0</v>
      </c>
      <c r="N59" s="429"/>
      <c r="O59" s="31">
        <v>0</v>
      </c>
      <c r="P59" s="426">
        <f t="shared" si="2"/>
        <v>0</v>
      </c>
      <c r="Q59" s="178"/>
      <c r="R59" s="295"/>
      <c r="S59" s="328">
        <f t="shared" si="0"/>
        <v>0</v>
      </c>
      <c r="T59" s="31"/>
      <c r="U59" s="474">
        <f t="shared" si="3"/>
        <v>0</v>
      </c>
      <c r="V59" s="474">
        <f t="shared" si="4"/>
        <v>0</v>
      </c>
      <c r="W59" s="475">
        <f t="shared" si="5"/>
        <v>0</v>
      </c>
      <c r="X59" s="475">
        <v>0</v>
      </c>
      <c r="Y59" s="476">
        <v>0</v>
      </c>
      <c r="Z59" s="38">
        <f t="shared" si="25"/>
        <v>0</v>
      </c>
      <c r="AA59" s="564">
        <f t="shared" si="6"/>
        <v>0</v>
      </c>
      <c r="AB59" s="564">
        <f t="shared" si="7"/>
        <v>0</v>
      </c>
      <c r="AC59" s="564">
        <f t="shared" si="8"/>
        <v>0</v>
      </c>
      <c r="AE59" s="564">
        <f t="shared" si="9"/>
        <v>0</v>
      </c>
      <c r="AF59" s="564">
        <f t="shared" si="10"/>
        <v>0</v>
      </c>
      <c r="AG59" s="564">
        <f t="shared" si="11"/>
        <v>0</v>
      </c>
    </row>
    <row r="60" spans="1:33">
      <c r="A60" s="20" t="s">
        <v>211</v>
      </c>
      <c r="B60" s="20" t="s">
        <v>109</v>
      </c>
      <c r="C60" s="68" t="s">
        <v>9</v>
      </c>
      <c r="D60" s="449"/>
      <c r="E60" s="529">
        <f>'Q3 DMV - Revenue'!S56</f>
        <v>3860.2099999999991</v>
      </c>
      <c r="F60" s="315"/>
      <c r="G60" s="546"/>
      <c r="H60" s="315"/>
      <c r="I60" s="379">
        <f t="shared" si="12"/>
        <v>3860.2099999999991</v>
      </c>
      <c r="J60" s="2"/>
      <c r="K60" s="336"/>
      <c r="L60" s="42">
        <v>7000</v>
      </c>
      <c r="M60" s="31">
        <v>0</v>
      </c>
      <c r="N60" s="429">
        <v>8860.2099999999991</v>
      </c>
      <c r="O60" s="31">
        <v>0</v>
      </c>
      <c r="P60" s="426">
        <f t="shared" si="2"/>
        <v>7000</v>
      </c>
      <c r="Q60" s="178"/>
      <c r="R60" s="295"/>
      <c r="S60" s="328">
        <f t="shared" si="0"/>
        <v>-7000</v>
      </c>
      <c r="T60" s="2"/>
      <c r="U60" s="474">
        <f t="shared" si="3"/>
        <v>0</v>
      </c>
      <c r="V60" s="474">
        <f t="shared" si="4"/>
        <v>7000</v>
      </c>
      <c r="W60" s="475">
        <f t="shared" si="5"/>
        <v>0</v>
      </c>
      <c r="X60" s="475">
        <v>0</v>
      </c>
      <c r="Y60" s="476">
        <v>0</v>
      </c>
      <c r="Z60" s="38">
        <f t="shared" si="25"/>
        <v>0</v>
      </c>
      <c r="AA60" s="564">
        <f t="shared" si="6"/>
        <v>0</v>
      </c>
      <c r="AB60" s="564">
        <f t="shared" si="7"/>
        <v>3860.2099999999991</v>
      </c>
      <c r="AC60" s="564">
        <f t="shared" si="8"/>
        <v>0</v>
      </c>
      <c r="AE60" s="564">
        <f t="shared" si="9"/>
        <v>0</v>
      </c>
      <c r="AF60" s="564">
        <f t="shared" si="10"/>
        <v>7000</v>
      </c>
      <c r="AG60" s="564">
        <f t="shared" si="11"/>
        <v>0</v>
      </c>
    </row>
    <row r="61" spans="1:33">
      <c r="A61" s="20"/>
      <c r="B61" s="20" t="s">
        <v>109</v>
      </c>
      <c r="C61" s="68" t="s">
        <v>235</v>
      </c>
      <c r="D61" s="449"/>
      <c r="E61" s="529">
        <f>'Q3 DMV - Revenue'!S57</f>
        <v>-700</v>
      </c>
      <c r="F61" s="315"/>
      <c r="G61" s="546"/>
      <c r="H61" s="315"/>
      <c r="I61" s="379">
        <f t="shared" si="12"/>
        <v>-700</v>
      </c>
      <c r="J61" s="31"/>
      <c r="K61" s="84"/>
      <c r="L61" s="42"/>
      <c r="M61" s="31">
        <v>0</v>
      </c>
      <c r="N61" s="429"/>
      <c r="O61" s="31">
        <v>0</v>
      </c>
      <c r="P61" s="426">
        <f t="shared" si="2"/>
        <v>0</v>
      </c>
      <c r="Q61" s="178"/>
      <c r="R61" s="295"/>
      <c r="S61" s="328">
        <f t="shared" si="0"/>
        <v>0</v>
      </c>
      <c r="T61" s="31"/>
      <c r="U61" s="474">
        <f t="shared" si="3"/>
        <v>0</v>
      </c>
      <c r="V61" s="474">
        <f t="shared" si="4"/>
        <v>0</v>
      </c>
      <c r="W61" s="475">
        <f t="shared" si="5"/>
        <v>0</v>
      </c>
      <c r="X61" s="475">
        <v>0</v>
      </c>
      <c r="Y61" s="476">
        <v>0</v>
      </c>
      <c r="Z61" s="38">
        <f t="shared" si="25"/>
        <v>0</v>
      </c>
      <c r="AA61" s="564">
        <f t="shared" si="6"/>
        <v>0</v>
      </c>
      <c r="AB61" s="564">
        <f t="shared" si="7"/>
        <v>-700</v>
      </c>
      <c r="AC61" s="564">
        <f t="shared" si="8"/>
        <v>0</v>
      </c>
      <c r="AE61" s="564">
        <f t="shared" si="9"/>
        <v>0</v>
      </c>
      <c r="AF61" s="564">
        <f t="shared" si="10"/>
        <v>0</v>
      </c>
      <c r="AG61" s="564">
        <f t="shared" si="11"/>
        <v>0</v>
      </c>
    </row>
    <row r="62" spans="1:33">
      <c r="A62" s="20"/>
      <c r="B62" s="20" t="s">
        <v>109</v>
      </c>
      <c r="C62" s="68" t="s">
        <v>373</v>
      </c>
      <c r="D62" s="449"/>
      <c r="E62" s="529">
        <f>'Q3 DMV - Revenue'!S58</f>
        <v>0</v>
      </c>
      <c r="F62" s="315"/>
      <c r="G62" s="546"/>
      <c r="H62" s="315"/>
      <c r="I62" s="379">
        <f t="shared" si="12"/>
        <v>0</v>
      </c>
      <c r="J62" s="31"/>
      <c r="K62" s="84"/>
      <c r="L62" s="42"/>
      <c r="M62" s="31">
        <v>0</v>
      </c>
      <c r="N62" s="429"/>
      <c r="O62" s="31">
        <v>0</v>
      </c>
      <c r="P62" s="426">
        <f t="shared" si="2"/>
        <v>0</v>
      </c>
      <c r="Q62" s="178"/>
      <c r="R62" s="295"/>
      <c r="S62" s="328">
        <f t="shared" si="0"/>
        <v>0</v>
      </c>
      <c r="T62" s="31"/>
      <c r="U62" s="474">
        <f t="shared" si="3"/>
        <v>0</v>
      </c>
      <c r="V62" s="474">
        <f t="shared" si="4"/>
        <v>0</v>
      </c>
      <c r="W62" s="475">
        <f t="shared" si="5"/>
        <v>0</v>
      </c>
      <c r="X62" s="475">
        <v>0</v>
      </c>
      <c r="Y62" s="476">
        <v>0</v>
      </c>
      <c r="Z62" s="38">
        <f t="shared" si="25"/>
        <v>0</v>
      </c>
      <c r="AA62" s="564">
        <f t="shared" si="6"/>
        <v>0</v>
      </c>
      <c r="AB62" s="564">
        <f t="shared" si="7"/>
        <v>0</v>
      </c>
      <c r="AC62" s="564">
        <f t="shared" si="8"/>
        <v>0</v>
      </c>
      <c r="AE62" s="564">
        <f t="shared" si="9"/>
        <v>0</v>
      </c>
      <c r="AF62" s="564">
        <f t="shared" si="10"/>
        <v>0</v>
      </c>
      <c r="AG62" s="564">
        <f t="shared" si="11"/>
        <v>0</v>
      </c>
    </row>
    <row r="63" spans="1:33">
      <c r="A63" s="20"/>
      <c r="B63" s="20" t="s">
        <v>109</v>
      </c>
      <c r="C63" s="68" t="s">
        <v>374</v>
      </c>
      <c r="D63" s="449"/>
      <c r="E63" s="529">
        <f>'Q3 DMV - Revenue'!S59</f>
        <v>-162.70499999999993</v>
      </c>
      <c r="F63" s="342">
        <v>2363.5</v>
      </c>
      <c r="G63" s="375">
        <v>2016.19</v>
      </c>
      <c r="H63" s="315"/>
      <c r="I63" s="379">
        <f t="shared" si="12"/>
        <v>4216.9850000000006</v>
      </c>
      <c r="J63" s="31"/>
      <c r="K63" s="84"/>
      <c r="L63" s="42">
        <f>SUM(F63+G63)/2</f>
        <v>2189.8450000000003</v>
      </c>
      <c r="M63" s="31">
        <v>0</v>
      </c>
      <c r="N63" s="429">
        <v>6423.44</v>
      </c>
      <c r="O63" s="31">
        <v>0</v>
      </c>
      <c r="P63" s="426">
        <f t="shared" si="2"/>
        <v>2189.8450000000003</v>
      </c>
      <c r="Q63" s="178">
        <v>1973.91</v>
      </c>
      <c r="R63" s="295"/>
      <c r="S63" s="328">
        <f t="shared" si="0"/>
        <v>-215.93500000000017</v>
      </c>
      <c r="T63" s="31"/>
      <c r="U63" s="474">
        <f t="shared" si="3"/>
        <v>0</v>
      </c>
      <c r="V63" s="474">
        <f t="shared" si="4"/>
        <v>2189.8450000000003</v>
      </c>
      <c r="W63" s="475">
        <f t="shared" si="5"/>
        <v>0</v>
      </c>
      <c r="X63" s="475">
        <v>0</v>
      </c>
      <c r="Y63" s="476">
        <v>0</v>
      </c>
      <c r="Z63" s="38">
        <f t="shared" si="25"/>
        <v>0</v>
      </c>
      <c r="AA63" s="564">
        <f t="shared" si="6"/>
        <v>0</v>
      </c>
      <c r="AB63" s="564">
        <f t="shared" si="7"/>
        <v>4216.9850000000006</v>
      </c>
      <c r="AC63" s="564">
        <f t="shared" si="8"/>
        <v>0</v>
      </c>
      <c r="AE63" s="564">
        <f t="shared" si="9"/>
        <v>0</v>
      </c>
      <c r="AF63" s="564">
        <f t="shared" si="10"/>
        <v>2189.8450000000003</v>
      </c>
      <c r="AG63" s="564">
        <f t="shared" si="11"/>
        <v>0</v>
      </c>
    </row>
    <row r="64" spans="1:33">
      <c r="A64" s="20"/>
      <c r="B64" s="20" t="s">
        <v>109</v>
      </c>
      <c r="C64" s="68" t="s">
        <v>375</v>
      </c>
      <c r="D64" s="449"/>
      <c r="E64" s="529">
        <f>'Q3 DMV - Revenue'!S60</f>
        <v>-5000</v>
      </c>
      <c r="F64" s="315"/>
      <c r="G64" s="546"/>
      <c r="H64" s="315"/>
      <c r="I64" s="379">
        <f t="shared" si="12"/>
        <v>-5000</v>
      </c>
      <c r="J64" s="31"/>
      <c r="K64" s="84"/>
      <c r="L64" s="42">
        <v>5000</v>
      </c>
      <c r="M64" s="31">
        <v>0</v>
      </c>
      <c r="N64" s="429"/>
      <c r="O64" s="31">
        <v>0</v>
      </c>
      <c r="P64" s="426">
        <f t="shared" si="2"/>
        <v>5000</v>
      </c>
      <c r="Q64" s="178"/>
      <c r="R64" s="295"/>
      <c r="S64" s="328">
        <f t="shared" si="0"/>
        <v>-5000</v>
      </c>
      <c r="T64" s="31"/>
      <c r="U64" s="474">
        <f t="shared" si="3"/>
        <v>0</v>
      </c>
      <c r="V64" s="474">
        <f t="shared" si="4"/>
        <v>5000</v>
      </c>
      <c r="W64" s="475">
        <f t="shared" si="5"/>
        <v>0</v>
      </c>
      <c r="X64" s="475">
        <v>0</v>
      </c>
      <c r="Y64" s="476">
        <v>0</v>
      </c>
      <c r="Z64" s="38">
        <f t="shared" si="25"/>
        <v>0</v>
      </c>
      <c r="AA64" s="564">
        <f t="shared" si="6"/>
        <v>0</v>
      </c>
      <c r="AB64" s="564">
        <f t="shared" si="7"/>
        <v>-5000</v>
      </c>
      <c r="AC64" s="564">
        <f t="shared" si="8"/>
        <v>0</v>
      </c>
      <c r="AE64" s="564">
        <f t="shared" si="9"/>
        <v>0</v>
      </c>
      <c r="AF64" s="564">
        <f t="shared" si="10"/>
        <v>5000</v>
      </c>
      <c r="AG64" s="564">
        <f t="shared" si="11"/>
        <v>0</v>
      </c>
    </row>
    <row r="65" spans="1:33">
      <c r="A65" s="21"/>
      <c r="B65" s="21" t="s">
        <v>110</v>
      </c>
      <c r="C65" s="68" t="s">
        <v>138</v>
      </c>
      <c r="D65" s="449"/>
      <c r="E65" s="529">
        <f>'Q3 DMV - Revenue'!S61</f>
        <v>0</v>
      </c>
      <c r="F65" s="342">
        <v>15387.69</v>
      </c>
      <c r="G65" s="375">
        <v>14379.6</v>
      </c>
      <c r="H65" s="342">
        <v>19404.2</v>
      </c>
      <c r="I65" s="379">
        <f t="shared" si="12"/>
        <v>49171.490000000005</v>
      </c>
      <c r="J65" s="2"/>
      <c r="K65" s="5"/>
      <c r="L65" s="4">
        <v>0</v>
      </c>
      <c r="M65" s="31">
        <v>0</v>
      </c>
      <c r="N65" s="429">
        <v>137485.79999999999</v>
      </c>
      <c r="O65" s="31">
        <v>0</v>
      </c>
      <c r="P65" s="426">
        <f t="shared" si="2"/>
        <v>0</v>
      </c>
      <c r="Q65" s="178"/>
      <c r="R65" s="295"/>
      <c r="S65" s="328">
        <f t="shared" si="0"/>
        <v>0</v>
      </c>
      <c r="T65" s="2"/>
      <c r="U65" s="474">
        <f t="shared" si="3"/>
        <v>0</v>
      </c>
      <c r="V65" s="474">
        <f t="shared" si="4"/>
        <v>0</v>
      </c>
      <c r="W65" s="475">
        <f t="shared" si="5"/>
        <v>0</v>
      </c>
      <c r="X65" s="475">
        <v>0</v>
      </c>
      <c r="Y65" s="476">
        <v>0</v>
      </c>
      <c r="Z65" s="38">
        <f t="shared" si="25"/>
        <v>0</v>
      </c>
      <c r="AA65" s="564">
        <f t="shared" si="6"/>
        <v>49171.490000000005</v>
      </c>
      <c r="AB65" s="564">
        <f t="shared" si="7"/>
        <v>0</v>
      </c>
      <c r="AC65" s="564">
        <f t="shared" si="8"/>
        <v>0</v>
      </c>
      <c r="AE65" s="564">
        <f t="shared" si="9"/>
        <v>0</v>
      </c>
      <c r="AF65" s="564">
        <f t="shared" si="10"/>
        <v>0</v>
      </c>
      <c r="AG65" s="564">
        <f t="shared" si="11"/>
        <v>0</v>
      </c>
    </row>
    <row r="66" spans="1:33">
      <c r="A66" s="21"/>
      <c r="B66" s="21" t="s">
        <v>110</v>
      </c>
      <c r="C66" s="68" t="s">
        <v>437</v>
      </c>
      <c r="D66" s="449"/>
      <c r="E66" s="529">
        <f>'Q3 DMV - Revenue'!S62</f>
        <v>0</v>
      </c>
      <c r="F66" s="342">
        <v>1289.56</v>
      </c>
      <c r="G66" s="375">
        <v>1459.25</v>
      </c>
      <c r="H66" s="342">
        <v>1704.68</v>
      </c>
      <c r="I66" s="379">
        <f t="shared" si="12"/>
        <v>4453.49</v>
      </c>
      <c r="J66" s="2"/>
      <c r="K66" s="5"/>
      <c r="L66" s="4">
        <v>0</v>
      </c>
      <c r="M66" s="31"/>
      <c r="N66" s="429"/>
      <c r="O66" s="31"/>
      <c r="P66" s="426">
        <f t="shared" si="2"/>
        <v>0</v>
      </c>
      <c r="Q66" s="178"/>
      <c r="R66" s="295"/>
      <c r="S66" s="328">
        <f t="shared" si="0"/>
        <v>0</v>
      </c>
      <c r="T66" s="2"/>
      <c r="U66" s="474">
        <f t="shared" si="3"/>
        <v>0</v>
      </c>
      <c r="V66" s="474">
        <f t="shared" si="4"/>
        <v>0</v>
      </c>
      <c r="W66" s="475">
        <f t="shared" si="5"/>
        <v>0</v>
      </c>
      <c r="X66" s="475">
        <v>0</v>
      </c>
      <c r="Y66" s="476">
        <v>0</v>
      </c>
      <c r="Z66" s="38">
        <f t="shared" si="25"/>
        <v>0</v>
      </c>
      <c r="AA66" s="564">
        <f t="shared" si="6"/>
        <v>4453.49</v>
      </c>
      <c r="AB66" s="564">
        <f t="shared" si="7"/>
        <v>0</v>
      </c>
      <c r="AC66" s="564">
        <f t="shared" si="8"/>
        <v>0</v>
      </c>
      <c r="AE66" s="564">
        <f t="shared" si="9"/>
        <v>0</v>
      </c>
      <c r="AF66" s="564">
        <f t="shared" si="10"/>
        <v>0</v>
      </c>
      <c r="AG66" s="564">
        <f t="shared" si="11"/>
        <v>0</v>
      </c>
    </row>
    <row r="67" spans="1:33">
      <c r="A67" s="21"/>
      <c r="B67" s="21" t="s">
        <v>110</v>
      </c>
      <c r="C67" s="68" t="s">
        <v>436</v>
      </c>
      <c r="D67" s="449"/>
      <c r="E67" s="529">
        <f>'Q3 DMV - Revenue'!S63</f>
        <v>0</v>
      </c>
      <c r="F67" s="342">
        <v>4113.2</v>
      </c>
      <c r="G67" s="375">
        <v>4757.0200000000004</v>
      </c>
      <c r="H67" s="342">
        <v>5205.83</v>
      </c>
      <c r="I67" s="379">
        <f t="shared" si="12"/>
        <v>14076.050000000001</v>
      </c>
      <c r="J67" s="2"/>
      <c r="K67" s="5"/>
      <c r="L67" s="4">
        <v>0</v>
      </c>
      <c r="M67" s="31"/>
      <c r="N67" s="429"/>
      <c r="O67" s="31"/>
      <c r="P67" s="426">
        <f t="shared" si="2"/>
        <v>0</v>
      </c>
      <c r="Q67" s="178"/>
      <c r="R67" s="295"/>
      <c r="S67" s="328">
        <f t="shared" si="0"/>
        <v>0</v>
      </c>
      <c r="T67" s="2"/>
      <c r="U67" s="474">
        <f t="shared" si="3"/>
        <v>0</v>
      </c>
      <c r="V67" s="474">
        <f t="shared" si="4"/>
        <v>0</v>
      </c>
      <c r="W67" s="475">
        <f t="shared" si="5"/>
        <v>0</v>
      </c>
      <c r="X67" s="475">
        <v>0</v>
      </c>
      <c r="Y67" s="476">
        <v>0</v>
      </c>
      <c r="Z67" s="38">
        <f t="shared" si="25"/>
        <v>0</v>
      </c>
      <c r="AA67" s="564">
        <f t="shared" si="6"/>
        <v>14076.050000000001</v>
      </c>
      <c r="AB67" s="564">
        <f t="shared" si="7"/>
        <v>0</v>
      </c>
      <c r="AC67" s="564">
        <f t="shared" si="8"/>
        <v>0</v>
      </c>
      <c r="AE67" s="564">
        <f t="shared" si="9"/>
        <v>0</v>
      </c>
      <c r="AF67" s="564">
        <f t="shared" si="10"/>
        <v>0</v>
      </c>
      <c r="AG67" s="564">
        <f t="shared" si="11"/>
        <v>0</v>
      </c>
    </row>
    <row r="68" spans="1:33">
      <c r="A68" s="21"/>
      <c r="B68" s="21" t="s">
        <v>110</v>
      </c>
      <c r="C68" s="68" t="s">
        <v>391</v>
      </c>
      <c r="D68" s="449"/>
      <c r="E68" s="529">
        <f>'Q3 DMV - Revenue'!S64</f>
        <v>-2144.2999999999993</v>
      </c>
      <c r="F68" s="342">
        <v>827.44</v>
      </c>
      <c r="G68" s="375">
        <v>1134.43</v>
      </c>
      <c r="H68" s="342">
        <v>1549.97</v>
      </c>
      <c r="I68" s="379">
        <f t="shared" si="12"/>
        <v>1367.5400000000009</v>
      </c>
      <c r="J68" s="2"/>
      <c r="K68" s="5"/>
      <c r="L68" s="4">
        <v>0</v>
      </c>
      <c r="M68" s="31"/>
      <c r="N68" s="429"/>
      <c r="O68" s="31"/>
      <c r="P68" s="426">
        <f t="shared" si="2"/>
        <v>0</v>
      </c>
      <c r="Q68" s="178"/>
      <c r="R68" s="295"/>
      <c r="S68" s="328">
        <f t="shared" si="0"/>
        <v>0</v>
      </c>
      <c r="T68" s="2"/>
      <c r="U68" s="474">
        <f t="shared" si="3"/>
        <v>0</v>
      </c>
      <c r="V68" s="474">
        <f t="shared" si="4"/>
        <v>0</v>
      </c>
      <c r="W68" s="475">
        <f t="shared" si="5"/>
        <v>0</v>
      </c>
      <c r="X68" s="475">
        <v>0</v>
      </c>
      <c r="Y68" s="476">
        <v>0</v>
      </c>
      <c r="Z68" s="38">
        <f t="shared" si="25"/>
        <v>0</v>
      </c>
      <c r="AA68" s="564">
        <f t="shared" si="6"/>
        <v>1367.5400000000009</v>
      </c>
      <c r="AB68" s="564">
        <f t="shared" si="7"/>
        <v>0</v>
      </c>
      <c r="AC68" s="564">
        <f t="shared" si="8"/>
        <v>0</v>
      </c>
      <c r="AE68" s="564">
        <f t="shared" si="9"/>
        <v>0</v>
      </c>
      <c r="AF68" s="564">
        <f t="shared" si="10"/>
        <v>0</v>
      </c>
      <c r="AG68" s="564">
        <f t="shared" si="11"/>
        <v>0</v>
      </c>
    </row>
    <row r="69" spans="1:33">
      <c r="A69" s="21"/>
      <c r="B69" s="21" t="s">
        <v>110</v>
      </c>
      <c r="C69" s="68" t="s">
        <v>392</v>
      </c>
      <c r="D69" s="449"/>
      <c r="E69" s="529">
        <f>'Q3 DMV - Revenue'!S65</f>
        <v>42.910000000000025</v>
      </c>
      <c r="F69" s="342">
        <v>9761.7099999999991</v>
      </c>
      <c r="G69" s="375">
        <v>18234.2</v>
      </c>
      <c r="H69" s="342">
        <v>31569.8</v>
      </c>
      <c r="I69" s="379">
        <f t="shared" si="12"/>
        <v>59608.619999999995</v>
      </c>
      <c r="J69" s="2"/>
      <c r="K69" s="5"/>
      <c r="L69" s="4">
        <v>0</v>
      </c>
      <c r="M69" s="31"/>
      <c r="N69" s="429"/>
      <c r="O69" s="31"/>
      <c r="P69" s="426">
        <f t="shared" si="2"/>
        <v>0</v>
      </c>
      <c r="Q69" s="178"/>
      <c r="R69" s="295"/>
      <c r="S69" s="328">
        <f t="shared" si="0"/>
        <v>0</v>
      </c>
      <c r="T69" s="2"/>
      <c r="U69" s="474">
        <f t="shared" si="3"/>
        <v>0</v>
      </c>
      <c r="V69" s="474">
        <f t="shared" si="4"/>
        <v>0</v>
      </c>
      <c r="W69" s="475">
        <f t="shared" si="5"/>
        <v>0</v>
      </c>
      <c r="X69" s="475">
        <v>0</v>
      </c>
      <c r="Y69" s="476">
        <v>0</v>
      </c>
      <c r="Z69" s="38">
        <f t="shared" si="25"/>
        <v>0</v>
      </c>
      <c r="AA69" s="564">
        <f t="shared" si="6"/>
        <v>59608.619999999995</v>
      </c>
      <c r="AB69" s="564">
        <f t="shared" si="7"/>
        <v>0</v>
      </c>
      <c r="AC69" s="564">
        <f t="shared" si="8"/>
        <v>0</v>
      </c>
      <c r="AE69" s="564">
        <f t="shared" si="9"/>
        <v>0</v>
      </c>
      <c r="AF69" s="564">
        <f t="shared" si="10"/>
        <v>0</v>
      </c>
      <c r="AG69" s="564">
        <f t="shared" si="11"/>
        <v>0</v>
      </c>
    </row>
    <row r="70" spans="1:33">
      <c r="A70" s="20"/>
      <c r="B70" s="20" t="s">
        <v>109</v>
      </c>
      <c r="C70" s="68" t="s">
        <v>450</v>
      </c>
      <c r="D70" s="449">
        <v>1966.89</v>
      </c>
      <c r="E70" s="529">
        <f>1720.98+2101.62+2502.11</f>
        <v>6324.71</v>
      </c>
      <c r="F70" s="342">
        <v>2405.19</v>
      </c>
      <c r="G70" s="375">
        <v>1735.85</v>
      </c>
      <c r="H70" s="342">
        <v>1378.35</v>
      </c>
      <c r="I70" s="379">
        <f t="shared" si="12"/>
        <v>13810.990000000002</v>
      </c>
      <c r="J70" s="31"/>
      <c r="K70" s="84"/>
      <c r="L70" s="42"/>
      <c r="M70" s="31">
        <v>0</v>
      </c>
      <c r="N70" s="429">
        <v>13810.99</v>
      </c>
      <c r="O70" s="31">
        <v>0</v>
      </c>
      <c r="P70" s="426">
        <f t="shared" ref="P70" si="26">K70+L70</f>
        <v>0</v>
      </c>
      <c r="Q70" s="178"/>
      <c r="R70" s="295"/>
      <c r="S70" s="328">
        <f t="shared" si="0"/>
        <v>0</v>
      </c>
      <c r="T70" s="31"/>
      <c r="U70" s="474">
        <f t="shared" si="3"/>
        <v>0</v>
      </c>
      <c r="V70" s="474">
        <f t="shared" si="4"/>
        <v>0</v>
      </c>
      <c r="W70" s="475">
        <f t="shared" si="5"/>
        <v>0</v>
      </c>
      <c r="X70" s="475">
        <v>0</v>
      </c>
      <c r="Y70" s="476">
        <v>0</v>
      </c>
      <c r="Z70" s="38">
        <f t="shared" si="25"/>
        <v>0</v>
      </c>
      <c r="AA70" s="564">
        <f t="shared" si="6"/>
        <v>0</v>
      </c>
      <c r="AB70" s="564">
        <f t="shared" si="7"/>
        <v>13810.990000000002</v>
      </c>
      <c r="AC70" s="564">
        <f t="shared" si="8"/>
        <v>0</v>
      </c>
      <c r="AE70" s="564">
        <f t="shared" si="9"/>
        <v>0</v>
      </c>
      <c r="AF70" s="564">
        <f t="shared" si="10"/>
        <v>0</v>
      </c>
      <c r="AG70" s="564">
        <f t="shared" si="11"/>
        <v>0</v>
      </c>
    </row>
    <row r="71" spans="1:33">
      <c r="A71" s="21" t="s">
        <v>109</v>
      </c>
      <c r="B71" s="21" t="s">
        <v>110</v>
      </c>
      <c r="C71" s="68" t="s">
        <v>438</v>
      </c>
      <c r="D71" s="539"/>
      <c r="E71" s="529"/>
      <c r="F71" s="342">
        <v>122.12</v>
      </c>
      <c r="G71" s="546"/>
      <c r="H71" s="315"/>
      <c r="I71" s="379">
        <f t="shared" si="12"/>
        <v>122.12</v>
      </c>
      <c r="J71" s="2"/>
      <c r="K71" s="84"/>
      <c r="L71" s="4">
        <f>F71*2</f>
        <v>244.24</v>
      </c>
      <c r="M71" s="31">
        <v>0</v>
      </c>
      <c r="N71" s="429">
        <v>122.12</v>
      </c>
      <c r="O71" s="31">
        <v>0</v>
      </c>
      <c r="P71" s="426">
        <f t="shared" ref="P71" si="27">K71+L71</f>
        <v>244.24</v>
      </c>
      <c r="Q71" s="178"/>
      <c r="R71" s="295"/>
      <c r="S71" s="328">
        <f t="shared" si="0"/>
        <v>-244.24</v>
      </c>
      <c r="T71" s="2"/>
      <c r="U71" s="474">
        <f t="shared" si="3"/>
        <v>244.24</v>
      </c>
      <c r="V71" s="474">
        <f t="shared" si="4"/>
        <v>0</v>
      </c>
      <c r="W71" s="475">
        <f t="shared" si="5"/>
        <v>0</v>
      </c>
      <c r="X71" s="475">
        <v>0</v>
      </c>
      <c r="Y71" s="476">
        <v>0</v>
      </c>
      <c r="Z71" s="38">
        <f t="shared" si="25"/>
        <v>0</v>
      </c>
      <c r="AA71" s="564">
        <f t="shared" si="6"/>
        <v>122.12</v>
      </c>
      <c r="AB71" s="564">
        <f t="shared" si="7"/>
        <v>0</v>
      </c>
      <c r="AC71" s="564">
        <f t="shared" si="8"/>
        <v>0</v>
      </c>
      <c r="AE71" s="564">
        <f t="shared" si="9"/>
        <v>244.24</v>
      </c>
      <c r="AF71" s="564">
        <f t="shared" si="10"/>
        <v>0</v>
      </c>
      <c r="AG71" s="564">
        <f t="shared" si="11"/>
        <v>0</v>
      </c>
    </row>
    <row r="72" spans="1:33">
      <c r="A72" s="21"/>
      <c r="B72" s="21" t="s">
        <v>110</v>
      </c>
      <c r="C72" s="68" t="s">
        <v>11</v>
      </c>
      <c r="D72" s="449"/>
      <c r="E72" s="529">
        <f>'Q3 DMV - Revenue'!S66</f>
        <v>0</v>
      </c>
      <c r="F72" s="315"/>
      <c r="G72" s="546"/>
      <c r="H72" s="315"/>
      <c r="I72" s="379">
        <f t="shared" si="12"/>
        <v>0</v>
      </c>
      <c r="J72" s="2"/>
      <c r="K72" s="5"/>
      <c r="L72" s="42"/>
      <c r="M72" s="31">
        <v>0</v>
      </c>
      <c r="N72" s="429"/>
      <c r="O72" s="31">
        <v>0</v>
      </c>
      <c r="P72" s="426">
        <f t="shared" si="2"/>
        <v>0</v>
      </c>
      <c r="Q72" s="178"/>
      <c r="R72" s="295"/>
      <c r="S72" s="328">
        <f t="shared" si="0"/>
        <v>0</v>
      </c>
      <c r="T72" s="2"/>
      <c r="U72" s="474">
        <f t="shared" si="3"/>
        <v>0</v>
      </c>
      <c r="V72" s="474">
        <f t="shared" si="4"/>
        <v>0</v>
      </c>
      <c r="W72" s="475">
        <f t="shared" si="5"/>
        <v>0</v>
      </c>
      <c r="X72" s="475">
        <v>0</v>
      </c>
      <c r="Y72" s="476">
        <v>0</v>
      </c>
      <c r="Z72" s="38">
        <f t="shared" si="25"/>
        <v>0</v>
      </c>
      <c r="AA72" s="564">
        <f t="shared" si="6"/>
        <v>0</v>
      </c>
      <c r="AB72" s="564">
        <f t="shared" si="7"/>
        <v>0</v>
      </c>
      <c r="AC72" s="564">
        <f t="shared" si="8"/>
        <v>0</v>
      </c>
      <c r="AE72" s="564">
        <f t="shared" si="9"/>
        <v>0</v>
      </c>
      <c r="AF72" s="564">
        <f t="shared" si="10"/>
        <v>0</v>
      </c>
      <c r="AG72" s="564">
        <f t="shared" si="11"/>
        <v>0</v>
      </c>
    </row>
    <row r="73" spans="1:33">
      <c r="A73" s="21"/>
      <c r="B73" s="21" t="s">
        <v>110</v>
      </c>
      <c r="C73" s="68" t="s">
        <v>12</v>
      </c>
      <c r="D73" s="449"/>
      <c r="E73" s="529">
        <f>'Q3 DMV - Revenue'!S67</f>
        <v>1.8099999999999454</v>
      </c>
      <c r="F73" s="342">
        <v>820.08</v>
      </c>
      <c r="G73" s="375">
        <v>766.94</v>
      </c>
      <c r="H73" s="315"/>
      <c r="I73" s="379">
        <f t="shared" si="12"/>
        <v>1588.83</v>
      </c>
      <c r="J73" s="31"/>
      <c r="K73" s="84"/>
      <c r="L73" s="42">
        <f>SUM(F73+G73)/2</f>
        <v>793.51</v>
      </c>
      <c r="M73" s="31">
        <v>0</v>
      </c>
      <c r="N73" s="429">
        <v>2388.83</v>
      </c>
      <c r="O73" s="31">
        <v>0</v>
      </c>
      <c r="P73" s="426">
        <f t="shared" si="2"/>
        <v>793.51</v>
      </c>
      <c r="Q73" s="178">
        <v>809.42</v>
      </c>
      <c r="R73" s="295"/>
      <c r="S73" s="328">
        <f t="shared" si="0"/>
        <v>15.909999999999968</v>
      </c>
      <c r="T73" s="31"/>
      <c r="U73" s="474">
        <f t="shared" si="3"/>
        <v>793.51</v>
      </c>
      <c r="V73" s="474">
        <f t="shared" si="4"/>
        <v>0</v>
      </c>
      <c r="W73" s="475">
        <f t="shared" si="5"/>
        <v>0</v>
      </c>
      <c r="X73" s="475">
        <v>0</v>
      </c>
      <c r="Y73" s="476">
        <v>0</v>
      </c>
      <c r="Z73" s="38">
        <f t="shared" si="25"/>
        <v>0</v>
      </c>
      <c r="AA73" s="564">
        <f t="shared" si="6"/>
        <v>1588.83</v>
      </c>
      <c r="AB73" s="564">
        <f t="shared" si="7"/>
        <v>0</v>
      </c>
      <c r="AC73" s="564">
        <f t="shared" si="8"/>
        <v>0</v>
      </c>
      <c r="AE73" s="564">
        <f t="shared" si="9"/>
        <v>793.51</v>
      </c>
      <c r="AF73" s="564">
        <f t="shared" si="10"/>
        <v>0</v>
      </c>
      <c r="AG73" s="564">
        <f t="shared" si="11"/>
        <v>0</v>
      </c>
    </row>
    <row r="74" spans="1:33" s="232" customFormat="1">
      <c r="A74" s="283" t="s">
        <v>211</v>
      </c>
      <c r="B74" s="283" t="s">
        <v>110</v>
      </c>
      <c r="C74" s="123" t="s">
        <v>170</v>
      </c>
      <c r="D74" s="514"/>
      <c r="E74" s="529">
        <f>'Q3 DMV - Revenue'!S68</f>
        <v>0</v>
      </c>
      <c r="F74" s="315"/>
      <c r="G74" s="546"/>
      <c r="H74" s="342">
        <v>475866.37</v>
      </c>
      <c r="I74" s="379">
        <f t="shared" si="12"/>
        <v>475866.37</v>
      </c>
      <c r="J74" s="31"/>
      <c r="K74" s="410"/>
      <c r="L74" s="290"/>
      <c r="M74" s="31">
        <v>0</v>
      </c>
      <c r="N74" s="429">
        <f>635379.26+1413.6</f>
        <v>636792.86</v>
      </c>
      <c r="O74" s="31">
        <v>0</v>
      </c>
      <c r="P74" s="426">
        <f t="shared" si="2"/>
        <v>0</v>
      </c>
      <c r="Q74" s="14"/>
      <c r="R74" s="295"/>
      <c r="S74" s="328">
        <f t="shared" si="0"/>
        <v>0</v>
      </c>
      <c r="T74" s="31"/>
      <c r="U74" s="474">
        <f t="shared" si="3"/>
        <v>0</v>
      </c>
      <c r="V74" s="474">
        <f t="shared" si="4"/>
        <v>0</v>
      </c>
      <c r="W74" s="475">
        <f t="shared" si="5"/>
        <v>0</v>
      </c>
      <c r="X74" s="475">
        <v>0</v>
      </c>
      <c r="Y74" s="476">
        <v>0</v>
      </c>
      <c r="Z74" s="38">
        <f t="shared" si="25"/>
        <v>0</v>
      </c>
      <c r="AA74" s="564">
        <f t="shared" si="6"/>
        <v>475866.37</v>
      </c>
      <c r="AB74" s="564">
        <f t="shared" si="7"/>
        <v>0</v>
      </c>
      <c r="AC74" s="564">
        <f t="shared" si="8"/>
        <v>0</v>
      </c>
      <c r="AD74" s="565"/>
      <c r="AE74" s="564">
        <f t="shared" si="9"/>
        <v>0</v>
      </c>
      <c r="AF74" s="564">
        <f t="shared" si="10"/>
        <v>0</v>
      </c>
      <c r="AG74" s="564">
        <f t="shared" si="11"/>
        <v>0</v>
      </c>
    </row>
    <row r="75" spans="1:33" s="232" customFormat="1">
      <c r="A75" s="283" t="s">
        <v>211</v>
      </c>
      <c r="B75" s="283" t="s">
        <v>110</v>
      </c>
      <c r="C75" s="123" t="s">
        <v>171</v>
      </c>
      <c r="D75" s="514"/>
      <c r="E75" s="529">
        <f>'Q3 DMV - Revenue'!S69</f>
        <v>0</v>
      </c>
      <c r="F75" s="315"/>
      <c r="G75" s="546"/>
      <c r="H75" s="342">
        <v>1380.75</v>
      </c>
      <c r="I75" s="379">
        <f t="shared" si="12"/>
        <v>1380.75</v>
      </c>
      <c r="J75" s="31"/>
      <c r="K75" s="410"/>
      <c r="L75" s="290"/>
      <c r="M75" s="31">
        <v>0</v>
      </c>
      <c r="N75" s="429"/>
      <c r="O75" s="31">
        <v>0</v>
      </c>
      <c r="P75" s="426">
        <f t="shared" si="2"/>
        <v>0</v>
      </c>
      <c r="Q75" s="14"/>
      <c r="R75" s="295"/>
      <c r="S75" s="328">
        <f t="shared" si="0"/>
        <v>0</v>
      </c>
      <c r="T75" s="31"/>
      <c r="U75" s="474">
        <f t="shared" si="3"/>
        <v>0</v>
      </c>
      <c r="V75" s="474">
        <f t="shared" si="4"/>
        <v>0</v>
      </c>
      <c r="W75" s="475">
        <f t="shared" si="5"/>
        <v>0</v>
      </c>
      <c r="X75" s="475">
        <v>0</v>
      </c>
      <c r="Y75" s="476">
        <v>0</v>
      </c>
      <c r="Z75" s="38">
        <f t="shared" si="25"/>
        <v>0</v>
      </c>
      <c r="AA75" s="564">
        <f t="shared" si="6"/>
        <v>1380.75</v>
      </c>
      <c r="AB75" s="564">
        <f t="shared" si="7"/>
        <v>0</v>
      </c>
      <c r="AC75" s="564">
        <f t="shared" si="8"/>
        <v>0</v>
      </c>
      <c r="AD75" s="565"/>
      <c r="AE75" s="564">
        <f t="shared" si="9"/>
        <v>0</v>
      </c>
      <c r="AF75" s="564">
        <f t="shared" si="10"/>
        <v>0</v>
      </c>
      <c r="AG75" s="564">
        <f t="shared" si="11"/>
        <v>0</v>
      </c>
    </row>
    <row r="76" spans="1:33" s="232" customFormat="1">
      <c r="A76" s="283" t="s">
        <v>211</v>
      </c>
      <c r="B76" s="283" t="s">
        <v>110</v>
      </c>
      <c r="C76" s="123" t="s">
        <v>13</v>
      </c>
      <c r="D76" s="514"/>
      <c r="E76" s="529">
        <f>'Q3 DMV - Revenue'!S70</f>
        <v>0</v>
      </c>
      <c r="F76" s="315"/>
      <c r="G76" s="546"/>
      <c r="H76" s="342">
        <v>122852.95</v>
      </c>
      <c r="I76" s="379">
        <f t="shared" si="12"/>
        <v>122852.95</v>
      </c>
      <c r="J76" s="31"/>
      <c r="K76" s="410"/>
      <c r="L76" s="290"/>
      <c r="M76" s="31">
        <v>0</v>
      </c>
      <c r="N76" s="429"/>
      <c r="O76" s="31">
        <v>0</v>
      </c>
      <c r="P76" s="426">
        <f t="shared" si="2"/>
        <v>0</v>
      </c>
      <c r="Q76" s="14"/>
      <c r="R76" s="295"/>
      <c r="S76" s="328">
        <f t="shared" si="0"/>
        <v>0</v>
      </c>
      <c r="T76" s="31"/>
      <c r="U76" s="474">
        <f t="shared" si="3"/>
        <v>0</v>
      </c>
      <c r="V76" s="474">
        <f t="shared" si="4"/>
        <v>0</v>
      </c>
      <c r="W76" s="475">
        <f t="shared" si="5"/>
        <v>0</v>
      </c>
      <c r="X76" s="475">
        <v>0</v>
      </c>
      <c r="Y76" s="476">
        <v>0</v>
      </c>
      <c r="Z76" s="38">
        <f t="shared" si="25"/>
        <v>0</v>
      </c>
      <c r="AA76" s="564">
        <f t="shared" si="6"/>
        <v>122852.95</v>
      </c>
      <c r="AB76" s="564">
        <f t="shared" si="7"/>
        <v>0</v>
      </c>
      <c r="AC76" s="564">
        <f t="shared" si="8"/>
        <v>0</v>
      </c>
      <c r="AD76" s="565"/>
      <c r="AE76" s="564">
        <f t="shared" si="9"/>
        <v>0</v>
      </c>
      <c r="AF76" s="564">
        <f t="shared" si="10"/>
        <v>0</v>
      </c>
      <c r="AG76" s="564">
        <f t="shared" si="11"/>
        <v>0</v>
      </c>
    </row>
    <row r="77" spans="1:33" s="232" customFormat="1">
      <c r="A77" s="283" t="s">
        <v>211</v>
      </c>
      <c r="B77" s="283" t="s">
        <v>110</v>
      </c>
      <c r="C77" s="123" t="s">
        <v>172</v>
      </c>
      <c r="D77" s="514"/>
      <c r="E77" s="529">
        <f>'Q3 DMV - Revenue'!S71</f>
        <v>0</v>
      </c>
      <c r="F77" s="315"/>
      <c r="G77" s="546"/>
      <c r="H77" s="342">
        <v>25.89</v>
      </c>
      <c r="I77" s="379">
        <f t="shared" si="12"/>
        <v>25.89</v>
      </c>
      <c r="J77" s="31"/>
      <c r="K77" s="410"/>
      <c r="L77" s="290"/>
      <c r="M77" s="31">
        <v>0</v>
      </c>
      <c r="N77" s="429"/>
      <c r="O77" s="31">
        <v>0</v>
      </c>
      <c r="P77" s="426">
        <f t="shared" si="2"/>
        <v>0</v>
      </c>
      <c r="Q77" s="14"/>
      <c r="R77" s="295"/>
      <c r="S77" s="328">
        <f t="shared" si="0"/>
        <v>0</v>
      </c>
      <c r="T77" s="31"/>
      <c r="U77" s="474">
        <f t="shared" si="3"/>
        <v>0</v>
      </c>
      <c r="V77" s="474">
        <f t="shared" si="4"/>
        <v>0</v>
      </c>
      <c r="W77" s="475">
        <f t="shared" si="5"/>
        <v>0</v>
      </c>
      <c r="X77" s="475">
        <v>0</v>
      </c>
      <c r="Y77" s="476">
        <v>0</v>
      </c>
      <c r="Z77" s="38">
        <f t="shared" si="25"/>
        <v>0</v>
      </c>
      <c r="AA77" s="564">
        <f t="shared" si="6"/>
        <v>25.89</v>
      </c>
      <c r="AB77" s="564">
        <f t="shared" si="7"/>
        <v>0</v>
      </c>
      <c r="AC77" s="564">
        <f t="shared" si="8"/>
        <v>0</v>
      </c>
      <c r="AD77" s="565"/>
      <c r="AE77" s="564">
        <f t="shared" si="9"/>
        <v>0</v>
      </c>
      <c r="AF77" s="564">
        <f t="shared" si="10"/>
        <v>0</v>
      </c>
      <c r="AG77" s="564">
        <f t="shared" si="11"/>
        <v>0</v>
      </c>
    </row>
    <row r="78" spans="1:33" s="232" customFormat="1">
      <c r="A78" s="283" t="s">
        <v>211</v>
      </c>
      <c r="B78" s="283" t="s">
        <v>110</v>
      </c>
      <c r="C78" s="123" t="s">
        <v>173</v>
      </c>
      <c r="D78" s="514"/>
      <c r="E78" s="529">
        <f>'Q3 DMV - Revenue'!S72</f>
        <v>0</v>
      </c>
      <c r="F78" s="315"/>
      <c r="G78" s="546"/>
      <c r="H78" s="342">
        <v>36659.94</v>
      </c>
      <c r="I78" s="379">
        <f t="shared" si="12"/>
        <v>36659.94</v>
      </c>
      <c r="J78" s="31"/>
      <c r="K78" s="410"/>
      <c r="L78" s="290"/>
      <c r="M78" s="31">
        <v>0</v>
      </c>
      <c r="N78" s="429"/>
      <c r="O78" s="31">
        <v>0</v>
      </c>
      <c r="P78" s="426">
        <f t="shared" si="2"/>
        <v>0</v>
      </c>
      <c r="Q78" s="14"/>
      <c r="R78" s="295"/>
      <c r="S78" s="328">
        <f t="shared" si="0"/>
        <v>0</v>
      </c>
      <c r="T78" s="31"/>
      <c r="U78" s="474">
        <f t="shared" si="3"/>
        <v>0</v>
      </c>
      <c r="V78" s="474">
        <f t="shared" si="4"/>
        <v>0</v>
      </c>
      <c r="W78" s="475">
        <f t="shared" si="5"/>
        <v>0</v>
      </c>
      <c r="X78" s="475">
        <v>0</v>
      </c>
      <c r="Y78" s="476">
        <v>0</v>
      </c>
      <c r="Z78" s="38">
        <f t="shared" si="25"/>
        <v>0</v>
      </c>
      <c r="AA78" s="564">
        <f t="shared" si="6"/>
        <v>36659.94</v>
      </c>
      <c r="AB78" s="564">
        <f t="shared" si="7"/>
        <v>0</v>
      </c>
      <c r="AC78" s="564">
        <f t="shared" si="8"/>
        <v>0</v>
      </c>
      <c r="AD78" s="565"/>
      <c r="AE78" s="564">
        <f t="shared" si="9"/>
        <v>0</v>
      </c>
      <c r="AF78" s="564">
        <f t="shared" si="10"/>
        <v>0</v>
      </c>
      <c r="AG78" s="564">
        <f t="shared" si="11"/>
        <v>0</v>
      </c>
    </row>
    <row r="79" spans="1:33" s="232" customFormat="1">
      <c r="A79" s="283" t="s">
        <v>211</v>
      </c>
      <c r="B79" s="283" t="s">
        <v>110</v>
      </c>
      <c r="C79" s="123" t="s">
        <v>174</v>
      </c>
      <c r="D79" s="514"/>
      <c r="E79" s="529">
        <f>'Q3 DMV - Revenue'!S73</f>
        <v>0</v>
      </c>
      <c r="F79" s="315"/>
      <c r="G79" s="546"/>
      <c r="H79" s="342">
        <v>6.96</v>
      </c>
      <c r="I79" s="379">
        <f t="shared" si="12"/>
        <v>6.96</v>
      </c>
      <c r="J79" s="31"/>
      <c r="K79" s="410"/>
      <c r="L79" s="290"/>
      <c r="M79" s="31">
        <v>0</v>
      </c>
      <c r="N79" s="429"/>
      <c r="O79" s="31">
        <v>0</v>
      </c>
      <c r="P79" s="426">
        <f t="shared" si="2"/>
        <v>0</v>
      </c>
      <c r="Q79" s="14"/>
      <c r="R79" s="295"/>
      <c r="S79" s="328">
        <f t="shared" si="0"/>
        <v>0</v>
      </c>
      <c r="T79" s="31"/>
      <c r="U79" s="474">
        <f t="shared" si="3"/>
        <v>0</v>
      </c>
      <c r="V79" s="474">
        <f t="shared" si="4"/>
        <v>0</v>
      </c>
      <c r="W79" s="475">
        <f t="shared" si="5"/>
        <v>0</v>
      </c>
      <c r="X79" s="475">
        <v>0</v>
      </c>
      <c r="Y79" s="476">
        <v>0</v>
      </c>
      <c r="Z79" s="38">
        <f t="shared" si="25"/>
        <v>0</v>
      </c>
      <c r="AA79" s="564">
        <f t="shared" si="6"/>
        <v>6.96</v>
      </c>
      <c r="AB79" s="564">
        <f t="shared" si="7"/>
        <v>0</v>
      </c>
      <c r="AC79" s="564">
        <f t="shared" si="8"/>
        <v>0</v>
      </c>
      <c r="AD79" s="565"/>
      <c r="AE79" s="564">
        <f t="shared" si="9"/>
        <v>0</v>
      </c>
      <c r="AF79" s="564">
        <f t="shared" si="10"/>
        <v>0</v>
      </c>
      <c r="AG79" s="564">
        <f t="shared" si="11"/>
        <v>0</v>
      </c>
    </row>
    <row r="80" spans="1:33">
      <c r="A80" s="21"/>
      <c r="B80" s="21" t="s">
        <v>109</v>
      </c>
      <c r="C80" s="68" t="s">
        <v>94</v>
      </c>
      <c r="D80" s="538"/>
      <c r="E80" s="529">
        <f>'Q3 DMV - Revenue'!S74</f>
        <v>188.86</v>
      </c>
      <c r="F80" s="342">
        <f>9.59+596.27</f>
        <v>605.86</v>
      </c>
      <c r="G80" s="375">
        <f>11.29+588.34</f>
        <v>599.63</v>
      </c>
      <c r="H80" s="342">
        <f>384.81+4.23</f>
        <v>389.04</v>
      </c>
      <c r="I80" s="379">
        <f t="shared" si="12"/>
        <v>1783.3899999999999</v>
      </c>
      <c r="J80" s="2"/>
      <c r="K80" s="84"/>
      <c r="L80" s="4"/>
      <c r="M80" s="31">
        <v>0</v>
      </c>
      <c r="N80" s="429">
        <v>1786.4</v>
      </c>
      <c r="O80" s="31">
        <v>0</v>
      </c>
      <c r="P80" s="426">
        <f t="shared" si="2"/>
        <v>0</v>
      </c>
      <c r="Q80" s="178"/>
      <c r="R80" s="295"/>
      <c r="S80" s="328">
        <f t="shared" si="0"/>
        <v>0</v>
      </c>
      <c r="T80" s="2"/>
      <c r="U80" s="474">
        <f t="shared" si="3"/>
        <v>0</v>
      </c>
      <c r="V80" s="474">
        <f t="shared" si="4"/>
        <v>0</v>
      </c>
      <c r="W80" s="475">
        <f t="shared" si="5"/>
        <v>0</v>
      </c>
      <c r="X80" s="475">
        <v>0</v>
      </c>
      <c r="Y80" s="476">
        <v>0</v>
      </c>
      <c r="Z80" s="38">
        <f t="shared" si="25"/>
        <v>0</v>
      </c>
      <c r="AA80" s="564">
        <f t="shared" si="6"/>
        <v>0</v>
      </c>
      <c r="AB80" s="564">
        <f t="shared" si="7"/>
        <v>1783.3899999999999</v>
      </c>
      <c r="AC80" s="564">
        <f t="shared" si="8"/>
        <v>0</v>
      </c>
      <c r="AE80" s="564">
        <f t="shared" si="9"/>
        <v>0</v>
      </c>
      <c r="AF80" s="564">
        <f t="shared" si="10"/>
        <v>0</v>
      </c>
      <c r="AG80" s="564">
        <f t="shared" si="11"/>
        <v>0</v>
      </c>
    </row>
    <row r="81" spans="1:33">
      <c r="A81" s="21" t="s">
        <v>109</v>
      </c>
      <c r="B81" s="21" t="s">
        <v>110</v>
      </c>
      <c r="C81" s="68" t="s">
        <v>319</v>
      </c>
      <c r="D81" s="539"/>
      <c r="E81" s="529">
        <f>'Q3 DMV - Revenue'!S75</f>
        <v>0</v>
      </c>
      <c r="F81" s="315"/>
      <c r="G81" s="546"/>
      <c r="H81" s="315"/>
      <c r="I81" s="379">
        <f t="shared" si="12"/>
        <v>0</v>
      </c>
      <c r="J81" s="2"/>
      <c r="K81" s="84"/>
      <c r="L81" s="4">
        <v>0</v>
      </c>
      <c r="M81" s="31">
        <v>0</v>
      </c>
      <c r="N81" s="429"/>
      <c r="O81" s="31">
        <v>0</v>
      </c>
      <c r="P81" s="426">
        <f t="shared" si="2"/>
        <v>0</v>
      </c>
      <c r="Q81" s="178"/>
      <c r="R81" s="295"/>
      <c r="S81" s="328">
        <f t="shared" si="0"/>
        <v>0</v>
      </c>
      <c r="T81" s="2"/>
      <c r="U81" s="474">
        <f t="shared" si="3"/>
        <v>0</v>
      </c>
      <c r="V81" s="474">
        <f t="shared" si="4"/>
        <v>0</v>
      </c>
      <c r="W81" s="475">
        <f t="shared" si="5"/>
        <v>0</v>
      </c>
      <c r="X81" s="475">
        <v>0</v>
      </c>
      <c r="Y81" s="476">
        <v>0</v>
      </c>
      <c r="Z81" s="38">
        <f t="shared" si="25"/>
        <v>0</v>
      </c>
      <c r="AA81" s="564">
        <f t="shared" si="6"/>
        <v>0</v>
      </c>
      <c r="AB81" s="564">
        <f t="shared" si="7"/>
        <v>0</v>
      </c>
      <c r="AC81" s="564">
        <f t="shared" si="8"/>
        <v>0</v>
      </c>
      <c r="AE81" s="564">
        <f t="shared" si="9"/>
        <v>0</v>
      </c>
      <c r="AF81" s="564">
        <f t="shared" si="10"/>
        <v>0</v>
      </c>
      <c r="AG81" s="564">
        <f t="shared" si="11"/>
        <v>0</v>
      </c>
    </row>
    <row r="82" spans="1:33">
      <c r="A82" s="20" t="s">
        <v>211</v>
      </c>
      <c r="B82" s="20" t="s">
        <v>109</v>
      </c>
      <c r="C82" s="68" t="s">
        <v>14</v>
      </c>
      <c r="D82" s="449">
        <v>802.45</v>
      </c>
      <c r="E82" s="529">
        <f>'Q3 DMV - Revenue'!S76</f>
        <v>-1052.56</v>
      </c>
      <c r="F82" s="315"/>
      <c r="G82" s="546"/>
      <c r="H82" s="315"/>
      <c r="I82" s="379">
        <f t="shared" si="12"/>
        <v>-250.1099999999999</v>
      </c>
      <c r="J82" s="31"/>
      <c r="K82" s="84"/>
      <c r="L82" s="42">
        <v>2000</v>
      </c>
      <c r="M82" s="31">
        <v>0</v>
      </c>
      <c r="N82" s="429">
        <v>1749.89</v>
      </c>
      <c r="O82" s="31">
        <v>0</v>
      </c>
      <c r="P82" s="426">
        <f t="shared" si="2"/>
        <v>2000</v>
      </c>
      <c r="Q82" s="178">
        <v>845.36</v>
      </c>
      <c r="R82" s="295"/>
      <c r="S82" s="328">
        <f t="shared" si="0"/>
        <v>-1154.6399999999999</v>
      </c>
      <c r="T82" s="31"/>
      <c r="U82" s="474">
        <f t="shared" si="3"/>
        <v>0</v>
      </c>
      <c r="V82" s="474">
        <f t="shared" si="4"/>
        <v>2000</v>
      </c>
      <c r="W82" s="475">
        <f t="shared" si="5"/>
        <v>0</v>
      </c>
      <c r="X82" s="475">
        <v>0</v>
      </c>
      <c r="Y82" s="476">
        <v>0</v>
      </c>
      <c r="Z82" s="38">
        <f t="shared" si="25"/>
        <v>0</v>
      </c>
      <c r="AA82" s="564">
        <f t="shared" si="6"/>
        <v>0</v>
      </c>
      <c r="AB82" s="564">
        <f t="shared" si="7"/>
        <v>-250.1099999999999</v>
      </c>
      <c r="AC82" s="564">
        <f t="shared" si="8"/>
        <v>0</v>
      </c>
      <c r="AE82" s="564">
        <f t="shared" si="9"/>
        <v>0</v>
      </c>
      <c r="AF82" s="564">
        <f t="shared" si="10"/>
        <v>2000</v>
      </c>
      <c r="AG82" s="564">
        <f t="shared" si="11"/>
        <v>0</v>
      </c>
    </row>
    <row r="83" spans="1:33">
      <c r="A83" s="20"/>
      <c r="B83" s="20" t="s">
        <v>110</v>
      </c>
      <c r="C83" s="68" t="s">
        <v>15</v>
      </c>
      <c r="D83" s="449"/>
      <c r="E83" s="529">
        <f>'Q3 DMV - Revenue'!S77</f>
        <v>50.77</v>
      </c>
      <c r="F83" s="342">
        <v>9460.06</v>
      </c>
      <c r="G83" s="375">
        <v>9784.85</v>
      </c>
      <c r="H83" s="342">
        <v>11199.51</v>
      </c>
      <c r="I83" s="379">
        <f t="shared" si="12"/>
        <v>30495.190000000002</v>
      </c>
      <c r="J83" s="31"/>
      <c r="K83" s="84"/>
      <c r="L83" s="42"/>
      <c r="M83" s="31">
        <v>0</v>
      </c>
      <c r="N83" s="429">
        <v>30444.42</v>
      </c>
      <c r="O83" s="31">
        <v>0</v>
      </c>
      <c r="P83" s="426">
        <f t="shared" si="2"/>
        <v>0</v>
      </c>
      <c r="Q83" s="178"/>
      <c r="R83" s="295"/>
      <c r="S83" s="328">
        <f t="shared" si="0"/>
        <v>0</v>
      </c>
      <c r="T83" s="31"/>
      <c r="U83" s="474">
        <f t="shared" si="3"/>
        <v>0</v>
      </c>
      <c r="V83" s="474">
        <f t="shared" si="4"/>
        <v>0</v>
      </c>
      <c r="W83" s="475">
        <f t="shared" si="5"/>
        <v>0</v>
      </c>
      <c r="X83" s="475">
        <v>0</v>
      </c>
      <c r="Y83" s="476">
        <v>0</v>
      </c>
      <c r="Z83" s="38">
        <f t="shared" si="25"/>
        <v>0</v>
      </c>
      <c r="AA83" s="564">
        <f t="shared" si="6"/>
        <v>30495.190000000002</v>
      </c>
      <c r="AB83" s="564">
        <f t="shared" si="7"/>
        <v>0</v>
      </c>
      <c r="AC83" s="564">
        <f t="shared" si="8"/>
        <v>0</v>
      </c>
      <c r="AE83" s="564">
        <f t="shared" si="9"/>
        <v>0</v>
      </c>
      <c r="AF83" s="564">
        <f t="shared" si="10"/>
        <v>0</v>
      </c>
      <c r="AG83" s="564">
        <f t="shared" si="11"/>
        <v>0</v>
      </c>
    </row>
    <row r="84" spans="1:33">
      <c r="A84" s="20"/>
      <c r="B84" s="20" t="s">
        <v>109</v>
      </c>
      <c r="C84" s="68" t="s">
        <v>16</v>
      </c>
      <c r="D84" s="449"/>
      <c r="E84" s="529">
        <f>'Q3 DMV - Revenue'!S78</f>
        <v>-443.28</v>
      </c>
      <c r="F84" s="315"/>
      <c r="G84" s="546"/>
      <c r="H84" s="315"/>
      <c r="I84" s="379">
        <f t="shared" si="12"/>
        <v>-443.28</v>
      </c>
      <c r="J84" s="31"/>
      <c r="K84" s="84"/>
      <c r="L84" s="42">
        <f>445+445</f>
        <v>890</v>
      </c>
      <c r="M84" s="31">
        <v>0</v>
      </c>
      <c r="N84" s="429"/>
      <c r="O84" s="31">
        <v>0</v>
      </c>
      <c r="P84" s="426">
        <f t="shared" si="2"/>
        <v>890</v>
      </c>
      <c r="Q84" s="178">
        <f>189.83+186.72+206.26</f>
        <v>582.80999999999995</v>
      </c>
      <c r="R84" s="295"/>
      <c r="S84" s="328">
        <f t="shared" ref="S84:S85" si="28">Q84-P84</f>
        <v>-307.19000000000005</v>
      </c>
      <c r="T84" s="31"/>
      <c r="U84" s="474">
        <f t="shared" si="3"/>
        <v>0</v>
      </c>
      <c r="V84" s="474">
        <f t="shared" si="4"/>
        <v>890</v>
      </c>
      <c r="W84" s="475">
        <f t="shared" si="5"/>
        <v>0</v>
      </c>
      <c r="X84" s="475">
        <v>0</v>
      </c>
      <c r="Y84" s="476">
        <v>0</v>
      </c>
      <c r="Z84" s="38">
        <f t="shared" si="25"/>
        <v>0</v>
      </c>
      <c r="AA84" s="564">
        <f t="shared" si="6"/>
        <v>0</v>
      </c>
      <c r="AB84" s="564">
        <f t="shared" si="7"/>
        <v>-443.28</v>
      </c>
      <c r="AC84" s="564">
        <f t="shared" si="8"/>
        <v>0</v>
      </c>
      <c r="AE84" s="564">
        <f t="shared" si="9"/>
        <v>0</v>
      </c>
      <c r="AF84" s="564">
        <f t="shared" si="10"/>
        <v>890</v>
      </c>
      <c r="AG84" s="564">
        <f t="shared" si="11"/>
        <v>0</v>
      </c>
    </row>
    <row r="85" spans="1:33">
      <c r="A85" s="20"/>
      <c r="B85" s="20" t="s">
        <v>109</v>
      </c>
      <c r="C85" s="68" t="s">
        <v>208</v>
      </c>
      <c r="D85" s="449"/>
      <c r="E85" s="529">
        <f>'Q3 DMV - Revenue'!S79</f>
        <v>-127.4</v>
      </c>
      <c r="F85" s="315"/>
      <c r="G85" s="546"/>
      <c r="H85" s="315"/>
      <c r="I85" s="379">
        <f t="shared" si="12"/>
        <v>-127.4</v>
      </c>
      <c r="J85" s="31"/>
      <c r="K85" s="84"/>
      <c r="L85" s="42">
        <f>130+130</f>
        <v>260</v>
      </c>
      <c r="M85" s="31">
        <v>0</v>
      </c>
      <c r="N85" s="429"/>
      <c r="O85" s="31">
        <v>0</v>
      </c>
      <c r="P85" s="426">
        <f t="shared" si="2"/>
        <v>260</v>
      </c>
      <c r="Q85" s="178">
        <f>132.74+91.4+104.05</f>
        <v>328.19</v>
      </c>
      <c r="R85" s="295"/>
      <c r="S85" s="328">
        <f t="shared" si="28"/>
        <v>68.19</v>
      </c>
      <c r="T85" s="31"/>
      <c r="U85" s="474">
        <f t="shared" si="3"/>
        <v>0</v>
      </c>
      <c r="V85" s="474">
        <f t="shared" si="4"/>
        <v>260</v>
      </c>
      <c r="W85" s="475">
        <f t="shared" si="5"/>
        <v>0</v>
      </c>
      <c r="X85" s="475">
        <v>0</v>
      </c>
      <c r="Y85" s="476">
        <v>0</v>
      </c>
      <c r="Z85" s="38">
        <f t="shared" ref="Z85:Z88" si="29">(K85+L85)-(U85+V85+W85+X85+Y85)</f>
        <v>0</v>
      </c>
      <c r="AA85" s="564">
        <f t="shared" si="6"/>
        <v>0</v>
      </c>
      <c r="AB85" s="564">
        <f t="shared" si="7"/>
        <v>-127.4</v>
      </c>
      <c r="AC85" s="564">
        <f t="shared" si="8"/>
        <v>0</v>
      </c>
      <c r="AE85" s="564">
        <f t="shared" si="9"/>
        <v>0</v>
      </c>
      <c r="AF85" s="564">
        <f t="shared" si="10"/>
        <v>260</v>
      </c>
      <c r="AG85" s="564">
        <f t="shared" si="11"/>
        <v>0</v>
      </c>
    </row>
    <row r="86" spans="1:33">
      <c r="A86" s="20"/>
      <c r="B86" s="20" t="s">
        <v>110</v>
      </c>
      <c r="C86" s="68" t="s">
        <v>17</v>
      </c>
      <c r="D86" s="449">
        <v>59.33</v>
      </c>
      <c r="E86" s="529">
        <f>'Q3 DMV - Revenue'!S80</f>
        <v>-7</v>
      </c>
      <c r="F86" s="315"/>
      <c r="G86" s="546"/>
      <c r="H86" s="315"/>
      <c r="I86" s="379">
        <f t="shared" si="12"/>
        <v>52.33</v>
      </c>
      <c r="J86" s="31"/>
      <c r="K86" s="84"/>
      <c r="L86" s="42">
        <f>7+7</f>
        <v>14</v>
      </c>
      <c r="M86" s="31">
        <v>0</v>
      </c>
      <c r="N86" s="429">
        <v>59.33</v>
      </c>
      <c r="O86" s="31">
        <v>0</v>
      </c>
      <c r="P86" s="426">
        <f t="shared" si="2"/>
        <v>14</v>
      </c>
      <c r="Q86" s="178"/>
      <c r="R86" s="295"/>
      <c r="S86" s="328">
        <f t="shared" ref="S86:S146" si="30">Q86-P86</f>
        <v>-14</v>
      </c>
      <c r="T86" s="31"/>
      <c r="U86" s="474">
        <f t="shared" ref="U86:U149" si="31">IF(B86="D",P86,0)</f>
        <v>14</v>
      </c>
      <c r="V86" s="474">
        <f t="shared" ref="V86:V149" si="32">IF(B86="M",P86,0)</f>
        <v>0</v>
      </c>
      <c r="W86" s="475">
        <f t="shared" ref="W86:W149" si="33">IF(B86="V",P86,0)</f>
        <v>0</v>
      </c>
      <c r="X86" s="475">
        <v>0</v>
      </c>
      <c r="Y86" s="476">
        <v>0</v>
      </c>
      <c r="Z86" s="38">
        <f t="shared" si="29"/>
        <v>0</v>
      </c>
      <c r="AA86" s="564">
        <f t="shared" ref="AA86:AA149" si="34">IF(B86="D",I86,0)</f>
        <v>52.33</v>
      </c>
      <c r="AB86" s="564">
        <f t="shared" ref="AB86:AB149" si="35">IF(B86="M",I86,0)</f>
        <v>0</v>
      </c>
      <c r="AC86" s="564">
        <f t="shared" ref="AC86:AC149" si="36">IF(B86="V",I86,0)</f>
        <v>0</v>
      </c>
      <c r="AE86" s="564">
        <f t="shared" ref="AE86:AE149" si="37">IF(B86="D",P86,0)</f>
        <v>14</v>
      </c>
      <c r="AF86" s="564">
        <f t="shared" ref="AF86:AF149" si="38">IF(B86="M",P86,0)</f>
        <v>0</v>
      </c>
      <c r="AG86" s="564">
        <f t="shared" ref="AG86:AG149" si="39">IF(B86="V",P86,0)</f>
        <v>0</v>
      </c>
    </row>
    <row r="87" spans="1:33" s="232" customFormat="1">
      <c r="A87" s="283"/>
      <c r="B87" s="283" t="s">
        <v>109</v>
      </c>
      <c r="C87" s="373" t="s">
        <v>410</v>
      </c>
      <c r="D87" s="514"/>
      <c r="E87" s="529">
        <f>'Q3 DMV - Revenue'!S81</f>
        <v>1059.130000000001</v>
      </c>
      <c r="F87" s="342">
        <v>22998.78</v>
      </c>
      <c r="G87" s="375">
        <v>20893.05</v>
      </c>
      <c r="H87" s="342">
        <v>21178.27</v>
      </c>
      <c r="I87" s="379">
        <f t="shared" si="12"/>
        <v>66129.23</v>
      </c>
      <c r="J87" s="31"/>
      <c r="K87" s="86"/>
      <c r="L87" s="290"/>
      <c r="M87" s="31">
        <v>0</v>
      </c>
      <c r="N87" s="429">
        <v>97187.92</v>
      </c>
      <c r="O87" s="31">
        <v>0</v>
      </c>
      <c r="P87" s="426">
        <f t="shared" si="2"/>
        <v>0</v>
      </c>
      <c r="Q87" s="14"/>
      <c r="R87" s="295"/>
      <c r="S87" s="328">
        <f t="shared" si="30"/>
        <v>0</v>
      </c>
      <c r="T87" s="31"/>
      <c r="U87" s="474">
        <f t="shared" si="31"/>
        <v>0</v>
      </c>
      <c r="V87" s="474">
        <f t="shared" si="32"/>
        <v>0</v>
      </c>
      <c r="W87" s="475">
        <f t="shared" si="33"/>
        <v>0</v>
      </c>
      <c r="X87" s="475">
        <v>0</v>
      </c>
      <c r="Y87" s="476">
        <v>0</v>
      </c>
      <c r="Z87" s="38">
        <f t="shared" si="29"/>
        <v>0</v>
      </c>
      <c r="AA87" s="564">
        <f t="shared" si="34"/>
        <v>0</v>
      </c>
      <c r="AB87" s="564">
        <f t="shared" si="35"/>
        <v>66129.23</v>
      </c>
      <c r="AC87" s="564">
        <f t="shared" si="36"/>
        <v>0</v>
      </c>
      <c r="AD87" s="565"/>
      <c r="AE87" s="564">
        <f t="shared" si="37"/>
        <v>0</v>
      </c>
      <c r="AF87" s="564">
        <f t="shared" si="38"/>
        <v>0</v>
      </c>
      <c r="AG87" s="564">
        <f t="shared" si="39"/>
        <v>0</v>
      </c>
    </row>
    <row r="88" spans="1:33" s="232" customFormat="1">
      <c r="A88" s="283"/>
      <c r="B88" s="283" t="s">
        <v>109</v>
      </c>
      <c r="C88" s="373" t="s">
        <v>411</v>
      </c>
      <c r="D88" s="523"/>
      <c r="E88" s="523">
        <f>'Q3 DMV - Revenue'!S82</f>
        <v>0</v>
      </c>
      <c r="F88" s="523"/>
      <c r="G88" s="548"/>
      <c r="H88" s="553"/>
      <c r="I88" s="553">
        <f t="shared" ref="I88:I91" si="40">SUM(D88:H88)</f>
        <v>0</v>
      </c>
      <c r="J88" s="31"/>
      <c r="K88" s="508"/>
      <c r="L88" s="508"/>
      <c r="M88" s="31">
        <v>0</v>
      </c>
      <c r="N88" s="509"/>
      <c r="O88" s="31">
        <v>0</v>
      </c>
      <c r="P88" s="426">
        <f t="shared" si="2"/>
        <v>0</v>
      </c>
      <c r="Q88" s="14"/>
      <c r="R88" s="295"/>
      <c r="S88" s="328">
        <f t="shared" si="30"/>
        <v>0</v>
      </c>
      <c r="T88" s="31"/>
      <c r="U88" s="474">
        <f t="shared" si="31"/>
        <v>0</v>
      </c>
      <c r="V88" s="474">
        <f t="shared" si="32"/>
        <v>0</v>
      </c>
      <c r="W88" s="475">
        <f t="shared" si="33"/>
        <v>0</v>
      </c>
      <c r="X88" s="475">
        <v>0</v>
      </c>
      <c r="Y88" s="476">
        <v>0</v>
      </c>
      <c r="Z88" s="38">
        <f t="shared" si="29"/>
        <v>0</v>
      </c>
      <c r="AA88" s="564">
        <f t="shared" si="34"/>
        <v>0</v>
      </c>
      <c r="AB88" s="564">
        <f t="shared" si="35"/>
        <v>0</v>
      </c>
      <c r="AC88" s="564">
        <f t="shared" si="36"/>
        <v>0</v>
      </c>
      <c r="AD88" s="565"/>
      <c r="AE88" s="564">
        <f t="shared" si="37"/>
        <v>0</v>
      </c>
      <c r="AF88" s="564">
        <f t="shared" si="38"/>
        <v>0</v>
      </c>
      <c r="AG88" s="564">
        <f t="shared" si="39"/>
        <v>0</v>
      </c>
    </row>
    <row r="89" spans="1:33" s="232" customFormat="1">
      <c r="A89" s="283"/>
      <c r="B89" s="283" t="s">
        <v>109</v>
      </c>
      <c r="C89" s="373" t="s">
        <v>412</v>
      </c>
      <c r="D89" s="514"/>
      <c r="E89" s="529">
        <f>'Q3 DMV - Revenue'!S83</f>
        <v>22.800000000000004</v>
      </c>
      <c r="F89" s="342">
        <v>45.1</v>
      </c>
      <c r="G89" s="375">
        <v>23.7</v>
      </c>
      <c r="H89" s="342">
        <v>9.1</v>
      </c>
      <c r="I89" s="379">
        <f t="shared" si="12"/>
        <v>100.7</v>
      </c>
      <c r="J89" s="31"/>
      <c r="K89" s="86"/>
      <c r="L89" s="290"/>
      <c r="M89" s="31">
        <v>0</v>
      </c>
      <c r="N89" s="429"/>
      <c r="O89" s="31">
        <v>0</v>
      </c>
      <c r="P89" s="426">
        <f t="shared" si="2"/>
        <v>0</v>
      </c>
      <c r="Q89" s="14"/>
      <c r="R89" s="295"/>
      <c r="S89" s="328">
        <f t="shared" si="30"/>
        <v>0</v>
      </c>
      <c r="T89" s="31"/>
      <c r="U89" s="474">
        <f t="shared" si="31"/>
        <v>0</v>
      </c>
      <c r="V89" s="474">
        <f t="shared" si="32"/>
        <v>0</v>
      </c>
      <c r="W89" s="475">
        <f t="shared" si="33"/>
        <v>0</v>
      </c>
      <c r="X89" s="475">
        <v>0</v>
      </c>
      <c r="Y89" s="476">
        <v>0</v>
      </c>
      <c r="Z89" s="38">
        <f t="shared" ref="Z89:Z152" si="41">(K89+L89)-(U89+V89+W89+X89+Y89)</f>
        <v>0</v>
      </c>
      <c r="AA89" s="564">
        <f t="shared" si="34"/>
        <v>0</v>
      </c>
      <c r="AB89" s="564">
        <f t="shared" si="35"/>
        <v>100.7</v>
      </c>
      <c r="AC89" s="564">
        <f t="shared" si="36"/>
        <v>0</v>
      </c>
      <c r="AD89" s="565"/>
      <c r="AE89" s="564">
        <f t="shared" si="37"/>
        <v>0</v>
      </c>
      <c r="AF89" s="564">
        <f t="shared" si="38"/>
        <v>0</v>
      </c>
      <c r="AG89" s="564">
        <f t="shared" si="39"/>
        <v>0</v>
      </c>
    </row>
    <row r="90" spans="1:33" s="232" customFormat="1">
      <c r="A90" s="283"/>
      <c r="B90" s="283" t="s">
        <v>109</v>
      </c>
      <c r="C90" s="373" t="s">
        <v>413</v>
      </c>
      <c r="D90" s="514"/>
      <c r="E90" s="529">
        <f>'Q3 DMV - Revenue'!S84</f>
        <v>68.985000000000127</v>
      </c>
      <c r="F90" s="342">
        <v>959.59</v>
      </c>
      <c r="G90" s="375">
        <v>1269.31</v>
      </c>
      <c r="H90" s="342">
        <v>2104.9499999999998</v>
      </c>
      <c r="I90" s="379">
        <f t="shared" si="12"/>
        <v>4402.835</v>
      </c>
      <c r="J90" s="31"/>
      <c r="K90" s="86"/>
      <c r="L90" s="290"/>
      <c r="M90" s="31">
        <v>0</v>
      </c>
      <c r="N90" s="429"/>
      <c r="O90" s="31">
        <v>0</v>
      </c>
      <c r="P90" s="426">
        <f t="shared" ref="P90:P157" si="42">K90+L90</f>
        <v>0</v>
      </c>
      <c r="Q90" s="14"/>
      <c r="R90" s="295"/>
      <c r="S90" s="328">
        <f t="shared" si="30"/>
        <v>0</v>
      </c>
      <c r="T90" s="31"/>
      <c r="U90" s="474">
        <f t="shared" si="31"/>
        <v>0</v>
      </c>
      <c r="V90" s="474">
        <f t="shared" si="32"/>
        <v>0</v>
      </c>
      <c r="W90" s="475">
        <f t="shared" si="33"/>
        <v>0</v>
      </c>
      <c r="X90" s="475">
        <v>0</v>
      </c>
      <c r="Y90" s="476">
        <v>0</v>
      </c>
      <c r="Z90" s="38">
        <f t="shared" si="41"/>
        <v>0</v>
      </c>
      <c r="AA90" s="564">
        <f t="shared" si="34"/>
        <v>0</v>
      </c>
      <c r="AB90" s="564">
        <f t="shared" si="35"/>
        <v>4402.835</v>
      </c>
      <c r="AC90" s="564">
        <f t="shared" si="36"/>
        <v>0</v>
      </c>
      <c r="AD90" s="565"/>
      <c r="AE90" s="564">
        <f t="shared" si="37"/>
        <v>0</v>
      </c>
      <c r="AF90" s="564">
        <f t="shared" si="38"/>
        <v>0</v>
      </c>
      <c r="AG90" s="564">
        <f t="shared" si="39"/>
        <v>0</v>
      </c>
    </row>
    <row r="91" spans="1:33" s="232" customFormat="1">
      <c r="A91" s="283"/>
      <c r="B91" s="283" t="s">
        <v>109</v>
      </c>
      <c r="C91" s="373" t="s">
        <v>414</v>
      </c>
      <c r="D91" s="523"/>
      <c r="E91" s="523">
        <f>'Q3 DMV - Revenue'!S85</f>
        <v>0</v>
      </c>
      <c r="F91" s="523"/>
      <c r="G91" s="548"/>
      <c r="H91" s="553"/>
      <c r="I91" s="553">
        <f t="shared" si="40"/>
        <v>0</v>
      </c>
      <c r="J91" s="31"/>
      <c r="K91" s="508"/>
      <c r="L91" s="508"/>
      <c r="M91" s="31">
        <v>0</v>
      </c>
      <c r="N91" s="509"/>
      <c r="O91" s="31">
        <v>0</v>
      </c>
      <c r="P91" s="426">
        <f t="shared" si="42"/>
        <v>0</v>
      </c>
      <c r="Q91" s="14"/>
      <c r="R91" s="295"/>
      <c r="S91" s="328">
        <f t="shared" si="30"/>
        <v>0</v>
      </c>
      <c r="T91" s="31"/>
      <c r="U91" s="474">
        <f t="shared" si="31"/>
        <v>0</v>
      </c>
      <c r="V91" s="474">
        <f t="shared" si="32"/>
        <v>0</v>
      </c>
      <c r="W91" s="475">
        <f t="shared" si="33"/>
        <v>0</v>
      </c>
      <c r="X91" s="475">
        <v>0</v>
      </c>
      <c r="Y91" s="476">
        <v>0</v>
      </c>
      <c r="Z91" s="38">
        <f t="shared" si="41"/>
        <v>0</v>
      </c>
      <c r="AA91" s="564">
        <f t="shared" si="34"/>
        <v>0</v>
      </c>
      <c r="AB91" s="564">
        <f t="shared" si="35"/>
        <v>0</v>
      </c>
      <c r="AC91" s="564">
        <f t="shared" si="36"/>
        <v>0</v>
      </c>
      <c r="AD91" s="565"/>
      <c r="AE91" s="564">
        <f t="shared" si="37"/>
        <v>0</v>
      </c>
      <c r="AF91" s="564">
        <f t="shared" si="38"/>
        <v>0</v>
      </c>
      <c r="AG91" s="564">
        <f t="shared" si="39"/>
        <v>0</v>
      </c>
    </row>
    <row r="92" spans="1:33">
      <c r="A92" s="20"/>
      <c r="B92" s="20" t="s">
        <v>110</v>
      </c>
      <c r="C92" s="351" t="s">
        <v>409</v>
      </c>
      <c r="D92" s="449"/>
      <c r="E92" s="529">
        <f>'Q3 DMV - Revenue'!S86</f>
        <v>-247.52</v>
      </c>
      <c r="F92" s="315"/>
      <c r="G92" s="546"/>
      <c r="H92" s="315"/>
      <c r="I92" s="379">
        <f t="shared" si="12"/>
        <v>-247.52</v>
      </c>
      <c r="J92" s="31"/>
      <c r="K92" s="501"/>
      <c r="L92" s="502">
        <f>245+245</f>
        <v>490</v>
      </c>
      <c r="M92" s="31"/>
      <c r="N92" s="428"/>
      <c r="O92" s="31"/>
      <c r="P92" s="426">
        <f>K92+L92</f>
        <v>490</v>
      </c>
      <c r="Q92" s="178"/>
      <c r="R92" s="295"/>
      <c r="S92" s="328">
        <f t="shared" si="30"/>
        <v>-490</v>
      </c>
      <c r="T92" s="31"/>
      <c r="U92" s="474">
        <f t="shared" si="31"/>
        <v>490</v>
      </c>
      <c r="V92" s="474">
        <f t="shared" si="32"/>
        <v>0</v>
      </c>
      <c r="W92" s="475">
        <f t="shared" si="33"/>
        <v>0</v>
      </c>
      <c r="X92" s="475">
        <v>0</v>
      </c>
      <c r="Y92" s="476">
        <v>0</v>
      </c>
      <c r="Z92" s="38">
        <f t="shared" si="41"/>
        <v>0</v>
      </c>
      <c r="AA92" s="564">
        <f t="shared" si="34"/>
        <v>-247.52</v>
      </c>
      <c r="AB92" s="564">
        <f t="shared" si="35"/>
        <v>0</v>
      </c>
      <c r="AC92" s="564">
        <f t="shared" si="36"/>
        <v>0</v>
      </c>
      <c r="AE92" s="564">
        <f t="shared" si="37"/>
        <v>490</v>
      </c>
      <c r="AF92" s="564">
        <f t="shared" si="38"/>
        <v>0</v>
      </c>
      <c r="AG92" s="564">
        <f t="shared" si="39"/>
        <v>0</v>
      </c>
    </row>
    <row r="93" spans="1:33">
      <c r="A93" s="20"/>
      <c r="B93" s="20" t="s">
        <v>110</v>
      </c>
      <c r="C93" s="68" t="s">
        <v>305</v>
      </c>
      <c r="D93" s="449"/>
      <c r="E93" s="529">
        <f>'Q3 DMV - Revenue'!S87</f>
        <v>-111.38</v>
      </c>
      <c r="F93" s="342">
        <v>1018.85</v>
      </c>
      <c r="G93" s="375">
        <v>246.04</v>
      </c>
      <c r="H93" s="342">
        <v>368.19</v>
      </c>
      <c r="I93" s="379">
        <f t="shared" si="12"/>
        <v>1521.7</v>
      </c>
      <c r="J93" s="31"/>
      <c r="K93" s="84"/>
      <c r="L93" s="502">
        <v>0</v>
      </c>
      <c r="M93" s="31"/>
      <c r="N93" s="429">
        <v>1803.84</v>
      </c>
      <c r="O93" s="31"/>
      <c r="P93" s="426">
        <f t="shared" si="42"/>
        <v>0</v>
      </c>
      <c r="Q93" s="178"/>
      <c r="R93" s="295"/>
      <c r="S93" s="328">
        <f t="shared" si="30"/>
        <v>0</v>
      </c>
      <c r="T93" s="31"/>
      <c r="U93" s="474">
        <f t="shared" si="31"/>
        <v>0</v>
      </c>
      <c r="V93" s="474">
        <f t="shared" si="32"/>
        <v>0</v>
      </c>
      <c r="W93" s="475">
        <f t="shared" si="33"/>
        <v>0</v>
      </c>
      <c r="X93" s="475">
        <v>0</v>
      </c>
      <c r="Y93" s="476">
        <v>0</v>
      </c>
      <c r="Z93" s="38">
        <f t="shared" si="41"/>
        <v>0</v>
      </c>
      <c r="AA93" s="564">
        <f t="shared" si="34"/>
        <v>1521.7</v>
      </c>
      <c r="AB93" s="564">
        <f t="shared" si="35"/>
        <v>0</v>
      </c>
      <c r="AC93" s="564">
        <f t="shared" si="36"/>
        <v>0</v>
      </c>
      <c r="AE93" s="564">
        <f t="shared" si="37"/>
        <v>0</v>
      </c>
      <c r="AF93" s="564">
        <f t="shared" si="38"/>
        <v>0</v>
      </c>
      <c r="AG93" s="564">
        <f t="shared" si="39"/>
        <v>0</v>
      </c>
    </row>
    <row r="94" spans="1:33">
      <c r="A94" s="20"/>
      <c r="B94" s="20" t="s">
        <v>110</v>
      </c>
      <c r="C94" s="68" t="s">
        <v>199</v>
      </c>
      <c r="D94" s="449"/>
      <c r="E94" s="529">
        <f>'Q3 DMV - Revenue'!S88</f>
        <v>0</v>
      </c>
      <c r="F94" s="342">
        <v>72.150000000000006</v>
      </c>
      <c r="G94" s="375">
        <v>310.22000000000003</v>
      </c>
      <c r="H94" s="342">
        <v>190.7</v>
      </c>
      <c r="I94" s="379">
        <f t="shared" ref="I94:I157" si="43">SUM(D94:H94)</f>
        <v>573.06999999999994</v>
      </c>
      <c r="J94" s="31"/>
      <c r="K94" s="84"/>
      <c r="L94" s="42"/>
      <c r="M94" s="31">
        <v>0</v>
      </c>
      <c r="N94" s="429">
        <v>1329.6</v>
      </c>
      <c r="O94" s="31">
        <v>0</v>
      </c>
      <c r="P94" s="426">
        <f t="shared" si="42"/>
        <v>0</v>
      </c>
      <c r="Q94" s="178"/>
      <c r="R94" s="295"/>
      <c r="S94" s="328">
        <f t="shared" si="30"/>
        <v>0</v>
      </c>
      <c r="T94" s="31"/>
      <c r="U94" s="474">
        <f t="shared" si="31"/>
        <v>0</v>
      </c>
      <c r="V94" s="474">
        <f t="shared" si="32"/>
        <v>0</v>
      </c>
      <c r="W94" s="475">
        <f t="shared" si="33"/>
        <v>0</v>
      </c>
      <c r="X94" s="475">
        <v>0</v>
      </c>
      <c r="Y94" s="476">
        <v>0</v>
      </c>
      <c r="Z94" s="38">
        <f t="shared" si="41"/>
        <v>0</v>
      </c>
      <c r="AA94" s="564">
        <f t="shared" si="34"/>
        <v>573.06999999999994</v>
      </c>
      <c r="AB94" s="564">
        <f t="shared" si="35"/>
        <v>0</v>
      </c>
      <c r="AC94" s="564">
        <f t="shared" si="36"/>
        <v>0</v>
      </c>
      <c r="AE94" s="564">
        <f t="shared" si="37"/>
        <v>0</v>
      </c>
      <c r="AF94" s="564">
        <f t="shared" si="38"/>
        <v>0</v>
      </c>
      <c r="AG94" s="564">
        <f t="shared" si="39"/>
        <v>0</v>
      </c>
    </row>
    <row r="95" spans="1:33">
      <c r="A95" s="20"/>
      <c r="B95" s="20" t="s">
        <v>110</v>
      </c>
      <c r="C95" s="68" t="s">
        <v>200</v>
      </c>
      <c r="D95" s="449"/>
      <c r="E95" s="529">
        <f>'Q3 DMV - Revenue'!S89</f>
        <v>0</v>
      </c>
      <c r="F95" s="342">
        <v>254.1</v>
      </c>
      <c r="G95" s="375">
        <v>290.5</v>
      </c>
      <c r="H95" s="342">
        <v>161.69999999999999</v>
      </c>
      <c r="I95" s="379">
        <f t="shared" si="43"/>
        <v>706.3</v>
      </c>
      <c r="J95" s="31"/>
      <c r="K95" s="84"/>
      <c r="L95" s="42"/>
      <c r="M95" s="31">
        <v>0</v>
      </c>
      <c r="N95" s="429"/>
      <c r="O95" s="31">
        <v>0</v>
      </c>
      <c r="P95" s="426">
        <f t="shared" si="42"/>
        <v>0</v>
      </c>
      <c r="Q95" s="178"/>
      <c r="R95" s="295"/>
      <c r="S95" s="328">
        <f t="shared" si="30"/>
        <v>0</v>
      </c>
      <c r="T95" s="31"/>
      <c r="U95" s="474">
        <f t="shared" si="31"/>
        <v>0</v>
      </c>
      <c r="V95" s="474">
        <f t="shared" si="32"/>
        <v>0</v>
      </c>
      <c r="W95" s="475">
        <f t="shared" si="33"/>
        <v>0</v>
      </c>
      <c r="X95" s="475">
        <v>0</v>
      </c>
      <c r="Y95" s="476">
        <v>0</v>
      </c>
      <c r="Z95" s="38">
        <f t="shared" si="41"/>
        <v>0</v>
      </c>
      <c r="AA95" s="564">
        <f t="shared" si="34"/>
        <v>706.3</v>
      </c>
      <c r="AB95" s="564">
        <f t="shared" si="35"/>
        <v>0</v>
      </c>
      <c r="AC95" s="564">
        <f t="shared" si="36"/>
        <v>0</v>
      </c>
      <c r="AE95" s="564">
        <f t="shared" si="37"/>
        <v>0</v>
      </c>
      <c r="AF95" s="564">
        <f t="shared" si="38"/>
        <v>0</v>
      </c>
      <c r="AG95" s="564">
        <f t="shared" si="39"/>
        <v>0</v>
      </c>
    </row>
    <row r="96" spans="1:33">
      <c r="A96" s="20"/>
      <c r="B96" s="20" t="s">
        <v>110</v>
      </c>
      <c r="C96" s="68" t="s">
        <v>201</v>
      </c>
      <c r="D96" s="449"/>
      <c r="E96" s="529">
        <f>'Q3 DMV - Revenue'!S90</f>
        <v>0</v>
      </c>
      <c r="F96" s="342">
        <v>6.22</v>
      </c>
      <c r="G96" s="375">
        <v>17.239999999999998</v>
      </c>
      <c r="H96" s="342">
        <v>26.77</v>
      </c>
      <c r="I96" s="379">
        <f t="shared" si="43"/>
        <v>50.23</v>
      </c>
      <c r="J96" s="31"/>
      <c r="K96" s="84"/>
      <c r="L96" s="42"/>
      <c r="M96" s="31">
        <v>0</v>
      </c>
      <c r="N96" s="429"/>
      <c r="O96" s="31">
        <v>0</v>
      </c>
      <c r="P96" s="426">
        <f t="shared" si="42"/>
        <v>0</v>
      </c>
      <c r="Q96" s="178"/>
      <c r="R96" s="295"/>
      <c r="S96" s="328">
        <f t="shared" si="30"/>
        <v>0</v>
      </c>
      <c r="T96" s="31"/>
      <c r="U96" s="474">
        <f t="shared" si="31"/>
        <v>0</v>
      </c>
      <c r="V96" s="474">
        <f t="shared" si="32"/>
        <v>0</v>
      </c>
      <c r="W96" s="475">
        <f t="shared" si="33"/>
        <v>0</v>
      </c>
      <c r="X96" s="475">
        <v>0</v>
      </c>
      <c r="Y96" s="476">
        <v>0</v>
      </c>
      <c r="Z96" s="38">
        <f t="shared" si="41"/>
        <v>0</v>
      </c>
      <c r="AA96" s="564">
        <f t="shared" si="34"/>
        <v>50.23</v>
      </c>
      <c r="AB96" s="564">
        <f t="shared" si="35"/>
        <v>0</v>
      </c>
      <c r="AC96" s="564">
        <f t="shared" si="36"/>
        <v>0</v>
      </c>
      <c r="AE96" s="564">
        <f t="shared" si="37"/>
        <v>0</v>
      </c>
      <c r="AF96" s="564">
        <f t="shared" si="38"/>
        <v>0</v>
      </c>
      <c r="AG96" s="564">
        <f t="shared" si="39"/>
        <v>0</v>
      </c>
    </row>
    <row r="97" spans="1:33">
      <c r="A97" s="20"/>
      <c r="B97" s="20" t="s">
        <v>110</v>
      </c>
      <c r="C97" s="68" t="s">
        <v>64</v>
      </c>
      <c r="D97" s="449"/>
      <c r="E97" s="529">
        <f>'Q3 DMV - Revenue'!S91</f>
        <v>0</v>
      </c>
      <c r="F97" s="342">
        <v>245.64</v>
      </c>
      <c r="G97" s="375">
        <v>374.42</v>
      </c>
      <c r="H97" s="342">
        <v>361.74</v>
      </c>
      <c r="I97" s="379">
        <f t="shared" si="43"/>
        <v>981.8</v>
      </c>
      <c r="J97" s="31"/>
      <c r="K97" s="84"/>
      <c r="L97" s="42"/>
      <c r="M97" s="31">
        <v>0</v>
      </c>
      <c r="N97" s="429">
        <v>1125.4100000000001</v>
      </c>
      <c r="O97" s="31">
        <v>0</v>
      </c>
      <c r="P97" s="426">
        <f t="shared" si="42"/>
        <v>0</v>
      </c>
      <c r="Q97" s="178"/>
      <c r="R97" s="295"/>
      <c r="S97" s="328">
        <f t="shared" si="30"/>
        <v>0</v>
      </c>
      <c r="T97" s="31"/>
      <c r="U97" s="474">
        <f t="shared" si="31"/>
        <v>0</v>
      </c>
      <c r="V97" s="474">
        <f t="shared" si="32"/>
        <v>0</v>
      </c>
      <c r="W97" s="475">
        <f t="shared" si="33"/>
        <v>0</v>
      </c>
      <c r="X97" s="475">
        <v>0</v>
      </c>
      <c r="Y97" s="476">
        <v>0</v>
      </c>
      <c r="Z97" s="38">
        <f t="shared" si="41"/>
        <v>0</v>
      </c>
      <c r="AA97" s="564">
        <f t="shared" si="34"/>
        <v>981.8</v>
      </c>
      <c r="AB97" s="564">
        <f t="shared" si="35"/>
        <v>0</v>
      </c>
      <c r="AC97" s="564">
        <f t="shared" si="36"/>
        <v>0</v>
      </c>
      <c r="AE97" s="564">
        <f t="shared" si="37"/>
        <v>0</v>
      </c>
      <c r="AF97" s="564">
        <f t="shared" si="38"/>
        <v>0</v>
      </c>
      <c r="AG97" s="564">
        <f t="shared" si="39"/>
        <v>0</v>
      </c>
    </row>
    <row r="98" spans="1:33">
      <c r="A98" s="20" t="s">
        <v>211</v>
      </c>
      <c r="B98" s="20" t="s">
        <v>109</v>
      </c>
      <c r="C98" s="68" t="s">
        <v>18</v>
      </c>
      <c r="D98" s="449"/>
      <c r="E98" s="529">
        <f>'Q3 DMV - Revenue'!S92</f>
        <v>0.99000000000000909</v>
      </c>
      <c r="F98" s="315"/>
      <c r="G98" s="546"/>
      <c r="H98" s="315"/>
      <c r="I98" s="379">
        <f t="shared" si="43"/>
        <v>0.99000000000000909</v>
      </c>
      <c r="J98" s="2"/>
      <c r="K98" s="336"/>
      <c r="L98" s="42">
        <v>100</v>
      </c>
      <c r="M98" s="31">
        <v>0</v>
      </c>
      <c r="N98" s="429">
        <v>100.99</v>
      </c>
      <c r="O98" s="31">
        <v>0</v>
      </c>
      <c r="P98" s="426">
        <f t="shared" si="42"/>
        <v>100</v>
      </c>
      <c r="Q98" s="178"/>
      <c r="R98" s="295"/>
      <c r="S98" s="328">
        <f t="shared" si="30"/>
        <v>-100</v>
      </c>
      <c r="T98" s="2"/>
      <c r="U98" s="474">
        <f t="shared" si="31"/>
        <v>0</v>
      </c>
      <c r="V98" s="474">
        <f t="shared" si="32"/>
        <v>100</v>
      </c>
      <c r="W98" s="475">
        <f t="shared" si="33"/>
        <v>0</v>
      </c>
      <c r="X98" s="475">
        <v>0</v>
      </c>
      <c r="Y98" s="476">
        <v>0</v>
      </c>
      <c r="Z98" s="38">
        <f t="shared" si="41"/>
        <v>0</v>
      </c>
      <c r="AA98" s="564">
        <f t="shared" si="34"/>
        <v>0</v>
      </c>
      <c r="AB98" s="564">
        <f t="shared" si="35"/>
        <v>0.99000000000000909</v>
      </c>
      <c r="AC98" s="564">
        <f t="shared" si="36"/>
        <v>0</v>
      </c>
      <c r="AE98" s="564">
        <f t="shared" si="37"/>
        <v>0</v>
      </c>
      <c r="AF98" s="564">
        <f t="shared" si="38"/>
        <v>100</v>
      </c>
      <c r="AG98" s="564">
        <f t="shared" si="39"/>
        <v>0</v>
      </c>
    </row>
    <row r="99" spans="1:33">
      <c r="A99" s="20" t="s">
        <v>97</v>
      </c>
      <c r="B99" s="20" t="s">
        <v>109</v>
      </c>
      <c r="C99" s="68" t="s">
        <v>19</v>
      </c>
      <c r="D99" s="449"/>
      <c r="E99" s="529">
        <f>'Q3 DMV - Revenue'!S93</f>
        <v>0</v>
      </c>
      <c r="F99" s="342">
        <v>4660.01</v>
      </c>
      <c r="G99" s="375">
        <v>4933.21</v>
      </c>
      <c r="H99" s="342">
        <v>5030.9399999999996</v>
      </c>
      <c r="I99" s="379">
        <f t="shared" si="43"/>
        <v>14624.16</v>
      </c>
      <c r="J99" s="31"/>
      <c r="K99" s="84"/>
      <c r="L99" s="42"/>
      <c r="M99" s="31">
        <v>0</v>
      </c>
      <c r="N99" s="429">
        <v>14624.16</v>
      </c>
      <c r="O99" s="31">
        <v>0</v>
      </c>
      <c r="P99" s="426">
        <f t="shared" si="42"/>
        <v>0</v>
      </c>
      <c r="Q99" s="178"/>
      <c r="R99" s="295"/>
      <c r="S99" s="328">
        <f t="shared" si="30"/>
        <v>0</v>
      </c>
      <c r="T99" s="31"/>
      <c r="U99" s="474">
        <f t="shared" si="31"/>
        <v>0</v>
      </c>
      <c r="V99" s="474">
        <f t="shared" si="32"/>
        <v>0</v>
      </c>
      <c r="W99" s="475">
        <f t="shared" si="33"/>
        <v>0</v>
      </c>
      <c r="X99" s="475">
        <v>0</v>
      </c>
      <c r="Y99" s="476">
        <v>0</v>
      </c>
      <c r="Z99" s="38">
        <f t="shared" si="41"/>
        <v>0</v>
      </c>
      <c r="AA99" s="564">
        <f t="shared" si="34"/>
        <v>0</v>
      </c>
      <c r="AB99" s="564">
        <f t="shared" si="35"/>
        <v>14624.16</v>
      </c>
      <c r="AC99" s="564">
        <f t="shared" si="36"/>
        <v>0</v>
      </c>
      <c r="AE99" s="564">
        <f t="shared" si="37"/>
        <v>0</v>
      </c>
      <c r="AF99" s="564">
        <f t="shared" si="38"/>
        <v>0</v>
      </c>
      <c r="AG99" s="564">
        <f t="shared" si="39"/>
        <v>0</v>
      </c>
    </row>
    <row r="100" spans="1:33">
      <c r="A100" s="20" t="s">
        <v>97</v>
      </c>
      <c r="B100" s="20" t="s">
        <v>114</v>
      </c>
      <c r="C100" s="68" t="s">
        <v>387</v>
      </c>
      <c r="D100" s="449"/>
      <c r="E100" s="529">
        <f>'Q3 DMV - Revenue'!S94</f>
        <v>9149.89</v>
      </c>
      <c r="F100" s="546"/>
      <c r="G100" s="546"/>
      <c r="H100" s="315"/>
      <c r="I100" s="379">
        <f t="shared" si="43"/>
        <v>9149.89</v>
      </c>
      <c r="J100" s="31"/>
      <c r="K100" s="84">
        <f>3592.09+3758.76+5010.96</f>
        <v>12361.810000000001</v>
      </c>
      <c r="L100" s="42"/>
      <c r="M100" s="31">
        <v>0</v>
      </c>
      <c r="N100" s="429">
        <v>14149.89</v>
      </c>
      <c r="O100" s="31">
        <v>0</v>
      </c>
      <c r="P100" s="426">
        <f t="shared" si="42"/>
        <v>12361.810000000001</v>
      </c>
      <c r="Q100" s="178">
        <v>8806.6200000000008</v>
      </c>
      <c r="R100" s="295"/>
      <c r="S100" s="328">
        <f t="shared" si="30"/>
        <v>-3555.1900000000005</v>
      </c>
      <c r="T100" s="31"/>
      <c r="U100" s="474">
        <f t="shared" si="31"/>
        <v>0</v>
      </c>
      <c r="V100" s="474">
        <f t="shared" si="32"/>
        <v>0</v>
      </c>
      <c r="W100" s="475">
        <f t="shared" si="33"/>
        <v>12361.810000000001</v>
      </c>
      <c r="X100" s="475">
        <v>0</v>
      </c>
      <c r="Y100" s="476">
        <v>0</v>
      </c>
      <c r="Z100" s="38">
        <f t="shared" si="41"/>
        <v>0</v>
      </c>
      <c r="AA100" s="564">
        <f t="shared" si="34"/>
        <v>0</v>
      </c>
      <c r="AB100" s="564">
        <f t="shared" si="35"/>
        <v>0</v>
      </c>
      <c r="AC100" s="564">
        <f t="shared" si="36"/>
        <v>9149.89</v>
      </c>
      <c r="AE100" s="564">
        <f t="shared" si="37"/>
        <v>0</v>
      </c>
      <c r="AF100" s="564">
        <f t="shared" si="38"/>
        <v>0</v>
      </c>
      <c r="AG100" s="564">
        <f t="shared" si="39"/>
        <v>12361.810000000001</v>
      </c>
    </row>
    <row r="101" spans="1:33">
      <c r="A101" s="20" t="s">
        <v>109</v>
      </c>
      <c r="B101" s="20" t="s">
        <v>109</v>
      </c>
      <c r="C101" s="68" t="s">
        <v>66</v>
      </c>
      <c r="D101" s="449">
        <v>63.95</v>
      </c>
      <c r="E101" s="529">
        <f>'Q3 DMV - Revenue'!S95</f>
        <v>-212.73000000000002</v>
      </c>
      <c r="F101" s="342">
        <f>2458.02+45.38</f>
        <v>2503.4</v>
      </c>
      <c r="G101" s="375">
        <f>2266.65+309.18</f>
        <v>2575.83</v>
      </c>
      <c r="H101" s="315"/>
      <c r="I101" s="379">
        <f t="shared" si="43"/>
        <v>4930.45</v>
      </c>
      <c r="J101" s="31"/>
      <c r="K101" s="84"/>
      <c r="L101" s="42">
        <v>0</v>
      </c>
      <c r="M101" s="31">
        <v>0</v>
      </c>
      <c r="N101" s="429">
        <v>9026.69</v>
      </c>
      <c r="O101" s="31">
        <v>0</v>
      </c>
      <c r="P101" s="426">
        <f t="shared" si="42"/>
        <v>0</v>
      </c>
      <c r="Q101" s="178">
        <v>2772.25</v>
      </c>
      <c r="R101" s="295"/>
      <c r="S101" s="328">
        <f t="shared" si="30"/>
        <v>2772.25</v>
      </c>
      <c r="T101" s="31"/>
      <c r="U101" s="474">
        <f t="shared" si="31"/>
        <v>0</v>
      </c>
      <c r="V101" s="474">
        <f t="shared" si="32"/>
        <v>0</v>
      </c>
      <c r="W101" s="475">
        <f t="shared" si="33"/>
        <v>0</v>
      </c>
      <c r="X101" s="475">
        <v>0</v>
      </c>
      <c r="Y101" s="476">
        <v>0</v>
      </c>
      <c r="Z101" s="38">
        <f t="shared" si="41"/>
        <v>0</v>
      </c>
      <c r="AA101" s="564">
        <f t="shared" si="34"/>
        <v>0</v>
      </c>
      <c r="AB101" s="564">
        <f t="shared" si="35"/>
        <v>4930.45</v>
      </c>
      <c r="AC101" s="564">
        <f t="shared" si="36"/>
        <v>0</v>
      </c>
      <c r="AE101" s="564">
        <f t="shared" si="37"/>
        <v>0</v>
      </c>
      <c r="AF101" s="564">
        <f t="shared" si="38"/>
        <v>0</v>
      </c>
      <c r="AG101" s="564">
        <f t="shared" si="39"/>
        <v>0</v>
      </c>
    </row>
    <row r="102" spans="1:33">
      <c r="A102" s="20" t="s">
        <v>109</v>
      </c>
      <c r="B102" s="20" t="s">
        <v>109</v>
      </c>
      <c r="C102" s="68" t="s">
        <v>383</v>
      </c>
      <c r="D102" s="449"/>
      <c r="E102" s="529">
        <f>'Q3 DMV - Revenue'!S96</f>
        <v>-1650.28</v>
      </c>
      <c r="F102" s="315"/>
      <c r="G102" s="546"/>
      <c r="H102" s="315"/>
      <c r="I102" s="379">
        <f t="shared" si="43"/>
        <v>-1650.28</v>
      </c>
      <c r="J102" s="31"/>
      <c r="K102" s="84"/>
      <c r="L102" s="42">
        <v>0</v>
      </c>
      <c r="M102" s="31">
        <v>0</v>
      </c>
      <c r="N102" s="429"/>
      <c r="O102" s="31">
        <v>0</v>
      </c>
      <c r="P102" s="426">
        <f t="shared" si="42"/>
        <v>0</v>
      </c>
      <c r="Q102" s="178"/>
      <c r="R102" s="295"/>
      <c r="S102" s="328">
        <f t="shared" si="30"/>
        <v>0</v>
      </c>
      <c r="T102" s="31"/>
      <c r="U102" s="474">
        <f t="shared" si="31"/>
        <v>0</v>
      </c>
      <c r="V102" s="474">
        <f t="shared" si="32"/>
        <v>0</v>
      </c>
      <c r="W102" s="475">
        <f t="shared" si="33"/>
        <v>0</v>
      </c>
      <c r="X102" s="475">
        <v>0</v>
      </c>
      <c r="Y102" s="476">
        <v>0</v>
      </c>
      <c r="Z102" s="38">
        <f t="shared" si="41"/>
        <v>0</v>
      </c>
      <c r="AA102" s="564">
        <f t="shared" si="34"/>
        <v>0</v>
      </c>
      <c r="AB102" s="564">
        <f t="shared" si="35"/>
        <v>-1650.28</v>
      </c>
      <c r="AC102" s="564">
        <f t="shared" si="36"/>
        <v>0</v>
      </c>
      <c r="AE102" s="564">
        <f t="shared" si="37"/>
        <v>0</v>
      </c>
      <c r="AF102" s="564">
        <f t="shared" si="38"/>
        <v>0</v>
      </c>
      <c r="AG102" s="564">
        <f t="shared" si="39"/>
        <v>0</v>
      </c>
    </row>
    <row r="103" spans="1:33">
      <c r="A103" s="21" t="s">
        <v>109</v>
      </c>
      <c r="B103" s="21" t="s">
        <v>110</v>
      </c>
      <c r="C103" s="68" t="s">
        <v>65</v>
      </c>
      <c r="D103" s="449"/>
      <c r="E103" s="529">
        <f>'Q3 DMV - Revenue'!S97</f>
        <v>0</v>
      </c>
      <c r="F103" s="315"/>
      <c r="G103" s="546"/>
      <c r="H103" s="315"/>
      <c r="I103" s="379">
        <f t="shared" si="43"/>
        <v>0</v>
      </c>
      <c r="J103" s="31"/>
      <c r="K103" s="84"/>
      <c r="L103" s="42"/>
      <c r="M103" s="31">
        <v>0</v>
      </c>
      <c r="N103" s="429"/>
      <c r="O103" s="31">
        <v>0</v>
      </c>
      <c r="P103" s="426">
        <f t="shared" si="42"/>
        <v>0</v>
      </c>
      <c r="Q103" s="178"/>
      <c r="R103" s="295"/>
      <c r="S103" s="328">
        <f t="shared" si="30"/>
        <v>0</v>
      </c>
      <c r="T103" s="31"/>
      <c r="U103" s="474">
        <f t="shared" si="31"/>
        <v>0</v>
      </c>
      <c r="V103" s="474">
        <f t="shared" si="32"/>
        <v>0</v>
      </c>
      <c r="W103" s="475">
        <f t="shared" si="33"/>
        <v>0</v>
      </c>
      <c r="X103" s="475">
        <v>0</v>
      </c>
      <c r="Y103" s="476">
        <v>0</v>
      </c>
      <c r="Z103" s="38">
        <f t="shared" si="41"/>
        <v>0</v>
      </c>
      <c r="AA103" s="564">
        <f t="shared" si="34"/>
        <v>0</v>
      </c>
      <c r="AB103" s="564">
        <f t="shared" si="35"/>
        <v>0</v>
      </c>
      <c r="AC103" s="564">
        <f t="shared" si="36"/>
        <v>0</v>
      </c>
      <c r="AE103" s="564">
        <f t="shared" si="37"/>
        <v>0</v>
      </c>
      <c r="AF103" s="564">
        <f t="shared" si="38"/>
        <v>0</v>
      </c>
      <c r="AG103" s="564">
        <f t="shared" si="39"/>
        <v>0</v>
      </c>
    </row>
    <row r="104" spans="1:33">
      <c r="A104" s="21" t="s">
        <v>211</v>
      </c>
      <c r="B104" s="21" t="s">
        <v>109</v>
      </c>
      <c r="C104" s="68" t="s">
        <v>181</v>
      </c>
      <c r="D104" s="449"/>
      <c r="E104" s="529">
        <f>'Q3 DMV - Revenue'!S98</f>
        <v>-5366.48</v>
      </c>
      <c r="F104" s="342">
        <f>701.35+92.31/3</f>
        <v>732.12</v>
      </c>
      <c r="G104" s="375">
        <f>541.87+92.31/3</f>
        <v>572.64</v>
      </c>
      <c r="H104" s="315"/>
      <c r="I104" s="379">
        <f t="shared" si="43"/>
        <v>-4061.72</v>
      </c>
      <c r="J104" s="31"/>
      <c r="K104" s="84"/>
      <c r="L104" s="42">
        <f>SUM(F104+G104)/2</f>
        <v>652.38</v>
      </c>
      <c r="M104" s="31">
        <v>0</v>
      </c>
      <c r="N104" s="429">
        <v>3462.08</v>
      </c>
      <c r="O104" s="31">
        <v>0</v>
      </c>
      <c r="P104" s="426">
        <f t="shared" si="42"/>
        <v>652.38</v>
      </c>
      <c r="Q104" s="178">
        <f>3102.05+3294.22+4819.04</f>
        <v>11215.310000000001</v>
      </c>
      <c r="R104" s="295"/>
      <c r="S104" s="328">
        <f t="shared" si="30"/>
        <v>10562.930000000002</v>
      </c>
      <c r="T104" s="31"/>
      <c r="U104" s="474">
        <f t="shared" si="31"/>
        <v>0</v>
      </c>
      <c r="V104" s="474">
        <f t="shared" si="32"/>
        <v>652.38</v>
      </c>
      <c r="W104" s="475">
        <f t="shared" si="33"/>
        <v>0</v>
      </c>
      <c r="X104" s="475">
        <v>0</v>
      </c>
      <c r="Y104" s="476">
        <v>0</v>
      </c>
      <c r="Z104" s="38">
        <f t="shared" si="41"/>
        <v>0</v>
      </c>
      <c r="AA104" s="564">
        <f t="shared" si="34"/>
        <v>0</v>
      </c>
      <c r="AB104" s="564">
        <f t="shared" si="35"/>
        <v>-4061.72</v>
      </c>
      <c r="AC104" s="564">
        <f t="shared" si="36"/>
        <v>0</v>
      </c>
      <c r="AE104" s="564">
        <f t="shared" si="37"/>
        <v>0</v>
      </c>
      <c r="AF104" s="564">
        <f t="shared" si="38"/>
        <v>652.38</v>
      </c>
      <c r="AG104" s="564">
        <f t="shared" si="39"/>
        <v>0</v>
      </c>
    </row>
    <row r="105" spans="1:33">
      <c r="A105" s="20" t="s">
        <v>211</v>
      </c>
      <c r="B105" s="20" t="s">
        <v>109</v>
      </c>
      <c r="C105" s="68" t="s">
        <v>142</v>
      </c>
      <c r="D105" s="449"/>
      <c r="E105" s="529">
        <f>'Q3 DMV - Revenue'!S99</f>
        <v>0</v>
      </c>
      <c r="F105" s="342">
        <f>13110.51/3</f>
        <v>4370.17</v>
      </c>
      <c r="G105" s="342">
        <f>13110.51/3</f>
        <v>4370.17</v>
      </c>
      <c r="H105" s="342">
        <f>13110.51/3</f>
        <v>4370.17</v>
      </c>
      <c r="I105" s="379">
        <f t="shared" si="43"/>
        <v>13110.51</v>
      </c>
      <c r="J105" s="2"/>
      <c r="K105" s="336"/>
      <c r="L105" s="42"/>
      <c r="M105" s="31">
        <v>0</v>
      </c>
      <c r="N105" s="429">
        <v>13951.61</v>
      </c>
      <c r="O105" s="31">
        <v>0</v>
      </c>
      <c r="P105" s="426">
        <f t="shared" si="42"/>
        <v>0</v>
      </c>
      <c r="Q105" s="178"/>
      <c r="R105" s="295"/>
      <c r="S105" s="328">
        <f t="shared" si="30"/>
        <v>0</v>
      </c>
      <c r="T105" s="2"/>
      <c r="U105" s="474">
        <f t="shared" si="31"/>
        <v>0</v>
      </c>
      <c r="V105" s="474">
        <f t="shared" si="32"/>
        <v>0</v>
      </c>
      <c r="W105" s="475">
        <f t="shared" si="33"/>
        <v>0</v>
      </c>
      <c r="X105" s="475">
        <v>0</v>
      </c>
      <c r="Y105" s="476">
        <v>0</v>
      </c>
      <c r="Z105" s="38">
        <f t="shared" si="41"/>
        <v>0</v>
      </c>
      <c r="AA105" s="564">
        <f t="shared" si="34"/>
        <v>0</v>
      </c>
      <c r="AB105" s="564">
        <f t="shared" si="35"/>
        <v>13110.51</v>
      </c>
      <c r="AC105" s="564">
        <f t="shared" si="36"/>
        <v>0</v>
      </c>
      <c r="AE105" s="564">
        <f t="shared" si="37"/>
        <v>0</v>
      </c>
      <c r="AF105" s="564">
        <f t="shared" si="38"/>
        <v>0</v>
      </c>
      <c r="AG105" s="564">
        <f t="shared" si="39"/>
        <v>0</v>
      </c>
    </row>
    <row r="106" spans="1:33">
      <c r="A106" s="20" t="s">
        <v>211</v>
      </c>
      <c r="B106" s="20" t="s">
        <v>109</v>
      </c>
      <c r="C106" s="68" t="s">
        <v>143</v>
      </c>
      <c r="D106" s="449"/>
      <c r="E106" s="529">
        <f>'Q3 DMV - Revenue'!S100</f>
        <v>0</v>
      </c>
      <c r="F106" s="342">
        <f>841.1/3</f>
        <v>280.36666666666667</v>
      </c>
      <c r="G106" s="342">
        <f t="shared" ref="G106:H106" si="44">841.1/3</f>
        <v>280.36666666666667</v>
      </c>
      <c r="H106" s="342">
        <f t="shared" si="44"/>
        <v>280.36666666666667</v>
      </c>
      <c r="I106" s="379">
        <f t="shared" si="43"/>
        <v>841.1</v>
      </c>
      <c r="J106" s="2"/>
      <c r="K106" s="336"/>
      <c r="L106" s="42"/>
      <c r="M106" s="31">
        <v>0</v>
      </c>
      <c r="N106" s="429"/>
      <c r="O106" s="31">
        <v>0</v>
      </c>
      <c r="P106" s="426">
        <f t="shared" si="42"/>
        <v>0</v>
      </c>
      <c r="Q106" s="178"/>
      <c r="R106" s="295"/>
      <c r="S106" s="328">
        <f t="shared" si="30"/>
        <v>0</v>
      </c>
      <c r="T106" s="2"/>
      <c r="U106" s="474">
        <f t="shared" si="31"/>
        <v>0</v>
      </c>
      <c r="V106" s="474">
        <f t="shared" si="32"/>
        <v>0</v>
      </c>
      <c r="W106" s="475">
        <f t="shared" si="33"/>
        <v>0</v>
      </c>
      <c r="X106" s="475">
        <v>0</v>
      </c>
      <c r="Y106" s="476">
        <v>0</v>
      </c>
      <c r="Z106" s="38">
        <f t="shared" si="41"/>
        <v>0</v>
      </c>
      <c r="AA106" s="564">
        <f t="shared" si="34"/>
        <v>0</v>
      </c>
      <c r="AB106" s="564">
        <f t="shared" si="35"/>
        <v>841.1</v>
      </c>
      <c r="AC106" s="564">
        <f t="shared" si="36"/>
        <v>0</v>
      </c>
      <c r="AE106" s="564">
        <f t="shared" si="37"/>
        <v>0</v>
      </c>
      <c r="AF106" s="564">
        <f t="shared" si="38"/>
        <v>0</v>
      </c>
      <c r="AG106" s="564">
        <f t="shared" si="39"/>
        <v>0</v>
      </c>
    </row>
    <row r="107" spans="1:33">
      <c r="A107" s="21"/>
      <c r="B107" s="21" t="s">
        <v>110</v>
      </c>
      <c r="C107" s="68" t="s">
        <v>20</v>
      </c>
      <c r="D107" s="449"/>
      <c r="E107" s="529">
        <f>'Q3 DMV - Revenue'!S101</f>
        <v>0</v>
      </c>
      <c r="F107" s="342">
        <v>79.260000000000005</v>
      </c>
      <c r="G107" s="375">
        <v>79.260000000000005</v>
      </c>
      <c r="H107" s="342">
        <v>196.96</v>
      </c>
      <c r="I107" s="379">
        <f t="shared" si="43"/>
        <v>355.48</v>
      </c>
      <c r="J107" s="31"/>
      <c r="K107" s="84"/>
      <c r="L107" s="42"/>
      <c r="M107" s="31">
        <v>0</v>
      </c>
      <c r="N107" s="429">
        <v>355.48</v>
      </c>
      <c r="O107" s="31">
        <v>0</v>
      </c>
      <c r="P107" s="426">
        <f t="shared" si="42"/>
        <v>0</v>
      </c>
      <c r="Q107" s="178"/>
      <c r="R107" s="295"/>
      <c r="S107" s="328">
        <f t="shared" si="30"/>
        <v>0</v>
      </c>
      <c r="T107" s="31"/>
      <c r="U107" s="474">
        <f t="shared" si="31"/>
        <v>0</v>
      </c>
      <c r="V107" s="474">
        <f t="shared" si="32"/>
        <v>0</v>
      </c>
      <c r="W107" s="475">
        <f t="shared" si="33"/>
        <v>0</v>
      </c>
      <c r="X107" s="475">
        <v>0</v>
      </c>
      <c r="Y107" s="476">
        <v>0</v>
      </c>
      <c r="Z107" s="38">
        <f t="shared" si="41"/>
        <v>0</v>
      </c>
      <c r="AA107" s="564">
        <f t="shared" si="34"/>
        <v>355.48</v>
      </c>
      <c r="AB107" s="564">
        <f t="shared" si="35"/>
        <v>0</v>
      </c>
      <c r="AC107" s="564">
        <f t="shared" si="36"/>
        <v>0</v>
      </c>
      <c r="AE107" s="564">
        <f t="shared" si="37"/>
        <v>0</v>
      </c>
      <c r="AF107" s="564">
        <f t="shared" si="38"/>
        <v>0</v>
      </c>
      <c r="AG107" s="564">
        <f t="shared" si="39"/>
        <v>0</v>
      </c>
    </row>
    <row r="108" spans="1:33">
      <c r="A108" s="21"/>
      <c r="B108" s="21" t="s">
        <v>110</v>
      </c>
      <c r="C108" s="68" t="s">
        <v>203</v>
      </c>
      <c r="D108" s="449"/>
      <c r="E108" s="529">
        <f>'Q3 DMV - Revenue'!S102</f>
        <v>-130.03499999999997</v>
      </c>
      <c r="F108" s="342">
        <f>733.03+4315.71</f>
        <v>5048.74</v>
      </c>
      <c r="G108" s="375">
        <f>713.18+4343.06</f>
        <v>5056.2400000000007</v>
      </c>
      <c r="H108" s="342">
        <f>2875.54+518.9</f>
        <v>3394.44</v>
      </c>
      <c r="I108" s="379">
        <f t="shared" si="43"/>
        <v>13369.385</v>
      </c>
      <c r="J108" s="31"/>
      <c r="K108" s="84"/>
      <c r="L108" s="42"/>
      <c r="M108" s="31">
        <v>0</v>
      </c>
      <c r="N108" s="429"/>
      <c r="O108" s="31">
        <v>0</v>
      </c>
      <c r="P108" s="426">
        <f t="shared" si="42"/>
        <v>0</v>
      </c>
      <c r="Q108" s="178"/>
      <c r="R108" s="295"/>
      <c r="S108" s="328">
        <f t="shared" si="30"/>
        <v>0</v>
      </c>
      <c r="T108" s="31"/>
      <c r="U108" s="474">
        <f t="shared" si="31"/>
        <v>0</v>
      </c>
      <c r="V108" s="474">
        <f t="shared" si="32"/>
        <v>0</v>
      </c>
      <c r="W108" s="475">
        <f t="shared" si="33"/>
        <v>0</v>
      </c>
      <c r="X108" s="475">
        <v>0</v>
      </c>
      <c r="Y108" s="476">
        <v>0</v>
      </c>
      <c r="Z108" s="38">
        <f t="shared" si="41"/>
        <v>0</v>
      </c>
      <c r="AA108" s="564">
        <f t="shared" si="34"/>
        <v>13369.385</v>
      </c>
      <c r="AB108" s="564">
        <f t="shared" si="35"/>
        <v>0</v>
      </c>
      <c r="AC108" s="564">
        <f t="shared" si="36"/>
        <v>0</v>
      </c>
      <c r="AE108" s="564">
        <f t="shared" si="37"/>
        <v>0</v>
      </c>
      <c r="AF108" s="564">
        <f t="shared" si="38"/>
        <v>0</v>
      </c>
      <c r="AG108" s="564">
        <f t="shared" si="39"/>
        <v>0</v>
      </c>
    </row>
    <row r="109" spans="1:33">
      <c r="A109" s="21"/>
      <c r="B109" s="21" t="s">
        <v>110</v>
      </c>
      <c r="C109" s="68" t="s">
        <v>202</v>
      </c>
      <c r="D109" s="449"/>
      <c r="E109" s="529">
        <f>'Q3 DMV - Revenue'!S103</f>
        <v>-1883.6400000000003</v>
      </c>
      <c r="F109" s="342">
        <v>0</v>
      </c>
      <c r="G109" s="375">
        <v>0</v>
      </c>
      <c r="H109" s="342">
        <v>2875.54</v>
      </c>
      <c r="I109" s="379">
        <f t="shared" si="43"/>
        <v>991.89999999999964</v>
      </c>
      <c r="J109" s="31"/>
      <c r="K109" s="84"/>
      <c r="L109" s="42"/>
      <c r="M109" s="31">
        <v>0</v>
      </c>
      <c r="N109" s="429"/>
      <c r="O109" s="31">
        <v>0</v>
      </c>
      <c r="P109" s="426">
        <f t="shared" si="42"/>
        <v>0</v>
      </c>
      <c r="Q109" s="178"/>
      <c r="R109" s="295"/>
      <c r="S109" s="328">
        <f t="shared" si="30"/>
        <v>0</v>
      </c>
      <c r="T109" s="31"/>
      <c r="U109" s="474">
        <f t="shared" si="31"/>
        <v>0</v>
      </c>
      <c r="V109" s="474">
        <f t="shared" si="32"/>
        <v>0</v>
      </c>
      <c r="W109" s="475">
        <f t="shared" si="33"/>
        <v>0</v>
      </c>
      <c r="X109" s="475">
        <v>0</v>
      </c>
      <c r="Y109" s="476">
        <v>0</v>
      </c>
      <c r="Z109" s="38">
        <f t="shared" si="41"/>
        <v>0</v>
      </c>
      <c r="AA109" s="564">
        <f t="shared" si="34"/>
        <v>991.89999999999964</v>
      </c>
      <c r="AB109" s="564">
        <f t="shared" si="35"/>
        <v>0</v>
      </c>
      <c r="AC109" s="564">
        <f t="shared" si="36"/>
        <v>0</v>
      </c>
      <c r="AE109" s="564">
        <f t="shared" si="37"/>
        <v>0</v>
      </c>
      <c r="AF109" s="564">
        <f t="shared" si="38"/>
        <v>0</v>
      </c>
      <c r="AG109" s="564">
        <f t="shared" si="39"/>
        <v>0</v>
      </c>
    </row>
    <row r="110" spans="1:33" s="232" customFormat="1">
      <c r="A110" s="283"/>
      <c r="B110" s="283" t="s">
        <v>110</v>
      </c>
      <c r="C110" s="123" t="s">
        <v>386</v>
      </c>
      <c r="D110" s="514"/>
      <c r="E110" s="529">
        <f>'Q3 DMV - Revenue'!S104</f>
        <v>0</v>
      </c>
      <c r="F110" s="342">
        <v>2075632.59</v>
      </c>
      <c r="G110" s="375">
        <v>1997944.52</v>
      </c>
      <c r="H110" s="342">
        <f>720.55+2054040.84</f>
        <v>2054761.3900000001</v>
      </c>
      <c r="I110" s="379">
        <f t="shared" si="43"/>
        <v>6128338.5</v>
      </c>
      <c r="J110" s="31"/>
      <c r="K110" s="411"/>
      <c r="L110" s="290"/>
      <c r="M110" s="31">
        <v>0</v>
      </c>
      <c r="N110" s="429">
        <v>6205029</v>
      </c>
      <c r="O110" s="31">
        <v>0</v>
      </c>
      <c r="P110" s="426">
        <f t="shared" si="42"/>
        <v>0</v>
      </c>
      <c r="Q110" s="14"/>
      <c r="R110" s="295"/>
      <c r="S110" s="328">
        <f t="shared" si="30"/>
        <v>0</v>
      </c>
      <c r="T110" s="31"/>
      <c r="U110" s="474">
        <f t="shared" si="31"/>
        <v>0</v>
      </c>
      <c r="V110" s="474">
        <f t="shared" si="32"/>
        <v>0</v>
      </c>
      <c r="W110" s="475">
        <f t="shared" si="33"/>
        <v>0</v>
      </c>
      <c r="X110" s="475">
        <v>0</v>
      </c>
      <c r="Y110" s="476">
        <v>0</v>
      </c>
      <c r="Z110" s="38">
        <f t="shared" si="41"/>
        <v>0</v>
      </c>
      <c r="AA110" s="564">
        <f t="shared" si="34"/>
        <v>6128338.5</v>
      </c>
      <c r="AB110" s="564">
        <f t="shared" si="35"/>
        <v>0</v>
      </c>
      <c r="AC110" s="564">
        <f t="shared" si="36"/>
        <v>0</v>
      </c>
      <c r="AD110" s="565"/>
      <c r="AE110" s="564">
        <f t="shared" si="37"/>
        <v>0</v>
      </c>
      <c r="AF110" s="564">
        <f t="shared" si="38"/>
        <v>0</v>
      </c>
      <c r="AG110" s="564">
        <f t="shared" si="39"/>
        <v>0</v>
      </c>
    </row>
    <row r="111" spans="1:33" s="232" customFormat="1">
      <c r="A111" s="283"/>
      <c r="B111" s="283" t="s">
        <v>110</v>
      </c>
      <c r="C111" s="123" t="s">
        <v>331</v>
      </c>
      <c r="D111" s="514"/>
      <c r="E111" s="529">
        <f>'Q3 DMV - Revenue'!S105</f>
        <v>0</v>
      </c>
      <c r="F111" s="342">
        <v>29616.3</v>
      </c>
      <c r="G111" s="375">
        <v>24693.3</v>
      </c>
      <c r="H111" s="342">
        <v>22380.9</v>
      </c>
      <c r="I111" s="379">
        <f t="shared" si="43"/>
        <v>76690.5</v>
      </c>
      <c r="J111" s="31"/>
      <c r="K111" s="410"/>
      <c r="L111" s="290"/>
      <c r="M111" s="31">
        <v>0</v>
      </c>
      <c r="N111" s="429"/>
      <c r="O111" s="31">
        <v>0</v>
      </c>
      <c r="P111" s="426">
        <f t="shared" si="42"/>
        <v>0</v>
      </c>
      <c r="Q111" s="14"/>
      <c r="R111" s="295"/>
      <c r="S111" s="328">
        <f t="shared" si="30"/>
        <v>0</v>
      </c>
      <c r="T111" s="31"/>
      <c r="U111" s="474">
        <f t="shared" si="31"/>
        <v>0</v>
      </c>
      <c r="V111" s="474">
        <f t="shared" si="32"/>
        <v>0</v>
      </c>
      <c r="W111" s="475">
        <f t="shared" si="33"/>
        <v>0</v>
      </c>
      <c r="X111" s="475">
        <v>0</v>
      </c>
      <c r="Y111" s="476">
        <v>0</v>
      </c>
      <c r="Z111" s="38">
        <f t="shared" si="41"/>
        <v>0</v>
      </c>
      <c r="AA111" s="564">
        <f t="shared" si="34"/>
        <v>76690.5</v>
      </c>
      <c r="AB111" s="564">
        <f t="shared" si="35"/>
        <v>0</v>
      </c>
      <c r="AC111" s="564">
        <f t="shared" si="36"/>
        <v>0</v>
      </c>
      <c r="AD111" s="565"/>
      <c r="AE111" s="564">
        <f t="shared" si="37"/>
        <v>0</v>
      </c>
      <c r="AF111" s="564">
        <f t="shared" si="38"/>
        <v>0</v>
      </c>
      <c r="AG111" s="564">
        <f t="shared" si="39"/>
        <v>0</v>
      </c>
    </row>
    <row r="112" spans="1:33" s="232" customFormat="1">
      <c r="A112" s="283"/>
      <c r="B112" s="283" t="s">
        <v>110</v>
      </c>
      <c r="C112" s="413" t="s">
        <v>332</v>
      </c>
      <c r="D112" s="540"/>
      <c r="E112" s="529">
        <f>'Q3 DMV - Revenue'!S106</f>
        <v>0</v>
      </c>
      <c r="F112" s="342">
        <f>1098003.46+2056.94</f>
        <v>1100060.3999999999</v>
      </c>
      <c r="G112" s="375">
        <f>948526.07+2633.14</f>
        <v>951159.21</v>
      </c>
      <c r="H112" s="342">
        <f>958654.12+6913.35</f>
        <v>965567.47</v>
      </c>
      <c r="I112" s="379">
        <f t="shared" si="43"/>
        <v>3016787.08</v>
      </c>
      <c r="J112" s="31"/>
      <c r="K112" s="410"/>
      <c r="L112" s="290"/>
      <c r="M112" s="31">
        <v>0</v>
      </c>
      <c r="N112" s="429">
        <v>3008269.56</v>
      </c>
      <c r="O112" s="31">
        <v>0</v>
      </c>
      <c r="P112" s="426">
        <f t="shared" si="42"/>
        <v>0</v>
      </c>
      <c r="Q112" s="14"/>
      <c r="R112" s="295"/>
      <c r="S112" s="328">
        <f t="shared" si="30"/>
        <v>0</v>
      </c>
      <c r="T112" s="31"/>
      <c r="U112" s="474">
        <f t="shared" si="31"/>
        <v>0</v>
      </c>
      <c r="V112" s="474">
        <f t="shared" si="32"/>
        <v>0</v>
      </c>
      <c r="W112" s="475">
        <f t="shared" si="33"/>
        <v>0</v>
      </c>
      <c r="X112" s="475">
        <v>0</v>
      </c>
      <c r="Y112" s="476">
        <v>0</v>
      </c>
      <c r="Z112" s="38">
        <f t="shared" si="41"/>
        <v>0</v>
      </c>
      <c r="AA112" s="564">
        <f t="shared" si="34"/>
        <v>3016787.08</v>
      </c>
      <c r="AB112" s="564">
        <f t="shared" si="35"/>
        <v>0</v>
      </c>
      <c r="AC112" s="564">
        <f t="shared" si="36"/>
        <v>0</v>
      </c>
      <c r="AD112" s="565"/>
      <c r="AE112" s="564">
        <f t="shared" si="37"/>
        <v>0</v>
      </c>
      <c r="AF112" s="564">
        <f t="shared" si="38"/>
        <v>0</v>
      </c>
      <c r="AG112" s="564">
        <f t="shared" si="39"/>
        <v>0</v>
      </c>
    </row>
    <row r="113" spans="1:33" s="232" customFormat="1">
      <c r="A113" s="283"/>
      <c r="B113" s="283" t="s">
        <v>110</v>
      </c>
      <c r="C113" s="123" t="s">
        <v>333</v>
      </c>
      <c r="D113" s="514"/>
      <c r="E113" s="529">
        <f>'Q3 DMV - Revenue'!S107</f>
        <v>0</v>
      </c>
      <c r="F113" s="342">
        <v>1070.98</v>
      </c>
      <c r="G113" s="375">
        <v>995.63</v>
      </c>
      <c r="H113" s="342">
        <v>1019.3</v>
      </c>
      <c r="I113" s="379">
        <f t="shared" si="43"/>
        <v>3085.91</v>
      </c>
      <c r="J113" s="31"/>
      <c r="K113" s="410"/>
      <c r="L113" s="290"/>
      <c r="M113" s="31">
        <v>0</v>
      </c>
      <c r="N113" s="429"/>
      <c r="O113" s="31">
        <v>0</v>
      </c>
      <c r="P113" s="426">
        <f t="shared" si="42"/>
        <v>0</v>
      </c>
      <c r="Q113" s="14"/>
      <c r="R113" s="295"/>
      <c r="S113" s="328">
        <f t="shared" si="30"/>
        <v>0</v>
      </c>
      <c r="T113" s="31"/>
      <c r="U113" s="474">
        <f t="shared" si="31"/>
        <v>0</v>
      </c>
      <c r="V113" s="474">
        <f t="shared" si="32"/>
        <v>0</v>
      </c>
      <c r="W113" s="475">
        <f t="shared" si="33"/>
        <v>0</v>
      </c>
      <c r="X113" s="475">
        <v>0</v>
      </c>
      <c r="Y113" s="476">
        <v>0</v>
      </c>
      <c r="Z113" s="38">
        <f t="shared" si="41"/>
        <v>0</v>
      </c>
      <c r="AA113" s="564">
        <f t="shared" si="34"/>
        <v>3085.91</v>
      </c>
      <c r="AB113" s="564">
        <f t="shared" si="35"/>
        <v>0</v>
      </c>
      <c r="AC113" s="564">
        <f t="shared" si="36"/>
        <v>0</v>
      </c>
      <c r="AD113" s="565"/>
      <c r="AE113" s="564">
        <f t="shared" si="37"/>
        <v>0</v>
      </c>
      <c r="AF113" s="564">
        <f t="shared" si="38"/>
        <v>0</v>
      </c>
      <c r="AG113" s="564">
        <f t="shared" si="39"/>
        <v>0</v>
      </c>
    </row>
    <row r="114" spans="1:33" s="232" customFormat="1">
      <c r="A114" s="283"/>
      <c r="B114" s="283" t="s">
        <v>110</v>
      </c>
      <c r="C114" s="123" t="s">
        <v>334</v>
      </c>
      <c r="D114" s="514"/>
      <c r="E114" s="529">
        <f>'Q3 DMV - Revenue'!S108</f>
        <v>0</v>
      </c>
      <c r="F114" s="342">
        <v>191740.59</v>
      </c>
      <c r="G114" s="375">
        <v>199753.88</v>
      </c>
      <c r="H114" s="342">
        <v>220853.92</v>
      </c>
      <c r="I114" s="379">
        <f t="shared" si="43"/>
        <v>612348.39</v>
      </c>
      <c r="J114" s="31"/>
      <c r="K114" s="411"/>
      <c r="L114" s="290"/>
      <c r="M114" s="31">
        <v>0</v>
      </c>
      <c r="N114" s="429">
        <v>613829.21</v>
      </c>
      <c r="O114" s="31">
        <v>0</v>
      </c>
      <c r="P114" s="426">
        <f t="shared" si="42"/>
        <v>0</v>
      </c>
      <c r="Q114" s="14"/>
      <c r="R114" s="295"/>
      <c r="S114" s="328">
        <f t="shared" si="30"/>
        <v>0</v>
      </c>
      <c r="T114" s="31"/>
      <c r="U114" s="474">
        <f t="shared" si="31"/>
        <v>0</v>
      </c>
      <c r="V114" s="474">
        <f t="shared" si="32"/>
        <v>0</v>
      </c>
      <c r="W114" s="475">
        <f t="shared" si="33"/>
        <v>0</v>
      </c>
      <c r="X114" s="475">
        <v>0</v>
      </c>
      <c r="Y114" s="476">
        <v>0</v>
      </c>
      <c r="Z114" s="38">
        <f t="shared" si="41"/>
        <v>0</v>
      </c>
      <c r="AA114" s="564">
        <f t="shared" si="34"/>
        <v>612348.39</v>
      </c>
      <c r="AB114" s="564">
        <f t="shared" si="35"/>
        <v>0</v>
      </c>
      <c r="AC114" s="564">
        <f t="shared" si="36"/>
        <v>0</v>
      </c>
      <c r="AD114" s="565"/>
      <c r="AE114" s="564">
        <f t="shared" si="37"/>
        <v>0</v>
      </c>
      <c r="AF114" s="564">
        <f t="shared" si="38"/>
        <v>0</v>
      </c>
      <c r="AG114" s="564">
        <f t="shared" si="39"/>
        <v>0</v>
      </c>
    </row>
    <row r="115" spans="1:33" s="232" customFormat="1">
      <c r="A115" s="283"/>
      <c r="B115" s="283" t="s">
        <v>110</v>
      </c>
      <c r="C115" s="123" t="s">
        <v>335</v>
      </c>
      <c r="D115" s="449"/>
      <c r="E115" s="529">
        <f>'Q3 DMV - Revenue'!S109</f>
        <v>0</v>
      </c>
      <c r="F115" s="342">
        <v>507.46</v>
      </c>
      <c r="G115" s="375">
        <v>469.66</v>
      </c>
      <c r="H115" s="342">
        <v>503.7</v>
      </c>
      <c r="I115" s="379">
        <f t="shared" si="43"/>
        <v>1480.82</v>
      </c>
      <c r="J115" s="31"/>
      <c r="K115" s="410"/>
      <c r="L115" s="290"/>
      <c r="M115" s="31">
        <v>0</v>
      </c>
      <c r="N115" s="429"/>
      <c r="O115" s="31">
        <v>0</v>
      </c>
      <c r="P115" s="426">
        <f t="shared" si="42"/>
        <v>0</v>
      </c>
      <c r="Q115" s="14"/>
      <c r="R115" s="295"/>
      <c r="S115" s="328">
        <f t="shared" si="30"/>
        <v>0</v>
      </c>
      <c r="T115" s="31"/>
      <c r="U115" s="474">
        <f t="shared" si="31"/>
        <v>0</v>
      </c>
      <c r="V115" s="474">
        <f t="shared" si="32"/>
        <v>0</v>
      </c>
      <c r="W115" s="475">
        <f t="shared" si="33"/>
        <v>0</v>
      </c>
      <c r="X115" s="475">
        <v>0</v>
      </c>
      <c r="Y115" s="476">
        <v>0</v>
      </c>
      <c r="Z115" s="38">
        <f t="shared" si="41"/>
        <v>0</v>
      </c>
      <c r="AA115" s="564">
        <f t="shared" si="34"/>
        <v>1480.82</v>
      </c>
      <c r="AB115" s="564">
        <f t="shared" si="35"/>
        <v>0</v>
      </c>
      <c r="AC115" s="564">
        <f t="shared" si="36"/>
        <v>0</v>
      </c>
      <c r="AD115" s="565"/>
      <c r="AE115" s="564">
        <f t="shared" si="37"/>
        <v>0</v>
      </c>
      <c r="AF115" s="564">
        <f t="shared" si="38"/>
        <v>0</v>
      </c>
      <c r="AG115" s="564">
        <f t="shared" si="39"/>
        <v>0</v>
      </c>
    </row>
    <row r="116" spans="1:33" s="232" customFormat="1">
      <c r="A116" s="283"/>
      <c r="B116" s="283" t="s">
        <v>110</v>
      </c>
      <c r="C116" s="123" t="s">
        <v>336</v>
      </c>
      <c r="D116" s="449"/>
      <c r="E116" s="529">
        <f>'Q3 DMV - Revenue'!S110</f>
        <v>0</v>
      </c>
      <c r="F116" s="342">
        <v>214987.66</v>
      </c>
      <c r="G116" s="375">
        <v>199456.08</v>
      </c>
      <c r="H116" s="342">
        <v>250671.65</v>
      </c>
      <c r="I116" s="379">
        <f t="shared" si="43"/>
        <v>665115.39</v>
      </c>
      <c r="J116" s="31"/>
      <c r="K116" s="410"/>
      <c r="L116" s="290"/>
      <c r="M116" s="31">
        <v>0</v>
      </c>
      <c r="N116" s="429">
        <v>667187</v>
      </c>
      <c r="O116" s="31">
        <v>0</v>
      </c>
      <c r="P116" s="426">
        <f t="shared" si="42"/>
        <v>0</v>
      </c>
      <c r="Q116" s="14"/>
      <c r="R116" s="295"/>
      <c r="S116" s="328">
        <f t="shared" si="30"/>
        <v>0</v>
      </c>
      <c r="T116" s="31"/>
      <c r="U116" s="474">
        <f t="shared" si="31"/>
        <v>0</v>
      </c>
      <c r="V116" s="474">
        <f t="shared" si="32"/>
        <v>0</v>
      </c>
      <c r="W116" s="475">
        <f t="shared" si="33"/>
        <v>0</v>
      </c>
      <c r="X116" s="475">
        <v>0</v>
      </c>
      <c r="Y116" s="476">
        <v>0</v>
      </c>
      <c r="Z116" s="38">
        <f t="shared" si="41"/>
        <v>0</v>
      </c>
      <c r="AA116" s="564">
        <f t="shared" si="34"/>
        <v>665115.39</v>
      </c>
      <c r="AB116" s="564">
        <f t="shared" si="35"/>
        <v>0</v>
      </c>
      <c r="AC116" s="564">
        <f t="shared" si="36"/>
        <v>0</v>
      </c>
      <c r="AD116" s="565"/>
      <c r="AE116" s="564">
        <f t="shared" si="37"/>
        <v>0</v>
      </c>
      <c r="AF116" s="564">
        <f t="shared" si="38"/>
        <v>0</v>
      </c>
      <c r="AG116" s="564">
        <f t="shared" si="39"/>
        <v>0</v>
      </c>
    </row>
    <row r="117" spans="1:33" s="232" customFormat="1">
      <c r="A117" s="283"/>
      <c r="B117" s="283" t="s">
        <v>110</v>
      </c>
      <c r="C117" s="123" t="s">
        <v>337</v>
      </c>
      <c r="D117" s="449"/>
      <c r="E117" s="529">
        <f>'Q3 DMV - Revenue'!S111</f>
        <v>0</v>
      </c>
      <c r="F117" s="342">
        <v>615.66</v>
      </c>
      <c r="G117" s="375">
        <v>716.52</v>
      </c>
      <c r="H117" s="342">
        <v>739.43</v>
      </c>
      <c r="I117" s="379">
        <f t="shared" si="43"/>
        <v>2071.6099999999997</v>
      </c>
      <c r="J117" s="31"/>
      <c r="K117" s="410"/>
      <c r="L117" s="290"/>
      <c r="M117" s="31">
        <v>0</v>
      </c>
      <c r="N117" s="429"/>
      <c r="O117" s="31">
        <v>0</v>
      </c>
      <c r="P117" s="426">
        <f t="shared" si="42"/>
        <v>0</v>
      </c>
      <c r="Q117" s="14"/>
      <c r="R117" s="295"/>
      <c r="S117" s="328">
        <f t="shared" si="30"/>
        <v>0</v>
      </c>
      <c r="T117" s="31"/>
      <c r="U117" s="474">
        <f t="shared" si="31"/>
        <v>0</v>
      </c>
      <c r="V117" s="474">
        <f t="shared" si="32"/>
        <v>0</v>
      </c>
      <c r="W117" s="475">
        <f t="shared" si="33"/>
        <v>0</v>
      </c>
      <c r="X117" s="475">
        <v>0</v>
      </c>
      <c r="Y117" s="476">
        <v>0</v>
      </c>
      <c r="Z117" s="38">
        <f t="shared" si="41"/>
        <v>0</v>
      </c>
      <c r="AA117" s="564">
        <f t="shared" si="34"/>
        <v>2071.6099999999997</v>
      </c>
      <c r="AB117" s="564">
        <f t="shared" si="35"/>
        <v>0</v>
      </c>
      <c r="AC117" s="564">
        <f t="shared" si="36"/>
        <v>0</v>
      </c>
      <c r="AD117" s="565"/>
      <c r="AE117" s="564">
        <f t="shared" si="37"/>
        <v>0</v>
      </c>
      <c r="AF117" s="564">
        <f t="shared" si="38"/>
        <v>0</v>
      </c>
      <c r="AG117" s="564">
        <f t="shared" si="39"/>
        <v>0</v>
      </c>
    </row>
    <row r="118" spans="1:33" s="232" customFormat="1">
      <c r="A118" s="283"/>
      <c r="B118" s="283" t="s">
        <v>110</v>
      </c>
      <c r="C118" s="123" t="s">
        <v>338</v>
      </c>
      <c r="D118" s="449"/>
      <c r="E118" s="529">
        <f>'Q3 DMV - Revenue'!S112</f>
        <v>0</v>
      </c>
      <c r="F118" s="342">
        <v>97446.53</v>
      </c>
      <c r="G118" s="375">
        <v>81258.990000000005</v>
      </c>
      <c r="H118" s="342">
        <v>77325.440000000002</v>
      </c>
      <c r="I118" s="379">
        <f t="shared" si="43"/>
        <v>256030.96000000002</v>
      </c>
      <c r="J118" s="31"/>
      <c r="K118" s="410"/>
      <c r="L118" s="290"/>
      <c r="M118" s="31">
        <v>0</v>
      </c>
      <c r="N118" s="429">
        <v>256030.96</v>
      </c>
      <c r="O118" s="31">
        <v>0</v>
      </c>
      <c r="P118" s="426">
        <f t="shared" si="42"/>
        <v>0</v>
      </c>
      <c r="Q118" s="14"/>
      <c r="R118" s="295"/>
      <c r="S118" s="328">
        <f t="shared" si="30"/>
        <v>0</v>
      </c>
      <c r="T118" s="31"/>
      <c r="U118" s="474">
        <f t="shared" si="31"/>
        <v>0</v>
      </c>
      <c r="V118" s="474">
        <f t="shared" si="32"/>
        <v>0</v>
      </c>
      <c r="W118" s="475">
        <f t="shared" si="33"/>
        <v>0</v>
      </c>
      <c r="X118" s="475">
        <v>0</v>
      </c>
      <c r="Y118" s="476">
        <v>0</v>
      </c>
      <c r="Z118" s="38">
        <f t="shared" si="41"/>
        <v>0</v>
      </c>
      <c r="AA118" s="564">
        <f t="shared" si="34"/>
        <v>256030.96000000002</v>
      </c>
      <c r="AB118" s="564">
        <f t="shared" si="35"/>
        <v>0</v>
      </c>
      <c r="AC118" s="564">
        <f t="shared" si="36"/>
        <v>0</v>
      </c>
      <c r="AD118" s="565"/>
      <c r="AE118" s="564">
        <f t="shared" si="37"/>
        <v>0</v>
      </c>
      <c r="AF118" s="564">
        <f t="shared" si="38"/>
        <v>0</v>
      </c>
      <c r="AG118" s="564">
        <f t="shared" si="39"/>
        <v>0</v>
      </c>
    </row>
    <row r="119" spans="1:33" s="232" customFormat="1">
      <c r="A119" s="283"/>
      <c r="B119" s="283" t="s">
        <v>110</v>
      </c>
      <c r="C119" s="123" t="s">
        <v>339</v>
      </c>
      <c r="D119" s="449"/>
      <c r="E119" s="529">
        <f>'Q3 DMV - Revenue'!S113</f>
        <v>0</v>
      </c>
      <c r="F119" s="342">
        <v>45275.74</v>
      </c>
      <c r="G119" s="375">
        <v>40766.980000000003</v>
      </c>
      <c r="H119" s="342">
        <v>46409.25</v>
      </c>
      <c r="I119" s="379">
        <f t="shared" si="43"/>
        <v>132451.97</v>
      </c>
      <c r="J119" s="31"/>
      <c r="K119" s="411"/>
      <c r="L119" s="290"/>
      <c r="M119" s="31">
        <v>0</v>
      </c>
      <c r="N119" s="429">
        <v>132821.20000000001</v>
      </c>
      <c r="O119" s="31">
        <v>0</v>
      </c>
      <c r="P119" s="426">
        <f t="shared" si="42"/>
        <v>0</v>
      </c>
      <c r="Q119" s="14"/>
      <c r="R119" s="295"/>
      <c r="S119" s="328">
        <f t="shared" si="30"/>
        <v>0</v>
      </c>
      <c r="T119" s="31"/>
      <c r="U119" s="474">
        <f t="shared" si="31"/>
        <v>0</v>
      </c>
      <c r="V119" s="474">
        <f t="shared" si="32"/>
        <v>0</v>
      </c>
      <c r="W119" s="475">
        <f t="shared" si="33"/>
        <v>0</v>
      </c>
      <c r="X119" s="475">
        <v>0</v>
      </c>
      <c r="Y119" s="476">
        <v>0</v>
      </c>
      <c r="Z119" s="38">
        <f t="shared" si="41"/>
        <v>0</v>
      </c>
      <c r="AA119" s="564">
        <f t="shared" si="34"/>
        <v>132451.97</v>
      </c>
      <c r="AB119" s="564">
        <f t="shared" si="35"/>
        <v>0</v>
      </c>
      <c r="AC119" s="564">
        <f t="shared" si="36"/>
        <v>0</v>
      </c>
      <c r="AD119" s="565"/>
      <c r="AE119" s="564">
        <f t="shared" si="37"/>
        <v>0</v>
      </c>
      <c r="AF119" s="564">
        <f t="shared" si="38"/>
        <v>0</v>
      </c>
      <c r="AG119" s="564">
        <f t="shared" si="39"/>
        <v>0</v>
      </c>
    </row>
    <row r="120" spans="1:33" s="232" customFormat="1">
      <c r="A120" s="283"/>
      <c r="B120" s="283" t="s">
        <v>110</v>
      </c>
      <c r="C120" s="123" t="s">
        <v>340</v>
      </c>
      <c r="D120" s="449"/>
      <c r="E120" s="529">
        <f>'Q3 DMV - Revenue'!S114</f>
        <v>0</v>
      </c>
      <c r="F120" s="342">
        <v>137.19999999999999</v>
      </c>
      <c r="G120" s="375">
        <v>113.3</v>
      </c>
      <c r="H120" s="342">
        <v>118.73</v>
      </c>
      <c r="I120" s="379">
        <f t="shared" si="43"/>
        <v>369.23</v>
      </c>
      <c r="J120" s="31"/>
      <c r="K120" s="410"/>
      <c r="L120" s="290"/>
      <c r="M120" s="31">
        <v>0</v>
      </c>
      <c r="N120" s="429"/>
      <c r="O120" s="31">
        <v>0</v>
      </c>
      <c r="P120" s="426">
        <f t="shared" si="42"/>
        <v>0</v>
      </c>
      <c r="Q120" s="14"/>
      <c r="R120" s="295"/>
      <c r="S120" s="328">
        <f t="shared" si="30"/>
        <v>0</v>
      </c>
      <c r="T120" s="31"/>
      <c r="U120" s="474">
        <f t="shared" si="31"/>
        <v>0</v>
      </c>
      <c r="V120" s="474">
        <f t="shared" si="32"/>
        <v>0</v>
      </c>
      <c r="W120" s="475">
        <f t="shared" si="33"/>
        <v>0</v>
      </c>
      <c r="X120" s="475">
        <v>0</v>
      </c>
      <c r="Y120" s="476">
        <v>0</v>
      </c>
      <c r="Z120" s="38">
        <f t="shared" si="41"/>
        <v>0</v>
      </c>
      <c r="AA120" s="564">
        <f t="shared" si="34"/>
        <v>369.23</v>
      </c>
      <c r="AB120" s="564">
        <f t="shared" si="35"/>
        <v>0</v>
      </c>
      <c r="AC120" s="564">
        <f t="shared" si="36"/>
        <v>0</v>
      </c>
      <c r="AD120" s="565"/>
      <c r="AE120" s="564">
        <f t="shared" si="37"/>
        <v>0</v>
      </c>
      <c r="AF120" s="564">
        <f t="shared" si="38"/>
        <v>0</v>
      </c>
      <c r="AG120" s="564">
        <f t="shared" si="39"/>
        <v>0</v>
      </c>
    </row>
    <row r="121" spans="1:33" s="232" customFormat="1">
      <c r="A121" s="283"/>
      <c r="B121" s="283" t="s">
        <v>110</v>
      </c>
      <c r="C121" s="123" t="s">
        <v>439</v>
      </c>
      <c r="D121" s="449"/>
      <c r="E121" s="529"/>
      <c r="F121" s="315"/>
      <c r="G121" s="315"/>
      <c r="H121" s="342">
        <v>111.86</v>
      </c>
      <c r="I121" s="379">
        <f t="shared" si="43"/>
        <v>111.86</v>
      </c>
      <c r="J121" s="31"/>
      <c r="K121" s="410"/>
      <c r="L121" s="290"/>
      <c r="M121" s="31">
        <v>0</v>
      </c>
      <c r="N121" s="429">
        <v>111.86</v>
      </c>
      <c r="O121" s="31">
        <v>0</v>
      </c>
      <c r="P121" s="426">
        <f t="shared" ref="P121" si="45">K121+L121</f>
        <v>0</v>
      </c>
      <c r="Q121" s="14"/>
      <c r="R121" s="295"/>
      <c r="S121" s="328">
        <f t="shared" si="30"/>
        <v>0</v>
      </c>
      <c r="T121" s="31"/>
      <c r="U121" s="474">
        <f t="shared" si="31"/>
        <v>0</v>
      </c>
      <c r="V121" s="474">
        <f t="shared" si="32"/>
        <v>0</v>
      </c>
      <c r="W121" s="475">
        <f t="shared" si="33"/>
        <v>0</v>
      </c>
      <c r="X121" s="475">
        <v>0</v>
      </c>
      <c r="Y121" s="476">
        <v>0</v>
      </c>
      <c r="Z121" s="38">
        <f t="shared" si="41"/>
        <v>0</v>
      </c>
      <c r="AA121" s="564">
        <f t="shared" si="34"/>
        <v>111.86</v>
      </c>
      <c r="AB121" s="564">
        <f t="shared" si="35"/>
        <v>0</v>
      </c>
      <c r="AC121" s="564">
        <f t="shared" si="36"/>
        <v>0</v>
      </c>
      <c r="AD121" s="565"/>
      <c r="AE121" s="564">
        <f t="shared" si="37"/>
        <v>0</v>
      </c>
      <c r="AF121" s="564">
        <f t="shared" si="38"/>
        <v>0</v>
      </c>
      <c r="AG121" s="564">
        <f t="shared" si="39"/>
        <v>0</v>
      </c>
    </row>
    <row r="122" spans="1:33">
      <c r="A122" s="21"/>
      <c r="B122" s="21" t="s">
        <v>109</v>
      </c>
      <c r="C122" s="68" t="s">
        <v>21</v>
      </c>
      <c r="D122" s="449"/>
      <c r="E122" s="529">
        <f>'Q3 DMV - Revenue'!S115</f>
        <v>-1691.6849999999999</v>
      </c>
      <c r="F122" s="342">
        <v>3451.98</v>
      </c>
      <c r="G122" s="375">
        <v>3825.68</v>
      </c>
      <c r="H122" s="342">
        <v>3112.67</v>
      </c>
      <c r="I122" s="379">
        <f t="shared" si="43"/>
        <v>8698.6450000000004</v>
      </c>
      <c r="J122" s="31"/>
      <c r="K122" s="84"/>
      <c r="L122" s="42"/>
      <c r="M122" s="31">
        <v>0</v>
      </c>
      <c r="N122" s="429">
        <v>13425.73</v>
      </c>
      <c r="O122" s="31">
        <v>0</v>
      </c>
      <c r="P122" s="426">
        <f t="shared" si="42"/>
        <v>0</v>
      </c>
      <c r="Q122" s="178"/>
      <c r="R122" s="295"/>
      <c r="S122" s="328">
        <f t="shared" si="30"/>
        <v>0</v>
      </c>
      <c r="T122" s="31"/>
      <c r="U122" s="474">
        <f t="shared" si="31"/>
        <v>0</v>
      </c>
      <c r="V122" s="474">
        <f t="shared" si="32"/>
        <v>0</v>
      </c>
      <c r="W122" s="475">
        <f t="shared" si="33"/>
        <v>0</v>
      </c>
      <c r="X122" s="475">
        <v>0</v>
      </c>
      <c r="Y122" s="476">
        <v>0</v>
      </c>
      <c r="Z122" s="38">
        <f t="shared" si="41"/>
        <v>0</v>
      </c>
      <c r="AA122" s="564">
        <f t="shared" si="34"/>
        <v>0</v>
      </c>
      <c r="AB122" s="564">
        <f t="shared" si="35"/>
        <v>8698.6450000000004</v>
      </c>
      <c r="AC122" s="564">
        <f t="shared" si="36"/>
        <v>0</v>
      </c>
      <c r="AE122" s="564">
        <f t="shared" si="37"/>
        <v>0</v>
      </c>
      <c r="AF122" s="564">
        <f t="shared" si="38"/>
        <v>0</v>
      </c>
      <c r="AG122" s="564">
        <f t="shared" si="39"/>
        <v>0</v>
      </c>
    </row>
    <row r="123" spans="1:33">
      <c r="A123" s="20"/>
      <c r="B123" s="20" t="s">
        <v>109</v>
      </c>
      <c r="C123" s="68" t="s">
        <v>22</v>
      </c>
      <c r="D123" s="449">
        <f>340.83+417.26+196.06</f>
        <v>954.14999999999986</v>
      </c>
      <c r="E123" s="529">
        <f>'Q3 DMV - Revenue'!S116</f>
        <v>126.56</v>
      </c>
      <c r="F123" s="342">
        <v>48.64</v>
      </c>
      <c r="G123" s="375">
        <v>25.34</v>
      </c>
      <c r="H123" s="342">
        <v>15.2</v>
      </c>
      <c r="I123" s="379">
        <f t="shared" si="43"/>
        <v>1169.8899999999999</v>
      </c>
      <c r="J123" s="31"/>
      <c r="K123" s="84"/>
      <c r="L123" s="42"/>
      <c r="M123" s="31">
        <v>0</v>
      </c>
      <c r="N123" s="429"/>
      <c r="O123" s="31">
        <v>0</v>
      </c>
      <c r="P123" s="426">
        <f t="shared" si="42"/>
        <v>0</v>
      </c>
      <c r="Q123" s="178"/>
      <c r="R123" s="295"/>
      <c r="S123" s="328">
        <f t="shared" si="30"/>
        <v>0</v>
      </c>
      <c r="T123" s="31"/>
      <c r="U123" s="474">
        <f t="shared" si="31"/>
        <v>0</v>
      </c>
      <c r="V123" s="474">
        <f t="shared" si="32"/>
        <v>0</v>
      </c>
      <c r="W123" s="475">
        <f t="shared" si="33"/>
        <v>0</v>
      </c>
      <c r="X123" s="475">
        <v>0</v>
      </c>
      <c r="Y123" s="476">
        <v>0</v>
      </c>
      <c r="Z123" s="38">
        <f t="shared" si="41"/>
        <v>0</v>
      </c>
      <c r="AA123" s="564">
        <f t="shared" si="34"/>
        <v>0</v>
      </c>
      <c r="AB123" s="564">
        <f t="shared" si="35"/>
        <v>1169.8899999999999</v>
      </c>
      <c r="AC123" s="564">
        <f t="shared" si="36"/>
        <v>0</v>
      </c>
      <c r="AE123" s="564">
        <f t="shared" si="37"/>
        <v>0</v>
      </c>
      <c r="AF123" s="564">
        <f t="shared" si="38"/>
        <v>0</v>
      </c>
      <c r="AG123" s="564">
        <f t="shared" si="39"/>
        <v>0</v>
      </c>
    </row>
    <row r="124" spans="1:33">
      <c r="A124" s="20" t="s">
        <v>211</v>
      </c>
      <c r="B124" s="20" t="s">
        <v>110</v>
      </c>
      <c r="C124" s="68" t="s">
        <v>23</v>
      </c>
      <c r="D124" s="449"/>
      <c r="E124" s="529">
        <f>'Q3 DMV - Revenue'!S117</f>
        <v>0</v>
      </c>
      <c r="F124" s="315"/>
      <c r="G124" s="546"/>
      <c r="H124" s="315"/>
      <c r="I124" s="379">
        <f t="shared" si="43"/>
        <v>0</v>
      </c>
      <c r="J124" s="31"/>
      <c r="K124" s="84"/>
      <c r="L124" s="42"/>
      <c r="M124" s="31">
        <v>0</v>
      </c>
      <c r="N124" s="429"/>
      <c r="O124" s="31">
        <v>0</v>
      </c>
      <c r="P124" s="426">
        <f t="shared" si="42"/>
        <v>0</v>
      </c>
      <c r="Q124" s="178"/>
      <c r="R124" s="295"/>
      <c r="S124" s="328">
        <f t="shared" si="30"/>
        <v>0</v>
      </c>
      <c r="T124" s="31"/>
      <c r="U124" s="474">
        <f t="shared" si="31"/>
        <v>0</v>
      </c>
      <c r="V124" s="474">
        <f t="shared" si="32"/>
        <v>0</v>
      </c>
      <c r="W124" s="475">
        <f t="shared" si="33"/>
        <v>0</v>
      </c>
      <c r="X124" s="475">
        <v>0</v>
      </c>
      <c r="Y124" s="476">
        <v>0</v>
      </c>
      <c r="Z124" s="38">
        <f t="shared" si="41"/>
        <v>0</v>
      </c>
      <c r="AA124" s="564">
        <f t="shared" si="34"/>
        <v>0</v>
      </c>
      <c r="AB124" s="564">
        <f t="shared" si="35"/>
        <v>0</v>
      </c>
      <c r="AC124" s="564">
        <f t="shared" si="36"/>
        <v>0</v>
      </c>
      <c r="AE124" s="564">
        <f t="shared" si="37"/>
        <v>0</v>
      </c>
      <c r="AF124" s="564">
        <f t="shared" si="38"/>
        <v>0</v>
      </c>
      <c r="AG124" s="564">
        <f t="shared" si="39"/>
        <v>0</v>
      </c>
    </row>
    <row r="125" spans="1:33">
      <c r="A125" s="20" t="s">
        <v>109</v>
      </c>
      <c r="B125" s="20" t="s">
        <v>110</v>
      </c>
      <c r="C125" s="68" t="s">
        <v>321</v>
      </c>
      <c r="D125" s="449">
        <v>55.78</v>
      </c>
      <c r="E125" s="529">
        <f>'Q3 DMV - Revenue'!S118</f>
        <v>-18.259999999999991</v>
      </c>
      <c r="F125" s="342">
        <v>89.83</v>
      </c>
      <c r="G125" s="375">
        <v>1171.6300000000001</v>
      </c>
      <c r="H125" s="342">
        <v>199.77</v>
      </c>
      <c r="I125" s="379">
        <f t="shared" si="43"/>
        <v>1498.75</v>
      </c>
      <c r="J125" s="31"/>
      <c r="K125" s="84"/>
      <c r="L125" s="42"/>
      <c r="M125" s="31">
        <v>0</v>
      </c>
      <c r="N125" s="429">
        <v>1727.09</v>
      </c>
      <c r="O125" s="31">
        <v>0</v>
      </c>
      <c r="P125" s="426">
        <f t="shared" si="42"/>
        <v>0</v>
      </c>
      <c r="Q125" s="178"/>
      <c r="R125" s="295"/>
      <c r="S125" s="328">
        <f t="shared" si="30"/>
        <v>0</v>
      </c>
      <c r="T125" s="31"/>
      <c r="U125" s="474">
        <f t="shared" si="31"/>
        <v>0</v>
      </c>
      <c r="V125" s="474">
        <f t="shared" si="32"/>
        <v>0</v>
      </c>
      <c r="W125" s="475">
        <f t="shared" si="33"/>
        <v>0</v>
      </c>
      <c r="X125" s="475">
        <v>0</v>
      </c>
      <c r="Y125" s="476">
        <v>0</v>
      </c>
      <c r="Z125" s="38">
        <f t="shared" si="41"/>
        <v>0</v>
      </c>
      <c r="AA125" s="564">
        <f t="shared" si="34"/>
        <v>1498.75</v>
      </c>
      <c r="AB125" s="564">
        <f t="shared" si="35"/>
        <v>0</v>
      </c>
      <c r="AC125" s="564">
        <f t="shared" si="36"/>
        <v>0</v>
      </c>
      <c r="AE125" s="564">
        <f t="shared" si="37"/>
        <v>0</v>
      </c>
      <c r="AF125" s="564">
        <f t="shared" si="38"/>
        <v>0</v>
      </c>
      <c r="AG125" s="564">
        <f t="shared" si="39"/>
        <v>0</v>
      </c>
    </row>
    <row r="126" spans="1:33">
      <c r="A126" s="20"/>
      <c r="B126" s="20" t="s">
        <v>110</v>
      </c>
      <c r="C126" s="68" t="s">
        <v>24</v>
      </c>
      <c r="D126" s="449"/>
      <c r="E126" s="529">
        <f>'Q3 DMV - Revenue'!S119</f>
        <v>-516.07500000000027</v>
      </c>
      <c r="F126" s="342">
        <v>4377.3999999999996</v>
      </c>
      <c r="G126" s="375">
        <v>4006.26</v>
      </c>
      <c r="H126" s="342">
        <v>3679.53</v>
      </c>
      <c r="I126" s="379">
        <f t="shared" si="43"/>
        <v>11547.115</v>
      </c>
      <c r="J126" s="31"/>
      <c r="K126" s="84"/>
      <c r="L126" s="42"/>
      <c r="M126" s="31">
        <v>0</v>
      </c>
      <c r="N126" s="429">
        <v>15867.04</v>
      </c>
      <c r="O126" s="31">
        <v>0</v>
      </c>
      <c r="P126" s="426">
        <f t="shared" si="42"/>
        <v>0</v>
      </c>
      <c r="Q126" s="178"/>
      <c r="R126" s="295"/>
      <c r="S126" s="328">
        <f t="shared" si="30"/>
        <v>0</v>
      </c>
      <c r="T126" s="31"/>
      <c r="U126" s="474">
        <f t="shared" si="31"/>
        <v>0</v>
      </c>
      <c r="V126" s="474">
        <f t="shared" si="32"/>
        <v>0</v>
      </c>
      <c r="W126" s="475">
        <f t="shared" si="33"/>
        <v>0</v>
      </c>
      <c r="X126" s="475">
        <v>0</v>
      </c>
      <c r="Y126" s="476">
        <v>0</v>
      </c>
      <c r="Z126" s="38">
        <f t="shared" si="41"/>
        <v>0</v>
      </c>
      <c r="AA126" s="564">
        <f t="shared" si="34"/>
        <v>11547.115</v>
      </c>
      <c r="AB126" s="564">
        <f t="shared" si="35"/>
        <v>0</v>
      </c>
      <c r="AC126" s="564">
        <f t="shared" si="36"/>
        <v>0</v>
      </c>
      <c r="AE126" s="564">
        <f t="shared" si="37"/>
        <v>0</v>
      </c>
      <c r="AF126" s="564">
        <f t="shared" si="38"/>
        <v>0</v>
      </c>
      <c r="AG126" s="564">
        <f t="shared" si="39"/>
        <v>0</v>
      </c>
    </row>
    <row r="127" spans="1:33">
      <c r="A127" s="20" t="s">
        <v>211</v>
      </c>
      <c r="B127" s="20" t="s">
        <v>110</v>
      </c>
      <c r="C127" s="68" t="s">
        <v>91</v>
      </c>
      <c r="D127" s="449"/>
      <c r="E127" s="529">
        <f>'Q3 DMV - Revenue'!S120</f>
        <v>0</v>
      </c>
      <c r="F127" s="315"/>
      <c r="G127" s="546"/>
      <c r="H127" s="315"/>
      <c r="I127" s="379">
        <f t="shared" si="43"/>
        <v>0</v>
      </c>
      <c r="J127" s="2"/>
      <c r="K127" s="336"/>
      <c r="L127" s="42"/>
      <c r="M127" s="31">
        <v>0</v>
      </c>
      <c r="N127" s="429"/>
      <c r="O127" s="31">
        <v>0</v>
      </c>
      <c r="P127" s="426">
        <f t="shared" si="42"/>
        <v>0</v>
      </c>
      <c r="Q127" s="178"/>
      <c r="R127" s="295"/>
      <c r="S127" s="328">
        <f t="shared" si="30"/>
        <v>0</v>
      </c>
      <c r="T127" s="2"/>
      <c r="U127" s="474">
        <f t="shared" si="31"/>
        <v>0</v>
      </c>
      <c r="V127" s="474">
        <f t="shared" si="32"/>
        <v>0</v>
      </c>
      <c r="W127" s="475">
        <f t="shared" si="33"/>
        <v>0</v>
      </c>
      <c r="X127" s="475">
        <v>0</v>
      </c>
      <c r="Y127" s="476">
        <v>0</v>
      </c>
      <c r="Z127" s="38">
        <f t="shared" si="41"/>
        <v>0</v>
      </c>
      <c r="AA127" s="564">
        <f t="shared" si="34"/>
        <v>0</v>
      </c>
      <c r="AB127" s="564">
        <f t="shared" si="35"/>
        <v>0</v>
      </c>
      <c r="AC127" s="564">
        <f t="shared" si="36"/>
        <v>0</v>
      </c>
      <c r="AE127" s="564">
        <f t="shared" si="37"/>
        <v>0</v>
      </c>
      <c r="AF127" s="564">
        <f t="shared" si="38"/>
        <v>0</v>
      </c>
      <c r="AG127" s="564">
        <f t="shared" si="39"/>
        <v>0</v>
      </c>
    </row>
    <row r="128" spans="1:33">
      <c r="A128" s="20"/>
      <c r="B128" s="20" t="s">
        <v>110</v>
      </c>
      <c r="C128" s="68" t="s">
        <v>118</v>
      </c>
      <c r="D128" s="449"/>
      <c r="E128" s="529">
        <f>'Q3 DMV - Revenue'!S121</f>
        <v>-30</v>
      </c>
      <c r="F128" s="315"/>
      <c r="G128" s="546"/>
      <c r="H128" s="315"/>
      <c r="I128" s="379">
        <f t="shared" si="43"/>
        <v>-30</v>
      </c>
      <c r="J128" s="2"/>
      <c r="K128" s="336"/>
      <c r="L128" s="42"/>
      <c r="M128" s="31">
        <v>0</v>
      </c>
      <c r="N128" s="429"/>
      <c r="O128" s="31">
        <v>0</v>
      </c>
      <c r="P128" s="426">
        <f t="shared" si="42"/>
        <v>0</v>
      </c>
      <c r="Q128" s="178"/>
      <c r="R128" s="295"/>
      <c r="S128" s="328">
        <f t="shared" si="30"/>
        <v>0</v>
      </c>
      <c r="T128" s="2"/>
      <c r="U128" s="474">
        <f t="shared" si="31"/>
        <v>0</v>
      </c>
      <c r="V128" s="474">
        <f t="shared" si="32"/>
        <v>0</v>
      </c>
      <c r="W128" s="475">
        <f t="shared" si="33"/>
        <v>0</v>
      </c>
      <c r="X128" s="475">
        <v>0</v>
      </c>
      <c r="Y128" s="476">
        <v>0</v>
      </c>
      <c r="Z128" s="38">
        <f t="shared" si="41"/>
        <v>0</v>
      </c>
      <c r="AA128" s="564">
        <f t="shared" si="34"/>
        <v>-30</v>
      </c>
      <c r="AB128" s="564">
        <f t="shared" si="35"/>
        <v>0</v>
      </c>
      <c r="AC128" s="564">
        <f t="shared" si="36"/>
        <v>0</v>
      </c>
      <c r="AE128" s="564">
        <f t="shared" si="37"/>
        <v>0</v>
      </c>
      <c r="AF128" s="564">
        <f t="shared" si="38"/>
        <v>0</v>
      </c>
      <c r="AG128" s="564">
        <f t="shared" si="39"/>
        <v>0</v>
      </c>
    </row>
    <row r="129" spans="1:33">
      <c r="A129" s="20" t="s">
        <v>211</v>
      </c>
      <c r="B129" s="20" t="s">
        <v>110</v>
      </c>
      <c r="C129" s="68" t="s">
        <v>25</v>
      </c>
      <c r="D129" s="449"/>
      <c r="E129" s="529">
        <f>'Q3 DMV - Revenue'!S122</f>
        <v>-2000</v>
      </c>
      <c r="F129" s="315"/>
      <c r="G129" s="546"/>
      <c r="H129" s="315"/>
      <c r="I129" s="379">
        <f t="shared" si="43"/>
        <v>-2000</v>
      </c>
      <c r="J129" s="31"/>
      <c r="K129" s="336"/>
      <c r="L129" s="42"/>
      <c r="M129" s="31">
        <v>0</v>
      </c>
      <c r="N129" s="429"/>
      <c r="O129" s="31">
        <v>0</v>
      </c>
      <c r="P129" s="426">
        <f t="shared" si="42"/>
        <v>0</v>
      </c>
      <c r="Q129" s="178"/>
      <c r="R129" s="295"/>
      <c r="S129" s="328">
        <f t="shared" si="30"/>
        <v>0</v>
      </c>
      <c r="T129" s="31"/>
      <c r="U129" s="474">
        <f t="shared" si="31"/>
        <v>0</v>
      </c>
      <c r="V129" s="474">
        <f t="shared" si="32"/>
        <v>0</v>
      </c>
      <c r="W129" s="475">
        <f t="shared" si="33"/>
        <v>0</v>
      </c>
      <c r="X129" s="475">
        <v>0</v>
      </c>
      <c r="Y129" s="476">
        <v>0</v>
      </c>
      <c r="Z129" s="38">
        <f t="shared" si="41"/>
        <v>0</v>
      </c>
      <c r="AA129" s="564">
        <f t="shared" si="34"/>
        <v>-2000</v>
      </c>
      <c r="AB129" s="564">
        <f t="shared" si="35"/>
        <v>0</v>
      </c>
      <c r="AC129" s="564">
        <f t="shared" si="36"/>
        <v>0</v>
      </c>
      <c r="AE129" s="564">
        <f t="shared" si="37"/>
        <v>0</v>
      </c>
      <c r="AF129" s="564">
        <f t="shared" si="38"/>
        <v>0</v>
      </c>
      <c r="AG129" s="564">
        <f t="shared" si="39"/>
        <v>0</v>
      </c>
    </row>
    <row r="130" spans="1:33">
      <c r="A130" s="21"/>
      <c r="B130" s="21" t="s">
        <v>110</v>
      </c>
      <c r="C130" s="68" t="s">
        <v>26</v>
      </c>
      <c r="D130" s="449"/>
      <c r="E130" s="529">
        <f>'Q3 DMV - Revenue'!S123</f>
        <v>-342.54000000000087</v>
      </c>
      <c r="F130" s="342">
        <v>8843.85</v>
      </c>
      <c r="G130" s="375">
        <v>8898.0499999999993</v>
      </c>
      <c r="H130" s="342">
        <v>7945.29</v>
      </c>
      <c r="I130" s="379">
        <f t="shared" si="43"/>
        <v>25344.65</v>
      </c>
      <c r="J130" s="31"/>
      <c r="K130" s="84"/>
      <c r="L130" s="42"/>
      <c r="M130" s="31">
        <v>0</v>
      </c>
      <c r="N130" s="429">
        <v>34781.17</v>
      </c>
      <c r="O130" s="31">
        <v>0</v>
      </c>
      <c r="P130" s="426">
        <f t="shared" si="42"/>
        <v>0</v>
      </c>
      <c r="Q130" s="178"/>
      <c r="R130" s="295"/>
      <c r="S130" s="328">
        <f t="shared" si="30"/>
        <v>0</v>
      </c>
      <c r="T130" s="31"/>
      <c r="U130" s="474">
        <f t="shared" si="31"/>
        <v>0</v>
      </c>
      <c r="V130" s="474">
        <f t="shared" si="32"/>
        <v>0</v>
      </c>
      <c r="W130" s="475">
        <f t="shared" si="33"/>
        <v>0</v>
      </c>
      <c r="X130" s="475">
        <v>0</v>
      </c>
      <c r="Y130" s="476">
        <v>0</v>
      </c>
      <c r="Z130" s="38">
        <f t="shared" si="41"/>
        <v>0</v>
      </c>
      <c r="AA130" s="564">
        <f t="shared" si="34"/>
        <v>25344.65</v>
      </c>
      <c r="AB130" s="564">
        <f t="shared" si="35"/>
        <v>0</v>
      </c>
      <c r="AC130" s="564">
        <f t="shared" si="36"/>
        <v>0</v>
      </c>
      <c r="AE130" s="564">
        <f t="shared" si="37"/>
        <v>0</v>
      </c>
      <c r="AF130" s="564">
        <f t="shared" si="38"/>
        <v>0</v>
      </c>
      <c r="AG130" s="564">
        <f t="shared" si="39"/>
        <v>0</v>
      </c>
    </row>
    <row r="131" spans="1:33">
      <c r="A131" s="21"/>
      <c r="B131" s="21" t="s">
        <v>110</v>
      </c>
      <c r="C131" s="68" t="s">
        <v>268</v>
      </c>
      <c r="D131" s="449"/>
      <c r="E131" s="529">
        <f>'Q3 DMV - Revenue'!S124</f>
        <v>0</v>
      </c>
      <c r="F131" s="342">
        <v>4640.6499999999996</v>
      </c>
      <c r="G131" s="375">
        <v>4502.3</v>
      </c>
      <c r="H131" s="342">
        <v>6013.45</v>
      </c>
      <c r="I131" s="379">
        <f t="shared" si="43"/>
        <v>15156.400000000001</v>
      </c>
      <c r="J131" s="31"/>
      <c r="K131" s="84"/>
      <c r="L131" s="42"/>
      <c r="M131" s="31">
        <v>0</v>
      </c>
      <c r="N131" s="429">
        <v>15156.4</v>
      </c>
      <c r="O131" s="31">
        <v>0</v>
      </c>
      <c r="P131" s="426">
        <f t="shared" si="42"/>
        <v>0</v>
      </c>
      <c r="Q131" s="178"/>
      <c r="R131" s="295"/>
      <c r="S131" s="328">
        <f t="shared" si="30"/>
        <v>0</v>
      </c>
      <c r="T131" s="31"/>
      <c r="U131" s="474">
        <f t="shared" si="31"/>
        <v>0</v>
      </c>
      <c r="V131" s="474">
        <f t="shared" si="32"/>
        <v>0</v>
      </c>
      <c r="W131" s="475">
        <f t="shared" si="33"/>
        <v>0</v>
      </c>
      <c r="X131" s="475">
        <v>0</v>
      </c>
      <c r="Y131" s="476">
        <v>0</v>
      </c>
      <c r="Z131" s="38">
        <f t="shared" si="41"/>
        <v>0</v>
      </c>
      <c r="AA131" s="564">
        <f t="shared" si="34"/>
        <v>15156.400000000001</v>
      </c>
      <c r="AB131" s="564">
        <f t="shared" si="35"/>
        <v>0</v>
      </c>
      <c r="AC131" s="564">
        <f t="shared" si="36"/>
        <v>0</v>
      </c>
      <c r="AE131" s="564">
        <f t="shared" si="37"/>
        <v>0</v>
      </c>
      <c r="AF131" s="564">
        <f t="shared" si="38"/>
        <v>0</v>
      </c>
      <c r="AG131" s="564">
        <f t="shared" si="39"/>
        <v>0</v>
      </c>
    </row>
    <row r="132" spans="1:33">
      <c r="A132" s="21"/>
      <c r="B132" s="21" t="s">
        <v>110</v>
      </c>
      <c r="C132" s="68" t="s">
        <v>183</v>
      </c>
      <c r="D132" s="449"/>
      <c r="E132" s="529">
        <f>'Q3 DMV - Revenue'!S125</f>
        <v>270.18499999999995</v>
      </c>
      <c r="F132" s="342">
        <v>2198.54</v>
      </c>
      <c r="G132" s="375">
        <v>2067.65</v>
      </c>
      <c r="H132" s="315"/>
      <c r="I132" s="379">
        <f t="shared" si="43"/>
        <v>4536.375</v>
      </c>
      <c r="J132" s="31"/>
      <c r="K132" s="84"/>
      <c r="L132" s="42">
        <f>SUM(F132+G132)/2</f>
        <v>2133.0950000000003</v>
      </c>
      <c r="M132" s="31">
        <v>0</v>
      </c>
      <c r="N132" s="429">
        <v>6583.38</v>
      </c>
      <c r="O132" s="31">
        <v>0</v>
      </c>
      <c r="P132" s="426">
        <f t="shared" si="42"/>
        <v>2133.0950000000003</v>
      </c>
      <c r="Q132" s="178">
        <v>2608.06</v>
      </c>
      <c r="R132" s="295"/>
      <c r="S132" s="328">
        <f t="shared" si="30"/>
        <v>474.96499999999969</v>
      </c>
      <c r="T132" s="31"/>
      <c r="U132" s="474">
        <f t="shared" si="31"/>
        <v>2133.0950000000003</v>
      </c>
      <c r="V132" s="474">
        <f t="shared" si="32"/>
        <v>0</v>
      </c>
      <c r="W132" s="475">
        <f t="shared" si="33"/>
        <v>0</v>
      </c>
      <c r="X132" s="475">
        <v>0</v>
      </c>
      <c r="Y132" s="476">
        <v>0</v>
      </c>
      <c r="Z132" s="38">
        <f t="shared" si="41"/>
        <v>0</v>
      </c>
      <c r="AA132" s="564">
        <f t="shared" si="34"/>
        <v>4536.375</v>
      </c>
      <c r="AB132" s="564">
        <f t="shared" si="35"/>
        <v>0</v>
      </c>
      <c r="AC132" s="564">
        <f t="shared" si="36"/>
        <v>0</v>
      </c>
      <c r="AE132" s="564">
        <f t="shared" si="37"/>
        <v>2133.0950000000003</v>
      </c>
      <c r="AF132" s="564">
        <f t="shared" si="38"/>
        <v>0</v>
      </c>
      <c r="AG132" s="564">
        <f t="shared" si="39"/>
        <v>0</v>
      </c>
    </row>
    <row r="133" spans="1:33">
      <c r="A133" s="21"/>
      <c r="B133" s="21" t="s">
        <v>110</v>
      </c>
      <c r="C133" s="68" t="s">
        <v>282</v>
      </c>
      <c r="D133" s="449"/>
      <c r="E133" s="529">
        <f>'Q3 DMV - Revenue'!S126</f>
        <v>2200.5299999999988</v>
      </c>
      <c r="F133" s="342">
        <v>23577.07</v>
      </c>
      <c r="G133" s="375">
        <v>26187.19</v>
      </c>
      <c r="H133" s="342">
        <v>29945.61</v>
      </c>
      <c r="I133" s="379">
        <f t="shared" si="43"/>
        <v>81910.399999999994</v>
      </c>
      <c r="J133" s="31"/>
      <c r="K133" s="84"/>
      <c r="L133" s="42"/>
      <c r="M133" s="31">
        <v>0</v>
      </c>
      <c r="N133" s="429">
        <v>100858.1</v>
      </c>
      <c r="O133" s="31">
        <v>0</v>
      </c>
      <c r="P133" s="426">
        <f t="shared" si="42"/>
        <v>0</v>
      </c>
      <c r="Q133" s="178"/>
      <c r="R133" s="295"/>
      <c r="S133" s="328">
        <f t="shared" si="30"/>
        <v>0</v>
      </c>
      <c r="T133" s="31"/>
      <c r="U133" s="474">
        <f t="shared" si="31"/>
        <v>0</v>
      </c>
      <c r="V133" s="474">
        <f t="shared" si="32"/>
        <v>0</v>
      </c>
      <c r="W133" s="475">
        <f t="shared" si="33"/>
        <v>0</v>
      </c>
      <c r="X133" s="475">
        <v>0</v>
      </c>
      <c r="Y133" s="476">
        <v>0</v>
      </c>
      <c r="Z133" s="38">
        <f t="shared" si="41"/>
        <v>0</v>
      </c>
      <c r="AA133" s="564">
        <f t="shared" si="34"/>
        <v>81910.399999999994</v>
      </c>
      <c r="AB133" s="564">
        <f t="shared" si="35"/>
        <v>0</v>
      </c>
      <c r="AC133" s="564">
        <f t="shared" si="36"/>
        <v>0</v>
      </c>
      <c r="AE133" s="564">
        <f t="shared" si="37"/>
        <v>0</v>
      </c>
      <c r="AF133" s="564">
        <f t="shared" si="38"/>
        <v>0</v>
      </c>
      <c r="AG133" s="564">
        <f t="shared" si="39"/>
        <v>0</v>
      </c>
    </row>
    <row r="134" spans="1:33">
      <c r="A134" s="21"/>
      <c r="B134" s="21" t="s">
        <v>110</v>
      </c>
      <c r="C134" s="68" t="s">
        <v>27</v>
      </c>
      <c r="D134" s="449"/>
      <c r="E134" s="529">
        <f>'Q3 DMV - Revenue'!S127</f>
        <v>0</v>
      </c>
      <c r="F134" s="315"/>
      <c r="G134" s="546"/>
      <c r="H134" s="315"/>
      <c r="I134" s="379">
        <f t="shared" si="43"/>
        <v>0</v>
      </c>
      <c r="J134" s="31"/>
      <c r="K134" s="84"/>
      <c r="L134" s="42"/>
      <c r="M134" s="31">
        <v>0</v>
      </c>
      <c r="N134" s="429"/>
      <c r="O134" s="31">
        <v>0</v>
      </c>
      <c r="P134" s="426">
        <f t="shared" si="42"/>
        <v>0</v>
      </c>
      <c r="Q134" s="178"/>
      <c r="R134" s="295"/>
      <c r="S134" s="328">
        <f t="shared" si="30"/>
        <v>0</v>
      </c>
      <c r="T134" s="31"/>
      <c r="U134" s="474">
        <f t="shared" si="31"/>
        <v>0</v>
      </c>
      <c r="V134" s="474">
        <f t="shared" si="32"/>
        <v>0</v>
      </c>
      <c r="W134" s="475">
        <f t="shared" si="33"/>
        <v>0</v>
      </c>
      <c r="X134" s="475">
        <v>0</v>
      </c>
      <c r="Y134" s="476">
        <v>0</v>
      </c>
      <c r="Z134" s="38">
        <f t="shared" si="41"/>
        <v>0</v>
      </c>
      <c r="AA134" s="564">
        <f t="shared" si="34"/>
        <v>0</v>
      </c>
      <c r="AB134" s="564">
        <f t="shared" si="35"/>
        <v>0</v>
      </c>
      <c r="AC134" s="564">
        <f t="shared" si="36"/>
        <v>0</v>
      </c>
      <c r="AE134" s="564">
        <f t="shared" si="37"/>
        <v>0</v>
      </c>
      <c r="AF134" s="564">
        <f t="shared" si="38"/>
        <v>0</v>
      </c>
      <c r="AG134" s="564">
        <f t="shared" si="39"/>
        <v>0</v>
      </c>
    </row>
    <row r="135" spans="1:33">
      <c r="A135" s="21"/>
      <c r="B135" s="21" t="s">
        <v>110</v>
      </c>
      <c r="C135" s="68" t="s">
        <v>28</v>
      </c>
      <c r="D135" s="449"/>
      <c r="E135" s="529">
        <f>'Q3 DMV - Revenue'!S128</f>
        <v>0</v>
      </c>
      <c r="F135" s="342">
        <v>2044.7</v>
      </c>
      <c r="G135" s="375">
        <v>2102.8000000000002</v>
      </c>
      <c r="H135" s="342">
        <v>3090.5</v>
      </c>
      <c r="I135" s="379">
        <f t="shared" si="43"/>
        <v>7238</v>
      </c>
      <c r="J135" s="31"/>
      <c r="K135" s="84"/>
      <c r="L135" s="42"/>
      <c r="M135" s="31">
        <v>0</v>
      </c>
      <c r="N135" s="429">
        <v>7238</v>
      </c>
      <c r="O135" s="31">
        <v>0</v>
      </c>
      <c r="P135" s="426">
        <f t="shared" si="42"/>
        <v>0</v>
      </c>
      <c r="Q135" s="178"/>
      <c r="R135" s="295"/>
      <c r="S135" s="328">
        <f t="shared" si="30"/>
        <v>0</v>
      </c>
      <c r="T135" s="31"/>
      <c r="U135" s="474">
        <f t="shared" si="31"/>
        <v>0</v>
      </c>
      <c r="V135" s="474">
        <f t="shared" si="32"/>
        <v>0</v>
      </c>
      <c r="W135" s="475">
        <f t="shared" si="33"/>
        <v>0</v>
      </c>
      <c r="X135" s="475">
        <v>0</v>
      </c>
      <c r="Y135" s="476">
        <v>0</v>
      </c>
      <c r="Z135" s="38">
        <f t="shared" si="41"/>
        <v>0</v>
      </c>
      <c r="AA135" s="564">
        <f t="shared" si="34"/>
        <v>7238</v>
      </c>
      <c r="AB135" s="564">
        <f t="shared" si="35"/>
        <v>0</v>
      </c>
      <c r="AC135" s="564">
        <f t="shared" si="36"/>
        <v>0</v>
      </c>
      <c r="AE135" s="564">
        <f t="shared" si="37"/>
        <v>0</v>
      </c>
      <c r="AF135" s="564">
        <f t="shared" si="38"/>
        <v>0</v>
      </c>
      <c r="AG135" s="564">
        <f t="shared" si="39"/>
        <v>0</v>
      </c>
    </row>
    <row r="136" spans="1:33">
      <c r="A136" s="21"/>
      <c r="B136" s="21" t="s">
        <v>109</v>
      </c>
      <c r="C136" s="68" t="s">
        <v>308</v>
      </c>
      <c r="D136" s="449">
        <v>416.25</v>
      </c>
      <c r="E136" s="529">
        <f>'Q3 DMV - Revenue'!S129</f>
        <v>1557.94</v>
      </c>
      <c r="F136" s="315"/>
      <c r="G136" s="546"/>
      <c r="H136" s="315"/>
      <c r="I136" s="379">
        <f t="shared" si="43"/>
        <v>1974.19</v>
      </c>
      <c r="J136" s="31"/>
      <c r="K136" s="84"/>
      <c r="L136" s="42"/>
      <c r="M136" s="31"/>
      <c r="N136" s="429">
        <v>2274.19</v>
      </c>
      <c r="O136" s="31"/>
      <c r="P136" s="426">
        <f t="shared" si="42"/>
        <v>0</v>
      </c>
      <c r="Q136" s="178">
        <f>709.56+538.84+676.64</f>
        <v>1925.04</v>
      </c>
      <c r="R136" s="295"/>
      <c r="S136" s="328">
        <f t="shared" si="30"/>
        <v>1925.04</v>
      </c>
      <c r="T136" s="31"/>
      <c r="U136" s="474">
        <f t="shared" si="31"/>
        <v>0</v>
      </c>
      <c r="V136" s="474">
        <f t="shared" si="32"/>
        <v>0</v>
      </c>
      <c r="W136" s="475">
        <f t="shared" si="33"/>
        <v>0</v>
      </c>
      <c r="X136" s="475">
        <v>0</v>
      </c>
      <c r="Y136" s="476">
        <v>0</v>
      </c>
      <c r="Z136" s="38">
        <f t="shared" si="41"/>
        <v>0</v>
      </c>
      <c r="AA136" s="564">
        <f t="shared" si="34"/>
        <v>0</v>
      </c>
      <c r="AB136" s="564">
        <f t="shared" si="35"/>
        <v>1974.19</v>
      </c>
      <c r="AC136" s="564">
        <f t="shared" si="36"/>
        <v>0</v>
      </c>
      <c r="AE136" s="564">
        <f t="shared" si="37"/>
        <v>0</v>
      </c>
      <c r="AF136" s="564">
        <f t="shared" si="38"/>
        <v>0</v>
      </c>
      <c r="AG136" s="564">
        <f t="shared" si="39"/>
        <v>0</v>
      </c>
    </row>
    <row r="137" spans="1:33" s="232" customFormat="1">
      <c r="A137" s="283" t="s">
        <v>211</v>
      </c>
      <c r="B137" s="283" t="s">
        <v>109</v>
      </c>
      <c r="C137" s="573" t="s">
        <v>389</v>
      </c>
      <c r="D137" s="514"/>
      <c r="E137" s="529">
        <f>'Q3 DMV - Revenue'!S130</f>
        <v>-10961.550000000003</v>
      </c>
      <c r="F137" s="315"/>
      <c r="G137" s="546"/>
      <c r="H137" s="315"/>
      <c r="I137" s="379">
        <f t="shared" si="43"/>
        <v>-10961.550000000003</v>
      </c>
      <c r="J137" s="31"/>
      <c r="K137" s="86">
        <v>45000</v>
      </c>
      <c r="L137" s="290"/>
      <c r="M137" s="31">
        <v>0</v>
      </c>
      <c r="N137" s="429"/>
      <c r="O137" s="31">
        <v>0</v>
      </c>
      <c r="P137" s="426">
        <f t="shared" si="42"/>
        <v>45000</v>
      </c>
      <c r="Q137" s="14">
        <v>45142.17</v>
      </c>
      <c r="R137" s="295"/>
      <c r="S137" s="328">
        <f t="shared" si="30"/>
        <v>142.16999999999825</v>
      </c>
      <c r="T137" s="31"/>
      <c r="U137" s="474">
        <f t="shared" si="31"/>
        <v>0</v>
      </c>
      <c r="V137" s="474">
        <f t="shared" si="32"/>
        <v>45000</v>
      </c>
      <c r="W137" s="475">
        <f t="shared" si="33"/>
        <v>0</v>
      </c>
      <c r="X137" s="475">
        <v>0</v>
      </c>
      <c r="Y137" s="476">
        <v>0</v>
      </c>
      <c r="Z137" s="38">
        <f t="shared" si="41"/>
        <v>0</v>
      </c>
      <c r="AA137" s="564">
        <f t="shared" si="34"/>
        <v>0</v>
      </c>
      <c r="AB137" s="564">
        <f t="shared" si="35"/>
        <v>-10961.550000000003</v>
      </c>
      <c r="AC137" s="564">
        <f t="shared" si="36"/>
        <v>0</v>
      </c>
      <c r="AD137" s="565"/>
      <c r="AE137" s="564">
        <f t="shared" si="37"/>
        <v>0</v>
      </c>
      <c r="AF137" s="564">
        <f t="shared" si="38"/>
        <v>45000</v>
      </c>
      <c r="AG137" s="564">
        <f t="shared" si="39"/>
        <v>0</v>
      </c>
    </row>
    <row r="138" spans="1:33">
      <c r="A138" s="20" t="s">
        <v>211</v>
      </c>
      <c r="B138" s="20" t="s">
        <v>109</v>
      </c>
      <c r="C138" s="68" t="s">
        <v>236</v>
      </c>
      <c r="D138" s="449"/>
      <c r="E138" s="529">
        <f>'Q3 DMV - Revenue'!S131</f>
        <v>-800</v>
      </c>
      <c r="F138" s="315"/>
      <c r="G138" s="546"/>
      <c r="H138" s="315"/>
      <c r="I138" s="379">
        <f t="shared" si="43"/>
        <v>-800</v>
      </c>
      <c r="J138" s="2"/>
      <c r="K138" s="336"/>
      <c r="L138" s="42"/>
      <c r="M138" s="31">
        <v>0</v>
      </c>
      <c r="N138" s="429"/>
      <c r="O138" s="31">
        <v>0</v>
      </c>
      <c r="P138" s="426">
        <f t="shared" si="42"/>
        <v>0</v>
      </c>
      <c r="Q138" s="178"/>
      <c r="R138" s="295"/>
      <c r="S138" s="328">
        <f t="shared" si="30"/>
        <v>0</v>
      </c>
      <c r="T138" s="2"/>
      <c r="U138" s="474">
        <f t="shared" si="31"/>
        <v>0</v>
      </c>
      <c r="V138" s="474">
        <f t="shared" si="32"/>
        <v>0</v>
      </c>
      <c r="W138" s="475">
        <f t="shared" si="33"/>
        <v>0</v>
      </c>
      <c r="X138" s="475">
        <v>0</v>
      </c>
      <c r="Y138" s="476">
        <v>0</v>
      </c>
      <c r="Z138" s="38">
        <f t="shared" si="41"/>
        <v>0</v>
      </c>
      <c r="AA138" s="564">
        <f t="shared" si="34"/>
        <v>0</v>
      </c>
      <c r="AB138" s="564">
        <f t="shared" si="35"/>
        <v>-800</v>
      </c>
      <c r="AC138" s="564">
        <f t="shared" si="36"/>
        <v>0</v>
      </c>
      <c r="AE138" s="564">
        <f t="shared" si="37"/>
        <v>0</v>
      </c>
      <c r="AF138" s="564">
        <f t="shared" si="38"/>
        <v>0</v>
      </c>
      <c r="AG138" s="564">
        <f t="shared" si="39"/>
        <v>0</v>
      </c>
    </row>
    <row r="139" spans="1:33" s="232" customFormat="1">
      <c r="A139" s="283"/>
      <c r="B139" s="283" t="s">
        <v>110</v>
      </c>
      <c r="C139" s="123" t="s">
        <v>192</v>
      </c>
      <c r="D139" s="514"/>
      <c r="E139" s="529">
        <f>'Q3 DMV - Revenue'!S132</f>
        <v>0</v>
      </c>
      <c r="F139" s="342">
        <v>6185.54</v>
      </c>
      <c r="G139" s="375">
        <v>5950.25</v>
      </c>
      <c r="H139" s="342">
        <v>8585.5400000000009</v>
      </c>
      <c r="I139" s="379">
        <f t="shared" si="43"/>
        <v>20721.330000000002</v>
      </c>
      <c r="J139" s="31"/>
      <c r="K139" s="86"/>
      <c r="L139" s="290"/>
      <c r="M139" s="31">
        <v>0</v>
      </c>
      <c r="N139" s="429">
        <v>28327.21</v>
      </c>
      <c r="O139" s="31">
        <v>0</v>
      </c>
      <c r="P139" s="426">
        <f t="shared" si="42"/>
        <v>0</v>
      </c>
      <c r="Q139" s="14"/>
      <c r="R139" s="295"/>
      <c r="S139" s="328">
        <f t="shared" si="30"/>
        <v>0</v>
      </c>
      <c r="T139" s="31"/>
      <c r="U139" s="474">
        <f t="shared" si="31"/>
        <v>0</v>
      </c>
      <c r="V139" s="474">
        <f t="shared" si="32"/>
        <v>0</v>
      </c>
      <c r="W139" s="475">
        <f t="shared" si="33"/>
        <v>0</v>
      </c>
      <c r="X139" s="475">
        <v>0</v>
      </c>
      <c r="Y139" s="476">
        <v>0</v>
      </c>
      <c r="Z139" s="38">
        <f t="shared" si="41"/>
        <v>0</v>
      </c>
      <c r="AA139" s="564">
        <f t="shared" si="34"/>
        <v>20721.330000000002</v>
      </c>
      <c r="AB139" s="564">
        <f t="shared" si="35"/>
        <v>0</v>
      </c>
      <c r="AC139" s="564">
        <f t="shared" si="36"/>
        <v>0</v>
      </c>
      <c r="AD139" s="565"/>
      <c r="AE139" s="564">
        <f t="shared" si="37"/>
        <v>0</v>
      </c>
      <c r="AF139" s="564">
        <f t="shared" si="38"/>
        <v>0</v>
      </c>
      <c r="AG139" s="564">
        <f t="shared" si="39"/>
        <v>0</v>
      </c>
    </row>
    <row r="140" spans="1:33" s="232" customFormat="1">
      <c r="A140" s="283"/>
      <c r="B140" s="283" t="s">
        <v>110</v>
      </c>
      <c r="C140" s="123" t="s">
        <v>193</v>
      </c>
      <c r="D140" s="514"/>
      <c r="E140" s="529">
        <f>'Q3 DMV - Revenue'!S133</f>
        <v>0</v>
      </c>
      <c r="F140" s="342">
        <v>804.63</v>
      </c>
      <c r="G140" s="375">
        <v>643.88</v>
      </c>
      <c r="H140" s="342">
        <v>655.03</v>
      </c>
      <c r="I140" s="379">
        <f t="shared" si="43"/>
        <v>2103.54</v>
      </c>
      <c r="J140" s="31"/>
      <c r="K140" s="86"/>
      <c r="L140" s="290"/>
      <c r="M140" s="31">
        <v>0</v>
      </c>
      <c r="N140" s="429"/>
      <c r="O140" s="31">
        <v>0</v>
      </c>
      <c r="P140" s="426">
        <f t="shared" si="42"/>
        <v>0</v>
      </c>
      <c r="Q140" s="14"/>
      <c r="R140" s="295"/>
      <c r="S140" s="328">
        <f t="shared" si="30"/>
        <v>0</v>
      </c>
      <c r="T140" s="31"/>
      <c r="U140" s="474">
        <f t="shared" si="31"/>
        <v>0</v>
      </c>
      <c r="V140" s="474">
        <f t="shared" si="32"/>
        <v>0</v>
      </c>
      <c r="W140" s="475">
        <f t="shared" si="33"/>
        <v>0</v>
      </c>
      <c r="X140" s="475">
        <v>0</v>
      </c>
      <c r="Y140" s="476">
        <v>0</v>
      </c>
      <c r="Z140" s="38">
        <f t="shared" si="41"/>
        <v>0</v>
      </c>
      <c r="AA140" s="564">
        <f t="shared" si="34"/>
        <v>2103.54</v>
      </c>
      <c r="AB140" s="564">
        <f t="shared" si="35"/>
        <v>0</v>
      </c>
      <c r="AC140" s="564">
        <f t="shared" si="36"/>
        <v>0</v>
      </c>
      <c r="AD140" s="565"/>
      <c r="AE140" s="564">
        <f t="shared" si="37"/>
        <v>0</v>
      </c>
      <c r="AF140" s="564">
        <f t="shared" si="38"/>
        <v>0</v>
      </c>
      <c r="AG140" s="564">
        <f t="shared" si="39"/>
        <v>0</v>
      </c>
    </row>
    <row r="141" spans="1:33" s="232" customFormat="1">
      <c r="A141" s="283"/>
      <c r="B141" s="283" t="s">
        <v>110</v>
      </c>
      <c r="C141" s="123" t="s">
        <v>194</v>
      </c>
      <c r="D141" s="514"/>
      <c r="E141" s="529">
        <f>'Q3 DMV - Revenue'!S134</f>
        <v>0</v>
      </c>
      <c r="F141" s="342">
        <v>117.25</v>
      </c>
      <c r="G141" s="375">
        <v>146.46</v>
      </c>
      <c r="H141" s="342">
        <v>210.07</v>
      </c>
      <c r="I141" s="379">
        <f t="shared" si="43"/>
        <v>473.78000000000003</v>
      </c>
      <c r="J141" s="31"/>
      <c r="K141" s="86"/>
      <c r="L141" s="290"/>
      <c r="M141" s="31">
        <v>0</v>
      </c>
      <c r="N141" s="429"/>
      <c r="O141" s="31">
        <v>0</v>
      </c>
      <c r="P141" s="426">
        <f t="shared" si="42"/>
        <v>0</v>
      </c>
      <c r="Q141" s="14"/>
      <c r="R141" s="295"/>
      <c r="S141" s="328">
        <f t="shared" si="30"/>
        <v>0</v>
      </c>
      <c r="T141" s="31"/>
      <c r="U141" s="474">
        <f t="shared" si="31"/>
        <v>0</v>
      </c>
      <c r="V141" s="474">
        <f t="shared" si="32"/>
        <v>0</v>
      </c>
      <c r="W141" s="475">
        <f t="shared" si="33"/>
        <v>0</v>
      </c>
      <c r="X141" s="475">
        <v>0</v>
      </c>
      <c r="Y141" s="476">
        <v>0</v>
      </c>
      <c r="Z141" s="38">
        <f t="shared" si="41"/>
        <v>0</v>
      </c>
      <c r="AA141" s="564">
        <f t="shared" si="34"/>
        <v>473.78000000000003</v>
      </c>
      <c r="AB141" s="564">
        <f t="shared" si="35"/>
        <v>0</v>
      </c>
      <c r="AC141" s="564">
        <f t="shared" si="36"/>
        <v>0</v>
      </c>
      <c r="AD141" s="565"/>
      <c r="AE141" s="564">
        <f t="shared" si="37"/>
        <v>0</v>
      </c>
      <c r="AF141" s="564">
        <f t="shared" si="38"/>
        <v>0</v>
      </c>
      <c r="AG141" s="564">
        <f t="shared" si="39"/>
        <v>0</v>
      </c>
    </row>
    <row r="142" spans="1:33" s="232" customFormat="1">
      <c r="A142" s="283"/>
      <c r="B142" s="283" t="s">
        <v>110</v>
      </c>
      <c r="C142" s="123" t="s">
        <v>195</v>
      </c>
      <c r="D142" s="514"/>
      <c r="E142" s="529">
        <f>'Q3 DMV - Revenue'!S135</f>
        <v>0</v>
      </c>
      <c r="F142" s="342">
        <v>18.84</v>
      </c>
      <c r="G142" s="375">
        <v>6.42</v>
      </c>
      <c r="H142" s="342">
        <v>13.05</v>
      </c>
      <c r="I142" s="379">
        <f t="shared" si="43"/>
        <v>38.31</v>
      </c>
      <c r="J142" s="31"/>
      <c r="K142" s="86"/>
      <c r="L142" s="290"/>
      <c r="M142" s="31">
        <v>0</v>
      </c>
      <c r="N142" s="429"/>
      <c r="O142" s="31">
        <v>0</v>
      </c>
      <c r="P142" s="426">
        <f t="shared" si="42"/>
        <v>0</v>
      </c>
      <c r="Q142" s="14"/>
      <c r="R142" s="295"/>
      <c r="S142" s="328">
        <f t="shared" si="30"/>
        <v>0</v>
      </c>
      <c r="T142" s="31"/>
      <c r="U142" s="474">
        <f t="shared" si="31"/>
        <v>0</v>
      </c>
      <c r="V142" s="474">
        <f t="shared" si="32"/>
        <v>0</v>
      </c>
      <c r="W142" s="475">
        <f t="shared" si="33"/>
        <v>0</v>
      </c>
      <c r="X142" s="475">
        <v>0</v>
      </c>
      <c r="Y142" s="476">
        <v>0</v>
      </c>
      <c r="Z142" s="38">
        <f t="shared" si="41"/>
        <v>0</v>
      </c>
      <c r="AA142" s="564">
        <f t="shared" si="34"/>
        <v>38.31</v>
      </c>
      <c r="AB142" s="564">
        <f t="shared" si="35"/>
        <v>0</v>
      </c>
      <c r="AC142" s="564">
        <f t="shared" si="36"/>
        <v>0</v>
      </c>
      <c r="AD142" s="565"/>
      <c r="AE142" s="564">
        <f t="shared" si="37"/>
        <v>0</v>
      </c>
      <c r="AF142" s="564">
        <f t="shared" si="38"/>
        <v>0</v>
      </c>
      <c r="AG142" s="564">
        <f t="shared" si="39"/>
        <v>0</v>
      </c>
    </row>
    <row r="143" spans="1:33" s="232" customFormat="1">
      <c r="A143" s="283"/>
      <c r="B143" s="283" t="s">
        <v>110</v>
      </c>
      <c r="C143" s="123" t="s">
        <v>196</v>
      </c>
      <c r="D143" s="514"/>
      <c r="E143" s="529">
        <f>'Q3 DMV - Revenue'!S136</f>
        <v>0</v>
      </c>
      <c r="F143" s="342">
        <v>170.56</v>
      </c>
      <c r="G143" s="375">
        <v>124.1</v>
      </c>
      <c r="H143" s="342">
        <v>173.01</v>
      </c>
      <c r="I143" s="379">
        <f t="shared" si="43"/>
        <v>467.66999999999996</v>
      </c>
      <c r="J143" s="31"/>
      <c r="K143" s="86"/>
      <c r="L143" s="290"/>
      <c r="M143" s="31">
        <v>0</v>
      </c>
      <c r="N143" s="429"/>
      <c r="O143" s="31">
        <v>0</v>
      </c>
      <c r="P143" s="426">
        <f t="shared" si="42"/>
        <v>0</v>
      </c>
      <c r="Q143" s="14"/>
      <c r="R143" s="295"/>
      <c r="S143" s="328">
        <f t="shared" si="30"/>
        <v>0</v>
      </c>
      <c r="T143" s="31"/>
      <c r="U143" s="474">
        <f t="shared" si="31"/>
        <v>0</v>
      </c>
      <c r="V143" s="474">
        <f t="shared" si="32"/>
        <v>0</v>
      </c>
      <c r="W143" s="475">
        <f t="shared" si="33"/>
        <v>0</v>
      </c>
      <c r="X143" s="475">
        <v>0</v>
      </c>
      <c r="Y143" s="476">
        <v>0</v>
      </c>
      <c r="Z143" s="38">
        <f t="shared" si="41"/>
        <v>0</v>
      </c>
      <c r="AA143" s="564">
        <f t="shared" si="34"/>
        <v>467.66999999999996</v>
      </c>
      <c r="AB143" s="564">
        <f t="shared" si="35"/>
        <v>0</v>
      </c>
      <c r="AC143" s="564">
        <f t="shared" si="36"/>
        <v>0</v>
      </c>
      <c r="AD143" s="565"/>
      <c r="AE143" s="564">
        <f t="shared" si="37"/>
        <v>0</v>
      </c>
      <c r="AF143" s="564">
        <f t="shared" si="38"/>
        <v>0</v>
      </c>
      <c r="AG143" s="564">
        <f t="shared" si="39"/>
        <v>0</v>
      </c>
    </row>
    <row r="144" spans="1:33" s="232" customFormat="1">
      <c r="A144" s="283"/>
      <c r="B144" s="283" t="s">
        <v>110</v>
      </c>
      <c r="C144" s="123" t="s">
        <v>197</v>
      </c>
      <c r="D144" s="514"/>
      <c r="E144" s="529">
        <f>'Q3 DMV - Revenue'!S137</f>
        <v>0</v>
      </c>
      <c r="F144" s="342">
        <v>8.98</v>
      </c>
      <c r="G144" s="375">
        <v>3.93</v>
      </c>
      <c r="H144" s="342">
        <v>6.11</v>
      </c>
      <c r="I144" s="379">
        <f t="shared" si="43"/>
        <v>19.02</v>
      </c>
      <c r="J144" s="31"/>
      <c r="K144" s="86"/>
      <c r="L144" s="290"/>
      <c r="M144" s="31">
        <v>0</v>
      </c>
      <c r="N144" s="429"/>
      <c r="O144" s="31">
        <v>0</v>
      </c>
      <c r="P144" s="426">
        <f t="shared" si="42"/>
        <v>0</v>
      </c>
      <c r="Q144" s="14"/>
      <c r="R144" s="295"/>
      <c r="S144" s="328">
        <f t="shared" si="30"/>
        <v>0</v>
      </c>
      <c r="T144" s="31"/>
      <c r="U144" s="474">
        <f t="shared" si="31"/>
        <v>0</v>
      </c>
      <c r="V144" s="474">
        <f t="shared" si="32"/>
        <v>0</v>
      </c>
      <c r="W144" s="475">
        <f t="shared" si="33"/>
        <v>0</v>
      </c>
      <c r="X144" s="475">
        <v>0</v>
      </c>
      <c r="Y144" s="476">
        <v>0</v>
      </c>
      <c r="Z144" s="38">
        <f t="shared" si="41"/>
        <v>0</v>
      </c>
      <c r="AA144" s="564">
        <f t="shared" si="34"/>
        <v>19.02</v>
      </c>
      <c r="AB144" s="564">
        <f t="shared" si="35"/>
        <v>0</v>
      </c>
      <c r="AC144" s="564">
        <f t="shared" si="36"/>
        <v>0</v>
      </c>
      <c r="AD144" s="565"/>
      <c r="AE144" s="564">
        <f t="shared" si="37"/>
        <v>0</v>
      </c>
      <c r="AF144" s="564">
        <f t="shared" si="38"/>
        <v>0</v>
      </c>
      <c r="AG144" s="564">
        <f t="shared" si="39"/>
        <v>0</v>
      </c>
    </row>
    <row r="145" spans="1:33" s="232" customFormat="1">
      <c r="A145" s="283"/>
      <c r="B145" s="283" t="s">
        <v>110</v>
      </c>
      <c r="C145" s="123" t="s">
        <v>440</v>
      </c>
      <c r="D145" s="514"/>
      <c r="E145" s="529">
        <f>'Q3 DMV - Revenue'!S137</f>
        <v>0</v>
      </c>
      <c r="F145" s="315"/>
      <c r="G145" s="375">
        <v>561.75</v>
      </c>
      <c r="H145" s="342">
        <f>1855.85+431.3+800.6+763.39</f>
        <v>3851.14</v>
      </c>
      <c r="I145" s="379">
        <f t="shared" si="43"/>
        <v>4412.8899999999994</v>
      </c>
      <c r="J145" s="31"/>
      <c r="K145" s="86"/>
      <c r="L145" s="290"/>
      <c r="M145" s="31">
        <v>0</v>
      </c>
      <c r="N145" s="429"/>
      <c r="O145" s="31">
        <v>0</v>
      </c>
      <c r="P145" s="426">
        <f>K145+L145</f>
        <v>0</v>
      </c>
      <c r="Q145" s="14"/>
      <c r="R145" s="295"/>
      <c r="S145" s="328">
        <f t="shared" si="30"/>
        <v>0</v>
      </c>
      <c r="T145" s="31"/>
      <c r="U145" s="474">
        <f t="shared" si="31"/>
        <v>0</v>
      </c>
      <c r="V145" s="474">
        <f t="shared" si="32"/>
        <v>0</v>
      </c>
      <c r="W145" s="475">
        <f t="shared" si="33"/>
        <v>0</v>
      </c>
      <c r="X145" s="475">
        <v>0</v>
      </c>
      <c r="Y145" s="476">
        <v>0</v>
      </c>
      <c r="Z145" s="38">
        <f t="shared" si="41"/>
        <v>0</v>
      </c>
      <c r="AA145" s="564">
        <f t="shared" si="34"/>
        <v>4412.8899999999994</v>
      </c>
      <c r="AB145" s="564">
        <f t="shared" si="35"/>
        <v>0</v>
      </c>
      <c r="AC145" s="564">
        <f t="shared" si="36"/>
        <v>0</v>
      </c>
      <c r="AD145" s="565"/>
      <c r="AE145" s="564">
        <f t="shared" si="37"/>
        <v>0</v>
      </c>
      <c r="AF145" s="564">
        <f t="shared" si="38"/>
        <v>0</v>
      </c>
      <c r="AG145" s="564">
        <f t="shared" si="39"/>
        <v>0</v>
      </c>
    </row>
    <row r="146" spans="1:33" s="232" customFormat="1">
      <c r="A146" s="283"/>
      <c r="B146" s="283" t="s">
        <v>110</v>
      </c>
      <c r="C146" s="123" t="s">
        <v>198</v>
      </c>
      <c r="D146" s="514"/>
      <c r="E146" s="529">
        <f>'Q3 DMV - Revenue'!S138</f>
        <v>0</v>
      </c>
      <c r="F146" s="342">
        <v>43.07</v>
      </c>
      <c r="G146" s="315"/>
      <c r="H146" s="315"/>
      <c r="I146" s="379">
        <f t="shared" si="43"/>
        <v>43.07</v>
      </c>
      <c r="J146" s="31"/>
      <c r="K146" s="86"/>
      <c r="L146" s="290">
        <f>F146*2</f>
        <v>86.14</v>
      </c>
      <c r="M146" s="31">
        <v>0</v>
      </c>
      <c r="N146" s="429"/>
      <c r="O146" s="31">
        <v>0</v>
      </c>
      <c r="P146" s="426">
        <f t="shared" si="42"/>
        <v>86.14</v>
      </c>
      <c r="Q146" s="14"/>
      <c r="R146" s="295"/>
      <c r="S146" s="328">
        <f t="shared" si="30"/>
        <v>-86.14</v>
      </c>
      <c r="T146" s="31"/>
      <c r="U146" s="474">
        <f t="shared" si="31"/>
        <v>86.14</v>
      </c>
      <c r="V146" s="474">
        <f t="shared" si="32"/>
        <v>0</v>
      </c>
      <c r="W146" s="475">
        <f t="shared" si="33"/>
        <v>0</v>
      </c>
      <c r="X146" s="475">
        <v>0</v>
      </c>
      <c r="Y146" s="476">
        <v>0</v>
      </c>
      <c r="Z146" s="38">
        <f t="shared" si="41"/>
        <v>0</v>
      </c>
      <c r="AA146" s="564">
        <f t="shared" si="34"/>
        <v>43.07</v>
      </c>
      <c r="AB146" s="564">
        <f t="shared" si="35"/>
        <v>0</v>
      </c>
      <c r="AC146" s="564">
        <f t="shared" si="36"/>
        <v>0</v>
      </c>
      <c r="AD146" s="565"/>
      <c r="AE146" s="564">
        <f t="shared" si="37"/>
        <v>86.14</v>
      </c>
      <c r="AF146" s="564">
        <f t="shared" si="38"/>
        <v>0</v>
      </c>
      <c r="AG146" s="564">
        <f t="shared" si="39"/>
        <v>0</v>
      </c>
    </row>
    <row r="147" spans="1:33" s="232" customFormat="1">
      <c r="A147" s="283"/>
      <c r="B147" s="283" t="s">
        <v>109</v>
      </c>
      <c r="C147" s="123" t="s">
        <v>248</v>
      </c>
      <c r="D147" s="514"/>
      <c r="E147" s="529">
        <f>'Q3 DMV - Revenue'!S139</f>
        <v>0</v>
      </c>
      <c r="F147" s="342">
        <v>47.61</v>
      </c>
      <c r="G147" s="315"/>
      <c r="H147" s="315"/>
      <c r="I147" s="379">
        <f t="shared" si="43"/>
        <v>47.61</v>
      </c>
      <c r="J147" s="31"/>
      <c r="K147" s="86"/>
      <c r="L147" s="290">
        <f>F147*2</f>
        <v>95.22</v>
      </c>
      <c r="M147" s="31"/>
      <c r="N147" s="429"/>
      <c r="O147" s="31"/>
      <c r="P147" s="426">
        <f t="shared" si="42"/>
        <v>95.22</v>
      </c>
      <c r="Q147" s="14"/>
      <c r="R147" s="295"/>
      <c r="S147" s="328">
        <f t="shared" ref="S147:S210" si="46">Q147-P147</f>
        <v>-95.22</v>
      </c>
      <c r="T147" s="31"/>
      <c r="U147" s="474">
        <f t="shared" si="31"/>
        <v>0</v>
      </c>
      <c r="V147" s="474">
        <f t="shared" si="32"/>
        <v>95.22</v>
      </c>
      <c r="W147" s="475">
        <f t="shared" si="33"/>
        <v>0</v>
      </c>
      <c r="X147" s="475">
        <v>0</v>
      </c>
      <c r="Y147" s="476">
        <v>0</v>
      </c>
      <c r="Z147" s="38">
        <f t="shared" si="41"/>
        <v>0</v>
      </c>
      <c r="AA147" s="564">
        <f t="shared" si="34"/>
        <v>0</v>
      </c>
      <c r="AB147" s="564">
        <f t="shared" si="35"/>
        <v>47.61</v>
      </c>
      <c r="AC147" s="564">
        <f t="shared" si="36"/>
        <v>0</v>
      </c>
      <c r="AD147" s="565"/>
      <c r="AE147" s="564">
        <f t="shared" si="37"/>
        <v>0</v>
      </c>
      <c r="AF147" s="564">
        <f t="shared" si="38"/>
        <v>95.22</v>
      </c>
      <c r="AG147" s="564">
        <f t="shared" si="39"/>
        <v>0</v>
      </c>
    </row>
    <row r="148" spans="1:33">
      <c r="A148" s="21"/>
      <c r="B148" s="21" t="s">
        <v>109</v>
      </c>
      <c r="C148" s="68" t="s">
        <v>31</v>
      </c>
      <c r="D148" s="449"/>
      <c r="E148" s="529">
        <f>'Q3 DMV - Revenue'!S140</f>
        <v>-6209.3099999999995</v>
      </c>
      <c r="F148" s="342">
        <v>2587.5500000000002</v>
      </c>
      <c r="G148" s="375">
        <v>1750.31</v>
      </c>
      <c r="H148" s="342">
        <v>330.09</v>
      </c>
      <c r="I148" s="379">
        <f t="shared" si="43"/>
        <v>-1541.3599999999994</v>
      </c>
      <c r="J148" s="31"/>
      <c r="K148" s="84"/>
      <c r="L148" s="42">
        <f>SUM(G148+H148)/2</f>
        <v>1040.2</v>
      </c>
      <c r="M148" s="31">
        <v>0</v>
      </c>
      <c r="N148" s="429">
        <v>10871.09</v>
      </c>
      <c r="O148" s="31">
        <v>0</v>
      </c>
      <c r="P148" s="426">
        <f t="shared" si="42"/>
        <v>1040.2</v>
      </c>
      <c r="Q148" s="178"/>
      <c r="R148" s="295"/>
      <c r="S148" s="328">
        <f t="shared" si="46"/>
        <v>-1040.2</v>
      </c>
      <c r="T148" s="31"/>
      <c r="U148" s="474">
        <f t="shared" si="31"/>
        <v>0</v>
      </c>
      <c r="V148" s="474">
        <f t="shared" si="32"/>
        <v>1040.2</v>
      </c>
      <c r="W148" s="475">
        <f t="shared" si="33"/>
        <v>0</v>
      </c>
      <c r="X148" s="475">
        <v>0</v>
      </c>
      <c r="Y148" s="476">
        <v>0</v>
      </c>
      <c r="Z148" s="38">
        <f t="shared" si="41"/>
        <v>0</v>
      </c>
      <c r="AA148" s="564">
        <f t="shared" si="34"/>
        <v>0</v>
      </c>
      <c r="AB148" s="564">
        <f t="shared" si="35"/>
        <v>-1541.3599999999994</v>
      </c>
      <c r="AC148" s="564">
        <f t="shared" si="36"/>
        <v>0</v>
      </c>
      <c r="AE148" s="564">
        <f t="shared" si="37"/>
        <v>0</v>
      </c>
      <c r="AF148" s="564">
        <f t="shared" si="38"/>
        <v>1040.2</v>
      </c>
      <c r="AG148" s="564">
        <f t="shared" si="39"/>
        <v>0</v>
      </c>
    </row>
    <row r="149" spans="1:33">
      <c r="A149" s="21"/>
      <c r="B149" s="21" t="s">
        <v>110</v>
      </c>
      <c r="C149" s="68" t="s">
        <v>261</v>
      </c>
      <c r="D149" s="449"/>
      <c r="E149" s="529">
        <f>'Q3 DMV - Revenue'!S141</f>
        <v>-489.79999999998836</v>
      </c>
      <c r="F149" s="342">
        <f>45036.12-F150</f>
        <v>30905.510000000002</v>
      </c>
      <c r="G149" s="375">
        <f>44103.99-G150</f>
        <v>32463.149999999998</v>
      </c>
      <c r="H149" s="342">
        <f>SUM(55381.66-H150)</f>
        <v>39943.600000000006</v>
      </c>
      <c r="I149" s="379">
        <f t="shared" si="43"/>
        <v>102822.46000000002</v>
      </c>
      <c r="J149" s="31"/>
      <c r="K149" s="84"/>
      <c r="L149" s="42"/>
      <c r="M149" s="31">
        <v>1</v>
      </c>
      <c r="N149" s="429">
        <v>229674.63</v>
      </c>
      <c r="O149" s="31">
        <v>1</v>
      </c>
      <c r="P149" s="426">
        <f t="shared" si="42"/>
        <v>0</v>
      </c>
      <c r="Q149" s="178"/>
      <c r="R149" s="295"/>
      <c r="S149" s="328">
        <f t="shared" si="46"/>
        <v>0</v>
      </c>
      <c r="T149" s="31"/>
      <c r="U149" s="474">
        <f t="shared" si="31"/>
        <v>0</v>
      </c>
      <c r="V149" s="474">
        <f t="shared" si="32"/>
        <v>0</v>
      </c>
      <c r="W149" s="475">
        <f t="shared" si="33"/>
        <v>0</v>
      </c>
      <c r="X149" s="475">
        <v>0</v>
      </c>
      <c r="Y149" s="476">
        <v>0</v>
      </c>
      <c r="Z149" s="38">
        <f t="shared" si="41"/>
        <v>0</v>
      </c>
      <c r="AA149" s="564">
        <f t="shared" si="34"/>
        <v>102822.46000000002</v>
      </c>
      <c r="AB149" s="564">
        <f t="shared" si="35"/>
        <v>0</v>
      </c>
      <c r="AC149" s="564">
        <f t="shared" si="36"/>
        <v>0</v>
      </c>
      <c r="AE149" s="564">
        <f t="shared" si="37"/>
        <v>0</v>
      </c>
      <c r="AF149" s="564">
        <f t="shared" si="38"/>
        <v>0</v>
      </c>
      <c r="AG149" s="564">
        <f t="shared" si="39"/>
        <v>0</v>
      </c>
    </row>
    <row r="150" spans="1:33" s="269" customFormat="1">
      <c r="A150" s="21"/>
      <c r="B150" s="21" t="s">
        <v>110</v>
      </c>
      <c r="C150" s="68" t="s">
        <v>262</v>
      </c>
      <c r="D150" s="449"/>
      <c r="E150" s="529">
        <f>'Q3 DMV - Revenue'!S142</f>
        <v>1257.9799999999996</v>
      </c>
      <c r="F150" s="342">
        <v>14130.61</v>
      </c>
      <c r="G150" s="375">
        <v>11640.84</v>
      </c>
      <c r="H150" s="342">
        <v>15438.06</v>
      </c>
      <c r="I150" s="379">
        <f t="shared" si="43"/>
        <v>42467.49</v>
      </c>
      <c r="J150" s="31"/>
      <c r="K150" s="84"/>
      <c r="L150" s="42"/>
      <c r="M150" s="31">
        <v>1</v>
      </c>
      <c r="N150" s="429"/>
      <c r="O150" s="31">
        <v>1</v>
      </c>
      <c r="P150" s="426">
        <f t="shared" si="42"/>
        <v>0</v>
      </c>
      <c r="Q150" s="178"/>
      <c r="R150" s="295"/>
      <c r="S150" s="328">
        <f t="shared" si="46"/>
        <v>0</v>
      </c>
      <c r="T150" s="31"/>
      <c r="U150" s="474">
        <f t="shared" ref="U150:U213" si="47">IF(B150="D",P150,0)</f>
        <v>0</v>
      </c>
      <c r="V150" s="474">
        <f t="shared" ref="V150:V213" si="48">IF(B150="M",P150,0)</f>
        <v>0</v>
      </c>
      <c r="W150" s="475">
        <f t="shared" ref="W150:W213" si="49">IF(B150="V",P150,0)</f>
        <v>0</v>
      </c>
      <c r="X150" s="475">
        <v>0</v>
      </c>
      <c r="Y150" s="476">
        <v>0</v>
      </c>
      <c r="Z150" s="38">
        <f t="shared" si="41"/>
        <v>0</v>
      </c>
      <c r="AA150" s="564">
        <f t="shared" ref="AA150:AA213" si="50">IF(B150="D",I150,0)</f>
        <v>42467.49</v>
      </c>
      <c r="AB150" s="564">
        <f t="shared" ref="AB150:AB213" si="51">IF(B150="M",I150,0)</f>
        <v>0</v>
      </c>
      <c r="AC150" s="564">
        <f t="shared" ref="AC150:AC213" si="52">IF(B150="V",I150,0)</f>
        <v>0</v>
      </c>
      <c r="AD150" s="566"/>
      <c r="AE150" s="564">
        <f t="shared" ref="AE150:AE213" si="53">IF(B150="D",P150,0)</f>
        <v>0</v>
      </c>
      <c r="AF150" s="564">
        <f t="shared" ref="AF150:AF213" si="54">IF(B150="M",P150,0)</f>
        <v>0</v>
      </c>
      <c r="AG150" s="564">
        <f t="shared" ref="AG150:AG213" si="55">IF(B150="V",P150,0)</f>
        <v>0</v>
      </c>
    </row>
    <row r="151" spans="1:33">
      <c r="A151" s="21"/>
      <c r="B151" s="21" t="s">
        <v>109</v>
      </c>
      <c r="C151" s="68" t="s">
        <v>190</v>
      </c>
      <c r="D151" s="449"/>
      <c r="E151" s="529">
        <f>'Q3 DMV - Revenue'!S143</f>
        <v>21.492500000000007</v>
      </c>
      <c r="F151" s="342">
        <v>186</v>
      </c>
      <c r="G151" s="375">
        <v>369.23</v>
      </c>
      <c r="H151" s="342">
        <v>381.61</v>
      </c>
      <c r="I151" s="379">
        <f t="shared" si="43"/>
        <v>958.3325000000001</v>
      </c>
      <c r="J151" s="31"/>
      <c r="K151" s="84"/>
      <c r="L151" s="42">
        <v>0</v>
      </c>
      <c r="M151" s="31">
        <v>0</v>
      </c>
      <c r="N151" s="429">
        <v>1202.26</v>
      </c>
      <c r="O151" s="31">
        <v>0</v>
      </c>
      <c r="P151" s="426">
        <f t="shared" si="42"/>
        <v>0</v>
      </c>
      <c r="Q151" s="178"/>
      <c r="R151" s="295"/>
      <c r="S151" s="328">
        <f t="shared" si="46"/>
        <v>0</v>
      </c>
      <c r="T151" s="31"/>
      <c r="U151" s="474">
        <f t="shared" si="47"/>
        <v>0</v>
      </c>
      <c r="V151" s="474">
        <f t="shared" si="48"/>
        <v>0</v>
      </c>
      <c r="W151" s="475">
        <f t="shared" si="49"/>
        <v>0</v>
      </c>
      <c r="X151" s="475">
        <v>0</v>
      </c>
      <c r="Y151" s="476">
        <v>0</v>
      </c>
      <c r="Z151" s="38">
        <f t="shared" si="41"/>
        <v>0</v>
      </c>
      <c r="AA151" s="564">
        <f t="shared" si="50"/>
        <v>0</v>
      </c>
      <c r="AB151" s="564">
        <f t="shared" si="51"/>
        <v>958.3325000000001</v>
      </c>
      <c r="AC151" s="564">
        <f t="shared" si="52"/>
        <v>0</v>
      </c>
      <c r="AE151" s="564">
        <f t="shared" si="53"/>
        <v>0</v>
      </c>
      <c r="AF151" s="564">
        <f t="shared" si="54"/>
        <v>0</v>
      </c>
      <c r="AG151" s="564">
        <f t="shared" si="55"/>
        <v>0</v>
      </c>
    </row>
    <row r="152" spans="1:33">
      <c r="A152" s="21"/>
      <c r="B152" s="21" t="s">
        <v>109</v>
      </c>
      <c r="C152" s="68" t="s">
        <v>231</v>
      </c>
      <c r="D152" s="449">
        <f>213.64+1994.54</f>
        <v>2208.1799999999998</v>
      </c>
      <c r="E152" s="529">
        <f>'Q3 DMV - Revenue'!S144</f>
        <v>-926.52</v>
      </c>
      <c r="F152" s="449">
        <f>(213.08+1281.4)/3</f>
        <v>498.16</v>
      </c>
      <c r="G152" s="449">
        <f>(213.08+1281.4)/3</f>
        <v>498.16</v>
      </c>
      <c r="H152" s="449">
        <f>(213.08+1281.4)/3</f>
        <v>498.16</v>
      </c>
      <c r="I152" s="379">
        <f t="shared" si="43"/>
        <v>2776.14</v>
      </c>
      <c r="J152" s="31"/>
      <c r="K152" s="84"/>
      <c r="L152" s="42">
        <v>0</v>
      </c>
      <c r="M152" s="31">
        <v>0</v>
      </c>
      <c r="N152" s="429">
        <v>5776.14</v>
      </c>
      <c r="O152" s="31">
        <v>0</v>
      </c>
      <c r="P152" s="426">
        <f t="shared" si="42"/>
        <v>0</v>
      </c>
      <c r="Q152" s="178"/>
      <c r="R152" s="295"/>
      <c r="S152" s="328">
        <f t="shared" si="46"/>
        <v>0</v>
      </c>
      <c r="T152" s="31"/>
      <c r="U152" s="474">
        <f t="shared" si="47"/>
        <v>0</v>
      </c>
      <c r="V152" s="474">
        <f t="shared" si="48"/>
        <v>0</v>
      </c>
      <c r="W152" s="475">
        <f t="shared" si="49"/>
        <v>0</v>
      </c>
      <c r="X152" s="475">
        <v>0</v>
      </c>
      <c r="Y152" s="476">
        <v>0</v>
      </c>
      <c r="Z152" s="38">
        <f t="shared" si="41"/>
        <v>0</v>
      </c>
      <c r="AA152" s="564">
        <f t="shared" si="50"/>
        <v>0</v>
      </c>
      <c r="AB152" s="564">
        <f t="shared" si="51"/>
        <v>2776.14</v>
      </c>
      <c r="AC152" s="564">
        <f t="shared" si="52"/>
        <v>0</v>
      </c>
      <c r="AE152" s="564">
        <f t="shared" si="53"/>
        <v>0</v>
      </c>
      <c r="AF152" s="564">
        <f t="shared" si="54"/>
        <v>0</v>
      </c>
      <c r="AG152" s="564">
        <f t="shared" si="55"/>
        <v>0</v>
      </c>
    </row>
    <row r="153" spans="1:33">
      <c r="A153" s="21"/>
      <c r="B153" s="21" t="s">
        <v>109</v>
      </c>
      <c r="C153" s="68" t="s">
        <v>396</v>
      </c>
      <c r="D153" s="449"/>
      <c r="E153" s="529">
        <f>'Q3 DMV - Revenue'!S145</f>
        <v>-41.12</v>
      </c>
      <c r="F153" s="315"/>
      <c r="G153" s="546"/>
      <c r="H153" s="315"/>
      <c r="I153" s="379">
        <f t="shared" si="43"/>
        <v>-41.12</v>
      </c>
      <c r="J153" s="31"/>
      <c r="K153" s="84"/>
      <c r="L153" s="42"/>
      <c r="M153" s="31"/>
      <c r="N153" s="429"/>
      <c r="O153" s="31"/>
      <c r="P153" s="426">
        <f t="shared" si="42"/>
        <v>0</v>
      </c>
      <c r="Q153" s="178"/>
      <c r="R153" s="295"/>
      <c r="S153" s="328">
        <f t="shared" si="46"/>
        <v>0</v>
      </c>
      <c r="T153" s="31"/>
      <c r="U153" s="474">
        <f t="shared" si="47"/>
        <v>0</v>
      </c>
      <c r="V153" s="474">
        <f t="shared" si="48"/>
        <v>0</v>
      </c>
      <c r="W153" s="475">
        <f t="shared" si="49"/>
        <v>0</v>
      </c>
      <c r="X153" s="475">
        <v>0</v>
      </c>
      <c r="Y153" s="476">
        <v>0</v>
      </c>
      <c r="Z153" s="38">
        <f t="shared" ref="Z153:Z216" si="56">(K153+L153)-(U153+V153+W153+X153+Y153)</f>
        <v>0</v>
      </c>
      <c r="AA153" s="564">
        <f t="shared" si="50"/>
        <v>0</v>
      </c>
      <c r="AB153" s="564">
        <f t="shared" si="51"/>
        <v>-41.12</v>
      </c>
      <c r="AC153" s="564">
        <f t="shared" si="52"/>
        <v>0</v>
      </c>
      <c r="AE153" s="564">
        <f t="shared" si="53"/>
        <v>0</v>
      </c>
      <c r="AF153" s="564">
        <f t="shared" si="54"/>
        <v>0</v>
      </c>
      <c r="AG153" s="564">
        <f t="shared" si="55"/>
        <v>0</v>
      </c>
    </row>
    <row r="154" spans="1:33">
      <c r="A154" s="21"/>
      <c r="B154" s="21" t="s">
        <v>110</v>
      </c>
      <c r="C154" s="68" t="s">
        <v>342</v>
      </c>
      <c r="D154" s="449"/>
      <c r="E154" s="529">
        <f>'Q3 DMV - Revenue'!S146</f>
        <v>-1935.135</v>
      </c>
      <c r="F154" s="342">
        <v>1961.8</v>
      </c>
      <c r="G154" s="375">
        <v>1825.45</v>
      </c>
      <c r="H154" s="342">
        <v>1731.02</v>
      </c>
      <c r="I154" s="379">
        <f t="shared" si="43"/>
        <v>3583.1350000000002</v>
      </c>
      <c r="J154" s="31"/>
      <c r="K154" s="84"/>
      <c r="L154" s="42"/>
      <c r="M154" s="31"/>
      <c r="N154" s="429">
        <v>7327.95</v>
      </c>
      <c r="O154" s="31"/>
      <c r="P154" s="426">
        <f t="shared" si="42"/>
        <v>0</v>
      </c>
      <c r="Q154" s="178"/>
      <c r="R154" s="295"/>
      <c r="S154" s="328">
        <f t="shared" si="46"/>
        <v>0</v>
      </c>
      <c r="T154" s="31"/>
      <c r="U154" s="474">
        <f t="shared" si="47"/>
        <v>0</v>
      </c>
      <c r="V154" s="474">
        <f t="shared" si="48"/>
        <v>0</v>
      </c>
      <c r="W154" s="475">
        <f t="shared" si="49"/>
        <v>0</v>
      </c>
      <c r="X154" s="475">
        <v>0</v>
      </c>
      <c r="Y154" s="476">
        <v>0</v>
      </c>
      <c r="Z154" s="38">
        <f t="shared" si="56"/>
        <v>0</v>
      </c>
      <c r="AA154" s="564">
        <f t="shared" si="50"/>
        <v>3583.1350000000002</v>
      </c>
      <c r="AB154" s="564">
        <f t="shared" si="51"/>
        <v>0</v>
      </c>
      <c r="AC154" s="564">
        <f t="shared" si="52"/>
        <v>0</v>
      </c>
      <c r="AE154" s="564">
        <f t="shared" si="53"/>
        <v>0</v>
      </c>
      <c r="AF154" s="564">
        <f t="shared" si="54"/>
        <v>0</v>
      </c>
      <c r="AG154" s="564">
        <f t="shared" si="55"/>
        <v>0</v>
      </c>
    </row>
    <row r="155" spans="1:33">
      <c r="A155" s="20"/>
      <c r="B155" s="20" t="s">
        <v>109</v>
      </c>
      <c r="C155" s="68" t="s">
        <v>32</v>
      </c>
      <c r="D155" s="449">
        <f>4.65+20.33</f>
        <v>24.979999999999997</v>
      </c>
      <c r="E155" s="529">
        <f>'Q3 DMV - Revenue'!S147</f>
        <v>-91.794999999999959</v>
      </c>
      <c r="F155" s="342">
        <f>2.32+95.12</f>
        <v>97.44</v>
      </c>
      <c r="G155" s="375">
        <v>495.31</v>
      </c>
      <c r="H155" s="315"/>
      <c r="I155" s="379">
        <f t="shared" si="43"/>
        <v>525.93500000000006</v>
      </c>
      <c r="J155" s="31"/>
      <c r="K155" s="84"/>
      <c r="L155" s="42">
        <f>SUM(F155+G155)/2</f>
        <v>296.375</v>
      </c>
      <c r="M155" s="31">
        <v>0</v>
      </c>
      <c r="N155" s="429">
        <v>771.4</v>
      </c>
      <c r="O155" s="31">
        <v>0</v>
      </c>
      <c r="P155" s="426">
        <f t="shared" si="42"/>
        <v>296.375</v>
      </c>
      <c r="Q155" s="178">
        <f>418.61+1832.8</f>
        <v>2251.41</v>
      </c>
      <c r="R155" s="295"/>
      <c r="S155" s="328">
        <f t="shared" si="46"/>
        <v>1955.0349999999999</v>
      </c>
      <c r="T155" s="31"/>
      <c r="U155" s="474">
        <f t="shared" si="47"/>
        <v>0</v>
      </c>
      <c r="V155" s="474">
        <f t="shared" si="48"/>
        <v>296.375</v>
      </c>
      <c r="W155" s="475">
        <f t="shared" si="49"/>
        <v>0</v>
      </c>
      <c r="X155" s="475">
        <v>0</v>
      </c>
      <c r="Y155" s="476">
        <v>0</v>
      </c>
      <c r="Z155" s="38">
        <f t="shared" si="56"/>
        <v>0</v>
      </c>
      <c r="AA155" s="564">
        <f t="shared" si="50"/>
        <v>0</v>
      </c>
      <c r="AB155" s="564">
        <f t="shared" si="51"/>
        <v>525.93500000000006</v>
      </c>
      <c r="AC155" s="564">
        <f t="shared" si="52"/>
        <v>0</v>
      </c>
      <c r="AE155" s="564">
        <f t="shared" si="53"/>
        <v>0</v>
      </c>
      <c r="AF155" s="564">
        <f t="shared" si="54"/>
        <v>296.375</v>
      </c>
      <c r="AG155" s="564">
        <f t="shared" si="55"/>
        <v>0</v>
      </c>
    </row>
    <row r="156" spans="1:33">
      <c r="A156" s="21"/>
      <c r="B156" s="21" t="s">
        <v>109</v>
      </c>
      <c r="C156" s="68" t="s">
        <v>448</v>
      </c>
      <c r="D156" s="449"/>
      <c r="E156" s="529"/>
      <c r="F156" s="342">
        <f>158.5/3</f>
        <v>52.833333333333336</v>
      </c>
      <c r="G156" s="342">
        <f>158.5/3</f>
        <v>52.833333333333336</v>
      </c>
      <c r="H156" s="342">
        <f>158.5/3</f>
        <v>52.833333333333336</v>
      </c>
      <c r="I156" s="379">
        <f t="shared" si="43"/>
        <v>158.5</v>
      </c>
      <c r="J156" s="31"/>
      <c r="K156" s="84"/>
      <c r="L156" s="42"/>
      <c r="M156" s="31"/>
      <c r="N156" s="429">
        <v>158.5</v>
      </c>
      <c r="O156" s="31"/>
      <c r="P156" s="426">
        <f t="shared" ref="P156" si="57">K156+L156</f>
        <v>0</v>
      </c>
      <c r="Q156" s="178"/>
      <c r="R156" s="295"/>
      <c r="S156" s="328">
        <f t="shared" si="46"/>
        <v>0</v>
      </c>
      <c r="T156" s="31"/>
      <c r="U156" s="474">
        <f t="shared" si="47"/>
        <v>0</v>
      </c>
      <c r="V156" s="474">
        <f t="shared" si="48"/>
        <v>0</v>
      </c>
      <c r="W156" s="475">
        <f t="shared" si="49"/>
        <v>0</v>
      </c>
      <c r="X156" s="475">
        <v>0</v>
      </c>
      <c r="Y156" s="476">
        <v>0</v>
      </c>
      <c r="Z156" s="38">
        <f t="shared" si="56"/>
        <v>0</v>
      </c>
      <c r="AA156" s="564">
        <f t="shared" si="50"/>
        <v>0</v>
      </c>
      <c r="AB156" s="564">
        <f t="shared" si="51"/>
        <v>158.5</v>
      </c>
      <c r="AC156" s="564">
        <f t="shared" si="52"/>
        <v>0</v>
      </c>
      <c r="AE156" s="564">
        <f t="shared" si="53"/>
        <v>0</v>
      </c>
      <c r="AF156" s="564">
        <f t="shared" si="54"/>
        <v>0</v>
      </c>
      <c r="AG156" s="564">
        <f t="shared" si="55"/>
        <v>0</v>
      </c>
    </row>
    <row r="157" spans="1:33">
      <c r="A157" s="21" t="s">
        <v>211</v>
      </c>
      <c r="B157" s="21" t="s">
        <v>110</v>
      </c>
      <c r="C157" s="575" t="s">
        <v>122</v>
      </c>
      <c r="D157" s="571">
        <v>11913.12</v>
      </c>
      <c r="E157" s="529">
        <f>'Q3 DMV - Revenue'!S148</f>
        <v>-8086.8799999999992</v>
      </c>
      <c r="F157" s="315"/>
      <c r="G157" s="546"/>
      <c r="H157" s="315"/>
      <c r="I157" s="379">
        <f t="shared" si="43"/>
        <v>3826.2400000000016</v>
      </c>
      <c r="J157" s="31"/>
      <c r="K157" s="84">
        <v>13000</v>
      </c>
      <c r="L157" s="42"/>
      <c r="M157" s="31">
        <v>0</v>
      </c>
      <c r="N157" s="429">
        <v>11913.12</v>
      </c>
      <c r="O157" s="31">
        <v>0</v>
      </c>
      <c r="P157" s="426">
        <f t="shared" si="42"/>
        <v>13000</v>
      </c>
      <c r="Q157" s="178">
        <f>8164.75+5226.41</f>
        <v>13391.16</v>
      </c>
      <c r="R157" s="295"/>
      <c r="S157" s="328">
        <f t="shared" si="46"/>
        <v>391.15999999999985</v>
      </c>
      <c r="T157" s="31"/>
      <c r="U157" s="474">
        <f t="shared" si="47"/>
        <v>13000</v>
      </c>
      <c r="V157" s="474">
        <f t="shared" si="48"/>
        <v>0</v>
      </c>
      <c r="W157" s="475">
        <f t="shared" si="49"/>
        <v>0</v>
      </c>
      <c r="X157" s="475">
        <v>0</v>
      </c>
      <c r="Y157" s="476">
        <v>0</v>
      </c>
      <c r="Z157" s="38">
        <f t="shared" si="56"/>
        <v>0</v>
      </c>
      <c r="AA157" s="564">
        <f t="shared" si="50"/>
        <v>3826.2400000000016</v>
      </c>
      <c r="AB157" s="564">
        <f t="shared" si="51"/>
        <v>0</v>
      </c>
      <c r="AC157" s="564">
        <f t="shared" si="52"/>
        <v>0</v>
      </c>
      <c r="AE157" s="564">
        <f t="shared" si="53"/>
        <v>13000</v>
      </c>
      <c r="AF157" s="564">
        <f t="shared" si="54"/>
        <v>0</v>
      </c>
      <c r="AG157" s="564">
        <f t="shared" si="55"/>
        <v>0</v>
      </c>
    </row>
    <row r="158" spans="1:33">
      <c r="A158" s="21"/>
      <c r="B158" s="21" t="s">
        <v>109</v>
      </c>
      <c r="C158" s="68" t="s">
        <v>33</v>
      </c>
      <c r="D158" s="449"/>
      <c r="E158" s="529">
        <f>'Q3 DMV - Revenue'!S149</f>
        <v>2162.2999999999993</v>
      </c>
      <c r="F158" s="342">
        <v>9639.4</v>
      </c>
      <c r="G158" s="375">
        <v>9237</v>
      </c>
      <c r="H158" s="315"/>
      <c r="I158" s="379">
        <f t="shared" ref="I158:I164" si="58">SUM(D158:H158)</f>
        <v>21038.699999999997</v>
      </c>
      <c r="J158" s="31"/>
      <c r="K158" s="84"/>
      <c r="L158" s="42">
        <f>SUM(F158+G158)/2</f>
        <v>9438.2000000000007</v>
      </c>
      <c r="M158" s="31">
        <v>0</v>
      </c>
      <c r="N158" s="429">
        <v>31963.599999999999</v>
      </c>
      <c r="O158" s="31">
        <v>0</v>
      </c>
      <c r="P158" s="426">
        <f t="shared" ref="P158:P225" si="59">K158+L158</f>
        <v>9438.2000000000007</v>
      </c>
      <c r="Q158" s="178">
        <v>10065.5</v>
      </c>
      <c r="R158" s="295"/>
      <c r="S158" s="328">
        <f t="shared" si="46"/>
        <v>627.29999999999927</v>
      </c>
      <c r="T158" s="31"/>
      <c r="U158" s="474">
        <f t="shared" si="47"/>
        <v>0</v>
      </c>
      <c r="V158" s="474">
        <f t="shared" si="48"/>
        <v>9438.2000000000007</v>
      </c>
      <c r="W158" s="475">
        <f t="shared" si="49"/>
        <v>0</v>
      </c>
      <c r="X158" s="475">
        <v>0</v>
      </c>
      <c r="Y158" s="476">
        <v>0</v>
      </c>
      <c r="Z158" s="38">
        <f t="shared" si="56"/>
        <v>0</v>
      </c>
      <c r="AA158" s="564">
        <f t="shared" si="50"/>
        <v>0</v>
      </c>
      <c r="AB158" s="564">
        <f t="shared" si="51"/>
        <v>21038.699999999997</v>
      </c>
      <c r="AC158" s="564">
        <f t="shared" si="52"/>
        <v>0</v>
      </c>
      <c r="AE158" s="564">
        <f t="shared" si="53"/>
        <v>0</v>
      </c>
      <c r="AF158" s="564">
        <f t="shared" si="54"/>
        <v>9438.2000000000007</v>
      </c>
      <c r="AG158" s="564">
        <f t="shared" si="55"/>
        <v>0</v>
      </c>
    </row>
    <row r="159" spans="1:33">
      <c r="A159" s="21"/>
      <c r="B159" s="21" t="s">
        <v>109</v>
      </c>
      <c r="C159" s="68" t="s">
        <v>379</v>
      </c>
      <c r="D159" s="449">
        <v>656.94</v>
      </c>
      <c r="E159" s="529">
        <f>'Q3 DMV - Revenue'!S150</f>
        <v>-85.655000000000086</v>
      </c>
      <c r="F159" s="342">
        <v>687.74</v>
      </c>
      <c r="G159" s="375">
        <v>706.33</v>
      </c>
      <c r="H159" s="342">
        <v>621.36</v>
      </c>
      <c r="I159" s="379">
        <f t="shared" si="58"/>
        <v>2586.7150000000001</v>
      </c>
      <c r="J159" s="31"/>
      <c r="K159" s="84"/>
      <c r="L159" s="42">
        <v>0</v>
      </c>
      <c r="M159" s="31">
        <v>0</v>
      </c>
      <c r="N159" s="429">
        <v>3458.78</v>
      </c>
      <c r="O159" s="31">
        <v>0</v>
      </c>
      <c r="P159" s="426">
        <f t="shared" si="59"/>
        <v>0</v>
      </c>
      <c r="Q159" s="178"/>
      <c r="R159" s="295"/>
      <c r="S159" s="328">
        <f t="shared" si="46"/>
        <v>0</v>
      </c>
      <c r="T159" s="31"/>
      <c r="U159" s="474">
        <f t="shared" si="47"/>
        <v>0</v>
      </c>
      <c r="V159" s="474">
        <f t="shared" si="48"/>
        <v>0</v>
      </c>
      <c r="W159" s="475">
        <f t="shared" si="49"/>
        <v>0</v>
      </c>
      <c r="X159" s="475">
        <v>0</v>
      </c>
      <c r="Y159" s="476">
        <v>0</v>
      </c>
      <c r="Z159" s="38">
        <f t="shared" si="56"/>
        <v>0</v>
      </c>
      <c r="AA159" s="564">
        <f t="shared" si="50"/>
        <v>0</v>
      </c>
      <c r="AB159" s="564">
        <f t="shared" si="51"/>
        <v>2586.7150000000001</v>
      </c>
      <c r="AC159" s="564">
        <f t="shared" si="52"/>
        <v>0</v>
      </c>
      <c r="AE159" s="564">
        <f t="shared" si="53"/>
        <v>0</v>
      </c>
      <c r="AF159" s="564">
        <f t="shared" si="54"/>
        <v>0</v>
      </c>
      <c r="AG159" s="564">
        <f t="shared" si="55"/>
        <v>0</v>
      </c>
    </row>
    <row r="160" spans="1:33" s="232" customFormat="1">
      <c r="A160" s="283"/>
      <c r="B160" s="283" t="s">
        <v>110</v>
      </c>
      <c r="C160" s="455" t="s">
        <v>322</v>
      </c>
      <c r="D160" s="569">
        <v>145846.32999999999</v>
      </c>
      <c r="E160" s="529">
        <f>'Q3 DMV - Revenue'!S151</f>
        <v>-146060.33000000002</v>
      </c>
      <c r="F160" s="342">
        <f>12088.5+431.71+1573.05+1970.93+27017.58+6473.99</f>
        <v>49555.76</v>
      </c>
      <c r="G160" s="375">
        <f>10816.6+441.36+1247.88+2951.25+23296.7+5300.85</f>
        <v>44054.64</v>
      </c>
      <c r="H160" s="342">
        <f>14733.1+486.53+1739.51+4010.77+21046.99+5094.36</f>
        <v>47111.26</v>
      </c>
      <c r="I160" s="379">
        <f t="shared" si="58"/>
        <v>140507.65999999997</v>
      </c>
      <c r="J160" s="31"/>
      <c r="K160" s="86"/>
      <c r="L160" s="42"/>
      <c r="M160" s="31">
        <v>0</v>
      </c>
      <c r="N160" s="429">
        <f>542912.8</f>
        <v>542912.80000000005</v>
      </c>
      <c r="O160" s="31">
        <v>0</v>
      </c>
      <c r="P160" s="426">
        <f t="shared" si="59"/>
        <v>0</v>
      </c>
      <c r="Q160" s="14"/>
      <c r="R160" s="295"/>
      <c r="S160" s="328">
        <f t="shared" si="46"/>
        <v>0</v>
      </c>
      <c r="T160" s="31"/>
      <c r="U160" s="474">
        <f t="shared" si="47"/>
        <v>0</v>
      </c>
      <c r="V160" s="474">
        <f t="shared" si="48"/>
        <v>0</v>
      </c>
      <c r="W160" s="475">
        <f t="shared" si="49"/>
        <v>0</v>
      </c>
      <c r="X160" s="475">
        <v>0</v>
      </c>
      <c r="Y160" s="476">
        <v>0</v>
      </c>
      <c r="Z160" s="38">
        <f t="shared" si="56"/>
        <v>0</v>
      </c>
      <c r="AA160" s="564">
        <f t="shared" si="50"/>
        <v>140507.65999999997</v>
      </c>
      <c r="AB160" s="564">
        <f t="shared" si="51"/>
        <v>0</v>
      </c>
      <c r="AC160" s="564">
        <f t="shared" si="52"/>
        <v>0</v>
      </c>
      <c r="AD160" s="565"/>
      <c r="AE160" s="564">
        <f t="shared" si="53"/>
        <v>0</v>
      </c>
      <c r="AF160" s="564">
        <f t="shared" si="54"/>
        <v>0</v>
      </c>
      <c r="AG160" s="564">
        <f t="shared" si="55"/>
        <v>0</v>
      </c>
    </row>
    <row r="161" spans="1:33" s="232" customFormat="1">
      <c r="A161" s="283"/>
      <c r="B161" s="283" t="s">
        <v>110</v>
      </c>
      <c r="C161" s="455" t="s">
        <v>323</v>
      </c>
      <c r="D161" s="514"/>
      <c r="E161" s="529">
        <f>'Q3 DMV - Revenue'!S152</f>
        <v>0</v>
      </c>
      <c r="F161" s="342">
        <f>17372.75+1742.83+1834.5+12031.78+9452.81+2077.51</f>
        <v>44512.18</v>
      </c>
      <c r="G161" s="375">
        <f>16348.15+1912.66+1829.38+12843+8306.08+1889.93</f>
        <v>43129.200000000004</v>
      </c>
      <c r="H161" s="342">
        <f>16778.43+2237.48+2453.88+13066.38+8052.75+2457.76</f>
        <v>45046.68</v>
      </c>
      <c r="I161" s="379">
        <f t="shared" si="58"/>
        <v>132688.06</v>
      </c>
      <c r="J161" s="31"/>
      <c r="K161" s="86"/>
      <c r="L161" s="42"/>
      <c r="M161" s="31">
        <v>0</v>
      </c>
      <c r="N161" s="429"/>
      <c r="O161" s="31">
        <v>0</v>
      </c>
      <c r="P161" s="426">
        <f t="shared" si="59"/>
        <v>0</v>
      </c>
      <c r="Q161" s="14"/>
      <c r="R161" s="295"/>
      <c r="S161" s="328">
        <f t="shared" si="46"/>
        <v>0</v>
      </c>
      <c r="T161" s="31"/>
      <c r="U161" s="474">
        <f t="shared" si="47"/>
        <v>0</v>
      </c>
      <c r="V161" s="474">
        <f t="shared" si="48"/>
        <v>0</v>
      </c>
      <c r="W161" s="475">
        <f t="shared" si="49"/>
        <v>0</v>
      </c>
      <c r="X161" s="475">
        <v>0</v>
      </c>
      <c r="Y161" s="476">
        <v>0</v>
      </c>
      <c r="Z161" s="38">
        <f t="shared" si="56"/>
        <v>0</v>
      </c>
      <c r="AA161" s="564">
        <f t="shared" si="50"/>
        <v>132688.06</v>
      </c>
      <c r="AB161" s="564">
        <f t="shared" si="51"/>
        <v>0</v>
      </c>
      <c r="AC161" s="564">
        <f t="shared" si="52"/>
        <v>0</v>
      </c>
      <c r="AD161" s="565"/>
      <c r="AE161" s="564">
        <f t="shared" si="53"/>
        <v>0</v>
      </c>
      <c r="AF161" s="564">
        <f t="shared" si="54"/>
        <v>0</v>
      </c>
      <c r="AG161" s="564">
        <f t="shared" si="55"/>
        <v>0</v>
      </c>
    </row>
    <row r="162" spans="1:33" s="232" customFormat="1">
      <c r="A162" s="283"/>
      <c r="B162" s="283" t="s">
        <v>109</v>
      </c>
      <c r="C162" s="455" t="s">
        <v>423</v>
      </c>
      <c r="D162" s="514"/>
      <c r="E162" s="529">
        <f>'Q3 DMV - Revenue'!S153</f>
        <v>0</v>
      </c>
      <c r="F162" s="342">
        <v>7279.1</v>
      </c>
      <c r="G162" s="375">
        <v>7119.1</v>
      </c>
      <c r="H162" s="342">
        <v>6661.4</v>
      </c>
      <c r="I162" s="379">
        <f t="shared" si="58"/>
        <v>21059.599999999999</v>
      </c>
      <c r="J162" s="31"/>
      <c r="K162" s="86"/>
      <c r="L162" s="290"/>
      <c r="M162" s="31"/>
      <c r="N162" s="429"/>
      <c r="O162" s="31">
        <v>0</v>
      </c>
      <c r="P162" s="426">
        <f t="shared" si="59"/>
        <v>0</v>
      </c>
      <c r="Q162" s="14"/>
      <c r="R162" s="295"/>
      <c r="S162" s="328">
        <f t="shared" si="46"/>
        <v>0</v>
      </c>
      <c r="T162" s="31"/>
      <c r="U162" s="474">
        <f t="shared" si="47"/>
        <v>0</v>
      </c>
      <c r="V162" s="474">
        <f t="shared" si="48"/>
        <v>0</v>
      </c>
      <c r="W162" s="475">
        <f t="shared" si="49"/>
        <v>0</v>
      </c>
      <c r="X162" s="475">
        <v>0</v>
      </c>
      <c r="Y162" s="476">
        <v>0</v>
      </c>
      <c r="Z162" s="38">
        <f t="shared" si="56"/>
        <v>0</v>
      </c>
      <c r="AA162" s="564">
        <f t="shared" si="50"/>
        <v>0</v>
      </c>
      <c r="AB162" s="564">
        <f t="shared" si="51"/>
        <v>21059.599999999999</v>
      </c>
      <c r="AC162" s="564">
        <f t="shared" si="52"/>
        <v>0</v>
      </c>
      <c r="AD162" s="565"/>
      <c r="AE162" s="564">
        <f t="shared" si="53"/>
        <v>0</v>
      </c>
      <c r="AF162" s="564">
        <f t="shared" si="54"/>
        <v>0</v>
      </c>
      <c r="AG162" s="564">
        <f t="shared" si="55"/>
        <v>0</v>
      </c>
    </row>
    <row r="163" spans="1:33" s="232" customFormat="1">
      <c r="A163" s="283"/>
      <c r="B163" s="283" t="s">
        <v>110</v>
      </c>
      <c r="C163" s="455" t="s">
        <v>324</v>
      </c>
      <c r="D163" s="514"/>
      <c r="E163" s="529">
        <f>'Q3 DMV - Revenue'!S154</f>
        <v>0</v>
      </c>
      <c r="F163" s="342">
        <f>280.31+94+203.54</f>
        <v>577.85</v>
      </c>
      <c r="G163" s="375">
        <f>126.91+92+163.21</f>
        <v>382.12</v>
      </c>
      <c r="H163" s="342">
        <f>165+67+160.6</f>
        <v>392.6</v>
      </c>
      <c r="I163" s="379">
        <f t="shared" si="58"/>
        <v>1352.5700000000002</v>
      </c>
      <c r="J163" s="31"/>
      <c r="K163" s="86"/>
      <c r="L163" s="42"/>
      <c r="M163" s="31">
        <v>0</v>
      </c>
      <c r="N163" s="429"/>
      <c r="O163" s="31">
        <v>0</v>
      </c>
      <c r="P163" s="426">
        <f t="shared" si="59"/>
        <v>0</v>
      </c>
      <c r="Q163" s="14"/>
      <c r="R163" s="295"/>
      <c r="S163" s="328">
        <f t="shared" si="46"/>
        <v>0</v>
      </c>
      <c r="T163" s="31"/>
      <c r="U163" s="474">
        <f t="shared" si="47"/>
        <v>0</v>
      </c>
      <c r="V163" s="474">
        <f t="shared" si="48"/>
        <v>0</v>
      </c>
      <c r="W163" s="475">
        <f t="shared" si="49"/>
        <v>0</v>
      </c>
      <c r="X163" s="475">
        <v>0</v>
      </c>
      <c r="Y163" s="476">
        <v>0</v>
      </c>
      <c r="Z163" s="38">
        <f t="shared" si="56"/>
        <v>0</v>
      </c>
      <c r="AA163" s="564">
        <f t="shared" si="50"/>
        <v>1352.5700000000002</v>
      </c>
      <c r="AB163" s="564">
        <f t="shared" si="51"/>
        <v>0</v>
      </c>
      <c r="AC163" s="564">
        <f t="shared" si="52"/>
        <v>0</v>
      </c>
      <c r="AD163" s="565"/>
      <c r="AE163" s="564">
        <f t="shared" si="53"/>
        <v>0</v>
      </c>
      <c r="AF163" s="564">
        <f t="shared" si="54"/>
        <v>0</v>
      </c>
      <c r="AG163" s="564">
        <f t="shared" si="55"/>
        <v>0</v>
      </c>
    </row>
    <row r="164" spans="1:33" s="232" customFormat="1">
      <c r="A164" s="283"/>
      <c r="B164" s="283" t="s">
        <v>110</v>
      </c>
      <c r="C164" s="455" t="s">
        <v>325</v>
      </c>
      <c r="D164" s="514"/>
      <c r="E164" s="529">
        <f>'Q3 DMV - Revenue'!S155</f>
        <v>1350.03</v>
      </c>
      <c r="F164" s="342">
        <f>512.94+160.8</f>
        <v>673.74</v>
      </c>
      <c r="G164" s="375">
        <f>425.21+123.37</f>
        <v>548.57999999999993</v>
      </c>
      <c r="H164" s="342">
        <f>407.04+108.55</f>
        <v>515.59</v>
      </c>
      <c r="I164" s="379">
        <f t="shared" si="58"/>
        <v>3087.94</v>
      </c>
      <c r="J164" s="31"/>
      <c r="K164" s="86"/>
      <c r="L164" s="290"/>
      <c r="M164" s="31">
        <v>0</v>
      </c>
      <c r="N164" s="429"/>
      <c r="O164" s="31">
        <v>0</v>
      </c>
      <c r="P164" s="426">
        <f t="shared" si="59"/>
        <v>0</v>
      </c>
      <c r="Q164" s="14"/>
      <c r="R164" s="295"/>
      <c r="S164" s="328">
        <f t="shared" si="46"/>
        <v>0</v>
      </c>
      <c r="T164" s="31"/>
      <c r="U164" s="474">
        <f t="shared" si="47"/>
        <v>0</v>
      </c>
      <c r="V164" s="474">
        <f t="shared" si="48"/>
        <v>0</v>
      </c>
      <c r="W164" s="475">
        <f t="shared" si="49"/>
        <v>0</v>
      </c>
      <c r="X164" s="475">
        <v>0</v>
      </c>
      <c r="Y164" s="476">
        <v>0</v>
      </c>
      <c r="Z164" s="38">
        <f t="shared" si="56"/>
        <v>0</v>
      </c>
      <c r="AA164" s="564">
        <f t="shared" si="50"/>
        <v>3087.94</v>
      </c>
      <c r="AB164" s="564">
        <f t="shared" si="51"/>
        <v>0</v>
      </c>
      <c r="AC164" s="564">
        <f t="shared" si="52"/>
        <v>0</v>
      </c>
      <c r="AD164" s="565"/>
      <c r="AE164" s="564">
        <f t="shared" si="53"/>
        <v>0</v>
      </c>
      <c r="AF164" s="564">
        <f t="shared" si="54"/>
        <v>0</v>
      </c>
      <c r="AG164" s="564">
        <f t="shared" si="55"/>
        <v>0</v>
      </c>
    </row>
    <row r="165" spans="1:33" s="232" customFormat="1">
      <c r="A165" s="283"/>
      <c r="B165" s="283" t="s">
        <v>109</v>
      </c>
      <c r="C165" s="455" t="s">
        <v>63</v>
      </c>
      <c r="D165" s="541"/>
      <c r="E165" s="380" t="str">
        <f>'Q2 DMV - Revenue'!T146</f>
        <v/>
      </c>
      <c r="F165" s="523"/>
      <c r="G165" s="548"/>
      <c r="H165" s="553"/>
      <c r="I165" s="553">
        <f t="shared" ref="I165:I172" si="60">SUM(D165:H165)</f>
        <v>0</v>
      </c>
      <c r="J165" s="31"/>
      <c r="K165" s="553"/>
      <c r="L165" s="553"/>
      <c r="M165" s="31">
        <v>0</v>
      </c>
      <c r="N165" s="553"/>
      <c r="O165" s="31">
        <v>0</v>
      </c>
      <c r="P165" s="426">
        <f t="shared" si="59"/>
        <v>0</v>
      </c>
      <c r="Q165" s="14"/>
      <c r="R165" s="295"/>
      <c r="S165" s="328">
        <f t="shared" si="46"/>
        <v>0</v>
      </c>
      <c r="T165" s="31"/>
      <c r="U165" s="474">
        <f t="shared" si="47"/>
        <v>0</v>
      </c>
      <c r="V165" s="474">
        <f t="shared" si="48"/>
        <v>0</v>
      </c>
      <c r="W165" s="475">
        <f t="shared" si="49"/>
        <v>0</v>
      </c>
      <c r="X165" s="475">
        <v>0</v>
      </c>
      <c r="Y165" s="476">
        <v>0</v>
      </c>
      <c r="Z165" s="38">
        <f t="shared" si="56"/>
        <v>0</v>
      </c>
      <c r="AA165" s="564">
        <f t="shared" si="50"/>
        <v>0</v>
      </c>
      <c r="AB165" s="564">
        <f t="shared" si="51"/>
        <v>0</v>
      </c>
      <c r="AC165" s="564">
        <f t="shared" si="52"/>
        <v>0</v>
      </c>
      <c r="AD165" s="565"/>
      <c r="AE165" s="564">
        <f t="shared" si="53"/>
        <v>0</v>
      </c>
      <c r="AF165" s="564">
        <f t="shared" si="54"/>
        <v>0</v>
      </c>
      <c r="AG165" s="564">
        <f t="shared" si="55"/>
        <v>0</v>
      </c>
    </row>
    <row r="166" spans="1:33" s="232" customFormat="1">
      <c r="A166" s="283"/>
      <c r="B166" s="283" t="s">
        <v>109</v>
      </c>
      <c r="C166" s="455" t="s">
        <v>326</v>
      </c>
      <c r="D166" s="541"/>
      <c r="E166" s="380" t="str">
        <f>'Q2 DMV - Revenue'!T147</f>
        <v/>
      </c>
      <c r="F166" s="513"/>
      <c r="G166" s="549"/>
      <c r="H166" s="509"/>
      <c r="I166" s="553">
        <f t="shared" si="60"/>
        <v>0</v>
      </c>
      <c r="J166" s="31"/>
      <c r="K166" s="553"/>
      <c r="L166" s="553"/>
      <c r="M166" s="31">
        <v>0</v>
      </c>
      <c r="N166" s="553"/>
      <c r="O166" s="31">
        <v>0</v>
      </c>
      <c r="P166" s="426">
        <f t="shared" si="59"/>
        <v>0</v>
      </c>
      <c r="Q166" s="14"/>
      <c r="R166" s="295"/>
      <c r="S166" s="328">
        <f t="shared" si="46"/>
        <v>0</v>
      </c>
      <c r="T166" s="31"/>
      <c r="U166" s="474">
        <f t="shared" si="47"/>
        <v>0</v>
      </c>
      <c r="V166" s="474">
        <f t="shared" si="48"/>
        <v>0</v>
      </c>
      <c r="W166" s="475">
        <f t="shared" si="49"/>
        <v>0</v>
      </c>
      <c r="X166" s="475">
        <v>0</v>
      </c>
      <c r="Y166" s="476">
        <v>0</v>
      </c>
      <c r="Z166" s="38">
        <f t="shared" si="56"/>
        <v>0</v>
      </c>
      <c r="AA166" s="564">
        <f t="shared" si="50"/>
        <v>0</v>
      </c>
      <c r="AB166" s="564">
        <f t="shared" si="51"/>
        <v>0</v>
      </c>
      <c r="AC166" s="564">
        <f t="shared" si="52"/>
        <v>0</v>
      </c>
      <c r="AD166" s="565"/>
      <c r="AE166" s="564">
        <f t="shared" si="53"/>
        <v>0</v>
      </c>
      <c r="AF166" s="564">
        <f t="shared" si="54"/>
        <v>0</v>
      </c>
      <c r="AG166" s="564">
        <f t="shared" si="55"/>
        <v>0</v>
      </c>
    </row>
    <row r="167" spans="1:33" s="232" customFormat="1">
      <c r="A167" s="283" t="s">
        <v>109</v>
      </c>
      <c r="B167" s="283" t="s">
        <v>109</v>
      </c>
      <c r="C167" s="456" t="s">
        <v>281</v>
      </c>
      <c r="D167" s="541"/>
      <c r="E167" s="380" t="str">
        <f>'Q2 DMV - Revenue'!T148</f>
        <v/>
      </c>
      <c r="F167" s="513"/>
      <c r="G167" s="549"/>
      <c r="H167" s="509"/>
      <c r="I167" s="553">
        <f t="shared" si="60"/>
        <v>0</v>
      </c>
      <c r="J167" s="31"/>
      <c r="K167" s="553"/>
      <c r="L167" s="553"/>
      <c r="M167" s="31">
        <v>0</v>
      </c>
      <c r="N167" s="553"/>
      <c r="O167" s="31">
        <v>0</v>
      </c>
      <c r="P167" s="426">
        <f t="shared" si="59"/>
        <v>0</v>
      </c>
      <c r="Q167" s="14"/>
      <c r="R167" s="295"/>
      <c r="S167" s="328">
        <f t="shared" si="46"/>
        <v>0</v>
      </c>
      <c r="T167" s="31"/>
      <c r="U167" s="474">
        <f t="shared" si="47"/>
        <v>0</v>
      </c>
      <c r="V167" s="474">
        <f t="shared" si="48"/>
        <v>0</v>
      </c>
      <c r="W167" s="475">
        <f t="shared" si="49"/>
        <v>0</v>
      </c>
      <c r="X167" s="475">
        <v>0</v>
      </c>
      <c r="Y167" s="476">
        <v>0</v>
      </c>
      <c r="Z167" s="38">
        <f t="shared" si="56"/>
        <v>0</v>
      </c>
      <c r="AA167" s="564">
        <f t="shared" si="50"/>
        <v>0</v>
      </c>
      <c r="AB167" s="564">
        <f t="shared" si="51"/>
        <v>0</v>
      </c>
      <c r="AC167" s="564">
        <f t="shared" si="52"/>
        <v>0</v>
      </c>
      <c r="AD167" s="565"/>
      <c r="AE167" s="564">
        <f t="shared" si="53"/>
        <v>0</v>
      </c>
      <c r="AF167" s="564">
        <f t="shared" si="54"/>
        <v>0</v>
      </c>
      <c r="AG167" s="564">
        <f t="shared" si="55"/>
        <v>0</v>
      </c>
    </row>
    <row r="168" spans="1:33" s="232" customFormat="1">
      <c r="A168" s="283"/>
      <c r="B168" s="283" t="s">
        <v>114</v>
      </c>
      <c r="C168" s="500" t="s">
        <v>408</v>
      </c>
      <c r="D168" s="542"/>
      <c r="E168" s="529">
        <f>'Q3 DMV - Revenue'!S159</f>
        <v>-47500.84</v>
      </c>
      <c r="F168" s="342">
        <v>11750</v>
      </c>
      <c r="G168" s="546"/>
      <c r="H168" s="554">
        <v>11000</v>
      </c>
      <c r="I168" s="379">
        <f t="shared" ref="I168:I170" si="61">SUM(D168:H168)</f>
        <v>-24750.839999999997</v>
      </c>
      <c r="J168" s="31"/>
      <c r="K168" s="337"/>
      <c r="L168" s="42">
        <v>5000</v>
      </c>
      <c r="M168" s="31">
        <v>0</v>
      </c>
      <c r="N168" s="429">
        <v>19750</v>
      </c>
      <c r="O168" s="31"/>
      <c r="P168" s="426">
        <f>K168+L168</f>
        <v>5000</v>
      </c>
      <c r="Q168" s="14"/>
      <c r="R168" s="295"/>
      <c r="S168" s="328">
        <f t="shared" si="46"/>
        <v>-5000</v>
      </c>
      <c r="T168" s="31"/>
      <c r="U168" s="474">
        <f t="shared" si="47"/>
        <v>0</v>
      </c>
      <c r="V168" s="474">
        <f t="shared" si="48"/>
        <v>0</v>
      </c>
      <c r="W168" s="475">
        <f t="shared" si="49"/>
        <v>5000</v>
      </c>
      <c r="X168" s="475">
        <v>0</v>
      </c>
      <c r="Y168" s="476">
        <v>0</v>
      </c>
      <c r="Z168" s="38">
        <f t="shared" si="56"/>
        <v>0</v>
      </c>
      <c r="AA168" s="564">
        <f t="shared" si="50"/>
        <v>0</v>
      </c>
      <c r="AB168" s="564">
        <f t="shared" si="51"/>
        <v>0</v>
      </c>
      <c r="AC168" s="564">
        <f t="shared" si="52"/>
        <v>-24750.839999999997</v>
      </c>
      <c r="AD168" s="565"/>
      <c r="AE168" s="564">
        <f t="shared" si="53"/>
        <v>0</v>
      </c>
      <c r="AF168" s="564">
        <f t="shared" si="54"/>
        <v>0</v>
      </c>
      <c r="AG168" s="564">
        <f t="shared" si="55"/>
        <v>5000</v>
      </c>
    </row>
    <row r="169" spans="1:33" s="232" customFormat="1">
      <c r="A169" s="283"/>
      <c r="B169" s="283" t="s">
        <v>114</v>
      </c>
      <c r="C169" s="567" t="s">
        <v>445</v>
      </c>
      <c r="D169" s="542"/>
      <c r="E169" s="529"/>
      <c r="F169" s="342">
        <v>3.24</v>
      </c>
      <c r="G169" s="375">
        <v>50.96</v>
      </c>
      <c r="H169" s="554">
        <v>114.92</v>
      </c>
      <c r="I169" s="379">
        <f t="shared" si="61"/>
        <v>169.12</v>
      </c>
      <c r="J169" s="31"/>
      <c r="K169" s="337"/>
      <c r="L169" s="42"/>
      <c r="M169" s="31">
        <v>0</v>
      </c>
      <c r="N169" s="429">
        <v>180.55</v>
      </c>
      <c r="O169" s="31"/>
      <c r="P169" s="426">
        <f>K169+L169</f>
        <v>0</v>
      </c>
      <c r="Q169" s="14"/>
      <c r="R169" s="295"/>
      <c r="S169" s="328">
        <f t="shared" si="46"/>
        <v>0</v>
      </c>
      <c r="T169" s="31"/>
      <c r="U169" s="474">
        <f t="shared" si="47"/>
        <v>0</v>
      </c>
      <c r="V169" s="474">
        <f t="shared" si="48"/>
        <v>0</v>
      </c>
      <c r="W169" s="475">
        <f t="shared" si="49"/>
        <v>0</v>
      </c>
      <c r="X169" s="475">
        <v>0</v>
      </c>
      <c r="Y169" s="476">
        <v>0</v>
      </c>
      <c r="Z169" s="38">
        <f t="shared" si="56"/>
        <v>0</v>
      </c>
      <c r="AA169" s="564">
        <f t="shared" si="50"/>
        <v>0</v>
      </c>
      <c r="AB169" s="564">
        <f t="shared" si="51"/>
        <v>0</v>
      </c>
      <c r="AC169" s="564">
        <f t="shared" si="52"/>
        <v>169.12</v>
      </c>
      <c r="AD169" s="565"/>
      <c r="AE169" s="564">
        <f t="shared" si="53"/>
        <v>0</v>
      </c>
      <c r="AF169" s="564">
        <f t="shared" si="54"/>
        <v>0</v>
      </c>
      <c r="AG169" s="564">
        <f t="shared" si="55"/>
        <v>0</v>
      </c>
    </row>
    <row r="170" spans="1:33" s="232" customFormat="1">
      <c r="A170" s="403"/>
      <c r="B170" s="403" t="s">
        <v>109</v>
      </c>
      <c r="C170" s="123" t="s">
        <v>327</v>
      </c>
      <c r="D170" s="514"/>
      <c r="E170" s="569">
        <f>'Q3 DMV - Revenue'!S160</f>
        <v>49098.154999999999</v>
      </c>
      <c r="F170" s="342">
        <v>98653.22</v>
      </c>
      <c r="G170" s="375">
        <v>124755.14</v>
      </c>
      <c r="H170" s="315"/>
      <c r="I170" s="379">
        <f t="shared" si="61"/>
        <v>272506.51500000001</v>
      </c>
      <c r="J170" s="31"/>
      <c r="K170" s="86"/>
      <c r="L170" s="42">
        <f>SUM(F170+G170)/2</f>
        <v>111704.18</v>
      </c>
      <c r="M170" s="31">
        <v>0</v>
      </c>
      <c r="N170" s="429">
        <v>319144.44</v>
      </c>
      <c r="O170" s="31">
        <v>0</v>
      </c>
      <c r="P170" s="426">
        <f t="shared" si="59"/>
        <v>111704.18</v>
      </c>
      <c r="Q170" s="14">
        <v>128114.68</v>
      </c>
      <c r="R170" s="295"/>
      <c r="S170" s="328">
        <f t="shared" si="46"/>
        <v>16410.5</v>
      </c>
      <c r="T170" s="31"/>
      <c r="U170" s="474">
        <f t="shared" si="47"/>
        <v>0</v>
      </c>
      <c r="V170" s="474">
        <f t="shared" si="48"/>
        <v>111704.18</v>
      </c>
      <c r="W170" s="475">
        <f t="shared" si="49"/>
        <v>0</v>
      </c>
      <c r="X170" s="475">
        <v>0</v>
      </c>
      <c r="Y170" s="476">
        <v>0</v>
      </c>
      <c r="Z170" s="38">
        <f t="shared" si="56"/>
        <v>0</v>
      </c>
      <c r="AA170" s="564">
        <f t="shared" si="50"/>
        <v>0</v>
      </c>
      <c r="AB170" s="564">
        <f t="shared" si="51"/>
        <v>272506.51500000001</v>
      </c>
      <c r="AC170" s="564">
        <f t="shared" si="52"/>
        <v>0</v>
      </c>
      <c r="AD170" s="565"/>
      <c r="AE170" s="564">
        <f t="shared" si="53"/>
        <v>0</v>
      </c>
      <c r="AF170" s="564">
        <f t="shared" si="54"/>
        <v>111704.18</v>
      </c>
      <c r="AG170" s="564">
        <f t="shared" si="55"/>
        <v>0</v>
      </c>
    </row>
    <row r="171" spans="1:33" s="232" customFormat="1">
      <c r="A171" s="403"/>
      <c r="B171" s="403" t="s">
        <v>109</v>
      </c>
      <c r="C171" s="123" t="s">
        <v>328</v>
      </c>
      <c r="D171" s="541"/>
      <c r="E171" s="541">
        <f>'Q3 DMV - Revenue'!S161</f>
        <v>-991.125</v>
      </c>
      <c r="F171" s="541"/>
      <c r="G171" s="541"/>
      <c r="H171" s="541"/>
      <c r="I171" s="541">
        <f t="shared" si="60"/>
        <v>-991.125</v>
      </c>
      <c r="J171" s="541"/>
      <c r="K171" s="541"/>
      <c r="L171" s="541"/>
      <c r="M171" s="31">
        <v>0</v>
      </c>
      <c r="N171" s="541"/>
      <c r="O171" s="31">
        <v>0</v>
      </c>
      <c r="P171" s="426">
        <f t="shared" si="59"/>
        <v>0</v>
      </c>
      <c r="Q171" s="14"/>
      <c r="R171" s="295"/>
      <c r="S171" s="328">
        <f t="shared" si="46"/>
        <v>0</v>
      </c>
      <c r="T171" s="31"/>
      <c r="U171" s="474">
        <f t="shared" si="47"/>
        <v>0</v>
      </c>
      <c r="V171" s="474">
        <f t="shared" si="48"/>
        <v>0</v>
      </c>
      <c r="W171" s="475">
        <f t="shared" si="49"/>
        <v>0</v>
      </c>
      <c r="X171" s="475">
        <v>0</v>
      </c>
      <c r="Y171" s="476">
        <v>0</v>
      </c>
      <c r="Z171" s="38">
        <f t="shared" si="56"/>
        <v>0</v>
      </c>
      <c r="AA171" s="564">
        <f t="shared" si="50"/>
        <v>0</v>
      </c>
      <c r="AB171" s="564">
        <f t="shared" si="51"/>
        <v>-991.125</v>
      </c>
      <c r="AC171" s="564">
        <f t="shared" si="52"/>
        <v>0</v>
      </c>
      <c r="AD171" s="565"/>
      <c r="AE171" s="564">
        <f t="shared" si="53"/>
        <v>0</v>
      </c>
      <c r="AF171" s="564">
        <f t="shared" si="54"/>
        <v>0</v>
      </c>
      <c r="AG171" s="564">
        <f t="shared" si="55"/>
        <v>0</v>
      </c>
    </row>
    <row r="172" spans="1:33" s="232" customFormat="1">
      <c r="A172" s="403"/>
      <c r="B172" s="403" t="s">
        <v>109</v>
      </c>
      <c r="C172" s="123" t="s">
        <v>329</v>
      </c>
      <c r="D172" s="541"/>
      <c r="E172" s="541">
        <f>'Q3 DMV - Revenue'!S162</f>
        <v>-341.44</v>
      </c>
      <c r="F172" s="541"/>
      <c r="G172" s="541"/>
      <c r="H172" s="541"/>
      <c r="I172" s="541">
        <f t="shared" si="60"/>
        <v>-341.44</v>
      </c>
      <c r="J172" s="541"/>
      <c r="K172" s="541"/>
      <c r="L172" s="541"/>
      <c r="M172" s="31">
        <v>0</v>
      </c>
      <c r="N172" s="541"/>
      <c r="O172" s="31">
        <v>0</v>
      </c>
      <c r="P172" s="426">
        <f t="shared" si="59"/>
        <v>0</v>
      </c>
      <c r="Q172" s="14"/>
      <c r="R172" s="295"/>
      <c r="S172" s="328">
        <f t="shared" si="46"/>
        <v>0</v>
      </c>
      <c r="T172" s="31"/>
      <c r="U172" s="474">
        <f t="shared" si="47"/>
        <v>0</v>
      </c>
      <c r="V172" s="474">
        <f t="shared" si="48"/>
        <v>0</v>
      </c>
      <c r="W172" s="475">
        <f t="shared" si="49"/>
        <v>0</v>
      </c>
      <c r="X172" s="475">
        <v>0</v>
      </c>
      <c r="Y172" s="476">
        <v>0</v>
      </c>
      <c r="Z172" s="38">
        <f t="shared" si="56"/>
        <v>0</v>
      </c>
      <c r="AA172" s="564">
        <f t="shared" si="50"/>
        <v>0</v>
      </c>
      <c r="AB172" s="564">
        <f t="shared" si="51"/>
        <v>-341.44</v>
      </c>
      <c r="AC172" s="564">
        <f t="shared" si="52"/>
        <v>0</v>
      </c>
      <c r="AD172" s="565"/>
      <c r="AE172" s="564">
        <f t="shared" si="53"/>
        <v>0</v>
      </c>
      <c r="AF172" s="564">
        <f t="shared" si="54"/>
        <v>0</v>
      </c>
      <c r="AG172" s="564">
        <f t="shared" si="55"/>
        <v>0</v>
      </c>
    </row>
    <row r="173" spans="1:33">
      <c r="A173" s="21" t="s">
        <v>212</v>
      </c>
      <c r="B173" s="21" t="s">
        <v>110</v>
      </c>
      <c r="C173" s="68" t="s">
        <v>35</v>
      </c>
      <c r="D173" s="449"/>
      <c r="E173" s="529">
        <f>'Q3 DMV - Revenue'!S163</f>
        <v>0</v>
      </c>
      <c r="F173" s="315"/>
      <c r="G173" s="546"/>
      <c r="H173" s="315"/>
      <c r="I173" s="379">
        <f t="shared" ref="I173:I236" si="62">SUM(D173:H173)</f>
        <v>0</v>
      </c>
      <c r="J173" s="31"/>
      <c r="K173" s="84"/>
      <c r="L173" s="42"/>
      <c r="M173" s="31">
        <v>0</v>
      </c>
      <c r="N173" s="429"/>
      <c r="O173" s="31">
        <v>0</v>
      </c>
      <c r="P173" s="426">
        <f t="shared" si="59"/>
        <v>0</v>
      </c>
      <c r="Q173" s="178"/>
      <c r="R173" s="295"/>
      <c r="S173" s="328">
        <f t="shared" si="46"/>
        <v>0</v>
      </c>
      <c r="T173" s="31"/>
      <c r="U173" s="474">
        <f t="shared" si="47"/>
        <v>0</v>
      </c>
      <c r="V173" s="474">
        <f t="shared" si="48"/>
        <v>0</v>
      </c>
      <c r="W173" s="475">
        <f t="shared" si="49"/>
        <v>0</v>
      </c>
      <c r="X173" s="475">
        <v>0</v>
      </c>
      <c r="Y173" s="476">
        <v>0</v>
      </c>
      <c r="Z173" s="38">
        <f t="shared" si="56"/>
        <v>0</v>
      </c>
      <c r="AA173" s="564">
        <f t="shared" si="50"/>
        <v>0</v>
      </c>
      <c r="AB173" s="564">
        <f t="shared" si="51"/>
        <v>0</v>
      </c>
      <c r="AC173" s="564">
        <f t="shared" si="52"/>
        <v>0</v>
      </c>
      <c r="AE173" s="564">
        <f t="shared" si="53"/>
        <v>0</v>
      </c>
      <c r="AF173" s="564">
        <f t="shared" si="54"/>
        <v>0</v>
      </c>
      <c r="AG173" s="564">
        <f t="shared" si="55"/>
        <v>0</v>
      </c>
    </row>
    <row r="174" spans="1:33">
      <c r="A174" s="21" t="s">
        <v>212</v>
      </c>
      <c r="B174" s="21" t="s">
        <v>110</v>
      </c>
      <c r="C174" s="68" t="s">
        <v>232</v>
      </c>
      <c r="D174" s="449"/>
      <c r="E174" s="529">
        <f>'Q3 DMV - Revenue'!S164</f>
        <v>4261.2800000000007</v>
      </c>
      <c r="F174" s="315"/>
      <c r="G174" s="546"/>
      <c r="H174" s="315"/>
      <c r="I174" s="379">
        <f t="shared" si="62"/>
        <v>4261.2800000000007</v>
      </c>
      <c r="J174" s="31"/>
      <c r="K174" s="84"/>
      <c r="L174" s="42">
        <v>9000</v>
      </c>
      <c r="M174" s="31">
        <v>0</v>
      </c>
      <c r="N174" s="429">
        <v>9261.2800000000007</v>
      </c>
      <c r="O174" s="31">
        <v>0</v>
      </c>
      <c r="P174" s="426">
        <f t="shared" si="59"/>
        <v>9000</v>
      </c>
      <c r="Q174" s="178"/>
      <c r="R174" s="295"/>
      <c r="S174" s="328">
        <f t="shared" si="46"/>
        <v>-9000</v>
      </c>
      <c r="T174" s="31"/>
      <c r="U174" s="474">
        <f t="shared" si="47"/>
        <v>9000</v>
      </c>
      <c r="V174" s="474">
        <f t="shared" si="48"/>
        <v>0</v>
      </c>
      <c r="W174" s="475">
        <f t="shared" si="49"/>
        <v>0</v>
      </c>
      <c r="X174" s="475">
        <v>0</v>
      </c>
      <c r="Y174" s="476">
        <v>0</v>
      </c>
      <c r="Z174" s="38">
        <f t="shared" si="56"/>
        <v>0</v>
      </c>
      <c r="AA174" s="564">
        <f t="shared" si="50"/>
        <v>4261.2800000000007</v>
      </c>
      <c r="AB174" s="564">
        <f t="shared" si="51"/>
        <v>0</v>
      </c>
      <c r="AC174" s="564">
        <f t="shared" si="52"/>
        <v>0</v>
      </c>
      <c r="AE174" s="564">
        <f t="shared" si="53"/>
        <v>9000</v>
      </c>
      <c r="AF174" s="564">
        <f t="shared" si="54"/>
        <v>0</v>
      </c>
      <c r="AG174" s="564">
        <f t="shared" si="55"/>
        <v>0</v>
      </c>
    </row>
    <row r="175" spans="1:33">
      <c r="A175" s="21" t="s">
        <v>212</v>
      </c>
      <c r="B175" s="21" t="s">
        <v>110</v>
      </c>
      <c r="C175" s="68" t="s">
        <v>238</v>
      </c>
      <c r="D175" s="449"/>
      <c r="E175" s="529">
        <f>'Q3 DMV - Revenue'!S165</f>
        <v>2398.64</v>
      </c>
      <c r="F175" s="315"/>
      <c r="G175" s="546"/>
      <c r="H175" s="315"/>
      <c r="I175" s="379">
        <f t="shared" si="62"/>
        <v>2398.64</v>
      </c>
      <c r="J175" s="31"/>
      <c r="K175" s="84"/>
      <c r="L175" s="42">
        <v>3000</v>
      </c>
      <c r="M175" s="31">
        <v>0</v>
      </c>
      <c r="N175" s="429">
        <v>2898.64</v>
      </c>
      <c r="O175" s="31">
        <v>0</v>
      </c>
      <c r="P175" s="426">
        <f t="shared" si="59"/>
        <v>3000</v>
      </c>
      <c r="Q175" s="178"/>
      <c r="R175" s="295"/>
      <c r="S175" s="328">
        <f t="shared" si="46"/>
        <v>-3000</v>
      </c>
      <c r="T175" s="31"/>
      <c r="U175" s="474">
        <f t="shared" si="47"/>
        <v>3000</v>
      </c>
      <c r="V175" s="474">
        <f t="shared" si="48"/>
        <v>0</v>
      </c>
      <c r="W175" s="475">
        <f t="shared" si="49"/>
        <v>0</v>
      </c>
      <c r="X175" s="475">
        <v>0</v>
      </c>
      <c r="Y175" s="476">
        <v>0</v>
      </c>
      <c r="Z175" s="38">
        <f t="shared" si="56"/>
        <v>0</v>
      </c>
      <c r="AA175" s="564">
        <f t="shared" si="50"/>
        <v>2398.64</v>
      </c>
      <c r="AB175" s="564">
        <f t="shared" si="51"/>
        <v>0</v>
      </c>
      <c r="AC175" s="564">
        <f t="shared" si="52"/>
        <v>0</v>
      </c>
      <c r="AE175" s="564">
        <f t="shared" si="53"/>
        <v>3000</v>
      </c>
      <c r="AF175" s="564">
        <f t="shared" si="54"/>
        <v>0</v>
      </c>
      <c r="AG175" s="564">
        <f t="shared" si="55"/>
        <v>0</v>
      </c>
    </row>
    <row r="176" spans="1:33">
      <c r="A176" s="21"/>
      <c r="B176" s="21" t="s">
        <v>110</v>
      </c>
      <c r="C176" s="68" t="s">
        <v>68</v>
      </c>
      <c r="D176" s="449"/>
      <c r="E176" s="529">
        <f>'Q3 DMV - Revenue'!S166</f>
        <v>0</v>
      </c>
      <c r="F176" s="315"/>
      <c r="G176" s="546"/>
      <c r="H176" s="315"/>
      <c r="I176" s="379">
        <f t="shared" si="62"/>
        <v>0</v>
      </c>
      <c r="J176" s="31"/>
      <c r="K176" s="84"/>
      <c r="L176" s="42"/>
      <c r="M176" s="31">
        <v>0</v>
      </c>
      <c r="N176" s="429"/>
      <c r="O176" s="31">
        <v>0</v>
      </c>
      <c r="P176" s="426">
        <f t="shared" si="59"/>
        <v>0</v>
      </c>
      <c r="Q176" s="178"/>
      <c r="R176" s="295"/>
      <c r="S176" s="328">
        <f t="shared" si="46"/>
        <v>0</v>
      </c>
      <c r="T176" s="31"/>
      <c r="U176" s="474">
        <f t="shared" si="47"/>
        <v>0</v>
      </c>
      <c r="V176" s="474">
        <f t="shared" si="48"/>
        <v>0</v>
      </c>
      <c r="W176" s="475">
        <f t="shared" si="49"/>
        <v>0</v>
      </c>
      <c r="X176" s="475">
        <v>0</v>
      </c>
      <c r="Y176" s="476">
        <v>0</v>
      </c>
      <c r="Z176" s="38">
        <f t="shared" si="56"/>
        <v>0</v>
      </c>
      <c r="AA176" s="564">
        <f t="shared" si="50"/>
        <v>0</v>
      </c>
      <c r="AB176" s="564">
        <f t="shared" si="51"/>
        <v>0</v>
      </c>
      <c r="AC176" s="564">
        <f t="shared" si="52"/>
        <v>0</v>
      </c>
      <c r="AE176" s="564">
        <f t="shared" si="53"/>
        <v>0</v>
      </c>
      <c r="AF176" s="564">
        <f t="shared" si="54"/>
        <v>0</v>
      </c>
      <c r="AG176" s="564">
        <f t="shared" si="55"/>
        <v>0</v>
      </c>
    </row>
    <row r="177" spans="1:33">
      <c r="A177" s="21"/>
      <c r="B177" s="21" t="s">
        <v>110</v>
      </c>
      <c r="C177" s="68" t="s">
        <v>384</v>
      </c>
      <c r="D177" s="449"/>
      <c r="E177" s="529">
        <f>'Q3 DMV - Revenue'!S167</f>
        <v>0</v>
      </c>
      <c r="F177" s="315"/>
      <c r="G177" s="546"/>
      <c r="H177" s="315"/>
      <c r="I177" s="379">
        <f t="shared" si="62"/>
        <v>0</v>
      </c>
      <c r="J177" s="31"/>
      <c r="K177" s="84"/>
      <c r="L177" s="42"/>
      <c r="M177" s="31">
        <v>0</v>
      </c>
      <c r="N177" s="429"/>
      <c r="O177" s="31">
        <v>0</v>
      </c>
      <c r="P177" s="426">
        <f t="shared" si="59"/>
        <v>0</v>
      </c>
      <c r="Q177" s="178"/>
      <c r="R177" s="295"/>
      <c r="S177" s="328">
        <f t="shared" si="46"/>
        <v>0</v>
      </c>
      <c r="T177" s="31"/>
      <c r="U177" s="474">
        <f t="shared" si="47"/>
        <v>0</v>
      </c>
      <c r="V177" s="474">
        <f t="shared" si="48"/>
        <v>0</v>
      </c>
      <c r="W177" s="475">
        <f t="shared" si="49"/>
        <v>0</v>
      </c>
      <c r="X177" s="475">
        <v>0</v>
      </c>
      <c r="Y177" s="476">
        <v>0</v>
      </c>
      <c r="Z177" s="38">
        <f t="shared" si="56"/>
        <v>0</v>
      </c>
      <c r="AA177" s="564">
        <f t="shared" si="50"/>
        <v>0</v>
      </c>
      <c r="AB177" s="564">
        <f t="shared" si="51"/>
        <v>0</v>
      </c>
      <c r="AC177" s="564">
        <f t="shared" si="52"/>
        <v>0</v>
      </c>
      <c r="AE177" s="564">
        <f t="shared" si="53"/>
        <v>0</v>
      </c>
      <c r="AF177" s="564">
        <f t="shared" si="54"/>
        <v>0</v>
      </c>
      <c r="AG177" s="564">
        <f t="shared" si="55"/>
        <v>0</v>
      </c>
    </row>
    <row r="178" spans="1:33">
      <c r="A178" s="21"/>
      <c r="B178" s="21" t="s">
        <v>109</v>
      </c>
      <c r="C178" s="68" t="s">
        <v>306</v>
      </c>
      <c r="D178" s="449"/>
      <c r="E178" s="529">
        <f>'Q3 DMV - Revenue'!S168</f>
        <v>2526.7849999999999</v>
      </c>
      <c r="F178" s="342">
        <f>49.09+269+453.45+6158.98+962.37</f>
        <v>7892.8899999999994</v>
      </c>
      <c r="G178" s="342">
        <f>4396.9+32.03+856.5+889.69</f>
        <v>6175.119999999999</v>
      </c>
      <c r="H178" s="342">
        <f>839.21+293.26+327.89+981.21+4462.35</f>
        <v>6903.92</v>
      </c>
      <c r="I178" s="379">
        <f t="shared" si="62"/>
        <v>23498.714999999997</v>
      </c>
      <c r="J178" s="31"/>
      <c r="K178" s="84"/>
      <c r="L178" s="42"/>
      <c r="M178" s="31"/>
      <c r="N178" s="429">
        <v>46759.89</v>
      </c>
      <c r="O178" s="31"/>
      <c r="P178" s="426">
        <f t="shared" si="59"/>
        <v>0</v>
      </c>
      <c r="Q178" s="178">
        <v>196.65</v>
      </c>
      <c r="R178" s="295"/>
      <c r="S178" s="328">
        <f t="shared" si="46"/>
        <v>196.65</v>
      </c>
      <c r="T178" s="31"/>
      <c r="U178" s="474">
        <f t="shared" si="47"/>
        <v>0</v>
      </c>
      <c r="V178" s="474">
        <f t="shared" si="48"/>
        <v>0</v>
      </c>
      <c r="W178" s="475">
        <f t="shared" si="49"/>
        <v>0</v>
      </c>
      <c r="X178" s="475">
        <v>0</v>
      </c>
      <c r="Y178" s="476">
        <v>0</v>
      </c>
      <c r="Z178" s="38">
        <f t="shared" si="56"/>
        <v>0</v>
      </c>
      <c r="AA178" s="564">
        <f t="shared" si="50"/>
        <v>0</v>
      </c>
      <c r="AB178" s="564">
        <f t="shared" si="51"/>
        <v>23498.714999999997</v>
      </c>
      <c r="AC178" s="564">
        <f t="shared" si="52"/>
        <v>0</v>
      </c>
      <c r="AE178" s="564">
        <f t="shared" si="53"/>
        <v>0</v>
      </c>
      <c r="AF178" s="564">
        <f t="shared" si="54"/>
        <v>0</v>
      </c>
      <c r="AG178" s="564">
        <f t="shared" si="55"/>
        <v>0</v>
      </c>
    </row>
    <row r="179" spans="1:33">
      <c r="A179" s="21"/>
      <c r="B179" s="21" t="s">
        <v>109</v>
      </c>
      <c r="C179" s="68" t="s">
        <v>307</v>
      </c>
      <c r="D179" s="449">
        <f>830.39+193.5-76.87+1410.21-652.27</f>
        <v>1704.96</v>
      </c>
      <c r="E179" s="529">
        <f>'Q3 DMV - Revenue'!S169</f>
        <v>540.77000000000044</v>
      </c>
      <c r="F179" s="342">
        <f>882.63+172.66+617.73</f>
        <v>1673.02</v>
      </c>
      <c r="G179" s="375">
        <f>847.14+548.28+1155.92+889.69</f>
        <v>3441.03</v>
      </c>
      <c r="H179" s="342">
        <f>741.25+455.57+1122.37+839.21</f>
        <v>3158.3999999999996</v>
      </c>
      <c r="I179" s="379">
        <f t="shared" si="62"/>
        <v>10518.18</v>
      </c>
      <c r="J179" s="31"/>
      <c r="K179" s="84"/>
      <c r="L179" s="42"/>
      <c r="M179" s="31"/>
      <c r="N179" s="429"/>
      <c r="O179" s="31"/>
      <c r="P179" s="426">
        <f t="shared" si="59"/>
        <v>0</v>
      </c>
      <c r="Q179" s="178"/>
      <c r="R179" s="295"/>
      <c r="S179" s="328">
        <f t="shared" si="46"/>
        <v>0</v>
      </c>
      <c r="T179" s="31"/>
      <c r="U179" s="474">
        <f t="shared" si="47"/>
        <v>0</v>
      </c>
      <c r="V179" s="474">
        <f t="shared" si="48"/>
        <v>0</v>
      </c>
      <c r="W179" s="475">
        <f t="shared" si="49"/>
        <v>0</v>
      </c>
      <c r="X179" s="475">
        <v>0</v>
      </c>
      <c r="Y179" s="476">
        <v>0</v>
      </c>
      <c r="Z179" s="38">
        <f t="shared" si="56"/>
        <v>0</v>
      </c>
      <c r="AA179" s="564">
        <f t="shared" si="50"/>
        <v>0</v>
      </c>
      <c r="AB179" s="564">
        <f t="shared" si="51"/>
        <v>10518.18</v>
      </c>
      <c r="AC179" s="564">
        <f t="shared" si="52"/>
        <v>0</v>
      </c>
      <c r="AE179" s="564">
        <f t="shared" si="53"/>
        <v>0</v>
      </c>
      <c r="AF179" s="564">
        <f t="shared" si="54"/>
        <v>0</v>
      </c>
      <c r="AG179" s="564">
        <f t="shared" si="55"/>
        <v>0</v>
      </c>
    </row>
    <row r="180" spans="1:33" s="232" customFormat="1">
      <c r="A180" s="403"/>
      <c r="B180" s="403" t="s">
        <v>109</v>
      </c>
      <c r="C180" s="123" t="s">
        <v>220</v>
      </c>
      <c r="D180" s="570">
        <f>4978.04+4562.81+3777.11</f>
        <v>13317.960000000001</v>
      </c>
      <c r="E180" s="529">
        <f>'Q3 DMV - Revenue'!S170</f>
        <v>3682.31</v>
      </c>
      <c r="F180" s="342">
        <v>1107.72</v>
      </c>
      <c r="G180" s="546"/>
      <c r="H180" s="315"/>
      <c r="I180" s="379">
        <f t="shared" si="62"/>
        <v>18107.990000000002</v>
      </c>
      <c r="J180" s="31"/>
      <c r="K180" s="86"/>
      <c r="L180" s="290"/>
      <c r="M180" s="31">
        <v>0</v>
      </c>
      <c r="N180" s="429">
        <v>4790.03</v>
      </c>
      <c r="O180" s="31">
        <v>0</v>
      </c>
      <c r="P180" s="426">
        <f t="shared" si="59"/>
        <v>0</v>
      </c>
      <c r="Q180" s="14">
        <f>455.12+404.61+87.1+974.42+1000.07</f>
        <v>2921.32</v>
      </c>
      <c r="R180" s="295"/>
      <c r="S180" s="328">
        <f t="shared" si="46"/>
        <v>2921.32</v>
      </c>
      <c r="T180" s="31"/>
      <c r="U180" s="474">
        <f t="shared" si="47"/>
        <v>0</v>
      </c>
      <c r="V180" s="474">
        <f t="shared" si="48"/>
        <v>0</v>
      </c>
      <c r="W180" s="475">
        <f t="shared" si="49"/>
        <v>0</v>
      </c>
      <c r="X180" s="475">
        <v>0</v>
      </c>
      <c r="Y180" s="476">
        <v>0</v>
      </c>
      <c r="Z180" s="38">
        <f t="shared" si="56"/>
        <v>0</v>
      </c>
      <c r="AA180" s="564">
        <f t="shared" si="50"/>
        <v>0</v>
      </c>
      <c r="AB180" s="564">
        <f t="shared" si="51"/>
        <v>18107.990000000002</v>
      </c>
      <c r="AC180" s="564">
        <f t="shared" si="52"/>
        <v>0</v>
      </c>
      <c r="AD180" s="565"/>
      <c r="AE180" s="564">
        <f t="shared" si="53"/>
        <v>0</v>
      </c>
      <c r="AF180" s="564">
        <f t="shared" si="54"/>
        <v>0</v>
      </c>
      <c r="AG180" s="564">
        <f t="shared" si="55"/>
        <v>0</v>
      </c>
    </row>
    <row r="181" spans="1:33">
      <c r="A181" s="21"/>
      <c r="B181" s="21" t="s">
        <v>109</v>
      </c>
      <c r="C181" s="68" t="s">
        <v>38</v>
      </c>
      <c r="D181" s="449"/>
      <c r="E181" s="529">
        <f>'Q3 DMV - Revenue'!S171</f>
        <v>0</v>
      </c>
      <c r="F181" s="315"/>
      <c r="G181" s="546"/>
      <c r="H181" s="315"/>
      <c r="I181" s="379">
        <f t="shared" si="62"/>
        <v>0</v>
      </c>
      <c r="J181" s="31"/>
      <c r="K181" s="84"/>
      <c r="L181" s="42"/>
      <c r="M181" s="31">
        <v>0</v>
      </c>
      <c r="N181" s="429"/>
      <c r="O181" s="31">
        <v>0</v>
      </c>
      <c r="P181" s="426">
        <f t="shared" si="59"/>
        <v>0</v>
      </c>
      <c r="Q181" s="178"/>
      <c r="R181" s="295"/>
      <c r="S181" s="328">
        <f t="shared" si="46"/>
        <v>0</v>
      </c>
      <c r="T181" s="31"/>
      <c r="U181" s="474">
        <f t="shared" si="47"/>
        <v>0</v>
      </c>
      <c r="V181" s="474">
        <f t="shared" si="48"/>
        <v>0</v>
      </c>
      <c r="W181" s="475">
        <f t="shared" si="49"/>
        <v>0</v>
      </c>
      <c r="X181" s="475">
        <v>0</v>
      </c>
      <c r="Y181" s="476">
        <v>0</v>
      </c>
      <c r="Z181" s="38">
        <f t="shared" si="56"/>
        <v>0</v>
      </c>
      <c r="AA181" s="564">
        <f t="shared" si="50"/>
        <v>0</v>
      </c>
      <c r="AB181" s="564">
        <f t="shared" si="51"/>
        <v>0</v>
      </c>
      <c r="AC181" s="564">
        <f t="shared" si="52"/>
        <v>0</v>
      </c>
      <c r="AE181" s="564">
        <f t="shared" si="53"/>
        <v>0</v>
      </c>
      <c r="AF181" s="564">
        <f t="shared" si="54"/>
        <v>0</v>
      </c>
      <c r="AG181" s="564">
        <f t="shared" si="55"/>
        <v>0</v>
      </c>
    </row>
    <row r="182" spans="1:33">
      <c r="A182" s="21"/>
      <c r="B182" s="21" t="s">
        <v>110</v>
      </c>
      <c r="C182" s="68" t="s">
        <v>185</v>
      </c>
      <c r="D182" s="449"/>
      <c r="E182" s="529">
        <f>'Q3 DMV - Revenue'!S172</f>
        <v>-60.199999999999989</v>
      </c>
      <c r="F182" s="342">
        <v>324.10000000000002</v>
      </c>
      <c r="G182" s="375">
        <v>338.8</v>
      </c>
      <c r="H182" s="342">
        <v>422.1</v>
      </c>
      <c r="I182" s="379">
        <f t="shared" si="62"/>
        <v>1024.8000000000002</v>
      </c>
      <c r="J182" s="31"/>
      <c r="K182" s="84"/>
      <c r="L182" s="42"/>
      <c r="M182" s="31">
        <v>0</v>
      </c>
      <c r="N182" s="429">
        <v>7442.9</v>
      </c>
      <c r="O182" s="31">
        <v>0</v>
      </c>
      <c r="P182" s="426">
        <f t="shared" si="59"/>
        <v>0</v>
      </c>
      <c r="Q182" s="178"/>
      <c r="R182" s="295"/>
      <c r="S182" s="328">
        <f t="shared" si="46"/>
        <v>0</v>
      </c>
      <c r="T182" s="31"/>
      <c r="U182" s="474">
        <f t="shared" si="47"/>
        <v>0</v>
      </c>
      <c r="V182" s="474">
        <f t="shared" si="48"/>
        <v>0</v>
      </c>
      <c r="W182" s="475">
        <f t="shared" si="49"/>
        <v>0</v>
      </c>
      <c r="X182" s="475">
        <v>0</v>
      </c>
      <c r="Y182" s="476">
        <v>0</v>
      </c>
      <c r="Z182" s="38">
        <f t="shared" si="56"/>
        <v>0</v>
      </c>
      <c r="AA182" s="564">
        <f t="shared" si="50"/>
        <v>1024.8000000000002</v>
      </c>
      <c r="AB182" s="564">
        <f t="shared" si="51"/>
        <v>0</v>
      </c>
      <c r="AC182" s="564">
        <f t="shared" si="52"/>
        <v>0</v>
      </c>
      <c r="AE182" s="564">
        <f t="shared" si="53"/>
        <v>0</v>
      </c>
      <c r="AF182" s="564">
        <f t="shared" si="54"/>
        <v>0</v>
      </c>
      <c r="AG182" s="564">
        <f t="shared" si="55"/>
        <v>0</v>
      </c>
    </row>
    <row r="183" spans="1:33">
      <c r="A183" s="21"/>
      <c r="B183" s="21" t="s">
        <v>110</v>
      </c>
      <c r="C183" s="68" t="s">
        <v>186</v>
      </c>
      <c r="D183" s="449"/>
      <c r="E183" s="529">
        <f>'Q3 DMV - Revenue'!S173</f>
        <v>967.65</v>
      </c>
      <c r="F183" s="342">
        <v>349.97</v>
      </c>
      <c r="G183" s="375">
        <v>307.3</v>
      </c>
      <c r="H183" s="342">
        <v>446.75</v>
      </c>
      <c r="I183" s="379">
        <f t="shared" si="62"/>
        <v>2071.67</v>
      </c>
      <c r="J183" s="31"/>
      <c r="K183" s="84"/>
      <c r="L183" s="42"/>
      <c r="M183" s="31">
        <v>0</v>
      </c>
      <c r="N183" s="429"/>
      <c r="O183" s="31">
        <v>0</v>
      </c>
      <c r="P183" s="426">
        <f t="shared" si="59"/>
        <v>0</v>
      </c>
      <c r="Q183" s="178"/>
      <c r="R183" s="295"/>
      <c r="S183" s="328">
        <f t="shared" si="46"/>
        <v>0</v>
      </c>
      <c r="T183" s="31"/>
      <c r="U183" s="474">
        <f t="shared" si="47"/>
        <v>0</v>
      </c>
      <c r="V183" s="474">
        <f t="shared" si="48"/>
        <v>0</v>
      </c>
      <c r="W183" s="475">
        <f t="shared" si="49"/>
        <v>0</v>
      </c>
      <c r="X183" s="475">
        <v>0</v>
      </c>
      <c r="Y183" s="476">
        <v>0</v>
      </c>
      <c r="Z183" s="38">
        <f t="shared" si="56"/>
        <v>0</v>
      </c>
      <c r="AA183" s="564">
        <f t="shared" si="50"/>
        <v>2071.67</v>
      </c>
      <c r="AB183" s="564">
        <f t="shared" si="51"/>
        <v>0</v>
      </c>
      <c r="AC183" s="564">
        <f t="shared" si="52"/>
        <v>0</v>
      </c>
      <c r="AE183" s="564">
        <f t="shared" si="53"/>
        <v>0</v>
      </c>
      <c r="AF183" s="564">
        <f t="shared" si="54"/>
        <v>0</v>
      </c>
      <c r="AG183" s="564">
        <f t="shared" si="55"/>
        <v>0</v>
      </c>
    </row>
    <row r="184" spans="1:33">
      <c r="A184" s="21"/>
      <c r="B184" s="21" t="s">
        <v>110</v>
      </c>
      <c r="C184" s="68" t="s">
        <v>449</v>
      </c>
      <c r="D184" s="449">
        <v>2557.5700000000002</v>
      </c>
      <c r="E184" s="529">
        <f>'Q3 DMV - Revenue'!S174</f>
        <v>0</v>
      </c>
      <c r="F184" s="342">
        <v>393.91</v>
      </c>
      <c r="G184" s="375">
        <v>314.14999999999998</v>
      </c>
      <c r="H184" s="342">
        <v>325.05</v>
      </c>
      <c r="I184" s="379">
        <f t="shared" si="62"/>
        <v>3590.6800000000003</v>
      </c>
      <c r="J184" s="31"/>
      <c r="K184" s="84"/>
      <c r="L184" s="42"/>
      <c r="M184" s="31">
        <v>0</v>
      </c>
      <c r="N184" s="429"/>
      <c r="O184" s="31">
        <v>0</v>
      </c>
      <c r="P184" s="426">
        <f t="shared" ref="P184" si="63">K184+L184</f>
        <v>0</v>
      </c>
      <c r="Q184" s="178"/>
      <c r="R184" s="295"/>
      <c r="S184" s="328">
        <f t="shared" si="46"/>
        <v>0</v>
      </c>
      <c r="T184" s="31"/>
      <c r="U184" s="474">
        <f t="shared" si="47"/>
        <v>0</v>
      </c>
      <c r="V184" s="474">
        <f t="shared" si="48"/>
        <v>0</v>
      </c>
      <c r="W184" s="475">
        <f t="shared" si="49"/>
        <v>0</v>
      </c>
      <c r="X184" s="475">
        <v>0</v>
      </c>
      <c r="Y184" s="476">
        <v>0</v>
      </c>
      <c r="Z184" s="38">
        <f t="shared" si="56"/>
        <v>0</v>
      </c>
      <c r="AA184" s="564">
        <f t="shared" si="50"/>
        <v>3590.6800000000003</v>
      </c>
      <c r="AB184" s="564">
        <f t="shared" si="51"/>
        <v>0</v>
      </c>
      <c r="AC184" s="564">
        <f t="shared" si="52"/>
        <v>0</v>
      </c>
      <c r="AE184" s="564">
        <f t="shared" si="53"/>
        <v>0</v>
      </c>
      <c r="AF184" s="564">
        <f t="shared" si="54"/>
        <v>0</v>
      </c>
      <c r="AG184" s="564">
        <f t="shared" si="55"/>
        <v>0</v>
      </c>
    </row>
    <row r="185" spans="1:33">
      <c r="A185" s="21"/>
      <c r="B185" s="21" t="s">
        <v>110</v>
      </c>
      <c r="C185" s="68" t="s">
        <v>39</v>
      </c>
      <c r="D185" s="449"/>
      <c r="E185" s="529">
        <f>'Q3 DMV - Revenue'!S174</f>
        <v>0</v>
      </c>
      <c r="F185" s="342">
        <v>1067.53</v>
      </c>
      <c r="G185" s="375">
        <v>1099.1300000000001</v>
      </c>
      <c r="H185" s="342">
        <v>856.82</v>
      </c>
      <c r="I185" s="379">
        <f t="shared" si="62"/>
        <v>3023.48</v>
      </c>
      <c r="J185" s="31"/>
      <c r="K185" s="84"/>
      <c r="L185" s="42"/>
      <c r="M185" s="31">
        <v>0</v>
      </c>
      <c r="N185" s="429">
        <v>3023.48</v>
      </c>
      <c r="O185" s="31">
        <v>0</v>
      </c>
      <c r="P185" s="426">
        <f t="shared" si="59"/>
        <v>0</v>
      </c>
      <c r="Q185" s="178">
        <f>53.47+77.16+99.19</f>
        <v>229.82</v>
      </c>
      <c r="R185" s="295"/>
      <c r="S185" s="328">
        <f t="shared" si="46"/>
        <v>229.82</v>
      </c>
      <c r="T185" s="31"/>
      <c r="U185" s="474">
        <f t="shared" si="47"/>
        <v>0</v>
      </c>
      <c r="V185" s="474">
        <f t="shared" si="48"/>
        <v>0</v>
      </c>
      <c r="W185" s="475">
        <f t="shared" si="49"/>
        <v>0</v>
      </c>
      <c r="X185" s="475">
        <v>0</v>
      </c>
      <c r="Y185" s="476">
        <v>0</v>
      </c>
      <c r="Z185" s="38">
        <f t="shared" si="56"/>
        <v>0</v>
      </c>
      <c r="AA185" s="564">
        <f t="shared" si="50"/>
        <v>3023.48</v>
      </c>
      <c r="AB185" s="564">
        <f t="shared" si="51"/>
        <v>0</v>
      </c>
      <c r="AC185" s="564">
        <f t="shared" si="52"/>
        <v>0</v>
      </c>
      <c r="AE185" s="564">
        <f t="shared" si="53"/>
        <v>0</v>
      </c>
      <c r="AF185" s="564">
        <f t="shared" si="54"/>
        <v>0</v>
      </c>
      <c r="AG185" s="564">
        <f t="shared" si="55"/>
        <v>0</v>
      </c>
    </row>
    <row r="186" spans="1:33">
      <c r="A186" s="21"/>
      <c r="B186" s="21" t="s">
        <v>109</v>
      </c>
      <c r="C186" s="68" t="s">
        <v>435</v>
      </c>
      <c r="D186" s="449">
        <f>58.8+558.52</f>
        <v>617.31999999999994</v>
      </c>
      <c r="E186" s="529">
        <f>'Q3 DMV - Revenue'!S175</f>
        <v>5149.7000000000007</v>
      </c>
      <c r="F186" s="342">
        <f>1899.55+95</f>
        <v>1994.55</v>
      </c>
      <c r="G186" s="375">
        <f>1846.06+128.75</f>
        <v>1974.81</v>
      </c>
      <c r="H186" s="342">
        <f>172.35+2295.52</f>
        <v>2467.87</v>
      </c>
      <c r="I186" s="379">
        <f t="shared" si="62"/>
        <v>12204.25</v>
      </c>
      <c r="J186" s="31"/>
      <c r="K186" s="84"/>
      <c r="L186" s="42"/>
      <c r="M186" s="31">
        <v>0</v>
      </c>
      <c r="N186" s="429">
        <v>12204.25</v>
      </c>
      <c r="O186" s="31">
        <v>0</v>
      </c>
      <c r="P186" s="426">
        <f t="shared" si="59"/>
        <v>0</v>
      </c>
      <c r="Q186" s="178"/>
      <c r="R186" s="295"/>
      <c r="S186" s="328">
        <f t="shared" si="46"/>
        <v>0</v>
      </c>
      <c r="T186" s="31"/>
      <c r="U186" s="474">
        <f t="shared" si="47"/>
        <v>0</v>
      </c>
      <c r="V186" s="474">
        <f t="shared" si="48"/>
        <v>0</v>
      </c>
      <c r="W186" s="475">
        <f t="shared" si="49"/>
        <v>0</v>
      </c>
      <c r="X186" s="475">
        <v>0</v>
      </c>
      <c r="Y186" s="476">
        <v>0</v>
      </c>
      <c r="Z186" s="38">
        <f t="shared" si="56"/>
        <v>0</v>
      </c>
      <c r="AA186" s="564">
        <f t="shared" si="50"/>
        <v>0</v>
      </c>
      <c r="AB186" s="564">
        <f t="shared" si="51"/>
        <v>12204.25</v>
      </c>
      <c r="AC186" s="564">
        <f t="shared" si="52"/>
        <v>0</v>
      </c>
      <c r="AE186" s="564">
        <f t="shared" si="53"/>
        <v>0</v>
      </c>
      <c r="AF186" s="564">
        <f t="shared" si="54"/>
        <v>0</v>
      </c>
      <c r="AG186" s="564">
        <f t="shared" si="55"/>
        <v>0</v>
      </c>
    </row>
    <row r="187" spans="1:33">
      <c r="A187" s="21"/>
      <c r="B187" s="21" t="s">
        <v>109</v>
      </c>
      <c r="C187" s="68" t="s">
        <v>99</v>
      </c>
      <c r="D187" s="449"/>
      <c r="E187" s="529">
        <f>'Q3 DMV - Revenue'!S176</f>
        <v>667.2549999999992</v>
      </c>
      <c r="F187" s="315"/>
      <c r="G187" s="546"/>
      <c r="H187" s="315"/>
      <c r="I187" s="379">
        <f t="shared" si="62"/>
        <v>667.2549999999992</v>
      </c>
      <c r="J187" s="31"/>
      <c r="K187" s="84"/>
      <c r="L187" s="42"/>
      <c r="M187" s="31">
        <v>0</v>
      </c>
      <c r="N187" s="429"/>
      <c r="O187" s="31">
        <v>0</v>
      </c>
      <c r="P187" s="426">
        <f t="shared" si="59"/>
        <v>0</v>
      </c>
      <c r="Q187" s="178"/>
      <c r="R187" s="295"/>
      <c r="S187" s="328">
        <f t="shared" si="46"/>
        <v>0</v>
      </c>
      <c r="T187" s="31"/>
      <c r="U187" s="474">
        <f t="shared" si="47"/>
        <v>0</v>
      </c>
      <c r="V187" s="474">
        <f t="shared" si="48"/>
        <v>0</v>
      </c>
      <c r="W187" s="475">
        <f t="shared" si="49"/>
        <v>0</v>
      </c>
      <c r="X187" s="475">
        <v>0</v>
      </c>
      <c r="Y187" s="476">
        <v>0</v>
      </c>
      <c r="Z187" s="38">
        <f t="shared" si="56"/>
        <v>0</v>
      </c>
      <c r="AA187" s="564">
        <f t="shared" si="50"/>
        <v>0</v>
      </c>
      <c r="AB187" s="564">
        <f t="shared" si="51"/>
        <v>667.2549999999992</v>
      </c>
      <c r="AC187" s="564">
        <f t="shared" si="52"/>
        <v>0</v>
      </c>
      <c r="AE187" s="564">
        <f t="shared" si="53"/>
        <v>0</v>
      </c>
      <c r="AF187" s="564">
        <f t="shared" si="54"/>
        <v>0</v>
      </c>
      <c r="AG187" s="564">
        <f t="shared" si="55"/>
        <v>0</v>
      </c>
    </row>
    <row r="188" spans="1:33" s="232" customFormat="1">
      <c r="A188" s="403"/>
      <c r="B188" s="403" t="s">
        <v>109</v>
      </c>
      <c r="C188" s="123" t="s">
        <v>378</v>
      </c>
      <c r="D188" s="570">
        <v>20157.38</v>
      </c>
      <c r="E188" s="529">
        <f>'Q3 DMV - Revenue'!S177</f>
        <v>0</v>
      </c>
      <c r="F188" s="342">
        <v>15009.35</v>
      </c>
      <c r="G188" s="375">
        <v>15807.51</v>
      </c>
      <c r="H188" s="342">
        <v>16524.02</v>
      </c>
      <c r="I188" s="379">
        <f t="shared" si="62"/>
        <v>67498.260000000009</v>
      </c>
      <c r="J188" s="31"/>
      <c r="K188" s="86"/>
      <c r="L188" s="290"/>
      <c r="M188" s="31">
        <v>0</v>
      </c>
      <c r="N188" s="429">
        <v>82549.81</v>
      </c>
      <c r="O188" s="31">
        <v>0</v>
      </c>
      <c r="P188" s="426">
        <f t="shared" si="59"/>
        <v>0</v>
      </c>
      <c r="Q188" s="14"/>
      <c r="R188" s="295"/>
      <c r="S188" s="328">
        <f t="shared" si="46"/>
        <v>0</v>
      </c>
      <c r="T188" s="31"/>
      <c r="U188" s="474">
        <f t="shared" si="47"/>
        <v>0</v>
      </c>
      <c r="V188" s="474">
        <f t="shared" si="48"/>
        <v>0</v>
      </c>
      <c r="W188" s="475">
        <f t="shared" si="49"/>
        <v>0</v>
      </c>
      <c r="X188" s="475">
        <v>0</v>
      </c>
      <c r="Y188" s="476">
        <v>0</v>
      </c>
      <c r="Z188" s="38">
        <f t="shared" si="56"/>
        <v>0</v>
      </c>
      <c r="AA188" s="564">
        <f t="shared" si="50"/>
        <v>0</v>
      </c>
      <c r="AB188" s="564">
        <f t="shared" si="51"/>
        <v>67498.260000000009</v>
      </c>
      <c r="AC188" s="564">
        <f t="shared" si="52"/>
        <v>0</v>
      </c>
      <c r="AD188" s="565"/>
      <c r="AE188" s="564">
        <f t="shared" si="53"/>
        <v>0</v>
      </c>
      <c r="AF188" s="564">
        <f t="shared" si="54"/>
        <v>0</v>
      </c>
      <c r="AG188" s="564">
        <f t="shared" si="55"/>
        <v>0</v>
      </c>
    </row>
    <row r="189" spans="1:33" s="232" customFormat="1">
      <c r="A189" s="403"/>
      <c r="B189" s="403" t="s">
        <v>110</v>
      </c>
      <c r="C189" s="123" t="s">
        <v>303</v>
      </c>
      <c r="D189" s="514"/>
      <c r="E189" s="529">
        <f>'Q3 DMV - Revenue'!S178</f>
        <v>-8746.7500000000291</v>
      </c>
      <c r="F189" s="342">
        <v>89172.02</v>
      </c>
      <c r="G189" s="375">
        <v>82050.38</v>
      </c>
      <c r="H189" s="342">
        <v>91901.27</v>
      </c>
      <c r="I189" s="379">
        <f t="shared" si="62"/>
        <v>254376.91999999998</v>
      </c>
      <c r="J189" s="31"/>
      <c r="K189" s="86"/>
      <c r="L189" s="42"/>
      <c r="M189" s="31">
        <v>0</v>
      </c>
      <c r="N189" s="429">
        <v>431828.51</v>
      </c>
      <c r="O189" s="31">
        <v>0</v>
      </c>
      <c r="P189" s="426">
        <f t="shared" si="59"/>
        <v>0</v>
      </c>
      <c r="Q189" s="14"/>
      <c r="R189" s="295"/>
      <c r="S189" s="328">
        <f t="shared" si="46"/>
        <v>0</v>
      </c>
      <c r="T189" s="31"/>
      <c r="U189" s="474">
        <f t="shared" si="47"/>
        <v>0</v>
      </c>
      <c r="V189" s="474">
        <f t="shared" si="48"/>
        <v>0</v>
      </c>
      <c r="W189" s="475">
        <f t="shared" si="49"/>
        <v>0</v>
      </c>
      <c r="X189" s="475">
        <v>0</v>
      </c>
      <c r="Y189" s="476">
        <v>0</v>
      </c>
      <c r="Z189" s="38">
        <f t="shared" si="56"/>
        <v>0</v>
      </c>
      <c r="AA189" s="564">
        <f t="shared" si="50"/>
        <v>254376.91999999998</v>
      </c>
      <c r="AB189" s="564">
        <f t="shared" si="51"/>
        <v>0</v>
      </c>
      <c r="AC189" s="564">
        <f t="shared" si="52"/>
        <v>0</v>
      </c>
      <c r="AD189" s="565"/>
      <c r="AE189" s="564">
        <f t="shared" si="53"/>
        <v>0</v>
      </c>
      <c r="AF189" s="564">
        <f t="shared" si="54"/>
        <v>0</v>
      </c>
      <c r="AG189" s="564">
        <f t="shared" si="55"/>
        <v>0</v>
      </c>
    </row>
    <row r="190" spans="1:33" s="232" customFormat="1">
      <c r="A190" s="403"/>
      <c r="B190" s="403" t="s">
        <v>110</v>
      </c>
      <c r="C190" s="123" t="s">
        <v>206</v>
      </c>
      <c r="D190" s="514"/>
      <c r="E190" s="529">
        <f>'Q3 DMV - Revenue'!S179</f>
        <v>18.779999999999973</v>
      </c>
      <c r="F190" s="342">
        <v>166.91</v>
      </c>
      <c r="G190" s="375">
        <v>129.30000000000001</v>
      </c>
      <c r="H190" s="342">
        <v>152.81</v>
      </c>
      <c r="I190" s="379">
        <f t="shared" si="62"/>
        <v>467.8</v>
      </c>
      <c r="J190" s="31"/>
      <c r="K190" s="86"/>
      <c r="L190" s="290"/>
      <c r="M190" s="31">
        <v>0</v>
      </c>
      <c r="N190" s="429"/>
      <c r="O190" s="31">
        <v>0</v>
      </c>
      <c r="P190" s="426">
        <f t="shared" si="59"/>
        <v>0</v>
      </c>
      <c r="Q190" s="14"/>
      <c r="R190" s="295"/>
      <c r="S190" s="328">
        <f t="shared" si="46"/>
        <v>0</v>
      </c>
      <c r="T190" s="31"/>
      <c r="U190" s="474">
        <f t="shared" si="47"/>
        <v>0</v>
      </c>
      <c r="V190" s="474">
        <f t="shared" si="48"/>
        <v>0</v>
      </c>
      <c r="W190" s="475">
        <f t="shared" si="49"/>
        <v>0</v>
      </c>
      <c r="X190" s="475">
        <v>0</v>
      </c>
      <c r="Y190" s="476">
        <v>0</v>
      </c>
      <c r="Z190" s="38">
        <f t="shared" si="56"/>
        <v>0</v>
      </c>
      <c r="AA190" s="564">
        <f t="shared" si="50"/>
        <v>467.8</v>
      </c>
      <c r="AB190" s="564">
        <f t="shared" si="51"/>
        <v>0</v>
      </c>
      <c r="AC190" s="564">
        <f t="shared" si="52"/>
        <v>0</v>
      </c>
      <c r="AD190" s="565"/>
      <c r="AE190" s="564">
        <f t="shared" si="53"/>
        <v>0</v>
      </c>
      <c r="AF190" s="564">
        <f t="shared" si="54"/>
        <v>0</v>
      </c>
      <c r="AG190" s="564">
        <f t="shared" si="55"/>
        <v>0</v>
      </c>
    </row>
    <row r="191" spans="1:33" s="232" customFormat="1">
      <c r="A191" s="403"/>
      <c r="B191" s="403" t="s">
        <v>110</v>
      </c>
      <c r="C191" s="123" t="s">
        <v>468</v>
      </c>
      <c r="D191" s="514"/>
      <c r="E191" s="529">
        <f>'Q3 DMV - Revenue'!S180</f>
        <v>0</v>
      </c>
      <c r="F191" s="315"/>
      <c r="G191" s="546"/>
      <c r="H191" s="315"/>
      <c r="I191" s="379">
        <f t="shared" si="62"/>
        <v>0</v>
      </c>
      <c r="J191" s="31"/>
      <c r="K191" s="86"/>
      <c r="L191" s="290"/>
      <c r="M191" s="31">
        <v>0</v>
      </c>
      <c r="O191" s="31">
        <v>0</v>
      </c>
      <c r="P191" s="426">
        <f t="shared" si="59"/>
        <v>0</v>
      </c>
      <c r="Q191" s="14">
        <f>2665.03+4808.31+4662.69</f>
        <v>12136.029999999999</v>
      </c>
      <c r="R191" s="295"/>
      <c r="S191" s="328">
        <f t="shared" si="46"/>
        <v>12136.029999999999</v>
      </c>
      <c r="T191" s="31"/>
      <c r="U191" s="474">
        <f t="shared" si="47"/>
        <v>0</v>
      </c>
      <c r="V191" s="474">
        <f t="shared" si="48"/>
        <v>0</v>
      </c>
      <c r="W191" s="475">
        <f t="shared" si="49"/>
        <v>0</v>
      </c>
      <c r="X191" s="475">
        <v>0</v>
      </c>
      <c r="Y191" s="476">
        <v>0</v>
      </c>
      <c r="Z191" s="38">
        <f t="shared" si="56"/>
        <v>0</v>
      </c>
      <c r="AA191" s="564">
        <f t="shared" si="50"/>
        <v>0</v>
      </c>
      <c r="AB191" s="564">
        <f t="shared" si="51"/>
        <v>0</v>
      </c>
      <c r="AC191" s="564">
        <f t="shared" si="52"/>
        <v>0</v>
      </c>
      <c r="AD191" s="565"/>
      <c r="AE191" s="564">
        <f t="shared" si="53"/>
        <v>0</v>
      </c>
      <c r="AF191" s="564">
        <f t="shared" si="54"/>
        <v>0</v>
      </c>
      <c r="AG191" s="564">
        <f t="shared" si="55"/>
        <v>0</v>
      </c>
    </row>
    <row r="192" spans="1:33" s="232" customFormat="1">
      <c r="A192" s="403"/>
      <c r="B192" s="403" t="s">
        <v>114</v>
      </c>
      <c r="C192" s="123" t="s">
        <v>241</v>
      </c>
      <c r="D192" s="514"/>
      <c r="E192" s="529">
        <f>'Q3 DMV - Revenue'!S181</f>
        <v>-44047</v>
      </c>
      <c r="F192" s="315"/>
      <c r="G192" s="546"/>
      <c r="H192" s="342">
        <v>41666</v>
      </c>
      <c r="I192" s="379">
        <f t="shared" si="62"/>
        <v>-2381</v>
      </c>
      <c r="J192" s="31"/>
      <c r="K192" s="86"/>
      <c r="L192" s="290"/>
      <c r="M192" s="31"/>
      <c r="N192" s="429">
        <v>41666</v>
      </c>
      <c r="O192" s="31"/>
      <c r="P192" s="426">
        <f t="shared" si="59"/>
        <v>0</v>
      </c>
      <c r="Q192" s="14"/>
      <c r="R192" s="295"/>
      <c r="S192" s="328">
        <f t="shared" si="46"/>
        <v>0</v>
      </c>
      <c r="T192" s="31"/>
      <c r="U192" s="474">
        <f t="shared" si="47"/>
        <v>0</v>
      </c>
      <c r="V192" s="474">
        <f t="shared" si="48"/>
        <v>0</v>
      </c>
      <c r="W192" s="475">
        <f t="shared" si="49"/>
        <v>0</v>
      </c>
      <c r="X192" s="475">
        <v>0</v>
      </c>
      <c r="Y192" s="476">
        <v>0</v>
      </c>
      <c r="Z192" s="38">
        <f t="shared" si="56"/>
        <v>0</v>
      </c>
      <c r="AA192" s="564">
        <f t="shared" si="50"/>
        <v>0</v>
      </c>
      <c r="AB192" s="564">
        <f t="shared" si="51"/>
        <v>0</v>
      </c>
      <c r="AC192" s="564">
        <f t="shared" si="52"/>
        <v>-2381</v>
      </c>
      <c r="AD192" s="565"/>
      <c r="AE192" s="564">
        <f t="shared" si="53"/>
        <v>0</v>
      </c>
      <c r="AF192" s="564">
        <f t="shared" si="54"/>
        <v>0</v>
      </c>
      <c r="AG192" s="564">
        <f t="shared" si="55"/>
        <v>0</v>
      </c>
    </row>
    <row r="193" spans="1:33">
      <c r="A193" s="20"/>
      <c r="B193" s="20" t="s">
        <v>109</v>
      </c>
      <c r="C193" s="68" t="s">
        <v>41</v>
      </c>
      <c r="D193" s="449"/>
      <c r="E193" s="529">
        <f>'Q3 DMV - Revenue'!S182</f>
        <v>-6000</v>
      </c>
      <c r="F193" s="315"/>
      <c r="G193" s="546"/>
      <c r="H193" s="315"/>
      <c r="I193" s="379">
        <f t="shared" si="62"/>
        <v>-6000</v>
      </c>
      <c r="J193" s="31"/>
      <c r="K193" s="84"/>
      <c r="L193" s="42"/>
      <c r="M193" s="31">
        <v>0</v>
      </c>
      <c r="N193" s="429"/>
      <c r="O193" s="31">
        <v>0</v>
      </c>
      <c r="P193" s="426">
        <f t="shared" si="59"/>
        <v>0</v>
      </c>
      <c r="Q193" s="178"/>
      <c r="R193" s="295"/>
      <c r="S193" s="328">
        <f t="shared" si="46"/>
        <v>0</v>
      </c>
      <c r="T193" s="31"/>
      <c r="U193" s="474">
        <f t="shared" si="47"/>
        <v>0</v>
      </c>
      <c r="V193" s="474">
        <f t="shared" si="48"/>
        <v>0</v>
      </c>
      <c r="W193" s="475">
        <f t="shared" si="49"/>
        <v>0</v>
      </c>
      <c r="X193" s="475">
        <v>0</v>
      </c>
      <c r="Y193" s="476">
        <v>0</v>
      </c>
      <c r="Z193" s="38">
        <f t="shared" si="56"/>
        <v>0</v>
      </c>
      <c r="AA193" s="564">
        <f t="shared" si="50"/>
        <v>0</v>
      </c>
      <c r="AB193" s="564">
        <f t="shared" si="51"/>
        <v>-6000</v>
      </c>
      <c r="AC193" s="564">
        <f t="shared" si="52"/>
        <v>0</v>
      </c>
      <c r="AE193" s="564">
        <f t="shared" si="53"/>
        <v>0</v>
      </c>
      <c r="AF193" s="564">
        <f t="shared" si="54"/>
        <v>0</v>
      </c>
      <c r="AG193" s="564">
        <f t="shared" si="55"/>
        <v>0</v>
      </c>
    </row>
    <row r="194" spans="1:33">
      <c r="A194" s="20"/>
      <c r="B194" s="20" t="s">
        <v>109</v>
      </c>
      <c r="C194" s="68" t="s">
        <v>221</v>
      </c>
      <c r="D194" s="449"/>
      <c r="E194" s="529">
        <f>'Q3 DMV - Revenue'!S183</f>
        <v>-500</v>
      </c>
      <c r="F194" s="315"/>
      <c r="G194" s="546"/>
      <c r="H194" s="315"/>
      <c r="I194" s="379">
        <f t="shared" si="62"/>
        <v>-500</v>
      </c>
      <c r="J194" s="31"/>
      <c r="K194" s="84"/>
      <c r="L194" s="42"/>
      <c r="M194" s="31">
        <v>0</v>
      </c>
      <c r="N194" s="429"/>
      <c r="O194" s="31">
        <v>0</v>
      </c>
      <c r="P194" s="426">
        <f t="shared" si="59"/>
        <v>0</v>
      </c>
      <c r="Q194" s="178"/>
      <c r="R194" s="295"/>
      <c r="S194" s="328">
        <f t="shared" si="46"/>
        <v>0</v>
      </c>
      <c r="T194" s="31"/>
      <c r="U194" s="474">
        <f t="shared" si="47"/>
        <v>0</v>
      </c>
      <c r="V194" s="474">
        <f t="shared" si="48"/>
        <v>0</v>
      </c>
      <c r="W194" s="475">
        <f t="shared" si="49"/>
        <v>0</v>
      </c>
      <c r="X194" s="475">
        <v>0</v>
      </c>
      <c r="Y194" s="476">
        <v>0</v>
      </c>
      <c r="Z194" s="38">
        <f t="shared" si="56"/>
        <v>0</v>
      </c>
      <c r="AA194" s="564">
        <f t="shared" si="50"/>
        <v>0</v>
      </c>
      <c r="AB194" s="564">
        <f t="shared" si="51"/>
        <v>-500</v>
      </c>
      <c r="AC194" s="564">
        <f t="shared" si="52"/>
        <v>0</v>
      </c>
      <c r="AE194" s="564">
        <f t="shared" si="53"/>
        <v>0</v>
      </c>
      <c r="AF194" s="564">
        <f t="shared" si="54"/>
        <v>0</v>
      </c>
      <c r="AG194" s="564">
        <f t="shared" si="55"/>
        <v>0</v>
      </c>
    </row>
    <row r="195" spans="1:33" s="146" customFormat="1">
      <c r="A195" s="21" t="s">
        <v>109</v>
      </c>
      <c r="B195" s="21" t="s">
        <v>110</v>
      </c>
      <c r="C195" s="68" t="s">
        <v>98</v>
      </c>
      <c r="D195" s="449"/>
      <c r="E195" s="529">
        <f>'Q3 DMV - Revenue'!S184</f>
        <v>-5000</v>
      </c>
      <c r="F195" s="342">
        <v>4935.8599999999997</v>
      </c>
      <c r="G195" s="546"/>
      <c r="H195" s="315"/>
      <c r="I195" s="379">
        <f t="shared" si="62"/>
        <v>-64.140000000000327</v>
      </c>
      <c r="J195" s="31"/>
      <c r="K195" s="84"/>
      <c r="L195" s="42">
        <v>5000</v>
      </c>
      <c r="M195" s="31">
        <v>0</v>
      </c>
      <c r="N195" s="429">
        <v>4935.8599999999997</v>
      </c>
      <c r="O195" s="31">
        <v>0</v>
      </c>
      <c r="P195" s="426">
        <f t="shared" si="59"/>
        <v>5000</v>
      </c>
      <c r="Q195" s="178"/>
      <c r="R195" s="295"/>
      <c r="S195" s="328">
        <f t="shared" si="46"/>
        <v>-5000</v>
      </c>
      <c r="T195" s="31"/>
      <c r="U195" s="474">
        <f t="shared" si="47"/>
        <v>5000</v>
      </c>
      <c r="V195" s="474">
        <f t="shared" si="48"/>
        <v>0</v>
      </c>
      <c r="W195" s="475">
        <f t="shared" si="49"/>
        <v>0</v>
      </c>
      <c r="X195" s="475">
        <v>0</v>
      </c>
      <c r="Y195" s="476">
        <v>0</v>
      </c>
      <c r="Z195" s="38">
        <f t="shared" si="56"/>
        <v>0</v>
      </c>
      <c r="AA195" s="564">
        <f t="shared" si="50"/>
        <v>-64.140000000000327</v>
      </c>
      <c r="AB195" s="564">
        <f t="shared" si="51"/>
        <v>0</v>
      </c>
      <c r="AC195" s="564">
        <f t="shared" si="52"/>
        <v>0</v>
      </c>
      <c r="AD195" s="566"/>
      <c r="AE195" s="564">
        <f t="shared" si="53"/>
        <v>5000</v>
      </c>
      <c r="AF195" s="564">
        <f t="shared" si="54"/>
        <v>0</v>
      </c>
      <c r="AG195" s="564">
        <f t="shared" si="55"/>
        <v>0</v>
      </c>
    </row>
    <row r="196" spans="1:33">
      <c r="A196" s="21"/>
      <c r="B196" s="21" t="s">
        <v>110</v>
      </c>
      <c r="C196" s="68" t="s">
        <v>43</v>
      </c>
      <c r="D196" s="449"/>
      <c r="E196" s="529">
        <f>'Q3 DMV - Revenue'!S185</f>
        <v>0</v>
      </c>
      <c r="F196" s="342">
        <v>1699.3</v>
      </c>
      <c r="G196" s="375">
        <v>1006.92</v>
      </c>
      <c r="H196" s="342">
        <v>1113.54</v>
      </c>
      <c r="I196" s="379">
        <f t="shared" si="62"/>
        <v>3819.7599999999998</v>
      </c>
      <c r="J196" s="31"/>
      <c r="K196" s="84"/>
      <c r="L196" s="42"/>
      <c r="M196" s="31">
        <v>0</v>
      </c>
      <c r="N196" s="429">
        <v>3819.76</v>
      </c>
      <c r="O196" s="31">
        <v>0</v>
      </c>
      <c r="P196" s="426">
        <f t="shared" si="59"/>
        <v>0</v>
      </c>
      <c r="Q196" s="178"/>
      <c r="R196" s="295"/>
      <c r="S196" s="328">
        <f t="shared" si="46"/>
        <v>0</v>
      </c>
      <c r="T196" s="31"/>
      <c r="U196" s="474">
        <f t="shared" si="47"/>
        <v>0</v>
      </c>
      <c r="V196" s="474">
        <f t="shared" si="48"/>
        <v>0</v>
      </c>
      <c r="W196" s="475">
        <f t="shared" si="49"/>
        <v>0</v>
      </c>
      <c r="X196" s="475">
        <v>0</v>
      </c>
      <c r="Y196" s="476">
        <v>0</v>
      </c>
      <c r="Z196" s="38">
        <f t="shared" si="56"/>
        <v>0</v>
      </c>
      <c r="AA196" s="564">
        <f t="shared" si="50"/>
        <v>3819.7599999999998</v>
      </c>
      <c r="AB196" s="564">
        <f t="shared" si="51"/>
        <v>0</v>
      </c>
      <c r="AC196" s="564">
        <f t="shared" si="52"/>
        <v>0</v>
      </c>
      <c r="AE196" s="564">
        <f t="shared" si="53"/>
        <v>0</v>
      </c>
      <c r="AF196" s="564">
        <f t="shared" si="54"/>
        <v>0</v>
      </c>
      <c r="AG196" s="564">
        <f t="shared" si="55"/>
        <v>0</v>
      </c>
    </row>
    <row r="197" spans="1:33">
      <c r="A197" s="21"/>
      <c r="B197" s="21" t="s">
        <v>109</v>
      </c>
      <c r="C197" s="68" t="s">
        <v>44</v>
      </c>
      <c r="D197" s="449"/>
      <c r="E197" s="529">
        <f>'Q3 DMV - Revenue'!S186</f>
        <v>-71.25</v>
      </c>
      <c r="F197" s="315"/>
      <c r="G197" s="546"/>
      <c r="H197" s="315"/>
      <c r="I197" s="379">
        <f t="shared" si="62"/>
        <v>-71.25</v>
      </c>
      <c r="J197" s="31"/>
      <c r="K197" s="84"/>
      <c r="L197" s="42"/>
      <c r="M197" s="31">
        <v>0</v>
      </c>
      <c r="N197" s="429">
        <v>128.75</v>
      </c>
      <c r="O197" s="31">
        <v>0</v>
      </c>
      <c r="P197" s="426">
        <f t="shared" si="59"/>
        <v>0</v>
      </c>
      <c r="Q197" s="178"/>
      <c r="R197" s="295"/>
      <c r="S197" s="328">
        <f t="shared" si="46"/>
        <v>0</v>
      </c>
      <c r="T197" s="31"/>
      <c r="U197" s="474">
        <f t="shared" si="47"/>
        <v>0</v>
      </c>
      <c r="V197" s="474">
        <f t="shared" si="48"/>
        <v>0</v>
      </c>
      <c r="W197" s="475">
        <f t="shared" si="49"/>
        <v>0</v>
      </c>
      <c r="X197" s="475">
        <v>0</v>
      </c>
      <c r="Y197" s="476">
        <v>0</v>
      </c>
      <c r="Z197" s="38">
        <f t="shared" si="56"/>
        <v>0</v>
      </c>
      <c r="AA197" s="564">
        <f t="shared" si="50"/>
        <v>0</v>
      </c>
      <c r="AB197" s="564">
        <f t="shared" si="51"/>
        <v>-71.25</v>
      </c>
      <c r="AC197" s="564">
        <f t="shared" si="52"/>
        <v>0</v>
      </c>
      <c r="AE197" s="564">
        <f t="shared" si="53"/>
        <v>0</v>
      </c>
      <c r="AF197" s="564">
        <f t="shared" si="54"/>
        <v>0</v>
      </c>
      <c r="AG197" s="564">
        <f t="shared" si="55"/>
        <v>0</v>
      </c>
    </row>
    <row r="198" spans="1:33">
      <c r="A198" s="21"/>
      <c r="B198" s="21" t="s">
        <v>110</v>
      </c>
      <c r="C198" s="68" t="s">
        <v>388</v>
      </c>
      <c r="D198" s="449"/>
      <c r="E198" s="529">
        <f>'Q3 DMV - Revenue'!S187</f>
        <v>0</v>
      </c>
      <c r="F198" s="342">
        <v>4850.59</v>
      </c>
      <c r="G198" s="375">
        <v>4995.67</v>
      </c>
      <c r="H198" s="342">
        <v>5741.92</v>
      </c>
      <c r="I198" s="379">
        <f t="shared" si="62"/>
        <v>15588.18</v>
      </c>
      <c r="J198" s="31"/>
      <c r="K198" s="84"/>
      <c r="L198" s="42"/>
      <c r="M198" s="31">
        <v>0</v>
      </c>
      <c r="N198" s="429">
        <v>15588.18</v>
      </c>
      <c r="O198" s="31">
        <v>0</v>
      </c>
      <c r="P198" s="426">
        <f t="shared" si="59"/>
        <v>0</v>
      </c>
      <c r="Q198" s="178"/>
      <c r="R198" s="295"/>
      <c r="S198" s="328">
        <f t="shared" si="46"/>
        <v>0</v>
      </c>
      <c r="T198" s="31"/>
      <c r="U198" s="474">
        <f t="shared" si="47"/>
        <v>0</v>
      </c>
      <c r="V198" s="474">
        <f t="shared" si="48"/>
        <v>0</v>
      </c>
      <c r="W198" s="475">
        <f t="shared" si="49"/>
        <v>0</v>
      </c>
      <c r="X198" s="475">
        <v>0</v>
      </c>
      <c r="Y198" s="476">
        <v>0</v>
      </c>
      <c r="Z198" s="38">
        <f t="shared" si="56"/>
        <v>0</v>
      </c>
      <c r="AA198" s="564">
        <f t="shared" si="50"/>
        <v>15588.18</v>
      </c>
      <c r="AB198" s="564">
        <f t="shared" si="51"/>
        <v>0</v>
      </c>
      <c r="AC198" s="564">
        <f t="shared" si="52"/>
        <v>0</v>
      </c>
      <c r="AE198" s="564">
        <f t="shared" si="53"/>
        <v>0</v>
      </c>
      <c r="AF198" s="564">
        <f t="shared" si="54"/>
        <v>0</v>
      </c>
      <c r="AG198" s="564">
        <f t="shared" si="55"/>
        <v>0</v>
      </c>
    </row>
    <row r="199" spans="1:33">
      <c r="A199" s="21"/>
      <c r="B199" s="21" t="s">
        <v>110</v>
      </c>
      <c r="C199" s="68" t="s">
        <v>45</v>
      </c>
      <c r="D199" s="449"/>
      <c r="E199" s="529">
        <f>'Q3 DMV - Revenue'!S188</f>
        <v>230.57999999999993</v>
      </c>
      <c r="F199" s="342">
        <v>3079.78</v>
      </c>
      <c r="G199" s="375">
        <v>3765.97</v>
      </c>
      <c r="H199" s="342">
        <v>3318.78</v>
      </c>
      <c r="I199" s="379">
        <f t="shared" si="62"/>
        <v>10395.11</v>
      </c>
      <c r="J199" s="31"/>
      <c r="K199" s="84"/>
      <c r="L199" s="42"/>
      <c r="M199" s="31">
        <v>0</v>
      </c>
      <c r="N199" s="429">
        <v>13403.45</v>
      </c>
      <c r="O199" s="31">
        <v>0</v>
      </c>
      <c r="P199" s="426">
        <f t="shared" si="59"/>
        <v>0</v>
      </c>
      <c r="Q199" s="178"/>
      <c r="R199" s="295"/>
      <c r="S199" s="328">
        <f t="shared" si="46"/>
        <v>0</v>
      </c>
      <c r="T199" s="31"/>
      <c r="U199" s="474">
        <f t="shared" si="47"/>
        <v>0</v>
      </c>
      <c r="V199" s="474">
        <f t="shared" si="48"/>
        <v>0</v>
      </c>
      <c r="W199" s="475">
        <f t="shared" si="49"/>
        <v>0</v>
      </c>
      <c r="X199" s="475">
        <v>0</v>
      </c>
      <c r="Y199" s="476">
        <v>0</v>
      </c>
      <c r="Z199" s="38">
        <f t="shared" si="56"/>
        <v>0</v>
      </c>
      <c r="AA199" s="564">
        <f t="shared" si="50"/>
        <v>10395.11</v>
      </c>
      <c r="AB199" s="564">
        <f t="shared" si="51"/>
        <v>0</v>
      </c>
      <c r="AC199" s="564">
        <f t="shared" si="52"/>
        <v>0</v>
      </c>
      <c r="AE199" s="564">
        <f t="shared" si="53"/>
        <v>0</v>
      </c>
      <c r="AF199" s="564">
        <f t="shared" si="54"/>
        <v>0</v>
      </c>
      <c r="AG199" s="564">
        <f t="shared" si="55"/>
        <v>0</v>
      </c>
    </row>
    <row r="200" spans="1:33">
      <c r="A200" s="20"/>
      <c r="B200" s="20" t="s">
        <v>110</v>
      </c>
      <c r="C200" s="68" t="s">
        <v>46</v>
      </c>
      <c r="D200" s="449"/>
      <c r="E200" s="529">
        <f>'Q3 DMV - Revenue'!S189</f>
        <v>0</v>
      </c>
      <c r="F200" s="315"/>
      <c r="G200" s="546"/>
      <c r="H200" s="315"/>
      <c r="I200" s="379">
        <f t="shared" si="62"/>
        <v>0</v>
      </c>
      <c r="J200" s="31"/>
      <c r="K200" s="84"/>
      <c r="L200" s="42"/>
      <c r="M200" s="31">
        <v>0</v>
      </c>
      <c r="N200" s="429"/>
      <c r="O200" s="31">
        <v>0</v>
      </c>
      <c r="P200" s="426">
        <f t="shared" si="59"/>
        <v>0</v>
      </c>
      <c r="Q200" s="178"/>
      <c r="R200" s="295"/>
      <c r="S200" s="328">
        <f t="shared" si="46"/>
        <v>0</v>
      </c>
      <c r="T200" s="31"/>
      <c r="U200" s="474">
        <f t="shared" si="47"/>
        <v>0</v>
      </c>
      <c r="V200" s="474">
        <f t="shared" si="48"/>
        <v>0</v>
      </c>
      <c r="W200" s="475">
        <f t="shared" si="49"/>
        <v>0</v>
      </c>
      <c r="X200" s="475">
        <v>0</v>
      </c>
      <c r="Y200" s="476">
        <v>0</v>
      </c>
      <c r="Z200" s="38">
        <f t="shared" si="56"/>
        <v>0</v>
      </c>
      <c r="AA200" s="564">
        <f t="shared" si="50"/>
        <v>0</v>
      </c>
      <c r="AB200" s="564">
        <f t="shared" si="51"/>
        <v>0</v>
      </c>
      <c r="AC200" s="564">
        <f t="shared" si="52"/>
        <v>0</v>
      </c>
      <c r="AE200" s="564">
        <f t="shared" si="53"/>
        <v>0</v>
      </c>
      <c r="AF200" s="564">
        <f t="shared" si="54"/>
        <v>0</v>
      </c>
      <c r="AG200" s="564">
        <f t="shared" si="55"/>
        <v>0</v>
      </c>
    </row>
    <row r="201" spans="1:33">
      <c r="A201" s="21"/>
      <c r="B201" s="21" t="s">
        <v>109</v>
      </c>
      <c r="C201" s="68" t="s">
        <v>47</v>
      </c>
      <c r="D201" s="449"/>
      <c r="E201" s="529">
        <f>'Q3 DMV - Revenue'!S190</f>
        <v>0</v>
      </c>
      <c r="F201" s="342">
        <v>891.01</v>
      </c>
      <c r="G201" s="375">
        <v>27.48</v>
      </c>
      <c r="H201" s="315"/>
      <c r="I201" s="379">
        <f t="shared" si="62"/>
        <v>918.49</v>
      </c>
      <c r="J201" s="31"/>
      <c r="K201" s="84"/>
      <c r="L201" s="42">
        <f>SUM(F201+G201)/2</f>
        <v>459.245</v>
      </c>
      <c r="M201" s="31">
        <v>0</v>
      </c>
      <c r="N201" s="429">
        <v>918.49</v>
      </c>
      <c r="O201" s="31">
        <v>0</v>
      </c>
      <c r="P201" s="426">
        <f t="shared" si="59"/>
        <v>459.245</v>
      </c>
      <c r="Q201" s="178"/>
      <c r="R201" s="295"/>
      <c r="S201" s="328">
        <f t="shared" si="46"/>
        <v>-459.245</v>
      </c>
      <c r="T201" s="31"/>
      <c r="U201" s="474">
        <f t="shared" si="47"/>
        <v>0</v>
      </c>
      <c r="V201" s="474">
        <f t="shared" si="48"/>
        <v>459.245</v>
      </c>
      <c r="W201" s="475">
        <f t="shared" si="49"/>
        <v>0</v>
      </c>
      <c r="X201" s="475">
        <v>0</v>
      </c>
      <c r="Y201" s="476">
        <v>0</v>
      </c>
      <c r="Z201" s="38">
        <f t="shared" si="56"/>
        <v>0</v>
      </c>
      <c r="AA201" s="564">
        <f t="shared" si="50"/>
        <v>0</v>
      </c>
      <c r="AB201" s="564">
        <f t="shared" si="51"/>
        <v>918.49</v>
      </c>
      <c r="AC201" s="564">
        <f t="shared" si="52"/>
        <v>0</v>
      </c>
      <c r="AE201" s="564">
        <f t="shared" si="53"/>
        <v>0</v>
      </c>
      <c r="AF201" s="564">
        <f t="shared" si="54"/>
        <v>459.245</v>
      </c>
      <c r="AG201" s="564">
        <f t="shared" si="55"/>
        <v>0</v>
      </c>
    </row>
    <row r="202" spans="1:33">
      <c r="A202" s="20" t="s">
        <v>211</v>
      </c>
      <c r="B202" s="20" t="s">
        <v>110</v>
      </c>
      <c r="C202" s="68" t="s">
        <v>233</v>
      </c>
      <c r="D202" s="449"/>
      <c r="E202" s="529">
        <f>'Q3 DMV - Revenue'!S191</f>
        <v>-58.259999999999991</v>
      </c>
      <c r="F202" s="342">
        <v>620.91999999999996</v>
      </c>
      <c r="G202" s="375">
        <v>607.14</v>
      </c>
      <c r="H202" s="342">
        <v>502.4</v>
      </c>
      <c r="I202" s="379">
        <f t="shared" si="62"/>
        <v>1672.1999999999998</v>
      </c>
      <c r="J202" s="2"/>
      <c r="K202" s="336"/>
      <c r="L202" s="42"/>
      <c r="M202" s="31">
        <v>0</v>
      </c>
      <c r="N202" s="429">
        <v>2898.62</v>
      </c>
      <c r="O202" s="31">
        <v>0</v>
      </c>
      <c r="P202" s="426">
        <f t="shared" si="59"/>
        <v>0</v>
      </c>
      <c r="Q202" s="178"/>
      <c r="R202" s="295"/>
      <c r="S202" s="328">
        <f t="shared" si="46"/>
        <v>0</v>
      </c>
      <c r="T202" s="2"/>
      <c r="U202" s="474">
        <f t="shared" si="47"/>
        <v>0</v>
      </c>
      <c r="V202" s="474">
        <f t="shared" si="48"/>
        <v>0</v>
      </c>
      <c r="W202" s="475">
        <f t="shared" si="49"/>
        <v>0</v>
      </c>
      <c r="X202" s="475">
        <v>0</v>
      </c>
      <c r="Y202" s="476">
        <v>0</v>
      </c>
      <c r="Z202" s="38">
        <f t="shared" si="56"/>
        <v>0</v>
      </c>
      <c r="AA202" s="564">
        <f t="shared" si="50"/>
        <v>1672.1999999999998</v>
      </c>
      <c r="AB202" s="564">
        <f t="shared" si="51"/>
        <v>0</v>
      </c>
      <c r="AC202" s="564">
        <f t="shared" si="52"/>
        <v>0</v>
      </c>
      <c r="AE202" s="564">
        <f t="shared" si="53"/>
        <v>0</v>
      </c>
      <c r="AF202" s="564">
        <f t="shared" si="54"/>
        <v>0</v>
      </c>
      <c r="AG202" s="564">
        <f t="shared" si="55"/>
        <v>0</v>
      </c>
    </row>
    <row r="203" spans="1:33">
      <c r="A203" s="20" t="s">
        <v>211</v>
      </c>
      <c r="B203" s="20" t="s">
        <v>109</v>
      </c>
      <c r="C203" s="68" t="s">
        <v>48</v>
      </c>
      <c r="D203" s="449"/>
      <c r="E203" s="529">
        <f>'Q3 DMV - Revenue'!S192</f>
        <v>0</v>
      </c>
      <c r="F203" s="315"/>
      <c r="G203" s="546"/>
      <c r="H203" s="315"/>
      <c r="I203" s="379">
        <f t="shared" si="62"/>
        <v>0</v>
      </c>
      <c r="J203" s="2"/>
      <c r="K203" s="336"/>
      <c r="L203" s="42"/>
      <c r="M203" s="31">
        <v>0</v>
      </c>
      <c r="N203" s="429"/>
      <c r="O203" s="31">
        <v>0</v>
      </c>
      <c r="P203" s="426">
        <f t="shared" si="59"/>
        <v>0</v>
      </c>
      <c r="Q203" s="178"/>
      <c r="R203" s="295"/>
      <c r="S203" s="328">
        <f t="shared" si="46"/>
        <v>0</v>
      </c>
      <c r="T203" s="2"/>
      <c r="U203" s="474">
        <f t="shared" si="47"/>
        <v>0</v>
      </c>
      <c r="V203" s="474">
        <f t="shared" si="48"/>
        <v>0</v>
      </c>
      <c r="W203" s="475">
        <f t="shared" si="49"/>
        <v>0</v>
      </c>
      <c r="X203" s="475">
        <v>0</v>
      </c>
      <c r="Y203" s="476">
        <v>0</v>
      </c>
      <c r="Z203" s="38">
        <f t="shared" si="56"/>
        <v>0</v>
      </c>
      <c r="AA203" s="564">
        <f t="shared" si="50"/>
        <v>0</v>
      </c>
      <c r="AB203" s="564">
        <f t="shared" si="51"/>
        <v>0</v>
      </c>
      <c r="AC203" s="564">
        <f t="shared" si="52"/>
        <v>0</v>
      </c>
      <c r="AE203" s="564">
        <f t="shared" si="53"/>
        <v>0</v>
      </c>
      <c r="AF203" s="564">
        <f t="shared" si="54"/>
        <v>0</v>
      </c>
      <c r="AG203" s="564">
        <f t="shared" si="55"/>
        <v>0</v>
      </c>
    </row>
    <row r="204" spans="1:33">
      <c r="A204" s="20"/>
      <c r="B204" s="20" t="s">
        <v>110</v>
      </c>
      <c r="C204" s="68" t="s">
        <v>102</v>
      </c>
      <c r="D204" s="449"/>
      <c r="E204" s="529">
        <f>'Q3 DMV - Revenue'!S193</f>
        <v>-1195.1900000000023</v>
      </c>
      <c r="F204" s="342">
        <v>235935.33</v>
      </c>
      <c r="G204" s="375">
        <v>265947.36</v>
      </c>
      <c r="H204" s="342">
        <v>260088.51</v>
      </c>
      <c r="I204" s="379">
        <f t="shared" si="62"/>
        <v>760776.01</v>
      </c>
      <c r="J204" s="2"/>
      <c r="K204" s="336"/>
      <c r="L204" s="42">
        <v>0</v>
      </c>
      <c r="M204" s="31">
        <v>0</v>
      </c>
      <c r="N204" s="429">
        <v>971776.01</v>
      </c>
      <c r="O204" s="31">
        <v>0</v>
      </c>
      <c r="P204" s="426">
        <f t="shared" si="59"/>
        <v>0</v>
      </c>
      <c r="Q204" s="178">
        <v>38657.33</v>
      </c>
      <c r="R204" s="295"/>
      <c r="S204" s="328">
        <f t="shared" si="46"/>
        <v>38657.33</v>
      </c>
      <c r="T204" s="2"/>
      <c r="U204" s="474">
        <f t="shared" si="47"/>
        <v>0</v>
      </c>
      <c r="V204" s="474">
        <f t="shared" si="48"/>
        <v>0</v>
      </c>
      <c r="W204" s="475">
        <f t="shared" si="49"/>
        <v>0</v>
      </c>
      <c r="X204" s="475">
        <v>0</v>
      </c>
      <c r="Y204" s="476">
        <v>0</v>
      </c>
      <c r="Z204" s="38">
        <f t="shared" si="56"/>
        <v>0</v>
      </c>
      <c r="AA204" s="564">
        <f t="shared" si="50"/>
        <v>760776.01</v>
      </c>
      <c r="AB204" s="564">
        <f t="shared" si="51"/>
        <v>0</v>
      </c>
      <c r="AC204" s="564">
        <f t="shared" si="52"/>
        <v>0</v>
      </c>
      <c r="AE204" s="564">
        <f t="shared" si="53"/>
        <v>0</v>
      </c>
      <c r="AF204" s="564">
        <f t="shared" si="54"/>
        <v>0</v>
      </c>
      <c r="AG204" s="564">
        <f t="shared" si="55"/>
        <v>0</v>
      </c>
    </row>
    <row r="205" spans="1:33">
      <c r="A205" s="21"/>
      <c r="B205" s="21" t="s">
        <v>110</v>
      </c>
      <c r="C205" s="68" t="s">
        <v>50</v>
      </c>
      <c r="D205" s="449"/>
      <c r="E205" s="529">
        <f>'Q3 DMV - Revenue'!S194</f>
        <v>0</v>
      </c>
      <c r="F205" s="342">
        <v>998.57</v>
      </c>
      <c r="G205" s="375">
        <v>1319.78</v>
      </c>
      <c r="H205" s="342">
        <v>1401.51</v>
      </c>
      <c r="I205" s="379">
        <f t="shared" si="62"/>
        <v>3719.8599999999997</v>
      </c>
      <c r="J205" s="31"/>
      <c r="K205" s="84"/>
      <c r="L205" s="42"/>
      <c r="M205" s="31">
        <v>0</v>
      </c>
      <c r="N205" s="429">
        <v>3719.86</v>
      </c>
      <c r="O205" s="31">
        <v>0</v>
      </c>
      <c r="P205" s="426">
        <f t="shared" si="59"/>
        <v>0</v>
      </c>
      <c r="Q205" s="178"/>
      <c r="R205" s="295"/>
      <c r="S205" s="328">
        <f t="shared" si="46"/>
        <v>0</v>
      </c>
      <c r="T205" s="31"/>
      <c r="U205" s="474">
        <f t="shared" si="47"/>
        <v>0</v>
      </c>
      <c r="V205" s="474">
        <f t="shared" si="48"/>
        <v>0</v>
      </c>
      <c r="W205" s="475">
        <f t="shared" si="49"/>
        <v>0</v>
      </c>
      <c r="X205" s="475">
        <v>0</v>
      </c>
      <c r="Y205" s="476">
        <v>0</v>
      </c>
      <c r="Z205" s="38">
        <f t="shared" si="56"/>
        <v>0</v>
      </c>
      <c r="AA205" s="564">
        <f t="shared" si="50"/>
        <v>3719.8599999999997</v>
      </c>
      <c r="AB205" s="564">
        <f t="shared" si="51"/>
        <v>0</v>
      </c>
      <c r="AC205" s="564">
        <f t="shared" si="52"/>
        <v>0</v>
      </c>
      <c r="AE205" s="564">
        <f t="shared" si="53"/>
        <v>0</v>
      </c>
      <c r="AF205" s="564">
        <f t="shared" si="54"/>
        <v>0</v>
      </c>
      <c r="AG205" s="564">
        <f t="shared" si="55"/>
        <v>0</v>
      </c>
    </row>
    <row r="206" spans="1:33">
      <c r="A206" s="21"/>
      <c r="B206" s="21" t="s">
        <v>109</v>
      </c>
      <c r="C206" s="68" t="s">
        <v>51</v>
      </c>
      <c r="D206" s="449"/>
      <c r="E206" s="529">
        <f>'Q3 DMV - Revenue'!S195</f>
        <v>0</v>
      </c>
      <c r="F206" s="315"/>
      <c r="G206" s="546"/>
      <c r="H206" s="315"/>
      <c r="I206" s="379">
        <f t="shared" si="62"/>
        <v>0</v>
      </c>
      <c r="J206" s="31"/>
      <c r="K206" s="84"/>
      <c r="L206" s="42"/>
      <c r="M206" s="31">
        <v>0</v>
      </c>
      <c r="N206" s="429"/>
      <c r="O206" s="31">
        <v>0</v>
      </c>
      <c r="P206" s="426">
        <f t="shared" si="59"/>
        <v>0</v>
      </c>
      <c r="Q206" s="178"/>
      <c r="R206" s="295"/>
      <c r="S206" s="328">
        <f t="shared" si="46"/>
        <v>0</v>
      </c>
      <c r="T206" s="31"/>
      <c r="U206" s="474">
        <f t="shared" si="47"/>
        <v>0</v>
      </c>
      <c r="V206" s="474">
        <f t="shared" si="48"/>
        <v>0</v>
      </c>
      <c r="W206" s="475">
        <f t="shared" si="49"/>
        <v>0</v>
      </c>
      <c r="X206" s="475">
        <v>0</v>
      </c>
      <c r="Y206" s="476">
        <v>0</v>
      </c>
      <c r="Z206" s="38">
        <f t="shared" si="56"/>
        <v>0</v>
      </c>
      <c r="AA206" s="564">
        <f t="shared" si="50"/>
        <v>0</v>
      </c>
      <c r="AB206" s="564">
        <f t="shared" si="51"/>
        <v>0</v>
      </c>
      <c r="AC206" s="564">
        <f t="shared" si="52"/>
        <v>0</v>
      </c>
      <c r="AE206" s="564">
        <f t="shared" si="53"/>
        <v>0</v>
      </c>
      <c r="AF206" s="564">
        <f t="shared" si="54"/>
        <v>0</v>
      </c>
      <c r="AG206" s="564">
        <f t="shared" si="55"/>
        <v>0</v>
      </c>
    </row>
    <row r="207" spans="1:33">
      <c r="A207" s="21"/>
      <c r="B207" s="21" t="s">
        <v>109</v>
      </c>
      <c r="C207" s="68" t="s">
        <v>107</v>
      </c>
      <c r="D207" s="571">
        <f>1036.64+554.71+918.62+7945.74</f>
        <v>10455.709999999999</v>
      </c>
      <c r="E207" s="529">
        <f>'Q3 DMV - Revenue'!S196</f>
        <v>11419.989999999998</v>
      </c>
      <c r="F207" s="315"/>
      <c r="G207" s="546"/>
      <c r="H207" s="315"/>
      <c r="I207" s="379">
        <f t="shared" si="62"/>
        <v>21875.699999999997</v>
      </c>
      <c r="J207" s="31"/>
      <c r="K207" s="84"/>
      <c r="L207" s="42"/>
      <c r="M207" s="31">
        <v>-18700</v>
      </c>
      <c r="N207" s="429">
        <v>21875.69</v>
      </c>
      <c r="O207" s="31">
        <v>-18700</v>
      </c>
      <c r="P207" s="426">
        <f t="shared" si="59"/>
        <v>0</v>
      </c>
      <c r="Q207" s="178">
        <v>14515.44</v>
      </c>
      <c r="R207" s="295"/>
      <c r="S207" s="328">
        <f t="shared" si="46"/>
        <v>14515.44</v>
      </c>
      <c r="T207" s="31"/>
      <c r="U207" s="474">
        <f t="shared" si="47"/>
        <v>0</v>
      </c>
      <c r="V207" s="474">
        <f t="shared" si="48"/>
        <v>0</v>
      </c>
      <c r="W207" s="475">
        <f t="shared" si="49"/>
        <v>0</v>
      </c>
      <c r="X207" s="475">
        <v>0</v>
      </c>
      <c r="Y207" s="476">
        <v>0</v>
      </c>
      <c r="Z207" s="38">
        <f t="shared" si="56"/>
        <v>0</v>
      </c>
      <c r="AA207" s="564">
        <f t="shared" si="50"/>
        <v>0</v>
      </c>
      <c r="AB207" s="564">
        <f t="shared" si="51"/>
        <v>21875.699999999997</v>
      </c>
      <c r="AC207" s="564">
        <f t="shared" si="52"/>
        <v>0</v>
      </c>
      <c r="AE207" s="564">
        <f t="shared" si="53"/>
        <v>0</v>
      </c>
      <c r="AF207" s="564">
        <f t="shared" si="54"/>
        <v>0</v>
      </c>
      <c r="AG207" s="564">
        <f t="shared" si="55"/>
        <v>0</v>
      </c>
    </row>
    <row r="208" spans="1:33">
      <c r="A208" s="20"/>
      <c r="B208" s="20" t="s">
        <v>109</v>
      </c>
      <c r="C208" s="68" t="s">
        <v>156</v>
      </c>
      <c r="D208" s="449"/>
      <c r="E208" s="529">
        <f>'Q3 DMV - Revenue'!S197</f>
        <v>-361.51499999999999</v>
      </c>
      <c r="F208" s="342">
        <v>804.49</v>
      </c>
      <c r="G208" s="375">
        <v>664.72</v>
      </c>
      <c r="H208" s="342">
        <v>648.12</v>
      </c>
      <c r="I208" s="379">
        <f t="shared" si="62"/>
        <v>1755.8150000000001</v>
      </c>
      <c r="J208" s="31"/>
      <c r="K208" s="84"/>
      <c r="L208" s="42">
        <v>0</v>
      </c>
      <c r="M208" s="31">
        <v>0</v>
      </c>
      <c r="N208" s="429">
        <v>23684.03</v>
      </c>
      <c r="O208" s="31">
        <v>0</v>
      </c>
      <c r="P208" s="426">
        <f t="shared" si="59"/>
        <v>0</v>
      </c>
      <c r="Q208" s="178"/>
      <c r="R208" s="295"/>
      <c r="S208" s="328">
        <f t="shared" si="46"/>
        <v>0</v>
      </c>
      <c r="T208" s="31"/>
      <c r="U208" s="474">
        <f t="shared" si="47"/>
        <v>0</v>
      </c>
      <c r="V208" s="474">
        <f t="shared" si="48"/>
        <v>0</v>
      </c>
      <c r="W208" s="475">
        <f t="shared" si="49"/>
        <v>0</v>
      </c>
      <c r="X208" s="475">
        <v>0</v>
      </c>
      <c r="Y208" s="476">
        <v>0</v>
      </c>
      <c r="Z208" s="38">
        <f t="shared" si="56"/>
        <v>0</v>
      </c>
      <c r="AA208" s="564">
        <f t="shared" si="50"/>
        <v>0</v>
      </c>
      <c r="AB208" s="564">
        <f t="shared" si="51"/>
        <v>1755.8150000000001</v>
      </c>
      <c r="AC208" s="564">
        <f t="shared" si="52"/>
        <v>0</v>
      </c>
      <c r="AE208" s="564">
        <f t="shared" si="53"/>
        <v>0</v>
      </c>
      <c r="AF208" s="564">
        <f t="shared" si="54"/>
        <v>0</v>
      </c>
      <c r="AG208" s="564">
        <f t="shared" si="55"/>
        <v>0</v>
      </c>
    </row>
    <row r="209" spans="1:33">
      <c r="A209" s="20"/>
      <c r="B209" s="20" t="s">
        <v>109</v>
      </c>
      <c r="C209" s="68" t="s">
        <v>157</v>
      </c>
      <c r="D209" s="449"/>
      <c r="E209" s="529">
        <f>'Q3 DMV - Revenue'!S198</f>
        <v>-1792.5450000000001</v>
      </c>
      <c r="F209" s="342">
        <v>729.46</v>
      </c>
      <c r="G209" s="375">
        <v>5.53</v>
      </c>
      <c r="H209" s="342">
        <v>0</v>
      </c>
      <c r="I209" s="379">
        <f t="shared" si="62"/>
        <v>-1057.5550000000001</v>
      </c>
      <c r="J209" s="31"/>
      <c r="K209" s="84"/>
      <c r="L209" s="42"/>
      <c r="M209" s="31">
        <v>0</v>
      </c>
      <c r="N209" s="429"/>
      <c r="O209" s="31">
        <v>0</v>
      </c>
      <c r="P209" s="426">
        <f t="shared" si="59"/>
        <v>0</v>
      </c>
      <c r="Q209" s="178"/>
      <c r="R209" s="295"/>
      <c r="S209" s="328">
        <f t="shared" si="46"/>
        <v>0</v>
      </c>
      <c r="T209" s="31"/>
      <c r="U209" s="474">
        <f t="shared" si="47"/>
        <v>0</v>
      </c>
      <c r="V209" s="474">
        <f t="shared" si="48"/>
        <v>0</v>
      </c>
      <c r="W209" s="475">
        <f t="shared" si="49"/>
        <v>0</v>
      </c>
      <c r="X209" s="475">
        <v>0</v>
      </c>
      <c r="Y209" s="476">
        <v>0</v>
      </c>
      <c r="Z209" s="38">
        <f t="shared" si="56"/>
        <v>0</v>
      </c>
      <c r="AA209" s="564">
        <f t="shared" si="50"/>
        <v>0</v>
      </c>
      <c r="AB209" s="564">
        <f t="shared" si="51"/>
        <v>-1057.5550000000001</v>
      </c>
      <c r="AC209" s="564">
        <f t="shared" si="52"/>
        <v>0</v>
      </c>
      <c r="AE209" s="564">
        <f t="shared" si="53"/>
        <v>0</v>
      </c>
      <c r="AF209" s="564">
        <f t="shared" si="54"/>
        <v>0</v>
      </c>
      <c r="AG209" s="564">
        <f t="shared" si="55"/>
        <v>0</v>
      </c>
    </row>
    <row r="210" spans="1:33">
      <c r="A210" s="20"/>
      <c r="B210" s="20" t="s">
        <v>109</v>
      </c>
      <c r="C210" s="68" t="s">
        <v>158</v>
      </c>
      <c r="D210" s="449"/>
      <c r="E210" s="529">
        <f>'Q3 DMV - Revenue'!S199</f>
        <v>330.5600000000004</v>
      </c>
      <c r="F210" s="342">
        <v>5936.14</v>
      </c>
      <c r="G210" s="375">
        <v>3706.84</v>
      </c>
      <c r="H210" s="342">
        <v>4749.03</v>
      </c>
      <c r="I210" s="379">
        <f t="shared" si="62"/>
        <v>14722.57</v>
      </c>
      <c r="J210" s="31"/>
      <c r="K210" s="84"/>
      <c r="L210" s="42">
        <v>0</v>
      </c>
      <c r="M210" s="31">
        <v>0</v>
      </c>
      <c r="N210" s="429"/>
      <c r="O210" s="31">
        <v>0</v>
      </c>
      <c r="P210" s="426">
        <f t="shared" si="59"/>
        <v>0</v>
      </c>
      <c r="Q210" s="178"/>
      <c r="R210" s="295"/>
      <c r="S210" s="328">
        <f t="shared" si="46"/>
        <v>0</v>
      </c>
      <c r="T210" s="31"/>
      <c r="U210" s="474">
        <f t="shared" si="47"/>
        <v>0</v>
      </c>
      <c r="V210" s="474">
        <f t="shared" si="48"/>
        <v>0</v>
      </c>
      <c r="W210" s="475">
        <f t="shared" si="49"/>
        <v>0</v>
      </c>
      <c r="X210" s="475">
        <v>0</v>
      </c>
      <c r="Y210" s="476">
        <v>0</v>
      </c>
      <c r="Z210" s="38">
        <f t="shared" si="56"/>
        <v>0</v>
      </c>
      <c r="AA210" s="564">
        <f t="shared" si="50"/>
        <v>0</v>
      </c>
      <c r="AB210" s="564">
        <f t="shared" si="51"/>
        <v>14722.57</v>
      </c>
      <c r="AC210" s="564">
        <f t="shared" si="52"/>
        <v>0</v>
      </c>
      <c r="AE210" s="564">
        <f t="shared" si="53"/>
        <v>0</v>
      </c>
      <c r="AF210" s="564">
        <f t="shared" si="54"/>
        <v>0</v>
      </c>
      <c r="AG210" s="564">
        <f t="shared" si="55"/>
        <v>0</v>
      </c>
    </row>
    <row r="211" spans="1:33">
      <c r="A211" s="21" t="s">
        <v>97</v>
      </c>
      <c r="B211" s="21" t="s">
        <v>109</v>
      </c>
      <c r="C211" s="68" t="s">
        <v>52</v>
      </c>
      <c r="D211" s="449"/>
      <c r="E211" s="529">
        <f>'Q3 DMV - Revenue'!S200</f>
        <v>-6.54</v>
      </c>
      <c r="F211" s="342">
        <v>17.39</v>
      </c>
      <c r="G211" s="546"/>
      <c r="H211" s="315"/>
      <c r="I211" s="379">
        <f t="shared" si="62"/>
        <v>10.850000000000001</v>
      </c>
      <c r="J211" s="31"/>
      <c r="K211" s="84"/>
      <c r="L211" s="42">
        <f>SUM(F211+G211)/2</f>
        <v>8.6950000000000003</v>
      </c>
      <c r="M211" s="31">
        <v>0</v>
      </c>
      <c r="N211" s="429">
        <v>17.39</v>
      </c>
      <c r="O211" s="31">
        <v>0</v>
      </c>
      <c r="P211" s="426">
        <f t="shared" si="59"/>
        <v>8.6950000000000003</v>
      </c>
      <c r="Q211" s="178">
        <v>12.6</v>
      </c>
      <c r="R211" s="295"/>
      <c r="S211" s="328">
        <f t="shared" ref="S211:S257" si="64">Q211-P211</f>
        <v>3.9049999999999994</v>
      </c>
      <c r="T211" s="31"/>
      <c r="U211" s="474">
        <f t="shared" si="47"/>
        <v>0</v>
      </c>
      <c r="V211" s="474">
        <f t="shared" si="48"/>
        <v>8.6950000000000003</v>
      </c>
      <c r="W211" s="475">
        <f t="shared" si="49"/>
        <v>0</v>
      </c>
      <c r="X211" s="475">
        <v>0</v>
      </c>
      <c r="Y211" s="476">
        <v>0</v>
      </c>
      <c r="Z211" s="38">
        <f t="shared" si="56"/>
        <v>0</v>
      </c>
      <c r="AA211" s="564">
        <f t="shared" si="50"/>
        <v>0</v>
      </c>
      <c r="AB211" s="564">
        <f t="shared" si="51"/>
        <v>10.850000000000001</v>
      </c>
      <c r="AC211" s="564">
        <f t="shared" si="52"/>
        <v>0</v>
      </c>
      <c r="AE211" s="564">
        <f t="shared" si="53"/>
        <v>0</v>
      </c>
      <c r="AF211" s="564">
        <f t="shared" si="54"/>
        <v>8.6950000000000003</v>
      </c>
      <c r="AG211" s="564">
        <f t="shared" si="55"/>
        <v>0</v>
      </c>
    </row>
    <row r="212" spans="1:33">
      <c r="A212" s="21"/>
      <c r="B212" s="21" t="s">
        <v>109</v>
      </c>
      <c r="C212" s="68" t="s">
        <v>53</v>
      </c>
      <c r="D212" s="449"/>
      <c r="E212" s="529">
        <f>'Q3 DMV - Revenue'!S201</f>
        <v>38.494999999999891</v>
      </c>
      <c r="F212" s="342">
        <v>6073.41</v>
      </c>
      <c r="G212" s="375">
        <v>6765.42</v>
      </c>
      <c r="H212" s="342">
        <v>7120.7</v>
      </c>
      <c r="I212" s="379">
        <f t="shared" si="62"/>
        <v>19998.025000000001</v>
      </c>
      <c r="J212" s="31"/>
      <c r="K212" s="84"/>
      <c r="L212" s="42">
        <v>0</v>
      </c>
      <c r="M212" s="31">
        <v>0</v>
      </c>
      <c r="N212" s="429">
        <v>26827.439999999999</v>
      </c>
      <c r="O212" s="31">
        <v>0</v>
      </c>
      <c r="P212" s="426">
        <f t="shared" si="59"/>
        <v>0</v>
      </c>
      <c r="Q212" s="178"/>
      <c r="R212" s="295"/>
      <c r="S212" s="328">
        <f t="shared" si="64"/>
        <v>0</v>
      </c>
      <c r="T212" s="31"/>
      <c r="U212" s="474">
        <f t="shared" si="47"/>
        <v>0</v>
      </c>
      <c r="V212" s="474">
        <f t="shared" si="48"/>
        <v>0</v>
      </c>
      <c r="W212" s="475">
        <f t="shared" si="49"/>
        <v>0</v>
      </c>
      <c r="X212" s="475">
        <v>0</v>
      </c>
      <c r="Y212" s="476">
        <v>0</v>
      </c>
      <c r="Z212" s="38">
        <f t="shared" si="56"/>
        <v>0</v>
      </c>
      <c r="AA212" s="564">
        <f t="shared" si="50"/>
        <v>0</v>
      </c>
      <c r="AB212" s="564">
        <f t="shared" si="51"/>
        <v>19998.025000000001</v>
      </c>
      <c r="AC212" s="564">
        <f t="shared" si="52"/>
        <v>0</v>
      </c>
      <c r="AE212" s="564">
        <f t="shared" si="53"/>
        <v>0</v>
      </c>
      <c r="AF212" s="564">
        <f t="shared" si="54"/>
        <v>0</v>
      </c>
      <c r="AG212" s="564">
        <f t="shared" si="55"/>
        <v>0</v>
      </c>
    </row>
    <row r="213" spans="1:33">
      <c r="A213" s="21"/>
      <c r="B213" s="21" t="s">
        <v>109</v>
      </c>
      <c r="C213" s="68" t="s">
        <v>54</v>
      </c>
      <c r="D213" s="449"/>
      <c r="E213" s="529">
        <f>'Q3 DMV - Revenue'!S202</f>
        <v>1826.79</v>
      </c>
      <c r="F213" s="342">
        <f>241.54+316.7</f>
        <v>558.24</v>
      </c>
      <c r="G213" s="546"/>
      <c r="H213" s="315"/>
      <c r="I213" s="379">
        <f t="shared" si="62"/>
        <v>2385.0299999999997</v>
      </c>
      <c r="J213" s="31"/>
      <c r="K213" s="84"/>
      <c r="L213" s="42">
        <f>F213*2</f>
        <v>1116.48</v>
      </c>
      <c r="M213" s="31">
        <v>0</v>
      </c>
      <c r="N213" s="429">
        <v>2385.0300000000002</v>
      </c>
      <c r="O213" s="31">
        <v>0</v>
      </c>
      <c r="P213" s="426">
        <f t="shared" si="59"/>
        <v>1116.48</v>
      </c>
      <c r="Q213" s="178">
        <f>984.16+1550.39</f>
        <v>2534.5500000000002</v>
      </c>
      <c r="R213" s="295"/>
      <c r="S213" s="328">
        <f t="shared" si="64"/>
        <v>1418.0700000000002</v>
      </c>
      <c r="T213" s="31"/>
      <c r="U213" s="474">
        <f t="shared" si="47"/>
        <v>0</v>
      </c>
      <c r="V213" s="474">
        <f t="shared" si="48"/>
        <v>1116.48</v>
      </c>
      <c r="W213" s="475">
        <f t="shared" si="49"/>
        <v>0</v>
      </c>
      <c r="X213" s="475">
        <v>0</v>
      </c>
      <c r="Y213" s="476">
        <v>0</v>
      </c>
      <c r="Z213" s="38">
        <f t="shared" si="56"/>
        <v>0</v>
      </c>
      <c r="AA213" s="564">
        <f t="shared" si="50"/>
        <v>0</v>
      </c>
      <c r="AB213" s="564">
        <f t="shared" si="51"/>
        <v>2385.0299999999997</v>
      </c>
      <c r="AC213" s="564">
        <f t="shared" si="52"/>
        <v>0</v>
      </c>
      <c r="AE213" s="564">
        <f t="shared" si="53"/>
        <v>0</v>
      </c>
      <c r="AF213" s="564">
        <f t="shared" si="54"/>
        <v>1116.48</v>
      </c>
      <c r="AG213" s="564">
        <f t="shared" si="55"/>
        <v>0</v>
      </c>
    </row>
    <row r="214" spans="1:33">
      <c r="A214" s="20"/>
      <c r="B214" s="20" t="s">
        <v>110</v>
      </c>
      <c r="C214" s="68" t="s">
        <v>394</v>
      </c>
      <c r="D214" s="449"/>
      <c r="E214" s="529">
        <f>'Q3 DMV - Revenue'!S203</f>
        <v>7510.65</v>
      </c>
      <c r="F214" s="342">
        <v>1839.01</v>
      </c>
      <c r="G214" s="375">
        <v>1076.49</v>
      </c>
      <c r="H214" s="315"/>
      <c r="I214" s="379">
        <f t="shared" si="62"/>
        <v>10426.15</v>
      </c>
      <c r="J214" s="31"/>
      <c r="K214" s="84"/>
      <c r="L214" s="42">
        <f>SUM(F214+G214)/2</f>
        <v>1457.75</v>
      </c>
      <c r="M214" s="31">
        <v>0</v>
      </c>
      <c r="N214" s="429">
        <v>10426.15</v>
      </c>
      <c r="O214" s="31">
        <v>0</v>
      </c>
      <c r="P214" s="426">
        <f t="shared" si="59"/>
        <v>1457.75</v>
      </c>
      <c r="Q214" s="178"/>
      <c r="R214" s="295"/>
      <c r="S214" s="328">
        <f t="shared" si="64"/>
        <v>-1457.75</v>
      </c>
      <c r="T214" s="31"/>
      <c r="U214" s="474">
        <f t="shared" ref="U214:U257" si="65">IF(B214="D",P214,0)</f>
        <v>1457.75</v>
      </c>
      <c r="V214" s="474">
        <f t="shared" ref="V214:V257" si="66">IF(B214="M",P214,0)</f>
        <v>0</v>
      </c>
      <c r="W214" s="475">
        <f t="shared" ref="W214:W257" si="67">IF(B214="V",P214,0)</f>
        <v>0</v>
      </c>
      <c r="X214" s="475">
        <v>0</v>
      </c>
      <c r="Y214" s="476">
        <v>0</v>
      </c>
      <c r="Z214" s="38">
        <f t="shared" si="56"/>
        <v>0</v>
      </c>
      <c r="AA214" s="564">
        <f t="shared" ref="AA214:AA257" si="68">IF(B214="D",I214,0)</f>
        <v>10426.15</v>
      </c>
      <c r="AB214" s="564">
        <f t="shared" ref="AB214:AB257" si="69">IF(B214="M",I214,0)</f>
        <v>0</v>
      </c>
      <c r="AC214" s="564">
        <f t="shared" ref="AC214:AC257" si="70">IF(B214="V",I214,0)</f>
        <v>0</v>
      </c>
      <c r="AE214" s="564">
        <f t="shared" ref="AE214:AE257" si="71">IF(B214="D",P214,0)</f>
        <v>1457.75</v>
      </c>
      <c r="AF214" s="564">
        <f t="shared" ref="AF214:AF257" si="72">IF(B214="M",P214,0)</f>
        <v>0</v>
      </c>
      <c r="AG214" s="564">
        <f t="shared" ref="AG214:AG257" si="73">IF(B214="V",P214,0)</f>
        <v>0</v>
      </c>
    </row>
    <row r="215" spans="1:33">
      <c r="A215" s="20"/>
      <c r="B215" s="20" t="s">
        <v>110</v>
      </c>
      <c r="C215" s="68" t="s">
        <v>55</v>
      </c>
      <c r="D215" s="449"/>
      <c r="E215" s="529">
        <f>'Q3 DMV - Revenue'!S204</f>
        <v>0</v>
      </c>
      <c r="F215" s="342">
        <v>783.82</v>
      </c>
      <c r="G215" s="375">
        <v>550.75</v>
      </c>
      <c r="H215" s="342">
        <v>460.16</v>
      </c>
      <c r="I215" s="379">
        <f t="shared" si="62"/>
        <v>1794.7300000000002</v>
      </c>
      <c r="J215" s="31"/>
      <c r="K215" s="84"/>
      <c r="L215" s="42"/>
      <c r="M215" s="31">
        <v>0</v>
      </c>
      <c r="N215" s="429">
        <v>1794.73</v>
      </c>
      <c r="O215" s="31">
        <v>0</v>
      </c>
      <c r="P215" s="426">
        <f t="shared" si="59"/>
        <v>0</v>
      </c>
      <c r="Q215" s="178"/>
      <c r="R215" s="295"/>
      <c r="S215" s="328">
        <f t="shared" si="64"/>
        <v>0</v>
      </c>
      <c r="T215" s="31"/>
      <c r="U215" s="474">
        <f t="shared" si="65"/>
        <v>0</v>
      </c>
      <c r="V215" s="474">
        <f t="shared" si="66"/>
        <v>0</v>
      </c>
      <c r="W215" s="475">
        <f t="shared" si="67"/>
        <v>0</v>
      </c>
      <c r="X215" s="475">
        <v>0</v>
      </c>
      <c r="Y215" s="476">
        <v>0</v>
      </c>
      <c r="Z215" s="38">
        <f t="shared" si="56"/>
        <v>0</v>
      </c>
      <c r="AA215" s="564">
        <f t="shared" si="68"/>
        <v>1794.7300000000002</v>
      </c>
      <c r="AB215" s="564">
        <f t="shared" si="69"/>
        <v>0</v>
      </c>
      <c r="AC215" s="564">
        <f t="shared" si="70"/>
        <v>0</v>
      </c>
      <c r="AE215" s="564">
        <f t="shared" si="71"/>
        <v>0</v>
      </c>
      <c r="AF215" s="564">
        <f t="shared" si="72"/>
        <v>0</v>
      </c>
      <c r="AG215" s="564">
        <f t="shared" si="73"/>
        <v>0</v>
      </c>
    </row>
    <row r="216" spans="1:33">
      <c r="A216" s="21" t="s">
        <v>97</v>
      </c>
      <c r="B216" s="21" t="s">
        <v>110</v>
      </c>
      <c r="C216" s="68" t="s">
        <v>175</v>
      </c>
      <c r="D216" s="449"/>
      <c r="E216" s="529">
        <f>'Q3 DMV - Revenue'!S205</f>
        <v>0</v>
      </c>
      <c r="F216" s="315"/>
      <c r="G216" s="546"/>
      <c r="H216" s="315"/>
      <c r="I216" s="379">
        <f t="shared" si="62"/>
        <v>0</v>
      </c>
      <c r="J216" s="31"/>
      <c r="K216" s="84"/>
      <c r="L216" s="42"/>
      <c r="M216" s="31">
        <v>0</v>
      </c>
      <c r="N216" s="429"/>
      <c r="O216" s="31">
        <v>0</v>
      </c>
      <c r="P216" s="426">
        <f t="shared" si="59"/>
        <v>0</v>
      </c>
      <c r="Q216" s="178"/>
      <c r="R216" s="295"/>
      <c r="S216" s="328">
        <f t="shared" si="64"/>
        <v>0</v>
      </c>
      <c r="T216" s="31"/>
      <c r="U216" s="474">
        <f t="shared" si="65"/>
        <v>0</v>
      </c>
      <c r="V216" s="474">
        <f t="shared" si="66"/>
        <v>0</v>
      </c>
      <c r="W216" s="475">
        <f t="shared" si="67"/>
        <v>0</v>
      </c>
      <c r="X216" s="475">
        <v>0</v>
      </c>
      <c r="Y216" s="476">
        <v>0</v>
      </c>
      <c r="Z216" s="38">
        <f t="shared" si="56"/>
        <v>0</v>
      </c>
      <c r="AA216" s="564">
        <f t="shared" si="68"/>
        <v>0</v>
      </c>
      <c r="AB216" s="564">
        <f t="shared" si="69"/>
        <v>0</v>
      </c>
      <c r="AC216" s="564">
        <f t="shared" si="70"/>
        <v>0</v>
      </c>
      <c r="AE216" s="564">
        <f t="shared" si="71"/>
        <v>0</v>
      </c>
      <c r="AF216" s="564">
        <f t="shared" si="72"/>
        <v>0</v>
      </c>
      <c r="AG216" s="564">
        <f t="shared" si="73"/>
        <v>0</v>
      </c>
    </row>
    <row r="217" spans="1:33">
      <c r="A217" s="20" t="s">
        <v>211</v>
      </c>
      <c r="B217" s="20" t="s">
        <v>109</v>
      </c>
      <c r="C217" s="68" t="s">
        <v>56</v>
      </c>
      <c r="D217" s="449"/>
      <c r="E217" s="529">
        <f>'Q3 DMV - Revenue'!S206</f>
        <v>0</v>
      </c>
      <c r="F217" s="315"/>
      <c r="G217" s="546"/>
      <c r="H217" s="315"/>
      <c r="I217" s="379">
        <f t="shared" si="62"/>
        <v>0</v>
      </c>
      <c r="J217" s="2"/>
      <c r="K217" s="336"/>
      <c r="L217" s="42"/>
      <c r="M217" s="31">
        <v>0</v>
      </c>
      <c r="N217" s="429"/>
      <c r="O217" s="31">
        <v>0</v>
      </c>
      <c r="P217" s="426">
        <f t="shared" si="59"/>
        <v>0</v>
      </c>
      <c r="Q217" s="178"/>
      <c r="R217" s="295"/>
      <c r="S217" s="328">
        <f t="shared" si="64"/>
        <v>0</v>
      </c>
      <c r="T217" s="2"/>
      <c r="U217" s="474">
        <f t="shared" si="65"/>
        <v>0</v>
      </c>
      <c r="V217" s="474">
        <f t="shared" si="66"/>
        <v>0</v>
      </c>
      <c r="W217" s="475">
        <f t="shared" si="67"/>
        <v>0</v>
      </c>
      <c r="X217" s="475">
        <v>0</v>
      </c>
      <c r="Y217" s="476">
        <v>0</v>
      </c>
      <c r="Z217" s="38">
        <f t="shared" ref="Z217:Z257" si="74">(K217+L217)-(U217+V217+W217+X217+Y217)</f>
        <v>0</v>
      </c>
      <c r="AA217" s="564">
        <f t="shared" si="68"/>
        <v>0</v>
      </c>
      <c r="AB217" s="564">
        <f t="shared" si="69"/>
        <v>0</v>
      </c>
      <c r="AC217" s="564">
        <f t="shared" si="70"/>
        <v>0</v>
      </c>
      <c r="AE217" s="564">
        <f t="shared" si="71"/>
        <v>0</v>
      </c>
      <c r="AF217" s="564">
        <f t="shared" si="72"/>
        <v>0</v>
      </c>
      <c r="AG217" s="564">
        <f t="shared" si="73"/>
        <v>0</v>
      </c>
    </row>
    <row r="218" spans="1:33">
      <c r="A218" s="20"/>
      <c r="B218" s="20" t="s">
        <v>109</v>
      </c>
      <c r="C218" s="68" t="s">
        <v>159</v>
      </c>
      <c r="D218" s="449"/>
      <c r="E218" s="529">
        <f>'Q3 DMV - Revenue'!S207</f>
        <v>-23469.439999999999</v>
      </c>
      <c r="F218" s="525">
        <v>38217.599999999999</v>
      </c>
      <c r="G218" s="576">
        <v>31943.599999999999</v>
      </c>
      <c r="H218" s="525">
        <v>36233.629999999997</v>
      </c>
      <c r="I218" s="379">
        <f t="shared" si="62"/>
        <v>82925.389999999985</v>
      </c>
      <c r="J218" s="31"/>
      <c r="K218" s="84"/>
      <c r="L218" s="42"/>
      <c r="M218" s="31">
        <v>0</v>
      </c>
      <c r="N218" s="429">
        <v>306376.40999999997</v>
      </c>
      <c r="O218" s="31">
        <v>0</v>
      </c>
      <c r="P218" s="426">
        <f t="shared" si="59"/>
        <v>0</v>
      </c>
      <c r="Q218" s="178"/>
      <c r="R218" s="295"/>
      <c r="S218" s="328">
        <f t="shared" si="64"/>
        <v>0</v>
      </c>
      <c r="T218" s="31"/>
      <c r="U218" s="474">
        <f t="shared" si="65"/>
        <v>0</v>
      </c>
      <c r="V218" s="474">
        <f t="shared" si="66"/>
        <v>0</v>
      </c>
      <c r="W218" s="475">
        <f t="shared" si="67"/>
        <v>0</v>
      </c>
      <c r="X218" s="475">
        <v>0</v>
      </c>
      <c r="Y218" s="476">
        <v>0</v>
      </c>
      <c r="Z218" s="38">
        <f t="shared" si="74"/>
        <v>0</v>
      </c>
      <c r="AA218" s="564">
        <f t="shared" si="68"/>
        <v>0</v>
      </c>
      <c r="AB218" s="564">
        <f t="shared" si="69"/>
        <v>82925.389999999985</v>
      </c>
      <c r="AC218" s="564">
        <f t="shared" si="70"/>
        <v>0</v>
      </c>
      <c r="AE218" s="564">
        <f t="shared" si="71"/>
        <v>0</v>
      </c>
      <c r="AF218" s="564">
        <f t="shared" si="72"/>
        <v>0</v>
      </c>
      <c r="AG218" s="564">
        <f t="shared" si="73"/>
        <v>0</v>
      </c>
    </row>
    <row r="219" spans="1:33">
      <c r="A219" s="20"/>
      <c r="B219" s="20" t="s">
        <v>109</v>
      </c>
      <c r="C219" s="68" t="s">
        <v>160</v>
      </c>
      <c r="D219" s="449"/>
      <c r="E219" s="529">
        <f>'Q3 DMV - Revenue'!S208</f>
        <v>11794.56</v>
      </c>
      <c r="F219" s="525">
        <f>13279.25+57.01+10.78+0.02</f>
        <v>13347.060000000001</v>
      </c>
      <c r="G219" s="576">
        <f>10313.6+1947.6+18</f>
        <v>12279.2</v>
      </c>
      <c r="H219" s="525">
        <v>14633.05</v>
      </c>
      <c r="I219" s="379">
        <f t="shared" si="62"/>
        <v>52053.87000000001</v>
      </c>
      <c r="J219" s="31"/>
      <c r="K219" s="84"/>
      <c r="L219" s="42"/>
      <c r="M219" s="31">
        <v>0</v>
      </c>
      <c r="N219" s="429"/>
      <c r="O219" s="31">
        <v>0</v>
      </c>
      <c r="P219" s="426">
        <f t="shared" si="59"/>
        <v>0</v>
      </c>
      <c r="Q219" s="178"/>
      <c r="R219" s="295"/>
      <c r="S219" s="328">
        <f t="shared" si="64"/>
        <v>0</v>
      </c>
      <c r="T219" s="31"/>
      <c r="U219" s="474">
        <f t="shared" si="65"/>
        <v>0</v>
      </c>
      <c r="V219" s="474">
        <f t="shared" si="66"/>
        <v>0</v>
      </c>
      <c r="W219" s="475">
        <f t="shared" si="67"/>
        <v>0</v>
      </c>
      <c r="X219" s="475">
        <v>0</v>
      </c>
      <c r="Y219" s="476">
        <v>0</v>
      </c>
      <c r="Z219" s="38">
        <f t="shared" si="74"/>
        <v>0</v>
      </c>
      <c r="AA219" s="564">
        <f t="shared" si="68"/>
        <v>0</v>
      </c>
      <c r="AB219" s="564">
        <f t="shared" si="69"/>
        <v>52053.87000000001</v>
      </c>
      <c r="AC219" s="564">
        <f t="shared" si="70"/>
        <v>0</v>
      </c>
      <c r="AE219" s="564">
        <f t="shared" si="71"/>
        <v>0</v>
      </c>
      <c r="AF219" s="564">
        <f t="shared" si="72"/>
        <v>0</v>
      </c>
      <c r="AG219" s="564">
        <f t="shared" si="73"/>
        <v>0</v>
      </c>
    </row>
    <row r="220" spans="1:33">
      <c r="A220" s="21"/>
      <c r="B220" s="21" t="s">
        <v>109</v>
      </c>
      <c r="C220" s="68" t="s">
        <v>161</v>
      </c>
      <c r="D220" s="449"/>
      <c r="E220" s="529">
        <f>'Q3 DMV - Revenue'!S209</f>
        <v>0</v>
      </c>
      <c r="F220" s="525">
        <v>59265.55</v>
      </c>
      <c r="G220" s="576">
        <v>51179.49</v>
      </c>
      <c r="H220" s="525">
        <v>46431.81</v>
      </c>
      <c r="I220" s="379">
        <f t="shared" si="62"/>
        <v>156876.85</v>
      </c>
      <c r="J220" s="31"/>
      <c r="K220" s="84"/>
      <c r="L220" s="42"/>
      <c r="M220" s="31">
        <v>0</v>
      </c>
      <c r="N220" s="429"/>
      <c r="O220" s="31">
        <v>0</v>
      </c>
      <c r="P220" s="426">
        <f t="shared" si="59"/>
        <v>0</v>
      </c>
      <c r="Q220" s="178"/>
      <c r="R220" s="295"/>
      <c r="S220" s="328">
        <f t="shared" si="64"/>
        <v>0</v>
      </c>
      <c r="T220" s="31"/>
      <c r="U220" s="474">
        <f t="shared" si="65"/>
        <v>0</v>
      </c>
      <c r="V220" s="474">
        <f t="shared" si="66"/>
        <v>0</v>
      </c>
      <c r="W220" s="475">
        <f t="shared" si="67"/>
        <v>0</v>
      </c>
      <c r="X220" s="475">
        <v>0</v>
      </c>
      <c r="Y220" s="476">
        <v>0</v>
      </c>
      <c r="Z220" s="38">
        <f t="shared" si="74"/>
        <v>0</v>
      </c>
      <c r="AA220" s="564">
        <f t="shared" si="68"/>
        <v>0</v>
      </c>
      <c r="AB220" s="564">
        <f t="shared" si="69"/>
        <v>156876.85</v>
      </c>
      <c r="AC220" s="564">
        <f t="shared" si="70"/>
        <v>0</v>
      </c>
      <c r="AE220" s="564">
        <f t="shared" si="71"/>
        <v>0</v>
      </c>
      <c r="AF220" s="564">
        <f t="shared" si="72"/>
        <v>0</v>
      </c>
      <c r="AG220" s="564">
        <f t="shared" si="73"/>
        <v>0</v>
      </c>
    </row>
    <row r="221" spans="1:33">
      <c r="A221" s="21"/>
      <c r="B221" s="21" t="s">
        <v>109</v>
      </c>
      <c r="C221" s="68" t="s">
        <v>162</v>
      </c>
      <c r="D221" s="449"/>
      <c r="E221" s="529">
        <f>'Q3 DMV - Revenue'!S210</f>
        <v>0</v>
      </c>
      <c r="F221" s="525">
        <v>6246.6</v>
      </c>
      <c r="G221" s="576">
        <v>4446.57</v>
      </c>
      <c r="H221" s="525">
        <v>3827.13</v>
      </c>
      <c r="I221" s="379">
        <f t="shared" si="62"/>
        <v>14520.3</v>
      </c>
      <c r="J221" s="31"/>
      <c r="K221" s="84"/>
      <c r="L221" s="42"/>
      <c r="M221" s="31">
        <v>0</v>
      </c>
      <c r="N221" s="429"/>
      <c r="O221" s="31">
        <v>0</v>
      </c>
      <c r="P221" s="426">
        <f t="shared" si="59"/>
        <v>0</v>
      </c>
      <c r="Q221" s="178"/>
      <c r="R221" s="295"/>
      <c r="S221" s="328">
        <f t="shared" si="64"/>
        <v>0</v>
      </c>
      <c r="T221" s="31"/>
      <c r="U221" s="474">
        <f t="shared" si="65"/>
        <v>0</v>
      </c>
      <c r="V221" s="474">
        <f t="shared" si="66"/>
        <v>0</v>
      </c>
      <c r="W221" s="475">
        <f t="shared" si="67"/>
        <v>0</v>
      </c>
      <c r="X221" s="475">
        <v>0</v>
      </c>
      <c r="Y221" s="476">
        <v>0</v>
      </c>
      <c r="Z221" s="38">
        <f t="shared" si="74"/>
        <v>0</v>
      </c>
      <c r="AA221" s="564">
        <f t="shared" si="68"/>
        <v>0</v>
      </c>
      <c r="AB221" s="564">
        <f t="shared" si="69"/>
        <v>14520.3</v>
      </c>
      <c r="AC221" s="564">
        <f t="shared" si="70"/>
        <v>0</v>
      </c>
      <c r="AE221" s="564">
        <f t="shared" si="71"/>
        <v>0</v>
      </c>
      <c r="AF221" s="564">
        <f t="shared" si="72"/>
        <v>0</v>
      </c>
      <c r="AG221" s="564">
        <f t="shared" si="73"/>
        <v>0</v>
      </c>
    </row>
    <row r="222" spans="1:33">
      <c r="A222" s="21"/>
      <c r="B222" s="21" t="s">
        <v>109</v>
      </c>
      <c r="C222" s="68" t="s">
        <v>163</v>
      </c>
      <c r="D222" s="449"/>
      <c r="E222" s="529">
        <f>'Q3 DMV - Revenue'!S211</f>
        <v>0</v>
      </c>
      <c r="F222" s="342">
        <v>8245.24</v>
      </c>
      <c r="G222" s="375">
        <v>8402.4599999999991</v>
      </c>
      <c r="H222" s="342">
        <v>9531.2199999999993</v>
      </c>
      <c r="I222" s="379">
        <f t="shared" si="62"/>
        <v>26178.92</v>
      </c>
      <c r="J222" s="3"/>
      <c r="K222" s="84"/>
      <c r="L222" s="42"/>
      <c r="M222" s="11">
        <v>0</v>
      </c>
      <c r="N222" s="429">
        <v>26636.1</v>
      </c>
      <c r="O222" s="11">
        <v>0</v>
      </c>
      <c r="P222" s="426">
        <f t="shared" si="59"/>
        <v>0</v>
      </c>
      <c r="Q222" s="178"/>
      <c r="R222" s="296"/>
      <c r="S222" s="328">
        <f t="shared" si="64"/>
        <v>0</v>
      </c>
      <c r="T222" s="3"/>
      <c r="U222" s="474">
        <f t="shared" si="65"/>
        <v>0</v>
      </c>
      <c r="V222" s="474">
        <f t="shared" si="66"/>
        <v>0</v>
      </c>
      <c r="W222" s="475">
        <f t="shared" si="67"/>
        <v>0</v>
      </c>
      <c r="X222" s="475">
        <v>0</v>
      </c>
      <c r="Y222" s="476">
        <v>0</v>
      </c>
      <c r="Z222" s="38">
        <f t="shared" si="74"/>
        <v>0</v>
      </c>
      <c r="AA222" s="564">
        <f t="shared" si="68"/>
        <v>0</v>
      </c>
      <c r="AB222" s="564">
        <f t="shared" si="69"/>
        <v>26178.92</v>
      </c>
      <c r="AC222" s="564">
        <f t="shared" si="70"/>
        <v>0</v>
      </c>
      <c r="AE222" s="564">
        <f t="shared" si="71"/>
        <v>0</v>
      </c>
      <c r="AF222" s="564">
        <f t="shared" si="72"/>
        <v>0</v>
      </c>
      <c r="AG222" s="564">
        <f t="shared" si="73"/>
        <v>0</v>
      </c>
    </row>
    <row r="223" spans="1:33">
      <c r="A223" s="21"/>
      <c r="B223" s="21" t="s">
        <v>109</v>
      </c>
      <c r="C223" s="412" t="s">
        <v>164</v>
      </c>
      <c r="D223" s="449"/>
      <c r="E223" s="529">
        <f>'Q3 DMV - Revenue'!S212</f>
        <v>0</v>
      </c>
      <c r="F223" s="342">
        <v>150.16999999999999</v>
      </c>
      <c r="G223" s="375">
        <v>121.36</v>
      </c>
      <c r="H223" s="342">
        <v>185.65</v>
      </c>
      <c r="I223" s="379">
        <f t="shared" si="62"/>
        <v>457.17999999999995</v>
      </c>
      <c r="J223" s="3"/>
      <c r="K223" s="84"/>
      <c r="L223" s="42"/>
      <c r="M223" s="11">
        <v>0</v>
      </c>
      <c r="N223" s="429"/>
      <c r="O223" s="11">
        <v>0</v>
      </c>
      <c r="P223" s="426">
        <f t="shared" si="59"/>
        <v>0</v>
      </c>
      <c r="Q223" s="178"/>
      <c r="R223" s="296"/>
      <c r="S223" s="328">
        <f t="shared" si="64"/>
        <v>0</v>
      </c>
      <c r="T223" s="3"/>
      <c r="U223" s="474">
        <f t="shared" si="65"/>
        <v>0</v>
      </c>
      <c r="V223" s="474">
        <f t="shared" si="66"/>
        <v>0</v>
      </c>
      <c r="W223" s="475">
        <f t="shared" si="67"/>
        <v>0</v>
      </c>
      <c r="X223" s="475">
        <v>0</v>
      </c>
      <c r="Y223" s="476">
        <v>0</v>
      </c>
      <c r="Z223" s="38">
        <f t="shared" si="74"/>
        <v>0</v>
      </c>
      <c r="AA223" s="564">
        <f t="shared" si="68"/>
        <v>0</v>
      </c>
      <c r="AB223" s="564">
        <f t="shared" si="69"/>
        <v>457.17999999999995</v>
      </c>
      <c r="AC223" s="564">
        <f t="shared" si="70"/>
        <v>0</v>
      </c>
      <c r="AE223" s="564">
        <f t="shared" si="71"/>
        <v>0</v>
      </c>
      <c r="AF223" s="564">
        <f t="shared" si="72"/>
        <v>0</v>
      </c>
      <c r="AG223" s="564">
        <f t="shared" si="73"/>
        <v>0</v>
      </c>
    </row>
    <row r="224" spans="1:33">
      <c r="A224" s="21" t="s">
        <v>109</v>
      </c>
      <c r="B224" s="21" t="s">
        <v>114</v>
      </c>
      <c r="C224" s="412" t="s">
        <v>318</v>
      </c>
      <c r="D224" s="449">
        <f>10+4+62+18</f>
        <v>94</v>
      </c>
      <c r="E224" s="529">
        <f>'Q3 DMV - Revenue'!S213</f>
        <v>103</v>
      </c>
      <c r="F224" s="315"/>
      <c r="G224" s="546"/>
      <c r="H224" s="315"/>
      <c r="I224" s="379">
        <f t="shared" si="62"/>
        <v>197</v>
      </c>
      <c r="J224" s="31"/>
      <c r="K224" s="84"/>
      <c r="L224" s="42"/>
      <c r="M224" s="11">
        <v>0</v>
      </c>
      <c r="N224" s="429">
        <v>213</v>
      </c>
      <c r="O224" s="11">
        <v>0</v>
      </c>
      <c r="P224" s="426">
        <f t="shared" si="59"/>
        <v>0</v>
      </c>
      <c r="Q224" s="178">
        <f>140+456+207</f>
        <v>803</v>
      </c>
      <c r="R224" s="296"/>
      <c r="S224" s="328">
        <f t="shared" si="64"/>
        <v>803</v>
      </c>
      <c r="T224" s="31"/>
      <c r="U224" s="474">
        <f t="shared" si="65"/>
        <v>0</v>
      </c>
      <c r="V224" s="474">
        <f t="shared" si="66"/>
        <v>0</v>
      </c>
      <c r="W224" s="475">
        <f t="shared" si="67"/>
        <v>0</v>
      </c>
      <c r="X224" s="475">
        <v>0</v>
      </c>
      <c r="Y224" s="476">
        <v>0</v>
      </c>
      <c r="Z224" s="38">
        <f t="shared" si="74"/>
        <v>0</v>
      </c>
      <c r="AA224" s="564">
        <f t="shared" si="68"/>
        <v>0</v>
      </c>
      <c r="AB224" s="564">
        <f t="shared" si="69"/>
        <v>0</v>
      </c>
      <c r="AC224" s="564">
        <f t="shared" si="70"/>
        <v>197</v>
      </c>
      <c r="AE224" s="564">
        <f t="shared" si="71"/>
        <v>0</v>
      </c>
      <c r="AF224" s="564">
        <f t="shared" si="72"/>
        <v>0</v>
      </c>
      <c r="AG224" s="564">
        <f t="shared" si="73"/>
        <v>0</v>
      </c>
    </row>
    <row r="225" spans="1:33">
      <c r="A225" s="20" t="s">
        <v>211</v>
      </c>
      <c r="B225" s="20" t="s">
        <v>109</v>
      </c>
      <c r="C225" s="68" t="s">
        <v>57</v>
      </c>
      <c r="D225" s="449">
        <v>1451.79</v>
      </c>
      <c r="E225" s="529">
        <f>'Q3 DMV - Revenue'!S214</f>
        <v>-1785.24</v>
      </c>
      <c r="F225" s="315"/>
      <c r="G225" s="546"/>
      <c r="H225" s="315"/>
      <c r="I225" s="379">
        <f t="shared" si="62"/>
        <v>-333.45000000000005</v>
      </c>
      <c r="J225" s="31"/>
      <c r="K225" s="84"/>
      <c r="L225" s="42">
        <v>1000</v>
      </c>
      <c r="M225" s="31">
        <v>0</v>
      </c>
      <c r="N225" s="429">
        <v>2666.55</v>
      </c>
      <c r="O225" s="31">
        <v>0</v>
      </c>
      <c r="P225" s="426">
        <f t="shared" si="59"/>
        <v>1000</v>
      </c>
      <c r="Q225" s="178">
        <v>1257.1099999999999</v>
      </c>
      <c r="R225" s="295"/>
      <c r="S225" s="328">
        <f t="shared" si="64"/>
        <v>257.1099999999999</v>
      </c>
      <c r="T225" s="31"/>
      <c r="U225" s="474">
        <f t="shared" si="65"/>
        <v>0</v>
      </c>
      <c r="V225" s="474">
        <f t="shared" si="66"/>
        <v>1000</v>
      </c>
      <c r="W225" s="475">
        <f t="shared" si="67"/>
        <v>0</v>
      </c>
      <c r="X225" s="475">
        <v>0</v>
      </c>
      <c r="Y225" s="476">
        <v>0</v>
      </c>
      <c r="Z225" s="38">
        <f t="shared" si="74"/>
        <v>0</v>
      </c>
      <c r="AA225" s="564">
        <f t="shared" si="68"/>
        <v>0</v>
      </c>
      <c r="AB225" s="564">
        <f t="shared" si="69"/>
        <v>-333.45000000000005</v>
      </c>
      <c r="AC225" s="564">
        <f t="shared" si="70"/>
        <v>0</v>
      </c>
      <c r="AE225" s="564">
        <f t="shared" si="71"/>
        <v>0</v>
      </c>
      <c r="AF225" s="564">
        <f t="shared" si="72"/>
        <v>1000</v>
      </c>
      <c r="AG225" s="564">
        <f t="shared" si="73"/>
        <v>0</v>
      </c>
    </row>
    <row r="226" spans="1:33">
      <c r="A226" s="20" t="s">
        <v>109</v>
      </c>
      <c r="B226" s="20" t="s">
        <v>109</v>
      </c>
      <c r="C226" s="68" t="s">
        <v>239</v>
      </c>
      <c r="D226" s="449"/>
      <c r="E226" s="529">
        <f>'Q3 DMV - Revenue'!S215</f>
        <v>-2000</v>
      </c>
      <c r="F226" s="315"/>
      <c r="G226" s="546"/>
      <c r="H226" s="315"/>
      <c r="I226" s="379">
        <f t="shared" si="62"/>
        <v>-2000</v>
      </c>
      <c r="J226" s="31"/>
      <c r="K226" s="84"/>
      <c r="L226" s="42"/>
      <c r="M226" s="31">
        <v>0</v>
      </c>
      <c r="N226" s="429"/>
      <c r="O226" s="31">
        <v>0</v>
      </c>
      <c r="P226" s="426">
        <f t="shared" ref="P226:P257" si="75">K226+L226</f>
        <v>0</v>
      </c>
      <c r="Q226" s="178"/>
      <c r="R226" s="295"/>
      <c r="S226" s="328">
        <f t="shared" si="64"/>
        <v>0</v>
      </c>
      <c r="T226" s="31"/>
      <c r="U226" s="474">
        <f t="shared" si="65"/>
        <v>0</v>
      </c>
      <c r="V226" s="474">
        <f t="shared" si="66"/>
        <v>0</v>
      </c>
      <c r="W226" s="475">
        <f t="shared" si="67"/>
        <v>0</v>
      </c>
      <c r="X226" s="475">
        <v>0</v>
      </c>
      <c r="Y226" s="476">
        <v>0</v>
      </c>
      <c r="Z226" s="38">
        <f t="shared" si="74"/>
        <v>0</v>
      </c>
      <c r="AA226" s="564">
        <f t="shared" si="68"/>
        <v>0</v>
      </c>
      <c r="AB226" s="564">
        <f t="shared" si="69"/>
        <v>-2000</v>
      </c>
      <c r="AC226" s="564">
        <f t="shared" si="70"/>
        <v>0</v>
      </c>
      <c r="AE226" s="564">
        <f t="shared" si="71"/>
        <v>0</v>
      </c>
      <c r="AF226" s="564">
        <f t="shared" si="72"/>
        <v>0</v>
      </c>
      <c r="AG226" s="564">
        <f t="shared" si="73"/>
        <v>0</v>
      </c>
    </row>
    <row r="227" spans="1:33">
      <c r="A227" s="20"/>
      <c r="B227" s="20" t="s">
        <v>110</v>
      </c>
      <c r="C227" s="68" t="s">
        <v>395</v>
      </c>
      <c r="D227" s="449"/>
      <c r="E227" s="529">
        <f>'Q3 DMV - Revenue'!S216</f>
        <v>-867.35500000000002</v>
      </c>
      <c r="F227" s="315"/>
      <c r="G227" s="546"/>
      <c r="H227" s="315"/>
      <c r="I227" s="379">
        <f t="shared" si="62"/>
        <v>-867.35500000000002</v>
      </c>
      <c r="J227" s="31"/>
      <c r="K227" s="84"/>
      <c r="L227" s="42"/>
      <c r="M227" s="31"/>
      <c r="N227" s="429"/>
      <c r="O227" s="31"/>
      <c r="P227" s="426">
        <f t="shared" si="75"/>
        <v>0</v>
      </c>
      <c r="Q227" s="178"/>
      <c r="R227" s="295"/>
      <c r="S227" s="328">
        <f t="shared" si="64"/>
        <v>0</v>
      </c>
      <c r="T227" s="31"/>
      <c r="U227" s="474">
        <f t="shared" si="65"/>
        <v>0</v>
      </c>
      <c r="V227" s="474">
        <f t="shared" si="66"/>
        <v>0</v>
      </c>
      <c r="W227" s="475">
        <f t="shared" si="67"/>
        <v>0</v>
      </c>
      <c r="X227" s="475">
        <v>0</v>
      </c>
      <c r="Y227" s="476">
        <v>0</v>
      </c>
      <c r="Z227" s="38">
        <f t="shared" si="74"/>
        <v>0</v>
      </c>
      <c r="AA227" s="564">
        <f t="shared" si="68"/>
        <v>-867.35500000000002</v>
      </c>
      <c r="AB227" s="564">
        <f t="shared" si="69"/>
        <v>0</v>
      </c>
      <c r="AC227" s="564">
        <f t="shared" si="70"/>
        <v>0</v>
      </c>
      <c r="AE227" s="564">
        <f t="shared" si="71"/>
        <v>0</v>
      </c>
      <c r="AF227" s="564">
        <f t="shared" si="72"/>
        <v>0</v>
      </c>
      <c r="AG227" s="564">
        <f t="shared" si="73"/>
        <v>0</v>
      </c>
    </row>
    <row r="228" spans="1:33" s="232" customFormat="1">
      <c r="A228" s="283"/>
      <c r="B228" s="283" t="s">
        <v>114</v>
      </c>
      <c r="C228" s="123" t="s">
        <v>371</v>
      </c>
      <c r="D228" s="514"/>
      <c r="E228" s="529">
        <f>'Q3 DMV - Revenue'!S217</f>
        <v>1242.6699999999983</v>
      </c>
      <c r="F228" s="342">
        <v>60248.06</v>
      </c>
      <c r="G228" s="375">
        <v>69966.77</v>
      </c>
      <c r="H228" s="342">
        <v>93006.17</v>
      </c>
      <c r="I228" s="379">
        <f t="shared" si="62"/>
        <v>224463.66999999998</v>
      </c>
      <c r="J228" s="31"/>
      <c r="K228" s="86">
        <f>4679.45+5657.01+9028.94</f>
        <v>19365.400000000001</v>
      </c>
      <c r="L228" s="290"/>
      <c r="M228" s="31">
        <v>0</v>
      </c>
      <c r="N228" s="429">
        <v>420002.97</v>
      </c>
      <c r="O228" s="31">
        <v>0</v>
      </c>
      <c r="P228" s="426">
        <f t="shared" si="75"/>
        <v>19365.400000000001</v>
      </c>
      <c r="Q228" s="14">
        <v>19366.07</v>
      </c>
      <c r="R228" s="295"/>
      <c r="S228" s="328">
        <f t="shared" si="64"/>
        <v>0.66999999999825377</v>
      </c>
      <c r="T228" s="31"/>
      <c r="U228" s="474">
        <f t="shared" si="65"/>
        <v>0</v>
      </c>
      <c r="V228" s="474">
        <f t="shared" si="66"/>
        <v>0</v>
      </c>
      <c r="W228" s="475">
        <f t="shared" si="67"/>
        <v>19365.400000000001</v>
      </c>
      <c r="X228" s="475">
        <v>0</v>
      </c>
      <c r="Y228" s="476">
        <v>0</v>
      </c>
      <c r="Z228" s="38">
        <f t="shared" si="74"/>
        <v>0</v>
      </c>
      <c r="AA228" s="564">
        <f t="shared" si="68"/>
        <v>0</v>
      </c>
      <c r="AB228" s="564">
        <f t="shared" si="69"/>
        <v>0</v>
      </c>
      <c r="AC228" s="564">
        <f t="shared" si="70"/>
        <v>224463.66999999998</v>
      </c>
      <c r="AD228" s="565"/>
      <c r="AE228" s="564">
        <f t="shared" si="71"/>
        <v>0</v>
      </c>
      <c r="AF228" s="564">
        <f t="shared" si="72"/>
        <v>0</v>
      </c>
      <c r="AG228" s="564">
        <f t="shared" si="73"/>
        <v>19365.400000000001</v>
      </c>
    </row>
    <row r="229" spans="1:33" s="232" customFormat="1">
      <c r="A229" s="283"/>
      <c r="B229" s="283" t="s">
        <v>110</v>
      </c>
      <c r="C229" s="123" t="s">
        <v>422</v>
      </c>
      <c r="D229" s="514"/>
      <c r="E229" s="529">
        <f>'Q3 DMV - Revenue'!S218</f>
        <v>-1305.3799999999974</v>
      </c>
      <c r="F229" s="342">
        <v>16019.65</v>
      </c>
      <c r="G229" s="342">
        <v>18363.060000000001</v>
      </c>
      <c r="H229" s="342">
        <v>22462.27</v>
      </c>
      <c r="I229" s="379">
        <f t="shared" si="62"/>
        <v>55539.600000000006</v>
      </c>
      <c r="J229" s="31"/>
      <c r="K229" s="86"/>
      <c r="L229" s="290"/>
      <c r="M229" s="31">
        <v>0</v>
      </c>
      <c r="N229" s="429"/>
      <c r="O229" s="31">
        <v>0</v>
      </c>
      <c r="P229" s="426">
        <f t="shared" si="75"/>
        <v>0</v>
      </c>
      <c r="Q229" s="14"/>
      <c r="R229" s="295"/>
      <c r="S229" s="328">
        <f t="shared" si="64"/>
        <v>0</v>
      </c>
      <c r="T229" s="31"/>
      <c r="U229" s="474">
        <f t="shared" si="65"/>
        <v>0</v>
      </c>
      <c r="V229" s="474">
        <f t="shared" si="66"/>
        <v>0</v>
      </c>
      <c r="W229" s="475">
        <f t="shared" si="67"/>
        <v>0</v>
      </c>
      <c r="X229" s="475">
        <v>0</v>
      </c>
      <c r="Y229" s="476">
        <v>0</v>
      </c>
      <c r="Z229" s="38">
        <f t="shared" si="74"/>
        <v>0</v>
      </c>
      <c r="AA229" s="564">
        <f t="shared" si="68"/>
        <v>55539.600000000006</v>
      </c>
      <c r="AB229" s="564">
        <f t="shared" si="69"/>
        <v>0</v>
      </c>
      <c r="AC229" s="564">
        <f t="shared" si="70"/>
        <v>0</v>
      </c>
      <c r="AD229" s="565"/>
      <c r="AE229" s="564">
        <f t="shared" si="71"/>
        <v>0</v>
      </c>
      <c r="AF229" s="564">
        <f t="shared" si="72"/>
        <v>0</v>
      </c>
      <c r="AG229" s="564">
        <f t="shared" si="73"/>
        <v>0</v>
      </c>
    </row>
    <row r="230" spans="1:33" s="232" customFormat="1">
      <c r="A230" s="283"/>
      <c r="B230" s="283" t="s">
        <v>110</v>
      </c>
      <c r="C230" s="123" t="s">
        <v>442</v>
      </c>
      <c r="D230" s="514"/>
      <c r="E230" s="529">
        <f>'Q3 DMV - Revenue'!S219</f>
        <v>-1000</v>
      </c>
      <c r="F230" s="315"/>
      <c r="G230" s="315"/>
      <c r="H230" s="315"/>
      <c r="I230" s="379">
        <f t="shared" si="62"/>
        <v>-1000</v>
      </c>
      <c r="J230" s="31"/>
      <c r="K230" s="86">
        <f>15800+7460+6560</f>
        <v>29820</v>
      </c>
      <c r="L230" s="290"/>
      <c r="M230" s="31">
        <v>0</v>
      </c>
      <c r="N230" s="429"/>
      <c r="O230" s="31">
        <v>0</v>
      </c>
      <c r="P230" s="426">
        <f t="shared" ref="P230" si="76">K230+L230</f>
        <v>29820</v>
      </c>
      <c r="Q230" s="14">
        <f>15854.88+7461.61+6564.49</f>
        <v>29880.979999999996</v>
      </c>
      <c r="R230" s="295"/>
      <c r="S230" s="328">
        <f t="shared" si="64"/>
        <v>60.979999999995925</v>
      </c>
      <c r="T230" s="31"/>
      <c r="U230" s="474">
        <f t="shared" si="65"/>
        <v>29820</v>
      </c>
      <c r="V230" s="474">
        <f t="shared" si="66"/>
        <v>0</v>
      </c>
      <c r="W230" s="475">
        <f t="shared" si="67"/>
        <v>0</v>
      </c>
      <c r="X230" s="475">
        <v>0</v>
      </c>
      <c r="Y230" s="476">
        <v>0</v>
      </c>
      <c r="Z230" s="38">
        <f t="shared" si="74"/>
        <v>0</v>
      </c>
      <c r="AA230" s="564">
        <f t="shared" si="68"/>
        <v>-1000</v>
      </c>
      <c r="AB230" s="564">
        <f t="shared" si="69"/>
        <v>0</v>
      </c>
      <c r="AC230" s="564">
        <f t="shared" si="70"/>
        <v>0</v>
      </c>
      <c r="AD230" s="565"/>
      <c r="AE230" s="564">
        <f t="shared" si="71"/>
        <v>29820</v>
      </c>
      <c r="AF230" s="564">
        <f t="shared" si="72"/>
        <v>0</v>
      </c>
      <c r="AG230" s="564">
        <f t="shared" si="73"/>
        <v>0</v>
      </c>
    </row>
    <row r="231" spans="1:33">
      <c r="A231" s="20"/>
      <c r="B231" s="20" t="s">
        <v>109</v>
      </c>
      <c r="C231" s="68" t="s">
        <v>304</v>
      </c>
      <c r="D231" s="449"/>
      <c r="E231" s="529">
        <f>'Q3 DMV - Revenue'!S219</f>
        <v>-1000</v>
      </c>
      <c r="F231" s="315"/>
      <c r="G231" s="546"/>
      <c r="H231" s="315"/>
      <c r="I231" s="379">
        <f t="shared" si="62"/>
        <v>-1000</v>
      </c>
      <c r="J231" s="31"/>
      <c r="K231" s="84"/>
      <c r="L231" s="42"/>
      <c r="M231" s="31">
        <v>0</v>
      </c>
      <c r="N231" s="429"/>
      <c r="O231" s="31">
        <v>0</v>
      </c>
      <c r="P231" s="426">
        <f t="shared" si="75"/>
        <v>0</v>
      </c>
      <c r="Q231" s="178">
        <v>2154.64</v>
      </c>
      <c r="R231" s="295"/>
      <c r="S231" s="328">
        <f t="shared" si="64"/>
        <v>2154.64</v>
      </c>
      <c r="T231" s="31"/>
      <c r="U231" s="474">
        <f t="shared" si="65"/>
        <v>0</v>
      </c>
      <c r="V231" s="474">
        <f t="shared" si="66"/>
        <v>0</v>
      </c>
      <c r="W231" s="475">
        <f t="shared" si="67"/>
        <v>0</v>
      </c>
      <c r="X231" s="475">
        <v>0</v>
      </c>
      <c r="Y231" s="476">
        <v>0</v>
      </c>
      <c r="Z231" s="38">
        <f t="shared" si="74"/>
        <v>0</v>
      </c>
      <c r="AA231" s="564">
        <f t="shared" si="68"/>
        <v>0</v>
      </c>
      <c r="AB231" s="564">
        <f t="shared" si="69"/>
        <v>-1000</v>
      </c>
      <c r="AC231" s="564">
        <f t="shared" si="70"/>
        <v>0</v>
      </c>
      <c r="AE231" s="564">
        <f t="shared" si="71"/>
        <v>0</v>
      </c>
      <c r="AF231" s="564">
        <f t="shared" si="72"/>
        <v>0</v>
      </c>
      <c r="AG231" s="564">
        <f t="shared" si="73"/>
        <v>0</v>
      </c>
    </row>
    <row r="232" spans="1:33">
      <c r="A232" s="21" t="s">
        <v>97</v>
      </c>
      <c r="B232" s="21" t="s">
        <v>109</v>
      </c>
      <c r="C232" s="68" t="s">
        <v>381</v>
      </c>
      <c r="D232" s="449"/>
      <c r="E232" s="529">
        <f>'Q3 DMV - Revenue'!S220</f>
        <v>2179.6900000000005</v>
      </c>
      <c r="F232" s="315"/>
      <c r="G232" s="546"/>
      <c r="H232" s="315"/>
      <c r="I232" s="379">
        <f t="shared" si="62"/>
        <v>2179.6900000000005</v>
      </c>
      <c r="J232" s="31"/>
      <c r="K232" s="84"/>
      <c r="L232" s="42">
        <v>5000</v>
      </c>
      <c r="M232" s="31">
        <v>0</v>
      </c>
      <c r="N232" s="429">
        <v>5179.08</v>
      </c>
      <c r="O232" s="31">
        <v>0</v>
      </c>
      <c r="P232" s="426">
        <f t="shared" si="75"/>
        <v>5000</v>
      </c>
      <c r="Q232" s="178">
        <f>1772.11+1204.74</f>
        <v>2976.85</v>
      </c>
      <c r="R232" s="295"/>
      <c r="S232" s="328">
        <f t="shared" si="64"/>
        <v>-2023.15</v>
      </c>
      <c r="T232" s="31"/>
      <c r="U232" s="474">
        <f t="shared" si="65"/>
        <v>0</v>
      </c>
      <c r="V232" s="474">
        <f t="shared" si="66"/>
        <v>5000</v>
      </c>
      <c r="W232" s="475">
        <f t="shared" si="67"/>
        <v>0</v>
      </c>
      <c r="X232" s="475">
        <v>0</v>
      </c>
      <c r="Y232" s="476">
        <v>0</v>
      </c>
      <c r="Z232" s="38">
        <f t="shared" si="74"/>
        <v>0</v>
      </c>
      <c r="AA232" s="564">
        <f t="shared" si="68"/>
        <v>0</v>
      </c>
      <c r="AB232" s="564">
        <f t="shared" si="69"/>
        <v>2179.6900000000005</v>
      </c>
      <c r="AC232" s="564">
        <f t="shared" si="70"/>
        <v>0</v>
      </c>
      <c r="AE232" s="564">
        <f t="shared" si="71"/>
        <v>0</v>
      </c>
      <c r="AF232" s="564">
        <f t="shared" si="72"/>
        <v>5000</v>
      </c>
      <c r="AG232" s="564">
        <f t="shared" si="73"/>
        <v>0</v>
      </c>
    </row>
    <row r="233" spans="1:33">
      <c r="A233" s="21" t="s">
        <v>97</v>
      </c>
      <c r="B233" s="21" t="s">
        <v>114</v>
      </c>
      <c r="C233" s="68" t="s">
        <v>376</v>
      </c>
      <c r="D233" s="449"/>
      <c r="E233" s="529">
        <f>'Q3 DMV - Revenue'!S221</f>
        <v>0</v>
      </c>
      <c r="F233" s="315"/>
      <c r="G233" s="546"/>
      <c r="H233" s="315"/>
      <c r="I233" s="379">
        <f t="shared" si="62"/>
        <v>0</v>
      </c>
      <c r="J233" s="31"/>
      <c r="K233" s="84"/>
      <c r="L233" s="42"/>
      <c r="M233" s="31">
        <v>0</v>
      </c>
      <c r="N233" s="429"/>
      <c r="O233" s="31">
        <v>0</v>
      </c>
      <c r="P233" s="426">
        <f t="shared" si="75"/>
        <v>0</v>
      </c>
      <c r="Q233" s="178"/>
      <c r="R233" s="295"/>
      <c r="S233" s="328">
        <f t="shared" si="64"/>
        <v>0</v>
      </c>
      <c r="T233" s="31"/>
      <c r="U233" s="474">
        <f t="shared" si="65"/>
        <v>0</v>
      </c>
      <c r="V233" s="474">
        <f t="shared" si="66"/>
        <v>0</v>
      </c>
      <c r="W233" s="475">
        <f t="shared" si="67"/>
        <v>0</v>
      </c>
      <c r="X233" s="475">
        <v>0</v>
      </c>
      <c r="Y233" s="476">
        <v>0</v>
      </c>
      <c r="Z233" s="38">
        <f t="shared" si="74"/>
        <v>0</v>
      </c>
      <c r="AA233" s="564">
        <f t="shared" si="68"/>
        <v>0</v>
      </c>
      <c r="AB233" s="564">
        <f t="shared" si="69"/>
        <v>0</v>
      </c>
      <c r="AC233" s="564">
        <f t="shared" si="70"/>
        <v>0</v>
      </c>
      <c r="AE233" s="564">
        <f t="shared" si="71"/>
        <v>0</v>
      </c>
      <c r="AF233" s="564">
        <f t="shared" si="72"/>
        <v>0</v>
      </c>
      <c r="AG233" s="564">
        <f t="shared" si="73"/>
        <v>0</v>
      </c>
    </row>
    <row r="234" spans="1:33">
      <c r="A234" s="20"/>
      <c r="B234" s="20" t="s">
        <v>109</v>
      </c>
      <c r="C234" s="68" t="s">
        <v>390</v>
      </c>
      <c r="D234" s="449">
        <v>427.45</v>
      </c>
      <c r="E234" s="529">
        <f>'Q3 DMV - Revenue'!S222</f>
        <v>313.52999999999997</v>
      </c>
      <c r="F234" s="315"/>
      <c r="G234" s="546"/>
      <c r="H234" s="315"/>
      <c r="I234" s="379">
        <f t="shared" si="62"/>
        <v>740.98</v>
      </c>
      <c r="J234" s="31"/>
      <c r="K234" s="84"/>
      <c r="L234" s="42"/>
      <c r="M234" s="31">
        <v>0</v>
      </c>
      <c r="N234" s="429">
        <v>2074.0300000000002</v>
      </c>
      <c r="O234" s="31">
        <v>0</v>
      </c>
      <c r="P234" s="426">
        <f t="shared" si="75"/>
        <v>0</v>
      </c>
      <c r="Q234" s="178">
        <v>349.27</v>
      </c>
      <c r="R234" s="295"/>
      <c r="S234" s="328">
        <f t="shared" si="64"/>
        <v>349.27</v>
      </c>
      <c r="T234" s="31"/>
      <c r="U234" s="474">
        <f t="shared" si="65"/>
        <v>0</v>
      </c>
      <c r="V234" s="474">
        <f t="shared" si="66"/>
        <v>0</v>
      </c>
      <c r="W234" s="475">
        <f t="shared" si="67"/>
        <v>0</v>
      </c>
      <c r="X234" s="475">
        <v>0</v>
      </c>
      <c r="Y234" s="476">
        <v>0</v>
      </c>
      <c r="Z234" s="38">
        <f t="shared" si="74"/>
        <v>0</v>
      </c>
      <c r="AA234" s="564">
        <f t="shared" si="68"/>
        <v>0</v>
      </c>
      <c r="AB234" s="564">
        <f t="shared" si="69"/>
        <v>740.98</v>
      </c>
      <c r="AC234" s="564">
        <f t="shared" si="70"/>
        <v>0</v>
      </c>
      <c r="AE234" s="564">
        <f t="shared" si="71"/>
        <v>0</v>
      </c>
      <c r="AF234" s="564">
        <f t="shared" si="72"/>
        <v>0</v>
      </c>
      <c r="AG234" s="564">
        <f t="shared" si="73"/>
        <v>0</v>
      </c>
    </row>
    <row r="235" spans="1:33">
      <c r="A235" s="20"/>
      <c r="B235" s="20" t="s">
        <v>110</v>
      </c>
      <c r="C235" s="123" t="s">
        <v>166</v>
      </c>
      <c r="D235" s="571">
        <f>2098.25+2020.9+2571.56+2677.52+2991.63+2421.08+1787.02+1253.75+1235.32+1526.93</f>
        <v>20583.96</v>
      </c>
      <c r="E235" s="529">
        <f>'Q3 DMV - Revenue'!S223</f>
        <v>5505.165</v>
      </c>
      <c r="F235" s="342">
        <f>1937.91+1563.79</f>
        <v>3501.7</v>
      </c>
      <c r="G235" s="375">
        <f>1106.92+625.08</f>
        <v>1732</v>
      </c>
      <c r="H235" s="342">
        <v>1254.42</v>
      </c>
      <c r="I235" s="379">
        <f t="shared" si="62"/>
        <v>32577.245000000003</v>
      </c>
      <c r="J235" s="31"/>
      <c r="K235" s="84">
        <f>1077.04*1.32171</f>
        <v>1423.5345384</v>
      </c>
      <c r="L235" s="42">
        <v>0</v>
      </c>
      <c r="M235" s="31">
        <v>0</v>
      </c>
      <c r="N235" s="429">
        <v>145534.31</v>
      </c>
      <c r="O235" s="31">
        <v>0</v>
      </c>
      <c r="P235" s="426">
        <f t="shared" si="75"/>
        <v>1423.5345384</v>
      </c>
      <c r="Q235" s="178">
        <v>1423.53</v>
      </c>
      <c r="R235" s="295"/>
      <c r="S235" s="328">
        <f t="shared" si="64"/>
        <v>-4.5384000000012747E-3</v>
      </c>
      <c r="T235" s="31"/>
      <c r="U235" s="474">
        <f t="shared" si="65"/>
        <v>1423.5345384</v>
      </c>
      <c r="V235" s="474">
        <f t="shared" si="66"/>
        <v>0</v>
      </c>
      <c r="W235" s="475">
        <f t="shared" si="67"/>
        <v>0</v>
      </c>
      <c r="X235" s="475">
        <v>0</v>
      </c>
      <c r="Y235" s="476">
        <v>0</v>
      </c>
      <c r="Z235" s="38">
        <f t="shared" si="74"/>
        <v>0</v>
      </c>
      <c r="AA235" s="564">
        <f t="shared" si="68"/>
        <v>32577.245000000003</v>
      </c>
      <c r="AB235" s="564">
        <f t="shared" si="69"/>
        <v>0</v>
      </c>
      <c r="AC235" s="564">
        <f t="shared" si="70"/>
        <v>0</v>
      </c>
      <c r="AE235" s="564">
        <f t="shared" si="71"/>
        <v>1423.5345384</v>
      </c>
      <c r="AF235" s="564">
        <f t="shared" si="72"/>
        <v>0</v>
      </c>
      <c r="AG235" s="564">
        <f t="shared" si="73"/>
        <v>0</v>
      </c>
    </row>
    <row r="236" spans="1:33">
      <c r="A236" s="20"/>
      <c r="B236" s="20" t="s">
        <v>109</v>
      </c>
      <c r="C236" s="123" t="s">
        <v>165</v>
      </c>
      <c r="D236" s="571">
        <f>8267.61+8189.83+8204.91+7537.54+6631.76+5304.68+4386.78+4554.85+3938.34+2372.31</f>
        <v>59388.61</v>
      </c>
      <c r="E236" s="529">
        <f>'Q3 DMV - Revenue'!S224</f>
        <v>30628.25</v>
      </c>
      <c r="F236" s="342">
        <f>617.16+9788.11</f>
        <v>10405.27</v>
      </c>
      <c r="G236" s="375">
        <f>1772.43+8675.96</f>
        <v>10448.39</v>
      </c>
      <c r="H236" s="342">
        <v>1738.6</v>
      </c>
      <c r="I236" s="379">
        <f t="shared" si="62"/>
        <v>112609.12000000001</v>
      </c>
      <c r="J236" s="31"/>
      <c r="K236" s="84">
        <f>6072.55*1.32171</f>
        <v>8026.1500605000001</v>
      </c>
      <c r="L236" s="42">
        <v>0</v>
      </c>
      <c r="M236" s="31">
        <v>0</v>
      </c>
      <c r="N236" s="429"/>
      <c r="O236" s="31">
        <v>0</v>
      </c>
      <c r="P236" s="426">
        <f t="shared" si="75"/>
        <v>8026.1500605000001</v>
      </c>
      <c r="Q236" s="178">
        <v>8026.15</v>
      </c>
      <c r="R236" s="295"/>
      <c r="S236" s="328">
        <f t="shared" si="64"/>
        <v>-6.0500000472529791E-5</v>
      </c>
      <c r="T236" s="31"/>
      <c r="U236" s="474">
        <f t="shared" si="65"/>
        <v>0</v>
      </c>
      <c r="V236" s="474">
        <f t="shared" si="66"/>
        <v>8026.1500605000001</v>
      </c>
      <c r="W236" s="475">
        <f t="shared" si="67"/>
        <v>0</v>
      </c>
      <c r="X236" s="475">
        <v>0</v>
      </c>
      <c r="Y236" s="476">
        <v>0</v>
      </c>
      <c r="Z236" s="38">
        <f t="shared" si="74"/>
        <v>0</v>
      </c>
      <c r="AA236" s="564">
        <f t="shared" si="68"/>
        <v>0</v>
      </c>
      <c r="AB236" s="564">
        <f t="shared" si="69"/>
        <v>112609.12000000001</v>
      </c>
      <c r="AC236" s="564">
        <f t="shared" si="70"/>
        <v>0</v>
      </c>
      <c r="AE236" s="564">
        <f t="shared" si="71"/>
        <v>0</v>
      </c>
      <c r="AF236" s="564">
        <f t="shared" si="72"/>
        <v>8026.1500605000001</v>
      </c>
      <c r="AG236" s="564">
        <f t="shared" si="73"/>
        <v>0</v>
      </c>
    </row>
    <row r="237" spans="1:33">
      <c r="A237" s="20"/>
      <c r="B237" s="20" t="s">
        <v>109</v>
      </c>
      <c r="C237" s="123" t="s">
        <v>310</v>
      </c>
      <c r="D237" s="514"/>
      <c r="E237" s="529">
        <f>'Q3 DMV - Revenue'!S225</f>
        <v>0</v>
      </c>
      <c r="F237" s="342">
        <v>95.12</v>
      </c>
      <c r="G237" s="375">
        <v>495.31</v>
      </c>
      <c r="H237" s="315"/>
      <c r="I237" s="379">
        <f t="shared" ref="I237:I246" si="77">SUM(D237:H237)</f>
        <v>590.43000000000006</v>
      </c>
      <c r="J237" s="31"/>
      <c r="K237" s="84"/>
      <c r="L237" s="42">
        <f>SUM(F237+G237)/2</f>
        <v>295.21500000000003</v>
      </c>
      <c r="M237" s="31"/>
      <c r="N237" s="429">
        <v>1657.36</v>
      </c>
      <c r="O237" s="31"/>
      <c r="P237" s="426">
        <f t="shared" si="75"/>
        <v>295.21500000000003</v>
      </c>
      <c r="Q237" s="178"/>
      <c r="R237" s="295"/>
      <c r="S237" s="328">
        <f t="shared" si="64"/>
        <v>-295.21500000000003</v>
      </c>
      <c r="T237" s="31"/>
      <c r="U237" s="474">
        <f t="shared" si="65"/>
        <v>0</v>
      </c>
      <c r="V237" s="474">
        <f t="shared" si="66"/>
        <v>295.21500000000003</v>
      </c>
      <c r="W237" s="475">
        <f t="shared" si="67"/>
        <v>0</v>
      </c>
      <c r="X237" s="475">
        <v>0</v>
      </c>
      <c r="Y237" s="476">
        <v>0</v>
      </c>
      <c r="Z237" s="38">
        <f t="shared" si="74"/>
        <v>0</v>
      </c>
      <c r="AA237" s="564">
        <f t="shared" si="68"/>
        <v>0</v>
      </c>
      <c r="AB237" s="564">
        <f t="shared" si="69"/>
        <v>590.43000000000006</v>
      </c>
      <c r="AC237" s="564">
        <f t="shared" si="70"/>
        <v>0</v>
      </c>
      <c r="AE237" s="564">
        <f t="shared" si="71"/>
        <v>0</v>
      </c>
      <c r="AF237" s="564">
        <f t="shared" si="72"/>
        <v>295.21500000000003</v>
      </c>
      <c r="AG237" s="564">
        <f t="shared" si="73"/>
        <v>0</v>
      </c>
    </row>
    <row r="238" spans="1:33">
      <c r="A238" s="20"/>
      <c r="B238" s="20" t="s">
        <v>109</v>
      </c>
      <c r="C238" s="123" t="s">
        <v>441</v>
      </c>
      <c r="D238" s="449">
        <v>269.51</v>
      </c>
      <c r="E238" s="529">
        <f>229.22+211.16+124.34</f>
        <v>564.72</v>
      </c>
      <c r="F238" s="342">
        <v>112.53</v>
      </c>
      <c r="G238" s="375">
        <v>46.54</v>
      </c>
      <c r="H238" s="342">
        <v>73.63</v>
      </c>
      <c r="I238" s="379">
        <f t="shared" si="77"/>
        <v>1066.9299999999998</v>
      </c>
      <c r="J238" s="31"/>
      <c r="K238" s="84"/>
      <c r="L238" s="42"/>
      <c r="M238" s="31">
        <v>0</v>
      </c>
      <c r="N238" s="429"/>
      <c r="O238" s="31">
        <v>0</v>
      </c>
      <c r="P238" s="426">
        <f t="shared" ref="P238" si="78">K238+L238</f>
        <v>0</v>
      </c>
      <c r="Q238" s="178"/>
      <c r="R238" s="295"/>
      <c r="S238" s="328">
        <f t="shared" si="64"/>
        <v>0</v>
      </c>
      <c r="T238" s="31"/>
      <c r="U238" s="474">
        <f t="shared" si="65"/>
        <v>0</v>
      </c>
      <c r="V238" s="474">
        <f t="shared" si="66"/>
        <v>0</v>
      </c>
      <c r="W238" s="475">
        <f t="shared" si="67"/>
        <v>0</v>
      </c>
      <c r="X238" s="475">
        <v>0</v>
      </c>
      <c r="Y238" s="476">
        <v>0</v>
      </c>
      <c r="Z238" s="38">
        <f t="shared" si="74"/>
        <v>0</v>
      </c>
      <c r="AA238" s="564">
        <f t="shared" si="68"/>
        <v>0</v>
      </c>
      <c r="AB238" s="564">
        <f t="shared" si="69"/>
        <v>1066.9299999999998</v>
      </c>
      <c r="AC238" s="564">
        <f t="shared" si="70"/>
        <v>0</v>
      </c>
      <c r="AE238" s="564">
        <f t="shared" si="71"/>
        <v>0</v>
      </c>
      <c r="AF238" s="564">
        <f t="shared" si="72"/>
        <v>0</v>
      </c>
      <c r="AG238" s="564">
        <f t="shared" si="73"/>
        <v>0</v>
      </c>
    </row>
    <row r="239" spans="1:33">
      <c r="A239" s="20"/>
      <c r="B239" s="20" t="s">
        <v>109</v>
      </c>
      <c r="C239" s="68" t="s">
        <v>121</v>
      </c>
      <c r="D239" s="540">
        <v>244.08</v>
      </c>
      <c r="E239" s="529">
        <f>258.34+174.47+261.7</f>
        <v>694.51</v>
      </c>
      <c r="F239" s="342">
        <v>202.98</v>
      </c>
      <c r="G239" s="375">
        <v>76.33</v>
      </c>
      <c r="H239" s="342">
        <v>255.83</v>
      </c>
      <c r="I239" s="379">
        <f t="shared" si="77"/>
        <v>1473.7299999999998</v>
      </c>
      <c r="J239" s="31"/>
      <c r="K239" s="84"/>
      <c r="L239" s="42"/>
      <c r="M239" s="31">
        <v>0</v>
      </c>
      <c r="N239" s="429">
        <v>1473.73</v>
      </c>
      <c r="O239" s="31">
        <v>0</v>
      </c>
      <c r="P239" s="426">
        <f t="shared" si="75"/>
        <v>0</v>
      </c>
      <c r="Q239" s="178"/>
      <c r="R239" s="295"/>
      <c r="S239" s="328">
        <f t="shared" si="64"/>
        <v>0</v>
      </c>
      <c r="T239" s="31"/>
      <c r="U239" s="474">
        <f t="shared" si="65"/>
        <v>0</v>
      </c>
      <c r="V239" s="474">
        <f t="shared" si="66"/>
        <v>0</v>
      </c>
      <c r="W239" s="475">
        <f t="shared" si="67"/>
        <v>0</v>
      </c>
      <c r="X239" s="475">
        <v>0</v>
      </c>
      <c r="Y239" s="476">
        <v>0</v>
      </c>
      <c r="Z239" s="38">
        <f t="shared" si="74"/>
        <v>0</v>
      </c>
      <c r="AA239" s="564">
        <f t="shared" si="68"/>
        <v>0</v>
      </c>
      <c r="AB239" s="564">
        <f t="shared" si="69"/>
        <v>1473.7299999999998</v>
      </c>
      <c r="AC239" s="564">
        <f t="shared" si="70"/>
        <v>0</v>
      </c>
      <c r="AE239" s="564">
        <f t="shared" si="71"/>
        <v>0</v>
      </c>
      <c r="AF239" s="564">
        <f t="shared" si="72"/>
        <v>0</v>
      </c>
      <c r="AG239" s="564">
        <f t="shared" si="73"/>
        <v>0</v>
      </c>
    </row>
    <row r="240" spans="1:33">
      <c r="A240" s="20"/>
      <c r="B240" s="20" t="s">
        <v>110</v>
      </c>
      <c r="C240" s="68" t="s">
        <v>168</v>
      </c>
      <c r="D240" s="449"/>
      <c r="E240" s="529">
        <f>'Q3 DMV - Revenue'!S227</f>
        <v>0</v>
      </c>
      <c r="F240" s="315"/>
      <c r="G240" s="546"/>
      <c r="H240" s="315"/>
      <c r="I240" s="379">
        <f t="shared" si="77"/>
        <v>0</v>
      </c>
      <c r="J240" s="31"/>
      <c r="K240" s="84"/>
      <c r="L240" s="42"/>
      <c r="M240" s="31">
        <v>0</v>
      </c>
      <c r="N240" s="429">
        <v>446.16</v>
      </c>
      <c r="O240" s="31">
        <v>0</v>
      </c>
      <c r="P240" s="426">
        <f t="shared" si="75"/>
        <v>0</v>
      </c>
      <c r="Q240" s="178"/>
      <c r="R240" s="295"/>
      <c r="S240" s="328">
        <f t="shared" si="64"/>
        <v>0</v>
      </c>
      <c r="T240" s="31"/>
      <c r="U240" s="474">
        <f t="shared" si="65"/>
        <v>0</v>
      </c>
      <c r="V240" s="474">
        <f t="shared" si="66"/>
        <v>0</v>
      </c>
      <c r="W240" s="475">
        <f t="shared" si="67"/>
        <v>0</v>
      </c>
      <c r="X240" s="475">
        <v>0</v>
      </c>
      <c r="Y240" s="476">
        <v>0</v>
      </c>
      <c r="Z240" s="38">
        <f t="shared" si="74"/>
        <v>0</v>
      </c>
      <c r="AA240" s="564">
        <f t="shared" si="68"/>
        <v>0</v>
      </c>
      <c r="AB240" s="564">
        <f t="shared" si="69"/>
        <v>0</v>
      </c>
      <c r="AC240" s="564">
        <f t="shared" si="70"/>
        <v>0</v>
      </c>
      <c r="AE240" s="564">
        <f t="shared" si="71"/>
        <v>0</v>
      </c>
      <c r="AF240" s="564">
        <f t="shared" si="72"/>
        <v>0</v>
      </c>
      <c r="AG240" s="564">
        <f t="shared" si="73"/>
        <v>0</v>
      </c>
    </row>
    <row r="241" spans="1:33">
      <c r="A241" s="20"/>
      <c r="B241" s="20" t="s">
        <v>109</v>
      </c>
      <c r="C241" s="68" t="s">
        <v>167</v>
      </c>
      <c r="D241" s="449">
        <v>75.33</v>
      </c>
      <c r="E241" s="529">
        <f>'Q3 DMV - Revenue'!S228</f>
        <v>-4.6999999999999886</v>
      </c>
      <c r="F241" s="342">
        <v>82.34</v>
      </c>
      <c r="G241" s="375">
        <v>76.040000000000006</v>
      </c>
      <c r="H241" s="342">
        <v>62.14</v>
      </c>
      <c r="I241" s="379">
        <f t="shared" si="77"/>
        <v>291.15000000000003</v>
      </c>
      <c r="J241" s="31"/>
      <c r="K241" s="84"/>
      <c r="L241" s="42"/>
      <c r="M241" s="31">
        <v>0</v>
      </c>
      <c r="N241" s="429"/>
      <c r="O241" s="31">
        <v>0</v>
      </c>
      <c r="P241" s="426">
        <f t="shared" si="75"/>
        <v>0</v>
      </c>
      <c r="Q241" s="178"/>
      <c r="R241" s="295"/>
      <c r="S241" s="328">
        <f t="shared" si="64"/>
        <v>0</v>
      </c>
      <c r="T241" s="31"/>
      <c r="U241" s="474">
        <f t="shared" si="65"/>
        <v>0</v>
      </c>
      <c r="V241" s="474">
        <f t="shared" si="66"/>
        <v>0</v>
      </c>
      <c r="W241" s="475">
        <f t="shared" si="67"/>
        <v>0</v>
      </c>
      <c r="X241" s="475">
        <v>0</v>
      </c>
      <c r="Y241" s="476">
        <v>0</v>
      </c>
      <c r="Z241" s="38">
        <f t="shared" si="74"/>
        <v>0</v>
      </c>
      <c r="AA241" s="564">
        <f t="shared" si="68"/>
        <v>0</v>
      </c>
      <c r="AB241" s="564">
        <f t="shared" si="69"/>
        <v>291.15000000000003</v>
      </c>
      <c r="AC241" s="564">
        <f t="shared" si="70"/>
        <v>0</v>
      </c>
      <c r="AE241" s="564">
        <f t="shared" si="71"/>
        <v>0</v>
      </c>
      <c r="AF241" s="564">
        <f t="shared" si="72"/>
        <v>0</v>
      </c>
      <c r="AG241" s="564">
        <f t="shared" si="73"/>
        <v>0</v>
      </c>
    </row>
    <row r="242" spans="1:33">
      <c r="A242" s="20" t="s">
        <v>218</v>
      </c>
      <c r="B242" s="20" t="s">
        <v>110</v>
      </c>
      <c r="C242" s="68" t="s">
        <v>240</v>
      </c>
      <c r="D242" s="449"/>
      <c r="E242" s="529">
        <f>'Q3 DMV - Revenue'!S229</f>
        <v>0</v>
      </c>
      <c r="F242" s="315"/>
      <c r="G242" s="546"/>
      <c r="H242" s="315"/>
      <c r="I242" s="379">
        <f t="shared" si="77"/>
        <v>0</v>
      </c>
      <c r="J242" s="2"/>
      <c r="K242" s="84"/>
      <c r="L242" s="42"/>
      <c r="M242" s="31">
        <v>0</v>
      </c>
      <c r="N242" s="429"/>
      <c r="O242" s="31">
        <v>0</v>
      </c>
      <c r="P242" s="426">
        <f t="shared" si="75"/>
        <v>0</v>
      </c>
      <c r="Q242" s="178"/>
      <c r="R242" s="295"/>
      <c r="S242" s="328">
        <f t="shared" si="64"/>
        <v>0</v>
      </c>
      <c r="T242" s="2"/>
      <c r="U242" s="474">
        <f t="shared" si="65"/>
        <v>0</v>
      </c>
      <c r="V242" s="474">
        <f t="shared" si="66"/>
        <v>0</v>
      </c>
      <c r="W242" s="475">
        <f t="shared" si="67"/>
        <v>0</v>
      </c>
      <c r="X242" s="475">
        <v>0</v>
      </c>
      <c r="Y242" s="476">
        <v>0</v>
      </c>
      <c r="Z242" s="38">
        <f t="shared" si="74"/>
        <v>0</v>
      </c>
      <c r="AA242" s="564">
        <f t="shared" si="68"/>
        <v>0</v>
      </c>
      <c r="AB242" s="564">
        <f t="shared" si="69"/>
        <v>0</v>
      </c>
      <c r="AC242" s="564">
        <f t="shared" si="70"/>
        <v>0</v>
      </c>
      <c r="AE242" s="564">
        <f t="shared" si="71"/>
        <v>0</v>
      </c>
      <c r="AF242" s="564">
        <f t="shared" si="72"/>
        <v>0</v>
      </c>
      <c r="AG242" s="564">
        <f t="shared" si="73"/>
        <v>0</v>
      </c>
    </row>
    <row r="243" spans="1:33">
      <c r="A243" s="20" t="s">
        <v>218</v>
      </c>
      <c r="B243" s="20" t="s">
        <v>110</v>
      </c>
      <c r="C243" s="68" t="s">
        <v>60</v>
      </c>
      <c r="D243" s="449"/>
      <c r="E243" s="529">
        <f>'Q3 DMV - Revenue'!S230</f>
        <v>486.80000000000018</v>
      </c>
      <c r="F243" s="315"/>
      <c r="G243" s="546"/>
      <c r="H243" s="315"/>
      <c r="I243" s="379">
        <f t="shared" si="77"/>
        <v>486.80000000000018</v>
      </c>
      <c r="J243" s="2"/>
      <c r="K243" s="84"/>
      <c r="L243" s="42">
        <v>7000</v>
      </c>
      <c r="M243" s="31">
        <v>0</v>
      </c>
      <c r="N243" s="429">
        <v>7486.8</v>
      </c>
      <c r="O243" s="31">
        <v>0</v>
      </c>
      <c r="P243" s="426">
        <f t="shared" si="75"/>
        <v>7000</v>
      </c>
      <c r="Q243" s="178">
        <f>2918.06+2704.32+1988.39</f>
        <v>7610.77</v>
      </c>
      <c r="R243" s="295"/>
      <c r="S243" s="328">
        <f t="shared" si="64"/>
        <v>610.77000000000044</v>
      </c>
      <c r="T243" s="2"/>
      <c r="U243" s="474">
        <f t="shared" si="65"/>
        <v>7000</v>
      </c>
      <c r="V243" s="474">
        <f t="shared" si="66"/>
        <v>0</v>
      </c>
      <c r="W243" s="475">
        <f t="shared" si="67"/>
        <v>0</v>
      </c>
      <c r="X243" s="475">
        <v>0</v>
      </c>
      <c r="Y243" s="476">
        <v>0</v>
      </c>
      <c r="Z243" s="38">
        <f t="shared" si="74"/>
        <v>0</v>
      </c>
      <c r="AA243" s="564">
        <f t="shared" si="68"/>
        <v>486.80000000000018</v>
      </c>
      <c r="AB243" s="564">
        <f t="shared" si="69"/>
        <v>0</v>
      </c>
      <c r="AC243" s="564">
        <f t="shared" si="70"/>
        <v>0</v>
      </c>
      <c r="AE243" s="564">
        <f t="shared" si="71"/>
        <v>7000</v>
      </c>
      <c r="AF243" s="564">
        <f t="shared" si="72"/>
        <v>0</v>
      </c>
      <c r="AG243" s="564">
        <f t="shared" si="73"/>
        <v>0</v>
      </c>
    </row>
    <row r="244" spans="1:33">
      <c r="A244" s="20"/>
      <c r="B244" s="20" t="s">
        <v>110</v>
      </c>
      <c r="C244" s="68" t="s">
        <v>61</v>
      </c>
      <c r="D244" s="449"/>
      <c r="E244" s="529">
        <f>'Q3 DMV - Revenue'!S231</f>
        <v>0</v>
      </c>
      <c r="F244" s="315"/>
      <c r="G244" s="546"/>
      <c r="H244" s="315"/>
      <c r="I244" s="379">
        <f t="shared" si="77"/>
        <v>0</v>
      </c>
      <c r="J244" s="2"/>
      <c r="K244" s="84"/>
      <c r="L244" s="42"/>
      <c r="M244" s="31">
        <v>0</v>
      </c>
      <c r="N244" s="429"/>
      <c r="O244" s="31">
        <v>0</v>
      </c>
      <c r="P244" s="426">
        <f t="shared" si="75"/>
        <v>0</v>
      </c>
      <c r="Q244" s="178"/>
      <c r="R244" s="295"/>
      <c r="S244" s="328">
        <f t="shared" si="64"/>
        <v>0</v>
      </c>
      <c r="T244" s="2"/>
      <c r="U244" s="474">
        <f t="shared" si="65"/>
        <v>0</v>
      </c>
      <c r="V244" s="474">
        <f t="shared" si="66"/>
        <v>0</v>
      </c>
      <c r="W244" s="475">
        <f t="shared" si="67"/>
        <v>0</v>
      </c>
      <c r="X244" s="475">
        <v>0</v>
      </c>
      <c r="Y244" s="476">
        <v>0</v>
      </c>
      <c r="Z244" s="38">
        <f t="shared" si="74"/>
        <v>0</v>
      </c>
      <c r="AA244" s="564">
        <f t="shared" si="68"/>
        <v>0</v>
      </c>
      <c r="AB244" s="564">
        <f t="shared" si="69"/>
        <v>0</v>
      </c>
      <c r="AC244" s="564">
        <f t="shared" si="70"/>
        <v>0</v>
      </c>
      <c r="AE244" s="564">
        <f t="shared" si="71"/>
        <v>0</v>
      </c>
      <c r="AF244" s="564">
        <f t="shared" si="72"/>
        <v>0</v>
      </c>
      <c r="AG244" s="564">
        <f t="shared" si="73"/>
        <v>0</v>
      </c>
    </row>
    <row r="245" spans="1:33">
      <c r="A245" s="20"/>
      <c r="B245" s="20" t="s">
        <v>110</v>
      </c>
      <c r="C245" s="68" t="s">
        <v>169</v>
      </c>
      <c r="D245" s="537"/>
      <c r="E245" s="529">
        <f>'Q3 DMV - Revenue'!S232</f>
        <v>0</v>
      </c>
      <c r="F245" s="342">
        <v>2601.9499999999998</v>
      </c>
      <c r="G245" s="375">
        <v>2626.73</v>
      </c>
      <c r="H245" s="342">
        <v>2515.87</v>
      </c>
      <c r="I245" s="379">
        <f t="shared" si="77"/>
        <v>7744.55</v>
      </c>
      <c r="J245" s="31"/>
      <c r="K245" s="84"/>
      <c r="L245" s="42"/>
      <c r="M245" s="31">
        <v>0</v>
      </c>
      <c r="N245" s="429">
        <v>7744.52</v>
      </c>
      <c r="O245" s="31">
        <v>0</v>
      </c>
      <c r="P245" s="426">
        <f t="shared" si="75"/>
        <v>0</v>
      </c>
      <c r="Q245" s="178"/>
      <c r="R245" s="295"/>
      <c r="S245" s="328">
        <f t="shared" si="64"/>
        <v>0</v>
      </c>
      <c r="T245" s="31"/>
      <c r="U245" s="474">
        <f t="shared" si="65"/>
        <v>0</v>
      </c>
      <c r="V245" s="474">
        <f t="shared" si="66"/>
        <v>0</v>
      </c>
      <c r="W245" s="475">
        <f t="shared" si="67"/>
        <v>0</v>
      </c>
      <c r="X245" s="475">
        <v>0</v>
      </c>
      <c r="Y245" s="476">
        <v>0</v>
      </c>
      <c r="Z245" s="38">
        <f t="shared" si="74"/>
        <v>0</v>
      </c>
      <c r="AA245" s="564">
        <f t="shared" si="68"/>
        <v>7744.55</v>
      </c>
      <c r="AB245" s="564">
        <f t="shared" si="69"/>
        <v>0</v>
      </c>
      <c r="AC245" s="564">
        <f t="shared" si="70"/>
        <v>0</v>
      </c>
      <c r="AE245" s="564">
        <f t="shared" si="71"/>
        <v>0</v>
      </c>
      <c r="AF245" s="564">
        <f t="shared" si="72"/>
        <v>0</v>
      </c>
      <c r="AG245" s="564">
        <f t="shared" si="73"/>
        <v>0</v>
      </c>
    </row>
    <row r="246" spans="1:33">
      <c r="A246" s="21"/>
      <c r="B246" s="21" t="s">
        <v>110</v>
      </c>
      <c r="C246" s="68" t="s">
        <v>302</v>
      </c>
      <c r="D246" s="537"/>
      <c r="E246" s="529" t="str">
        <f>'Q2 DMV - Revenue'!T218</f>
        <v/>
      </c>
      <c r="F246" s="340"/>
      <c r="G246" s="521"/>
      <c r="H246" s="524"/>
      <c r="I246" s="379">
        <f t="shared" si="77"/>
        <v>0</v>
      </c>
      <c r="J246" s="31"/>
      <c r="K246" s="253"/>
      <c r="L246" s="558"/>
      <c r="M246" s="31">
        <v>0</v>
      </c>
      <c r="N246" s="429"/>
      <c r="O246" s="31">
        <v>0</v>
      </c>
      <c r="P246" s="426">
        <f t="shared" si="75"/>
        <v>0</v>
      </c>
      <c r="Q246" s="178"/>
      <c r="R246" s="295"/>
      <c r="S246" s="328">
        <f t="shared" si="64"/>
        <v>0</v>
      </c>
      <c r="T246" s="31"/>
      <c r="U246" s="474">
        <f t="shared" si="65"/>
        <v>0</v>
      </c>
      <c r="V246" s="474">
        <f t="shared" si="66"/>
        <v>0</v>
      </c>
      <c r="W246" s="475">
        <f t="shared" si="67"/>
        <v>0</v>
      </c>
      <c r="X246" s="475">
        <v>0</v>
      </c>
      <c r="Y246" s="476">
        <v>0</v>
      </c>
      <c r="Z246" s="38">
        <f t="shared" si="74"/>
        <v>0</v>
      </c>
      <c r="AA246" s="564">
        <f t="shared" si="68"/>
        <v>0</v>
      </c>
      <c r="AB246" s="564">
        <f t="shared" si="69"/>
        <v>0</v>
      </c>
      <c r="AC246" s="564">
        <f t="shared" si="70"/>
        <v>0</v>
      </c>
      <c r="AE246" s="564">
        <f t="shared" si="71"/>
        <v>0</v>
      </c>
      <c r="AF246" s="564">
        <f t="shared" si="72"/>
        <v>0</v>
      </c>
      <c r="AG246" s="564">
        <f t="shared" si="73"/>
        <v>0</v>
      </c>
    </row>
    <row r="247" spans="1:33">
      <c r="A247" s="21"/>
      <c r="B247" s="21" t="s">
        <v>114</v>
      </c>
      <c r="C247" s="519" t="s">
        <v>433</v>
      </c>
      <c r="D247" s="543"/>
      <c r="E247" s="529">
        <v>44.23</v>
      </c>
      <c r="F247" s="520"/>
      <c r="G247" s="521"/>
      <c r="H247" s="525">
        <v>8692.01</v>
      </c>
      <c r="I247" s="379">
        <f t="shared" ref="I247:I252" si="79">SUM(D247:H247)</f>
        <v>8736.24</v>
      </c>
      <c r="J247" s="31"/>
      <c r="K247" s="253"/>
      <c r="L247" s="558"/>
      <c r="M247" s="31"/>
      <c r="N247" s="429">
        <v>8736.24</v>
      </c>
      <c r="O247" s="31"/>
      <c r="P247" s="426"/>
      <c r="Q247" s="178"/>
      <c r="R247" s="295"/>
      <c r="S247" s="328">
        <f t="shared" si="64"/>
        <v>0</v>
      </c>
      <c r="T247" s="31"/>
      <c r="U247" s="474">
        <f t="shared" si="65"/>
        <v>0</v>
      </c>
      <c r="V247" s="474">
        <f t="shared" si="66"/>
        <v>0</v>
      </c>
      <c r="W247" s="475">
        <f t="shared" si="67"/>
        <v>0</v>
      </c>
      <c r="X247" s="475">
        <v>0</v>
      </c>
      <c r="Y247" s="476">
        <v>0</v>
      </c>
      <c r="Z247" s="38">
        <f t="shared" si="74"/>
        <v>0</v>
      </c>
      <c r="AA247" s="564">
        <f t="shared" si="68"/>
        <v>0</v>
      </c>
      <c r="AB247" s="564">
        <f t="shared" si="69"/>
        <v>0</v>
      </c>
      <c r="AC247" s="564">
        <f t="shared" si="70"/>
        <v>8736.24</v>
      </c>
      <c r="AE247" s="564">
        <f t="shared" si="71"/>
        <v>0</v>
      </c>
      <c r="AF247" s="564">
        <f t="shared" si="72"/>
        <v>0</v>
      </c>
      <c r="AG247" s="564">
        <f t="shared" si="73"/>
        <v>0</v>
      </c>
    </row>
    <row r="248" spans="1:33" ht="13" thickBot="1">
      <c r="A248" s="25"/>
      <c r="B248" s="25" t="s">
        <v>110</v>
      </c>
      <c r="C248" s="130" t="s">
        <v>87</v>
      </c>
      <c r="D248" s="451"/>
      <c r="E248" s="531" t="str">
        <f>'Q1 DMV - Revenue'!T208</f>
        <v/>
      </c>
      <c r="F248" s="222"/>
      <c r="G248" s="547"/>
      <c r="H248" s="555"/>
      <c r="I248" s="319">
        <f t="shared" si="79"/>
        <v>0</v>
      </c>
      <c r="J248" s="31"/>
      <c r="K248" s="39"/>
      <c r="L248" s="45"/>
      <c r="M248" s="31">
        <v>0</v>
      </c>
      <c r="N248" s="45"/>
      <c r="O248" s="31">
        <v>0</v>
      </c>
      <c r="P248" s="426">
        <f t="shared" si="75"/>
        <v>0</v>
      </c>
      <c r="Q248" s="178"/>
      <c r="R248" s="295"/>
      <c r="S248" s="328">
        <f t="shared" si="64"/>
        <v>0</v>
      </c>
      <c r="T248" s="31"/>
      <c r="U248" s="474">
        <f t="shared" si="65"/>
        <v>0</v>
      </c>
      <c r="V248" s="474">
        <f t="shared" si="66"/>
        <v>0</v>
      </c>
      <c r="W248" s="475">
        <f t="shared" si="67"/>
        <v>0</v>
      </c>
      <c r="X248" s="475">
        <v>0</v>
      </c>
      <c r="Y248" s="476">
        <v>0</v>
      </c>
      <c r="Z248" s="38">
        <f t="shared" si="74"/>
        <v>0</v>
      </c>
      <c r="AA248" s="564">
        <f t="shared" si="68"/>
        <v>0</v>
      </c>
      <c r="AB248" s="564">
        <f t="shared" si="69"/>
        <v>0</v>
      </c>
      <c r="AC248" s="564">
        <f t="shared" si="70"/>
        <v>0</v>
      </c>
      <c r="AE248" s="564">
        <f t="shared" si="71"/>
        <v>0</v>
      </c>
      <c r="AF248" s="564">
        <f t="shared" si="72"/>
        <v>0</v>
      </c>
      <c r="AG248" s="564">
        <f t="shared" si="73"/>
        <v>0</v>
      </c>
    </row>
    <row r="249" spans="1:33">
      <c r="A249" s="25"/>
      <c r="B249" s="25" t="s">
        <v>110</v>
      </c>
      <c r="C249" s="69" t="s">
        <v>62</v>
      </c>
      <c r="D249" s="444"/>
      <c r="E249" s="532" t="str">
        <f>'Q1 DMV - Revenue'!T209</f>
        <v/>
      </c>
      <c r="F249" s="223"/>
      <c r="G249" s="171"/>
      <c r="H249" s="556"/>
      <c r="I249" s="320">
        <f t="shared" si="79"/>
        <v>0</v>
      </c>
      <c r="J249" s="31"/>
      <c r="K249" s="87"/>
      <c r="L249" s="43"/>
      <c r="M249" s="31">
        <v>0</v>
      </c>
      <c r="N249" s="429"/>
      <c r="O249" s="31">
        <v>0</v>
      </c>
      <c r="P249" s="426">
        <f t="shared" si="75"/>
        <v>0</v>
      </c>
      <c r="Q249" s="178"/>
      <c r="R249" s="295"/>
      <c r="S249" s="328">
        <f t="shared" si="64"/>
        <v>0</v>
      </c>
      <c r="T249" s="31"/>
      <c r="U249" s="474">
        <f t="shared" si="65"/>
        <v>0</v>
      </c>
      <c r="V249" s="474">
        <f t="shared" si="66"/>
        <v>0</v>
      </c>
      <c r="W249" s="475">
        <f t="shared" si="67"/>
        <v>0</v>
      </c>
      <c r="X249" s="475">
        <v>0</v>
      </c>
      <c r="Y249" s="476">
        <v>0</v>
      </c>
      <c r="Z249" s="38">
        <f t="shared" si="74"/>
        <v>0</v>
      </c>
      <c r="AA249" s="564">
        <f t="shared" si="68"/>
        <v>0</v>
      </c>
      <c r="AB249" s="564">
        <f t="shared" si="69"/>
        <v>0</v>
      </c>
      <c r="AC249" s="564">
        <f t="shared" si="70"/>
        <v>0</v>
      </c>
      <c r="AE249" s="564">
        <f t="shared" si="71"/>
        <v>0</v>
      </c>
      <c r="AF249" s="564">
        <f t="shared" si="72"/>
        <v>0</v>
      </c>
      <c r="AG249" s="564">
        <f t="shared" si="73"/>
        <v>0</v>
      </c>
    </row>
    <row r="250" spans="1:33">
      <c r="A250" s="25"/>
      <c r="B250" s="25"/>
      <c r="C250" s="70" t="s">
        <v>6</v>
      </c>
      <c r="D250" s="444"/>
      <c r="E250" s="532" t="str">
        <f>'Q1 DMV - Revenue'!T210</f>
        <v/>
      </c>
      <c r="F250" s="223"/>
      <c r="G250" s="171"/>
      <c r="H250" s="556"/>
      <c r="I250" s="320">
        <f t="shared" si="79"/>
        <v>0</v>
      </c>
      <c r="J250" s="31"/>
      <c r="K250" s="88"/>
      <c r="L250" s="44"/>
      <c r="M250" s="31">
        <v>0</v>
      </c>
      <c r="N250" s="429"/>
      <c r="O250" s="31">
        <v>0</v>
      </c>
      <c r="P250" s="426">
        <f t="shared" si="75"/>
        <v>0</v>
      </c>
      <c r="Q250" s="178"/>
      <c r="R250" s="295"/>
      <c r="S250" s="328">
        <f t="shared" si="64"/>
        <v>0</v>
      </c>
      <c r="T250" s="31"/>
      <c r="U250" s="474">
        <f t="shared" si="65"/>
        <v>0</v>
      </c>
      <c r="V250" s="474">
        <f t="shared" si="66"/>
        <v>0</v>
      </c>
      <c r="W250" s="475">
        <f t="shared" si="67"/>
        <v>0</v>
      </c>
      <c r="X250" s="475">
        <v>0</v>
      </c>
      <c r="Y250" s="476">
        <v>0</v>
      </c>
      <c r="Z250" s="38">
        <f t="shared" si="74"/>
        <v>0</v>
      </c>
      <c r="AA250" s="564">
        <f t="shared" si="68"/>
        <v>0</v>
      </c>
      <c r="AB250" s="564">
        <f t="shared" si="69"/>
        <v>0</v>
      </c>
      <c r="AC250" s="564">
        <f t="shared" si="70"/>
        <v>0</v>
      </c>
      <c r="AE250" s="564">
        <f t="shared" si="71"/>
        <v>0</v>
      </c>
      <c r="AF250" s="564">
        <f t="shared" si="72"/>
        <v>0</v>
      </c>
      <c r="AG250" s="564">
        <f t="shared" si="73"/>
        <v>0</v>
      </c>
    </row>
    <row r="251" spans="1:33">
      <c r="A251" s="25"/>
      <c r="B251" s="25"/>
      <c r="C251" s="70" t="s">
        <v>30</v>
      </c>
      <c r="D251" s="444"/>
      <c r="E251" s="533" t="str">
        <f>'Q1 DMV - Revenue'!T211</f>
        <v/>
      </c>
      <c r="F251" s="225"/>
      <c r="G251" s="550"/>
      <c r="H251" s="556"/>
      <c r="I251" s="321">
        <f t="shared" si="79"/>
        <v>0</v>
      </c>
      <c r="J251" s="31"/>
      <c r="K251" s="88"/>
      <c r="L251" s="44"/>
      <c r="M251" s="31">
        <v>0</v>
      </c>
      <c r="N251" s="429"/>
      <c r="O251" s="31">
        <v>0</v>
      </c>
      <c r="P251" s="426">
        <f t="shared" si="75"/>
        <v>0</v>
      </c>
      <c r="Q251" s="178"/>
      <c r="R251" s="295"/>
      <c r="S251" s="328">
        <f t="shared" si="64"/>
        <v>0</v>
      </c>
      <c r="T251" s="31"/>
      <c r="U251" s="474">
        <f t="shared" si="65"/>
        <v>0</v>
      </c>
      <c r="V251" s="474">
        <f t="shared" si="66"/>
        <v>0</v>
      </c>
      <c r="W251" s="475">
        <f t="shared" si="67"/>
        <v>0</v>
      </c>
      <c r="X251" s="475">
        <v>0</v>
      </c>
      <c r="Y251" s="476">
        <v>0</v>
      </c>
      <c r="Z251" s="38">
        <f t="shared" si="74"/>
        <v>0</v>
      </c>
      <c r="AA251" s="564">
        <f t="shared" si="68"/>
        <v>0</v>
      </c>
      <c r="AB251" s="564">
        <f t="shared" si="69"/>
        <v>0</v>
      </c>
      <c r="AC251" s="564">
        <f t="shared" si="70"/>
        <v>0</v>
      </c>
      <c r="AE251" s="564">
        <f t="shared" si="71"/>
        <v>0</v>
      </c>
      <c r="AF251" s="564">
        <f t="shared" si="72"/>
        <v>0</v>
      </c>
      <c r="AG251" s="564">
        <f t="shared" si="73"/>
        <v>0</v>
      </c>
    </row>
    <row r="252" spans="1:33">
      <c r="A252" s="25"/>
      <c r="B252" s="25"/>
      <c r="C252" s="70" t="s">
        <v>34</v>
      </c>
      <c r="D252" s="444"/>
      <c r="E252" s="533" t="str">
        <f>'Q1 DMV - Revenue'!T212</f>
        <v/>
      </c>
      <c r="F252" s="225"/>
      <c r="G252" s="550"/>
      <c r="H252" s="556"/>
      <c r="I252" s="321">
        <f t="shared" si="79"/>
        <v>0</v>
      </c>
      <c r="J252" s="31"/>
      <c r="K252" s="88"/>
      <c r="L252" s="44"/>
      <c r="M252" s="31">
        <v>0</v>
      </c>
      <c r="N252" s="429"/>
      <c r="O252" s="31">
        <v>0</v>
      </c>
      <c r="P252" s="426">
        <f t="shared" si="75"/>
        <v>0</v>
      </c>
      <c r="Q252" s="178"/>
      <c r="R252" s="295"/>
      <c r="S252" s="328">
        <f t="shared" si="64"/>
        <v>0</v>
      </c>
      <c r="T252" s="31"/>
      <c r="U252" s="474">
        <f t="shared" si="65"/>
        <v>0</v>
      </c>
      <c r="V252" s="474">
        <f t="shared" si="66"/>
        <v>0</v>
      </c>
      <c r="W252" s="475">
        <f t="shared" si="67"/>
        <v>0</v>
      </c>
      <c r="X252" s="475">
        <v>0</v>
      </c>
      <c r="Y252" s="476">
        <v>0</v>
      </c>
      <c r="Z252" s="38">
        <f t="shared" si="74"/>
        <v>0</v>
      </c>
      <c r="AA252" s="564">
        <f t="shared" si="68"/>
        <v>0</v>
      </c>
      <c r="AB252" s="564">
        <f t="shared" si="69"/>
        <v>0</v>
      </c>
      <c r="AC252" s="564">
        <f t="shared" si="70"/>
        <v>0</v>
      </c>
      <c r="AE252" s="564">
        <f t="shared" si="71"/>
        <v>0</v>
      </c>
      <c r="AF252" s="564">
        <f t="shared" si="72"/>
        <v>0</v>
      </c>
      <c r="AG252" s="564">
        <f t="shared" si="73"/>
        <v>0</v>
      </c>
    </row>
    <row r="253" spans="1:33">
      <c r="A253" s="25"/>
      <c r="B253" s="25"/>
      <c r="C253" s="70" t="s">
        <v>37</v>
      </c>
      <c r="D253" s="444"/>
      <c r="E253" s="533" t="str">
        <f>'Q1 DMV - Revenue'!T213</f>
        <v/>
      </c>
      <c r="F253" s="225"/>
      <c r="G253" s="550"/>
      <c r="H253" s="556"/>
      <c r="I253" s="321">
        <f t="shared" ref="I253:I254" si="80">SUM(D253:H253)</f>
        <v>0</v>
      </c>
      <c r="J253" s="31"/>
      <c r="K253" s="88"/>
      <c r="L253" s="44"/>
      <c r="M253" s="31">
        <v>0</v>
      </c>
      <c r="N253" s="429"/>
      <c r="O253" s="31">
        <v>0</v>
      </c>
      <c r="P253" s="426">
        <f t="shared" si="75"/>
        <v>0</v>
      </c>
      <c r="Q253" s="178"/>
      <c r="R253" s="295"/>
      <c r="S253" s="328">
        <f t="shared" si="64"/>
        <v>0</v>
      </c>
      <c r="T253" s="31"/>
      <c r="U253" s="474">
        <f t="shared" si="65"/>
        <v>0</v>
      </c>
      <c r="V253" s="474">
        <f t="shared" si="66"/>
        <v>0</v>
      </c>
      <c r="W253" s="475">
        <f t="shared" si="67"/>
        <v>0</v>
      </c>
      <c r="X253" s="475">
        <v>0</v>
      </c>
      <c r="Y253" s="476">
        <v>0</v>
      </c>
      <c r="Z253" s="38">
        <f t="shared" si="74"/>
        <v>0</v>
      </c>
      <c r="AA253" s="564">
        <f t="shared" si="68"/>
        <v>0</v>
      </c>
      <c r="AB253" s="564">
        <f t="shared" si="69"/>
        <v>0</v>
      </c>
      <c r="AC253" s="564">
        <f t="shared" si="70"/>
        <v>0</v>
      </c>
      <c r="AE253" s="564">
        <f t="shared" si="71"/>
        <v>0</v>
      </c>
      <c r="AF253" s="564">
        <f t="shared" si="72"/>
        <v>0</v>
      </c>
      <c r="AG253" s="564">
        <f t="shared" si="73"/>
        <v>0</v>
      </c>
    </row>
    <row r="254" spans="1:33">
      <c r="A254" s="25"/>
      <c r="B254" s="25"/>
      <c r="C254" s="70" t="s">
        <v>42</v>
      </c>
      <c r="D254" s="444"/>
      <c r="E254" s="533" t="str">
        <f>'Q1 DMV - Revenue'!T214</f>
        <v/>
      </c>
      <c r="F254" s="225"/>
      <c r="G254" s="550"/>
      <c r="H254" s="556"/>
      <c r="I254" s="321">
        <f t="shared" si="80"/>
        <v>0</v>
      </c>
      <c r="J254" s="31"/>
      <c r="K254" s="88"/>
      <c r="L254" s="44"/>
      <c r="M254" s="31">
        <v>0</v>
      </c>
      <c r="N254" s="429"/>
      <c r="O254" s="31">
        <v>0</v>
      </c>
      <c r="P254" s="426">
        <f t="shared" si="75"/>
        <v>0</v>
      </c>
      <c r="Q254" s="178"/>
      <c r="R254" s="295"/>
      <c r="S254" s="328">
        <f t="shared" si="64"/>
        <v>0</v>
      </c>
      <c r="T254" s="31"/>
      <c r="U254" s="474">
        <f t="shared" si="65"/>
        <v>0</v>
      </c>
      <c r="V254" s="474">
        <f t="shared" si="66"/>
        <v>0</v>
      </c>
      <c r="W254" s="475">
        <f t="shared" si="67"/>
        <v>0</v>
      </c>
      <c r="X254" s="475">
        <v>0</v>
      </c>
      <c r="Y254" s="476">
        <v>0</v>
      </c>
      <c r="Z254" s="38">
        <f t="shared" si="74"/>
        <v>0</v>
      </c>
      <c r="AA254" s="564">
        <f t="shared" si="68"/>
        <v>0</v>
      </c>
      <c r="AB254" s="564">
        <f t="shared" si="69"/>
        <v>0</v>
      </c>
      <c r="AC254" s="564">
        <f t="shared" si="70"/>
        <v>0</v>
      </c>
      <c r="AE254" s="564">
        <f t="shared" si="71"/>
        <v>0</v>
      </c>
      <c r="AF254" s="564">
        <f t="shared" si="72"/>
        <v>0</v>
      </c>
      <c r="AG254" s="564">
        <f t="shared" si="73"/>
        <v>0</v>
      </c>
    </row>
    <row r="255" spans="1:33" s="146" customFormat="1">
      <c r="A255" s="21"/>
      <c r="B255" s="21" t="s">
        <v>109</v>
      </c>
      <c r="C255" s="68" t="s">
        <v>93</v>
      </c>
      <c r="D255" s="350">
        <f>366.96+629.31+295.35</f>
        <v>1291.6199999999999</v>
      </c>
      <c r="E255" s="529">
        <f>'Q3 DMV - Revenue'!S241</f>
        <v>1279.51</v>
      </c>
      <c r="F255" s="524"/>
      <c r="G255" s="521"/>
      <c r="H255" s="524"/>
      <c r="I255" s="379">
        <f>SUM(D255:H255)</f>
        <v>2571.13</v>
      </c>
      <c r="J255" s="31"/>
      <c r="K255" s="84"/>
      <c r="L255" s="42"/>
      <c r="M255" s="31">
        <v>0</v>
      </c>
      <c r="N255" s="429">
        <v>2571.13</v>
      </c>
      <c r="O255" s="31">
        <v>0</v>
      </c>
      <c r="P255" s="426">
        <f t="shared" si="75"/>
        <v>0</v>
      </c>
      <c r="Q255" s="178">
        <f>1090.31+804.16+558.86</f>
        <v>2453.33</v>
      </c>
      <c r="R255" s="295"/>
      <c r="S255" s="328">
        <f t="shared" si="64"/>
        <v>2453.33</v>
      </c>
      <c r="T255" s="31"/>
      <c r="U255" s="474">
        <f t="shared" si="65"/>
        <v>0</v>
      </c>
      <c r="V255" s="474">
        <f t="shared" si="66"/>
        <v>0</v>
      </c>
      <c r="W255" s="475">
        <f t="shared" si="67"/>
        <v>0</v>
      </c>
      <c r="X255" s="475">
        <v>0</v>
      </c>
      <c r="Y255" s="476">
        <v>0</v>
      </c>
      <c r="Z255" s="38">
        <f t="shared" si="74"/>
        <v>0</v>
      </c>
      <c r="AA255" s="564">
        <f t="shared" si="68"/>
        <v>0</v>
      </c>
      <c r="AB255" s="564">
        <f t="shared" si="69"/>
        <v>2571.13</v>
      </c>
      <c r="AC255" s="564">
        <f t="shared" si="70"/>
        <v>0</v>
      </c>
      <c r="AD255" s="566"/>
      <c r="AE255" s="564">
        <f t="shared" si="71"/>
        <v>0</v>
      </c>
      <c r="AF255" s="564">
        <f t="shared" si="72"/>
        <v>0</v>
      </c>
      <c r="AG255" s="564">
        <f t="shared" si="73"/>
        <v>0</v>
      </c>
    </row>
    <row r="256" spans="1:33" s="146" customFormat="1">
      <c r="A256" s="21"/>
      <c r="B256" s="21" t="s">
        <v>110</v>
      </c>
      <c r="C256" s="68" t="s">
        <v>434</v>
      </c>
      <c r="D256" s="446"/>
      <c r="E256" s="529">
        <f>'Q3 DMV - Revenue'!S242</f>
        <v>0</v>
      </c>
      <c r="F256" s="525">
        <v>69734</v>
      </c>
      <c r="G256" s="521"/>
      <c r="H256" s="524"/>
      <c r="I256" s="379">
        <f>SUM(D256:H256)</f>
        <v>69734</v>
      </c>
      <c r="J256" s="31"/>
      <c r="K256" s="84"/>
      <c r="L256" s="42"/>
      <c r="M256" s="31">
        <v>0</v>
      </c>
      <c r="N256" s="429">
        <v>69734</v>
      </c>
      <c r="O256" s="31">
        <v>0</v>
      </c>
      <c r="P256" s="426">
        <f t="shared" ref="P256" si="81">K256+L256</f>
        <v>0</v>
      </c>
      <c r="Q256" s="178"/>
      <c r="R256" s="295"/>
      <c r="S256" s="328">
        <f t="shared" si="64"/>
        <v>0</v>
      </c>
      <c r="T256" s="31"/>
      <c r="U256" s="474">
        <f t="shared" si="65"/>
        <v>0</v>
      </c>
      <c r="V256" s="474">
        <f t="shared" si="66"/>
        <v>0</v>
      </c>
      <c r="W256" s="475">
        <f t="shared" si="67"/>
        <v>0</v>
      </c>
      <c r="X256" s="475">
        <v>0</v>
      </c>
      <c r="Y256" s="476">
        <v>0</v>
      </c>
      <c r="Z256" s="38">
        <f t="shared" si="74"/>
        <v>0</v>
      </c>
      <c r="AA256" s="564">
        <f t="shared" si="68"/>
        <v>69734</v>
      </c>
      <c r="AB256" s="564">
        <f t="shared" si="69"/>
        <v>0</v>
      </c>
      <c r="AC256" s="564">
        <f t="shared" si="70"/>
        <v>0</v>
      </c>
      <c r="AD256" s="566"/>
      <c r="AE256" s="564">
        <f t="shared" si="71"/>
        <v>0</v>
      </c>
      <c r="AF256" s="564">
        <f t="shared" si="72"/>
        <v>0</v>
      </c>
      <c r="AG256" s="564">
        <f t="shared" si="73"/>
        <v>0</v>
      </c>
    </row>
    <row r="257" spans="1:33" ht="13" thickBot="1">
      <c r="A257" s="106"/>
      <c r="B257" s="106"/>
      <c r="C257" s="70" t="s">
        <v>49</v>
      </c>
      <c r="D257" s="544"/>
      <c r="E257" s="534" t="str">
        <f>'Q1 DMV - Revenue'!T216</f>
        <v/>
      </c>
      <c r="F257" s="228"/>
      <c r="G257" s="551"/>
      <c r="H257" s="557"/>
      <c r="I257" s="552">
        <f>SUM(D257:H257)</f>
        <v>0</v>
      </c>
      <c r="J257" s="31"/>
      <c r="K257" s="88"/>
      <c r="L257" s="44"/>
      <c r="M257" s="31">
        <v>0</v>
      </c>
      <c r="N257" s="429">
        <v>0</v>
      </c>
      <c r="O257" s="31">
        <v>0</v>
      </c>
      <c r="P257" s="426">
        <f t="shared" si="75"/>
        <v>0</v>
      </c>
      <c r="Q257" s="178"/>
      <c r="R257" s="295"/>
      <c r="S257" s="328">
        <f t="shared" si="64"/>
        <v>0</v>
      </c>
      <c r="T257" s="31"/>
      <c r="U257" s="474">
        <f t="shared" si="65"/>
        <v>0</v>
      </c>
      <c r="V257" s="474">
        <f t="shared" si="66"/>
        <v>0</v>
      </c>
      <c r="W257" s="475">
        <f t="shared" si="67"/>
        <v>0</v>
      </c>
      <c r="X257" s="475">
        <v>0</v>
      </c>
      <c r="Y257" s="476">
        <v>0</v>
      </c>
      <c r="Z257" s="38">
        <f t="shared" si="74"/>
        <v>0</v>
      </c>
      <c r="AA257" s="564">
        <f t="shared" si="68"/>
        <v>0</v>
      </c>
      <c r="AB257" s="564">
        <f t="shared" si="69"/>
        <v>0</v>
      </c>
      <c r="AC257" s="564">
        <f t="shared" si="70"/>
        <v>0</v>
      </c>
      <c r="AE257" s="564">
        <f t="shared" si="71"/>
        <v>0</v>
      </c>
      <c r="AF257" s="564">
        <f t="shared" si="72"/>
        <v>0</v>
      </c>
      <c r="AG257" s="564">
        <f t="shared" si="73"/>
        <v>0</v>
      </c>
    </row>
    <row r="258" spans="1:33" ht="13" thickBot="1">
      <c r="A258" s="107"/>
      <c r="B258" s="108"/>
      <c r="C258" s="71" t="s">
        <v>86</v>
      </c>
      <c r="D258" s="454">
        <f t="shared" ref="D258:L258" si="82">SUM(D19:D257)</f>
        <v>305935.44000000006</v>
      </c>
      <c r="E258" s="454">
        <f t="shared" si="82"/>
        <v>-174570.2275000001</v>
      </c>
      <c r="F258" s="454">
        <f t="shared" si="82"/>
        <v>5333987.8233333323</v>
      </c>
      <c r="G258" s="454">
        <f t="shared" si="82"/>
        <v>5037286.8433333309</v>
      </c>
      <c r="H258" s="454">
        <f t="shared" si="82"/>
        <v>5915062.7033333303</v>
      </c>
      <c r="I258" s="454">
        <f t="shared" si="82"/>
        <v>16417702.582500005</v>
      </c>
      <c r="J258" s="454">
        <f t="shared" si="82"/>
        <v>0</v>
      </c>
      <c r="K258" s="157">
        <f t="shared" si="82"/>
        <v>128996.89459889999</v>
      </c>
      <c r="L258" s="157">
        <f t="shared" si="82"/>
        <v>245457.59000000003</v>
      </c>
      <c r="M258" s="157">
        <f t="shared" ref="M258:O258" si="83">SUM(M21:M257)</f>
        <v>-18698</v>
      </c>
      <c r="N258" s="100">
        <f>SUM(N19:N257)</f>
        <v>18133979.850000001</v>
      </c>
      <c r="O258" s="157">
        <f t="shared" si="83"/>
        <v>-18698</v>
      </c>
      <c r="P258" s="314">
        <f>SUM(P19:P257)</f>
        <v>374454.48459890008</v>
      </c>
      <c r="Q258" s="314">
        <f>SUM(Q19:Q257)</f>
        <v>385111.77</v>
      </c>
      <c r="R258" s="297"/>
      <c r="S258" s="314">
        <f>SUM(S19:S257)</f>
        <v>10657.285401099996</v>
      </c>
      <c r="T258" s="314">
        <f t="shared" ref="T258" si="84">SUM(T21:T257)</f>
        <v>0</v>
      </c>
      <c r="U258" s="314">
        <f>SUM(U19:U257)</f>
        <v>83162.269538399996</v>
      </c>
      <c r="V258" s="314">
        <f>SUM(V19:V257)</f>
        <v>254565.0050605</v>
      </c>
      <c r="W258" s="314">
        <f>SUM(W19:W257)</f>
        <v>36727.210000000006</v>
      </c>
      <c r="X258" s="314">
        <f>SUM(X19:X257)</f>
        <v>0</v>
      </c>
      <c r="Y258" s="314">
        <f>SUM(Y19:Y257)</f>
        <v>0</v>
      </c>
      <c r="AA258" s="314">
        <f>SUM(AA19:AA257)</f>
        <v>15036244.805000003</v>
      </c>
      <c r="AB258" s="314">
        <f>SUM(AB19:AB257)</f>
        <v>1163823.8574999997</v>
      </c>
      <c r="AC258" s="314">
        <f>SUM(AC19:AC257)</f>
        <v>217633.91999999998</v>
      </c>
      <c r="AE258" s="314">
        <f>SUM(AE19:AE257)</f>
        <v>83162.269538399996</v>
      </c>
      <c r="AF258" s="314">
        <f>SUM(AF19:AF257)</f>
        <v>254565.0050605</v>
      </c>
      <c r="AG258" s="314">
        <f>SUM(AG19:AG257)</f>
        <v>36727.210000000006</v>
      </c>
    </row>
    <row r="259" spans="1:33" ht="13" thickBot="1">
      <c r="A259" s="65"/>
      <c r="B259" s="65"/>
      <c r="C259" s="141"/>
      <c r="D259" s="310" t="s">
        <v>293</v>
      </c>
      <c r="E259" s="160">
        <f>E258+D258</f>
        <v>131365.21249999997</v>
      </c>
      <c r="F259" s="153"/>
      <c r="G259" s="153" t="s">
        <v>225</v>
      </c>
      <c r="H259" s="160">
        <f>H258+G258+F258</f>
        <v>16286337.369999994</v>
      </c>
      <c r="I259" s="323"/>
      <c r="J259" s="153"/>
      <c r="K259" s="153" t="s">
        <v>296</v>
      </c>
      <c r="L259" s="100">
        <f>L258+K258</f>
        <v>374454.48459890002</v>
      </c>
      <c r="M259" s="153"/>
      <c r="N259" s="494">
        <f>I258-N258</f>
        <v>-1716277.2674999963</v>
      </c>
      <c r="O259" s="153"/>
      <c r="P259" s="153"/>
      <c r="Q259" s="153"/>
      <c r="R259" s="153"/>
      <c r="S259" s="153"/>
      <c r="T259" s="153"/>
      <c r="U259" s="139"/>
      <c r="V259" s="139"/>
      <c r="W259" s="139"/>
      <c r="X259" s="139"/>
      <c r="Y259" s="104"/>
      <c r="AA259" s="559">
        <v>-92891</v>
      </c>
      <c r="AB259" s="559">
        <v>47481</v>
      </c>
      <c r="AC259" s="559">
        <v>92891</v>
      </c>
    </row>
    <row r="260" spans="1:33" ht="13" thickBot="1">
      <c r="A260" s="65"/>
      <c r="B260" s="65"/>
      <c r="D260" s="128"/>
      <c r="E260" s="47"/>
      <c r="F260" s="153"/>
      <c r="G260" s="153"/>
      <c r="H260" s="153"/>
      <c r="I260" s="153"/>
      <c r="J260" s="153"/>
      <c r="K260" s="153"/>
      <c r="L260" s="67"/>
      <c r="M260" s="153"/>
      <c r="N260" s="153">
        <f>N258+N259</f>
        <v>16417702.582500005</v>
      </c>
      <c r="O260" s="153"/>
      <c r="P260" s="153"/>
      <c r="Q260" s="153"/>
      <c r="R260" s="153"/>
      <c r="S260" s="153"/>
      <c r="T260" s="153"/>
      <c r="U260" s="331" t="s">
        <v>345</v>
      </c>
      <c r="V260" s="139"/>
      <c r="W260" s="139"/>
      <c r="X260" s="139"/>
      <c r="Y260" s="104"/>
      <c r="AA260" s="577">
        <v>3637.06</v>
      </c>
      <c r="AB260" s="577">
        <v>0</v>
      </c>
      <c r="AC260" s="577">
        <v>0</v>
      </c>
      <c r="AD260" s="559">
        <f>SUM(AA259:AC260)</f>
        <v>51118.06</v>
      </c>
    </row>
    <row r="261" spans="1:33" ht="16" thickTop="1">
      <c r="G261" s="309"/>
      <c r="H261" s="79"/>
      <c r="I261" s="18"/>
      <c r="K261" s="232"/>
      <c r="L261" s="233"/>
      <c r="U261" s="332"/>
      <c r="V261" s="333"/>
      <c r="W261" s="491"/>
      <c r="X261" s="491"/>
      <c r="Y261" s="334"/>
      <c r="Z261" s="578" t="s">
        <v>452</v>
      </c>
      <c r="AA261" s="559">
        <f>AA258+AA259+AA260</f>
        <v>14946990.865000004</v>
      </c>
      <c r="AB261" s="559">
        <f>AB258+AB259+AB260</f>
        <v>1211304.8574999997</v>
      </c>
      <c r="AC261" s="559">
        <f>AC258+AC259+AC260</f>
        <v>310524.92</v>
      </c>
    </row>
    <row r="262" spans="1:33" ht="17" thickBot="1">
      <c r="G262" s="309"/>
      <c r="H262" s="79"/>
      <c r="I262" s="18"/>
      <c r="L262" s="493"/>
      <c r="U262" s="487"/>
      <c r="V262" s="488"/>
      <c r="W262" s="492" t="s">
        <v>399</v>
      </c>
      <c r="X262" s="492" t="s">
        <v>400</v>
      </c>
      <c r="Y262" s="414"/>
    </row>
    <row r="263" spans="1:33" ht="15" thickBot="1">
      <c r="C263" s="143" t="s">
        <v>294</v>
      </c>
      <c r="G263" s="142"/>
      <c r="H263" s="159"/>
      <c r="I263" s="169"/>
      <c r="K263" s="489" t="s">
        <v>443</v>
      </c>
      <c r="L263" s="308">
        <f>I258</f>
        <v>16417702.582500005</v>
      </c>
      <c r="M263" s="146"/>
      <c r="O263" s="146"/>
      <c r="U263" s="158" t="s">
        <v>346</v>
      </c>
      <c r="V263" s="104" t="s">
        <v>352</v>
      </c>
      <c r="W263" s="104">
        <f>SUM(X265:X271)-W264</f>
        <v>374454.48459890002</v>
      </c>
      <c r="X263" s="104"/>
      <c r="Y263" s="136"/>
      <c r="Z263" s="578"/>
    </row>
    <row r="264" spans="1:33" ht="15" thickBot="1">
      <c r="C264" s="143" t="s">
        <v>295</v>
      </c>
      <c r="G264" s="17" t="s">
        <v>249</v>
      </c>
      <c r="H264" s="132"/>
      <c r="K264" s="490" t="s">
        <v>455</v>
      </c>
      <c r="L264" s="559">
        <f>SUM(AA259:AC260)</f>
        <v>51118.06</v>
      </c>
      <c r="P264" s="151"/>
      <c r="Q264" s="151"/>
      <c r="R264" s="151"/>
      <c r="S264" s="151"/>
      <c r="U264" s="158"/>
      <c r="V264" s="104"/>
      <c r="W264" s="104"/>
      <c r="X264" s="104"/>
      <c r="Y264" s="136"/>
      <c r="Z264" s="578" t="s">
        <v>453</v>
      </c>
      <c r="AA264" s="559">
        <v>-15021860</v>
      </c>
      <c r="AB264" s="559">
        <v>-1100396</v>
      </c>
      <c r="AC264" s="559">
        <v>-313786.88</v>
      </c>
    </row>
    <row r="265" spans="1:33" ht="15" thickBot="1">
      <c r="C265" s="143" t="s">
        <v>297</v>
      </c>
      <c r="K265" s="489" t="s">
        <v>444</v>
      </c>
      <c r="L265" s="486">
        <f>P258</f>
        <v>374454.48459890008</v>
      </c>
      <c r="N265" s="33"/>
      <c r="P265" s="151"/>
      <c r="Q265" s="151"/>
      <c r="R265" s="151"/>
      <c r="S265" s="151"/>
      <c r="U265" s="158" t="s">
        <v>351</v>
      </c>
      <c r="V265" s="104" t="s">
        <v>355</v>
      </c>
      <c r="W265" s="104"/>
      <c r="X265" s="104">
        <f>U258</f>
        <v>83162.269538399996</v>
      </c>
      <c r="Y265" s="136"/>
      <c r="AA265" s="559">
        <f>AA264+AA261</f>
        <v>-74869.134999996051</v>
      </c>
      <c r="AB265" s="559">
        <f>AB264+AB261</f>
        <v>110908.85749999969</v>
      </c>
      <c r="AC265" s="559">
        <f>AC264+AC261</f>
        <v>-3261.960000000021</v>
      </c>
      <c r="AD265" s="559">
        <f>AA265+AB265+AC265</f>
        <v>32777.762500003621</v>
      </c>
    </row>
    <row r="266" spans="1:33" ht="15" thickBot="1">
      <c r="C266" s="143" t="s">
        <v>297</v>
      </c>
      <c r="K266" s="490"/>
      <c r="P266" s="151"/>
      <c r="Q266" s="54"/>
      <c r="R266" s="151"/>
      <c r="S266" s="294"/>
      <c r="U266" s="158" t="s">
        <v>350</v>
      </c>
      <c r="V266" s="104" t="s">
        <v>356</v>
      </c>
      <c r="W266" s="104"/>
      <c r="X266" s="104">
        <f>X258</f>
        <v>0</v>
      </c>
      <c r="Y266" s="136"/>
    </row>
    <row r="267" spans="1:33" ht="15" thickBot="1">
      <c r="C267" s="143"/>
      <c r="K267" s="489" t="s">
        <v>251</v>
      </c>
      <c r="L267" s="486">
        <f>AA264+AB264+AC264</f>
        <v>-16436042.880000001</v>
      </c>
      <c r="P267" s="151"/>
      <c r="Q267" s="151"/>
      <c r="R267" s="151"/>
      <c r="S267" s="151"/>
      <c r="U267" s="158"/>
      <c r="V267" s="104"/>
      <c r="W267" s="104"/>
      <c r="X267" s="104"/>
      <c r="Y267" s="136"/>
    </row>
    <row r="268" spans="1:33" ht="16">
      <c r="K268" s="490"/>
      <c r="L268" s="326">
        <f>L267+L265+L263+L264</f>
        <v>407232.24709890358</v>
      </c>
      <c r="P268" s="151"/>
      <c r="Q268" s="151"/>
      <c r="R268" s="151"/>
      <c r="S268" s="151"/>
      <c r="U268" s="158" t="s">
        <v>349</v>
      </c>
      <c r="V268" s="104" t="s">
        <v>357</v>
      </c>
      <c r="W268" s="104"/>
      <c r="X268" s="104">
        <f>V258</f>
        <v>254565.0050605</v>
      </c>
      <c r="Y268" s="136"/>
    </row>
    <row r="269" spans="1:33">
      <c r="L269" s="325"/>
      <c r="P269" s="151"/>
      <c r="Q269" s="151"/>
      <c r="R269" s="151"/>
      <c r="S269" s="151"/>
      <c r="U269" s="415" t="s">
        <v>348</v>
      </c>
      <c r="V269" s="104" t="s">
        <v>358</v>
      </c>
      <c r="W269" s="104"/>
      <c r="X269" s="104">
        <f>Y258</f>
        <v>0</v>
      </c>
      <c r="Y269" s="136"/>
    </row>
    <row r="270" spans="1:33">
      <c r="L270" s="325"/>
      <c r="P270" s="151"/>
      <c r="Q270" s="151"/>
      <c r="R270" s="151"/>
      <c r="S270" s="151"/>
      <c r="U270" s="415"/>
      <c r="V270" s="104"/>
      <c r="W270" s="104"/>
      <c r="X270" s="104"/>
      <c r="Y270" s="136"/>
    </row>
    <row r="271" spans="1:33" ht="13" thickBot="1">
      <c r="K271" s="578" t="s">
        <v>454</v>
      </c>
      <c r="L271" s="37">
        <f>L265-L268</f>
        <v>-32777.762500003504</v>
      </c>
      <c r="P271" s="151"/>
      <c r="Q271" s="151"/>
      <c r="R271" s="151"/>
      <c r="S271" s="151"/>
      <c r="U271" s="417" t="s">
        <v>347</v>
      </c>
      <c r="V271" s="418" t="s">
        <v>359</v>
      </c>
      <c r="W271" s="418"/>
      <c r="X271" s="418">
        <f>W258</f>
        <v>36727.210000000006</v>
      </c>
      <c r="Y271" s="414"/>
    </row>
    <row r="272" spans="1:33" ht="13" thickTop="1">
      <c r="L272" s="37"/>
      <c r="U272" s="416"/>
      <c r="V272" s="104"/>
      <c r="W272" s="80">
        <f>SUM(W263:W271)</f>
        <v>374454.48459890002</v>
      </c>
      <c r="X272" s="80">
        <f>SUM(X265:X271)</f>
        <v>374454.48459890002</v>
      </c>
      <c r="Y272" s="136"/>
    </row>
    <row r="273" spans="21:25">
      <c r="U273" s="416"/>
      <c r="V273" s="104"/>
      <c r="W273" s="104"/>
      <c r="X273" s="104"/>
      <c r="Y273" s="136"/>
    </row>
    <row r="274" spans="21:25" ht="13" thickBot="1">
      <c r="U274" s="330"/>
      <c r="V274" s="279"/>
      <c r="W274" s="279"/>
      <c r="X274" s="279"/>
      <c r="Y274" s="280"/>
    </row>
    <row r="275" spans="21:25">
      <c r="U275" s="104"/>
      <c r="V275" s="104"/>
      <c r="W275" s="104"/>
      <c r="X275" s="104"/>
      <c r="Y275" s="104"/>
    </row>
  </sheetData>
  <customSheetViews>
    <customSheetView guid="{005F2F7B-A3A9-4755-A4DF-7CE06C365CC2}" showPageBreaks="1" topLeftCell="A10">
      <pane xSplit="3" ySplit="9" topLeftCell="D241" activePane="bottomRight" state="frozenSplit"/>
      <selection pane="bottomRight" activeCell="C247" sqref="C247"/>
      <pageSetup orientation="portrait" horizontalDpi="1200" verticalDpi="1200"/>
    </customSheetView>
    <customSheetView guid="{D3CBD86D-0B34-40AC-BD97-D8082E871349}" scale="110" showPageBreaks="1" fitToPage="1" printArea="1" hiddenColumns="1" topLeftCell="C196">
      <selection activeCell="I204" sqref="I204"/>
      <pageSetup scale="69" fitToHeight="3" orientation="portrait" horizontalDpi="1200" verticalDpi="1200"/>
    </customSheetView>
    <customSheetView guid="{A6D105A8-F3F8-4045-83EA-8812D2E401D6}" scale="110" showPageBreaks="1" fitToPage="1" printArea="1" hiddenColumns="1" topLeftCell="C85">
      <selection activeCell="C17" sqref="C17:P247"/>
      <pageSetup scale="69" fitToHeight="3" orientation="portrait" horizontalDpi="1200" verticalDpi="1200"/>
    </customSheetView>
    <customSheetView guid="{6F4B4768-8A4D-42E2-B88D-A2E3A11E334D}" scale="120" showPageBreaks="1" hiddenColumns="1" topLeftCell="C79">
      <selection activeCell="D90" sqref="D90"/>
      <pageSetup orientation="portrait" horizontalDpi="1200" verticalDpi="1200"/>
    </customSheetView>
    <customSheetView guid="{30EF2F7D-596A-4F42-BFFC-293775FB231D}" showPageBreaks="1" topLeftCell="A10">
      <pane ySplit="9" topLeftCell="A49" activePane="bottomLeft" state="frozenSplit"/>
      <selection pane="bottomLeft" activeCell="I14" sqref="I14"/>
      <pageSetup orientation="portrait" horizontalDpi="1200" verticalDpi="1200"/>
    </customSheetView>
    <customSheetView guid="{19673ADA-0B6E-420C-87C4-DFC2B9AF85E8}" showPageBreaks="1" printArea="1" topLeftCell="C10">
      <pane ySplit="9" topLeftCell="A241" activePane="bottomLeft" state="frozenSplit"/>
      <selection pane="bottomLeft" activeCell="N34" sqref="N34"/>
      <pageSetup paperSize="5" scale="60" orientation="landscape" horizontalDpi="1200" verticalDpi="1200"/>
    </customSheetView>
    <customSheetView guid="{EAD60427-EED9-4BA8-BD26-3C00E46B1F0E}" scale="110" showPageBreaks="1" fitToPage="1" printArea="1" hiddenColumns="1" topLeftCell="C85">
      <selection activeCell="C17" sqref="C17:P247"/>
      <pageSetup scale="69" fitToHeight="3" orientation="portrait" horizontalDpi="1200" verticalDpi="1200"/>
    </customSheetView>
    <customSheetView guid="{041E0462-B6EA-414A-9F2E-C14ADEFAE5F2}" scale="110" showPageBreaks="1" fitToPage="1" printArea="1" hiddenColumns="1" topLeftCell="C52">
      <selection activeCell="I204" sqref="I204"/>
      <pageSetup scale="69" fitToHeight="3" orientation="portrait" horizontalDpi="1200" verticalDpi="1200"/>
    </customSheetView>
    <customSheetView guid="{86CCC894-C193-4761-8385-3C374FD67B70}" scale="110" showPageBreaks="1" fitToPage="1" printArea="1" hiddenColumns="1" topLeftCell="C37">
      <selection activeCell="H35" sqref="H35:H44"/>
      <pageSetup scale="69" fitToHeight="3" orientation="portrait" horizontalDpi="1200" verticalDpi="1200"/>
    </customSheetView>
  </customSheetViews>
  <pageMargins left="0.25" right="0.25" top="0.75" bottom="0.75" header="0.3" footer="0.3"/>
  <pageSetup scale="69" fitToHeight="3" orientation="portrait" horizontalDpi="1200" verticalDpi="1200"/>
  <legacyDrawing r:id="rId1"/>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G259"/>
  <sheetViews>
    <sheetView topLeftCell="C169" zoomScale="96" zoomScaleNormal="98" zoomScalePageLayoutView="98" workbookViewId="0">
      <selection activeCell="I193" sqref="I193:K193"/>
    </sheetView>
  </sheetViews>
  <sheetFormatPr baseColWidth="10" defaultColWidth="9.3984375" defaultRowHeight="12" outlineLevelCol="1" x14ac:dyDescent="0"/>
  <cols>
    <col min="1" max="1" width="16.19921875" style="18" hidden="1" customWidth="1" outlineLevel="1"/>
    <col min="2" max="2" width="11.59765625" style="18" hidden="1" customWidth="1" outlineLevel="1"/>
    <col min="3" max="3" width="37.59765625" style="147" customWidth="1" collapsed="1"/>
    <col min="4" max="4" width="17" style="35" bestFit="1" customWidth="1"/>
    <col min="5" max="5" width="18.3984375" style="152" bestFit="1" customWidth="1"/>
    <col min="6" max="6" width="19.3984375" style="17" bestFit="1" customWidth="1"/>
    <col min="7" max="7" width="19" style="17" bestFit="1" customWidth="1"/>
    <col min="8" max="8" width="20.59765625" style="131" bestFit="1" customWidth="1"/>
    <col min="9" max="9" width="20.19921875" style="24" bestFit="1" customWidth="1"/>
    <col min="10" max="10" width="1.59765625" style="24" customWidth="1"/>
    <col min="11" max="11" width="17.3984375" style="24" bestFit="1" customWidth="1"/>
    <col min="12" max="12" width="20.59765625" style="24" bestFit="1" customWidth="1"/>
    <col min="13" max="13" width="1" style="16" customWidth="1"/>
    <col min="14" max="14" width="20.59765625" style="146" bestFit="1" customWidth="1"/>
    <col min="15" max="15" width="1" style="16" customWidth="1"/>
    <col min="16" max="16" width="20.3984375" style="146" bestFit="1" customWidth="1"/>
    <col min="17" max="17" width="28.19921875" style="146" bestFit="1" customWidth="1"/>
    <col min="18" max="18" width="1" style="146" customWidth="1"/>
    <col min="19" max="19" width="24.59765625" style="146" bestFit="1" customWidth="1"/>
    <col min="20" max="20" width="1.59765625" style="24" customWidth="1"/>
    <col min="21" max="21" width="20.796875" style="38" bestFit="1" customWidth="1"/>
    <col min="22" max="22" width="24" style="38" bestFit="1" customWidth="1"/>
    <col min="23" max="23" width="20" style="38" bestFit="1" customWidth="1"/>
    <col min="24" max="24" width="23.3984375" style="38" bestFit="1" customWidth="1"/>
    <col min="25" max="25" width="17" style="38" bestFit="1" customWidth="1"/>
    <col min="26" max="26" width="11.19921875" style="16" bestFit="1" customWidth="1"/>
    <col min="27" max="27" width="20.59765625" style="16" bestFit="1" customWidth="1"/>
    <col min="28" max="28" width="19" style="16" bestFit="1" customWidth="1"/>
    <col min="29" max="29" width="19.796875" style="16" customWidth="1"/>
    <col min="30" max="30" width="9.3984375" style="16"/>
    <col min="31" max="31" width="14.19921875" style="16" bestFit="1" customWidth="1"/>
    <col min="32" max="33" width="14.19921875" style="16" customWidth="1"/>
    <col min="34" max="16384" width="9.3984375" style="16"/>
  </cols>
  <sheetData>
    <row r="1" spans="1:24">
      <c r="C1" s="147" t="s">
        <v>71</v>
      </c>
      <c r="E1" s="29"/>
      <c r="F1" s="162"/>
      <c r="G1" s="163"/>
      <c r="I1" s="20" t="s">
        <v>119</v>
      </c>
      <c r="J1" s="40"/>
      <c r="K1" s="20" t="s">
        <v>119</v>
      </c>
      <c r="L1" s="20" t="s">
        <v>120</v>
      </c>
      <c r="T1" s="40"/>
    </row>
    <row r="2" spans="1:24">
      <c r="C2" s="147" t="s">
        <v>72</v>
      </c>
      <c r="E2" s="29"/>
      <c r="F2" s="162"/>
      <c r="G2" s="163"/>
      <c r="I2" s="20" t="s">
        <v>377</v>
      </c>
      <c r="J2" s="40"/>
      <c r="K2" s="20" t="s">
        <v>299</v>
      </c>
      <c r="L2" s="20" t="s">
        <v>300</v>
      </c>
      <c r="T2" s="40"/>
    </row>
    <row r="3" spans="1:24">
      <c r="C3" s="147" t="s">
        <v>360</v>
      </c>
      <c r="E3" s="29"/>
      <c r="F3" s="18"/>
      <c r="G3" s="168"/>
      <c r="I3" s="140"/>
      <c r="K3" s="140"/>
      <c r="L3" s="236"/>
    </row>
    <row r="4" spans="1:24">
      <c r="C4" s="148" t="s">
        <v>228</v>
      </c>
      <c r="F4" s="164"/>
      <c r="G4" s="168"/>
      <c r="H4" s="161"/>
    </row>
    <row r="5" spans="1:24" ht="13" thickBot="1">
      <c r="C5" s="148"/>
      <c r="F5" s="161"/>
      <c r="G5" s="161"/>
      <c r="H5" s="161"/>
    </row>
    <row r="6" spans="1:24">
      <c r="B6" s="460"/>
      <c r="C6" s="461" t="s">
        <v>84</v>
      </c>
      <c r="D6" s="462" t="s">
        <v>85</v>
      </c>
      <c r="F6" s="161"/>
      <c r="G6" s="161"/>
      <c r="H6" s="161"/>
      <c r="I6" s="18"/>
      <c r="K6" s="18"/>
      <c r="L6" s="18"/>
      <c r="M6" s="18"/>
      <c r="N6" s="152"/>
      <c r="O6" s="18"/>
      <c r="P6" s="152"/>
      <c r="Q6" s="152"/>
      <c r="R6" s="152"/>
      <c r="S6" s="152"/>
    </row>
    <row r="7" spans="1:24">
      <c r="B7" s="459"/>
      <c r="C7" s="458" t="s">
        <v>74</v>
      </c>
      <c r="D7" s="463" t="s">
        <v>77</v>
      </c>
      <c r="F7" s="161"/>
      <c r="G7" s="161"/>
      <c r="H7" s="161"/>
      <c r="I7" s="478"/>
      <c r="K7" s="169"/>
      <c r="L7" s="169"/>
    </row>
    <row r="8" spans="1:24">
      <c r="B8" s="459"/>
      <c r="C8" s="458" t="s">
        <v>75</v>
      </c>
      <c r="D8" s="287" t="s">
        <v>115</v>
      </c>
      <c r="E8" s="29"/>
      <c r="F8" s="161"/>
      <c r="G8" s="161"/>
      <c r="H8" s="135"/>
      <c r="I8" s="172"/>
      <c r="J8" s="41"/>
      <c r="K8" s="37"/>
      <c r="L8" s="37"/>
      <c r="T8" s="41"/>
    </row>
    <row r="9" spans="1:24">
      <c r="B9" s="459"/>
      <c r="C9" s="458" t="s">
        <v>73</v>
      </c>
      <c r="D9" s="464" t="s">
        <v>78</v>
      </c>
      <c r="E9" s="29"/>
      <c r="F9" s="164"/>
      <c r="G9" s="175"/>
      <c r="H9" s="135"/>
      <c r="I9" s="75"/>
      <c r="J9" s="41"/>
      <c r="K9" s="77"/>
      <c r="L9" s="77"/>
      <c r="M9" s="27"/>
      <c r="N9" s="151"/>
      <c r="O9" s="27"/>
      <c r="P9" s="151"/>
      <c r="Q9" s="151"/>
      <c r="R9" s="151"/>
      <c r="S9" s="151"/>
      <c r="T9" s="41"/>
    </row>
    <row r="10" spans="1:24">
      <c r="B10" s="459"/>
      <c r="C10" s="458" t="s">
        <v>76</v>
      </c>
      <c r="D10" s="465" t="s">
        <v>79</v>
      </c>
      <c r="E10" s="29"/>
      <c r="F10" s="161"/>
      <c r="G10" s="134"/>
      <c r="H10" s="135"/>
      <c r="I10" s="78"/>
      <c r="K10" s="79"/>
      <c r="L10" s="79"/>
      <c r="M10" s="27"/>
      <c r="N10" s="151"/>
      <c r="O10" s="27"/>
      <c r="P10" s="151"/>
      <c r="Q10" s="151"/>
      <c r="R10" s="151"/>
      <c r="S10" s="151"/>
    </row>
    <row r="11" spans="1:24">
      <c r="B11" s="459"/>
      <c r="C11" s="458" t="s">
        <v>81</v>
      </c>
      <c r="D11" s="466" t="s">
        <v>80</v>
      </c>
      <c r="E11" s="29"/>
      <c r="F11" s="161"/>
      <c r="G11" s="134"/>
      <c r="H11" s="10"/>
      <c r="I11" s="78"/>
      <c r="K11" s="79"/>
      <c r="L11" s="79"/>
      <c r="M11" s="27"/>
      <c r="N11" s="151"/>
      <c r="O11" s="27"/>
      <c r="P11" s="151"/>
      <c r="Q11" s="151"/>
      <c r="R11" s="151"/>
      <c r="S11" s="151"/>
    </row>
    <row r="12" spans="1:24">
      <c r="B12" s="459"/>
      <c r="C12" s="458" t="s">
        <v>83</v>
      </c>
      <c r="D12" s="467" t="s">
        <v>82</v>
      </c>
      <c r="E12" s="165"/>
      <c r="F12" s="147"/>
      <c r="G12" s="134"/>
      <c r="I12" s="78"/>
      <c r="K12" s="80"/>
      <c r="L12" s="80"/>
      <c r="M12" s="81"/>
      <c r="N12" s="12"/>
      <c r="O12" s="81"/>
      <c r="P12" s="12"/>
      <c r="Q12" s="12"/>
      <c r="R12" s="12"/>
      <c r="S12" s="12"/>
    </row>
    <row r="13" spans="1:24">
      <c r="B13" s="459"/>
      <c r="C13" s="458" t="s">
        <v>88</v>
      </c>
      <c r="D13" s="468" t="s">
        <v>89</v>
      </c>
      <c r="E13" s="29"/>
      <c r="I13" s="76"/>
      <c r="K13" s="174"/>
      <c r="L13" s="76"/>
      <c r="M13" s="27"/>
      <c r="N13" s="151"/>
      <c r="O13" s="27"/>
      <c r="P13" s="151"/>
      <c r="Q13" s="151"/>
      <c r="R13" s="151"/>
      <c r="S13" s="151"/>
    </row>
    <row r="14" spans="1:24">
      <c r="B14" s="459"/>
      <c r="C14" s="458" t="s">
        <v>116</v>
      </c>
      <c r="D14" s="99" t="s">
        <v>117</v>
      </c>
      <c r="E14" s="29"/>
      <c r="F14" s="166"/>
      <c r="G14" s="145"/>
      <c r="I14" s="76"/>
      <c r="K14" s="173"/>
      <c r="L14" s="173"/>
      <c r="M14" s="27"/>
      <c r="N14" s="151"/>
      <c r="O14" s="27"/>
      <c r="P14" s="151"/>
      <c r="Q14" s="151"/>
      <c r="R14" s="151"/>
      <c r="S14" s="151"/>
    </row>
    <row r="15" spans="1:24" ht="13" thickBot="1">
      <c r="B15" s="469"/>
      <c r="C15" s="470" t="s">
        <v>103</v>
      </c>
      <c r="D15" s="471" t="s">
        <v>101</v>
      </c>
      <c r="E15" s="29"/>
      <c r="F15" s="166"/>
      <c r="G15" s="150"/>
      <c r="I15" s="76"/>
    </row>
    <row r="16" spans="1:24" ht="13" thickBot="1">
      <c r="A16" s="152"/>
      <c r="B16" s="152"/>
      <c r="C16" s="54"/>
      <c r="D16" s="34"/>
      <c r="F16" s="167"/>
      <c r="G16" s="49"/>
      <c r="H16" s="67"/>
      <c r="I16" s="50"/>
      <c r="J16" s="50"/>
      <c r="K16" s="50"/>
      <c r="L16" s="50"/>
      <c r="M16" s="146"/>
      <c r="O16" s="146"/>
      <c r="T16" s="50"/>
      <c r="U16" s="33"/>
      <c r="V16" s="33"/>
      <c r="W16" s="33"/>
      <c r="X16" s="33"/>
    </row>
    <row r="17" spans="1:33" ht="13" thickBot="1">
      <c r="C17" s="53"/>
      <c r="D17" s="448" t="s">
        <v>365</v>
      </c>
      <c r="E17" s="441" t="s">
        <v>285</v>
      </c>
      <c r="F17" s="96" t="s">
        <v>361</v>
      </c>
      <c r="G17" s="96" t="s">
        <v>361</v>
      </c>
      <c r="H17" s="304" t="s">
        <v>361</v>
      </c>
      <c r="I17" s="318" t="s">
        <v>361</v>
      </c>
      <c r="J17" s="93"/>
      <c r="K17" s="96" t="s">
        <v>361</v>
      </c>
      <c r="L17" s="96" t="s">
        <v>361</v>
      </c>
      <c r="M17" s="93"/>
      <c r="N17" s="13"/>
      <c r="O17" s="93"/>
      <c r="P17" s="13"/>
      <c r="Q17" s="96" t="s">
        <v>285</v>
      </c>
      <c r="R17" s="101"/>
      <c r="S17" s="96" t="s">
        <v>285</v>
      </c>
      <c r="T17" s="93"/>
      <c r="U17" s="96" t="s">
        <v>285</v>
      </c>
      <c r="V17" s="96" t="s">
        <v>285</v>
      </c>
      <c r="W17" s="304" t="s">
        <v>285</v>
      </c>
      <c r="X17" s="304" t="s">
        <v>285</v>
      </c>
      <c r="Y17" s="304" t="s">
        <v>285</v>
      </c>
      <c r="AB17" s="266" t="s">
        <v>266</v>
      </c>
      <c r="AF17" s="18" t="s">
        <v>267</v>
      </c>
    </row>
    <row r="18" spans="1:33" ht="13" thickBot="1">
      <c r="A18" s="22" t="s">
        <v>95</v>
      </c>
      <c r="B18" s="22" t="s">
        <v>100</v>
      </c>
      <c r="C18" s="36" t="s">
        <v>67</v>
      </c>
      <c r="D18" s="450" t="s">
        <v>230</v>
      </c>
      <c r="E18" s="442" t="s">
        <v>229</v>
      </c>
      <c r="F18" s="176" t="s">
        <v>366</v>
      </c>
      <c r="G18" s="177" t="s">
        <v>367</v>
      </c>
      <c r="H18" s="189" t="s">
        <v>368</v>
      </c>
      <c r="I18" s="313" t="s">
        <v>105</v>
      </c>
      <c r="J18" s="93"/>
      <c r="K18" s="94" t="s">
        <v>104</v>
      </c>
      <c r="L18" s="95" t="s">
        <v>106</v>
      </c>
      <c r="M18" s="102"/>
      <c r="N18" s="427" t="s">
        <v>372</v>
      </c>
      <c r="O18" s="102"/>
      <c r="P18" s="313" t="s">
        <v>362</v>
      </c>
      <c r="Q18" s="156" t="s">
        <v>363</v>
      </c>
      <c r="R18" s="149"/>
      <c r="S18" s="327" t="s">
        <v>364</v>
      </c>
      <c r="T18" s="93"/>
      <c r="U18" s="103" t="s">
        <v>111</v>
      </c>
      <c r="V18" s="74" t="s">
        <v>112</v>
      </c>
      <c r="W18" s="103" t="s">
        <v>113</v>
      </c>
      <c r="X18" s="103" t="s">
        <v>223</v>
      </c>
      <c r="Y18" s="307" t="s">
        <v>224</v>
      </c>
      <c r="AA18" s="264" t="s">
        <v>263</v>
      </c>
      <c r="AB18" s="265" t="s">
        <v>264</v>
      </c>
      <c r="AC18" s="265" t="s">
        <v>265</v>
      </c>
      <c r="AE18" s="264" t="s">
        <v>263</v>
      </c>
      <c r="AF18" s="265" t="s">
        <v>264</v>
      </c>
      <c r="AG18" s="265" t="s">
        <v>265</v>
      </c>
    </row>
    <row r="19" spans="1:33">
      <c r="A19" s="472" t="s">
        <v>109</v>
      </c>
      <c r="B19" s="472" t="s">
        <v>110</v>
      </c>
      <c r="C19" s="373" t="s">
        <v>320</v>
      </c>
      <c r="D19" s="482"/>
      <c r="E19" s="452" t="str">
        <f>'Q2 DMV - Revenue'!T19</f>
        <v/>
      </c>
      <c r="F19" s="315"/>
      <c r="G19" s="315"/>
      <c r="H19" s="315"/>
      <c r="I19" s="379">
        <f>SUM(D19:H19)</f>
        <v>0</v>
      </c>
      <c r="J19" s="380"/>
      <c r="K19" s="337"/>
      <c r="L19" s="381">
        <v>186.9</v>
      </c>
      <c r="M19" s="380">
        <v>0</v>
      </c>
      <c r="N19" s="428">
        <v>0</v>
      </c>
      <c r="O19" s="380">
        <v>0</v>
      </c>
      <c r="P19" s="426">
        <f>K19+L19</f>
        <v>186.9</v>
      </c>
      <c r="Q19" s="473"/>
      <c r="R19" s="384"/>
      <c r="S19" s="385">
        <f>Q19-P19</f>
        <v>-186.9</v>
      </c>
      <c r="T19" s="380"/>
      <c r="U19" s="474">
        <f>IF(B19="D",P19,0)</f>
        <v>186.9</v>
      </c>
      <c r="V19" s="474">
        <f>IF(B19="M",P19,0)</f>
        <v>0</v>
      </c>
      <c r="W19" s="475">
        <f>IF(B19="V",P19,0)</f>
        <v>0</v>
      </c>
      <c r="X19" s="475">
        <v>0</v>
      </c>
      <c r="Y19" s="476">
        <v>0</v>
      </c>
      <c r="Z19" s="38">
        <f t="shared" ref="Z19:Z82" si="0">(K19+L19)-(U19+V19+W19+X19+Y19)</f>
        <v>0</v>
      </c>
      <c r="AA19" s="477">
        <v>40454.18</v>
      </c>
      <c r="AB19" s="477">
        <v>0</v>
      </c>
      <c r="AC19" s="477">
        <v>0</v>
      </c>
      <c r="AE19" s="477">
        <v>17119.095000000001</v>
      </c>
      <c r="AF19" s="477">
        <v>0</v>
      </c>
      <c r="AG19" s="477">
        <v>0</v>
      </c>
    </row>
    <row r="20" spans="1:33">
      <c r="A20" s="372" t="s">
        <v>109</v>
      </c>
      <c r="B20" s="472" t="s">
        <v>109</v>
      </c>
      <c r="C20" s="373" t="s">
        <v>382</v>
      </c>
      <c r="D20" s="433">
        <v>41389.51</v>
      </c>
      <c r="E20" s="452"/>
      <c r="F20" s="390"/>
      <c r="G20" s="390"/>
      <c r="H20" s="390"/>
      <c r="I20" s="379">
        <f>SUM(D20:H20)</f>
        <v>41389.51</v>
      </c>
      <c r="J20" s="380"/>
      <c r="K20" s="337"/>
      <c r="L20" s="381">
        <v>0</v>
      </c>
      <c r="M20" s="380">
        <v>0</v>
      </c>
      <c r="N20" s="428">
        <v>41389.51</v>
      </c>
      <c r="O20" s="380">
        <v>0</v>
      </c>
      <c r="P20" s="426">
        <f t="shared" ref="P20:P83" si="1">K20+L20</f>
        <v>0</v>
      </c>
      <c r="Q20" s="383">
        <v>6680.12</v>
      </c>
      <c r="R20" s="384"/>
      <c r="S20" s="385">
        <f>Q20-P20</f>
        <v>6680.12</v>
      </c>
      <c r="T20" s="380"/>
      <c r="U20" s="474">
        <f t="shared" ref="U20:U83" si="2">IF(B20="D",P20,0)</f>
        <v>0</v>
      </c>
      <c r="V20" s="474">
        <f t="shared" ref="V20:V83" si="3">IF(B20="M",P20,0)</f>
        <v>0</v>
      </c>
      <c r="W20" s="475">
        <f t="shared" ref="W20:W83" si="4">IF(B20="V",P20,0)</f>
        <v>0</v>
      </c>
      <c r="X20" s="475">
        <v>0</v>
      </c>
      <c r="Y20" s="476">
        <v>0</v>
      </c>
      <c r="Z20" s="38">
        <f t="shared" si="0"/>
        <v>0</v>
      </c>
      <c r="AA20" s="388">
        <v>40454.18</v>
      </c>
      <c r="AB20" s="388">
        <v>0</v>
      </c>
      <c r="AC20" s="388">
        <v>0</v>
      </c>
      <c r="AE20" s="388">
        <v>17119.095000000001</v>
      </c>
      <c r="AF20" s="388">
        <v>0</v>
      </c>
      <c r="AG20" s="388">
        <v>0</v>
      </c>
    </row>
    <row r="21" spans="1:33">
      <c r="A21" s="20" t="s">
        <v>109</v>
      </c>
      <c r="B21" s="20" t="s">
        <v>110</v>
      </c>
      <c r="C21" s="123" t="s">
        <v>317</v>
      </c>
      <c r="D21" s="433">
        <v>0</v>
      </c>
      <c r="E21" s="452">
        <f>'Q2 DMV - Revenue'!T20</f>
        <v>-129.1299999999992</v>
      </c>
      <c r="F21" s="438">
        <f>17194.18+7233.23</f>
        <v>24427.41</v>
      </c>
      <c r="G21" s="438">
        <f>10584.42+6403.21</f>
        <v>16987.63</v>
      </c>
      <c r="H21" s="390"/>
      <c r="I21" s="311">
        <f t="shared" ref="I21:I92" si="5">SUM(D21:H21)</f>
        <v>41285.910000000003</v>
      </c>
      <c r="J21" s="31"/>
      <c r="K21" s="84">
        <v>17000</v>
      </c>
      <c r="L21" s="42">
        <v>0</v>
      </c>
      <c r="M21" s="31">
        <v>0</v>
      </c>
      <c r="N21" s="429">
        <v>0</v>
      </c>
      <c r="O21" s="31">
        <v>0</v>
      </c>
      <c r="P21" s="426">
        <f t="shared" si="1"/>
        <v>17000</v>
      </c>
      <c r="Q21" s="178">
        <f>8783.55+5775.32</f>
        <v>14558.869999999999</v>
      </c>
      <c r="R21" s="295"/>
      <c r="S21" s="385">
        <f t="shared" ref="S21:S84" si="6">Q21-P21</f>
        <v>-2441.130000000001</v>
      </c>
      <c r="T21" s="31"/>
      <c r="U21" s="474">
        <f t="shared" si="2"/>
        <v>17000</v>
      </c>
      <c r="V21" s="474">
        <f t="shared" si="3"/>
        <v>0</v>
      </c>
      <c r="W21" s="475">
        <f t="shared" si="4"/>
        <v>0</v>
      </c>
      <c r="X21" s="475">
        <v>0</v>
      </c>
      <c r="Y21" s="476">
        <v>0</v>
      </c>
      <c r="Z21" s="38">
        <f t="shared" si="0"/>
        <v>0</v>
      </c>
      <c r="AA21" s="16">
        <v>40454.18</v>
      </c>
      <c r="AB21" s="16">
        <v>0</v>
      </c>
      <c r="AC21" s="16">
        <v>0</v>
      </c>
      <c r="AE21" s="16">
        <v>17119.095000000001</v>
      </c>
      <c r="AF21" s="16">
        <v>0</v>
      </c>
      <c r="AG21" s="16">
        <v>0</v>
      </c>
    </row>
    <row r="22" spans="1:33">
      <c r="A22" s="20" t="s">
        <v>109</v>
      </c>
      <c r="B22" s="20" t="s">
        <v>109</v>
      </c>
      <c r="C22" s="68" t="s">
        <v>393</v>
      </c>
      <c r="D22" s="433">
        <v>0</v>
      </c>
      <c r="E22" s="452">
        <f>'Q2 DMV - Revenue'!T21</f>
        <v>-1437.3899999999994</v>
      </c>
      <c r="F22" s="438">
        <v>20882.29</v>
      </c>
      <c r="G22" s="438">
        <v>22044.17</v>
      </c>
      <c r="H22" s="390"/>
      <c r="I22" s="311">
        <f t="shared" si="5"/>
        <v>41489.07</v>
      </c>
      <c r="J22" s="31"/>
      <c r="K22" s="335">
        <v>21000</v>
      </c>
      <c r="L22" s="42">
        <v>0</v>
      </c>
      <c r="M22" s="31">
        <v>0</v>
      </c>
      <c r="N22" s="429">
        <v>119319.15</v>
      </c>
      <c r="O22" s="31">
        <v>0</v>
      </c>
      <c r="P22" s="426">
        <f t="shared" si="1"/>
        <v>21000</v>
      </c>
      <c r="Q22" s="178">
        <v>20350.169999999998</v>
      </c>
      <c r="R22" s="295"/>
      <c r="S22" s="385">
        <f t="shared" si="6"/>
        <v>-649.83000000000175</v>
      </c>
      <c r="T22" s="31"/>
      <c r="U22" s="474">
        <f t="shared" si="2"/>
        <v>0</v>
      </c>
      <c r="V22" s="474">
        <f t="shared" si="3"/>
        <v>21000</v>
      </c>
      <c r="W22" s="475">
        <f t="shared" si="4"/>
        <v>0</v>
      </c>
      <c r="X22" s="475">
        <v>0</v>
      </c>
      <c r="Y22" s="476">
        <v>0</v>
      </c>
      <c r="Z22" s="38">
        <f t="shared" si="0"/>
        <v>0</v>
      </c>
      <c r="AA22" s="16">
        <v>0</v>
      </c>
      <c r="AB22" s="16">
        <v>57322.57</v>
      </c>
      <c r="AC22" s="16">
        <v>0</v>
      </c>
      <c r="AE22" s="16">
        <v>0</v>
      </c>
      <c r="AF22" s="16">
        <v>29881.5</v>
      </c>
      <c r="AG22" s="16">
        <v>0</v>
      </c>
    </row>
    <row r="23" spans="1:33">
      <c r="A23" s="20" t="s">
        <v>109</v>
      </c>
      <c r="B23" s="20" t="s">
        <v>110</v>
      </c>
      <c r="C23" s="68" t="s">
        <v>128</v>
      </c>
      <c r="D23" s="483">
        <v>0</v>
      </c>
      <c r="E23" s="484" t="str">
        <f>'Q2 DMV - Revenue'!T22</f>
        <v/>
      </c>
      <c r="F23" s="197"/>
      <c r="G23" s="179"/>
      <c r="H23" s="198"/>
      <c r="I23" s="198"/>
      <c r="J23" s="198"/>
      <c r="K23" s="198"/>
      <c r="L23" s="198"/>
      <c r="M23" s="31">
        <v>0</v>
      </c>
      <c r="N23" s="430">
        <v>0</v>
      </c>
      <c r="O23" s="31">
        <v>0</v>
      </c>
      <c r="P23" s="426">
        <f t="shared" si="1"/>
        <v>0</v>
      </c>
      <c r="Q23" s="178"/>
      <c r="R23" s="295"/>
      <c r="S23" s="385">
        <f t="shared" si="6"/>
        <v>0</v>
      </c>
      <c r="T23" s="198"/>
      <c r="U23" s="474">
        <f t="shared" si="2"/>
        <v>0</v>
      </c>
      <c r="V23" s="474">
        <f t="shared" si="3"/>
        <v>0</v>
      </c>
      <c r="W23" s="475">
        <f t="shared" si="4"/>
        <v>0</v>
      </c>
      <c r="X23" s="475">
        <v>0</v>
      </c>
      <c r="Y23" s="476">
        <v>0</v>
      </c>
      <c r="Z23" s="38">
        <f t="shared" si="0"/>
        <v>0</v>
      </c>
      <c r="AA23" s="16">
        <v>0</v>
      </c>
      <c r="AB23" s="16">
        <v>0</v>
      </c>
      <c r="AC23" s="16">
        <v>0</v>
      </c>
      <c r="AE23" s="16">
        <v>0</v>
      </c>
      <c r="AF23" s="16">
        <v>0</v>
      </c>
      <c r="AG23" s="16">
        <v>0</v>
      </c>
    </row>
    <row r="24" spans="1:33">
      <c r="A24" s="20" t="s">
        <v>109</v>
      </c>
      <c r="B24" s="20" t="s">
        <v>110</v>
      </c>
      <c r="C24" s="68" t="s">
        <v>129</v>
      </c>
      <c r="D24" s="433">
        <v>90.08</v>
      </c>
      <c r="E24" s="452">
        <f>'Q2 DMV - Revenue'!T23</f>
        <v>7.6599999999999113E-2</v>
      </c>
      <c r="F24" s="438">
        <v>90.02</v>
      </c>
      <c r="G24" s="438">
        <v>52.33</v>
      </c>
      <c r="H24" s="390"/>
      <c r="I24" s="311">
        <f t="shared" si="5"/>
        <v>232.50659999999999</v>
      </c>
      <c r="J24" s="31"/>
      <c r="K24" s="84">
        <v>55</v>
      </c>
      <c r="L24" s="42">
        <v>0</v>
      </c>
      <c r="M24" s="31">
        <v>0</v>
      </c>
      <c r="N24" s="429"/>
      <c r="O24" s="31">
        <v>0</v>
      </c>
      <c r="P24" s="426">
        <f t="shared" si="1"/>
        <v>55</v>
      </c>
      <c r="Q24" s="178">
        <v>64.19</v>
      </c>
      <c r="R24" s="295"/>
      <c r="S24" s="385">
        <f t="shared" si="6"/>
        <v>9.1899999999999977</v>
      </c>
      <c r="T24" s="31"/>
      <c r="U24" s="474">
        <f t="shared" si="2"/>
        <v>55</v>
      </c>
      <c r="V24" s="474">
        <f t="shared" si="3"/>
        <v>0</v>
      </c>
      <c r="W24" s="475">
        <f t="shared" si="4"/>
        <v>0</v>
      </c>
      <c r="X24" s="475">
        <v>0</v>
      </c>
      <c r="Y24" s="476">
        <v>0</v>
      </c>
      <c r="Z24" s="38">
        <f t="shared" si="0"/>
        <v>0</v>
      </c>
      <c r="AA24" s="16">
        <v>0</v>
      </c>
      <c r="AB24" s="16">
        <v>130.77000000000001</v>
      </c>
      <c r="AC24" s="16">
        <v>0</v>
      </c>
      <c r="AE24" s="16">
        <v>0</v>
      </c>
      <c r="AF24" s="16">
        <v>28.518000000000001</v>
      </c>
      <c r="AG24" s="16">
        <v>0</v>
      </c>
    </row>
    <row r="25" spans="1:33">
      <c r="A25" s="20" t="s">
        <v>109</v>
      </c>
      <c r="B25" s="20" t="s">
        <v>110</v>
      </c>
      <c r="C25" s="68" t="s">
        <v>130</v>
      </c>
      <c r="D25" s="483"/>
      <c r="E25" s="484" t="str">
        <f>'Q2 DMV - Revenue'!T24</f>
        <v/>
      </c>
      <c r="F25" s="197"/>
      <c r="G25" s="179"/>
      <c r="H25" s="198"/>
      <c r="I25" s="198"/>
      <c r="J25" s="198"/>
      <c r="K25" s="198"/>
      <c r="L25" s="198"/>
      <c r="M25" s="31">
        <v>0</v>
      </c>
      <c r="N25" s="430">
        <v>0</v>
      </c>
      <c r="O25" s="31">
        <v>0</v>
      </c>
      <c r="P25" s="426">
        <f t="shared" si="1"/>
        <v>0</v>
      </c>
      <c r="Q25" s="178"/>
      <c r="R25" s="295"/>
      <c r="S25" s="385">
        <f t="shared" si="6"/>
        <v>0</v>
      </c>
      <c r="T25" s="198"/>
      <c r="U25" s="474">
        <f t="shared" si="2"/>
        <v>0</v>
      </c>
      <c r="V25" s="474">
        <f t="shared" si="3"/>
        <v>0</v>
      </c>
      <c r="W25" s="475">
        <f t="shared" si="4"/>
        <v>0</v>
      </c>
      <c r="X25" s="475">
        <v>0</v>
      </c>
      <c r="Y25" s="476">
        <v>0</v>
      </c>
      <c r="Z25" s="38">
        <f t="shared" si="0"/>
        <v>0</v>
      </c>
      <c r="AA25" s="16">
        <v>0</v>
      </c>
      <c r="AB25" s="16">
        <v>0</v>
      </c>
      <c r="AC25" s="16">
        <v>0</v>
      </c>
      <c r="AE25" s="16">
        <v>0</v>
      </c>
      <c r="AF25" s="16">
        <v>0</v>
      </c>
      <c r="AG25" s="16">
        <v>0</v>
      </c>
    </row>
    <row r="26" spans="1:33">
      <c r="A26" s="20"/>
      <c r="B26" s="20" t="s">
        <v>110</v>
      </c>
      <c r="C26" s="123" t="s">
        <v>380</v>
      </c>
      <c r="D26" s="480"/>
      <c r="E26" s="452" t="str">
        <f>'Q2 DMV - Revenue'!T25</f>
        <v/>
      </c>
      <c r="F26" s="438">
        <v>3105.49</v>
      </c>
      <c r="G26" s="438">
        <v>2937.23</v>
      </c>
      <c r="H26" s="438">
        <v>2865.49</v>
      </c>
      <c r="I26" s="311">
        <f t="shared" si="5"/>
        <v>8908.2099999999991</v>
      </c>
      <c r="J26" s="31"/>
      <c r="K26" s="84"/>
      <c r="L26" s="42">
        <v>0</v>
      </c>
      <c r="M26" s="31">
        <v>0</v>
      </c>
      <c r="N26" s="429">
        <v>0</v>
      </c>
      <c r="O26" s="31">
        <v>0</v>
      </c>
      <c r="P26" s="426">
        <f t="shared" si="1"/>
        <v>0</v>
      </c>
      <c r="Q26" s="178"/>
      <c r="R26" s="295"/>
      <c r="S26" s="385">
        <f t="shared" si="6"/>
        <v>0</v>
      </c>
      <c r="T26" s="31"/>
      <c r="U26" s="474">
        <f t="shared" si="2"/>
        <v>0</v>
      </c>
      <c r="V26" s="474">
        <f t="shared" si="3"/>
        <v>0</v>
      </c>
      <c r="W26" s="475">
        <f t="shared" si="4"/>
        <v>0</v>
      </c>
      <c r="X26" s="475">
        <v>0</v>
      </c>
      <c r="Y26" s="476">
        <v>0</v>
      </c>
      <c r="Z26" s="38">
        <f t="shared" si="0"/>
        <v>0</v>
      </c>
      <c r="AA26" s="16">
        <v>5809.16</v>
      </c>
      <c r="AB26" s="16">
        <v>0</v>
      </c>
      <c r="AC26" s="16">
        <v>0</v>
      </c>
      <c r="AE26" s="16">
        <v>2904.58</v>
      </c>
      <c r="AF26" s="16">
        <v>0</v>
      </c>
      <c r="AG26" s="16">
        <v>0</v>
      </c>
    </row>
    <row r="27" spans="1:33">
      <c r="A27" s="20"/>
      <c r="B27" s="20" t="s">
        <v>110</v>
      </c>
      <c r="C27" s="123" t="s">
        <v>132</v>
      </c>
      <c r="D27" s="480"/>
      <c r="E27" s="452" t="str">
        <f>'Q2 DMV - Revenue'!T26</f>
        <v/>
      </c>
      <c r="F27" s="438">
        <v>3700.53</v>
      </c>
      <c r="G27" s="438">
        <v>4278.1400000000003</v>
      </c>
      <c r="H27" s="438">
        <v>4200.49</v>
      </c>
      <c r="I27" s="311">
        <f t="shared" si="5"/>
        <v>12179.16</v>
      </c>
      <c r="J27" s="31"/>
      <c r="K27" s="84"/>
      <c r="L27" s="42">
        <v>0</v>
      </c>
      <c r="M27" s="31">
        <v>0</v>
      </c>
      <c r="N27" s="429">
        <v>0</v>
      </c>
      <c r="O27" s="31">
        <v>0</v>
      </c>
      <c r="P27" s="426">
        <f t="shared" si="1"/>
        <v>0</v>
      </c>
      <c r="Q27" s="178"/>
      <c r="R27" s="295"/>
      <c r="S27" s="385">
        <f t="shared" si="6"/>
        <v>0</v>
      </c>
      <c r="T27" s="31"/>
      <c r="U27" s="474">
        <f t="shared" si="2"/>
        <v>0</v>
      </c>
      <c r="V27" s="474">
        <f t="shared" si="3"/>
        <v>0</v>
      </c>
      <c r="W27" s="475">
        <f t="shared" si="4"/>
        <v>0</v>
      </c>
      <c r="X27" s="475">
        <v>0</v>
      </c>
      <c r="Y27" s="476">
        <v>0</v>
      </c>
      <c r="Z27" s="38">
        <f t="shared" si="0"/>
        <v>0</v>
      </c>
      <c r="AA27" s="16">
        <v>6365.87</v>
      </c>
      <c r="AB27" s="16">
        <v>0</v>
      </c>
      <c r="AC27" s="16">
        <v>0</v>
      </c>
      <c r="AE27" s="16">
        <v>3182.9349999999999</v>
      </c>
      <c r="AF27" s="16">
        <v>0</v>
      </c>
      <c r="AG27" s="16">
        <v>0</v>
      </c>
    </row>
    <row r="28" spans="1:33">
      <c r="A28" s="20"/>
      <c r="B28" s="20" t="s">
        <v>110</v>
      </c>
      <c r="C28" s="123" t="s">
        <v>133</v>
      </c>
      <c r="D28" s="433"/>
      <c r="E28" s="452" t="str">
        <f>'Q2 DMV - Revenue'!T27</f>
        <v/>
      </c>
      <c r="F28" s="438">
        <v>2377.5</v>
      </c>
      <c r="G28" s="438">
        <v>1707.35</v>
      </c>
      <c r="H28" s="438">
        <v>1465.5</v>
      </c>
      <c r="I28" s="311">
        <f t="shared" si="5"/>
        <v>5550.35</v>
      </c>
      <c r="J28" s="31"/>
      <c r="K28" s="84"/>
      <c r="L28" s="42">
        <v>0</v>
      </c>
      <c r="M28" s="31">
        <v>0</v>
      </c>
      <c r="N28" s="429">
        <v>26637.42</v>
      </c>
      <c r="O28" s="31">
        <v>0</v>
      </c>
      <c r="P28" s="426">
        <f t="shared" si="1"/>
        <v>0</v>
      </c>
      <c r="Q28" s="178"/>
      <c r="R28" s="295"/>
      <c r="S28" s="385">
        <f t="shared" si="6"/>
        <v>0</v>
      </c>
      <c r="T28" s="31"/>
      <c r="U28" s="474">
        <f t="shared" si="2"/>
        <v>0</v>
      </c>
      <c r="V28" s="474">
        <f t="shared" si="3"/>
        <v>0</v>
      </c>
      <c r="W28" s="475">
        <f t="shared" si="4"/>
        <v>0</v>
      </c>
      <c r="X28" s="475">
        <v>0</v>
      </c>
      <c r="Y28" s="476">
        <v>0</v>
      </c>
      <c r="Z28" s="38">
        <f t="shared" si="0"/>
        <v>0</v>
      </c>
      <c r="AA28" s="16">
        <v>2031.8</v>
      </c>
      <c r="AB28" s="16">
        <v>0</v>
      </c>
      <c r="AC28" s="16">
        <v>0</v>
      </c>
      <c r="AE28" s="16">
        <v>1015.9</v>
      </c>
      <c r="AF28" s="16">
        <v>0</v>
      </c>
      <c r="AG28" s="16">
        <v>0</v>
      </c>
    </row>
    <row r="29" spans="1:33" s="232" customFormat="1">
      <c r="A29" s="283" t="s">
        <v>211</v>
      </c>
      <c r="B29" s="283" t="s">
        <v>109</v>
      </c>
      <c r="C29" s="123" t="s">
        <v>419</v>
      </c>
      <c r="D29" s="481"/>
      <c r="E29" s="511">
        <f>'Q2 DMV - Revenue'!T28</f>
        <v>15370.64</v>
      </c>
      <c r="F29" s="504"/>
      <c r="G29" s="504"/>
      <c r="H29" s="504"/>
      <c r="I29" s="398">
        <f t="shared" si="5"/>
        <v>15370.64</v>
      </c>
      <c r="J29" s="31"/>
      <c r="K29" s="86"/>
      <c r="L29" s="290">
        <v>48000</v>
      </c>
      <c r="M29" s="31">
        <v>0</v>
      </c>
      <c r="N29" s="429">
        <v>0</v>
      </c>
      <c r="O29" s="31">
        <v>0</v>
      </c>
      <c r="P29" s="426">
        <f t="shared" si="1"/>
        <v>48000</v>
      </c>
      <c r="Q29" s="14">
        <v>44231.41</v>
      </c>
      <c r="R29" s="295"/>
      <c r="S29" s="385">
        <f t="shared" si="6"/>
        <v>-3768.5899999999965</v>
      </c>
      <c r="T29" s="31"/>
      <c r="U29" s="495">
        <f t="shared" si="2"/>
        <v>0</v>
      </c>
      <c r="V29" s="495">
        <f t="shared" si="3"/>
        <v>48000</v>
      </c>
      <c r="W29" s="496">
        <f t="shared" si="4"/>
        <v>0</v>
      </c>
      <c r="X29" s="496">
        <v>0</v>
      </c>
      <c r="Y29" s="505">
        <v>0</v>
      </c>
      <c r="Z29" s="515">
        <f t="shared" si="0"/>
        <v>0</v>
      </c>
      <c r="AA29" s="232">
        <v>0</v>
      </c>
      <c r="AB29" s="232">
        <v>9.9999999947613105E-3</v>
      </c>
      <c r="AC29" s="232">
        <v>0</v>
      </c>
      <c r="AE29" s="232">
        <v>0</v>
      </c>
      <c r="AF29" s="232">
        <v>66874.17</v>
      </c>
      <c r="AG29" s="232">
        <v>0</v>
      </c>
    </row>
    <row r="30" spans="1:33" s="232" customFormat="1">
      <c r="A30" s="283"/>
      <c r="B30" s="283" t="s">
        <v>109</v>
      </c>
      <c r="C30" s="413" t="s">
        <v>420</v>
      </c>
      <c r="D30" s="481"/>
      <c r="E30" s="511">
        <f>'Q2 DMV - Revenue'!T29</f>
        <v>1274.1099999999999</v>
      </c>
      <c r="F30" s="504"/>
      <c r="G30" s="504"/>
      <c r="H30" s="504"/>
      <c r="I30" s="398">
        <f t="shared" si="5"/>
        <v>1274.1099999999999</v>
      </c>
      <c r="J30" s="31"/>
      <c r="K30" s="86"/>
      <c r="L30" s="290">
        <v>2000</v>
      </c>
      <c r="M30" s="31">
        <v>0</v>
      </c>
      <c r="N30" s="429">
        <v>0</v>
      </c>
      <c r="O30" s="31">
        <v>0</v>
      </c>
      <c r="P30" s="426">
        <f t="shared" si="1"/>
        <v>2000</v>
      </c>
      <c r="Q30" s="14">
        <v>2073.89</v>
      </c>
      <c r="R30" s="295"/>
      <c r="S30" s="385">
        <f t="shared" si="6"/>
        <v>73.889999999999873</v>
      </c>
      <c r="T30" s="31"/>
      <c r="U30" s="495">
        <f t="shared" si="2"/>
        <v>0</v>
      </c>
      <c r="V30" s="495">
        <f t="shared" si="3"/>
        <v>2000</v>
      </c>
      <c r="W30" s="496">
        <f t="shared" si="4"/>
        <v>0</v>
      </c>
      <c r="X30" s="496">
        <v>0</v>
      </c>
      <c r="Y30" s="505">
        <v>0</v>
      </c>
      <c r="Z30" s="515">
        <f t="shared" si="0"/>
        <v>0</v>
      </c>
      <c r="AA30" s="232">
        <v>0</v>
      </c>
      <c r="AB30" s="232">
        <v>-3.0000000000654836E-2</v>
      </c>
      <c r="AC30" s="232">
        <v>0</v>
      </c>
      <c r="AE30" s="232">
        <v>0</v>
      </c>
      <c r="AF30" s="232">
        <v>7698.57</v>
      </c>
      <c r="AG30" s="232">
        <v>0</v>
      </c>
    </row>
    <row r="31" spans="1:33" s="232" customFormat="1">
      <c r="A31" s="283"/>
      <c r="B31" s="283" t="s">
        <v>109</v>
      </c>
      <c r="C31" s="413" t="s">
        <v>421</v>
      </c>
      <c r="D31" s="481"/>
      <c r="E31" s="503">
        <f>'Q2 DMV - Revenue'!T30</f>
        <v>-306.03999999999996</v>
      </c>
      <c r="F31" s="504"/>
      <c r="G31" s="504"/>
      <c r="H31" s="504"/>
      <c r="I31" s="398">
        <f t="shared" si="5"/>
        <v>-306.03999999999996</v>
      </c>
      <c r="J31" s="31"/>
      <c r="K31" s="86"/>
      <c r="L31" s="290">
        <v>1000</v>
      </c>
      <c r="M31" s="31">
        <v>0</v>
      </c>
      <c r="N31" s="429">
        <v>51973</v>
      </c>
      <c r="O31" s="31">
        <v>0</v>
      </c>
      <c r="P31" s="426">
        <f t="shared" si="1"/>
        <v>1000</v>
      </c>
      <c r="Q31" s="14">
        <v>793.3</v>
      </c>
      <c r="R31" s="295"/>
      <c r="S31" s="385">
        <f t="shared" si="6"/>
        <v>-206.70000000000005</v>
      </c>
      <c r="T31" s="31"/>
      <c r="U31" s="495">
        <f t="shared" si="2"/>
        <v>0</v>
      </c>
      <c r="V31" s="495">
        <f t="shared" si="3"/>
        <v>1000</v>
      </c>
      <c r="W31" s="496">
        <f t="shared" si="4"/>
        <v>0</v>
      </c>
      <c r="X31" s="496">
        <v>0</v>
      </c>
      <c r="Y31" s="505">
        <v>0</v>
      </c>
      <c r="Z31" s="515">
        <f t="shared" si="0"/>
        <v>0</v>
      </c>
      <c r="AA31" s="232">
        <v>0</v>
      </c>
      <c r="AB31" s="232">
        <v>-2.9999999999972715E-2</v>
      </c>
      <c r="AC31" s="232">
        <v>0</v>
      </c>
      <c r="AE31" s="232">
        <v>0</v>
      </c>
      <c r="AF31" s="232">
        <v>1760.47</v>
      </c>
      <c r="AG31" s="232">
        <v>0</v>
      </c>
    </row>
    <row r="32" spans="1:33">
      <c r="A32" s="20"/>
      <c r="B32" s="20" t="s">
        <v>110</v>
      </c>
      <c r="C32" s="68" t="s">
        <v>191</v>
      </c>
      <c r="D32" s="433"/>
      <c r="E32" s="432">
        <f>'Q2 DMV - Revenue'!T31</f>
        <v>56.335000000000008</v>
      </c>
      <c r="F32" s="438">
        <v>73.72</v>
      </c>
      <c r="G32" s="438">
        <v>90.4</v>
      </c>
      <c r="H32" s="438">
        <v>33.909999999999997</v>
      </c>
      <c r="I32" s="311">
        <f t="shared" si="5"/>
        <v>254.36500000000001</v>
      </c>
      <c r="J32" s="31"/>
      <c r="K32" s="84"/>
      <c r="L32" s="42">
        <v>0</v>
      </c>
      <c r="M32" s="31">
        <v>0</v>
      </c>
      <c r="N32" s="429">
        <v>302.79000000000002</v>
      </c>
      <c r="O32" s="31">
        <v>0</v>
      </c>
      <c r="P32" s="426">
        <f t="shared" si="1"/>
        <v>0</v>
      </c>
      <c r="Q32" s="178"/>
      <c r="R32" s="295"/>
      <c r="S32" s="385">
        <f t="shared" si="6"/>
        <v>0</v>
      </c>
      <c r="T32" s="31"/>
      <c r="U32" s="474">
        <f t="shared" si="2"/>
        <v>0</v>
      </c>
      <c r="V32" s="474">
        <f t="shared" si="3"/>
        <v>0</v>
      </c>
      <c r="W32" s="475">
        <f t="shared" si="4"/>
        <v>0</v>
      </c>
      <c r="X32" s="475">
        <v>0</v>
      </c>
      <c r="Y32" s="476">
        <v>0</v>
      </c>
      <c r="Z32" s="38">
        <f t="shared" si="0"/>
        <v>0</v>
      </c>
      <c r="AA32" s="16">
        <v>0</v>
      </c>
      <c r="AB32" s="16">
        <v>-100</v>
      </c>
      <c r="AC32" s="16">
        <v>0</v>
      </c>
      <c r="AE32" s="16">
        <v>0</v>
      </c>
      <c r="AF32" s="16">
        <v>0</v>
      </c>
      <c r="AG32" s="16">
        <v>0</v>
      </c>
    </row>
    <row r="33" spans="1:33">
      <c r="A33" s="20"/>
      <c r="B33" s="20" t="s">
        <v>109</v>
      </c>
      <c r="C33" s="68" t="s">
        <v>1</v>
      </c>
      <c r="D33" s="433"/>
      <c r="E33" s="432" t="str">
        <f>'Q2 DMV - Revenue'!T32</f>
        <v/>
      </c>
      <c r="F33" s="390"/>
      <c r="G33" s="390"/>
      <c r="H33" s="390"/>
      <c r="I33" s="311">
        <f t="shared" si="5"/>
        <v>0</v>
      </c>
      <c r="J33" s="31"/>
      <c r="K33" s="84"/>
      <c r="L33" s="42">
        <v>0</v>
      </c>
      <c r="M33" s="31">
        <v>0</v>
      </c>
      <c r="N33" s="429">
        <v>0</v>
      </c>
      <c r="O33" s="31">
        <v>0</v>
      </c>
      <c r="P33" s="426">
        <f t="shared" si="1"/>
        <v>0</v>
      </c>
      <c r="Q33" s="178">
        <f>7.14+2.38+5.95+0.59+5.35</f>
        <v>21.409999999999997</v>
      </c>
      <c r="R33" s="295"/>
      <c r="S33" s="385">
        <f t="shared" si="6"/>
        <v>21.409999999999997</v>
      </c>
      <c r="T33" s="31"/>
      <c r="U33" s="474">
        <f t="shared" si="2"/>
        <v>0</v>
      </c>
      <c r="V33" s="474">
        <f t="shared" si="3"/>
        <v>0</v>
      </c>
      <c r="W33" s="475">
        <f t="shared" si="4"/>
        <v>0</v>
      </c>
      <c r="X33" s="475">
        <v>0</v>
      </c>
      <c r="Y33" s="476">
        <v>0</v>
      </c>
      <c r="Z33" s="38">
        <f t="shared" si="0"/>
        <v>0</v>
      </c>
      <c r="AA33" s="16">
        <v>0</v>
      </c>
      <c r="AB33" s="16">
        <v>0</v>
      </c>
      <c r="AC33" s="16">
        <v>0</v>
      </c>
      <c r="AE33" s="16">
        <v>0</v>
      </c>
      <c r="AF33" s="16">
        <v>0</v>
      </c>
      <c r="AG33" s="16">
        <v>0</v>
      </c>
    </row>
    <row r="34" spans="1:33">
      <c r="A34" s="20"/>
      <c r="B34" s="20" t="s">
        <v>109</v>
      </c>
      <c r="C34" s="68" t="s">
        <v>385</v>
      </c>
      <c r="D34" s="433">
        <f>330.1+984.05+2062.93+2247.88+2117.14+2021.7+1825.04+1664.44</f>
        <v>13253.28</v>
      </c>
      <c r="E34" s="432" t="str">
        <f>'Q2 DMV - Revenue'!T33</f>
        <v/>
      </c>
      <c r="F34" s="432">
        <v>1884.46</v>
      </c>
      <c r="G34" s="432">
        <v>1985.81</v>
      </c>
      <c r="H34" s="315"/>
      <c r="I34" s="379">
        <f>SUM(D34:H34)</f>
        <v>17123.550000000003</v>
      </c>
      <c r="J34" s="380"/>
      <c r="K34" s="337"/>
      <c r="L34" s="381">
        <f>(F34+G34)/2</f>
        <v>1935.135</v>
      </c>
      <c r="M34" s="380">
        <v>0</v>
      </c>
      <c r="N34" s="429">
        <v>18776.91</v>
      </c>
      <c r="O34" s="380">
        <v>0</v>
      </c>
      <c r="P34" s="426">
        <f t="shared" si="1"/>
        <v>1935.135</v>
      </c>
      <c r="Q34" s="178">
        <v>1809.69</v>
      </c>
      <c r="R34" s="295"/>
      <c r="S34" s="385">
        <f t="shared" si="6"/>
        <v>-125.44499999999994</v>
      </c>
      <c r="T34" s="380"/>
      <c r="U34" s="474">
        <f t="shared" si="2"/>
        <v>0</v>
      </c>
      <c r="V34" s="474">
        <f t="shared" si="3"/>
        <v>1935.135</v>
      </c>
      <c r="W34" s="475">
        <f t="shared" si="4"/>
        <v>0</v>
      </c>
      <c r="X34" s="475">
        <v>0</v>
      </c>
      <c r="Y34" s="476">
        <v>0</v>
      </c>
      <c r="Z34" s="38">
        <f t="shared" si="0"/>
        <v>0</v>
      </c>
      <c r="AA34" s="16">
        <v>0</v>
      </c>
      <c r="AB34" s="16">
        <v>0</v>
      </c>
      <c r="AC34" s="16">
        <v>0</v>
      </c>
      <c r="AE34" s="16">
        <v>0</v>
      </c>
      <c r="AF34" s="16">
        <v>0</v>
      </c>
      <c r="AG34" s="16">
        <v>0</v>
      </c>
    </row>
    <row r="35" spans="1:33" s="232" customFormat="1">
      <c r="A35" s="283"/>
      <c r="B35" s="283" t="s">
        <v>110</v>
      </c>
      <c r="C35" s="123" t="s">
        <v>401</v>
      </c>
      <c r="D35" s="481"/>
      <c r="E35" s="503">
        <f>'Q2 DMV - Revenue'!T34</f>
        <v>-45698.01999999996</v>
      </c>
      <c r="F35" s="503">
        <v>247227</v>
      </c>
      <c r="G35" s="503">
        <v>232367</v>
      </c>
      <c r="H35" s="504"/>
      <c r="I35" s="398">
        <f t="shared" si="5"/>
        <v>433895.98000000004</v>
      </c>
      <c r="J35" s="31"/>
      <c r="K35" s="400"/>
      <c r="L35" s="510">
        <f t="shared" ref="L35:L41" si="7">(F35+G35)/2</f>
        <v>239797</v>
      </c>
      <c r="M35" s="31">
        <v>0</v>
      </c>
      <c r="N35" s="429">
        <v>712605.04</v>
      </c>
      <c r="O35" s="31">
        <v>0</v>
      </c>
      <c r="P35" s="426">
        <f t="shared" si="1"/>
        <v>239797</v>
      </c>
      <c r="Q35" s="14">
        <v>235695</v>
      </c>
      <c r="R35" s="295"/>
      <c r="S35" s="385">
        <f t="shared" si="6"/>
        <v>-4102</v>
      </c>
      <c r="T35" s="31"/>
      <c r="U35" s="495">
        <f t="shared" si="2"/>
        <v>239797</v>
      </c>
      <c r="V35" s="495">
        <f t="shared" si="3"/>
        <v>0</v>
      </c>
      <c r="W35" s="496">
        <f t="shared" si="4"/>
        <v>0</v>
      </c>
      <c r="X35" s="496">
        <v>0</v>
      </c>
      <c r="Y35" s="505">
        <v>0</v>
      </c>
      <c r="Z35" s="515">
        <f t="shared" si="0"/>
        <v>0</v>
      </c>
      <c r="AA35" s="232">
        <v>473801.99</v>
      </c>
      <c r="AB35" s="232">
        <v>0</v>
      </c>
      <c r="AC35" s="232">
        <v>0</v>
      </c>
      <c r="AE35" s="232">
        <v>254561</v>
      </c>
      <c r="AF35" s="232">
        <v>0</v>
      </c>
      <c r="AG35" s="232">
        <v>0</v>
      </c>
    </row>
    <row r="36" spans="1:33" s="232" customFormat="1">
      <c r="A36" s="283"/>
      <c r="B36" s="283" t="s">
        <v>110</v>
      </c>
      <c r="C36" s="123" t="s">
        <v>402</v>
      </c>
      <c r="D36" s="481"/>
      <c r="E36" s="503">
        <f>'Q2 DMV - Revenue'!T35</f>
        <v>-707.34999999999945</v>
      </c>
      <c r="F36" s="503">
        <v>5649</v>
      </c>
      <c r="G36" s="503">
        <v>6254.5</v>
      </c>
      <c r="H36" s="504"/>
      <c r="I36" s="398">
        <f t="shared" si="5"/>
        <v>11196.150000000001</v>
      </c>
      <c r="J36" s="31"/>
      <c r="K36" s="86"/>
      <c r="L36" s="510">
        <f t="shared" si="7"/>
        <v>5951.75</v>
      </c>
      <c r="M36" s="31">
        <v>0</v>
      </c>
      <c r="N36" s="429">
        <v>0</v>
      </c>
      <c r="O36" s="31">
        <v>0</v>
      </c>
      <c r="P36" s="426">
        <f t="shared" si="1"/>
        <v>5951.75</v>
      </c>
      <c r="Q36" s="14">
        <v>4988.8999999999996</v>
      </c>
      <c r="R36" s="295"/>
      <c r="S36" s="385">
        <f t="shared" si="6"/>
        <v>-962.85000000000036</v>
      </c>
      <c r="T36" s="31"/>
      <c r="U36" s="495">
        <f t="shared" si="2"/>
        <v>5951.75</v>
      </c>
      <c r="V36" s="495">
        <f t="shared" si="3"/>
        <v>0</v>
      </c>
      <c r="W36" s="496">
        <f t="shared" si="4"/>
        <v>0</v>
      </c>
      <c r="X36" s="496">
        <v>0</v>
      </c>
      <c r="Y36" s="505">
        <v>0</v>
      </c>
      <c r="Z36" s="515">
        <f t="shared" si="0"/>
        <v>0</v>
      </c>
      <c r="AA36" s="232">
        <v>3461.7</v>
      </c>
      <c r="AB36" s="232">
        <v>0</v>
      </c>
      <c r="AC36" s="232">
        <v>0</v>
      </c>
      <c r="AE36" s="232">
        <v>10000</v>
      </c>
      <c r="AF36" s="232">
        <v>0</v>
      </c>
      <c r="AG36" s="232">
        <v>0</v>
      </c>
    </row>
    <row r="37" spans="1:33" s="232" customFormat="1">
      <c r="A37" s="283"/>
      <c r="B37" s="283" t="s">
        <v>110</v>
      </c>
      <c r="C37" s="123" t="s">
        <v>403</v>
      </c>
      <c r="D37" s="481"/>
      <c r="E37" s="503">
        <f>'Q2 DMV - Revenue'!T36</f>
        <v>-1132.6500000000015</v>
      </c>
      <c r="F37" s="503">
        <v>46845.04</v>
      </c>
      <c r="G37" s="503">
        <v>46859.94</v>
      </c>
      <c r="H37" s="504"/>
      <c r="I37" s="398">
        <f t="shared" si="5"/>
        <v>92572.33</v>
      </c>
      <c r="J37" s="31"/>
      <c r="K37" s="400"/>
      <c r="L37" s="510">
        <f t="shared" si="7"/>
        <v>46852.490000000005</v>
      </c>
      <c r="M37" s="31">
        <v>0</v>
      </c>
      <c r="N37" s="429">
        <v>0</v>
      </c>
      <c r="O37" s="31">
        <v>0</v>
      </c>
      <c r="P37" s="426">
        <f t="shared" si="1"/>
        <v>46852.490000000005</v>
      </c>
      <c r="Q37" s="14">
        <v>46404.49</v>
      </c>
      <c r="R37" s="295"/>
      <c r="S37" s="385">
        <f t="shared" si="6"/>
        <v>-448.00000000000728</v>
      </c>
      <c r="T37" s="31"/>
      <c r="U37" s="495">
        <f t="shared" si="2"/>
        <v>46852.490000000005</v>
      </c>
      <c r="V37" s="495">
        <f t="shared" si="3"/>
        <v>0</v>
      </c>
      <c r="W37" s="496">
        <f t="shared" si="4"/>
        <v>0</v>
      </c>
      <c r="X37" s="496">
        <v>0</v>
      </c>
      <c r="Y37" s="505">
        <v>0</v>
      </c>
      <c r="Z37" s="515">
        <f t="shared" si="0"/>
        <v>0</v>
      </c>
      <c r="AA37" s="232">
        <v>100541.04000000001</v>
      </c>
      <c r="AB37" s="232">
        <v>0</v>
      </c>
      <c r="AC37" s="232">
        <v>0</v>
      </c>
      <c r="AE37" s="232">
        <v>44826</v>
      </c>
      <c r="AF37" s="232">
        <v>0</v>
      </c>
      <c r="AG37" s="232">
        <v>0</v>
      </c>
    </row>
    <row r="38" spans="1:33" s="232" customFormat="1">
      <c r="A38" s="283"/>
      <c r="B38" s="283" t="s">
        <v>110</v>
      </c>
      <c r="C38" s="123" t="s">
        <v>404</v>
      </c>
      <c r="D38" s="481"/>
      <c r="E38" s="503">
        <f>'Q2 DMV - Revenue'!T37</f>
        <v>-4416.7549999999974</v>
      </c>
      <c r="F38" s="503">
        <v>62061.34</v>
      </c>
      <c r="G38" s="503">
        <v>59538.12</v>
      </c>
      <c r="H38" s="504"/>
      <c r="I38" s="398">
        <f t="shared" si="5"/>
        <v>117182.705</v>
      </c>
      <c r="J38" s="31"/>
      <c r="K38" s="400"/>
      <c r="L38" s="510">
        <f t="shared" si="7"/>
        <v>60799.729999999996</v>
      </c>
      <c r="M38" s="31">
        <v>0</v>
      </c>
      <c r="N38" s="429">
        <v>0</v>
      </c>
      <c r="O38" s="31">
        <v>0</v>
      </c>
      <c r="P38" s="426">
        <f t="shared" si="1"/>
        <v>60799.729999999996</v>
      </c>
      <c r="Q38" s="14">
        <v>51131.73</v>
      </c>
      <c r="R38" s="295"/>
      <c r="S38" s="385">
        <f t="shared" si="6"/>
        <v>-9667.9999999999927</v>
      </c>
      <c r="T38" s="31"/>
      <c r="U38" s="495">
        <f t="shared" si="2"/>
        <v>60799.729999999996</v>
      </c>
      <c r="V38" s="495">
        <f t="shared" si="3"/>
        <v>0</v>
      </c>
      <c r="W38" s="496">
        <f t="shared" si="4"/>
        <v>0</v>
      </c>
      <c r="X38" s="496">
        <v>0</v>
      </c>
      <c r="Y38" s="505">
        <v>0</v>
      </c>
      <c r="Z38" s="515">
        <f t="shared" si="0"/>
        <v>0</v>
      </c>
      <c r="AA38" s="232">
        <v>112673.56</v>
      </c>
      <c r="AB38" s="232">
        <v>0</v>
      </c>
      <c r="AC38" s="232">
        <v>0</v>
      </c>
      <c r="AE38" s="232">
        <v>56907</v>
      </c>
      <c r="AF38" s="232">
        <v>0</v>
      </c>
      <c r="AG38" s="232">
        <v>0</v>
      </c>
    </row>
    <row r="39" spans="1:33" s="232" customFormat="1">
      <c r="A39" s="283"/>
      <c r="B39" s="283" t="s">
        <v>110</v>
      </c>
      <c r="C39" s="123" t="s">
        <v>405</v>
      </c>
      <c r="D39" s="481"/>
      <c r="E39" s="503">
        <f>'Q2 DMV - Revenue'!T38</f>
        <v>-1741.4400000000005</v>
      </c>
      <c r="F39" s="503">
        <v>10763.3</v>
      </c>
      <c r="G39" s="503">
        <v>10429.66</v>
      </c>
      <c r="H39" s="504"/>
      <c r="I39" s="398">
        <f t="shared" si="5"/>
        <v>19451.519999999997</v>
      </c>
      <c r="J39" s="31"/>
      <c r="K39" s="400"/>
      <c r="L39" s="510">
        <f t="shared" si="7"/>
        <v>10596.48</v>
      </c>
      <c r="M39" s="31">
        <v>0</v>
      </c>
      <c r="N39" s="429">
        <v>0</v>
      </c>
      <c r="O39" s="31">
        <v>0</v>
      </c>
      <c r="P39" s="426">
        <f t="shared" si="1"/>
        <v>10596.48</v>
      </c>
      <c r="Q39" s="14">
        <v>10586.06</v>
      </c>
      <c r="R39" s="295"/>
      <c r="S39" s="385">
        <f t="shared" si="6"/>
        <v>-10.420000000000073</v>
      </c>
      <c r="T39" s="31"/>
      <c r="U39" s="495">
        <f t="shared" si="2"/>
        <v>10596.48</v>
      </c>
      <c r="V39" s="495">
        <f t="shared" si="3"/>
        <v>0</v>
      </c>
      <c r="W39" s="496">
        <f t="shared" si="4"/>
        <v>0</v>
      </c>
      <c r="X39" s="496">
        <v>0</v>
      </c>
      <c r="Y39" s="505">
        <v>0</v>
      </c>
      <c r="Z39" s="515">
        <f t="shared" si="0"/>
        <v>0</v>
      </c>
      <c r="AA39" s="232">
        <v>20792.66</v>
      </c>
      <c r="AB39" s="232">
        <v>0</v>
      </c>
      <c r="AC39" s="232">
        <v>0</v>
      </c>
      <c r="AE39" s="232">
        <v>13922</v>
      </c>
      <c r="AF39" s="232">
        <v>0</v>
      </c>
      <c r="AG39" s="232">
        <v>0</v>
      </c>
    </row>
    <row r="40" spans="1:33" s="232" customFormat="1">
      <c r="A40" s="283"/>
      <c r="B40" s="283" t="s">
        <v>110</v>
      </c>
      <c r="C40" s="123" t="s">
        <v>406</v>
      </c>
      <c r="D40" s="481"/>
      <c r="E40" s="503">
        <f>'Q2 DMV - Revenue'!T39</f>
        <v>-206.74499999999989</v>
      </c>
      <c r="F40" s="503">
        <v>4603.74</v>
      </c>
      <c r="G40" s="503">
        <v>4571.34</v>
      </c>
      <c r="H40" s="504"/>
      <c r="I40" s="398">
        <f t="shared" si="5"/>
        <v>8968.3349999999991</v>
      </c>
      <c r="J40" s="31"/>
      <c r="K40" s="86"/>
      <c r="L40" s="510">
        <f t="shared" si="7"/>
        <v>4587.54</v>
      </c>
      <c r="M40" s="31"/>
      <c r="N40" s="429">
        <v>0</v>
      </c>
      <c r="O40" s="31"/>
      <c r="P40" s="426">
        <f t="shared" si="1"/>
        <v>4587.54</v>
      </c>
      <c r="Q40" s="14">
        <v>3892.31</v>
      </c>
      <c r="R40" s="295"/>
      <c r="S40" s="385">
        <f t="shared" si="6"/>
        <v>-695.23</v>
      </c>
      <c r="T40" s="31"/>
      <c r="U40" s="495">
        <f t="shared" si="2"/>
        <v>4587.54</v>
      </c>
      <c r="V40" s="495">
        <f t="shared" si="3"/>
        <v>0</v>
      </c>
      <c r="W40" s="496">
        <f t="shared" si="4"/>
        <v>0</v>
      </c>
      <c r="X40" s="496">
        <v>0</v>
      </c>
      <c r="Y40" s="505">
        <v>0</v>
      </c>
      <c r="Z40" s="515">
        <f t="shared" si="0"/>
        <v>0</v>
      </c>
      <c r="AA40" s="232">
        <v>9031.1899999999987</v>
      </c>
      <c r="AB40" s="232">
        <v>0</v>
      </c>
      <c r="AC40" s="232">
        <v>0</v>
      </c>
      <c r="AE40" s="232">
        <v>0</v>
      </c>
      <c r="AF40" s="232">
        <v>0</v>
      </c>
      <c r="AG40" s="232">
        <v>0</v>
      </c>
    </row>
    <row r="41" spans="1:33" s="232" customFormat="1">
      <c r="A41" s="283"/>
      <c r="B41" s="283" t="s">
        <v>110</v>
      </c>
      <c r="C41" s="123" t="s">
        <v>407</v>
      </c>
      <c r="D41" s="481"/>
      <c r="E41" s="503">
        <f>'Q2 DMV - Revenue'!T40</f>
        <v>-35.340000000000146</v>
      </c>
      <c r="F41" s="503">
        <v>1377.57</v>
      </c>
      <c r="G41" s="503">
        <v>1757.11</v>
      </c>
      <c r="H41" s="504"/>
      <c r="I41" s="398">
        <f t="shared" si="5"/>
        <v>3099.3399999999997</v>
      </c>
      <c r="J41" s="31"/>
      <c r="K41" s="86"/>
      <c r="L41" s="510">
        <f t="shared" si="7"/>
        <v>1567.34</v>
      </c>
      <c r="M41" s="31"/>
      <c r="N41" s="429">
        <v>358567.54</v>
      </c>
      <c r="O41" s="31"/>
      <c r="P41" s="426">
        <f t="shared" si="1"/>
        <v>1567.34</v>
      </c>
      <c r="Q41" s="14">
        <v>1348.58</v>
      </c>
      <c r="R41" s="295"/>
      <c r="S41" s="385">
        <f t="shared" si="6"/>
        <v>-218.76</v>
      </c>
      <c r="T41" s="31"/>
      <c r="U41" s="495">
        <f t="shared" si="2"/>
        <v>1567.34</v>
      </c>
      <c r="V41" s="495">
        <f t="shared" si="3"/>
        <v>0</v>
      </c>
      <c r="W41" s="496">
        <f t="shared" si="4"/>
        <v>0</v>
      </c>
      <c r="X41" s="496">
        <v>0</v>
      </c>
      <c r="Y41" s="505">
        <v>0</v>
      </c>
      <c r="Z41" s="515">
        <f t="shared" si="0"/>
        <v>0</v>
      </c>
      <c r="AA41" s="232">
        <v>2905.17</v>
      </c>
      <c r="AB41" s="232">
        <v>0</v>
      </c>
      <c r="AC41" s="232">
        <v>0</v>
      </c>
      <c r="AE41" s="232">
        <v>0</v>
      </c>
      <c r="AF41" s="232">
        <v>0</v>
      </c>
      <c r="AG41" s="232">
        <v>0</v>
      </c>
    </row>
    <row r="42" spans="1:33" s="232" customFormat="1">
      <c r="A42" s="403"/>
      <c r="B42" s="403" t="s">
        <v>114</v>
      </c>
      <c r="C42" s="123" t="s">
        <v>108</v>
      </c>
      <c r="D42" s="481"/>
      <c r="E42" s="503">
        <f>'Q2 DMV - Revenue'!T41</f>
        <v>145.93999999999994</v>
      </c>
      <c r="F42" s="503">
        <v>251.2</v>
      </c>
      <c r="G42" s="503">
        <v>949.22</v>
      </c>
      <c r="H42" s="504"/>
      <c r="I42" s="398">
        <f t="shared" si="5"/>
        <v>1346.36</v>
      </c>
      <c r="J42" s="31"/>
      <c r="K42" s="86"/>
      <c r="L42" s="290"/>
      <c r="M42" s="31">
        <v>0</v>
      </c>
      <c r="N42" s="429">
        <v>1371.95</v>
      </c>
      <c r="O42" s="31">
        <v>0</v>
      </c>
      <c r="P42" s="426">
        <f t="shared" si="1"/>
        <v>0</v>
      </c>
      <c r="Q42" s="14">
        <v>390.78</v>
      </c>
      <c r="R42" s="295"/>
      <c r="S42" s="385">
        <f t="shared" si="6"/>
        <v>390.78</v>
      </c>
      <c r="T42" s="31"/>
      <c r="U42" s="495">
        <f t="shared" si="2"/>
        <v>0</v>
      </c>
      <c r="V42" s="495">
        <f t="shared" si="3"/>
        <v>0</v>
      </c>
      <c r="W42" s="496">
        <f t="shared" si="4"/>
        <v>0</v>
      </c>
      <c r="X42" s="496">
        <v>0</v>
      </c>
      <c r="Y42" s="505">
        <v>0</v>
      </c>
      <c r="Z42" s="515">
        <f t="shared" si="0"/>
        <v>0</v>
      </c>
      <c r="AA42" s="232">
        <v>0</v>
      </c>
      <c r="AB42" s="232">
        <v>0</v>
      </c>
      <c r="AC42" s="232">
        <v>676.29</v>
      </c>
      <c r="AE42" s="232">
        <v>0</v>
      </c>
      <c r="AF42" s="232">
        <v>0</v>
      </c>
      <c r="AG42" s="232">
        <v>0</v>
      </c>
    </row>
    <row r="43" spans="1:33">
      <c r="A43" s="21"/>
      <c r="B43" s="21" t="s">
        <v>110</v>
      </c>
      <c r="C43" s="68" t="s">
        <v>234</v>
      </c>
      <c r="D43" s="433"/>
      <c r="E43" s="432">
        <f>'Q2 DMV - Revenue'!T42</f>
        <v>246.21</v>
      </c>
      <c r="F43" s="390"/>
      <c r="G43" s="390"/>
      <c r="H43" s="390"/>
      <c r="I43" s="311">
        <f t="shared" si="5"/>
        <v>246.21</v>
      </c>
      <c r="J43" s="31"/>
      <c r="K43" s="84"/>
      <c r="L43" s="42">
        <f>E43*3</f>
        <v>738.63</v>
      </c>
      <c r="M43" s="31">
        <v>0</v>
      </c>
      <c r="N43" s="429">
        <v>246.21</v>
      </c>
      <c r="O43" s="31">
        <v>0</v>
      </c>
      <c r="P43" s="426">
        <f t="shared" si="1"/>
        <v>738.63</v>
      </c>
      <c r="Q43" s="178">
        <v>113</v>
      </c>
      <c r="R43" s="295"/>
      <c r="S43" s="385">
        <f t="shared" si="6"/>
        <v>-625.63</v>
      </c>
      <c r="T43" s="31"/>
      <c r="U43" s="474">
        <f t="shared" si="2"/>
        <v>738.63</v>
      </c>
      <c r="V43" s="474">
        <f t="shared" si="3"/>
        <v>0</v>
      </c>
      <c r="W43" s="475">
        <f t="shared" si="4"/>
        <v>0</v>
      </c>
      <c r="X43" s="475">
        <v>0</v>
      </c>
      <c r="Y43" s="476">
        <v>0</v>
      </c>
      <c r="Z43" s="38">
        <f t="shared" si="0"/>
        <v>0</v>
      </c>
      <c r="AA43" s="16">
        <v>0</v>
      </c>
      <c r="AB43" s="16">
        <v>0</v>
      </c>
      <c r="AC43" s="16">
        <v>0</v>
      </c>
      <c r="AE43" s="16">
        <v>0</v>
      </c>
      <c r="AF43" s="16">
        <v>0</v>
      </c>
      <c r="AG43" s="16">
        <v>0</v>
      </c>
    </row>
    <row r="44" spans="1:33">
      <c r="A44" s="21"/>
      <c r="B44" s="21" t="s">
        <v>110</v>
      </c>
      <c r="C44" s="68" t="s">
        <v>3</v>
      </c>
      <c r="D44" s="433">
        <f>1052.26+2802.25+1193.42</f>
        <v>5047.93</v>
      </c>
      <c r="E44" s="432">
        <f>'Q2 DMV - Revenue'!T43</f>
        <v>-852.07500000000005</v>
      </c>
      <c r="F44" s="390"/>
      <c r="G44" s="390"/>
      <c r="H44" s="390"/>
      <c r="I44" s="311">
        <f t="shared" si="5"/>
        <v>4195.8550000000005</v>
      </c>
      <c r="J44" s="31"/>
      <c r="K44" s="84"/>
      <c r="L44" s="42">
        <v>1000</v>
      </c>
      <c r="M44" s="31">
        <v>0</v>
      </c>
      <c r="N44" s="429">
        <v>5047.93</v>
      </c>
      <c r="O44" s="31">
        <v>0</v>
      </c>
      <c r="P44" s="426">
        <f t="shared" si="1"/>
        <v>1000</v>
      </c>
      <c r="Q44" s="178">
        <f>715.31+3235.84</f>
        <v>3951.15</v>
      </c>
      <c r="R44" s="295"/>
      <c r="S44" s="385">
        <f t="shared" si="6"/>
        <v>2951.15</v>
      </c>
      <c r="T44" s="31"/>
      <c r="U44" s="474">
        <f t="shared" si="2"/>
        <v>1000</v>
      </c>
      <c r="V44" s="474">
        <f t="shared" si="3"/>
        <v>0</v>
      </c>
      <c r="W44" s="475">
        <f t="shared" si="4"/>
        <v>0</v>
      </c>
      <c r="X44" s="475">
        <v>0</v>
      </c>
      <c r="Y44" s="476">
        <v>0</v>
      </c>
      <c r="Z44" s="38">
        <f t="shared" si="0"/>
        <v>0</v>
      </c>
      <c r="AA44" s="16">
        <v>1646.73</v>
      </c>
      <c r="AB44" s="16">
        <v>0</v>
      </c>
      <c r="AC44" s="16">
        <v>0</v>
      </c>
      <c r="AE44" s="16">
        <v>3293.46</v>
      </c>
      <c r="AF44" s="16">
        <v>0</v>
      </c>
      <c r="AG44" s="16">
        <v>0</v>
      </c>
    </row>
    <row r="45" spans="1:33">
      <c r="A45" s="20"/>
      <c r="B45" s="20" t="s">
        <v>109</v>
      </c>
      <c r="C45" s="68" t="s">
        <v>4</v>
      </c>
      <c r="D45" s="433"/>
      <c r="E45" s="432" t="str">
        <f>'Q2 DMV - Revenue'!T44</f>
        <v/>
      </c>
      <c r="F45" s="390"/>
      <c r="G45" s="390"/>
      <c r="H45" s="390"/>
      <c r="I45" s="311">
        <f t="shared" si="5"/>
        <v>0</v>
      </c>
      <c r="J45" s="31"/>
      <c r="K45" s="84"/>
      <c r="L45" s="42">
        <v>0</v>
      </c>
      <c r="M45" s="31">
        <v>0</v>
      </c>
      <c r="N45" s="429">
        <v>0</v>
      </c>
      <c r="O45" s="31">
        <v>0</v>
      </c>
      <c r="P45" s="426">
        <f t="shared" si="1"/>
        <v>0</v>
      </c>
      <c r="Q45" s="178"/>
      <c r="R45" s="295"/>
      <c r="S45" s="385">
        <f t="shared" si="6"/>
        <v>0</v>
      </c>
      <c r="T45" s="31"/>
      <c r="U45" s="474">
        <f t="shared" si="2"/>
        <v>0</v>
      </c>
      <c r="V45" s="474">
        <f t="shared" si="3"/>
        <v>0</v>
      </c>
      <c r="W45" s="475">
        <f t="shared" si="4"/>
        <v>0</v>
      </c>
      <c r="X45" s="475">
        <v>0</v>
      </c>
      <c r="Y45" s="476">
        <v>0</v>
      </c>
      <c r="Z45" s="38">
        <f t="shared" si="0"/>
        <v>0</v>
      </c>
      <c r="AA45" s="16">
        <v>0</v>
      </c>
      <c r="AB45" s="16">
        <v>-831.92000000000007</v>
      </c>
      <c r="AC45" s="16">
        <v>0</v>
      </c>
      <c r="AE45" s="16">
        <v>0</v>
      </c>
      <c r="AF45" s="16">
        <v>1000</v>
      </c>
      <c r="AG45" s="16">
        <v>0</v>
      </c>
    </row>
    <row r="46" spans="1:33">
      <c r="A46" s="20"/>
      <c r="B46" s="20" t="s">
        <v>109</v>
      </c>
      <c r="C46" s="68" t="s">
        <v>5</v>
      </c>
      <c r="D46" s="433"/>
      <c r="E46" s="432">
        <f>'Q2 DMV - Revenue'!T45</f>
        <v>324.86</v>
      </c>
      <c r="F46" s="390"/>
      <c r="G46" s="390"/>
      <c r="H46" s="390"/>
      <c r="I46" s="311">
        <f t="shared" si="5"/>
        <v>324.86</v>
      </c>
      <c r="J46" s="31"/>
      <c r="K46" s="84"/>
      <c r="L46" s="42">
        <f>E46*3</f>
        <v>974.58</v>
      </c>
      <c r="M46" s="31">
        <v>0</v>
      </c>
      <c r="N46" s="429">
        <v>324.86</v>
      </c>
      <c r="O46" s="31">
        <v>0</v>
      </c>
      <c r="P46" s="426">
        <f t="shared" si="1"/>
        <v>974.58</v>
      </c>
      <c r="Q46" s="178"/>
      <c r="R46" s="295"/>
      <c r="S46" s="385">
        <f t="shared" si="6"/>
        <v>-974.58</v>
      </c>
      <c r="T46" s="31"/>
      <c r="U46" s="474">
        <f t="shared" si="2"/>
        <v>0</v>
      </c>
      <c r="V46" s="474">
        <f t="shared" si="3"/>
        <v>974.58</v>
      </c>
      <c r="W46" s="475">
        <f t="shared" si="4"/>
        <v>0</v>
      </c>
      <c r="X46" s="475">
        <v>0</v>
      </c>
      <c r="Y46" s="476">
        <v>0</v>
      </c>
      <c r="Z46" s="38">
        <f t="shared" si="0"/>
        <v>0</v>
      </c>
      <c r="AA46" s="16">
        <v>0</v>
      </c>
      <c r="AB46" s="16">
        <v>0</v>
      </c>
      <c r="AC46" s="16">
        <v>0</v>
      </c>
      <c r="AE46" s="16">
        <v>0</v>
      </c>
      <c r="AF46" s="16">
        <v>100</v>
      </c>
      <c r="AG46" s="16">
        <v>0</v>
      </c>
    </row>
    <row r="47" spans="1:33">
      <c r="A47" s="20"/>
      <c r="B47" s="20" t="s">
        <v>110</v>
      </c>
      <c r="C47" s="68" t="s">
        <v>311</v>
      </c>
      <c r="D47" s="433">
        <f>1113.62+1061.82+1605.58</f>
        <v>3781.0199999999995</v>
      </c>
      <c r="E47" s="432">
        <f>'Q2 DMV - Revenue'!T46</f>
        <v>6052.15</v>
      </c>
      <c r="F47" s="438">
        <v>2907.28</v>
      </c>
      <c r="G47" s="390"/>
      <c r="H47" s="390"/>
      <c r="I47" s="311">
        <f>SUM(D47:H47)</f>
        <v>12740.449999999999</v>
      </c>
      <c r="J47" s="31"/>
      <c r="K47" s="84"/>
      <c r="L47" s="42">
        <f>F47*2</f>
        <v>5814.56</v>
      </c>
      <c r="M47" s="31"/>
      <c r="N47" s="429">
        <v>12740.45</v>
      </c>
      <c r="O47" s="31"/>
      <c r="P47" s="426">
        <f t="shared" si="1"/>
        <v>5814.56</v>
      </c>
      <c r="Q47" s="178">
        <f>3481.06+3469.04</f>
        <v>6950.1</v>
      </c>
      <c r="R47" s="295"/>
      <c r="S47" s="385">
        <f t="shared" si="6"/>
        <v>1135.54</v>
      </c>
      <c r="T47" s="31"/>
      <c r="U47" s="474">
        <f t="shared" si="2"/>
        <v>5814.56</v>
      </c>
      <c r="V47" s="474">
        <f t="shared" si="3"/>
        <v>0</v>
      </c>
      <c r="W47" s="475">
        <f t="shared" si="4"/>
        <v>0</v>
      </c>
      <c r="X47" s="475">
        <v>0</v>
      </c>
      <c r="Y47" s="476">
        <v>0</v>
      </c>
      <c r="Z47" s="38">
        <f t="shared" si="0"/>
        <v>0</v>
      </c>
    </row>
    <row r="48" spans="1:33">
      <c r="A48" s="20"/>
      <c r="B48" s="20" t="s">
        <v>110</v>
      </c>
      <c r="C48" s="68" t="s">
        <v>69</v>
      </c>
      <c r="D48" s="433"/>
      <c r="E48" s="432" t="str">
        <f>'Q2 DMV - Revenue'!T47</f>
        <v/>
      </c>
      <c r="F48" s="438">
        <v>3068.24</v>
      </c>
      <c r="G48" s="390"/>
      <c r="H48" s="390"/>
      <c r="I48" s="311">
        <f t="shared" si="5"/>
        <v>3068.24</v>
      </c>
      <c r="J48" s="31"/>
      <c r="K48" s="84"/>
      <c r="L48" s="42">
        <f>F48*2</f>
        <v>6136.48</v>
      </c>
      <c r="M48" s="31">
        <v>0</v>
      </c>
      <c r="N48" s="429">
        <v>3068.24</v>
      </c>
      <c r="O48" s="31">
        <v>0</v>
      </c>
      <c r="P48" s="426">
        <f t="shared" si="1"/>
        <v>6136.48</v>
      </c>
      <c r="Q48" s="178">
        <f>3710.73+2924.98</f>
        <v>6635.71</v>
      </c>
      <c r="R48" s="295"/>
      <c r="S48" s="385">
        <f t="shared" si="6"/>
        <v>499.23000000000047</v>
      </c>
      <c r="T48" s="31"/>
      <c r="U48" s="474">
        <f t="shared" si="2"/>
        <v>6136.48</v>
      </c>
      <c r="V48" s="474">
        <f t="shared" si="3"/>
        <v>0</v>
      </c>
      <c r="W48" s="475">
        <f t="shared" si="4"/>
        <v>0</v>
      </c>
      <c r="X48" s="475">
        <v>0</v>
      </c>
      <c r="Y48" s="476">
        <v>0</v>
      </c>
      <c r="Z48" s="38">
        <f t="shared" si="0"/>
        <v>0</v>
      </c>
      <c r="AA48" s="16">
        <v>4143.37</v>
      </c>
      <c r="AB48" s="16">
        <v>0</v>
      </c>
      <c r="AC48" s="16">
        <v>0</v>
      </c>
      <c r="AE48" s="16">
        <v>2071.6849999999999</v>
      </c>
      <c r="AF48" s="16">
        <v>0</v>
      </c>
      <c r="AG48" s="16">
        <v>0</v>
      </c>
    </row>
    <row r="49" spans="1:33">
      <c r="A49" s="20"/>
      <c r="B49" s="20" t="s">
        <v>110</v>
      </c>
      <c r="C49" s="68" t="s">
        <v>237</v>
      </c>
      <c r="D49" s="433"/>
      <c r="E49" s="432" t="str">
        <f>'Q2 DMV - Revenue'!T48</f>
        <v/>
      </c>
      <c r="F49" s="438">
        <v>7496.88</v>
      </c>
      <c r="G49" s="438">
        <v>6159.69</v>
      </c>
      <c r="H49" s="390"/>
      <c r="I49" s="311">
        <f t="shared" si="5"/>
        <v>13656.57</v>
      </c>
      <c r="J49" s="31"/>
      <c r="K49" s="84"/>
      <c r="L49" s="42">
        <f>(F49+G49)/2</f>
        <v>6828.2849999999999</v>
      </c>
      <c r="M49" s="31">
        <v>0</v>
      </c>
      <c r="N49" s="429">
        <v>13656.57</v>
      </c>
      <c r="O49" s="31">
        <v>0</v>
      </c>
      <c r="P49" s="426">
        <f t="shared" si="1"/>
        <v>6828.2849999999999</v>
      </c>
      <c r="Q49" s="178">
        <v>12754</v>
      </c>
      <c r="R49" s="295"/>
      <c r="S49" s="385">
        <f t="shared" si="6"/>
        <v>5925.7150000000001</v>
      </c>
      <c r="T49" s="31"/>
      <c r="U49" s="474">
        <f t="shared" si="2"/>
        <v>6828.2849999999999</v>
      </c>
      <c r="V49" s="474">
        <f t="shared" si="3"/>
        <v>0</v>
      </c>
      <c r="W49" s="475">
        <f t="shared" si="4"/>
        <v>0</v>
      </c>
      <c r="X49" s="475">
        <v>0</v>
      </c>
      <c r="Y49" s="476">
        <v>0</v>
      </c>
      <c r="Z49" s="38">
        <f t="shared" si="0"/>
        <v>0</v>
      </c>
      <c r="AA49" s="16">
        <v>36850.009999999995</v>
      </c>
      <c r="AB49" s="16">
        <v>0</v>
      </c>
      <c r="AC49" s="16">
        <v>0</v>
      </c>
      <c r="AE49" s="16">
        <v>18425.004999999997</v>
      </c>
      <c r="AF49" s="16">
        <v>0</v>
      </c>
      <c r="AG49" s="16">
        <v>0</v>
      </c>
    </row>
    <row r="50" spans="1:33">
      <c r="A50" s="20" t="s">
        <v>211</v>
      </c>
      <c r="B50" s="20" t="s">
        <v>110</v>
      </c>
      <c r="C50" s="68" t="s">
        <v>7</v>
      </c>
      <c r="D50" s="433"/>
      <c r="E50" s="432" t="str">
        <f>'Q2 DMV - Revenue'!T49</f>
        <v/>
      </c>
      <c r="F50" s="390"/>
      <c r="G50" s="390"/>
      <c r="H50" s="390"/>
      <c r="I50" s="311">
        <f t="shared" si="5"/>
        <v>0</v>
      </c>
      <c r="J50" s="2"/>
      <c r="K50" s="336"/>
      <c r="L50" s="42">
        <v>15000</v>
      </c>
      <c r="M50" s="31">
        <v>0</v>
      </c>
      <c r="N50" s="429">
        <v>0</v>
      </c>
      <c r="O50" s="31">
        <v>0</v>
      </c>
      <c r="P50" s="426">
        <f t="shared" si="1"/>
        <v>15000</v>
      </c>
      <c r="Q50" s="178">
        <v>16622.189999999999</v>
      </c>
      <c r="R50" s="295"/>
      <c r="S50" s="385">
        <f t="shared" si="6"/>
        <v>1622.1899999999987</v>
      </c>
      <c r="T50" s="2"/>
      <c r="U50" s="474">
        <f t="shared" si="2"/>
        <v>15000</v>
      </c>
      <c r="V50" s="474">
        <f t="shared" si="3"/>
        <v>0</v>
      </c>
      <c r="W50" s="475">
        <f t="shared" si="4"/>
        <v>0</v>
      </c>
      <c r="X50" s="475">
        <v>0</v>
      </c>
      <c r="Y50" s="476">
        <v>0</v>
      </c>
      <c r="Z50" s="38">
        <f t="shared" si="0"/>
        <v>0</v>
      </c>
      <c r="AA50" s="16">
        <v>2693.6299999999992</v>
      </c>
      <c r="AB50" s="16">
        <v>0</v>
      </c>
      <c r="AC50" s="16">
        <v>0</v>
      </c>
      <c r="AE50" s="16">
        <v>15993.63</v>
      </c>
      <c r="AF50" s="16">
        <v>0</v>
      </c>
      <c r="AG50" s="16">
        <v>0</v>
      </c>
    </row>
    <row r="51" spans="1:33" s="232" customFormat="1">
      <c r="A51" s="283" t="s">
        <v>97</v>
      </c>
      <c r="B51" s="283" t="s">
        <v>109</v>
      </c>
      <c r="C51" s="123" t="s">
        <v>415</v>
      </c>
      <c r="D51" s="481"/>
      <c r="E51" s="503" t="str">
        <f>'Q2 DMV - Revenue'!T50</f>
        <v/>
      </c>
      <c r="F51" s="503">
        <v>577.28</v>
      </c>
      <c r="G51" s="503">
        <v>688.88</v>
      </c>
      <c r="H51" s="504"/>
      <c r="I51" s="398">
        <f t="shared" si="5"/>
        <v>1266.1599999999999</v>
      </c>
      <c r="J51" s="31"/>
      <c r="K51" s="86"/>
      <c r="L51" s="290">
        <f>(F51+G51)/2</f>
        <v>633.07999999999993</v>
      </c>
      <c r="M51" s="31">
        <v>0</v>
      </c>
      <c r="N51" s="429">
        <v>0</v>
      </c>
      <c r="O51" s="31">
        <v>0</v>
      </c>
      <c r="P51" s="426">
        <f t="shared" si="1"/>
        <v>633.07999999999993</v>
      </c>
      <c r="Q51" s="14">
        <v>768.15</v>
      </c>
      <c r="R51" s="295"/>
      <c r="S51" s="385">
        <f t="shared" si="6"/>
        <v>135.07000000000005</v>
      </c>
      <c r="T51" s="31"/>
      <c r="U51" s="495">
        <f t="shared" si="2"/>
        <v>0</v>
      </c>
      <c r="V51" s="495">
        <f t="shared" si="3"/>
        <v>633.07999999999993</v>
      </c>
      <c r="W51" s="496">
        <f t="shared" si="4"/>
        <v>0</v>
      </c>
      <c r="X51" s="496">
        <v>0</v>
      </c>
      <c r="Y51" s="505">
        <v>0</v>
      </c>
      <c r="Z51" s="515">
        <f t="shared" si="0"/>
        <v>0</v>
      </c>
      <c r="AA51" s="232">
        <v>0</v>
      </c>
      <c r="AB51" s="232">
        <v>2858.5299999999997</v>
      </c>
      <c r="AC51" s="232">
        <v>0</v>
      </c>
      <c r="AE51" s="232">
        <v>0</v>
      </c>
      <c r="AF51" s="232">
        <v>0</v>
      </c>
      <c r="AG51" s="232">
        <v>0</v>
      </c>
    </row>
    <row r="52" spans="1:33" s="232" customFormat="1">
      <c r="A52" s="283"/>
      <c r="B52" s="283" t="s">
        <v>109</v>
      </c>
      <c r="C52" s="123" t="s">
        <v>416</v>
      </c>
      <c r="D52" s="481"/>
      <c r="E52" s="503" t="str">
        <f>'Q2 DMV - Revenue'!T51</f>
        <v/>
      </c>
      <c r="F52" s="503">
        <v>1748.76</v>
      </c>
      <c r="G52" s="503">
        <v>1726.78</v>
      </c>
      <c r="H52" s="504"/>
      <c r="I52" s="398">
        <f t="shared" si="5"/>
        <v>3475.54</v>
      </c>
      <c r="J52" s="31"/>
      <c r="K52" s="86"/>
      <c r="L52" s="290">
        <f t="shared" ref="L52:L54" si="8">(F52+G52)/2</f>
        <v>1737.77</v>
      </c>
      <c r="M52" s="31">
        <v>0</v>
      </c>
      <c r="N52" s="429">
        <v>0</v>
      </c>
      <c r="O52" s="31">
        <v>0</v>
      </c>
      <c r="P52" s="426">
        <f t="shared" si="1"/>
        <v>1737.77</v>
      </c>
      <c r="Q52" s="14">
        <v>1494.35</v>
      </c>
      <c r="R52" s="295"/>
      <c r="S52" s="385">
        <f t="shared" si="6"/>
        <v>-243.42000000000007</v>
      </c>
      <c r="T52" s="31"/>
      <c r="U52" s="495">
        <f t="shared" si="2"/>
        <v>0</v>
      </c>
      <c r="V52" s="495">
        <f t="shared" si="3"/>
        <v>1737.77</v>
      </c>
      <c r="W52" s="496">
        <f t="shared" si="4"/>
        <v>0</v>
      </c>
      <c r="X52" s="496">
        <v>0</v>
      </c>
      <c r="Y52" s="505">
        <v>0</v>
      </c>
      <c r="Z52" s="515">
        <f t="shared" si="0"/>
        <v>0</v>
      </c>
      <c r="AA52" s="232">
        <v>0</v>
      </c>
      <c r="AB52" s="232">
        <v>5992.32</v>
      </c>
      <c r="AC52" s="232">
        <v>0</v>
      </c>
      <c r="AE52" s="232">
        <v>0</v>
      </c>
      <c r="AF52" s="232">
        <v>0</v>
      </c>
      <c r="AG52" s="232">
        <v>0</v>
      </c>
    </row>
    <row r="53" spans="1:33" s="232" customFormat="1">
      <c r="A53" s="283"/>
      <c r="B53" s="283" t="s">
        <v>109</v>
      </c>
      <c r="C53" s="123" t="s">
        <v>417</v>
      </c>
      <c r="D53" s="481"/>
      <c r="E53" s="503" t="str">
        <f>'Q2 DMV - Revenue'!T52</f>
        <v/>
      </c>
      <c r="F53" s="503">
        <v>1445.34</v>
      </c>
      <c r="G53" s="503">
        <v>1614.62</v>
      </c>
      <c r="H53" s="504"/>
      <c r="I53" s="398">
        <f t="shared" si="5"/>
        <v>3059.96</v>
      </c>
      <c r="J53" s="31"/>
      <c r="K53" s="86"/>
      <c r="L53" s="290">
        <f t="shared" si="8"/>
        <v>1529.98</v>
      </c>
      <c r="M53" s="31">
        <v>0</v>
      </c>
      <c r="N53" s="429">
        <v>0</v>
      </c>
      <c r="O53" s="31">
        <v>0</v>
      </c>
      <c r="P53" s="426">
        <f t="shared" si="1"/>
        <v>1529.98</v>
      </c>
      <c r="Q53" s="14">
        <v>1536.01</v>
      </c>
      <c r="R53" s="295"/>
      <c r="S53" s="385">
        <f t="shared" si="6"/>
        <v>6.0299999999999727</v>
      </c>
      <c r="T53" s="31"/>
      <c r="U53" s="495">
        <f t="shared" si="2"/>
        <v>0</v>
      </c>
      <c r="V53" s="495">
        <f t="shared" si="3"/>
        <v>1529.98</v>
      </c>
      <c r="W53" s="496">
        <f t="shared" si="4"/>
        <v>0</v>
      </c>
      <c r="X53" s="496">
        <v>0</v>
      </c>
      <c r="Y53" s="505">
        <v>0</v>
      </c>
      <c r="Z53" s="515">
        <f t="shared" si="0"/>
        <v>0</v>
      </c>
      <c r="AA53" s="232">
        <v>0</v>
      </c>
      <c r="AB53" s="232">
        <v>7936.53</v>
      </c>
      <c r="AC53" s="232">
        <v>0</v>
      </c>
      <c r="AE53" s="232">
        <v>0</v>
      </c>
      <c r="AF53" s="232">
        <v>0</v>
      </c>
      <c r="AG53" s="232">
        <v>0</v>
      </c>
    </row>
    <row r="54" spans="1:33" s="232" customFormat="1">
      <c r="A54" s="283"/>
      <c r="B54" s="283" t="s">
        <v>109</v>
      </c>
      <c r="C54" s="123" t="s">
        <v>418</v>
      </c>
      <c r="D54" s="481"/>
      <c r="E54" s="503" t="str">
        <f>'Q2 DMV - Revenue'!T53</f>
        <v/>
      </c>
      <c r="F54" s="503">
        <v>8.6199999999999992</v>
      </c>
      <c r="G54" s="503">
        <v>13</v>
      </c>
      <c r="H54" s="504"/>
      <c r="I54" s="398">
        <f t="shared" si="5"/>
        <v>21.619999999999997</v>
      </c>
      <c r="J54" s="31"/>
      <c r="K54" s="86"/>
      <c r="L54" s="290">
        <f t="shared" si="8"/>
        <v>10.809999999999999</v>
      </c>
      <c r="M54" s="31">
        <v>0</v>
      </c>
      <c r="N54" s="429">
        <v>7823.28</v>
      </c>
      <c r="O54" s="31">
        <v>0</v>
      </c>
      <c r="P54" s="426">
        <f t="shared" si="1"/>
        <v>10.809999999999999</v>
      </c>
      <c r="Q54" s="14">
        <v>9.42</v>
      </c>
      <c r="R54" s="295"/>
      <c r="S54" s="385">
        <f t="shared" si="6"/>
        <v>-1.3899999999999988</v>
      </c>
      <c r="T54" s="31"/>
      <c r="U54" s="495">
        <f t="shared" si="2"/>
        <v>0</v>
      </c>
      <c r="V54" s="495">
        <f t="shared" si="3"/>
        <v>10.809999999999999</v>
      </c>
      <c r="W54" s="496">
        <f t="shared" si="4"/>
        <v>0</v>
      </c>
      <c r="X54" s="496">
        <v>0</v>
      </c>
      <c r="Y54" s="505">
        <v>0</v>
      </c>
      <c r="Z54" s="515">
        <f t="shared" si="0"/>
        <v>0</v>
      </c>
      <c r="AA54" s="232">
        <v>0</v>
      </c>
      <c r="AB54" s="232">
        <v>59.01</v>
      </c>
      <c r="AC54" s="232">
        <v>0</v>
      </c>
      <c r="AE54" s="232">
        <v>0</v>
      </c>
      <c r="AF54" s="232">
        <v>0</v>
      </c>
      <c r="AG54" s="232">
        <v>0</v>
      </c>
    </row>
    <row r="55" spans="1:33">
      <c r="A55" s="21" t="s">
        <v>109</v>
      </c>
      <c r="B55" s="21" t="s">
        <v>110</v>
      </c>
      <c r="C55" s="68" t="s">
        <v>8</v>
      </c>
      <c r="D55" s="433"/>
      <c r="E55" s="432" t="str">
        <f>'Q2 DMV - Revenue'!T54</f>
        <v/>
      </c>
      <c r="F55" s="390"/>
      <c r="G55" s="390"/>
      <c r="H55" s="390"/>
      <c r="I55" s="311">
        <f t="shared" si="5"/>
        <v>0</v>
      </c>
      <c r="J55" s="31"/>
      <c r="K55" s="84"/>
      <c r="L55" s="42">
        <v>0</v>
      </c>
      <c r="M55" s="31">
        <v>0</v>
      </c>
      <c r="N55" s="429">
        <v>0</v>
      </c>
      <c r="O55" s="31">
        <v>0</v>
      </c>
      <c r="P55" s="426">
        <f t="shared" si="1"/>
        <v>0</v>
      </c>
      <c r="Q55" s="178"/>
      <c r="R55" s="295"/>
      <c r="S55" s="385">
        <f t="shared" si="6"/>
        <v>0</v>
      </c>
      <c r="T55" s="31"/>
      <c r="U55" s="474">
        <f t="shared" si="2"/>
        <v>0</v>
      </c>
      <c r="V55" s="474">
        <f t="shared" si="3"/>
        <v>0</v>
      </c>
      <c r="W55" s="475">
        <f t="shared" si="4"/>
        <v>0</v>
      </c>
      <c r="X55" s="475">
        <v>0</v>
      </c>
      <c r="Y55" s="476">
        <v>0</v>
      </c>
      <c r="Z55" s="38">
        <f t="shared" si="0"/>
        <v>0</v>
      </c>
      <c r="AA55" s="16">
        <v>0</v>
      </c>
      <c r="AB55" s="16">
        <v>0</v>
      </c>
      <c r="AC55" s="16">
        <v>0</v>
      </c>
      <c r="AE55" s="16">
        <v>0</v>
      </c>
      <c r="AF55" s="16">
        <v>0</v>
      </c>
      <c r="AG55" s="16">
        <v>0</v>
      </c>
    </row>
    <row r="56" spans="1:33">
      <c r="A56" s="20" t="s">
        <v>211</v>
      </c>
      <c r="B56" s="20" t="s">
        <v>109</v>
      </c>
      <c r="C56" s="68" t="s">
        <v>9</v>
      </c>
      <c r="D56" s="433"/>
      <c r="E56" s="432">
        <f>'Q2 DMV - Revenue'!T55</f>
        <v>5840.9699999999993</v>
      </c>
      <c r="F56" s="390"/>
      <c r="G56" s="390"/>
      <c r="H56" s="390"/>
      <c r="I56" s="311">
        <f t="shared" si="5"/>
        <v>5840.9699999999993</v>
      </c>
      <c r="J56" s="2"/>
      <c r="K56" s="336"/>
      <c r="L56" s="42">
        <v>5000</v>
      </c>
      <c r="M56" s="31">
        <v>0</v>
      </c>
      <c r="N56" s="429">
        <v>9923.9699999999993</v>
      </c>
      <c r="O56" s="31">
        <v>0</v>
      </c>
      <c r="P56" s="426">
        <f t="shared" si="1"/>
        <v>5000</v>
      </c>
      <c r="Q56" s="178">
        <v>8860.2099999999991</v>
      </c>
      <c r="R56" s="295"/>
      <c r="S56" s="385">
        <f t="shared" si="6"/>
        <v>3860.2099999999991</v>
      </c>
      <c r="T56" s="2"/>
      <c r="U56" s="474">
        <f t="shared" si="2"/>
        <v>0</v>
      </c>
      <c r="V56" s="474">
        <f t="shared" si="3"/>
        <v>5000</v>
      </c>
      <c r="W56" s="475">
        <f t="shared" si="4"/>
        <v>0</v>
      </c>
      <c r="X56" s="475">
        <v>0</v>
      </c>
      <c r="Y56" s="476">
        <v>0</v>
      </c>
      <c r="Z56" s="38">
        <f t="shared" si="0"/>
        <v>0</v>
      </c>
      <c r="AA56" s="16">
        <v>0</v>
      </c>
      <c r="AB56" s="16">
        <v>-4213.1900000000005</v>
      </c>
      <c r="AC56" s="16">
        <v>0</v>
      </c>
      <c r="AE56" s="16">
        <v>0</v>
      </c>
      <c r="AF56" s="16">
        <v>2886</v>
      </c>
      <c r="AG56" s="16">
        <v>0</v>
      </c>
    </row>
    <row r="57" spans="1:33">
      <c r="A57" s="20"/>
      <c r="B57" s="20" t="s">
        <v>109</v>
      </c>
      <c r="C57" s="68" t="s">
        <v>235</v>
      </c>
      <c r="D57" s="433"/>
      <c r="E57" s="432" t="str">
        <f>'Q2 DMV - Revenue'!T56</f>
        <v/>
      </c>
      <c r="F57" s="390"/>
      <c r="G57" s="390"/>
      <c r="H57" s="390"/>
      <c r="I57" s="311">
        <f t="shared" si="5"/>
        <v>0</v>
      </c>
      <c r="J57" s="31"/>
      <c r="K57" s="84"/>
      <c r="L57" s="42">
        <v>700</v>
      </c>
      <c r="M57" s="31">
        <v>0</v>
      </c>
      <c r="N57" s="429">
        <v>0</v>
      </c>
      <c r="O57" s="31">
        <v>0</v>
      </c>
      <c r="P57" s="426">
        <f t="shared" si="1"/>
        <v>700</v>
      </c>
      <c r="Q57" s="178"/>
      <c r="R57" s="295"/>
      <c r="S57" s="385">
        <f t="shared" si="6"/>
        <v>-700</v>
      </c>
      <c r="T57" s="31"/>
      <c r="U57" s="474">
        <f t="shared" si="2"/>
        <v>0</v>
      </c>
      <c r="V57" s="474">
        <f t="shared" si="3"/>
        <v>700</v>
      </c>
      <c r="W57" s="475">
        <f t="shared" si="4"/>
        <v>0</v>
      </c>
      <c r="X57" s="475">
        <v>0</v>
      </c>
      <c r="Y57" s="476">
        <v>0</v>
      </c>
      <c r="Z57" s="38">
        <f t="shared" si="0"/>
        <v>0</v>
      </c>
      <c r="AA57" s="16">
        <v>0</v>
      </c>
      <c r="AB57" s="16">
        <v>0</v>
      </c>
      <c r="AC57" s="16">
        <v>0</v>
      </c>
      <c r="AE57" s="16">
        <v>0</v>
      </c>
      <c r="AF57" s="16">
        <v>0</v>
      </c>
      <c r="AG57" s="16">
        <v>0</v>
      </c>
    </row>
    <row r="58" spans="1:33">
      <c r="A58" s="20"/>
      <c r="B58" s="20" t="s">
        <v>109</v>
      </c>
      <c r="C58" s="68" t="s">
        <v>373</v>
      </c>
      <c r="D58" s="433">
        <v>187.46</v>
      </c>
      <c r="E58" s="432" t="str">
        <f>'Q2 DMV - Revenue'!T56</f>
        <v/>
      </c>
      <c r="F58" s="390"/>
      <c r="G58" s="390"/>
      <c r="H58" s="390"/>
      <c r="I58" s="311">
        <f t="shared" ref="I58:I59" si="9">SUM(D58:H58)</f>
        <v>187.46</v>
      </c>
      <c r="J58" s="31"/>
      <c r="K58" s="84"/>
      <c r="L58" s="42">
        <v>0</v>
      </c>
      <c r="M58" s="31">
        <v>0</v>
      </c>
      <c r="N58" s="429">
        <v>-8046.18</v>
      </c>
      <c r="O58" s="31">
        <v>0</v>
      </c>
      <c r="P58" s="426">
        <f t="shared" si="1"/>
        <v>0</v>
      </c>
      <c r="Q58" s="178"/>
      <c r="R58" s="295"/>
      <c r="S58" s="385">
        <f t="shared" si="6"/>
        <v>0</v>
      </c>
      <c r="T58" s="31"/>
      <c r="U58" s="474">
        <f t="shared" si="2"/>
        <v>0</v>
      </c>
      <c r="V58" s="474">
        <f t="shared" si="3"/>
        <v>0</v>
      </c>
      <c r="W58" s="475">
        <f t="shared" si="4"/>
        <v>0</v>
      </c>
      <c r="X58" s="475">
        <v>0</v>
      </c>
      <c r="Y58" s="476">
        <v>0</v>
      </c>
      <c r="Z58" s="38">
        <f t="shared" si="0"/>
        <v>0</v>
      </c>
      <c r="AA58" s="16">
        <v>0</v>
      </c>
      <c r="AB58" s="16">
        <v>0</v>
      </c>
      <c r="AC58" s="16">
        <v>0</v>
      </c>
      <c r="AE58" s="16">
        <v>0</v>
      </c>
      <c r="AF58" s="16">
        <v>0</v>
      </c>
      <c r="AG58" s="16">
        <v>0</v>
      </c>
    </row>
    <row r="59" spans="1:33">
      <c r="A59" s="20"/>
      <c r="B59" s="20" t="s">
        <v>109</v>
      </c>
      <c r="C59" s="68" t="s">
        <v>374</v>
      </c>
      <c r="D59" s="449">
        <f>2352.72+3532.72+28314+1595.8+1537.61</f>
        <v>37332.850000000006</v>
      </c>
      <c r="E59" s="432">
        <f>2623.3+2145.27+2028.21</f>
        <v>6796.78</v>
      </c>
      <c r="F59" s="438">
        <v>2090.1</v>
      </c>
      <c r="G59" s="438">
        <v>2322.81</v>
      </c>
      <c r="H59" s="390"/>
      <c r="I59" s="311">
        <f t="shared" si="9"/>
        <v>48542.54</v>
      </c>
      <c r="J59" s="31"/>
      <c r="K59" s="84"/>
      <c r="L59" s="42">
        <f>(F59+G59)/2</f>
        <v>2206.4549999999999</v>
      </c>
      <c r="M59" s="31">
        <v>0</v>
      </c>
      <c r="N59" s="429">
        <v>48542.54</v>
      </c>
      <c r="O59" s="31">
        <v>0</v>
      </c>
      <c r="P59" s="426">
        <f t="shared" si="1"/>
        <v>2206.4549999999999</v>
      </c>
      <c r="Q59" s="178">
        <v>2043.75</v>
      </c>
      <c r="R59" s="295"/>
      <c r="S59" s="385">
        <f t="shared" si="6"/>
        <v>-162.70499999999993</v>
      </c>
      <c r="T59" s="31"/>
      <c r="U59" s="474">
        <f t="shared" si="2"/>
        <v>0</v>
      </c>
      <c r="V59" s="474">
        <f t="shared" si="3"/>
        <v>2206.4549999999999</v>
      </c>
      <c r="W59" s="475">
        <f t="shared" si="4"/>
        <v>0</v>
      </c>
      <c r="X59" s="475">
        <v>0</v>
      </c>
      <c r="Y59" s="476">
        <v>0</v>
      </c>
      <c r="Z59" s="38">
        <f t="shared" si="0"/>
        <v>0</v>
      </c>
      <c r="AA59" s="16">
        <v>0</v>
      </c>
      <c r="AB59" s="16">
        <v>0</v>
      </c>
      <c r="AC59" s="16">
        <v>0</v>
      </c>
      <c r="AE59" s="16">
        <v>0</v>
      </c>
      <c r="AF59" s="16">
        <v>0</v>
      </c>
      <c r="AG59" s="16">
        <v>0</v>
      </c>
    </row>
    <row r="60" spans="1:33">
      <c r="A60" s="20"/>
      <c r="B60" s="20" t="s">
        <v>109</v>
      </c>
      <c r="C60" s="68" t="s">
        <v>375</v>
      </c>
      <c r="D60" s="433">
        <f>1300+2313.75+1722.5+106.25</f>
        <v>5442.5</v>
      </c>
      <c r="E60" s="432" t="str">
        <f>'Q2 DMV - Revenue'!T57</f>
        <v/>
      </c>
      <c r="F60" s="390"/>
      <c r="G60" s="390"/>
      <c r="H60" s="390"/>
      <c r="I60" s="311">
        <f t="shared" si="5"/>
        <v>5442.5</v>
      </c>
      <c r="J60" s="31"/>
      <c r="K60" s="84"/>
      <c r="L60" s="42">
        <v>5000</v>
      </c>
      <c r="M60" s="31">
        <v>0</v>
      </c>
      <c r="N60" s="429">
        <v>5442.5</v>
      </c>
      <c r="O60" s="31">
        <v>0</v>
      </c>
      <c r="P60" s="426">
        <f t="shared" si="1"/>
        <v>5000</v>
      </c>
      <c r="Q60" s="178"/>
      <c r="R60" s="295"/>
      <c r="S60" s="385">
        <f t="shared" si="6"/>
        <v>-5000</v>
      </c>
      <c r="T60" s="31"/>
      <c r="U60" s="474">
        <f t="shared" si="2"/>
        <v>0</v>
      </c>
      <c r="V60" s="474">
        <f t="shared" si="3"/>
        <v>5000</v>
      </c>
      <c r="W60" s="475">
        <f t="shared" si="4"/>
        <v>0</v>
      </c>
      <c r="X60" s="475">
        <v>0</v>
      </c>
      <c r="Y60" s="476">
        <v>0</v>
      </c>
      <c r="Z60" s="38">
        <f t="shared" si="0"/>
        <v>0</v>
      </c>
      <c r="AA60" s="16">
        <v>0</v>
      </c>
      <c r="AB60" s="16">
        <v>0</v>
      </c>
      <c r="AC60" s="16">
        <v>0</v>
      </c>
      <c r="AE60" s="16">
        <v>0</v>
      </c>
      <c r="AF60" s="16">
        <v>0</v>
      </c>
      <c r="AG60" s="16">
        <v>0</v>
      </c>
    </row>
    <row r="61" spans="1:33">
      <c r="A61" s="21"/>
      <c r="B61" s="21" t="s">
        <v>110</v>
      </c>
      <c r="C61" s="68" t="s">
        <v>138</v>
      </c>
      <c r="D61" s="433"/>
      <c r="E61" s="432" t="str">
        <f>'Q2 DMV - Revenue'!T58</f>
        <v/>
      </c>
      <c r="F61" s="438">
        <v>8300.2800000000007</v>
      </c>
      <c r="G61" s="438">
        <v>7424.32</v>
      </c>
      <c r="H61" s="438">
        <v>9364.83</v>
      </c>
      <c r="I61" s="311">
        <f t="shared" si="5"/>
        <v>25089.43</v>
      </c>
      <c r="J61" s="2"/>
      <c r="K61" s="5"/>
      <c r="L61" s="4">
        <v>0</v>
      </c>
      <c r="M61" s="31">
        <v>0</v>
      </c>
      <c r="N61" s="429">
        <v>0</v>
      </c>
      <c r="O61" s="31">
        <v>0</v>
      </c>
      <c r="P61" s="426">
        <f t="shared" si="1"/>
        <v>0</v>
      </c>
      <c r="Q61" s="178"/>
      <c r="R61" s="295"/>
      <c r="S61" s="385">
        <f t="shared" si="6"/>
        <v>0</v>
      </c>
      <c r="T61" s="2"/>
      <c r="U61" s="474">
        <f t="shared" si="2"/>
        <v>0</v>
      </c>
      <c r="V61" s="474">
        <f t="shared" si="3"/>
        <v>0</v>
      </c>
      <c r="W61" s="475">
        <f t="shared" si="4"/>
        <v>0</v>
      </c>
      <c r="X61" s="475">
        <v>0</v>
      </c>
      <c r="Y61" s="476">
        <v>0</v>
      </c>
      <c r="Z61" s="38">
        <f t="shared" si="0"/>
        <v>0</v>
      </c>
      <c r="AA61" s="16">
        <v>25709.32</v>
      </c>
      <c r="AB61" s="16">
        <v>0</v>
      </c>
      <c r="AC61" s="16">
        <v>0</v>
      </c>
      <c r="AE61" s="16">
        <v>0</v>
      </c>
      <c r="AF61" s="16">
        <v>0</v>
      </c>
      <c r="AG61" s="16">
        <v>0</v>
      </c>
    </row>
    <row r="62" spans="1:33">
      <c r="A62" s="21"/>
      <c r="B62" s="21" t="s">
        <v>110</v>
      </c>
      <c r="C62" s="68" t="s">
        <v>242</v>
      </c>
      <c r="D62" s="433"/>
      <c r="E62" s="432" t="str">
        <f>'Q2 DMV - Revenue'!T59</f>
        <v/>
      </c>
      <c r="F62" s="438">
        <v>713.47</v>
      </c>
      <c r="G62" s="438">
        <v>1007.18</v>
      </c>
      <c r="H62" s="438">
        <v>1017.71</v>
      </c>
      <c r="I62" s="311">
        <f t="shared" si="5"/>
        <v>2738.36</v>
      </c>
      <c r="J62" s="2"/>
      <c r="K62" s="5"/>
      <c r="L62" s="4">
        <v>0</v>
      </c>
      <c r="M62" s="31"/>
      <c r="N62" s="429">
        <v>0</v>
      </c>
      <c r="O62" s="31"/>
      <c r="P62" s="426">
        <f t="shared" si="1"/>
        <v>0</v>
      </c>
      <c r="Q62" s="178"/>
      <c r="R62" s="295"/>
      <c r="S62" s="385">
        <f t="shared" si="6"/>
        <v>0</v>
      </c>
      <c r="T62" s="2"/>
      <c r="U62" s="474">
        <f t="shared" si="2"/>
        <v>0</v>
      </c>
      <c r="V62" s="474">
        <f t="shared" si="3"/>
        <v>0</v>
      </c>
      <c r="W62" s="475">
        <f t="shared" si="4"/>
        <v>0</v>
      </c>
      <c r="X62" s="475">
        <v>0</v>
      </c>
      <c r="Y62" s="476">
        <v>0</v>
      </c>
      <c r="Z62" s="38">
        <f t="shared" si="0"/>
        <v>0</v>
      </c>
      <c r="AA62" s="16">
        <v>1157.73</v>
      </c>
      <c r="AB62" s="16">
        <v>0</v>
      </c>
      <c r="AC62" s="16">
        <v>0</v>
      </c>
      <c r="AE62" s="16">
        <v>0</v>
      </c>
      <c r="AF62" s="16">
        <v>0</v>
      </c>
      <c r="AG62" s="16">
        <v>0</v>
      </c>
    </row>
    <row r="63" spans="1:33">
      <c r="A63" s="21"/>
      <c r="B63" s="21" t="s">
        <v>110</v>
      </c>
      <c r="C63" s="68" t="s">
        <v>243</v>
      </c>
      <c r="D63" s="433"/>
      <c r="E63" s="432" t="str">
        <f>'Q2 DMV - Revenue'!T60</f>
        <v/>
      </c>
      <c r="F63" s="438">
        <v>2563.2199999999998</v>
      </c>
      <c r="G63" s="438">
        <v>3986.84</v>
      </c>
      <c r="H63" s="438">
        <v>3624.95</v>
      </c>
      <c r="I63" s="311">
        <f t="shared" si="5"/>
        <v>10175.009999999998</v>
      </c>
      <c r="J63" s="2"/>
      <c r="K63" s="5"/>
      <c r="L63" s="4">
        <v>0</v>
      </c>
      <c r="M63" s="31"/>
      <c r="N63" s="429">
        <v>42407.1</v>
      </c>
      <c r="O63" s="31"/>
      <c r="P63" s="426">
        <f t="shared" si="1"/>
        <v>0</v>
      </c>
      <c r="Q63" s="178"/>
      <c r="R63" s="295"/>
      <c r="S63" s="385">
        <f t="shared" si="6"/>
        <v>0</v>
      </c>
      <c r="T63" s="2"/>
      <c r="U63" s="474">
        <f t="shared" si="2"/>
        <v>0</v>
      </c>
      <c r="V63" s="474">
        <f t="shared" si="3"/>
        <v>0</v>
      </c>
      <c r="W63" s="475">
        <f t="shared" si="4"/>
        <v>0</v>
      </c>
      <c r="X63" s="475">
        <v>0</v>
      </c>
      <c r="Y63" s="476">
        <v>0</v>
      </c>
      <c r="Z63" s="38">
        <f t="shared" si="0"/>
        <v>0</v>
      </c>
      <c r="AA63" s="16">
        <v>6665.7699999999995</v>
      </c>
      <c r="AB63" s="16">
        <v>0</v>
      </c>
      <c r="AC63" s="16">
        <v>0</v>
      </c>
      <c r="AE63" s="16">
        <v>0</v>
      </c>
      <c r="AF63" s="16">
        <v>0</v>
      </c>
      <c r="AG63" s="16">
        <v>0</v>
      </c>
    </row>
    <row r="64" spans="1:33">
      <c r="A64" s="21"/>
      <c r="B64" s="21" t="s">
        <v>110</v>
      </c>
      <c r="C64" s="68" t="s">
        <v>391</v>
      </c>
      <c r="D64" s="433"/>
      <c r="E64" s="432"/>
      <c r="F64" s="390"/>
      <c r="G64" s="438">
        <v>4174.74</v>
      </c>
      <c r="H64" s="390"/>
      <c r="I64" s="311">
        <f>SUM(D64:H64)</f>
        <v>4174.74</v>
      </c>
      <c r="J64" s="2"/>
      <c r="K64" s="5"/>
      <c r="L64" s="4">
        <f>G64*2</f>
        <v>8349.48</v>
      </c>
      <c r="M64" s="31"/>
      <c r="N64" s="429"/>
      <c r="O64" s="31"/>
      <c r="P64" s="426">
        <f t="shared" si="1"/>
        <v>8349.48</v>
      </c>
      <c r="Q64" s="178">
        <v>6205.18</v>
      </c>
      <c r="R64" s="295"/>
      <c r="S64" s="385">
        <f t="shared" si="6"/>
        <v>-2144.2999999999993</v>
      </c>
      <c r="T64" s="2"/>
      <c r="U64" s="474">
        <f t="shared" si="2"/>
        <v>8349.48</v>
      </c>
      <c r="V64" s="474">
        <f t="shared" si="3"/>
        <v>0</v>
      </c>
      <c r="W64" s="475">
        <f t="shared" si="4"/>
        <v>0</v>
      </c>
      <c r="X64" s="475">
        <v>0</v>
      </c>
      <c r="Y64" s="476">
        <v>0</v>
      </c>
      <c r="Z64" s="38">
        <f t="shared" si="0"/>
        <v>0</v>
      </c>
    </row>
    <row r="65" spans="1:33">
      <c r="A65" s="21"/>
      <c r="B65" s="21" t="s">
        <v>110</v>
      </c>
      <c r="C65" s="68" t="s">
        <v>392</v>
      </c>
      <c r="D65" s="433"/>
      <c r="E65" s="432"/>
      <c r="F65" s="390"/>
      <c r="G65" s="438">
        <v>229.57</v>
      </c>
      <c r="H65" s="390"/>
      <c r="I65" s="311">
        <f>SUM(D65:H65)</f>
        <v>229.57</v>
      </c>
      <c r="J65" s="2"/>
      <c r="K65" s="5"/>
      <c r="L65" s="4">
        <f>G65*2</f>
        <v>459.14</v>
      </c>
      <c r="M65" s="31"/>
      <c r="N65" s="429"/>
      <c r="O65" s="31"/>
      <c r="P65" s="426">
        <f t="shared" si="1"/>
        <v>459.14</v>
      </c>
      <c r="Q65" s="178">
        <v>502.05</v>
      </c>
      <c r="R65" s="295"/>
      <c r="S65" s="385">
        <f t="shared" si="6"/>
        <v>42.910000000000025</v>
      </c>
      <c r="T65" s="2"/>
      <c r="U65" s="474">
        <f t="shared" si="2"/>
        <v>459.14</v>
      </c>
      <c r="V65" s="474">
        <f t="shared" si="3"/>
        <v>0</v>
      </c>
      <c r="W65" s="475">
        <f t="shared" si="4"/>
        <v>0</v>
      </c>
      <c r="X65" s="475">
        <v>0</v>
      </c>
      <c r="Y65" s="476">
        <v>0</v>
      </c>
      <c r="Z65" s="38">
        <f t="shared" si="0"/>
        <v>0</v>
      </c>
    </row>
    <row r="66" spans="1:33">
      <c r="A66" s="21"/>
      <c r="B66" s="21" t="s">
        <v>110</v>
      </c>
      <c r="C66" s="68" t="s">
        <v>11</v>
      </c>
      <c r="D66" s="433"/>
      <c r="E66" s="432" t="str">
        <f>'Q2 DMV - Revenue'!T61</f>
        <v/>
      </c>
      <c r="F66" s="390"/>
      <c r="G66" s="390"/>
      <c r="H66" s="390"/>
      <c r="I66" s="311">
        <f t="shared" si="5"/>
        <v>0</v>
      </c>
      <c r="J66" s="2"/>
      <c r="K66" s="5"/>
      <c r="L66" s="42">
        <v>0</v>
      </c>
      <c r="M66" s="31">
        <v>0</v>
      </c>
      <c r="N66" s="429">
        <v>0</v>
      </c>
      <c r="O66" s="31">
        <v>0</v>
      </c>
      <c r="P66" s="426">
        <f t="shared" si="1"/>
        <v>0</v>
      </c>
      <c r="Q66" s="178"/>
      <c r="R66" s="295"/>
      <c r="S66" s="385">
        <f t="shared" si="6"/>
        <v>0</v>
      </c>
      <c r="T66" s="2"/>
      <c r="U66" s="474">
        <f t="shared" si="2"/>
        <v>0</v>
      </c>
      <c r="V66" s="474">
        <f t="shared" si="3"/>
        <v>0</v>
      </c>
      <c r="W66" s="475">
        <f t="shared" si="4"/>
        <v>0</v>
      </c>
      <c r="X66" s="475">
        <v>0</v>
      </c>
      <c r="Y66" s="476">
        <v>0</v>
      </c>
      <c r="Z66" s="38">
        <f t="shared" si="0"/>
        <v>0</v>
      </c>
      <c r="AA66" s="16">
        <v>0</v>
      </c>
      <c r="AB66" s="16">
        <v>0</v>
      </c>
      <c r="AC66" s="16">
        <v>0</v>
      </c>
      <c r="AE66" s="16">
        <v>0</v>
      </c>
      <c r="AF66" s="16">
        <v>0</v>
      </c>
      <c r="AG66" s="16">
        <v>0</v>
      </c>
    </row>
    <row r="67" spans="1:33">
      <c r="A67" s="21"/>
      <c r="B67" s="21" t="s">
        <v>110</v>
      </c>
      <c r="C67" s="68" t="s">
        <v>12</v>
      </c>
      <c r="D67" s="433"/>
      <c r="E67" s="432">
        <f>'Q2 DMV - Revenue'!T62</f>
        <v>-47.100000000000023</v>
      </c>
      <c r="F67" s="438">
        <v>801.38</v>
      </c>
      <c r="G67" s="438">
        <v>799.93</v>
      </c>
      <c r="H67" s="390"/>
      <c r="I67" s="311">
        <f t="shared" si="5"/>
        <v>1554.21</v>
      </c>
      <c r="J67" s="31"/>
      <c r="K67" s="84"/>
      <c r="L67" s="42">
        <v>800</v>
      </c>
      <c r="M67" s="31">
        <v>0</v>
      </c>
      <c r="N67" s="429">
        <v>2405.9899999999998</v>
      </c>
      <c r="O67" s="31">
        <v>0</v>
      </c>
      <c r="P67" s="426">
        <f t="shared" si="1"/>
        <v>800</v>
      </c>
      <c r="Q67" s="178">
        <v>801.81</v>
      </c>
      <c r="R67" s="295"/>
      <c r="S67" s="385">
        <f t="shared" si="6"/>
        <v>1.8099999999999454</v>
      </c>
      <c r="T67" s="31"/>
      <c r="U67" s="474">
        <f t="shared" si="2"/>
        <v>800</v>
      </c>
      <c r="V67" s="474">
        <f t="shared" si="3"/>
        <v>0</v>
      </c>
      <c r="W67" s="475">
        <f t="shared" si="4"/>
        <v>0</v>
      </c>
      <c r="X67" s="475">
        <v>0</v>
      </c>
      <c r="Y67" s="476">
        <v>0</v>
      </c>
      <c r="Z67" s="38">
        <f t="shared" si="0"/>
        <v>0</v>
      </c>
      <c r="AA67" s="16">
        <v>3342.13</v>
      </c>
      <c r="AB67" s="16">
        <v>0</v>
      </c>
      <c r="AC67" s="16">
        <v>0</v>
      </c>
      <c r="AE67" s="16">
        <v>766.64499999999998</v>
      </c>
      <c r="AF67" s="16">
        <v>0</v>
      </c>
      <c r="AG67" s="16">
        <v>0</v>
      </c>
    </row>
    <row r="68" spans="1:33" s="232" customFormat="1">
      <c r="A68" s="283" t="s">
        <v>211</v>
      </c>
      <c r="B68" s="283" t="s">
        <v>110</v>
      </c>
      <c r="C68" s="123" t="s">
        <v>170</v>
      </c>
      <c r="D68" s="481"/>
      <c r="E68" s="503">
        <f>'Q2 DMV - Revenue'!T63</f>
        <v>38974.039999999979</v>
      </c>
      <c r="F68" s="504"/>
      <c r="G68" s="504"/>
      <c r="H68" s="503">
        <v>598604.88</v>
      </c>
      <c r="I68" s="398">
        <f t="shared" si="5"/>
        <v>637578.91999999993</v>
      </c>
      <c r="J68" s="31"/>
      <c r="K68" s="410"/>
      <c r="L68" s="290"/>
      <c r="M68" s="31">
        <v>0</v>
      </c>
      <c r="N68" s="429">
        <f>625791.26+H68:H73</f>
        <v>1224396.1400000001</v>
      </c>
      <c r="O68" s="31">
        <v>0</v>
      </c>
      <c r="P68" s="426">
        <f t="shared" si="1"/>
        <v>0</v>
      </c>
      <c r="Q68" s="14"/>
      <c r="R68" s="295"/>
      <c r="S68" s="385">
        <f t="shared" si="6"/>
        <v>0</v>
      </c>
      <c r="T68" s="31"/>
      <c r="U68" s="495">
        <f t="shared" si="2"/>
        <v>0</v>
      </c>
      <c r="V68" s="495">
        <f t="shared" si="3"/>
        <v>0</v>
      </c>
      <c r="W68" s="496">
        <f t="shared" si="4"/>
        <v>0</v>
      </c>
      <c r="X68" s="496">
        <v>0</v>
      </c>
      <c r="Y68" s="505">
        <v>0</v>
      </c>
      <c r="Z68" s="515">
        <f t="shared" si="0"/>
        <v>0</v>
      </c>
      <c r="AA68" s="232">
        <v>0</v>
      </c>
      <c r="AB68" s="232">
        <v>0</v>
      </c>
      <c r="AC68" s="232">
        <v>0</v>
      </c>
      <c r="AE68" s="232">
        <v>408335</v>
      </c>
      <c r="AF68" s="232">
        <v>0</v>
      </c>
      <c r="AG68" s="232">
        <v>0</v>
      </c>
    </row>
    <row r="69" spans="1:33" s="232" customFormat="1">
      <c r="A69" s="283" t="s">
        <v>211</v>
      </c>
      <c r="B69" s="283" t="s">
        <v>110</v>
      </c>
      <c r="C69" s="123" t="s">
        <v>171</v>
      </c>
      <c r="D69" s="481"/>
      <c r="E69" s="503">
        <f>'Q2 DMV - Revenue'!T64</f>
        <v>1853.56</v>
      </c>
      <c r="F69" s="504"/>
      <c r="G69" s="504"/>
      <c r="H69" s="503">
        <v>1516.48</v>
      </c>
      <c r="I69" s="398">
        <f>SUM(D69:H69)</f>
        <v>3370.04</v>
      </c>
      <c r="J69" s="31"/>
      <c r="K69" s="410"/>
      <c r="L69" s="290"/>
      <c r="M69" s="31">
        <v>0</v>
      </c>
      <c r="N69" s="429">
        <v>0</v>
      </c>
      <c r="O69" s="31">
        <v>0</v>
      </c>
      <c r="P69" s="426">
        <f t="shared" si="1"/>
        <v>0</v>
      </c>
      <c r="Q69" s="14"/>
      <c r="R69" s="295"/>
      <c r="S69" s="385">
        <f t="shared" si="6"/>
        <v>0</v>
      </c>
      <c r="T69" s="31"/>
      <c r="U69" s="495">
        <f t="shared" si="2"/>
        <v>0</v>
      </c>
      <c r="V69" s="495">
        <f t="shared" si="3"/>
        <v>0</v>
      </c>
      <c r="W69" s="496">
        <f t="shared" si="4"/>
        <v>0</v>
      </c>
      <c r="X69" s="496">
        <v>0</v>
      </c>
      <c r="Y69" s="505">
        <v>0</v>
      </c>
      <c r="Z69" s="515">
        <f t="shared" si="0"/>
        <v>0</v>
      </c>
      <c r="AA69" s="232">
        <v>0</v>
      </c>
      <c r="AB69" s="232">
        <v>0</v>
      </c>
      <c r="AC69" s="232">
        <v>0</v>
      </c>
      <c r="AE69" s="232">
        <v>0</v>
      </c>
      <c r="AF69" s="232">
        <v>0</v>
      </c>
      <c r="AG69" s="232">
        <v>0</v>
      </c>
    </row>
    <row r="70" spans="1:33" s="232" customFormat="1">
      <c r="A70" s="283" t="s">
        <v>211</v>
      </c>
      <c r="B70" s="283" t="s">
        <v>110</v>
      </c>
      <c r="C70" s="123" t="s">
        <v>13</v>
      </c>
      <c r="D70" s="481"/>
      <c r="E70" s="503">
        <f>'Q2 DMV - Revenue'!T65</f>
        <v>-1815.7899999999936</v>
      </c>
      <c r="F70" s="504"/>
      <c r="G70" s="504"/>
      <c r="H70" s="503">
        <v>110426.94</v>
      </c>
      <c r="I70" s="398">
        <f t="shared" si="5"/>
        <v>108611.15000000001</v>
      </c>
      <c r="J70" s="31"/>
      <c r="K70" s="410"/>
      <c r="L70" s="290"/>
      <c r="M70" s="31">
        <v>0</v>
      </c>
      <c r="N70" s="429">
        <v>0</v>
      </c>
      <c r="O70" s="31">
        <v>0</v>
      </c>
      <c r="P70" s="426">
        <f t="shared" si="1"/>
        <v>0</v>
      </c>
      <c r="Q70" s="14"/>
      <c r="R70" s="295"/>
      <c r="S70" s="385">
        <f t="shared" si="6"/>
        <v>0</v>
      </c>
      <c r="T70" s="31"/>
      <c r="U70" s="495">
        <f t="shared" si="2"/>
        <v>0</v>
      </c>
      <c r="V70" s="495">
        <f t="shared" si="3"/>
        <v>0</v>
      </c>
      <c r="W70" s="496">
        <f t="shared" si="4"/>
        <v>0</v>
      </c>
      <c r="X70" s="496">
        <v>0</v>
      </c>
      <c r="Y70" s="505">
        <v>0</v>
      </c>
      <c r="Z70" s="515">
        <f t="shared" si="0"/>
        <v>0</v>
      </c>
      <c r="AA70" s="232">
        <v>0</v>
      </c>
      <c r="AB70" s="232">
        <v>0</v>
      </c>
      <c r="AC70" s="232">
        <v>0</v>
      </c>
      <c r="AE70" s="232">
        <v>158129</v>
      </c>
      <c r="AF70" s="232">
        <v>0</v>
      </c>
      <c r="AG70" s="232">
        <v>0</v>
      </c>
    </row>
    <row r="71" spans="1:33" s="232" customFormat="1">
      <c r="A71" s="283" t="s">
        <v>211</v>
      </c>
      <c r="B71" s="283" t="s">
        <v>110</v>
      </c>
      <c r="C71" s="123" t="s">
        <v>172</v>
      </c>
      <c r="D71" s="481"/>
      <c r="E71" s="503">
        <f>'Q2 DMV - Revenue'!T66</f>
        <v>2.68</v>
      </c>
      <c r="F71" s="504"/>
      <c r="G71" s="504"/>
      <c r="H71" s="503">
        <v>20.329999999999998</v>
      </c>
      <c r="I71" s="398">
        <f t="shared" si="5"/>
        <v>23.009999999999998</v>
      </c>
      <c r="J71" s="31"/>
      <c r="K71" s="410"/>
      <c r="L71" s="290"/>
      <c r="M71" s="31">
        <v>0</v>
      </c>
      <c r="N71" s="429">
        <v>0</v>
      </c>
      <c r="O71" s="31">
        <v>0</v>
      </c>
      <c r="P71" s="426">
        <f t="shared" si="1"/>
        <v>0</v>
      </c>
      <c r="Q71" s="14"/>
      <c r="R71" s="295"/>
      <c r="S71" s="385">
        <f t="shared" si="6"/>
        <v>0</v>
      </c>
      <c r="T71" s="31"/>
      <c r="U71" s="495">
        <f t="shared" si="2"/>
        <v>0</v>
      </c>
      <c r="V71" s="495">
        <f t="shared" si="3"/>
        <v>0</v>
      </c>
      <c r="W71" s="496">
        <f t="shared" si="4"/>
        <v>0</v>
      </c>
      <c r="X71" s="496">
        <v>0</v>
      </c>
      <c r="Y71" s="505">
        <v>0</v>
      </c>
      <c r="Z71" s="515">
        <f t="shared" si="0"/>
        <v>0</v>
      </c>
      <c r="AA71" s="232">
        <v>0</v>
      </c>
      <c r="AB71" s="232">
        <v>0</v>
      </c>
      <c r="AC71" s="232">
        <v>0</v>
      </c>
      <c r="AE71" s="232">
        <v>0</v>
      </c>
      <c r="AF71" s="232">
        <v>0</v>
      </c>
      <c r="AG71" s="232">
        <v>0</v>
      </c>
    </row>
    <row r="72" spans="1:33" s="232" customFormat="1">
      <c r="A72" s="283" t="s">
        <v>211</v>
      </c>
      <c r="B72" s="283" t="s">
        <v>110</v>
      </c>
      <c r="C72" s="123" t="s">
        <v>173</v>
      </c>
      <c r="D72" s="481"/>
      <c r="E72" s="503">
        <f>'Q2 DMV - Revenue'!T67</f>
        <v>3093.9100000000035</v>
      </c>
      <c r="F72" s="504"/>
      <c r="G72" s="504"/>
      <c r="H72" s="503">
        <v>33388.910000000003</v>
      </c>
      <c r="I72" s="398">
        <f t="shared" si="5"/>
        <v>36482.820000000007</v>
      </c>
      <c r="J72" s="31"/>
      <c r="K72" s="410"/>
      <c r="L72" s="290"/>
      <c r="M72" s="31">
        <v>0</v>
      </c>
      <c r="N72" s="429">
        <v>0</v>
      </c>
      <c r="O72" s="31">
        <v>0</v>
      </c>
      <c r="P72" s="426">
        <f t="shared" si="1"/>
        <v>0</v>
      </c>
      <c r="Q72" s="14"/>
      <c r="R72" s="295"/>
      <c r="S72" s="385">
        <f t="shared" si="6"/>
        <v>0</v>
      </c>
      <c r="T72" s="31"/>
      <c r="U72" s="495">
        <f t="shared" si="2"/>
        <v>0</v>
      </c>
      <c r="V72" s="495">
        <f t="shared" si="3"/>
        <v>0</v>
      </c>
      <c r="W72" s="496">
        <f t="shared" si="4"/>
        <v>0</v>
      </c>
      <c r="X72" s="496">
        <v>0</v>
      </c>
      <c r="Y72" s="505">
        <v>0</v>
      </c>
      <c r="Z72" s="515">
        <f t="shared" si="0"/>
        <v>0</v>
      </c>
      <c r="AA72" s="232">
        <v>0</v>
      </c>
      <c r="AB72" s="232">
        <v>0</v>
      </c>
      <c r="AC72" s="232">
        <v>0</v>
      </c>
      <c r="AE72" s="232">
        <v>45815</v>
      </c>
      <c r="AF72" s="232">
        <v>0</v>
      </c>
      <c r="AG72" s="232">
        <v>0</v>
      </c>
    </row>
    <row r="73" spans="1:33" s="232" customFormat="1">
      <c r="A73" s="283" t="s">
        <v>211</v>
      </c>
      <c r="B73" s="283" t="s">
        <v>110</v>
      </c>
      <c r="C73" s="408" t="s">
        <v>174</v>
      </c>
      <c r="D73" s="481"/>
      <c r="E73" s="503">
        <f>'Q2 DMV - Revenue'!T68</f>
        <v>25.4</v>
      </c>
      <c r="F73" s="504"/>
      <c r="G73" s="504"/>
      <c r="H73" s="503">
        <v>4.45</v>
      </c>
      <c r="I73" s="398">
        <f t="shared" si="5"/>
        <v>29.849999999999998</v>
      </c>
      <c r="J73" s="31"/>
      <c r="K73" s="410"/>
      <c r="L73" s="290"/>
      <c r="M73" s="31">
        <v>0</v>
      </c>
      <c r="N73" s="429">
        <v>0</v>
      </c>
      <c r="O73" s="31">
        <v>0</v>
      </c>
      <c r="P73" s="426">
        <f t="shared" si="1"/>
        <v>0</v>
      </c>
      <c r="Q73" s="14"/>
      <c r="R73" s="295"/>
      <c r="S73" s="385">
        <f t="shared" si="6"/>
        <v>0</v>
      </c>
      <c r="T73" s="31"/>
      <c r="U73" s="495">
        <f t="shared" si="2"/>
        <v>0</v>
      </c>
      <c r="V73" s="495">
        <f t="shared" si="3"/>
        <v>0</v>
      </c>
      <c r="W73" s="496">
        <f t="shared" si="4"/>
        <v>0</v>
      </c>
      <c r="X73" s="496">
        <v>0</v>
      </c>
      <c r="Y73" s="505">
        <v>0</v>
      </c>
      <c r="Z73" s="515">
        <f t="shared" si="0"/>
        <v>0</v>
      </c>
      <c r="AA73" s="232">
        <v>0</v>
      </c>
      <c r="AB73" s="232">
        <v>0</v>
      </c>
      <c r="AC73" s="232">
        <v>0</v>
      </c>
      <c r="AE73" s="232">
        <v>0</v>
      </c>
      <c r="AF73" s="232">
        <v>0</v>
      </c>
      <c r="AG73" s="232">
        <v>0</v>
      </c>
    </row>
    <row r="74" spans="1:33">
      <c r="A74" s="21"/>
      <c r="B74" s="21" t="s">
        <v>109</v>
      </c>
      <c r="C74" s="68" t="s">
        <v>94</v>
      </c>
      <c r="D74" s="178">
        <f>1197.81+1009.81+965.3+751.28+1108.67+1171.18</f>
        <v>6204.05</v>
      </c>
      <c r="E74" s="432">
        <f>'Q2 DMV - Revenue'!T69</f>
        <v>812.69</v>
      </c>
      <c r="F74" s="438">
        <v>580.36</v>
      </c>
      <c r="G74" s="438">
        <v>550.28</v>
      </c>
      <c r="H74" s="438">
        <v>664.88</v>
      </c>
      <c r="I74" s="311">
        <f t="shared" si="5"/>
        <v>8812.2599999999984</v>
      </c>
      <c r="J74" s="2"/>
      <c r="K74" s="84"/>
      <c r="L74" s="4"/>
      <c r="M74" s="31">
        <v>0</v>
      </c>
      <c r="N74" s="429">
        <v>8812.26</v>
      </c>
      <c r="O74" s="31">
        <v>0</v>
      </c>
      <c r="P74" s="426">
        <f t="shared" si="1"/>
        <v>0</v>
      </c>
      <c r="Q74" s="178">
        <f>23.8+140.51+24.55</f>
        <v>188.86</v>
      </c>
      <c r="R74" s="295"/>
      <c r="S74" s="385">
        <f t="shared" si="6"/>
        <v>188.86</v>
      </c>
      <c r="T74" s="2"/>
      <c r="U74" s="474">
        <f t="shared" si="2"/>
        <v>0</v>
      </c>
      <c r="V74" s="474">
        <f t="shared" si="3"/>
        <v>0</v>
      </c>
      <c r="W74" s="475">
        <f t="shared" si="4"/>
        <v>0</v>
      </c>
      <c r="X74" s="475">
        <v>0</v>
      </c>
      <c r="Y74" s="476">
        <v>0</v>
      </c>
      <c r="Z74" s="38">
        <f t="shared" si="0"/>
        <v>0</v>
      </c>
      <c r="AA74" s="16">
        <v>0</v>
      </c>
      <c r="AB74" s="16">
        <v>-8000</v>
      </c>
      <c r="AC74" s="16">
        <v>0</v>
      </c>
      <c r="AE74" s="16">
        <v>0</v>
      </c>
      <c r="AF74" s="16">
        <v>0</v>
      </c>
      <c r="AG74" s="16">
        <v>0</v>
      </c>
    </row>
    <row r="75" spans="1:33">
      <c r="A75" s="21" t="s">
        <v>109</v>
      </c>
      <c r="B75" s="21" t="s">
        <v>110</v>
      </c>
      <c r="C75" s="68" t="s">
        <v>319</v>
      </c>
      <c r="D75" s="425"/>
      <c r="E75" s="432" t="str">
        <f>'Q2 DMV - Revenue'!T70</f>
        <v/>
      </c>
      <c r="F75" s="390"/>
      <c r="G75" s="390"/>
      <c r="H75" s="390"/>
      <c r="I75" s="311">
        <f>SUM(D75:H75)</f>
        <v>0</v>
      </c>
      <c r="J75" s="2"/>
      <c r="K75" s="84"/>
      <c r="L75" s="4"/>
      <c r="M75" s="31">
        <v>0</v>
      </c>
      <c r="N75" s="429">
        <v>0</v>
      </c>
      <c r="O75" s="31">
        <v>0</v>
      </c>
      <c r="P75" s="426">
        <f t="shared" si="1"/>
        <v>0</v>
      </c>
      <c r="Q75" s="178"/>
      <c r="R75" s="295"/>
      <c r="S75" s="385">
        <f t="shared" si="6"/>
        <v>0</v>
      </c>
      <c r="T75" s="2"/>
      <c r="U75" s="474">
        <f t="shared" si="2"/>
        <v>0</v>
      </c>
      <c r="V75" s="474">
        <f t="shared" si="3"/>
        <v>0</v>
      </c>
      <c r="W75" s="475">
        <f t="shared" si="4"/>
        <v>0</v>
      </c>
      <c r="X75" s="475">
        <v>0</v>
      </c>
      <c r="Y75" s="476">
        <v>0</v>
      </c>
      <c r="Z75" s="38">
        <f t="shared" si="0"/>
        <v>0</v>
      </c>
      <c r="AA75" s="16">
        <v>0</v>
      </c>
      <c r="AB75" s="16">
        <v>0</v>
      </c>
      <c r="AC75" s="16">
        <v>0</v>
      </c>
      <c r="AE75" s="16">
        <v>0</v>
      </c>
      <c r="AF75" s="16">
        <v>0</v>
      </c>
      <c r="AG75" s="16">
        <v>0</v>
      </c>
    </row>
    <row r="76" spans="1:33">
      <c r="A76" s="20" t="s">
        <v>211</v>
      </c>
      <c r="B76" s="20" t="s">
        <v>109</v>
      </c>
      <c r="C76" s="68" t="s">
        <v>14</v>
      </c>
      <c r="D76" s="433">
        <v>823.55</v>
      </c>
      <c r="E76" s="432" t="str">
        <f>'Q2 DMV - Revenue'!T71</f>
        <v/>
      </c>
      <c r="F76" s="390"/>
      <c r="G76" s="390"/>
      <c r="H76" s="390"/>
      <c r="I76" s="311">
        <f t="shared" si="5"/>
        <v>823.55</v>
      </c>
      <c r="J76" s="31"/>
      <c r="K76" s="84"/>
      <c r="L76" s="42">
        <v>2000</v>
      </c>
      <c r="M76" s="31">
        <v>0</v>
      </c>
      <c r="N76" s="429">
        <v>823.55</v>
      </c>
      <c r="O76" s="31">
        <v>0</v>
      </c>
      <c r="P76" s="426">
        <f t="shared" si="1"/>
        <v>2000</v>
      </c>
      <c r="Q76" s="178">
        <v>947.44</v>
      </c>
      <c r="R76" s="295"/>
      <c r="S76" s="385">
        <f t="shared" si="6"/>
        <v>-1052.56</v>
      </c>
      <c r="T76" s="31"/>
      <c r="U76" s="474">
        <f t="shared" si="2"/>
        <v>0</v>
      </c>
      <c r="V76" s="474">
        <f t="shared" si="3"/>
        <v>2000</v>
      </c>
      <c r="W76" s="475">
        <f t="shared" si="4"/>
        <v>0</v>
      </c>
      <c r="X76" s="475">
        <v>0</v>
      </c>
      <c r="Y76" s="476">
        <v>0</v>
      </c>
      <c r="Z76" s="38">
        <f t="shared" si="0"/>
        <v>0</v>
      </c>
      <c r="AA76" s="16">
        <v>0</v>
      </c>
      <c r="AB76" s="16">
        <v>0</v>
      </c>
      <c r="AC76" s="16">
        <v>0</v>
      </c>
      <c r="AE76" s="16">
        <v>0</v>
      </c>
      <c r="AF76" s="16">
        <v>0</v>
      </c>
      <c r="AG76" s="16">
        <v>0</v>
      </c>
    </row>
    <row r="77" spans="1:33">
      <c r="A77" s="20"/>
      <c r="B77" s="20" t="s">
        <v>110</v>
      </c>
      <c r="C77" s="68" t="s">
        <v>15</v>
      </c>
      <c r="D77" s="433"/>
      <c r="E77" s="432" t="str">
        <f>'Q2 DMV - Revenue'!T72</f>
        <v/>
      </c>
      <c r="F77" s="438">
        <v>9631.8700000000008</v>
      </c>
      <c r="G77" s="438">
        <v>9515.26</v>
      </c>
      <c r="H77" s="438">
        <v>8642.7000000000007</v>
      </c>
      <c r="I77" s="311">
        <f t="shared" si="5"/>
        <v>27789.83</v>
      </c>
      <c r="J77" s="31"/>
      <c r="K77" s="84"/>
      <c r="L77" s="42">
        <v>0</v>
      </c>
      <c r="M77" s="31">
        <v>0</v>
      </c>
      <c r="N77" s="429">
        <v>27789.83</v>
      </c>
      <c r="O77" s="31">
        <v>0</v>
      </c>
      <c r="P77" s="426">
        <f t="shared" si="1"/>
        <v>0</v>
      </c>
      <c r="Q77" s="178">
        <v>50.77</v>
      </c>
      <c r="R77" s="295"/>
      <c r="S77" s="385">
        <f t="shared" si="6"/>
        <v>50.77</v>
      </c>
      <c r="T77" s="31"/>
      <c r="U77" s="474">
        <f t="shared" si="2"/>
        <v>0</v>
      </c>
      <c r="V77" s="474">
        <f t="shared" si="3"/>
        <v>0</v>
      </c>
      <c r="W77" s="475">
        <f t="shared" si="4"/>
        <v>0</v>
      </c>
      <c r="X77" s="475">
        <v>0</v>
      </c>
      <c r="Y77" s="476">
        <v>0</v>
      </c>
      <c r="Z77" s="38">
        <f t="shared" si="0"/>
        <v>0</v>
      </c>
      <c r="AA77" s="16">
        <v>28245.61</v>
      </c>
      <c r="AB77" s="16">
        <v>0</v>
      </c>
      <c r="AC77" s="16">
        <v>0</v>
      </c>
      <c r="AE77" s="16">
        <v>0</v>
      </c>
      <c r="AF77" s="16">
        <v>0</v>
      </c>
      <c r="AG77" s="16">
        <v>0</v>
      </c>
    </row>
    <row r="78" spans="1:33">
      <c r="A78" s="20"/>
      <c r="B78" s="20" t="s">
        <v>109</v>
      </c>
      <c r="C78" s="68" t="s">
        <v>16</v>
      </c>
      <c r="D78" s="433"/>
      <c r="E78" s="432">
        <f>'Q2 DMV - Revenue'!T73</f>
        <v>260.18000000000006</v>
      </c>
      <c r="F78" s="438">
        <v>221.64</v>
      </c>
      <c r="G78" s="390"/>
      <c r="H78" s="390"/>
      <c r="I78" s="311">
        <f t="shared" si="5"/>
        <v>481.82000000000005</v>
      </c>
      <c r="J78" s="31"/>
      <c r="K78" s="84"/>
      <c r="L78" s="42">
        <f>F78*2</f>
        <v>443.28</v>
      </c>
      <c r="M78" s="31">
        <v>0</v>
      </c>
      <c r="N78" s="429">
        <v>0</v>
      </c>
      <c r="O78" s="31">
        <v>0</v>
      </c>
      <c r="P78" s="426">
        <f t="shared" si="1"/>
        <v>443.28</v>
      </c>
      <c r="Q78" s="178"/>
      <c r="R78" s="295"/>
      <c r="S78" s="385">
        <f t="shared" si="6"/>
        <v>-443.28</v>
      </c>
      <c r="T78" s="31"/>
      <c r="U78" s="474">
        <f t="shared" si="2"/>
        <v>0</v>
      </c>
      <c r="V78" s="474">
        <f t="shared" si="3"/>
        <v>443.28</v>
      </c>
      <c r="W78" s="475">
        <f t="shared" si="4"/>
        <v>0</v>
      </c>
      <c r="X78" s="475">
        <v>0</v>
      </c>
      <c r="Y78" s="476">
        <v>0</v>
      </c>
      <c r="Z78" s="38">
        <f t="shared" si="0"/>
        <v>0</v>
      </c>
      <c r="AA78" s="16">
        <v>0</v>
      </c>
      <c r="AB78" s="16">
        <v>-600</v>
      </c>
      <c r="AC78" s="16">
        <v>0</v>
      </c>
      <c r="AE78" s="16">
        <v>0</v>
      </c>
      <c r="AF78" s="16">
        <v>200</v>
      </c>
      <c r="AG78" s="16">
        <v>0</v>
      </c>
    </row>
    <row r="79" spans="1:33">
      <c r="A79" s="20"/>
      <c r="B79" s="20" t="s">
        <v>109</v>
      </c>
      <c r="C79" s="68" t="s">
        <v>208</v>
      </c>
      <c r="D79" s="433"/>
      <c r="E79" s="432">
        <f>'Q2 DMV - Revenue'!T74</f>
        <v>87</v>
      </c>
      <c r="F79" s="438">
        <v>63.7</v>
      </c>
      <c r="G79" s="390"/>
      <c r="H79" s="390"/>
      <c r="I79" s="311">
        <f t="shared" si="5"/>
        <v>150.69999999999999</v>
      </c>
      <c r="J79" s="31"/>
      <c r="K79" s="84"/>
      <c r="L79" s="42">
        <f>F79*2</f>
        <v>127.4</v>
      </c>
      <c r="M79" s="31">
        <v>0</v>
      </c>
      <c r="N79" s="429">
        <v>811.58</v>
      </c>
      <c r="O79" s="31">
        <v>0</v>
      </c>
      <c r="P79" s="426">
        <f t="shared" si="1"/>
        <v>127.4</v>
      </c>
      <c r="Q79" s="178"/>
      <c r="R79" s="295"/>
      <c r="S79" s="385">
        <f t="shared" si="6"/>
        <v>-127.4</v>
      </c>
      <c r="T79" s="31"/>
      <c r="U79" s="474">
        <f t="shared" si="2"/>
        <v>0</v>
      </c>
      <c r="V79" s="474">
        <f t="shared" si="3"/>
        <v>127.4</v>
      </c>
      <c r="W79" s="475">
        <f t="shared" si="4"/>
        <v>0</v>
      </c>
      <c r="X79" s="475">
        <v>0</v>
      </c>
      <c r="Y79" s="476">
        <v>0</v>
      </c>
      <c r="Z79" s="38">
        <f t="shared" si="0"/>
        <v>0</v>
      </c>
      <c r="AA79" s="16">
        <v>0</v>
      </c>
      <c r="AB79" s="16">
        <v>-200</v>
      </c>
      <c r="AC79" s="16">
        <v>0</v>
      </c>
      <c r="AE79" s="16">
        <v>0</v>
      </c>
      <c r="AF79" s="16">
        <v>100</v>
      </c>
      <c r="AG79" s="16">
        <v>0</v>
      </c>
    </row>
    <row r="80" spans="1:33">
      <c r="A80" s="20"/>
      <c r="B80" s="20" t="s">
        <v>110</v>
      </c>
      <c r="C80" s="68" t="s">
        <v>17</v>
      </c>
      <c r="D80" s="433"/>
      <c r="E80" s="432">
        <f>'Q2 DMV - Revenue'!T75</f>
        <v>7.21</v>
      </c>
      <c r="F80" s="390"/>
      <c r="G80" s="390"/>
      <c r="H80" s="390"/>
      <c r="I80" s="311">
        <f t="shared" si="5"/>
        <v>7.21</v>
      </c>
      <c r="J80" s="31"/>
      <c r="K80" s="84"/>
      <c r="L80" s="42">
        <v>7</v>
      </c>
      <c r="M80" s="31">
        <v>0</v>
      </c>
      <c r="N80" s="429">
        <v>7.21</v>
      </c>
      <c r="O80" s="31">
        <v>0</v>
      </c>
      <c r="P80" s="426">
        <f t="shared" si="1"/>
        <v>7</v>
      </c>
      <c r="Q80" s="178"/>
      <c r="R80" s="295"/>
      <c r="S80" s="385">
        <f t="shared" si="6"/>
        <v>-7</v>
      </c>
      <c r="T80" s="31"/>
      <c r="U80" s="474">
        <f t="shared" si="2"/>
        <v>7</v>
      </c>
      <c r="V80" s="474">
        <f t="shared" si="3"/>
        <v>0</v>
      </c>
      <c r="W80" s="475">
        <f t="shared" si="4"/>
        <v>0</v>
      </c>
      <c r="X80" s="475">
        <v>0</v>
      </c>
      <c r="Y80" s="476">
        <v>0</v>
      </c>
      <c r="Z80" s="38">
        <f t="shared" si="0"/>
        <v>0</v>
      </c>
      <c r="AA80" s="16">
        <v>0</v>
      </c>
      <c r="AB80" s="16">
        <v>0</v>
      </c>
      <c r="AC80" s="16">
        <v>0</v>
      </c>
      <c r="AE80" s="16">
        <v>0</v>
      </c>
      <c r="AF80" s="16">
        <v>0</v>
      </c>
      <c r="AG80" s="16">
        <v>0</v>
      </c>
    </row>
    <row r="81" spans="1:33" s="232" customFormat="1">
      <c r="A81" s="283"/>
      <c r="B81" s="283" t="s">
        <v>109</v>
      </c>
      <c r="C81" s="373" t="s">
        <v>410</v>
      </c>
      <c r="D81" s="481"/>
      <c r="E81" s="503">
        <f>'Q2 DMV - Revenue'!T76</f>
        <v>-3089.6450000000004</v>
      </c>
      <c r="F81" s="503">
        <v>24331.52</v>
      </c>
      <c r="G81" s="503">
        <v>26689.1</v>
      </c>
      <c r="H81" s="504"/>
      <c r="I81" s="398">
        <f t="shared" si="5"/>
        <v>47930.974999999999</v>
      </c>
      <c r="J81" s="31"/>
      <c r="K81" s="86"/>
      <c r="L81" s="290">
        <f>(F81+G81)/2</f>
        <v>25510.309999999998</v>
      </c>
      <c r="M81" s="31">
        <v>0</v>
      </c>
      <c r="N81" s="429">
        <v>0</v>
      </c>
      <c r="O81" s="31">
        <v>0</v>
      </c>
      <c r="P81" s="426">
        <f t="shared" si="1"/>
        <v>25510.309999999998</v>
      </c>
      <c r="Q81" s="14">
        <v>26569.439999999999</v>
      </c>
      <c r="R81" s="295"/>
      <c r="S81" s="385">
        <f t="shared" si="6"/>
        <v>1059.130000000001</v>
      </c>
      <c r="T81" s="31"/>
      <c r="U81" s="495">
        <f t="shared" si="2"/>
        <v>0</v>
      </c>
      <c r="V81" s="495">
        <f t="shared" si="3"/>
        <v>25510.309999999998</v>
      </c>
      <c r="W81" s="496">
        <f t="shared" si="4"/>
        <v>0</v>
      </c>
      <c r="X81" s="496">
        <v>0</v>
      </c>
      <c r="Y81" s="505">
        <v>0</v>
      </c>
      <c r="Z81" s="515">
        <f t="shared" si="0"/>
        <v>0</v>
      </c>
      <c r="AA81" s="232">
        <v>0</v>
      </c>
      <c r="AB81" s="232">
        <v>60992.46</v>
      </c>
      <c r="AC81" s="232">
        <v>0</v>
      </c>
      <c r="AE81" s="232">
        <v>0</v>
      </c>
      <c r="AF81" s="232">
        <v>30496.23</v>
      </c>
      <c r="AG81" s="232">
        <v>0</v>
      </c>
    </row>
    <row r="82" spans="1:33" s="232" customFormat="1">
      <c r="A82" s="283"/>
      <c r="B82" s="283" t="s">
        <v>109</v>
      </c>
      <c r="C82" s="373" t="s">
        <v>411</v>
      </c>
      <c r="D82" s="481"/>
      <c r="E82" s="503" t="str">
        <f>'Q2 DMV - Revenue'!T77</f>
        <v/>
      </c>
      <c r="F82" s="506"/>
      <c r="G82" s="507"/>
      <c r="H82" s="507"/>
      <c r="I82" s="507">
        <f t="shared" si="5"/>
        <v>0</v>
      </c>
      <c r="J82" s="31"/>
      <c r="K82" s="508"/>
      <c r="L82" s="508"/>
      <c r="M82" s="31">
        <v>0</v>
      </c>
      <c r="N82" s="509">
        <v>0</v>
      </c>
      <c r="O82" s="31">
        <v>0</v>
      </c>
      <c r="P82" s="426">
        <f t="shared" si="1"/>
        <v>0</v>
      </c>
      <c r="Q82" s="14"/>
      <c r="R82" s="295"/>
      <c r="S82" s="385">
        <f t="shared" si="6"/>
        <v>0</v>
      </c>
      <c r="T82" s="31"/>
      <c r="U82" s="495">
        <f t="shared" si="2"/>
        <v>0</v>
      </c>
      <c r="V82" s="495">
        <f t="shared" si="3"/>
        <v>0</v>
      </c>
      <c r="W82" s="496">
        <f t="shared" si="4"/>
        <v>0</v>
      </c>
      <c r="X82" s="496">
        <v>0</v>
      </c>
      <c r="Y82" s="505">
        <v>0</v>
      </c>
      <c r="Z82" s="515">
        <f t="shared" si="0"/>
        <v>0</v>
      </c>
      <c r="AA82" s="232">
        <v>0</v>
      </c>
      <c r="AB82" s="232">
        <v>20120.3</v>
      </c>
      <c r="AC82" s="232">
        <v>0</v>
      </c>
      <c r="AE82" s="232">
        <v>0</v>
      </c>
      <c r="AF82" s="232">
        <v>10060.15</v>
      </c>
      <c r="AG82" s="232">
        <v>0</v>
      </c>
    </row>
    <row r="83" spans="1:33" s="232" customFormat="1">
      <c r="A83" s="283"/>
      <c r="B83" s="283" t="s">
        <v>109</v>
      </c>
      <c r="C83" s="373" t="s">
        <v>412</v>
      </c>
      <c r="D83" s="481"/>
      <c r="E83" s="503">
        <f>'Q2 DMV - Revenue'!T78</f>
        <v>-40.299999999999997</v>
      </c>
      <c r="F83" s="503">
        <v>58.6</v>
      </c>
      <c r="G83" s="503">
        <v>48.6</v>
      </c>
      <c r="H83" s="504"/>
      <c r="I83" s="398">
        <f t="shared" si="5"/>
        <v>66.900000000000006</v>
      </c>
      <c r="J83" s="31"/>
      <c r="K83" s="86"/>
      <c r="L83" s="290">
        <f t="shared" ref="L83:L84" si="10">(F83+G83)/2</f>
        <v>53.6</v>
      </c>
      <c r="M83" s="31">
        <v>0</v>
      </c>
      <c r="N83" s="429">
        <v>0</v>
      </c>
      <c r="O83" s="31">
        <v>0</v>
      </c>
      <c r="P83" s="426">
        <f t="shared" si="1"/>
        <v>53.6</v>
      </c>
      <c r="Q83" s="14">
        <v>76.400000000000006</v>
      </c>
      <c r="R83" s="295"/>
      <c r="S83" s="385">
        <f t="shared" si="6"/>
        <v>22.800000000000004</v>
      </c>
      <c r="T83" s="31"/>
      <c r="U83" s="495">
        <f t="shared" si="2"/>
        <v>0</v>
      </c>
      <c r="V83" s="495">
        <f t="shared" si="3"/>
        <v>53.6</v>
      </c>
      <c r="W83" s="496">
        <f t="shared" si="4"/>
        <v>0</v>
      </c>
      <c r="X83" s="496">
        <v>0</v>
      </c>
      <c r="Y83" s="505">
        <v>0</v>
      </c>
      <c r="Z83" s="515">
        <f t="shared" ref="Z83:Z146" si="11">(K83+L83)-(U83+V83+W83+X83+Y83)</f>
        <v>0</v>
      </c>
      <c r="AA83" s="232">
        <v>0</v>
      </c>
      <c r="AB83" s="232">
        <v>320.7</v>
      </c>
      <c r="AC83" s="232">
        <v>0</v>
      </c>
      <c r="AE83" s="232">
        <v>0</v>
      </c>
      <c r="AF83" s="232">
        <v>160.35</v>
      </c>
      <c r="AG83" s="232">
        <v>0</v>
      </c>
    </row>
    <row r="84" spans="1:33" s="232" customFormat="1">
      <c r="A84" s="283"/>
      <c r="B84" s="283" t="s">
        <v>109</v>
      </c>
      <c r="C84" s="373" t="s">
        <v>413</v>
      </c>
      <c r="D84" s="481"/>
      <c r="E84" s="503">
        <f>'Q2 DMV - Revenue'!T79</f>
        <v>-95.875</v>
      </c>
      <c r="F84" s="503">
        <v>916.12</v>
      </c>
      <c r="G84" s="503">
        <v>1066.3699999999999</v>
      </c>
      <c r="H84" s="504"/>
      <c r="I84" s="398">
        <f t="shared" si="5"/>
        <v>1886.6149999999998</v>
      </c>
      <c r="J84" s="31"/>
      <c r="K84" s="86"/>
      <c r="L84" s="290">
        <f t="shared" si="10"/>
        <v>991.24499999999989</v>
      </c>
      <c r="M84" s="31">
        <v>0</v>
      </c>
      <c r="N84" s="429">
        <f>51403.88+G81:G84</f>
        <v>52470.25</v>
      </c>
      <c r="O84" s="31">
        <v>0</v>
      </c>
      <c r="P84" s="426">
        <f t="shared" ref="P84:P148" si="12">K84+L84</f>
        <v>991.24499999999989</v>
      </c>
      <c r="Q84" s="14">
        <v>1060.23</v>
      </c>
      <c r="R84" s="295"/>
      <c r="S84" s="385">
        <f t="shared" si="6"/>
        <v>68.985000000000127</v>
      </c>
      <c r="T84" s="31"/>
      <c r="U84" s="495">
        <f t="shared" ref="U84:U148" si="13">IF(B84="D",P84,0)</f>
        <v>0</v>
      </c>
      <c r="V84" s="495">
        <f t="shared" ref="V84:V148" si="14">IF(B84="M",P84,0)</f>
        <v>991.24499999999989</v>
      </c>
      <c r="W84" s="496">
        <f t="shared" ref="W84:W148" si="15">IF(B84="V",P84,0)</f>
        <v>0</v>
      </c>
      <c r="X84" s="496">
        <v>0</v>
      </c>
      <c r="Y84" s="505">
        <v>0</v>
      </c>
      <c r="Z84" s="515">
        <f t="shared" si="11"/>
        <v>0</v>
      </c>
      <c r="AA84" s="232">
        <v>0</v>
      </c>
      <c r="AB84" s="232">
        <v>2548.0500000000002</v>
      </c>
      <c r="AC84" s="232">
        <v>0</v>
      </c>
      <c r="AE84" s="232">
        <v>0</v>
      </c>
      <c r="AF84" s="232">
        <v>1274.0250000000001</v>
      </c>
      <c r="AG84" s="232">
        <v>0</v>
      </c>
    </row>
    <row r="85" spans="1:33" s="232" customFormat="1">
      <c r="A85" s="283"/>
      <c r="B85" s="283" t="s">
        <v>109</v>
      </c>
      <c r="C85" s="373" t="s">
        <v>414</v>
      </c>
      <c r="D85" s="481"/>
      <c r="E85" s="503" t="str">
        <f>'Q2 DMV - Revenue'!T80</f>
        <v/>
      </c>
      <c r="F85" s="506"/>
      <c r="G85" s="507"/>
      <c r="H85" s="507"/>
      <c r="I85" s="507">
        <f t="shared" si="5"/>
        <v>0</v>
      </c>
      <c r="J85" s="31"/>
      <c r="K85" s="508"/>
      <c r="L85" s="508"/>
      <c r="M85" s="31">
        <v>0</v>
      </c>
      <c r="N85" s="509">
        <v>0</v>
      </c>
      <c r="O85" s="31">
        <v>0</v>
      </c>
      <c r="P85" s="426">
        <f t="shared" si="12"/>
        <v>0</v>
      </c>
      <c r="Q85" s="14"/>
      <c r="R85" s="295"/>
      <c r="S85" s="385">
        <f t="shared" ref="S85:S148" si="16">Q85-P85</f>
        <v>0</v>
      </c>
      <c r="T85" s="31"/>
      <c r="U85" s="495">
        <f t="shared" si="13"/>
        <v>0</v>
      </c>
      <c r="V85" s="495">
        <f t="shared" si="14"/>
        <v>0</v>
      </c>
      <c r="W85" s="496">
        <f t="shared" si="15"/>
        <v>0</v>
      </c>
      <c r="X85" s="496">
        <v>0</v>
      </c>
      <c r="Y85" s="505">
        <v>0</v>
      </c>
      <c r="Z85" s="515">
        <f t="shared" si="11"/>
        <v>0</v>
      </c>
      <c r="AA85" s="232">
        <v>0</v>
      </c>
      <c r="AB85" s="232">
        <v>230.11</v>
      </c>
      <c r="AC85" s="232">
        <v>0</v>
      </c>
      <c r="AE85" s="232">
        <v>0</v>
      </c>
      <c r="AF85" s="232">
        <v>115.05500000000001</v>
      </c>
      <c r="AG85" s="232">
        <v>0</v>
      </c>
    </row>
    <row r="86" spans="1:33">
      <c r="A86" s="20"/>
      <c r="B86" s="20" t="s">
        <v>110</v>
      </c>
      <c r="C86" s="351" t="s">
        <v>409</v>
      </c>
      <c r="D86" s="433"/>
      <c r="E86" s="432" t="str">
        <f>'Q2 DMV - Revenue'!T80</f>
        <v/>
      </c>
      <c r="F86" s="432">
        <v>123.76</v>
      </c>
      <c r="G86" s="315"/>
      <c r="H86" s="315"/>
      <c r="I86" s="311">
        <f>SUM(D86:H86)</f>
        <v>123.76</v>
      </c>
      <c r="J86" s="31"/>
      <c r="K86" s="501"/>
      <c r="L86" s="502">
        <f>F86*2</f>
        <v>247.52</v>
      </c>
      <c r="M86" s="31"/>
      <c r="N86" s="428">
        <v>123.76</v>
      </c>
      <c r="O86" s="31"/>
      <c r="P86" s="426">
        <f>K86+L86</f>
        <v>247.52</v>
      </c>
      <c r="Q86" s="178"/>
      <c r="R86" s="295"/>
      <c r="S86" s="385">
        <f t="shared" si="16"/>
        <v>-247.52</v>
      </c>
      <c r="T86" s="31"/>
      <c r="U86" s="474">
        <f>IF(B86="D",P86,0)</f>
        <v>247.52</v>
      </c>
      <c r="V86" s="474">
        <f>IF(B86="M",P86,0)</f>
        <v>0</v>
      </c>
      <c r="W86" s="475">
        <f>IF(B86="V",P86,0)</f>
        <v>0</v>
      </c>
      <c r="X86" s="475">
        <v>0</v>
      </c>
      <c r="Y86" s="476">
        <v>0</v>
      </c>
      <c r="Z86" s="38">
        <f t="shared" si="11"/>
        <v>0</v>
      </c>
    </row>
    <row r="87" spans="1:33">
      <c r="A87" s="20"/>
      <c r="B87" s="20" t="s">
        <v>110</v>
      </c>
      <c r="C87" s="68" t="s">
        <v>305</v>
      </c>
      <c r="D87" s="433"/>
      <c r="E87" s="432">
        <f>'Q2 DMV - Revenue'!T81</f>
        <v>0</v>
      </c>
      <c r="F87" s="438">
        <v>141.07</v>
      </c>
      <c r="G87" s="390"/>
      <c r="H87" s="390"/>
      <c r="I87" s="311">
        <f>SUM(D87:H87)</f>
        <v>141.07</v>
      </c>
      <c r="J87" s="31"/>
      <c r="K87" s="84"/>
      <c r="L87" s="502">
        <f>F87*2</f>
        <v>282.14</v>
      </c>
      <c r="M87" s="31"/>
      <c r="N87" s="429">
        <v>141.07</v>
      </c>
      <c r="O87" s="31"/>
      <c r="P87" s="426">
        <f t="shared" si="12"/>
        <v>282.14</v>
      </c>
      <c r="Q87" s="178">
        <f>50.34+120.42</f>
        <v>170.76</v>
      </c>
      <c r="R87" s="295"/>
      <c r="S87" s="385">
        <f t="shared" si="16"/>
        <v>-111.38</v>
      </c>
      <c r="T87" s="31"/>
      <c r="U87" s="474">
        <f t="shared" si="13"/>
        <v>282.14</v>
      </c>
      <c r="V87" s="474">
        <f t="shared" si="14"/>
        <v>0</v>
      </c>
      <c r="W87" s="475">
        <f t="shared" si="15"/>
        <v>0</v>
      </c>
      <c r="X87" s="475">
        <v>0</v>
      </c>
      <c r="Y87" s="476">
        <v>0</v>
      </c>
      <c r="Z87" s="38">
        <f t="shared" si="11"/>
        <v>0</v>
      </c>
    </row>
    <row r="88" spans="1:33">
      <c r="A88" s="20"/>
      <c r="B88" s="20" t="s">
        <v>110</v>
      </c>
      <c r="C88" s="68" t="s">
        <v>199</v>
      </c>
      <c r="D88" s="433"/>
      <c r="E88" s="432" t="str">
        <f>'Q2 DMV - Revenue'!T82</f>
        <v/>
      </c>
      <c r="F88" s="438">
        <v>45.43</v>
      </c>
      <c r="G88" s="438">
        <v>62.58</v>
      </c>
      <c r="H88" s="438">
        <v>114.35</v>
      </c>
      <c r="I88" s="311">
        <f>SUM(D88:H88)</f>
        <v>222.35999999999999</v>
      </c>
      <c r="J88" s="31"/>
      <c r="K88" s="84"/>
      <c r="L88" s="42">
        <v>0</v>
      </c>
      <c r="M88" s="31">
        <v>0</v>
      </c>
      <c r="N88" s="429">
        <v>0</v>
      </c>
      <c r="O88" s="31">
        <v>0</v>
      </c>
      <c r="P88" s="426">
        <f t="shared" si="12"/>
        <v>0</v>
      </c>
      <c r="Q88" s="178"/>
      <c r="R88" s="295"/>
      <c r="S88" s="385">
        <f t="shared" si="16"/>
        <v>0</v>
      </c>
      <c r="T88" s="31"/>
      <c r="U88" s="474">
        <f t="shared" si="13"/>
        <v>0</v>
      </c>
      <c r="V88" s="474">
        <f t="shared" si="14"/>
        <v>0</v>
      </c>
      <c r="W88" s="475">
        <f t="shared" si="15"/>
        <v>0</v>
      </c>
      <c r="X88" s="475">
        <v>0</v>
      </c>
      <c r="Y88" s="476">
        <v>0</v>
      </c>
      <c r="Z88" s="38">
        <f t="shared" si="11"/>
        <v>0</v>
      </c>
      <c r="AA88" s="16">
        <v>0</v>
      </c>
      <c r="AB88" s="16">
        <v>0</v>
      </c>
      <c r="AC88" s="16">
        <v>0</v>
      </c>
      <c r="AE88" s="16">
        <v>0</v>
      </c>
      <c r="AF88" s="16">
        <v>500</v>
      </c>
      <c r="AG88" s="16">
        <v>0</v>
      </c>
    </row>
    <row r="89" spans="1:33">
      <c r="A89" s="20"/>
      <c r="B89" s="20" t="s">
        <v>110</v>
      </c>
      <c r="C89" s="68" t="s">
        <v>200</v>
      </c>
      <c r="D89" s="433"/>
      <c r="E89" s="432" t="str">
        <f>'Q2 DMV - Revenue'!T83</f>
        <v/>
      </c>
      <c r="F89" s="438">
        <v>231.7</v>
      </c>
      <c r="G89" s="438">
        <v>460.6</v>
      </c>
      <c r="H89" s="438">
        <v>326.2</v>
      </c>
      <c r="I89" s="311">
        <f t="shared" si="5"/>
        <v>1018.5</v>
      </c>
      <c r="J89" s="31"/>
      <c r="K89" s="84"/>
      <c r="L89" s="42">
        <v>0</v>
      </c>
      <c r="M89" s="31">
        <v>0</v>
      </c>
      <c r="N89" s="429">
        <v>0</v>
      </c>
      <c r="O89" s="31">
        <v>0</v>
      </c>
      <c r="P89" s="426">
        <f t="shared" si="12"/>
        <v>0</v>
      </c>
      <c r="Q89" s="178"/>
      <c r="R89" s="295"/>
      <c r="S89" s="385">
        <f t="shared" si="16"/>
        <v>0</v>
      </c>
      <c r="T89" s="31"/>
      <c r="U89" s="474">
        <f t="shared" si="13"/>
        <v>0</v>
      </c>
      <c r="V89" s="474">
        <f t="shared" si="14"/>
        <v>0</v>
      </c>
      <c r="W89" s="475">
        <f t="shared" si="15"/>
        <v>0</v>
      </c>
      <c r="X89" s="475">
        <v>0</v>
      </c>
      <c r="Y89" s="476">
        <v>0</v>
      </c>
      <c r="Z89" s="38">
        <f t="shared" si="11"/>
        <v>0</v>
      </c>
      <c r="AA89" s="16">
        <v>0</v>
      </c>
      <c r="AB89" s="16">
        <v>0</v>
      </c>
      <c r="AC89" s="16">
        <v>0</v>
      </c>
      <c r="AE89" s="16">
        <v>0</v>
      </c>
      <c r="AF89" s="16">
        <v>600</v>
      </c>
      <c r="AG89" s="16">
        <v>0</v>
      </c>
    </row>
    <row r="90" spans="1:33">
      <c r="A90" s="20"/>
      <c r="B90" s="20" t="s">
        <v>110</v>
      </c>
      <c r="C90" s="68" t="s">
        <v>201</v>
      </c>
      <c r="D90" s="433"/>
      <c r="E90" s="432" t="str">
        <f>'Q2 DMV - Revenue'!T84</f>
        <v/>
      </c>
      <c r="F90" s="438">
        <v>32.17</v>
      </c>
      <c r="G90" s="438">
        <v>1.54</v>
      </c>
      <c r="H90" s="438">
        <v>2.29</v>
      </c>
      <c r="I90" s="311">
        <f t="shared" si="5"/>
        <v>36</v>
      </c>
      <c r="J90" s="31"/>
      <c r="K90" s="84"/>
      <c r="L90" s="42">
        <v>0</v>
      </c>
      <c r="M90" s="31">
        <v>0</v>
      </c>
      <c r="N90" s="429">
        <v>1276.8599999999999</v>
      </c>
      <c r="O90" s="31">
        <v>0</v>
      </c>
      <c r="P90" s="426">
        <f t="shared" si="12"/>
        <v>0</v>
      </c>
      <c r="Q90" s="178"/>
      <c r="R90" s="295"/>
      <c r="S90" s="385">
        <f t="shared" si="16"/>
        <v>0</v>
      </c>
      <c r="T90" s="31"/>
      <c r="U90" s="474">
        <f t="shared" si="13"/>
        <v>0</v>
      </c>
      <c r="V90" s="474">
        <f t="shared" si="14"/>
        <v>0</v>
      </c>
      <c r="W90" s="475">
        <f t="shared" si="15"/>
        <v>0</v>
      </c>
      <c r="X90" s="475">
        <v>0</v>
      </c>
      <c r="Y90" s="476">
        <v>0</v>
      </c>
      <c r="Z90" s="38">
        <f t="shared" si="11"/>
        <v>0</v>
      </c>
      <c r="AA90" s="16">
        <v>0</v>
      </c>
      <c r="AB90" s="16">
        <v>0</v>
      </c>
      <c r="AC90" s="16">
        <v>0</v>
      </c>
      <c r="AE90" s="16">
        <v>0</v>
      </c>
      <c r="AF90" s="16">
        <v>200</v>
      </c>
      <c r="AG90" s="16">
        <v>0</v>
      </c>
    </row>
    <row r="91" spans="1:33">
      <c r="A91" s="20"/>
      <c r="B91" s="20" t="s">
        <v>110</v>
      </c>
      <c r="C91" s="68" t="s">
        <v>64</v>
      </c>
      <c r="D91" s="433">
        <f>124.45+121.04+202.26+123.83+249.82+240.63</f>
        <v>1062.0300000000002</v>
      </c>
      <c r="E91" s="432">
        <f>'Q2 DMV - Revenue'!T85</f>
        <v>396.01</v>
      </c>
      <c r="F91" s="438">
        <v>157.41999999999999</v>
      </c>
      <c r="G91" s="438">
        <v>267.92</v>
      </c>
      <c r="H91" s="438">
        <v>298.12</v>
      </c>
      <c r="I91" s="311">
        <f t="shared" si="5"/>
        <v>2181.5000000000005</v>
      </c>
      <c r="J91" s="31"/>
      <c r="K91" s="84"/>
      <c r="L91" s="42">
        <v>0</v>
      </c>
      <c r="M91" s="31">
        <v>0</v>
      </c>
      <c r="N91" s="429">
        <v>2181.5</v>
      </c>
      <c r="O91" s="31">
        <v>0</v>
      </c>
      <c r="P91" s="426">
        <f t="shared" si="12"/>
        <v>0</v>
      </c>
      <c r="Q91" s="178"/>
      <c r="R91" s="295"/>
      <c r="S91" s="385">
        <f t="shared" si="16"/>
        <v>0</v>
      </c>
      <c r="T91" s="31"/>
      <c r="U91" s="474">
        <f t="shared" si="13"/>
        <v>0</v>
      </c>
      <c r="V91" s="474">
        <f t="shared" si="14"/>
        <v>0</v>
      </c>
      <c r="W91" s="475">
        <f t="shared" si="15"/>
        <v>0</v>
      </c>
      <c r="X91" s="475">
        <v>0</v>
      </c>
      <c r="Y91" s="476">
        <v>0</v>
      </c>
      <c r="Z91" s="38">
        <f t="shared" si="11"/>
        <v>0</v>
      </c>
      <c r="AA91" s="16">
        <v>0</v>
      </c>
      <c r="AB91" s="16">
        <v>0</v>
      </c>
      <c r="AC91" s="16">
        <v>0</v>
      </c>
      <c r="AE91" s="16">
        <v>0</v>
      </c>
      <c r="AF91" s="16">
        <v>0</v>
      </c>
      <c r="AG91" s="16">
        <v>0</v>
      </c>
    </row>
    <row r="92" spans="1:33">
      <c r="A92" s="20" t="s">
        <v>211</v>
      </c>
      <c r="B92" s="20" t="s">
        <v>109</v>
      </c>
      <c r="C92" s="68" t="s">
        <v>18</v>
      </c>
      <c r="D92" s="433"/>
      <c r="E92" s="432"/>
      <c r="F92" s="390"/>
      <c r="G92" s="390"/>
      <c r="H92" s="390"/>
      <c r="I92" s="311">
        <f t="shared" si="5"/>
        <v>0</v>
      </c>
      <c r="J92" s="2"/>
      <c r="K92" s="336"/>
      <c r="L92" s="42">
        <v>100</v>
      </c>
      <c r="M92" s="31">
        <v>0</v>
      </c>
      <c r="N92" s="429">
        <v>130.12</v>
      </c>
      <c r="O92" s="31">
        <v>0</v>
      </c>
      <c r="P92" s="426">
        <f t="shared" si="12"/>
        <v>100</v>
      </c>
      <c r="Q92" s="178">
        <f>49.31+51.68</f>
        <v>100.99000000000001</v>
      </c>
      <c r="R92" s="295"/>
      <c r="S92" s="385">
        <f t="shared" si="16"/>
        <v>0.99000000000000909</v>
      </c>
      <c r="T92" s="2"/>
      <c r="U92" s="474">
        <f t="shared" si="13"/>
        <v>0</v>
      </c>
      <c r="V92" s="474">
        <f t="shared" si="14"/>
        <v>100</v>
      </c>
      <c r="W92" s="475">
        <f t="shared" si="15"/>
        <v>0</v>
      </c>
      <c r="X92" s="475">
        <v>0</v>
      </c>
      <c r="Y92" s="476">
        <v>0</v>
      </c>
      <c r="Z92" s="38">
        <f t="shared" si="11"/>
        <v>0</v>
      </c>
      <c r="AA92" s="16">
        <v>0</v>
      </c>
      <c r="AB92" s="16">
        <v>0</v>
      </c>
      <c r="AC92" s="16">
        <v>0</v>
      </c>
      <c r="AE92" s="16">
        <v>0</v>
      </c>
      <c r="AF92" s="16">
        <v>0</v>
      </c>
      <c r="AG92" s="16">
        <v>0</v>
      </c>
    </row>
    <row r="93" spans="1:33">
      <c r="A93" s="20" t="s">
        <v>97</v>
      </c>
      <c r="B93" s="20" t="s">
        <v>109</v>
      </c>
      <c r="C93" s="68" t="s">
        <v>19</v>
      </c>
      <c r="D93" s="433"/>
      <c r="E93" s="432">
        <f>'Q2 DMV - Revenue'!T86</f>
        <v>-188</v>
      </c>
      <c r="F93" s="438">
        <v>4692.38</v>
      </c>
      <c r="G93" s="438">
        <v>5174.9799999999996</v>
      </c>
      <c r="H93" s="438">
        <v>4650.93</v>
      </c>
      <c r="I93" s="311">
        <f t="shared" ref="I93" si="17">SUM(D93:H93)</f>
        <v>14330.29</v>
      </c>
      <c r="J93" s="31"/>
      <c r="K93" s="84"/>
      <c r="L93" s="42"/>
      <c r="M93" s="31">
        <v>0</v>
      </c>
      <c r="N93" s="429">
        <f>9867.36+H93</f>
        <v>14518.29</v>
      </c>
      <c r="O93" s="31">
        <v>0</v>
      </c>
      <c r="P93" s="426">
        <f t="shared" si="12"/>
        <v>0</v>
      </c>
      <c r="Q93" s="178"/>
      <c r="R93" s="295"/>
      <c r="S93" s="385">
        <f t="shared" si="16"/>
        <v>0</v>
      </c>
      <c r="T93" s="31"/>
      <c r="U93" s="474">
        <f t="shared" si="13"/>
        <v>0</v>
      </c>
      <c r="V93" s="474">
        <f t="shared" si="14"/>
        <v>0</v>
      </c>
      <c r="W93" s="475">
        <f t="shared" si="15"/>
        <v>0</v>
      </c>
      <c r="X93" s="475">
        <v>0</v>
      </c>
      <c r="Y93" s="476">
        <v>0</v>
      </c>
      <c r="Z93" s="38">
        <f t="shared" si="11"/>
        <v>0</v>
      </c>
      <c r="AA93" s="16">
        <v>0</v>
      </c>
      <c r="AB93" s="16">
        <v>6834.7695180000001</v>
      </c>
      <c r="AC93" s="16">
        <v>0</v>
      </c>
      <c r="AE93" s="16">
        <v>0</v>
      </c>
      <c r="AF93" s="16">
        <v>3417.3850000000002</v>
      </c>
      <c r="AG93" s="16">
        <v>0</v>
      </c>
    </row>
    <row r="94" spans="1:33">
      <c r="A94" s="20" t="s">
        <v>97</v>
      </c>
      <c r="B94" s="20" t="s">
        <v>114</v>
      </c>
      <c r="C94" s="68" t="s">
        <v>387</v>
      </c>
      <c r="D94" s="433">
        <f>4344.07+1599.96+1814.72</f>
        <v>7758.75</v>
      </c>
      <c r="E94" s="432">
        <f>'Q2 DMV - Revenue'!T88</f>
        <v>6095.89</v>
      </c>
      <c r="F94" s="438">
        <v>0</v>
      </c>
      <c r="G94" s="392"/>
      <c r="H94" s="390"/>
      <c r="I94" s="311">
        <f t="shared" ref="I94:I165" si="18">SUM(D94:H94)</f>
        <v>13854.64</v>
      </c>
      <c r="J94" s="31"/>
      <c r="K94" s="84"/>
      <c r="L94" s="42">
        <v>5000</v>
      </c>
      <c r="M94" s="31">
        <v>0</v>
      </c>
      <c r="N94" s="429">
        <v>10439.959999999999</v>
      </c>
      <c r="O94" s="31">
        <v>0</v>
      </c>
      <c r="P94" s="426">
        <f t="shared" si="12"/>
        <v>5000</v>
      </c>
      <c r="Q94" s="178">
        <v>14149.89</v>
      </c>
      <c r="R94" s="295"/>
      <c r="S94" s="385">
        <f t="shared" si="16"/>
        <v>9149.89</v>
      </c>
      <c r="T94" s="31"/>
      <c r="U94" s="474">
        <f t="shared" si="13"/>
        <v>0</v>
      </c>
      <c r="V94" s="474">
        <f t="shared" si="14"/>
        <v>0</v>
      </c>
      <c r="W94" s="475">
        <f t="shared" si="15"/>
        <v>5000</v>
      </c>
      <c r="X94" s="475">
        <v>0</v>
      </c>
      <c r="Y94" s="476">
        <v>0</v>
      </c>
      <c r="Z94" s="38">
        <f t="shared" si="11"/>
        <v>0</v>
      </c>
      <c r="AA94" s="16">
        <v>0</v>
      </c>
      <c r="AB94" s="16">
        <v>6834.7695180000001</v>
      </c>
      <c r="AC94" s="16">
        <v>0</v>
      </c>
      <c r="AE94" s="16">
        <v>0</v>
      </c>
      <c r="AF94" s="16">
        <v>3417.3850000000002</v>
      </c>
      <c r="AG94" s="16">
        <v>0</v>
      </c>
    </row>
    <row r="95" spans="1:33">
      <c r="A95" s="20" t="s">
        <v>109</v>
      </c>
      <c r="B95" s="20" t="s">
        <v>109</v>
      </c>
      <c r="C95" s="68" t="s">
        <v>66</v>
      </c>
      <c r="D95" s="433">
        <f>10240.76-2240.5</f>
        <v>8000.26</v>
      </c>
      <c r="E95" s="432">
        <f>'Q2 DMV - Revenue'!T89</f>
        <v>-6226.5399999999991</v>
      </c>
      <c r="F95" s="438">
        <v>2048.12</v>
      </c>
      <c r="G95" s="390"/>
      <c r="H95" s="390"/>
      <c r="I95" s="311">
        <f>SUM(D95:H95)</f>
        <v>3821.8400000000011</v>
      </c>
      <c r="J95" s="31"/>
      <c r="K95" s="84"/>
      <c r="L95" s="42">
        <f>F95*2</f>
        <v>4096.24</v>
      </c>
      <c r="M95" s="31">
        <v>0</v>
      </c>
      <c r="N95" s="429">
        <v>16268.84</v>
      </c>
      <c r="O95" s="31">
        <v>0</v>
      </c>
      <c r="P95" s="426">
        <f t="shared" si="12"/>
        <v>4096.24</v>
      </c>
      <c r="Q95" s="178">
        <f>1749.85+2101.58+32.08</f>
        <v>3883.5099999999998</v>
      </c>
      <c r="R95" s="295"/>
      <c r="S95" s="385">
        <f t="shared" si="16"/>
        <v>-212.73000000000002</v>
      </c>
      <c r="T95" s="31"/>
      <c r="U95" s="474">
        <f t="shared" si="13"/>
        <v>0</v>
      </c>
      <c r="V95" s="474">
        <f t="shared" si="14"/>
        <v>4096.24</v>
      </c>
      <c r="W95" s="475">
        <f t="shared" si="15"/>
        <v>0</v>
      </c>
      <c r="X95" s="475">
        <v>0</v>
      </c>
      <c r="Y95" s="476">
        <v>0</v>
      </c>
      <c r="Z95" s="38">
        <f t="shared" si="11"/>
        <v>0</v>
      </c>
      <c r="AA95" s="16">
        <v>0</v>
      </c>
      <c r="AB95" s="16">
        <v>0</v>
      </c>
      <c r="AC95" s="16">
        <v>0</v>
      </c>
      <c r="AE95" s="16">
        <v>0</v>
      </c>
      <c r="AF95" s="16">
        <v>0</v>
      </c>
      <c r="AG95" s="16">
        <v>0</v>
      </c>
    </row>
    <row r="96" spans="1:33">
      <c r="A96" s="20" t="s">
        <v>109</v>
      </c>
      <c r="B96" s="20" t="s">
        <v>109</v>
      </c>
      <c r="C96" s="68" t="s">
        <v>383</v>
      </c>
      <c r="D96" s="433">
        <f>254.06+1524.84+1052.3</f>
        <v>2831.2</v>
      </c>
      <c r="E96" s="432">
        <f>833.65+689.4</f>
        <v>1523.05</v>
      </c>
      <c r="F96" s="438">
        <v>825.14</v>
      </c>
      <c r="G96" s="390"/>
      <c r="H96" s="390"/>
      <c r="I96" s="311">
        <f t="shared" si="18"/>
        <v>5179.3900000000003</v>
      </c>
      <c r="J96" s="31"/>
      <c r="K96" s="84"/>
      <c r="L96" s="42">
        <f>F96*2</f>
        <v>1650.28</v>
      </c>
      <c r="M96" s="31">
        <v>0</v>
      </c>
      <c r="N96" s="429">
        <v>5179.3900000000003</v>
      </c>
      <c r="O96" s="31">
        <v>0</v>
      </c>
      <c r="P96" s="426">
        <f t="shared" si="12"/>
        <v>1650.28</v>
      </c>
      <c r="Q96" s="178"/>
      <c r="R96" s="295"/>
      <c r="S96" s="385">
        <f t="shared" si="16"/>
        <v>-1650.28</v>
      </c>
      <c r="T96" s="31"/>
      <c r="U96" s="474">
        <f t="shared" si="13"/>
        <v>0</v>
      </c>
      <c r="V96" s="474">
        <f t="shared" si="14"/>
        <v>1650.28</v>
      </c>
      <c r="W96" s="475">
        <f t="shared" si="15"/>
        <v>0</v>
      </c>
      <c r="X96" s="475">
        <v>0</v>
      </c>
      <c r="Y96" s="476">
        <v>0</v>
      </c>
      <c r="Z96" s="38">
        <f t="shared" si="11"/>
        <v>0</v>
      </c>
      <c r="AA96" s="16">
        <v>0</v>
      </c>
      <c r="AB96" s="16">
        <v>0</v>
      </c>
      <c r="AC96" s="16">
        <v>0</v>
      </c>
      <c r="AE96" s="16">
        <v>0</v>
      </c>
      <c r="AF96" s="16">
        <v>0</v>
      </c>
      <c r="AG96" s="16">
        <v>0</v>
      </c>
    </row>
    <row r="97" spans="1:33">
      <c r="A97" s="21" t="s">
        <v>109</v>
      </c>
      <c r="B97" s="21" t="s">
        <v>110</v>
      </c>
      <c r="C97" s="68" t="s">
        <v>65</v>
      </c>
      <c r="D97" s="433"/>
      <c r="E97" s="432" t="str">
        <f>'Q2 DMV - Revenue'!T90</f>
        <v/>
      </c>
      <c r="F97" s="390"/>
      <c r="G97" s="390" t="s">
        <v>309</v>
      </c>
      <c r="H97" s="390"/>
      <c r="I97" s="311">
        <f t="shared" si="18"/>
        <v>0</v>
      </c>
      <c r="J97" s="31"/>
      <c r="K97" s="84"/>
      <c r="L97" s="42"/>
      <c r="M97" s="31">
        <v>0</v>
      </c>
      <c r="N97" s="429">
        <v>0</v>
      </c>
      <c r="O97" s="31">
        <v>0</v>
      </c>
      <c r="P97" s="426">
        <f t="shared" si="12"/>
        <v>0</v>
      </c>
      <c r="Q97" s="178"/>
      <c r="R97" s="295"/>
      <c r="S97" s="385">
        <f t="shared" si="16"/>
        <v>0</v>
      </c>
      <c r="T97" s="31"/>
      <c r="U97" s="474">
        <f t="shared" si="13"/>
        <v>0</v>
      </c>
      <c r="V97" s="474">
        <f t="shared" si="14"/>
        <v>0</v>
      </c>
      <c r="W97" s="475">
        <f t="shared" si="15"/>
        <v>0</v>
      </c>
      <c r="X97" s="475">
        <v>0</v>
      </c>
      <c r="Y97" s="476">
        <v>0</v>
      </c>
      <c r="Z97" s="38">
        <f t="shared" si="11"/>
        <v>0</v>
      </c>
      <c r="AA97" s="16">
        <v>0</v>
      </c>
      <c r="AB97" s="16">
        <v>0</v>
      </c>
      <c r="AC97" s="16">
        <v>0</v>
      </c>
      <c r="AE97" s="16">
        <v>0</v>
      </c>
      <c r="AF97" s="16">
        <v>0</v>
      </c>
      <c r="AG97" s="16">
        <v>0</v>
      </c>
    </row>
    <row r="98" spans="1:33">
      <c r="A98" s="21" t="s">
        <v>211</v>
      </c>
      <c r="B98" s="21" t="s">
        <v>109</v>
      </c>
      <c r="C98" s="68" t="s">
        <v>181</v>
      </c>
      <c r="D98" s="433">
        <f>37043.87-12183.77</f>
        <v>24860.100000000002</v>
      </c>
      <c r="E98" s="432">
        <f>'Q2 DMV - Revenue'!T91</f>
        <v>16384.07</v>
      </c>
      <c r="F98" s="438">
        <v>3716.43</v>
      </c>
      <c r="G98" s="390"/>
      <c r="H98" s="390"/>
      <c r="I98" s="311">
        <f t="shared" si="18"/>
        <v>44960.6</v>
      </c>
      <c r="J98" s="31"/>
      <c r="K98" s="84"/>
      <c r="L98" s="42">
        <f>F98*2</f>
        <v>7432.86</v>
      </c>
      <c r="M98" s="31">
        <v>0</v>
      </c>
      <c r="N98" s="429">
        <v>36265.69</v>
      </c>
      <c r="O98" s="31">
        <v>0</v>
      </c>
      <c r="P98" s="426">
        <f t="shared" si="12"/>
        <v>7432.86</v>
      </c>
      <c r="Q98" s="178">
        <f>526.17+874.65+665.56</f>
        <v>2066.38</v>
      </c>
      <c r="R98" s="295"/>
      <c r="S98" s="385">
        <f t="shared" si="16"/>
        <v>-5366.48</v>
      </c>
      <c r="T98" s="31"/>
      <c r="U98" s="474">
        <f t="shared" si="13"/>
        <v>0</v>
      </c>
      <c r="V98" s="474">
        <f t="shared" si="14"/>
        <v>7432.86</v>
      </c>
      <c r="W98" s="475">
        <f t="shared" si="15"/>
        <v>0</v>
      </c>
      <c r="X98" s="475">
        <v>0</v>
      </c>
      <c r="Y98" s="476">
        <v>0</v>
      </c>
      <c r="Z98" s="38">
        <f t="shared" si="11"/>
        <v>0</v>
      </c>
      <c r="AA98" s="16">
        <v>0</v>
      </c>
      <c r="AB98" s="16">
        <v>0</v>
      </c>
      <c r="AC98" s="16">
        <v>0</v>
      </c>
      <c r="AE98" s="16">
        <v>0</v>
      </c>
      <c r="AF98" s="16">
        <v>0</v>
      </c>
      <c r="AG98" s="16">
        <v>0</v>
      </c>
    </row>
    <row r="99" spans="1:33">
      <c r="A99" s="20" t="s">
        <v>211</v>
      </c>
      <c r="B99" s="20" t="s">
        <v>109</v>
      </c>
      <c r="C99" s="68" t="s">
        <v>142</v>
      </c>
      <c r="D99" s="433"/>
      <c r="E99" s="432">
        <f>'Q2 DMV - Revenue'!T92</f>
        <v>107.30999999999949</v>
      </c>
      <c r="F99" s="438">
        <f>12863.2/3</f>
        <v>4287.7333333333336</v>
      </c>
      <c r="G99" s="438">
        <f>12863.2/3</f>
        <v>4287.7333333333336</v>
      </c>
      <c r="H99" s="438">
        <f>12863.2/3</f>
        <v>4287.7333333333336</v>
      </c>
      <c r="I99" s="311">
        <f t="shared" si="18"/>
        <v>12970.51</v>
      </c>
      <c r="J99" s="2"/>
      <c r="K99" s="336"/>
      <c r="L99" s="42">
        <v>0</v>
      </c>
      <c r="M99" s="31">
        <v>0</v>
      </c>
      <c r="N99" s="429">
        <v>30792.62</v>
      </c>
      <c r="O99" s="31">
        <v>0</v>
      </c>
      <c r="P99" s="426">
        <f t="shared" si="12"/>
        <v>0</v>
      </c>
      <c r="Q99" s="178"/>
      <c r="R99" s="295"/>
      <c r="S99" s="385">
        <f t="shared" si="16"/>
        <v>0</v>
      </c>
      <c r="T99" s="2"/>
      <c r="U99" s="474">
        <f t="shared" si="13"/>
        <v>0</v>
      </c>
      <c r="V99" s="474">
        <f t="shared" si="14"/>
        <v>0</v>
      </c>
      <c r="W99" s="475">
        <f t="shared" si="15"/>
        <v>0</v>
      </c>
      <c r="X99" s="475">
        <v>0</v>
      </c>
      <c r="Y99" s="476">
        <v>0</v>
      </c>
      <c r="Z99" s="38">
        <f t="shared" si="11"/>
        <v>0</v>
      </c>
      <c r="AA99" s="16">
        <v>0</v>
      </c>
      <c r="AB99" s="16">
        <v>0</v>
      </c>
      <c r="AC99" s="16">
        <v>0</v>
      </c>
      <c r="AE99" s="16">
        <v>0</v>
      </c>
      <c r="AF99" s="16">
        <v>23800</v>
      </c>
      <c r="AG99" s="16">
        <v>0</v>
      </c>
    </row>
    <row r="100" spans="1:33">
      <c r="A100" s="20" t="s">
        <v>211</v>
      </c>
      <c r="B100" s="20" t="s">
        <v>109</v>
      </c>
      <c r="C100" s="68" t="s">
        <v>143</v>
      </c>
      <c r="D100" s="433"/>
      <c r="E100" s="432">
        <f>'Q2 DMV - Revenue'!T93</f>
        <v>886.65</v>
      </c>
      <c r="F100" s="438">
        <f>681.64/3</f>
        <v>227.21333333333334</v>
      </c>
      <c r="G100" s="438">
        <f>681.64/3</f>
        <v>227.21333333333334</v>
      </c>
      <c r="H100" s="438">
        <f>681.64/3</f>
        <v>227.21333333333334</v>
      </c>
      <c r="I100" s="311">
        <f t="shared" si="18"/>
        <v>1568.29</v>
      </c>
      <c r="J100" s="2"/>
      <c r="K100" s="336"/>
      <c r="L100" s="42">
        <v>0</v>
      </c>
      <c r="M100" s="31">
        <v>0</v>
      </c>
      <c r="N100" s="429">
        <v>0</v>
      </c>
      <c r="O100" s="31">
        <v>0</v>
      </c>
      <c r="P100" s="426">
        <f t="shared" si="12"/>
        <v>0</v>
      </c>
      <c r="Q100" s="178"/>
      <c r="R100" s="295"/>
      <c r="S100" s="385">
        <f t="shared" si="16"/>
        <v>0</v>
      </c>
      <c r="T100" s="2"/>
      <c r="U100" s="474">
        <f t="shared" si="13"/>
        <v>0</v>
      </c>
      <c r="V100" s="474">
        <f t="shared" si="14"/>
        <v>0</v>
      </c>
      <c r="W100" s="475">
        <f t="shared" si="15"/>
        <v>0</v>
      </c>
      <c r="X100" s="475">
        <v>0</v>
      </c>
      <c r="Y100" s="476">
        <v>0</v>
      </c>
      <c r="Z100" s="38">
        <f t="shared" si="11"/>
        <v>0</v>
      </c>
      <c r="AA100" s="16">
        <v>0</v>
      </c>
      <c r="AB100" s="16">
        <v>0</v>
      </c>
      <c r="AC100" s="16">
        <v>0</v>
      </c>
      <c r="AE100" s="16">
        <v>0</v>
      </c>
      <c r="AF100" s="16">
        <v>2900</v>
      </c>
      <c r="AG100" s="16">
        <v>0</v>
      </c>
    </row>
    <row r="101" spans="1:33">
      <c r="A101" s="21"/>
      <c r="B101" s="21" t="s">
        <v>110</v>
      </c>
      <c r="C101" s="68" t="s">
        <v>20</v>
      </c>
      <c r="D101" s="433">
        <v>365.3</v>
      </c>
      <c r="E101" s="432">
        <f>'Q2 DMV - Revenue'!T94</f>
        <v>-32.81</v>
      </c>
      <c r="F101" s="438">
        <v>81.73</v>
      </c>
      <c r="G101" s="438">
        <f>178.44/2</f>
        <v>89.22</v>
      </c>
      <c r="H101" s="438">
        <f>178.44/2</f>
        <v>89.22</v>
      </c>
      <c r="I101" s="311">
        <f>SUM(D101:H101)</f>
        <v>592.66000000000008</v>
      </c>
      <c r="J101" s="31"/>
      <c r="K101" s="84"/>
      <c r="L101" s="42">
        <v>0</v>
      </c>
      <c r="M101" s="31">
        <v>0</v>
      </c>
      <c r="N101" s="429">
        <v>676.39</v>
      </c>
      <c r="O101" s="31">
        <v>0</v>
      </c>
      <c r="P101" s="426">
        <f t="shared" si="12"/>
        <v>0</v>
      </c>
      <c r="Q101" s="178"/>
      <c r="R101" s="295"/>
      <c r="S101" s="385">
        <f t="shared" si="16"/>
        <v>0</v>
      </c>
      <c r="T101" s="31"/>
      <c r="U101" s="474">
        <f t="shared" si="13"/>
        <v>0</v>
      </c>
      <c r="V101" s="474">
        <f t="shared" si="14"/>
        <v>0</v>
      </c>
      <c r="W101" s="475">
        <f t="shared" si="15"/>
        <v>0</v>
      </c>
      <c r="X101" s="475">
        <v>0</v>
      </c>
      <c r="Y101" s="476">
        <v>0</v>
      </c>
      <c r="Z101" s="38">
        <f t="shared" si="11"/>
        <v>0</v>
      </c>
      <c r="AA101" s="16">
        <v>0</v>
      </c>
      <c r="AB101" s="16">
        <v>0</v>
      </c>
      <c r="AC101" s="16">
        <v>0</v>
      </c>
      <c r="AE101" s="16">
        <v>300</v>
      </c>
      <c r="AF101" s="16">
        <v>0</v>
      </c>
      <c r="AG101" s="16">
        <v>0</v>
      </c>
    </row>
    <row r="102" spans="1:33">
      <c r="A102" s="21"/>
      <c r="B102" s="21" t="s">
        <v>110</v>
      </c>
      <c r="C102" s="68" t="s">
        <v>203</v>
      </c>
      <c r="D102" s="433"/>
      <c r="E102" s="432">
        <f>'Q2 DMV - Revenue'!T95</f>
        <v>241.46</v>
      </c>
      <c r="F102" s="438">
        <f>453.34+394.34</f>
        <v>847.68</v>
      </c>
      <c r="G102" s="438">
        <v>743.09</v>
      </c>
      <c r="H102" s="390"/>
      <c r="I102" s="311">
        <f t="shared" si="18"/>
        <v>1832.23</v>
      </c>
      <c r="J102" s="31"/>
      <c r="K102" s="84"/>
      <c r="L102" s="42">
        <f>(F102+G102)/2</f>
        <v>795.38499999999999</v>
      </c>
      <c r="M102" s="31">
        <v>0</v>
      </c>
      <c r="N102" s="429">
        <v>6650.26</v>
      </c>
      <c r="O102" s="31">
        <v>0</v>
      </c>
      <c r="P102" s="426">
        <f t="shared" si="12"/>
        <v>795.38499999999999</v>
      </c>
      <c r="Q102" s="178">
        <f>539.39+125.96</f>
        <v>665.35</v>
      </c>
      <c r="R102" s="295"/>
      <c r="S102" s="385">
        <f t="shared" si="16"/>
        <v>-130.03499999999997</v>
      </c>
      <c r="T102" s="31"/>
      <c r="U102" s="474">
        <f t="shared" si="13"/>
        <v>795.38499999999999</v>
      </c>
      <c r="V102" s="474">
        <f t="shared" si="14"/>
        <v>0</v>
      </c>
      <c r="W102" s="475">
        <f t="shared" si="15"/>
        <v>0</v>
      </c>
      <c r="X102" s="475">
        <v>0</v>
      </c>
      <c r="Y102" s="476">
        <v>0</v>
      </c>
      <c r="Z102" s="38">
        <f t="shared" si="11"/>
        <v>0</v>
      </c>
      <c r="AA102" s="16">
        <v>3089.23</v>
      </c>
      <c r="AB102" s="16">
        <v>0</v>
      </c>
      <c r="AC102" s="16">
        <v>0</v>
      </c>
      <c r="AE102" s="16">
        <v>0</v>
      </c>
      <c r="AF102" s="16">
        <v>0</v>
      </c>
      <c r="AG102" s="16">
        <v>0</v>
      </c>
    </row>
    <row r="103" spans="1:33">
      <c r="A103" s="21"/>
      <c r="B103" s="21" t="s">
        <v>110</v>
      </c>
      <c r="C103" s="68" t="s">
        <v>202</v>
      </c>
      <c r="D103" s="433"/>
      <c r="E103" s="432">
        <f>'Q2 DMV - Revenue'!T96</f>
        <v>-103.96499999999969</v>
      </c>
      <c r="F103" s="438">
        <v>2497.71</v>
      </c>
      <c r="G103" s="390"/>
      <c r="H103" s="390"/>
      <c r="I103" s="311">
        <f t="shared" si="18"/>
        <v>2393.7450000000003</v>
      </c>
      <c r="J103" s="31"/>
      <c r="K103" s="84"/>
      <c r="L103" s="42">
        <f>F103*2</f>
        <v>4995.42</v>
      </c>
      <c r="M103" s="31">
        <v>0</v>
      </c>
      <c r="N103" s="429">
        <v>0</v>
      </c>
      <c r="O103" s="31">
        <v>0</v>
      </c>
      <c r="P103" s="426">
        <f t="shared" si="12"/>
        <v>4995.42</v>
      </c>
      <c r="Q103" s="178">
        <f>2385.7+726.08</f>
        <v>3111.7799999999997</v>
      </c>
      <c r="R103" s="295"/>
      <c r="S103" s="385">
        <f t="shared" si="16"/>
        <v>-1883.6400000000003</v>
      </c>
      <c r="T103" s="31"/>
      <c r="U103" s="474">
        <f t="shared" si="13"/>
        <v>4995.42</v>
      </c>
      <c r="V103" s="474">
        <f t="shared" si="14"/>
        <v>0</v>
      </c>
      <c r="W103" s="475">
        <f t="shared" si="15"/>
        <v>0</v>
      </c>
      <c r="X103" s="475">
        <v>0</v>
      </c>
      <c r="Y103" s="476">
        <v>0</v>
      </c>
      <c r="Z103" s="38">
        <f t="shared" si="11"/>
        <v>0</v>
      </c>
      <c r="AA103" s="16">
        <v>7787.33</v>
      </c>
      <c r="AB103" s="16">
        <v>0</v>
      </c>
      <c r="AC103" s="16">
        <v>0</v>
      </c>
      <c r="AE103" s="16">
        <v>3893.665</v>
      </c>
      <c r="AF103" s="16">
        <v>0</v>
      </c>
      <c r="AG103" s="16">
        <v>0</v>
      </c>
    </row>
    <row r="104" spans="1:33" s="232" customFormat="1">
      <c r="A104" s="283"/>
      <c r="B104" s="283" t="s">
        <v>110</v>
      </c>
      <c r="C104" s="123" t="s">
        <v>386</v>
      </c>
      <c r="D104" s="481"/>
      <c r="E104" s="432">
        <f>'Q2 DMV - Revenue'!T97</f>
        <v>-238653.70999999996</v>
      </c>
      <c r="F104" s="438">
        <f>2180467+516.37</f>
        <v>2180983.37</v>
      </c>
      <c r="G104" s="438">
        <v>1677819.33</v>
      </c>
      <c r="H104" s="438">
        <v>1713730.37</v>
      </c>
      <c r="I104" s="398">
        <f t="shared" ref="I104:I125" si="19">SUM(D104:H104)</f>
        <v>5333879.3600000003</v>
      </c>
      <c r="J104" s="31"/>
      <c r="K104" s="411"/>
      <c r="L104" s="290">
        <v>0</v>
      </c>
      <c r="M104" s="31">
        <v>0</v>
      </c>
      <c r="N104" s="429">
        <v>7409022.6600000001</v>
      </c>
      <c r="O104" s="31">
        <v>0</v>
      </c>
      <c r="P104" s="426">
        <f t="shared" si="12"/>
        <v>0</v>
      </c>
      <c r="Q104" s="14"/>
      <c r="R104" s="295"/>
      <c r="S104" s="385">
        <f t="shared" si="16"/>
        <v>0</v>
      </c>
      <c r="T104" s="31"/>
      <c r="U104" s="474">
        <f t="shared" si="13"/>
        <v>0</v>
      </c>
      <c r="V104" s="474">
        <f t="shared" si="14"/>
        <v>0</v>
      </c>
      <c r="W104" s="475">
        <f t="shared" si="15"/>
        <v>0</v>
      </c>
      <c r="X104" s="475">
        <v>0</v>
      </c>
      <c r="Y104" s="476">
        <v>0</v>
      </c>
      <c r="Z104" s="515">
        <f t="shared" si="11"/>
        <v>0</v>
      </c>
      <c r="AA104" s="232">
        <v>4663054.53</v>
      </c>
      <c r="AB104" s="232">
        <v>0</v>
      </c>
      <c r="AC104" s="232">
        <v>76000</v>
      </c>
      <c r="AE104" s="232">
        <v>1868000</v>
      </c>
      <c r="AF104" s="232">
        <v>0</v>
      </c>
      <c r="AG104" s="232">
        <v>0</v>
      </c>
    </row>
    <row r="105" spans="1:33" s="232" customFormat="1">
      <c r="A105" s="283"/>
      <c r="B105" s="283" t="s">
        <v>110</v>
      </c>
      <c r="C105" s="123" t="s">
        <v>331</v>
      </c>
      <c r="D105" s="481"/>
      <c r="E105" s="432">
        <f>'Q2 DMV - Revenue'!T98</f>
        <v>31728.6</v>
      </c>
      <c r="F105" s="438">
        <v>35137.300000000003</v>
      </c>
      <c r="G105" s="438">
        <v>26124</v>
      </c>
      <c r="H105" s="438">
        <v>24986.400000000001</v>
      </c>
      <c r="I105" s="398">
        <f t="shared" si="19"/>
        <v>117976.29999999999</v>
      </c>
      <c r="J105" s="31"/>
      <c r="K105" s="410"/>
      <c r="L105" s="290">
        <v>0</v>
      </c>
      <c r="M105" s="31">
        <v>0</v>
      </c>
      <c r="N105" s="429">
        <v>0</v>
      </c>
      <c r="O105" s="31">
        <v>0</v>
      </c>
      <c r="P105" s="426">
        <f t="shared" si="12"/>
        <v>0</v>
      </c>
      <c r="Q105" s="14"/>
      <c r="R105" s="295"/>
      <c r="S105" s="385">
        <f t="shared" si="16"/>
        <v>0</v>
      </c>
      <c r="T105" s="31"/>
      <c r="U105" s="474">
        <f t="shared" si="13"/>
        <v>0</v>
      </c>
      <c r="V105" s="474">
        <f t="shared" si="14"/>
        <v>0</v>
      </c>
      <c r="W105" s="475">
        <f t="shared" si="15"/>
        <v>0</v>
      </c>
      <c r="X105" s="475">
        <v>0</v>
      </c>
      <c r="Y105" s="476">
        <v>0</v>
      </c>
      <c r="Z105" s="515">
        <f t="shared" si="11"/>
        <v>0</v>
      </c>
      <c r="AA105" s="232">
        <v>101718.6</v>
      </c>
      <c r="AB105" s="232">
        <v>0</v>
      </c>
      <c r="AC105" s="232">
        <v>0</v>
      </c>
      <c r="AE105" s="232">
        <v>0</v>
      </c>
      <c r="AF105" s="232">
        <v>0</v>
      </c>
      <c r="AG105" s="232">
        <v>0</v>
      </c>
    </row>
    <row r="106" spans="1:33" s="232" customFormat="1">
      <c r="A106" s="283"/>
      <c r="B106" s="283" t="s">
        <v>110</v>
      </c>
      <c r="C106" s="413" t="s">
        <v>332</v>
      </c>
      <c r="D106" s="485">
        <f>426.66+2564.86</f>
        <v>2991.52</v>
      </c>
      <c r="E106" s="432">
        <f>'Q2 DMV - Revenue'!T99</f>
        <v>28905.190000000061</v>
      </c>
      <c r="F106" s="438">
        <f>1950.97+961789.22</f>
        <v>963740.19</v>
      </c>
      <c r="G106" s="438">
        <f>2643.04+786260.64</f>
        <v>788903.68</v>
      </c>
      <c r="H106" s="438">
        <f>1963.07+784520.13</f>
        <v>786483.19999999995</v>
      </c>
      <c r="I106" s="398">
        <f t="shared" si="19"/>
        <v>2571023.7800000003</v>
      </c>
      <c r="J106" s="31"/>
      <c r="K106" s="410"/>
      <c r="L106" s="290">
        <v>0</v>
      </c>
      <c r="M106" s="31">
        <v>0</v>
      </c>
      <c r="N106" s="429">
        <f>10794.01+3268539.2</f>
        <v>3279333.21</v>
      </c>
      <c r="O106" s="31">
        <v>0</v>
      </c>
      <c r="P106" s="426">
        <f t="shared" si="12"/>
        <v>0</v>
      </c>
      <c r="Q106" s="14"/>
      <c r="R106" s="295"/>
      <c r="S106" s="385">
        <f t="shared" si="16"/>
        <v>0</v>
      </c>
      <c r="T106" s="31"/>
      <c r="U106" s="474">
        <f t="shared" si="13"/>
        <v>0</v>
      </c>
      <c r="V106" s="474">
        <f t="shared" si="14"/>
        <v>0</v>
      </c>
      <c r="W106" s="475">
        <f t="shared" si="15"/>
        <v>0</v>
      </c>
      <c r="X106" s="475">
        <v>0</v>
      </c>
      <c r="Y106" s="476">
        <v>0</v>
      </c>
      <c r="Z106" s="515">
        <f t="shared" si="11"/>
        <v>0</v>
      </c>
      <c r="AA106" s="232">
        <v>2714577.8</v>
      </c>
      <c r="AB106" s="232">
        <v>0</v>
      </c>
      <c r="AC106" s="232">
        <v>0</v>
      </c>
      <c r="AE106" s="232">
        <v>0</v>
      </c>
      <c r="AF106" s="232">
        <v>0</v>
      </c>
      <c r="AG106" s="232">
        <v>0</v>
      </c>
    </row>
    <row r="107" spans="1:33" s="232" customFormat="1">
      <c r="A107" s="283"/>
      <c r="B107" s="283" t="s">
        <v>110</v>
      </c>
      <c r="C107" s="123" t="s">
        <v>333</v>
      </c>
      <c r="D107" s="481"/>
      <c r="E107" s="432">
        <f>'Q2 DMV - Revenue'!T100</f>
        <v>894.19</v>
      </c>
      <c r="F107" s="438">
        <v>1286.8900000000001</v>
      </c>
      <c r="G107" s="438">
        <v>824.22</v>
      </c>
      <c r="H107" s="438">
        <v>994.13</v>
      </c>
      <c r="I107" s="398">
        <f t="shared" si="19"/>
        <v>3999.4300000000003</v>
      </c>
      <c r="J107" s="31"/>
      <c r="K107" s="410"/>
      <c r="L107" s="290">
        <v>0</v>
      </c>
      <c r="M107" s="31">
        <v>0</v>
      </c>
      <c r="N107" s="429">
        <v>0</v>
      </c>
      <c r="O107" s="31">
        <v>0</v>
      </c>
      <c r="P107" s="426">
        <f t="shared" si="12"/>
        <v>0</v>
      </c>
      <c r="Q107" s="14"/>
      <c r="R107" s="295"/>
      <c r="S107" s="385">
        <f t="shared" si="16"/>
        <v>0</v>
      </c>
      <c r="T107" s="31"/>
      <c r="U107" s="474">
        <f t="shared" si="13"/>
        <v>0</v>
      </c>
      <c r="V107" s="474">
        <f t="shared" si="14"/>
        <v>0</v>
      </c>
      <c r="W107" s="475">
        <f t="shared" si="15"/>
        <v>0</v>
      </c>
      <c r="X107" s="475">
        <v>0</v>
      </c>
      <c r="Y107" s="476">
        <v>0</v>
      </c>
      <c r="Z107" s="515">
        <f t="shared" si="11"/>
        <v>0</v>
      </c>
      <c r="AA107" s="232">
        <v>6042.03</v>
      </c>
      <c r="AB107" s="232">
        <v>0</v>
      </c>
      <c r="AC107" s="232">
        <v>0</v>
      </c>
      <c r="AE107" s="232">
        <v>0</v>
      </c>
      <c r="AF107" s="232">
        <v>0</v>
      </c>
      <c r="AG107" s="232">
        <v>0</v>
      </c>
    </row>
    <row r="108" spans="1:33" s="232" customFormat="1">
      <c r="A108" s="283"/>
      <c r="B108" s="283" t="s">
        <v>110</v>
      </c>
      <c r="C108" s="123" t="s">
        <v>334</v>
      </c>
      <c r="D108" s="481"/>
      <c r="E108" s="432">
        <f>'Q2 DMV - Revenue'!T101</f>
        <v>149542.35</v>
      </c>
      <c r="F108" s="438">
        <v>186420.81</v>
      </c>
      <c r="G108" s="438">
        <v>144833.43</v>
      </c>
      <c r="H108" s="438">
        <v>147756.81</v>
      </c>
      <c r="I108" s="398">
        <f t="shared" si="19"/>
        <v>628553.4</v>
      </c>
      <c r="J108" s="31"/>
      <c r="K108" s="411"/>
      <c r="L108" s="290">
        <v>0</v>
      </c>
      <c r="M108" s="31">
        <v>0</v>
      </c>
      <c r="N108" s="429">
        <v>630244.59</v>
      </c>
      <c r="O108" s="31">
        <v>0</v>
      </c>
      <c r="P108" s="426">
        <f t="shared" si="12"/>
        <v>0</v>
      </c>
      <c r="Q108" s="14"/>
      <c r="R108" s="295"/>
      <c r="S108" s="385">
        <f t="shared" si="16"/>
        <v>0</v>
      </c>
      <c r="T108" s="31"/>
      <c r="U108" s="474">
        <f t="shared" si="13"/>
        <v>0</v>
      </c>
      <c r="V108" s="474">
        <f t="shared" si="14"/>
        <v>0</v>
      </c>
      <c r="W108" s="475">
        <f t="shared" si="15"/>
        <v>0</v>
      </c>
      <c r="X108" s="475">
        <v>0</v>
      </c>
      <c r="Y108" s="476">
        <v>0</v>
      </c>
      <c r="Z108" s="515">
        <f t="shared" si="11"/>
        <v>0</v>
      </c>
      <c r="AA108" s="232">
        <v>377667.88</v>
      </c>
      <c r="AB108" s="232">
        <v>0</v>
      </c>
      <c r="AC108" s="232">
        <v>0</v>
      </c>
      <c r="AE108" s="232">
        <v>151000</v>
      </c>
      <c r="AF108" s="232">
        <v>0</v>
      </c>
      <c r="AG108" s="232">
        <v>0</v>
      </c>
    </row>
    <row r="109" spans="1:33" s="232" customFormat="1">
      <c r="A109" s="283"/>
      <c r="B109" s="283" t="s">
        <v>110</v>
      </c>
      <c r="C109" s="123" t="s">
        <v>335</v>
      </c>
      <c r="D109" s="433"/>
      <c r="E109" s="432">
        <f>'Q2 DMV - Revenue'!T102</f>
        <v>420.52</v>
      </c>
      <c r="F109" s="438">
        <v>537.95000000000005</v>
      </c>
      <c r="G109" s="438">
        <v>378.17</v>
      </c>
      <c r="H109" s="438">
        <v>354.55</v>
      </c>
      <c r="I109" s="398">
        <f t="shared" si="19"/>
        <v>1691.19</v>
      </c>
      <c r="J109" s="31"/>
      <c r="K109" s="410"/>
      <c r="L109" s="290">
        <v>0</v>
      </c>
      <c r="M109" s="31">
        <v>0</v>
      </c>
      <c r="N109" s="429">
        <v>0</v>
      </c>
      <c r="O109" s="31">
        <v>0</v>
      </c>
      <c r="P109" s="426">
        <f t="shared" si="12"/>
        <v>0</v>
      </c>
      <c r="Q109" s="14"/>
      <c r="R109" s="295"/>
      <c r="S109" s="385">
        <f t="shared" si="16"/>
        <v>0</v>
      </c>
      <c r="T109" s="31"/>
      <c r="U109" s="474">
        <f t="shared" si="13"/>
        <v>0</v>
      </c>
      <c r="V109" s="474">
        <f t="shared" si="14"/>
        <v>0</v>
      </c>
      <c r="W109" s="475">
        <f t="shared" si="15"/>
        <v>0</v>
      </c>
      <c r="X109" s="475">
        <v>0</v>
      </c>
      <c r="Y109" s="476">
        <v>0</v>
      </c>
      <c r="Z109" s="515">
        <f t="shared" si="11"/>
        <v>0</v>
      </c>
      <c r="AA109" s="232">
        <v>1770.1999999999998</v>
      </c>
      <c r="AB109" s="232">
        <v>0</v>
      </c>
      <c r="AC109" s="232">
        <v>0</v>
      </c>
      <c r="AE109" s="232">
        <v>0</v>
      </c>
      <c r="AF109" s="232">
        <v>0</v>
      </c>
      <c r="AG109" s="232">
        <v>0</v>
      </c>
    </row>
    <row r="110" spans="1:33" s="232" customFormat="1">
      <c r="A110" s="283"/>
      <c r="B110" s="283" t="s">
        <v>110</v>
      </c>
      <c r="C110" s="123" t="s">
        <v>336</v>
      </c>
      <c r="D110" s="433"/>
      <c r="E110" s="432">
        <f>'Q2 DMV - Revenue'!T103</f>
        <v>9538.7699999999895</v>
      </c>
      <c r="F110" s="438">
        <v>175558.37</v>
      </c>
      <c r="G110" s="438">
        <v>151671.79999999999</v>
      </c>
      <c r="H110" s="438">
        <v>163217.71</v>
      </c>
      <c r="I110" s="398">
        <f t="shared" si="19"/>
        <v>499986.64999999991</v>
      </c>
      <c r="J110" s="31"/>
      <c r="K110" s="410"/>
      <c r="L110" s="290">
        <v>0</v>
      </c>
      <c r="M110" s="31">
        <v>0</v>
      </c>
      <c r="N110" s="429">
        <v>626723.72</v>
      </c>
      <c r="O110" s="31">
        <v>0</v>
      </c>
      <c r="P110" s="426">
        <f t="shared" si="12"/>
        <v>0</v>
      </c>
      <c r="Q110" s="14"/>
      <c r="R110" s="295"/>
      <c r="S110" s="385">
        <f t="shared" si="16"/>
        <v>0</v>
      </c>
      <c r="T110" s="31"/>
      <c r="U110" s="474">
        <f t="shared" si="13"/>
        <v>0</v>
      </c>
      <c r="V110" s="474">
        <f t="shared" si="14"/>
        <v>0</v>
      </c>
      <c r="W110" s="475">
        <f t="shared" si="15"/>
        <v>0</v>
      </c>
      <c r="X110" s="475">
        <v>0</v>
      </c>
      <c r="Y110" s="476">
        <v>0</v>
      </c>
      <c r="Z110" s="515">
        <f t="shared" si="11"/>
        <v>0</v>
      </c>
      <c r="AA110" s="232">
        <v>449667.47</v>
      </c>
      <c r="AB110" s="232">
        <v>0</v>
      </c>
      <c r="AC110" s="232">
        <v>0</v>
      </c>
      <c r="AE110" s="232">
        <v>0</v>
      </c>
      <c r="AF110" s="232">
        <v>0</v>
      </c>
      <c r="AG110" s="232">
        <v>0</v>
      </c>
    </row>
    <row r="111" spans="1:33" s="232" customFormat="1">
      <c r="A111" s="283"/>
      <c r="B111" s="283" t="s">
        <v>110</v>
      </c>
      <c r="C111" s="123" t="s">
        <v>337</v>
      </c>
      <c r="D111" s="433"/>
      <c r="E111" s="432">
        <f>'Q2 DMV - Revenue'!T104</f>
        <v>215.34</v>
      </c>
      <c r="F111" s="438">
        <v>392.68</v>
      </c>
      <c r="G111" s="438">
        <v>470.63</v>
      </c>
      <c r="H111" s="438">
        <v>457.09</v>
      </c>
      <c r="I111" s="398">
        <f t="shared" si="19"/>
        <v>1535.74</v>
      </c>
      <c r="J111" s="31"/>
      <c r="K111" s="410"/>
      <c r="L111" s="290">
        <v>0</v>
      </c>
      <c r="M111" s="31">
        <v>0</v>
      </c>
      <c r="N111" s="429">
        <v>0</v>
      </c>
      <c r="O111" s="31">
        <v>0</v>
      </c>
      <c r="P111" s="426">
        <f t="shared" si="12"/>
        <v>0</v>
      </c>
      <c r="Q111" s="14"/>
      <c r="R111" s="295"/>
      <c r="S111" s="385">
        <f t="shared" si="16"/>
        <v>0</v>
      </c>
      <c r="T111" s="31"/>
      <c r="U111" s="474">
        <f t="shared" si="13"/>
        <v>0</v>
      </c>
      <c r="V111" s="474">
        <f t="shared" si="14"/>
        <v>0</v>
      </c>
      <c r="W111" s="475">
        <f t="shared" si="15"/>
        <v>0</v>
      </c>
      <c r="X111" s="475">
        <v>0</v>
      </c>
      <c r="Y111" s="476">
        <v>0</v>
      </c>
      <c r="Z111" s="515">
        <f t="shared" si="11"/>
        <v>0</v>
      </c>
      <c r="AA111" s="232">
        <v>1014.71</v>
      </c>
      <c r="AB111" s="232">
        <v>0</v>
      </c>
      <c r="AC111" s="232">
        <v>0</v>
      </c>
      <c r="AE111" s="232">
        <v>0</v>
      </c>
      <c r="AF111" s="232">
        <v>0</v>
      </c>
      <c r="AG111" s="232">
        <v>0</v>
      </c>
    </row>
    <row r="112" spans="1:33" s="232" customFormat="1">
      <c r="A112" s="283"/>
      <c r="B112" s="283" t="s">
        <v>110</v>
      </c>
      <c r="C112" s="123" t="s">
        <v>338</v>
      </c>
      <c r="D112" s="433"/>
      <c r="E112" s="432">
        <f>'Q2 DMV - Revenue'!T105</f>
        <v>3755.429999999993</v>
      </c>
      <c r="F112" s="438">
        <v>95052.2</v>
      </c>
      <c r="G112" s="438">
        <v>73527.520000000004</v>
      </c>
      <c r="H112" s="438">
        <v>78027.59</v>
      </c>
      <c r="I112" s="398">
        <f t="shared" si="19"/>
        <v>250362.74</v>
      </c>
      <c r="J112" s="31"/>
      <c r="K112" s="410"/>
      <c r="L112" s="290">
        <v>0</v>
      </c>
      <c r="M112" s="31">
        <v>0</v>
      </c>
      <c r="N112" s="429">
        <v>318672.74</v>
      </c>
      <c r="O112" s="31">
        <v>0</v>
      </c>
      <c r="P112" s="426">
        <f t="shared" si="12"/>
        <v>0</v>
      </c>
      <c r="Q112" s="14"/>
      <c r="R112" s="295"/>
      <c r="S112" s="385">
        <f t="shared" si="16"/>
        <v>0</v>
      </c>
      <c r="T112" s="31"/>
      <c r="U112" s="474">
        <f t="shared" si="13"/>
        <v>0</v>
      </c>
      <c r="V112" s="474">
        <f t="shared" si="14"/>
        <v>0</v>
      </c>
      <c r="W112" s="475">
        <f t="shared" si="15"/>
        <v>0</v>
      </c>
      <c r="X112" s="475">
        <v>0</v>
      </c>
      <c r="Y112" s="476">
        <v>0</v>
      </c>
      <c r="Z112" s="515">
        <f t="shared" si="11"/>
        <v>0</v>
      </c>
      <c r="AA112" s="232">
        <v>213724.13</v>
      </c>
      <c r="AB112" s="232">
        <v>0</v>
      </c>
      <c r="AC112" s="232">
        <v>0</v>
      </c>
      <c r="AE112" s="232">
        <v>0</v>
      </c>
      <c r="AF112" s="232">
        <v>0</v>
      </c>
      <c r="AG112" s="232">
        <v>0</v>
      </c>
    </row>
    <row r="113" spans="1:33" s="232" customFormat="1">
      <c r="A113" s="283"/>
      <c r="B113" s="283" t="s">
        <v>110</v>
      </c>
      <c r="C113" s="123" t="s">
        <v>339</v>
      </c>
      <c r="D113" s="433"/>
      <c r="E113" s="432">
        <f>'Q2 DMV - Revenue'!T106</f>
        <v>30283.8</v>
      </c>
      <c r="F113" s="438">
        <v>39788.39</v>
      </c>
      <c r="G113" s="438">
        <v>36004.17</v>
      </c>
      <c r="H113" s="438">
        <v>41629.480000000003</v>
      </c>
      <c r="I113" s="398">
        <f t="shared" si="19"/>
        <v>147705.84</v>
      </c>
      <c r="J113" s="31"/>
      <c r="K113" s="411"/>
      <c r="L113" s="290">
        <v>0</v>
      </c>
      <c r="M113" s="31">
        <v>0</v>
      </c>
      <c r="N113" s="429">
        <v>148282.31</v>
      </c>
      <c r="O113" s="31">
        <v>0</v>
      </c>
      <c r="P113" s="426">
        <f t="shared" si="12"/>
        <v>0</v>
      </c>
      <c r="Q113" s="14"/>
      <c r="R113" s="295"/>
      <c r="S113" s="385">
        <f t="shared" si="16"/>
        <v>0</v>
      </c>
      <c r="T113" s="31"/>
      <c r="U113" s="474">
        <f t="shared" si="13"/>
        <v>0</v>
      </c>
      <c r="V113" s="474">
        <f t="shared" si="14"/>
        <v>0</v>
      </c>
      <c r="W113" s="475">
        <f t="shared" si="15"/>
        <v>0</v>
      </c>
      <c r="X113" s="475">
        <v>0</v>
      </c>
      <c r="Y113" s="476">
        <v>0</v>
      </c>
      <c r="Z113" s="515">
        <f t="shared" si="11"/>
        <v>0</v>
      </c>
      <c r="AA113" s="232">
        <v>67782.36</v>
      </c>
      <c r="AB113" s="232">
        <v>0</v>
      </c>
      <c r="AC113" s="232">
        <v>0</v>
      </c>
      <c r="AE113" s="232">
        <v>28000</v>
      </c>
      <c r="AF113" s="232">
        <v>0</v>
      </c>
      <c r="AG113" s="232">
        <v>0</v>
      </c>
    </row>
    <row r="114" spans="1:33" s="232" customFormat="1">
      <c r="A114" s="283"/>
      <c r="B114" s="283" t="s">
        <v>110</v>
      </c>
      <c r="C114" s="123" t="s">
        <v>340</v>
      </c>
      <c r="D114" s="433"/>
      <c r="E114" s="432">
        <f>'Q2 DMV - Revenue'!T107</f>
        <v>212.91</v>
      </c>
      <c r="F114" s="438">
        <v>129.66</v>
      </c>
      <c r="G114" s="438">
        <v>98.91</v>
      </c>
      <c r="H114" s="438">
        <v>134.99</v>
      </c>
      <c r="I114" s="398">
        <f t="shared" si="19"/>
        <v>576.47</v>
      </c>
      <c r="J114" s="31"/>
      <c r="K114" s="410"/>
      <c r="L114" s="290">
        <v>0</v>
      </c>
      <c r="M114" s="31">
        <v>0</v>
      </c>
      <c r="N114" s="429">
        <v>0</v>
      </c>
      <c r="O114" s="31">
        <v>0</v>
      </c>
      <c r="P114" s="426">
        <f t="shared" si="12"/>
        <v>0</v>
      </c>
      <c r="Q114" s="14"/>
      <c r="R114" s="295"/>
      <c r="S114" s="385">
        <f t="shared" si="16"/>
        <v>0</v>
      </c>
      <c r="T114" s="31"/>
      <c r="U114" s="474">
        <f t="shared" si="13"/>
        <v>0</v>
      </c>
      <c r="V114" s="474">
        <f t="shared" si="14"/>
        <v>0</v>
      </c>
      <c r="W114" s="475">
        <f t="shared" si="15"/>
        <v>0</v>
      </c>
      <c r="X114" s="475">
        <v>0</v>
      </c>
      <c r="Y114" s="476">
        <v>0</v>
      </c>
      <c r="Z114" s="515">
        <f t="shared" si="11"/>
        <v>0</v>
      </c>
      <c r="AA114" s="232">
        <v>539.55999999999995</v>
      </c>
      <c r="AB114" s="232">
        <v>0</v>
      </c>
      <c r="AC114" s="232">
        <v>0</v>
      </c>
      <c r="AE114" s="232">
        <v>0</v>
      </c>
      <c r="AF114" s="232">
        <v>0</v>
      </c>
      <c r="AG114" s="232">
        <v>0</v>
      </c>
    </row>
    <row r="115" spans="1:33">
      <c r="A115" s="21"/>
      <c r="B115" s="21" t="s">
        <v>109</v>
      </c>
      <c r="C115" s="68" t="s">
        <v>21</v>
      </c>
      <c r="D115" s="433">
        <v>3787.32</v>
      </c>
      <c r="E115" s="432">
        <f>'Q2 DMV - Revenue'!T108</f>
        <v>1089.5149999999999</v>
      </c>
      <c r="F115" s="438">
        <v>5385.57</v>
      </c>
      <c r="G115" s="438">
        <v>4068.6</v>
      </c>
      <c r="H115" s="390"/>
      <c r="I115" s="311">
        <f t="shared" si="19"/>
        <v>14331.004999999999</v>
      </c>
      <c r="J115" s="31"/>
      <c r="K115" s="84"/>
      <c r="L115" s="42">
        <f>(F115+G115)/2</f>
        <v>4727.085</v>
      </c>
      <c r="M115" s="31">
        <v>0</v>
      </c>
      <c r="N115" s="429">
        <v>13241.49</v>
      </c>
      <c r="O115" s="31">
        <v>0</v>
      </c>
      <c r="P115" s="426">
        <f t="shared" si="12"/>
        <v>4727.085</v>
      </c>
      <c r="Q115" s="178">
        <v>3035.4</v>
      </c>
      <c r="R115" s="295"/>
      <c r="S115" s="385">
        <f t="shared" si="16"/>
        <v>-1691.6849999999999</v>
      </c>
      <c r="T115" s="31"/>
      <c r="U115" s="474">
        <f t="shared" si="13"/>
        <v>0</v>
      </c>
      <c r="V115" s="474">
        <f t="shared" si="14"/>
        <v>4727.085</v>
      </c>
      <c r="W115" s="475">
        <f t="shared" si="15"/>
        <v>0</v>
      </c>
      <c r="X115" s="475">
        <v>0</v>
      </c>
      <c r="Y115" s="476">
        <v>0</v>
      </c>
      <c r="Z115" s="38">
        <f t="shared" si="11"/>
        <v>0</v>
      </c>
      <c r="AA115" s="16">
        <v>0</v>
      </c>
      <c r="AB115" s="16">
        <v>5104.5499999999993</v>
      </c>
      <c r="AC115" s="16">
        <v>0</v>
      </c>
      <c r="AE115" s="16">
        <v>0</v>
      </c>
      <c r="AF115" s="16">
        <v>2552.2749999999996</v>
      </c>
      <c r="AG115" s="16">
        <v>0</v>
      </c>
    </row>
    <row r="116" spans="1:33">
      <c r="A116" s="20"/>
      <c r="B116" s="20" t="s">
        <v>109</v>
      </c>
      <c r="C116" s="68" t="s">
        <v>22</v>
      </c>
      <c r="D116" s="433">
        <v>196.95</v>
      </c>
      <c r="E116" s="432" t="str">
        <f>'Q2 DMV - Revenue'!T109</f>
        <v/>
      </c>
      <c r="F116" s="390"/>
      <c r="G116" s="390"/>
      <c r="H116" s="390"/>
      <c r="I116" s="311">
        <f t="shared" si="19"/>
        <v>196.95</v>
      </c>
      <c r="J116" s="31"/>
      <c r="K116" s="84"/>
      <c r="L116" s="42">
        <v>100</v>
      </c>
      <c r="M116" s="31">
        <v>0</v>
      </c>
      <c r="N116" s="429">
        <v>196.95</v>
      </c>
      <c r="O116" s="31">
        <v>0</v>
      </c>
      <c r="P116" s="426">
        <f t="shared" si="12"/>
        <v>100</v>
      </c>
      <c r="Q116" s="178">
        <f>137.17+60.06+29.33</f>
        <v>226.56</v>
      </c>
      <c r="R116" s="295"/>
      <c r="S116" s="385">
        <f t="shared" si="16"/>
        <v>126.56</v>
      </c>
      <c r="T116" s="31"/>
      <c r="U116" s="474">
        <f t="shared" si="13"/>
        <v>0</v>
      </c>
      <c r="V116" s="474">
        <f t="shared" si="14"/>
        <v>100</v>
      </c>
      <c r="W116" s="475">
        <f t="shared" si="15"/>
        <v>0</v>
      </c>
      <c r="X116" s="475">
        <v>0</v>
      </c>
      <c r="Y116" s="476">
        <v>0</v>
      </c>
      <c r="Z116" s="38">
        <f t="shared" si="11"/>
        <v>0</v>
      </c>
      <c r="AA116" s="16">
        <v>0</v>
      </c>
      <c r="AB116" s="16">
        <v>1026.3399999999999</v>
      </c>
      <c r="AC116" s="16">
        <v>0</v>
      </c>
      <c r="AE116" s="16">
        <v>0</v>
      </c>
      <c r="AF116" s="16">
        <v>161.80000000000001</v>
      </c>
      <c r="AG116" s="16">
        <v>0</v>
      </c>
    </row>
    <row r="117" spans="1:33">
      <c r="A117" s="20" t="s">
        <v>211</v>
      </c>
      <c r="B117" s="20" t="s">
        <v>110</v>
      </c>
      <c r="C117" s="68" t="s">
        <v>23</v>
      </c>
      <c r="D117" s="433"/>
      <c r="E117" s="432" t="str">
        <f>'Q2 DMV - Revenue'!T110</f>
        <v/>
      </c>
      <c r="F117" s="390"/>
      <c r="G117" s="390"/>
      <c r="H117" s="390"/>
      <c r="I117" s="311">
        <f t="shared" si="19"/>
        <v>0</v>
      </c>
      <c r="J117" s="31"/>
      <c r="K117" s="84"/>
      <c r="L117" s="42"/>
      <c r="M117" s="31">
        <v>0</v>
      </c>
      <c r="N117" s="429">
        <v>0</v>
      </c>
      <c r="O117" s="31">
        <v>0</v>
      </c>
      <c r="P117" s="426">
        <f t="shared" si="12"/>
        <v>0</v>
      </c>
      <c r="Q117" s="178"/>
      <c r="R117" s="295"/>
      <c r="S117" s="385">
        <f t="shared" si="16"/>
        <v>0</v>
      </c>
      <c r="T117" s="31"/>
      <c r="U117" s="474">
        <f t="shared" si="13"/>
        <v>0</v>
      </c>
      <c r="V117" s="474">
        <f t="shared" si="14"/>
        <v>0</v>
      </c>
      <c r="W117" s="475">
        <f t="shared" si="15"/>
        <v>0</v>
      </c>
      <c r="X117" s="475">
        <v>0</v>
      </c>
      <c r="Y117" s="476">
        <v>0</v>
      </c>
      <c r="Z117" s="38">
        <f t="shared" si="11"/>
        <v>0</v>
      </c>
      <c r="AA117" s="16">
        <v>0</v>
      </c>
      <c r="AB117" s="16">
        <v>0</v>
      </c>
      <c r="AC117" s="16">
        <v>0</v>
      </c>
      <c r="AE117" s="16">
        <v>0</v>
      </c>
      <c r="AF117" s="16">
        <v>0</v>
      </c>
      <c r="AG117" s="16">
        <v>0</v>
      </c>
    </row>
    <row r="118" spans="1:33">
      <c r="A118" s="20" t="s">
        <v>109</v>
      </c>
      <c r="B118" s="20" t="s">
        <v>110</v>
      </c>
      <c r="C118" s="68" t="s">
        <v>321</v>
      </c>
      <c r="D118" s="433">
        <v>1021.63</v>
      </c>
      <c r="E118" s="432" t="str">
        <f>'Q2 DMV - Revenue'!T111</f>
        <v/>
      </c>
      <c r="F118" s="438">
        <v>114.17</v>
      </c>
      <c r="G118" s="390"/>
      <c r="H118" s="390"/>
      <c r="I118" s="311">
        <f t="shared" si="19"/>
        <v>1135.8</v>
      </c>
      <c r="J118" s="31"/>
      <c r="K118" s="84"/>
      <c r="L118" s="42">
        <f>F118*2</f>
        <v>228.34</v>
      </c>
      <c r="M118" s="31">
        <v>0</v>
      </c>
      <c r="N118" s="429">
        <v>1135.8</v>
      </c>
      <c r="O118" s="31">
        <v>0</v>
      </c>
      <c r="P118" s="426">
        <f t="shared" si="12"/>
        <v>228.34</v>
      </c>
      <c r="Q118" s="178">
        <v>210.08</v>
      </c>
      <c r="R118" s="295"/>
      <c r="S118" s="385">
        <f t="shared" si="16"/>
        <v>-18.259999999999991</v>
      </c>
      <c r="T118" s="31"/>
      <c r="U118" s="474">
        <f t="shared" si="13"/>
        <v>228.34</v>
      </c>
      <c r="V118" s="474">
        <f t="shared" si="14"/>
        <v>0</v>
      </c>
      <c r="W118" s="475">
        <f t="shared" si="15"/>
        <v>0</v>
      </c>
      <c r="X118" s="475">
        <v>0</v>
      </c>
      <c r="Y118" s="476">
        <v>0</v>
      </c>
      <c r="Z118" s="38">
        <f t="shared" si="11"/>
        <v>0</v>
      </c>
      <c r="AA118" s="16">
        <v>6266.65</v>
      </c>
      <c r="AB118" s="16">
        <v>0</v>
      </c>
      <c r="AC118" s="16">
        <v>0</v>
      </c>
      <c r="AE118" s="16">
        <v>3133.3249999999998</v>
      </c>
      <c r="AF118" s="16">
        <v>0</v>
      </c>
      <c r="AG118" s="16">
        <v>0</v>
      </c>
    </row>
    <row r="119" spans="1:33">
      <c r="A119" s="20"/>
      <c r="B119" s="20" t="s">
        <v>110</v>
      </c>
      <c r="C119" s="68" t="s">
        <v>24</v>
      </c>
      <c r="D119" s="433"/>
      <c r="E119" s="432">
        <f>'Q2 DMV - Revenue'!T112</f>
        <v>3949.54</v>
      </c>
      <c r="F119" s="438">
        <v>4584.84</v>
      </c>
      <c r="G119" s="438">
        <v>4055.01</v>
      </c>
      <c r="H119" s="390"/>
      <c r="I119" s="311">
        <f t="shared" si="19"/>
        <v>12589.390000000001</v>
      </c>
      <c r="J119" s="31"/>
      <c r="K119" s="84"/>
      <c r="L119" s="42">
        <f>(F119+G119)/2</f>
        <v>4319.9250000000002</v>
      </c>
      <c r="M119" s="31">
        <v>0</v>
      </c>
      <c r="N119" s="429">
        <v>12589.39</v>
      </c>
      <c r="O119" s="31">
        <v>0</v>
      </c>
      <c r="P119" s="426">
        <f t="shared" si="12"/>
        <v>4319.9250000000002</v>
      </c>
      <c r="Q119" s="178">
        <v>3803.85</v>
      </c>
      <c r="R119" s="295"/>
      <c r="S119" s="385">
        <f t="shared" si="16"/>
        <v>-516.07500000000027</v>
      </c>
      <c r="T119" s="31"/>
      <c r="U119" s="474">
        <f t="shared" si="13"/>
        <v>4319.9250000000002</v>
      </c>
      <c r="V119" s="474">
        <f t="shared" si="14"/>
        <v>0</v>
      </c>
      <c r="W119" s="475">
        <f t="shared" si="15"/>
        <v>0</v>
      </c>
      <c r="X119" s="475">
        <v>0</v>
      </c>
      <c r="Y119" s="476">
        <v>0</v>
      </c>
      <c r="Z119" s="38">
        <f t="shared" si="11"/>
        <v>0</v>
      </c>
      <c r="AA119" s="16">
        <v>6266.65</v>
      </c>
      <c r="AB119" s="16">
        <v>0</v>
      </c>
      <c r="AC119" s="16">
        <v>0</v>
      </c>
      <c r="AE119" s="16">
        <v>3133.3249999999998</v>
      </c>
      <c r="AF119" s="16">
        <v>0</v>
      </c>
      <c r="AG119" s="16">
        <v>0</v>
      </c>
    </row>
    <row r="120" spans="1:33">
      <c r="A120" s="20" t="s">
        <v>211</v>
      </c>
      <c r="B120" s="20" t="s">
        <v>110</v>
      </c>
      <c r="C120" s="68" t="s">
        <v>91</v>
      </c>
      <c r="D120" s="433"/>
      <c r="E120" s="432">
        <f>'Q2 DMV - Revenue'!T113</f>
        <v>12810.260000000002</v>
      </c>
      <c r="F120" s="390"/>
      <c r="G120" s="390"/>
      <c r="H120" s="390"/>
      <c r="I120" s="311">
        <f t="shared" si="19"/>
        <v>12810.260000000002</v>
      </c>
      <c r="J120" s="2"/>
      <c r="K120" s="336"/>
      <c r="L120" s="42"/>
      <c r="M120" s="31">
        <v>0</v>
      </c>
      <c r="N120" s="429">
        <v>42810.26</v>
      </c>
      <c r="O120" s="31">
        <v>0</v>
      </c>
      <c r="P120" s="426">
        <f t="shared" si="12"/>
        <v>0</v>
      </c>
      <c r="Q120" s="178"/>
      <c r="R120" s="295"/>
      <c r="S120" s="385">
        <f t="shared" si="16"/>
        <v>0</v>
      </c>
      <c r="T120" s="2"/>
      <c r="U120" s="474">
        <f t="shared" si="13"/>
        <v>0</v>
      </c>
      <c r="V120" s="474">
        <f t="shared" si="14"/>
        <v>0</v>
      </c>
      <c r="W120" s="475">
        <f t="shared" si="15"/>
        <v>0</v>
      </c>
      <c r="X120" s="475">
        <v>0</v>
      </c>
      <c r="Y120" s="476">
        <v>0</v>
      </c>
      <c r="Z120" s="38">
        <f t="shared" si="11"/>
        <v>0</v>
      </c>
      <c r="AA120" s="16">
        <v>0</v>
      </c>
      <c r="AB120" s="16">
        <v>0</v>
      </c>
      <c r="AC120" s="16">
        <v>0</v>
      </c>
      <c r="AE120" s="16">
        <v>37779.490000000005</v>
      </c>
      <c r="AF120" s="16">
        <v>0</v>
      </c>
      <c r="AG120" s="16">
        <v>0</v>
      </c>
    </row>
    <row r="121" spans="1:33">
      <c r="A121" s="20"/>
      <c r="B121" s="20" t="s">
        <v>110</v>
      </c>
      <c r="C121" s="68" t="s">
        <v>118</v>
      </c>
      <c r="D121" s="433">
        <v>36.82</v>
      </c>
      <c r="E121" s="432" t="str">
        <f>'Q2 DMV - Revenue'!T114</f>
        <v/>
      </c>
      <c r="F121" s="390"/>
      <c r="G121" s="390"/>
      <c r="H121" s="390"/>
      <c r="I121" s="311">
        <f t="shared" si="19"/>
        <v>36.82</v>
      </c>
      <c r="J121" s="2"/>
      <c r="K121" s="336"/>
      <c r="L121" s="42">
        <v>30</v>
      </c>
      <c r="M121" s="31">
        <v>0</v>
      </c>
      <c r="N121" s="429">
        <v>36.82</v>
      </c>
      <c r="O121" s="31">
        <v>0</v>
      </c>
      <c r="P121" s="426">
        <f t="shared" si="12"/>
        <v>30</v>
      </c>
      <c r="Q121" s="178"/>
      <c r="R121" s="295"/>
      <c r="S121" s="385">
        <f t="shared" si="16"/>
        <v>-30</v>
      </c>
      <c r="T121" s="2"/>
      <c r="U121" s="474">
        <f t="shared" si="13"/>
        <v>30</v>
      </c>
      <c r="V121" s="474">
        <f t="shared" si="14"/>
        <v>0</v>
      </c>
      <c r="W121" s="475">
        <f t="shared" si="15"/>
        <v>0</v>
      </c>
      <c r="X121" s="475">
        <v>0</v>
      </c>
      <c r="Y121" s="476">
        <v>0</v>
      </c>
      <c r="Z121" s="38">
        <f t="shared" si="11"/>
        <v>0</v>
      </c>
      <c r="AA121" s="16">
        <v>0</v>
      </c>
      <c r="AB121" s="16">
        <v>0</v>
      </c>
      <c r="AC121" s="16">
        <v>0</v>
      </c>
      <c r="AE121" s="16">
        <v>0</v>
      </c>
      <c r="AF121" s="16">
        <v>0</v>
      </c>
      <c r="AG121" s="16">
        <v>0</v>
      </c>
    </row>
    <row r="122" spans="1:33">
      <c r="A122" s="20" t="s">
        <v>211</v>
      </c>
      <c r="B122" s="20" t="s">
        <v>110</v>
      </c>
      <c r="C122" s="68" t="s">
        <v>25</v>
      </c>
      <c r="D122" s="433">
        <v>3219.76</v>
      </c>
      <c r="E122" s="432" t="str">
        <f>'Q2 DMV - Revenue'!T115</f>
        <v/>
      </c>
      <c r="F122" s="390"/>
      <c r="G122" s="390"/>
      <c r="H122" s="390"/>
      <c r="I122" s="311">
        <f t="shared" si="19"/>
        <v>3219.76</v>
      </c>
      <c r="J122" s="31"/>
      <c r="K122" s="336"/>
      <c r="L122" s="42">
        <v>2000</v>
      </c>
      <c r="M122" s="31">
        <v>0</v>
      </c>
      <c r="N122" s="429">
        <v>3219.76</v>
      </c>
      <c r="O122" s="31">
        <v>0</v>
      </c>
      <c r="P122" s="426">
        <f t="shared" si="12"/>
        <v>2000</v>
      </c>
      <c r="Q122" s="178"/>
      <c r="R122" s="295"/>
      <c r="S122" s="385">
        <f t="shared" si="16"/>
        <v>-2000</v>
      </c>
      <c r="T122" s="31"/>
      <c r="U122" s="474">
        <f t="shared" si="13"/>
        <v>2000</v>
      </c>
      <c r="V122" s="474">
        <f t="shared" si="14"/>
        <v>0</v>
      </c>
      <c r="W122" s="475">
        <f t="shared" si="15"/>
        <v>0</v>
      </c>
      <c r="X122" s="475">
        <v>0</v>
      </c>
      <c r="Y122" s="476">
        <v>0</v>
      </c>
      <c r="Z122" s="38">
        <f t="shared" si="11"/>
        <v>0</v>
      </c>
      <c r="AA122" s="16">
        <v>-1.4899999999997817</v>
      </c>
      <c r="AB122" s="16">
        <v>0</v>
      </c>
      <c r="AC122" s="16">
        <v>0</v>
      </c>
      <c r="AE122" s="16">
        <v>2200</v>
      </c>
      <c r="AF122" s="16">
        <v>0</v>
      </c>
      <c r="AG122" s="16">
        <v>0</v>
      </c>
    </row>
    <row r="123" spans="1:33">
      <c r="A123" s="21"/>
      <c r="B123" s="21" t="s">
        <v>110</v>
      </c>
      <c r="C123" s="68" t="s">
        <v>26</v>
      </c>
      <c r="D123" s="433"/>
      <c r="E123" s="432">
        <f>'Q2 DMV - Revenue'!T116</f>
        <v>133.35000000000036</v>
      </c>
      <c r="F123" s="438">
        <v>9440.99</v>
      </c>
      <c r="G123" s="438">
        <v>9432.0499999999993</v>
      </c>
      <c r="H123" s="390"/>
      <c r="I123" s="311">
        <f t="shared" si="19"/>
        <v>19006.39</v>
      </c>
      <c r="J123" s="31"/>
      <c r="K123" s="84"/>
      <c r="L123" s="42">
        <f>(F123+G123)/2</f>
        <v>9436.52</v>
      </c>
      <c r="M123" s="31">
        <v>0</v>
      </c>
      <c r="N123" s="429">
        <v>29909.96</v>
      </c>
      <c r="O123" s="31">
        <v>0</v>
      </c>
      <c r="P123" s="426">
        <f t="shared" si="12"/>
        <v>9436.52</v>
      </c>
      <c r="Q123" s="178">
        <v>9093.98</v>
      </c>
      <c r="R123" s="295"/>
      <c r="S123" s="385">
        <f t="shared" si="16"/>
        <v>-342.54000000000087</v>
      </c>
      <c r="T123" s="31"/>
      <c r="U123" s="474">
        <f t="shared" si="13"/>
        <v>9436.52</v>
      </c>
      <c r="V123" s="474">
        <f t="shared" si="14"/>
        <v>0</v>
      </c>
      <c r="W123" s="475">
        <f t="shared" si="15"/>
        <v>0</v>
      </c>
      <c r="X123" s="475">
        <v>0</v>
      </c>
      <c r="Y123" s="476">
        <v>0</v>
      </c>
      <c r="Z123" s="38">
        <f t="shared" si="11"/>
        <v>0</v>
      </c>
      <c r="AA123" s="16">
        <v>19901.620000000003</v>
      </c>
      <c r="AB123" s="16">
        <v>0</v>
      </c>
      <c r="AC123" s="16">
        <v>0</v>
      </c>
      <c r="AE123" s="16">
        <v>9950.8100000000013</v>
      </c>
      <c r="AF123" s="16">
        <v>0</v>
      </c>
      <c r="AG123" s="16">
        <v>0</v>
      </c>
    </row>
    <row r="124" spans="1:33">
      <c r="A124" s="21"/>
      <c r="B124" s="21" t="s">
        <v>110</v>
      </c>
      <c r="C124" s="68" t="s">
        <v>268</v>
      </c>
      <c r="D124" s="433"/>
      <c r="E124" s="432">
        <f>'Q2 DMV - Revenue'!T117</f>
        <v>2930.3750000000005</v>
      </c>
      <c r="F124" s="438">
        <v>4334.8999999999996</v>
      </c>
      <c r="G124" s="438">
        <v>3767.4</v>
      </c>
      <c r="H124" s="438">
        <v>4640.8999999999996</v>
      </c>
      <c r="I124" s="311">
        <f t="shared" si="19"/>
        <v>15673.574999999999</v>
      </c>
      <c r="J124" s="31"/>
      <c r="K124" s="84"/>
      <c r="L124" s="42"/>
      <c r="M124" s="31">
        <v>0</v>
      </c>
      <c r="N124" s="429">
        <v>17880.8</v>
      </c>
      <c r="O124" s="31">
        <v>0</v>
      </c>
      <c r="P124" s="426">
        <f t="shared" si="12"/>
        <v>0</v>
      </c>
      <c r="Q124" s="178"/>
      <c r="R124" s="295"/>
      <c r="S124" s="385">
        <f t="shared" si="16"/>
        <v>0</v>
      </c>
      <c r="T124" s="31"/>
      <c r="U124" s="474">
        <f t="shared" si="13"/>
        <v>0</v>
      </c>
      <c r="V124" s="474">
        <f t="shared" si="14"/>
        <v>0</v>
      </c>
      <c r="W124" s="475">
        <f t="shared" si="15"/>
        <v>0</v>
      </c>
      <c r="X124" s="475">
        <v>0</v>
      </c>
      <c r="Y124" s="476">
        <v>0</v>
      </c>
      <c r="Z124" s="38">
        <f t="shared" si="11"/>
        <v>0</v>
      </c>
      <c r="AA124" s="16">
        <v>14373.45</v>
      </c>
      <c r="AB124" s="16">
        <v>0</v>
      </c>
      <c r="AC124" s="16">
        <v>0</v>
      </c>
      <c r="AE124" s="16">
        <v>0</v>
      </c>
      <c r="AF124" s="16">
        <v>0</v>
      </c>
      <c r="AG124" s="16">
        <v>0</v>
      </c>
    </row>
    <row r="125" spans="1:33">
      <c r="A125" s="21"/>
      <c r="B125" s="21" t="s">
        <v>110</v>
      </c>
      <c r="C125" s="68" t="s">
        <v>183</v>
      </c>
      <c r="D125" s="433">
        <v>2056.77</v>
      </c>
      <c r="E125" s="432">
        <f>'Q2 DMV - Revenue'!T118</f>
        <v>32.475000000000136</v>
      </c>
      <c r="F125" s="438">
        <v>1990.24</v>
      </c>
      <c r="G125" s="438">
        <v>2103.77</v>
      </c>
      <c r="H125" s="390"/>
      <c r="I125" s="311">
        <f t="shared" si="19"/>
        <v>6183.2549999999992</v>
      </c>
      <c r="J125" s="31"/>
      <c r="K125" s="84"/>
      <c r="L125" s="42">
        <f>(F125+G125)/2</f>
        <v>2047.0050000000001</v>
      </c>
      <c r="M125" s="31">
        <v>0</v>
      </c>
      <c r="N125" s="429">
        <v>6150.78</v>
      </c>
      <c r="O125" s="31">
        <v>0</v>
      </c>
      <c r="P125" s="426">
        <f t="shared" si="12"/>
        <v>2047.0050000000001</v>
      </c>
      <c r="Q125" s="178">
        <v>2317.19</v>
      </c>
      <c r="R125" s="295"/>
      <c r="S125" s="385">
        <f t="shared" si="16"/>
        <v>270.18499999999995</v>
      </c>
      <c r="T125" s="31"/>
      <c r="U125" s="474">
        <f t="shared" si="13"/>
        <v>2047.0050000000001</v>
      </c>
      <c r="V125" s="474">
        <f t="shared" si="14"/>
        <v>0</v>
      </c>
      <c r="W125" s="475">
        <f t="shared" si="15"/>
        <v>0</v>
      </c>
      <c r="X125" s="475">
        <v>0</v>
      </c>
      <c r="Y125" s="476">
        <v>0</v>
      </c>
      <c r="Z125" s="38">
        <f t="shared" si="11"/>
        <v>0</v>
      </c>
      <c r="AA125" s="16">
        <v>4985.76</v>
      </c>
      <c r="AB125" s="16">
        <v>0</v>
      </c>
      <c r="AC125" s="16">
        <v>0</v>
      </c>
      <c r="AE125" s="16">
        <v>2492.88</v>
      </c>
      <c r="AF125" s="16">
        <v>0</v>
      </c>
      <c r="AG125" s="16">
        <v>0</v>
      </c>
    </row>
    <row r="126" spans="1:33">
      <c r="A126" s="21"/>
      <c r="B126" s="21" t="s">
        <v>110</v>
      </c>
      <c r="C126" s="68" t="s">
        <v>282</v>
      </c>
      <c r="D126" s="433">
        <v>0</v>
      </c>
      <c r="E126" s="432">
        <f>'Q2 DMV - Revenue'!T119</f>
        <v>-20996.719999999998</v>
      </c>
      <c r="F126" s="438">
        <v>21378.720000000001</v>
      </c>
      <c r="G126" s="438">
        <v>21460.240000000002</v>
      </c>
      <c r="H126" s="390"/>
      <c r="I126" s="311">
        <f t="shared" si="18"/>
        <v>21842.240000000005</v>
      </c>
      <c r="J126" s="31"/>
      <c r="K126" s="84">
        <v>18947.7</v>
      </c>
      <c r="L126" s="42"/>
      <c r="M126" s="31">
        <v>0</v>
      </c>
      <c r="N126" s="429">
        <v>63593.08</v>
      </c>
      <c r="O126" s="31">
        <v>0</v>
      </c>
      <c r="P126" s="426">
        <f t="shared" si="12"/>
        <v>18947.7</v>
      </c>
      <c r="Q126" s="178">
        <v>21148.23</v>
      </c>
      <c r="R126" s="295"/>
      <c r="S126" s="385">
        <f t="shared" si="16"/>
        <v>2200.5299999999988</v>
      </c>
      <c r="T126" s="31"/>
      <c r="U126" s="474">
        <f t="shared" si="13"/>
        <v>18947.7</v>
      </c>
      <c r="V126" s="474">
        <f t="shared" si="14"/>
        <v>0</v>
      </c>
      <c r="W126" s="475">
        <f t="shared" si="15"/>
        <v>0</v>
      </c>
      <c r="X126" s="475">
        <v>0</v>
      </c>
      <c r="Y126" s="476">
        <v>0</v>
      </c>
      <c r="Z126" s="38">
        <f t="shared" si="11"/>
        <v>0</v>
      </c>
      <c r="AA126" s="16">
        <v>89718.36</v>
      </c>
      <c r="AB126" s="16">
        <v>0</v>
      </c>
      <c r="AC126" s="16">
        <v>0</v>
      </c>
      <c r="AE126" s="16">
        <v>22240.03</v>
      </c>
      <c r="AF126" s="16">
        <v>0</v>
      </c>
      <c r="AG126" s="16">
        <v>0</v>
      </c>
    </row>
    <row r="127" spans="1:33">
      <c r="A127" s="21"/>
      <c r="B127" s="21" t="s">
        <v>110</v>
      </c>
      <c r="C127" s="68" t="s">
        <v>27</v>
      </c>
      <c r="D127" s="433"/>
      <c r="E127" s="432" t="str">
        <f>'Q2 DMV - Revenue'!T120</f>
        <v/>
      </c>
      <c r="F127" s="390"/>
      <c r="G127" s="390"/>
      <c r="H127" s="390"/>
      <c r="I127" s="311">
        <f t="shared" si="18"/>
        <v>0</v>
      </c>
      <c r="J127" s="31"/>
      <c r="K127" s="84"/>
      <c r="L127" s="42"/>
      <c r="M127" s="31">
        <v>0</v>
      </c>
      <c r="N127" s="429">
        <v>0</v>
      </c>
      <c r="O127" s="31">
        <v>0</v>
      </c>
      <c r="P127" s="426">
        <f t="shared" si="12"/>
        <v>0</v>
      </c>
      <c r="Q127" s="178"/>
      <c r="R127" s="295"/>
      <c r="S127" s="385">
        <f t="shared" si="16"/>
        <v>0</v>
      </c>
      <c r="T127" s="31"/>
      <c r="U127" s="474">
        <f t="shared" si="13"/>
        <v>0</v>
      </c>
      <c r="V127" s="474">
        <f t="shared" si="14"/>
        <v>0</v>
      </c>
      <c r="W127" s="475">
        <f t="shared" si="15"/>
        <v>0</v>
      </c>
      <c r="X127" s="475">
        <v>0</v>
      </c>
      <c r="Y127" s="476">
        <v>0</v>
      </c>
      <c r="Z127" s="38">
        <f t="shared" si="11"/>
        <v>0</v>
      </c>
      <c r="AA127" s="16">
        <v>0</v>
      </c>
      <c r="AB127" s="16">
        <v>0</v>
      </c>
      <c r="AC127" s="16">
        <v>0</v>
      </c>
      <c r="AE127" s="16">
        <v>200</v>
      </c>
      <c r="AF127" s="16">
        <v>0</v>
      </c>
      <c r="AG127" s="16">
        <v>0</v>
      </c>
    </row>
    <row r="128" spans="1:33">
      <c r="A128" s="21"/>
      <c r="B128" s="21" t="s">
        <v>110</v>
      </c>
      <c r="C128" s="68" t="s">
        <v>28</v>
      </c>
      <c r="D128" s="433"/>
      <c r="E128" s="432">
        <f>'Q2 DMV - Revenue'!T121</f>
        <v>-225.75</v>
      </c>
      <c r="F128" s="438">
        <v>2193.8000000000002</v>
      </c>
      <c r="G128" s="438">
        <v>2240.6999999999998</v>
      </c>
      <c r="H128" s="438">
        <v>1846.6</v>
      </c>
      <c r="I128" s="311">
        <f t="shared" si="18"/>
        <v>6055.35</v>
      </c>
      <c r="J128" s="31"/>
      <c r="K128" s="84"/>
      <c r="L128" s="42"/>
      <c r="M128" s="31">
        <v>0</v>
      </c>
      <c r="N128" s="429">
        <v>6281.1</v>
      </c>
      <c r="O128" s="31">
        <v>0</v>
      </c>
      <c r="P128" s="426">
        <f t="shared" si="12"/>
        <v>0</v>
      </c>
      <c r="Q128" s="178"/>
      <c r="R128" s="295"/>
      <c r="S128" s="385">
        <f t="shared" si="16"/>
        <v>0</v>
      </c>
      <c r="T128" s="31"/>
      <c r="U128" s="474">
        <f t="shared" si="13"/>
        <v>0</v>
      </c>
      <c r="V128" s="474">
        <f t="shared" si="14"/>
        <v>0</v>
      </c>
      <c r="W128" s="475">
        <f t="shared" si="15"/>
        <v>0</v>
      </c>
      <c r="X128" s="475">
        <v>0</v>
      </c>
      <c r="Y128" s="476">
        <v>0</v>
      </c>
      <c r="Z128" s="38">
        <f t="shared" si="11"/>
        <v>0</v>
      </c>
      <c r="AA128" s="16">
        <v>4924.5</v>
      </c>
      <c r="AB128" s="16">
        <v>0</v>
      </c>
      <c r="AC128" s="16">
        <v>0</v>
      </c>
      <c r="AE128" s="16">
        <v>0</v>
      </c>
      <c r="AF128" s="16">
        <v>0</v>
      </c>
      <c r="AG128" s="16">
        <v>0</v>
      </c>
    </row>
    <row r="129" spans="1:33">
      <c r="A129" s="21"/>
      <c r="B129" s="21" t="s">
        <v>109</v>
      </c>
      <c r="C129" s="68" t="s">
        <v>308</v>
      </c>
      <c r="D129" s="433">
        <v>732.72</v>
      </c>
      <c r="E129" s="432">
        <f>'Q2 DMV - Revenue'!T122</f>
        <v>-10780.16</v>
      </c>
      <c r="F129" s="390"/>
      <c r="G129" s="390"/>
      <c r="H129" s="390"/>
      <c r="I129" s="311">
        <f>SUM(D129:H129)</f>
        <v>-10047.44</v>
      </c>
      <c r="J129" s="31"/>
      <c r="K129" s="84"/>
      <c r="L129" s="42">
        <v>300</v>
      </c>
      <c r="M129" s="31"/>
      <c r="N129" s="429">
        <v>1952.56</v>
      </c>
      <c r="O129" s="31"/>
      <c r="P129" s="426">
        <f t="shared" si="12"/>
        <v>300</v>
      </c>
      <c r="Q129" s="178">
        <f>371.75+329.76+1156.43</f>
        <v>1857.94</v>
      </c>
      <c r="R129" s="295"/>
      <c r="S129" s="385">
        <f t="shared" si="16"/>
        <v>1557.94</v>
      </c>
      <c r="T129" s="31"/>
      <c r="U129" s="474">
        <f t="shared" si="13"/>
        <v>0</v>
      </c>
      <c r="V129" s="474">
        <f t="shared" si="14"/>
        <v>300</v>
      </c>
      <c r="W129" s="475">
        <f t="shared" si="15"/>
        <v>0</v>
      </c>
      <c r="X129" s="475">
        <v>0</v>
      </c>
      <c r="Y129" s="476">
        <v>0</v>
      </c>
      <c r="Z129" s="38">
        <f t="shared" si="11"/>
        <v>0</v>
      </c>
    </row>
    <row r="130" spans="1:33" s="232" customFormat="1">
      <c r="A130" s="283" t="s">
        <v>211</v>
      </c>
      <c r="B130" s="283" t="s">
        <v>109</v>
      </c>
      <c r="C130" s="123" t="s">
        <v>389</v>
      </c>
      <c r="D130" s="481"/>
      <c r="E130" s="503">
        <f>'Q2 DMV - Revenue'!T123</f>
        <v>4808.3699999999953</v>
      </c>
      <c r="F130" s="504"/>
      <c r="G130" s="504"/>
      <c r="H130" s="504"/>
      <c r="I130" s="398">
        <f t="shared" si="18"/>
        <v>4808.3699999999953</v>
      </c>
      <c r="J130" s="31"/>
      <c r="K130" s="86"/>
      <c r="L130" s="290">
        <v>70000</v>
      </c>
      <c r="M130" s="31">
        <v>0</v>
      </c>
      <c r="N130" s="429">
        <v>69808.37</v>
      </c>
      <c r="O130" s="31">
        <v>0</v>
      </c>
      <c r="P130" s="426">
        <f t="shared" si="12"/>
        <v>70000</v>
      </c>
      <c r="Q130" s="14">
        <v>59038.45</v>
      </c>
      <c r="R130" s="295"/>
      <c r="S130" s="385">
        <f t="shared" si="16"/>
        <v>-10961.550000000003</v>
      </c>
      <c r="T130" s="31"/>
      <c r="U130" s="495">
        <f t="shared" si="13"/>
        <v>0</v>
      </c>
      <c r="V130" s="495">
        <f t="shared" si="14"/>
        <v>70000</v>
      </c>
      <c r="W130" s="496">
        <f t="shared" si="15"/>
        <v>0</v>
      </c>
      <c r="X130" s="496">
        <v>0</v>
      </c>
      <c r="Y130" s="505">
        <v>0</v>
      </c>
      <c r="Z130" s="515">
        <f t="shared" si="11"/>
        <v>0</v>
      </c>
      <c r="AA130" s="232">
        <v>0</v>
      </c>
      <c r="AB130" s="232">
        <v>172.41999999999825</v>
      </c>
      <c r="AC130" s="232">
        <v>0</v>
      </c>
      <c r="AE130" s="232">
        <v>0</v>
      </c>
      <c r="AF130" s="232">
        <v>107855</v>
      </c>
      <c r="AG130" s="232">
        <v>0</v>
      </c>
    </row>
    <row r="131" spans="1:33">
      <c r="A131" s="20" t="s">
        <v>211</v>
      </c>
      <c r="B131" s="20" t="s">
        <v>109</v>
      </c>
      <c r="C131" s="68" t="s">
        <v>236</v>
      </c>
      <c r="D131" s="433"/>
      <c r="E131" s="432" t="str">
        <f>'Q2 DMV - Revenue'!T124</f>
        <v/>
      </c>
      <c r="F131" s="390"/>
      <c r="G131" s="390"/>
      <c r="H131" s="390"/>
      <c r="I131" s="311">
        <f t="shared" si="18"/>
        <v>0</v>
      </c>
      <c r="J131" s="2"/>
      <c r="K131" s="336"/>
      <c r="L131" s="42">
        <v>800</v>
      </c>
      <c r="M131" s="31">
        <v>0</v>
      </c>
      <c r="N131" s="429">
        <v>0</v>
      </c>
      <c r="O131" s="31">
        <v>0</v>
      </c>
      <c r="P131" s="426">
        <f t="shared" si="12"/>
        <v>800</v>
      </c>
      <c r="Q131" s="178"/>
      <c r="R131" s="295"/>
      <c r="S131" s="385">
        <f t="shared" si="16"/>
        <v>-800</v>
      </c>
      <c r="T131" s="2"/>
      <c r="U131" s="474">
        <f t="shared" si="13"/>
        <v>0</v>
      </c>
      <c r="V131" s="474">
        <f t="shared" si="14"/>
        <v>800</v>
      </c>
      <c r="W131" s="475">
        <f t="shared" si="15"/>
        <v>0</v>
      </c>
      <c r="X131" s="475">
        <v>0</v>
      </c>
      <c r="Y131" s="476">
        <v>0</v>
      </c>
      <c r="Z131" s="38">
        <f t="shared" si="11"/>
        <v>0</v>
      </c>
      <c r="AA131" s="16">
        <v>0</v>
      </c>
      <c r="AB131" s="16">
        <v>0</v>
      </c>
      <c r="AC131" s="16">
        <v>0</v>
      </c>
      <c r="AE131" s="16">
        <v>0</v>
      </c>
      <c r="AF131" s="16">
        <v>400</v>
      </c>
      <c r="AG131" s="16">
        <v>0</v>
      </c>
    </row>
    <row r="132" spans="1:33" s="232" customFormat="1">
      <c r="A132" s="283"/>
      <c r="B132" s="283" t="s">
        <v>110</v>
      </c>
      <c r="C132" s="123" t="s">
        <v>192</v>
      </c>
      <c r="D132" s="481"/>
      <c r="E132" s="503" t="str">
        <f>'Q2 DMV - Revenue'!T125</f>
        <v/>
      </c>
      <c r="F132" s="503">
        <v>4678.3</v>
      </c>
      <c r="G132" s="503">
        <v>6224.81</v>
      </c>
      <c r="H132" s="503">
        <v>5102.93</v>
      </c>
      <c r="I132" s="398">
        <f t="shared" si="18"/>
        <v>16006.04</v>
      </c>
      <c r="J132" s="31"/>
      <c r="K132" s="86"/>
      <c r="L132" s="290"/>
      <c r="M132" s="31">
        <v>0</v>
      </c>
      <c r="N132" s="429">
        <v>0</v>
      </c>
      <c r="O132" s="31">
        <v>0</v>
      </c>
      <c r="P132" s="426">
        <f t="shared" si="12"/>
        <v>0</v>
      </c>
      <c r="Q132" s="14"/>
      <c r="R132" s="295"/>
      <c r="S132" s="385">
        <f t="shared" si="16"/>
        <v>0</v>
      </c>
      <c r="T132" s="31"/>
      <c r="U132" s="495">
        <f t="shared" si="13"/>
        <v>0</v>
      </c>
      <c r="V132" s="495">
        <f t="shared" si="14"/>
        <v>0</v>
      </c>
      <c r="W132" s="496">
        <f t="shared" si="15"/>
        <v>0</v>
      </c>
      <c r="X132" s="496">
        <v>0</v>
      </c>
      <c r="Y132" s="505">
        <v>0</v>
      </c>
      <c r="Z132" s="515">
        <f t="shared" si="11"/>
        <v>0</v>
      </c>
      <c r="AA132" s="232">
        <v>13110.23</v>
      </c>
      <c r="AB132" s="232">
        <v>0</v>
      </c>
      <c r="AC132" s="232">
        <v>0</v>
      </c>
      <c r="AE132" s="232">
        <v>6555.1149999999998</v>
      </c>
      <c r="AF132" s="232">
        <v>0</v>
      </c>
      <c r="AG132" s="232">
        <v>0</v>
      </c>
    </row>
    <row r="133" spans="1:33" s="232" customFormat="1">
      <c r="A133" s="283"/>
      <c r="B133" s="283" t="s">
        <v>110</v>
      </c>
      <c r="C133" s="123" t="s">
        <v>193</v>
      </c>
      <c r="D133" s="481"/>
      <c r="E133" s="503" t="str">
        <f>'Q2 DMV - Revenue'!T126</f>
        <v/>
      </c>
      <c r="F133" s="503">
        <v>841.34</v>
      </c>
      <c r="G133" s="503">
        <v>932.55</v>
      </c>
      <c r="H133" s="503">
        <v>734.04</v>
      </c>
      <c r="I133" s="398">
        <f t="shared" si="18"/>
        <v>2507.9299999999998</v>
      </c>
      <c r="J133" s="31"/>
      <c r="K133" s="86"/>
      <c r="L133" s="290"/>
      <c r="M133" s="31">
        <v>0</v>
      </c>
      <c r="N133" s="429">
        <v>0</v>
      </c>
      <c r="O133" s="31">
        <v>0</v>
      </c>
      <c r="P133" s="426">
        <f t="shared" si="12"/>
        <v>0</v>
      </c>
      <c r="Q133" s="14"/>
      <c r="R133" s="295"/>
      <c r="S133" s="385">
        <f t="shared" si="16"/>
        <v>0</v>
      </c>
      <c r="T133" s="31"/>
      <c r="U133" s="495">
        <f t="shared" si="13"/>
        <v>0</v>
      </c>
      <c r="V133" s="495">
        <f t="shared" si="14"/>
        <v>0</v>
      </c>
      <c r="W133" s="496">
        <f t="shared" si="15"/>
        <v>0</v>
      </c>
      <c r="X133" s="496">
        <v>0</v>
      </c>
      <c r="Y133" s="505">
        <v>0</v>
      </c>
      <c r="Z133" s="515">
        <f t="shared" si="11"/>
        <v>0</v>
      </c>
      <c r="AA133" s="232">
        <v>1885.08</v>
      </c>
      <c r="AB133" s="232">
        <v>0</v>
      </c>
      <c r="AC133" s="232">
        <v>0</v>
      </c>
      <c r="AE133" s="232">
        <v>942.54</v>
      </c>
      <c r="AF133" s="232">
        <v>0</v>
      </c>
      <c r="AG133" s="232">
        <v>0</v>
      </c>
    </row>
    <row r="134" spans="1:33" s="232" customFormat="1">
      <c r="A134" s="283"/>
      <c r="B134" s="283" t="s">
        <v>110</v>
      </c>
      <c r="C134" s="123" t="s">
        <v>194</v>
      </c>
      <c r="D134" s="481"/>
      <c r="E134" s="503" t="str">
        <f>'Q2 DMV - Revenue'!T127</f>
        <v/>
      </c>
      <c r="F134" s="503">
        <v>95.5</v>
      </c>
      <c r="G134" s="503">
        <v>181.47</v>
      </c>
      <c r="H134" s="503">
        <v>109.51</v>
      </c>
      <c r="I134" s="398">
        <f t="shared" si="18"/>
        <v>386.48</v>
      </c>
      <c r="J134" s="31"/>
      <c r="K134" s="86"/>
      <c r="L134" s="290"/>
      <c r="M134" s="31">
        <v>0</v>
      </c>
      <c r="N134" s="429">
        <v>0</v>
      </c>
      <c r="O134" s="31">
        <v>0</v>
      </c>
      <c r="P134" s="426">
        <f t="shared" si="12"/>
        <v>0</v>
      </c>
      <c r="Q134" s="14"/>
      <c r="R134" s="295"/>
      <c r="S134" s="385">
        <f t="shared" si="16"/>
        <v>0</v>
      </c>
      <c r="T134" s="31"/>
      <c r="U134" s="495">
        <f t="shared" si="13"/>
        <v>0</v>
      </c>
      <c r="V134" s="495">
        <f t="shared" si="14"/>
        <v>0</v>
      </c>
      <c r="W134" s="496">
        <f t="shared" si="15"/>
        <v>0</v>
      </c>
      <c r="X134" s="496">
        <v>0</v>
      </c>
      <c r="Y134" s="505">
        <v>0</v>
      </c>
      <c r="Z134" s="515">
        <f t="shared" si="11"/>
        <v>0</v>
      </c>
      <c r="AA134" s="232">
        <v>274.61</v>
      </c>
      <c r="AB134" s="232">
        <v>0</v>
      </c>
      <c r="AC134" s="232">
        <v>0</v>
      </c>
      <c r="AE134" s="232">
        <v>137.30500000000001</v>
      </c>
      <c r="AF134" s="232">
        <v>0</v>
      </c>
      <c r="AG134" s="232">
        <v>0</v>
      </c>
    </row>
    <row r="135" spans="1:33" s="232" customFormat="1">
      <c r="A135" s="283"/>
      <c r="B135" s="283" t="s">
        <v>110</v>
      </c>
      <c r="C135" s="123" t="s">
        <v>195</v>
      </c>
      <c r="D135" s="481"/>
      <c r="E135" s="503" t="str">
        <f>'Q2 DMV - Revenue'!T128</f>
        <v/>
      </c>
      <c r="F135" s="503">
        <v>19.61</v>
      </c>
      <c r="G135" s="503">
        <v>4.5599999999999996</v>
      </c>
      <c r="H135" s="503">
        <v>8.51</v>
      </c>
      <c r="I135" s="398">
        <f t="shared" si="18"/>
        <v>32.68</v>
      </c>
      <c r="J135" s="31"/>
      <c r="K135" s="86"/>
      <c r="L135" s="290"/>
      <c r="M135" s="31">
        <v>0</v>
      </c>
      <c r="N135" s="429">
        <v>0</v>
      </c>
      <c r="O135" s="31">
        <v>0</v>
      </c>
      <c r="P135" s="426">
        <f t="shared" si="12"/>
        <v>0</v>
      </c>
      <c r="Q135" s="14"/>
      <c r="R135" s="295"/>
      <c r="S135" s="385">
        <f t="shared" si="16"/>
        <v>0</v>
      </c>
      <c r="T135" s="31"/>
      <c r="U135" s="495">
        <f t="shared" si="13"/>
        <v>0</v>
      </c>
      <c r="V135" s="495">
        <f t="shared" si="14"/>
        <v>0</v>
      </c>
      <c r="W135" s="496">
        <f t="shared" si="15"/>
        <v>0</v>
      </c>
      <c r="X135" s="496">
        <v>0</v>
      </c>
      <c r="Y135" s="505">
        <v>0</v>
      </c>
      <c r="Z135" s="515">
        <f t="shared" si="11"/>
        <v>0</v>
      </c>
      <c r="AA135" s="232">
        <v>37.520000000000003</v>
      </c>
      <c r="AB135" s="232">
        <v>0</v>
      </c>
      <c r="AC135" s="232">
        <v>0</v>
      </c>
      <c r="AE135" s="232">
        <v>18.760000000000002</v>
      </c>
      <c r="AF135" s="232">
        <v>0</v>
      </c>
      <c r="AG135" s="232">
        <v>0</v>
      </c>
    </row>
    <row r="136" spans="1:33" s="232" customFormat="1">
      <c r="A136" s="283"/>
      <c r="B136" s="283" t="s">
        <v>110</v>
      </c>
      <c r="C136" s="123" t="s">
        <v>196</v>
      </c>
      <c r="D136" s="481"/>
      <c r="E136" s="503" t="str">
        <f>'Q2 DMV - Revenue'!T129</f>
        <v/>
      </c>
      <c r="F136" s="503">
        <v>126.99</v>
      </c>
      <c r="G136" s="503">
        <v>167.76</v>
      </c>
      <c r="H136" s="503">
        <v>120.29</v>
      </c>
      <c r="I136" s="398">
        <f t="shared" si="18"/>
        <v>415.04</v>
      </c>
      <c r="J136" s="31"/>
      <c r="K136" s="86"/>
      <c r="L136" s="290"/>
      <c r="M136" s="31">
        <v>0</v>
      </c>
      <c r="N136" s="429">
        <v>0</v>
      </c>
      <c r="O136" s="31">
        <v>0</v>
      </c>
      <c r="P136" s="426">
        <f t="shared" si="12"/>
        <v>0</v>
      </c>
      <c r="Q136" s="14"/>
      <c r="R136" s="295"/>
      <c r="S136" s="385">
        <f t="shared" si="16"/>
        <v>0</v>
      </c>
      <c r="T136" s="31"/>
      <c r="U136" s="495">
        <f t="shared" si="13"/>
        <v>0</v>
      </c>
      <c r="V136" s="495">
        <f t="shared" si="14"/>
        <v>0</v>
      </c>
      <c r="W136" s="496">
        <f t="shared" si="15"/>
        <v>0</v>
      </c>
      <c r="X136" s="496">
        <v>0</v>
      </c>
      <c r="Y136" s="505">
        <v>0</v>
      </c>
      <c r="Z136" s="515">
        <f t="shared" si="11"/>
        <v>0</v>
      </c>
      <c r="AA136" s="232">
        <v>326.96000000000004</v>
      </c>
      <c r="AB136" s="232">
        <v>0</v>
      </c>
      <c r="AC136" s="232">
        <v>0</v>
      </c>
      <c r="AE136" s="232">
        <v>163.48000000000002</v>
      </c>
      <c r="AF136" s="232">
        <v>0</v>
      </c>
      <c r="AG136" s="232">
        <v>0</v>
      </c>
    </row>
    <row r="137" spans="1:33" s="232" customFormat="1">
      <c r="A137" s="283"/>
      <c r="B137" s="283" t="s">
        <v>110</v>
      </c>
      <c r="C137" s="123" t="s">
        <v>197</v>
      </c>
      <c r="D137" s="481"/>
      <c r="E137" s="503" t="str">
        <f>'Q2 DMV - Revenue'!T130</f>
        <v/>
      </c>
      <c r="F137" s="503">
        <v>6.72</v>
      </c>
      <c r="G137" s="503">
        <v>25.05</v>
      </c>
      <c r="H137" s="503">
        <v>12.96</v>
      </c>
      <c r="I137" s="398">
        <f t="shared" si="18"/>
        <v>44.730000000000004</v>
      </c>
      <c r="J137" s="31"/>
      <c r="K137" s="86"/>
      <c r="L137" s="290"/>
      <c r="M137" s="31">
        <v>0</v>
      </c>
      <c r="N137" s="429">
        <v>0</v>
      </c>
      <c r="O137" s="31">
        <v>0</v>
      </c>
      <c r="P137" s="426">
        <f t="shared" si="12"/>
        <v>0</v>
      </c>
      <c r="Q137" s="14"/>
      <c r="R137" s="295"/>
      <c r="S137" s="385">
        <f t="shared" si="16"/>
        <v>0</v>
      </c>
      <c r="T137" s="31"/>
      <c r="U137" s="495">
        <f t="shared" si="13"/>
        <v>0</v>
      </c>
      <c r="V137" s="495">
        <f t="shared" si="14"/>
        <v>0</v>
      </c>
      <c r="W137" s="496">
        <f t="shared" si="15"/>
        <v>0</v>
      </c>
      <c r="X137" s="496">
        <v>0</v>
      </c>
      <c r="Y137" s="505">
        <v>0</v>
      </c>
      <c r="Z137" s="515">
        <f t="shared" si="11"/>
        <v>0</v>
      </c>
      <c r="AA137" s="232">
        <v>18.310000000000002</v>
      </c>
      <c r="AB137" s="232">
        <v>0</v>
      </c>
      <c r="AC137" s="232">
        <v>0</v>
      </c>
      <c r="AE137" s="232">
        <v>9.1550000000000011</v>
      </c>
      <c r="AF137" s="232">
        <v>0</v>
      </c>
      <c r="AG137" s="232">
        <v>0</v>
      </c>
    </row>
    <row r="138" spans="1:33" s="232" customFormat="1">
      <c r="A138" s="283"/>
      <c r="B138" s="283" t="s">
        <v>110</v>
      </c>
      <c r="C138" s="123" t="s">
        <v>198</v>
      </c>
      <c r="D138" s="481"/>
      <c r="E138" s="503" t="str">
        <f>'Q2 DMV - Revenue'!T131</f>
        <v/>
      </c>
      <c r="F138" s="503">
        <v>48.54</v>
      </c>
      <c r="G138" s="503">
        <v>92.39</v>
      </c>
      <c r="H138" s="503">
        <v>109.84</v>
      </c>
      <c r="I138" s="398">
        <f t="shared" si="18"/>
        <v>250.77</v>
      </c>
      <c r="J138" s="31"/>
      <c r="K138" s="86"/>
      <c r="L138" s="290"/>
      <c r="M138" s="31">
        <v>0</v>
      </c>
      <c r="N138" s="429">
        <v>0</v>
      </c>
      <c r="O138" s="31">
        <v>0</v>
      </c>
      <c r="P138" s="426">
        <f t="shared" si="12"/>
        <v>0</v>
      </c>
      <c r="Q138" s="14"/>
      <c r="R138" s="295"/>
      <c r="S138" s="385">
        <f t="shared" si="16"/>
        <v>0</v>
      </c>
      <c r="T138" s="31"/>
      <c r="U138" s="495">
        <f t="shared" si="13"/>
        <v>0</v>
      </c>
      <c r="V138" s="495">
        <f t="shared" si="14"/>
        <v>0</v>
      </c>
      <c r="W138" s="496">
        <f t="shared" si="15"/>
        <v>0</v>
      </c>
      <c r="X138" s="496">
        <v>0</v>
      </c>
      <c r="Y138" s="505">
        <v>0</v>
      </c>
      <c r="Z138" s="515">
        <f t="shared" si="11"/>
        <v>0</v>
      </c>
      <c r="AA138" s="232">
        <v>68.63</v>
      </c>
      <c r="AB138" s="232">
        <v>0</v>
      </c>
      <c r="AC138" s="232">
        <v>0</v>
      </c>
      <c r="AE138" s="232">
        <v>34.314999999999998</v>
      </c>
      <c r="AF138" s="232">
        <v>0</v>
      </c>
      <c r="AG138" s="232">
        <v>0</v>
      </c>
    </row>
    <row r="139" spans="1:33" s="232" customFormat="1">
      <c r="A139" s="283"/>
      <c r="B139" s="283" t="s">
        <v>109</v>
      </c>
      <c r="C139" s="123" t="s">
        <v>248</v>
      </c>
      <c r="D139" s="481"/>
      <c r="E139" s="503" t="str">
        <f>'Q2 DMV - Revenue'!T132</f>
        <v/>
      </c>
      <c r="F139" s="503">
        <v>27.68</v>
      </c>
      <c r="G139" s="503">
        <v>18.68</v>
      </c>
      <c r="H139" s="503">
        <v>33.799999999999997</v>
      </c>
      <c r="I139" s="398">
        <f t="shared" si="18"/>
        <v>80.16</v>
      </c>
      <c r="J139" s="31"/>
      <c r="K139" s="86"/>
      <c r="L139" s="290"/>
      <c r="M139" s="31"/>
      <c r="N139" s="429">
        <f>13491.93+H132:H139</f>
        <v>13525.73</v>
      </c>
      <c r="O139" s="31"/>
      <c r="P139" s="426">
        <f t="shared" si="12"/>
        <v>0</v>
      </c>
      <c r="Q139" s="14"/>
      <c r="R139" s="295"/>
      <c r="S139" s="385">
        <f t="shared" si="16"/>
        <v>0</v>
      </c>
      <c r="T139" s="31"/>
      <c r="U139" s="495">
        <f t="shared" si="13"/>
        <v>0</v>
      </c>
      <c r="V139" s="495">
        <f t="shared" si="14"/>
        <v>0</v>
      </c>
      <c r="W139" s="496">
        <f t="shared" si="15"/>
        <v>0</v>
      </c>
      <c r="X139" s="496">
        <v>0</v>
      </c>
      <c r="Y139" s="505">
        <v>0</v>
      </c>
      <c r="Z139" s="515">
        <f t="shared" si="11"/>
        <v>0</v>
      </c>
      <c r="AA139" s="232">
        <v>0</v>
      </c>
      <c r="AB139" s="232">
        <v>63.6</v>
      </c>
      <c r="AC139" s="232">
        <v>0</v>
      </c>
      <c r="AE139" s="232">
        <v>0</v>
      </c>
      <c r="AF139" s="232">
        <v>31.8</v>
      </c>
      <c r="AG139" s="232">
        <v>0</v>
      </c>
    </row>
    <row r="140" spans="1:33">
      <c r="A140" s="21"/>
      <c r="B140" s="21" t="s">
        <v>109</v>
      </c>
      <c r="C140" s="68" t="s">
        <v>31</v>
      </c>
      <c r="D140" s="433"/>
      <c r="E140" s="432">
        <f>'Q2 DMV - Revenue'!T133</f>
        <v>1892.6000000000004</v>
      </c>
      <c r="F140" s="390"/>
      <c r="G140" s="390"/>
      <c r="H140" s="390"/>
      <c r="I140" s="311">
        <f t="shared" si="18"/>
        <v>1892.6000000000004</v>
      </c>
      <c r="J140" s="31"/>
      <c r="K140" s="84"/>
      <c r="L140" s="42">
        <v>15000</v>
      </c>
      <c r="M140" s="31">
        <v>0</v>
      </c>
      <c r="N140" s="429">
        <v>92586.85</v>
      </c>
      <c r="O140" s="31">
        <v>0</v>
      </c>
      <c r="P140" s="426">
        <f t="shared" si="12"/>
        <v>15000</v>
      </c>
      <c r="Q140" s="178">
        <f>2516.75+3627.43+2646.51</f>
        <v>8790.69</v>
      </c>
      <c r="R140" s="295"/>
      <c r="S140" s="385">
        <f t="shared" si="16"/>
        <v>-6209.3099999999995</v>
      </c>
      <c r="T140" s="31"/>
      <c r="U140" s="474">
        <f t="shared" si="13"/>
        <v>0</v>
      </c>
      <c r="V140" s="474">
        <f t="shared" si="14"/>
        <v>15000</v>
      </c>
      <c r="W140" s="475">
        <f t="shared" si="15"/>
        <v>0</v>
      </c>
      <c r="X140" s="475">
        <v>0</v>
      </c>
      <c r="Y140" s="476">
        <v>0</v>
      </c>
      <c r="Z140" s="38">
        <f t="shared" si="11"/>
        <v>0</v>
      </c>
      <c r="AA140" s="16">
        <v>0</v>
      </c>
      <c r="AB140" s="16">
        <v>0</v>
      </c>
      <c r="AC140" s="16">
        <v>0</v>
      </c>
      <c r="AE140" s="16">
        <v>0</v>
      </c>
      <c r="AF140" s="16">
        <v>33300</v>
      </c>
      <c r="AG140" s="16">
        <v>0</v>
      </c>
    </row>
    <row r="141" spans="1:33">
      <c r="A141" s="21"/>
      <c r="B141" s="21" t="s">
        <v>110</v>
      </c>
      <c r="C141" s="68" t="s">
        <v>261</v>
      </c>
      <c r="D141" s="433"/>
      <c r="E141" s="432">
        <f>'Q2 DMV - Revenue'!T134</f>
        <v>-2063.5549999999967</v>
      </c>
      <c r="F141" s="438">
        <f>42192.34-F142</f>
        <v>29819.619999999995</v>
      </c>
      <c r="G141" s="390"/>
      <c r="H141" s="390"/>
      <c r="I141" s="311">
        <f t="shared" si="18"/>
        <v>27756.064999999999</v>
      </c>
      <c r="J141" s="31"/>
      <c r="K141" s="84"/>
      <c r="L141" s="42">
        <f>F141*2</f>
        <v>59639.239999999991</v>
      </c>
      <c r="M141" s="31">
        <v>1</v>
      </c>
      <c r="N141" s="429">
        <v>0</v>
      </c>
      <c r="O141" s="31">
        <v>1</v>
      </c>
      <c r="P141" s="426">
        <f t="shared" si="12"/>
        <v>59639.239999999991</v>
      </c>
      <c r="Q141" s="178">
        <v>59149.440000000002</v>
      </c>
      <c r="R141" s="295"/>
      <c r="S141" s="385">
        <f t="shared" si="16"/>
        <v>-489.79999999998836</v>
      </c>
      <c r="T141" s="31"/>
      <c r="U141" s="474">
        <f t="shared" si="13"/>
        <v>59639.239999999991</v>
      </c>
      <c r="V141" s="474">
        <f t="shared" si="14"/>
        <v>0</v>
      </c>
      <c r="W141" s="475">
        <f t="shared" si="15"/>
        <v>0</v>
      </c>
      <c r="X141" s="475">
        <v>0</v>
      </c>
      <c r="Y141" s="476">
        <v>0</v>
      </c>
      <c r="Z141" s="38">
        <f t="shared" si="11"/>
        <v>0</v>
      </c>
      <c r="AA141" s="16">
        <v>39025.929999999993</v>
      </c>
      <c r="AE141" s="16">
        <v>19512.964999999997</v>
      </c>
      <c r="AF141" s="16">
        <v>0</v>
      </c>
      <c r="AG141" s="16">
        <v>0</v>
      </c>
    </row>
    <row r="142" spans="1:33" s="269" customFormat="1">
      <c r="A142" s="267"/>
      <c r="B142" s="21" t="s">
        <v>110</v>
      </c>
      <c r="C142" s="68" t="s">
        <v>262</v>
      </c>
      <c r="D142" s="433"/>
      <c r="E142" s="432">
        <f>'Q2 DMV - Revenue'!T135</f>
        <v>-631.3799999999992</v>
      </c>
      <c r="F142" s="438">
        <v>12372.72</v>
      </c>
      <c r="G142" s="390"/>
      <c r="H142" s="390"/>
      <c r="I142" s="311">
        <f t="shared" si="18"/>
        <v>11741.34</v>
      </c>
      <c r="J142" s="31"/>
      <c r="K142" s="84"/>
      <c r="L142" s="42">
        <f t="shared" ref="L142" si="20">F142*2</f>
        <v>24745.439999999999</v>
      </c>
      <c r="M142" s="31">
        <v>1</v>
      </c>
      <c r="N142" s="429">
        <v>0</v>
      </c>
      <c r="O142" s="31">
        <v>1</v>
      </c>
      <c r="P142" s="426">
        <f t="shared" si="12"/>
        <v>24745.439999999999</v>
      </c>
      <c r="Q142" s="178">
        <f>12619.01+13384.41</f>
        <v>26003.42</v>
      </c>
      <c r="R142" s="295"/>
      <c r="S142" s="385">
        <f t="shared" si="16"/>
        <v>1257.9799999999996</v>
      </c>
      <c r="T142" s="31"/>
      <c r="U142" s="474">
        <f t="shared" si="13"/>
        <v>24745.439999999999</v>
      </c>
      <c r="V142" s="474">
        <f t="shared" si="14"/>
        <v>0</v>
      </c>
      <c r="W142" s="475">
        <f t="shared" si="15"/>
        <v>0</v>
      </c>
      <c r="X142" s="475">
        <v>0</v>
      </c>
      <c r="Y142" s="476">
        <v>0</v>
      </c>
      <c r="Z142" s="33">
        <f t="shared" si="11"/>
        <v>0</v>
      </c>
      <c r="AA142" s="269">
        <v>15296.720000000001</v>
      </c>
      <c r="AE142" s="269">
        <v>7648.3600000000006</v>
      </c>
      <c r="AF142" s="269">
        <v>0</v>
      </c>
      <c r="AG142" s="269">
        <v>0</v>
      </c>
    </row>
    <row r="143" spans="1:33">
      <c r="A143" s="21"/>
      <c r="B143" s="21" t="s">
        <v>109</v>
      </c>
      <c r="C143" s="68" t="s">
        <v>190</v>
      </c>
      <c r="D143" s="433"/>
      <c r="E143" s="432">
        <f>'Q2 DMV - Revenue'!T136</f>
        <v>-41.924999999999955</v>
      </c>
      <c r="F143" s="438">
        <f>975.71/4</f>
        <v>243.92750000000001</v>
      </c>
      <c r="G143" s="438">
        <f>975.71/4</f>
        <v>243.92750000000001</v>
      </c>
      <c r="H143" s="390"/>
      <c r="I143" s="311">
        <f t="shared" si="18"/>
        <v>445.93000000000006</v>
      </c>
      <c r="J143" s="31"/>
      <c r="K143" s="84"/>
      <c r="L143" s="42">
        <f>(F143+G143)/2</f>
        <v>243.92750000000001</v>
      </c>
      <c r="M143" s="31">
        <v>0</v>
      </c>
      <c r="N143" s="429">
        <v>975.71</v>
      </c>
      <c r="O143" s="31">
        <v>0</v>
      </c>
      <c r="P143" s="426">
        <f>K143+L143</f>
        <v>243.92750000000001</v>
      </c>
      <c r="Q143" s="178">
        <v>265.42</v>
      </c>
      <c r="R143" s="295"/>
      <c r="S143" s="385">
        <f t="shared" si="16"/>
        <v>21.492500000000007</v>
      </c>
      <c r="T143" s="31"/>
      <c r="U143" s="474">
        <f t="shared" si="13"/>
        <v>0</v>
      </c>
      <c r="V143" s="474">
        <f t="shared" si="14"/>
        <v>243.92750000000001</v>
      </c>
      <c r="W143" s="475">
        <f t="shared" si="15"/>
        <v>0</v>
      </c>
      <c r="X143" s="475">
        <v>0</v>
      </c>
      <c r="Y143" s="476">
        <v>0</v>
      </c>
      <c r="Z143" s="38">
        <f t="shared" si="11"/>
        <v>0</v>
      </c>
      <c r="AA143" s="16">
        <v>0</v>
      </c>
      <c r="AB143" s="16">
        <v>-700</v>
      </c>
      <c r="AC143" s="16">
        <v>0</v>
      </c>
      <c r="AE143" s="16">
        <v>0</v>
      </c>
      <c r="AF143" s="16">
        <v>700</v>
      </c>
      <c r="AG143" s="16">
        <v>0</v>
      </c>
    </row>
    <row r="144" spans="1:33">
      <c r="A144" s="21"/>
      <c r="B144" s="21" t="s">
        <v>109</v>
      </c>
      <c r="C144" s="68" t="s">
        <v>231</v>
      </c>
      <c r="D144" s="433"/>
      <c r="E144" s="432" t="str">
        <f>'Q2 DMV - Revenue'!T137</f>
        <v/>
      </c>
      <c r="F144" s="390"/>
      <c r="G144" s="390"/>
      <c r="H144" s="390"/>
      <c r="I144" s="311">
        <f t="shared" si="18"/>
        <v>0</v>
      </c>
      <c r="J144" s="31"/>
      <c r="K144" s="84"/>
      <c r="L144" s="42">
        <v>3000</v>
      </c>
      <c r="M144" s="31">
        <v>0</v>
      </c>
      <c r="N144" s="429">
        <v>0</v>
      </c>
      <c r="O144" s="31">
        <v>0</v>
      </c>
      <c r="P144" s="426">
        <f t="shared" si="12"/>
        <v>3000</v>
      </c>
      <c r="Q144" s="178">
        <f>237.9+1835.58</f>
        <v>2073.48</v>
      </c>
      <c r="R144" s="295"/>
      <c r="S144" s="385">
        <f t="shared" si="16"/>
        <v>-926.52</v>
      </c>
      <c r="T144" s="31"/>
      <c r="U144" s="474">
        <f t="shared" si="13"/>
        <v>0</v>
      </c>
      <c r="V144" s="474">
        <f t="shared" si="14"/>
        <v>3000</v>
      </c>
      <c r="W144" s="475">
        <f t="shared" si="15"/>
        <v>0</v>
      </c>
      <c r="X144" s="475">
        <v>0</v>
      </c>
      <c r="Y144" s="476">
        <v>0</v>
      </c>
      <c r="Z144" s="38">
        <f t="shared" si="11"/>
        <v>0</v>
      </c>
      <c r="AA144" s="16">
        <v>0</v>
      </c>
      <c r="AB144" s="16">
        <v>34963.700000000004</v>
      </c>
      <c r="AC144" s="16">
        <v>0</v>
      </c>
      <c r="AE144" s="16">
        <v>0</v>
      </c>
      <c r="AF144" s="16">
        <v>0</v>
      </c>
      <c r="AG144" s="16">
        <v>0</v>
      </c>
    </row>
    <row r="145" spans="1:33">
      <c r="A145" s="21"/>
      <c r="B145" s="21" t="s">
        <v>109</v>
      </c>
      <c r="C145" s="68" t="s">
        <v>396</v>
      </c>
      <c r="D145" s="433">
        <f>80.68+54.99+67.32</f>
        <v>202.99</v>
      </c>
      <c r="E145" s="432">
        <f>2.06+41.11+35.97+20.04+22.1+23.13</f>
        <v>144.41</v>
      </c>
      <c r="F145" s="438">
        <v>20.56</v>
      </c>
      <c r="G145" s="390"/>
      <c r="H145" s="390"/>
      <c r="I145" s="311">
        <f t="shared" si="18"/>
        <v>367.96</v>
      </c>
      <c r="J145" s="31"/>
      <c r="K145" s="84"/>
      <c r="L145" s="42">
        <f>F145*2</f>
        <v>41.12</v>
      </c>
      <c r="M145" s="31"/>
      <c r="N145" s="429">
        <v>367.95</v>
      </c>
      <c r="O145" s="31"/>
      <c r="P145" s="426">
        <f t="shared" si="12"/>
        <v>41.12</v>
      </c>
      <c r="Q145" s="178"/>
      <c r="R145" s="295"/>
      <c r="S145" s="385">
        <f t="shared" si="16"/>
        <v>-41.12</v>
      </c>
      <c r="T145" s="31"/>
      <c r="U145" s="474">
        <f t="shared" si="13"/>
        <v>0</v>
      </c>
      <c r="V145" s="474">
        <f t="shared" si="14"/>
        <v>41.12</v>
      </c>
      <c r="W145" s="475">
        <f t="shared" si="15"/>
        <v>0</v>
      </c>
      <c r="X145" s="475">
        <v>0</v>
      </c>
      <c r="Y145" s="476">
        <v>0</v>
      </c>
      <c r="Z145" s="38">
        <f t="shared" si="11"/>
        <v>0</v>
      </c>
    </row>
    <row r="146" spans="1:33">
      <c r="A146" s="21"/>
      <c r="B146" s="21" t="s">
        <v>110</v>
      </c>
      <c r="C146" s="68" t="s">
        <v>342</v>
      </c>
      <c r="D146" s="433"/>
      <c r="E146" s="432">
        <f>'Q2 DMV - Revenue'!T138</f>
        <v>-6857.16</v>
      </c>
      <c r="F146" s="438">
        <v>1884.46</v>
      </c>
      <c r="G146" s="438">
        <v>1985.81</v>
      </c>
      <c r="H146" s="390"/>
      <c r="I146" s="311">
        <f t="shared" si="18"/>
        <v>-2986.89</v>
      </c>
      <c r="J146" s="31"/>
      <c r="K146" s="84"/>
      <c r="L146" s="42">
        <f>(F146+G146)/2</f>
        <v>1935.135</v>
      </c>
      <c r="M146" s="31"/>
      <c r="N146" s="429">
        <v>0</v>
      </c>
      <c r="O146" s="31"/>
      <c r="P146" s="426">
        <f t="shared" si="12"/>
        <v>1935.135</v>
      </c>
      <c r="Q146" s="178"/>
      <c r="R146" s="295"/>
      <c r="S146" s="385">
        <f t="shared" si="16"/>
        <v>-1935.135</v>
      </c>
      <c r="T146" s="31"/>
      <c r="U146" s="474">
        <f t="shared" si="13"/>
        <v>1935.135</v>
      </c>
      <c r="V146" s="474">
        <f t="shared" si="14"/>
        <v>0</v>
      </c>
      <c r="W146" s="475">
        <f t="shared" si="15"/>
        <v>0</v>
      </c>
      <c r="X146" s="475">
        <v>0</v>
      </c>
      <c r="Y146" s="476">
        <v>0</v>
      </c>
      <c r="Z146" s="38">
        <f t="shared" si="11"/>
        <v>0</v>
      </c>
    </row>
    <row r="147" spans="1:33">
      <c r="A147" s="20"/>
      <c r="B147" s="20" t="s">
        <v>109</v>
      </c>
      <c r="C147" s="68" t="s">
        <v>32</v>
      </c>
      <c r="D147" s="433">
        <v>2540.83</v>
      </c>
      <c r="E147" s="432">
        <f>'Q2 DMV - Revenue'!T139</f>
        <v>-2459.17</v>
      </c>
      <c r="F147" s="438">
        <v>158.16</v>
      </c>
      <c r="G147" s="438">
        <v>332.77</v>
      </c>
      <c r="H147" s="390"/>
      <c r="I147" s="311">
        <f t="shared" si="18"/>
        <v>572.5899999999998</v>
      </c>
      <c r="J147" s="31"/>
      <c r="K147" s="84"/>
      <c r="L147" s="42">
        <f>(F147+G147)/2</f>
        <v>245.46499999999997</v>
      </c>
      <c r="M147" s="31">
        <v>0</v>
      </c>
      <c r="N147" s="429">
        <v>3031.76</v>
      </c>
      <c r="O147" s="31">
        <v>0</v>
      </c>
      <c r="P147" s="426">
        <f t="shared" si="12"/>
        <v>245.46499999999997</v>
      </c>
      <c r="Q147" s="178">
        <f>29.68+86.81+17.43+16.26+3.49</f>
        <v>153.67000000000002</v>
      </c>
      <c r="R147" s="295"/>
      <c r="S147" s="385">
        <f t="shared" si="16"/>
        <v>-91.794999999999959</v>
      </c>
      <c r="T147" s="31"/>
      <c r="U147" s="474">
        <f t="shared" si="13"/>
        <v>0</v>
      </c>
      <c r="V147" s="474">
        <f t="shared" si="14"/>
        <v>245.46499999999997</v>
      </c>
      <c r="W147" s="475">
        <f t="shared" si="15"/>
        <v>0</v>
      </c>
      <c r="X147" s="475">
        <v>0</v>
      </c>
      <c r="Y147" s="476">
        <v>0</v>
      </c>
      <c r="Z147" s="38">
        <f t="shared" ref="Z147:Z211" si="21">(K147+L147)-(U147+V147+W147+X147+Y147)</f>
        <v>0</v>
      </c>
      <c r="AA147" s="16">
        <v>0</v>
      </c>
      <c r="AB147" s="16">
        <v>-1800</v>
      </c>
      <c r="AC147" s="16">
        <v>0</v>
      </c>
      <c r="AE147" s="16">
        <v>0</v>
      </c>
      <c r="AF147" s="16">
        <v>900</v>
      </c>
      <c r="AG147" s="16">
        <v>0</v>
      </c>
    </row>
    <row r="148" spans="1:33">
      <c r="A148" s="21" t="s">
        <v>211</v>
      </c>
      <c r="B148" s="21" t="s">
        <v>110</v>
      </c>
      <c r="C148" s="68" t="s">
        <v>122</v>
      </c>
      <c r="D148" s="433">
        <v>11507.18</v>
      </c>
      <c r="E148" s="432">
        <f>'Q2 DMV - Revenue'!T140</f>
        <v>-24363.25</v>
      </c>
      <c r="F148" s="390"/>
      <c r="G148" s="390"/>
      <c r="H148" s="390"/>
      <c r="I148" s="311">
        <f t="shared" si="18"/>
        <v>-12856.07</v>
      </c>
      <c r="J148" s="31"/>
      <c r="K148" s="84"/>
      <c r="L148" s="42">
        <v>20000</v>
      </c>
      <c r="M148" s="31">
        <v>0</v>
      </c>
      <c r="N148" s="429">
        <v>27143.93</v>
      </c>
      <c r="O148" s="31">
        <v>0</v>
      </c>
      <c r="P148" s="426">
        <f t="shared" si="12"/>
        <v>20000</v>
      </c>
      <c r="Q148" s="178">
        <v>11913.12</v>
      </c>
      <c r="R148" s="295"/>
      <c r="S148" s="385">
        <f t="shared" si="16"/>
        <v>-8086.8799999999992</v>
      </c>
      <c r="T148" s="31"/>
      <c r="U148" s="474">
        <f t="shared" si="13"/>
        <v>20000</v>
      </c>
      <c r="V148" s="474">
        <f t="shared" si="14"/>
        <v>0</v>
      </c>
      <c r="W148" s="475">
        <f t="shared" si="15"/>
        <v>0</v>
      </c>
      <c r="X148" s="475">
        <v>0</v>
      </c>
      <c r="Y148" s="476">
        <v>0</v>
      </c>
      <c r="Z148" s="38">
        <f t="shared" si="21"/>
        <v>0</v>
      </c>
      <c r="AA148" s="16">
        <v>833.90000000000146</v>
      </c>
      <c r="AB148" s="16">
        <v>0</v>
      </c>
      <c r="AC148" s="16">
        <v>0</v>
      </c>
      <c r="AE148" s="16">
        <v>21533.9</v>
      </c>
      <c r="AF148" s="16">
        <v>0</v>
      </c>
      <c r="AG148" s="16">
        <v>0</v>
      </c>
    </row>
    <row r="149" spans="1:33">
      <c r="A149" s="21"/>
      <c r="B149" s="21" t="s">
        <v>109</v>
      </c>
      <c r="C149" s="68" t="s">
        <v>33</v>
      </c>
      <c r="D149" s="433"/>
      <c r="E149" s="432">
        <f>'Q2 DMV - Revenue'!T140</f>
        <v>-24363.25</v>
      </c>
      <c r="F149" s="438">
        <v>10407.15</v>
      </c>
      <c r="G149" s="390"/>
      <c r="H149" s="390"/>
      <c r="I149" s="311">
        <f>SUM(D149:H149)</f>
        <v>-13956.1</v>
      </c>
      <c r="J149" s="31"/>
      <c r="K149" s="84"/>
      <c r="L149" s="42">
        <f>F149*2</f>
        <v>20814.3</v>
      </c>
      <c r="M149" s="31">
        <v>0</v>
      </c>
      <c r="N149" s="429">
        <v>20296.55</v>
      </c>
      <c r="O149" s="31">
        <v>0</v>
      </c>
      <c r="P149" s="426">
        <f t="shared" ref="P149:P214" si="22">K149+L149</f>
        <v>20814.3</v>
      </c>
      <c r="Q149" s="178">
        <f>9889.4+13087.2</f>
        <v>22976.6</v>
      </c>
      <c r="R149" s="295"/>
      <c r="S149" s="385">
        <f t="shared" ref="S149:S212" si="23">Q149-P149</f>
        <v>2162.2999999999993</v>
      </c>
      <c r="T149" s="31"/>
      <c r="U149" s="474">
        <f t="shared" ref="U149:U214" si="24">IF(B149="D",P149,0)</f>
        <v>0</v>
      </c>
      <c r="V149" s="474">
        <f t="shared" ref="V149:V214" si="25">IF(B149="M",P149,0)</f>
        <v>20814.3</v>
      </c>
      <c r="W149" s="475">
        <f t="shared" ref="W149:W214" si="26">IF(B149="V",P149,0)</f>
        <v>0</v>
      </c>
      <c r="X149" s="475">
        <v>0</v>
      </c>
      <c r="Y149" s="476">
        <v>0</v>
      </c>
      <c r="Z149" s="38">
        <f t="shared" si="21"/>
        <v>0</v>
      </c>
      <c r="AA149" s="16">
        <v>0</v>
      </c>
      <c r="AB149" s="16">
        <v>30712.65</v>
      </c>
      <c r="AC149" s="16">
        <v>0</v>
      </c>
      <c r="AE149" s="16">
        <v>0</v>
      </c>
      <c r="AF149" s="16">
        <v>0</v>
      </c>
      <c r="AG149" s="16">
        <v>0</v>
      </c>
    </row>
    <row r="150" spans="1:33">
      <c r="A150" s="21"/>
      <c r="B150" s="21" t="s">
        <v>109</v>
      </c>
      <c r="C150" s="68" t="s">
        <v>379</v>
      </c>
      <c r="D150" s="433">
        <v>9309.36</v>
      </c>
      <c r="E150" s="432" t="str">
        <f>'Q2 DMV - Revenue'!T141</f>
        <v/>
      </c>
      <c r="F150" s="438">
        <v>804.6</v>
      </c>
      <c r="G150" s="438">
        <v>939.53</v>
      </c>
      <c r="H150" s="390"/>
      <c r="I150" s="311">
        <f t="shared" si="18"/>
        <v>11053.490000000002</v>
      </c>
      <c r="J150" s="31"/>
      <c r="K150" s="84"/>
      <c r="L150" s="42">
        <f>(F150+G150)/2</f>
        <v>872.06500000000005</v>
      </c>
      <c r="M150" s="31">
        <v>0</v>
      </c>
      <c r="N150" s="429">
        <v>11053.49</v>
      </c>
      <c r="O150" s="31">
        <v>0</v>
      </c>
      <c r="P150" s="426">
        <f t="shared" si="22"/>
        <v>872.06500000000005</v>
      </c>
      <c r="Q150" s="178">
        <v>786.41</v>
      </c>
      <c r="R150" s="295"/>
      <c r="S150" s="385">
        <f t="shared" si="23"/>
        <v>-85.655000000000086</v>
      </c>
      <c r="T150" s="31"/>
      <c r="U150" s="474">
        <f t="shared" si="24"/>
        <v>0</v>
      </c>
      <c r="V150" s="474">
        <f t="shared" si="25"/>
        <v>872.06500000000005</v>
      </c>
      <c r="W150" s="475">
        <f t="shared" si="26"/>
        <v>0</v>
      </c>
      <c r="X150" s="475">
        <v>0</v>
      </c>
      <c r="Y150" s="476">
        <v>0</v>
      </c>
      <c r="Z150" s="38">
        <f t="shared" si="21"/>
        <v>0</v>
      </c>
      <c r="AA150" s="16">
        <v>0</v>
      </c>
      <c r="AB150" s="16">
        <v>30712.65</v>
      </c>
      <c r="AC150" s="16">
        <v>0</v>
      </c>
      <c r="AE150" s="16">
        <v>0</v>
      </c>
      <c r="AF150" s="16">
        <v>0</v>
      </c>
      <c r="AG150" s="16">
        <v>0</v>
      </c>
    </row>
    <row r="151" spans="1:33" s="232" customFormat="1">
      <c r="A151" s="283"/>
      <c r="B151" s="283" t="s">
        <v>110</v>
      </c>
      <c r="C151" s="455" t="s">
        <v>322</v>
      </c>
      <c r="D151" s="481"/>
      <c r="E151" s="503">
        <f>'Q2 DMV - Revenue'!T142</f>
        <v>-195442.94</v>
      </c>
      <c r="F151" s="503">
        <f>10855.8+496.35+1646.62+1564.37+8564.8+27167.64+5541.15</f>
        <v>55836.73</v>
      </c>
      <c r="G151" s="503">
        <f>10000.9+395.71+1477.78+2617.05+8639.6+26286.68+5868.24</f>
        <v>55285.96</v>
      </c>
      <c r="H151" s="504"/>
      <c r="I151" s="398">
        <f t="shared" si="18"/>
        <v>-84320.25</v>
      </c>
      <c r="J151" s="31"/>
      <c r="K151" s="86">
        <f>98500+147067</f>
        <v>245567</v>
      </c>
      <c r="L151" s="290"/>
      <c r="M151" s="31">
        <v>0</v>
      </c>
      <c r="N151" s="429">
        <v>310121.40000000002</v>
      </c>
      <c r="O151" s="31">
        <v>0</v>
      </c>
      <c r="P151" s="426">
        <f t="shared" si="22"/>
        <v>245567</v>
      </c>
      <c r="Q151" s="14">
        <f>98156.64+1350.03</f>
        <v>99506.67</v>
      </c>
      <c r="R151" s="295"/>
      <c r="S151" s="385">
        <f t="shared" si="23"/>
        <v>-146060.33000000002</v>
      </c>
      <c r="T151" s="31"/>
      <c r="U151" s="495">
        <f t="shared" si="24"/>
        <v>245567</v>
      </c>
      <c r="V151" s="495">
        <f t="shared" si="25"/>
        <v>0</v>
      </c>
      <c r="W151" s="496">
        <f t="shared" si="26"/>
        <v>0</v>
      </c>
      <c r="X151" s="496">
        <v>0</v>
      </c>
      <c r="Y151" s="505">
        <v>0</v>
      </c>
      <c r="Z151" s="515">
        <f t="shared" si="21"/>
        <v>0</v>
      </c>
      <c r="AA151" s="232">
        <v>64095.91</v>
      </c>
      <c r="AB151" s="232">
        <v>0</v>
      </c>
      <c r="AC151" s="232">
        <v>0</v>
      </c>
      <c r="AE151" s="232">
        <v>22155.6003595722</v>
      </c>
      <c r="AF151" s="232">
        <v>0</v>
      </c>
      <c r="AG151" s="232">
        <v>0</v>
      </c>
    </row>
    <row r="152" spans="1:33" s="232" customFormat="1">
      <c r="A152" s="283"/>
      <c r="B152" s="283" t="s">
        <v>110</v>
      </c>
      <c r="C152" s="455" t="s">
        <v>323</v>
      </c>
      <c r="D152" s="481"/>
      <c r="E152" s="503">
        <f>'Q2 DMV - Revenue'!T143</f>
        <v>47127.97</v>
      </c>
      <c r="F152" s="503">
        <f>19694.85+1907.18+2135.96+13177.17+9386.83+1724.68</f>
        <v>48026.67</v>
      </c>
      <c r="G152" s="503">
        <f>17922.45+1715.73+2190.81+13067.74+9249.38+2237.75</f>
        <v>46383.86</v>
      </c>
      <c r="H152" s="504"/>
      <c r="I152" s="398">
        <f t="shared" si="18"/>
        <v>141538.5</v>
      </c>
      <c r="J152" s="31"/>
      <c r="K152" s="86"/>
      <c r="L152" s="290"/>
      <c r="M152" s="31">
        <v>0</v>
      </c>
      <c r="N152" s="429">
        <v>0</v>
      </c>
      <c r="O152" s="31">
        <v>0</v>
      </c>
      <c r="P152" s="426">
        <f t="shared" si="22"/>
        <v>0</v>
      </c>
      <c r="Q152" s="14"/>
      <c r="R152" s="295"/>
      <c r="S152" s="385">
        <f t="shared" si="23"/>
        <v>0</v>
      </c>
      <c r="T152" s="31"/>
      <c r="U152" s="495">
        <f t="shared" si="24"/>
        <v>0</v>
      </c>
      <c r="V152" s="495">
        <f t="shared" si="25"/>
        <v>0</v>
      </c>
      <c r="W152" s="496">
        <f t="shared" si="26"/>
        <v>0</v>
      </c>
      <c r="X152" s="496">
        <v>0</v>
      </c>
      <c r="Y152" s="505">
        <v>0</v>
      </c>
      <c r="Z152" s="515">
        <f t="shared" si="21"/>
        <v>0</v>
      </c>
      <c r="AA152" s="232">
        <v>79552.570000000007</v>
      </c>
      <c r="AB152" s="232">
        <v>0</v>
      </c>
      <c r="AC152" s="232">
        <v>0</v>
      </c>
      <c r="AE152" s="232">
        <v>242498.39964042779</v>
      </c>
      <c r="AF152" s="232">
        <v>0</v>
      </c>
      <c r="AG152" s="232">
        <v>0</v>
      </c>
    </row>
    <row r="153" spans="1:33" s="232" customFormat="1">
      <c r="A153" s="283"/>
      <c r="B153" s="283"/>
      <c r="C153" s="455" t="s">
        <v>423</v>
      </c>
      <c r="D153" s="481"/>
      <c r="E153" s="503"/>
      <c r="F153" s="503"/>
      <c r="G153" s="503"/>
      <c r="H153" s="504"/>
      <c r="I153" s="398">
        <f t="shared" si="18"/>
        <v>0</v>
      </c>
      <c r="J153" s="31"/>
      <c r="K153" s="86"/>
      <c r="L153" s="290"/>
      <c r="M153" s="31"/>
      <c r="N153" s="429">
        <v>0</v>
      </c>
      <c r="O153" s="31">
        <v>0</v>
      </c>
      <c r="P153" s="426">
        <f t="shared" ref="P153" si="27">K153+L153</f>
        <v>0</v>
      </c>
      <c r="Q153" s="14"/>
      <c r="R153" s="295"/>
      <c r="S153" s="385">
        <f t="shared" si="23"/>
        <v>0</v>
      </c>
      <c r="T153" s="31"/>
      <c r="U153" s="495"/>
      <c r="V153" s="495"/>
      <c r="W153" s="496"/>
      <c r="X153" s="496"/>
      <c r="Y153" s="505"/>
      <c r="Z153" s="515"/>
    </row>
    <row r="154" spans="1:33" s="232" customFormat="1">
      <c r="A154" s="283"/>
      <c r="B154" s="283" t="s">
        <v>110</v>
      </c>
      <c r="C154" s="455" t="s">
        <v>324</v>
      </c>
      <c r="D154" s="481"/>
      <c r="E154" s="503">
        <f>'Q2 DMV - Revenue'!T144</f>
        <v>710.45</v>
      </c>
      <c r="F154" s="503">
        <f>313.21+102+473.65</f>
        <v>888.8599999999999</v>
      </c>
      <c r="G154" s="503">
        <f>268.11+97+509.37</f>
        <v>874.48</v>
      </c>
      <c r="H154" s="504"/>
      <c r="I154" s="398">
        <f t="shared" si="18"/>
        <v>2473.79</v>
      </c>
      <c r="J154" s="31"/>
      <c r="K154" s="86"/>
      <c r="L154" s="290"/>
      <c r="M154" s="31">
        <v>0</v>
      </c>
      <c r="N154" s="429">
        <v>0</v>
      </c>
      <c r="O154" s="31">
        <v>0</v>
      </c>
      <c r="P154" s="426">
        <f t="shared" si="22"/>
        <v>0</v>
      </c>
      <c r="Q154" s="14"/>
      <c r="R154" s="295"/>
      <c r="S154" s="385">
        <f t="shared" si="23"/>
        <v>0</v>
      </c>
      <c r="T154" s="31"/>
      <c r="U154" s="495">
        <f t="shared" si="24"/>
        <v>0</v>
      </c>
      <c r="V154" s="495">
        <f t="shared" si="25"/>
        <v>0</v>
      </c>
      <c r="W154" s="496">
        <f t="shared" si="26"/>
        <v>0</v>
      </c>
      <c r="X154" s="496">
        <v>0</v>
      </c>
      <c r="Y154" s="505">
        <v>0</v>
      </c>
      <c r="Z154" s="515">
        <f t="shared" si="21"/>
        <v>0</v>
      </c>
      <c r="AA154" s="232">
        <v>1467.51</v>
      </c>
      <c r="AB154" s="232">
        <v>0</v>
      </c>
      <c r="AC154" s="232">
        <v>0</v>
      </c>
      <c r="AE154" s="232">
        <v>699.85755162975863</v>
      </c>
      <c r="AF154" s="232">
        <v>0</v>
      </c>
      <c r="AG154" s="232">
        <v>0</v>
      </c>
    </row>
    <row r="155" spans="1:33" s="232" customFormat="1">
      <c r="A155" s="283"/>
      <c r="B155" s="283" t="s">
        <v>110</v>
      </c>
      <c r="C155" s="455" t="s">
        <v>325</v>
      </c>
      <c r="D155" s="481"/>
      <c r="E155" s="503">
        <f>'Q2 DMV - Revenue'!T145</f>
        <v>885.56</v>
      </c>
      <c r="F155" s="503">
        <f>624.15+156.02</f>
        <v>780.17</v>
      </c>
      <c r="G155" s="503">
        <f>613.58+150.05</f>
        <v>763.63000000000011</v>
      </c>
      <c r="H155" s="504"/>
      <c r="I155" s="398">
        <f t="shared" si="18"/>
        <v>2429.36</v>
      </c>
      <c r="J155" s="31"/>
      <c r="K155" s="86"/>
      <c r="L155" s="290"/>
      <c r="M155" s="31">
        <v>0</v>
      </c>
      <c r="N155" s="429">
        <v>0</v>
      </c>
      <c r="O155" s="31">
        <v>0</v>
      </c>
      <c r="P155" s="426">
        <f t="shared" si="22"/>
        <v>0</v>
      </c>
      <c r="Q155" s="14">
        <v>1350.03</v>
      </c>
      <c r="R155" s="295"/>
      <c r="S155" s="385">
        <f t="shared" si="23"/>
        <v>1350.03</v>
      </c>
      <c r="T155" s="31"/>
      <c r="U155" s="495">
        <f t="shared" si="24"/>
        <v>0</v>
      </c>
      <c r="V155" s="495">
        <f t="shared" si="25"/>
        <v>0</v>
      </c>
      <c r="W155" s="496">
        <f t="shared" si="26"/>
        <v>0</v>
      </c>
      <c r="X155" s="496">
        <v>0</v>
      </c>
      <c r="Y155" s="505">
        <v>0</v>
      </c>
      <c r="Z155" s="515">
        <f t="shared" si="21"/>
        <v>0</v>
      </c>
      <c r="AA155" s="232">
        <v>1908.4499999999998</v>
      </c>
      <c r="AB155" s="232">
        <v>0</v>
      </c>
      <c r="AC155" s="232">
        <v>0</v>
      </c>
      <c r="AE155" s="232">
        <v>7910.1424483702413</v>
      </c>
      <c r="AF155" s="232">
        <v>0</v>
      </c>
      <c r="AG155" s="232">
        <v>0</v>
      </c>
    </row>
    <row r="156" spans="1:33" s="232" customFormat="1">
      <c r="A156" s="283"/>
      <c r="B156" s="283" t="s">
        <v>109</v>
      </c>
      <c r="C156" s="455" t="s">
        <v>63</v>
      </c>
      <c r="D156" s="512"/>
      <c r="E156" s="380" t="str">
        <f>'Q2 DMV - Revenue'!T146</f>
        <v/>
      </c>
      <c r="F156" s="506"/>
      <c r="G156" s="507"/>
      <c r="H156" s="507"/>
      <c r="I156" s="398">
        <f t="shared" si="18"/>
        <v>0</v>
      </c>
      <c r="J156" s="31"/>
      <c r="K156" s="400"/>
      <c r="L156" s="290"/>
      <c r="M156" s="31">
        <v>0</v>
      </c>
      <c r="N156" s="429">
        <v>0</v>
      </c>
      <c r="O156" s="31">
        <v>0</v>
      </c>
      <c r="P156" s="426">
        <f t="shared" si="22"/>
        <v>0</v>
      </c>
      <c r="Q156" s="14"/>
      <c r="R156" s="295"/>
      <c r="S156" s="385">
        <f t="shared" si="23"/>
        <v>0</v>
      </c>
      <c r="T156" s="31"/>
      <c r="U156" s="495">
        <f t="shared" si="24"/>
        <v>0</v>
      </c>
      <c r="V156" s="495">
        <f t="shared" si="25"/>
        <v>0</v>
      </c>
      <c r="W156" s="496">
        <f t="shared" si="26"/>
        <v>0</v>
      </c>
      <c r="X156" s="496">
        <v>0</v>
      </c>
      <c r="Y156" s="505">
        <v>0</v>
      </c>
      <c r="Z156" s="515">
        <f t="shared" si="21"/>
        <v>0</v>
      </c>
      <c r="AA156" s="232">
        <v>0</v>
      </c>
      <c r="AB156" s="232">
        <v>337.96199999999999</v>
      </c>
      <c r="AC156" s="232">
        <v>0</v>
      </c>
      <c r="AE156" s="232">
        <v>0</v>
      </c>
      <c r="AF156" s="232">
        <v>0</v>
      </c>
      <c r="AG156" s="232">
        <v>0</v>
      </c>
    </row>
    <row r="157" spans="1:33" s="232" customFormat="1">
      <c r="A157" s="283"/>
      <c r="B157" s="283" t="s">
        <v>109</v>
      </c>
      <c r="C157" s="455" t="s">
        <v>326</v>
      </c>
      <c r="D157" s="512"/>
      <c r="E157" s="380" t="str">
        <f>'Q2 DMV - Revenue'!T147</f>
        <v/>
      </c>
      <c r="F157" s="513"/>
      <c r="G157" s="508"/>
      <c r="H157" s="508"/>
      <c r="I157" s="398">
        <f t="shared" si="18"/>
        <v>0</v>
      </c>
      <c r="J157" s="31"/>
      <c r="K157" s="400"/>
      <c r="L157" s="290"/>
      <c r="M157" s="31">
        <v>0</v>
      </c>
      <c r="N157" s="429">
        <v>0</v>
      </c>
      <c r="O157" s="31">
        <v>0</v>
      </c>
      <c r="P157" s="426">
        <f t="shared" si="22"/>
        <v>0</v>
      </c>
      <c r="Q157" s="14"/>
      <c r="R157" s="295"/>
      <c r="S157" s="385">
        <f t="shared" si="23"/>
        <v>0</v>
      </c>
      <c r="T157" s="31"/>
      <c r="U157" s="495">
        <f t="shared" si="24"/>
        <v>0</v>
      </c>
      <c r="V157" s="495">
        <f t="shared" si="25"/>
        <v>0</v>
      </c>
      <c r="W157" s="496">
        <f t="shared" si="26"/>
        <v>0</v>
      </c>
      <c r="X157" s="496">
        <v>0</v>
      </c>
      <c r="Y157" s="505">
        <v>0</v>
      </c>
      <c r="Z157" s="515">
        <f t="shared" si="21"/>
        <v>0</v>
      </c>
      <c r="AA157" s="232">
        <v>0</v>
      </c>
      <c r="AB157" s="232">
        <v>19351.32</v>
      </c>
      <c r="AC157" s="232">
        <v>0</v>
      </c>
      <c r="AE157" s="232">
        <v>0</v>
      </c>
      <c r="AF157" s="232">
        <v>16642</v>
      </c>
      <c r="AG157" s="232">
        <v>0</v>
      </c>
    </row>
    <row r="158" spans="1:33" s="232" customFormat="1">
      <c r="A158" s="283" t="s">
        <v>109</v>
      </c>
      <c r="B158" s="283" t="s">
        <v>109</v>
      </c>
      <c r="C158" s="456" t="s">
        <v>281</v>
      </c>
      <c r="D158" s="512"/>
      <c r="E158" s="380" t="str">
        <f>'Q2 DMV - Revenue'!T148</f>
        <v/>
      </c>
      <c r="F158" s="513"/>
      <c r="G158" s="508"/>
      <c r="H158" s="508"/>
      <c r="I158" s="398">
        <f t="shared" si="18"/>
        <v>0</v>
      </c>
      <c r="J158" s="31"/>
      <c r="K158" s="400"/>
      <c r="L158" s="290"/>
      <c r="M158" s="31">
        <v>0</v>
      </c>
      <c r="N158" s="429">
        <v>0</v>
      </c>
      <c r="O158" s="31">
        <v>0</v>
      </c>
      <c r="P158" s="426">
        <f t="shared" si="22"/>
        <v>0</v>
      </c>
      <c r="Q158" s="14"/>
      <c r="R158" s="295"/>
      <c r="S158" s="385">
        <f t="shared" si="23"/>
        <v>0</v>
      </c>
      <c r="T158" s="31"/>
      <c r="U158" s="495">
        <f t="shared" si="24"/>
        <v>0</v>
      </c>
      <c r="V158" s="495">
        <f t="shared" si="25"/>
        <v>0</v>
      </c>
      <c r="W158" s="496">
        <f t="shared" ref="W158:W160" si="28">IF(B158="V",P158,0)</f>
        <v>0</v>
      </c>
      <c r="X158" s="496">
        <v>0</v>
      </c>
      <c r="Y158" s="505">
        <v>0</v>
      </c>
      <c r="Z158" s="515">
        <f t="shared" si="21"/>
        <v>0</v>
      </c>
      <c r="AA158" s="232">
        <v>0</v>
      </c>
      <c r="AB158" s="232">
        <v>33.909999999999997</v>
      </c>
      <c r="AC158" s="232">
        <v>0</v>
      </c>
      <c r="AE158" s="232">
        <v>0</v>
      </c>
      <c r="AF158" s="232">
        <v>15</v>
      </c>
      <c r="AG158" s="232">
        <v>0</v>
      </c>
    </row>
    <row r="159" spans="1:33" s="232" customFormat="1">
      <c r="A159" s="283"/>
      <c r="B159" s="283" t="s">
        <v>114</v>
      </c>
      <c r="C159" s="500" t="s">
        <v>408</v>
      </c>
      <c r="D159" s="497"/>
      <c r="E159" s="342" t="str">
        <f>'Q2 DMV - Revenue'!T148</f>
        <v/>
      </c>
      <c r="F159" s="498"/>
      <c r="G159" s="440">
        <v>23750.42</v>
      </c>
      <c r="H159" s="499"/>
      <c r="I159" s="311">
        <f>SUM(D159:H159)</f>
        <v>23750.42</v>
      </c>
      <c r="J159" s="31"/>
      <c r="K159" s="337"/>
      <c r="L159" s="42">
        <f>G159*2</f>
        <v>47500.84</v>
      </c>
      <c r="M159" s="31">
        <v>0</v>
      </c>
      <c r="N159" s="429">
        <v>23750.42</v>
      </c>
      <c r="O159" s="31"/>
      <c r="P159" s="426">
        <f>K159+L159</f>
        <v>47500.84</v>
      </c>
      <c r="Q159" s="14">
        <v>0</v>
      </c>
      <c r="R159" s="295"/>
      <c r="S159" s="385">
        <f t="shared" si="23"/>
        <v>-47500.84</v>
      </c>
      <c r="T159" s="31"/>
      <c r="U159" s="516">
        <f>IF(B159="D",P159,0)</f>
        <v>0</v>
      </c>
      <c r="V159" s="516">
        <f>IF(B159="M",P159,0)</f>
        <v>0</v>
      </c>
      <c r="W159" s="517">
        <f>IF(B159="V",P159,0)</f>
        <v>47500.84</v>
      </c>
      <c r="X159" s="517">
        <v>0</v>
      </c>
      <c r="Y159" s="518">
        <v>0</v>
      </c>
      <c r="Z159" s="515">
        <f t="shared" si="21"/>
        <v>0</v>
      </c>
    </row>
    <row r="160" spans="1:33" s="232" customFormat="1">
      <c r="A160" s="403"/>
      <c r="B160" s="403" t="s">
        <v>109</v>
      </c>
      <c r="C160" s="123" t="s">
        <v>327</v>
      </c>
      <c r="D160" s="481"/>
      <c r="E160" s="432" t="str">
        <f>'Q2 DMV - Revenue'!T149</f>
        <v/>
      </c>
      <c r="F160" s="438">
        <v>46732.56</v>
      </c>
      <c r="G160" s="438">
        <v>46543.29</v>
      </c>
      <c r="H160" s="390"/>
      <c r="I160" s="398">
        <f t="shared" si="18"/>
        <v>93275.85</v>
      </c>
      <c r="J160" s="31"/>
      <c r="K160" s="86"/>
      <c r="L160" s="290">
        <f>(F160+G160)/2</f>
        <v>46637.925000000003</v>
      </c>
      <c r="M160" s="31">
        <v>0</v>
      </c>
      <c r="N160" s="429">
        <v>95940.98</v>
      </c>
      <c r="O160" s="31">
        <v>0</v>
      </c>
      <c r="P160" s="426">
        <f t="shared" si="22"/>
        <v>46637.925000000003</v>
      </c>
      <c r="Q160" s="14">
        <v>95736.08</v>
      </c>
      <c r="R160" s="295"/>
      <c r="S160" s="385">
        <f>Q160-P160</f>
        <v>49098.154999999999</v>
      </c>
      <c r="T160" s="31"/>
      <c r="U160" s="495">
        <f t="shared" si="24"/>
        <v>0</v>
      </c>
      <c r="V160" s="495">
        <f t="shared" si="25"/>
        <v>46637.925000000003</v>
      </c>
      <c r="W160" s="496">
        <f t="shared" si="28"/>
        <v>0</v>
      </c>
      <c r="X160" s="496">
        <v>0</v>
      </c>
      <c r="Y160" s="505">
        <v>0</v>
      </c>
      <c r="Z160" s="515">
        <f t="shared" si="21"/>
        <v>0</v>
      </c>
      <c r="AA160" s="232">
        <v>0</v>
      </c>
      <c r="AB160" s="232">
        <v>140227.01</v>
      </c>
      <c r="AC160" s="232">
        <v>0</v>
      </c>
      <c r="AE160" s="232">
        <v>0</v>
      </c>
      <c r="AF160" s="232">
        <v>0</v>
      </c>
      <c r="AG160" s="232">
        <v>0</v>
      </c>
    </row>
    <row r="161" spans="1:33" s="232" customFormat="1">
      <c r="A161" s="403"/>
      <c r="B161" s="403" t="s">
        <v>109</v>
      </c>
      <c r="C161" s="123" t="s">
        <v>328</v>
      </c>
      <c r="D161" s="481"/>
      <c r="E161" s="432" t="str">
        <f>'Q2 DMV - Revenue'!T150</f>
        <v/>
      </c>
      <c r="F161" s="438">
        <v>1014.18</v>
      </c>
      <c r="G161" s="438">
        <v>968.07</v>
      </c>
      <c r="H161" s="390"/>
      <c r="I161" s="398">
        <f t="shared" si="18"/>
        <v>1982.25</v>
      </c>
      <c r="J161" s="31"/>
      <c r="K161" s="86"/>
      <c r="L161" s="290">
        <f t="shared" ref="L161:L162" si="29">(F161+G161)/2</f>
        <v>991.125</v>
      </c>
      <c r="M161" s="31">
        <v>0</v>
      </c>
      <c r="N161" s="429">
        <v>0</v>
      </c>
      <c r="O161" s="31">
        <v>0</v>
      </c>
      <c r="P161" s="426">
        <f t="shared" si="22"/>
        <v>991.125</v>
      </c>
      <c r="Q161" s="14"/>
      <c r="R161" s="295"/>
      <c r="S161" s="385">
        <f t="shared" si="23"/>
        <v>-991.125</v>
      </c>
      <c r="T161" s="31"/>
      <c r="U161" s="495">
        <f t="shared" si="24"/>
        <v>0</v>
      </c>
      <c r="V161" s="474">
        <f t="shared" si="25"/>
        <v>991.125</v>
      </c>
      <c r="W161" s="475">
        <f t="shared" si="26"/>
        <v>0</v>
      </c>
      <c r="X161" s="475">
        <v>0</v>
      </c>
      <c r="Y161" s="476">
        <v>0</v>
      </c>
      <c r="Z161" s="515">
        <f t="shared" si="21"/>
        <v>0</v>
      </c>
      <c r="AA161" s="232">
        <v>0</v>
      </c>
      <c r="AB161" s="232">
        <v>4692.49</v>
      </c>
      <c r="AC161" s="232">
        <v>0</v>
      </c>
      <c r="AE161" s="232">
        <v>0</v>
      </c>
      <c r="AF161" s="232">
        <v>0</v>
      </c>
      <c r="AG161" s="232">
        <v>0</v>
      </c>
    </row>
    <row r="162" spans="1:33" s="232" customFormat="1">
      <c r="A162" s="403"/>
      <c r="B162" s="403" t="s">
        <v>109</v>
      </c>
      <c r="C162" s="123" t="s">
        <v>329</v>
      </c>
      <c r="D162" s="481"/>
      <c r="E162" s="432" t="str">
        <f>'Q2 DMV - Revenue'!T151</f>
        <v/>
      </c>
      <c r="F162" s="438">
        <v>316.86</v>
      </c>
      <c r="G162" s="438">
        <v>366.02</v>
      </c>
      <c r="H162" s="390"/>
      <c r="I162" s="398">
        <f t="shared" si="18"/>
        <v>682.88</v>
      </c>
      <c r="J162" s="31"/>
      <c r="K162" s="86"/>
      <c r="L162" s="290">
        <f t="shared" si="29"/>
        <v>341.44</v>
      </c>
      <c r="M162" s="31">
        <v>0</v>
      </c>
      <c r="N162" s="429">
        <v>0</v>
      </c>
      <c r="O162" s="31">
        <v>0</v>
      </c>
      <c r="P162" s="426">
        <f t="shared" si="22"/>
        <v>341.44</v>
      </c>
      <c r="Q162" s="14"/>
      <c r="R162" s="295"/>
      <c r="S162" s="385">
        <f t="shared" si="23"/>
        <v>-341.44</v>
      </c>
      <c r="T162" s="31"/>
      <c r="U162" s="495">
        <f t="shared" si="24"/>
        <v>0</v>
      </c>
      <c r="V162" s="474">
        <f t="shared" si="25"/>
        <v>341.44</v>
      </c>
      <c r="W162" s="475">
        <f t="shared" si="26"/>
        <v>0</v>
      </c>
      <c r="X162" s="475">
        <v>0</v>
      </c>
      <c r="Y162" s="476">
        <v>0</v>
      </c>
      <c r="Z162" s="515">
        <f t="shared" si="21"/>
        <v>0</v>
      </c>
      <c r="AA162" s="232">
        <v>0</v>
      </c>
      <c r="AB162" s="232">
        <v>783.33</v>
      </c>
      <c r="AC162" s="232">
        <v>0</v>
      </c>
      <c r="AE162" s="232">
        <v>0</v>
      </c>
      <c r="AF162" s="232">
        <v>0</v>
      </c>
      <c r="AG162" s="232">
        <v>0</v>
      </c>
    </row>
    <row r="163" spans="1:33">
      <c r="A163" s="21" t="s">
        <v>212</v>
      </c>
      <c r="B163" s="21" t="s">
        <v>110</v>
      </c>
      <c r="C163" s="68" t="s">
        <v>35</v>
      </c>
      <c r="D163" s="433"/>
      <c r="E163" s="432" t="str">
        <f>'Q2 DMV - Revenue'!T152</f>
        <v/>
      </c>
      <c r="F163" s="390"/>
      <c r="G163" s="390"/>
      <c r="H163" s="390"/>
      <c r="I163" s="311">
        <f t="shared" si="18"/>
        <v>0</v>
      </c>
      <c r="J163" s="31"/>
      <c r="K163" s="84"/>
      <c r="L163" s="42"/>
      <c r="M163" s="31">
        <v>0</v>
      </c>
      <c r="N163" s="429">
        <v>0</v>
      </c>
      <c r="O163" s="31">
        <v>0</v>
      </c>
      <c r="P163" s="426">
        <f t="shared" si="22"/>
        <v>0</v>
      </c>
      <c r="Q163" s="178"/>
      <c r="R163" s="295"/>
      <c r="S163" s="385">
        <f t="shared" si="23"/>
        <v>0</v>
      </c>
      <c r="T163" s="31"/>
      <c r="U163" s="495">
        <f t="shared" si="24"/>
        <v>0</v>
      </c>
      <c r="V163" s="474">
        <f t="shared" si="25"/>
        <v>0</v>
      </c>
      <c r="W163" s="475">
        <f t="shared" si="26"/>
        <v>0</v>
      </c>
      <c r="X163" s="475">
        <v>0</v>
      </c>
      <c r="Y163" s="476">
        <v>0</v>
      </c>
      <c r="Z163" s="38">
        <f t="shared" si="21"/>
        <v>0</v>
      </c>
      <c r="AA163" s="16">
        <v>0</v>
      </c>
      <c r="AB163" s="16">
        <v>0</v>
      </c>
      <c r="AC163" s="16">
        <v>0</v>
      </c>
      <c r="AE163" s="16">
        <v>0</v>
      </c>
      <c r="AF163" s="16">
        <v>0</v>
      </c>
      <c r="AG163" s="16">
        <v>0</v>
      </c>
    </row>
    <row r="164" spans="1:33">
      <c r="A164" s="21" t="s">
        <v>212</v>
      </c>
      <c r="B164" s="21" t="s">
        <v>110</v>
      </c>
      <c r="C164" s="68" t="s">
        <v>232</v>
      </c>
      <c r="D164" s="433"/>
      <c r="E164" s="432">
        <f>'Q2 DMV - Revenue'!T153</f>
        <v>2317.1099999999997</v>
      </c>
      <c r="F164" s="390"/>
      <c r="G164" s="390"/>
      <c r="H164" s="390"/>
      <c r="I164" s="311">
        <f t="shared" si="18"/>
        <v>2317.1099999999997</v>
      </c>
      <c r="J164" s="31"/>
      <c r="K164" s="84"/>
      <c r="L164" s="42">
        <v>5000</v>
      </c>
      <c r="M164" s="31">
        <v>0</v>
      </c>
      <c r="N164" s="429">
        <v>13286.27</v>
      </c>
      <c r="O164" s="31">
        <v>0</v>
      </c>
      <c r="P164" s="426">
        <f t="shared" si="22"/>
        <v>5000</v>
      </c>
      <c r="Q164" s="178">
        <v>9261.2800000000007</v>
      </c>
      <c r="R164" s="295"/>
      <c r="S164" s="385">
        <f t="shared" si="23"/>
        <v>4261.2800000000007</v>
      </c>
      <c r="T164" s="31"/>
      <c r="U164" s="474">
        <f t="shared" si="24"/>
        <v>5000</v>
      </c>
      <c r="V164" s="474">
        <f t="shared" si="25"/>
        <v>0</v>
      </c>
      <c r="W164" s="475">
        <f t="shared" si="26"/>
        <v>0</v>
      </c>
      <c r="X164" s="475">
        <v>0</v>
      </c>
      <c r="Y164" s="476">
        <v>0</v>
      </c>
      <c r="Z164" s="38">
        <f t="shared" si="21"/>
        <v>0</v>
      </c>
      <c r="AA164" s="16">
        <v>-6000</v>
      </c>
      <c r="AB164" s="16">
        <v>0</v>
      </c>
      <c r="AC164" s="16">
        <v>0</v>
      </c>
      <c r="AE164" s="16">
        <v>6000</v>
      </c>
      <c r="AF164" s="16">
        <v>0</v>
      </c>
      <c r="AG164" s="16">
        <v>0</v>
      </c>
    </row>
    <row r="165" spans="1:33">
      <c r="A165" s="21" t="s">
        <v>212</v>
      </c>
      <c r="B165" s="21" t="s">
        <v>110</v>
      </c>
      <c r="C165" s="68" t="s">
        <v>238</v>
      </c>
      <c r="D165" s="433"/>
      <c r="E165" s="432">
        <f>'Q2 DMV - Revenue'!T154</f>
        <v>43.670000000000073</v>
      </c>
      <c r="F165" s="390"/>
      <c r="G165" s="390"/>
      <c r="H165" s="390"/>
      <c r="I165" s="311">
        <f t="shared" si="18"/>
        <v>43.670000000000073</v>
      </c>
      <c r="J165" s="31"/>
      <c r="K165" s="84"/>
      <c r="L165" s="42">
        <v>500</v>
      </c>
      <c r="M165" s="31">
        <v>0</v>
      </c>
      <c r="N165" s="429">
        <v>592.48</v>
      </c>
      <c r="O165" s="31">
        <v>0</v>
      </c>
      <c r="P165" s="426">
        <f t="shared" si="22"/>
        <v>500</v>
      </c>
      <c r="Q165" s="178">
        <f>1098.76+900.29+899.59</f>
        <v>2898.64</v>
      </c>
      <c r="R165" s="295"/>
      <c r="S165" s="385">
        <f t="shared" si="23"/>
        <v>2398.64</v>
      </c>
      <c r="T165" s="31"/>
      <c r="U165" s="474">
        <f t="shared" si="24"/>
        <v>500</v>
      </c>
      <c r="V165" s="474">
        <f t="shared" si="25"/>
        <v>0</v>
      </c>
      <c r="W165" s="475">
        <f t="shared" si="26"/>
        <v>0</v>
      </c>
      <c r="X165" s="475">
        <v>0</v>
      </c>
      <c r="Y165" s="476">
        <v>0</v>
      </c>
      <c r="Z165" s="38">
        <f t="shared" si="21"/>
        <v>0</v>
      </c>
      <c r="AA165" s="16">
        <v>407.3</v>
      </c>
      <c r="AB165" s="16">
        <v>0</v>
      </c>
      <c r="AC165" s="16">
        <v>0</v>
      </c>
      <c r="AE165" s="16">
        <v>577.08000000000004</v>
      </c>
      <c r="AF165" s="16">
        <v>0</v>
      </c>
      <c r="AG165" s="16">
        <v>0</v>
      </c>
    </row>
    <row r="166" spans="1:33">
      <c r="A166" s="21"/>
      <c r="B166" s="21" t="s">
        <v>110</v>
      </c>
      <c r="C166" s="68" t="s">
        <v>68</v>
      </c>
      <c r="D166" s="433"/>
      <c r="E166" s="432" t="str">
        <f>'Q2 DMV - Revenue'!T155</f>
        <v/>
      </c>
      <c r="F166" s="390"/>
      <c r="G166" s="390"/>
      <c r="H166" s="390"/>
      <c r="I166" s="311">
        <f t="shared" ref="I166:I182" si="30">SUM(D166:H166)</f>
        <v>0</v>
      </c>
      <c r="J166" s="31"/>
      <c r="K166" s="84"/>
      <c r="L166" s="42"/>
      <c r="M166" s="31">
        <v>0</v>
      </c>
      <c r="N166" s="429">
        <v>0</v>
      </c>
      <c r="O166" s="31">
        <v>0</v>
      </c>
      <c r="P166" s="426">
        <f t="shared" si="22"/>
        <v>0</v>
      </c>
      <c r="Q166" s="178"/>
      <c r="R166" s="295"/>
      <c r="S166" s="385">
        <f t="shared" si="23"/>
        <v>0</v>
      </c>
      <c r="T166" s="31"/>
      <c r="U166" s="474">
        <f t="shared" si="24"/>
        <v>0</v>
      </c>
      <c r="V166" s="474">
        <f t="shared" si="25"/>
        <v>0</v>
      </c>
      <c r="W166" s="475">
        <f t="shared" si="26"/>
        <v>0</v>
      </c>
      <c r="X166" s="475">
        <v>0</v>
      </c>
      <c r="Y166" s="476">
        <v>0</v>
      </c>
      <c r="Z166" s="38">
        <f t="shared" si="21"/>
        <v>0</v>
      </c>
      <c r="AA166" s="16">
        <v>0</v>
      </c>
      <c r="AB166" s="16">
        <v>0</v>
      </c>
      <c r="AC166" s="16">
        <v>0</v>
      </c>
      <c r="AE166" s="16">
        <v>0</v>
      </c>
      <c r="AF166" s="16">
        <v>0</v>
      </c>
      <c r="AG166" s="16">
        <v>0</v>
      </c>
    </row>
    <row r="167" spans="1:33">
      <c r="A167" s="21"/>
      <c r="B167" s="21" t="s">
        <v>110</v>
      </c>
      <c r="C167" s="68" t="s">
        <v>384</v>
      </c>
      <c r="D167" s="433">
        <v>2051.9299999999998</v>
      </c>
      <c r="E167" s="432" t="str">
        <f>'Q2 DMV - Revenue'!T156</f>
        <v/>
      </c>
      <c r="F167" s="390"/>
      <c r="G167" s="390"/>
      <c r="H167" s="390"/>
      <c r="I167" s="311">
        <f t="shared" si="30"/>
        <v>2051.9299999999998</v>
      </c>
      <c r="J167" s="31"/>
      <c r="K167" s="84"/>
      <c r="L167" s="42"/>
      <c r="M167" s="31">
        <v>0</v>
      </c>
      <c r="N167" s="429">
        <v>2051.9299999999998</v>
      </c>
      <c r="O167" s="31">
        <v>0</v>
      </c>
      <c r="P167" s="426">
        <f t="shared" si="22"/>
        <v>0</v>
      </c>
      <c r="Q167" s="178"/>
      <c r="R167" s="295"/>
      <c r="S167" s="385">
        <f t="shared" si="23"/>
        <v>0</v>
      </c>
      <c r="T167" s="31"/>
      <c r="U167" s="474">
        <f t="shared" si="24"/>
        <v>0</v>
      </c>
      <c r="V167" s="474">
        <f t="shared" si="25"/>
        <v>0</v>
      </c>
      <c r="W167" s="475">
        <f t="shared" si="26"/>
        <v>0</v>
      </c>
      <c r="X167" s="475">
        <v>0</v>
      </c>
      <c r="Y167" s="476">
        <v>0</v>
      </c>
      <c r="Z167" s="38">
        <f t="shared" si="21"/>
        <v>0</v>
      </c>
      <c r="AA167" s="16">
        <v>0</v>
      </c>
      <c r="AB167" s="16">
        <v>278.35000000000002</v>
      </c>
      <c r="AC167" s="16">
        <v>0</v>
      </c>
      <c r="AE167" s="16">
        <v>0</v>
      </c>
      <c r="AF167" s="16">
        <v>0</v>
      </c>
      <c r="AG167" s="16">
        <v>0</v>
      </c>
    </row>
    <row r="168" spans="1:33">
      <c r="A168" s="21"/>
      <c r="B168" s="21" t="s">
        <v>109</v>
      </c>
      <c r="C168" s="68" t="s">
        <v>306</v>
      </c>
      <c r="D168" s="433"/>
      <c r="E168" s="432">
        <f>'Q2 DMV - Revenue'!T157</f>
        <v>-17770.269999999997</v>
      </c>
      <c r="F168" s="438">
        <f>7097.81+47.8+261.34+295.81+478.06+695.22</f>
        <v>8876.0400000000009</v>
      </c>
      <c r="G168" s="438">
        <f>772.77+500.59+368.55+91.59+892.79+6415.02</f>
        <v>9041.3100000000013</v>
      </c>
      <c r="H168" s="390"/>
      <c r="I168" s="311">
        <f t="shared" si="30"/>
        <v>147.08000000000538</v>
      </c>
      <c r="J168" s="31"/>
      <c r="K168" s="84"/>
      <c r="L168" s="42">
        <f>(F168+G168)/2</f>
        <v>8958.6750000000011</v>
      </c>
      <c r="M168" s="31"/>
      <c r="N168" s="429">
        <v>0</v>
      </c>
      <c r="O168" s="31"/>
      <c r="P168" s="426">
        <f t="shared" si="22"/>
        <v>8958.6750000000011</v>
      </c>
      <c r="Q168" s="178">
        <f>767.39+930.64+380.73+1175.27+8231.43</f>
        <v>11485.460000000001</v>
      </c>
      <c r="R168" s="295"/>
      <c r="S168" s="385">
        <f t="shared" si="23"/>
        <v>2526.7849999999999</v>
      </c>
      <c r="T168" s="31"/>
      <c r="U168" s="474">
        <f t="shared" si="24"/>
        <v>0</v>
      </c>
      <c r="V168" s="474">
        <f t="shared" si="25"/>
        <v>8958.6750000000011</v>
      </c>
      <c r="W168" s="475">
        <f t="shared" si="26"/>
        <v>0</v>
      </c>
      <c r="X168" s="475">
        <v>0</v>
      </c>
      <c r="Y168" s="476">
        <v>0</v>
      </c>
      <c r="Z168" s="38">
        <f t="shared" si="21"/>
        <v>0</v>
      </c>
      <c r="AA168" s="16">
        <v>0</v>
      </c>
      <c r="AB168" s="16">
        <v>0</v>
      </c>
      <c r="AC168" s="16">
        <v>0</v>
      </c>
      <c r="AE168" s="16">
        <v>0</v>
      </c>
      <c r="AF168" s="16">
        <v>51000</v>
      </c>
      <c r="AG168" s="16">
        <v>0</v>
      </c>
    </row>
    <row r="169" spans="1:33">
      <c r="A169" s="21"/>
      <c r="B169" s="21" t="s">
        <v>109</v>
      </c>
      <c r="C169" s="68" t="s">
        <v>307</v>
      </c>
      <c r="D169" s="433"/>
      <c r="E169" s="432">
        <f>'Q2 DMV - Revenue'!T158</f>
        <v>0</v>
      </c>
      <c r="F169" s="390"/>
      <c r="G169" s="438">
        <v>1631.13</v>
      </c>
      <c r="H169" s="390"/>
      <c r="I169" s="311">
        <f>SUM(D169:H169)</f>
        <v>1631.13</v>
      </c>
      <c r="J169" s="31"/>
      <c r="K169" s="84"/>
      <c r="L169" s="42">
        <f>G169*2</f>
        <v>3262.26</v>
      </c>
      <c r="M169" s="31"/>
      <c r="N169" s="429">
        <f>32584.65+7542.77</f>
        <v>40127.42</v>
      </c>
      <c r="O169" s="31"/>
      <c r="P169" s="426">
        <f t="shared" si="22"/>
        <v>3262.26</v>
      </c>
      <c r="Q169" s="178">
        <f>1102+37.14+36.4+291.19+332.83+1274.33+304.37+347.9+38.82+38.05</f>
        <v>3803.0300000000007</v>
      </c>
      <c r="R169" s="295"/>
      <c r="S169" s="385">
        <f t="shared" si="23"/>
        <v>540.77000000000044</v>
      </c>
      <c r="T169" s="31"/>
      <c r="U169" s="474">
        <f t="shared" si="24"/>
        <v>0</v>
      </c>
      <c r="V169" s="474">
        <f t="shared" si="25"/>
        <v>3262.26</v>
      </c>
      <c r="W169" s="475">
        <f t="shared" si="26"/>
        <v>0</v>
      </c>
      <c r="X169" s="475">
        <v>0</v>
      </c>
      <c r="Y169" s="476">
        <v>0</v>
      </c>
      <c r="Z169" s="38">
        <f t="shared" si="21"/>
        <v>0</v>
      </c>
    </row>
    <row r="170" spans="1:33" s="232" customFormat="1">
      <c r="A170" s="403"/>
      <c r="B170" s="403" t="s">
        <v>109</v>
      </c>
      <c r="C170" s="123" t="s">
        <v>220</v>
      </c>
      <c r="D170" s="481">
        <f>1850.62+1684.32+1335.3+2066.1+1973.37+2536.2</f>
        <v>11445.91</v>
      </c>
      <c r="E170" s="503">
        <f>'Q2 DMV - Revenue'!T159</f>
        <v>-33670.61</v>
      </c>
      <c r="F170" s="504"/>
      <c r="G170" s="504"/>
      <c r="H170" s="504"/>
      <c r="I170" s="398">
        <f t="shared" si="30"/>
        <v>-22224.7</v>
      </c>
      <c r="J170" s="31"/>
      <c r="K170" s="86"/>
      <c r="L170" s="290"/>
      <c r="M170" s="31">
        <v>0</v>
      </c>
      <c r="N170" s="429">
        <v>12583.3</v>
      </c>
      <c r="O170" s="31">
        <v>0</v>
      </c>
      <c r="P170" s="426">
        <f t="shared" si="22"/>
        <v>0</v>
      </c>
      <c r="Q170" s="14">
        <f>837+1139.24+499.49+146.6+1059.98</f>
        <v>3682.31</v>
      </c>
      <c r="R170" s="295"/>
      <c r="S170" s="385">
        <f t="shared" si="23"/>
        <v>3682.31</v>
      </c>
      <c r="T170" s="31"/>
      <c r="U170" s="495">
        <f t="shared" si="24"/>
        <v>0</v>
      </c>
      <c r="V170" s="495">
        <f t="shared" si="25"/>
        <v>0</v>
      </c>
      <c r="W170" s="496">
        <f t="shared" si="26"/>
        <v>0</v>
      </c>
      <c r="X170" s="496">
        <v>0</v>
      </c>
      <c r="Y170" s="505">
        <v>0</v>
      </c>
      <c r="Z170" s="515">
        <f t="shared" si="21"/>
        <v>0</v>
      </c>
      <c r="AA170" s="232">
        <v>0</v>
      </c>
      <c r="AB170" s="232">
        <v>0</v>
      </c>
      <c r="AC170" s="232">
        <v>0</v>
      </c>
      <c r="AE170" s="232">
        <v>0</v>
      </c>
      <c r="AF170" s="232">
        <v>62300</v>
      </c>
      <c r="AG170" s="232">
        <v>0</v>
      </c>
    </row>
    <row r="171" spans="1:33">
      <c r="A171" s="21"/>
      <c r="B171" s="21" t="s">
        <v>109</v>
      </c>
      <c r="C171" s="68" t="s">
        <v>38</v>
      </c>
      <c r="D171" s="433"/>
      <c r="E171" s="432" t="str">
        <f>'Q2 DMV - Revenue'!T160</f>
        <v/>
      </c>
      <c r="F171" s="390"/>
      <c r="G171" s="390"/>
      <c r="H171" s="390"/>
      <c r="I171" s="311">
        <f t="shared" si="30"/>
        <v>0</v>
      </c>
      <c r="J171" s="31"/>
      <c r="K171" s="84"/>
      <c r="L171" s="42"/>
      <c r="M171" s="31">
        <v>0</v>
      </c>
      <c r="N171" s="429">
        <v>0</v>
      </c>
      <c r="O171" s="31">
        <v>0</v>
      </c>
      <c r="P171" s="426">
        <f t="shared" si="22"/>
        <v>0</v>
      </c>
      <c r="Q171" s="178"/>
      <c r="R171" s="295"/>
      <c r="S171" s="385">
        <f t="shared" si="23"/>
        <v>0</v>
      </c>
      <c r="T171" s="31"/>
      <c r="U171" s="474">
        <f t="shared" si="24"/>
        <v>0</v>
      </c>
      <c r="V171" s="474">
        <f t="shared" si="25"/>
        <v>0</v>
      </c>
      <c r="W171" s="475">
        <f t="shared" si="26"/>
        <v>0</v>
      </c>
      <c r="X171" s="475">
        <v>0</v>
      </c>
      <c r="Y171" s="476">
        <v>0</v>
      </c>
      <c r="Z171" s="38">
        <f t="shared" si="21"/>
        <v>0</v>
      </c>
      <c r="AA171" s="16">
        <v>0</v>
      </c>
      <c r="AB171" s="16">
        <v>0</v>
      </c>
      <c r="AC171" s="16">
        <v>0</v>
      </c>
      <c r="AE171" s="16">
        <v>0</v>
      </c>
      <c r="AF171" s="16">
        <v>0</v>
      </c>
      <c r="AG171" s="16">
        <v>0</v>
      </c>
    </row>
    <row r="172" spans="1:33">
      <c r="A172" s="21"/>
      <c r="B172" s="21" t="s">
        <v>110</v>
      </c>
      <c r="C172" s="68" t="s">
        <v>185</v>
      </c>
      <c r="D172" s="433">
        <v>517.29999999999995</v>
      </c>
      <c r="E172" s="432">
        <f>'Q2 DMV - Revenue'!T161</f>
        <v>314.79999999999995</v>
      </c>
      <c r="F172" s="438">
        <v>361.9</v>
      </c>
      <c r="G172" s="438">
        <v>354.9</v>
      </c>
      <c r="H172" s="390"/>
      <c r="I172" s="311">
        <f t="shared" si="30"/>
        <v>1548.9</v>
      </c>
      <c r="J172" s="31"/>
      <c r="K172" s="84"/>
      <c r="L172" s="42">
        <f>(F172+G172)/2</f>
        <v>358.4</v>
      </c>
      <c r="M172" s="31">
        <v>0</v>
      </c>
      <c r="N172" s="429">
        <v>0</v>
      </c>
      <c r="O172" s="31">
        <v>0</v>
      </c>
      <c r="P172" s="426">
        <f t="shared" si="22"/>
        <v>358.4</v>
      </c>
      <c r="Q172" s="178">
        <v>298.2</v>
      </c>
      <c r="R172" s="295"/>
      <c r="S172" s="385">
        <f t="shared" si="23"/>
        <v>-60.199999999999989</v>
      </c>
      <c r="T172" s="31"/>
      <c r="U172" s="474">
        <f t="shared" si="24"/>
        <v>358.4</v>
      </c>
      <c r="V172" s="474">
        <f t="shared" si="25"/>
        <v>0</v>
      </c>
      <c r="W172" s="475">
        <f t="shared" si="26"/>
        <v>0</v>
      </c>
      <c r="X172" s="475">
        <v>0</v>
      </c>
      <c r="Y172" s="476">
        <v>0</v>
      </c>
      <c r="Z172" s="38">
        <f t="shared" si="21"/>
        <v>0</v>
      </c>
      <c r="AA172" s="16">
        <v>1509</v>
      </c>
      <c r="AB172" s="16">
        <v>0</v>
      </c>
      <c r="AC172" s="16">
        <v>0</v>
      </c>
      <c r="AE172" s="16">
        <v>561.04999999999995</v>
      </c>
      <c r="AF172" s="16">
        <v>0</v>
      </c>
      <c r="AG172" s="16">
        <v>0</v>
      </c>
    </row>
    <row r="173" spans="1:33">
      <c r="A173" s="21"/>
      <c r="B173" s="21" t="s">
        <v>110</v>
      </c>
      <c r="C173" s="68" t="s">
        <v>186</v>
      </c>
      <c r="D173" s="433">
        <f>351.55+3522.12</f>
        <v>3873.67</v>
      </c>
      <c r="E173" s="432">
        <f>'Q2 DMV - Revenue'!T162</f>
        <v>237.125</v>
      </c>
      <c r="F173" s="438">
        <v>488.63</v>
      </c>
      <c r="G173" s="438">
        <v>306.05</v>
      </c>
      <c r="H173" s="390"/>
      <c r="I173" s="311">
        <f t="shared" si="30"/>
        <v>4905.4750000000004</v>
      </c>
      <c r="J173" s="31"/>
      <c r="K173" s="84"/>
      <c r="L173" s="42">
        <f t="shared" ref="L173:L176" si="31">(F173+G173)/2</f>
        <v>397.34000000000003</v>
      </c>
      <c r="M173" s="31">
        <v>0</v>
      </c>
      <c r="N173" s="429">
        <v>6678.79</v>
      </c>
      <c r="O173" s="31">
        <v>0</v>
      </c>
      <c r="P173" s="426">
        <f t="shared" si="22"/>
        <v>397.34000000000003</v>
      </c>
      <c r="Q173" s="178">
        <f>972.83+392.16</f>
        <v>1364.99</v>
      </c>
      <c r="R173" s="295"/>
      <c r="S173" s="385">
        <f t="shared" si="23"/>
        <v>967.65</v>
      </c>
      <c r="T173" s="31"/>
      <c r="U173" s="474">
        <f t="shared" si="24"/>
        <v>397.34000000000003</v>
      </c>
      <c r="V173" s="474">
        <f t="shared" si="25"/>
        <v>0</v>
      </c>
      <c r="W173" s="475">
        <f t="shared" si="26"/>
        <v>0</v>
      </c>
      <c r="X173" s="475">
        <v>0</v>
      </c>
      <c r="Y173" s="476">
        <v>0</v>
      </c>
      <c r="Z173" s="38">
        <f t="shared" si="21"/>
        <v>0</v>
      </c>
      <c r="AA173" s="16">
        <v>950.11000000000013</v>
      </c>
      <c r="AB173" s="16">
        <v>0</v>
      </c>
      <c r="AC173" s="16">
        <v>0</v>
      </c>
      <c r="AE173" s="16">
        <v>501.08500000000004</v>
      </c>
      <c r="AF173" s="16">
        <v>0</v>
      </c>
      <c r="AG173" s="16">
        <v>0</v>
      </c>
    </row>
    <row r="174" spans="1:33">
      <c r="A174" s="21"/>
      <c r="B174" s="21" t="s">
        <v>110</v>
      </c>
      <c r="C174" s="68" t="s">
        <v>39</v>
      </c>
      <c r="D174" s="433"/>
      <c r="E174" s="432" t="str">
        <f>'Q2 DMV - Revenue'!T163</f>
        <v/>
      </c>
      <c r="F174" s="438">
        <v>576.71</v>
      </c>
      <c r="G174" s="438">
        <v>469.32</v>
      </c>
      <c r="H174" s="438">
        <v>732.08</v>
      </c>
      <c r="I174" s="311">
        <f t="shared" si="30"/>
        <v>1778.1100000000001</v>
      </c>
      <c r="J174" s="31"/>
      <c r="K174" s="84"/>
      <c r="L174" s="42"/>
      <c r="M174" s="31">
        <v>0</v>
      </c>
      <c r="N174" s="429">
        <v>1046.03</v>
      </c>
      <c r="O174" s="31">
        <v>0</v>
      </c>
      <c r="P174" s="426">
        <f t="shared" si="22"/>
        <v>0</v>
      </c>
      <c r="Q174" s="178"/>
      <c r="R174" s="295"/>
      <c r="S174" s="385">
        <f t="shared" si="23"/>
        <v>0</v>
      </c>
      <c r="T174" s="31"/>
      <c r="U174" s="474">
        <f t="shared" si="24"/>
        <v>0</v>
      </c>
      <c r="V174" s="474">
        <f t="shared" si="25"/>
        <v>0</v>
      </c>
      <c r="W174" s="475">
        <f t="shared" si="26"/>
        <v>0</v>
      </c>
      <c r="X174" s="475">
        <v>0</v>
      </c>
      <c r="Y174" s="476">
        <v>0</v>
      </c>
      <c r="Z174" s="38">
        <f t="shared" si="21"/>
        <v>0</v>
      </c>
      <c r="AA174" s="16">
        <v>1959.6899999999998</v>
      </c>
      <c r="AB174" s="16">
        <v>0</v>
      </c>
      <c r="AC174" s="16">
        <v>0</v>
      </c>
      <c r="AE174" s="16">
        <v>2200</v>
      </c>
      <c r="AF174" s="16">
        <v>0</v>
      </c>
      <c r="AG174" s="16">
        <v>0</v>
      </c>
    </row>
    <row r="175" spans="1:33">
      <c r="A175" s="21"/>
      <c r="B175" s="21" t="s">
        <v>109</v>
      </c>
      <c r="C175" s="68" t="s">
        <v>426</v>
      </c>
      <c r="D175" s="433"/>
      <c r="E175" s="432" t="str">
        <f>'Q2 DMV - Revenue'!T164</f>
        <v/>
      </c>
      <c r="F175" s="390"/>
      <c r="G175" s="390"/>
      <c r="H175" s="390"/>
      <c r="I175" s="311">
        <f t="shared" si="30"/>
        <v>0</v>
      </c>
      <c r="J175" s="31"/>
      <c r="K175" s="84"/>
      <c r="L175" s="42"/>
      <c r="M175" s="31">
        <v>0</v>
      </c>
      <c r="N175" s="429">
        <v>0</v>
      </c>
      <c r="O175" s="31">
        <v>0</v>
      </c>
      <c r="P175" s="426">
        <f t="shared" si="22"/>
        <v>0</v>
      </c>
      <c r="Q175" s="178">
        <f>43.4+1315.78+86.1+1753.81+1811.18+139.43</f>
        <v>5149.7000000000007</v>
      </c>
      <c r="R175" s="295"/>
      <c r="S175" s="385">
        <f t="shared" si="23"/>
        <v>5149.7000000000007</v>
      </c>
      <c r="T175" s="31"/>
      <c r="U175" s="474">
        <f t="shared" si="24"/>
        <v>0</v>
      </c>
      <c r="V175" s="474">
        <f t="shared" si="25"/>
        <v>0</v>
      </c>
      <c r="W175" s="475">
        <f t="shared" si="26"/>
        <v>0</v>
      </c>
      <c r="X175" s="475">
        <v>0</v>
      </c>
      <c r="Y175" s="476">
        <v>0</v>
      </c>
      <c r="Z175" s="38">
        <f t="shared" si="21"/>
        <v>0</v>
      </c>
      <c r="AA175" s="16">
        <v>0</v>
      </c>
      <c r="AB175" s="16">
        <v>0</v>
      </c>
      <c r="AC175" s="16">
        <v>0</v>
      </c>
      <c r="AE175" s="16">
        <v>0</v>
      </c>
      <c r="AF175" s="16">
        <v>0</v>
      </c>
      <c r="AG175" s="16">
        <v>0</v>
      </c>
    </row>
    <row r="176" spans="1:33">
      <c r="A176" s="21"/>
      <c r="B176" s="21" t="s">
        <v>109</v>
      </c>
      <c r="C176" s="68" t="s">
        <v>99</v>
      </c>
      <c r="D176" s="433">
        <v>0</v>
      </c>
      <c r="E176" s="432">
        <f>'Q2 DMV - Revenue'!T165</f>
        <v>14073.690000000002</v>
      </c>
      <c r="F176" s="438">
        <v>13946.79</v>
      </c>
      <c r="G176" s="438">
        <v>14821.8</v>
      </c>
      <c r="H176" s="390"/>
      <c r="I176" s="311">
        <f t="shared" ref="I176" si="32">SUM(D176:H176)</f>
        <v>42842.28</v>
      </c>
      <c r="J176" s="31"/>
      <c r="K176" s="84"/>
      <c r="L176" s="42">
        <f t="shared" si="31"/>
        <v>14384.295</v>
      </c>
      <c r="M176" s="31">
        <v>0</v>
      </c>
      <c r="N176" s="429">
        <v>0</v>
      </c>
      <c r="O176" s="31">
        <v>0</v>
      </c>
      <c r="P176" s="426">
        <f t="shared" si="22"/>
        <v>14384.295</v>
      </c>
      <c r="Q176" s="178">
        <v>15051.55</v>
      </c>
      <c r="R176" s="295"/>
      <c r="S176" s="385">
        <f t="shared" si="23"/>
        <v>667.2549999999992</v>
      </c>
      <c r="T176" s="31"/>
      <c r="U176" s="474">
        <f t="shared" si="24"/>
        <v>0</v>
      </c>
      <c r="V176" s="474">
        <f t="shared" si="25"/>
        <v>14384.295</v>
      </c>
      <c r="W176" s="475">
        <f t="shared" si="26"/>
        <v>0</v>
      </c>
      <c r="X176" s="475">
        <v>0</v>
      </c>
      <c r="Y176" s="476">
        <v>0</v>
      </c>
      <c r="Z176" s="38">
        <f t="shared" si="21"/>
        <v>0</v>
      </c>
      <c r="AA176" s="16">
        <v>0</v>
      </c>
      <c r="AB176" s="16">
        <v>18931.120000000003</v>
      </c>
      <c r="AC176" s="16">
        <v>0</v>
      </c>
      <c r="AE176" s="16">
        <v>0</v>
      </c>
      <c r="AF176" s="16">
        <v>7368.33</v>
      </c>
      <c r="AG176" s="16">
        <v>0</v>
      </c>
    </row>
    <row r="177" spans="1:33" s="232" customFormat="1">
      <c r="A177" s="403"/>
      <c r="B177" s="403" t="s">
        <v>109</v>
      </c>
      <c r="C177" s="123" t="s">
        <v>378</v>
      </c>
      <c r="D177" s="481">
        <f>12803.52+11721.95+9569.6+4608.59+5410.36+9071.46+619.56+480.89+347.78</f>
        <v>54633.71</v>
      </c>
      <c r="E177" s="503">
        <f>'Q2 DMV - Revenue'!T166</f>
        <v>-2172.2850000000035</v>
      </c>
      <c r="F177" s="504"/>
      <c r="G177" s="504"/>
      <c r="H177" s="504"/>
      <c r="I177" s="398">
        <f t="shared" si="30"/>
        <v>52461.424999999996</v>
      </c>
      <c r="J177" s="31"/>
      <c r="K177" s="86"/>
      <c r="L177" s="290"/>
      <c r="M177" s="31">
        <v>0</v>
      </c>
      <c r="N177" s="429">
        <v>166235.06</v>
      </c>
      <c r="O177" s="31">
        <v>0</v>
      </c>
      <c r="P177" s="426">
        <f t="shared" si="22"/>
        <v>0</v>
      </c>
      <c r="Q177" s="14"/>
      <c r="R177" s="295"/>
      <c r="S177" s="385">
        <f t="shared" si="23"/>
        <v>0</v>
      </c>
      <c r="T177" s="31"/>
      <c r="U177" s="495">
        <f t="shared" si="24"/>
        <v>0</v>
      </c>
      <c r="V177" s="495">
        <f t="shared" si="25"/>
        <v>0</v>
      </c>
      <c r="W177" s="496">
        <f t="shared" si="26"/>
        <v>0</v>
      </c>
      <c r="X177" s="496">
        <v>0</v>
      </c>
      <c r="Y177" s="505">
        <v>0</v>
      </c>
      <c r="Z177" s="515">
        <f t="shared" si="21"/>
        <v>0</v>
      </c>
      <c r="AA177" s="232">
        <v>0</v>
      </c>
      <c r="AB177" s="232">
        <v>18931.120000000003</v>
      </c>
      <c r="AC177" s="232">
        <v>0</v>
      </c>
      <c r="AE177" s="232">
        <v>0</v>
      </c>
      <c r="AF177" s="232">
        <v>7368.33</v>
      </c>
      <c r="AG177" s="232">
        <v>0</v>
      </c>
    </row>
    <row r="178" spans="1:33" s="232" customFormat="1">
      <c r="A178" s="403"/>
      <c r="B178" s="403" t="s">
        <v>110</v>
      </c>
      <c r="C178" s="123" t="s">
        <v>303</v>
      </c>
      <c r="D178" s="481"/>
      <c r="E178" s="503"/>
      <c r="F178" s="503">
        <v>88465.73</v>
      </c>
      <c r="G178" s="504"/>
      <c r="H178" s="504"/>
      <c r="I178" s="398">
        <f t="shared" si="30"/>
        <v>88465.73</v>
      </c>
      <c r="J178" s="31"/>
      <c r="K178" s="86"/>
      <c r="L178" s="290">
        <f>88465*2</f>
        <v>176930</v>
      </c>
      <c r="M178" s="31">
        <v>0</v>
      </c>
      <c r="N178" s="429">
        <v>178569.05</v>
      </c>
      <c r="O178" s="31">
        <v>0</v>
      </c>
      <c r="P178" s="426">
        <f t="shared" si="22"/>
        <v>176930</v>
      </c>
      <c r="Q178" s="14">
        <f>86065.69+82093.06+2.07+1.99+13.61+6.83</f>
        <v>168183.24999999997</v>
      </c>
      <c r="R178" s="295"/>
      <c r="S178" s="385">
        <f t="shared" si="23"/>
        <v>-8746.7500000000291</v>
      </c>
      <c r="T178" s="31"/>
      <c r="U178" s="495">
        <f t="shared" si="24"/>
        <v>176930</v>
      </c>
      <c r="V178" s="495">
        <f t="shared" si="25"/>
        <v>0</v>
      </c>
      <c r="W178" s="496">
        <f t="shared" si="26"/>
        <v>0</v>
      </c>
      <c r="X178" s="496">
        <v>0</v>
      </c>
      <c r="Y178" s="505">
        <v>0</v>
      </c>
      <c r="Z178" s="515">
        <f t="shared" si="21"/>
        <v>0</v>
      </c>
      <c r="AA178" s="232">
        <v>102169.52</v>
      </c>
      <c r="AB178" s="232">
        <v>0</v>
      </c>
      <c r="AC178" s="232">
        <v>0</v>
      </c>
      <c r="AE178" s="232">
        <v>150000</v>
      </c>
      <c r="AF178" s="232">
        <v>0</v>
      </c>
      <c r="AG178" s="232">
        <v>0</v>
      </c>
    </row>
    <row r="179" spans="1:33" s="232" customFormat="1">
      <c r="A179" s="403"/>
      <c r="B179" s="403" t="s">
        <v>110</v>
      </c>
      <c r="C179" s="123" t="s">
        <v>206</v>
      </c>
      <c r="D179" s="481"/>
      <c r="E179" s="503">
        <f>'Q2 DMV - Revenue'!T167</f>
        <v>-43.890000000000015</v>
      </c>
      <c r="F179" s="503">
        <v>174.95</v>
      </c>
      <c r="G179" s="504"/>
      <c r="H179" s="504"/>
      <c r="I179" s="398">
        <f t="shared" si="30"/>
        <v>131.05999999999997</v>
      </c>
      <c r="J179" s="31"/>
      <c r="K179" s="86"/>
      <c r="L179" s="290">
        <f>175*2</f>
        <v>350</v>
      </c>
      <c r="M179" s="31">
        <v>0</v>
      </c>
      <c r="N179" s="429">
        <v>0</v>
      </c>
      <c r="O179" s="31">
        <v>0</v>
      </c>
      <c r="P179" s="426">
        <f t="shared" si="22"/>
        <v>350</v>
      </c>
      <c r="Q179" s="14">
        <f>214.97+153.81</f>
        <v>368.78</v>
      </c>
      <c r="R179" s="295"/>
      <c r="S179" s="385">
        <f t="shared" si="23"/>
        <v>18.779999999999973</v>
      </c>
      <c r="T179" s="31"/>
      <c r="U179" s="495">
        <f t="shared" si="24"/>
        <v>350</v>
      </c>
      <c r="V179" s="495">
        <f t="shared" si="25"/>
        <v>0</v>
      </c>
      <c r="W179" s="496">
        <f t="shared" si="26"/>
        <v>0</v>
      </c>
      <c r="X179" s="496">
        <v>0</v>
      </c>
      <c r="Y179" s="505">
        <v>0</v>
      </c>
      <c r="Z179" s="515">
        <f t="shared" si="21"/>
        <v>0</v>
      </c>
      <c r="AA179" s="232">
        <v>138.92999999999998</v>
      </c>
      <c r="AB179" s="232">
        <v>0</v>
      </c>
      <c r="AC179" s="232">
        <v>0</v>
      </c>
      <c r="AE179" s="232">
        <v>347.58</v>
      </c>
      <c r="AF179" s="232">
        <v>0</v>
      </c>
      <c r="AG179" s="232">
        <v>0</v>
      </c>
    </row>
    <row r="180" spans="1:33" s="232" customFormat="1">
      <c r="A180" s="403"/>
      <c r="B180" s="403" t="s">
        <v>110</v>
      </c>
      <c r="C180" s="123" t="s">
        <v>207</v>
      </c>
      <c r="D180" s="481"/>
      <c r="E180" s="503">
        <f>'Q2 DMV - Revenue'!T168</f>
        <v>-8.0249999999999986</v>
      </c>
      <c r="F180" s="503">
        <v>0.43</v>
      </c>
      <c r="G180" s="504"/>
      <c r="H180" s="504"/>
      <c r="I180" s="398">
        <f t="shared" si="30"/>
        <v>-7.5949999999999989</v>
      </c>
      <c r="J180" s="31"/>
      <c r="K180" s="86"/>
      <c r="L180" s="290"/>
      <c r="M180" s="31">
        <v>0</v>
      </c>
      <c r="N180" s="429">
        <v>0</v>
      </c>
      <c r="O180" s="31">
        <v>0</v>
      </c>
      <c r="P180" s="426">
        <f t="shared" si="22"/>
        <v>0</v>
      </c>
      <c r="Q180" s="14"/>
      <c r="R180" s="295"/>
      <c r="S180" s="385">
        <f t="shared" si="23"/>
        <v>0</v>
      </c>
      <c r="T180" s="31"/>
      <c r="U180" s="495">
        <f t="shared" si="24"/>
        <v>0</v>
      </c>
      <c r="V180" s="495">
        <f t="shared" si="25"/>
        <v>0</v>
      </c>
      <c r="W180" s="496">
        <f t="shared" si="26"/>
        <v>0</v>
      </c>
      <c r="X180" s="496">
        <v>0</v>
      </c>
      <c r="Y180" s="505">
        <v>0</v>
      </c>
      <c r="Z180" s="515">
        <f t="shared" si="21"/>
        <v>0</v>
      </c>
      <c r="AA180" s="232">
        <v>0.25</v>
      </c>
      <c r="AB180" s="232">
        <v>0</v>
      </c>
      <c r="AC180" s="232">
        <v>0</v>
      </c>
      <c r="AE180" s="232">
        <v>0.5</v>
      </c>
      <c r="AF180" s="232">
        <v>0</v>
      </c>
      <c r="AG180" s="232">
        <v>0</v>
      </c>
    </row>
    <row r="181" spans="1:33" s="232" customFormat="1">
      <c r="A181" s="403"/>
      <c r="B181" s="403" t="s">
        <v>114</v>
      </c>
      <c r="C181" s="123" t="s">
        <v>241</v>
      </c>
      <c r="D181" s="481"/>
      <c r="E181" s="503">
        <f>'Q2 DMV - Revenue'!T169</f>
        <v>-35334</v>
      </c>
      <c r="F181" s="504"/>
      <c r="G181" s="504"/>
      <c r="H181" s="504"/>
      <c r="I181" s="398">
        <f t="shared" si="30"/>
        <v>-35334</v>
      </c>
      <c r="J181" s="31"/>
      <c r="K181" s="86"/>
      <c r="L181" s="290">
        <v>44047</v>
      </c>
      <c r="M181" s="31"/>
      <c r="N181" s="429">
        <v>0</v>
      </c>
      <c r="O181" s="31"/>
      <c r="P181" s="426">
        <f t="shared" si="22"/>
        <v>44047</v>
      </c>
      <c r="Q181" s="14"/>
      <c r="R181" s="295"/>
      <c r="S181" s="385">
        <f t="shared" si="23"/>
        <v>-44047</v>
      </c>
      <c r="T181" s="31"/>
      <c r="U181" s="495">
        <f t="shared" si="24"/>
        <v>0</v>
      </c>
      <c r="V181" s="495">
        <f t="shared" si="25"/>
        <v>0</v>
      </c>
      <c r="W181" s="496">
        <f t="shared" si="26"/>
        <v>44047</v>
      </c>
      <c r="X181" s="496">
        <v>0</v>
      </c>
      <c r="Y181" s="505">
        <v>0</v>
      </c>
      <c r="Z181" s="515">
        <f t="shared" si="21"/>
        <v>0</v>
      </c>
      <c r="AA181" s="232">
        <v>0</v>
      </c>
      <c r="AB181" s="232">
        <v>0</v>
      </c>
      <c r="AC181" s="232">
        <v>-65000</v>
      </c>
      <c r="AE181" s="232">
        <v>0</v>
      </c>
      <c r="AF181" s="232">
        <v>0</v>
      </c>
      <c r="AG181" s="232">
        <v>71000</v>
      </c>
    </row>
    <row r="182" spans="1:33">
      <c r="A182" s="20"/>
      <c r="B182" s="20" t="s">
        <v>109</v>
      </c>
      <c r="C182" s="68" t="s">
        <v>41</v>
      </c>
      <c r="D182" s="433"/>
      <c r="E182" s="432" t="str">
        <f>'Q2 DMV - Revenue'!T170</f>
        <v/>
      </c>
      <c r="F182" s="390"/>
      <c r="G182" s="390"/>
      <c r="H182" s="390"/>
      <c r="I182" s="311">
        <f t="shared" si="30"/>
        <v>0</v>
      </c>
      <c r="J182" s="31"/>
      <c r="K182" s="84"/>
      <c r="L182" s="42">
        <v>6000</v>
      </c>
      <c r="M182" s="31">
        <v>0</v>
      </c>
      <c r="N182" s="429">
        <v>2198.71</v>
      </c>
      <c r="O182" s="31">
        <v>0</v>
      </c>
      <c r="P182" s="426">
        <f t="shared" si="22"/>
        <v>6000</v>
      </c>
      <c r="Q182" s="178"/>
      <c r="R182" s="295"/>
      <c r="S182" s="385">
        <f t="shared" si="23"/>
        <v>-6000</v>
      </c>
      <c r="T182" s="31"/>
      <c r="U182" s="474">
        <f t="shared" si="24"/>
        <v>0</v>
      </c>
      <c r="V182" s="474">
        <f t="shared" si="25"/>
        <v>6000</v>
      </c>
      <c r="W182" s="475">
        <f t="shared" si="26"/>
        <v>0</v>
      </c>
      <c r="X182" s="475">
        <v>0</v>
      </c>
      <c r="Y182" s="476">
        <v>0</v>
      </c>
      <c r="Z182" s="38">
        <f t="shared" si="21"/>
        <v>0</v>
      </c>
      <c r="AA182" s="16">
        <v>0</v>
      </c>
      <c r="AB182" s="16">
        <v>-5000</v>
      </c>
      <c r="AC182" s="16">
        <v>0</v>
      </c>
      <c r="AE182" s="16">
        <v>0</v>
      </c>
      <c r="AF182" s="16">
        <v>5000</v>
      </c>
      <c r="AG182" s="16">
        <v>0</v>
      </c>
    </row>
    <row r="183" spans="1:33">
      <c r="A183" s="20"/>
      <c r="B183" s="20" t="s">
        <v>109</v>
      </c>
      <c r="C183" s="68" t="s">
        <v>221</v>
      </c>
      <c r="D183" s="433"/>
      <c r="E183" s="432" t="str">
        <f>'Q2 DMV - Revenue'!T171</f>
        <v/>
      </c>
      <c r="F183" s="390"/>
      <c r="G183" s="390"/>
      <c r="H183" s="390"/>
      <c r="I183" s="311">
        <f t="shared" ref="I183:I219" si="33">SUM(D183:H183)</f>
        <v>0</v>
      </c>
      <c r="J183" s="31"/>
      <c r="K183" s="84"/>
      <c r="L183" s="42">
        <v>500</v>
      </c>
      <c r="M183" s="31">
        <v>0</v>
      </c>
      <c r="N183" s="429">
        <v>0</v>
      </c>
      <c r="O183" s="31">
        <v>0</v>
      </c>
      <c r="P183" s="426">
        <f t="shared" si="22"/>
        <v>500</v>
      </c>
      <c r="Q183" s="178"/>
      <c r="R183" s="295"/>
      <c r="S183" s="385">
        <f t="shared" si="23"/>
        <v>-500</v>
      </c>
      <c r="T183" s="31"/>
      <c r="U183" s="474">
        <f t="shared" si="24"/>
        <v>0</v>
      </c>
      <c r="V183" s="474">
        <f t="shared" si="25"/>
        <v>500</v>
      </c>
      <c r="W183" s="475">
        <f t="shared" si="26"/>
        <v>0</v>
      </c>
      <c r="X183" s="475">
        <v>0</v>
      </c>
      <c r="Y183" s="476">
        <v>0</v>
      </c>
      <c r="Z183" s="38">
        <f t="shared" si="21"/>
        <v>0</v>
      </c>
      <c r="AA183" s="16">
        <v>0</v>
      </c>
      <c r="AB183" s="16">
        <v>0</v>
      </c>
      <c r="AC183" s="16">
        <v>0</v>
      </c>
      <c r="AE183" s="16">
        <v>0</v>
      </c>
      <c r="AF183" s="16">
        <v>0</v>
      </c>
      <c r="AG183" s="16">
        <v>0</v>
      </c>
    </row>
    <row r="184" spans="1:33" s="146" customFormat="1">
      <c r="A184" s="21" t="s">
        <v>109</v>
      </c>
      <c r="B184" s="21" t="s">
        <v>110</v>
      </c>
      <c r="C184" s="68" t="s">
        <v>98</v>
      </c>
      <c r="D184" s="433">
        <v>1206.75</v>
      </c>
      <c r="E184" s="432">
        <f>'Q2 DMV - Revenue'!T172</f>
        <v>-5416</v>
      </c>
      <c r="F184" s="390"/>
      <c r="G184" s="390"/>
      <c r="H184" s="390"/>
      <c r="I184" s="311">
        <f t="shared" si="33"/>
        <v>-4209.25</v>
      </c>
      <c r="J184" s="31"/>
      <c r="K184" s="84"/>
      <c r="L184" s="42">
        <v>5000</v>
      </c>
      <c r="M184" s="31">
        <v>0</v>
      </c>
      <c r="N184" s="429">
        <v>1206.75</v>
      </c>
      <c r="O184" s="31">
        <v>0</v>
      </c>
      <c r="P184" s="426">
        <f t="shared" si="22"/>
        <v>5000</v>
      </c>
      <c r="Q184" s="178"/>
      <c r="R184" s="295"/>
      <c r="S184" s="385">
        <f t="shared" si="23"/>
        <v>-5000</v>
      </c>
      <c r="T184" s="31"/>
      <c r="U184" s="474">
        <f t="shared" si="24"/>
        <v>5000</v>
      </c>
      <c r="V184" s="474">
        <f t="shared" si="25"/>
        <v>0</v>
      </c>
      <c r="W184" s="475">
        <f t="shared" si="26"/>
        <v>0</v>
      </c>
      <c r="X184" s="475">
        <v>0</v>
      </c>
      <c r="Y184" s="476">
        <v>0</v>
      </c>
      <c r="Z184" s="38">
        <f t="shared" si="21"/>
        <v>0</v>
      </c>
      <c r="AA184" s="16">
        <v>0</v>
      </c>
      <c r="AB184" s="16">
        <v>0</v>
      </c>
      <c r="AC184" s="16">
        <v>0</v>
      </c>
      <c r="AE184" s="16">
        <v>0</v>
      </c>
      <c r="AF184" s="16">
        <v>0</v>
      </c>
      <c r="AG184" s="16">
        <v>0</v>
      </c>
    </row>
    <row r="185" spans="1:33">
      <c r="A185" s="21"/>
      <c r="B185" s="21" t="s">
        <v>110</v>
      </c>
      <c r="C185" s="68" t="s">
        <v>43</v>
      </c>
      <c r="D185" s="433"/>
      <c r="E185" s="432" t="str">
        <f>'Q2 DMV - Revenue'!T173</f>
        <v/>
      </c>
      <c r="F185" s="438">
        <v>939.51</v>
      </c>
      <c r="G185" s="438">
        <v>1132.6300000000001</v>
      </c>
      <c r="H185" s="438">
        <v>1255.5</v>
      </c>
      <c r="I185" s="311">
        <f t="shared" si="33"/>
        <v>3327.6400000000003</v>
      </c>
      <c r="J185" s="31"/>
      <c r="K185" s="84"/>
      <c r="L185" s="42"/>
      <c r="M185" s="31">
        <v>0</v>
      </c>
      <c r="N185" s="429">
        <f>2072.14+H185</f>
        <v>3327.64</v>
      </c>
      <c r="O185" s="31">
        <v>0</v>
      </c>
      <c r="P185" s="426">
        <f t="shared" si="22"/>
        <v>0</v>
      </c>
      <c r="Q185" s="178"/>
      <c r="R185" s="295"/>
      <c r="S185" s="385">
        <f t="shared" si="23"/>
        <v>0</v>
      </c>
      <c r="T185" s="31"/>
      <c r="U185" s="474">
        <f t="shared" si="24"/>
        <v>0</v>
      </c>
      <c r="V185" s="474">
        <f t="shared" si="25"/>
        <v>0</v>
      </c>
      <c r="W185" s="475">
        <f t="shared" si="26"/>
        <v>0</v>
      </c>
      <c r="X185" s="475">
        <v>0</v>
      </c>
      <c r="Y185" s="476">
        <v>0</v>
      </c>
      <c r="Z185" s="38">
        <f t="shared" si="21"/>
        <v>0</v>
      </c>
      <c r="AA185" s="16">
        <v>2696.04</v>
      </c>
      <c r="AB185" s="16">
        <v>0</v>
      </c>
      <c r="AC185" s="16">
        <v>0</v>
      </c>
      <c r="AE185" s="16">
        <v>1348.02</v>
      </c>
      <c r="AF185" s="16">
        <v>0</v>
      </c>
      <c r="AG185" s="16">
        <v>0</v>
      </c>
    </row>
    <row r="186" spans="1:33">
      <c r="A186" s="21"/>
      <c r="B186" s="21" t="s">
        <v>109</v>
      </c>
      <c r="C186" s="68" t="s">
        <v>44</v>
      </c>
      <c r="D186" s="433"/>
      <c r="E186" s="432">
        <f>'Q2 DMV - Revenue'!T174</f>
        <v>57.5</v>
      </c>
      <c r="F186" s="390"/>
      <c r="G186" s="390"/>
      <c r="H186" s="390"/>
      <c r="I186" s="311">
        <f t="shared" si="33"/>
        <v>57.5</v>
      </c>
      <c r="J186" s="31"/>
      <c r="K186" s="84"/>
      <c r="L186" s="42">
        <v>200</v>
      </c>
      <c r="M186" s="31">
        <v>0</v>
      </c>
      <c r="N186" s="429">
        <v>57.5</v>
      </c>
      <c r="O186" s="31">
        <v>0</v>
      </c>
      <c r="P186" s="426">
        <f t="shared" si="22"/>
        <v>200</v>
      </c>
      <c r="Q186" s="178">
        <f>63.75+65</f>
        <v>128.75</v>
      </c>
      <c r="R186" s="295"/>
      <c r="S186" s="385">
        <f t="shared" si="23"/>
        <v>-71.25</v>
      </c>
      <c r="T186" s="31"/>
      <c r="U186" s="474">
        <f t="shared" si="24"/>
        <v>0</v>
      </c>
      <c r="V186" s="474">
        <f t="shared" si="25"/>
        <v>200</v>
      </c>
      <c r="W186" s="475">
        <f t="shared" si="26"/>
        <v>0</v>
      </c>
      <c r="X186" s="475">
        <v>0</v>
      </c>
      <c r="Y186" s="476">
        <v>0</v>
      </c>
      <c r="Z186" s="38">
        <f t="shared" si="21"/>
        <v>0</v>
      </c>
      <c r="AA186" s="16">
        <v>0</v>
      </c>
      <c r="AB186" s="16">
        <v>1376.25</v>
      </c>
      <c r="AC186" s="16">
        <v>0</v>
      </c>
      <c r="AE186" s="16">
        <v>0</v>
      </c>
      <c r="AF186" s="16">
        <v>0</v>
      </c>
      <c r="AG186" s="16">
        <v>0</v>
      </c>
    </row>
    <row r="187" spans="1:33">
      <c r="A187" s="21"/>
      <c r="B187" s="21" t="s">
        <v>110</v>
      </c>
      <c r="C187" s="68" t="s">
        <v>388</v>
      </c>
      <c r="D187" s="433"/>
      <c r="E187" s="432">
        <f>'Q2 DMV - Revenue'!T175</f>
        <v>1454.73</v>
      </c>
      <c r="F187" s="438">
        <v>1688.95</v>
      </c>
      <c r="G187" s="438">
        <v>3177.92</v>
      </c>
      <c r="H187" s="438">
        <v>3255.84</v>
      </c>
      <c r="I187" s="311">
        <f>SUM(D187:H187)</f>
        <v>9577.44</v>
      </c>
      <c r="J187" s="31"/>
      <c r="K187" s="84"/>
      <c r="L187" s="42"/>
      <c r="M187" s="31">
        <v>0</v>
      </c>
      <c r="N187" s="429">
        <v>9577.44</v>
      </c>
      <c r="O187" s="31">
        <v>0</v>
      </c>
      <c r="P187" s="426">
        <f t="shared" si="22"/>
        <v>0</v>
      </c>
      <c r="Q187" s="178"/>
      <c r="R187" s="295"/>
      <c r="S187" s="385">
        <f t="shared" si="23"/>
        <v>0</v>
      </c>
      <c r="T187" s="31"/>
      <c r="U187" s="474">
        <f t="shared" si="24"/>
        <v>0</v>
      </c>
      <c r="V187" s="474">
        <f t="shared" si="25"/>
        <v>0</v>
      </c>
      <c r="W187" s="475">
        <f t="shared" si="26"/>
        <v>0</v>
      </c>
      <c r="X187" s="475">
        <v>0</v>
      </c>
      <c r="Y187" s="476">
        <v>0</v>
      </c>
      <c r="Z187" s="38">
        <f t="shared" si="21"/>
        <v>0</v>
      </c>
      <c r="AA187" s="16">
        <v>0</v>
      </c>
      <c r="AB187" s="16">
        <v>0</v>
      </c>
      <c r="AC187" s="16">
        <v>0</v>
      </c>
      <c r="AE187" s="16">
        <v>11200</v>
      </c>
      <c r="AF187" s="16">
        <v>0</v>
      </c>
      <c r="AG187" s="16">
        <v>0</v>
      </c>
    </row>
    <row r="188" spans="1:33">
      <c r="A188" s="21"/>
      <c r="B188" s="21" t="s">
        <v>110</v>
      </c>
      <c r="C188" s="68" t="s">
        <v>45</v>
      </c>
      <c r="D188" s="433"/>
      <c r="E188" s="432">
        <f>'Q2 DMV - Revenue'!T176</f>
        <v>234.58499999999958</v>
      </c>
      <c r="F188" s="438">
        <v>2875.53</v>
      </c>
      <c r="G188" s="438">
        <v>3141.15</v>
      </c>
      <c r="H188" s="390"/>
      <c r="I188" s="311">
        <f t="shared" si="33"/>
        <v>6251.2649999999994</v>
      </c>
      <c r="J188" s="31"/>
      <c r="K188" s="84"/>
      <c r="L188" s="42">
        <f>(F188+G188)/2</f>
        <v>3008.34</v>
      </c>
      <c r="M188" s="31">
        <v>0</v>
      </c>
      <c r="N188" s="429">
        <v>8825.74</v>
      </c>
      <c r="O188" s="31">
        <v>0</v>
      </c>
      <c r="P188" s="426">
        <f t="shared" si="22"/>
        <v>3008.34</v>
      </c>
      <c r="Q188" s="178">
        <v>3238.92</v>
      </c>
      <c r="R188" s="295"/>
      <c r="S188" s="385">
        <f t="shared" si="23"/>
        <v>230.57999999999993</v>
      </c>
      <c r="T188" s="31"/>
      <c r="U188" s="474">
        <f t="shared" si="24"/>
        <v>3008.34</v>
      </c>
      <c r="V188" s="474">
        <f t="shared" si="25"/>
        <v>0</v>
      </c>
      <c r="W188" s="475">
        <f t="shared" si="26"/>
        <v>0</v>
      </c>
      <c r="X188" s="475">
        <v>0</v>
      </c>
      <c r="Y188" s="476">
        <v>0</v>
      </c>
      <c r="Z188" s="38">
        <f t="shared" si="21"/>
        <v>0</v>
      </c>
      <c r="AA188" s="16">
        <v>0</v>
      </c>
      <c r="AB188" s="16">
        <v>0</v>
      </c>
      <c r="AC188" s="16">
        <v>0</v>
      </c>
      <c r="AE188" s="16">
        <v>11200</v>
      </c>
      <c r="AF188" s="16">
        <v>0</v>
      </c>
      <c r="AG188" s="16">
        <v>0</v>
      </c>
    </row>
    <row r="189" spans="1:33">
      <c r="A189" s="20"/>
      <c r="B189" s="20" t="s">
        <v>110</v>
      </c>
      <c r="C189" s="68" t="s">
        <v>46</v>
      </c>
      <c r="D189" s="433"/>
      <c r="E189" s="432" t="str">
        <f>'Q2 DMV - Revenue'!T177</f>
        <v/>
      </c>
      <c r="F189" s="390"/>
      <c r="G189" s="390"/>
      <c r="H189" s="390"/>
      <c r="I189" s="311">
        <f t="shared" si="33"/>
        <v>0</v>
      </c>
      <c r="J189" s="31"/>
      <c r="K189" s="84"/>
      <c r="L189" s="42"/>
      <c r="M189" s="31">
        <v>0</v>
      </c>
      <c r="N189" s="429">
        <v>0</v>
      </c>
      <c r="O189" s="31">
        <v>0</v>
      </c>
      <c r="P189" s="426">
        <f t="shared" si="22"/>
        <v>0</v>
      </c>
      <c r="Q189" s="178"/>
      <c r="R189" s="295"/>
      <c r="S189" s="385">
        <f t="shared" si="23"/>
        <v>0</v>
      </c>
      <c r="T189" s="31"/>
      <c r="U189" s="474">
        <f t="shared" si="24"/>
        <v>0</v>
      </c>
      <c r="V189" s="474">
        <f t="shared" si="25"/>
        <v>0</v>
      </c>
      <c r="W189" s="475">
        <f t="shared" si="26"/>
        <v>0</v>
      </c>
      <c r="X189" s="475">
        <v>0</v>
      </c>
      <c r="Y189" s="476">
        <v>0</v>
      </c>
      <c r="Z189" s="38">
        <f t="shared" si="21"/>
        <v>0</v>
      </c>
      <c r="AA189" s="16">
        <v>0</v>
      </c>
      <c r="AB189" s="16">
        <v>0</v>
      </c>
      <c r="AC189" s="16">
        <v>0</v>
      </c>
      <c r="AE189" s="16">
        <v>0</v>
      </c>
      <c r="AF189" s="16">
        <v>0</v>
      </c>
      <c r="AG189" s="16">
        <v>0</v>
      </c>
    </row>
    <row r="190" spans="1:33">
      <c r="A190" s="21"/>
      <c r="B190" s="21" t="s">
        <v>109</v>
      </c>
      <c r="C190" s="68" t="s">
        <v>47</v>
      </c>
      <c r="D190" s="433"/>
      <c r="E190" s="432" t="str">
        <f>'Q2 DMV - Revenue'!T178</f>
        <v/>
      </c>
      <c r="F190" s="438">
        <v>7428.49</v>
      </c>
      <c r="G190" s="438">
        <v>8272.7999999999993</v>
      </c>
      <c r="H190" s="438">
        <v>7028.46</v>
      </c>
      <c r="I190" s="311">
        <f t="shared" si="33"/>
        <v>22729.75</v>
      </c>
      <c r="J190" s="31"/>
      <c r="K190" s="84"/>
      <c r="L190" s="42"/>
      <c r="M190" s="31">
        <v>0</v>
      </c>
      <c r="N190" s="429">
        <v>22729.75</v>
      </c>
      <c r="O190" s="31">
        <v>0</v>
      </c>
      <c r="P190" s="426">
        <f t="shared" si="22"/>
        <v>0</v>
      </c>
      <c r="Q190" s="178"/>
      <c r="R190" s="295"/>
      <c r="S190" s="385">
        <f t="shared" si="23"/>
        <v>0</v>
      </c>
      <c r="T190" s="31"/>
      <c r="U190" s="474">
        <f t="shared" si="24"/>
        <v>0</v>
      </c>
      <c r="V190" s="474">
        <f t="shared" si="25"/>
        <v>0</v>
      </c>
      <c r="W190" s="475">
        <f t="shared" si="26"/>
        <v>0</v>
      </c>
      <c r="X190" s="475">
        <v>0</v>
      </c>
      <c r="Y190" s="476">
        <v>0</v>
      </c>
      <c r="Z190" s="38">
        <f t="shared" si="21"/>
        <v>0</v>
      </c>
      <c r="AA190" s="16">
        <v>0</v>
      </c>
      <c r="AB190" s="16">
        <v>32894.33</v>
      </c>
      <c r="AC190" s="16">
        <v>0</v>
      </c>
      <c r="AE190" s="16">
        <v>0</v>
      </c>
      <c r="AF190" s="16">
        <v>0</v>
      </c>
      <c r="AG190" s="16">
        <v>0</v>
      </c>
    </row>
    <row r="191" spans="1:33">
      <c r="A191" s="20" t="s">
        <v>211</v>
      </c>
      <c r="B191" s="20" t="s">
        <v>110</v>
      </c>
      <c r="C191" s="68" t="s">
        <v>233</v>
      </c>
      <c r="D191" s="433"/>
      <c r="E191" s="432" t="str">
        <f>'Q2 DMV - Revenue'!T179</f>
        <v/>
      </c>
      <c r="F191" s="438">
        <v>733.05</v>
      </c>
      <c r="G191" s="438">
        <v>679.39</v>
      </c>
      <c r="H191" s="390"/>
      <c r="I191" s="311">
        <f t="shared" si="33"/>
        <v>1412.44</v>
      </c>
      <c r="J191" s="2"/>
      <c r="K191" s="336"/>
      <c r="L191" s="42">
        <f>(F191+G191)/2</f>
        <v>706.22</v>
      </c>
      <c r="M191" s="31">
        <v>0</v>
      </c>
      <c r="N191" s="429">
        <v>1412.44</v>
      </c>
      <c r="O191" s="31">
        <v>0</v>
      </c>
      <c r="P191" s="426">
        <f t="shared" si="22"/>
        <v>706.22</v>
      </c>
      <c r="Q191" s="178">
        <v>647.96</v>
      </c>
      <c r="R191" s="295"/>
      <c r="S191" s="385">
        <f t="shared" si="23"/>
        <v>-58.259999999999991</v>
      </c>
      <c r="T191" s="2"/>
      <c r="U191" s="474">
        <f t="shared" si="24"/>
        <v>706.22</v>
      </c>
      <c r="V191" s="474">
        <f t="shared" si="25"/>
        <v>0</v>
      </c>
      <c r="W191" s="475">
        <f t="shared" si="26"/>
        <v>0</v>
      </c>
      <c r="X191" s="475">
        <v>0</v>
      </c>
      <c r="Y191" s="476">
        <v>0</v>
      </c>
      <c r="Z191" s="38">
        <f t="shared" si="21"/>
        <v>0</v>
      </c>
      <c r="AA191" s="16">
        <v>0</v>
      </c>
      <c r="AB191" s="16">
        <v>3311.8</v>
      </c>
      <c r="AC191" s="16">
        <v>0</v>
      </c>
      <c r="AE191" s="16">
        <v>0</v>
      </c>
      <c r="AF191" s="16">
        <v>1655.9</v>
      </c>
      <c r="AG191" s="16">
        <v>0</v>
      </c>
    </row>
    <row r="192" spans="1:33">
      <c r="A192" s="20" t="s">
        <v>211</v>
      </c>
      <c r="B192" s="20" t="s">
        <v>109</v>
      </c>
      <c r="C192" s="68" t="s">
        <v>48</v>
      </c>
      <c r="D192" s="433"/>
      <c r="E192" s="432" t="str">
        <f>'Q2 DMV - Revenue'!T180</f>
        <v/>
      </c>
      <c r="F192" s="390"/>
      <c r="G192" s="390"/>
      <c r="H192" s="390"/>
      <c r="I192" s="311">
        <f t="shared" si="33"/>
        <v>0</v>
      </c>
      <c r="J192" s="2"/>
      <c r="K192" s="336"/>
      <c r="L192" s="42"/>
      <c r="M192" s="31">
        <v>0</v>
      </c>
      <c r="N192" s="429">
        <v>0</v>
      </c>
      <c r="O192" s="31">
        <v>0</v>
      </c>
      <c r="P192" s="426">
        <f t="shared" si="22"/>
        <v>0</v>
      </c>
      <c r="Q192" s="178"/>
      <c r="R192" s="295"/>
      <c r="S192" s="385">
        <f t="shared" si="23"/>
        <v>0</v>
      </c>
      <c r="T192" s="2"/>
      <c r="U192" s="474">
        <f t="shared" si="24"/>
        <v>0</v>
      </c>
      <c r="V192" s="474">
        <f t="shared" si="25"/>
        <v>0</v>
      </c>
      <c r="W192" s="475">
        <f t="shared" si="26"/>
        <v>0</v>
      </c>
      <c r="X192" s="475">
        <v>0</v>
      </c>
      <c r="Y192" s="476">
        <v>0</v>
      </c>
      <c r="Z192" s="38">
        <f t="shared" si="21"/>
        <v>0</v>
      </c>
      <c r="AA192" s="16">
        <v>0</v>
      </c>
      <c r="AB192" s="16">
        <v>0</v>
      </c>
      <c r="AC192" s="16">
        <v>0</v>
      </c>
      <c r="AE192" s="16">
        <v>0</v>
      </c>
      <c r="AF192" s="16">
        <v>400</v>
      </c>
      <c r="AG192" s="16">
        <v>0</v>
      </c>
    </row>
    <row r="193" spans="1:33">
      <c r="A193" s="20"/>
      <c r="B193" s="20" t="s">
        <v>110</v>
      </c>
      <c r="C193" s="68" t="s">
        <v>102</v>
      </c>
      <c r="D193" s="433"/>
      <c r="E193" s="432">
        <f>'Q2 DMV - Revenue'!T181</f>
        <v>-8493.5800000000163</v>
      </c>
      <c r="F193" s="438">
        <v>174772.93</v>
      </c>
      <c r="G193" s="438">
        <v>173532.57</v>
      </c>
      <c r="H193" s="390"/>
      <c r="I193" s="311">
        <f t="shared" si="33"/>
        <v>339811.92</v>
      </c>
      <c r="J193" s="2"/>
      <c r="K193" s="336">
        <v>211000</v>
      </c>
      <c r="L193" s="42">
        <v>0</v>
      </c>
      <c r="M193" s="31">
        <v>0</v>
      </c>
      <c r="N193" s="429">
        <v>657435.92000000004</v>
      </c>
      <c r="O193" s="31">
        <v>0</v>
      </c>
      <c r="P193" s="426">
        <f t="shared" si="22"/>
        <v>211000</v>
      </c>
      <c r="Q193" s="178">
        <v>209804.81</v>
      </c>
      <c r="R193" s="295"/>
      <c r="S193" s="385">
        <f t="shared" si="23"/>
        <v>-1195.1900000000023</v>
      </c>
      <c r="T193" s="2"/>
      <c r="U193" s="474">
        <f t="shared" si="24"/>
        <v>211000</v>
      </c>
      <c r="V193" s="474">
        <f t="shared" si="25"/>
        <v>0</v>
      </c>
      <c r="W193" s="475">
        <f t="shared" si="26"/>
        <v>0</v>
      </c>
      <c r="X193" s="475">
        <v>0</v>
      </c>
      <c r="Y193" s="476">
        <v>0</v>
      </c>
      <c r="Z193" s="38">
        <f t="shared" si="21"/>
        <v>0</v>
      </c>
      <c r="AA193" s="16">
        <v>260860.42</v>
      </c>
      <c r="AB193" s="16">
        <v>0</v>
      </c>
      <c r="AC193" s="16">
        <v>0</v>
      </c>
      <c r="AE193" s="16">
        <v>130430.21</v>
      </c>
      <c r="AF193" s="16">
        <v>0</v>
      </c>
      <c r="AG193" s="16">
        <v>0</v>
      </c>
    </row>
    <row r="194" spans="1:33">
      <c r="A194" s="21"/>
      <c r="B194" s="21" t="s">
        <v>110</v>
      </c>
      <c r="C194" s="68" t="s">
        <v>50</v>
      </c>
      <c r="D194" s="433"/>
      <c r="E194" s="432" t="str">
        <f>'Q2 DMV - Revenue'!T182</f>
        <v/>
      </c>
      <c r="F194" s="438">
        <v>878.79</v>
      </c>
      <c r="G194" s="438">
        <v>1109.95</v>
      </c>
      <c r="H194" s="438">
        <v>949.34</v>
      </c>
      <c r="I194" s="311">
        <f t="shared" si="33"/>
        <v>2938.08</v>
      </c>
      <c r="J194" s="31"/>
      <c r="K194" s="84"/>
      <c r="L194" s="42"/>
      <c r="M194" s="31">
        <v>0</v>
      </c>
      <c r="N194" s="429">
        <v>2938.08</v>
      </c>
      <c r="O194" s="31">
        <v>0</v>
      </c>
      <c r="P194" s="426">
        <f t="shared" si="22"/>
        <v>0</v>
      </c>
      <c r="Q194" s="178"/>
      <c r="R194" s="295"/>
      <c r="S194" s="385">
        <f t="shared" si="23"/>
        <v>0</v>
      </c>
      <c r="T194" s="31"/>
      <c r="U194" s="474">
        <f t="shared" si="24"/>
        <v>0</v>
      </c>
      <c r="V194" s="474">
        <f t="shared" si="25"/>
        <v>0</v>
      </c>
      <c r="W194" s="475">
        <f t="shared" si="26"/>
        <v>0</v>
      </c>
      <c r="X194" s="475">
        <v>0</v>
      </c>
      <c r="Y194" s="476">
        <v>0</v>
      </c>
      <c r="Z194" s="38">
        <f t="shared" si="21"/>
        <v>0</v>
      </c>
      <c r="AA194" s="16">
        <v>3909.5</v>
      </c>
      <c r="AB194" s="16">
        <v>0</v>
      </c>
      <c r="AC194" s="16">
        <v>0</v>
      </c>
      <c r="AE194" s="16">
        <v>0</v>
      </c>
      <c r="AF194" s="16">
        <v>0</v>
      </c>
      <c r="AG194" s="16">
        <v>0</v>
      </c>
    </row>
    <row r="195" spans="1:33">
      <c r="A195" s="21"/>
      <c r="B195" s="21" t="s">
        <v>109</v>
      </c>
      <c r="C195" s="68" t="s">
        <v>51</v>
      </c>
      <c r="D195" s="433"/>
      <c r="E195" s="432" t="str">
        <f>'Q2 DMV - Revenue'!T183</f>
        <v/>
      </c>
      <c r="F195" s="390"/>
      <c r="G195" s="390"/>
      <c r="H195" s="390"/>
      <c r="I195" s="311">
        <f t="shared" si="33"/>
        <v>0</v>
      </c>
      <c r="J195" s="31"/>
      <c r="K195" s="84"/>
      <c r="L195" s="42"/>
      <c r="M195" s="31">
        <v>0</v>
      </c>
      <c r="N195" s="429">
        <v>0</v>
      </c>
      <c r="O195" s="31">
        <v>0</v>
      </c>
      <c r="P195" s="426">
        <f t="shared" si="22"/>
        <v>0</v>
      </c>
      <c r="Q195" s="178"/>
      <c r="R195" s="295"/>
      <c r="S195" s="385">
        <f t="shared" si="23"/>
        <v>0</v>
      </c>
      <c r="T195" s="31"/>
      <c r="U195" s="474">
        <f t="shared" si="24"/>
        <v>0</v>
      </c>
      <c r="V195" s="474">
        <f t="shared" si="25"/>
        <v>0</v>
      </c>
      <c r="W195" s="475">
        <f t="shared" si="26"/>
        <v>0</v>
      </c>
      <c r="X195" s="475">
        <v>0</v>
      </c>
      <c r="Y195" s="476">
        <v>0</v>
      </c>
      <c r="Z195" s="38">
        <f t="shared" si="21"/>
        <v>0</v>
      </c>
      <c r="AA195" s="16">
        <v>0</v>
      </c>
      <c r="AB195" s="16">
        <v>0</v>
      </c>
      <c r="AC195" s="16">
        <v>0</v>
      </c>
      <c r="AE195" s="16">
        <v>0</v>
      </c>
      <c r="AF195" s="16">
        <v>15000</v>
      </c>
      <c r="AG195" s="16">
        <v>0</v>
      </c>
    </row>
    <row r="196" spans="1:33">
      <c r="A196" s="21"/>
      <c r="B196" s="21" t="s">
        <v>109</v>
      </c>
      <c r="C196" s="68" t="s">
        <v>107</v>
      </c>
      <c r="D196" s="433">
        <v>13635.989999999998</v>
      </c>
      <c r="E196" s="432">
        <f>'Q2 DMV - Revenue'!T184</f>
        <v>3379.3999999999996</v>
      </c>
      <c r="F196" s="390"/>
      <c r="G196" s="390"/>
      <c r="H196" s="390"/>
      <c r="I196" s="311">
        <f t="shared" si="33"/>
        <v>17015.39</v>
      </c>
      <c r="J196" s="31"/>
      <c r="K196" s="84"/>
      <c r="L196" s="42"/>
      <c r="M196" s="31">
        <v>-18700</v>
      </c>
      <c r="N196" s="429">
        <v>33669.279999999999</v>
      </c>
      <c r="O196" s="31">
        <v>-18700</v>
      </c>
      <c r="P196" s="426">
        <f t="shared" si="22"/>
        <v>0</v>
      </c>
      <c r="Q196" s="178">
        <f>1014.3+2018.59+1087.26+2404.79+2308.09+2586.96</f>
        <v>11419.989999999998</v>
      </c>
      <c r="R196" s="295"/>
      <c r="S196" s="385">
        <f t="shared" si="23"/>
        <v>11419.989999999998</v>
      </c>
      <c r="T196" s="31"/>
      <c r="U196" s="474">
        <f t="shared" si="24"/>
        <v>0</v>
      </c>
      <c r="V196" s="474">
        <f t="shared" si="25"/>
        <v>0</v>
      </c>
      <c r="W196" s="475">
        <f t="shared" si="26"/>
        <v>0</v>
      </c>
      <c r="X196" s="475">
        <v>0</v>
      </c>
      <c r="Y196" s="476">
        <v>0</v>
      </c>
      <c r="Z196" s="38">
        <f t="shared" si="21"/>
        <v>0</v>
      </c>
      <c r="AA196" s="16">
        <v>0</v>
      </c>
      <c r="AB196" s="16">
        <v>6593.2899999999972</v>
      </c>
      <c r="AC196" s="16">
        <v>0</v>
      </c>
      <c r="AE196" s="16">
        <v>0</v>
      </c>
      <c r="AF196" s="16">
        <v>0</v>
      </c>
      <c r="AG196" s="16">
        <v>0</v>
      </c>
    </row>
    <row r="197" spans="1:33">
      <c r="A197" s="20"/>
      <c r="B197" s="20" t="s">
        <v>109</v>
      </c>
      <c r="C197" s="68" t="s">
        <v>156</v>
      </c>
      <c r="D197" s="433"/>
      <c r="E197" s="432" t="str">
        <f>'Q2 DMV - Revenue'!T185</f>
        <v/>
      </c>
      <c r="F197" s="438">
        <v>1210.0899999999999</v>
      </c>
      <c r="G197" s="438">
        <v>753.56</v>
      </c>
      <c r="H197" s="390"/>
      <c r="I197" s="311">
        <f t="shared" si="33"/>
        <v>1963.6499999999999</v>
      </c>
      <c r="J197" s="31"/>
      <c r="K197" s="84"/>
      <c r="L197" s="42">
        <f>(F197+G197)/2</f>
        <v>981.82499999999993</v>
      </c>
      <c r="M197" s="31">
        <v>0</v>
      </c>
      <c r="N197" s="429">
        <v>0</v>
      </c>
      <c r="O197" s="31">
        <v>0</v>
      </c>
      <c r="P197" s="426">
        <f t="shared" si="22"/>
        <v>981.82499999999993</v>
      </c>
      <c r="Q197" s="178">
        <v>620.30999999999995</v>
      </c>
      <c r="R197" s="295"/>
      <c r="S197" s="385">
        <f t="shared" si="23"/>
        <v>-361.51499999999999</v>
      </c>
      <c r="T197" s="31"/>
      <c r="U197" s="474">
        <f t="shared" si="24"/>
        <v>0</v>
      </c>
      <c r="V197" s="474">
        <f t="shared" si="25"/>
        <v>981.82499999999993</v>
      </c>
      <c r="W197" s="475">
        <f t="shared" si="26"/>
        <v>0</v>
      </c>
      <c r="X197" s="475">
        <v>0</v>
      </c>
      <c r="Y197" s="476">
        <v>0</v>
      </c>
      <c r="Z197" s="38">
        <f t="shared" si="21"/>
        <v>0</v>
      </c>
      <c r="AA197" s="16">
        <v>0</v>
      </c>
      <c r="AB197" s="16">
        <v>1513.63</v>
      </c>
      <c r="AC197" s="16">
        <v>0</v>
      </c>
      <c r="AE197" s="16">
        <v>0</v>
      </c>
      <c r="AF197" s="16">
        <v>0</v>
      </c>
      <c r="AG197" s="16">
        <v>0</v>
      </c>
    </row>
    <row r="198" spans="1:33">
      <c r="A198" s="20"/>
      <c r="B198" s="20" t="s">
        <v>109</v>
      </c>
      <c r="C198" s="68" t="s">
        <v>157</v>
      </c>
      <c r="D198" s="433"/>
      <c r="E198" s="432" t="str">
        <f>'Q2 DMV - Revenue'!T186</f>
        <v/>
      </c>
      <c r="F198" s="438">
        <v>2596.5</v>
      </c>
      <c r="G198" s="438">
        <v>2464.77</v>
      </c>
      <c r="H198" s="390"/>
      <c r="I198" s="311">
        <f t="shared" si="33"/>
        <v>5061.2700000000004</v>
      </c>
      <c r="J198" s="31"/>
      <c r="K198" s="84"/>
      <c r="L198" s="42">
        <f t="shared" ref="L198:L201" si="34">(F198+G198)/2</f>
        <v>2530.6350000000002</v>
      </c>
      <c r="M198" s="31">
        <v>0</v>
      </c>
      <c r="N198" s="429">
        <v>0</v>
      </c>
      <c r="O198" s="31">
        <v>0</v>
      </c>
      <c r="P198" s="426">
        <f t="shared" si="22"/>
        <v>2530.6350000000002</v>
      </c>
      <c r="Q198" s="178">
        <v>738.09</v>
      </c>
      <c r="R198" s="295"/>
      <c r="S198" s="385">
        <f t="shared" si="23"/>
        <v>-1792.5450000000001</v>
      </c>
      <c r="T198" s="31"/>
      <c r="U198" s="474">
        <f t="shared" si="24"/>
        <v>0</v>
      </c>
      <c r="V198" s="474">
        <f t="shared" si="25"/>
        <v>2530.6350000000002</v>
      </c>
      <c r="W198" s="475">
        <f t="shared" si="26"/>
        <v>0</v>
      </c>
      <c r="X198" s="475">
        <v>0</v>
      </c>
      <c r="Y198" s="476">
        <v>0</v>
      </c>
      <c r="Z198" s="38">
        <f t="shared" si="21"/>
        <v>0</v>
      </c>
      <c r="AA198" s="16">
        <v>0</v>
      </c>
      <c r="AB198" s="16">
        <v>10969.23</v>
      </c>
      <c r="AC198" s="16">
        <v>0</v>
      </c>
      <c r="AE198" s="16">
        <v>0</v>
      </c>
      <c r="AF198" s="16">
        <v>0</v>
      </c>
      <c r="AG198" s="16">
        <v>0</v>
      </c>
    </row>
    <row r="199" spans="1:33">
      <c r="A199" s="20"/>
      <c r="B199" s="20" t="s">
        <v>109</v>
      </c>
      <c r="C199" s="68" t="s">
        <v>158</v>
      </c>
      <c r="D199" s="433"/>
      <c r="E199" s="432" t="str">
        <f>'Q2 DMV - Revenue'!T187</f>
        <v/>
      </c>
      <c r="F199" s="438">
        <v>4303.0200000000004</v>
      </c>
      <c r="G199" s="438">
        <v>5198.46</v>
      </c>
      <c r="H199" s="390"/>
      <c r="I199" s="311">
        <f t="shared" si="33"/>
        <v>9501.48</v>
      </c>
      <c r="J199" s="31"/>
      <c r="K199" s="84"/>
      <c r="L199" s="42">
        <f t="shared" si="34"/>
        <v>4750.74</v>
      </c>
      <c r="M199" s="31">
        <v>0</v>
      </c>
      <c r="N199" s="429">
        <v>16526.400000000001</v>
      </c>
      <c r="O199" s="31">
        <v>0</v>
      </c>
      <c r="P199" s="426">
        <f t="shared" si="22"/>
        <v>4750.74</v>
      </c>
      <c r="Q199" s="178">
        <v>5081.3</v>
      </c>
      <c r="R199" s="295"/>
      <c r="S199" s="385">
        <f t="shared" si="23"/>
        <v>330.5600000000004</v>
      </c>
      <c r="T199" s="31"/>
      <c r="U199" s="474">
        <f t="shared" si="24"/>
        <v>0</v>
      </c>
      <c r="V199" s="474">
        <f t="shared" si="25"/>
        <v>4750.74</v>
      </c>
      <c r="W199" s="475">
        <f t="shared" si="26"/>
        <v>0</v>
      </c>
      <c r="X199" s="475">
        <v>0</v>
      </c>
      <c r="Y199" s="476">
        <v>0</v>
      </c>
      <c r="Z199" s="38">
        <f t="shared" si="21"/>
        <v>0</v>
      </c>
      <c r="AA199" s="16">
        <v>0</v>
      </c>
      <c r="AB199" s="16">
        <v>9240.380000000001</v>
      </c>
      <c r="AC199" s="16">
        <v>0</v>
      </c>
      <c r="AE199" s="16">
        <v>0</v>
      </c>
      <c r="AF199" s="16">
        <v>0</v>
      </c>
      <c r="AG199" s="16">
        <v>0</v>
      </c>
    </row>
    <row r="200" spans="1:33">
      <c r="A200" s="21" t="s">
        <v>97</v>
      </c>
      <c r="B200" s="21" t="s">
        <v>109</v>
      </c>
      <c r="C200" s="68" t="s">
        <v>52</v>
      </c>
      <c r="D200" s="433"/>
      <c r="E200" s="432">
        <f>'Q2 DMV - Revenue'!T188</f>
        <v>-14.510000000000002</v>
      </c>
      <c r="F200" s="438">
        <v>4.16</v>
      </c>
      <c r="G200" s="438">
        <v>8.92</v>
      </c>
      <c r="H200" s="390"/>
      <c r="I200" s="311">
        <f t="shared" si="33"/>
        <v>-1.4300000000000015</v>
      </c>
      <c r="J200" s="31"/>
      <c r="K200" s="84"/>
      <c r="L200" s="42">
        <f t="shared" si="34"/>
        <v>6.54</v>
      </c>
      <c r="M200" s="31">
        <v>0</v>
      </c>
      <c r="N200" s="429">
        <v>28.53</v>
      </c>
      <c r="O200" s="31">
        <v>0</v>
      </c>
      <c r="P200" s="426">
        <f t="shared" si="22"/>
        <v>6.54</v>
      </c>
      <c r="Q200" s="178"/>
      <c r="R200" s="295"/>
      <c r="S200" s="385">
        <f t="shared" si="23"/>
        <v>-6.54</v>
      </c>
      <c r="T200" s="31"/>
      <c r="U200" s="474">
        <f t="shared" si="24"/>
        <v>0</v>
      </c>
      <c r="V200" s="474">
        <f t="shared" si="25"/>
        <v>6.54</v>
      </c>
      <c r="W200" s="475">
        <f t="shared" si="26"/>
        <v>0</v>
      </c>
      <c r="X200" s="475">
        <v>0</v>
      </c>
      <c r="Y200" s="476">
        <v>0</v>
      </c>
      <c r="Z200" s="38">
        <f t="shared" si="21"/>
        <v>0</v>
      </c>
      <c r="AA200" s="16">
        <v>0</v>
      </c>
      <c r="AB200" s="16">
        <v>0</v>
      </c>
      <c r="AC200" s="16">
        <v>0</v>
      </c>
      <c r="AE200" s="16">
        <v>0</v>
      </c>
      <c r="AF200" s="16">
        <v>0</v>
      </c>
      <c r="AG200" s="16">
        <v>0</v>
      </c>
    </row>
    <row r="201" spans="1:33">
      <c r="A201" s="21"/>
      <c r="B201" s="21" t="s">
        <v>109</v>
      </c>
      <c r="C201" s="68" t="s">
        <v>53</v>
      </c>
      <c r="D201" s="433"/>
      <c r="E201" s="432" t="str">
        <f>'Q2 DMV - Revenue'!T189</f>
        <v/>
      </c>
      <c r="F201" s="438">
        <v>6859.35</v>
      </c>
      <c r="G201" s="438">
        <v>6799.48</v>
      </c>
      <c r="H201" s="390"/>
      <c r="I201" s="311">
        <f t="shared" si="33"/>
        <v>13658.83</v>
      </c>
      <c r="J201" s="31"/>
      <c r="K201" s="84"/>
      <c r="L201" s="42">
        <f t="shared" si="34"/>
        <v>6829.415</v>
      </c>
      <c r="M201" s="31">
        <v>0</v>
      </c>
      <c r="N201" s="429">
        <v>13658.83</v>
      </c>
      <c r="O201" s="31">
        <v>0</v>
      </c>
      <c r="P201" s="426">
        <f t="shared" si="22"/>
        <v>6829.415</v>
      </c>
      <c r="Q201" s="178">
        <v>6867.91</v>
      </c>
      <c r="R201" s="295"/>
      <c r="S201" s="385">
        <f t="shared" si="23"/>
        <v>38.494999999999891</v>
      </c>
      <c r="T201" s="31"/>
      <c r="U201" s="474">
        <f t="shared" si="24"/>
        <v>0</v>
      </c>
      <c r="V201" s="474">
        <f t="shared" si="25"/>
        <v>6829.415</v>
      </c>
      <c r="W201" s="475">
        <f t="shared" si="26"/>
        <v>0</v>
      </c>
      <c r="X201" s="475">
        <v>0</v>
      </c>
      <c r="Y201" s="476">
        <v>0</v>
      </c>
      <c r="Z201" s="38">
        <f t="shared" si="21"/>
        <v>0</v>
      </c>
      <c r="AA201" s="16">
        <v>0</v>
      </c>
      <c r="AB201" s="16">
        <v>19072.650000000001</v>
      </c>
      <c r="AC201" s="16">
        <v>0</v>
      </c>
      <c r="AE201" s="16">
        <v>0</v>
      </c>
      <c r="AF201" s="16">
        <v>9536.3250000000007</v>
      </c>
      <c r="AG201" s="16">
        <v>0</v>
      </c>
    </row>
    <row r="202" spans="1:33">
      <c r="A202" s="21"/>
      <c r="B202" s="21" t="s">
        <v>109</v>
      </c>
      <c r="C202" s="68" t="s">
        <v>54</v>
      </c>
      <c r="D202" s="433">
        <f>725.14+1478.53+394.78+218.14+0.27+9.93</f>
        <v>2826.7899999999995</v>
      </c>
      <c r="E202" s="432">
        <f>'Q2 DMV - Revenue'!T190</f>
        <v>3493.8</v>
      </c>
      <c r="F202" s="390"/>
      <c r="G202" s="390"/>
      <c r="H202" s="390"/>
      <c r="I202" s="311">
        <f>SUM(D202:H202)</f>
        <v>6320.59</v>
      </c>
      <c r="J202" s="31"/>
      <c r="K202" s="84"/>
      <c r="L202" s="42">
        <v>0</v>
      </c>
      <c r="M202" s="31">
        <v>0</v>
      </c>
      <c r="N202" s="429">
        <v>6320.6</v>
      </c>
      <c r="O202" s="31">
        <v>0</v>
      </c>
      <c r="P202" s="426">
        <f t="shared" si="22"/>
        <v>0</v>
      </c>
      <c r="Q202" s="178">
        <f>218.87+363.99+1243.93</f>
        <v>1826.79</v>
      </c>
      <c r="R202" s="295"/>
      <c r="S202" s="385">
        <f t="shared" si="23"/>
        <v>1826.79</v>
      </c>
      <c r="T202" s="31"/>
      <c r="U202" s="474">
        <f t="shared" si="24"/>
        <v>0</v>
      </c>
      <c r="V202" s="474">
        <f t="shared" si="25"/>
        <v>0</v>
      </c>
      <c r="W202" s="475">
        <f t="shared" si="26"/>
        <v>0</v>
      </c>
      <c r="X202" s="475">
        <v>0</v>
      </c>
      <c r="Y202" s="476">
        <v>0</v>
      </c>
      <c r="Z202" s="38">
        <f t="shared" si="21"/>
        <v>0</v>
      </c>
      <c r="AA202" s="16">
        <v>0</v>
      </c>
      <c r="AB202" s="16">
        <v>0</v>
      </c>
      <c r="AC202" s="16">
        <v>0</v>
      </c>
      <c r="AE202" s="16">
        <v>0</v>
      </c>
      <c r="AF202" s="16">
        <v>0</v>
      </c>
      <c r="AG202" s="16">
        <v>0</v>
      </c>
    </row>
    <row r="203" spans="1:33">
      <c r="A203" s="20"/>
      <c r="B203" s="20" t="s">
        <v>110</v>
      </c>
      <c r="C203" s="68" t="s">
        <v>394</v>
      </c>
      <c r="D203" s="433">
        <v>0</v>
      </c>
      <c r="E203" s="432" t="str">
        <f>'Q2 DMV - Revenue'!T191</f>
        <v/>
      </c>
      <c r="F203" s="390"/>
      <c r="G203" s="390"/>
      <c r="H203" s="390"/>
      <c r="I203" s="311">
        <f t="shared" si="33"/>
        <v>0</v>
      </c>
      <c r="J203" s="31"/>
      <c r="K203" s="84"/>
      <c r="L203" s="42">
        <v>0</v>
      </c>
      <c r="M203" s="31">
        <v>0</v>
      </c>
      <c r="N203" s="429">
        <v>0</v>
      </c>
      <c r="O203" s="31">
        <v>0</v>
      </c>
      <c r="P203" s="426">
        <f t="shared" si="22"/>
        <v>0</v>
      </c>
      <c r="Q203" s="178">
        <f>9349.66-1839.01</f>
        <v>7510.65</v>
      </c>
      <c r="R203" s="295"/>
      <c r="S203" s="385">
        <f t="shared" si="23"/>
        <v>7510.65</v>
      </c>
      <c r="T203" s="31"/>
      <c r="U203" s="474">
        <f t="shared" si="24"/>
        <v>0</v>
      </c>
      <c r="V203" s="474">
        <f t="shared" si="25"/>
        <v>0</v>
      </c>
      <c r="W203" s="475">
        <f t="shared" si="26"/>
        <v>0</v>
      </c>
      <c r="X203" s="475">
        <v>0</v>
      </c>
      <c r="Y203" s="476">
        <v>0</v>
      </c>
      <c r="Z203" s="38">
        <f t="shared" si="21"/>
        <v>0</v>
      </c>
      <c r="AA203" s="16">
        <v>0</v>
      </c>
      <c r="AB203" s="16">
        <v>0</v>
      </c>
      <c r="AC203" s="16">
        <v>0</v>
      </c>
      <c r="AE203" s="16">
        <v>0</v>
      </c>
      <c r="AF203" s="16">
        <v>0</v>
      </c>
      <c r="AG203" s="16">
        <v>0</v>
      </c>
    </row>
    <row r="204" spans="1:33">
      <c r="A204" s="20"/>
      <c r="B204" s="20" t="s">
        <v>110</v>
      </c>
      <c r="C204" s="68" t="s">
        <v>55</v>
      </c>
      <c r="D204" s="433">
        <v>808.72</v>
      </c>
      <c r="E204" s="432" t="str">
        <f>'Q2 DMV - Revenue'!T192</f>
        <v/>
      </c>
      <c r="F204" s="438">
        <v>820.95</v>
      </c>
      <c r="G204" s="438">
        <v>568.61</v>
      </c>
      <c r="H204" s="438">
        <v>542.49</v>
      </c>
      <c r="I204" s="311">
        <f t="shared" si="33"/>
        <v>2740.7700000000004</v>
      </c>
      <c r="J204" s="31"/>
      <c r="K204" s="84"/>
      <c r="L204" s="42">
        <v>0</v>
      </c>
      <c r="M204" s="31">
        <v>0</v>
      </c>
      <c r="N204" s="429">
        <v>2740.77</v>
      </c>
      <c r="O204" s="31">
        <v>0</v>
      </c>
      <c r="P204" s="426">
        <f t="shared" si="22"/>
        <v>0</v>
      </c>
      <c r="Q204" s="178"/>
      <c r="R204" s="295"/>
      <c r="S204" s="385">
        <f t="shared" si="23"/>
        <v>0</v>
      </c>
      <c r="T204" s="31"/>
      <c r="U204" s="474">
        <f t="shared" si="24"/>
        <v>0</v>
      </c>
      <c r="V204" s="474">
        <f t="shared" si="25"/>
        <v>0</v>
      </c>
      <c r="W204" s="475">
        <f t="shared" si="26"/>
        <v>0</v>
      </c>
      <c r="X204" s="475">
        <v>0</v>
      </c>
      <c r="Y204" s="476">
        <v>0</v>
      </c>
      <c r="Z204" s="38">
        <f t="shared" si="21"/>
        <v>0</v>
      </c>
      <c r="AA204" s="16">
        <v>2518.7600000000002</v>
      </c>
      <c r="AB204" s="16">
        <v>0</v>
      </c>
      <c r="AC204" s="16">
        <v>0</v>
      </c>
      <c r="AE204" s="16">
        <v>630.46500000000003</v>
      </c>
      <c r="AF204" s="16">
        <v>0</v>
      </c>
      <c r="AG204" s="16">
        <v>0</v>
      </c>
    </row>
    <row r="205" spans="1:33">
      <c r="A205" s="21" t="s">
        <v>97</v>
      </c>
      <c r="B205" s="21" t="s">
        <v>110</v>
      </c>
      <c r="C205" s="68" t="s">
        <v>175</v>
      </c>
      <c r="D205" s="433"/>
      <c r="E205" s="432" t="str">
        <f>'Q2 DMV - Revenue'!T193</f>
        <v/>
      </c>
      <c r="F205" s="390"/>
      <c r="G205" s="390"/>
      <c r="H205" s="390"/>
      <c r="I205" s="311">
        <f t="shared" si="33"/>
        <v>0</v>
      </c>
      <c r="J205" s="31"/>
      <c r="K205" s="84"/>
      <c r="L205" s="42">
        <v>0</v>
      </c>
      <c r="M205" s="31">
        <v>0</v>
      </c>
      <c r="N205" s="429">
        <v>0</v>
      </c>
      <c r="O205" s="31">
        <v>0</v>
      </c>
      <c r="P205" s="426">
        <f t="shared" si="22"/>
        <v>0</v>
      </c>
      <c r="Q205" s="178"/>
      <c r="R205" s="295"/>
      <c r="S205" s="385">
        <f t="shared" si="23"/>
        <v>0</v>
      </c>
      <c r="T205" s="31"/>
      <c r="U205" s="474">
        <f t="shared" si="24"/>
        <v>0</v>
      </c>
      <c r="V205" s="474">
        <f t="shared" si="25"/>
        <v>0</v>
      </c>
      <c r="W205" s="475">
        <f t="shared" si="26"/>
        <v>0</v>
      </c>
      <c r="X205" s="475">
        <v>0</v>
      </c>
      <c r="Y205" s="476">
        <v>0</v>
      </c>
      <c r="Z205" s="38">
        <f t="shared" si="21"/>
        <v>0</v>
      </c>
      <c r="AA205" s="16">
        <v>0</v>
      </c>
      <c r="AB205" s="16">
        <v>0</v>
      </c>
      <c r="AC205" s="16">
        <v>0</v>
      </c>
      <c r="AE205" s="16">
        <v>0</v>
      </c>
      <c r="AF205" s="16">
        <v>0</v>
      </c>
      <c r="AG205" s="16">
        <v>0</v>
      </c>
    </row>
    <row r="206" spans="1:33">
      <c r="A206" s="20" t="s">
        <v>211</v>
      </c>
      <c r="B206" s="20" t="s">
        <v>109</v>
      </c>
      <c r="C206" s="68" t="s">
        <v>56</v>
      </c>
      <c r="D206" s="433"/>
      <c r="E206" s="432" t="str">
        <f>'Q2 DMV - Revenue'!T194</f>
        <v/>
      </c>
      <c r="F206" s="390"/>
      <c r="G206" s="390"/>
      <c r="H206" s="390"/>
      <c r="I206" s="311">
        <f t="shared" si="33"/>
        <v>0</v>
      </c>
      <c r="J206" s="2"/>
      <c r="K206" s="336"/>
      <c r="L206" s="42">
        <v>0</v>
      </c>
      <c r="M206" s="31">
        <v>0</v>
      </c>
      <c r="N206" s="429">
        <v>0</v>
      </c>
      <c r="O206" s="31">
        <v>0</v>
      </c>
      <c r="P206" s="426">
        <f t="shared" si="22"/>
        <v>0</v>
      </c>
      <c r="Q206" s="178"/>
      <c r="R206" s="295"/>
      <c r="S206" s="385">
        <f t="shared" si="23"/>
        <v>0</v>
      </c>
      <c r="T206" s="2"/>
      <c r="U206" s="474">
        <f t="shared" si="24"/>
        <v>0</v>
      </c>
      <c r="V206" s="474">
        <f t="shared" si="25"/>
        <v>0</v>
      </c>
      <c r="W206" s="475">
        <f t="shared" si="26"/>
        <v>0</v>
      </c>
      <c r="X206" s="475">
        <v>0</v>
      </c>
      <c r="Y206" s="476">
        <v>0</v>
      </c>
      <c r="Z206" s="38">
        <f t="shared" si="21"/>
        <v>0</v>
      </c>
      <c r="AA206" s="16">
        <v>0</v>
      </c>
      <c r="AB206" s="16">
        <v>-213.80999999999995</v>
      </c>
      <c r="AC206" s="16">
        <v>0</v>
      </c>
      <c r="AE206" s="16">
        <v>0</v>
      </c>
      <c r="AF206" s="16">
        <v>0</v>
      </c>
      <c r="AG206" s="16">
        <v>0</v>
      </c>
    </row>
    <row r="207" spans="1:33">
      <c r="A207" s="20"/>
      <c r="B207" s="20" t="s">
        <v>109</v>
      </c>
      <c r="C207" s="68" t="s">
        <v>159</v>
      </c>
      <c r="D207" s="433"/>
      <c r="E207" s="432" t="str">
        <f>'Q2 DMV - Revenue'!T195</f>
        <v/>
      </c>
      <c r="F207" s="438">
        <v>35340.519999999997</v>
      </c>
      <c r="G207" s="438">
        <v>35253.74</v>
      </c>
      <c r="H207" s="438">
        <v>33600.35</v>
      </c>
      <c r="I207" s="311">
        <f t="shared" si="33"/>
        <v>104194.60999999999</v>
      </c>
      <c r="J207" s="31"/>
      <c r="K207" s="84"/>
      <c r="L207" s="42">
        <v>0</v>
      </c>
      <c r="M207" s="31">
        <v>0</v>
      </c>
      <c r="N207" s="429">
        <v>0</v>
      </c>
      <c r="O207" s="31">
        <v>0</v>
      </c>
      <c r="P207" s="426">
        <f t="shared" si="22"/>
        <v>0</v>
      </c>
      <c r="Q207" s="178">
        <v>-23469.439999999999</v>
      </c>
      <c r="R207" s="295"/>
      <c r="S207" s="385">
        <f t="shared" si="23"/>
        <v>-23469.439999999999</v>
      </c>
      <c r="T207" s="31"/>
      <c r="U207" s="474">
        <f t="shared" si="24"/>
        <v>0</v>
      </c>
      <c r="V207" s="474">
        <f t="shared" si="25"/>
        <v>0</v>
      </c>
      <c r="W207" s="475">
        <f t="shared" si="26"/>
        <v>0</v>
      </c>
      <c r="X207" s="475">
        <v>0</v>
      </c>
      <c r="Y207" s="476">
        <v>0</v>
      </c>
      <c r="Z207" s="38">
        <f t="shared" si="21"/>
        <v>0</v>
      </c>
      <c r="AA207" s="16">
        <v>0</v>
      </c>
      <c r="AB207" s="16">
        <v>126567.35</v>
      </c>
      <c r="AC207" s="16">
        <v>0</v>
      </c>
      <c r="AE207" s="16">
        <v>0</v>
      </c>
      <c r="AF207" s="16">
        <v>0</v>
      </c>
      <c r="AG207" s="16">
        <v>0</v>
      </c>
    </row>
    <row r="208" spans="1:33">
      <c r="A208" s="20"/>
      <c r="B208" s="20" t="s">
        <v>109</v>
      </c>
      <c r="C208" s="68" t="s">
        <v>160</v>
      </c>
      <c r="D208" s="433"/>
      <c r="E208" s="432" t="str">
        <f>'Q2 DMV - Revenue'!T196</f>
        <v/>
      </c>
      <c r="F208" s="438">
        <v>8759.1200000000008</v>
      </c>
      <c r="G208" s="438">
        <v>8308.1200000000008</v>
      </c>
      <c r="H208" s="390">
        <v>0</v>
      </c>
      <c r="I208" s="311">
        <f t="shared" si="33"/>
        <v>17067.240000000002</v>
      </c>
      <c r="J208" s="31"/>
      <c r="K208" s="84"/>
      <c r="L208" s="42">
        <v>0</v>
      </c>
      <c r="M208" s="31">
        <v>0</v>
      </c>
      <c r="N208" s="429">
        <v>0</v>
      </c>
      <c r="O208" s="31">
        <v>0</v>
      </c>
      <c r="P208" s="426">
        <f t="shared" si="22"/>
        <v>0</v>
      </c>
      <c r="Q208" s="178">
        <f>11734.72+51.17+8.67</f>
        <v>11794.56</v>
      </c>
      <c r="R208" s="295"/>
      <c r="S208" s="385">
        <f t="shared" si="23"/>
        <v>11794.56</v>
      </c>
      <c r="T208" s="31"/>
      <c r="U208" s="474">
        <f t="shared" si="24"/>
        <v>0</v>
      </c>
      <c r="V208" s="474">
        <f t="shared" si="25"/>
        <v>0</v>
      </c>
      <c r="W208" s="475">
        <f t="shared" si="26"/>
        <v>0</v>
      </c>
      <c r="X208" s="475">
        <v>0</v>
      </c>
      <c r="Y208" s="476">
        <v>0</v>
      </c>
      <c r="Z208" s="38">
        <f t="shared" si="21"/>
        <v>0</v>
      </c>
      <c r="AA208" s="16">
        <v>0</v>
      </c>
      <c r="AB208" s="16">
        <v>53791.68</v>
      </c>
      <c r="AC208" s="16">
        <v>0</v>
      </c>
      <c r="AE208" s="16">
        <v>0</v>
      </c>
      <c r="AF208" s="16">
        <v>0</v>
      </c>
      <c r="AG208" s="16">
        <v>0</v>
      </c>
    </row>
    <row r="209" spans="1:33">
      <c r="A209" s="21"/>
      <c r="B209" s="21" t="s">
        <v>109</v>
      </c>
      <c r="C209" s="68" t="s">
        <v>161</v>
      </c>
      <c r="D209" s="433"/>
      <c r="E209" s="432" t="str">
        <f>'Q2 DMV - Revenue'!T197</f>
        <v/>
      </c>
      <c r="F209" s="438">
        <v>74253.67</v>
      </c>
      <c r="G209" s="438">
        <v>76197.990000000005</v>
      </c>
      <c r="H209" s="438">
        <v>67423.17</v>
      </c>
      <c r="I209" s="311">
        <f t="shared" si="33"/>
        <v>217874.83000000002</v>
      </c>
      <c r="J209" s="31"/>
      <c r="K209" s="84"/>
      <c r="L209" s="42">
        <v>0</v>
      </c>
      <c r="M209" s="31">
        <v>0</v>
      </c>
      <c r="N209" s="429">
        <v>0</v>
      </c>
      <c r="O209" s="31">
        <v>0</v>
      </c>
      <c r="P209" s="426">
        <f t="shared" si="22"/>
        <v>0</v>
      </c>
      <c r="Q209" s="178"/>
      <c r="R209" s="295"/>
      <c r="S209" s="385">
        <f t="shared" si="23"/>
        <v>0</v>
      </c>
      <c r="T209" s="31"/>
      <c r="U209" s="474">
        <f t="shared" si="24"/>
        <v>0</v>
      </c>
      <c r="V209" s="474">
        <f t="shared" si="25"/>
        <v>0</v>
      </c>
      <c r="W209" s="475">
        <f t="shared" si="26"/>
        <v>0</v>
      </c>
      <c r="X209" s="475">
        <v>0</v>
      </c>
      <c r="Y209" s="476">
        <v>0</v>
      </c>
      <c r="Z209" s="38">
        <f t="shared" si="21"/>
        <v>0</v>
      </c>
      <c r="AA209" s="16">
        <v>0</v>
      </c>
      <c r="AB209" s="16">
        <v>214936.98</v>
      </c>
      <c r="AC209" s="16">
        <v>0</v>
      </c>
      <c r="AE209" s="16">
        <v>0</v>
      </c>
      <c r="AF209" s="16">
        <v>0</v>
      </c>
      <c r="AG209" s="16">
        <v>0</v>
      </c>
    </row>
    <row r="210" spans="1:33">
      <c r="A210" s="21"/>
      <c r="B210" s="21" t="s">
        <v>109</v>
      </c>
      <c r="C210" s="68" t="s">
        <v>162</v>
      </c>
      <c r="D210" s="433"/>
      <c r="E210" s="432">
        <f>'Q2 DMV - Revenue'!T198</f>
        <v>-1406.8900000000003</v>
      </c>
      <c r="F210" s="438">
        <v>7474.08</v>
      </c>
      <c r="G210" s="438">
        <v>6648.54</v>
      </c>
      <c r="H210" s="438">
        <v>6451.92</v>
      </c>
      <c r="I210" s="311">
        <f t="shared" si="33"/>
        <v>19167.650000000001</v>
      </c>
      <c r="J210" s="31"/>
      <c r="K210" s="84"/>
      <c r="L210" s="42">
        <v>0</v>
      </c>
      <c r="M210" s="31">
        <v>0</v>
      </c>
      <c r="N210" s="429">
        <v>296643.7</v>
      </c>
      <c r="O210" s="31">
        <v>0</v>
      </c>
      <c r="P210" s="426">
        <f t="shared" si="22"/>
        <v>0</v>
      </c>
      <c r="Q210" s="178"/>
      <c r="R210" s="295"/>
      <c r="S210" s="385">
        <f t="shared" si="23"/>
        <v>0</v>
      </c>
      <c r="T210" s="31"/>
      <c r="U210" s="474">
        <f t="shared" si="24"/>
        <v>0</v>
      </c>
      <c r="V210" s="474">
        <f t="shared" si="25"/>
        <v>0</v>
      </c>
      <c r="W210" s="475">
        <f t="shared" si="26"/>
        <v>0</v>
      </c>
      <c r="X210" s="475">
        <v>0</v>
      </c>
      <c r="Y210" s="476">
        <v>0</v>
      </c>
      <c r="Z210" s="38">
        <f t="shared" si="21"/>
        <v>0</v>
      </c>
      <c r="AA210" s="16">
        <v>0</v>
      </c>
      <c r="AB210" s="16">
        <v>29439.93</v>
      </c>
      <c r="AC210" s="16">
        <v>0</v>
      </c>
      <c r="AE210" s="16">
        <v>0</v>
      </c>
      <c r="AF210" s="16">
        <v>0</v>
      </c>
      <c r="AG210" s="16">
        <v>0</v>
      </c>
    </row>
    <row r="211" spans="1:33">
      <c r="A211" s="21"/>
      <c r="B211" s="21" t="s">
        <v>110</v>
      </c>
      <c r="C211" s="68" t="s">
        <v>163</v>
      </c>
      <c r="D211" s="433"/>
      <c r="E211" s="432">
        <f>'Q2 DMV - Revenue'!T198</f>
        <v>-1406.8900000000003</v>
      </c>
      <c r="F211" s="438">
        <v>6530.48</v>
      </c>
      <c r="G211" s="438">
        <v>6182.31</v>
      </c>
      <c r="H211" s="438">
        <v>6838.68</v>
      </c>
      <c r="I211" s="311">
        <f t="shared" si="33"/>
        <v>18144.580000000002</v>
      </c>
      <c r="J211" s="3"/>
      <c r="K211" s="84"/>
      <c r="L211" s="42">
        <v>0</v>
      </c>
      <c r="M211" s="11">
        <v>0</v>
      </c>
      <c r="N211" s="429">
        <v>26638.61</v>
      </c>
      <c r="O211" s="11">
        <v>0</v>
      </c>
      <c r="P211" s="426">
        <f t="shared" si="22"/>
        <v>0</v>
      </c>
      <c r="Q211" s="178"/>
      <c r="R211" s="296"/>
      <c r="S211" s="385">
        <f t="shared" si="23"/>
        <v>0</v>
      </c>
      <c r="T211" s="3"/>
      <c r="U211" s="474">
        <f t="shared" si="24"/>
        <v>0</v>
      </c>
      <c r="V211" s="474">
        <f t="shared" si="25"/>
        <v>0</v>
      </c>
      <c r="W211" s="475">
        <f t="shared" si="26"/>
        <v>0</v>
      </c>
      <c r="X211" s="475">
        <v>0</v>
      </c>
      <c r="Y211" s="476">
        <v>0</v>
      </c>
      <c r="Z211" s="38">
        <f t="shared" si="21"/>
        <v>0</v>
      </c>
      <c r="AA211" s="16">
        <v>25603.190000000002</v>
      </c>
      <c r="AB211" s="16">
        <v>0</v>
      </c>
      <c r="AC211" s="16">
        <v>0</v>
      </c>
      <c r="AE211" s="16">
        <v>0</v>
      </c>
      <c r="AF211" s="16">
        <v>0</v>
      </c>
      <c r="AG211" s="16">
        <v>0</v>
      </c>
    </row>
    <row r="212" spans="1:33">
      <c r="A212" s="21"/>
      <c r="B212" s="21" t="s">
        <v>110</v>
      </c>
      <c r="C212" s="412" t="s">
        <v>164</v>
      </c>
      <c r="D212" s="433"/>
      <c r="E212" s="432">
        <f>'Q2 DMV - Revenue'!T199</f>
        <v>-13.754999999999995</v>
      </c>
      <c r="F212" s="438">
        <v>142.07</v>
      </c>
      <c r="G212" s="438">
        <v>137.28</v>
      </c>
      <c r="H212" s="438">
        <v>110.05</v>
      </c>
      <c r="I212" s="311">
        <f t="shared" si="33"/>
        <v>375.64500000000004</v>
      </c>
      <c r="J212" s="3"/>
      <c r="K212" s="84"/>
      <c r="L212" s="42">
        <v>0</v>
      </c>
      <c r="M212" s="11">
        <v>0</v>
      </c>
      <c r="N212" s="429">
        <v>0</v>
      </c>
      <c r="O212" s="11">
        <v>0</v>
      </c>
      <c r="P212" s="426">
        <f t="shared" si="22"/>
        <v>0</v>
      </c>
      <c r="Q212" s="178"/>
      <c r="R212" s="296"/>
      <c r="S212" s="385">
        <f t="shared" si="23"/>
        <v>0</v>
      </c>
      <c r="T212" s="3"/>
      <c r="U212" s="474">
        <f t="shared" si="24"/>
        <v>0</v>
      </c>
      <c r="V212" s="474">
        <f t="shared" si="25"/>
        <v>0</v>
      </c>
      <c r="W212" s="475">
        <f t="shared" si="26"/>
        <v>0</v>
      </c>
      <c r="X212" s="475">
        <v>0</v>
      </c>
      <c r="Y212" s="476">
        <v>0</v>
      </c>
      <c r="Z212" s="38">
        <f t="shared" ref="Z212:Z242" si="35">(K212+L212)-(U212+V212+W212+X212+Y212)</f>
        <v>0</v>
      </c>
      <c r="AA212" s="16">
        <v>591.99</v>
      </c>
      <c r="AB212" s="16">
        <v>0</v>
      </c>
      <c r="AC212" s="16">
        <v>0</v>
      </c>
      <c r="AE212" s="16">
        <v>0</v>
      </c>
      <c r="AF212" s="16">
        <v>0</v>
      </c>
      <c r="AG212" s="16">
        <v>0</v>
      </c>
    </row>
    <row r="213" spans="1:33">
      <c r="A213" s="21" t="s">
        <v>109</v>
      </c>
      <c r="B213" s="21" t="s">
        <v>110</v>
      </c>
      <c r="C213" s="412" t="s">
        <v>318</v>
      </c>
      <c r="D213" s="433">
        <v>27.07</v>
      </c>
      <c r="E213" s="432" t="str">
        <f>'Q2 DMV - Revenue'!T200</f>
        <v/>
      </c>
      <c r="F213" s="390"/>
      <c r="G213" s="390"/>
      <c r="H213" s="390"/>
      <c r="I213" s="311">
        <f t="shared" si="33"/>
        <v>27.07</v>
      </c>
      <c r="J213" s="31"/>
      <c r="K213" s="84"/>
      <c r="L213" s="42">
        <v>0</v>
      </c>
      <c r="M213" s="11">
        <v>0</v>
      </c>
      <c r="N213" s="429">
        <v>27.07</v>
      </c>
      <c r="O213" s="11">
        <v>0</v>
      </c>
      <c r="P213" s="426">
        <f t="shared" si="22"/>
        <v>0</v>
      </c>
      <c r="Q213" s="178">
        <f>75+28</f>
        <v>103</v>
      </c>
      <c r="R213" s="296"/>
      <c r="S213" s="385">
        <f t="shared" ref="S213:S242" si="36">Q213-P213</f>
        <v>103</v>
      </c>
      <c r="T213" s="31"/>
      <c r="U213" s="474">
        <f t="shared" si="24"/>
        <v>0</v>
      </c>
      <c r="V213" s="474">
        <f t="shared" si="25"/>
        <v>0</v>
      </c>
      <c r="W213" s="475">
        <f t="shared" si="26"/>
        <v>0</v>
      </c>
      <c r="X213" s="475">
        <v>0</v>
      </c>
      <c r="Y213" s="476">
        <v>0</v>
      </c>
      <c r="Z213" s="38">
        <f t="shared" si="35"/>
        <v>0</v>
      </c>
      <c r="AA213" s="16">
        <v>0</v>
      </c>
      <c r="AB213" s="16">
        <v>0</v>
      </c>
      <c r="AC213" s="16">
        <v>0</v>
      </c>
      <c r="AE213" s="16">
        <v>0</v>
      </c>
      <c r="AF213" s="16">
        <v>0</v>
      </c>
      <c r="AG213" s="16">
        <v>0</v>
      </c>
    </row>
    <row r="214" spans="1:33">
      <c r="A214" s="20" t="s">
        <v>211</v>
      </c>
      <c r="B214" s="20" t="s">
        <v>109</v>
      </c>
      <c r="C214" s="68" t="s">
        <v>57</v>
      </c>
      <c r="D214" s="433">
        <f>1997.06+1472.44</f>
        <v>3469.5</v>
      </c>
      <c r="E214" s="432">
        <f>'Q2 DMV - Revenue'!T201</f>
        <v>3469.5</v>
      </c>
      <c r="F214" s="390"/>
      <c r="G214" s="390"/>
      <c r="H214" s="390"/>
      <c r="I214" s="311">
        <f t="shared" si="33"/>
        <v>6939</v>
      </c>
      <c r="J214" s="31"/>
      <c r="K214" s="84"/>
      <c r="L214" s="42">
        <v>3000</v>
      </c>
      <c r="M214" s="31">
        <v>0</v>
      </c>
      <c r="N214" s="429">
        <v>3469.5</v>
      </c>
      <c r="O214" s="31">
        <v>0</v>
      </c>
      <c r="P214" s="426">
        <f t="shared" si="22"/>
        <v>3000</v>
      </c>
      <c r="Q214" s="178">
        <v>1214.76</v>
      </c>
      <c r="R214" s="295"/>
      <c r="S214" s="385">
        <f t="shared" si="36"/>
        <v>-1785.24</v>
      </c>
      <c r="T214" s="31"/>
      <c r="U214" s="474">
        <f t="shared" si="24"/>
        <v>0</v>
      </c>
      <c r="V214" s="474">
        <f t="shared" si="25"/>
        <v>3000</v>
      </c>
      <c r="W214" s="475">
        <f t="shared" si="26"/>
        <v>0</v>
      </c>
      <c r="X214" s="475">
        <v>0</v>
      </c>
      <c r="Y214" s="476">
        <v>0</v>
      </c>
      <c r="Z214" s="38">
        <f t="shared" si="35"/>
        <v>0</v>
      </c>
      <c r="AA214" s="16">
        <v>0</v>
      </c>
      <c r="AB214" s="16">
        <v>0</v>
      </c>
      <c r="AC214" s="16">
        <v>0</v>
      </c>
      <c r="AE214" s="16">
        <v>0</v>
      </c>
      <c r="AF214" s="16">
        <v>0</v>
      </c>
      <c r="AG214" s="16">
        <v>0</v>
      </c>
    </row>
    <row r="215" spans="1:33">
      <c r="A215" s="20" t="s">
        <v>109</v>
      </c>
      <c r="B215" s="20" t="s">
        <v>109</v>
      </c>
      <c r="C215" s="68" t="s">
        <v>239</v>
      </c>
      <c r="D215" s="433">
        <v>2592</v>
      </c>
      <c r="E215" s="432" t="str">
        <f>'Q2 DMV - Revenue'!T202</f>
        <v/>
      </c>
      <c r="F215" s="390"/>
      <c r="G215" s="390"/>
      <c r="H215" s="390"/>
      <c r="I215" s="311">
        <f t="shared" si="33"/>
        <v>2592</v>
      </c>
      <c r="J215" s="31"/>
      <c r="K215" s="84"/>
      <c r="L215" s="42">
        <v>2000</v>
      </c>
      <c r="M215" s="31">
        <v>0</v>
      </c>
      <c r="N215" s="429">
        <v>2592</v>
      </c>
      <c r="O215" s="31">
        <v>0</v>
      </c>
      <c r="P215" s="426">
        <f t="shared" ref="P215:P242" si="37">K215+L215</f>
        <v>2000</v>
      </c>
      <c r="Q215" s="178"/>
      <c r="R215" s="295"/>
      <c r="S215" s="385">
        <f t="shared" si="36"/>
        <v>-2000</v>
      </c>
      <c r="T215" s="31"/>
      <c r="U215" s="474">
        <f t="shared" ref="U215:U242" si="38">IF(B215="D",P215,0)</f>
        <v>0</v>
      </c>
      <c r="V215" s="474">
        <f t="shared" ref="V215:V242" si="39">IF(B215="M",P215,0)</f>
        <v>2000</v>
      </c>
      <c r="W215" s="475">
        <f t="shared" ref="W215:W242" si="40">IF(B215="V",P215,0)</f>
        <v>0</v>
      </c>
      <c r="X215" s="475">
        <v>0</v>
      </c>
      <c r="Y215" s="476">
        <v>0</v>
      </c>
      <c r="Z215" s="38">
        <f t="shared" si="35"/>
        <v>0</v>
      </c>
      <c r="AA215" s="16">
        <v>0</v>
      </c>
      <c r="AB215" s="16">
        <v>0</v>
      </c>
      <c r="AC215" s="16">
        <v>0</v>
      </c>
      <c r="AE215" s="16">
        <v>0</v>
      </c>
      <c r="AF215" s="16">
        <v>0</v>
      </c>
      <c r="AG215" s="16">
        <v>0</v>
      </c>
    </row>
    <row r="216" spans="1:33">
      <c r="A216" s="20"/>
      <c r="B216" s="20" t="s">
        <v>110</v>
      </c>
      <c r="C216" s="68" t="s">
        <v>395</v>
      </c>
      <c r="D216" s="433">
        <f>43.6+167.86+627.77</f>
        <v>839.23</v>
      </c>
      <c r="E216" s="432">
        <f>562.75+1159.52+1198.95</f>
        <v>2921.2200000000003</v>
      </c>
      <c r="F216" s="438">
        <v>870.14</v>
      </c>
      <c r="G216" s="438">
        <v>864.57</v>
      </c>
      <c r="H216" s="390"/>
      <c r="I216" s="311">
        <f>SUM(D216:H216)</f>
        <v>5495.16</v>
      </c>
      <c r="J216" s="31"/>
      <c r="K216" s="84"/>
      <c r="L216" s="42">
        <f>(F216+G216)/2</f>
        <v>867.35500000000002</v>
      </c>
      <c r="M216" s="31"/>
      <c r="N216" s="429">
        <v>0</v>
      </c>
      <c r="O216" s="31"/>
      <c r="P216" s="426">
        <f t="shared" si="37"/>
        <v>867.35500000000002</v>
      </c>
      <c r="Q216" s="178"/>
      <c r="R216" s="295"/>
      <c r="S216" s="385">
        <f t="shared" si="36"/>
        <v>-867.35500000000002</v>
      </c>
      <c r="T216" s="31"/>
      <c r="U216" s="474">
        <f t="shared" si="38"/>
        <v>867.35500000000002</v>
      </c>
      <c r="V216" s="474">
        <f t="shared" si="39"/>
        <v>0</v>
      </c>
      <c r="W216" s="475">
        <f t="shared" si="40"/>
        <v>0</v>
      </c>
      <c r="X216" s="475">
        <v>0</v>
      </c>
      <c r="Y216" s="476">
        <v>0</v>
      </c>
      <c r="Z216" s="38">
        <f t="shared" si="35"/>
        <v>0</v>
      </c>
    </row>
    <row r="217" spans="1:33" s="232" customFormat="1">
      <c r="A217" s="283"/>
      <c r="B217" s="283" t="s">
        <v>114</v>
      </c>
      <c r="C217" s="123" t="s">
        <v>371</v>
      </c>
      <c r="D217" s="481">
        <f>4694.04+6011.38+7586.48</f>
        <v>18291.900000000001</v>
      </c>
      <c r="E217" s="503">
        <f>'Q2 DMV - Revenue'!T203</f>
        <v>-20270.539999999994</v>
      </c>
      <c r="F217" s="504"/>
      <c r="G217" s="504"/>
      <c r="H217" s="504"/>
      <c r="I217" s="398">
        <f t="shared" si="33"/>
        <v>-1978.6399999999921</v>
      </c>
      <c r="J217" s="31"/>
      <c r="K217" s="86">
        <f>48000+26000+24000</f>
        <v>98000</v>
      </c>
      <c r="L217" s="290">
        <v>0</v>
      </c>
      <c r="M217" s="31">
        <v>0</v>
      </c>
      <c r="N217" s="429">
        <v>194834.95</v>
      </c>
      <c r="O217" s="31">
        <v>0</v>
      </c>
      <c r="P217" s="426">
        <f t="shared" si="37"/>
        <v>98000</v>
      </c>
      <c r="Q217" s="14">
        <f>78244.92+6345.42+6975.21+7677.12</f>
        <v>99242.67</v>
      </c>
      <c r="R217" s="295"/>
      <c r="S217" s="385">
        <f t="shared" si="36"/>
        <v>1242.6699999999983</v>
      </c>
      <c r="T217" s="31"/>
      <c r="U217" s="495">
        <f t="shared" si="38"/>
        <v>0</v>
      </c>
      <c r="V217" s="495">
        <f t="shared" si="39"/>
        <v>0</v>
      </c>
      <c r="W217" s="496">
        <f t="shared" si="40"/>
        <v>98000</v>
      </c>
      <c r="X217" s="496">
        <v>0</v>
      </c>
      <c r="Y217" s="505">
        <v>0</v>
      </c>
      <c r="Z217" s="515">
        <f t="shared" si="35"/>
        <v>0</v>
      </c>
      <c r="AA217" s="232">
        <v>0</v>
      </c>
      <c r="AB217" s="232">
        <v>0</v>
      </c>
      <c r="AC217" s="232">
        <v>0</v>
      </c>
      <c r="AE217" s="232">
        <v>0</v>
      </c>
      <c r="AF217" s="232">
        <v>0</v>
      </c>
      <c r="AG217" s="232">
        <v>44422.29</v>
      </c>
    </row>
    <row r="218" spans="1:33" s="232" customFormat="1">
      <c r="A218" s="283"/>
      <c r="B218" s="283" t="s">
        <v>110</v>
      </c>
      <c r="C218" s="123" t="s">
        <v>422</v>
      </c>
      <c r="D218" s="514">
        <f>12232.17+13329.68+16310.96+7768.18+6658.66+11713.45+3705.13+12601.95</f>
        <v>84320.18</v>
      </c>
      <c r="E218" s="503">
        <f>'Q2 DMV - Revenue'!T204</f>
        <v>-45199.51</v>
      </c>
      <c r="F218" s="504"/>
      <c r="G218" s="504"/>
      <c r="H218" s="504"/>
      <c r="I218" s="398">
        <f t="shared" si="33"/>
        <v>39120.669999999991</v>
      </c>
      <c r="J218" s="31"/>
      <c r="K218" s="86">
        <f>15000+13000+14000</f>
        <v>42000</v>
      </c>
      <c r="L218" s="290">
        <v>0</v>
      </c>
      <c r="M218" s="31">
        <v>0</v>
      </c>
      <c r="N218" s="429">
        <v>0</v>
      </c>
      <c r="O218" s="31">
        <v>0</v>
      </c>
      <c r="P218" s="426">
        <f t="shared" si="37"/>
        <v>42000</v>
      </c>
      <c r="Q218" s="14">
        <f>15120.89+12398.44+13175.29</f>
        <v>40694.620000000003</v>
      </c>
      <c r="R218" s="295"/>
      <c r="S218" s="385">
        <f t="shared" si="36"/>
        <v>-1305.3799999999974</v>
      </c>
      <c r="T218" s="31"/>
      <c r="U218" s="495">
        <f t="shared" si="38"/>
        <v>42000</v>
      </c>
      <c r="V218" s="495">
        <f t="shared" si="39"/>
        <v>0</v>
      </c>
      <c r="W218" s="496">
        <f t="shared" si="40"/>
        <v>0</v>
      </c>
      <c r="X218" s="496">
        <v>0</v>
      </c>
      <c r="Y218" s="505">
        <v>0</v>
      </c>
      <c r="Z218" s="515">
        <f t="shared" si="35"/>
        <v>0</v>
      </c>
      <c r="AA218" s="232">
        <v>-33881.499999999993</v>
      </c>
      <c r="AB218" s="232">
        <v>0</v>
      </c>
      <c r="AC218" s="232">
        <v>0</v>
      </c>
      <c r="AE218" s="232">
        <v>43282.899999999994</v>
      </c>
      <c r="AF218" s="232">
        <v>0</v>
      </c>
      <c r="AG218" s="232">
        <v>0</v>
      </c>
    </row>
    <row r="219" spans="1:33">
      <c r="A219" s="20"/>
      <c r="B219" s="20" t="s">
        <v>109</v>
      </c>
      <c r="C219" s="68" t="s">
        <v>304</v>
      </c>
      <c r="D219" s="433">
        <f>1366.66+1118.84</f>
        <v>2485.5</v>
      </c>
      <c r="E219" s="432">
        <f>'Q2 DMV - Revenue'!T205</f>
        <v>914.86999999999989</v>
      </c>
      <c r="F219" s="390"/>
      <c r="G219" s="390"/>
      <c r="H219" s="390"/>
      <c r="I219" s="311">
        <f t="shared" si="33"/>
        <v>3400.37</v>
      </c>
      <c r="J219" s="31"/>
      <c r="K219" s="84"/>
      <c r="L219" s="42">
        <v>1000</v>
      </c>
      <c r="M219" s="31">
        <v>0</v>
      </c>
      <c r="N219" s="429">
        <v>4400.3999999999996</v>
      </c>
      <c r="O219" s="31">
        <v>0</v>
      </c>
      <c r="P219" s="426">
        <f t="shared" si="37"/>
        <v>1000</v>
      </c>
      <c r="Q219" s="178"/>
      <c r="R219" s="295"/>
      <c r="S219" s="385">
        <f t="shared" si="36"/>
        <v>-1000</v>
      </c>
      <c r="T219" s="31"/>
      <c r="U219" s="474">
        <f t="shared" si="38"/>
        <v>0</v>
      </c>
      <c r="V219" s="474">
        <f t="shared" si="39"/>
        <v>1000</v>
      </c>
      <c r="W219" s="475">
        <f t="shared" si="40"/>
        <v>0</v>
      </c>
      <c r="X219" s="475">
        <v>0</v>
      </c>
      <c r="Y219" s="476">
        <v>0</v>
      </c>
      <c r="Z219" s="38">
        <f t="shared" si="35"/>
        <v>0</v>
      </c>
      <c r="AA219" s="16">
        <v>0</v>
      </c>
      <c r="AB219" s="16">
        <v>-3000</v>
      </c>
      <c r="AC219" s="16">
        <v>0</v>
      </c>
      <c r="AE219" s="16">
        <v>0</v>
      </c>
      <c r="AF219" s="16">
        <v>0</v>
      </c>
      <c r="AG219" s="16">
        <v>0</v>
      </c>
    </row>
    <row r="220" spans="1:33">
      <c r="A220" s="21" t="s">
        <v>97</v>
      </c>
      <c r="B220" s="21" t="s">
        <v>109</v>
      </c>
      <c r="C220" s="68" t="s">
        <v>381</v>
      </c>
      <c r="D220" s="433">
        <v>0</v>
      </c>
      <c r="E220" s="432">
        <f>'Q2 DMV - Revenue'!T205</f>
        <v>914.86999999999989</v>
      </c>
      <c r="F220" s="390"/>
      <c r="G220" s="390"/>
      <c r="H220" s="390"/>
      <c r="I220" s="311">
        <f t="shared" ref="I220" si="41">SUM(D220:H220)</f>
        <v>914.86999999999989</v>
      </c>
      <c r="J220" s="31"/>
      <c r="K220" s="84"/>
      <c r="L220" s="42">
        <v>3000</v>
      </c>
      <c r="M220" s="31">
        <v>0</v>
      </c>
      <c r="N220" s="429">
        <v>4316.05</v>
      </c>
      <c r="O220" s="31">
        <v>0</v>
      </c>
      <c r="P220" s="426">
        <f t="shared" si="37"/>
        <v>3000</v>
      </c>
      <c r="Q220" s="178">
        <f>1714.4+1699.21+1766.08</f>
        <v>5179.6900000000005</v>
      </c>
      <c r="R220" s="295"/>
      <c r="S220" s="385">
        <f t="shared" si="36"/>
        <v>2179.6900000000005</v>
      </c>
      <c r="T220" s="31"/>
      <c r="U220" s="474">
        <f t="shared" si="38"/>
        <v>0</v>
      </c>
      <c r="V220" s="474">
        <f t="shared" si="39"/>
        <v>3000</v>
      </c>
      <c r="W220" s="475">
        <f t="shared" si="40"/>
        <v>0</v>
      </c>
      <c r="X220" s="475">
        <v>0</v>
      </c>
      <c r="Y220" s="476">
        <v>0</v>
      </c>
      <c r="Z220" s="38">
        <f t="shared" si="35"/>
        <v>0</v>
      </c>
      <c r="AA220" s="16">
        <v>0</v>
      </c>
      <c r="AB220" s="16">
        <v>2941.1900000000005</v>
      </c>
      <c r="AC220" s="16">
        <v>0</v>
      </c>
      <c r="AE220" s="16">
        <v>0</v>
      </c>
      <c r="AF220" s="16">
        <v>7141.1900000000005</v>
      </c>
      <c r="AG220" s="16">
        <v>0</v>
      </c>
    </row>
    <row r="221" spans="1:33">
      <c r="A221" s="21" t="s">
        <v>97</v>
      </c>
      <c r="B221" s="21" t="s">
        <v>114</v>
      </c>
      <c r="C221" s="68" t="s">
        <v>376</v>
      </c>
      <c r="D221" s="433">
        <v>0</v>
      </c>
      <c r="E221" s="432">
        <f>'Q2 DMV - Revenue'!T206</f>
        <v>443.53999999999996</v>
      </c>
      <c r="F221" s="390"/>
      <c r="G221" s="390"/>
      <c r="H221" s="390"/>
      <c r="I221" s="311">
        <f>SUM(D221:H221)</f>
        <v>443.53999999999996</v>
      </c>
      <c r="J221" s="31"/>
      <c r="K221" s="84"/>
      <c r="L221" s="42">
        <v>0</v>
      </c>
      <c r="M221" s="31">
        <v>0</v>
      </c>
      <c r="N221" s="429">
        <v>1618.51</v>
      </c>
      <c r="O221" s="31">
        <v>0</v>
      </c>
      <c r="P221" s="426">
        <f t="shared" si="37"/>
        <v>0</v>
      </c>
      <c r="Q221" s="178"/>
      <c r="R221" s="295"/>
      <c r="S221" s="385">
        <f t="shared" si="36"/>
        <v>0</v>
      </c>
      <c r="T221" s="31"/>
      <c r="U221" s="474">
        <f t="shared" si="38"/>
        <v>0</v>
      </c>
      <c r="V221" s="474">
        <f t="shared" si="39"/>
        <v>0</v>
      </c>
      <c r="W221" s="475">
        <f t="shared" si="40"/>
        <v>0</v>
      </c>
      <c r="X221" s="475">
        <v>0</v>
      </c>
      <c r="Y221" s="476">
        <v>0</v>
      </c>
      <c r="Z221" s="38">
        <f t="shared" si="35"/>
        <v>0</v>
      </c>
      <c r="AA221" s="16">
        <v>0</v>
      </c>
      <c r="AB221" s="16">
        <v>2941.1900000000005</v>
      </c>
      <c r="AC221" s="16">
        <v>0</v>
      </c>
      <c r="AE221" s="16">
        <v>0</v>
      </c>
      <c r="AF221" s="16">
        <v>7141.1900000000005</v>
      </c>
      <c r="AG221" s="16">
        <v>0</v>
      </c>
    </row>
    <row r="222" spans="1:33">
      <c r="A222" s="20"/>
      <c r="B222" s="20" t="s">
        <v>109</v>
      </c>
      <c r="C222" s="68" t="s">
        <v>390</v>
      </c>
      <c r="D222" s="433">
        <v>0</v>
      </c>
      <c r="E222" s="432">
        <f>'Q2 DMV - Revenue'!T207</f>
        <v>429.54</v>
      </c>
      <c r="F222" s="390"/>
      <c r="G222" s="390"/>
      <c r="H222" s="390"/>
      <c r="I222" s="311">
        <f>SUM(D222:H222)</f>
        <v>429.54</v>
      </c>
      <c r="J222" s="31"/>
      <c r="K222" s="84"/>
      <c r="L222" s="42"/>
      <c r="M222" s="31">
        <v>0</v>
      </c>
      <c r="N222" s="429">
        <v>429.54</v>
      </c>
      <c r="O222" s="31">
        <v>0</v>
      </c>
      <c r="P222" s="426">
        <f t="shared" si="37"/>
        <v>0</v>
      </c>
      <c r="Q222" s="178">
        <v>313.52999999999997</v>
      </c>
      <c r="R222" s="295"/>
      <c r="S222" s="385">
        <f t="shared" si="36"/>
        <v>313.52999999999997</v>
      </c>
      <c r="T222" s="31"/>
      <c r="U222" s="474">
        <f t="shared" si="38"/>
        <v>0</v>
      </c>
      <c r="V222" s="474">
        <f t="shared" si="39"/>
        <v>0</v>
      </c>
      <c r="W222" s="475">
        <f t="shared" si="40"/>
        <v>0</v>
      </c>
      <c r="X222" s="475">
        <v>0</v>
      </c>
      <c r="Y222" s="476">
        <v>0</v>
      </c>
      <c r="Z222" s="38">
        <f t="shared" si="35"/>
        <v>0</v>
      </c>
      <c r="AA222" s="16">
        <v>0</v>
      </c>
      <c r="AB222" s="16">
        <v>0</v>
      </c>
      <c r="AC222" s="16">
        <v>0</v>
      </c>
      <c r="AE222" s="16">
        <v>0</v>
      </c>
      <c r="AF222" s="16">
        <v>0</v>
      </c>
      <c r="AG222" s="16">
        <v>0</v>
      </c>
    </row>
    <row r="223" spans="1:33">
      <c r="A223" s="20"/>
      <c r="B223" s="20" t="s">
        <v>110</v>
      </c>
      <c r="C223" s="123" t="s">
        <v>166</v>
      </c>
      <c r="D223" s="433">
        <v>0</v>
      </c>
      <c r="E223" s="432">
        <f>'Q2 DMV - Revenue'!T208</f>
        <v>138.36000000000001</v>
      </c>
      <c r="F223" s="438">
        <v>1071.07</v>
      </c>
      <c r="G223" s="438">
        <v>637.94000000000005</v>
      </c>
      <c r="H223" s="390"/>
      <c r="I223" s="311">
        <f>SUM(D223:H223)</f>
        <v>1847.37</v>
      </c>
      <c r="J223" s="31"/>
      <c r="K223" s="84"/>
      <c r="L223" s="42">
        <f>(F223+G223)/2</f>
        <v>854.505</v>
      </c>
      <c r="M223" s="31">
        <v>0</v>
      </c>
      <c r="N223" s="429"/>
      <c r="O223" s="31">
        <v>0</v>
      </c>
      <c r="P223" s="426">
        <f t="shared" si="37"/>
        <v>854.505</v>
      </c>
      <c r="Q223" s="178">
        <f>669.32+1840.44+1903.45+1946.46</f>
        <v>6359.67</v>
      </c>
      <c r="R223" s="295"/>
      <c r="S223" s="385">
        <f t="shared" si="36"/>
        <v>5505.165</v>
      </c>
      <c r="T223" s="31"/>
      <c r="U223" s="474">
        <f t="shared" si="38"/>
        <v>854.505</v>
      </c>
      <c r="V223" s="474">
        <f t="shared" si="39"/>
        <v>0</v>
      </c>
      <c r="W223" s="475">
        <f t="shared" si="40"/>
        <v>0</v>
      </c>
      <c r="X223" s="475">
        <v>0</v>
      </c>
      <c r="Y223" s="476">
        <v>0</v>
      </c>
      <c r="Z223" s="38">
        <f t="shared" si="35"/>
        <v>0</v>
      </c>
      <c r="AA223" s="16">
        <v>0</v>
      </c>
      <c r="AB223" s="16">
        <v>0</v>
      </c>
      <c r="AC223" s="16">
        <v>0</v>
      </c>
      <c r="AE223" s="16">
        <v>2906.13</v>
      </c>
      <c r="AF223" s="16">
        <v>0</v>
      </c>
      <c r="AG223" s="16">
        <v>0</v>
      </c>
    </row>
    <row r="224" spans="1:33">
      <c r="A224" s="20"/>
      <c r="B224" s="20" t="s">
        <v>109</v>
      </c>
      <c r="C224" s="123" t="s">
        <v>165</v>
      </c>
      <c r="D224" s="433">
        <v>0</v>
      </c>
      <c r="E224" s="432">
        <f>'Q2 DMV - Revenue'!T209</f>
        <v>-389.77</v>
      </c>
      <c r="F224" s="438">
        <v>1609.3</v>
      </c>
      <c r="G224" s="438">
        <v>1818.42</v>
      </c>
      <c r="H224" s="390"/>
      <c r="I224" s="311">
        <f>SUM(D224:H224)</f>
        <v>3037.95</v>
      </c>
      <c r="J224" s="31"/>
      <c r="K224" s="84"/>
      <c r="L224" s="42">
        <f>(F224+G224)/2</f>
        <v>1713.8600000000001</v>
      </c>
      <c r="M224" s="31">
        <v>0</v>
      </c>
      <c r="N224" s="429">
        <f>7630.96</f>
        <v>7630.96</v>
      </c>
      <c r="O224" s="31">
        <v>0</v>
      </c>
      <c r="P224" s="426">
        <f t="shared" si="37"/>
        <v>1713.8600000000001</v>
      </c>
      <c r="Q224" s="178">
        <f>1992.31+9099.64+10759.7+10490.46</f>
        <v>32342.11</v>
      </c>
      <c r="R224" s="295"/>
      <c r="S224" s="385">
        <f t="shared" si="36"/>
        <v>30628.25</v>
      </c>
      <c r="T224" s="31"/>
      <c r="U224" s="474">
        <f t="shared" si="38"/>
        <v>0</v>
      </c>
      <c r="V224" s="474">
        <f t="shared" si="39"/>
        <v>1713.8600000000001</v>
      </c>
      <c r="W224" s="475">
        <f t="shared" si="40"/>
        <v>0</v>
      </c>
      <c r="X224" s="475">
        <v>0</v>
      </c>
      <c r="Y224" s="476">
        <v>0</v>
      </c>
      <c r="Z224" s="38">
        <f t="shared" si="35"/>
        <v>0</v>
      </c>
      <c r="AA224" s="16">
        <v>0</v>
      </c>
      <c r="AB224" s="16">
        <v>0</v>
      </c>
      <c r="AC224" s="16">
        <v>0</v>
      </c>
      <c r="AE224" s="16">
        <v>0</v>
      </c>
      <c r="AF224" s="16">
        <v>8165.35</v>
      </c>
      <c r="AG224" s="16">
        <v>0</v>
      </c>
    </row>
    <row r="225" spans="1:33">
      <c r="A225" s="20"/>
      <c r="B225" s="20" t="s">
        <v>109</v>
      </c>
      <c r="C225" s="123" t="s">
        <v>310</v>
      </c>
      <c r="D225" s="433">
        <v>0</v>
      </c>
      <c r="E225" s="432">
        <f>'Q2 DMV - Revenue'!T210</f>
        <v>0</v>
      </c>
      <c r="F225" s="390"/>
      <c r="G225" s="390"/>
      <c r="H225" s="390"/>
      <c r="I225" s="311">
        <f>SUM(D225:H225)</f>
        <v>0</v>
      </c>
      <c r="J225" s="31"/>
      <c r="K225" s="84"/>
      <c r="L225" s="42"/>
      <c r="M225" s="31"/>
      <c r="N225" s="429">
        <v>0</v>
      </c>
      <c r="O225" s="31"/>
      <c r="P225" s="426">
        <f t="shared" si="37"/>
        <v>0</v>
      </c>
      <c r="Q225" s="178"/>
      <c r="R225" s="295"/>
      <c r="S225" s="385">
        <f t="shared" si="36"/>
        <v>0</v>
      </c>
      <c r="T225" s="31"/>
      <c r="U225" s="474">
        <f t="shared" si="38"/>
        <v>0</v>
      </c>
      <c r="V225" s="474">
        <f t="shared" si="39"/>
        <v>0</v>
      </c>
      <c r="W225" s="475">
        <f t="shared" si="40"/>
        <v>0</v>
      </c>
      <c r="X225" s="475">
        <v>0</v>
      </c>
      <c r="Y225" s="476">
        <v>0</v>
      </c>
      <c r="Z225" s="38">
        <f t="shared" si="35"/>
        <v>0</v>
      </c>
    </row>
    <row r="226" spans="1:33">
      <c r="A226" s="20"/>
      <c r="B226" s="20" t="s">
        <v>110</v>
      </c>
      <c r="C226" s="68" t="s">
        <v>121</v>
      </c>
      <c r="D226" s="433">
        <v>0</v>
      </c>
      <c r="E226" s="432" t="str">
        <f>'Q2 DMV - Revenue'!T211</f>
        <v/>
      </c>
      <c r="F226" s="390"/>
      <c r="G226" s="390"/>
      <c r="H226" s="390"/>
      <c r="I226" s="311">
        <f t="shared" ref="I226:I232" si="42">SUM(D226:H226)</f>
        <v>0</v>
      </c>
      <c r="J226" s="31"/>
      <c r="K226" s="84"/>
      <c r="L226" s="42"/>
      <c r="M226" s="31">
        <v>0</v>
      </c>
      <c r="N226" s="429">
        <v>0</v>
      </c>
      <c r="O226" s="31">
        <v>0</v>
      </c>
      <c r="P226" s="426">
        <f t="shared" si="37"/>
        <v>0</v>
      </c>
      <c r="Q226" s="178"/>
      <c r="R226" s="295"/>
      <c r="S226" s="385">
        <f t="shared" si="36"/>
        <v>0</v>
      </c>
      <c r="T226" s="31"/>
      <c r="U226" s="474">
        <f t="shared" si="38"/>
        <v>0</v>
      </c>
      <c r="V226" s="474">
        <f t="shared" si="39"/>
        <v>0</v>
      </c>
      <c r="W226" s="475">
        <f t="shared" si="40"/>
        <v>0</v>
      </c>
      <c r="X226" s="475">
        <v>0</v>
      </c>
      <c r="Y226" s="476">
        <v>0</v>
      </c>
      <c r="Z226" s="38">
        <f t="shared" si="35"/>
        <v>0</v>
      </c>
      <c r="AA226" s="16">
        <v>0</v>
      </c>
      <c r="AB226" s="16">
        <v>0</v>
      </c>
      <c r="AC226" s="16">
        <v>0</v>
      </c>
      <c r="AE226" s="16">
        <v>0</v>
      </c>
      <c r="AF226" s="16">
        <v>0</v>
      </c>
      <c r="AG226" s="16">
        <v>0</v>
      </c>
    </row>
    <row r="227" spans="1:33">
      <c r="A227" s="20"/>
      <c r="B227" s="20" t="s">
        <v>110</v>
      </c>
      <c r="C227" s="68" t="s">
        <v>168</v>
      </c>
      <c r="D227" s="433">
        <v>0</v>
      </c>
      <c r="E227" s="432" t="str">
        <f>'Q2 DMV - Revenue'!T212</f>
        <v/>
      </c>
      <c r="F227" s="390"/>
      <c r="G227" s="390"/>
      <c r="H227" s="390"/>
      <c r="I227" s="311">
        <f t="shared" si="42"/>
        <v>0</v>
      </c>
      <c r="J227" s="31"/>
      <c r="K227" s="84"/>
      <c r="L227" s="42"/>
      <c r="M227" s="31">
        <v>0</v>
      </c>
      <c r="N227" s="429">
        <v>0</v>
      </c>
      <c r="O227" s="31">
        <v>0</v>
      </c>
      <c r="P227" s="426">
        <f t="shared" si="37"/>
        <v>0</v>
      </c>
      <c r="Q227" s="178"/>
      <c r="R227" s="295"/>
      <c r="S227" s="385">
        <f t="shared" si="36"/>
        <v>0</v>
      </c>
      <c r="T227" s="31"/>
      <c r="U227" s="474">
        <f t="shared" si="38"/>
        <v>0</v>
      </c>
      <c r="V227" s="474">
        <f t="shared" si="39"/>
        <v>0</v>
      </c>
      <c r="W227" s="475">
        <f t="shared" si="40"/>
        <v>0</v>
      </c>
      <c r="X227" s="475">
        <v>0</v>
      </c>
      <c r="Y227" s="476">
        <v>0</v>
      </c>
      <c r="Z227" s="38">
        <f t="shared" si="35"/>
        <v>0</v>
      </c>
      <c r="AA227" s="16">
        <v>0</v>
      </c>
      <c r="AB227" s="16">
        <v>0</v>
      </c>
      <c r="AC227" s="16">
        <v>0</v>
      </c>
      <c r="AE227" s="16">
        <v>0</v>
      </c>
      <c r="AF227" s="16">
        <v>0</v>
      </c>
      <c r="AG227" s="16">
        <v>0</v>
      </c>
    </row>
    <row r="228" spans="1:33">
      <c r="A228" s="20"/>
      <c r="B228" s="20" t="s">
        <v>109</v>
      </c>
      <c r="C228" s="68" t="s">
        <v>167</v>
      </c>
      <c r="D228" s="433">
        <v>0</v>
      </c>
      <c r="E228" s="432" t="str">
        <f>'Q2 DMV - Revenue'!T213</f>
        <v/>
      </c>
      <c r="F228" s="390"/>
      <c r="G228" s="390"/>
      <c r="H228" s="390"/>
      <c r="I228" s="311">
        <f t="shared" si="42"/>
        <v>0</v>
      </c>
      <c r="J228" s="31"/>
      <c r="K228" s="84"/>
      <c r="L228" s="42">
        <v>150</v>
      </c>
      <c r="M228" s="31">
        <v>0</v>
      </c>
      <c r="N228" s="429">
        <v>0</v>
      </c>
      <c r="O228" s="31">
        <v>0</v>
      </c>
      <c r="P228" s="426">
        <f t="shared" si="37"/>
        <v>150</v>
      </c>
      <c r="Q228" s="178">
        <f>40.47+51.62+53.21</f>
        <v>145.30000000000001</v>
      </c>
      <c r="R228" s="295"/>
      <c r="S228" s="385">
        <f t="shared" si="36"/>
        <v>-4.6999999999999886</v>
      </c>
      <c r="T228" s="31"/>
      <c r="U228" s="474">
        <f t="shared" si="38"/>
        <v>0</v>
      </c>
      <c r="V228" s="474">
        <f t="shared" si="39"/>
        <v>150</v>
      </c>
      <c r="W228" s="475">
        <f t="shared" si="40"/>
        <v>0</v>
      </c>
      <c r="X228" s="475">
        <v>0</v>
      </c>
      <c r="Y228" s="476">
        <v>0</v>
      </c>
      <c r="Z228" s="38">
        <f t="shared" si="35"/>
        <v>0</v>
      </c>
      <c r="AA228" s="16">
        <v>0</v>
      </c>
      <c r="AB228" s="16">
        <v>0</v>
      </c>
      <c r="AC228" s="16">
        <v>0</v>
      </c>
      <c r="AE228" s="16">
        <v>0</v>
      </c>
      <c r="AF228" s="16">
        <v>0</v>
      </c>
      <c r="AG228" s="16">
        <v>0</v>
      </c>
    </row>
    <row r="229" spans="1:33">
      <c r="A229" s="20" t="s">
        <v>218</v>
      </c>
      <c r="B229" s="20" t="s">
        <v>110</v>
      </c>
      <c r="C229" s="68" t="s">
        <v>240</v>
      </c>
      <c r="D229" s="433">
        <v>0</v>
      </c>
      <c r="E229" s="432" t="str">
        <f>'Q2 DMV - Revenue'!T214</f>
        <v/>
      </c>
      <c r="F229" s="390"/>
      <c r="G229" s="390"/>
      <c r="H229" s="390"/>
      <c r="I229" s="311">
        <f t="shared" si="42"/>
        <v>0</v>
      </c>
      <c r="J229" s="2"/>
      <c r="K229" s="84"/>
      <c r="L229" s="42"/>
      <c r="M229" s="31">
        <v>0</v>
      </c>
      <c r="N229" s="429">
        <v>0</v>
      </c>
      <c r="O229" s="31">
        <v>0</v>
      </c>
      <c r="P229" s="426">
        <f t="shared" si="37"/>
        <v>0</v>
      </c>
      <c r="Q229" s="178"/>
      <c r="R229" s="295"/>
      <c r="S229" s="385">
        <f t="shared" si="36"/>
        <v>0</v>
      </c>
      <c r="T229" s="2"/>
      <c r="U229" s="474">
        <f t="shared" si="38"/>
        <v>0</v>
      </c>
      <c r="V229" s="474">
        <f t="shared" si="39"/>
        <v>0</v>
      </c>
      <c r="W229" s="475">
        <f t="shared" si="40"/>
        <v>0</v>
      </c>
      <c r="X229" s="475">
        <v>0</v>
      </c>
      <c r="Y229" s="476">
        <v>0</v>
      </c>
      <c r="Z229" s="38">
        <f t="shared" si="35"/>
        <v>0</v>
      </c>
      <c r="AA229" s="16">
        <v>0</v>
      </c>
      <c r="AB229" s="16">
        <v>0</v>
      </c>
      <c r="AC229" s="16">
        <v>0</v>
      </c>
      <c r="AE229" s="16">
        <v>0</v>
      </c>
      <c r="AF229" s="16">
        <v>0</v>
      </c>
      <c r="AG229" s="16">
        <v>0</v>
      </c>
    </row>
    <row r="230" spans="1:33">
      <c r="A230" s="20" t="s">
        <v>218</v>
      </c>
      <c r="B230" s="20" t="s">
        <v>110</v>
      </c>
      <c r="C230" s="68" t="s">
        <v>60</v>
      </c>
      <c r="D230" s="433">
        <v>0</v>
      </c>
      <c r="E230" s="432">
        <f>'Q2 DMV - Revenue'!T215</f>
        <v>1604.9500000000007</v>
      </c>
      <c r="F230" s="390"/>
      <c r="G230" s="390"/>
      <c r="H230" s="390"/>
      <c r="I230" s="311">
        <f t="shared" si="42"/>
        <v>1604.9500000000007</v>
      </c>
      <c r="J230" s="2"/>
      <c r="K230" s="84"/>
      <c r="L230" s="42">
        <v>7000</v>
      </c>
      <c r="M230" s="31">
        <v>0</v>
      </c>
      <c r="N230" s="429">
        <v>8604.9500000000007</v>
      </c>
      <c r="O230" s="31">
        <v>0</v>
      </c>
      <c r="P230" s="426">
        <f t="shared" si="37"/>
        <v>7000</v>
      </c>
      <c r="Q230" s="178">
        <f>2614.75+1982.68+2889.37</f>
        <v>7486.8</v>
      </c>
      <c r="R230" s="295"/>
      <c r="S230" s="385">
        <f t="shared" si="36"/>
        <v>486.80000000000018</v>
      </c>
      <c r="T230" s="2"/>
      <c r="U230" s="474">
        <f t="shared" si="38"/>
        <v>7000</v>
      </c>
      <c r="V230" s="474">
        <f t="shared" si="39"/>
        <v>0</v>
      </c>
      <c r="W230" s="475">
        <f t="shared" si="40"/>
        <v>0</v>
      </c>
      <c r="X230" s="475">
        <v>0</v>
      </c>
      <c r="Y230" s="476">
        <v>0</v>
      </c>
      <c r="Z230" s="38">
        <f t="shared" si="35"/>
        <v>0</v>
      </c>
      <c r="AA230" s="16">
        <v>1355.67</v>
      </c>
      <c r="AB230" s="16">
        <v>0</v>
      </c>
      <c r="AC230" s="16">
        <v>0</v>
      </c>
      <c r="AE230" s="16">
        <v>0</v>
      </c>
      <c r="AF230" s="16">
        <v>0</v>
      </c>
      <c r="AG230" s="16">
        <v>0</v>
      </c>
    </row>
    <row r="231" spans="1:33">
      <c r="A231" s="20"/>
      <c r="B231" s="20" t="s">
        <v>110</v>
      </c>
      <c r="C231" s="68" t="s">
        <v>61</v>
      </c>
      <c r="D231" s="433">
        <v>849.88</v>
      </c>
      <c r="E231" s="432" t="str">
        <f>'Q2 DMV - Revenue'!T216</f>
        <v/>
      </c>
      <c r="F231" s="390"/>
      <c r="G231" s="390"/>
      <c r="H231" s="390"/>
      <c r="I231" s="311">
        <f t="shared" si="42"/>
        <v>849.88</v>
      </c>
      <c r="J231" s="2"/>
      <c r="K231" s="84"/>
      <c r="L231" s="42"/>
      <c r="M231" s="31">
        <v>0</v>
      </c>
      <c r="N231" s="429">
        <v>849.88</v>
      </c>
      <c r="O231" s="31">
        <v>0</v>
      </c>
      <c r="P231" s="426">
        <f t="shared" si="37"/>
        <v>0</v>
      </c>
      <c r="Q231" s="178"/>
      <c r="R231" s="295"/>
      <c r="S231" s="385">
        <f t="shared" si="36"/>
        <v>0</v>
      </c>
      <c r="T231" s="2"/>
      <c r="U231" s="474">
        <f t="shared" si="38"/>
        <v>0</v>
      </c>
      <c r="V231" s="474">
        <f t="shared" si="39"/>
        <v>0</v>
      </c>
      <c r="W231" s="475">
        <f t="shared" si="40"/>
        <v>0</v>
      </c>
      <c r="X231" s="475">
        <v>0</v>
      </c>
      <c r="Y231" s="476">
        <v>0</v>
      </c>
      <c r="Z231" s="38">
        <f t="shared" si="35"/>
        <v>0</v>
      </c>
      <c r="AA231" s="16">
        <v>0</v>
      </c>
      <c r="AB231" s="16">
        <v>0</v>
      </c>
      <c r="AC231" s="16">
        <v>0</v>
      </c>
      <c r="AE231" s="16">
        <v>0</v>
      </c>
      <c r="AF231" s="16">
        <v>0</v>
      </c>
      <c r="AG231" s="16">
        <v>0</v>
      </c>
    </row>
    <row r="232" spans="1:33">
      <c r="A232" s="20"/>
      <c r="B232" s="20" t="s">
        <v>110</v>
      </c>
      <c r="C232" s="68" t="s">
        <v>169</v>
      </c>
      <c r="D232" s="480">
        <v>0</v>
      </c>
      <c r="E232" s="432" t="str">
        <f>'Q2 DMV - Revenue'!T217</f>
        <v/>
      </c>
      <c r="F232" s="438">
        <v>2498.75</v>
      </c>
      <c r="G232" s="438">
        <v>2294.38</v>
      </c>
      <c r="H232" s="438">
        <v>2258.1999999999998</v>
      </c>
      <c r="I232" s="311">
        <f t="shared" si="42"/>
        <v>7051.33</v>
      </c>
      <c r="J232" s="31"/>
      <c r="K232" s="84"/>
      <c r="L232" s="42"/>
      <c r="M232" s="31">
        <v>0</v>
      </c>
      <c r="N232" s="429">
        <v>7051.33</v>
      </c>
      <c r="O232" s="31">
        <v>0</v>
      </c>
      <c r="P232" s="426">
        <f t="shared" si="37"/>
        <v>0</v>
      </c>
      <c r="Q232" s="178"/>
      <c r="R232" s="295"/>
      <c r="S232" s="385">
        <f t="shared" si="36"/>
        <v>0</v>
      </c>
      <c r="T232" s="31"/>
      <c r="U232" s="474">
        <f t="shared" si="38"/>
        <v>0</v>
      </c>
      <c r="V232" s="474">
        <f t="shared" si="39"/>
        <v>0</v>
      </c>
      <c r="W232" s="475">
        <f t="shared" si="40"/>
        <v>0</v>
      </c>
      <c r="X232" s="475">
        <v>0</v>
      </c>
      <c r="Y232" s="476">
        <v>0</v>
      </c>
      <c r="Z232" s="38">
        <f t="shared" si="35"/>
        <v>0</v>
      </c>
      <c r="AA232" s="16">
        <v>15426.14</v>
      </c>
      <c r="AB232" s="16">
        <v>0</v>
      </c>
      <c r="AC232" s="16">
        <v>0</v>
      </c>
      <c r="AE232" s="16">
        <v>0</v>
      </c>
      <c r="AF232" s="16">
        <v>0</v>
      </c>
      <c r="AG232" s="16">
        <v>0</v>
      </c>
    </row>
    <row r="233" spans="1:33">
      <c r="A233" s="21"/>
      <c r="B233" s="21" t="s">
        <v>110</v>
      </c>
      <c r="C233" s="68" t="s">
        <v>302</v>
      </c>
      <c r="D233" s="480">
        <v>0</v>
      </c>
      <c r="E233" s="432" t="str">
        <f>'Q2 DMV - Revenue'!T218</f>
        <v/>
      </c>
      <c r="F233" s="340"/>
      <c r="G233" s="204"/>
      <c r="H233" s="204"/>
      <c r="I233" s="311">
        <f t="shared" ref="I233" si="43">SUM(D233:H233)</f>
        <v>0</v>
      </c>
      <c r="J233" s="31"/>
      <c r="K233" s="84"/>
      <c r="L233" s="42"/>
      <c r="M233" s="31">
        <v>0</v>
      </c>
      <c r="N233" s="429">
        <v>0</v>
      </c>
      <c r="O233" s="31">
        <v>0</v>
      </c>
      <c r="P233" s="426">
        <f t="shared" si="37"/>
        <v>0</v>
      </c>
      <c r="Q233" s="178"/>
      <c r="R233" s="295"/>
      <c r="S233" s="385">
        <f t="shared" si="36"/>
        <v>0</v>
      </c>
      <c r="T233" s="31"/>
      <c r="U233" s="474">
        <f t="shared" si="38"/>
        <v>0</v>
      </c>
      <c r="V233" s="474">
        <f t="shared" si="39"/>
        <v>0</v>
      </c>
      <c r="W233" s="475">
        <f t="shared" si="40"/>
        <v>0</v>
      </c>
      <c r="X233" s="475">
        <v>0</v>
      </c>
      <c r="Y233" s="476">
        <v>0</v>
      </c>
      <c r="Z233" s="38">
        <f t="shared" si="35"/>
        <v>0</v>
      </c>
      <c r="AA233" s="16">
        <v>0</v>
      </c>
      <c r="AB233" s="16">
        <v>0</v>
      </c>
      <c r="AC233" s="16">
        <v>0</v>
      </c>
      <c r="AE233" s="16">
        <v>0</v>
      </c>
      <c r="AF233" s="16">
        <v>0</v>
      </c>
      <c r="AG233" s="16">
        <v>0</v>
      </c>
    </row>
    <row r="234" spans="1:33" ht="13" thickBot="1">
      <c r="A234" s="21"/>
      <c r="B234" s="21" t="s">
        <v>110</v>
      </c>
      <c r="C234" s="130" t="s">
        <v>87</v>
      </c>
      <c r="D234" s="451"/>
      <c r="E234" s="443" t="str">
        <f>'Q1 DMV - Revenue'!T208</f>
        <v/>
      </c>
      <c r="F234" s="222"/>
      <c r="G234" s="179"/>
      <c r="H234" s="203"/>
      <c r="I234" s="319">
        <f>SUM(D234:H234)</f>
        <v>0</v>
      </c>
      <c r="J234" s="31"/>
      <c r="K234" s="39"/>
      <c r="L234" s="45"/>
      <c r="M234" s="31">
        <v>0</v>
      </c>
      <c r="N234" s="429">
        <v>0</v>
      </c>
      <c r="O234" s="31">
        <v>0</v>
      </c>
      <c r="P234" s="426">
        <f t="shared" si="37"/>
        <v>0</v>
      </c>
      <c r="Q234" s="178"/>
      <c r="R234" s="295"/>
      <c r="S234" s="385">
        <f t="shared" si="36"/>
        <v>0</v>
      </c>
      <c r="T234" s="31"/>
      <c r="U234" s="474">
        <f t="shared" si="38"/>
        <v>0</v>
      </c>
      <c r="V234" s="474">
        <f t="shared" si="39"/>
        <v>0</v>
      </c>
      <c r="W234" s="475">
        <f t="shared" si="40"/>
        <v>0</v>
      </c>
      <c r="X234" s="475">
        <v>0</v>
      </c>
      <c r="Y234" s="476">
        <v>0</v>
      </c>
      <c r="Z234" s="38">
        <f t="shared" si="35"/>
        <v>0</v>
      </c>
      <c r="AA234" s="16">
        <v>0</v>
      </c>
      <c r="AB234" s="16">
        <v>0</v>
      </c>
      <c r="AC234" s="16">
        <v>0</v>
      </c>
      <c r="AE234" s="16">
        <v>0</v>
      </c>
      <c r="AF234" s="16">
        <v>0</v>
      </c>
      <c r="AG234" s="16">
        <v>0</v>
      </c>
    </row>
    <row r="235" spans="1:33">
      <c r="A235" s="25"/>
      <c r="B235" s="25" t="s">
        <v>110</v>
      </c>
      <c r="C235" s="69" t="s">
        <v>62</v>
      </c>
      <c r="D235" s="444"/>
      <c r="E235" s="444" t="str">
        <f>'Q1 DMV - Revenue'!T209</f>
        <v/>
      </c>
      <c r="F235" s="223"/>
      <c r="G235" s="26"/>
      <c r="H235" s="224"/>
      <c r="I235" s="320">
        <f>SUM(D235:H235)</f>
        <v>0</v>
      </c>
      <c r="J235" s="31"/>
      <c r="K235" s="87"/>
      <c r="L235" s="43"/>
      <c r="M235" s="31">
        <v>0</v>
      </c>
      <c r="N235" s="429">
        <v>0</v>
      </c>
      <c r="O235" s="31">
        <v>0</v>
      </c>
      <c r="P235" s="426">
        <f t="shared" si="37"/>
        <v>0</v>
      </c>
      <c r="Q235" s="178"/>
      <c r="R235" s="295"/>
      <c r="S235" s="385">
        <f t="shared" si="36"/>
        <v>0</v>
      </c>
      <c r="T235" s="31"/>
      <c r="U235" s="474">
        <f t="shared" si="38"/>
        <v>0</v>
      </c>
      <c r="V235" s="474">
        <f t="shared" si="39"/>
        <v>0</v>
      </c>
      <c r="W235" s="475">
        <f t="shared" si="40"/>
        <v>0</v>
      </c>
      <c r="X235" s="475">
        <v>0</v>
      </c>
      <c r="Y235" s="476">
        <v>0</v>
      </c>
      <c r="Z235" s="38">
        <f t="shared" si="35"/>
        <v>0</v>
      </c>
      <c r="AA235" s="16">
        <v>0</v>
      </c>
      <c r="AB235" s="16">
        <v>0</v>
      </c>
      <c r="AC235" s="16">
        <v>0</v>
      </c>
      <c r="AE235" s="16">
        <v>0</v>
      </c>
      <c r="AF235" s="16">
        <v>0</v>
      </c>
      <c r="AG235" s="16">
        <v>0</v>
      </c>
    </row>
    <row r="236" spans="1:33">
      <c r="A236" s="25"/>
      <c r="B236" s="25"/>
      <c r="C236" s="70" t="s">
        <v>6</v>
      </c>
      <c r="D236" s="444"/>
      <c r="E236" s="444" t="str">
        <f>'Q1 DMV - Revenue'!T210</f>
        <v/>
      </c>
      <c r="F236" s="223"/>
      <c r="G236" s="26"/>
      <c r="H236" s="224"/>
      <c r="I236" s="320">
        <f>SUM(D236:H236)</f>
        <v>0</v>
      </c>
      <c r="J236" s="31"/>
      <c r="K236" s="88"/>
      <c r="L236" s="44"/>
      <c r="M236" s="31">
        <v>0</v>
      </c>
      <c r="N236" s="429">
        <v>0</v>
      </c>
      <c r="O236" s="31">
        <v>0</v>
      </c>
      <c r="P236" s="426">
        <f t="shared" si="37"/>
        <v>0</v>
      </c>
      <c r="Q236" s="178"/>
      <c r="R236" s="295"/>
      <c r="S236" s="385">
        <f t="shared" si="36"/>
        <v>0</v>
      </c>
      <c r="T236" s="31"/>
      <c r="U236" s="474">
        <f t="shared" si="38"/>
        <v>0</v>
      </c>
      <c r="V236" s="474">
        <f t="shared" si="39"/>
        <v>0</v>
      </c>
      <c r="W236" s="475">
        <f t="shared" si="40"/>
        <v>0</v>
      </c>
      <c r="X236" s="475">
        <v>0</v>
      </c>
      <c r="Y236" s="476">
        <v>0</v>
      </c>
      <c r="Z236" s="38">
        <f t="shared" si="35"/>
        <v>0</v>
      </c>
      <c r="AA236" s="16">
        <v>0</v>
      </c>
      <c r="AB236" s="16">
        <v>0</v>
      </c>
      <c r="AC236" s="16">
        <v>0</v>
      </c>
      <c r="AE236" s="16">
        <v>0</v>
      </c>
      <c r="AF236" s="16">
        <v>0</v>
      </c>
      <c r="AG236" s="16">
        <v>0</v>
      </c>
    </row>
    <row r="237" spans="1:33">
      <c r="A237" s="25"/>
      <c r="B237" s="25"/>
      <c r="C237" s="70" t="s">
        <v>30</v>
      </c>
      <c r="D237" s="444"/>
      <c r="E237" s="445" t="str">
        <f>'Q1 DMV - Revenue'!T211</f>
        <v/>
      </c>
      <c r="F237" s="225"/>
      <c r="G237" s="1"/>
      <c r="H237" s="224"/>
      <c r="I237" s="321">
        <f>SUM(D237:H237)</f>
        <v>0</v>
      </c>
      <c r="J237" s="31"/>
      <c r="K237" s="88"/>
      <c r="L237" s="44"/>
      <c r="M237" s="31">
        <v>0</v>
      </c>
      <c r="N237" s="429">
        <v>0</v>
      </c>
      <c r="O237" s="31">
        <v>0</v>
      </c>
      <c r="P237" s="426">
        <f t="shared" si="37"/>
        <v>0</v>
      </c>
      <c r="Q237" s="178"/>
      <c r="R237" s="295"/>
      <c r="S237" s="385">
        <f t="shared" si="36"/>
        <v>0</v>
      </c>
      <c r="T237" s="31"/>
      <c r="U237" s="474">
        <f t="shared" si="38"/>
        <v>0</v>
      </c>
      <c r="V237" s="474">
        <f t="shared" si="39"/>
        <v>0</v>
      </c>
      <c r="W237" s="475">
        <f t="shared" si="40"/>
        <v>0</v>
      </c>
      <c r="X237" s="475">
        <v>0</v>
      </c>
      <c r="Y237" s="476">
        <v>0</v>
      </c>
      <c r="Z237" s="38">
        <f t="shared" si="35"/>
        <v>0</v>
      </c>
      <c r="AA237" s="16">
        <v>0</v>
      </c>
      <c r="AB237" s="16">
        <v>0</v>
      </c>
      <c r="AC237" s="16">
        <v>0</v>
      </c>
      <c r="AE237" s="16">
        <v>0</v>
      </c>
      <c r="AF237" s="16">
        <v>0</v>
      </c>
      <c r="AG237" s="16">
        <v>0</v>
      </c>
    </row>
    <row r="238" spans="1:33">
      <c r="A238" s="25"/>
      <c r="B238" s="25"/>
      <c r="C238" s="70" t="s">
        <v>34</v>
      </c>
      <c r="D238" s="444"/>
      <c r="E238" s="445" t="str">
        <f>'Q1 DMV - Revenue'!T212</f>
        <v/>
      </c>
      <c r="F238" s="225"/>
      <c r="G238" s="1"/>
      <c r="H238" s="224"/>
      <c r="I238" s="321">
        <f>SUM(D238:H238)</f>
        <v>0</v>
      </c>
      <c r="J238" s="31"/>
      <c r="K238" s="88"/>
      <c r="L238" s="44"/>
      <c r="M238" s="31">
        <v>0</v>
      </c>
      <c r="N238" s="429">
        <v>0</v>
      </c>
      <c r="O238" s="31">
        <v>0</v>
      </c>
      <c r="P238" s="426">
        <f t="shared" si="37"/>
        <v>0</v>
      </c>
      <c r="Q238" s="178"/>
      <c r="R238" s="295"/>
      <c r="S238" s="385">
        <f t="shared" si="36"/>
        <v>0</v>
      </c>
      <c r="T238" s="31"/>
      <c r="U238" s="474">
        <f t="shared" si="38"/>
        <v>0</v>
      </c>
      <c r="V238" s="474">
        <f t="shared" si="39"/>
        <v>0</v>
      </c>
      <c r="W238" s="475">
        <f t="shared" si="40"/>
        <v>0</v>
      </c>
      <c r="X238" s="475">
        <v>0</v>
      </c>
      <c r="Y238" s="476">
        <v>0</v>
      </c>
      <c r="Z238" s="38">
        <f t="shared" si="35"/>
        <v>0</v>
      </c>
      <c r="AA238" s="16">
        <v>0</v>
      </c>
      <c r="AB238" s="16">
        <v>0</v>
      </c>
      <c r="AC238" s="16">
        <v>0</v>
      </c>
      <c r="AE238" s="16">
        <v>0</v>
      </c>
      <c r="AF238" s="16">
        <v>0</v>
      </c>
      <c r="AG238" s="16">
        <v>0</v>
      </c>
    </row>
    <row r="239" spans="1:33">
      <c r="A239" s="25"/>
      <c r="B239" s="25"/>
      <c r="C239" s="70" t="s">
        <v>37</v>
      </c>
      <c r="D239" s="444"/>
      <c r="E239" s="445" t="str">
        <f>'Q1 DMV - Revenue'!T213</f>
        <v/>
      </c>
      <c r="F239" s="225"/>
      <c r="G239" s="1"/>
      <c r="H239" s="224"/>
      <c r="I239" s="321">
        <f t="shared" ref="I239:I240" si="44">SUM(D239:H239)</f>
        <v>0</v>
      </c>
      <c r="J239" s="31"/>
      <c r="K239" s="88"/>
      <c r="L239" s="44"/>
      <c r="M239" s="31">
        <v>0</v>
      </c>
      <c r="N239" s="429">
        <v>0</v>
      </c>
      <c r="O239" s="31">
        <v>0</v>
      </c>
      <c r="P239" s="426">
        <f t="shared" si="37"/>
        <v>0</v>
      </c>
      <c r="Q239" s="178"/>
      <c r="R239" s="295"/>
      <c r="S239" s="385">
        <f t="shared" si="36"/>
        <v>0</v>
      </c>
      <c r="T239" s="31"/>
      <c r="U239" s="474">
        <f t="shared" si="38"/>
        <v>0</v>
      </c>
      <c r="V239" s="474">
        <f t="shared" si="39"/>
        <v>0</v>
      </c>
      <c r="W239" s="475">
        <f t="shared" si="40"/>
        <v>0</v>
      </c>
      <c r="X239" s="475">
        <v>0</v>
      </c>
      <c r="Y239" s="476">
        <v>0</v>
      </c>
      <c r="Z239" s="38">
        <f t="shared" si="35"/>
        <v>0</v>
      </c>
      <c r="AA239" s="16">
        <v>0</v>
      </c>
      <c r="AB239" s="16">
        <v>0</v>
      </c>
      <c r="AC239" s="16">
        <v>0</v>
      </c>
      <c r="AE239" s="16">
        <v>0</v>
      </c>
      <c r="AF239" s="16">
        <v>0</v>
      </c>
      <c r="AG239" s="16">
        <v>0</v>
      </c>
    </row>
    <row r="240" spans="1:33">
      <c r="A240" s="25"/>
      <c r="B240" s="25"/>
      <c r="C240" s="70" t="s">
        <v>42</v>
      </c>
      <c r="D240" s="444"/>
      <c r="E240" s="445" t="str">
        <f>'Q1 DMV - Revenue'!T214</f>
        <v/>
      </c>
      <c r="F240" s="225"/>
      <c r="G240" s="1"/>
      <c r="H240" s="224"/>
      <c r="I240" s="321">
        <f t="shared" si="44"/>
        <v>0</v>
      </c>
      <c r="J240" s="31"/>
      <c r="K240" s="88"/>
      <c r="L240" s="44"/>
      <c r="M240" s="31">
        <v>0</v>
      </c>
      <c r="N240" s="429">
        <v>0</v>
      </c>
      <c r="O240" s="31">
        <v>0</v>
      </c>
      <c r="P240" s="426">
        <f t="shared" si="37"/>
        <v>0</v>
      </c>
      <c r="Q240" s="178"/>
      <c r="R240" s="295"/>
      <c r="S240" s="385">
        <f t="shared" si="36"/>
        <v>0</v>
      </c>
      <c r="T240" s="31"/>
      <c r="U240" s="474">
        <f t="shared" si="38"/>
        <v>0</v>
      </c>
      <c r="V240" s="474">
        <f t="shared" si="39"/>
        <v>0</v>
      </c>
      <c r="W240" s="475">
        <f t="shared" si="40"/>
        <v>0</v>
      </c>
      <c r="X240" s="475">
        <v>0</v>
      </c>
      <c r="Y240" s="476">
        <v>0</v>
      </c>
      <c r="Z240" s="38">
        <f t="shared" si="35"/>
        <v>0</v>
      </c>
      <c r="AA240" s="16">
        <v>0</v>
      </c>
      <c r="AB240" s="16">
        <v>0</v>
      </c>
      <c r="AC240" s="16">
        <v>0</v>
      </c>
      <c r="AE240" s="16">
        <v>0</v>
      </c>
      <c r="AF240" s="16">
        <v>0</v>
      </c>
      <c r="AG240" s="16">
        <v>0</v>
      </c>
    </row>
    <row r="241" spans="1:33" s="146" customFormat="1" ht="13" thickBot="1">
      <c r="A241" s="21"/>
      <c r="B241" s="21" t="s">
        <v>110</v>
      </c>
      <c r="C241" s="68" t="s">
        <v>93</v>
      </c>
      <c r="D241" s="446">
        <f>1215.5+2047.12+1530.2+1470.31+1154.95+827.83</f>
        <v>8245.91</v>
      </c>
      <c r="E241" s="447">
        <f>'Q1 DMV - Revenue'!T215</f>
        <v>1513.71</v>
      </c>
      <c r="F241" s="204"/>
      <c r="G241" s="204"/>
      <c r="H241" s="204"/>
      <c r="I241" s="347">
        <f>SUM(D241:H241)</f>
        <v>9759.619999999999</v>
      </c>
      <c r="J241" s="31"/>
      <c r="K241" s="84"/>
      <c r="L241" s="42"/>
      <c r="M241" s="31">
        <v>0</v>
      </c>
      <c r="N241" s="429">
        <v>0</v>
      </c>
      <c r="O241" s="31">
        <v>0</v>
      </c>
      <c r="P241" s="426">
        <f t="shared" si="37"/>
        <v>0</v>
      </c>
      <c r="Q241" s="178">
        <f>549.75+356.59+373.17</f>
        <v>1279.51</v>
      </c>
      <c r="R241" s="14"/>
      <c r="S241" s="385">
        <f t="shared" si="36"/>
        <v>1279.51</v>
      </c>
      <c r="T241" s="31"/>
      <c r="U241" s="474">
        <f t="shared" si="38"/>
        <v>0</v>
      </c>
      <c r="V241" s="474">
        <f t="shared" si="39"/>
        <v>0</v>
      </c>
      <c r="W241" s="475">
        <f t="shared" si="40"/>
        <v>0</v>
      </c>
      <c r="X241" s="475">
        <v>0</v>
      </c>
      <c r="Y241" s="476">
        <v>0</v>
      </c>
      <c r="Z241" s="38">
        <f t="shared" si="35"/>
        <v>0</v>
      </c>
      <c r="AA241" s="146">
        <v>0</v>
      </c>
      <c r="AB241" s="146">
        <v>0</v>
      </c>
      <c r="AC241" s="146">
        <v>0</v>
      </c>
      <c r="AE241" s="146">
        <v>0</v>
      </c>
      <c r="AF241" s="146">
        <v>0</v>
      </c>
      <c r="AG241" s="146">
        <v>0</v>
      </c>
    </row>
    <row r="242" spans="1:33" ht="13" thickBot="1">
      <c r="A242" s="106"/>
      <c r="B242" s="106"/>
      <c r="C242" s="70" t="s">
        <v>49</v>
      </c>
      <c r="D242" s="444"/>
      <c r="E242" s="453" t="str">
        <f>'Q1 DMV - Revenue'!T216</f>
        <v/>
      </c>
      <c r="F242" s="228"/>
      <c r="G242" s="229"/>
      <c r="H242" s="230"/>
      <c r="I242" s="322">
        <f>SUM(D242:H242)</f>
        <v>0</v>
      </c>
      <c r="J242" s="31"/>
      <c r="K242" s="88"/>
      <c r="L242" s="44"/>
      <c r="M242" s="31">
        <v>0</v>
      </c>
      <c r="N242" s="429">
        <v>0</v>
      </c>
      <c r="O242" s="31">
        <v>0</v>
      </c>
      <c r="P242" s="426">
        <f t="shared" si="37"/>
        <v>0</v>
      </c>
      <c r="Q242" s="178"/>
      <c r="R242" s="295"/>
      <c r="S242" s="385">
        <f t="shared" si="36"/>
        <v>0</v>
      </c>
      <c r="T242" s="31"/>
      <c r="U242" s="474">
        <f t="shared" si="38"/>
        <v>0</v>
      </c>
      <c r="V242" s="474">
        <f t="shared" si="39"/>
        <v>0</v>
      </c>
      <c r="W242" s="475">
        <f t="shared" si="40"/>
        <v>0</v>
      </c>
      <c r="X242" s="475">
        <v>0</v>
      </c>
      <c r="Y242" s="476">
        <v>0</v>
      </c>
      <c r="Z242" s="38">
        <f t="shared" si="35"/>
        <v>0</v>
      </c>
      <c r="AA242" s="16">
        <v>0</v>
      </c>
      <c r="AB242" s="16">
        <v>0</v>
      </c>
      <c r="AC242" s="16">
        <v>0</v>
      </c>
      <c r="AE242" s="16">
        <v>0</v>
      </c>
      <c r="AF242" s="16">
        <v>0</v>
      </c>
      <c r="AG242" s="16">
        <v>0</v>
      </c>
    </row>
    <row r="243" spans="1:33" ht="13" thickBot="1">
      <c r="A243" s="107"/>
      <c r="B243" s="108"/>
      <c r="C243" s="71" t="s">
        <v>86</v>
      </c>
      <c r="D243" s="90">
        <f t="shared" ref="D243:I243" si="45">SUM(D19:D242)</f>
        <v>408155.65999999992</v>
      </c>
      <c r="E243" s="454">
        <f t="shared" si="45"/>
        <v>-289964.32839999994</v>
      </c>
      <c r="F243" s="157">
        <f t="shared" si="45"/>
        <v>4922954.6041666679</v>
      </c>
      <c r="G243" s="157">
        <f t="shared" si="45"/>
        <v>3997819.4741666652</v>
      </c>
      <c r="H243" s="157">
        <f t="shared" si="45"/>
        <v>3886776.2866666657</v>
      </c>
      <c r="I243" s="157">
        <f t="shared" si="45"/>
        <v>12925741.696599994</v>
      </c>
      <c r="J243" s="314">
        <f t="shared" ref="J243" si="46">SUM(J21:J242)</f>
        <v>0</v>
      </c>
      <c r="K243" s="157">
        <f>SUM(K19:K242)</f>
        <v>653569.69999999995</v>
      </c>
      <c r="L243" s="157">
        <f>SUM(L19:L242)</f>
        <v>1180210.5975000001</v>
      </c>
      <c r="M243" s="157">
        <f t="shared" ref="M243:O243" si="47">SUM(M21:M242)</f>
        <v>-18698</v>
      </c>
      <c r="N243" s="100">
        <f>SUM(N19:N242)</f>
        <v>17957095.620000001</v>
      </c>
      <c r="O243" s="157">
        <f t="shared" si="47"/>
        <v>-18698</v>
      </c>
      <c r="P243" s="314">
        <f>SUM(P20:P242)</f>
        <v>1833593.3975000002</v>
      </c>
      <c r="Q243" s="157">
        <f t="shared" ref="Q243" si="48">SUM(Q21:Q242)</f>
        <v>1642185.82</v>
      </c>
      <c r="R243" s="297"/>
      <c r="S243" s="329">
        <f>SUM(S19:S242)</f>
        <v>-184914.3575000001</v>
      </c>
      <c r="T243" s="314">
        <f t="shared" ref="T243" si="49">SUM(T21:T242)</f>
        <v>0</v>
      </c>
      <c r="U243" s="105">
        <f>SUM(U20:U242)</f>
        <v>1281529.8349999997</v>
      </c>
      <c r="V243" s="105">
        <f>SUM(V20:V242)</f>
        <v>357515.72249999992</v>
      </c>
      <c r="W243" s="105">
        <f>SUM(W20:W242)</f>
        <v>194547.84</v>
      </c>
      <c r="X243" s="105">
        <f>SUM(X20:X242)</f>
        <v>0</v>
      </c>
      <c r="Y243" s="105">
        <f>SUM(Y20:Y242)</f>
        <v>0</v>
      </c>
      <c r="AA243" s="235">
        <v>10235044.639999999</v>
      </c>
      <c r="AB243" s="235">
        <v>910014.591518</v>
      </c>
      <c r="AC243" s="235">
        <v>11676.289999999994</v>
      </c>
      <c r="AE243" s="263">
        <v>3956428.0499999993</v>
      </c>
      <c r="AF243" s="263">
        <v>523677.39300000004</v>
      </c>
      <c r="AG243" s="263">
        <v>115422.29000000001</v>
      </c>
    </row>
    <row r="244" spans="1:33" ht="13" thickBot="1">
      <c r="A244" s="65"/>
      <c r="B244" s="65"/>
      <c r="C244" s="141"/>
      <c r="D244" s="310" t="s">
        <v>293</v>
      </c>
      <c r="E244" s="160">
        <f>E243+D243</f>
        <v>118191.33159999998</v>
      </c>
      <c r="F244" s="153"/>
      <c r="G244" s="153" t="s">
        <v>225</v>
      </c>
      <c r="H244" s="160">
        <f>H243+G243+F243</f>
        <v>12807550.364999998</v>
      </c>
      <c r="I244" s="323"/>
      <c r="J244" s="153"/>
      <c r="K244" s="153" t="s">
        <v>296</v>
      </c>
      <c r="L244" s="100">
        <f>L243+K243</f>
        <v>1833780.2975000001</v>
      </c>
      <c r="M244" s="153"/>
      <c r="N244" s="494">
        <f>I243-N243</f>
        <v>-5031353.9234000072</v>
      </c>
      <c r="O244" s="153"/>
      <c r="P244" s="153"/>
      <c r="Q244" s="153"/>
      <c r="R244" s="153"/>
      <c r="S244" s="153"/>
      <c r="T244" s="153"/>
      <c r="U244" s="139"/>
      <c r="V244" s="139"/>
      <c r="W244" s="139"/>
      <c r="X244" s="139"/>
      <c r="Y244" s="104"/>
    </row>
    <row r="245" spans="1:33" ht="13" thickBot="1">
      <c r="A245" s="65"/>
      <c r="B245" s="65"/>
      <c r="D245" s="128"/>
      <c r="E245" s="47"/>
      <c r="F245" s="153"/>
      <c r="G245" s="153"/>
      <c r="H245" s="153"/>
      <c r="I245" s="153"/>
      <c r="J245" s="153"/>
      <c r="K245" s="153"/>
      <c r="L245" s="67"/>
      <c r="M245" s="153"/>
      <c r="N245" s="153">
        <f>N243+N244</f>
        <v>12925741.696599994</v>
      </c>
      <c r="O245" s="153"/>
      <c r="P245" s="153"/>
      <c r="Q245" s="153"/>
      <c r="R245" s="153"/>
      <c r="S245" s="153"/>
      <c r="T245" s="153"/>
      <c r="U245" s="331" t="s">
        <v>345</v>
      </c>
      <c r="V245" s="139"/>
      <c r="W245" s="139"/>
      <c r="X245" s="139"/>
      <c r="Y245" s="104"/>
    </row>
    <row r="246" spans="1:33" ht="15">
      <c r="G246" s="309"/>
      <c r="H246" s="79"/>
      <c r="I246" s="18"/>
      <c r="K246" s="232"/>
      <c r="L246" s="233"/>
      <c r="P246" s="33"/>
      <c r="S246" s="33"/>
      <c r="U246" s="332"/>
      <c r="V246" s="333"/>
      <c r="W246" s="491"/>
      <c r="X246" s="491"/>
      <c r="Y246" s="334"/>
    </row>
    <row r="247" spans="1:33" ht="17" thickBot="1">
      <c r="G247" s="309"/>
      <c r="H247" s="79"/>
      <c r="I247" s="18"/>
      <c r="L247" s="493"/>
      <c r="U247" s="487"/>
      <c r="V247" s="488"/>
      <c r="W247" s="492" t="s">
        <v>399</v>
      </c>
      <c r="X247" s="492" t="s">
        <v>400</v>
      </c>
      <c r="Y247" s="414"/>
    </row>
    <row r="248" spans="1:33" ht="15" thickBot="1">
      <c r="C248" s="143" t="s">
        <v>294</v>
      </c>
      <c r="G248" s="142"/>
      <c r="H248" s="159"/>
      <c r="I248" s="169"/>
      <c r="K248" s="489" t="s">
        <v>397</v>
      </c>
      <c r="L248" s="308">
        <f>I243</f>
        <v>12925741.696599994</v>
      </c>
      <c r="M248" s="146"/>
      <c r="O248" s="146"/>
      <c r="U248" s="158" t="s">
        <v>346</v>
      </c>
      <c r="V248" s="104" t="s">
        <v>352</v>
      </c>
      <c r="W248" s="104">
        <f>SUM(X250:X255)-W249</f>
        <v>1833593.3974999997</v>
      </c>
      <c r="X248" s="104"/>
      <c r="Y248" s="136"/>
    </row>
    <row r="249" spans="1:33" ht="15" thickBot="1">
      <c r="C249" s="143" t="s">
        <v>295</v>
      </c>
      <c r="G249" s="17" t="s">
        <v>249</v>
      </c>
      <c r="H249" s="132"/>
      <c r="K249" s="490"/>
      <c r="L249" s="16"/>
      <c r="P249" s="151"/>
      <c r="Q249" s="151"/>
      <c r="R249" s="151"/>
      <c r="S249" s="151"/>
      <c r="U249" s="158" t="s">
        <v>354</v>
      </c>
      <c r="V249" s="104" t="s">
        <v>353</v>
      </c>
      <c r="W249" s="104"/>
      <c r="X249" s="104"/>
      <c r="Y249" s="136"/>
    </row>
    <row r="250" spans="1:33" ht="15" thickBot="1">
      <c r="C250" s="143" t="s">
        <v>297</v>
      </c>
      <c r="K250" s="489" t="s">
        <v>398</v>
      </c>
      <c r="L250" s="486">
        <f>P243</f>
        <v>1833593.3975000002</v>
      </c>
      <c r="N250" s="33"/>
      <c r="P250" s="151"/>
      <c r="Q250" s="151"/>
      <c r="R250" s="151"/>
      <c r="S250" s="151"/>
      <c r="U250" s="158" t="s">
        <v>351</v>
      </c>
      <c r="V250" s="104" t="s">
        <v>355</v>
      </c>
      <c r="W250" s="104"/>
      <c r="X250" s="104">
        <f>U243</f>
        <v>1281529.8349999997</v>
      </c>
      <c r="Y250" s="136"/>
    </row>
    <row r="251" spans="1:33" ht="15" thickBot="1">
      <c r="C251" s="143" t="s">
        <v>297</v>
      </c>
      <c r="K251" s="490"/>
      <c r="P251" s="151"/>
      <c r="Q251" s="54"/>
      <c r="R251" s="151"/>
      <c r="S251" s="294"/>
      <c r="U251" s="158" t="s">
        <v>350</v>
      </c>
      <c r="V251" s="104" t="s">
        <v>356</v>
      </c>
      <c r="W251" s="104"/>
      <c r="X251" s="104">
        <f>X243</f>
        <v>0</v>
      </c>
      <c r="Y251" s="136"/>
    </row>
    <row r="252" spans="1:33" ht="15" thickBot="1">
      <c r="C252" s="143"/>
      <c r="K252" s="489" t="s">
        <v>251</v>
      </c>
      <c r="L252" s="486">
        <v>0</v>
      </c>
      <c r="P252" s="151"/>
      <c r="Q252" s="151"/>
      <c r="R252" s="151"/>
      <c r="S252" s="151"/>
      <c r="U252" s="158" t="s">
        <v>351</v>
      </c>
      <c r="V252" s="104" t="s">
        <v>355</v>
      </c>
      <c r="W252" s="104"/>
      <c r="X252" s="104"/>
      <c r="Y252" s="136"/>
    </row>
    <row r="253" spans="1:33" ht="16">
      <c r="K253" s="490"/>
      <c r="L253" s="326">
        <f>L248+L250-L252</f>
        <v>14759335.094099995</v>
      </c>
      <c r="P253" s="151"/>
      <c r="Q253" s="151"/>
      <c r="R253" s="151"/>
      <c r="S253" s="151"/>
      <c r="U253" s="158" t="s">
        <v>349</v>
      </c>
      <c r="V253" s="104" t="s">
        <v>357</v>
      </c>
      <c r="W253" s="104"/>
      <c r="X253" s="104">
        <f>V243</f>
        <v>357515.72249999992</v>
      </c>
      <c r="Y253" s="136"/>
    </row>
    <row r="254" spans="1:33">
      <c r="L254" s="325"/>
      <c r="P254" s="151"/>
      <c r="Q254" s="151"/>
      <c r="R254" s="151"/>
      <c r="S254" s="151"/>
      <c r="U254" s="415" t="s">
        <v>348</v>
      </c>
      <c r="V254" s="104" t="s">
        <v>358</v>
      </c>
      <c r="W254" s="104"/>
      <c r="X254" s="104">
        <f>Y243</f>
        <v>0</v>
      </c>
      <c r="Y254" s="136"/>
    </row>
    <row r="255" spans="1:33" ht="13" thickBot="1">
      <c r="P255" s="151"/>
      <c r="Q255" s="151"/>
      <c r="R255" s="151"/>
      <c r="S255" s="151"/>
      <c r="U255" s="417" t="s">
        <v>347</v>
      </c>
      <c r="V255" s="418" t="s">
        <v>359</v>
      </c>
      <c r="W255" s="418"/>
      <c r="X255" s="418">
        <f>W243</f>
        <v>194547.84</v>
      </c>
      <c r="Y255" s="414"/>
    </row>
    <row r="256" spans="1:33" ht="13" thickTop="1">
      <c r="U256" s="416"/>
      <c r="V256" s="104"/>
      <c r="W256" s="80">
        <f>SUM(W248:W255)</f>
        <v>1833593.3974999997</v>
      </c>
      <c r="X256" s="80">
        <f>SUM(X250:X255)</f>
        <v>1833593.3974999997</v>
      </c>
      <c r="Y256" s="136"/>
    </row>
    <row r="257" spans="21:25">
      <c r="U257" s="416"/>
      <c r="V257" s="104"/>
      <c r="W257" s="104"/>
      <c r="X257" s="104"/>
      <c r="Y257" s="136"/>
    </row>
    <row r="258" spans="21:25" ht="13" thickBot="1">
      <c r="U258" s="330"/>
      <c r="V258" s="279"/>
      <c r="W258" s="279"/>
      <c r="X258" s="279"/>
      <c r="Y258" s="280"/>
    </row>
    <row r="259" spans="21:25">
      <c r="U259" s="104"/>
      <c r="V259" s="104"/>
      <c r="W259" s="104"/>
      <c r="X259" s="104"/>
      <c r="Y259" s="104"/>
    </row>
  </sheetData>
  <customSheetViews>
    <customSheetView guid="{005F2F7B-A3A9-4755-A4DF-7CE06C365CC2}" scale="96" showPageBreaks="1" hiddenColumns="1" topLeftCell="C1">
      <pane xSplit="1" ySplit="18" topLeftCell="L226" activePane="bottomRight" state="frozenSplit"/>
      <selection pane="bottomRight" activeCell="Q230" sqref="Q230"/>
      <pageSetup orientation="portrait" horizontalDpi="1200" verticalDpi="1200"/>
    </customSheetView>
    <customSheetView guid="{D3CBD86D-0B34-40AC-BD97-D8082E871349}" scale="96" showPageBreaks="1" fitToPage="1" printArea="1" hiddenColumns="1" topLeftCell="C169">
      <selection activeCell="I193" sqref="I193:K193"/>
      <pageSetup scale="59" fitToHeight="3" orientation="portrait" horizontalDpi="1200" verticalDpi="1200"/>
    </customSheetView>
    <customSheetView guid="{A6D105A8-F3F8-4045-83EA-8812D2E401D6}" scale="96" showPageBreaks="1" fitToPage="1" printArea="1" hiddenColumns="1" topLeftCell="C1">
      <selection activeCell="C17" sqref="C17:N233"/>
      <pageSetup scale="59" fitToHeight="3" orientation="portrait" horizontalDpi="1200" verticalDpi="1200"/>
    </customSheetView>
    <customSheetView guid="{6F4B4768-8A4D-42E2-B88D-A2E3A11E334D}" scale="96" showPageBreaks="1" hiddenColumns="1" topLeftCell="C190">
      <selection activeCell="Q214" sqref="Q214"/>
      <pageSetup orientation="portrait" horizontalDpi="1200" verticalDpi="1200"/>
    </customSheetView>
    <customSheetView guid="{B41BA366-C439-467E-8D7C-92B77F258AE7}" topLeftCell="J2">
      <pane ySplit="17" topLeftCell="A231" activePane="bottomLeft" state="frozenSplit"/>
      <selection pane="bottomLeft" activeCell="W180" sqref="W180"/>
    </customSheetView>
    <customSheetView guid="{30EF2F7D-596A-4F42-BFFC-293775FB231D}" scale="75" showPageBreaks="1" fitToPage="1" printArea="1" topLeftCell="C2">
      <pane ySplit="17" topLeftCell="A198" activePane="bottomLeft" state="frozenSplit"/>
      <selection pane="bottomLeft" activeCell="Q230" sqref="Q230"/>
      <pageSetup paperSize="5" scale="50" fitToHeight="4" orientation="landscape"/>
    </customSheetView>
    <customSheetView guid="{19673ADA-0B6E-420C-87C4-DFC2B9AF85E8}" scale="75" showPageBreaks="1" fitToPage="1" printArea="1" topLeftCell="A2">
      <pane ySplit="17" topLeftCell="A19" activePane="bottomLeft" state="frozenSplit"/>
      <selection pane="bottomLeft" activeCell="Q29" sqref="Q29:Q31"/>
      <pageSetup paperSize="5" scale="50" fitToHeight="4" orientation="landscape"/>
    </customSheetView>
    <customSheetView guid="{EAD60427-EED9-4BA8-BD26-3C00E46B1F0E}" scale="96" showPageBreaks="1" fitToPage="1" printArea="1" hiddenColumns="1" topLeftCell="C1">
      <selection activeCell="C17" sqref="C17:N233"/>
      <pageSetup scale="59" fitToHeight="3" orientation="portrait" horizontalDpi="1200" verticalDpi="1200"/>
    </customSheetView>
    <customSheetView guid="{041E0462-B6EA-414A-9F2E-C14ADEFAE5F2}" scale="96" showPageBreaks="1" fitToPage="1" printArea="1" hiddenColumns="1" topLeftCell="C169">
      <selection activeCell="I193" sqref="I193:K193"/>
      <pageSetup scale="59" fitToHeight="3" orientation="portrait" horizontalDpi="1200" verticalDpi="1200"/>
    </customSheetView>
    <customSheetView guid="{86CCC894-C193-4761-8385-3C374FD67B70}" scale="96" showPageBreaks="1" fitToPage="1" printArea="1" hiddenColumns="1" topLeftCell="C169">
      <selection activeCell="I193" sqref="I193:K193"/>
      <pageSetup scale="58" fitToHeight="3" orientation="portrait" horizontalDpi="1200" verticalDpi="1200"/>
    </customSheetView>
  </customSheetViews>
  <pageMargins left="0.25" right="0.25" top="0.75" bottom="0.75" header="0.3" footer="0.3"/>
  <pageSetup scale="59" fitToHeight="3" orientation="portrait" horizontalDpi="1200" verticalDpi="1200"/>
  <legacy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8"/>
  <sheetViews>
    <sheetView workbookViewId="0">
      <selection activeCell="G81" sqref="G81"/>
    </sheetView>
  </sheetViews>
  <sheetFormatPr baseColWidth="10" defaultColWidth="9" defaultRowHeight="12" x14ac:dyDescent="0"/>
  <cols>
    <col min="1" max="1" width="5.796875" style="16" bestFit="1" customWidth="1"/>
    <col min="2" max="2" width="9" style="16"/>
    <col min="3" max="3" width="20.3984375" style="16" bestFit="1" customWidth="1"/>
    <col min="4" max="4" width="55.796875" style="16" bestFit="1" customWidth="1"/>
    <col min="5" max="5" width="16.59765625" style="16" bestFit="1" customWidth="1"/>
    <col min="8" max="8" width="15.796875" bestFit="1" customWidth="1"/>
  </cols>
  <sheetData>
    <row r="1" spans="1:8" ht="14">
      <c r="A1" s="842" t="s">
        <v>650</v>
      </c>
      <c r="B1" s="842" t="s">
        <v>651</v>
      </c>
      <c r="C1" s="842" t="s">
        <v>652</v>
      </c>
      <c r="D1" s="842" t="s">
        <v>653</v>
      </c>
      <c r="E1" s="842" t="s">
        <v>654</v>
      </c>
      <c r="F1" s="808"/>
      <c r="G1" s="808"/>
    </row>
    <row r="2" spans="1:8" s="16" customFormat="1" ht="14">
      <c r="A2" s="843" t="s">
        <v>1055</v>
      </c>
      <c r="B2" s="842">
        <v>6</v>
      </c>
      <c r="C2" s="843" t="s">
        <v>600</v>
      </c>
      <c r="D2" s="843" t="s">
        <v>656</v>
      </c>
      <c r="E2" s="844">
        <v>-9117538.2799999993</v>
      </c>
      <c r="F2" s="809"/>
      <c r="G2" s="809"/>
      <c r="H2" s="771"/>
    </row>
    <row r="3" spans="1:8" s="16" customFormat="1" ht="14">
      <c r="A3" s="843" t="s">
        <v>1055</v>
      </c>
      <c r="B3" s="842">
        <v>6</v>
      </c>
      <c r="C3" s="843" t="s">
        <v>601</v>
      </c>
      <c r="D3" s="843" t="s">
        <v>657</v>
      </c>
      <c r="E3" s="844">
        <v>414265.26</v>
      </c>
      <c r="F3" s="809"/>
      <c r="G3" s="809"/>
      <c r="H3" s="38">
        <f>SUM(H7+E2+E3+E87+E91)</f>
        <v>-13980227.029999999</v>
      </c>
    </row>
    <row r="4" spans="1:8" s="16" customFormat="1" ht="14">
      <c r="A4" s="843" t="s">
        <v>1055</v>
      </c>
      <c r="B4" s="842">
        <v>6</v>
      </c>
      <c r="C4" s="843" t="s">
        <v>658</v>
      </c>
      <c r="D4" s="843" t="s">
        <v>659</v>
      </c>
      <c r="E4" s="844">
        <v>-30660.84</v>
      </c>
      <c r="F4" s="809"/>
      <c r="G4" s="809"/>
    </row>
    <row r="5" spans="1:8" s="16" customFormat="1" ht="14">
      <c r="A5" s="843" t="s">
        <v>1055</v>
      </c>
      <c r="B5" s="842">
        <v>6</v>
      </c>
      <c r="C5" s="843" t="s">
        <v>660</v>
      </c>
      <c r="D5" s="843" t="s">
        <v>737</v>
      </c>
      <c r="E5" s="844">
        <v>-33897.89</v>
      </c>
      <c r="F5" s="809"/>
      <c r="G5" s="809"/>
      <c r="H5" s="38"/>
    </row>
    <row r="6" spans="1:8" s="16" customFormat="1" ht="14">
      <c r="A6" s="843" t="s">
        <v>1055</v>
      </c>
      <c r="B6" s="842">
        <v>6</v>
      </c>
      <c r="C6" s="843" t="s">
        <v>1066</v>
      </c>
      <c r="D6" s="843" t="s">
        <v>1067</v>
      </c>
      <c r="E6" s="844">
        <v>-80.45</v>
      </c>
      <c r="F6" s="809"/>
      <c r="G6" s="809"/>
      <c r="H6" s="771"/>
    </row>
    <row r="7" spans="1:8" s="16" customFormat="1" ht="14">
      <c r="A7" s="843" t="s">
        <v>1055</v>
      </c>
      <c r="B7" s="842">
        <v>6</v>
      </c>
      <c r="C7" s="843" t="s">
        <v>662</v>
      </c>
      <c r="D7" s="843" t="s">
        <v>741</v>
      </c>
      <c r="E7" s="844">
        <v>-255.22</v>
      </c>
      <c r="F7" s="809"/>
      <c r="G7" s="809"/>
      <c r="H7" s="38">
        <v>0</v>
      </c>
    </row>
    <row r="8" spans="1:8" s="16" customFormat="1" ht="14" hidden="1">
      <c r="A8" s="843" t="s">
        <v>1055</v>
      </c>
      <c r="B8" s="842">
        <v>6</v>
      </c>
      <c r="C8" s="843" t="s">
        <v>953</v>
      </c>
      <c r="D8" s="843" t="s">
        <v>954</v>
      </c>
      <c r="E8" s="844">
        <v>-503.21</v>
      </c>
      <c r="F8" s="809"/>
      <c r="G8" s="809"/>
    </row>
    <row r="9" spans="1:8" s="16" customFormat="1" ht="14" hidden="1">
      <c r="A9" s="843" t="s">
        <v>1055</v>
      </c>
      <c r="B9" s="842">
        <v>6</v>
      </c>
      <c r="C9" s="843" t="s">
        <v>663</v>
      </c>
      <c r="D9" s="843" t="s">
        <v>742</v>
      </c>
      <c r="E9" s="844">
        <v>-388.46</v>
      </c>
      <c r="F9" s="809"/>
      <c r="G9" s="809"/>
    </row>
    <row r="10" spans="1:8" s="16" customFormat="1" ht="14" hidden="1">
      <c r="A10" s="843" t="s">
        <v>1055</v>
      </c>
      <c r="B10" s="842">
        <v>6</v>
      </c>
      <c r="C10" s="843" t="s">
        <v>664</v>
      </c>
      <c r="D10" s="843" t="s">
        <v>743</v>
      </c>
      <c r="E10" s="844">
        <v>-677.2</v>
      </c>
      <c r="F10" s="809"/>
      <c r="G10" s="809"/>
    </row>
    <row r="11" spans="1:8" s="16" customFormat="1" ht="14" hidden="1">
      <c r="A11" s="843" t="s">
        <v>1055</v>
      </c>
      <c r="B11" s="842">
        <v>6</v>
      </c>
      <c r="C11" s="843" t="s">
        <v>665</v>
      </c>
      <c r="D11" s="843" t="s">
        <v>744</v>
      </c>
      <c r="E11" s="844">
        <v>-545.65</v>
      </c>
      <c r="F11" s="809"/>
      <c r="G11" s="809"/>
    </row>
    <row r="12" spans="1:8" s="16" customFormat="1" ht="14" hidden="1">
      <c r="A12" s="843" t="s">
        <v>1055</v>
      </c>
      <c r="B12" s="842">
        <v>6</v>
      </c>
      <c r="C12" s="843" t="s">
        <v>1023</v>
      </c>
      <c r="D12" s="843" t="s">
        <v>1024</v>
      </c>
      <c r="E12" s="844">
        <v>-526.46</v>
      </c>
      <c r="F12" s="809"/>
      <c r="G12" s="809"/>
    </row>
    <row r="13" spans="1:8" s="16" customFormat="1" ht="14" hidden="1">
      <c r="A13" s="843" t="s">
        <v>1055</v>
      </c>
      <c r="B13" s="842">
        <v>6</v>
      </c>
      <c r="C13" s="843" t="s">
        <v>666</v>
      </c>
      <c r="D13" s="843" t="s">
        <v>745</v>
      </c>
      <c r="E13" s="844">
        <v>-60.4</v>
      </c>
      <c r="F13" s="809"/>
      <c r="G13" s="809"/>
    </row>
    <row r="14" spans="1:8" s="16" customFormat="1" ht="14" hidden="1">
      <c r="A14" s="843" t="s">
        <v>1055</v>
      </c>
      <c r="B14" s="842">
        <v>6</v>
      </c>
      <c r="C14" s="843" t="s">
        <v>667</v>
      </c>
      <c r="D14" s="843" t="s">
        <v>746</v>
      </c>
      <c r="E14" s="844">
        <v>-414.71</v>
      </c>
      <c r="F14" s="809"/>
      <c r="G14" s="809"/>
    </row>
    <row r="15" spans="1:8" s="16" customFormat="1" ht="14" hidden="1">
      <c r="A15" s="843" t="s">
        <v>1055</v>
      </c>
      <c r="B15" s="842">
        <v>6</v>
      </c>
      <c r="C15" s="843" t="s">
        <v>668</v>
      </c>
      <c r="D15" s="843" t="s">
        <v>747</v>
      </c>
      <c r="E15" s="844">
        <v>-255.58</v>
      </c>
      <c r="F15" s="809"/>
      <c r="G15" s="809"/>
    </row>
    <row r="16" spans="1:8" s="16" customFormat="1" ht="14" hidden="1">
      <c r="A16" s="843" t="s">
        <v>1055</v>
      </c>
      <c r="B16" s="842">
        <v>6</v>
      </c>
      <c r="C16" s="843" t="s">
        <v>669</v>
      </c>
      <c r="D16" s="843" t="s">
        <v>748</v>
      </c>
      <c r="E16" s="844">
        <v>-1708.68</v>
      </c>
      <c r="F16" s="809"/>
      <c r="G16" s="809"/>
    </row>
    <row r="17" spans="1:7" s="16" customFormat="1" ht="14" hidden="1">
      <c r="A17" s="843" t="s">
        <v>1055</v>
      </c>
      <c r="B17" s="842">
        <v>6</v>
      </c>
      <c r="C17" s="843" t="s">
        <v>749</v>
      </c>
      <c r="D17" s="843" t="s">
        <v>750</v>
      </c>
      <c r="E17" s="844">
        <v>-327.05</v>
      </c>
      <c r="F17" s="809"/>
      <c r="G17" s="809"/>
    </row>
    <row r="18" spans="1:7" s="16" customFormat="1" ht="14" hidden="1">
      <c r="A18" s="843" t="s">
        <v>1055</v>
      </c>
      <c r="B18" s="842">
        <v>6</v>
      </c>
      <c r="C18" s="843" t="s">
        <v>1008</v>
      </c>
      <c r="D18" s="843" t="s">
        <v>1009</v>
      </c>
      <c r="E18" s="844">
        <v>-824.49</v>
      </c>
      <c r="F18" s="809"/>
      <c r="G18" s="809"/>
    </row>
    <row r="19" spans="1:7" s="16" customFormat="1" ht="14" hidden="1">
      <c r="A19" s="843" t="s">
        <v>1055</v>
      </c>
      <c r="B19" s="842">
        <v>6</v>
      </c>
      <c r="C19" s="843" t="s">
        <v>670</v>
      </c>
      <c r="D19" s="843" t="s">
        <v>751</v>
      </c>
      <c r="E19" s="844">
        <v>-98.03</v>
      </c>
      <c r="F19" s="809"/>
      <c r="G19" s="809"/>
    </row>
    <row r="20" spans="1:7" s="16" customFormat="1" ht="14" hidden="1">
      <c r="A20" s="843" t="s">
        <v>1055</v>
      </c>
      <c r="B20" s="842">
        <v>6</v>
      </c>
      <c r="C20" s="843" t="s">
        <v>671</v>
      </c>
      <c r="D20" s="843" t="s">
        <v>752</v>
      </c>
      <c r="E20" s="844">
        <v>-41.6</v>
      </c>
      <c r="F20" s="809"/>
      <c r="G20" s="809"/>
    </row>
    <row r="21" spans="1:7" s="16" customFormat="1" ht="14" hidden="1">
      <c r="A21" s="843" t="s">
        <v>1055</v>
      </c>
      <c r="B21" s="842">
        <v>6</v>
      </c>
      <c r="C21" s="843" t="s">
        <v>672</v>
      </c>
      <c r="D21" s="843" t="s">
        <v>753</v>
      </c>
      <c r="E21" s="844">
        <v>-423.69</v>
      </c>
      <c r="F21" s="809"/>
      <c r="G21" s="809"/>
    </row>
    <row r="22" spans="1:7" s="16" customFormat="1" ht="14" hidden="1">
      <c r="A22" s="843" t="s">
        <v>1055</v>
      </c>
      <c r="B22" s="842">
        <v>6</v>
      </c>
      <c r="C22" s="843" t="s">
        <v>989</v>
      </c>
      <c r="D22" s="843" t="s">
        <v>990</v>
      </c>
      <c r="E22" s="844">
        <v>-6891.18</v>
      </c>
      <c r="F22" s="809"/>
      <c r="G22" s="809"/>
    </row>
    <row r="23" spans="1:7" s="16" customFormat="1" ht="14" hidden="1">
      <c r="A23" s="843" t="s">
        <v>1055</v>
      </c>
      <c r="B23" s="842">
        <v>6</v>
      </c>
      <c r="C23" s="843" t="s">
        <v>674</v>
      </c>
      <c r="D23" s="843" t="s">
        <v>755</v>
      </c>
      <c r="E23" s="844">
        <v>-4321.51</v>
      </c>
      <c r="F23" s="809"/>
      <c r="G23" s="809"/>
    </row>
    <row r="24" spans="1:7" s="16" customFormat="1" ht="14" hidden="1">
      <c r="A24" s="843" t="s">
        <v>1055</v>
      </c>
      <c r="B24" s="842">
        <v>6</v>
      </c>
      <c r="C24" s="843" t="s">
        <v>675</v>
      </c>
      <c r="D24" s="843" t="s">
        <v>756</v>
      </c>
      <c r="E24" s="844">
        <v>-91.43</v>
      </c>
      <c r="F24" s="809"/>
      <c r="G24" s="809"/>
    </row>
    <row r="25" spans="1:7" s="16" customFormat="1" ht="14" hidden="1">
      <c r="A25" s="843" t="s">
        <v>1055</v>
      </c>
      <c r="B25" s="842">
        <v>6</v>
      </c>
      <c r="C25" s="843" t="s">
        <v>676</v>
      </c>
      <c r="D25" s="843" t="s">
        <v>757</v>
      </c>
      <c r="E25" s="844">
        <v>-1308.9000000000001</v>
      </c>
      <c r="F25" s="809"/>
      <c r="G25" s="809"/>
    </row>
    <row r="26" spans="1:7" s="16" customFormat="1" ht="14" hidden="1">
      <c r="A26" s="843" t="s">
        <v>1055</v>
      </c>
      <c r="B26" s="842">
        <v>6</v>
      </c>
      <c r="C26" s="843" t="s">
        <v>677</v>
      </c>
      <c r="D26" s="843" t="s">
        <v>758</v>
      </c>
      <c r="E26" s="844">
        <v>-158.87</v>
      </c>
      <c r="F26" s="809"/>
      <c r="G26" s="809"/>
    </row>
    <row r="27" spans="1:7" s="16" customFormat="1" ht="14" hidden="1">
      <c r="A27" s="843" t="s">
        <v>1055</v>
      </c>
      <c r="B27" s="842">
        <v>6</v>
      </c>
      <c r="C27" s="843" t="s">
        <v>679</v>
      </c>
      <c r="D27" s="843" t="s">
        <v>760</v>
      </c>
      <c r="E27" s="844">
        <v>-17.45</v>
      </c>
      <c r="F27" s="809"/>
      <c r="G27" s="809"/>
    </row>
    <row r="28" spans="1:7" s="16" customFormat="1" ht="14" hidden="1">
      <c r="A28" s="843" t="s">
        <v>1055</v>
      </c>
      <c r="B28" s="842">
        <v>6</v>
      </c>
      <c r="C28" s="843" t="s">
        <v>680</v>
      </c>
      <c r="D28" s="843" t="s">
        <v>761</v>
      </c>
      <c r="E28" s="844">
        <v>-8.7200000000000006</v>
      </c>
      <c r="F28" s="809"/>
      <c r="G28" s="809"/>
    </row>
    <row r="29" spans="1:7" s="16" customFormat="1" ht="14" hidden="1">
      <c r="A29" s="843" t="s">
        <v>1055</v>
      </c>
      <c r="B29" s="842">
        <v>6</v>
      </c>
      <c r="C29" s="843" t="s">
        <v>681</v>
      </c>
      <c r="D29" s="843" t="s">
        <v>762</v>
      </c>
      <c r="E29" s="844">
        <v>-405.21</v>
      </c>
      <c r="F29" s="809"/>
      <c r="G29" s="809"/>
    </row>
    <row r="30" spans="1:7" s="16" customFormat="1" ht="14" hidden="1">
      <c r="A30" s="843" t="s">
        <v>1055</v>
      </c>
      <c r="B30" s="842">
        <v>6</v>
      </c>
      <c r="C30" s="843" t="s">
        <v>682</v>
      </c>
      <c r="D30" s="843" t="s">
        <v>763</v>
      </c>
      <c r="E30" s="844">
        <v>-20.38</v>
      </c>
      <c r="F30" s="809"/>
      <c r="G30" s="809"/>
    </row>
    <row r="31" spans="1:7" s="16" customFormat="1" ht="14" hidden="1">
      <c r="A31" s="843" t="s">
        <v>1055</v>
      </c>
      <c r="B31" s="842">
        <v>6</v>
      </c>
      <c r="C31" s="843" t="s">
        <v>683</v>
      </c>
      <c r="D31" s="843" t="s">
        <v>764</v>
      </c>
      <c r="E31" s="844">
        <v>-3782.59</v>
      </c>
      <c r="F31" s="809"/>
      <c r="G31" s="809"/>
    </row>
    <row r="32" spans="1:7" s="16" customFormat="1" ht="14" hidden="1">
      <c r="A32" s="843" t="s">
        <v>1055</v>
      </c>
      <c r="B32" s="842">
        <v>6</v>
      </c>
      <c r="C32" s="843" t="s">
        <v>684</v>
      </c>
      <c r="D32" s="843" t="s">
        <v>765</v>
      </c>
      <c r="E32" s="844">
        <v>-671.55</v>
      </c>
      <c r="F32" s="809"/>
      <c r="G32" s="809"/>
    </row>
    <row r="33" spans="1:7" s="16" customFormat="1" ht="14" hidden="1">
      <c r="A33" s="843" t="s">
        <v>1055</v>
      </c>
      <c r="B33" s="842">
        <v>6</v>
      </c>
      <c r="C33" s="843" t="s">
        <v>685</v>
      </c>
      <c r="D33" s="843" t="s">
        <v>766</v>
      </c>
      <c r="E33" s="844">
        <v>-1971.42</v>
      </c>
      <c r="F33" s="809"/>
      <c r="G33" s="809"/>
    </row>
    <row r="34" spans="1:7" s="16" customFormat="1" ht="14" hidden="1">
      <c r="A34" s="843" t="s">
        <v>1055</v>
      </c>
      <c r="B34" s="842">
        <v>6</v>
      </c>
      <c r="C34" s="843" t="s">
        <v>686</v>
      </c>
      <c r="D34" s="843" t="s">
        <v>767</v>
      </c>
      <c r="E34" s="844">
        <v>-116.94</v>
      </c>
      <c r="F34" s="809"/>
      <c r="G34" s="809"/>
    </row>
    <row r="35" spans="1:7" s="16" customFormat="1" ht="14" hidden="1">
      <c r="A35" s="843" t="s">
        <v>1055</v>
      </c>
      <c r="B35" s="842">
        <v>6</v>
      </c>
      <c r="C35" s="843" t="s">
        <v>687</v>
      </c>
      <c r="D35" s="843" t="s">
        <v>768</v>
      </c>
      <c r="E35" s="844">
        <v>-109.4</v>
      </c>
      <c r="F35" s="809"/>
      <c r="G35" s="809"/>
    </row>
    <row r="36" spans="1:7" s="16" customFormat="1" ht="14" hidden="1">
      <c r="A36" s="843" t="s">
        <v>1055</v>
      </c>
      <c r="B36" s="842">
        <v>6</v>
      </c>
      <c r="C36" s="843" t="s">
        <v>688</v>
      </c>
      <c r="D36" s="843" t="s">
        <v>769</v>
      </c>
      <c r="E36" s="844">
        <v>-3871.86</v>
      </c>
      <c r="F36" s="809"/>
      <c r="G36" s="809"/>
    </row>
    <row r="37" spans="1:7" s="16" customFormat="1" ht="14" hidden="1">
      <c r="A37" s="843" t="s">
        <v>1055</v>
      </c>
      <c r="B37" s="842">
        <v>6</v>
      </c>
      <c r="C37" s="843" t="s">
        <v>690</v>
      </c>
      <c r="D37" s="843" t="s">
        <v>771</v>
      </c>
      <c r="E37" s="844">
        <v>-262.12</v>
      </c>
      <c r="F37" s="809"/>
      <c r="G37" s="809"/>
    </row>
    <row r="38" spans="1:7" s="16" customFormat="1" ht="14" hidden="1">
      <c r="A38" s="843" t="s">
        <v>1055</v>
      </c>
      <c r="B38" s="842">
        <v>6</v>
      </c>
      <c r="C38" s="843" t="s">
        <v>692</v>
      </c>
      <c r="D38" s="843" t="s">
        <v>773</v>
      </c>
      <c r="E38" s="844">
        <v>-3437.52</v>
      </c>
      <c r="F38" s="809"/>
      <c r="G38" s="809"/>
    </row>
    <row r="39" spans="1:7" s="16" customFormat="1" ht="14" hidden="1">
      <c r="A39" s="843" t="s">
        <v>1055</v>
      </c>
      <c r="B39" s="842">
        <v>6</v>
      </c>
      <c r="C39" s="843" t="s">
        <v>693</v>
      </c>
      <c r="D39" s="843" t="s">
        <v>774</v>
      </c>
      <c r="E39" s="844">
        <v>-510.83</v>
      </c>
      <c r="F39" s="809"/>
      <c r="G39" s="809"/>
    </row>
    <row r="40" spans="1:7" s="16" customFormat="1" ht="14" hidden="1">
      <c r="A40" s="843" t="s">
        <v>1055</v>
      </c>
      <c r="B40" s="842">
        <v>6</v>
      </c>
      <c r="C40" s="843" t="s">
        <v>694</v>
      </c>
      <c r="D40" s="843" t="s">
        <v>775</v>
      </c>
      <c r="E40" s="844">
        <v>-70.78</v>
      </c>
      <c r="F40" s="809"/>
      <c r="G40" s="809"/>
    </row>
    <row r="41" spans="1:7" s="16" customFormat="1" ht="14" hidden="1">
      <c r="A41" s="843" t="s">
        <v>1055</v>
      </c>
      <c r="B41" s="842">
        <v>6</v>
      </c>
      <c r="C41" s="843" t="s">
        <v>696</v>
      </c>
      <c r="D41" s="843" t="s">
        <v>777</v>
      </c>
      <c r="E41" s="844">
        <v>-11723.56</v>
      </c>
      <c r="F41" s="809"/>
      <c r="G41" s="809"/>
    </row>
    <row r="42" spans="1:7" s="16" customFormat="1" ht="14" hidden="1">
      <c r="A42" s="843" t="s">
        <v>1055</v>
      </c>
      <c r="B42" s="842">
        <v>6</v>
      </c>
      <c r="C42" s="843" t="s">
        <v>697</v>
      </c>
      <c r="D42" s="843" t="s">
        <v>778</v>
      </c>
      <c r="E42" s="844">
        <v>-598.97</v>
      </c>
      <c r="F42" s="809"/>
      <c r="G42" s="809"/>
    </row>
    <row r="43" spans="1:7" s="16" customFormat="1" ht="14" hidden="1">
      <c r="A43" s="843" t="s">
        <v>1055</v>
      </c>
      <c r="B43" s="842">
        <v>6</v>
      </c>
      <c r="C43" s="843" t="s">
        <v>698</v>
      </c>
      <c r="D43" s="843" t="s">
        <v>779</v>
      </c>
      <c r="E43" s="844">
        <v>-32.6</v>
      </c>
      <c r="F43" s="809"/>
      <c r="G43" s="809"/>
    </row>
    <row r="44" spans="1:7" s="16" customFormat="1" ht="14" hidden="1">
      <c r="A44" s="843" t="s">
        <v>1055</v>
      </c>
      <c r="B44" s="842">
        <v>6</v>
      </c>
      <c r="C44" s="843" t="s">
        <v>699</v>
      </c>
      <c r="D44" s="843" t="s">
        <v>780</v>
      </c>
      <c r="E44" s="844">
        <v>-5001.04</v>
      </c>
      <c r="F44" s="809"/>
      <c r="G44" s="809"/>
    </row>
    <row r="45" spans="1:7" s="16" customFormat="1" ht="14" hidden="1">
      <c r="A45" s="843" t="s">
        <v>1055</v>
      </c>
      <c r="B45" s="842">
        <v>6</v>
      </c>
      <c r="C45" s="843" t="s">
        <v>700</v>
      </c>
      <c r="D45" s="843" t="s">
        <v>781</v>
      </c>
      <c r="E45" s="844">
        <v>-17.170000000000002</v>
      </c>
      <c r="F45" s="809"/>
      <c r="G45" s="809"/>
    </row>
    <row r="46" spans="1:7" s="16" customFormat="1" ht="14" hidden="1">
      <c r="A46" s="843" t="s">
        <v>1055</v>
      </c>
      <c r="B46" s="842">
        <v>6</v>
      </c>
      <c r="C46" s="843" t="s">
        <v>701</v>
      </c>
      <c r="D46" s="843" t="s">
        <v>782</v>
      </c>
      <c r="E46" s="844">
        <v>-6.17</v>
      </c>
      <c r="F46" s="809"/>
      <c r="G46" s="809"/>
    </row>
    <row r="47" spans="1:7" s="16" customFormat="1" ht="14" hidden="1">
      <c r="A47" s="843" t="s">
        <v>1055</v>
      </c>
      <c r="B47" s="842">
        <v>6</v>
      </c>
      <c r="C47" s="843" t="s">
        <v>702</v>
      </c>
      <c r="D47" s="843" t="s">
        <v>783</v>
      </c>
      <c r="E47" s="844">
        <v>-9.1300000000000008</v>
      </c>
      <c r="F47" s="809"/>
      <c r="G47" s="809"/>
    </row>
    <row r="48" spans="1:7" s="16" customFormat="1" ht="14" hidden="1">
      <c r="A48" s="843" t="s">
        <v>1055</v>
      </c>
      <c r="B48" s="842">
        <v>6</v>
      </c>
      <c r="C48" s="843" t="s">
        <v>703</v>
      </c>
      <c r="D48" s="843" t="s">
        <v>784</v>
      </c>
      <c r="E48" s="844">
        <v>-28.02</v>
      </c>
      <c r="F48" s="809"/>
      <c r="G48" s="809"/>
    </row>
    <row r="49" spans="1:8" s="16" customFormat="1" ht="14" hidden="1">
      <c r="A49" s="843" t="s">
        <v>1055</v>
      </c>
      <c r="B49" s="842">
        <v>6</v>
      </c>
      <c r="C49" s="843" t="s">
        <v>704</v>
      </c>
      <c r="D49" s="843" t="s">
        <v>785</v>
      </c>
      <c r="E49" s="844">
        <v>-498.91</v>
      </c>
      <c r="F49" s="809"/>
      <c r="G49" s="809"/>
    </row>
    <row r="50" spans="1:8" s="16" customFormat="1" ht="14" hidden="1">
      <c r="A50" s="843" t="s">
        <v>1055</v>
      </c>
      <c r="B50" s="842">
        <v>6</v>
      </c>
      <c r="C50" s="843" t="s">
        <v>705</v>
      </c>
      <c r="D50" s="843" t="s">
        <v>786</v>
      </c>
      <c r="E50" s="844">
        <v>-44.95</v>
      </c>
      <c r="F50" s="809"/>
      <c r="G50" s="809"/>
    </row>
    <row r="51" spans="1:8" s="16" customFormat="1" ht="14" hidden="1">
      <c r="A51" s="843" t="s">
        <v>1055</v>
      </c>
      <c r="B51" s="842">
        <v>6</v>
      </c>
      <c r="C51" s="843" t="s">
        <v>706</v>
      </c>
      <c r="D51" s="843" t="s">
        <v>787</v>
      </c>
      <c r="E51" s="844">
        <v>-29.01</v>
      </c>
      <c r="F51" s="809"/>
      <c r="G51" s="809"/>
    </row>
    <row r="52" spans="1:8" s="16" customFormat="1" ht="14" hidden="1">
      <c r="A52" s="843" t="s">
        <v>1055</v>
      </c>
      <c r="B52" s="842">
        <v>6</v>
      </c>
      <c r="C52" s="843" t="s">
        <v>708</v>
      </c>
      <c r="D52" s="843" t="s">
        <v>789</v>
      </c>
      <c r="E52" s="844">
        <v>-4048.32</v>
      </c>
      <c r="F52" s="809"/>
      <c r="G52" s="809"/>
    </row>
    <row r="53" spans="1:8" s="16" customFormat="1" ht="14" hidden="1">
      <c r="A53" s="843" t="s">
        <v>1055</v>
      </c>
      <c r="B53" s="842">
        <v>6</v>
      </c>
      <c r="C53" s="843" t="s">
        <v>709</v>
      </c>
      <c r="D53" s="843" t="s">
        <v>790</v>
      </c>
      <c r="E53" s="844">
        <v>-123.21</v>
      </c>
      <c r="F53" s="809"/>
      <c r="G53" s="809"/>
    </row>
    <row r="54" spans="1:8" s="16" customFormat="1" ht="14" hidden="1">
      <c r="A54" s="843" t="s">
        <v>1055</v>
      </c>
      <c r="B54" s="842">
        <v>6</v>
      </c>
      <c r="C54" s="843" t="s">
        <v>710</v>
      </c>
      <c r="D54" s="843" t="s">
        <v>791</v>
      </c>
      <c r="E54" s="844">
        <v>-23229.55</v>
      </c>
      <c r="F54" s="809"/>
      <c r="G54" s="809"/>
    </row>
    <row r="55" spans="1:8" s="16" customFormat="1" ht="14" hidden="1">
      <c r="A55" s="843" t="s">
        <v>1055</v>
      </c>
      <c r="B55" s="842">
        <v>6</v>
      </c>
      <c r="C55" s="843" t="s">
        <v>711</v>
      </c>
      <c r="D55" s="843" t="s">
        <v>792</v>
      </c>
      <c r="E55" s="844">
        <v>-16.47</v>
      </c>
      <c r="F55" s="809"/>
      <c r="G55" s="809"/>
    </row>
    <row r="56" spans="1:8" s="16" customFormat="1" ht="14" hidden="1">
      <c r="A56" s="843" t="s">
        <v>1055</v>
      </c>
      <c r="B56" s="842">
        <v>6</v>
      </c>
      <c r="C56" s="843" t="s">
        <v>713</v>
      </c>
      <c r="D56" s="843" t="s">
        <v>794</v>
      </c>
      <c r="E56" s="844">
        <v>-128.72999999999999</v>
      </c>
      <c r="F56" s="809"/>
      <c r="G56" s="809"/>
    </row>
    <row r="57" spans="1:8" s="16" customFormat="1" ht="14" hidden="1">
      <c r="A57" s="843" t="s">
        <v>1055</v>
      </c>
      <c r="B57" s="842">
        <v>6</v>
      </c>
      <c r="C57" s="843" t="s">
        <v>715</v>
      </c>
      <c r="D57" s="843" t="s">
        <v>796</v>
      </c>
      <c r="E57" s="844">
        <v>-136.86000000000001</v>
      </c>
      <c r="F57" s="809"/>
      <c r="G57" s="809"/>
    </row>
    <row r="58" spans="1:8" s="16" customFormat="1" ht="14" hidden="1">
      <c r="A58" s="843" t="s">
        <v>1055</v>
      </c>
      <c r="B58" s="842">
        <v>6</v>
      </c>
      <c r="C58" s="843" t="s">
        <v>1025</v>
      </c>
      <c r="D58" s="843" t="s">
        <v>1026</v>
      </c>
      <c r="E58" s="844">
        <v>-100.45</v>
      </c>
      <c r="F58" s="809"/>
      <c r="G58" s="809"/>
    </row>
    <row r="59" spans="1:8" s="16" customFormat="1" ht="14">
      <c r="A59" s="843" t="s">
        <v>1055</v>
      </c>
      <c r="B59" s="842">
        <v>6</v>
      </c>
      <c r="C59" s="843" t="s">
        <v>818</v>
      </c>
      <c r="D59" s="843" t="s">
        <v>821</v>
      </c>
      <c r="E59" s="844">
        <v>-346.68</v>
      </c>
      <c r="F59" s="809"/>
      <c r="G59" s="809"/>
    </row>
    <row r="60" spans="1:8" s="16" customFormat="1" ht="14">
      <c r="A60" s="843" t="s">
        <v>1055</v>
      </c>
      <c r="B60" s="842">
        <v>6</v>
      </c>
      <c r="C60" s="843" t="s">
        <v>716</v>
      </c>
      <c r="D60" s="843" t="s">
        <v>797</v>
      </c>
      <c r="E60" s="844">
        <v>-340.72</v>
      </c>
      <c r="F60" s="809"/>
      <c r="G60" s="809"/>
    </row>
    <row r="61" spans="1:8" s="16" customFormat="1" ht="14">
      <c r="A61" s="843" t="s">
        <v>1055</v>
      </c>
      <c r="B61" s="842">
        <v>6</v>
      </c>
      <c r="C61" s="843" t="s">
        <v>1079</v>
      </c>
      <c r="D61" s="843" t="s">
        <v>1115</v>
      </c>
      <c r="E61" s="844">
        <v>-1642.96</v>
      </c>
      <c r="F61" s="809"/>
      <c r="G61" s="809"/>
    </row>
    <row r="62" spans="1:8" s="16" customFormat="1" ht="14">
      <c r="A62" s="843" t="s">
        <v>1055</v>
      </c>
      <c r="B62" s="842">
        <v>6</v>
      </c>
      <c r="C62" s="843" t="s">
        <v>717</v>
      </c>
      <c r="D62" s="843" t="s">
        <v>798</v>
      </c>
      <c r="E62" s="844">
        <v>-73.06</v>
      </c>
      <c r="F62" s="809"/>
      <c r="G62" s="809"/>
    </row>
    <row r="63" spans="1:8" s="16" customFormat="1" ht="14">
      <c r="A63" s="843" t="s">
        <v>1055</v>
      </c>
      <c r="B63" s="842">
        <v>6</v>
      </c>
      <c r="C63" s="843" t="s">
        <v>718</v>
      </c>
      <c r="D63" s="843" t="s">
        <v>799</v>
      </c>
      <c r="E63" s="844">
        <v>-7563.07</v>
      </c>
      <c r="F63" s="809"/>
      <c r="G63" s="809"/>
      <c r="H63" s="38"/>
    </row>
    <row r="64" spans="1:8" s="16" customFormat="1" ht="14">
      <c r="A64" s="843" t="s">
        <v>1055</v>
      </c>
      <c r="B64" s="842">
        <v>6</v>
      </c>
      <c r="C64" s="843" t="s">
        <v>890</v>
      </c>
      <c r="D64" s="843" t="s">
        <v>912</v>
      </c>
      <c r="E64" s="844">
        <v>-30299.37</v>
      </c>
      <c r="F64" s="809"/>
      <c r="G64" s="809"/>
    </row>
    <row r="65" spans="1:7" s="16" customFormat="1" ht="14">
      <c r="A65" s="843" t="s">
        <v>1055</v>
      </c>
      <c r="B65" s="842">
        <v>6</v>
      </c>
      <c r="C65" s="843" t="s">
        <v>719</v>
      </c>
      <c r="D65" s="843" t="s">
        <v>800</v>
      </c>
      <c r="E65" s="844">
        <v>-3649.71</v>
      </c>
      <c r="F65" s="809"/>
      <c r="G65" s="809"/>
    </row>
    <row r="66" spans="1:7" s="16" customFormat="1" ht="14">
      <c r="A66" s="843" t="s">
        <v>1055</v>
      </c>
      <c r="B66" s="842">
        <v>6</v>
      </c>
      <c r="C66" s="843" t="s">
        <v>1090</v>
      </c>
      <c r="D66" s="843" t="s">
        <v>1091</v>
      </c>
      <c r="E66" s="844">
        <v>-3527</v>
      </c>
      <c r="F66" s="809"/>
      <c r="G66" s="809"/>
    </row>
    <row r="67" spans="1:7" s="16" customFormat="1" ht="14">
      <c r="A67" s="843" t="s">
        <v>1055</v>
      </c>
      <c r="B67" s="842">
        <v>6</v>
      </c>
      <c r="C67" s="843" t="s">
        <v>1111</v>
      </c>
      <c r="D67" s="843" t="s">
        <v>1112</v>
      </c>
      <c r="E67" s="844">
        <v>-35.700000000000003</v>
      </c>
      <c r="F67" s="809"/>
      <c r="G67" s="809"/>
    </row>
    <row r="68" spans="1:7" s="16" customFormat="1" ht="14">
      <c r="A68" s="843" t="s">
        <v>1055</v>
      </c>
      <c r="B68" s="842">
        <v>6</v>
      </c>
      <c r="C68" s="843" t="s">
        <v>962</v>
      </c>
      <c r="D68" s="843" t="s">
        <v>963</v>
      </c>
      <c r="E68" s="844">
        <v>-21.87</v>
      </c>
      <c r="F68" s="809"/>
      <c r="G68" s="809"/>
    </row>
    <row r="69" spans="1:7" s="16" customFormat="1" ht="14">
      <c r="A69" s="843" t="s">
        <v>1055</v>
      </c>
      <c r="B69" s="842">
        <v>6</v>
      </c>
      <c r="C69" s="843" t="s">
        <v>819</v>
      </c>
      <c r="D69" s="843" t="s">
        <v>822</v>
      </c>
      <c r="E69" s="844">
        <v>-47045.36</v>
      </c>
      <c r="F69" s="809"/>
      <c r="G69" s="809"/>
    </row>
    <row r="70" spans="1:7" s="16" customFormat="1" ht="14">
      <c r="A70" s="843" t="s">
        <v>1055</v>
      </c>
      <c r="B70" s="842">
        <v>6</v>
      </c>
      <c r="C70" s="843" t="s">
        <v>891</v>
      </c>
      <c r="D70" s="843" t="s">
        <v>913</v>
      </c>
      <c r="E70" s="844">
        <v>-11617.05</v>
      </c>
      <c r="F70" s="809"/>
      <c r="G70" s="809"/>
    </row>
    <row r="71" spans="1:7" s="16" customFormat="1" ht="14" hidden="1">
      <c r="A71" s="843" t="s">
        <v>1055</v>
      </c>
      <c r="B71" s="842">
        <v>6</v>
      </c>
      <c r="C71" s="843" t="s">
        <v>892</v>
      </c>
      <c r="D71" s="843" t="s">
        <v>914</v>
      </c>
      <c r="E71" s="844">
        <v>-6105.66</v>
      </c>
      <c r="F71" s="809"/>
      <c r="G71" s="809"/>
    </row>
    <row r="72" spans="1:7" s="16" customFormat="1" ht="14">
      <c r="A72" s="843" t="s">
        <v>1055</v>
      </c>
      <c r="B72" s="842">
        <v>6</v>
      </c>
      <c r="C72" s="843" t="s">
        <v>941</v>
      </c>
      <c r="D72" s="843" t="s">
        <v>942</v>
      </c>
      <c r="E72" s="844">
        <v>-870.85</v>
      </c>
      <c r="F72" s="809"/>
      <c r="G72" s="809"/>
    </row>
    <row r="73" spans="1:7" s="16" customFormat="1" ht="14">
      <c r="A73" s="843" t="s">
        <v>1055</v>
      </c>
      <c r="B73" s="842">
        <v>6</v>
      </c>
      <c r="C73" s="843" t="s">
        <v>1068</v>
      </c>
      <c r="D73" s="843" t="s">
        <v>1069</v>
      </c>
      <c r="E73" s="844">
        <v>-117.69</v>
      </c>
      <c r="F73" s="809"/>
      <c r="G73" s="809"/>
    </row>
    <row r="74" spans="1:7" s="16" customFormat="1" ht="14">
      <c r="A74" s="843" t="s">
        <v>1055</v>
      </c>
      <c r="B74" s="842">
        <v>6</v>
      </c>
      <c r="C74" s="843" t="s">
        <v>893</v>
      </c>
      <c r="D74" s="843" t="s">
        <v>915</v>
      </c>
      <c r="E74" s="844">
        <v>-356.23</v>
      </c>
      <c r="F74" s="809"/>
      <c r="G74" s="809"/>
    </row>
    <row r="75" spans="1:7" s="16" customFormat="1" ht="14">
      <c r="A75" s="843" t="s">
        <v>1055</v>
      </c>
      <c r="B75" s="842">
        <v>6</v>
      </c>
      <c r="C75" s="843" t="s">
        <v>894</v>
      </c>
      <c r="D75" s="843" t="s">
        <v>916</v>
      </c>
      <c r="E75" s="844">
        <v>-3041.51</v>
      </c>
      <c r="F75" s="809"/>
      <c r="G75" s="809"/>
    </row>
    <row r="76" spans="1:7" s="16" customFormat="1" ht="14">
      <c r="A76" s="843" t="s">
        <v>1055</v>
      </c>
      <c r="B76" s="842">
        <v>6</v>
      </c>
      <c r="C76" s="843" t="s">
        <v>964</v>
      </c>
      <c r="D76" s="843" t="s">
        <v>965</v>
      </c>
      <c r="E76" s="844">
        <v>-2062.3200000000002</v>
      </c>
      <c r="F76" s="809"/>
      <c r="G76" s="809"/>
    </row>
    <row r="77" spans="1:7" s="16" customFormat="1" ht="14">
      <c r="A77" s="843" t="s">
        <v>1055</v>
      </c>
      <c r="B77" s="842">
        <v>6</v>
      </c>
      <c r="C77" s="843" t="s">
        <v>895</v>
      </c>
      <c r="D77" s="843" t="s">
        <v>917</v>
      </c>
      <c r="E77" s="844">
        <v>-259.81</v>
      </c>
      <c r="F77" s="809"/>
      <c r="G77" s="809"/>
    </row>
    <row r="78" spans="1:7" s="16" customFormat="1" ht="14">
      <c r="A78" s="843" t="s">
        <v>1055</v>
      </c>
      <c r="B78" s="842">
        <v>6</v>
      </c>
      <c r="C78" s="843" t="s">
        <v>905</v>
      </c>
      <c r="D78" s="843" t="s">
        <v>918</v>
      </c>
      <c r="E78" s="844">
        <v>-8865.5</v>
      </c>
      <c r="F78" s="809"/>
      <c r="G78" s="809"/>
    </row>
    <row r="79" spans="1:7" s="16" customFormat="1" ht="14">
      <c r="A79" s="843" t="s">
        <v>1055</v>
      </c>
      <c r="B79" s="842">
        <v>6</v>
      </c>
      <c r="C79" s="843" t="s">
        <v>1056</v>
      </c>
      <c r="D79" s="843" t="s">
        <v>1057</v>
      </c>
      <c r="E79" s="844">
        <v>-8447.83</v>
      </c>
      <c r="F79" s="809"/>
      <c r="G79" s="809"/>
    </row>
    <row r="80" spans="1:7" s="16" customFormat="1" ht="14">
      <c r="A80" s="843" t="s">
        <v>1055</v>
      </c>
      <c r="B80" s="842">
        <v>6</v>
      </c>
      <c r="C80" s="843" t="s">
        <v>979</v>
      </c>
      <c r="D80" s="843" t="s">
        <v>980</v>
      </c>
      <c r="E80" s="844">
        <v>-219.35</v>
      </c>
      <c r="F80" s="809"/>
      <c r="G80" s="809"/>
    </row>
    <row r="81" spans="1:7" s="16" customFormat="1" ht="14">
      <c r="A81" s="843" t="s">
        <v>1055</v>
      </c>
      <c r="B81" s="842">
        <v>6</v>
      </c>
      <c r="C81" s="843" t="s">
        <v>1010</v>
      </c>
      <c r="D81" s="843" t="s">
        <v>1011</v>
      </c>
      <c r="E81" s="844">
        <v>-126.19</v>
      </c>
      <c r="F81" s="809"/>
      <c r="G81" s="809"/>
    </row>
    <row r="82" spans="1:7" s="16" customFormat="1" ht="14">
      <c r="A82" s="843" t="s">
        <v>1055</v>
      </c>
      <c r="B82" s="842">
        <v>6</v>
      </c>
      <c r="C82" s="843" t="s">
        <v>1080</v>
      </c>
      <c r="D82" s="843" t="s">
        <v>1081</v>
      </c>
      <c r="E82" s="844">
        <v>-41.7</v>
      </c>
      <c r="F82" s="809"/>
      <c r="G82" s="809"/>
    </row>
    <row r="83" spans="1:7" s="16" customFormat="1" ht="14">
      <c r="A83" s="843" t="s">
        <v>1055</v>
      </c>
      <c r="B83" s="842">
        <v>6</v>
      </c>
      <c r="C83" s="843" t="s">
        <v>1092</v>
      </c>
      <c r="D83" s="843" t="s">
        <v>1093</v>
      </c>
      <c r="E83" s="844">
        <v>-13122.51</v>
      </c>
      <c r="F83" s="809"/>
      <c r="G83" s="809"/>
    </row>
    <row r="84" spans="1:7" s="16" customFormat="1" ht="14">
      <c r="A84" s="843" t="s">
        <v>1055</v>
      </c>
      <c r="B84" s="842">
        <v>6</v>
      </c>
      <c r="C84" s="843" t="s">
        <v>1100</v>
      </c>
      <c r="D84" s="843" t="s">
        <v>1101</v>
      </c>
      <c r="E84" s="844">
        <v>-14649.92</v>
      </c>
      <c r="F84" s="809"/>
      <c r="G84" s="809"/>
    </row>
    <row r="85" spans="1:7" s="16" customFormat="1" ht="14">
      <c r="A85" s="843" t="s">
        <v>1055</v>
      </c>
      <c r="B85" s="842">
        <v>6</v>
      </c>
      <c r="C85" s="843" t="s">
        <v>720</v>
      </c>
      <c r="D85" s="843" t="s">
        <v>721</v>
      </c>
      <c r="E85" s="844">
        <v>-5000</v>
      </c>
      <c r="F85" s="809"/>
      <c r="G85" s="809"/>
    </row>
    <row r="86" spans="1:7" ht="14">
      <c r="A86" s="843" t="s">
        <v>1055</v>
      </c>
      <c r="B86" s="842">
        <v>6</v>
      </c>
      <c r="C86" s="843" t="s">
        <v>722</v>
      </c>
      <c r="D86" s="843" t="s">
        <v>723</v>
      </c>
      <c r="E86" s="844">
        <v>-67780</v>
      </c>
      <c r="F86" s="809"/>
      <c r="G86" s="809"/>
    </row>
    <row r="87" spans="1:7" ht="14">
      <c r="A87" s="843" t="s">
        <v>1055</v>
      </c>
      <c r="B87" s="842">
        <v>6</v>
      </c>
      <c r="C87" s="843" t="s">
        <v>602</v>
      </c>
      <c r="D87" s="843" t="s">
        <v>724</v>
      </c>
      <c r="E87" s="844">
        <v>-583829.92000000004</v>
      </c>
      <c r="F87" s="809"/>
      <c r="G87" s="809"/>
    </row>
    <row r="88" spans="1:7" ht="14">
      <c r="A88" s="843" t="s">
        <v>1055</v>
      </c>
      <c r="B88" s="842">
        <v>6</v>
      </c>
      <c r="C88" s="843" t="s">
        <v>725</v>
      </c>
      <c r="D88" s="843" t="s">
        <v>726</v>
      </c>
      <c r="E88" s="844">
        <v>2140000</v>
      </c>
      <c r="F88" s="809"/>
      <c r="G88" s="809"/>
    </row>
    <row r="89" spans="1:7" ht="14">
      <c r="A89" s="843" t="s">
        <v>1055</v>
      </c>
      <c r="B89" s="842">
        <v>6</v>
      </c>
      <c r="C89" s="843" t="s">
        <v>727</v>
      </c>
      <c r="D89" s="843" t="s">
        <v>728</v>
      </c>
      <c r="E89" s="844">
        <v>-47000</v>
      </c>
      <c r="F89" s="809"/>
      <c r="G89" s="809"/>
    </row>
    <row r="90" spans="1:7" ht="14">
      <c r="A90" s="843" t="s">
        <v>1055</v>
      </c>
      <c r="B90" s="842">
        <v>6</v>
      </c>
      <c r="C90" s="843" t="s">
        <v>729</v>
      </c>
      <c r="D90" s="843" t="s">
        <v>730</v>
      </c>
      <c r="E90" s="844">
        <v>-96.88</v>
      </c>
      <c r="F90" s="809"/>
      <c r="G90" s="809"/>
    </row>
    <row r="91" spans="1:7" ht="14">
      <c r="A91" s="843" t="s">
        <v>1055</v>
      </c>
      <c r="B91" s="842">
        <v>6</v>
      </c>
      <c r="C91" s="843" t="s">
        <v>731</v>
      </c>
      <c r="D91" s="843" t="s">
        <v>732</v>
      </c>
      <c r="E91" s="844">
        <v>-4693124.09</v>
      </c>
      <c r="F91" s="809"/>
      <c r="G91" s="809"/>
    </row>
    <row r="92" spans="1:7" ht="14">
      <c r="A92" s="843" t="s">
        <v>1055</v>
      </c>
      <c r="B92" s="842">
        <v>6</v>
      </c>
      <c r="C92" s="843" t="s">
        <v>733</v>
      </c>
      <c r="D92" s="843" t="s">
        <v>734</v>
      </c>
      <c r="E92" s="844">
        <v>-37334</v>
      </c>
      <c r="F92" s="809"/>
      <c r="G92" s="809"/>
    </row>
    <row r="93" spans="1:7" ht="14">
      <c r="A93" s="843" t="s">
        <v>1055</v>
      </c>
      <c r="B93" s="842">
        <v>6</v>
      </c>
      <c r="C93" s="843" t="s">
        <v>1195</v>
      </c>
      <c r="D93" s="843" t="s">
        <v>1196</v>
      </c>
      <c r="E93" s="844">
        <v>-152046</v>
      </c>
      <c r="F93" s="809"/>
      <c r="G93" s="809"/>
    </row>
    <row r="94" spans="1:7" ht="14">
      <c r="A94" s="843" t="s">
        <v>1055</v>
      </c>
      <c r="B94" s="842">
        <v>6</v>
      </c>
      <c r="C94" s="843" t="s">
        <v>735</v>
      </c>
      <c r="D94" s="843" t="s">
        <v>801</v>
      </c>
      <c r="E94" s="844">
        <v>-16327.18</v>
      </c>
      <c r="F94" s="809"/>
      <c r="G94" s="809"/>
    </row>
    <row r="95" spans="1:7" ht="14">
      <c r="A95" s="843" t="s">
        <v>1055</v>
      </c>
      <c r="B95" s="842">
        <v>6</v>
      </c>
      <c r="C95" s="843" t="s">
        <v>1116</v>
      </c>
      <c r="D95" s="843" t="s">
        <v>1117</v>
      </c>
      <c r="E95" s="844">
        <v>-2642.84</v>
      </c>
      <c r="F95" s="809"/>
      <c r="G95" s="809"/>
    </row>
    <row r="96" spans="1:7" ht="14">
      <c r="A96" s="843" t="s">
        <v>1055</v>
      </c>
      <c r="B96" s="842">
        <v>6</v>
      </c>
      <c r="C96" s="843" t="s">
        <v>1102</v>
      </c>
      <c r="D96" s="843" t="s">
        <v>1103</v>
      </c>
      <c r="E96" s="844">
        <v>5956</v>
      </c>
      <c r="F96" s="809"/>
      <c r="G96" s="809"/>
    </row>
    <row r="97" spans="1:7" ht="14">
      <c r="A97" s="843" t="s">
        <v>1055</v>
      </c>
      <c r="B97" s="842">
        <v>6</v>
      </c>
      <c r="C97" s="843" t="s">
        <v>943</v>
      </c>
      <c r="D97" s="843" t="s">
        <v>944</v>
      </c>
      <c r="E97" s="844">
        <v>-23385.86</v>
      </c>
      <c r="F97" s="809"/>
      <c r="G97" s="809"/>
    </row>
    <row r="98" spans="1:7" ht="14">
      <c r="A98" s="843" t="s">
        <v>1055</v>
      </c>
      <c r="B98" s="842">
        <v>6</v>
      </c>
      <c r="C98" s="843" t="s">
        <v>1118</v>
      </c>
      <c r="D98" s="843" t="s">
        <v>1119</v>
      </c>
      <c r="E98" s="844">
        <v>3549.36</v>
      </c>
      <c r="F98" s="809"/>
      <c r="G98" s="809"/>
    </row>
    <row r="99" spans="1:7" ht="14">
      <c r="A99" s="843" t="s">
        <v>1055</v>
      </c>
      <c r="B99" s="842">
        <v>6</v>
      </c>
      <c r="C99" s="843" t="s">
        <v>1120</v>
      </c>
      <c r="D99" s="843" t="s">
        <v>1121</v>
      </c>
      <c r="E99" s="844">
        <v>14.44</v>
      </c>
      <c r="F99" s="809"/>
      <c r="G99" s="809"/>
    </row>
    <row r="100" spans="1:7" ht="14">
      <c r="A100" s="843" t="s">
        <v>1055</v>
      </c>
      <c r="B100" s="842">
        <v>6</v>
      </c>
      <c r="C100" s="843" t="s">
        <v>1122</v>
      </c>
      <c r="D100" s="843" t="s">
        <v>1123</v>
      </c>
      <c r="E100" s="844">
        <v>46.21</v>
      </c>
      <c r="F100" s="809"/>
      <c r="G100" s="809"/>
    </row>
    <row r="101" spans="1:7" ht="14">
      <c r="A101" s="843" t="s">
        <v>1055</v>
      </c>
      <c r="B101" s="842">
        <v>6</v>
      </c>
      <c r="C101" s="843" t="s">
        <v>1124</v>
      </c>
      <c r="D101" s="843" t="s">
        <v>1125</v>
      </c>
      <c r="E101" s="844">
        <v>55.06</v>
      </c>
      <c r="F101" s="809"/>
      <c r="G101" s="809"/>
    </row>
    <row r="102" spans="1:7" ht="14">
      <c r="A102" s="843" t="s">
        <v>1055</v>
      </c>
      <c r="B102" s="842">
        <v>6</v>
      </c>
      <c r="C102" s="843" t="s">
        <v>1126</v>
      </c>
      <c r="D102" s="843" t="s">
        <v>1127</v>
      </c>
      <c r="E102" s="844">
        <v>66.819999999999993</v>
      </c>
      <c r="F102" s="809"/>
      <c r="G102" s="809"/>
    </row>
    <row r="103" spans="1:7" ht="14">
      <c r="A103" s="843" t="s">
        <v>1055</v>
      </c>
      <c r="B103" s="842">
        <v>6</v>
      </c>
      <c r="C103" s="843" t="s">
        <v>1128</v>
      </c>
      <c r="D103" s="843" t="s">
        <v>1129</v>
      </c>
      <c r="E103" s="844">
        <v>241.04</v>
      </c>
      <c r="F103" s="809"/>
      <c r="G103" s="809"/>
    </row>
    <row r="104" spans="1:7" ht="14">
      <c r="A104" s="843" t="s">
        <v>1055</v>
      </c>
      <c r="B104" s="842">
        <v>6</v>
      </c>
      <c r="C104" s="843" t="s">
        <v>1130</v>
      </c>
      <c r="D104" s="843" t="s">
        <v>1131</v>
      </c>
      <c r="E104" s="844">
        <v>57.72</v>
      </c>
      <c r="F104" s="809"/>
      <c r="G104" s="809"/>
    </row>
    <row r="105" spans="1:7" ht="14">
      <c r="A105" s="843" t="s">
        <v>1055</v>
      </c>
      <c r="B105" s="842">
        <v>6</v>
      </c>
      <c r="C105" s="843" t="s">
        <v>1132</v>
      </c>
      <c r="D105" s="843" t="s">
        <v>1133</v>
      </c>
      <c r="E105" s="844">
        <v>0.71</v>
      </c>
      <c r="F105" s="809"/>
      <c r="G105" s="809"/>
    </row>
    <row r="106" spans="1:7" ht="14">
      <c r="A106" s="843" t="s">
        <v>1055</v>
      </c>
      <c r="B106" s="842">
        <v>6</v>
      </c>
      <c r="C106" s="843" t="s">
        <v>1134</v>
      </c>
      <c r="D106" s="843" t="s">
        <v>1135</v>
      </c>
      <c r="E106" s="844">
        <v>48.79</v>
      </c>
      <c r="F106" s="809"/>
      <c r="G106" s="809"/>
    </row>
    <row r="107" spans="1:7" ht="14">
      <c r="A107" s="843" t="s">
        <v>1055</v>
      </c>
      <c r="B107" s="842">
        <v>6</v>
      </c>
      <c r="C107" s="843" t="s">
        <v>1136</v>
      </c>
      <c r="D107" s="843" t="s">
        <v>1137</v>
      </c>
      <c r="E107" s="844">
        <v>369.68</v>
      </c>
      <c r="F107" s="809"/>
      <c r="G107" s="809"/>
    </row>
    <row r="108" spans="1:7" ht="14">
      <c r="A108" s="843" t="s">
        <v>1055</v>
      </c>
      <c r="B108" s="842">
        <v>6</v>
      </c>
      <c r="C108" s="843" t="s">
        <v>1138</v>
      </c>
      <c r="D108" s="843" t="s">
        <v>1139</v>
      </c>
      <c r="E108" s="844">
        <v>1.84</v>
      </c>
      <c r="F108" s="809"/>
      <c r="G108" s="809"/>
    </row>
    <row r="109" spans="1:7" ht="14">
      <c r="A109" s="843" t="s">
        <v>1055</v>
      </c>
      <c r="B109" s="842">
        <v>6</v>
      </c>
      <c r="C109" s="843" t="s">
        <v>1140</v>
      </c>
      <c r="D109" s="843" t="s">
        <v>1141</v>
      </c>
      <c r="E109" s="844">
        <v>1.74</v>
      </c>
      <c r="F109" s="809"/>
      <c r="G109" s="809"/>
    </row>
    <row r="110" spans="1:7" ht="14">
      <c r="A110" s="843" t="s">
        <v>1055</v>
      </c>
      <c r="B110" s="842">
        <v>6</v>
      </c>
      <c r="C110" s="843" t="s">
        <v>1142</v>
      </c>
      <c r="D110" s="843" t="s">
        <v>1143</v>
      </c>
      <c r="E110" s="844">
        <v>54.57</v>
      </c>
      <c r="F110" s="809"/>
      <c r="G110" s="809"/>
    </row>
    <row r="111" spans="1:7" ht="14">
      <c r="A111" s="843" t="s">
        <v>1055</v>
      </c>
      <c r="B111" s="842">
        <v>6</v>
      </c>
      <c r="C111" s="843" t="s">
        <v>1144</v>
      </c>
      <c r="D111" s="843" t="s">
        <v>1145</v>
      </c>
      <c r="E111" s="844">
        <v>122.22</v>
      </c>
      <c r="F111" s="809"/>
      <c r="G111" s="809"/>
    </row>
    <row r="112" spans="1:7" ht="14">
      <c r="A112" s="843" t="s">
        <v>1055</v>
      </c>
      <c r="B112" s="842">
        <v>6</v>
      </c>
      <c r="C112" s="843" t="s">
        <v>1146</v>
      </c>
      <c r="D112" s="843" t="s">
        <v>1147</v>
      </c>
      <c r="E112" s="844">
        <v>9.11</v>
      </c>
      <c r="F112" s="809"/>
      <c r="G112" s="809"/>
    </row>
    <row r="113" spans="1:7" ht="14">
      <c r="A113" s="843" t="s">
        <v>1055</v>
      </c>
      <c r="B113" s="842">
        <v>6</v>
      </c>
      <c r="C113" s="843" t="s">
        <v>1148</v>
      </c>
      <c r="D113" s="843" t="s">
        <v>1149</v>
      </c>
      <c r="E113" s="844">
        <v>512.55999999999995</v>
      </c>
      <c r="F113" s="809"/>
      <c r="G113" s="809"/>
    </row>
    <row r="114" spans="1:7" ht="14">
      <c r="A114" s="843" t="s">
        <v>1055</v>
      </c>
      <c r="B114" s="842">
        <v>6</v>
      </c>
      <c r="C114" s="843" t="s">
        <v>1150</v>
      </c>
      <c r="D114" s="843" t="s">
        <v>1151</v>
      </c>
      <c r="E114" s="844">
        <v>30.03</v>
      </c>
      <c r="F114" s="809"/>
      <c r="G114" s="809"/>
    </row>
    <row r="115" spans="1:7" ht="14">
      <c r="A115" s="843" t="s">
        <v>1055</v>
      </c>
      <c r="B115" s="842">
        <v>6</v>
      </c>
      <c r="C115" s="843" t="s">
        <v>1152</v>
      </c>
      <c r="D115" s="843" t="s">
        <v>1153</v>
      </c>
      <c r="E115" s="844">
        <v>464.74</v>
      </c>
      <c r="F115" s="809"/>
      <c r="G115" s="809"/>
    </row>
    <row r="116" spans="1:7" ht="14">
      <c r="A116" s="843" t="s">
        <v>1055</v>
      </c>
      <c r="B116" s="842">
        <v>6</v>
      </c>
      <c r="C116" s="843" t="s">
        <v>1154</v>
      </c>
      <c r="D116" s="843" t="s">
        <v>1155</v>
      </c>
      <c r="E116" s="844">
        <v>90.63</v>
      </c>
      <c r="F116" s="809"/>
      <c r="G116" s="809"/>
    </row>
    <row r="117" spans="1:7" ht="14">
      <c r="A117" s="843" t="s">
        <v>1055</v>
      </c>
      <c r="B117" s="842">
        <v>6</v>
      </c>
      <c r="C117" s="843" t="s">
        <v>1156</v>
      </c>
      <c r="D117" s="843" t="s">
        <v>1157</v>
      </c>
      <c r="E117" s="844">
        <v>334.54</v>
      </c>
      <c r="F117" s="809"/>
      <c r="G117" s="809"/>
    </row>
    <row r="118" spans="1:7" ht="14">
      <c r="A118" s="843" t="s">
        <v>1055</v>
      </c>
      <c r="B118" s="842">
        <v>6</v>
      </c>
      <c r="C118" s="843" t="s">
        <v>1158</v>
      </c>
      <c r="D118" s="843" t="s">
        <v>1159</v>
      </c>
      <c r="E118" s="844">
        <v>2.34</v>
      </c>
      <c r="F118" s="809"/>
      <c r="G118" s="809"/>
    </row>
    <row r="119" spans="1:7" ht="14">
      <c r="A119" s="843" t="s">
        <v>1055</v>
      </c>
      <c r="B119" s="842">
        <v>6</v>
      </c>
      <c r="C119" s="843" t="s">
        <v>1160</v>
      </c>
      <c r="D119" s="843" t="s">
        <v>1161</v>
      </c>
      <c r="E119" s="844">
        <v>1.17</v>
      </c>
      <c r="F119" s="809"/>
      <c r="G119" s="809"/>
    </row>
    <row r="120" spans="1:7" ht="14">
      <c r="A120" s="843" t="s">
        <v>1055</v>
      </c>
      <c r="B120" s="842">
        <v>6</v>
      </c>
      <c r="C120" s="843" t="s">
        <v>1162</v>
      </c>
      <c r="D120" s="843" t="s">
        <v>1163</v>
      </c>
      <c r="E120" s="844">
        <v>1.52</v>
      </c>
      <c r="F120" s="809"/>
      <c r="G120" s="809"/>
    </row>
    <row r="121" spans="1:7" ht="14">
      <c r="A121" s="843" t="s">
        <v>1055</v>
      </c>
      <c r="B121" s="842">
        <v>6</v>
      </c>
      <c r="C121" s="843" t="s">
        <v>1164</v>
      </c>
      <c r="D121" s="843" t="s">
        <v>1165</v>
      </c>
      <c r="E121" s="844">
        <v>2064.9</v>
      </c>
      <c r="F121" s="809"/>
      <c r="G121" s="809"/>
    </row>
    <row r="122" spans="1:7" ht="14">
      <c r="A122" s="843" t="s">
        <v>1055</v>
      </c>
      <c r="B122" s="842">
        <v>6</v>
      </c>
      <c r="C122" s="843" t="s">
        <v>1166</v>
      </c>
      <c r="D122" s="843" t="s">
        <v>1167</v>
      </c>
      <c r="E122" s="844">
        <v>7.38</v>
      </c>
      <c r="F122" s="809"/>
      <c r="G122" s="809"/>
    </row>
    <row r="123" spans="1:7" ht="14">
      <c r="A123" s="843" t="s">
        <v>1055</v>
      </c>
      <c r="B123" s="842">
        <v>6</v>
      </c>
      <c r="C123" s="843" t="s">
        <v>1168</v>
      </c>
      <c r="D123" s="843" t="s">
        <v>1169</v>
      </c>
      <c r="E123" s="844">
        <v>15.46</v>
      </c>
      <c r="F123" s="809"/>
      <c r="G123" s="809"/>
    </row>
    <row r="124" spans="1:7" ht="14">
      <c r="A124" s="843" t="s">
        <v>1055</v>
      </c>
      <c r="B124" s="842">
        <v>6</v>
      </c>
      <c r="C124" s="843" t="s">
        <v>1170</v>
      </c>
      <c r="D124" s="843" t="s">
        <v>1171</v>
      </c>
      <c r="E124" s="844">
        <v>56.48</v>
      </c>
      <c r="F124" s="809"/>
      <c r="G124" s="809"/>
    </row>
    <row r="125" spans="1:7" ht="14">
      <c r="A125" s="843" t="s">
        <v>1055</v>
      </c>
      <c r="B125" s="842">
        <v>6</v>
      </c>
      <c r="C125" s="843" t="s">
        <v>1172</v>
      </c>
      <c r="D125" s="843" t="s">
        <v>1173</v>
      </c>
      <c r="E125" s="844">
        <v>330.31</v>
      </c>
      <c r="F125" s="809"/>
      <c r="G125" s="809"/>
    </row>
    <row r="126" spans="1:7" ht="14">
      <c r="A126" s="843" t="s">
        <v>1055</v>
      </c>
      <c r="B126" s="842">
        <v>6</v>
      </c>
      <c r="C126" s="843" t="s">
        <v>1174</v>
      </c>
      <c r="D126" s="843" t="s">
        <v>1175</v>
      </c>
      <c r="E126" s="844">
        <v>1.52</v>
      </c>
      <c r="F126" s="809"/>
      <c r="G126" s="809"/>
    </row>
    <row r="127" spans="1:7" ht="14">
      <c r="A127" s="843" t="s">
        <v>1055</v>
      </c>
      <c r="B127" s="842">
        <v>6</v>
      </c>
      <c r="C127" s="843" t="s">
        <v>1176</v>
      </c>
      <c r="D127" s="843" t="s">
        <v>1177</v>
      </c>
      <c r="E127" s="844">
        <v>7940.58</v>
      </c>
      <c r="F127" s="809"/>
      <c r="G127" s="809"/>
    </row>
    <row r="128" spans="1:7" ht="14">
      <c r="A128" s="843" t="s">
        <v>1055</v>
      </c>
      <c r="B128" s="842">
        <v>6</v>
      </c>
      <c r="C128" s="843" t="s">
        <v>1178</v>
      </c>
      <c r="D128" s="843" t="s">
        <v>1179</v>
      </c>
      <c r="E128" s="844">
        <v>1264.72</v>
      </c>
      <c r="F128" s="809"/>
      <c r="G128" s="809"/>
    </row>
    <row r="129" spans="1:7" ht="14">
      <c r="A129" s="843" t="s">
        <v>1055</v>
      </c>
      <c r="B129" s="842">
        <v>6</v>
      </c>
      <c r="C129" s="843" t="s">
        <v>1180</v>
      </c>
      <c r="D129" s="843" t="s">
        <v>1181</v>
      </c>
      <c r="E129" s="844">
        <v>718.09</v>
      </c>
      <c r="F129" s="809"/>
      <c r="G129" s="809"/>
    </row>
    <row r="130" spans="1:7" ht="14">
      <c r="A130" s="843" t="s">
        <v>1055</v>
      </c>
      <c r="B130" s="842">
        <v>6</v>
      </c>
      <c r="C130" s="843" t="s">
        <v>1182</v>
      </c>
      <c r="D130" s="843" t="s">
        <v>1183</v>
      </c>
      <c r="E130" s="844">
        <v>34.75</v>
      </c>
      <c r="F130" s="809"/>
      <c r="G130" s="809"/>
    </row>
    <row r="131" spans="1:7" ht="14">
      <c r="A131" s="843" t="s">
        <v>1055</v>
      </c>
      <c r="B131" s="842">
        <v>6</v>
      </c>
      <c r="C131" s="843" t="s">
        <v>1184</v>
      </c>
      <c r="D131" s="843" t="s">
        <v>1185</v>
      </c>
      <c r="E131" s="844">
        <v>19.25</v>
      </c>
      <c r="F131" s="809"/>
      <c r="G131" s="809"/>
    </row>
    <row r="132" spans="1:7" ht="14">
      <c r="A132" s="843" t="s">
        <v>1055</v>
      </c>
      <c r="B132" s="842">
        <v>6</v>
      </c>
      <c r="C132" s="843" t="s">
        <v>1186</v>
      </c>
      <c r="D132" s="843" t="s">
        <v>1187</v>
      </c>
      <c r="E132" s="844">
        <v>67.3</v>
      </c>
      <c r="F132" s="809"/>
      <c r="G132" s="809"/>
    </row>
    <row r="133" spans="1:7" ht="14">
      <c r="A133" s="843" t="s">
        <v>1055</v>
      </c>
      <c r="B133" s="842">
        <v>6</v>
      </c>
      <c r="C133" s="843" t="s">
        <v>1188</v>
      </c>
      <c r="D133" s="843" t="s">
        <v>1189</v>
      </c>
      <c r="E133" s="844">
        <v>999.94</v>
      </c>
      <c r="F133" s="809"/>
      <c r="G133" s="809"/>
    </row>
    <row r="134" spans="1:7" ht="14">
      <c r="A134" s="843" t="s">
        <v>1055</v>
      </c>
      <c r="B134" s="842">
        <v>6</v>
      </c>
      <c r="C134" s="843" t="s">
        <v>1190</v>
      </c>
      <c r="D134" s="843" t="s">
        <v>1191</v>
      </c>
      <c r="E134" s="844">
        <v>1196.4100000000001</v>
      </c>
      <c r="F134" s="809"/>
      <c r="G134" s="809"/>
    </row>
    <row r="135" spans="1:7" ht="14">
      <c r="A135" s="843" t="s">
        <v>1055</v>
      </c>
      <c r="B135" s="842">
        <v>6</v>
      </c>
      <c r="C135" s="843" t="s">
        <v>1192</v>
      </c>
      <c r="D135" s="843" t="s">
        <v>1193</v>
      </c>
      <c r="E135" s="844">
        <v>1382.48</v>
      </c>
      <c r="F135" s="809"/>
      <c r="G135" s="809"/>
    </row>
    <row r="136" spans="1:7" ht="14">
      <c r="A136" s="843" t="s">
        <v>1055</v>
      </c>
      <c r="B136" s="842">
        <v>6</v>
      </c>
      <c r="C136" s="843" t="s">
        <v>736</v>
      </c>
      <c r="D136" s="843" t="s">
        <v>802</v>
      </c>
      <c r="E136" s="844">
        <v>1140.21</v>
      </c>
      <c r="F136" s="809"/>
      <c r="G136" s="809"/>
    </row>
    <row r="137" spans="1:7" ht="14">
      <c r="A137" s="836"/>
      <c r="B137" s="835"/>
      <c r="C137" s="836"/>
      <c r="D137" s="836"/>
      <c r="E137" s="837"/>
      <c r="F137" s="809"/>
      <c r="G137" s="809"/>
    </row>
    <row r="138" spans="1:7" ht="14">
      <c r="F138" s="809"/>
      <c r="G138" s="809"/>
    </row>
    <row r="139" spans="1:7" ht="14">
      <c r="F139" s="809"/>
      <c r="G139" s="809"/>
    </row>
    <row r="140" spans="1:7" ht="14">
      <c r="F140" s="809"/>
      <c r="G140" s="809"/>
    </row>
    <row r="141" spans="1:7" ht="14">
      <c r="F141" s="809"/>
      <c r="G141" s="809"/>
    </row>
    <row r="142" spans="1:7" ht="14">
      <c r="F142" s="809"/>
      <c r="G142" s="809"/>
    </row>
    <row r="143" spans="1:7" ht="14">
      <c r="F143" s="809"/>
      <c r="G143" s="809"/>
    </row>
    <row r="144" spans="1:7" ht="14">
      <c r="F144" s="809"/>
      <c r="G144" s="809"/>
    </row>
    <row r="145" spans="6:7" ht="14">
      <c r="F145" s="809"/>
      <c r="G145" s="809"/>
    </row>
    <row r="146" spans="6:7" ht="14">
      <c r="F146" s="809"/>
      <c r="G146" s="809"/>
    </row>
    <row r="147" spans="6:7" ht="14">
      <c r="F147" s="809"/>
      <c r="G147" s="809"/>
    </row>
    <row r="148" spans="6:7" ht="14">
      <c r="F148" s="809"/>
      <c r="G148" s="809"/>
    </row>
    <row r="149" spans="6:7" ht="14">
      <c r="F149" s="809"/>
      <c r="G149" s="809"/>
    </row>
    <row r="150" spans="6:7" ht="14">
      <c r="F150" s="809"/>
      <c r="G150" s="809"/>
    </row>
    <row r="151" spans="6:7" ht="14">
      <c r="F151" s="809"/>
      <c r="G151" s="809"/>
    </row>
    <row r="152" spans="6:7" ht="14">
      <c r="F152" s="809"/>
      <c r="G152" s="809"/>
    </row>
    <row r="153" spans="6:7" ht="14">
      <c r="F153" s="809"/>
      <c r="G153" s="809"/>
    </row>
    <row r="154" spans="6:7" ht="14">
      <c r="F154" s="809"/>
      <c r="G154" s="809"/>
    </row>
    <row r="155" spans="6:7" ht="14">
      <c r="F155" s="809"/>
      <c r="G155" s="809"/>
    </row>
    <row r="156" spans="6:7" ht="14">
      <c r="F156" s="809"/>
      <c r="G156" s="809"/>
    </row>
    <row r="157" spans="6:7" ht="14">
      <c r="F157" s="809"/>
      <c r="G157" s="809"/>
    </row>
    <row r="158" spans="6:7" ht="14">
      <c r="F158" s="809"/>
      <c r="G158" s="809"/>
    </row>
    <row r="159" spans="6:7" ht="14">
      <c r="F159" s="809"/>
      <c r="G159" s="809"/>
    </row>
    <row r="160" spans="6:7" ht="14">
      <c r="F160" s="809"/>
      <c r="G160" s="809"/>
    </row>
    <row r="161" spans="6:7" ht="14">
      <c r="F161" s="809"/>
      <c r="G161" s="809"/>
    </row>
    <row r="162" spans="6:7" ht="14">
      <c r="F162" s="809"/>
      <c r="G162" s="809"/>
    </row>
    <row r="163" spans="6:7" ht="14">
      <c r="F163" s="809"/>
      <c r="G163" s="809"/>
    </row>
    <row r="164" spans="6:7" ht="14">
      <c r="F164" s="809"/>
      <c r="G164" s="809"/>
    </row>
    <row r="165" spans="6:7" ht="14">
      <c r="F165" s="809"/>
      <c r="G165" s="809"/>
    </row>
    <row r="166" spans="6:7" ht="14">
      <c r="F166" s="809"/>
      <c r="G166" s="809"/>
    </row>
    <row r="167" spans="6:7" ht="14">
      <c r="F167" s="809"/>
      <c r="G167" s="809"/>
    </row>
    <row r="168" spans="6:7" ht="14">
      <c r="F168" s="809"/>
      <c r="G168" s="809"/>
    </row>
    <row r="169" spans="6:7" ht="14">
      <c r="F169" s="809"/>
      <c r="G169" s="809"/>
    </row>
    <row r="170" spans="6:7" ht="14">
      <c r="F170" s="809"/>
      <c r="G170" s="809"/>
    </row>
    <row r="171" spans="6:7" ht="14">
      <c r="F171" s="809"/>
      <c r="G171" s="809"/>
    </row>
    <row r="172" spans="6:7" ht="14">
      <c r="F172" s="809"/>
      <c r="G172" s="809"/>
    </row>
    <row r="173" spans="6:7" ht="14">
      <c r="F173" s="809"/>
      <c r="G173" s="809"/>
    </row>
    <row r="174" spans="6:7" ht="14">
      <c r="F174" s="809"/>
      <c r="G174" s="809"/>
    </row>
    <row r="175" spans="6:7" ht="14">
      <c r="F175" s="809"/>
      <c r="G175" s="809"/>
    </row>
    <row r="176" spans="6:7" ht="14">
      <c r="F176" s="809"/>
      <c r="G176" s="809"/>
    </row>
    <row r="177" spans="6:7" ht="14">
      <c r="F177" s="809"/>
      <c r="G177" s="809"/>
    </row>
    <row r="178" spans="6:7" ht="14">
      <c r="F178" s="809"/>
      <c r="G178" s="809"/>
    </row>
    <row r="179" spans="6:7" ht="14">
      <c r="F179" s="809"/>
      <c r="G179" s="809"/>
    </row>
    <row r="180" spans="6:7" ht="14">
      <c r="F180" s="809"/>
      <c r="G180" s="809"/>
    </row>
    <row r="181" spans="6:7" ht="14">
      <c r="F181" s="809"/>
      <c r="G181" s="809"/>
    </row>
    <row r="182" spans="6:7" ht="14">
      <c r="F182" s="809"/>
      <c r="G182" s="809"/>
    </row>
    <row r="183" spans="6:7" ht="14">
      <c r="F183" s="809"/>
      <c r="G183" s="809"/>
    </row>
    <row r="184" spans="6:7" ht="14">
      <c r="F184" s="809"/>
      <c r="G184" s="809"/>
    </row>
    <row r="185" spans="6:7" ht="14">
      <c r="F185" s="809"/>
      <c r="G185" s="809"/>
    </row>
    <row r="186" spans="6:7" ht="14">
      <c r="F186" s="809"/>
      <c r="G186" s="809"/>
    </row>
    <row r="187" spans="6:7" ht="14">
      <c r="F187" s="809"/>
      <c r="G187" s="809"/>
    </row>
    <row r="188" spans="6:7" ht="14">
      <c r="F188" s="809"/>
      <c r="G188" s="809"/>
    </row>
  </sheetData>
  <customSheetViews>
    <customSheetView guid="{005F2F7B-A3A9-4755-A4DF-7CE06C365CC2}" hiddenRows="1">
      <selection activeCell="E2" activeCellId="1" sqref="E78 E2"/>
    </customSheetView>
    <customSheetView guid="{86CCC894-C193-4761-8385-3C374FD67B70}" showPageBreaks="1" hiddenRows="1">
      <selection activeCell="E1" sqref="E1:E80"/>
      <pageSetup orientation="portrait" horizontalDpi="1200" verticalDpi="1200"/>
    </customSheetView>
  </customSheetViews>
  <pageMargins left="0.7" right="0.7" top="0.75" bottom="0.75" header="0.3" footer="0.3"/>
  <pageSetup orientation="portrait" horizontalDpi="1200" verticalDpi="1200"/>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AH242"/>
  <sheetViews>
    <sheetView topLeftCell="F1" zoomScaleSheetLayoutView="87" workbookViewId="0">
      <pane ySplit="17" topLeftCell="A180" activePane="bottomLeft" state="frozen"/>
      <selection activeCell="F1" sqref="F1"/>
      <selection pane="bottomLeft" activeCell="L181" sqref="L181:O181"/>
    </sheetView>
  </sheetViews>
  <sheetFormatPr baseColWidth="10" defaultColWidth="9.3984375" defaultRowHeight="12" outlineLevelCol="1" x14ac:dyDescent="0"/>
  <cols>
    <col min="1" max="1" width="17.19921875" style="18" hidden="1" customWidth="1" outlineLevel="1"/>
    <col min="2" max="2" width="20.796875" style="18" hidden="1" customWidth="1" outlineLevel="1"/>
    <col min="3" max="3" width="18.59765625" style="18" hidden="1" customWidth="1" outlineLevel="1"/>
    <col min="4" max="4" width="19.59765625" style="18" hidden="1" customWidth="1" outlineLevel="1"/>
    <col min="5" max="5" width="11.59765625" style="18" hidden="1" customWidth="1" outlineLevel="1"/>
    <col min="6" max="6" width="50.59765625" style="147" customWidth="1" collapsed="1"/>
    <col min="7" max="7" width="15.796875" style="35" bestFit="1" customWidth="1"/>
    <col min="8" max="8" width="13.3984375" style="152" bestFit="1" customWidth="1"/>
    <col min="9" max="9" width="14.796875" style="17" customWidth="1"/>
    <col min="10" max="10" width="13.59765625" style="17" customWidth="1"/>
    <col min="11" max="11" width="14.19921875" style="131" bestFit="1" customWidth="1"/>
    <col min="12" max="12" width="15.19921875" style="24" bestFit="1" customWidth="1"/>
    <col min="13" max="13" width="1.59765625" style="24" customWidth="1"/>
    <col min="14" max="14" width="14.59765625" style="24" bestFit="1" customWidth="1"/>
    <col min="15" max="15" width="15.3984375" style="24" bestFit="1" customWidth="1"/>
    <col min="16" max="16" width="1" style="16" customWidth="1"/>
    <col min="17" max="17" width="14.59765625" style="146" bestFit="1" customWidth="1"/>
    <col min="18" max="18" width="20.3984375" style="146" bestFit="1" customWidth="1"/>
    <col min="19" max="19" width="1" style="146" customWidth="1"/>
    <col min="20" max="20" width="16.796875" style="146" bestFit="1" customWidth="1"/>
    <col min="21" max="21" width="15.796875" style="146" bestFit="1" customWidth="1"/>
    <col min="22" max="22" width="19.3984375" style="38" bestFit="1" customWidth="1"/>
    <col min="23" max="23" width="21.3984375" style="38" bestFit="1" customWidth="1"/>
    <col min="24" max="24" width="16.59765625" style="38" bestFit="1" customWidth="1"/>
    <col min="25" max="25" width="23.3984375" style="38" bestFit="1" customWidth="1"/>
    <col min="26" max="26" width="24.796875" style="38" bestFit="1" customWidth="1"/>
    <col min="27" max="27" width="11.19921875" style="16" bestFit="1" customWidth="1"/>
    <col min="28" max="28" width="20.59765625" style="16" bestFit="1" customWidth="1"/>
    <col min="29" max="29" width="19" style="16" bestFit="1" customWidth="1"/>
    <col min="30" max="30" width="19.796875" style="16" customWidth="1"/>
    <col min="31" max="31" width="9.3984375" style="16"/>
    <col min="32" max="32" width="14.19921875" style="16" bestFit="1" customWidth="1"/>
    <col min="33" max="34" width="14.19921875" style="16" customWidth="1"/>
    <col min="35" max="16384" width="9.3984375" style="16"/>
  </cols>
  <sheetData>
    <row r="1" spans="1:25">
      <c r="F1" s="147" t="s">
        <v>71</v>
      </c>
      <c r="H1" s="29"/>
      <c r="I1" s="162"/>
      <c r="J1" s="163"/>
      <c r="L1" s="20" t="s">
        <v>119</v>
      </c>
      <c r="M1" s="40"/>
      <c r="N1" s="20" t="s">
        <v>119</v>
      </c>
      <c r="O1" s="20" t="s">
        <v>120</v>
      </c>
    </row>
    <row r="2" spans="1:25">
      <c r="A2" s="16"/>
      <c r="F2" s="147" t="s">
        <v>72</v>
      </c>
      <c r="H2" s="29"/>
      <c r="I2" s="162"/>
      <c r="J2" s="163"/>
      <c r="L2" s="20" t="s">
        <v>298</v>
      </c>
      <c r="M2" s="40"/>
      <c r="N2" s="20" t="s">
        <v>299</v>
      </c>
      <c r="O2" s="20" t="s">
        <v>300</v>
      </c>
    </row>
    <row r="3" spans="1:25">
      <c r="A3" s="16"/>
      <c r="F3" s="147" t="s">
        <v>287</v>
      </c>
      <c r="H3" s="29"/>
      <c r="I3" s="18"/>
      <c r="J3" s="168"/>
      <c r="L3" s="140"/>
      <c r="N3" s="140"/>
      <c r="O3" s="236"/>
    </row>
    <row r="4" spans="1:25">
      <c r="A4" s="16"/>
      <c r="F4" s="148" t="s">
        <v>228</v>
      </c>
      <c r="I4" s="164"/>
      <c r="J4" s="168"/>
      <c r="K4" s="161"/>
    </row>
    <row r="5" spans="1:25" ht="13" thickBot="1">
      <c r="A5" s="16"/>
      <c r="F5" s="148"/>
      <c r="I5" s="161"/>
      <c r="J5" s="161"/>
      <c r="K5" s="161"/>
    </row>
    <row r="6" spans="1:25" ht="13" thickBot="1">
      <c r="A6" s="16"/>
      <c r="F6" s="51" t="s">
        <v>84</v>
      </c>
      <c r="G6" s="52" t="s">
        <v>85</v>
      </c>
      <c r="I6" s="161"/>
      <c r="J6" s="161"/>
      <c r="K6" s="161"/>
      <c r="L6" s="18"/>
      <c r="N6" s="18"/>
      <c r="O6" s="18"/>
      <c r="P6" s="18"/>
      <c r="Q6" s="152"/>
      <c r="R6" s="152"/>
      <c r="S6" s="152"/>
      <c r="T6" s="152"/>
      <c r="U6" s="152"/>
    </row>
    <row r="7" spans="1:25">
      <c r="A7" s="16"/>
      <c r="F7" s="62" t="s">
        <v>74</v>
      </c>
      <c r="G7" s="55" t="s">
        <v>77</v>
      </c>
      <c r="I7" s="161"/>
      <c r="J7" s="161"/>
      <c r="K7" s="161"/>
      <c r="L7" s="18"/>
      <c r="N7" s="169"/>
      <c r="O7" s="169"/>
    </row>
    <row r="8" spans="1:25">
      <c r="A8" s="16"/>
      <c r="F8" s="63" t="s">
        <v>75</v>
      </c>
      <c r="G8" s="97" t="s">
        <v>115</v>
      </c>
      <c r="H8" s="29"/>
      <c r="I8" s="161"/>
      <c r="J8" s="161"/>
      <c r="K8" s="135"/>
      <c r="L8" s="172"/>
      <c r="M8" s="41"/>
      <c r="N8" s="37"/>
      <c r="O8" s="37"/>
    </row>
    <row r="9" spans="1:25">
      <c r="A9" s="16"/>
      <c r="F9" s="63" t="s">
        <v>73</v>
      </c>
      <c r="G9" s="56" t="s">
        <v>78</v>
      </c>
      <c r="H9" s="29"/>
      <c r="I9" s="164"/>
      <c r="J9" s="175"/>
      <c r="K9" s="135"/>
      <c r="L9" s="75"/>
      <c r="M9" s="41"/>
      <c r="N9" s="77"/>
      <c r="O9" s="77"/>
      <c r="P9" s="27"/>
      <c r="Q9" s="151"/>
      <c r="R9" s="151"/>
      <c r="S9" s="151"/>
      <c r="T9" s="151"/>
      <c r="U9" s="151"/>
    </row>
    <row r="10" spans="1:25">
      <c r="A10" s="16"/>
      <c r="F10" s="63" t="s">
        <v>76</v>
      </c>
      <c r="G10" s="57" t="s">
        <v>79</v>
      </c>
      <c r="H10" s="29"/>
      <c r="I10" s="161"/>
      <c r="J10" s="134"/>
      <c r="K10" s="135"/>
      <c r="L10" s="78"/>
      <c r="N10" s="79"/>
      <c r="O10" s="79"/>
      <c r="P10" s="27"/>
      <c r="Q10" s="151"/>
      <c r="R10" s="151"/>
      <c r="S10" s="151"/>
      <c r="T10" s="151"/>
      <c r="U10" s="151"/>
    </row>
    <row r="11" spans="1:25">
      <c r="A11" s="16"/>
      <c r="F11" s="63" t="s">
        <v>81</v>
      </c>
      <c r="G11" s="58" t="s">
        <v>80</v>
      </c>
      <c r="H11" s="29"/>
      <c r="I11" s="161"/>
      <c r="J11" s="134"/>
      <c r="K11" s="10"/>
      <c r="L11" s="78"/>
      <c r="N11" s="79"/>
      <c r="O11" s="79"/>
      <c r="P11" s="27"/>
      <c r="Q11" s="151"/>
      <c r="R11" s="151"/>
      <c r="S11" s="151"/>
      <c r="T11" s="151"/>
      <c r="U11" s="151"/>
    </row>
    <row r="12" spans="1:25">
      <c r="A12" s="16"/>
      <c r="F12" s="63" t="s">
        <v>83</v>
      </c>
      <c r="G12" s="59" t="s">
        <v>82</v>
      </c>
      <c r="H12" s="165"/>
      <c r="I12" s="147"/>
      <c r="J12" s="134"/>
      <c r="L12" s="78"/>
      <c r="N12" s="80"/>
      <c r="O12" s="80"/>
      <c r="P12" s="81"/>
      <c r="Q12" s="12"/>
      <c r="R12" s="12"/>
      <c r="S12" s="12"/>
      <c r="T12" s="12"/>
      <c r="U12" s="12"/>
    </row>
    <row r="13" spans="1:25">
      <c r="A13" s="16"/>
      <c r="F13" s="63" t="s">
        <v>88</v>
      </c>
      <c r="G13" s="60" t="s">
        <v>89</v>
      </c>
      <c r="H13" s="29"/>
      <c r="L13" s="76"/>
      <c r="N13" s="174"/>
      <c r="O13" s="76"/>
      <c r="P13" s="27"/>
      <c r="Q13" s="151"/>
      <c r="R13" s="151"/>
      <c r="S13" s="151"/>
      <c r="T13" s="151"/>
      <c r="U13" s="151"/>
    </row>
    <row r="14" spans="1:25">
      <c r="A14" s="16"/>
      <c r="F14" s="98" t="s">
        <v>116</v>
      </c>
      <c r="G14" s="99" t="s">
        <v>117</v>
      </c>
      <c r="H14" s="29"/>
      <c r="I14" s="166"/>
      <c r="J14" s="145"/>
      <c r="L14" s="76"/>
      <c r="N14" s="173"/>
      <c r="O14" s="173"/>
      <c r="P14" s="27"/>
      <c r="Q14" s="151"/>
      <c r="R14" s="151"/>
      <c r="S14" s="151"/>
      <c r="T14" s="151"/>
      <c r="U14" s="151"/>
    </row>
    <row r="15" spans="1:25" ht="13" thickBot="1">
      <c r="A15" s="16"/>
      <c r="F15" s="64" t="s">
        <v>103</v>
      </c>
      <c r="G15" s="61" t="s">
        <v>101</v>
      </c>
      <c r="H15" s="29"/>
      <c r="I15" s="166"/>
      <c r="J15" s="150"/>
      <c r="L15" s="76"/>
    </row>
    <row r="16" spans="1:25" ht="13" thickBot="1">
      <c r="A16" s="16"/>
      <c r="B16" s="152"/>
      <c r="C16" s="152"/>
      <c r="D16" s="152"/>
      <c r="E16" s="152"/>
      <c r="F16" s="54"/>
      <c r="G16" s="34"/>
      <c r="I16" s="167"/>
      <c r="J16" s="49"/>
      <c r="K16" s="67"/>
      <c r="L16" s="50"/>
      <c r="M16" s="50"/>
      <c r="N16" s="50"/>
      <c r="O16" s="50"/>
      <c r="P16" s="146"/>
      <c r="V16" s="33"/>
      <c r="W16" s="33"/>
      <c r="X16" s="33"/>
      <c r="Y16" s="33"/>
    </row>
    <row r="17" spans="1:34" ht="13" thickBot="1">
      <c r="F17" s="53"/>
      <c r="G17" s="154" t="s">
        <v>284</v>
      </c>
      <c r="H17" s="193" t="s">
        <v>254</v>
      </c>
      <c r="I17" s="96" t="s">
        <v>285</v>
      </c>
      <c r="J17" s="96" t="s">
        <v>285</v>
      </c>
      <c r="K17" s="304" t="s">
        <v>285</v>
      </c>
      <c r="L17" s="318" t="s">
        <v>285</v>
      </c>
      <c r="M17" s="93"/>
      <c r="N17" s="96" t="s">
        <v>285</v>
      </c>
      <c r="O17" s="96" t="s">
        <v>285</v>
      </c>
      <c r="P17" s="93"/>
      <c r="Q17" s="13"/>
      <c r="R17" s="96" t="s">
        <v>285</v>
      </c>
      <c r="S17" s="101"/>
      <c r="T17" s="96" t="s">
        <v>285</v>
      </c>
      <c r="U17" s="96" t="s">
        <v>285</v>
      </c>
      <c r="V17" s="96" t="s">
        <v>285</v>
      </c>
      <c r="W17" s="96" t="s">
        <v>285</v>
      </c>
      <c r="X17" s="304" t="s">
        <v>285</v>
      </c>
      <c r="Y17" s="304" t="s">
        <v>285</v>
      </c>
      <c r="Z17" s="304" t="s">
        <v>285</v>
      </c>
      <c r="AC17" s="266" t="s">
        <v>266</v>
      </c>
      <c r="AG17" s="18" t="s">
        <v>267</v>
      </c>
    </row>
    <row r="18" spans="1:34" ht="13" thickBot="1">
      <c r="A18" s="16"/>
      <c r="B18" s="117" t="s">
        <v>205</v>
      </c>
      <c r="C18" s="112" t="s">
        <v>96</v>
      </c>
      <c r="D18" s="22" t="s">
        <v>95</v>
      </c>
      <c r="E18" s="22" t="s">
        <v>100</v>
      </c>
      <c r="F18" s="36" t="s">
        <v>67</v>
      </c>
      <c r="G18" s="36" t="s">
        <v>230</v>
      </c>
      <c r="H18" s="194" t="s">
        <v>229</v>
      </c>
      <c r="I18" s="176" t="s">
        <v>288</v>
      </c>
      <c r="J18" s="177" t="s">
        <v>289</v>
      </c>
      <c r="K18" s="189" t="s">
        <v>290</v>
      </c>
      <c r="L18" s="313" t="s">
        <v>105</v>
      </c>
      <c r="M18" s="93"/>
      <c r="N18" s="94" t="s">
        <v>104</v>
      </c>
      <c r="O18" s="95" t="s">
        <v>106</v>
      </c>
      <c r="P18" s="102"/>
      <c r="Q18" s="95" t="s">
        <v>286</v>
      </c>
      <c r="R18" s="156" t="s">
        <v>343</v>
      </c>
      <c r="S18" s="149"/>
      <c r="T18" s="327" t="s">
        <v>344</v>
      </c>
      <c r="U18" s="419" t="s">
        <v>369</v>
      </c>
      <c r="V18" s="103" t="s">
        <v>111</v>
      </c>
      <c r="W18" s="74" t="s">
        <v>112</v>
      </c>
      <c r="X18" s="103" t="s">
        <v>113</v>
      </c>
      <c r="Y18" s="103" t="s">
        <v>223</v>
      </c>
      <c r="Z18" s="307" t="s">
        <v>224</v>
      </c>
      <c r="AB18" s="264" t="s">
        <v>263</v>
      </c>
      <c r="AC18" s="265" t="s">
        <v>264</v>
      </c>
      <c r="AD18" s="265" t="s">
        <v>265</v>
      </c>
      <c r="AF18" s="264" t="s">
        <v>263</v>
      </c>
      <c r="AG18" s="265" t="s">
        <v>264</v>
      </c>
      <c r="AH18" s="265" t="s">
        <v>265</v>
      </c>
    </row>
    <row r="19" spans="1:34">
      <c r="A19" s="16"/>
      <c r="B19" s="370"/>
      <c r="C19" s="371"/>
      <c r="D19" s="372" t="s">
        <v>109</v>
      </c>
      <c r="E19" s="372" t="s">
        <v>110</v>
      </c>
      <c r="F19" s="373" t="s">
        <v>320</v>
      </c>
      <c r="G19" s="374"/>
      <c r="H19" s="375">
        <v>62.3</v>
      </c>
      <c r="I19" s="376">
        <v>0</v>
      </c>
      <c r="J19" s="377">
        <v>0</v>
      </c>
      <c r="K19" s="378"/>
      <c r="L19" s="379">
        <f>SUM(G19:K19)</f>
        <v>62.3</v>
      </c>
      <c r="M19" s="380"/>
      <c r="N19" s="337"/>
      <c r="O19" s="381">
        <f>H19*3</f>
        <v>186.89999999999998</v>
      </c>
      <c r="P19" s="380">
        <v>0</v>
      </c>
      <c r="Q19" s="382">
        <f>N19+O19</f>
        <v>186.89999999999998</v>
      </c>
      <c r="R19" s="383"/>
      <c r="S19" s="384"/>
      <c r="T19" s="385" t="str">
        <f>IF(R19="","",R19-Q19)</f>
        <v/>
      </c>
      <c r="U19" s="420">
        <v>62.3</v>
      </c>
      <c r="V19" s="158">
        <f>IF(E19="D",Q19,0)</f>
        <v>186.89999999999998</v>
      </c>
      <c r="W19" s="386">
        <f>IF(E19="M",Q19,0)</f>
        <v>0</v>
      </c>
      <c r="X19" s="387">
        <f>IF(E19="V",Q19,0)</f>
        <v>0</v>
      </c>
      <c r="Y19" s="387">
        <v>0</v>
      </c>
      <c r="Z19" s="387">
        <v>0</v>
      </c>
      <c r="AA19" s="38">
        <v>0</v>
      </c>
      <c r="AB19" s="388">
        <v>40454.18</v>
      </c>
      <c r="AC19" s="388">
        <v>0</v>
      </c>
      <c r="AD19" s="388">
        <v>0</v>
      </c>
      <c r="AF19" s="388">
        <v>17119.095000000001</v>
      </c>
      <c r="AG19" s="388">
        <v>0</v>
      </c>
      <c r="AH19" s="388">
        <v>0</v>
      </c>
    </row>
    <row r="20" spans="1:34">
      <c r="A20" s="16"/>
      <c r="B20" s="118"/>
      <c r="C20" s="109"/>
      <c r="D20" s="20" t="s">
        <v>109</v>
      </c>
      <c r="E20" s="20" t="s">
        <v>110</v>
      </c>
      <c r="F20" s="123" t="s">
        <v>317</v>
      </c>
      <c r="G20" s="91"/>
      <c r="H20" s="144">
        <f>'Q1 DMV - Revenue'!T19</f>
        <v>189.28499999999985</v>
      </c>
      <c r="I20" s="350">
        <f>9454.78+7086.99</f>
        <v>16541.77</v>
      </c>
      <c r="J20" s="350">
        <f>9090.36+9670.4</f>
        <v>18760.760000000002</v>
      </c>
      <c r="K20" s="392"/>
      <c r="L20" s="311">
        <f t="shared" ref="L20:L86" si="0">SUM(G20:K20)</f>
        <v>35491.815000000002</v>
      </c>
      <c r="M20" s="31"/>
      <c r="N20" s="84">
        <f>8080.87+6083.37</f>
        <v>14164.24</v>
      </c>
      <c r="O20" s="42"/>
      <c r="P20" s="31">
        <v>0</v>
      </c>
      <c r="Q20" s="382">
        <f t="shared" ref="Q20:Q83" si="1">N20+O20</f>
        <v>14164.24</v>
      </c>
      <c r="R20" s="432">
        <f>8087.89+5947.22</f>
        <v>14035.11</v>
      </c>
      <c r="S20" s="295"/>
      <c r="T20" s="328">
        <f>IF(R20="","",R20-Q20)</f>
        <v>-129.1299999999992</v>
      </c>
      <c r="U20" s="421"/>
      <c r="V20" s="158">
        <f>IF(E20="D",Q20,0)</f>
        <v>14164.24</v>
      </c>
      <c r="W20" s="386">
        <f t="shared" ref="W20:W83" si="2">IF(E20="M",Q20,0)</f>
        <v>0</v>
      </c>
      <c r="X20" s="387">
        <f t="shared" ref="X20:X83" si="3">IF(E20="V",Q20,0)</f>
        <v>0</v>
      </c>
      <c r="Y20" s="305">
        <v>0</v>
      </c>
      <c r="Z20" s="305">
        <v>0</v>
      </c>
      <c r="AA20" s="38">
        <v>0</v>
      </c>
      <c r="AB20" s="16">
        <v>40454.18</v>
      </c>
      <c r="AC20" s="16">
        <v>0</v>
      </c>
      <c r="AD20" s="16">
        <v>0</v>
      </c>
      <c r="AF20" s="16">
        <v>17119.095000000001</v>
      </c>
      <c r="AG20" s="16">
        <v>0</v>
      </c>
      <c r="AH20" s="16">
        <v>0</v>
      </c>
    </row>
    <row r="21" spans="1:34">
      <c r="A21" s="16"/>
      <c r="B21" s="118"/>
      <c r="C21" s="109"/>
      <c r="D21" s="20" t="s">
        <v>109</v>
      </c>
      <c r="E21" s="20" t="s">
        <v>109</v>
      </c>
      <c r="F21" s="68" t="s">
        <v>127</v>
      </c>
      <c r="G21" s="91"/>
      <c r="H21" s="144">
        <f>'Q1 DMV - Revenue'!T20</f>
        <v>7099.4400000000023</v>
      </c>
      <c r="I21" s="350">
        <v>23964.59</v>
      </c>
      <c r="J21" s="350">
        <v>23271.15</v>
      </c>
      <c r="K21" s="393"/>
      <c r="L21" s="311">
        <f t="shared" si="0"/>
        <v>54335.180000000008</v>
      </c>
      <c r="M21" s="31"/>
      <c r="N21" s="335">
        <v>22147.5</v>
      </c>
      <c r="O21" s="42"/>
      <c r="P21" s="31">
        <v>0</v>
      </c>
      <c r="Q21" s="382">
        <f t="shared" si="1"/>
        <v>22147.5</v>
      </c>
      <c r="R21" s="178">
        <v>20710.11</v>
      </c>
      <c r="S21" s="295"/>
      <c r="T21" s="328">
        <f>IF(R21="","",R21-Q21)</f>
        <v>-1437.3899999999994</v>
      </c>
      <c r="U21" s="421"/>
      <c r="V21" s="158">
        <f t="shared" ref="V21:V84" si="4">IF(E21="D",Q21,0)</f>
        <v>0</v>
      </c>
      <c r="W21" s="386">
        <f t="shared" si="2"/>
        <v>22147.5</v>
      </c>
      <c r="X21" s="387">
        <f t="shared" si="3"/>
        <v>0</v>
      </c>
      <c r="Y21" s="305">
        <v>0</v>
      </c>
      <c r="Z21" s="305">
        <v>0</v>
      </c>
      <c r="AA21" s="38">
        <v>0</v>
      </c>
      <c r="AB21" s="16">
        <v>0</v>
      </c>
      <c r="AC21" s="16">
        <v>57322.57</v>
      </c>
      <c r="AD21" s="16">
        <v>0</v>
      </c>
      <c r="AF21" s="16">
        <v>0</v>
      </c>
      <c r="AG21" s="16">
        <v>29881.5</v>
      </c>
      <c r="AH21" s="16">
        <v>0</v>
      </c>
    </row>
    <row r="22" spans="1:34">
      <c r="A22" s="16"/>
      <c r="B22" s="118"/>
      <c r="C22" s="109"/>
      <c r="D22" s="20" t="s">
        <v>109</v>
      </c>
      <c r="E22" s="20" t="s">
        <v>110</v>
      </c>
      <c r="F22" s="68" t="s">
        <v>128</v>
      </c>
      <c r="G22" s="197"/>
      <c r="H22" s="197" t="str">
        <f>'Q1 DMV - Revenue'!T21</f>
        <v/>
      </c>
      <c r="I22" s="197"/>
      <c r="J22" s="179"/>
      <c r="K22" s="198"/>
      <c r="L22" s="198"/>
      <c r="M22" s="198"/>
      <c r="N22" s="198"/>
      <c r="O22" s="198"/>
      <c r="P22" s="31">
        <v>0</v>
      </c>
      <c r="Q22" s="436">
        <f>N22+O22</f>
        <v>0</v>
      </c>
      <c r="R22" s="437"/>
      <c r="S22" s="198"/>
      <c r="T22" s="198" t="str">
        <f>IF(R22="","",R22-Q22)</f>
        <v/>
      </c>
      <c r="U22" s="421"/>
      <c r="V22" s="158">
        <f t="shared" si="4"/>
        <v>0</v>
      </c>
      <c r="W22" s="386">
        <f t="shared" si="2"/>
        <v>0</v>
      </c>
      <c r="X22" s="387">
        <f t="shared" si="3"/>
        <v>0</v>
      </c>
      <c r="Y22" s="305">
        <v>0</v>
      </c>
      <c r="Z22" s="305">
        <v>0</v>
      </c>
      <c r="AA22" s="38">
        <v>0</v>
      </c>
      <c r="AB22" s="16">
        <v>0</v>
      </c>
      <c r="AC22" s="16">
        <v>0</v>
      </c>
      <c r="AD22" s="16">
        <v>0</v>
      </c>
      <c r="AF22" s="16">
        <v>0</v>
      </c>
      <c r="AG22" s="16">
        <v>0</v>
      </c>
      <c r="AH22" s="16">
        <v>0</v>
      </c>
    </row>
    <row r="23" spans="1:34">
      <c r="A23" s="16"/>
      <c r="B23" s="118"/>
      <c r="C23" s="109"/>
      <c r="D23" s="20" t="s">
        <v>109</v>
      </c>
      <c r="E23" s="20" t="s">
        <v>110</v>
      </c>
      <c r="F23" s="68" t="s">
        <v>129</v>
      </c>
      <c r="G23" s="91"/>
      <c r="H23" s="144">
        <f>'Q1 DMV - Revenue'!T22</f>
        <v>-0.18800000000000239</v>
      </c>
      <c r="I23" s="350">
        <v>24.95</v>
      </c>
      <c r="J23" s="358">
        <v>76.17</v>
      </c>
      <c r="K23" s="392"/>
      <c r="L23" s="311">
        <f t="shared" si="0"/>
        <v>100.932</v>
      </c>
      <c r="M23" s="31"/>
      <c r="N23" s="84">
        <v>90.003399999999999</v>
      </c>
      <c r="O23" s="42"/>
      <c r="P23" s="31">
        <v>0</v>
      </c>
      <c r="Q23" s="382">
        <f t="shared" si="1"/>
        <v>90.003399999999999</v>
      </c>
      <c r="R23" s="178">
        <v>90.08</v>
      </c>
      <c r="S23" s="295"/>
      <c r="T23" s="328">
        <f t="shared" ref="T23:T87" si="5">IF(R23="","",R23-Q23)</f>
        <v>7.6599999999999113E-2</v>
      </c>
      <c r="U23" s="421"/>
      <c r="V23" s="158">
        <f t="shared" si="4"/>
        <v>90.003399999999999</v>
      </c>
      <c r="W23" s="386">
        <f t="shared" si="2"/>
        <v>0</v>
      </c>
      <c r="X23" s="387">
        <f t="shared" si="3"/>
        <v>0</v>
      </c>
      <c r="Y23" s="305">
        <v>0</v>
      </c>
      <c r="Z23" s="305">
        <v>0</v>
      </c>
      <c r="AA23" s="38">
        <v>0</v>
      </c>
      <c r="AB23" s="16">
        <v>0</v>
      </c>
      <c r="AC23" s="16">
        <v>130.77000000000001</v>
      </c>
      <c r="AD23" s="16">
        <v>0</v>
      </c>
      <c r="AF23" s="16">
        <v>0</v>
      </c>
      <c r="AG23" s="16">
        <v>28.518000000000001</v>
      </c>
      <c r="AH23" s="16">
        <v>0</v>
      </c>
    </row>
    <row r="24" spans="1:34">
      <c r="A24" s="16"/>
      <c r="B24" s="118"/>
      <c r="C24" s="109"/>
      <c r="D24" s="20" t="s">
        <v>109</v>
      </c>
      <c r="E24" s="20" t="s">
        <v>110</v>
      </c>
      <c r="F24" s="68" t="s">
        <v>130</v>
      </c>
      <c r="G24" s="197"/>
      <c r="H24" s="197" t="str">
        <f>'Q1 DMV - Revenue'!T23</f>
        <v/>
      </c>
      <c r="I24" s="197"/>
      <c r="J24" s="179"/>
      <c r="K24" s="198"/>
      <c r="L24" s="198"/>
      <c r="M24" s="198"/>
      <c r="N24" s="198"/>
      <c r="O24" s="198"/>
      <c r="P24" s="31">
        <v>0</v>
      </c>
      <c r="Q24" s="436">
        <f>N24+O24</f>
        <v>0</v>
      </c>
      <c r="R24" s="437"/>
      <c r="S24" s="198"/>
      <c r="T24" s="198" t="str">
        <f>IF(R24="","",R24-Q24)</f>
        <v/>
      </c>
      <c r="U24" s="421">
        <v>136957.04</v>
      </c>
      <c r="V24" s="158">
        <f t="shared" si="4"/>
        <v>0</v>
      </c>
      <c r="W24" s="386">
        <f t="shared" si="2"/>
        <v>0</v>
      </c>
      <c r="X24" s="387">
        <f t="shared" si="3"/>
        <v>0</v>
      </c>
      <c r="Y24" s="305">
        <v>0</v>
      </c>
      <c r="Z24" s="305">
        <v>0</v>
      </c>
      <c r="AA24" s="38">
        <v>0</v>
      </c>
      <c r="AB24" s="16">
        <v>0</v>
      </c>
      <c r="AC24" s="16">
        <v>0</v>
      </c>
      <c r="AD24" s="16">
        <v>0</v>
      </c>
      <c r="AF24" s="16">
        <v>0</v>
      </c>
      <c r="AG24" s="16">
        <v>0</v>
      </c>
      <c r="AH24" s="16">
        <v>0</v>
      </c>
    </row>
    <row r="25" spans="1:34">
      <c r="A25" s="16"/>
      <c r="B25" s="118"/>
      <c r="C25" s="109"/>
      <c r="D25" s="20"/>
      <c r="E25" s="20" t="s">
        <v>110</v>
      </c>
      <c r="F25" s="123" t="s">
        <v>131</v>
      </c>
      <c r="G25" s="91"/>
      <c r="H25" s="144">
        <f>'Q1 DMV - Revenue'!T24</f>
        <v>189.70000000000027</v>
      </c>
      <c r="I25" s="342">
        <v>3206.21</v>
      </c>
      <c r="J25" s="355">
        <v>3512.85</v>
      </c>
      <c r="K25" s="355">
        <v>3051.48</v>
      </c>
      <c r="L25" s="311">
        <f t="shared" si="0"/>
        <v>9960.24</v>
      </c>
      <c r="M25" s="31"/>
      <c r="N25" s="84"/>
      <c r="O25" s="42"/>
      <c r="P25" s="31">
        <v>0</v>
      </c>
      <c r="Q25" s="382">
        <f t="shared" si="1"/>
        <v>0</v>
      </c>
      <c r="R25" s="178"/>
      <c r="S25" s="295"/>
      <c r="T25" s="328" t="str">
        <f t="shared" si="5"/>
        <v/>
      </c>
      <c r="U25" s="421"/>
      <c r="V25" s="158">
        <f t="shared" si="4"/>
        <v>0</v>
      </c>
      <c r="W25" s="386">
        <f t="shared" si="2"/>
        <v>0</v>
      </c>
      <c r="X25" s="387">
        <f t="shared" si="3"/>
        <v>0</v>
      </c>
      <c r="Y25" s="305">
        <v>0</v>
      </c>
      <c r="Z25" s="305">
        <v>0</v>
      </c>
      <c r="AA25" s="38">
        <v>0</v>
      </c>
      <c r="AB25" s="16">
        <v>5809.16</v>
      </c>
      <c r="AC25" s="16">
        <v>0</v>
      </c>
      <c r="AD25" s="16">
        <v>0</v>
      </c>
      <c r="AF25" s="16">
        <v>2904.58</v>
      </c>
      <c r="AG25" s="16">
        <v>0</v>
      </c>
      <c r="AH25" s="16">
        <v>0</v>
      </c>
    </row>
    <row r="26" spans="1:34">
      <c r="A26" s="16"/>
      <c r="B26" s="118"/>
      <c r="C26" s="109"/>
      <c r="D26" s="20"/>
      <c r="E26" s="20" t="s">
        <v>110</v>
      </c>
      <c r="F26" s="123" t="s">
        <v>132</v>
      </c>
      <c r="G26" s="91"/>
      <c r="H26" s="144">
        <f>'Q1 DMV - Revenue'!T25</f>
        <v>490.32500000000027</v>
      </c>
      <c r="I26" s="342">
        <v>3438.92</v>
      </c>
      <c r="J26" s="355">
        <v>3757.94</v>
      </c>
      <c r="K26" s="355">
        <v>3372.39</v>
      </c>
      <c r="L26" s="311">
        <f t="shared" si="0"/>
        <v>11059.575000000001</v>
      </c>
      <c r="M26" s="31"/>
      <c r="N26" s="84"/>
      <c r="O26" s="42"/>
      <c r="P26" s="31">
        <v>0</v>
      </c>
      <c r="Q26" s="382">
        <f t="shared" si="1"/>
        <v>0</v>
      </c>
      <c r="R26" s="178"/>
      <c r="S26" s="295"/>
      <c r="T26" s="328" t="str">
        <f t="shared" si="5"/>
        <v/>
      </c>
      <c r="U26" s="421"/>
      <c r="V26" s="158">
        <f t="shared" si="4"/>
        <v>0</v>
      </c>
      <c r="W26" s="386">
        <f t="shared" si="2"/>
        <v>0</v>
      </c>
      <c r="X26" s="387">
        <f t="shared" si="3"/>
        <v>0</v>
      </c>
      <c r="Y26" s="305">
        <v>0</v>
      </c>
      <c r="Z26" s="305">
        <v>0</v>
      </c>
      <c r="AA26" s="38">
        <v>0</v>
      </c>
      <c r="AB26" s="16">
        <v>6365.87</v>
      </c>
      <c r="AC26" s="16">
        <v>0</v>
      </c>
      <c r="AD26" s="16">
        <v>0</v>
      </c>
      <c r="AF26" s="16">
        <v>3182.9349999999999</v>
      </c>
      <c r="AG26" s="16">
        <v>0</v>
      </c>
      <c r="AH26" s="16">
        <v>0</v>
      </c>
    </row>
    <row r="27" spans="1:34">
      <c r="A27" s="16"/>
      <c r="B27" s="118"/>
      <c r="C27" s="109"/>
      <c r="D27" s="20"/>
      <c r="E27" s="20" t="s">
        <v>110</v>
      </c>
      <c r="F27" s="123" t="s">
        <v>133</v>
      </c>
      <c r="G27" s="91"/>
      <c r="H27" s="144">
        <f>'Q1 DMV - Revenue'!T26</f>
        <v>195.69999999999993</v>
      </c>
      <c r="I27" s="342">
        <v>1931.9</v>
      </c>
      <c r="J27" s="355">
        <v>1892</v>
      </c>
      <c r="K27" s="355">
        <v>2358.3000000000002</v>
      </c>
      <c r="L27" s="311">
        <f t="shared" si="0"/>
        <v>6377.9</v>
      </c>
      <c r="M27" s="31"/>
      <c r="N27" s="84"/>
      <c r="O27" s="42"/>
      <c r="P27" s="31">
        <v>0</v>
      </c>
      <c r="Q27" s="382">
        <f t="shared" si="1"/>
        <v>0</v>
      </c>
      <c r="R27" s="178"/>
      <c r="S27" s="295"/>
      <c r="T27" s="328" t="str">
        <f t="shared" si="5"/>
        <v/>
      </c>
      <c r="U27" s="421">
        <v>34501.129999999997</v>
      </c>
      <c r="V27" s="158">
        <f t="shared" si="4"/>
        <v>0</v>
      </c>
      <c r="W27" s="386">
        <f t="shared" si="2"/>
        <v>0</v>
      </c>
      <c r="X27" s="387">
        <f t="shared" si="3"/>
        <v>0</v>
      </c>
      <c r="Y27" s="305">
        <v>0</v>
      </c>
      <c r="Z27" s="305">
        <v>0</v>
      </c>
      <c r="AA27" s="38">
        <v>0</v>
      </c>
      <c r="AB27" s="16">
        <v>2031.8</v>
      </c>
      <c r="AC27" s="16">
        <v>0</v>
      </c>
      <c r="AD27" s="16">
        <v>0</v>
      </c>
      <c r="AF27" s="16">
        <v>1015.9</v>
      </c>
      <c r="AG27" s="16">
        <v>0</v>
      </c>
      <c r="AH27" s="16">
        <v>0</v>
      </c>
    </row>
    <row r="28" spans="1:34">
      <c r="A28" s="16"/>
      <c r="B28" s="119"/>
      <c r="C28" s="113"/>
      <c r="D28" s="20" t="s">
        <v>211</v>
      </c>
      <c r="E28" s="20" t="s">
        <v>109</v>
      </c>
      <c r="F28" s="68" t="s">
        <v>187</v>
      </c>
      <c r="G28" s="91"/>
      <c r="H28" s="144">
        <f>'Q1 DMV - Revenue'!T27</f>
        <v>-5847.1599999999962</v>
      </c>
      <c r="I28" s="315"/>
      <c r="J28" s="315"/>
      <c r="K28" s="390"/>
      <c r="L28" s="311">
        <f t="shared" si="0"/>
        <v>-5847.1599999999962</v>
      </c>
      <c r="M28" s="2"/>
      <c r="N28" s="336">
        <f>15836.12+17091.48</f>
        <v>32927.599999999999</v>
      </c>
      <c r="O28" s="42"/>
      <c r="P28" s="31">
        <v>0</v>
      </c>
      <c r="Q28" s="382">
        <f t="shared" si="1"/>
        <v>32927.599999999999</v>
      </c>
      <c r="R28" s="440">
        <v>48298.239999999998</v>
      </c>
      <c r="S28" s="295"/>
      <c r="T28" s="328">
        <f t="shared" si="5"/>
        <v>15370.64</v>
      </c>
      <c r="U28" s="421"/>
      <c r="V28" s="158">
        <f t="shared" si="4"/>
        <v>0</v>
      </c>
      <c r="W28" s="386">
        <f t="shared" si="2"/>
        <v>32927.599999999999</v>
      </c>
      <c r="X28" s="387">
        <f t="shared" si="3"/>
        <v>0</v>
      </c>
      <c r="Y28" s="306">
        <v>0</v>
      </c>
      <c r="Z28" s="305">
        <v>0</v>
      </c>
      <c r="AA28" s="38">
        <v>0</v>
      </c>
      <c r="AB28" s="16">
        <v>0</v>
      </c>
      <c r="AC28" s="16">
        <v>9.9999999947613105E-3</v>
      </c>
      <c r="AD28" s="16">
        <v>0</v>
      </c>
      <c r="AF28" s="16">
        <v>0</v>
      </c>
      <c r="AG28" s="16">
        <v>66874.17</v>
      </c>
      <c r="AH28" s="16">
        <v>0</v>
      </c>
    </row>
    <row r="29" spans="1:34">
      <c r="A29" s="16"/>
      <c r="B29" s="119"/>
      <c r="C29" s="113"/>
      <c r="D29" s="32"/>
      <c r="E29" s="20" t="s">
        <v>109</v>
      </c>
      <c r="F29" s="412" t="s">
        <v>189</v>
      </c>
      <c r="G29" s="91"/>
      <c r="H29" s="144">
        <f>'Q1 DMV - Revenue'!T28</f>
        <v>-2278.59</v>
      </c>
      <c r="I29" s="339"/>
      <c r="J29" s="339"/>
      <c r="K29" s="390"/>
      <c r="L29" s="311">
        <f t="shared" si="0"/>
        <v>-2278.59</v>
      </c>
      <c r="M29" s="2"/>
      <c r="N29" s="336">
        <f>1027.9+376.05</f>
        <v>1403.95</v>
      </c>
      <c r="O29" s="42"/>
      <c r="P29" s="31">
        <v>0</v>
      </c>
      <c r="Q29" s="382">
        <f t="shared" si="1"/>
        <v>1403.95</v>
      </c>
      <c r="R29" s="440">
        <v>2678.06</v>
      </c>
      <c r="S29" s="295"/>
      <c r="T29" s="328">
        <f>IF(R29="","",R29-Q29)</f>
        <v>1274.1099999999999</v>
      </c>
      <c r="U29" s="421"/>
      <c r="V29" s="158">
        <f t="shared" si="4"/>
        <v>0</v>
      </c>
      <c r="W29" s="386">
        <f>IF(E29="M",Q29,0)-Z29</f>
        <v>0</v>
      </c>
      <c r="X29" s="387">
        <f t="shared" si="3"/>
        <v>0</v>
      </c>
      <c r="Y29" s="305">
        <v>0</v>
      </c>
      <c r="Z29" s="306">
        <f>Q29</f>
        <v>1403.95</v>
      </c>
      <c r="AA29" s="38">
        <v>0</v>
      </c>
      <c r="AB29" s="16">
        <v>0</v>
      </c>
      <c r="AC29" s="16">
        <v>-3.0000000000654836E-2</v>
      </c>
      <c r="AD29" s="16">
        <v>0</v>
      </c>
      <c r="AF29" s="16">
        <v>0</v>
      </c>
      <c r="AG29" s="16">
        <v>7698.57</v>
      </c>
      <c r="AH29" s="16">
        <v>0</v>
      </c>
    </row>
    <row r="30" spans="1:34">
      <c r="A30" s="16"/>
      <c r="B30" s="119"/>
      <c r="C30" s="113"/>
      <c r="D30" s="32"/>
      <c r="E30" s="20" t="s">
        <v>109</v>
      </c>
      <c r="F30" s="412" t="s">
        <v>188</v>
      </c>
      <c r="G30" s="91"/>
      <c r="H30" s="144">
        <f>'Q1 DMV - Revenue'!T29</f>
        <v>-148.20000000000005</v>
      </c>
      <c r="I30" s="339"/>
      <c r="J30" s="339"/>
      <c r="K30" s="390"/>
      <c r="L30" s="311">
        <f t="shared" si="0"/>
        <v>-148.20000000000005</v>
      </c>
      <c r="M30" s="2"/>
      <c r="N30" s="336">
        <f>354.59+948.15</f>
        <v>1302.74</v>
      </c>
      <c r="O30" s="42"/>
      <c r="P30" s="31">
        <v>0</v>
      </c>
      <c r="Q30" s="382">
        <f t="shared" si="1"/>
        <v>1302.74</v>
      </c>
      <c r="R30" s="440">
        <v>996.7</v>
      </c>
      <c r="S30" s="295"/>
      <c r="T30" s="328">
        <f t="shared" si="5"/>
        <v>-306.03999999999996</v>
      </c>
      <c r="U30" s="421">
        <v>68059.259999999995</v>
      </c>
      <c r="V30" s="158">
        <f t="shared" si="4"/>
        <v>0</v>
      </c>
      <c r="W30" s="386">
        <f t="shared" si="2"/>
        <v>1302.74</v>
      </c>
      <c r="X30" s="387">
        <f t="shared" si="3"/>
        <v>0</v>
      </c>
      <c r="Y30" s="306">
        <v>0</v>
      </c>
      <c r="Z30" s="305">
        <v>0</v>
      </c>
      <c r="AA30" s="38">
        <v>0</v>
      </c>
      <c r="AB30" s="16">
        <v>0</v>
      </c>
      <c r="AC30" s="16">
        <v>-2.9999999999972715E-2</v>
      </c>
      <c r="AD30" s="16">
        <v>0</v>
      </c>
      <c r="AF30" s="16">
        <v>0</v>
      </c>
      <c r="AG30" s="16">
        <v>1760.47</v>
      </c>
      <c r="AH30" s="16">
        <v>0</v>
      </c>
    </row>
    <row r="31" spans="1:34">
      <c r="A31" s="16"/>
      <c r="B31" s="118" t="s">
        <v>70</v>
      </c>
      <c r="C31" s="109"/>
      <c r="D31" s="20"/>
      <c r="E31" s="20" t="s">
        <v>110</v>
      </c>
      <c r="F31" s="68" t="s">
        <v>191</v>
      </c>
      <c r="G31" s="91">
        <v>120.82</v>
      </c>
      <c r="H31" s="144">
        <f>'Q1 DMV - Revenue'!T30</f>
        <v>258.19</v>
      </c>
      <c r="I31" s="363">
        <v>39.54</v>
      </c>
      <c r="J31" s="359">
        <v>57.31</v>
      </c>
      <c r="K31" s="316"/>
      <c r="L31" s="311">
        <f t="shared" si="0"/>
        <v>475.86</v>
      </c>
      <c r="M31" s="31"/>
      <c r="N31" s="84"/>
      <c r="O31" s="42">
        <f>(I31+J31)/2</f>
        <v>48.424999999999997</v>
      </c>
      <c r="P31" s="31">
        <v>0</v>
      </c>
      <c r="Q31" s="382">
        <f t="shared" si="1"/>
        <v>48.424999999999997</v>
      </c>
      <c r="R31" s="178">
        <v>104.76</v>
      </c>
      <c r="S31" s="295"/>
      <c r="T31" s="328">
        <f t="shared" si="5"/>
        <v>56.335000000000008</v>
      </c>
      <c r="U31" s="421">
        <v>436.32</v>
      </c>
      <c r="V31" s="158">
        <f t="shared" si="4"/>
        <v>48.424999999999997</v>
      </c>
      <c r="W31" s="386">
        <f t="shared" si="2"/>
        <v>0</v>
      </c>
      <c r="X31" s="387">
        <f t="shared" si="3"/>
        <v>0</v>
      </c>
      <c r="Y31" s="306">
        <v>0</v>
      </c>
      <c r="Z31" s="305">
        <v>0</v>
      </c>
      <c r="AA31" s="38">
        <v>0</v>
      </c>
      <c r="AB31" s="16">
        <v>0</v>
      </c>
      <c r="AC31" s="16">
        <v>-100</v>
      </c>
      <c r="AD31" s="16">
        <v>0</v>
      </c>
      <c r="AF31" s="16">
        <v>0</v>
      </c>
      <c r="AG31" s="16">
        <v>0</v>
      </c>
      <c r="AH31" s="16">
        <v>0</v>
      </c>
    </row>
    <row r="32" spans="1:34">
      <c r="A32" s="16"/>
      <c r="B32" s="118" t="s">
        <v>70</v>
      </c>
      <c r="C32" s="109"/>
      <c r="D32" s="20"/>
      <c r="E32" s="20" t="s">
        <v>109</v>
      </c>
      <c r="F32" s="68" t="s">
        <v>1</v>
      </c>
      <c r="G32" s="133"/>
      <c r="H32" s="144" t="str">
        <f>'Q1 DMV - Revenue'!T31</f>
        <v/>
      </c>
      <c r="I32" s="339"/>
      <c r="J32" s="338"/>
      <c r="K32" s="317"/>
      <c r="L32" s="311">
        <f t="shared" si="0"/>
        <v>0</v>
      </c>
      <c r="M32" s="31"/>
      <c r="N32" s="84"/>
      <c r="O32" s="42"/>
      <c r="P32" s="31">
        <v>0</v>
      </c>
      <c r="Q32" s="382">
        <f t="shared" si="1"/>
        <v>0</v>
      </c>
      <c r="R32" s="178"/>
      <c r="S32" s="295"/>
      <c r="T32" s="328" t="str">
        <f t="shared" si="5"/>
        <v/>
      </c>
      <c r="U32" s="421"/>
      <c r="V32" s="158">
        <f t="shared" si="4"/>
        <v>0</v>
      </c>
      <c r="W32" s="386">
        <f t="shared" si="2"/>
        <v>0</v>
      </c>
      <c r="X32" s="387">
        <f t="shared" si="3"/>
        <v>0</v>
      </c>
      <c r="Y32" s="306">
        <v>0</v>
      </c>
      <c r="Z32" s="305">
        <v>0</v>
      </c>
      <c r="AA32" s="38">
        <v>0</v>
      </c>
      <c r="AB32" s="16">
        <v>0</v>
      </c>
      <c r="AC32" s="16">
        <v>0</v>
      </c>
      <c r="AD32" s="16">
        <v>0</v>
      </c>
      <c r="AF32" s="16">
        <v>0</v>
      </c>
      <c r="AG32" s="16">
        <v>0</v>
      </c>
      <c r="AH32" s="16">
        <v>0</v>
      </c>
    </row>
    <row r="33" spans="1:34">
      <c r="A33" s="16"/>
      <c r="B33" s="118"/>
      <c r="C33" s="109"/>
      <c r="D33" s="20" t="s">
        <v>213</v>
      </c>
      <c r="E33" s="20" t="s">
        <v>110</v>
      </c>
      <c r="F33" s="68" t="s">
        <v>2</v>
      </c>
      <c r="G33" s="197"/>
      <c r="H33" s="197" t="str">
        <f>'Q1 DMV - Revenue'!T32</f>
        <v/>
      </c>
      <c r="I33" s="197"/>
      <c r="J33" s="179"/>
      <c r="K33" s="203"/>
      <c r="L33" s="394"/>
      <c r="M33" s="394"/>
      <c r="N33" s="394"/>
      <c r="O33" s="394"/>
      <c r="P33" s="394"/>
      <c r="Q33" s="203">
        <f>N33+O33</f>
        <v>0</v>
      </c>
      <c r="R33" s="435"/>
      <c r="S33" s="394"/>
      <c r="T33" s="394" t="str">
        <f>IF(R33="","",R33-Q33)</f>
        <v/>
      </c>
      <c r="U33" s="421"/>
      <c r="V33" s="158">
        <f t="shared" si="4"/>
        <v>0</v>
      </c>
      <c r="W33" s="386">
        <f t="shared" si="2"/>
        <v>0</v>
      </c>
      <c r="X33" s="387">
        <f t="shared" si="3"/>
        <v>0</v>
      </c>
      <c r="Y33" s="306">
        <v>0</v>
      </c>
      <c r="Z33" s="305">
        <v>0</v>
      </c>
      <c r="AA33" s="38">
        <v>0</v>
      </c>
      <c r="AB33" s="16">
        <v>0</v>
      </c>
      <c r="AC33" s="16">
        <v>0</v>
      </c>
      <c r="AD33" s="16">
        <v>0</v>
      </c>
      <c r="AF33" s="16">
        <v>0</v>
      </c>
      <c r="AG33" s="16">
        <v>0</v>
      </c>
      <c r="AH33" s="16">
        <v>0</v>
      </c>
    </row>
    <row r="34" spans="1:34" s="232" customFormat="1">
      <c r="B34" s="281"/>
      <c r="C34" s="282"/>
      <c r="D34" s="283"/>
      <c r="E34" s="283" t="s">
        <v>110</v>
      </c>
      <c r="F34" s="123" t="s">
        <v>401</v>
      </c>
      <c r="G34" s="300"/>
      <c r="H34" s="285">
        <f>'Q1 DMV - Revenue'!T33</f>
        <v>0.95000000001164153</v>
      </c>
      <c r="I34" s="391">
        <f>260043.18+9.36</f>
        <v>260052.53999999998</v>
      </c>
      <c r="J34" s="405">
        <v>259030.9</v>
      </c>
      <c r="K34" s="287"/>
      <c r="L34" s="398">
        <f>SUM(G34:K34)</f>
        <v>519084.39</v>
      </c>
      <c r="M34" s="31"/>
      <c r="N34" s="400"/>
      <c r="O34" s="290">
        <f>(I34+J34)/2</f>
        <v>259541.71999999997</v>
      </c>
      <c r="P34" s="31">
        <v>0</v>
      </c>
      <c r="Q34" s="382">
        <f>N34+O34</f>
        <v>259541.71999999997</v>
      </c>
      <c r="R34" s="14">
        <v>213843.7</v>
      </c>
      <c r="S34" s="295"/>
      <c r="T34" s="328">
        <f t="shared" si="5"/>
        <v>-45698.01999999996</v>
      </c>
      <c r="U34" s="421">
        <f>815333.19</f>
        <v>815333.19</v>
      </c>
      <c r="V34" s="291">
        <f t="shared" si="4"/>
        <v>259541.71999999997</v>
      </c>
      <c r="W34" s="495">
        <f t="shared" si="2"/>
        <v>0</v>
      </c>
      <c r="X34" s="496">
        <f t="shared" si="3"/>
        <v>0</v>
      </c>
      <c r="Y34" s="406">
        <v>0</v>
      </c>
      <c r="Z34" s="399">
        <v>0</v>
      </c>
      <c r="AA34" s="233">
        <v>0</v>
      </c>
      <c r="AB34" s="232">
        <v>473801.99</v>
      </c>
      <c r="AC34" s="232">
        <v>0</v>
      </c>
      <c r="AD34" s="232">
        <v>0</v>
      </c>
      <c r="AF34" s="232">
        <v>254561</v>
      </c>
      <c r="AG34" s="232">
        <v>0</v>
      </c>
      <c r="AH34" s="232">
        <v>0</v>
      </c>
    </row>
    <row r="35" spans="1:34" s="232" customFormat="1">
      <c r="B35" s="281"/>
      <c r="C35" s="282"/>
      <c r="D35" s="283"/>
      <c r="E35" s="283" t="s">
        <v>110</v>
      </c>
      <c r="F35" s="123" t="s">
        <v>402</v>
      </c>
      <c r="G35" s="300"/>
      <c r="H35" s="285">
        <f>'Q1 DMV - Revenue'!T34</f>
        <v>19725.499999999996</v>
      </c>
      <c r="I35" s="391">
        <v>5880</v>
      </c>
      <c r="J35" s="405">
        <v>6082.3</v>
      </c>
      <c r="K35" s="287"/>
      <c r="L35" s="398">
        <f t="shared" si="0"/>
        <v>31687.799999999996</v>
      </c>
      <c r="M35" s="31"/>
      <c r="N35" s="86"/>
      <c r="O35" s="290">
        <f t="shared" ref="O35:O40" si="6">(I35+J35)/2</f>
        <v>5981.15</v>
      </c>
      <c r="P35" s="31">
        <v>0</v>
      </c>
      <c r="Q35" s="382">
        <f t="shared" si="1"/>
        <v>5981.15</v>
      </c>
      <c r="R35" s="14">
        <v>5273.8</v>
      </c>
      <c r="S35" s="295"/>
      <c r="T35" s="328">
        <f t="shared" si="5"/>
        <v>-707.34999999999945</v>
      </c>
      <c r="U35" s="421"/>
      <c r="V35" s="291">
        <f>IF(E35="D",Q35,0)-Y35</f>
        <v>0</v>
      </c>
      <c r="W35" s="495">
        <f t="shared" si="2"/>
        <v>0</v>
      </c>
      <c r="X35" s="496">
        <f t="shared" si="3"/>
        <v>0</v>
      </c>
      <c r="Y35" s="406">
        <f>Q35</f>
        <v>5981.15</v>
      </c>
      <c r="Z35" s="399">
        <v>0</v>
      </c>
      <c r="AA35" s="233">
        <v>0</v>
      </c>
      <c r="AB35" s="232">
        <v>3461.7</v>
      </c>
      <c r="AC35" s="232">
        <v>0</v>
      </c>
      <c r="AD35" s="232">
        <v>0</v>
      </c>
      <c r="AF35" s="232">
        <v>10000</v>
      </c>
      <c r="AG35" s="232">
        <v>0</v>
      </c>
      <c r="AH35" s="232">
        <v>0</v>
      </c>
    </row>
    <row r="36" spans="1:34" s="232" customFormat="1">
      <c r="B36" s="281"/>
      <c r="C36" s="282"/>
      <c r="D36" s="283"/>
      <c r="E36" s="283" t="s">
        <v>110</v>
      </c>
      <c r="F36" s="123" t="s">
        <v>403</v>
      </c>
      <c r="G36" s="300"/>
      <c r="H36" s="285">
        <f>'Q1 DMV - Revenue'!T35</f>
        <v>33.410000000003492</v>
      </c>
      <c r="I36" s="391">
        <v>42900.9</v>
      </c>
      <c r="J36" s="405">
        <v>49748.88</v>
      </c>
      <c r="K36" s="287"/>
      <c r="L36" s="398">
        <f t="shared" si="0"/>
        <v>92683.19</v>
      </c>
      <c r="M36" s="31"/>
      <c r="N36" s="400"/>
      <c r="O36" s="290">
        <f t="shared" si="6"/>
        <v>46324.89</v>
      </c>
      <c r="P36" s="31">
        <v>0</v>
      </c>
      <c r="Q36" s="382">
        <f t="shared" si="1"/>
        <v>46324.89</v>
      </c>
      <c r="R36" s="353">
        <v>45192.24</v>
      </c>
      <c r="S36" s="295"/>
      <c r="T36" s="328">
        <f t="shared" si="5"/>
        <v>-1132.6500000000015</v>
      </c>
      <c r="U36" s="421"/>
      <c r="V36" s="291">
        <f t="shared" si="4"/>
        <v>46324.89</v>
      </c>
      <c r="W36" s="495">
        <f t="shared" si="2"/>
        <v>0</v>
      </c>
      <c r="X36" s="496">
        <f t="shared" si="3"/>
        <v>0</v>
      </c>
      <c r="Y36" s="406">
        <v>0</v>
      </c>
      <c r="Z36" s="399">
        <v>0</v>
      </c>
      <c r="AA36" s="233">
        <v>0</v>
      </c>
      <c r="AB36" s="232">
        <v>100541.04000000001</v>
      </c>
      <c r="AC36" s="232">
        <v>0</v>
      </c>
      <c r="AD36" s="232">
        <v>0</v>
      </c>
      <c r="AF36" s="232">
        <v>44826</v>
      </c>
      <c r="AG36" s="232">
        <v>0</v>
      </c>
      <c r="AH36" s="232">
        <v>0</v>
      </c>
    </row>
    <row r="37" spans="1:34" s="232" customFormat="1">
      <c r="B37" s="281"/>
      <c r="C37" s="282"/>
      <c r="D37" s="283"/>
      <c r="E37" s="283" t="s">
        <v>110</v>
      </c>
      <c r="F37" s="123" t="s">
        <v>404</v>
      </c>
      <c r="G37" s="300"/>
      <c r="H37" s="285">
        <f>'Q1 DMV - Revenue'!T36</f>
        <v>-4697.739999999998</v>
      </c>
      <c r="I37" s="391">
        <v>50007.18</v>
      </c>
      <c r="J37" s="405">
        <v>58369.97</v>
      </c>
      <c r="K37" s="287"/>
      <c r="L37" s="398">
        <f t="shared" si="0"/>
        <v>103679.41</v>
      </c>
      <c r="M37" s="31"/>
      <c r="N37" s="400"/>
      <c r="O37" s="290">
        <f t="shared" si="6"/>
        <v>54188.574999999997</v>
      </c>
      <c r="P37" s="31">
        <v>0</v>
      </c>
      <c r="Q37" s="382">
        <f t="shared" si="1"/>
        <v>54188.574999999997</v>
      </c>
      <c r="R37" s="353">
        <v>49771.82</v>
      </c>
      <c r="S37" s="295"/>
      <c r="T37" s="328">
        <f t="shared" si="5"/>
        <v>-4416.7549999999974</v>
      </c>
      <c r="U37" s="421"/>
      <c r="V37" s="291">
        <f t="shared" si="4"/>
        <v>54188.574999999997</v>
      </c>
      <c r="W37" s="495">
        <f t="shared" si="2"/>
        <v>0</v>
      </c>
      <c r="X37" s="496">
        <f t="shared" si="3"/>
        <v>0</v>
      </c>
      <c r="Y37" s="406">
        <v>0</v>
      </c>
      <c r="Z37" s="399">
        <v>0</v>
      </c>
      <c r="AA37" s="233">
        <v>0</v>
      </c>
      <c r="AB37" s="232">
        <v>112673.56</v>
      </c>
      <c r="AC37" s="232">
        <v>0</v>
      </c>
      <c r="AD37" s="232">
        <v>0</v>
      </c>
      <c r="AF37" s="232">
        <v>56907</v>
      </c>
      <c r="AG37" s="232">
        <v>0</v>
      </c>
      <c r="AH37" s="232">
        <v>0</v>
      </c>
    </row>
    <row r="38" spans="1:34" s="232" customFormat="1">
      <c r="B38" s="281"/>
      <c r="C38" s="282"/>
      <c r="D38" s="283"/>
      <c r="E38" s="283" t="s">
        <v>110</v>
      </c>
      <c r="F38" s="123" t="s">
        <v>405</v>
      </c>
      <c r="G38" s="300"/>
      <c r="H38" s="285">
        <f>'Q1 DMV - Revenue'!T37</f>
        <v>4.0799999999999272</v>
      </c>
      <c r="I38" s="391">
        <v>12216.7</v>
      </c>
      <c r="J38" s="405">
        <v>11051.04</v>
      </c>
      <c r="K38" s="287"/>
      <c r="L38" s="398">
        <f t="shared" si="0"/>
        <v>23271.82</v>
      </c>
      <c r="M38" s="31"/>
      <c r="N38" s="400"/>
      <c r="O38" s="290">
        <f t="shared" si="6"/>
        <v>11633.87</v>
      </c>
      <c r="P38" s="31">
        <v>0</v>
      </c>
      <c r="Q38" s="382">
        <f t="shared" si="1"/>
        <v>11633.87</v>
      </c>
      <c r="R38" s="353">
        <v>9892.43</v>
      </c>
      <c r="S38" s="295"/>
      <c r="T38" s="328">
        <f>IF(R38="","",R38-Q38)</f>
        <v>-1741.4400000000005</v>
      </c>
      <c r="U38" s="421"/>
      <c r="V38" s="291">
        <f t="shared" si="4"/>
        <v>11633.87</v>
      </c>
      <c r="W38" s="495">
        <f t="shared" si="2"/>
        <v>0</v>
      </c>
      <c r="X38" s="496">
        <f t="shared" si="3"/>
        <v>0</v>
      </c>
      <c r="Y38" s="406">
        <v>0</v>
      </c>
      <c r="Z38" s="399">
        <v>0</v>
      </c>
      <c r="AA38" s="233">
        <v>0</v>
      </c>
      <c r="AB38" s="232">
        <v>20792.66</v>
      </c>
      <c r="AC38" s="232">
        <v>0</v>
      </c>
      <c r="AD38" s="232">
        <v>0</v>
      </c>
      <c r="AF38" s="232">
        <v>13922</v>
      </c>
      <c r="AG38" s="232">
        <v>0</v>
      </c>
      <c r="AH38" s="232">
        <v>0</v>
      </c>
    </row>
    <row r="39" spans="1:34" s="232" customFormat="1">
      <c r="B39" s="281"/>
      <c r="C39" s="282"/>
      <c r="D39" s="283"/>
      <c r="E39" s="283" t="s">
        <v>110</v>
      </c>
      <c r="F39" s="123" t="s">
        <v>406</v>
      </c>
      <c r="G39" s="300"/>
      <c r="H39" s="285">
        <f>'Q1 DMV - Revenue'!T38</f>
        <v>3606.85</v>
      </c>
      <c r="I39" s="391">
        <v>3641.09</v>
      </c>
      <c r="J39" s="405">
        <v>4143.54</v>
      </c>
      <c r="K39" s="287"/>
      <c r="L39" s="398">
        <f t="shared" si="0"/>
        <v>11391.48</v>
      </c>
      <c r="M39" s="31"/>
      <c r="N39" s="86"/>
      <c r="O39" s="290">
        <f t="shared" si="6"/>
        <v>3892.3150000000001</v>
      </c>
      <c r="P39" s="31"/>
      <c r="Q39" s="382">
        <f t="shared" si="1"/>
        <v>3892.3150000000001</v>
      </c>
      <c r="R39" s="353">
        <v>3685.57</v>
      </c>
      <c r="S39" s="295"/>
      <c r="T39" s="328">
        <f t="shared" si="5"/>
        <v>-206.74499999999989</v>
      </c>
      <c r="U39" s="421"/>
      <c r="V39" s="291">
        <f t="shared" si="4"/>
        <v>3892.3150000000001</v>
      </c>
      <c r="W39" s="495">
        <f t="shared" si="2"/>
        <v>0</v>
      </c>
      <c r="X39" s="496">
        <f t="shared" si="3"/>
        <v>0</v>
      </c>
      <c r="Y39" s="406">
        <v>0</v>
      </c>
      <c r="Z39" s="399">
        <v>0</v>
      </c>
      <c r="AA39" s="233"/>
      <c r="AB39" s="232">
        <v>9031.1899999999987</v>
      </c>
      <c r="AC39" s="232">
        <v>0</v>
      </c>
      <c r="AD39" s="232">
        <v>0</v>
      </c>
      <c r="AF39" s="232">
        <v>0</v>
      </c>
      <c r="AG39" s="232">
        <v>0</v>
      </c>
      <c r="AH39" s="232">
        <v>0</v>
      </c>
    </row>
    <row r="40" spans="1:34" s="232" customFormat="1">
      <c r="B40" s="281"/>
      <c r="C40" s="282"/>
      <c r="D40" s="283"/>
      <c r="E40" s="283" t="s">
        <v>110</v>
      </c>
      <c r="F40" s="123" t="s">
        <v>407</v>
      </c>
      <c r="G40" s="300"/>
      <c r="H40" s="285">
        <f>'Q1 DMV - Revenue'!T39</f>
        <v>1101.8</v>
      </c>
      <c r="I40" s="391">
        <v>1097.19</v>
      </c>
      <c r="J40" s="405">
        <v>1410.13</v>
      </c>
      <c r="K40" s="287"/>
      <c r="L40" s="398">
        <f t="shared" si="0"/>
        <v>3609.12</v>
      </c>
      <c r="M40" s="31"/>
      <c r="N40" s="86"/>
      <c r="O40" s="290">
        <f t="shared" si="6"/>
        <v>1253.6600000000001</v>
      </c>
      <c r="P40" s="31"/>
      <c r="Q40" s="382">
        <f t="shared" si="1"/>
        <v>1253.6600000000001</v>
      </c>
      <c r="R40" s="353">
        <v>1218.32</v>
      </c>
      <c r="S40" s="295"/>
      <c r="T40" s="328">
        <f t="shared" si="5"/>
        <v>-35.340000000000146</v>
      </c>
      <c r="U40" s="421">
        <v>350290.02</v>
      </c>
      <c r="V40" s="291">
        <f t="shared" si="4"/>
        <v>1253.6600000000001</v>
      </c>
      <c r="W40" s="495">
        <f t="shared" si="2"/>
        <v>0</v>
      </c>
      <c r="X40" s="496">
        <f t="shared" si="3"/>
        <v>0</v>
      </c>
      <c r="Y40" s="406">
        <v>0</v>
      </c>
      <c r="Z40" s="399">
        <v>0</v>
      </c>
      <c r="AA40" s="233"/>
      <c r="AB40" s="232">
        <v>2905.17</v>
      </c>
      <c r="AC40" s="232">
        <v>0</v>
      </c>
      <c r="AD40" s="232">
        <v>0</v>
      </c>
      <c r="AF40" s="232">
        <v>0</v>
      </c>
      <c r="AG40" s="232">
        <v>0</v>
      </c>
      <c r="AH40" s="232">
        <v>0</v>
      </c>
    </row>
    <row r="41" spans="1:34" s="232" customFormat="1">
      <c r="B41" s="401"/>
      <c r="C41" s="402"/>
      <c r="D41" s="403"/>
      <c r="E41" s="403" t="s">
        <v>114</v>
      </c>
      <c r="F41" s="123" t="s">
        <v>108</v>
      </c>
      <c r="G41" s="300"/>
      <c r="H41" s="285">
        <f>'Q1 DMV - Revenue'!T40</f>
        <v>351.52</v>
      </c>
      <c r="I41" s="404">
        <v>298.31</v>
      </c>
      <c r="J41" s="287"/>
      <c r="K41" s="287"/>
      <c r="L41" s="398">
        <f t="shared" si="0"/>
        <v>649.82999999999993</v>
      </c>
      <c r="M41" s="31"/>
      <c r="N41" s="86"/>
      <c r="O41" s="290">
        <f>I41*2</f>
        <v>596.62</v>
      </c>
      <c r="P41" s="31">
        <v>0</v>
      </c>
      <c r="Q41" s="382">
        <f t="shared" si="1"/>
        <v>596.62</v>
      </c>
      <c r="R41" s="14">
        <f>351.06+391.5</f>
        <v>742.56</v>
      </c>
      <c r="S41" s="295"/>
      <c r="T41" s="328">
        <f t="shared" si="5"/>
        <v>145.93999999999994</v>
      </c>
      <c r="U41" s="421">
        <v>649.83000000000004</v>
      </c>
      <c r="V41" s="291">
        <f t="shared" si="4"/>
        <v>0</v>
      </c>
      <c r="W41" s="495">
        <f t="shared" si="2"/>
        <v>0</v>
      </c>
      <c r="X41" s="496">
        <f t="shared" si="3"/>
        <v>596.62</v>
      </c>
      <c r="Y41" s="406">
        <v>0</v>
      </c>
      <c r="Z41" s="399">
        <v>0</v>
      </c>
      <c r="AA41" s="233">
        <v>0</v>
      </c>
      <c r="AB41" s="232">
        <v>0</v>
      </c>
      <c r="AC41" s="232">
        <v>0</v>
      </c>
      <c r="AD41" s="232">
        <v>676.29</v>
      </c>
      <c r="AF41" s="232">
        <v>0</v>
      </c>
      <c r="AG41" s="232">
        <v>0</v>
      </c>
      <c r="AH41" s="232">
        <v>0</v>
      </c>
    </row>
    <row r="42" spans="1:34">
      <c r="A42" s="16"/>
      <c r="B42" s="120"/>
      <c r="C42" s="111"/>
      <c r="D42" s="21"/>
      <c r="E42" s="21" t="s">
        <v>110</v>
      </c>
      <c r="F42" s="68" t="s">
        <v>234</v>
      </c>
      <c r="G42" s="133"/>
      <c r="H42" s="144" t="str">
        <f>'Q1 DMV - Revenue'!T41</f>
        <v/>
      </c>
      <c r="I42" s="340"/>
      <c r="J42" s="204"/>
      <c r="K42" s="204"/>
      <c r="L42" s="311">
        <f t="shared" si="0"/>
        <v>0</v>
      </c>
      <c r="M42" s="31"/>
      <c r="N42" s="84"/>
      <c r="O42" s="42"/>
      <c r="P42" s="31">
        <v>0</v>
      </c>
      <c r="Q42" s="382">
        <f t="shared" si="1"/>
        <v>0</v>
      </c>
      <c r="R42" s="178">
        <v>246.21</v>
      </c>
      <c r="S42" s="295"/>
      <c r="T42" s="328">
        <f t="shared" si="5"/>
        <v>246.21</v>
      </c>
      <c r="U42" s="421">
        <v>278.31</v>
      </c>
      <c r="V42" s="158">
        <f t="shared" si="4"/>
        <v>0</v>
      </c>
      <c r="W42" s="386">
        <f t="shared" si="2"/>
        <v>0</v>
      </c>
      <c r="X42" s="387">
        <f t="shared" si="3"/>
        <v>0</v>
      </c>
      <c r="Y42" s="306">
        <v>0</v>
      </c>
      <c r="Z42" s="305">
        <v>0</v>
      </c>
      <c r="AA42" s="38">
        <v>0</v>
      </c>
      <c r="AB42" s="16">
        <v>0</v>
      </c>
      <c r="AC42" s="16">
        <v>0</v>
      </c>
      <c r="AD42" s="16">
        <v>0</v>
      </c>
      <c r="AF42" s="16">
        <v>0</v>
      </c>
      <c r="AG42" s="16">
        <v>0</v>
      </c>
      <c r="AH42" s="16">
        <v>0</v>
      </c>
    </row>
    <row r="43" spans="1:34">
      <c r="A43" s="16"/>
      <c r="B43" s="120"/>
      <c r="C43" s="111"/>
      <c r="D43" s="21"/>
      <c r="E43" s="21" t="s">
        <v>110</v>
      </c>
      <c r="F43" s="68" t="s">
        <v>3</v>
      </c>
      <c r="G43" s="133"/>
      <c r="H43" s="144" t="str">
        <f>'Q1 DMV - Revenue'!T42</f>
        <v/>
      </c>
      <c r="I43" s="354">
        <v>1866.06</v>
      </c>
      <c r="J43" s="352">
        <v>1942.61</v>
      </c>
      <c r="K43" s="204"/>
      <c r="L43" s="311">
        <f t="shared" si="0"/>
        <v>3808.67</v>
      </c>
      <c r="M43" s="31"/>
      <c r="N43" s="84"/>
      <c r="O43" s="42">
        <f>(I43+J43)/2</f>
        <v>1904.335</v>
      </c>
      <c r="P43" s="31">
        <v>0</v>
      </c>
      <c r="Q43" s="382">
        <f t="shared" si="1"/>
        <v>1904.335</v>
      </c>
      <c r="R43" s="178">
        <v>1052.26</v>
      </c>
      <c r="S43" s="295"/>
      <c r="T43" s="328">
        <f t="shared" si="5"/>
        <v>-852.07500000000005</v>
      </c>
      <c r="U43" s="421">
        <v>3808.67</v>
      </c>
      <c r="V43" s="158">
        <f t="shared" si="4"/>
        <v>1904.335</v>
      </c>
      <c r="W43" s="386">
        <f t="shared" si="2"/>
        <v>0</v>
      </c>
      <c r="X43" s="387">
        <f t="shared" si="3"/>
        <v>0</v>
      </c>
      <c r="Y43" s="306">
        <v>0</v>
      </c>
      <c r="Z43" s="305">
        <v>0</v>
      </c>
      <c r="AA43" s="38">
        <v>0</v>
      </c>
      <c r="AB43" s="16">
        <v>1646.73</v>
      </c>
      <c r="AC43" s="16">
        <v>0</v>
      </c>
      <c r="AD43" s="16">
        <v>0</v>
      </c>
      <c r="AF43" s="16">
        <v>3293.46</v>
      </c>
      <c r="AG43" s="16">
        <v>0</v>
      </c>
      <c r="AH43" s="16">
        <v>0</v>
      </c>
    </row>
    <row r="44" spans="1:34">
      <c r="A44" s="16"/>
      <c r="B44" s="118" t="s">
        <v>204</v>
      </c>
      <c r="C44" s="109"/>
      <c r="D44" s="20"/>
      <c r="E44" s="20" t="s">
        <v>109</v>
      </c>
      <c r="F44" s="68" t="s">
        <v>4</v>
      </c>
      <c r="G44" s="133"/>
      <c r="H44" s="144" t="str">
        <f>'Q1 DMV - Revenue'!T43</f>
        <v/>
      </c>
      <c r="I44" s="340"/>
      <c r="J44" s="204"/>
      <c r="K44" s="204"/>
      <c r="L44" s="311">
        <f t="shared" si="0"/>
        <v>0</v>
      </c>
      <c r="M44" s="31"/>
      <c r="N44" s="84"/>
      <c r="O44" s="42"/>
      <c r="P44" s="31">
        <v>0</v>
      </c>
      <c r="Q44" s="382">
        <f t="shared" si="1"/>
        <v>0</v>
      </c>
      <c r="R44" s="178"/>
      <c r="S44" s="295"/>
      <c r="T44" s="328" t="str">
        <f t="shared" si="5"/>
        <v/>
      </c>
      <c r="U44" s="421"/>
      <c r="V44" s="158">
        <f t="shared" si="4"/>
        <v>0</v>
      </c>
      <c r="W44" s="386">
        <f t="shared" si="2"/>
        <v>0</v>
      </c>
      <c r="X44" s="387">
        <f t="shared" si="3"/>
        <v>0</v>
      </c>
      <c r="Y44" s="306">
        <v>0</v>
      </c>
      <c r="Z44" s="305">
        <v>0</v>
      </c>
      <c r="AA44" s="38">
        <v>0</v>
      </c>
      <c r="AB44" s="16">
        <v>0</v>
      </c>
      <c r="AC44" s="16">
        <v>-831.92000000000007</v>
      </c>
      <c r="AD44" s="16">
        <v>0</v>
      </c>
      <c r="AF44" s="16">
        <v>0</v>
      </c>
      <c r="AG44" s="16">
        <v>1000</v>
      </c>
      <c r="AH44" s="16">
        <v>0</v>
      </c>
    </row>
    <row r="45" spans="1:34">
      <c r="A45" s="16"/>
      <c r="B45" s="118"/>
      <c r="C45" s="109"/>
      <c r="D45" s="20"/>
      <c r="E45" s="20" t="s">
        <v>109</v>
      </c>
      <c r="F45" s="68" t="s">
        <v>5</v>
      </c>
      <c r="G45" s="133"/>
      <c r="H45" s="144" t="str">
        <f>'Q1 DMV - Revenue'!T44</f>
        <v/>
      </c>
      <c r="I45" s="340"/>
      <c r="J45" s="204"/>
      <c r="K45" s="204"/>
      <c r="L45" s="311">
        <f t="shared" si="0"/>
        <v>0</v>
      </c>
      <c r="M45" s="31"/>
      <c r="N45" s="84"/>
      <c r="O45" s="42"/>
      <c r="P45" s="31">
        <v>0</v>
      </c>
      <c r="Q45" s="382">
        <f t="shared" si="1"/>
        <v>0</v>
      </c>
      <c r="R45" s="178">
        <v>324.86</v>
      </c>
      <c r="S45" s="295"/>
      <c r="T45" s="328">
        <f t="shared" si="5"/>
        <v>324.86</v>
      </c>
      <c r="U45" s="421"/>
      <c r="V45" s="158">
        <f t="shared" si="4"/>
        <v>0</v>
      </c>
      <c r="W45" s="386">
        <f t="shared" si="2"/>
        <v>0</v>
      </c>
      <c r="X45" s="387">
        <f t="shared" si="3"/>
        <v>0</v>
      </c>
      <c r="Y45" s="306">
        <v>0</v>
      </c>
      <c r="Z45" s="305">
        <v>0</v>
      </c>
      <c r="AA45" s="38">
        <v>0</v>
      </c>
      <c r="AB45" s="16">
        <v>0</v>
      </c>
      <c r="AC45" s="16">
        <v>0</v>
      </c>
      <c r="AD45" s="16">
        <v>0</v>
      </c>
      <c r="AF45" s="16">
        <v>0</v>
      </c>
      <c r="AG45" s="16">
        <v>100</v>
      </c>
      <c r="AH45" s="16">
        <v>0</v>
      </c>
    </row>
    <row r="46" spans="1:34">
      <c r="A46" s="16"/>
      <c r="B46" s="118"/>
      <c r="C46" s="109"/>
      <c r="D46" s="20"/>
      <c r="E46" s="20" t="s">
        <v>110</v>
      </c>
      <c r="F46" s="68" t="s">
        <v>311</v>
      </c>
      <c r="G46" s="133">
        <f>1323.4+1013.9+8912</f>
        <v>11249.3</v>
      </c>
      <c r="H46" s="144"/>
      <c r="I46" s="340"/>
      <c r="J46" s="204"/>
      <c r="K46" s="204"/>
      <c r="L46" s="311"/>
      <c r="M46" s="31"/>
      <c r="N46" s="84"/>
      <c r="O46" s="42"/>
      <c r="P46" s="31"/>
      <c r="Q46" s="382">
        <f t="shared" si="1"/>
        <v>0</v>
      </c>
      <c r="R46" s="178">
        <f>3380.93+2671.22</f>
        <v>6052.15</v>
      </c>
      <c r="S46" s="295"/>
      <c r="T46" s="328">
        <f t="shared" si="5"/>
        <v>6052.15</v>
      </c>
      <c r="U46" s="421">
        <v>11249.3</v>
      </c>
      <c r="V46" s="158">
        <f t="shared" si="4"/>
        <v>0</v>
      </c>
      <c r="W46" s="386">
        <f t="shared" si="2"/>
        <v>0</v>
      </c>
      <c r="X46" s="387">
        <f t="shared" si="3"/>
        <v>0</v>
      </c>
      <c r="Y46" s="306"/>
      <c r="Z46" s="305"/>
      <c r="AA46" s="38"/>
    </row>
    <row r="47" spans="1:34">
      <c r="A47" s="16"/>
      <c r="B47" s="118"/>
      <c r="C47" s="109"/>
      <c r="D47" s="20"/>
      <c r="E47" s="20" t="s">
        <v>110</v>
      </c>
      <c r="F47" s="68" t="s">
        <v>69</v>
      </c>
      <c r="G47" s="133"/>
      <c r="H47" s="144">
        <f>'Q1 DMV - Revenue'!T45</f>
        <v>-526.75499999999988</v>
      </c>
      <c r="I47" s="341">
        <v>1245.17</v>
      </c>
      <c r="J47" s="397"/>
      <c r="K47" s="205">
        <f>585.93+803.97</f>
        <v>1389.9</v>
      </c>
      <c r="L47" s="311">
        <f t="shared" si="0"/>
        <v>2108.3150000000005</v>
      </c>
      <c r="M47" s="31"/>
      <c r="N47" s="84"/>
      <c r="O47" s="42">
        <f>(I47+K47)/2</f>
        <v>1317.5350000000001</v>
      </c>
      <c r="P47" s="31">
        <v>0</v>
      </c>
      <c r="Q47" s="382">
        <f t="shared" si="1"/>
        <v>1317.5350000000001</v>
      </c>
      <c r="R47" s="178"/>
      <c r="S47" s="295"/>
      <c r="T47" s="328" t="str">
        <f t="shared" si="5"/>
        <v/>
      </c>
      <c r="U47" s="421">
        <v>4180</v>
      </c>
      <c r="V47" s="158">
        <f t="shared" si="4"/>
        <v>1317.5350000000001</v>
      </c>
      <c r="W47" s="386">
        <f t="shared" si="2"/>
        <v>0</v>
      </c>
      <c r="X47" s="387">
        <f t="shared" si="3"/>
        <v>0</v>
      </c>
      <c r="Y47" s="306">
        <v>0</v>
      </c>
      <c r="Z47" s="305">
        <v>0</v>
      </c>
      <c r="AA47" s="38">
        <v>0</v>
      </c>
      <c r="AB47" s="16">
        <v>4143.37</v>
      </c>
      <c r="AC47" s="16">
        <v>0</v>
      </c>
      <c r="AD47" s="16">
        <v>0</v>
      </c>
      <c r="AF47" s="16">
        <v>2071.6849999999999</v>
      </c>
      <c r="AG47" s="16">
        <v>0</v>
      </c>
      <c r="AH47" s="16">
        <v>0</v>
      </c>
    </row>
    <row r="48" spans="1:34">
      <c r="A48" s="16"/>
      <c r="B48" s="118"/>
      <c r="C48" s="109"/>
      <c r="D48" s="20"/>
      <c r="E48" s="20" t="s">
        <v>110</v>
      </c>
      <c r="F48" s="68" t="s">
        <v>237</v>
      </c>
      <c r="G48" s="133"/>
      <c r="H48" s="144">
        <f>'Q1 DMV - Revenue'!T46</f>
        <v>-955.12499999999636</v>
      </c>
      <c r="I48" s="341">
        <v>15284.73</v>
      </c>
      <c r="J48" s="205">
        <v>13052.82</v>
      </c>
      <c r="K48" s="205">
        <v>12641.77</v>
      </c>
      <c r="L48" s="311">
        <f t="shared" si="0"/>
        <v>40024.195000000007</v>
      </c>
      <c r="M48" s="31"/>
      <c r="N48" s="84"/>
      <c r="O48" s="42"/>
      <c r="P48" s="31">
        <v>0</v>
      </c>
      <c r="Q48" s="382">
        <f t="shared" si="1"/>
        <v>0</v>
      </c>
      <c r="R48" s="178"/>
      <c r="S48" s="295"/>
      <c r="T48" s="328" t="str">
        <f t="shared" si="5"/>
        <v/>
      </c>
      <c r="U48" s="421">
        <v>58449.2</v>
      </c>
      <c r="V48" s="158">
        <f t="shared" si="4"/>
        <v>0</v>
      </c>
      <c r="W48" s="386">
        <f t="shared" si="2"/>
        <v>0</v>
      </c>
      <c r="X48" s="387">
        <f t="shared" si="3"/>
        <v>0</v>
      </c>
      <c r="Y48" s="306">
        <v>0</v>
      </c>
      <c r="Z48" s="305">
        <v>0</v>
      </c>
      <c r="AA48" s="38">
        <v>0</v>
      </c>
      <c r="AB48" s="16">
        <v>36850.009999999995</v>
      </c>
      <c r="AC48" s="16">
        <v>0</v>
      </c>
      <c r="AD48" s="16">
        <v>0</v>
      </c>
      <c r="AF48" s="16">
        <v>18425.004999999997</v>
      </c>
      <c r="AG48" s="16">
        <v>0</v>
      </c>
      <c r="AH48" s="16">
        <v>0</v>
      </c>
    </row>
    <row r="49" spans="1:34">
      <c r="A49" s="16"/>
      <c r="B49" s="118" t="s">
        <v>214</v>
      </c>
      <c r="C49" s="109"/>
      <c r="D49" s="20" t="s">
        <v>211</v>
      </c>
      <c r="E49" s="20" t="s">
        <v>110</v>
      </c>
      <c r="F49" s="68" t="s">
        <v>7</v>
      </c>
      <c r="G49" s="133"/>
      <c r="H49" s="144">
        <f>'Q1 DMV - Revenue'!T47</f>
        <v>-458.34999999999854</v>
      </c>
      <c r="I49" s="341">
        <f>15606.47/3</f>
        <v>5202.1566666666668</v>
      </c>
      <c r="J49" s="341">
        <f t="shared" ref="J49:K49" si="7">15606.47/3</f>
        <v>5202.1566666666668</v>
      </c>
      <c r="K49" s="341">
        <f t="shared" si="7"/>
        <v>5202.1566666666668</v>
      </c>
      <c r="L49" s="311">
        <f t="shared" si="0"/>
        <v>15148.120000000003</v>
      </c>
      <c r="M49" s="2"/>
      <c r="N49" s="336"/>
      <c r="O49" s="42"/>
      <c r="P49" s="31">
        <v>0</v>
      </c>
      <c r="Q49" s="382">
        <f t="shared" si="1"/>
        <v>0</v>
      </c>
      <c r="R49" s="178"/>
      <c r="S49" s="295"/>
      <c r="T49" s="328" t="str">
        <f t="shared" si="5"/>
        <v/>
      </c>
      <c r="U49" s="421">
        <v>31141.75</v>
      </c>
      <c r="V49" s="158">
        <f t="shared" si="4"/>
        <v>0</v>
      </c>
      <c r="W49" s="386">
        <f t="shared" si="2"/>
        <v>0</v>
      </c>
      <c r="X49" s="387">
        <f t="shared" si="3"/>
        <v>0</v>
      </c>
      <c r="Y49" s="306">
        <v>0</v>
      </c>
      <c r="Z49" s="305">
        <v>0</v>
      </c>
      <c r="AA49" s="38">
        <v>0</v>
      </c>
      <c r="AB49" s="16">
        <v>2693.6299999999992</v>
      </c>
      <c r="AC49" s="16">
        <v>0</v>
      </c>
      <c r="AD49" s="16">
        <v>0</v>
      </c>
      <c r="AF49" s="16">
        <v>15993.63</v>
      </c>
      <c r="AG49" s="16">
        <v>0</v>
      </c>
      <c r="AH49" s="16">
        <v>0</v>
      </c>
    </row>
    <row r="50" spans="1:34">
      <c r="A50" s="110"/>
      <c r="B50" s="118" t="s">
        <v>97</v>
      </c>
      <c r="C50" s="109"/>
      <c r="D50" s="20" t="s">
        <v>97</v>
      </c>
      <c r="E50" s="20" t="s">
        <v>109</v>
      </c>
      <c r="F50" s="68" t="s">
        <v>123</v>
      </c>
      <c r="G50" s="133"/>
      <c r="H50" s="144" t="str">
        <f>'Q1 DMV - Revenue'!T48</f>
        <v/>
      </c>
      <c r="I50" s="341">
        <v>985.77</v>
      </c>
      <c r="J50" s="352">
        <v>1006.96</v>
      </c>
      <c r="K50" s="205">
        <v>828.29</v>
      </c>
      <c r="L50" s="311">
        <f t="shared" si="0"/>
        <v>2821.02</v>
      </c>
      <c r="M50" s="31"/>
      <c r="N50" s="84"/>
      <c r="O50" s="42"/>
      <c r="P50" s="31">
        <v>0</v>
      </c>
      <c r="Q50" s="382">
        <f t="shared" si="1"/>
        <v>0</v>
      </c>
      <c r="R50" s="178"/>
      <c r="S50" s="295"/>
      <c r="T50" s="328" t="str">
        <f t="shared" si="5"/>
        <v/>
      </c>
      <c r="U50" s="421"/>
      <c r="V50" s="158">
        <f t="shared" si="4"/>
        <v>0</v>
      </c>
      <c r="W50" s="386">
        <f t="shared" si="2"/>
        <v>0</v>
      </c>
      <c r="X50" s="387">
        <f t="shared" si="3"/>
        <v>0</v>
      </c>
      <c r="Y50" s="306">
        <v>0</v>
      </c>
      <c r="Z50" s="305">
        <v>0</v>
      </c>
      <c r="AA50" s="38">
        <v>0</v>
      </c>
      <c r="AB50" s="16">
        <v>0</v>
      </c>
      <c r="AC50" s="16">
        <v>2858.5299999999997</v>
      </c>
      <c r="AD50" s="16">
        <v>0</v>
      </c>
      <c r="AF50" s="16">
        <v>0</v>
      </c>
      <c r="AG50" s="16">
        <v>0</v>
      </c>
      <c r="AH50" s="16">
        <v>0</v>
      </c>
    </row>
    <row r="51" spans="1:34">
      <c r="A51" s="110"/>
      <c r="B51" s="118"/>
      <c r="C51" s="109"/>
      <c r="D51" s="20"/>
      <c r="E51" s="20" t="s">
        <v>109</v>
      </c>
      <c r="F51" s="68" t="s">
        <v>124</v>
      </c>
      <c r="G51" s="133"/>
      <c r="H51" s="144" t="str">
        <f>'Q1 DMV - Revenue'!T49</f>
        <v/>
      </c>
      <c r="I51" s="341">
        <v>2050.8000000000002</v>
      </c>
      <c r="J51" s="352">
        <v>2005.42</v>
      </c>
      <c r="K51" s="205">
        <v>1771.9</v>
      </c>
      <c r="L51" s="311">
        <f t="shared" si="0"/>
        <v>5828.1200000000008</v>
      </c>
      <c r="M51" s="31"/>
      <c r="N51" s="84"/>
      <c r="O51" s="42"/>
      <c r="P51" s="31">
        <v>0</v>
      </c>
      <c r="Q51" s="382">
        <f t="shared" si="1"/>
        <v>0</v>
      </c>
      <c r="R51" s="178"/>
      <c r="S51" s="295"/>
      <c r="T51" s="328" t="str">
        <f t="shared" si="5"/>
        <v/>
      </c>
      <c r="U51" s="421"/>
      <c r="V51" s="158">
        <f t="shared" si="4"/>
        <v>0</v>
      </c>
      <c r="W51" s="386">
        <f t="shared" si="2"/>
        <v>0</v>
      </c>
      <c r="X51" s="387">
        <f t="shared" si="3"/>
        <v>0</v>
      </c>
      <c r="Y51" s="306">
        <v>0</v>
      </c>
      <c r="Z51" s="305">
        <v>0</v>
      </c>
      <c r="AA51" s="38">
        <v>0</v>
      </c>
      <c r="AB51" s="16">
        <v>0</v>
      </c>
      <c r="AC51" s="16">
        <v>5992.32</v>
      </c>
      <c r="AD51" s="16">
        <v>0</v>
      </c>
      <c r="AF51" s="16">
        <v>0</v>
      </c>
      <c r="AG51" s="16">
        <v>0</v>
      </c>
      <c r="AH51" s="16">
        <v>0</v>
      </c>
    </row>
    <row r="52" spans="1:34">
      <c r="A52" s="110"/>
      <c r="B52" s="118"/>
      <c r="C52" s="109"/>
      <c r="D52" s="20"/>
      <c r="E52" s="20" t="s">
        <v>109</v>
      </c>
      <c r="F52" s="68" t="s">
        <v>125</v>
      </c>
      <c r="G52" s="133"/>
      <c r="H52" s="144" t="str">
        <f>'Q1 DMV - Revenue'!T50</f>
        <v/>
      </c>
      <c r="I52" s="341">
        <v>1532.37</v>
      </c>
      <c r="J52" s="352">
        <v>1406.51</v>
      </c>
      <c r="K52" s="205">
        <v>914.73</v>
      </c>
      <c r="L52" s="311">
        <f t="shared" si="0"/>
        <v>3853.61</v>
      </c>
      <c r="M52" s="31"/>
      <c r="N52" s="84"/>
      <c r="O52" s="42"/>
      <c r="P52" s="31">
        <v>0</v>
      </c>
      <c r="Q52" s="382">
        <f t="shared" si="1"/>
        <v>0</v>
      </c>
      <c r="R52" s="178"/>
      <c r="S52" s="295"/>
      <c r="T52" s="328" t="str">
        <f t="shared" si="5"/>
        <v/>
      </c>
      <c r="U52" s="421"/>
      <c r="V52" s="158">
        <f t="shared" si="4"/>
        <v>0</v>
      </c>
      <c r="W52" s="386">
        <f t="shared" si="2"/>
        <v>0</v>
      </c>
      <c r="X52" s="387">
        <f t="shared" si="3"/>
        <v>0</v>
      </c>
      <c r="Y52" s="306">
        <v>0</v>
      </c>
      <c r="Z52" s="305">
        <v>0</v>
      </c>
      <c r="AA52" s="38">
        <v>0</v>
      </c>
      <c r="AB52" s="16">
        <v>0</v>
      </c>
      <c r="AC52" s="16">
        <v>7936.53</v>
      </c>
      <c r="AD52" s="16">
        <v>0</v>
      </c>
      <c r="AF52" s="16">
        <v>0</v>
      </c>
      <c r="AG52" s="16">
        <v>0</v>
      </c>
      <c r="AH52" s="16">
        <v>0</v>
      </c>
    </row>
    <row r="53" spans="1:34">
      <c r="A53" s="110"/>
      <c r="B53" s="118"/>
      <c r="C53" s="109"/>
      <c r="D53" s="20"/>
      <c r="E53" s="20" t="s">
        <v>109</v>
      </c>
      <c r="F53" s="68" t="s">
        <v>126</v>
      </c>
      <c r="G53" s="133"/>
      <c r="H53" s="144" t="str">
        <f>'Q1 DMV - Revenue'!T51</f>
        <v/>
      </c>
      <c r="I53" s="341">
        <v>14.92</v>
      </c>
      <c r="J53" s="352">
        <v>22.41</v>
      </c>
      <c r="K53" s="205">
        <v>18.79</v>
      </c>
      <c r="L53" s="311">
        <f t="shared" si="0"/>
        <v>56.12</v>
      </c>
      <c r="M53" s="31"/>
      <c r="N53" s="84"/>
      <c r="O53" s="42"/>
      <c r="P53" s="31">
        <v>0</v>
      </c>
      <c r="Q53" s="382">
        <f t="shared" si="1"/>
        <v>0</v>
      </c>
      <c r="R53" s="178"/>
      <c r="S53" s="295"/>
      <c r="T53" s="328" t="str">
        <f t="shared" si="5"/>
        <v/>
      </c>
      <c r="U53" s="421">
        <v>12558.87</v>
      </c>
      <c r="V53" s="158">
        <f t="shared" si="4"/>
        <v>0</v>
      </c>
      <c r="W53" s="386">
        <f t="shared" si="2"/>
        <v>0</v>
      </c>
      <c r="X53" s="387">
        <f t="shared" si="3"/>
        <v>0</v>
      </c>
      <c r="Y53" s="306">
        <v>0</v>
      </c>
      <c r="Z53" s="305">
        <v>0</v>
      </c>
      <c r="AA53" s="38">
        <v>0</v>
      </c>
      <c r="AB53" s="16">
        <v>0</v>
      </c>
      <c r="AC53" s="16">
        <v>59.01</v>
      </c>
      <c r="AD53" s="16">
        <v>0</v>
      </c>
      <c r="AF53" s="16">
        <v>0</v>
      </c>
      <c r="AG53" s="16">
        <v>0</v>
      </c>
      <c r="AH53" s="16">
        <v>0</v>
      </c>
    </row>
    <row r="54" spans="1:34">
      <c r="A54" s="16"/>
      <c r="B54" s="118" t="s">
        <v>214</v>
      </c>
      <c r="C54" s="111"/>
      <c r="D54" s="21" t="s">
        <v>109</v>
      </c>
      <c r="E54" s="21" t="s">
        <v>110</v>
      </c>
      <c r="F54" s="68" t="s">
        <v>8</v>
      </c>
      <c r="G54" s="133"/>
      <c r="H54" s="144" t="str">
        <f>'Q1 DMV - Revenue'!T52</f>
        <v/>
      </c>
      <c r="I54" s="340"/>
      <c r="J54" s="204"/>
      <c r="K54" s="204"/>
      <c r="L54" s="311">
        <f t="shared" si="0"/>
        <v>0</v>
      </c>
      <c r="M54" s="31"/>
      <c r="N54" s="84"/>
      <c r="O54" s="42"/>
      <c r="P54" s="31">
        <v>0</v>
      </c>
      <c r="Q54" s="382">
        <f t="shared" si="1"/>
        <v>0</v>
      </c>
      <c r="R54" s="178"/>
      <c r="S54" s="295"/>
      <c r="T54" s="328" t="str">
        <f t="shared" si="5"/>
        <v/>
      </c>
      <c r="U54" s="421"/>
      <c r="V54" s="158">
        <f t="shared" si="4"/>
        <v>0</v>
      </c>
      <c r="W54" s="386">
        <f t="shared" si="2"/>
        <v>0</v>
      </c>
      <c r="X54" s="387">
        <f t="shared" si="3"/>
        <v>0</v>
      </c>
      <c r="Y54" s="306">
        <v>0</v>
      </c>
      <c r="Z54" s="305">
        <v>0</v>
      </c>
      <c r="AA54" s="38">
        <v>0</v>
      </c>
      <c r="AB54" s="16">
        <v>0</v>
      </c>
      <c r="AC54" s="16">
        <v>0</v>
      </c>
      <c r="AD54" s="16">
        <v>0</v>
      </c>
      <c r="AF54" s="16">
        <v>0</v>
      </c>
      <c r="AG54" s="16">
        <v>0</v>
      </c>
      <c r="AH54" s="16">
        <v>0</v>
      </c>
    </row>
    <row r="55" spans="1:34">
      <c r="A55" s="16"/>
      <c r="B55" s="118"/>
      <c r="C55" s="109"/>
      <c r="D55" s="20" t="s">
        <v>211</v>
      </c>
      <c r="E55" s="20" t="s">
        <v>109</v>
      </c>
      <c r="F55" s="68" t="s">
        <v>9</v>
      </c>
      <c r="G55" s="133"/>
      <c r="H55" s="144">
        <f>'Q1 DMV - Revenue'!T53</f>
        <v>1199.1100000000001</v>
      </c>
      <c r="I55" s="340"/>
      <c r="J55" s="204"/>
      <c r="K55" s="204"/>
      <c r="L55" s="311">
        <f t="shared" si="0"/>
        <v>1199.1100000000001</v>
      </c>
      <c r="M55" s="2"/>
      <c r="N55" s="336"/>
      <c r="O55" s="42">
        <f>1361*3</f>
        <v>4083</v>
      </c>
      <c r="P55" s="31">
        <v>0</v>
      </c>
      <c r="Q55" s="382">
        <f t="shared" si="1"/>
        <v>4083</v>
      </c>
      <c r="R55" s="178">
        <v>9923.9699999999993</v>
      </c>
      <c r="S55" s="295"/>
      <c r="T55" s="328">
        <f t="shared" si="5"/>
        <v>5840.9699999999993</v>
      </c>
      <c r="U55" s="421">
        <v>4085.11</v>
      </c>
      <c r="V55" s="158">
        <f t="shared" si="4"/>
        <v>0</v>
      </c>
      <c r="W55" s="386">
        <f t="shared" si="2"/>
        <v>4083</v>
      </c>
      <c r="X55" s="387">
        <f t="shared" si="3"/>
        <v>0</v>
      </c>
      <c r="Y55" s="306">
        <v>0</v>
      </c>
      <c r="Z55" s="305">
        <v>0</v>
      </c>
      <c r="AA55" s="38">
        <v>0</v>
      </c>
      <c r="AB55" s="16">
        <v>0</v>
      </c>
      <c r="AC55" s="16">
        <v>-4213.1900000000005</v>
      </c>
      <c r="AD55" s="16">
        <v>0</v>
      </c>
      <c r="AF55" s="16">
        <v>0</v>
      </c>
      <c r="AG55" s="16">
        <v>2886</v>
      </c>
      <c r="AH55" s="16">
        <v>0</v>
      </c>
    </row>
    <row r="56" spans="1:34">
      <c r="A56" s="16" t="s">
        <v>215</v>
      </c>
      <c r="B56" s="118"/>
      <c r="C56" s="109"/>
      <c r="D56" s="20"/>
      <c r="E56" s="20" t="s">
        <v>109</v>
      </c>
      <c r="F56" s="68" t="s">
        <v>235</v>
      </c>
      <c r="G56" s="133"/>
      <c r="H56" s="144">
        <f>'Q1 DMV - Revenue'!T54</f>
        <v>903.79</v>
      </c>
      <c r="I56" s="341">
        <f>729.59/3</f>
        <v>243.19666666666669</v>
      </c>
      <c r="J56" s="341">
        <f t="shared" ref="J56:K56" si="8">729.59/3</f>
        <v>243.19666666666669</v>
      </c>
      <c r="K56" s="341">
        <f t="shared" si="8"/>
        <v>243.19666666666669</v>
      </c>
      <c r="L56" s="311">
        <f t="shared" si="0"/>
        <v>1633.38</v>
      </c>
      <c r="M56" s="31"/>
      <c r="N56" s="84"/>
      <c r="O56" s="42"/>
      <c r="P56" s="31">
        <v>0</v>
      </c>
      <c r="Q56" s="382">
        <f t="shared" si="1"/>
        <v>0</v>
      </c>
      <c r="R56" s="178"/>
      <c r="S56" s="295"/>
      <c r="T56" s="328" t="str">
        <f t="shared" si="5"/>
        <v/>
      </c>
      <c r="U56" s="421">
        <v>1633.38</v>
      </c>
      <c r="V56" s="158">
        <f t="shared" si="4"/>
        <v>0</v>
      </c>
      <c r="W56" s="386">
        <f t="shared" si="2"/>
        <v>0</v>
      </c>
      <c r="X56" s="387">
        <f t="shared" si="3"/>
        <v>0</v>
      </c>
      <c r="Y56" s="306">
        <v>0</v>
      </c>
      <c r="Z56" s="305">
        <v>0</v>
      </c>
      <c r="AA56" s="38">
        <v>0</v>
      </c>
      <c r="AB56" s="16">
        <v>0</v>
      </c>
      <c r="AC56" s="16">
        <v>0</v>
      </c>
      <c r="AD56" s="16">
        <v>0</v>
      </c>
      <c r="AF56" s="16">
        <v>0</v>
      </c>
      <c r="AG56" s="16">
        <v>0</v>
      </c>
      <c r="AH56" s="16">
        <v>0</v>
      </c>
    </row>
    <row r="57" spans="1:34">
      <c r="A57" s="16" t="s">
        <v>215</v>
      </c>
      <c r="B57" s="118"/>
      <c r="C57" s="109"/>
      <c r="D57" s="20"/>
      <c r="E57" s="20" t="s">
        <v>109</v>
      </c>
      <c r="F57" s="68" t="s">
        <v>10</v>
      </c>
      <c r="G57" s="133"/>
      <c r="H57" s="144" t="str">
        <f>'Q1 DMV - Revenue'!T55</f>
        <v/>
      </c>
      <c r="I57" s="340"/>
      <c r="J57" s="204"/>
      <c r="K57" s="204"/>
      <c r="L57" s="311">
        <f t="shared" si="0"/>
        <v>0</v>
      </c>
      <c r="M57" s="31"/>
      <c r="N57" s="84"/>
      <c r="O57" s="42">
        <v>31667</v>
      </c>
      <c r="P57" s="31">
        <v>0</v>
      </c>
      <c r="Q57" s="382">
        <f t="shared" si="1"/>
        <v>31667</v>
      </c>
      <c r="R57" s="178"/>
      <c r="S57" s="295"/>
      <c r="T57" s="328" t="str">
        <f t="shared" si="5"/>
        <v/>
      </c>
      <c r="U57" s="421"/>
      <c r="V57" s="158">
        <f t="shared" si="4"/>
        <v>0</v>
      </c>
      <c r="W57" s="386">
        <f t="shared" si="2"/>
        <v>31667</v>
      </c>
      <c r="X57" s="387">
        <f t="shared" si="3"/>
        <v>0</v>
      </c>
      <c r="Y57" s="306">
        <v>0</v>
      </c>
      <c r="Z57" s="305">
        <v>0</v>
      </c>
      <c r="AA57" s="38">
        <v>0</v>
      </c>
      <c r="AB57" s="16">
        <v>0</v>
      </c>
      <c r="AC57" s="16">
        <v>0</v>
      </c>
      <c r="AD57" s="16">
        <v>0</v>
      </c>
      <c r="AF57" s="16">
        <v>0</v>
      </c>
      <c r="AG57" s="16">
        <v>0</v>
      </c>
      <c r="AH57" s="16">
        <v>0</v>
      </c>
    </row>
    <row r="58" spans="1:34">
      <c r="A58" s="16"/>
      <c r="B58" s="120"/>
      <c r="C58" s="111"/>
      <c r="D58" s="21"/>
      <c r="E58" s="21" t="s">
        <v>110</v>
      </c>
      <c r="F58" s="68" t="s">
        <v>138</v>
      </c>
      <c r="G58" s="133"/>
      <c r="H58" s="144" t="str">
        <f>'Q1 DMV - Revenue'!T56</f>
        <v/>
      </c>
      <c r="I58" s="341">
        <v>9980.0400000000009</v>
      </c>
      <c r="J58" s="352">
        <v>10644.24</v>
      </c>
      <c r="K58" s="352">
        <v>10359.299999999999</v>
      </c>
      <c r="L58" s="311">
        <f t="shared" si="0"/>
        <v>30983.579999999998</v>
      </c>
      <c r="M58" s="2"/>
      <c r="N58" s="5"/>
      <c r="O58" s="4"/>
      <c r="P58" s="31">
        <v>0</v>
      </c>
      <c r="Q58" s="382">
        <f t="shared" si="1"/>
        <v>0</v>
      </c>
      <c r="R58" s="178"/>
      <c r="S58" s="295"/>
      <c r="T58" s="328" t="str">
        <f t="shared" si="5"/>
        <v/>
      </c>
      <c r="U58" s="421">
        <v>44968.25</v>
      </c>
      <c r="V58" s="158">
        <f t="shared" si="4"/>
        <v>0</v>
      </c>
      <c r="W58" s="386">
        <f t="shared" si="2"/>
        <v>0</v>
      </c>
      <c r="X58" s="387">
        <f t="shared" si="3"/>
        <v>0</v>
      </c>
      <c r="Y58" s="306">
        <v>0</v>
      </c>
      <c r="Z58" s="305">
        <v>0</v>
      </c>
      <c r="AA58" s="38">
        <v>0</v>
      </c>
      <c r="AB58" s="16">
        <v>25709.32</v>
      </c>
      <c r="AC58" s="16">
        <v>0</v>
      </c>
      <c r="AD58" s="16">
        <v>0</v>
      </c>
      <c r="AF58" s="16">
        <v>0</v>
      </c>
      <c r="AG58" s="16">
        <v>0</v>
      </c>
      <c r="AH58" s="16">
        <v>0</v>
      </c>
    </row>
    <row r="59" spans="1:34">
      <c r="A59" s="16"/>
      <c r="B59" s="120"/>
      <c r="C59" s="111"/>
      <c r="D59" s="21"/>
      <c r="E59" s="21" t="s">
        <v>110</v>
      </c>
      <c r="F59" s="68" t="s">
        <v>242</v>
      </c>
      <c r="G59" s="133"/>
      <c r="H59" s="144" t="str">
        <f>'Q1 DMV - Revenue'!T57</f>
        <v/>
      </c>
      <c r="I59" s="341">
        <v>720.6</v>
      </c>
      <c r="J59" s="352">
        <v>822.86</v>
      </c>
      <c r="K59" s="352">
        <v>773.28</v>
      </c>
      <c r="L59" s="311">
        <f t="shared" si="0"/>
        <v>2316.7399999999998</v>
      </c>
      <c r="M59" s="2"/>
      <c r="N59" s="5"/>
      <c r="O59" s="4"/>
      <c r="P59" s="31"/>
      <c r="Q59" s="382">
        <f t="shared" si="1"/>
        <v>0</v>
      </c>
      <c r="R59" s="178"/>
      <c r="S59" s="295"/>
      <c r="T59" s="328" t="str">
        <f t="shared" si="5"/>
        <v/>
      </c>
      <c r="U59" s="421"/>
      <c r="V59" s="158">
        <f t="shared" si="4"/>
        <v>0</v>
      </c>
      <c r="W59" s="386">
        <f t="shared" si="2"/>
        <v>0</v>
      </c>
      <c r="X59" s="387">
        <f t="shared" si="3"/>
        <v>0</v>
      </c>
      <c r="Y59" s="306">
        <v>0</v>
      </c>
      <c r="Z59" s="305">
        <v>0</v>
      </c>
      <c r="AA59" s="38"/>
      <c r="AB59" s="16">
        <v>1157.73</v>
      </c>
      <c r="AC59" s="16">
        <v>0</v>
      </c>
      <c r="AD59" s="16">
        <v>0</v>
      </c>
      <c r="AF59" s="16">
        <v>0</v>
      </c>
      <c r="AG59" s="16">
        <v>0</v>
      </c>
      <c r="AH59" s="16">
        <v>0</v>
      </c>
    </row>
    <row r="60" spans="1:34">
      <c r="A60" s="16"/>
      <c r="B60" s="120"/>
      <c r="C60" s="111"/>
      <c r="D60" s="21"/>
      <c r="E60" s="21" t="s">
        <v>110</v>
      </c>
      <c r="F60" s="68" t="s">
        <v>243</v>
      </c>
      <c r="G60" s="133"/>
      <c r="H60" s="144" t="str">
        <f>'Q1 DMV - Revenue'!T58</f>
        <v/>
      </c>
      <c r="I60" s="341">
        <v>2398.2600000000002</v>
      </c>
      <c r="J60" s="352">
        <v>2760.77</v>
      </c>
      <c r="K60" s="352">
        <v>2758.9</v>
      </c>
      <c r="L60" s="311">
        <f t="shared" si="0"/>
        <v>7917.93</v>
      </c>
      <c r="M60" s="2"/>
      <c r="N60" s="5"/>
      <c r="O60" s="4"/>
      <c r="P60" s="31"/>
      <c r="Q60" s="382">
        <f t="shared" si="1"/>
        <v>0</v>
      </c>
      <c r="R60" s="178"/>
      <c r="S60" s="295"/>
      <c r="T60" s="328" t="str">
        <f t="shared" si="5"/>
        <v/>
      </c>
      <c r="U60" s="421"/>
      <c r="V60" s="158">
        <f t="shared" si="4"/>
        <v>0</v>
      </c>
      <c r="W60" s="386">
        <f t="shared" si="2"/>
        <v>0</v>
      </c>
      <c r="X60" s="387">
        <f t="shared" si="3"/>
        <v>0</v>
      </c>
      <c r="Y60" s="306">
        <v>0</v>
      </c>
      <c r="Z60" s="305">
        <v>0</v>
      </c>
      <c r="AA60" s="38"/>
      <c r="AB60" s="16">
        <v>6665.7699999999995</v>
      </c>
      <c r="AC60" s="16">
        <v>0</v>
      </c>
      <c r="AD60" s="16">
        <v>0</v>
      </c>
      <c r="AF60" s="16">
        <v>0</v>
      </c>
      <c r="AG60" s="16">
        <v>0</v>
      </c>
      <c r="AH60" s="16">
        <v>0</v>
      </c>
    </row>
    <row r="61" spans="1:34">
      <c r="A61" s="16"/>
      <c r="B61" s="120"/>
      <c r="C61" s="111"/>
      <c r="D61" s="21"/>
      <c r="E61" s="21" t="s">
        <v>110</v>
      </c>
      <c r="F61" s="68" t="s">
        <v>11</v>
      </c>
      <c r="G61" s="133"/>
      <c r="H61" s="144" t="str">
        <f>'Q1 DMV - Revenue'!T59</f>
        <v/>
      </c>
      <c r="I61" s="340"/>
      <c r="J61" s="204"/>
      <c r="K61" s="204"/>
      <c r="L61" s="311">
        <f t="shared" si="0"/>
        <v>0</v>
      </c>
      <c r="M61" s="2"/>
      <c r="N61" s="5"/>
      <c r="O61" s="42"/>
      <c r="P61" s="31">
        <v>0</v>
      </c>
      <c r="Q61" s="382">
        <f t="shared" si="1"/>
        <v>0</v>
      </c>
      <c r="R61" s="178"/>
      <c r="S61" s="295"/>
      <c r="T61" s="328" t="str">
        <f t="shared" si="5"/>
        <v/>
      </c>
      <c r="U61" s="421"/>
      <c r="V61" s="158">
        <f t="shared" si="4"/>
        <v>0</v>
      </c>
      <c r="W61" s="386">
        <f t="shared" si="2"/>
        <v>0</v>
      </c>
      <c r="X61" s="387">
        <f t="shared" si="3"/>
        <v>0</v>
      </c>
      <c r="Y61" s="306">
        <v>0</v>
      </c>
      <c r="Z61" s="305">
        <v>0</v>
      </c>
      <c r="AA61" s="38">
        <v>0</v>
      </c>
      <c r="AB61" s="16">
        <v>0</v>
      </c>
      <c r="AC61" s="16">
        <v>0</v>
      </c>
      <c r="AD61" s="16">
        <v>0</v>
      </c>
      <c r="AF61" s="16">
        <v>0</v>
      </c>
      <c r="AG61" s="16">
        <v>0</v>
      </c>
      <c r="AH61" s="16">
        <v>0</v>
      </c>
    </row>
    <row r="62" spans="1:34">
      <c r="A62" s="16"/>
      <c r="B62" s="120"/>
      <c r="C62" s="111"/>
      <c r="D62" s="21"/>
      <c r="E62" s="21" t="s">
        <v>110</v>
      </c>
      <c r="F62" s="68" t="s">
        <v>12</v>
      </c>
      <c r="G62" s="133"/>
      <c r="H62" s="144">
        <f>'Q1 DMV - Revenue'!T60</f>
        <v>128.10500000000002</v>
      </c>
      <c r="I62" s="354">
        <v>820.74</v>
      </c>
      <c r="J62" s="352">
        <v>882.82</v>
      </c>
      <c r="K62" s="204"/>
      <c r="L62" s="311">
        <f t="shared" si="0"/>
        <v>1831.665</v>
      </c>
      <c r="M62" s="31"/>
      <c r="N62" s="84"/>
      <c r="O62" s="42">
        <f>(I62+J62)/2</f>
        <v>851.78</v>
      </c>
      <c r="P62" s="31">
        <v>0</v>
      </c>
      <c r="Q62" s="382">
        <f t="shared" si="1"/>
        <v>851.78</v>
      </c>
      <c r="R62" s="178">
        <v>804.68</v>
      </c>
      <c r="S62" s="295"/>
      <c r="T62" s="328">
        <f t="shared" si="5"/>
        <v>-47.100000000000023</v>
      </c>
      <c r="U62" s="421">
        <v>2598.31</v>
      </c>
      <c r="V62" s="158">
        <f t="shared" si="4"/>
        <v>851.78</v>
      </c>
      <c r="W62" s="386">
        <f t="shared" si="2"/>
        <v>0</v>
      </c>
      <c r="X62" s="387">
        <f t="shared" si="3"/>
        <v>0</v>
      </c>
      <c r="Y62" s="306">
        <v>0</v>
      </c>
      <c r="Z62" s="305">
        <v>0</v>
      </c>
      <c r="AA62" s="38">
        <v>0</v>
      </c>
      <c r="AB62" s="16">
        <v>3342.13</v>
      </c>
      <c r="AC62" s="16">
        <v>0</v>
      </c>
      <c r="AD62" s="16">
        <v>0</v>
      </c>
      <c r="AF62" s="16">
        <v>766.64499999999998</v>
      </c>
      <c r="AG62" s="16">
        <v>0</v>
      </c>
      <c r="AH62" s="16">
        <v>0</v>
      </c>
    </row>
    <row r="63" spans="1:34" s="232" customFormat="1">
      <c r="B63" s="281"/>
      <c r="C63" s="282"/>
      <c r="D63" s="283" t="s">
        <v>211</v>
      </c>
      <c r="E63" s="283" t="s">
        <v>110</v>
      </c>
      <c r="F63" s="123" t="s">
        <v>170</v>
      </c>
      <c r="G63" s="300"/>
      <c r="H63" s="285">
        <f>'Q1 DMV - Revenue'!T61</f>
        <v>115434.13</v>
      </c>
      <c r="I63" s="434"/>
      <c r="J63" s="434"/>
      <c r="K63" s="434"/>
      <c r="L63" s="398">
        <f>SUM(G63:K63)</f>
        <v>115434.13</v>
      </c>
      <c r="M63" s="31"/>
      <c r="N63" s="410">
        <v>446823.56</v>
      </c>
      <c r="O63" s="290"/>
      <c r="P63" s="31">
        <v>0</v>
      </c>
      <c r="Q63" s="382">
        <f t="shared" si="1"/>
        <v>446823.56</v>
      </c>
      <c r="R63" s="14">
        <v>485797.6</v>
      </c>
      <c r="S63" s="295"/>
      <c r="T63" s="328">
        <f t="shared" si="5"/>
        <v>38974.039999999979</v>
      </c>
      <c r="U63" s="421">
        <v>675468.26</v>
      </c>
      <c r="V63" s="158">
        <f t="shared" si="4"/>
        <v>446823.56</v>
      </c>
      <c r="W63" s="386">
        <f t="shared" si="2"/>
        <v>0</v>
      </c>
      <c r="X63" s="387">
        <f t="shared" si="3"/>
        <v>0</v>
      </c>
      <c r="Y63" s="406">
        <v>0</v>
      </c>
      <c r="Z63" s="399">
        <v>0</v>
      </c>
      <c r="AA63" s="233">
        <v>0</v>
      </c>
      <c r="AB63" s="232">
        <v>0</v>
      </c>
      <c r="AC63" s="232">
        <v>0</v>
      </c>
      <c r="AD63" s="232">
        <v>0</v>
      </c>
      <c r="AF63" s="232">
        <v>408335</v>
      </c>
      <c r="AG63" s="232">
        <v>0</v>
      </c>
      <c r="AH63" s="232">
        <v>0</v>
      </c>
    </row>
    <row r="64" spans="1:34" s="232" customFormat="1">
      <c r="B64" s="281"/>
      <c r="C64" s="282"/>
      <c r="D64" s="283" t="s">
        <v>211</v>
      </c>
      <c r="E64" s="283" t="s">
        <v>110</v>
      </c>
      <c r="F64" s="123" t="s">
        <v>171</v>
      </c>
      <c r="G64" s="300"/>
      <c r="H64" s="285">
        <f>'Q1 DMV - Revenue'!T62</f>
        <v>2670.03</v>
      </c>
      <c r="I64" s="434"/>
      <c r="J64" s="434"/>
      <c r="K64" s="434"/>
      <c r="L64" s="398">
        <f>SUM(G64:K64)</f>
        <v>2670.03</v>
      </c>
      <c r="M64" s="31"/>
      <c r="N64" s="410"/>
      <c r="O64" s="290"/>
      <c r="P64" s="31">
        <v>0</v>
      </c>
      <c r="Q64" s="382">
        <f t="shared" si="1"/>
        <v>0</v>
      </c>
      <c r="R64" s="14">
        <v>1853.56</v>
      </c>
      <c r="S64" s="295"/>
      <c r="T64" s="328">
        <f t="shared" si="5"/>
        <v>1853.56</v>
      </c>
      <c r="U64" s="421"/>
      <c r="V64" s="158">
        <f t="shared" si="4"/>
        <v>0</v>
      </c>
      <c r="W64" s="386">
        <f t="shared" si="2"/>
        <v>0</v>
      </c>
      <c r="X64" s="387">
        <f t="shared" si="3"/>
        <v>0</v>
      </c>
      <c r="Y64" s="406">
        <v>0</v>
      </c>
      <c r="Z64" s="399">
        <v>0</v>
      </c>
      <c r="AA64" s="233">
        <v>0</v>
      </c>
      <c r="AB64" s="232">
        <v>0</v>
      </c>
      <c r="AC64" s="232">
        <v>0</v>
      </c>
      <c r="AD64" s="232">
        <v>0</v>
      </c>
      <c r="AF64" s="232">
        <v>0</v>
      </c>
      <c r="AG64" s="232">
        <v>0</v>
      </c>
      <c r="AH64" s="232">
        <v>0</v>
      </c>
    </row>
    <row r="65" spans="1:34" s="232" customFormat="1">
      <c r="B65" s="281"/>
      <c r="C65" s="282"/>
      <c r="D65" s="283" t="s">
        <v>211</v>
      </c>
      <c r="E65" s="283" t="s">
        <v>110</v>
      </c>
      <c r="F65" s="123" t="s">
        <v>13</v>
      </c>
      <c r="G65" s="300"/>
      <c r="H65" s="285">
        <f>'Q1 DMV - Revenue'!T63</f>
        <v>-42732.08</v>
      </c>
      <c r="I65" s="434"/>
      <c r="J65" s="434"/>
      <c r="K65" s="434"/>
      <c r="L65" s="398">
        <f t="shared" si="0"/>
        <v>-42732.08</v>
      </c>
      <c r="M65" s="31"/>
      <c r="N65" s="410">
        <v>106603.62</v>
      </c>
      <c r="O65" s="290"/>
      <c r="P65" s="31">
        <v>0</v>
      </c>
      <c r="Q65" s="382">
        <f t="shared" si="1"/>
        <v>106603.62</v>
      </c>
      <c r="R65" s="14">
        <v>104787.83</v>
      </c>
      <c r="S65" s="295"/>
      <c r="T65" s="328">
        <f t="shared" si="5"/>
        <v>-1815.7899999999936</v>
      </c>
      <c r="U65" s="421"/>
      <c r="V65" s="158">
        <f t="shared" si="4"/>
        <v>106603.62</v>
      </c>
      <c r="W65" s="386">
        <f t="shared" si="2"/>
        <v>0</v>
      </c>
      <c r="X65" s="387">
        <f t="shared" si="3"/>
        <v>0</v>
      </c>
      <c r="Y65" s="406">
        <v>0</v>
      </c>
      <c r="Z65" s="399">
        <v>0</v>
      </c>
      <c r="AA65" s="233">
        <v>0</v>
      </c>
      <c r="AB65" s="232">
        <v>0</v>
      </c>
      <c r="AC65" s="232">
        <v>0</v>
      </c>
      <c r="AD65" s="232">
        <v>0</v>
      </c>
      <c r="AF65" s="232">
        <v>158129</v>
      </c>
      <c r="AG65" s="232">
        <v>0</v>
      </c>
      <c r="AH65" s="232">
        <v>0</v>
      </c>
    </row>
    <row r="66" spans="1:34" s="232" customFormat="1">
      <c r="B66" s="281"/>
      <c r="C66" s="282"/>
      <c r="D66" s="283" t="s">
        <v>211</v>
      </c>
      <c r="E66" s="283" t="s">
        <v>110</v>
      </c>
      <c r="F66" s="123" t="s">
        <v>172</v>
      </c>
      <c r="G66" s="300"/>
      <c r="H66" s="285">
        <f>'Q1 DMV - Revenue'!T64</f>
        <v>26.8</v>
      </c>
      <c r="I66" s="434"/>
      <c r="J66" s="434"/>
      <c r="K66" s="434"/>
      <c r="L66" s="398">
        <f t="shared" si="0"/>
        <v>26.8</v>
      </c>
      <c r="M66" s="31"/>
      <c r="N66" s="410"/>
      <c r="O66" s="290"/>
      <c r="P66" s="31">
        <v>0</v>
      </c>
      <c r="Q66" s="382">
        <f t="shared" si="1"/>
        <v>0</v>
      </c>
      <c r="R66" s="14">
        <v>2.68</v>
      </c>
      <c r="S66" s="295"/>
      <c r="T66" s="328">
        <f t="shared" si="5"/>
        <v>2.68</v>
      </c>
      <c r="U66" s="421"/>
      <c r="V66" s="158">
        <f t="shared" si="4"/>
        <v>0</v>
      </c>
      <c r="W66" s="386">
        <f t="shared" si="2"/>
        <v>0</v>
      </c>
      <c r="X66" s="387">
        <f t="shared" si="3"/>
        <v>0</v>
      </c>
      <c r="Y66" s="406">
        <v>0</v>
      </c>
      <c r="Z66" s="399">
        <v>0</v>
      </c>
      <c r="AA66" s="233">
        <v>0</v>
      </c>
      <c r="AB66" s="232">
        <v>0</v>
      </c>
      <c r="AC66" s="232">
        <v>0</v>
      </c>
      <c r="AD66" s="232">
        <v>0</v>
      </c>
      <c r="AF66" s="232">
        <v>0</v>
      </c>
      <c r="AG66" s="232">
        <v>0</v>
      </c>
      <c r="AH66" s="232">
        <v>0</v>
      </c>
    </row>
    <row r="67" spans="1:34" s="232" customFormat="1">
      <c r="B67" s="281"/>
      <c r="C67" s="282"/>
      <c r="D67" s="283" t="s">
        <v>211</v>
      </c>
      <c r="E67" s="283" t="s">
        <v>110</v>
      </c>
      <c r="F67" s="123" t="s">
        <v>173</v>
      </c>
      <c r="G67" s="300"/>
      <c r="H67" s="285">
        <f>'Q1 DMV - Revenue'!T65</f>
        <v>-12233.029999999999</v>
      </c>
      <c r="I67" s="434"/>
      <c r="J67" s="434"/>
      <c r="K67" s="434"/>
      <c r="L67" s="398">
        <f t="shared" si="0"/>
        <v>-12233.029999999999</v>
      </c>
      <c r="M67" s="31"/>
      <c r="N67" s="410">
        <v>30230.28</v>
      </c>
      <c r="O67" s="290"/>
      <c r="P67" s="31">
        <v>0</v>
      </c>
      <c r="Q67" s="382">
        <f t="shared" si="1"/>
        <v>30230.28</v>
      </c>
      <c r="R67" s="14">
        <v>33324.19</v>
      </c>
      <c r="S67" s="295"/>
      <c r="T67" s="328">
        <f t="shared" si="5"/>
        <v>3093.9100000000035</v>
      </c>
      <c r="U67" s="421"/>
      <c r="V67" s="158">
        <f t="shared" si="4"/>
        <v>30230.28</v>
      </c>
      <c r="W67" s="386">
        <f t="shared" si="2"/>
        <v>0</v>
      </c>
      <c r="X67" s="387">
        <f t="shared" si="3"/>
        <v>0</v>
      </c>
      <c r="Y67" s="406">
        <v>0</v>
      </c>
      <c r="Z67" s="399">
        <v>0</v>
      </c>
      <c r="AA67" s="233">
        <v>0</v>
      </c>
      <c r="AB67" s="232">
        <v>0</v>
      </c>
      <c r="AC67" s="232">
        <v>0</v>
      </c>
      <c r="AD67" s="232">
        <v>0</v>
      </c>
      <c r="AF67" s="232">
        <v>45815</v>
      </c>
      <c r="AG67" s="232">
        <v>0</v>
      </c>
      <c r="AH67" s="232">
        <v>0</v>
      </c>
    </row>
    <row r="68" spans="1:34" s="232" customFormat="1">
      <c r="B68" s="281"/>
      <c r="C68" s="282"/>
      <c r="D68" s="283" t="s">
        <v>211</v>
      </c>
      <c r="E68" s="283" t="s">
        <v>110</v>
      </c>
      <c r="F68" s="408" t="s">
        <v>174</v>
      </c>
      <c r="G68" s="300"/>
      <c r="H68" s="285">
        <f>'Q1 DMV - Revenue'!T66</f>
        <v>23.41</v>
      </c>
      <c r="I68" s="434"/>
      <c r="J68" s="434"/>
      <c r="K68" s="434"/>
      <c r="L68" s="398">
        <f t="shared" si="0"/>
        <v>23.41</v>
      </c>
      <c r="M68" s="31"/>
      <c r="N68" s="410"/>
      <c r="O68" s="290"/>
      <c r="P68" s="31">
        <v>0</v>
      </c>
      <c r="Q68" s="382">
        <f t="shared" si="1"/>
        <v>0</v>
      </c>
      <c r="R68" s="14">
        <v>25.4</v>
      </c>
      <c r="S68" s="295"/>
      <c r="T68" s="328">
        <f t="shared" si="5"/>
        <v>25.4</v>
      </c>
      <c r="U68" s="421"/>
      <c r="V68" s="158">
        <f t="shared" si="4"/>
        <v>0</v>
      </c>
      <c r="W68" s="386">
        <f t="shared" si="2"/>
        <v>0</v>
      </c>
      <c r="X68" s="387">
        <f t="shared" si="3"/>
        <v>0</v>
      </c>
      <c r="Y68" s="406">
        <v>0</v>
      </c>
      <c r="Z68" s="399">
        <v>0</v>
      </c>
      <c r="AA68" s="233">
        <v>0</v>
      </c>
      <c r="AB68" s="232">
        <v>0</v>
      </c>
      <c r="AC68" s="232">
        <v>0</v>
      </c>
      <c r="AD68" s="232">
        <v>0</v>
      </c>
      <c r="AF68" s="232">
        <v>0</v>
      </c>
      <c r="AG68" s="232">
        <v>0</v>
      </c>
      <c r="AH68" s="232">
        <v>0</v>
      </c>
    </row>
    <row r="69" spans="1:34">
      <c r="A69" s="16"/>
      <c r="B69" s="120"/>
      <c r="C69" s="111"/>
      <c r="D69" s="21"/>
      <c r="E69" s="21" t="s">
        <v>109</v>
      </c>
      <c r="F69" s="68" t="s">
        <v>94</v>
      </c>
      <c r="G69" s="14"/>
      <c r="H69" s="144" t="str">
        <f>'Q1 DMV - Revenue'!T67</f>
        <v/>
      </c>
      <c r="I69" s="340"/>
      <c r="J69" s="205">
        <v>636.5</v>
      </c>
      <c r="K69" s="205">
        <v>474.13</v>
      </c>
      <c r="L69" s="311">
        <f t="shared" si="0"/>
        <v>1110.6300000000001</v>
      </c>
      <c r="M69" s="2"/>
      <c r="N69" s="84"/>
      <c r="O69" s="4"/>
      <c r="P69" s="31">
        <v>0</v>
      </c>
      <c r="Q69" s="382">
        <f t="shared" si="1"/>
        <v>0</v>
      </c>
      <c r="R69" s="178">
        <f>812.69</f>
        <v>812.69</v>
      </c>
      <c r="S69" s="295"/>
      <c r="T69" s="328">
        <f t="shared" ref="T69:T74" si="9">IF(R69="","",R69-Q69)</f>
        <v>812.69</v>
      </c>
      <c r="U69" s="421">
        <v>1110.6300000000001</v>
      </c>
      <c r="V69" s="158">
        <f t="shared" si="4"/>
        <v>0</v>
      </c>
      <c r="W69" s="386">
        <f t="shared" si="2"/>
        <v>0</v>
      </c>
      <c r="X69" s="387">
        <f t="shared" si="3"/>
        <v>0</v>
      </c>
      <c r="Y69" s="305">
        <v>0</v>
      </c>
      <c r="Z69" s="305">
        <v>0</v>
      </c>
      <c r="AA69" s="38">
        <v>0</v>
      </c>
      <c r="AB69" s="16">
        <v>0</v>
      </c>
      <c r="AC69" s="16">
        <v>-8000</v>
      </c>
      <c r="AD69" s="16">
        <v>0</v>
      </c>
      <c r="AF69" s="16">
        <v>0</v>
      </c>
      <c r="AG69" s="16">
        <v>0</v>
      </c>
      <c r="AH69" s="16">
        <v>0</v>
      </c>
    </row>
    <row r="70" spans="1:34">
      <c r="A70" s="16"/>
      <c r="B70" s="120"/>
      <c r="C70" s="111"/>
      <c r="D70" s="21" t="s">
        <v>109</v>
      </c>
      <c r="E70" s="21" t="s">
        <v>110</v>
      </c>
      <c r="F70" s="68" t="s">
        <v>319</v>
      </c>
      <c r="G70" s="369">
        <v>1247.23</v>
      </c>
      <c r="H70" s="144" t="str">
        <f>'Q1 DMV - Revenue'!T67</f>
        <v/>
      </c>
      <c r="I70" s="340"/>
      <c r="J70" s="205"/>
      <c r="K70" s="205"/>
      <c r="L70" s="311">
        <f>SUM(G70:K70)</f>
        <v>1247.23</v>
      </c>
      <c r="M70" s="2"/>
      <c r="N70" s="84"/>
      <c r="O70" s="4"/>
      <c r="P70" s="31">
        <v>0</v>
      </c>
      <c r="Q70" s="382">
        <f t="shared" si="1"/>
        <v>0</v>
      </c>
      <c r="R70" s="178"/>
      <c r="S70" s="295"/>
      <c r="T70" s="328" t="str">
        <f t="shared" si="9"/>
        <v/>
      </c>
      <c r="U70" s="421">
        <v>1247.23</v>
      </c>
      <c r="V70" s="158">
        <f t="shared" si="4"/>
        <v>0</v>
      </c>
      <c r="W70" s="386">
        <f t="shared" si="2"/>
        <v>0</v>
      </c>
      <c r="X70" s="387">
        <f t="shared" si="3"/>
        <v>0</v>
      </c>
      <c r="Y70" s="305">
        <v>0</v>
      </c>
      <c r="Z70" s="305">
        <v>0</v>
      </c>
      <c r="AA70" s="38">
        <v>0</v>
      </c>
      <c r="AB70" s="16">
        <v>0</v>
      </c>
      <c r="AC70" s="16">
        <v>0</v>
      </c>
      <c r="AD70" s="16">
        <v>0</v>
      </c>
      <c r="AF70" s="16">
        <v>0</v>
      </c>
      <c r="AG70" s="16">
        <v>0</v>
      </c>
      <c r="AH70" s="16">
        <v>0</v>
      </c>
    </row>
    <row r="71" spans="1:34">
      <c r="A71" s="16"/>
      <c r="B71" s="118"/>
      <c r="C71" s="109"/>
      <c r="D71" s="20" t="s">
        <v>211</v>
      </c>
      <c r="E71" s="20" t="s">
        <v>109</v>
      </c>
      <c r="F71" s="68" t="s">
        <v>14</v>
      </c>
      <c r="G71" s="133"/>
      <c r="H71" s="144">
        <v>-9500</v>
      </c>
      <c r="I71" s="340"/>
      <c r="J71" s="204"/>
      <c r="K71" s="204"/>
      <c r="L71" s="311">
        <f t="shared" si="0"/>
        <v>-9500</v>
      </c>
      <c r="M71" s="31"/>
      <c r="N71" s="84"/>
      <c r="O71" s="42">
        <v>2000</v>
      </c>
      <c r="P71" s="31">
        <v>0</v>
      </c>
      <c r="Q71" s="382">
        <f t="shared" si="1"/>
        <v>2000</v>
      </c>
      <c r="R71" s="178"/>
      <c r="S71" s="295"/>
      <c r="T71" s="328" t="str">
        <f t="shared" si="9"/>
        <v/>
      </c>
      <c r="U71" s="421"/>
      <c r="V71" s="158">
        <f t="shared" si="4"/>
        <v>0</v>
      </c>
      <c r="W71" s="386">
        <f t="shared" si="2"/>
        <v>2000</v>
      </c>
      <c r="X71" s="387">
        <f t="shared" si="3"/>
        <v>0</v>
      </c>
      <c r="Y71" s="306">
        <v>0</v>
      </c>
      <c r="Z71" s="305">
        <v>0</v>
      </c>
      <c r="AA71" s="38">
        <v>0</v>
      </c>
      <c r="AB71" s="16">
        <v>0</v>
      </c>
      <c r="AC71" s="16">
        <v>0</v>
      </c>
      <c r="AD71" s="16">
        <v>0</v>
      </c>
      <c r="AF71" s="16">
        <v>0</v>
      </c>
      <c r="AG71" s="16">
        <v>0</v>
      </c>
      <c r="AH71" s="16">
        <v>0</v>
      </c>
    </row>
    <row r="72" spans="1:34">
      <c r="A72" s="16"/>
      <c r="B72" s="118"/>
      <c r="C72" s="109"/>
      <c r="D72" s="20"/>
      <c r="E72" s="20" t="s">
        <v>110</v>
      </c>
      <c r="F72" s="68" t="s">
        <v>15</v>
      </c>
      <c r="G72" s="133"/>
      <c r="H72" s="144" t="str">
        <f>'Q1 DMV - Revenue'!T69</f>
        <v/>
      </c>
      <c r="I72" s="341">
        <v>7958.63</v>
      </c>
      <c r="J72" s="205">
        <v>9402.34</v>
      </c>
      <c r="K72" s="352">
        <v>8136.25</v>
      </c>
      <c r="L72" s="311">
        <f t="shared" si="0"/>
        <v>25497.22</v>
      </c>
      <c r="M72" s="31"/>
      <c r="N72" s="84"/>
      <c r="O72" s="42"/>
      <c r="P72" s="31">
        <v>0</v>
      </c>
      <c r="Q72" s="382">
        <f t="shared" si="1"/>
        <v>0</v>
      </c>
      <c r="R72" s="178"/>
      <c r="S72" s="295"/>
      <c r="T72" s="328" t="str">
        <f t="shared" si="9"/>
        <v/>
      </c>
      <c r="U72" s="421">
        <v>25497.22</v>
      </c>
      <c r="V72" s="158">
        <f t="shared" si="4"/>
        <v>0</v>
      </c>
      <c r="W72" s="386">
        <f t="shared" si="2"/>
        <v>0</v>
      </c>
      <c r="X72" s="387">
        <f t="shared" si="3"/>
        <v>0</v>
      </c>
      <c r="Y72" s="306">
        <v>0</v>
      </c>
      <c r="Z72" s="305">
        <v>0</v>
      </c>
      <c r="AA72" s="38">
        <v>0</v>
      </c>
      <c r="AB72" s="16">
        <v>28245.61</v>
      </c>
      <c r="AC72" s="16">
        <v>0</v>
      </c>
      <c r="AD72" s="16">
        <v>0</v>
      </c>
      <c r="AF72" s="16">
        <v>0</v>
      </c>
      <c r="AG72" s="16">
        <v>0</v>
      </c>
      <c r="AH72" s="16">
        <v>0</v>
      </c>
    </row>
    <row r="73" spans="1:34">
      <c r="A73" s="16"/>
      <c r="B73" s="118" t="s">
        <v>70</v>
      </c>
      <c r="C73" s="109"/>
      <c r="D73" s="20"/>
      <c r="E73" s="20" t="s">
        <v>109</v>
      </c>
      <c r="F73" s="68" t="s">
        <v>16</v>
      </c>
      <c r="G73" s="133">
        <f>197.56+302.62</f>
        <v>500.18</v>
      </c>
      <c r="H73" s="144">
        <f>'Q1 DMV - Revenue'!T70</f>
        <v>402.57999999999993</v>
      </c>
      <c r="I73" s="341">
        <v>159.63</v>
      </c>
      <c r="J73" s="204"/>
      <c r="K73" s="204"/>
      <c r="L73" s="311">
        <f t="shared" si="0"/>
        <v>1062.3899999999999</v>
      </c>
      <c r="M73" s="31"/>
      <c r="N73" s="84"/>
      <c r="O73" s="42">
        <f>I73*2</f>
        <v>319.26</v>
      </c>
      <c r="P73" s="31">
        <v>0</v>
      </c>
      <c r="Q73" s="382">
        <f t="shared" si="1"/>
        <v>319.26</v>
      </c>
      <c r="R73" s="178">
        <f>196.55+221.64+161.25</f>
        <v>579.44000000000005</v>
      </c>
      <c r="S73" s="295"/>
      <c r="T73" s="328">
        <f t="shared" si="9"/>
        <v>260.18000000000006</v>
      </c>
      <c r="U73" s="421">
        <v>1687.32</v>
      </c>
      <c r="V73" s="158">
        <f t="shared" si="4"/>
        <v>0</v>
      </c>
      <c r="W73" s="386">
        <f t="shared" si="2"/>
        <v>319.26</v>
      </c>
      <c r="X73" s="387">
        <f t="shared" si="3"/>
        <v>0</v>
      </c>
      <c r="Y73" s="306">
        <v>0</v>
      </c>
      <c r="Z73" s="305">
        <v>0</v>
      </c>
      <c r="AA73" s="38">
        <v>0</v>
      </c>
      <c r="AB73" s="16">
        <v>0</v>
      </c>
      <c r="AC73" s="16">
        <v>-600</v>
      </c>
      <c r="AD73" s="16">
        <v>0</v>
      </c>
      <c r="AF73" s="16">
        <v>0</v>
      </c>
      <c r="AG73" s="16">
        <v>200</v>
      </c>
      <c r="AH73" s="16">
        <v>0</v>
      </c>
    </row>
    <row r="74" spans="1:34">
      <c r="A74" s="16"/>
      <c r="B74" s="118"/>
      <c r="C74" s="109"/>
      <c r="D74" s="20"/>
      <c r="E74" s="20" t="s">
        <v>109</v>
      </c>
      <c r="F74" s="68" t="s">
        <v>208</v>
      </c>
      <c r="G74" s="133">
        <f>42.91+22.44</f>
        <v>65.349999999999994</v>
      </c>
      <c r="H74" s="144">
        <f>'Q1 DMV - Revenue'!T71</f>
        <v>192.45999999999998</v>
      </c>
      <c r="I74" s="341">
        <v>67.12</v>
      </c>
      <c r="J74" s="204"/>
      <c r="K74" s="204"/>
      <c r="L74" s="311">
        <f t="shared" si="0"/>
        <v>324.92999999999995</v>
      </c>
      <c r="M74" s="31"/>
      <c r="N74" s="84"/>
      <c r="O74" s="42">
        <f>I74*2</f>
        <v>134.24</v>
      </c>
      <c r="P74" s="31">
        <v>0</v>
      </c>
      <c r="Q74" s="382">
        <f t="shared" si="1"/>
        <v>134.24</v>
      </c>
      <c r="R74" s="178">
        <f>84.24+63.7+73.3</f>
        <v>221.24</v>
      </c>
      <c r="S74" s="295"/>
      <c r="T74" s="328">
        <f t="shared" si="9"/>
        <v>87</v>
      </c>
      <c r="U74" s="421"/>
      <c r="V74" s="158">
        <f t="shared" si="4"/>
        <v>0</v>
      </c>
      <c r="W74" s="386">
        <f t="shared" si="2"/>
        <v>134.24</v>
      </c>
      <c r="X74" s="387">
        <f t="shared" si="3"/>
        <v>0</v>
      </c>
      <c r="Y74" s="306">
        <v>0</v>
      </c>
      <c r="Z74" s="305">
        <v>0</v>
      </c>
      <c r="AA74" s="38">
        <v>0</v>
      </c>
      <c r="AB74" s="16">
        <v>0</v>
      </c>
      <c r="AC74" s="16">
        <v>-200</v>
      </c>
      <c r="AD74" s="16">
        <v>0</v>
      </c>
      <c r="AF74" s="16">
        <v>0</v>
      </c>
      <c r="AG74" s="16">
        <v>100</v>
      </c>
      <c r="AH74" s="16">
        <v>0</v>
      </c>
    </row>
    <row r="75" spans="1:34">
      <c r="A75" s="16"/>
      <c r="B75" s="118"/>
      <c r="C75" s="109"/>
      <c r="D75" s="20"/>
      <c r="E75" s="20" t="s">
        <v>110</v>
      </c>
      <c r="F75" s="68" t="s">
        <v>17</v>
      </c>
      <c r="G75" s="133" t="s">
        <v>309</v>
      </c>
      <c r="H75" s="144" t="str">
        <f>'Q1 DMV - Revenue'!T72</f>
        <v/>
      </c>
      <c r="I75" s="340"/>
      <c r="J75" s="204"/>
      <c r="K75" s="204"/>
      <c r="L75" s="311">
        <f t="shared" si="0"/>
        <v>0</v>
      </c>
      <c r="M75" s="31"/>
      <c r="N75" s="84"/>
      <c r="O75" s="42"/>
      <c r="P75" s="31">
        <v>0</v>
      </c>
      <c r="Q75" s="382">
        <f t="shared" si="1"/>
        <v>0</v>
      </c>
      <c r="R75" s="178">
        <v>7.21</v>
      </c>
      <c r="S75" s="295"/>
      <c r="T75" s="328">
        <f t="shared" si="5"/>
        <v>7.21</v>
      </c>
      <c r="U75" s="421"/>
      <c r="V75" s="158">
        <f t="shared" si="4"/>
        <v>0</v>
      </c>
      <c r="W75" s="386">
        <f t="shared" si="2"/>
        <v>0</v>
      </c>
      <c r="X75" s="387">
        <f t="shared" si="3"/>
        <v>0</v>
      </c>
      <c r="Y75" s="306">
        <v>0</v>
      </c>
      <c r="Z75" s="305">
        <v>0</v>
      </c>
      <c r="AA75" s="38">
        <v>0</v>
      </c>
      <c r="AB75" s="16">
        <v>0</v>
      </c>
      <c r="AC75" s="16">
        <v>0</v>
      </c>
      <c r="AD75" s="16">
        <v>0</v>
      </c>
      <c r="AF75" s="16">
        <v>0</v>
      </c>
      <c r="AG75" s="16">
        <v>0</v>
      </c>
      <c r="AH75" s="16">
        <v>0</v>
      </c>
    </row>
    <row r="76" spans="1:34">
      <c r="A76" s="16"/>
      <c r="B76" s="118"/>
      <c r="C76" s="109"/>
      <c r="D76" s="20"/>
      <c r="E76" s="20" t="s">
        <v>109</v>
      </c>
      <c r="F76" s="351" t="s">
        <v>312</v>
      </c>
      <c r="G76" s="133"/>
      <c r="H76" s="144">
        <f>'Q1 DMV - Revenue'!T73</f>
        <v>862.54000000000087</v>
      </c>
      <c r="I76" s="341">
        <v>28232.45</v>
      </c>
      <c r="J76" s="205">
        <v>28105.08</v>
      </c>
      <c r="K76" s="205">
        <v>25079.119999999999</v>
      </c>
      <c r="L76" s="311">
        <f t="shared" si="0"/>
        <v>82279.19</v>
      </c>
      <c r="M76" s="31"/>
      <c r="N76" s="84"/>
      <c r="O76" s="42">
        <f>(I76+J76)/2</f>
        <v>28168.764999999999</v>
      </c>
      <c r="P76" s="31">
        <v>0</v>
      </c>
      <c r="Q76" s="382">
        <f t="shared" si="1"/>
        <v>28168.764999999999</v>
      </c>
      <c r="R76" s="205">
        <v>25079.119999999999</v>
      </c>
      <c r="S76" s="295"/>
      <c r="T76" s="328">
        <f t="shared" si="5"/>
        <v>-3089.6450000000004</v>
      </c>
      <c r="U76" s="421">
        <v>94208.26</v>
      </c>
      <c r="V76" s="158">
        <f t="shared" si="4"/>
        <v>0</v>
      </c>
      <c r="W76" s="386">
        <f t="shared" si="2"/>
        <v>28168.764999999999</v>
      </c>
      <c r="X76" s="387">
        <f t="shared" si="3"/>
        <v>0</v>
      </c>
      <c r="Y76" s="306">
        <v>0</v>
      </c>
      <c r="Z76" s="305">
        <v>0</v>
      </c>
      <c r="AA76" s="38">
        <v>0</v>
      </c>
      <c r="AB76" s="16">
        <v>0</v>
      </c>
      <c r="AC76" s="16">
        <v>60992.46</v>
      </c>
      <c r="AD76" s="16">
        <v>0</v>
      </c>
      <c r="AF76" s="16">
        <v>0</v>
      </c>
      <c r="AG76" s="16">
        <v>30496.23</v>
      </c>
      <c r="AH76" s="16">
        <v>0</v>
      </c>
    </row>
    <row r="77" spans="1:34">
      <c r="A77" s="16"/>
      <c r="B77" s="118"/>
      <c r="C77" s="109"/>
      <c r="D77" s="20"/>
      <c r="E77" s="20" t="s">
        <v>109</v>
      </c>
      <c r="F77" s="351" t="s">
        <v>313</v>
      </c>
      <c r="G77" s="133"/>
      <c r="H77" s="144">
        <f>'Q1 DMV - Revenue'!T74</f>
        <v>-7194.73</v>
      </c>
      <c r="I77" s="341">
        <v>15.28</v>
      </c>
      <c r="J77" s="205">
        <v>13.51</v>
      </c>
      <c r="K77" s="204"/>
      <c r="L77" s="311">
        <f t="shared" si="0"/>
        <v>-7165.94</v>
      </c>
      <c r="M77" s="31"/>
      <c r="N77" s="84"/>
      <c r="O77" s="42">
        <f>(I77+J77)/2</f>
        <v>14.395</v>
      </c>
      <c r="P77" s="31">
        <v>0</v>
      </c>
      <c r="Q77" s="382">
        <f t="shared" si="1"/>
        <v>14.395</v>
      </c>
      <c r="R77" s="205"/>
      <c r="S77" s="295"/>
      <c r="T77" s="328" t="str">
        <f t="shared" si="5"/>
        <v/>
      </c>
      <c r="U77" s="421"/>
      <c r="V77" s="158">
        <f t="shared" si="4"/>
        <v>0</v>
      </c>
      <c r="W77" s="386">
        <f t="shared" si="2"/>
        <v>14.395</v>
      </c>
      <c r="X77" s="387">
        <f t="shared" si="3"/>
        <v>0</v>
      </c>
      <c r="Y77" s="306">
        <v>0</v>
      </c>
      <c r="Z77" s="305">
        <v>0</v>
      </c>
      <c r="AA77" s="38">
        <v>0</v>
      </c>
      <c r="AB77" s="16">
        <v>0</v>
      </c>
      <c r="AC77" s="16">
        <v>20120.3</v>
      </c>
      <c r="AD77" s="16">
        <v>0</v>
      </c>
      <c r="AF77" s="16">
        <v>0</v>
      </c>
      <c r="AG77" s="16">
        <v>10060.15</v>
      </c>
      <c r="AH77" s="16">
        <v>0</v>
      </c>
    </row>
    <row r="78" spans="1:34">
      <c r="A78" s="16"/>
      <c r="B78" s="118"/>
      <c r="C78" s="109"/>
      <c r="D78" s="20"/>
      <c r="E78" s="20" t="s">
        <v>109</v>
      </c>
      <c r="F78" s="351" t="s">
        <v>314</v>
      </c>
      <c r="G78" s="133"/>
      <c r="H78" s="144">
        <f>'Q1 DMV - Revenue'!T75</f>
        <v>-17.75</v>
      </c>
      <c r="I78" s="341">
        <v>123</v>
      </c>
      <c r="J78" s="205">
        <v>130.6</v>
      </c>
      <c r="K78" s="205">
        <v>86.5</v>
      </c>
      <c r="L78" s="311">
        <f t="shared" si="0"/>
        <v>322.35000000000002</v>
      </c>
      <c r="M78" s="31"/>
      <c r="N78" s="84"/>
      <c r="O78" s="42">
        <f>(I78+J78)/2</f>
        <v>126.8</v>
      </c>
      <c r="P78" s="31">
        <v>0</v>
      </c>
      <c r="Q78" s="382">
        <f t="shared" si="1"/>
        <v>126.8</v>
      </c>
      <c r="R78" s="205">
        <v>86.5</v>
      </c>
      <c r="S78" s="295"/>
      <c r="T78" s="328">
        <f t="shared" si="5"/>
        <v>-40.299999999999997</v>
      </c>
      <c r="U78" s="421"/>
      <c r="V78" s="158">
        <f t="shared" si="4"/>
        <v>0</v>
      </c>
      <c r="W78" s="386">
        <f t="shared" si="2"/>
        <v>126.8</v>
      </c>
      <c r="X78" s="387">
        <f t="shared" si="3"/>
        <v>0</v>
      </c>
      <c r="Y78" s="306">
        <v>0</v>
      </c>
      <c r="Z78" s="305">
        <v>0</v>
      </c>
      <c r="AA78" s="38">
        <v>0</v>
      </c>
      <c r="AB78" s="16">
        <v>0</v>
      </c>
      <c r="AC78" s="16">
        <v>320.7</v>
      </c>
      <c r="AD78" s="16">
        <v>0</v>
      </c>
      <c r="AF78" s="16">
        <v>0</v>
      </c>
      <c r="AG78" s="16">
        <v>160.35</v>
      </c>
      <c r="AH78" s="16">
        <v>0</v>
      </c>
    </row>
    <row r="79" spans="1:34">
      <c r="A79" s="16"/>
      <c r="B79" s="118"/>
      <c r="C79" s="109"/>
      <c r="D79" s="20"/>
      <c r="E79" s="20" t="s">
        <v>109</v>
      </c>
      <c r="F79" s="351" t="s">
        <v>315</v>
      </c>
      <c r="G79" s="133"/>
      <c r="H79" s="144">
        <f>'Q1 DMV - Revenue'!T76</f>
        <v>-158.71500000000015</v>
      </c>
      <c r="I79" s="341">
        <v>1043.07</v>
      </c>
      <c r="J79" s="205">
        <v>1012.72</v>
      </c>
      <c r="K79" s="205">
        <v>932.02</v>
      </c>
      <c r="L79" s="311">
        <f t="shared" si="0"/>
        <v>2829.0949999999998</v>
      </c>
      <c r="M79" s="31"/>
      <c r="N79" s="84"/>
      <c r="O79" s="42">
        <f>(I79+J79)/2</f>
        <v>1027.895</v>
      </c>
      <c r="P79" s="31">
        <v>0</v>
      </c>
      <c r="Q79" s="382">
        <f t="shared" si="1"/>
        <v>1027.895</v>
      </c>
      <c r="R79" s="205">
        <v>932.02</v>
      </c>
      <c r="S79" s="295"/>
      <c r="T79" s="328">
        <f t="shared" si="5"/>
        <v>-95.875</v>
      </c>
      <c r="U79" s="421"/>
      <c r="V79" s="158">
        <f t="shared" si="4"/>
        <v>0</v>
      </c>
      <c r="W79" s="386">
        <f t="shared" si="2"/>
        <v>1027.895</v>
      </c>
      <c r="X79" s="387">
        <f t="shared" si="3"/>
        <v>0</v>
      </c>
      <c r="Y79" s="306">
        <v>0</v>
      </c>
      <c r="Z79" s="305">
        <v>0</v>
      </c>
      <c r="AA79" s="38">
        <v>0</v>
      </c>
      <c r="AB79" s="16">
        <v>0</v>
      </c>
      <c r="AC79" s="16">
        <v>2548.0500000000002</v>
      </c>
      <c r="AD79" s="16">
        <v>0</v>
      </c>
      <c r="AF79" s="16">
        <v>0</v>
      </c>
      <c r="AG79" s="16">
        <v>1274.0250000000001</v>
      </c>
      <c r="AH79" s="16">
        <v>0</v>
      </c>
    </row>
    <row r="80" spans="1:34">
      <c r="A80" s="16"/>
      <c r="B80" s="118"/>
      <c r="C80" s="109"/>
      <c r="D80" s="20"/>
      <c r="E80" s="20" t="s">
        <v>109</v>
      </c>
      <c r="F80" s="351" t="s">
        <v>316</v>
      </c>
      <c r="G80" s="133"/>
      <c r="H80" s="144">
        <f>'Q1 DMV - Revenue'!T77</f>
        <v>-64.605000000000004</v>
      </c>
      <c r="I80" s="349"/>
      <c r="J80" s="348"/>
      <c r="K80" s="348"/>
      <c r="L80" s="311">
        <f t="shared" si="0"/>
        <v>-64.605000000000004</v>
      </c>
      <c r="M80" s="31"/>
      <c r="N80" s="395"/>
      <c r="O80" s="395"/>
      <c r="P80" s="31">
        <v>0</v>
      </c>
      <c r="Q80" s="382">
        <f t="shared" si="1"/>
        <v>0</v>
      </c>
      <c r="R80" s="178"/>
      <c r="S80" s="295"/>
      <c r="T80" s="328" t="str">
        <f t="shared" si="5"/>
        <v/>
      </c>
      <c r="U80" s="421"/>
      <c r="V80" s="158">
        <f t="shared" si="4"/>
        <v>0</v>
      </c>
      <c r="W80" s="386">
        <f t="shared" si="2"/>
        <v>0</v>
      </c>
      <c r="X80" s="387">
        <f t="shared" si="3"/>
        <v>0</v>
      </c>
      <c r="Y80" s="306">
        <v>0</v>
      </c>
      <c r="Z80" s="305">
        <v>0</v>
      </c>
      <c r="AA80" s="38">
        <v>0</v>
      </c>
      <c r="AB80" s="16">
        <v>0</v>
      </c>
      <c r="AC80" s="16">
        <v>230.11</v>
      </c>
      <c r="AD80" s="16">
        <v>0</v>
      </c>
      <c r="AF80" s="16">
        <v>0</v>
      </c>
      <c r="AG80" s="16">
        <v>115.05500000000001</v>
      </c>
      <c r="AH80" s="16">
        <v>0</v>
      </c>
    </row>
    <row r="81" spans="1:34">
      <c r="A81" s="16"/>
      <c r="B81" s="118"/>
      <c r="C81" s="109"/>
      <c r="D81" s="20"/>
      <c r="E81" s="20" t="s">
        <v>110</v>
      </c>
      <c r="F81" s="68" t="s">
        <v>305</v>
      </c>
      <c r="G81" s="133">
        <f>38.62+64.71+28.76+91.86+87.79+77.29+71.88+62.32+70.66+63.21+58.41+71.91+83.59+71.87+64.72+500.25</f>
        <v>1507.85</v>
      </c>
      <c r="H81" s="144"/>
      <c r="I81" s="341">
        <v>169.86</v>
      </c>
      <c r="J81" s="205">
        <v>97.92</v>
      </c>
      <c r="K81" s="205">
        <v>71.91</v>
      </c>
      <c r="L81" s="311"/>
      <c r="M81" s="31"/>
      <c r="N81" s="84"/>
      <c r="O81" s="42"/>
      <c r="P81" s="31"/>
      <c r="Q81" s="382">
        <f t="shared" si="1"/>
        <v>0</v>
      </c>
      <c r="R81" s="178"/>
      <c r="S81" s="295"/>
      <c r="T81" s="328"/>
      <c r="U81" s="421">
        <v>1847.66</v>
      </c>
      <c r="V81" s="158">
        <f t="shared" si="4"/>
        <v>0</v>
      </c>
      <c r="W81" s="386">
        <f t="shared" si="2"/>
        <v>0</v>
      </c>
      <c r="X81" s="387">
        <f t="shared" si="3"/>
        <v>0</v>
      </c>
      <c r="Y81" s="306"/>
      <c r="Z81" s="305"/>
      <c r="AA81" s="38"/>
    </row>
    <row r="82" spans="1:34">
      <c r="A82" s="16"/>
      <c r="B82" s="118"/>
      <c r="C82" s="109"/>
      <c r="D82" s="20"/>
      <c r="E82" s="20" t="s">
        <v>110</v>
      </c>
      <c r="F82" s="68" t="s">
        <v>199</v>
      </c>
      <c r="G82" s="133"/>
      <c r="H82" s="144">
        <f>'Q1 DMV - Revenue'!T78</f>
        <v>-208.64</v>
      </c>
      <c r="I82" s="341">
        <v>74.36</v>
      </c>
      <c r="J82" s="352">
        <v>56.29</v>
      </c>
      <c r="K82" s="352">
        <v>43.85</v>
      </c>
      <c r="L82" s="311">
        <f>SUM(G82:K82)</f>
        <v>-34.139999999999979</v>
      </c>
      <c r="M82" s="31"/>
      <c r="N82" s="84"/>
      <c r="O82" s="42"/>
      <c r="P82" s="31">
        <v>0</v>
      </c>
      <c r="Q82" s="382">
        <f t="shared" si="1"/>
        <v>0</v>
      </c>
      <c r="R82" s="178"/>
      <c r="S82" s="295"/>
      <c r="T82" s="328" t="str">
        <f t="shared" si="5"/>
        <v/>
      </c>
      <c r="U82" s="421"/>
      <c r="V82" s="158">
        <f t="shared" si="4"/>
        <v>0</v>
      </c>
      <c r="W82" s="386">
        <f t="shared" si="2"/>
        <v>0</v>
      </c>
      <c r="X82" s="387">
        <f t="shared" si="3"/>
        <v>0</v>
      </c>
      <c r="Y82" s="306">
        <v>0</v>
      </c>
      <c r="Z82" s="305">
        <v>0</v>
      </c>
      <c r="AA82" s="38">
        <v>0</v>
      </c>
      <c r="AB82" s="16">
        <v>0</v>
      </c>
      <c r="AC82" s="16">
        <v>0</v>
      </c>
      <c r="AD82" s="16">
        <v>0</v>
      </c>
      <c r="AF82" s="16">
        <v>0</v>
      </c>
      <c r="AG82" s="16">
        <v>500</v>
      </c>
      <c r="AH82" s="16">
        <v>0</v>
      </c>
    </row>
    <row r="83" spans="1:34">
      <c r="A83" s="16"/>
      <c r="B83" s="118"/>
      <c r="C83" s="109"/>
      <c r="D83" s="20"/>
      <c r="E83" s="20" t="s">
        <v>110</v>
      </c>
      <c r="F83" s="68" t="s">
        <v>200</v>
      </c>
      <c r="G83" s="133"/>
      <c r="H83" s="144">
        <f>'Q1 DMV - Revenue'!T79</f>
        <v>2523.7599999999998</v>
      </c>
      <c r="I83" s="341">
        <v>126</v>
      </c>
      <c r="J83" s="352">
        <v>262.5</v>
      </c>
      <c r="K83" s="352">
        <v>267.39999999999998</v>
      </c>
      <c r="L83" s="311">
        <f t="shared" si="0"/>
        <v>3179.66</v>
      </c>
      <c r="M83" s="31"/>
      <c r="N83" s="84"/>
      <c r="O83" s="42"/>
      <c r="P83" s="31">
        <v>0</v>
      </c>
      <c r="Q83" s="382">
        <f t="shared" si="1"/>
        <v>0</v>
      </c>
      <c r="R83" s="178"/>
      <c r="S83" s="295"/>
      <c r="T83" s="328" t="str">
        <f t="shared" si="5"/>
        <v/>
      </c>
      <c r="U83" s="421"/>
      <c r="V83" s="158">
        <f t="shared" si="4"/>
        <v>0</v>
      </c>
      <c r="W83" s="386">
        <f t="shared" si="2"/>
        <v>0</v>
      </c>
      <c r="X83" s="387">
        <f t="shared" si="3"/>
        <v>0</v>
      </c>
      <c r="Y83" s="306">
        <v>0</v>
      </c>
      <c r="Z83" s="305">
        <v>0</v>
      </c>
      <c r="AA83" s="38">
        <v>0</v>
      </c>
      <c r="AB83" s="16">
        <v>0</v>
      </c>
      <c r="AC83" s="16">
        <v>0</v>
      </c>
      <c r="AD83" s="16">
        <v>0</v>
      </c>
      <c r="AF83" s="16">
        <v>0</v>
      </c>
      <c r="AG83" s="16">
        <v>600</v>
      </c>
      <c r="AH83" s="16">
        <v>0</v>
      </c>
    </row>
    <row r="84" spans="1:34">
      <c r="A84" s="16"/>
      <c r="B84" s="118"/>
      <c r="C84" s="109"/>
      <c r="D84" s="20"/>
      <c r="E84" s="20" t="s">
        <v>110</v>
      </c>
      <c r="F84" s="68" t="s">
        <v>201</v>
      </c>
      <c r="G84" s="133"/>
      <c r="H84" s="144">
        <f>'Q1 DMV - Revenue'!T80</f>
        <v>-102.91999999999999</v>
      </c>
      <c r="I84" s="341">
        <v>2.25</v>
      </c>
      <c r="J84" s="352">
        <v>2.16</v>
      </c>
      <c r="K84" s="352">
        <v>25.26</v>
      </c>
      <c r="L84" s="311">
        <f t="shared" si="0"/>
        <v>-73.249999999999986</v>
      </c>
      <c r="M84" s="31"/>
      <c r="N84" s="84"/>
      <c r="O84" s="42"/>
      <c r="P84" s="31">
        <v>0</v>
      </c>
      <c r="Q84" s="382">
        <f t="shared" ref="Q84:Q148" si="10">N84+O84</f>
        <v>0</v>
      </c>
      <c r="R84" s="178"/>
      <c r="S84" s="295"/>
      <c r="T84" s="328" t="str">
        <f t="shared" si="5"/>
        <v/>
      </c>
      <c r="U84" s="421">
        <v>4372.2700000000004</v>
      </c>
      <c r="V84" s="158">
        <f t="shared" si="4"/>
        <v>0</v>
      </c>
      <c r="W84" s="386">
        <f t="shared" ref="W84:W148" si="11">IF(E84="M",Q84,0)</f>
        <v>0</v>
      </c>
      <c r="X84" s="387">
        <f t="shared" ref="X84:X148" si="12">IF(E84="V",Q84,0)</f>
        <v>0</v>
      </c>
      <c r="Y84" s="306">
        <v>0</v>
      </c>
      <c r="Z84" s="305">
        <v>0</v>
      </c>
      <c r="AA84" s="38">
        <v>0</v>
      </c>
      <c r="AB84" s="16">
        <v>0</v>
      </c>
      <c r="AC84" s="16">
        <v>0</v>
      </c>
      <c r="AD84" s="16">
        <v>0</v>
      </c>
      <c r="AF84" s="16">
        <v>0</v>
      </c>
      <c r="AG84" s="16">
        <v>200</v>
      </c>
      <c r="AH84" s="16">
        <v>0</v>
      </c>
    </row>
    <row r="85" spans="1:34">
      <c r="A85" s="16"/>
      <c r="B85" s="118"/>
      <c r="C85" s="109"/>
      <c r="D85" s="20"/>
      <c r="E85" s="20" t="s">
        <v>110</v>
      </c>
      <c r="F85" s="68" t="s">
        <v>64</v>
      </c>
      <c r="G85" s="133"/>
      <c r="H85" s="144" t="str">
        <f>'Q1 DMV - Revenue'!T81</f>
        <v/>
      </c>
      <c r="I85" s="340"/>
      <c r="J85" s="204"/>
      <c r="K85" s="352">
        <v>287.58</v>
      </c>
      <c r="L85" s="311">
        <f t="shared" si="0"/>
        <v>287.58</v>
      </c>
      <c r="M85" s="31"/>
      <c r="N85" s="84"/>
      <c r="O85" s="42"/>
      <c r="P85" s="31">
        <v>0</v>
      </c>
      <c r="Q85" s="382">
        <f t="shared" si="10"/>
        <v>0</v>
      </c>
      <c r="R85" s="178">
        <f>201.47+194.54</f>
        <v>396.01</v>
      </c>
      <c r="S85" s="295"/>
      <c r="T85" s="328">
        <f t="shared" si="5"/>
        <v>396.01</v>
      </c>
      <c r="U85" s="421">
        <v>287.58</v>
      </c>
      <c r="V85" s="158">
        <f t="shared" ref="V85:V149" si="13">IF(E85="D",Q85,0)</f>
        <v>0</v>
      </c>
      <c r="W85" s="386">
        <f t="shared" si="11"/>
        <v>0</v>
      </c>
      <c r="X85" s="387">
        <f t="shared" si="12"/>
        <v>0</v>
      </c>
      <c r="Y85" s="306">
        <v>0</v>
      </c>
      <c r="Z85" s="305">
        <v>0</v>
      </c>
      <c r="AA85" s="38">
        <v>0</v>
      </c>
      <c r="AB85" s="16">
        <v>0</v>
      </c>
      <c r="AC85" s="16">
        <v>0</v>
      </c>
      <c r="AD85" s="16">
        <v>0</v>
      </c>
      <c r="AF85" s="16">
        <v>0</v>
      </c>
      <c r="AG85" s="16">
        <v>0</v>
      </c>
      <c r="AH85" s="16">
        <v>0</v>
      </c>
    </row>
    <row r="86" spans="1:34">
      <c r="A86" s="16"/>
      <c r="B86" s="118"/>
      <c r="C86" s="109"/>
      <c r="D86" s="20" t="s">
        <v>211</v>
      </c>
      <c r="E86" s="20" t="s">
        <v>109</v>
      </c>
      <c r="F86" s="68" t="s">
        <v>18</v>
      </c>
      <c r="G86" s="133">
        <f>47.06+93.77</f>
        <v>140.82999999999998</v>
      </c>
      <c r="H86" s="144">
        <f>'Q1 DMV - Revenue'!T82</f>
        <v>106.04</v>
      </c>
      <c r="I86" s="340"/>
      <c r="J86" s="204"/>
      <c r="K86" s="204"/>
      <c r="L86" s="311">
        <f t="shared" si="0"/>
        <v>246.87</v>
      </c>
      <c r="M86" s="2"/>
      <c r="N86" s="336"/>
      <c r="O86" s="42">
        <f>H86*3</f>
        <v>318.12</v>
      </c>
      <c r="P86" s="31">
        <v>0</v>
      </c>
      <c r="Q86" s="382">
        <f t="shared" si="10"/>
        <v>318.12</v>
      </c>
      <c r="R86" s="178">
        <f>49.37+80.75</f>
        <v>130.12</v>
      </c>
      <c r="S86" s="295"/>
      <c r="T86" s="328">
        <f t="shared" si="5"/>
        <v>-188</v>
      </c>
      <c r="U86" s="421">
        <v>246.87</v>
      </c>
      <c r="V86" s="158">
        <f t="shared" si="13"/>
        <v>0</v>
      </c>
      <c r="W86" s="386">
        <f t="shared" si="11"/>
        <v>318.12</v>
      </c>
      <c r="X86" s="387">
        <f t="shared" si="12"/>
        <v>0</v>
      </c>
      <c r="Y86" s="306">
        <v>0</v>
      </c>
      <c r="Z86" s="305">
        <v>0</v>
      </c>
      <c r="AA86" s="38">
        <v>0</v>
      </c>
      <c r="AB86" s="16">
        <v>0</v>
      </c>
      <c r="AC86" s="16">
        <v>0</v>
      </c>
      <c r="AD86" s="16">
        <v>0</v>
      </c>
      <c r="AF86" s="16">
        <v>0</v>
      </c>
      <c r="AG86" s="16">
        <v>0</v>
      </c>
      <c r="AH86" s="16">
        <v>0</v>
      </c>
    </row>
    <row r="87" spans="1:34">
      <c r="A87" s="110"/>
      <c r="B87" s="118"/>
      <c r="C87" s="109"/>
      <c r="D87" s="20" t="s">
        <v>97</v>
      </c>
      <c r="E87" s="20" t="s">
        <v>109</v>
      </c>
      <c r="F87" s="68" t="s">
        <v>19</v>
      </c>
      <c r="G87" s="133"/>
      <c r="H87" s="144">
        <f>'Q1 DMV - Revenue'!T83</f>
        <v>-39.605000000000018</v>
      </c>
      <c r="I87" s="341">
        <v>3700.19</v>
      </c>
      <c r="J87" s="352">
        <v>5396.79</v>
      </c>
      <c r="K87" s="205">
        <v>5042.87</v>
      </c>
      <c r="L87" s="311">
        <f t="shared" ref="L87:L154" si="14">SUM(G87:K87)</f>
        <v>14100.244999999999</v>
      </c>
      <c r="M87" s="31"/>
      <c r="N87" s="84"/>
      <c r="O87" s="42"/>
      <c r="P87" s="31">
        <v>0</v>
      </c>
      <c r="Q87" s="382">
        <f t="shared" si="10"/>
        <v>0</v>
      </c>
      <c r="R87" s="178"/>
      <c r="S87" s="295"/>
      <c r="T87" s="328" t="str">
        <f t="shared" si="5"/>
        <v/>
      </c>
      <c r="U87" s="421">
        <v>17517.63</v>
      </c>
      <c r="V87" s="158">
        <f t="shared" si="13"/>
        <v>0</v>
      </c>
      <c r="W87" s="386">
        <f t="shared" si="11"/>
        <v>0</v>
      </c>
      <c r="X87" s="387">
        <f t="shared" si="12"/>
        <v>0</v>
      </c>
      <c r="Y87" s="306">
        <v>0</v>
      </c>
      <c r="Z87" s="305">
        <v>0</v>
      </c>
      <c r="AA87" s="38">
        <v>0</v>
      </c>
      <c r="AB87" s="16">
        <v>0</v>
      </c>
      <c r="AC87" s="16">
        <v>6834.7695180000001</v>
      </c>
      <c r="AD87" s="16">
        <v>0</v>
      </c>
      <c r="AF87" s="16">
        <v>0</v>
      </c>
      <c r="AG87" s="16">
        <v>3417.3850000000002</v>
      </c>
      <c r="AH87" s="16">
        <v>0</v>
      </c>
    </row>
    <row r="88" spans="1:34">
      <c r="A88" s="110"/>
      <c r="B88" s="118"/>
      <c r="C88" s="109"/>
      <c r="D88" s="20"/>
      <c r="E88" s="20" t="s">
        <v>114</v>
      </c>
      <c r="F88" s="68" t="s">
        <v>387</v>
      </c>
      <c r="G88" s="133"/>
      <c r="H88" s="144" t="str">
        <f>'Q1 DMV - Revenue'!T84</f>
        <v/>
      </c>
      <c r="I88" s="340"/>
      <c r="J88" s="204"/>
      <c r="K88" s="204"/>
      <c r="L88" s="311">
        <v>0</v>
      </c>
      <c r="M88" s="31"/>
      <c r="N88" s="84"/>
      <c r="O88" s="42"/>
      <c r="P88" s="31"/>
      <c r="Q88" s="382">
        <v>0</v>
      </c>
      <c r="R88" s="178">
        <v>6095.89</v>
      </c>
      <c r="S88" s="295">
        <v>0</v>
      </c>
      <c r="T88" s="328">
        <f>IF(R88="","",R88-Q88)</f>
        <v>6095.89</v>
      </c>
      <c r="U88" s="421">
        <v>0</v>
      </c>
      <c r="V88" s="158"/>
      <c r="W88" s="386"/>
      <c r="X88" s="387"/>
      <c r="Y88" s="306"/>
      <c r="Z88" s="305"/>
      <c r="AA88" s="38"/>
    </row>
    <row r="89" spans="1:34">
      <c r="A89" s="27"/>
      <c r="B89" s="118"/>
      <c r="C89" s="109"/>
      <c r="D89" s="20" t="s">
        <v>109</v>
      </c>
      <c r="E89" s="20" t="s">
        <v>109</v>
      </c>
      <c r="F89" s="68" t="s">
        <v>66</v>
      </c>
      <c r="G89" s="133"/>
      <c r="H89" s="144" t="str">
        <f>'Q1 DMV - Revenue'!T84</f>
        <v/>
      </c>
      <c r="I89" s="340"/>
      <c r="J89" s="204"/>
      <c r="K89" s="204"/>
      <c r="L89" s="311">
        <f t="shared" si="14"/>
        <v>0</v>
      </c>
      <c r="M89" s="31"/>
      <c r="N89" s="84"/>
      <c r="O89" s="42">
        <v>12447</v>
      </c>
      <c r="P89" s="31">
        <v>0</v>
      </c>
      <c r="Q89" s="382">
        <f t="shared" si="10"/>
        <v>12447</v>
      </c>
      <c r="R89" s="178">
        <f>2240.5+2040.27+1939.69</f>
        <v>6220.4600000000009</v>
      </c>
      <c r="S89" s="295"/>
      <c r="T89" s="328">
        <f>IF(R89="","",R89-Q89)</f>
        <v>-6226.5399999999991</v>
      </c>
      <c r="U89" s="421"/>
      <c r="V89" s="158">
        <f t="shared" si="13"/>
        <v>0</v>
      </c>
      <c r="W89" s="386">
        <f t="shared" si="11"/>
        <v>12447</v>
      </c>
      <c r="X89" s="387">
        <f t="shared" si="12"/>
        <v>0</v>
      </c>
      <c r="Y89" s="306">
        <v>0</v>
      </c>
      <c r="Z89" s="305">
        <v>0</v>
      </c>
      <c r="AA89" s="38">
        <v>0</v>
      </c>
      <c r="AB89" s="16">
        <v>0</v>
      </c>
      <c r="AC89" s="16">
        <v>0</v>
      </c>
      <c r="AD89" s="16">
        <v>0</v>
      </c>
      <c r="AF89" s="16">
        <v>0</v>
      </c>
      <c r="AG89" s="16">
        <v>0</v>
      </c>
      <c r="AH89" s="16">
        <v>0</v>
      </c>
    </row>
    <row r="90" spans="1:34">
      <c r="A90" s="27"/>
      <c r="B90" s="120"/>
      <c r="C90" s="111"/>
      <c r="D90" s="21" t="s">
        <v>109</v>
      </c>
      <c r="E90" s="21" t="s">
        <v>110</v>
      </c>
      <c r="F90" s="68" t="s">
        <v>65</v>
      </c>
      <c r="G90" s="133"/>
      <c r="H90" s="144" t="str">
        <f>'Q1 DMV - Revenue'!T85</f>
        <v/>
      </c>
      <c r="I90" s="340"/>
      <c r="J90" s="204"/>
      <c r="K90" s="204"/>
      <c r="L90" s="311">
        <f t="shared" si="14"/>
        <v>0</v>
      </c>
      <c r="M90" s="31"/>
      <c r="N90" s="84"/>
      <c r="O90" s="42"/>
      <c r="P90" s="31">
        <v>0</v>
      </c>
      <c r="Q90" s="382">
        <f t="shared" si="10"/>
        <v>0</v>
      </c>
      <c r="R90" s="178"/>
      <c r="S90" s="295"/>
      <c r="T90" s="328" t="str">
        <f t="shared" ref="T90:T156" si="15">IF(R90="","",R90-Q90)</f>
        <v/>
      </c>
      <c r="U90" s="421"/>
      <c r="V90" s="158">
        <f t="shared" si="13"/>
        <v>0</v>
      </c>
      <c r="W90" s="386">
        <f t="shared" si="11"/>
        <v>0</v>
      </c>
      <c r="X90" s="387">
        <f t="shared" si="12"/>
        <v>0</v>
      </c>
      <c r="Y90" s="306">
        <v>0</v>
      </c>
      <c r="Z90" s="305">
        <v>0</v>
      </c>
      <c r="AA90" s="38">
        <v>0</v>
      </c>
      <c r="AB90" s="16">
        <v>0</v>
      </c>
      <c r="AC90" s="16">
        <v>0</v>
      </c>
      <c r="AD90" s="16">
        <v>0</v>
      </c>
      <c r="AF90" s="16">
        <v>0</v>
      </c>
      <c r="AG90" s="16">
        <v>0</v>
      </c>
      <c r="AH90" s="16">
        <v>0</v>
      </c>
    </row>
    <row r="91" spans="1:34">
      <c r="A91" s="27"/>
      <c r="B91" s="120"/>
      <c r="C91" s="111" t="s">
        <v>182</v>
      </c>
      <c r="D91" s="21" t="s">
        <v>211</v>
      </c>
      <c r="E91" s="21" t="s">
        <v>109</v>
      </c>
      <c r="F91" s="68" t="s">
        <v>181</v>
      </c>
      <c r="G91" s="133"/>
      <c r="H91" s="144" t="str">
        <f>'Q1 DMV - Revenue'!T86</f>
        <v/>
      </c>
      <c r="I91" s="340"/>
      <c r="J91" s="204"/>
      <c r="K91" s="204"/>
      <c r="L91" s="311">
        <f t="shared" si="14"/>
        <v>0</v>
      </c>
      <c r="M91" s="31"/>
      <c r="N91" s="84"/>
      <c r="O91" s="42"/>
      <c r="P91" s="31">
        <v>0</v>
      </c>
      <c r="Q91" s="382">
        <f t="shared" si="10"/>
        <v>0</v>
      </c>
      <c r="R91" s="178">
        <f>9206.08+3820.06+3357.93</f>
        <v>16384.07</v>
      </c>
      <c r="S91" s="295"/>
      <c r="T91" s="328">
        <f t="shared" si="15"/>
        <v>16384.07</v>
      </c>
      <c r="U91" s="421"/>
      <c r="V91" s="158">
        <f t="shared" si="13"/>
        <v>0</v>
      </c>
      <c r="W91" s="386">
        <f t="shared" si="11"/>
        <v>0</v>
      </c>
      <c r="X91" s="387">
        <f t="shared" si="12"/>
        <v>0</v>
      </c>
      <c r="Y91" s="306">
        <v>0</v>
      </c>
      <c r="Z91" s="305">
        <v>0</v>
      </c>
      <c r="AA91" s="38">
        <v>0</v>
      </c>
      <c r="AB91" s="16">
        <v>0</v>
      </c>
      <c r="AC91" s="16">
        <v>0</v>
      </c>
      <c r="AD91" s="16">
        <v>0</v>
      </c>
      <c r="AF91" s="16">
        <v>0</v>
      </c>
      <c r="AG91" s="16">
        <v>0</v>
      </c>
      <c r="AH91" s="16">
        <v>0</v>
      </c>
    </row>
    <row r="92" spans="1:34">
      <c r="A92" s="27"/>
      <c r="B92" s="118"/>
      <c r="C92" s="109"/>
      <c r="D92" s="20" t="s">
        <v>211</v>
      </c>
      <c r="E92" s="20" t="s">
        <v>109</v>
      </c>
      <c r="F92" s="68" t="s">
        <v>142</v>
      </c>
      <c r="G92" s="133"/>
      <c r="H92" s="144">
        <f>'Q1 DMV - Revenue'!T87</f>
        <v>2479.5200000000004</v>
      </c>
      <c r="I92" s="396"/>
      <c r="J92" s="396"/>
      <c r="K92" s="396"/>
      <c r="L92" s="311">
        <f t="shared" si="14"/>
        <v>2479.5200000000004</v>
      </c>
      <c r="M92" s="2"/>
      <c r="N92" s="336">
        <v>16253.82</v>
      </c>
      <c r="O92" s="42"/>
      <c r="P92" s="31">
        <v>0</v>
      </c>
      <c r="Q92" s="382">
        <f t="shared" si="10"/>
        <v>16253.82</v>
      </c>
      <c r="R92" s="178">
        <v>16361.13</v>
      </c>
      <c r="S92" s="295"/>
      <c r="T92" s="328">
        <f t="shared" si="15"/>
        <v>107.30999999999949</v>
      </c>
      <c r="U92" s="421"/>
      <c r="V92" s="158">
        <f t="shared" si="13"/>
        <v>0</v>
      </c>
      <c r="W92" s="386">
        <f t="shared" si="11"/>
        <v>16253.82</v>
      </c>
      <c r="X92" s="387">
        <f t="shared" si="12"/>
        <v>0</v>
      </c>
      <c r="Y92" s="306">
        <v>0</v>
      </c>
      <c r="Z92" s="305">
        <v>0</v>
      </c>
      <c r="AA92" s="38">
        <v>0</v>
      </c>
      <c r="AB92" s="16">
        <v>0</v>
      </c>
      <c r="AC92" s="16">
        <v>0</v>
      </c>
      <c r="AD92" s="16">
        <v>0</v>
      </c>
      <c r="AF92" s="16">
        <v>0</v>
      </c>
      <c r="AG92" s="16">
        <v>23800</v>
      </c>
      <c r="AH92" s="16">
        <v>0</v>
      </c>
    </row>
    <row r="93" spans="1:34">
      <c r="A93" s="27"/>
      <c r="B93" s="118"/>
      <c r="C93" s="109"/>
      <c r="D93" s="20" t="s">
        <v>211</v>
      </c>
      <c r="E93" s="20" t="s">
        <v>109</v>
      </c>
      <c r="F93" s="68" t="s">
        <v>143</v>
      </c>
      <c r="G93" s="133"/>
      <c r="H93" s="144">
        <f>'Q1 DMV - Revenue'!T88</f>
        <v>-1705.78</v>
      </c>
      <c r="I93" s="201"/>
      <c r="J93" s="204"/>
      <c r="K93" s="204"/>
      <c r="L93" s="311">
        <f t="shared" si="14"/>
        <v>-1705.78</v>
      </c>
      <c r="M93" s="2"/>
      <c r="N93" s="336"/>
      <c r="O93" s="42"/>
      <c r="P93" s="31">
        <v>0</v>
      </c>
      <c r="Q93" s="382">
        <f t="shared" si="10"/>
        <v>0</v>
      </c>
      <c r="R93" s="178">
        <v>886.65</v>
      </c>
      <c r="S93" s="295"/>
      <c r="T93" s="328">
        <f t="shared" si="15"/>
        <v>886.65</v>
      </c>
      <c r="U93" s="421"/>
      <c r="V93" s="158">
        <f t="shared" si="13"/>
        <v>0</v>
      </c>
      <c r="W93" s="386">
        <f t="shared" si="11"/>
        <v>0</v>
      </c>
      <c r="X93" s="387">
        <f t="shared" si="12"/>
        <v>0</v>
      </c>
      <c r="Y93" s="306">
        <v>0</v>
      </c>
      <c r="Z93" s="305">
        <v>0</v>
      </c>
      <c r="AA93" s="38">
        <v>0</v>
      </c>
      <c r="AB93" s="16">
        <v>0</v>
      </c>
      <c r="AC93" s="16">
        <v>0</v>
      </c>
      <c r="AD93" s="16">
        <v>0</v>
      </c>
      <c r="AF93" s="16">
        <v>0</v>
      </c>
      <c r="AG93" s="16">
        <v>2900</v>
      </c>
      <c r="AH93" s="16">
        <v>0</v>
      </c>
    </row>
    <row r="94" spans="1:34">
      <c r="A94" s="27"/>
      <c r="B94" s="120"/>
      <c r="C94" s="111"/>
      <c r="D94" s="21"/>
      <c r="E94" s="21" t="s">
        <v>110</v>
      </c>
      <c r="F94" s="68" t="s">
        <v>20</v>
      </c>
      <c r="G94" s="133"/>
      <c r="H94" s="144" t="str">
        <f>'Q1 DMV - Revenue'!T89</f>
        <v/>
      </c>
      <c r="I94" s="341">
        <v>95.12</v>
      </c>
      <c r="J94" s="205">
        <v>72.34</v>
      </c>
      <c r="K94" s="204"/>
      <c r="L94" s="311">
        <f t="shared" si="14"/>
        <v>167.46</v>
      </c>
      <c r="M94" s="31"/>
      <c r="N94" s="84"/>
      <c r="O94" s="42">
        <f>(I94+J94)/2</f>
        <v>83.73</v>
      </c>
      <c r="P94" s="31">
        <v>0</v>
      </c>
      <c r="Q94" s="382">
        <f t="shared" si="10"/>
        <v>83.73</v>
      </c>
      <c r="R94" s="178">
        <v>50.92</v>
      </c>
      <c r="S94" s="295"/>
      <c r="T94" s="328">
        <f t="shared" si="15"/>
        <v>-32.81</v>
      </c>
      <c r="U94" s="421">
        <v>167.46</v>
      </c>
      <c r="V94" s="158">
        <f t="shared" si="13"/>
        <v>83.73</v>
      </c>
      <c r="W94" s="386">
        <f t="shared" si="11"/>
        <v>0</v>
      </c>
      <c r="X94" s="387">
        <f t="shared" si="12"/>
        <v>0</v>
      </c>
      <c r="Y94" s="306">
        <v>0</v>
      </c>
      <c r="Z94" s="305">
        <v>0</v>
      </c>
      <c r="AA94" s="38">
        <v>0</v>
      </c>
      <c r="AB94" s="16">
        <v>0</v>
      </c>
      <c r="AC94" s="16">
        <v>0</v>
      </c>
      <c r="AD94" s="16">
        <v>0</v>
      </c>
      <c r="AF94" s="16">
        <v>300</v>
      </c>
      <c r="AG94" s="16">
        <v>0</v>
      </c>
      <c r="AH94" s="16">
        <v>0</v>
      </c>
    </row>
    <row r="95" spans="1:34">
      <c r="A95" s="27"/>
      <c r="B95" s="120"/>
      <c r="C95" s="111"/>
      <c r="D95" s="21"/>
      <c r="E95" s="21" t="s">
        <v>110</v>
      </c>
      <c r="F95" s="68" t="s">
        <v>203</v>
      </c>
      <c r="G95" s="133"/>
      <c r="H95" s="144" t="str">
        <f>'Q1 DMV - Revenue'!T90</f>
        <v/>
      </c>
      <c r="I95" s="342">
        <v>1053.26</v>
      </c>
      <c r="J95" s="205">
        <v>1221.82</v>
      </c>
      <c r="K95" s="352">
        <v>912.59</v>
      </c>
      <c r="L95" s="311">
        <f t="shared" si="14"/>
        <v>3187.67</v>
      </c>
      <c r="M95" s="31"/>
      <c r="N95" s="84"/>
      <c r="O95" s="42"/>
      <c r="P95" s="31">
        <v>0</v>
      </c>
      <c r="Q95" s="382">
        <f t="shared" si="10"/>
        <v>0</v>
      </c>
      <c r="R95" s="178">
        <v>241.46</v>
      </c>
      <c r="S95" s="295"/>
      <c r="T95" s="328">
        <f t="shared" si="15"/>
        <v>241.46</v>
      </c>
      <c r="U95" s="421">
        <v>11194.05</v>
      </c>
      <c r="V95" s="158">
        <f t="shared" si="13"/>
        <v>0</v>
      </c>
      <c r="W95" s="386">
        <f t="shared" si="11"/>
        <v>0</v>
      </c>
      <c r="X95" s="387">
        <f t="shared" si="12"/>
        <v>0</v>
      </c>
      <c r="Y95" s="306">
        <v>0</v>
      </c>
      <c r="Z95" s="305">
        <v>0</v>
      </c>
      <c r="AA95" s="38">
        <v>0</v>
      </c>
      <c r="AB95" s="16">
        <v>3089.23</v>
      </c>
      <c r="AC95" s="16">
        <v>0</v>
      </c>
      <c r="AD95" s="16">
        <v>0</v>
      </c>
      <c r="AF95" s="16">
        <v>0</v>
      </c>
      <c r="AG95" s="16">
        <v>0</v>
      </c>
      <c r="AH95" s="16">
        <v>0</v>
      </c>
    </row>
    <row r="96" spans="1:34">
      <c r="A96" s="27"/>
      <c r="B96" s="120"/>
      <c r="C96" s="111"/>
      <c r="D96" s="21"/>
      <c r="E96" s="21" t="s">
        <v>110</v>
      </c>
      <c r="F96" s="68" t="s">
        <v>202</v>
      </c>
      <c r="G96" s="133"/>
      <c r="H96" s="144">
        <f>'Q1 DMV - Revenue'!T91</f>
        <v>-735.85500000000002</v>
      </c>
      <c r="I96" s="354">
        <v>2345.1799999999998</v>
      </c>
      <c r="J96" s="352">
        <v>2503.39</v>
      </c>
      <c r="K96" s="204"/>
      <c r="L96" s="311">
        <f t="shared" si="14"/>
        <v>4112.7150000000001</v>
      </c>
      <c r="M96" s="31"/>
      <c r="N96" s="84"/>
      <c r="O96" s="42">
        <f>(I96+J96)/2</f>
        <v>2424.2849999999999</v>
      </c>
      <c r="P96" s="31">
        <v>0</v>
      </c>
      <c r="Q96" s="382">
        <f t="shared" si="10"/>
        <v>2424.2849999999999</v>
      </c>
      <c r="R96" s="178">
        <v>2320.3200000000002</v>
      </c>
      <c r="S96" s="295"/>
      <c r="T96" s="328">
        <f t="shared" si="15"/>
        <v>-103.96499999999969</v>
      </c>
      <c r="U96" s="421"/>
      <c r="V96" s="158">
        <f t="shared" si="13"/>
        <v>2424.2849999999999</v>
      </c>
      <c r="W96" s="386">
        <f t="shared" si="11"/>
        <v>0</v>
      </c>
      <c r="X96" s="387">
        <f t="shared" si="12"/>
        <v>0</v>
      </c>
      <c r="Y96" s="306">
        <v>0</v>
      </c>
      <c r="Z96" s="305">
        <v>0</v>
      </c>
      <c r="AA96" s="38">
        <v>0</v>
      </c>
      <c r="AB96" s="16">
        <v>7787.33</v>
      </c>
      <c r="AC96" s="16">
        <v>0</v>
      </c>
      <c r="AD96" s="16">
        <v>0</v>
      </c>
      <c r="AF96" s="16">
        <v>3893.665</v>
      </c>
      <c r="AG96" s="16">
        <v>0</v>
      </c>
      <c r="AH96" s="16">
        <v>0</v>
      </c>
    </row>
    <row r="97" spans="1:34" s="232" customFormat="1">
      <c r="A97" s="81"/>
      <c r="B97" s="281"/>
      <c r="C97" s="282"/>
      <c r="D97" s="283"/>
      <c r="E97" s="283" t="s">
        <v>110</v>
      </c>
      <c r="F97" s="123" t="s">
        <v>330</v>
      </c>
      <c r="G97" s="300"/>
      <c r="H97" s="285">
        <f>'Q1 DMV - Revenue'!T92</f>
        <v>-20080.040000000037</v>
      </c>
      <c r="I97" s="391">
        <v>2324507.75</v>
      </c>
      <c r="J97" s="353">
        <v>1925844.21</v>
      </c>
      <c r="K97" s="201"/>
      <c r="L97" s="398">
        <f t="shared" si="14"/>
        <v>4230271.92</v>
      </c>
      <c r="M97" s="31"/>
      <c r="N97" s="411">
        <v>1955305</v>
      </c>
      <c r="O97" s="290"/>
      <c r="P97" s="31">
        <v>0</v>
      </c>
      <c r="Q97" s="382">
        <f t="shared" si="10"/>
        <v>1955305</v>
      </c>
      <c r="R97" s="353">
        <v>1716651.29</v>
      </c>
      <c r="S97" s="295"/>
      <c r="T97" s="328">
        <f>IF(R97="","",R97-Q97)</f>
        <v>-238653.70999999996</v>
      </c>
      <c r="U97" s="421">
        <v>6211959.2199999997</v>
      </c>
      <c r="V97" s="158">
        <f t="shared" si="13"/>
        <v>1955305</v>
      </c>
      <c r="W97" s="386">
        <f t="shared" si="11"/>
        <v>0</v>
      </c>
      <c r="X97" s="387">
        <f t="shared" si="12"/>
        <v>0</v>
      </c>
      <c r="Y97" s="406">
        <v>0</v>
      </c>
      <c r="Z97" s="399">
        <v>0</v>
      </c>
      <c r="AA97" s="233">
        <v>0</v>
      </c>
      <c r="AB97" s="232">
        <v>4663054.53</v>
      </c>
      <c r="AC97" s="232">
        <v>0</v>
      </c>
      <c r="AD97" s="232">
        <v>76000</v>
      </c>
      <c r="AF97" s="232">
        <v>1868000</v>
      </c>
      <c r="AG97" s="232">
        <v>0</v>
      </c>
      <c r="AH97" s="232">
        <v>0</v>
      </c>
    </row>
    <row r="98" spans="1:34" s="232" customFormat="1">
      <c r="A98" s="81"/>
      <c r="B98" s="281"/>
      <c r="C98" s="282"/>
      <c r="D98" s="283"/>
      <c r="E98" s="283" t="s">
        <v>110</v>
      </c>
      <c r="F98" s="123" t="s">
        <v>331</v>
      </c>
      <c r="G98" s="300"/>
      <c r="H98" s="285">
        <f>'Q1 DMV - Revenue'!T93</f>
        <v>36266.5</v>
      </c>
      <c r="I98" s="391">
        <v>44188</v>
      </c>
      <c r="J98" s="353">
        <v>33232.800000000003</v>
      </c>
      <c r="K98" s="439"/>
      <c r="L98" s="398">
        <f t="shared" si="14"/>
        <v>113687.3</v>
      </c>
      <c r="M98" s="31"/>
      <c r="N98" s="410"/>
      <c r="O98" s="290"/>
      <c r="P98" s="31">
        <v>0</v>
      </c>
      <c r="Q98" s="382">
        <f t="shared" si="10"/>
        <v>0</v>
      </c>
      <c r="R98" s="424">
        <v>31728.6</v>
      </c>
      <c r="S98" s="295"/>
      <c r="T98" s="328">
        <f t="shared" si="15"/>
        <v>31728.6</v>
      </c>
      <c r="U98" s="421"/>
      <c r="V98" s="158">
        <f t="shared" si="13"/>
        <v>0</v>
      </c>
      <c r="W98" s="386">
        <f t="shared" si="11"/>
        <v>0</v>
      </c>
      <c r="X98" s="387">
        <f t="shared" si="12"/>
        <v>0</v>
      </c>
      <c r="Y98" s="406">
        <v>0</v>
      </c>
      <c r="Z98" s="399">
        <v>0</v>
      </c>
      <c r="AA98" s="233">
        <v>0</v>
      </c>
      <c r="AB98" s="232">
        <v>101718.6</v>
      </c>
      <c r="AC98" s="232">
        <v>0</v>
      </c>
      <c r="AD98" s="232">
        <v>0</v>
      </c>
      <c r="AF98" s="232">
        <v>0</v>
      </c>
      <c r="AG98" s="232">
        <v>0</v>
      </c>
      <c r="AH98" s="232">
        <v>0</v>
      </c>
    </row>
    <row r="99" spans="1:34" s="232" customFormat="1">
      <c r="A99" s="81"/>
      <c r="B99" s="281"/>
      <c r="C99" s="282"/>
      <c r="D99" s="283"/>
      <c r="E99" s="283" t="s">
        <v>110</v>
      </c>
      <c r="F99" s="413" t="s">
        <v>332</v>
      </c>
      <c r="G99" s="300"/>
      <c r="H99" s="285" t="str">
        <f>'Q1 DMV - Revenue'!T94</f>
        <v/>
      </c>
      <c r="I99" s="391">
        <f>966225.01+2140.7</f>
        <v>968365.71</v>
      </c>
      <c r="J99" s="353">
        <f>793930.66+1441.24</f>
        <v>795371.9</v>
      </c>
      <c r="K99" s="201"/>
      <c r="L99" s="398">
        <f t="shared" si="14"/>
        <v>1763737.6099999999</v>
      </c>
      <c r="M99" s="31"/>
      <c r="N99" s="410">
        <f>280789+149142+109895+69389+95098</f>
        <v>704313</v>
      </c>
      <c r="O99" s="290"/>
      <c r="P99" s="31">
        <v>0</v>
      </c>
      <c r="Q99" s="382">
        <f t="shared" si="10"/>
        <v>704313</v>
      </c>
      <c r="R99" s="353">
        <f>731969.78+1248.41</f>
        <v>733218.19000000006</v>
      </c>
      <c r="S99" s="295"/>
      <c r="T99" s="328">
        <f t="shared" si="15"/>
        <v>28905.190000000061</v>
      </c>
      <c r="U99" s="421">
        <v>1762674.91</v>
      </c>
      <c r="V99" s="158">
        <f t="shared" si="13"/>
        <v>704313</v>
      </c>
      <c r="W99" s="386">
        <f t="shared" si="11"/>
        <v>0</v>
      </c>
      <c r="X99" s="387">
        <f t="shared" si="12"/>
        <v>0</v>
      </c>
      <c r="Y99" s="406">
        <v>0</v>
      </c>
      <c r="Z99" s="399">
        <v>0</v>
      </c>
      <c r="AA99" s="233">
        <v>0</v>
      </c>
      <c r="AB99" s="232">
        <v>2714577.8</v>
      </c>
      <c r="AC99" s="232">
        <v>0</v>
      </c>
      <c r="AD99" s="232">
        <v>0</v>
      </c>
      <c r="AF99" s="232">
        <v>0</v>
      </c>
      <c r="AG99" s="232">
        <v>0</v>
      </c>
      <c r="AH99" s="232">
        <v>0</v>
      </c>
    </row>
    <row r="100" spans="1:34" s="232" customFormat="1">
      <c r="A100" s="81"/>
      <c r="B100" s="281"/>
      <c r="C100" s="282"/>
      <c r="D100" s="283"/>
      <c r="E100" s="283" t="s">
        <v>110</v>
      </c>
      <c r="F100" s="123" t="s">
        <v>333</v>
      </c>
      <c r="G100" s="300"/>
      <c r="H100" s="285" t="str">
        <f>'Q1 DMV - Revenue'!T95</f>
        <v/>
      </c>
      <c r="I100" s="391">
        <v>1439.46</v>
      </c>
      <c r="J100" s="353">
        <v>1079.78</v>
      </c>
      <c r="K100" s="201"/>
      <c r="L100" s="398">
        <f t="shared" si="14"/>
        <v>2519.2399999999998</v>
      </c>
      <c r="M100" s="31"/>
      <c r="N100" s="410"/>
      <c r="O100" s="290"/>
      <c r="P100" s="31">
        <v>0</v>
      </c>
      <c r="Q100" s="382">
        <f t="shared" si="10"/>
        <v>0</v>
      </c>
      <c r="R100" s="353">
        <v>894.19</v>
      </c>
      <c r="S100" s="295"/>
      <c r="T100" s="328">
        <f t="shared" si="15"/>
        <v>894.19</v>
      </c>
      <c r="U100" s="421"/>
      <c r="V100" s="158">
        <f t="shared" si="13"/>
        <v>0</v>
      </c>
      <c r="W100" s="386">
        <f t="shared" si="11"/>
        <v>0</v>
      </c>
      <c r="X100" s="387">
        <f t="shared" si="12"/>
        <v>0</v>
      </c>
      <c r="Y100" s="406">
        <v>0</v>
      </c>
      <c r="Z100" s="399">
        <v>0</v>
      </c>
      <c r="AA100" s="233">
        <v>0</v>
      </c>
      <c r="AB100" s="232">
        <v>6042.03</v>
      </c>
      <c r="AC100" s="232">
        <v>0</v>
      </c>
      <c r="AD100" s="232">
        <v>0</v>
      </c>
      <c r="AF100" s="232">
        <v>0</v>
      </c>
      <c r="AG100" s="232">
        <v>0</v>
      </c>
      <c r="AH100" s="232">
        <v>0</v>
      </c>
    </row>
    <row r="101" spans="1:34" s="232" customFormat="1">
      <c r="A101" s="81"/>
      <c r="B101" s="281"/>
      <c r="C101" s="282"/>
      <c r="D101" s="283"/>
      <c r="E101" s="283" t="s">
        <v>110</v>
      </c>
      <c r="F101" s="123" t="s">
        <v>334</v>
      </c>
      <c r="G101" s="300"/>
      <c r="H101" s="285">
        <f>'Q1 DMV - Revenue'!T96</f>
        <v>-1709.2600000000093</v>
      </c>
      <c r="I101" s="391">
        <v>194381.97</v>
      </c>
      <c r="J101" s="353">
        <v>159502.53</v>
      </c>
      <c r="K101" s="201"/>
      <c r="L101" s="398">
        <f t="shared" si="14"/>
        <v>352175.24</v>
      </c>
      <c r="M101" s="31"/>
      <c r="N101" s="411"/>
      <c r="O101" s="290"/>
      <c r="P101" s="31">
        <v>0</v>
      </c>
      <c r="Q101" s="382">
        <f t="shared" si="10"/>
        <v>0</v>
      </c>
      <c r="R101" s="353">
        <v>149542.35</v>
      </c>
      <c r="S101" s="295"/>
      <c r="T101" s="328">
        <f>IF(R101="","",R101-Q101)</f>
        <v>149542.35</v>
      </c>
      <c r="U101" s="421">
        <v>504905.8</v>
      </c>
      <c r="V101" s="158">
        <f t="shared" si="13"/>
        <v>0</v>
      </c>
      <c r="W101" s="386">
        <f t="shared" si="11"/>
        <v>0</v>
      </c>
      <c r="X101" s="387">
        <f t="shared" si="12"/>
        <v>0</v>
      </c>
      <c r="Y101" s="406">
        <v>0</v>
      </c>
      <c r="Z101" s="399">
        <v>0</v>
      </c>
      <c r="AA101" s="233">
        <v>0</v>
      </c>
      <c r="AB101" s="232">
        <v>377667.88</v>
      </c>
      <c r="AC101" s="232">
        <v>0</v>
      </c>
      <c r="AD101" s="232">
        <v>0</v>
      </c>
      <c r="AF101" s="232">
        <v>151000</v>
      </c>
      <c r="AG101" s="232">
        <v>0</v>
      </c>
      <c r="AH101" s="232">
        <v>0</v>
      </c>
    </row>
    <row r="102" spans="1:34" s="232" customFormat="1">
      <c r="A102" s="81"/>
      <c r="B102" s="281"/>
      <c r="C102" s="282"/>
      <c r="D102" s="283"/>
      <c r="E102" s="283" t="s">
        <v>110</v>
      </c>
      <c r="F102" s="123" t="s">
        <v>335</v>
      </c>
      <c r="G102" s="300"/>
      <c r="H102" s="285">
        <f>'Q1 DMV - Revenue'!T97</f>
        <v>601.64</v>
      </c>
      <c r="I102" s="391">
        <v>663.64</v>
      </c>
      <c r="J102" s="353">
        <v>465.28</v>
      </c>
      <c r="K102" s="201"/>
      <c r="L102" s="398">
        <f t="shared" si="14"/>
        <v>1730.56</v>
      </c>
      <c r="M102" s="31"/>
      <c r="N102" s="410"/>
      <c r="O102" s="290"/>
      <c r="P102" s="31">
        <v>0</v>
      </c>
      <c r="Q102" s="382">
        <f t="shared" si="10"/>
        <v>0</v>
      </c>
      <c r="R102" s="353">
        <v>420.52</v>
      </c>
      <c r="S102" s="295"/>
      <c r="T102" s="328">
        <f t="shared" si="15"/>
        <v>420.52</v>
      </c>
      <c r="U102" s="421"/>
      <c r="V102" s="158">
        <f t="shared" si="13"/>
        <v>0</v>
      </c>
      <c r="W102" s="386">
        <f t="shared" si="11"/>
        <v>0</v>
      </c>
      <c r="X102" s="387">
        <f t="shared" si="12"/>
        <v>0</v>
      </c>
      <c r="Y102" s="406">
        <v>0</v>
      </c>
      <c r="Z102" s="399">
        <v>0</v>
      </c>
      <c r="AA102" s="233">
        <v>0</v>
      </c>
      <c r="AB102" s="232">
        <v>1770.1999999999998</v>
      </c>
      <c r="AC102" s="232">
        <v>0</v>
      </c>
      <c r="AD102" s="232">
        <v>0</v>
      </c>
      <c r="AF102" s="232">
        <v>0</v>
      </c>
      <c r="AG102" s="232">
        <v>0</v>
      </c>
      <c r="AH102" s="232">
        <v>0</v>
      </c>
    </row>
    <row r="103" spans="1:34" s="232" customFormat="1">
      <c r="A103" s="81"/>
      <c r="B103" s="281"/>
      <c r="C103" s="282"/>
      <c r="D103" s="283"/>
      <c r="E103" s="283" t="s">
        <v>110</v>
      </c>
      <c r="F103" s="123" t="s">
        <v>336</v>
      </c>
      <c r="G103" s="300"/>
      <c r="H103" s="285" t="str">
        <f>'Q1 DMV - Revenue'!T98</f>
        <v/>
      </c>
      <c r="I103" s="391">
        <v>182538.96</v>
      </c>
      <c r="J103" s="353">
        <f>124518.69+12318.2</f>
        <v>136836.89000000001</v>
      </c>
      <c r="K103" s="201"/>
      <c r="L103" s="398">
        <f t="shared" si="14"/>
        <v>319375.84999999998</v>
      </c>
      <c r="M103" s="31"/>
      <c r="N103" s="410">
        <v>125394</v>
      </c>
      <c r="O103" s="290"/>
      <c r="P103" s="31">
        <v>0</v>
      </c>
      <c r="Q103" s="382">
        <f t="shared" si="10"/>
        <v>125394</v>
      </c>
      <c r="R103" s="353">
        <v>134932.76999999999</v>
      </c>
      <c r="S103" s="295"/>
      <c r="T103" s="328">
        <f t="shared" si="15"/>
        <v>9538.7699999999895</v>
      </c>
      <c r="U103" s="421">
        <v>320028.03000000003</v>
      </c>
      <c r="V103" s="158">
        <f t="shared" si="13"/>
        <v>125394</v>
      </c>
      <c r="W103" s="386">
        <f t="shared" si="11"/>
        <v>0</v>
      </c>
      <c r="X103" s="387">
        <f t="shared" si="12"/>
        <v>0</v>
      </c>
      <c r="Y103" s="406">
        <v>0</v>
      </c>
      <c r="Z103" s="399">
        <v>0</v>
      </c>
      <c r="AA103" s="233">
        <v>0</v>
      </c>
      <c r="AB103" s="232">
        <v>449667.47</v>
      </c>
      <c r="AC103" s="232">
        <v>0</v>
      </c>
      <c r="AD103" s="232">
        <v>0</v>
      </c>
      <c r="AF103" s="232">
        <v>0</v>
      </c>
      <c r="AG103" s="232">
        <v>0</v>
      </c>
      <c r="AH103" s="232">
        <v>0</v>
      </c>
    </row>
    <row r="104" spans="1:34" s="232" customFormat="1">
      <c r="A104" s="81"/>
      <c r="B104" s="281"/>
      <c r="C104" s="282"/>
      <c r="D104" s="283"/>
      <c r="E104" s="283" t="s">
        <v>110</v>
      </c>
      <c r="F104" s="123" t="s">
        <v>337</v>
      </c>
      <c r="G104" s="300"/>
      <c r="H104" s="285" t="str">
        <f>'Q1 DMV - Revenue'!T99</f>
        <v/>
      </c>
      <c r="I104" s="391">
        <v>420.6</v>
      </c>
      <c r="J104" s="353">
        <f>223.78+7.8</f>
        <v>231.58</v>
      </c>
      <c r="K104" s="201"/>
      <c r="L104" s="398">
        <f t="shared" si="14"/>
        <v>652.18000000000006</v>
      </c>
      <c r="M104" s="31"/>
      <c r="N104" s="410"/>
      <c r="O104" s="290"/>
      <c r="P104" s="31">
        <v>0</v>
      </c>
      <c r="Q104" s="382">
        <f t="shared" si="10"/>
        <v>0</v>
      </c>
      <c r="R104" s="353">
        <v>215.34</v>
      </c>
      <c r="S104" s="295"/>
      <c r="T104" s="328">
        <f t="shared" si="15"/>
        <v>215.34</v>
      </c>
      <c r="U104" s="421"/>
      <c r="V104" s="158">
        <f t="shared" si="13"/>
        <v>0</v>
      </c>
      <c r="W104" s="386">
        <f t="shared" si="11"/>
        <v>0</v>
      </c>
      <c r="X104" s="387">
        <f t="shared" si="12"/>
        <v>0</v>
      </c>
      <c r="Y104" s="406">
        <v>0</v>
      </c>
      <c r="Z104" s="399">
        <v>0</v>
      </c>
      <c r="AA104" s="233">
        <v>0</v>
      </c>
      <c r="AB104" s="232">
        <v>1014.71</v>
      </c>
      <c r="AC104" s="232">
        <v>0</v>
      </c>
      <c r="AD104" s="232">
        <v>0</v>
      </c>
      <c r="AF104" s="232">
        <v>0</v>
      </c>
      <c r="AG104" s="232">
        <v>0</v>
      </c>
      <c r="AH104" s="232">
        <v>0</v>
      </c>
    </row>
    <row r="105" spans="1:34" s="232" customFormat="1">
      <c r="A105" s="81"/>
      <c r="B105" s="281"/>
      <c r="C105" s="282"/>
      <c r="D105" s="283"/>
      <c r="E105" s="283" t="s">
        <v>110</v>
      </c>
      <c r="F105" s="123" t="s">
        <v>338</v>
      </c>
      <c r="G105" s="300"/>
      <c r="H105" s="285" t="str">
        <f>'Q1 DMV - Revenue'!T100</f>
        <v/>
      </c>
      <c r="I105" s="391">
        <v>80029.820000000007</v>
      </c>
      <c r="J105" s="353">
        <v>66642.27</v>
      </c>
      <c r="K105" s="201"/>
      <c r="L105" s="398">
        <f t="shared" si="14"/>
        <v>146672.09000000003</v>
      </c>
      <c r="M105" s="31"/>
      <c r="N105" s="410">
        <v>68310</v>
      </c>
      <c r="O105" s="290"/>
      <c r="P105" s="31">
        <v>0</v>
      </c>
      <c r="Q105" s="382">
        <f t="shared" si="10"/>
        <v>68310</v>
      </c>
      <c r="R105" s="353">
        <v>72065.429999999993</v>
      </c>
      <c r="S105" s="295"/>
      <c r="T105" s="328">
        <f t="shared" si="15"/>
        <v>3755.429999999993</v>
      </c>
      <c r="U105" s="421">
        <v>146672.09</v>
      </c>
      <c r="V105" s="158">
        <f t="shared" si="13"/>
        <v>68310</v>
      </c>
      <c r="W105" s="386">
        <f t="shared" si="11"/>
        <v>0</v>
      </c>
      <c r="X105" s="387">
        <f t="shared" si="12"/>
        <v>0</v>
      </c>
      <c r="Y105" s="406">
        <v>0</v>
      </c>
      <c r="Z105" s="399">
        <v>0</v>
      </c>
      <c r="AA105" s="233">
        <v>0</v>
      </c>
      <c r="AB105" s="232">
        <v>213724.13</v>
      </c>
      <c r="AC105" s="232">
        <v>0</v>
      </c>
      <c r="AD105" s="232">
        <v>0</v>
      </c>
      <c r="AF105" s="232">
        <v>0</v>
      </c>
      <c r="AG105" s="232">
        <v>0</v>
      </c>
      <c r="AH105" s="232">
        <v>0</v>
      </c>
    </row>
    <row r="106" spans="1:34" s="232" customFormat="1">
      <c r="A106" s="81"/>
      <c r="B106" s="281"/>
      <c r="C106" s="282"/>
      <c r="D106" s="283"/>
      <c r="E106" s="283" t="s">
        <v>110</v>
      </c>
      <c r="F106" s="123" t="s">
        <v>339</v>
      </c>
      <c r="G106" s="300"/>
      <c r="H106" s="285">
        <f>'Q1 DMV - Revenue'!T101</f>
        <v>1219.2599999999984</v>
      </c>
      <c r="I106" s="391">
        <v>40651.11</v>
      </c>
      <c r="J106" s="353">
        <v>31529.200000000001</v>
      </c>
      <c r="K106" s="201"/>
      <c r="L106" s="398">
        <f t="shared" si="14"/>
        <v>73399.569999999992</v>
      </c>
      <c r="M106" s="31"/>
      <c r="N106" s="411"/>
      <c r="O106" s="290"/>
      <c r="P106" s="31">
        <v>0</v>
      </c>
      <c r="Q106" s="382">
        <f t="shared" si="10"/>
        <v>0</v>
      </c>
      <c r="R106" s="353">
        <v>30283.8</v>
      </c>
      <c r="S106" s="295"/>
      <c r="T106" s="328">
        <f t="shared" si="15"/>
        <v>30283.8</v>
      </c>
      <c r="U106" s="421">
        <v>101871.5</v>
      </c>
      <c r="V106" s="158">
        <f t="shared" si="13"/>
        <v>0</v>
      </c>
      <c r="W106" s="386">
        <f t="shared" si="11"/>
        <v>0</v>
      </c>
      <c r="X106" s="387">
        <f t="shared" si="12"/>
        <v>0</v>
      </c>
      <c r="Y106" s="406">
        <v>0</v>
      </c>
      <c r="Z106" s="399">
        <v>0</v>
      </c>
      <c r="AA106" s="233">
        <v>0</v>
      </c>
      <c r="AB106" s="232">
        <v>67782.36</v>
      </c>
      <c r="AC106" s="232">
        <v>0</v>
      </c>
      <c r="AD106" s="232">
        <v>0</v>
      </c>
      <c r="AF106" s="232">
        <v>28000</v>
      </c>
      <c r="AG106" s="232">
        <v>0</v>
      </c>
      <c r="AH106" s="232">
        <v>0</v>
      </c>
    </row>
    <row r="107" spans="1:34" s="232" customFormat="1">
      <c r="A107" s="81"/>
      <c r="B107" s="281"/>
      <c r="C107" s="282"/>
      <c r="D107" s="283"/>
      <c r="E107" s="283" t="s">
        <v>110</v>
      </c>
      <c r="F107" s="123" t="s">
        <v>340</v>
      </c>
      <c r="G107" s="300"/>
      <c r="H107" s="285">
        <f>'Q1 DMV - Revenue'!T102</f>
        <v>165.66</v>
      </c>
      <c r="I107" s="391">
        <v>200.44</v>
      </c>
      <c r="J107" s="353">
        <v>105.83</v>
      </c>
      <c r="K107" s="201"/>
      <c r="L107" s="398">
        <f t="shared" si="14"/>
        <v>471.93</v>
      </c>
      <c r="M107" s="31"/>
      <c r="N107" s="410"/>
      <c r="O107" s="290"/>
      <c r="P107" s="31">
        <v>0</v>
      </c>
      <c r="Q107" s="382">
        <f t="shared" si="10"/>
        <v>0</v>
      </c>
      <c r="R107" s="353">
        <v>212.91</v>
      </c>
      <c r="S107" s="295"/>
      <c r="T107" s="328">
        <f t="shared" si="15"/>
        <v>212.91</v>
      </c>
      <c r="U107" s="421"/>
      <c r="V107" s="158">
        <f t="shared" si="13"/>
        <v>0</v>
      </c>
      <c r="W107" s="386">
        <f t="shared" si="11"/>
        <v>0</v>
      </c>
      <c r="X107" s="387">
        <f t="shared" si="12"/>
        <v>0</v>
      </c>
      <c r="Y107" s="406">
        <v>0</v>
      </c>
      <c r="Z107" s="399">
        <v>0</v>
      </c>
      <c r="AA107" s="233">
        <v>0</v>
      </c>
      <c r="AB107" s="232">
        <v>539.55999999999995</v>
      </c>
      <c r="AC107" s="232">
        <v>0</v>
      </c>
      <c r="AD107" s="232">
        <v>0</v>
      </c>
      <c r="AF107" s="232">
        <v>0</v>
      </c>
      <c r="AG107" s="232">
        <v>0</v>
      </c>
      <c r="AH107" s="232">
        <v>0</v>
      </c>
    </row>
    <row r="108" spans="1:34">
      <c r="A108" s="27"/>
      <c r="B108" s="120"/>
      <c r="C108" s="111"/>
      <c r="D108" s="21"/>
      <c r="E108" s="21" t="s">
        <v>109</v>
      </c>
      <c r="F108" s="68" t="s">
        <v>21</v>
      </c>
      <c r="G108" s="133"/>
      <c r="H108" s="144">
        <f>'Q1 DMV - Revenue'!T103</f>
        <v>-62.924999999999727</v>
      </c>
      <c r="I108" s="341">
        <v>2591.84</v>
      </c>
      <c r="J108" s="205">
        <v>2803.77</v>
      </c>
      <c r="K108" s="204"/>
      <c r="L108" s="311">
        <f t="shared" si="14"/>
        <v>5332.6850000000004</v>
      </c>
      <c r="M108" s="31"/>
      <c r="N108" s="84"/>
      <c r="O108" s="42">
        <f>(I108+J108)/2</f>
        <v>2697.8050000000003</v>
      </c>
      <c r="P108" s="31">
        <v>0</v>
      </c>
      <c r="Q108" s="382">
        <f t="shared" si="10"/>
        <v>2697.8050000000003</v>
      </c>
      <c r="R108" s="178">
        <v>3787.32</v>
      </c>
      <c r="S108" s="295"/>
      <c r="T108" s="328">
        <f t="shared" si="15"/>
        <v>1089.5149999999999</v>
      </c>
      <c r="U108" s="421">
        <v>7884.96</v>
      </c>
      <c r="V108" s="158">
        <f t="shared" si="13"/>
        <v>0</v>
      </c>
      <c r="W108" s="386">
        <f t="shared" si="11"/>
        <v>2697.8050000000003</v>
      </c>
      <c r="X108" s="387">
        <f t="shared" si="12"/>
        <v>0</v>
      </c>
      <c r="Y108" s="306">
        <v>0</v>
      </c>
      <c r="Z108" s="305">
        <v>0</v>
      </c>
      <c r="AA108" s="38">
        <v>0</v>
      </c>
      <c r="AB108" s="16">
        <v>0</v>
      </c>
      <c r="AC108" s="16">
        <v>5104.5499999999993</v>
      </c>
      <c r="AD108" s="16">
        <v>0</v>
      </c>
      <c r="AF108" s="16">
        <v>0</v>
      </c>
      <c r="AG108" s="16">
        <v>2552.2749999999996</v>
      </c>
      <c r="AH108" s="16">
        <v>0</v>
      </c>
    </row>
    <row r="109" spans="1:34">
      <c r="A109" s="27"/>
      <c r="B109" s="118" t="s">
        <v>70</v>
      </c>
      <c r="C109" s="109"/>
      <c r="D109" s="20"/>
      <c r="E109" s="20" t="s">
        <v>109</v>
      </c>
      <c r="F109" s="68" t="s">
        <v>22</v>
      </c>
      <c r="G109" s="133"/>
      <c r="H109" s="144" t="str">
        <f>'Q1 DMV - Revenue'!T104</f>
        <v/>
      </c>
      <c r="I109" s="340"/>
      <c r="J109" s="204"/>
      <c r="K109" s="204"/>
      <c r="L109" s="311">
        <f t="shared" si="14"/>
        <v>0</v>
      </c>
      <c r="M109" s="31"/>
      <c r="N109" s="84"/>
      <c r="O109" s="42">
        <f>160*2</f>
        <v>320</v>
      </c>
      <c r="P109" s="31">
        <v>0</v>
      </c>
      <c r="Q109" s="382">
        <f t="shared" si="10"/>
        <v>320</v>
      </c>
      <c r="R109" s="178"/>
      <c r="S109" s="295"/>
      <c r="T109" s="328" t="str">
        <f t="shared" si="15"/>
        <v/>
      </c>
      <c r="U109" s="421"/>
      <c r="V109" s="158">
        <f t="shared" si="13"/>
        <v>0</v>
      </c>
      <c r="W109" s="386">
        <f t="shared" si="11"/>
        <v>320</v>
      </c>
      <c r="X109" s="387">
        <f t="shared" si="12"/>
        <v>0</v>
      </c>
      <c r="Y109" s="306">
        <v>0</v>
      </c>
      <c r="Z109" s="305">
        <v>0</v>
      </c>
      <c r="AA109" s="38">
        <v>0</v>
      </c>
      <c r="AB109" s="16">
        <v>0</v>
      </c>
      <c r="AC109" s="16">
        <v>1026.3399999999999</v>
      </c>
      <c r="AD109" s="16">
        <v>0</v>
      </c>
      <c r="AF109" s="16">
        <v>0</v>
      </c>
      <c r="AG109" s="16">
        <v>161.80000000000001</v>
      </c>
      <c r="AH109" s="16">
        <v>0</v>
      </c>
    </row>
    <row r="110" spans="1:34">
      <c r="A110" s="27"/>
      <c r="B110" s="118"/>
      <c r="C110" s="109"/>
      <c r="D110" s="20" t="s">
        <v>211</v>
      </c>
      <c r="E110" s="20" t="s">
        <v>110</v>
      </c>
      <c r="F110" s="68" t="s">
        <v>23</v>
      </c>
      <c r="G110" s="133"/>
      <c r="H110" s="144" t="str">
        <f>'Q1 DMV - Revenue'!T105</f>
        <v/>
      </c>
      <c r="I110" s="340"/>
      <c r="J110" s="204"/>
      <c r="K110" s="204"/>
      <c r="L110" s="311">
        <f t="shared" si="14"/>
        <v>0</v>
      </c>
      <c r="M110" s="31"/>
      <c r="N110" s="84"/>
      <c r="O110" s="42"/>
      <c r="P110" s="31">
        <v>0</v>
      </c>
      <c r="Q110" s="382">
        <f t="shared" si="10"/>
        <v>0</v>
      </c>
      <c r="R110" s="178"/>
      <c r="S110" s="295"/>
      <c r="T110" s="328" t="str">
        <f t="shared" si="15"/>
        <v/>
      </c>
      <c r="U110" s="421"/>
      <c r="V110" s="158">
        <f t="shared" si="13"/>
        <v>0</v>
      </c>
      <c r="W110" s="386">
        <f t="shared" si="11"/>
        <v>0</v>
      </c>
      <c r="X110" s="387">
        <f t="shared" si="12"/>
        <v>0</v>
      </c>
      <c r="Y110" s="305">
        <v>0</v>
      </c>
      <c r="Z110" s="305">
        <v>0</v>
      </c>
      <c r="AA110" s="38">
        <v>0</v>
      </c>
      <c r="AB110" s="16">
        <v>0</v>
      </c>
      <c r="AC110" s="16">
        <v>0</v>
      </c>
      <c r="AD110" s="16">
        <v>0</v>
      </c>
      <c r="AF110" s="16">
        <v>0</v>
      </c>
      <c r="AG110" s="16">
        <v>0</v>
      </c>
      <c r="AH110" s="16">
        <v>0</v>
      </c>
    </row>
    <row r="111" spans="1:34">
      <c r="A111" s="27"/>
      <c r="B111" s="118"/>
      <c r="C111" s="109"/>
      <c r="D111" s="20" t="s">
        <v>109</v>
      </c>
      <c r="E111" s="20" t="s">
        <v>110</v>
      </c>
      <c r="F111" s="68" t="s">
        <v>321</v>
      </c>
      <c r="G111" s="133"/>
      <c r="H111" s="144">
        <f>63.14+863.09+255.97</f>
        <v>1182.2</v>
      </c>
      <c r="I111" s="354">
        <v>150.96</v>
      </c>
      <c r="J111" s="352">
        <v>134.13999999999999</v>
      </c>
      <c r="K111" s="205">
        <v>89.71</v>
      </c>
      <c r="L111" s="311">
        <f>SUM(G111:K111)</f>
        <v>1557.0100000000002</v>
      </c>
      <c r="M111" s="31"/>
      <c r="N111" s="84"/>
      <c r="O111" s="42"/>
      <c r="P111" s="31">
        <v>0</v>
      </c>
      <c r="Q111" s="382">
        <f t="shared" si="10"/>
        <v>0</v>
      </c>
      <c r="R111" s="178"/>
      <c r="S111" s="295"/>
      <c r="T111" s="328" t="str">
        <f>IF(R111="","",R111-Q111)</f>
        <v/>
      </c>
      <c r="U111" s="421">
        <v>1557.01</v>
      </c>
      <c r="V111" s="158">
        <f t="shared" si="13"/>
        <v>0</v>
      </c>
      <c r="W111" s="386">
        <f t="shared" si="11"/>
        <v>0</v>
      </c>
      <c r="X111" s="387">
        <f t="shared" si="12"/>
        <v>0</v>
      </c>
      <c r="Y111" s="305">
        <v>0</v>
      </c>
      <c r="Z111" s="305">
        <v>0</v>
      </c>
      <c r="AA111" s="38">
        <v>0</v>
      </c>
      <c r="AB111" s="16">
        <v>6266.65</v>
      </c>
      <c r="AC111" s="16">
        <v>0</v>
      </c>
      <c r="AD111" s="16">
        <v>0</v>
      </c>
      <c r="AF111" s="16">
        <v>3133.3249999999998</v>
      </c>
      <c r="AG111" s="16">
        <v>0</v>
      </c>
      <c r="AH111" s="16">
        <v>0</v>
      </c>
    </row>
    <row r="112" spans="1:34">
      <c r="A112" s="27"/>
      <c r="B112" s="118"/>
      <c r="C112" s="109"/>
      <c r="D112" s="20"/>
      <c r="E112" s="20" t="s">
        <v>110</v>
      </c>
      <c r="F112" s="68" t="s">
        <v>24</v>
      </c>
      <c r="G112" s="133"/>
      <c r="H112" s="144">
        <f>'Q1 DMV - Revenue'!T106</f>
        <v>235.51500000000033</v>
      </c>
      <c r="I112" s="354">
        <v>3165.72</v>
      </c>
      <c r="J112" s="352">
        <v>3307.42</v>
      </c>
      <c r="K112" s="205">
        <v>3438.39</v>
      </c>
      <c r="L112" s="311">
        <f t="shared" si="14"/>
        <v>10147.045</v>
      </c>
      <c r="M112" s="31"/>
      <c r="N112" s="84"/>
      <c r="O112" s="42"/>
      <c r="P112" s="31">
        <v>0</v>
      </c>
      <c r="Q112" s="382">
        <f t="shared" si="10"/>
        <v>0</v>
      </c>
      <c r="R112" s="178">
        <v>3949.54</v>
      </c>
      <c r="S112" s="295"/>
      <c r="T112" s="328">
        <f t="shared" si="15"/>
        <v>3949.54</v>
      </c>
      <c r="U112" s="421">
        <v>9841.98</v>
      </c>
      <c r="V112" s="158">
        <f t="shared" si="13"/>
        <v>0</v>
      </c>
      <c r="W112" s="386">
        <f t="shared" si="11"/>
        <v>0</v>
      </c>
      <c r="X112" s="387">
        <f t="shared" si="12"/>
        <v>0</v>
      </c>
      <c r="Y112" s="305">
        <v>0</v>
      </c>
      <c r="Z112" s="305">
        <v>0</v>
      </c>
      <c r="AA112" s="38">
        <v>0</v>
      </c>
      <c r="AB112" s="16">
        <v>6266.65</v>
      </c>
      <c r="AC112" s="16">
        <v>0</v>
      </c>
      <c r="AD112" s="16">
        <v>0</v>
      </c>
      <c r="AF112" s="16">
        <v>3133.3249999999998</v>
      </c>
      <c r="AG112" s="16">
        <v>0</v>
      </c>
      <c r="AH112" s="16">
        <v>0</v>
      </c>
    </row>
    <row r="113" spans="1:34">
      <c r="A113" s="27"/>
      <c r="B113" s="118"/>
      <c r="C113" s="109"/>
      <c r="D113" s="20" t="s">
        <v>211</v>
      </c>
      <c r="E113" s="20" t="s">
        <v>110</v>
      </c>
      <c r="F113" s="68" t="s">
        <v>91</v>
      </c>
      <c r="G113" s="133"/>
      <c r="H113" s="144">
        <f>'Q1 DMV - Revenue'!T107</f>
        <v>22125.489999999998</v>
      </c>
      <c r="I113" s="340"/>
      <c r="J113" s="315"/>
      <c r="K113" s="315"/>
      <c r="L113" s="311">
        <f>SUM(G113:K113)</f>
        <v>22125.489999999998</v>
      </c>
      <c r="M113" s="2"/>
      <c r="N113" s="336"/>
      <c r="O113" s="42">
        <v>30000</v>
      </c>
      <c r="P113" s="31">
        <v>0</v>
      </c>
      <c r="Q113" s="382">
        <f t="shared" si="10"/>
        <v>30000</v>
      </c>
      <c r="R113" s="178">
        <v>42810.26</v>
      </c>
      <c r="S113" s="295"/>
      <c r="T113" s="328">
        <f>IF(R113="","",R113-Q113)</f>
        <v>12810.260000000002</v>
      </c>
      <c r="U113" s="421">
        <v>93904.98</v>
      </c>
      <c r="V113" s="158">
        <f t="shared" si="13"/>
        <v>30000</v>
      </c>
      <c r="W113" s="386">
        <f t="shared" si="11"/>
        <v>0</v>
      </c>
      <c r="X113" s="387">
        <f t="shared" si="12"/>
        <v>0</v>
      </c>
      <c r="Y113" s="305">
        <v>0</v>
      </c>
      <c r="Z113" s="305">
        <v>0</v>
      </c>
      <c r="AA113" s="38">
        <v>0</v>
      </c>
      <c r="AB113" s="16">
        <v>0</v>
      </c>
      <c r="AC113" s="16">
        <v>0</v>
      </c>
      <c r="AD113" s="16">
        <v>0</v>
      </c>
      <c r="AF113" s="16">
        <v>37779.490000000005</v>
      </c>
      <c r="AG113" s="16">
        <v>0</v>
      </c>
      <c r="AH113" s="16">
        <v>0</v>
      </c>
    </row>
    <row r="114" spans="1:34">
      <c r="A114" s="27"/>
      <c r="B114" s="118"/>
      <c r="C114" s="109"/>
      <c r="D114" s="20"/>
      <c r="E114" s="20" t="s">
        <v>110</v>
      </c>
      <c r="F114" s="68" t="s">
        <v>118</v>
      </c>
      <c r="G114" s="133"/>
      <c r="H114" s="144" t="str">
        <f>'Q1 DMV - Revenue'!T108</f>
        <v/>
      </c>
      <c r="I114" s="340"/>
      <c r="J114" s="204"/>
      <c r="K114" s="204"/>
      <c r="L114" s="311">
        <f t="shared" si="14"/>
        <v>0</v>
      </c>
      <c r="M114" s="2"/>
      <c r="N114" s="336"/>
      <c r="O114" s="42"/>
      <c r="P114" s="31">
        <v>0</v>
      </c>
      <c r="Q114" s="382">
        <f t="shared" si="10"/>
        <v>0</v>
      </c>
      <c r="R114" s="178"/>
      <c r="S114" s="295"/>
      <c r="T114" s="328" t="str">
        <f t="shared" si="15"/>
        <v/>
      </c>
      <c r="U114" s="421"/>
      <c r="V114" s="158">
        <f t="shared" si="13"/>
        <v>0</v>
      </c>
      <c r="W114" s="386">
        <f t="shared" si="11"/>
        <v>0</v>
      </c>
      <c r="X114" s="387">
        <f t="shared" si="12"/>
        <v>0</v>
      </c>
      <c r="Y114" s="305">
        <v>0</v>
      </c>
      <c r="Z114" s="305">
        <v>0</v>
      </c>
      <c r="AA114" s="38">
        <v>0</v>
      </c>
      <c r="AB114" s="16">
        <v>0</v>
      </c>
      <c r="AC114" s="16">
        <v>0</v>
      </c>
      <c r="AD114" s="16">
        <v>0</v>
      </c>
      <c r="AF114" s="16">
        <v>0</v>
      </c>
      <c r="AG114" s="16">
        <v>0</v>
      </c>
      <c r="AH114" s="16">
        <v>0</v>
      </c>
    </row>
    <row r="115" spans="1:34">
      <c r="A115" s="27"/>
      <c r="B115" s="118"/>
      <c r="C115" s="109"/>
      <c r="D115" s="20" t="s">
        <v>211</v>
      </c>
      <c r="E115" s="20" t="s">
        <v>110</v>
      </c>
      <c r="F115" s="68" t="s">
        <v>25</v>
      </c>
      <c r="G115" s="133"/>
      <c r="H115" s="144" t="str">
        <f>'Q1 DMV - Revenue'!T109</f>
        <v/>
      </c>
      <c r="I115" s="340"/>
      <c r="J115" s="204"/>
      <c r="K115" s="204"/>
      <c r="L115" s="311">
        <f t="shared" si="14"/>
        <v>0</v>
      </c>
      <c r="M115" s="31"/>
      <c r="N115" s="336"/>
      <c r="O115" s="42">
        <v>4000</v>
      </c>
      <c r="P115" s="31">
        <v>0</v>
      </c>
      <c r="Q115" s="382">
        <f t="shared" si="10"/>
        <v>4000</v>
      </c>
      <c r="R115" s="178"/>
      <c r="S115" s="295"/>
      <c r="T115" s="328" t="str">
        <f t="shared" si="15"/>
        <v/>
      </c>
      <c r="U115" s="421"/>
      <c r="V115" s="158">
        <f t="shared" si="13"/>
        <v>4000</v>
      </c>
      <c r="W115" s="386">
        <f t="shared" si="11"/>
        <v>0</v>
      </c>
      <c r="X115" s="387">
        <f t="shared" si="12"/>
        <v>0</v>
      </c>
      <c r="Y115" s="305">
        <v>0</v>
      </c>
      <c r="Z115" s="305">
        <v>0</v>
      </c>
      <c r="AA115" s="38">
        <v>0</v>
      </c>
      <c r="AB115" s="16">
        <v>-1.4899999999997817</v>
      </c>
      <c r="AC115" s="16">
        <v>0</v>
      </c>
      <c r="AD115" s="16">
        <v>0</v>
      </c>
      <c r="AF115" s="16">
        <v>2200</v>
      </c>
      <c r="AG115" s="16">
        <v>0</v>
      </c>
      <c r="AH115" s="16">
        <v>0</v>
      </c>
    </row>
    <row r="116" spans="1:34">
      <c r="A116" s="27"/>
      <c r="B116" s="120"/>
      <c r="C116" s="111"/>
      <c r="D116" s="21"/>
      <c r="E116" s="21" t="s">
        <v>110</v>
      </c>
      <c r="F116" s="68" t="s">
        <v>26</v>
      </c>
      <c r="G116" s="133">
        <v>-8623.4500000000007</v>
      </c>
      <c r="H116" s="144">
        <f>'Q1 DMV - Revenue'!T110</f>
        <v>310.7599999999984</v>
      </c>
      <c r="I116" s="341">
        <v>11188.16</v>
      </c>
      <c r="J116" s="352">
        <v>10618.98</v>
      </c>
      <c r="K116" s="204"/>
      <c r="L116" s="311">
        <f t="shared" si="14"/>
        <v>13494.449999999997</v>
      </c>
      <c r="M116" s="31"/>
      <c r="N116" s="84"/>
      <c r="O116" s="42">
        <f>(I116+J116)/2</f>
        <v>10903.57</v>
      </c>
      <c r="P116" s="31">
        <v>0</v>
      </c>
      <c r="Q116" s="382">
        <f t="shared" si="10"/>
        <v>10903.57</v>
      </c>
      <c r="R116" s="178">
        <v>11036.92</v>
      </c>
      <c r="S116" s="295"/>
      <c r="T116" s="328">
        <f t="shared" si="15"/>
        <v>133.35000000000036</v>
      </c>
      <c r="U116" s="421">
        <v>44068.71</v>
      </c>
      <c r="V116" s="158">
        <f t="shared" si="13"/>
        <v>10903.57</v>
      </c>
      <c r="W116" s="386">
        <f t="shared" si="11"/>
        <v>0</v>
      </c>
      <c r="X116" s="387">
        <f t="shared" si="12"/>
        <v>0</v>
      </c>
      <c r="Y116" s="305">
        <v>0</v>
      </c>
      <c r="Z116" s="305">
        <v>0</v>
      </c>
      <c r="AA116" s="38">
        <v>0</v>
      </c>
      <c r="AB116" s="16">
        <v>19901.620000000003</v>
      </c>
      <c r="AC116" s="16">
        <v>0</v>
      </c>
      <c r="AD116" s="16">
        <v>0</v>
      </c>
      <c r="AF116" s="16">
        <v>9950.8100000000013</v>
      </c>
      <c r="AG116" s="16">
        <v>0</v>
      </c>
      <c r="AH116" s="16">
        <v>0</v>
      </c>
    </row>
    <row r="117" spans="1:34">
      <c r="A117" s="27"/>
      <c r="B117" s="120" t="s">
        <v>214</v>
      </c>
      <c r="C117" s="111"/>
      <c r="D117" s="21"/>
      <c r="E117" s="21" t="s">
        <v>110</v>
      </c>
      <c r="F117" s="68" t="s">
        <v>268</v>
      </c>
      <c r="G117" s="133"/>
      <c r="H117" s="144" t="str">
        <f>'Q1 DMV - Revenue'!T111</f>
        <v/>
      </c>
      <c r="I117" s="341">
        <v>4414.45</v>
      </c>
      <c r="J117" s="397"/>
      <c r="K117" s="204"/>
      <c r="L117" s="311">
        <f t="shared" si="14"/>
        <v>4414.45</v>
      </c>
      <c r="M117" s="31"/>
      <c r="N117" s="84"/>
      <c r="O117" s="42">
        <f>(I117+K117)/2</f>
        <v>2207.2249999999999</v>
      </c>
      <c r="P117" s="31">
        <v>0</v>
      </c>
      <c r="Q117" s="382">
        <f t="shared" si="10"/>
        <v>2207.2249999999999</v>
      </c>
      <c r="R117" s="178">
        <v>5137.6000000000004</v>
      </c>
      <c r="S117" s="295"/>
      <c r="T117" s="328">
        <f t="shared" si="15"/>
        <v>2930.3750000000005</v>
      </c>
      <c r="U117" s="421">
        <v>9828.65</v>
      </c>
      <c r="V117" s="158">
        <f t="shared" si="13"/>
        <v>2207.2249999999999</v>
      </c>
      <c r="W117" s="386">
        <f t="shared" si="11"/>
        <v>0</v>
      </c>
      <c r="X117" s="387">
        <f t="shared" si="12"/>
        <v>0</v>
      </c>
      <c r="Y117" s="305">
        <v>0</v>
      </c>
      <c r="Z117" s="305">
        <v>0</v>
      </c>
      <c r="AA117" s="38">
        <v>0</v>
      </c>
      <c r="AB117" s="16">
        <v>14373.45</v>
      </c>
      <c r="AC117" s="16">
        <v>0</v>
      </c>
      <c r="AD117" s="16">
        <v>0</v>
      </c>
      <c r="AF117" s="16">
        <v>0</v>
      </c>
      <c r="AG117" s="16">
        <v>0</v>
      </c>
      <c r="AH117" s="16">
        <v>0</v>
      </c>
    </row>
    <row r="118" spans="1:34">
      <c r="A118" s="27"/>
      <c r="B118" s="120"/>
      <c r="C118" s="111"/>
      <c r="D118" s="21"/>
      <c r="E118" s="21" t="s">
        <v>110</v>
      </c>
      <c r="F118" s="68" t="s">
        <v>183</v>
      </c>
      <c r="G118" s="133"/>
      <c r="H118" s="144">
        <f>'Q1 DMV - Revenue'!T112</f>
        <v>1099.96</v>
      </c>
      <c r="I118" s="341">
        <v>2257.9699999999998</v>
      </c>
      <c r="J118" s="352">
        <v>1790.62</v>
      </c>
      <c r="K118" s="204"/>
      <c r="L118" s="311">
        <f t="shared" si="14"/>
        <v>5148.5499999999993</v>
      </c>
      <c r="M118" s="31"/>
      <c r="N118" s="84"/>
      <c r="O118" s="42">
        <f>(I118+J118)/2</f>
        <v>2024.2949999999998</v>
      </c>
      <c r="P118" s="31">
        <v>0</v>
      </c>
      <c r="Q118" s="382">
        <f t="shared" si="10"/>
        <v>2024.2949999999998</v>
      </c>
      <c r="R118" s="205">
        <v>2056.77</v>
      </c>
      <c r="S118" s="295"/>
      <c r="T118" s="328">
        <f t="shared" si="15"/>
        <v>32.475000000000136</v>
      </c>
      <c r="U118" s="421">
        <v>18891.43</v>
      </c>
      <c r="V118" s="158">
        <f t="shared" si="13"/>
        <v>2024.2949999999998</v>
      </c>
      <c r="W118" s="386">
        <f t="shared" si="11"/>
        <v>0</v>
      </c>
      <c r="X118" s="387">
        <f t="shared" si="12"/>
        <v>0</v>
      </c>
      <c r="Y118" s="305">
        <v>0</v>
      </c>
      <c r="Z118" s="305">
        <v>0</v>
      </c>
      <c r="AA118" s="38">
        <v>0</v>
      </c>
      <c r="AB118" s="16">
        <v>4985.76</v>
      </c>
      <c r="AC118" s="16">
        <v>0</v>
      </c>
      <c r="AD118" s="16">
        <v>0</v>
      </c>
      <c r="AF118" s="16">
        <v>2492.88</v>
      </c>
      <c r="AG118" s="16">
        <v>0</v>
      </c>
      <c r="AH118" s="16">
        <v>0</v>
      </c>
    </row>
    <row r="119" spans="1:34">
      <c r="A119" s="27"/>
      <c r="B119" s="120"/>
      <c r="C119" s="111"/>
      <c r="D119" s="21"/>
      <c r="E119" s="21" t="s">
        <v>110</v>
      </c>
      <c r="F119" s="68" t="s">
        <v>282</v>
      </c>
      <c r="G119" s="133"/>
      <c r="H119" s="144">
        <f>'Q1 DMV - Revenue'!T113</f>
        <v>505.08000000000175</v>
      </c>
      <c r="I119" s="341">
        <v>21867.48</v>
      </c>
      <c r="J119" s="352">
        <v>22025.119999999999</v>
      </c>
      <c r="K119" s="204"/>
      <c r="L119" s="311">
        <f t="shared" si="14"/>
        <v>44397.68</v>
      </c>
      <c r="M119" s="31"/>
      <c r="N119" s="84">
        <v>19804.54</v>
      </c>
      <c r="O119" s="42">
        <f>(I119+J119)/2</f>
        <v>21946.3</v>
      </c>
      <c r="P119" s="31">
        <v>0</v>
      </c>
      <c r="Q119" s="382">
        <f t="shared" si="10"/>
        <v>41750.839999999997</v>
      </c>
      <c r="R119" s="205">
        <v>20754.12</v>
      </c>
      <c r="S119" s="295"/>
      <c r="T119" s="328">
        <f t="shared" si="15"/>
        <v>-20996.719999999998</v>
      </c>
      <c r="U119" s="421">
        <v>66637.710000000006</v>
      </c>
      <c r="V119" s="158">
        <f t="shared" si="13"/>
        <v>41750.839999999997</v>
      </c>
      <c r="W119" s="386">
        <f t="shared" si="11"/>
        <v>0</v>
      </c>
      <c r="X119" s="387">
        <f t="shared" si="12"/>
        <v>0</v>
      </c>
      <c r="Y119" s="305">
        <v>0</v>
      </c>
      <c r="Z119" s="305">
        <v>0</v>
      </c>
      <c r="AA119" s="38">
        <v>0</v>
      </c>
      <c r="AB119" s="16">
        <v>89718.36</v>
      </c>
      <c r="AC119" s="16">
        <v>0</v>
      </c>
      <c r="AD119" s="16">
        <v>0</v>
      </c>
      <c r="AF119" s="16">
        <v>22240.03</v>
      </c>
      <c r="AG119" s="16">
        <v>0</v>
      </c>
      <c r="AH119" s="16">
        <v>0</v>
      </c>
    </row>
    <row r="120" spans="1:34">
      <c r="A120" s="29"/>
      <c r="B120" s="120" t="s">
        <v>97</v>
      </c>
      <c r="C120" s="111"/>
      <c r="D120" s="21"/>
      <c r="E120" s="21" t="s">
        <v>110</v>
      </c>
      <c r="F120" s="68" t="s">
        <v>27</v>
      </c>
      <c r="G120" s="133">
        <f>74.31+16.71</f>
        <v>91.02000000000001</v>
      </c>
      <c r="H120" s="144" t="str">
        <f>'Q1 DMV - Revenue'!T114</f>
        <v/>
      </c>
      <c r="I120" s="340"/>
      <c r="J120" s="204"/>
      <c r="K120" s="204"/>
      <c r="L120" s="311">
        <f t="shared" si="14"/>
        <v>91.02000000000001</v>
      </c>
      <c r="M120" s="31"/>
      <c r="N120" s="84"/>
      <c r="O120" s="42">
        <v>400</v>
      </c>
      <c r="P120" s="31">
        <v>0</v>
      </c>
      <c r="Q120" s="382">
        <f t="shared" si="10"/>
        <v>400</v>
      </c>
      <c r="R120" s="178"/>
      <c r="S120" s="295"/>
      <c r="T120" s="328" t="str">
        <f t="shared" si="15"/>
        <v/>
      </c>
      <c r="U120" s="421">
        <v>91.02</v>
      </c>
      <c r="V120" s="158">
        <f t="shared" si="13"/>
        <v>400</v>
      </c>
      <c r="W120" s="386">
        <f t="shared" si="11"/>
        <v>0</v>
      </c>
      <c r="X120" s="387">
        <f t="shared" si="12"/>
        <v>0</v>
      </c>
      <c r="Y120" s="305">
        <v>0</v>
      </c>
      <c r="Z120" s="305">
        <v>0</v>
      </c>
      <c r="AA120" s="38">
        <v>0</v>
      </c>
      <c r="AB120" s="16">
        <v>0</v>
      </c>
      <c r="AC120" s="16">
        <v>0</v>
      </c>
      <c r="AD120" s="16">
        <v>0</v>
      </c>
      <c r="AF120" s="16">
        <v>200</v>
      </c>
      <c r="AG120" s="16">
        <v>0</v>
      </c>
      <c r="AH120" s="16">
        <v>0</v>
      </c>
    </row>
    <row r="121" spans="1:34">
      <c r="A121" s="27"/>
      <c r="B121" s="120"/>
      <c r="C121" s="111"/>
      <c r="D121" s="21"/>
      <c r="E121" s="21" t="s">
        <v>110</v>
      </c>
      <c r="F121" s="68" t="s">
        <v>28</v>
      </c>
      <c r="G121" s="133"/>
      <c r="H121" s="144" t="str">
        <f>'Q1 DMV - Revenue'!T115</f>
        <v/>
      </c>
      <c r="I121" s="341">
        <v>1754.9</v>
      </c>
      <c r="J121" s="205">
        <v>2315.6</v>
      </c>
      <c r="K121" s="204"/>
      <c r="L121" s="311">
        <f t="shared" si="14"/>
        <v>4070.5</v>
      </c>
      <c r="M121" s="31"/>
      <c r="N121" s="84"/>
      <c r="O121" s="42">
        <f>(I121+J121)/2</f>
        <v>2035.25</v>
      </c>
      <c r="P121" s="31">
        <v>0</v>
      </c>
      <c r="Q121" s="382">
        <f t="shared" si="10"/>
        <v>2035.25</v>
      </c>
      <c r="R121" s="178">
        <v>1809.5</v>
      </c>
      <c r="S121" s="295"/>
      <c r="T121" s="328">
        <f t="shared" si="15"/>
        <v>-225.75</v>
      </c>
      <c r="U121" s="421">
        <v>5880</v>
      </c>
      <c r="V121" s="158">
        <f t="shared" si="13"/>
        <v>2035.25</v>
      </c>
      <c r="W121" s="386">
        <f t="shared" si="11"/>
        <v>0</v>
      </c>
      <c r="X121" s="387">
        <f t="shared" si="12"/>
        <v>0</v>
      </c>
      <c r="Y121" s="305">
        <v>0</v>
      </c>
      <c r="Z121" s="305">
        <v>0</v>
      </c>
      <c r="AA121" s="38">
        <v>0</v>
      </c>
      <c r="AB121" s="16">
        <v>4924.5</v>
      </c>
      <c r="AC121" s="16">
        <v>0</v>
      </c>
      <c r="AD121" s="16">
        <v>0</v>
      </c>
      <c r="AF121" s="16">
        <v>0</v>
      </c>
      <c r="AG121" s="16">
        <v>0</v>
      </c>
      <c r="AH121" s="16">
        <v>0</v>
      </c>
    </row>
    <row r="122" spans="1:34">
      <c r="A122" s="27"/>
      <c r="B122" s="120"/>
      <c r="C122" s="111"/>
      <c r="D122" s="21"/>
      <c r="E122" s="21" t="s">
        <v>109</v>
      </c>
      <c r="F122" s="68" t="s">
        <v>308</v>
      </c>
      <c r="G122" s="133">
        <f>1041.03+2937.91+2902.76+1630.37+982.14+1082.74+750.2+843.15</f>
        <v>12170.3</v>
      </c>
      <c r="H122" s="144"/>
      <c r="I122" s="341"/>
      <c r="J122" s="204"/>
      <c r="K122" s="204"/>
      <c r="L122" s="311"/>
      <c r="M122" s="31"/>
      <c r="N122" s="84"/>
      <c r="O122" s="42">
        <f>2000*6</f>
        <v>12000</v>
      </c>
      <c r="P122" s="31"/>
      <c r="Q122" s="382">
        <f t="shared" si="10"/>
        <v>12000</v>
      </c>
      <c r="R122" s="178">
        <f>703.39+516.45</f>
        <v>1219.8400000000001</v>
      </c>
      <c r="S122" s="295"/>
      <c r="T122" s="328">
        <f t="shared" si="15"/>
        <v>-10780.16</v>
      </c>
      <c r="U122" s="421">
        <v>12170.3</v>
      </c>
      <c r="V122" s="158">
        <f t="shared" si="13"/>
        <v>0</v>
      </c>
      <c r="W122" s="386">
        <f t="shared" si="11"/>
        <v>12000</v>
      </c>
      <c r="X122" s="387">
        <f t="shared" si="12"/>
        <v>0</v>
      </c>
      <c r="Y122" s="305"/>
      <c r="Z122" s="305"/>
      <c r="AA122" s="38"/>
    </row>
    <row r="123" spans="1:34">
      <c r="A123" s="27"/>
      <c r="B123" s="118"/>
      <c r="C123" s="109"/>
      <c r="D123" s="20" t="s">
        <v>211</v>
      </c>
      <c r="E123" s="20" t="s">
        <v>109</v>
      </c>
      <c r="F123" s="68" t="s">
        <v>29</v>
      </c>
      <c r="G123" s="133"/>
      <c r="H123" s="144">
        <f>'Q1 DMV - Revenue'!T116</f>
        <v>-7130.7400000000052</v>
      </c>
      <c r="I123" s="340"/>
      <c r="J123" s="204"/>
      <c r="K123" s="204"/>
      <c r="L123" s="311">
        <f t="shared" si="14"/>
        <v>-7130.7400000000052</v>
      </c>
      <c r="M123" s="2"/>
      <c r="N123" s="336">
        <v>65000</v>
      </c>
      <c r="O123" s="42"/>
      <c r="P123" s="31">
        <v>0</v>
      </c>
      <c r="Q123" s="382">
        <f t="shared" si="10"/>
        <v>65000</v>
      </c>
      <c r="R123" s="178">
        <v>69808.37</v>
      </c>
      <c r="S123" s="295"/>
      <c r="T123" s="328">
        <f t="shared" si="15"/>
        <v>4808.3699999999953</v>
      </c>
      <c r="U123" s="421"/>
      <c r="V123" s="158">
        <f t="shared" si="13"/>
        <v>0</v>
      </c>
      <c r="W123" s="386">
        <f t="shared" si="11"/>
        <v>65000</v>
      </c>
      <c r="X123" s="387">
        <f t="shared" si="12"/>
        <v>0</v>
      </c>
      <c r="Y123" s="305">
        <v>0</v>
      </c>
      <c r="Z123" s="306">
        <v>0</v>
      </c>
      <c r="AA123" s="38">
        <v>0</v>
      </c>
      <c r="AB123" s="16">
        <v>0</v>
      </c>
      <c r="AC123" s="16">
        <v>172.41999999999825</v>
      </c>
      <c r="AD123" s="16">
        <v>0</v>
      </c>
      <c r="AF123" s="16">
        <v>0</v>
      </c>
      <c r="AG123" s="16">
        <v>107855</v>
      </c>
      <c r="AH123" s="16">
        <v>0</v>
      </c>
    </row>
    <row r="124" spans="1:34">
      <c r="A124" s="27"/>
      <c r="B124" s="118"/>
      <c r="C124" s="109"/>
      <c r="D124" s="20" t="s">
        <v>211</v>
      </c>
      <c r="E124" s="20" t="s">
        <v>109</v>
      </c>
      <c r="F124" s="68" t="s">
        <v>236</v>
      </c>
      <c r="G124" s="133"/>
      <c r="H124" s="144" t="str">
        <f>'Q1 DMV - Revenue'!T117</f>
        <v/>
      </c>
      <c r="I124" s="340"/>
      <c r="J124" s="204"/>
      <c r="K124" s="204"/>
      <c r="L124" s="311">
        <f t="shared" si="14"/>
        <v>0</v>
      </c>
      <c r="M124" s="2"/>
      <c r="N124" s="336"/>
      <c r="O124" s="42">
        <f>400*2</f>
        <v>800</v>
      </c>
      <c r="P124" s="31">
        <v>0</v>
      </c>
      <c r="Q124" s="382">
        <f t="shared" si="10"/>
        <v>800</v>
      </c>
      <c r="R124" s="178"/>
      <c r="S124" s="295"/>
      <c r="T124" s="328" t="str">
        <f t="shared" si="15"/>
        <v/>
      </c>
      <c r="U124" s="421"/>
      <c r="V124" s="158">
        <f t="shared" si="13"/>
        <v>0</v>
      </c>
      <c r="W124" s="386">
        <f t="shared" si="11"/>
        <v>800</v>
      </c>
      <c r="X124" s="387">
        <f t="shared" si="12"/>
        <v>0</v>
      </c>
      <c r="Y124" s="305">
        <v>0</v>
      </c>
      <c r="Z124" s="305">
        <v>0</v>
      </c>
      <c r="AA124" s="38">
        <v>0</v>
      </c>
      <c r="AB124" s="16">
        <v>0</v>
      </c>
      <c r="AC124" s="16">
        <v>0</v>
      </c>
      <c r="AD124" s="16">
        <v>0</v>
      </c>
      <c r="AF124" s="16">
        <v>0</v>
      </c>
      <c r="AG124" s="16">
        <v>400</v>
      </c>
      <c r="AH124" s="16">
        <v>0</v>
      </c>
    </row>
    <row r="125" spans="1:34">
      <c r="A125" s="27"/>
      <c r="B125" s="118"/>
      <c r="C125" s="109"/>
      <c r="D125" s="20"/>
      <c r="E125" s="20" t="s">
        <v>110</v>
      </c>
      <c r="F125" s="68" t="s">
        <v>192</v>
      </c>
      <c r="G125" s="133"/>
      <c r="H125" s="144">
        <f>'Q1 DMV - Revenue'!T118</f>
        <v>-1208.8249999999998</v>
      </c>
      <c r="I125" s="341">
        <v>5094.07</v>
      </c>
      <c r="J125" s="352">
        <v>5767.39</v>
      </c>
      <c r="K125" s="352">
        <v>5018.78</v>
      </c>
      <c r="L125" s="311">
        <f t="shared" si="14"/>
        <v>14671.415000000001</v>
      </c>
      <c r="M125" s="31"/>
      <c r="N125" s="84"/>
      <c r="O125" s="42"/>
      <c r="P125" s="31">
        <v>0</v>
      </c>
      <c r="Q125" s="382">
        <f t="shared" si="10"/>
        <v>0</v>
      </c>
      <c r="R125" s="178"/>
      <c r="S125" s="295"/>
      <c r="T125" s="328" t="str">
        <f t="shared" si="15"/>
        <v/>
      </c>
      <c r="U125" s="421"/>
      <c r="V125" s="158">
        <f t="shared" si="13"/>
        <v>0</v>
      </c>
      <c r="W125" s="386">
        <f t="shared" si="11"/>
        <v>0</v>
      </c>
      <c r="X125" s="387">
        <f t="shared" si="12"/>
        <v>0</v>
      </c>
      <c r="Y125" s="305">
        <v>0</v>
      </c>
      <c r="Z125" s="305">
        <v>0</v>
      </c>
      <c r="AA125" s="38">
        <v>0</v>
      </c>
      <c r="AB125" s="16">
        <v>13110.23</v>
      </c>
      <c r="AC125" s="16">
        <v>0</v>
      </c>
      <c r="AD125" s="16">
        <v>0</v>
      </c>
      <c r="AF125" s="16">
        <v>6555.1149999999998</v>
      </c>
      <c r="AG125" s="16">
        <v>0</v>
      </c>
      <c r="AH125" s="16">
        <v>0</v>
      </c>
    </row>
    <row r="126" spans="1:34">
      <c r="A126" s="27"/>
      <c r="B126" s="118"/>
      <c r="C126" s="109"/>
      <c r="D126" s="20"/>
      <c r="E126" s="20" t="s">
        <v>110</v>
      </c>
      <c r="F126" s="68" t="s">
        <v>193</v>
      </c>
      <c r="G126" s="133"/>
      <c r="H126" s="144">
        <f>'Q1 DMV - Revenue'!T119</f>
        <v>-159.06999999999994</v>
      </c>
      <c r="I126" s="341">
        <v>710.3</v>
      </c>
      <c r="J126" s="352">
        <v>674.06</v>
      </c>
      <c r="K126" s="352">
        <v>747.66</v>
      </c>
      <c r="L126" s="311">
        <f t="shared" si="14"/>
        <v>1972.9499999999998</v>
      </c>
      <c r="M126" s="31"/>
      <c r="N126" s="84"/>
      <c r="O126" s="42"/>
      <c r="P126" s="31">
        <v>0</v>
      </c>
      <c r="Q126" s="382">
        <f t="shared" si="10"/>
        <v>0</v>
      </c>
      <c r="R126" s="178"/>
      <c r="S126" s="295"/>
      <c r="T126" s="328" t="str">
        <f t="shared" si="15"/>
        <v/>
      </c>
      <c r="U126" s="421"/>
      <c r="V126" s="158">
        <f t="shared" si="13"/>
        <v>0</v>
      </c>
      <c r="W126" s="386">
        <f t="shared" si="11"/>
        <v>0</v>
      </c>
      <c r="X126" s="387">
        <f t="shared" si="12"/>
        <v>0</v>
      </c>
      <c r="Y126" s="305">
        <v>0</v>
      </c>
      <c r="Z126" s="305">
        <v>0</v>
      </c>
      <c r="AA126" s="38">
        <v>0</v>
      </c>
      <c r="AB126" s="16">
        <v>1885.08</v>
      </c>
      <c r="AC126" s="16">
        <v>0</v>
      </c>
      <c r="AD126" s="16">
        <v>0</v>
      </c>
      <c r="AF126" s="16">
        <v>942.54</v>
      </c>
      <c r="AG126" s="16">
        <v>0</v>
      </c>
      <c r="AH126" s="16">
        <v>0</v>
      </c>
    </row>
    <row r="127" spans="1:34">
      <c r="A127" s="27"/>
      <c r="B127" s="118"/>
      <c r="C127" s="109"/>
      <c r="D127" s="20"/>
      <c r="E127" s="20" t="s">
        <v>110</v>
      </c>
      <c r="F127" s="68" t="s">
        <v>194</v>
      </c>
      <c r="G127" s="133"/>
      <c r="H127" s="144">
        <f>'Q1 DMV - Revenue'!T120</f>
        <v>45.474999999999994</v>
      </c>
      <c r="I127" s="341">
        <v>113.89</v>
      </c>
      <c r="J127" s="352">
        <v>156.31</v>
      </c>
      <c r="K127" s="352">
        <v>155.27000000000001</v>
      </c>
      <c r="L127" s="311">
        <f t="shared" si="14"/>
        <v>470.94500000000005</v>
      </c>
      <c r="M127" s="31"/>
      <c r="N127" s="84"/>
      <c r="O127" s="42"/>
      <c r="P127" s="31">
        <v>0</v>
      </c>
      <c r="Q127" s="382">
        <f t="shared" si="10"/>
        <v>0</v>
      </c>
      <c r="R127" s="178"/>
      <c r="S127" s="295"/>
      <c r="T127" s="328" t="str">
        <f t="shared" si="15"/>
        <v/>
      </c>
      <c r="U127" s="421"/>
      <c r="V127" s="158">
        <f t="shared" si="13"/>
        <v>0</v>
      </c>
      <c r="W127" s="386">
        <f t="shared" si="11"/>
        <v>0</v>
      </c>
      <c r="X127" s="387">
        <f t="shared" si="12"/>
        <v>0</v>
      </c>
      <c r="Y127" s="305">
        <v>0</v>
      </c>
      <c r="Z127" s="305">
        <v>0</v>
      </c>
      <c r="AA127" s="38">
        <v>0</v>
      </c>
      <c r="AB127" s="16">
        <v>274.61</v>
      </c>
      <c r="AC127" s="16">
        <v>0</v>
      </c>
      <c r="AD127" s="16">
        <v>0</v>
      </c>
      <c r="AF127" s="16">
        <v>137.30500000000001</v>
      </c>
      <c r="AG127" s="16">
        <v>0</v>
      </c>
      <c r="AH127" s="16">
        <v>0</v>
      </c>
    </row>
    <row r="128" spans="1:34">
      <c r="A128" s="27"/>
      <c r="B128" s="118"/>
      <c r="C128" s="109"/>
      <c r="D128" s="20"/>
      <c r="E128" s="20" t="s">
        <v>110</v>
      </c>
      <c r="F128" s="68" t="s">
        <v>195</v>
      </c>
      <c r="G128" s="133"/>
      <c r="H128" s="144">
        <f>'Q1 DMV - Revenue'!T121</f>
        <v>-6.4400000000000013</v>
      </c>
      <c r="I128" s="341">
        <v>13.75</v>
      </c>
      <c r="J128" s="352">
        <v>15.43</v>
      </c>
      <c r="K128" s="352">
        <v>17.52</v>
      </c>
      <c r="L128" s="311">
        <f t="shared" si="14"/>
        <v>40.26</v>
      </c>
      <c r="M128" s="31"/>
      <c r="N128" s="84"/>
      <c r="O128" s="42"/>
      <c r="P128" s="31">
        <v>0</v>
      </c>
      <c r="Q128" s="382">
        <f t="shared" si="10"/>
        <v>0</v>
      </c>
      <c r="R128" s="178"/>
      <c r="S128" s="295"/>
      <c r="T128" s="328" t="str">
        <f t="shared" si="15"/>
        <v/>
      </c>
      <c r="U128" s="421"/>
      <c r="V128" s="158">
        <f t="shared" si="13"/>
        <v>0</v>
      </c>
      <c r="W128" s="386">
        <f t="shared" si="11"/>
        <v>0</v>
      </c>
      <c r="X128" s="387">
        <f t="shared" si="12"/>
        <v>0</v>
      </c>
      <c r="Y128" s="305">
        <v>0</v>
      </c>
      <c r="Z128" s="305">
        <v>0</v>
      </c>
      <c r="AA128" s="38">
        <v>0</v>
      </c>
      <c r="AB128" s="16">
        <v>37.520000000000003</v>
      </c>
      <c r="AC128" s="16">
        <v>0</v>
      </c>
      <c r="AD128" s="16">
        <v>0</v>
      </c>
      <c r="AF128" s="16">
        <v>18.760000000000002</v>
      </c>
      <c r="AG128" s="16">
        <v>0</v>
      </c>
      <c r="AH128" s="16">
        <v>0</v>
      </c>
    </row>
    <row r="129" spans="1:34">
      <c r="A129" s="27"/>
      <c r="B129" s="118"/>
      <c r="C129" s="109"/>
      <c r="D129" s="20"/>
      <c r="E129" s="20" t="s">
        <v>110</v>
      </c>
      <c r="F129" s="68" t="s">
        <v>196</v>
      </c>
      <c r="G129" s="133"/>
      <c r="H129" s="144">
        <f>'Q1 DMV - Revenue'!T122</f>
        <v>28.169999999999987</v>
      </c>
      <c r="I129" s="341">
        <v>130.13999999999999</v>
      </c>
      <c r="J129" s="352">
        <v>118.82</v>
      </c>
      <c r="K129" s="352">
        <v>133.62</v>
      </c>
      <c r="L129" s="311">
        <f t="shared" si="14"/>
        <v>410.75</v>
      </c>
      <c r="M129" s="31"/>
      <c r="N129" s="84"/>
      <c r="O129" s="42"/>
      <c r="P129" s="31">
        <v>0</v>
      </c>
      <c r="Q129" s="382">
        <f t="shared" si="10"/>
        <v>0</v>
      </c>
      <c r="R129" s="178"/>
      <c r="S129" s="295"/>
      <c r="T129" s="328" t="str">
        <f t="shared" si="15"/>
        <v/>
      </c>
      <c r="U129" s="421"/>
      <c r="V129" s="158">
        <f t="shared" si="13"/>
        <v>0</v>
      </c>
      <c r="W129" s="386">
        <f t="shared" si="11"/>
        <v>0</v>
      </c>
      <c r="X129" s="387">
        <f t="shared" si="12"/>
        <v>0</v>
      </c>
      <c r="Y129" s="305">
        <v>0</v>
      </c>
      <c r="Z129" s="305">
        <v>0</v>
      </c>
      <c r="AA129" s="38">
        <v>0</v>
      </c>
      <c r="AB129" s="16">
        <v>326.96000000000004</v>
      </c>
      <c r="AC129" s="16">
        <v>0</v>
      </c>
      <c r="AD129" s="16">
        <v>0</v>
      </c>
      <c r="AF129" s="16">
        <v>163.48000000000002</v>
      </c>
      <c r="AG129" s="16">
        <v>0</v>
      </c>
      <c r="AH129" s="16">
        <v>0</v>
      </c>
    </row>
    <row r="130" spans="1:34">
      <c r="A130" s="27"/>
      <c r="B130" s="118"/>
      <c r="C130" s="109"/>
      <c r="D130" s="20"/>
      <c r="E130" s="20" t="s">
        <v>110</v>
      </c>
      <c r="F130" s="68" t="s">
        <v>197</v>
      </c>
      <c r="G130" s="133"/>
      <c r="H130" s="144">
        <f>'Q1 DMV - Revenue'!T123</f>
        <v>2.6649999999999991</v>
      </c>
      <c r="I130" s="341">
        <v>5.62</v>
      </c>
      <c r="J130" s="352">
        <v>3.02</v>
      </c>
      <c r="K130" s="352">
        <v>5.8</v>
      </c>
      <c r="L130" s="311">
        <f t="shared" si="14"/>
        <v>17.105</v>
      </c>
      <c r="M130" s="31"/>
      <c r="N130" s="84"/>
      <c r="O130" s="42"/>
      <c r="P130" s="31">
        <v>0</v>
      </c>
      <c r="Q130" s="382">
        <f t="shared" si="10"/>
        <v>0</v>
      </c>
      <c r="R130" s="178"/>
      <c r="S130" s="295"/>
      <c r="T130" s="328" t="str">
        <f t="shared" si="15"/>
        <v/>
      </c>
      <c r="U130" s="421"/>
      <c r="V130" s="158">
        <f t="shared" si="13"/>
        <v>0</v>
      </c>
      <c r="W130" s="386">
        <f t="shared" si="11"/>
        <v>0</v>
      </c>
      <c r="X130" s="387">
        <f t="shared" si="12"/>
        <v>0</v>
      </c>
      <c r="Y130" s="305">
        <v>0</v>
      </c>
      <c r="Z130" s="305">
        <v>0</v>
      </c>
      <c r="AA130" s="38">
        <v>0</v>
      </c>
      <c r="AB130" s="16">
        <v>18.310000000000002</v>
      </c>
      <c r="AC130" s="16">
        <v>0</v>
      </c>
      <c r="AD130" s="16">
        <v>0</v>
      </c>
      <c r="AF130" s="16">
        <v>9.1550000000000011</v>
      </c>
      <c r="AG130" s="16">
        <v>0</v>
      </c>
      <c r="AH130" s="16">
        <v>0</v>
      </c>
    </row>
    <row r="131" spans="1:34">
      <c r="A131" s="27"/>
      <c r="B131" s="118"/>
      <c r="C131" s="109"/>
      <c r="D131" s="20"/>
      <c r="E131" s="20" t="s">
        <v>110</v>
      </c>
      <c r="F131" s="68" t="s">
        <v>198</v>
      </c>
      <c r="G131" s="133"/>
      <c r="H131" s="144">
        <f>'Q1 DMV - Revenue'!T124</f>
        <v>-26.844999999999999</v>
      </c>
      <c r="I131" s="341">
        <v>16.149999999999999</v>
      </c>
      <c r="J131" s="352">
        <v>10.73</v>
      </c>
      <c r="K131" s="352">
        <v>41.55</v>
      </c>
      <c r="L131" s="311">
        <f t="shared" si="14"/>
        <v>41.584999999999994</v>
      </c>
      <c r="M131" s="31"/>
      <c r="N131" s="84"/>
      <c r="O131" s="42"/>
      <c r="P131" s="31">
        <v>0</v>
      </c>
      <c r="Q131" s="382">
        <f t="shared" si="10"/>
        <v>0</v>
      </c>
      <c r="R131" s="178"/>
      <c r="S131" s="295"/>
      <c r="T131" s="328" t="str">
        <f t="shared" si="15"/>
        <v/>
      </c>
      <c r="U131" s="421"/>
      <c r="V131" s="158">
        <f t="shared" si="13"/>
        <v>0</v>
      </c>
      <c r="W131" s="386">
        <f t="shared" si="11"/>
        <v>0</v>
      </c>
      <c r="X131" s="387">
        <f t="shared" si="12"/>
        <v>0</v>
      </c>
      <c r="Y131" s="305">
        <v>0</v>
      </c>
      <c r="Z131" s="305">
        <v>0</v>
      </c>
      <c r="AA131" s="38">
        <v>0</v>
      </c>
      <c r="AB131" s="16">
        <v>68.63</v>
      </c>
      <c r="AC131" s="16">
        <v>0</v>
      </c>
      <c r="AD131" s="16">
        <v>0</v>
      </c>
      <c r="AF131" s="16">
        <v>34.314999999999998</v>
      </c>
      <c r="AG131" s="16">
        <v>0</v>
      </c>
      <c r="AH131" s="16">
        <v>0</v>
      </c>
    </row>
    <row r="132" spans="1:34">
      <c r="A132" s="27"/>
      <c r="B132" s="118"/>
      <c r="C132" s="109"/>
      <c r="D132" s="20"/>
      <c r="E132" s="20" t="s">
        <v>109</v>
      </c>
      <c r="F132" s="68" t="s">
        <v>248</v>
      </c>
      <c r="G132" s="133"/>
      <c r="H132" s="144">
        <f>'Q1 DMV - Revenue'!T125</f>
        <v>17.099999999999998</v>
      </c>
      <c r="I132" s="341">
        <v>34.31</v>
      </c>
      <c r="J132" s="352">
        <v>26.58</v>
      </c>
      <c r="K132" s="352">
        <v>28.39</v>
      </c>
      <c r="L132" s="311">
        <f t="shared" si="14"/>
        <v>106.38</v>
      </c>
      <c r="M132" s="31"/>
      <c r="N132" s="84"/>
      <c r="O132" s="42"/>
      <c r="P132" s="31"/>
      <c r="Q132" s="382">
        <f t="shared" si="10"/>
        <v>0</v>
      </c>
      <c r="R132" s="178"/>
      <c r="S132" s="295"/>
      <c r="T132" s="328" t="str">
        <f t="shared" si="15"/>
        <v/>
      </c>
      <c r="U132" s="421">
        <v>25623.81</v>
      </c>
      <c r="V132" s="158">
        <f t="shared" si="13"/>
        <v>0</v>
      </c>
      <c r="W132" s="386">
        <f t="shared" si="11"/>
        <v>0</v>
      </c>
      <c r="X132" s="387">
        <f t="shared" si="12"/>
        <v>0</v>
      </c>
      <c r="Y132" s="305">
        <v>0</v>
      </c>
      <c r="Z132" s="305">
        <v>0</v>
      </c>
      <c r="AA132" s="38"/>
      <c r="AB132" s="16">
        <v>0</v>
      </c>
      <c r="AC132" s="16">
        <v>63.6</v>
      </c>
      <c r="AD132" s="16">
        <v>0</v>
      </c>
      <c r="AF132" s="16">
        <v>0</v>
      </c>
      <c r="AG132" s="16">
        <v>31.8</v>
      </c>
      <c r="AH132" s="16">
        <v>0</v>
      </c>
    </row>
    <row r="133" spans="1:34">
      <c r="A133" s="27"/>
      <c r="B133" s="120" t="s">
        <v>92</v>
      </c>
      <c r="C133" s="111"/>
      <c r="D133" s="21"/>
      <c r="E133" s="21" t="s">
        <v>109</v>
      </c>
      <c r="F133" s="68" t="s">
        <v>31</v>
      </c>
      <c r="G133" s="133">
        <v>-7719.8</v>
      </c>
      <c r="H133" s="144">
        <f>'Q1 DMV - Revenue'!T126</f>
        <v>-11811.45</v>
      </c>
      <c r="I133" s="341">
        <v>6263.87</v>
      </c>
      <c r="J133" s="204"/>
      <c r="K133" s="204"/>
      <c r="L133" s="311">
        <f t="shared" si="14"/>
        <v>-13267.380000000001</v>
      </c>
      <c r="M133" s="31"/>
      <c r="N133" s="84">
        <f>4000+4200</f>
        <v>8200</v>
      </c>
      <c r="O133" s="42"/>
      <c r="P133" s="31">
        <v>0</v>
      </c>
      <c r="Q133" s="382">
        <f t="shared" si="10"/>
        <v>8200</v>
      </c>
      <c r="R133" s="205">
        <f>5743.04+4349.56</f>
        <v>10092.6</v>
      </c>
      <c r="S133" s="295"/>
      <c r="T133" s="328">
        <f t="shared" si="15"/>
        <v>1892.6000000000004</v>
      </c>
      <c r="U133" s="421">
        <v>156526.92000000001</v>
      </c>
      <c r="V133" s="158">
        <f t="shared" si="13"/>
        <v>0</v>
      </c>
      <c r="W133" s="386">
        <f t="shared" si="11"/>
        <v>8200</v>
      </c>
      <c r="X133" s="387">
        <f t="shared" si="12"/>
        <v>0</v>
      </c>
      <c r="Y133" s="305">
        <v>0</v>
      </c>
      <c r="Z133" s="305">
        <v>0</v>
      </c>
      <c r="AA133" s="38">
        <v>0</v>
      </c>
      <c r="AB133" s="16">
        <v>0</v>
      </c>
      <c r="AC133" s="16">
        <v>0</v>
      </c>
      <c r="AD133" s="16">
        <v>0</v>
      </c>
      <c r="AF133" s="16">
        <v>0</v>
      </c>
      <c r="AG133" s="16">
        <v>33300</v>
      </c>
      <c r="AH133" s="16">
        <v>0</v>
      </c>
    </row>
    <row r="134" spans="1:34">
      <c r="A134" s="27"/>
      <c r="B134" s="120"/>
      <c r="C134" s="111"/>
      <c r="D134" s="21"/>
      <c r="E134" s="21" t="s">
        <v>110</v>
      </c>
      <c r="F134" s="68" t="s">
        <v>261</v>
      </c>
      <c r="G134" s="133"/>
      <c r="H134" s="144">
        <f>'Q1 DMV - Revenue'!T127</f>
        <v>23702.424999999999</v>
      </c>
      <c r="I134" s="354">
        <f>43254.31-I135</f>
        <v>29815.799999999996</v>
      </c>
      <c r="J134" s="352">
        <f>42304.8-J135</f>
        <v>29901.210000000003</v>
      </c>
      <c r="K134" s="204"/>
      <c r="L134" s="311">
        <f t="shared" si="14"/>
        <v>83419.434999999998</v>
      </c>
      <c r="M134" s="31"/>
      <c r="N134" s="84"/>
      <c r="O134" s="42">
        <f>(I134+J134)/2</f>
        <v>29858.504999999997</v>
      </c>
      <c r="P134" s="31">
        <v>1</v>
      </c>
      <c r="Q134" s="382">
        <f t="shared" si="10"/>
        <v>29858.504999999997</v>
      </c>
      <c r="R134" s="178">
        <v>27794.95</v>
      </c>
      <c r="S134" s="295"/>
      <c r="T134" s="328">
        <f t="shared" si="15"/>
        <v>-2063.5549999999967</v>
      </c>
      <c r="U134" s="421"/>
      <c r="V134" s="158">
        <f t="shared" si="13"/>
        <v>29858.504999999997</v>
      </c>
      <c r="W134" s="386">
        <f t="shared" si="11"/>
        <v>0</v>
      </c>
      <c r="X134" s="387">
        <f t="shared" si="12"/>
        <v>0</v>
      </c>
      <c r="Y134" s="305">
        <v>0</v>
      </c>
      <c r="Z134" s="305">
        <v>0</v>
      </c>
      <c r="AA134" s="38">
        <v>1</v>
      </c>
      <c r="AB134" s="16">
        <v>39025.929999999993</v>
      </c>
      <c r="AF134" s="16">
        <v>19512.964999999997</v>
      </c>
      <c r="AG134" s="16">
        <v>0</v>
      </c>
      <c r="AH134" s="16">
        <v>0</v>
      </c>
    </row>
    <row r="135" spans="1:34" s="269" customFormat="1">
      <c r="A135" s="151"/>
      <c r="B135" s="120"/>
      <c r="C135" s="111"/>
      <c r="D135" s="21"/>
      <c r="E135" s="21" t="s">
        <v>110</v>
      </c>
      <c r="F135" s="68" t="s">
        <v>262</v>
      </c>
      <c r="G135" s="133"/>
      <c r="H135" s="144" t="str">
        <f>'Q1 DMV - Revenue'!T128</f>
        <v/>
      </c>
      <c r="I135" s="354">
        <v>13438.51</v>
      </c>
      <c r="J135" s="352">
        <v>12403.59</v>
      </c>
      <c r="K135" s="204"/>
      <c r="L135" s="311">
        <f t="shared" si="14"/>
        <v>25842.1</v>
      </c>
      <c r="M135" s="31"/>
      <c r="N135" s="84"/>
      <c r="O135" s="42">
        <f>(I135+J135)/2</f>
        <v>12921.05</v>
      </c>
      <c r="P135" s="31">
        <v>1</v>
      </c>
      <c r="Q135" s="382">
        <f t="shared" si="10"/>
        <v>12921.05</v>
      </c>
      <c r="R135" s="178">
        <v>12289.67</v>
      </c>
      <c r="S135" s="295"/>
      <c r="T135" s="328">
        <f t="shared" si="15"/>
        <v>-631.3799999999992</v>
      </c>
      <c r="U135" s="421"/>
      <c r="V135" s="158">
        <f t="shared" si="13"/>
        <v>12921.05</v>
      </c>
      <c r="W135" s="386">
        <f t="shared" si="11"/>
        <v>0</v>
      </c>
      <c r="X135" s="387">
        <f t="shared" si="12"/>
        <v>0</v>
      </c>
      <c r="Y135" s="306">
        <v>0</v>
      </c>
      <c r="Z135" s="306">
        <v>0</v>
      </c>
      <c r="AA135" s="268">
        <v>1</v>
      </c>
      <c r="AB135" s="269">
        <v>15296.720000000001</v>
      </c>
      <c r="AF135" s="269">
        <v>7648.3600000000006</v>
      </c>
      <c r="AG135" s="269">
        <v>0</v>
      </c>
      <c r="AH135" s="269">
        <v>0</v>
      </c>
    </row>
    <row r="136" spans="1:34">
      <c r="A136" s="27"/>
      <c r="B136" s="120" t="s">
        <v>92</v>
      </c>
      <c r="C136" s="111"/>
      <c r="D136" s="21"/>
      <c r="E136" s="21" t="s">
        <v>109</v>
      </c>
      <c r="F136" s="68" t="s">
        <v>190</v>
      </c>
      <c r="G136" s="133">
        <f>589.9+552.27+479.23</f>
        <v>1621.4</v>
      </c>
      <c r="H136" s="144">
        <f>'Q1 DMV - Revenue'!T129</f>
        <v>264.15999999999985</v>
      </c>
      <c r="I136" s="341">
        <v>264.89</v>
      </c>
      <c r="J136" s="204"/>
      <c r="K136" s="204"/>
      <c r="L136" s="311">
        <f t="shared" si="14"/>
        <v>2150.4499999999998</v>
      </c>
      <c r="M136" s="31"/>
      <c r="N136" s="84"/>
      <c r="O136" s="42">
        <f>I136*2</f>
        <v>529.78</v>
      </c>
      <c r="P136" s="31">
        <v>0</v>
      </c>
      <c r="Q136" s="382">
        <f t="shared" si="10"/>
        <v>529.78</v>
      </c>
      <c r="R136" s="178">
        <f>975.71/2</f>
        <v>487.85500000000002</v>
      </c>
      <c r="S136" s="295"/>
      <c r="T136" s="328">
        <f t="shared" si="15"/>
        <v>-41.924999999999955</v>
      </c>
      <c r="U136" s="421">
        <v>2850.45</v>
      </c>
      <c r="V136" s="158">
        <f t="shared" si="13"/>
        <v>0</v>
      </c>
      <c r="W136" s="386">
        <f t="shared" si="11"/>
        <v>529.78</v>
      </c>
      <c r="X136" s="387">
        <f t="shared" si="12"/>
        <v>0</v>
      </c>
      <c r="Y136" s="305">
        <v>0</v>
      </c>
      <c r="Z136" s="305">
        <v>0</v>
      </c>
      <c r="AA136" s="38">
        <v>0</v>
      </c>
      <c r="AB136" s="16">
        <v>0</v>
      </c>
      <c r="AC136" s="16">
        <v>-700</v>
      </c>
      <c r="AD136" s="16">
        <v>0</v>
      </c>
      <c r="AF136" s="16">
        <v>0</v>
      </c>
      <c r="AG136" s="16">
        <v>700</v>
      </c>
      <c r="AH136" s="16">
        <v>0</v>
      </c>
    </row>
    <row r="137" spans="1:34">
      <c r="A137" s="27"/>
      <c r="B137" s="120" t="s">
        <v>92</v>
      </c>
      <c r="C137" s="111"/>
      <c r="D137" s="21"/>
      <c r="E137" s="21" t="s">
        <v>109</v>
      </c>
      <c r="F137" s="68" t="s">
        <v>231</v>
      </c>
      <c r="G137" s="133"/>
      <c r="H137" s="144">
        <f>'Q1 DMV - Revenue'!T130</f>
        <v>3125.69</v>
      </c>
      <c r="I137" s="340"/>
      <c r="J137" s="204"/>
      <c r="K137" s="204"/>
      <c r="L137" s="311">
        <f t="shared" si="14"/>
        <v>3125.69</v>
      </c>
      <c r="M137" s="31"/>
      <c r="N137" s="84"/>
      <c r="O137" s="42">
        <v>3000</v>
      </c>
      <c r="P137" s="31">
        <v>0</v>
      </c>
      <c r="Q137" s="382">
        <f t="shared" si="10"/>
        <v>3000</v>
      </c>
      <c r="R137" s="178"/>
      <c r="S137" s="295"/>
      <c r="T137" s="328" t="str">
        <f t="shared" si="15"/>
        <v/>
      </c>
      <c r="U137" s="421">
        <v>3382.53</v>
      </c>
      <c r="V137" s="158">
        <f t="shared" si="13"/>
        <v>0</v>
      </c>
      <c r="W137" s="386">
        <f t="shared" si="11"/>
        <v>3000</v>
      </c>
      <c r="X137" s="387">
        <f t="shared" si="12"/>
        <v>0</v>
      </c>
      <c r="Y137" s="305">
        <v>0</v>
      </c>
      <c r="Z137" s="305">
        <v>0</v>
      </c>
      <c r="AA137" s="38">
        <v>0</v>
      </c>
      <c r="AB137" s="16">
        <v>0</v>
      </c>
      <c r="AC137" s="16">
        <v>34963.700000000004</v>
      </c>
      <c r="AD137" s="16">
        <v>0</v>
      </c>
      <c r="AF137" s="16">
        <v>0</v>
      </c>
      <c r="AG137" s="16">
        <v>0</v>
      </c>
      <c r="AH137" s="16">
        <v>0</v>
      </c>
    </row>
    <row r="138" spans="1:34">
      <c r="A138" s="27"/>
      <c r="B138" s="120"/>
      <c r="C138" s="111"/>
      <c r="D138" s="21"/>
      <c r="E138" s="21" t="s">
        <v>110</v>
      </c>
      <c r="F138" s="68" t="s">
        <v>342</v>
      </c>
      <c r="G138" s="133"/>
      <c r="H138" s="144"/>
      <c r="I138" s="340"/>
      <c r="J138" s="204"/>
      <c r="K138" s="204"/>
      <c r="L138" s="311">
        <f t="shared" si="14"/>
        <v>0</v>
      </c>
      <c r="M138" s="31"/>
      <c r="N138" s="84"/>
      <c r="O138" s="42">
        <v>12000</v>
      </c>
      <c r="P138" s="31"/>
      <c r="Q138" s="382">
        <f t="shared" si="10"/>
        <v>12000</v>
      </c>
      <c r="R138" s="178">
        <f>1825.04+1664.44+1653.36</f>
        <v>5142.84</v>
      </c>
      <c r="S138" s="295"/>
      <c r="T138" s="328">
        <f t="shared" si="15"/>
        <v>-6857.16</v>
      </c>
      <c r="U138" s="421"/>
      <c r="V138" s="158">
        <f t="shared" si="13"/>
        <v>12000</v>
      </c>
      <c r="W138" s="386">
        <f t="shared" si="11"/>
        <v>0</v>
      </c>
      <c r="X138" s="387">
        <f t="shared" si="12"/>
        <v>0</v>
      </c>
      <c r="Y138" s="305"/>
      <c r="Z138" s="305"/>
      <c r="AA138" s="38"/>
    </row>
    <row r="139" spans="1:34">
      <c r="A139" s="27"/>
      <c r="B139" s="118" t="s">
        <v>70</v>
      </c>
      <c r="C139" s="109"/>
      <c r="D139" s="20"/>
      <c r="E139" s="20" t="s">
        <v>109</v>
      </c>
      <c r="F139" s="68" t="s">
        <v>32</v>
      </c>
      <c r="G139" s="133">
        <f>464.28+589.51</f>
        <v>1053.79</v>
      </c>
      <c r="H139" s="144">
        <f>'Q1 DMV - Revenue'!T131</f>
        <v>5399.01</v>
      </c>
      <c r="I139" s="340"/>
      <c r="J139" s="204"/>
      <c r="K139" s="204"/>
      <c r="L139" s="311">
        <f t="shared" si="14"/>
        <v>6452.8</v>
      </c>
      <c r="M139" s="31"/>
      <c r="N139" s="84"/>
      <c r="O139" s="42">
        <v>5000</v>
      </c>
      <c r="P139" s="31">
        <v>0</v>
      </c>
      <c r="Q139" s="382">
        <f t="shared" si="10"/>
        <v>5000</v>
      </c>
      <c r="R139" s="178">
        <f>1556.57+769.11+215.15</f>
        <v>2540.83</v>
      </c>
      <c r="S139" s="295"/>
      <c r="T139" s="328">
        <f t="shared" si="15"/>
        <v>-2459.17</v>
      </c>
      <c r="U139" s="421">
        <v>7352.8</v>
      </c>
      <c r="V139" s="158">
        <f t="shared" si="13"/>
        <v>0</v>
      </c>
      <c r="W139" s="386">
        <f t="shared" si="11"/>
        <v>5000</v>
      </c>
      <c r="X139" s="387">
        <f t="shared" si="12"/>
        <v>0</v>
      </c>
      <c r="Y139" s="305">
        <v>0</v>
      </c>
      <c r="Z139" s="305">
        <v>0</v>
      </c>
      <c r="AA139" s="38">
        <v>0</v>
      </c>
      <c r="AB139" s="16">
        <v>0</v>
      </c>
      <c r="AC139" s="16">
        <v>-1800</v>
      </c>
      <c r="AD139" s="16">
        <v>0</v>
      </c>
      <c r="AF139" s="16">
        <v>0</v>
      </c>
      <c r="AG139" s="16">
        <v>900</v>
      </c>
      <c r="AH139" s="16">
        <v>0</v>
      </c>
    </row>
    <row r="140" spans="1:34">
      <c r="A140" s="27"/>
      <c r="B140" s="120"/>
      <c r="C140" s="111"/>
      <c r="D140" s="21" t="s">
        <v>211</v>
      </c>
      <c r="E140" s="21" t="s">
        <v>110</v>
      </c>
      <c r="F140" s="68" t="s">
        <v>122</v>
      </c>
      <c r="G140" s="133"/>
      <c r="H140" s="144">
        <v>-21533</v>
      </c>
      <c r="I140" s="340"/>
      <c r="J140" s="204"/>
      <c r="K140" s="204"/>
      <c r="L140" s="311">
        <f t="shared" si="14"/>
        <v>-21533</v>
      </c>
      <c r="M140" s="31"/>
      <c r="N140" s="84"/>
      <c r="O140" s="42">
        <v>40000</v>
      </c>
      <c r="P140" s="31">
        <v>0</v>
      </c>
      <c r="Q140" s="382">
        <f t="shared" si="10"/>
        <v>40000</v>
      </c>
      <c r="R140" s="178">
        <v>15636.75</v>
      </c>
      <c r="S140" s="295"/>
      <c r="T140" s="328">
        <f t="shared" si="15"/>
        <v>-24363.25</v>
      </c>
      <c r="U140" s="421">
        <v>150000</v>
      </c>
      <c r="V140" s="158">
        <f t="shared" si="13"/>
        <v>40000</v>
      </c>
      <c r="W140" s="386">
        <f t="shared" si="11"/>
        <v>0</v>
      </c>
      <c r="X140" s="387">
        <f t="shared" si="12"/>
        <v>0</v>
      </c>
      <c r="Y140" s="305">
        <v>0</v>
      </c>
      <c r="Z140" s="305">
        <v>0</v>
      </c>
      <c r="AA140" s="38">
        <v>0</v>
      </c>
      <c r="AB140" s="16">
        <v>833.90000000000146</v>
      </c>
      <c r="AC140" s="16">
        <v>0</v>
      </c>
      <c r="AD140" s="16">
        <v>0</v>
      </c>
      <c r="AF140" s="16">
        <v>21533.9</v>
      </c>
      <c r="AG140" s="16">
        <v>0</v>
      </c>
      <c r="AH140" s="16">
        <v>0</v>
      </c>
    </row>
    <row r="141" spans="1:34">
      <c r="A141" s="27"/>
      <c r="B141" s="120"/>
      <c r="C141" s="111"/>
      <c r="D141" s="21"/>
      <c r="E141" s="21" t="s">
        <v>109</v>
      </c>
      <c r="F141" s="68" t="s">
        <v>33</v>
      </c>
      <c r="G141" s="133"/>
      <c r="H141" s="144" t="str">
        <f>'Q1 DMV - Revenue'!T133</f>
        <v/>
      </c>
      <c r="I141" s="341">
        <v>10781.86</v>
      </c>
      <c r="J141" s="205">
        <v>11205.62</v>
      </c>
      <c r="K141" s="205">
        <v>9928.99</v>
      </c>
      <c r="L141" s="311">
        <f t="shared" si="14"/>
        <v>31916.47</v>
      </c>
      <c r="M141" s="31"/>
      <c r="N141" s="84"/>
      <c r="O141" s="42"/>
      <c r="P141" s="31">
        <v>0</v>
      </c>
      <c r="Q141" s="382">
        <f t="shared" si="10"/>
        <v>0</v>
      </c>
      <c r="R141" s="178"/>
      <c r="S141" s="295"/>
      <c r="T141" s="328" t="str">
        <f t="shared" si="15"/>
        <v/>
      </c>
      <c r="U141" s="421">
        <v>40916.47</v>
      </c>
      <c r="V141" s="158">
        <f t="shared" si="13"/>
        <v>0</v>
      </c>
      <c r="W141" s="386">
        <f t="shared" si="11"/>
        <v>0</v>
      </c>
      <c r="X141" s="387">
        <f t="shared" si="12"/>
        <v>0</v>
      </c>
      <c r="Y141" s="305">
        <v>0</v>
      </c>
      <c r="Z141" s="305">
        <v>0</v>
      </c>
      <c r="AA141" s="38">
        <v>0</v>
      </c>
      <c r="AB141" s="16">
        <v>0</v>
      </c>
      <c r="AC141" s="16">
        <v>30712.65</v>
      </c>
      <c r="AD141" s="16">
        <v>0</v>
      </c>
      <c r="AF141" s="16">
        <v>0</v>
      </c>
      <c r="AG141" s="16">
        <v>0</v>
      </c>
      <c r="AH141" s="16">
        <v>0</v>
      </c>
    </row>
    <row r="142" spans="1:34" s="232" customFormat="1">
      <c r="A142" s="81"/>
      <c r="B142" s="281"/>
      <c r="C142" s="282"/>
      <c r="D142" s="283"/>
      <c r="E142" s="283" t="s">
        <v>110</v>
      </c>
      <c r="F142" s="123" t="s">
        <v>322</v>
      </c>
      <c r="G142" s="300">
        <v>3751.22</v>
      </c>
      <c r="H142" s="285">
        <f>'Q1 DMV - Revenue'!T134</f>
        <v>7208.6096404277996</v>
      </c>
      <c r="I142" s="391">
        <f>13110.3+440.67+1924.8+1780.61+8501.3</f>
        <v>25757.679999999997</v>
      </c>
      <c r="J142" s="353">
        <f>15848.26+9797.9+27734.31+5763.21</f>
        <v>59143.68</v>
      </c>
      <c r="K142" s="287"/>
      <c r="L142" s="398">
        <f t="shared" si="14"/>
        <v>95861.189640427794</v>
      </c>
      <c r="M142" s="31"/>
      <c r="N142" s="86">
        <v>248000</v>
      </c>
      <c r="O142" s="290"/>
      <c r="P142" s="31">
        <v>0</v>
      </c>
      <c r="Q142" s="382">
        <f t="shared" si="10"/>
        <v>248000</v>
      </c>
      <c r="R142" s="457">
        <f>9910.9+453.55+1260.95+1610+8338.3+25483.73+5499.63</f>
        <v>52557.05999999999</v>
      </c>
      <c r="S142" s="295"/>
      <c r="T142" s="328">
        <f t="shared" si="15"/>
        <v>-195442.94</v>
      </c>
      <c r="U142" s="421">
        <v>394298.36</v>
      </c>
      <c r="V142" s="158">
        <f t="shared" si="13"/>
        <v>248000</v>
      </c>
      <c r="W142" s="386">
        <f t="shared" si="11"/>
        <v>0</v>
      </c>
      <c r="X142" s="387">
        <f t="shared" si="12"/>
        <v>0</v>
      </c>
      <c r="Y142" s="399">
        <v>0</v>
      </c>
      <c r="Z142" s="399">
        <v>0</v>
      </c>
      <c r="AA142" s="233">
        <v>0</v>
      </c>
      <c r="AB142" s="232">
        <v>64095.91</v>
      </c>
      <c r="AC142" s="232">
        <v>0</v>
      </c>
      <c r="AD142" s="232">
        <v>0</v>
      </c>
      <c r="AF142" s="232">
        <v>22155.6003595722</v>
      </c>
      <c r="AG142" s="232">
        <v>0</v>
      </c>
      <c r="AH142" s="232">
        <v>0</v>
      </c>
    </row>
    <row r="143" spans="1:34" s="232" customFormat="1">
      <c r="A143" s="81"/>
      <c r="B143" s="281"/>
      <c r="C143" s="282"/>
      <c r="D143" s="283"/>
      <c r="E143" s="283" t="s">
        <v>110</v>
      </c>
      <c r="F143" s="123" t="s">
        <v>323</v>
      </c>
      <c r="G143" s="300"/>
      <c r="H143" s="285">
        <f>'Q1 DMV - Revenue'!T135</f>
        <v>-77335.81964042777</v>
      </c>
      <c r="I143" s="391">
        <f>20039.34+1840.88+2023.47+14401.29+0.01</f>
        <v>38304.990000000005</v>
      </c>
      <c r="J143" s="353">
        <f>37768.16+9481.84+1970.34+8031.79</f>
        <v>57252.13</v>
      </c>
      <c r="K143" s="287"/>
      <c r="L143" s="398">
        <f t="shared" si="14"/>
        <v>18221.300359572233</v>
      </c>
      <c r="M143" s="31"/>
      <c r="N143" s="86"/>
      <c r="O143" s="290"/>
      <c r="P143" s="31">
        <v>0</v>
      </c>
      <c r="Q143" s="382">
        <f t="shared" si="10"/>
        <v>0</v>
      </c>
      <c r="R143" s="457">
        <f>19388.18+1715.78+2235.57+13060.43+8987.64+1740.37</f>
        <v>47127.97</v>
      </c>
      <c r="S143" s="295"/>
      <c r="T143" s="328">
        <f t="shared" si="15"/>
        <v>47127.97</v>
      </c>
      <c r="U143" s="421"/>
      <c r="V143" s="158">
        <f t="shared" si="13"/>
        <v>0</v>
      </c>
      <c r="W143" s="386">
        <f t="shared" si="11"/>
        <v>0</v>
      </c>
      <c r="X143" s="387">
        <f t="shared" si="12"/>
        <v>0</v>
      </c>
      <c r="Y143" s="399">
        <v>0</v>
      </c>
      <c r="Z143" s="399">
        <v>0</v>
      </c>
      <c r="AA143" s="233">
        <v>0</v>
      </c>
      <c r="AB143" s="232">
        <v>79552.570000000007</v>
      </c>
      <c r="AC143" s="232">
        <v>0</v>
      </c>
      <c r="AD143" s="232">
        <v>0</v>
      </c>
      <c r="AF143" s="232">
        <v>242498.39964042779</v>
      </c>
      <c r="AG143" s="232">
        <v>0</v>
      </c>
      <c r="AH143" s="232">
        <v>0</v>
      </c>
    </row>
    <row r="144" spans="1:34" s="232" customFormat="1">
      <c r="A144" s="81"/>
      <c r="B144" s="281"/>
      <c r="C144" s="282"/>
      <c r="D144" s="283"/>
      <c r="E144" s="283" t="s">
        <v>110</v>
      </c>
      <c r="F144" s="123" t="s">
        <v>324</v>
      </c>
      <c r="G144" s="300"/>
      <c r="H144" s="285">
        <f>'Q1 DMV - Revenue'!T136</f>
        <v>12.722448370241295</v>
      </c>
      <c r="I144" s="391">
        <f>431.994+148.3+745.91</f>
        <v>1326.2040000000002</v>
      </c>
      <c r="J144" s="353">
        <f>300.73+156.65+552.05</f>
        <v>1009.43</v>
      </c>
      <c r="K144" s="287"/>
      <c r="L144" s="398">
        <f t="shared" si="14"/>
        <v>2348.3564483702412</v>
      </c>
      <c r="M144" s="31"/>
      <c r="N144" s="86"/>
      <c r="O144" s="290"/>
      <c r="P144" s="31">
        <v>0</v>
      </c>
      <c r="Q144" s="382">
        <f t="shared" si="10"/>
        <v>0</v>
      </c>
      <c r="R144" s="457">
        <f>219.45+98.65+392.35</f>
        <v>710.45</v>
      </c>
      <c r="S144" s="295"/>
      <c r="T144" s="328">
        <f t="shared" si="15"/>
        <v>710.45</v>
      </c>
      <c r="U144" s="421"/>
      <c r="V144" s="158">
        <f t="shared" si="13"/>
        <v>0</v>
      </c>
      <c r="W144" s="386">
        <f t="shared" si="11"/>
        <v>0</v>
      </c>
      <c r="X144" s="387">
        <f t="shared" si="12"/>
        <v>0</v>
      </c>
      <c r="Y144" s="399">
        <v>0</v>
      </c>
      <c r="Z144" s="399">
        <v>0</v>
      </c>
      <c r="AA144" s="233">
        <v>0</v>
      </c>
      <c r="AB144" s="232">
        <v>1467.51</v>
      </c>
      <c r="AC144" s="232">
        <v>0</v>
      </c>
      <c r="AD144" s="232">
        <v>0</v>
      </c>
      <c r="AF144" s="232">
        <v>699.85755162975863</v>
      </c>
      <c r="AG144" s="232">
        <v>0</v>
      </c>
      <c r="AH144" s="232">
        <v>0</v>
      </c>
    </row>
    <row r="145" spans="1:34" s="232" customFormat="1">
      <c r="A145" s="81"/>
      <c r="B145" s="281"/>
      <c r="C145" s="282"/>
      <c r="D145" s="283"/>
      <c r="E145" s="283" t="s">
        <v>110</v>
      </c>
      <c r="F145" s="123" t="s">
        <v>325</v>
      </c>
      <c r="G145" s="300"/>
      <c r="H145" s="285">
        <f>'Q1 DMV - Revenue'!T137</f>
        <v>-7012.4024483702415</v>
      </c>
      <c r="I145" s="391">
        <f>1+0.55+0.01</f>
        <v>1.56</v>
      </c>
      <c r="J145" s="353">
        <f>704.13+176.49</f>
        <v>880.62</v>
      </c>
      <c r="K145" s="287"/>
      <c r="L145" s="398">
        <f t="shared" si="14"/>
        <v>-6130.2224483702412</v>
      </c>
      <c r="M145" s="31"/>
      <c r="N145" s="86"/>
      <c r="O145" s="290"/>
      <c r="P145" s="31">
        <v>0</v>
      </c>
      <c r="Q145" s="382">
        <f t="shared" si="10"/>
        <v>0</v>
      </c>
      <c r="R145" s="457">
        <f>712.35+0.08+0.06+173.07</f>
        <v>885.56</v>
      </c>
      <c r="S145" s="295"/>
      <c r="T145" s="328">
        <f t="shared" si="15"/>
        <v>885.56</v>
      </c>
      <c r="U145" s="421"/>
      <c r="V145" s="158">
        <f t="shared" si="13"/>
        <v>0</v>
      </c>
      <c r="W145" s="386">
        <f t="shared" si="11"/>
        <v>0</v>
      </c>
      <c r="X145" s="387">
        <f t="shared" si="12"/>
        <v>0</v>
      </c>
      <c r="Y145" s="399">
        <v>0</v>
      </c>
      <c r="Z145" s="399">
        <v>0</v>
      </c>
      <c r="AA145" s="233">
        <v>0</v>
      </c>
      <c r="AB145" s="232">
        <v>1908.4499999999998</v>
      </c>
      <c r="AC145" s="232">
        <v>0</v>
      </c>
      <c r="AD145" s="232">
        <v>0</v>
      </c>
      <c r="AF145" s="232">
        <v>7910.1424483702413</v>
      </c>
      <c r="AG145" s="232">
        <v>0</v>
      </c>
      <c r="AH145" s="232">
        <v>0</v>
      </c>
    </row>
    <row r="146" spans="1:34" s="232" customFormat="1">
      <c r="A146" s="81"/>
      <c r="B146" s="281"/>
      <c r="C146" s="282"/>
      <c r="D146" s="283"/>
      <c r="E146" s="283" t="s">
        <v>109</v>
      </c>
      <c r="F146" s="123" t="s">
        <v>63</v>
      </c>
      <c r="G146" s="300"/>
      <c r="H146" s="285">
        <f>'Q1 DMV - Revenue'!T138</f>
        <v>420.45</v>
      </c>
      <c r="I146" s="391">
        <f>283.21+9.47</f>
        <v>292.68</v>
      </c>
      <c r="J146" s="353">
        <f>386.83+288.56</f>
        <v>675.39</v>
      </c>
      <c r="K146" s="287"/>
      <c r="L146" s="398">
        <f t="shared" si="14"/>
        <v>1388.52</v>
      </c>
      <c r="M146" s="31"/>
      <c r="N146" s="400"/>
      <c r="O146" s="290"/>
      <c r="P146" s="31">
        <v>0</v>
      </c>
      <c r="Q146" s="382">
        <f t="shared" si="10"/>
        <v>0</v>
      </c>
      <c r="R146" s="14"/>
      <c r="S146" s="295"/>
      <c r="T146" s="328" t="str">
        <f t="shared" si="15"/>
        <v/>
      </c>
      <c r="U146" s="421">
        <v>45176.46</v>
      </c>
      <c r="V146" s="158">
        <f t="shared" si="13"/>
        <v>0</v>
      </c>
      <c r="W146" s="386">
        <f t="shared" si="11"/>
        <v>0</v>
      </c>
      <c r="X146" s="387">
        <f t="shared" si="12"/>
        <v>0</v>
      </c>
      <c r="Y146" s="399">
        <v>0</v>
      </c>
      <c r="Z146" s="399">
        <v>0</v>
      </c>
      <c r="AA146" s="233">
        <v>0</v>
      </c>
      <c r="AB146" s="232">
        <v>0</v>
      </c>
      <c r="AC146" s="232">
        <v>337.96199999999999</v>
      </c>
      <c r="AD146" s="232">
        <v>0</v>
      </c>
      <c r="AF146" s="232">
        <v>0</v>
      </c>
      <c r="AG146" s="232">
        <v>0</v>
      </c>
      <c r="AH146" s="232">
        <v>0</v>
      </c>
    </row>
    <row r="147" spans="1:34" s="232" customFormat="1">
      <c r="A147" s="81"/>
      <c r="B147" s="281"/>
      <c r="C147" s="282"/>
      <c r="D147" s="283"/>
      <c r="E147" s="283" t="s">
        <v>109</v>
      </c>
      <c r="F147" s="123" t="s">
        <v>326</v>
      </c>
      <c r="G147" s="300"/>
      <c r="H147" s="285">
        <f>'Q1 DMV - Revenue'!T139</f>
        <v>-420.09000000000015</v>
      </c>
      <c r="I147" s="391">
        <v>16711.32</v>
      </c>
      <c r="J147" s="353">
        <f>1907.17+8932.29</f>
        <v>10839.460000000001</v>
      </c>
      <c r="K147" s="287"/>
      <c r="L147" s="398">
        <f t="shared" si="14"/>
        <v>27130.690000000002</v>
      </c>
      <c r="M147" s="31"/>
      <c r="N147" s="400"/>
      <c r="O147" s="290"/>
      <c r="P147" s="31">
        <v>0</v>
      </c>
      <c r="Q147" s="382">
        <f t="shared" si="10"/>
        <v>0</v>
      </c>
      <c r="R147" s="14"/>
      <c r="S147" s="295"/>
      <c r="T147" s="328" t="str">
        <f t="shared" si="15"/>
        <v/>
      </c>
      <c r="U147" s="421"/>
      <c r="V147" s="158">
        <f t="shared" si="13"/>
        <v>0</v>
      </c>
      <c r="W147" s="386">
        <f t="shared" si="11"/>
        <v>0</v>
      </c>
      <c r="X147" s="387">
        <f t="shared" si="12"/>
        <v>0</v>
      </c>
      <c r="Y147" s="399">
        <v>0</v>
      </c>
      <c r="Z147" s="399">
        <v>0</v>
      </c>
      <c r="AA147" s="233">
        <v>0</v>
      </c>
      <c r="AB147" s="232">
        <v>0</v>
      </c>
      <c r="AC147" s="232">
        <v>19351.32</v>
      </c>
      <c r="AD147" s="232">
        <v>0</v>
      </c>
      <c r="AF147" s="232">
        <v>0</v>
      </c>
      <c r="AG147" s="232">
        <v>16642</v>
      </c>
      <c r="AH147" s="232">
        <v>0</v>
      </c>
    </row>
    <row r="148" spans="1:34" s="232" customFormat="1">
      <c r="A148" s="81"/>
      <c r="B148" s="281"/>
      <c r="C148" s="282"/>
      <c r="D148" s="283" t="s">
        <v>109</v>
      </c>
      <c r="E148" s="283" t="s">
        <v>109</v>
      </c>
      <c r="F148" s="413" t="s">
        <v>281</v>
      </c>
      <c r="G148" s="300"/>
      <c r="H148" s="285">
        <f>'Q1 DMV - Revenue'!T140</f>
        <v>0.25</v>
      </c>
      <c r="I148" s="391">
        <v>16.8</v>
      </c>
      <c r="J148" s="353">
        <v>9.4700000000000006</v>
      </c>
      <c r="K148" s="287"/>
      <c r="L148" s="398">
        <f t="shared" si="14"/>
        <v>26.520000000000003</v>
      </c>
      <c r="M148" s="31"/>
      <c r="N148" s="400"/>
      <c r="O148" s="290"/>
      <c r="P148" s="31">
        <v>0</v>
      </c>
      <c r="Q148" s="382">
        <f t="shared" si="10"/>
        <v>0</v>
      </c>
      <c r="R148" s="14"/>
      <c r="S148" s="295"/>
      <c r="T148" s="328" t="str">
        <f t="shared" si="15"/>
        <v/>
      </c>
      <c r="U148" s="421"/>
      <c r="V148" s="158">
        <f t="shared" si="13"/>
        <v>0</v>
      </c>
      <c r="W148" s="386">
        <f t="shared" si="11"/>
        <v>0</v>
      </c>
      <c r="X148" s="387">
        <f t="shared" si="12"/>
        <v>0</v>
      </c>
      <c r="Y148" s="399">
        <v>0</v>
      </c>
      <c r="Z148" s="399">
        <v>0</v>
      </c>
      <c r="AA148" s="233">
        <v>0</v>
      </c>
      <c r="AB148" s="232">
        <v>0</v>
      </c>
      <c r="AC148" s="232">
        <v>33.909999999999997</v>
      </c>
      <c r="AD148" s="232">
        <v>0</v>
      </c>
      <c r="AF148" s="232">
        <v>0</v>
      </c>
      <c r="AG148" s="232">
        <v>15</v>
      </c>
      <c r="AH148" s="232">
        <v>0</v>
      </c>
    </row>
    <row r="149" spans="1:34" s="232" customFormat="1">
      <c r="A149" s="81"/>
      <c r="B149" s="401"/>
      <c r="C149" s="402"/>
      <c r="D149" s="403"/>
      <c r="E149" s="403" t="s">
        <v>109</v>
      </c>
      <c r="F149" s="123" t="s">
        <v>327</v>
      </c>
      <c r="G149" s="300"/>
      <c r="H149" s="285" t="str">
        <f>'Q1 DMV - Revenue'!T141</f>
        <v/>
      </c>
      <c r="I149" s="404">
        <v>56548.71</v>
      </c>
      <c r="J149" s="405">
        <v>58850.98</v>
      </c>
      <c r="K149" s="353">
        <v>56597.51</v>
      </c>
      <c r="L149" s="398">
        <f t="shared" si="14"/>
        <v>171997.2</v>
      </c>
      <c r="M149" s="31"/>
      <c r="N149" s="86"/>
      <c r="O149" s="290"/>
      <c r="P149" s="31">
        <v>0</v>
      </c>
      <c r="Q149" s="382">
        <f t="shared" ref="Q149:Q213" si="16">N149+O149</f>
        <v>0</v>
      </c>
      <c r="R149" s="14"/>
      <c r="S149" s="295"/>
      <c r="T149" s="328" t="str">
        <f t="shared" si="15"/>
        <v/>
      </c>
      <c r="U149" s="421">
        <v>178068.68</v>
      </c>
      <c r="V149" s="158">
        <f t="shared" si="13"/>
        <v>0</v>
      </c>
      <c r="W149" s="386">
        <f t="shared" ref="W149:W213" si="17">IF(E149="M",Q149,0)</f>
        <v>0</v>
      </c>
      <c r="X149" s="387">
        <f t="shared" ref="X149:X213" si="18">IF(E149="V",Q149,0)</f>
        <v>0</v>
      </c>
      <c r="Y149" s="399">
        <v>0</v>
      </c>
      <c r="Z149" s="399">
        <v>0</v>
      </c>
      <c r="AA149" s="233">
        <v>0</v>
      </c>
      <c r="AB149" s="232">
        <v>0</v>
      </c>
      <c r="AC149" s="232">
        <v>140227.01</v>
      </c>
      <c r="AD149" s="232">
        <v>0</v>
      </c>
      <c r="AF149" s="232">
        <v>0</v>
      </c>
      <c r="AG149" s="232">
        <v>0</v>
      </c>
      <c r="AH149" s="232">
        <v>0</v>
      </c>
    </row>
    <row r="150" spans="1:34" s="232" customFormat="1">
      <c r="A150" s="81"/>
      <c r="B150" s="401"/>
      <c r="C150" s="402"/>
      <c r="D150" s="403"/>
      <c r="E150" s="403" t="s">
        <v>109</v>
      </c>
      <c r="F150" s="123" t="s">
        <v>328</v>
      </c>
      <c r="G150" s="300"/>
      <c r="H150" s="285" t="str">
        <f>'Q1 DMV - Revenue'!T142</f>
        <v/>
      </c>
      <c r="I150" s="404">
        <v>1701.36</v>
      </c>
      <c r="J150" s="405">
        <v>1524.69</v>
      </c>
      <c r="K150" s="353">
        <v>1260.33</v>
      </c>
      <c r="L150" s="398">
        <f t="shared" si="14"/>
        <v>4486.38</v>
      </c>
      <c r="M150" s="31"/>
      <c r="N150" s="86"/>
      <c r="O150" s="290"/>
      <c r="P150" s="31">
        <v>0</v>
      </c>
      <c r="Q150" s="382">
        <f t="shared" si="16"/>
        <v>0</v>
      </c>
      <c r="R150" s="14"/>
      <c r="S150" s="295"/>
      <c r="T150" s="328" t="str">
        <f t="shared" si="15"/>
        <v/>
      </c>
      <c r="U150" s="421"/>
      <c r="V150" s="158">
        <f t="shared" ref="V150:V214" si="19">IF(E150="D",Q150,0)</f>
        <v>0</v>
      </c>
      <c r="W150" s="386">
        <f t="shared" si="17"/>
        <v>0</v>
      </c>
      <c r="X150" s="387">
        <f t="shared" si="18"/>
        <v>0</v>
      </c>
      <c r="Y150" s="399">
        <v>0</v>
      </c>
      <c r="Z150" s="399">
        <v>0</v>
      </c>
      <c r="AA150" s="233">
        <v>0</v>
      </c>
      <c r="AB150" s="232">
        <v>0</v>
      </c>
      <c r="AC150" s="232">
        <v>4692.49</v>
      </c>
      <c r="AD150" s="232">
        <v>0</v>
      </c>
      <c r="AF150" s="232">
        <v>0</v>
      </c>
      <c r="AG150" s="232">
        <v>0</v>
      </c>
      <c r="AH150" s="232">
        <v>0</v>
      </c>
    </row>
    <row r="151" spans="1:34" s="232" customFormat="1">
      <c r="A151" s="81"/>
      <c r="B151" s="401"/>
      <c r="C151" s="402"/>
      <c r="D151" s="403"/>
      <c r="E151" s="403" t="s">
        <v>109</v>
      </c>
      <c r="F151" s="123" t="s">
        <v>329</v>
      </c>
      <c r="G151" s="300"/>
      <c r="H151" s="285">
        <f>'Q1 DMV - Revenue'!T143</f>
        <v>423.84</v>
      </c>
      <c r="I151" s="404">
        <v>411.98</v>
      </c>
      <c r="J151" s="405">
        <v>364.23</v>
      </c>
      <c r="K151" s="353">
        <v>385.05</v>
      </c>
      <c r="L151" s="398">
        <f t="shared" si="14"/>
        <v>1585.1</v>
      </c>
      <c r="M151" s="31"/>
      <c r="N151" s="86"/>
      <c r="O151" s="290"/>
      <c r="P151" s="31">
        <v>0</v>
      </c>
      <c r="Q151" s="382">
        <f t="shared" si="16"/>
        <v>0</v>
      </c>
      <c r="R151" s="14"/>
      <c r="S151" s="295"/>
      <c r="T151" s="328" t="str">
        <f t="shared" si="15"/>
        <v/>
      </c>
      <c r="U151" s="421"/>
      <c r="V151" s="158">
        <f t="shared" si="19"/>
        <v>0</v>
      </c>
      <c r="W151" s="386">
        <f t="shared" si="17"/>
        <v>0</v>
      </c>
      <c r="X151" s="387">
        <f t="shared" si="18"/>
        <v>0</v>
      </c>
      <c r="Y151" s="399">
        <v>0</v>
      </c>
      <c r="Z151" s="399">
        <v>0</v>
      </c>
      <c r="AA151" s="233">
        <v>0</v>
      </c>
      <c r="AB151" s="232">
        <v>0</v>
      </c>
      <c r="AC151" s="232">
        <v>783.33</v>
      </c>
      <c r="AD151" s="232">
        <v>0</v>
      </c>
      <c r="AF151" s="232">
        <v>0</v>
      </c>
      <c r="AG151" s="232">
        <v>0</v>
      </c>
      <c r="AH151" s="232">
        <v>0</v>
      </c>
    </row>
    <row r="152" spans="1:34">
      <c r="A152" s="27"/>
      <c r="B152" s="120"/>
      <c r="C152" s="111"/>
      <c r="D152" s="21" t="s">
        <v>212</v>
      </c>
      <c r="E152" s="21" t="s">
        <v>110</v>
      </c>
      <c r="F152" s="68" t="s">
        <v>35</v>
      </c>
      <c r="G152" s="133"/>
      <c r="H152" s="144" t="str">
        <f>'Q1 DMV - Revenue'!T144</f>
        <v/>
      </c>
      <c r="I152" s="340"/>
      <c r="J152" s="204"/>
      <c r="K152" s="204"/>
      <c r="L152" s="311">
        <f t="shared" si="14"/>
        <v>0</v>
      </c>
      <c r="M152" s="31"/>
      <c r="N152" s="84"/>
      <c r="O152" s="42"/>
      <c r="P152" s="31">
        <v>0</v>
      </c>
      <c r="Q152" s="382">
        <f t="shared" si="16"/>
        <v>0</v>
      </c>
      <c r="R152" s="178"/>
      <c r="S152" s="295"/>
      <c r="T152" s="328" t="str">
        <f t="shared" si="15"/>
        <v/>
      </c>
      <c r="U152" s="421"/>
      <c r="V152" s="158">
        <f t="shared" si="19"/>
        <v>0</v>
      </c>
      <c r="W152" s="386">
        <f t="shared" si="17"/>
        <v>0</v>
      </c>
      <c r="X152" s="387">
        <f t="shared" si="18"/>
        <v>0</v>
      </c>
      <c r="Y152" s="305">
        <v>0</v>
      </c>
      <c r="Z152" s="305">
        <v>0</v>
      </c>
      <c r="AA152" s="38">
        <v>0</v>
      </c>
      <c r="AB152" s="16">
        <v>0</v>
      </c>
      <c r="AC152" s="16">
        <v>0</v>
      </c>
      <c r="AD152" s="16">
        <v>0</v>
      </c>
      <c r="AF152" s="16">
        <v>0</v>
      </c>
      <c r="AG152" s="16">
        <v>0</v>
      </c>
      <c r="AH152" s="16">
        <v>0</v>
      </c>
    </row>
    <row r="153" spans="1:34">
      <c r="A153" s="27"/>
      <c r="B153" s="120"/>
      <c r="C153" s="111"/>
      <c r="D153" s="21" t="s">
        <v>212</v>
      </c>
      <c r="E153" s="21" t="s">
        <v>110</v>
      </c>
      <c r="F153" s="68" t="s">
        <v>232</v>
      </c>
      <c r="G153" s="133">
        <f>1715.83+1987.77+2565.81</f>
        <v>6269.41</v>
      </c>
      <c r="H153" s="144">
        <v>-6000</v>
      </c>
      <c r="I153" s="340"/>
      <c r="J153" s="204"/>
      <c r="K153" s="204"/>
      <c r="L153" s="311">
        <f t="shared" si="14"/>
        <v>269.40999999999985</v>
      </c>
      <c r="M153" s="31"/>
      <c r="N153" s="84"/>
      <c r="O153" s="42">
        <v>5000</v>
      </c>
      <c r="P153" s="31">
        <v>0</v>
      </c>
      <c r="Q153" s="382">
        <f t="shared" si="16"/>
        <v>5000</v>
      </c>
      <c r="R153" s="178">
        <v>7317.11</v>
      </c>
      <c r="S153" s="295"/>
      <c r="T153" s="328">
        <f t="shared" si="15"/>
        <v>2317.1099999999997</v>
      </c>
      <c r="U153" s="421">
        <v>6269.41</v>
      </c>
      <c r="V153" s="158">
        <f t="shared" si="19"/>
        <v>5000</v>
      </c>
      <c r="W153" s="386">
        <f t="shared" si="17"/>
        <v>0</v>
      </c>
      <c r="X153" s="387">
        <f t="shared" si="18"/>
        <v>0</v>
      </c>
      <c r="Y153" s="305">
        <v>0</v>
      </c>
      <c r="Z153" s="305">
        <v>0</v>
      </c>
      <c r="AA153" s="38">
        <v>0</v>
      </c>
      <c r="AB153" s="16">
        <v>-6000</v>
      </c>
      <c r="AC153" s="16">
        <v>0</v>
      </c>
      <c r="AD153" s="16">
        <v>0</v>
      </c>
      <c r="AF153" s="16">
        <v>6000</v>
      </c>
      <c r="AG153" s="16">
        <v>0</v>
      </c>
      <c r="AH153" s="16">
        <v>0</v>
      </c>
    </row>
    <row r="154" spans="1:34">
      <c r="A154" s="27"/>
      <c r="B154" s="120"/>
      <c r="C154" s="111"/>
      <c r="D154" s="21" t="s">
        <v>212</v>
      </c>
      <c r="E154" s="21" t="s">
        <v>110</v>
      </c>
      <c r="F154" s="68" t="s">
        <v>238</v>
      </c>
      <c r="G154" s="133"/>
      <c r="H154" s="144">
        <f>'Q1 DMV - Revenue'!T146</f>
        <v>-14.110000000000014</v>
      </c>
      <c r="I154" s="341">
        <v>525.70000000000005</v>
      </c>
      <c r="J154" s="352">
        <v>571.91999999999996</v>
      </c>
      <c r="K154" s="204"/>
      <c r="L154" s="311">
        <f t="shared" si="14"/>
        <v>1083.51</v>
      </c>
      <c r="M154" s="31"/>
      <c r="N154" s="84"/>
      <c r="O154" s="42">
        <f>(I154+J154)/2</f>
        <v>548.80999999999995</v>
      </c>
      <c r="P154" s="31">
        <v>0</v>
      </c>
      <c r="Q154" s="382">
        <f t="shared" si="16"/>
        <v>548.80999999999995</v>
      </c>
      <c r="R154" s="178">
        <v>592.48</v>
      </c>
      <c r="S154" s="295"/>
      <c r="T154" s="328">
        <f t="shared" si="15"/>
        <v>43.670000000000073</v>
      </c>
      <c r="U154" s="421">
        <v>1660.59</v>
      </c>
      <c r="V154" s="158">
        <f t="shared" si="19"/>
        <v>548.80999999999995</v>
      </c>
      <c r="W154" s="386">
        <f t="shared" si="17"/>
        <v>0</v>
      </c>
      <c r="X154" s="387">
        <f t="shared" si="18"/>
        <v>0</v>
      </c>
      <c r="Y154" s="305">
        <v>0</v>
      </c>
      <c r="Z154" s="305">
        <v>0</v>
      </c>
      <c r="AA154" s="38">
        <v>0</v>
      </c>
      <c r="AB154" s="16">
        <v>407.3</v>
      </c>
      <c r="AC154" s="16">
        <v>0</v>
      </c>
      <c r="AD154" s="16">
        <v>0</v>
      </c>
      <c r="AF154" s="16">
        <v>577.08000000000004</v>
      </c>
      <c r="AG154" s="16">
        <v>0</v>
      </c>
      <c r="AH154" s="16">
        <v>0</v>
      </c>
    </row>
    <row r="155" spans="1:34">
      <c r="A155" s="27"/>
      <c r="B155" s="120"/>
      <c r="C155" s="111"/>
      <c r="D155" s="21"/>
      <c r="E155" s="21" t="s">
        <v>110</v>
      </c>
      <c r="F155" s="68" t="s">
        <v>68</v>
      </c>
      <c r="G155" s="133"/>
      <c r="H155" s="144" t="str">
        <f>'Q1 DMV - Revenue'!T147</f>
        <v/>
      </c>
      <c r="I155" s="340"/>
      <c r="J155" s="204"/>
      <c r="K155" s="204"/>
      <c r="L155" s="311">
        <f t="shared" ref="L155:L170" si="20">SUM(G155:K155)</f>
        <v>0</v>
      </c>
      <c r="M155" s="31"/>
      <c r="N155" s="84"/>
      <c r="O155" s="42"/>
      <c r="P155" s="31">
        <v>0</v>
      </c>
      <c r="Q155" s="382">
        <f t="shared" si="16"/>
        <v>0</v>
      </c>
      <c r="R155" s="178"/>
      <c r="S155" s="295"/>
      <c r="T155" s="328" t="str">
        <f t="shared" si="15"/>
        <v/>
      </c>
      <c r="U155" s="421"/>
      <c r="V155" s="158">
        <f t="shared" si="19"/>
        <v>0</v>
      </c>
      <c r="W155" s="386">
        <f t="shared" si="17"/>
        <v>0</v>
      </c>
      <c r="X155" s="387">
        <f t="shared" si="18"/>
        <v>0</v>
      </c>
      <c r="Y155" s="305">
        <v>0</v>
      </c>
      <c r="Z155" s="305">
        <v>0</v>
      </c>
      <c r="AA155" s="38">
        <v>0</v>
      </c>
      <c r="AB155" s="16">
        <v>0</v>
      </c>
      <c r="AC155" s="16">
        <v>0</v>
      </c>
      <c r="AD155" s="16">
        <v>0</v>
      </c>
      <c r="AF155" s="16">
        <v>0</v>
      </c>
      <c r="AG155" s="16">
        <v>0</v>
      </c>
      <c r="AH155" s="16">
        <v>0</v>
      </c>
    </row>
    <row r="156" spans="1:34">
      <c r="A156" s="27"/>
      <c r="B156" s="120"/>
      <c r="C156" s="111"/>
      <c r="D156" s="21"/>
      <c r="E156" s="21" t="s">
        <v>109</v>
      </c>
      <c r="F156" s="68" t="s">
        <v>36</v>
      </c>
      <c r="G156" s="133"/>
      <c r="H156" s="144" t="str">
        <f>'Q1 DMV - Revenue'!T148</f>
        <v/>
      </c>
      <c r="I156" s="341">
        <v>53.25</v>
      </c>
      <c r="J156" s="364">
        <v>0.8</v>
      </c>
      <c r="K156" s="204"/>
      <c r="L156" s="311">
        <f t="shared" si="20"/>
        <v>54.05</v>
      </c>
      <c r="M156" s="31"/>
      <c r="N156" s="84"/>
      <c r="O156" s="42">
        <f>I156*3</f>
        <v>159.75</v>
      </c>
      <c r="P156" s="31">
        <v>0</v>
      </c>
      <c r="Q156" s="382">
        <f t="shared" si="16"/>
        <v>159.75</v>
      </c>
      <c r="R156" s="178"/>
      <c r="S156" s="295"/>
      <c r="T156" s="328" t="str">
        <f t="shared" si="15"/>
        <v/>
      </c>
      <c r="U156" s="421">
        <v>53.25</v>
      </c>
      <c r="V156" s="158">
        <f t="shared" si="19"/>
        <v>0</v>
      </c>
      <c r="W156" s="386">
        <f t="shared" si="17"/>
        <v>159.75</v>
      </c>
      <c r="X156" s="387">
        <f t="shared" si="18"/>
        <v>0</v>
      </c>
      <c r="Y156" s="305">
        <v>0</v>
      </c>
      <c r="Z156" s="305">
        <v>0</v>
      </c>
      <c r="AA156" s="38">
        <v>0</v>
      </c>
      <c r="AB156" s="16">
        <v>0</v>
      </c>
      <c r="AC156" s="16">
        <v>278.35000000000002</v>
      </c>
      <c r="AD156" s="16">
        <v>0</v>
      </c>
      <c r="AF156" s="16">
        <v>0</v>
      </c>
      <c r="AG156" s="16">
        <v>0</v>
      </c>
      <c r="AH156" s="16">
        <v>0</v>
      </c>
    </row>
    <row r="157" spans="1:34">
      <c r="A157" s="27"/>
      <c r="B157" s="120"/>
      <c r="C157" s="111"/>
      <c r="D157" s="21"/>
      <c r="E157" s="21" t="s">
        <v>109</v>
      </c>
      <c r="F157" s="68" t="s">
        <v>306</v>
      </c>
      <c r="G157" s="133"/>
      <c r="H157" s="144">
        <f>'Q1 DMV - Revenue'!T149</f>
        <v>-12456.759999999987</v>
      </c>
      <c r="I157" s="354">
        <v>4815.07</v>
      </c>
      <c r="J157" s="397"/>
      <c r="K157" s="205">
        <v>5301.11</v>
      </c>
      <c r="L157" s="311">
        <f t="shared" si="20"/>
        <v>-2340.5799999999881</v>
      </c>
      <c r="M157" s="31"/>
      <c r="N157" s="84"/>
      <c r="O157" s="42">
        <f>22242.21+11585</f>
        <v>33827.21</v>
      </c>
      <c r="P157" s="31"/>
      <c r="Q157" s="382">
        <f t="shared" si="16"/>
        <v>33827.21</v>
      </c>
      <c r="R157" s="178">
        <f>786.14+5269.63+842.42+671.94+33.97+296.9+469.13+450.02+5292.87+558.86+128.95+276.9+426.66+72.49+357.39+122.67</f>
        <v>16056.94</v>
      </c>
      <c r="S157" s="295"/>
      <c r="T157" s="328">
        <f t="shared" ref="T157:T223" si="21">IF(R157="","",R157-Q157)</f>
        <v>-17770.269999999997</v>
      </c>
      <c r="U157" s="421">
        <v>48649.42</v>
      </c>
      <c r="V157" s="158">
        <f t="shared" si="19"/>
        <v>0</v>
      </c>
      <c r="W157" s="386">
        <f t="shared" si="17"/>
        <v>33827.21</v>
      </c>
      <c r="X157" s="387">
        <f t="shared" si="18"/>
        <v>0</v>
      </c>
      <c r="Y157" s="305">
        <v>0</v>
      </c>
      <c r="Z157" s="305">
        <v>0</v>
      </c>
      <c r="AA157" s="38"/>
      <c r="AB157" s="16">
        <v>0</v>
      </c>
      <c r="AC157" s="16">
        <v>0</v>
      </c>
      <c r="AD157" s="16">
        <v>0</v>
      </c>
      <c r="AF157" s="16">
        <v>0</v>
      </c>
      <c r="AG157" s="16">
        <v>51000</v>
      </c>
      <c r="AH157" s="16">
        <v>0</v>
      </c>
    </row>
    <row r="158" spans="1:34">
      <c r="A158" s="27"/>
      <c r="B158" s="120"/>
      <c r="C158" s="111"/>
      <c r="D158" s="21"/>
      <c r="E158" s="21" t="s">
        <v>110</v>
      </c>
      <c r="F158" s="68" t="s">
        <v>307</v>
      </c>
      <c r="G158" s="133"/>
      <c r="H158" s="144"/>
      <c r="I158" s="340"/>
      <c r="J158" s="204"/>
      <c r="K158" s="204"/>
      <c r="L158" s="311"/>
      <c r="M158" s="31"/>
      <c r="N158" s="84"/>
      <c r="O158" s="42"/>
      <c r="P158" s="31"/>
      <c r="Q158" s="382">
        <f t="shared" si="16"/>
        <v>0</v>
      </c>
      <c r="R158" s="178">
        <f>1193.7+1243+1652.4</f>
        <v>4089.1</v>
      </c>
      <c r="S158" s="295"/>
      <c r="T158" s="328"/>
      <c r="U158" s="421"/>
      <c r="V158" s="158">
        <f t="shared" si="19"/>
        <v>0</v>
      </c>
      <c r="W158" s="386">
        <f t="shared" si="17"/>
        <v>0</v>
      </c>
      <c r="X158" s="387">
        <f t="shared" si="18"/>
        <v>0</v>
      </c>
      <c r="Y158" s="305"/>
      <c r="Z158" s="305"/>
      <c r="AA158" s="38"/>
    </row>
    <row r="159" spans="1:34">
      <c r="A159" s="27"/>
      <c r="B159" s="120"/>
      <c r="C159" s="111"/>
      <c r="D159" s="21"/>
      <c r="E159" s="21" t="s">
        <v>109</v>
      </c>
      <c r="F159" s="68" t="s">
        <v>220</v>
      </c>
      <c r="G159" s="133"/>
      <c r="H159" s="144">
        <v>-62000</v>
      </c>
      <c r="I159" s="340"/>
      <c r="J159" s="204"/>
      <c r="K159" s="204"/>
      <c r="L159" s="311">
        <f t="shared" si="20"/>
        <v>-62000</v>
      </c>
      <c r="M159" s="31"/>
      <c r="N159" s="84"/>
      <c r="O159" s="42">
        <f>11759+3729+(3000*5*1.288)</f>
        <v>34808</v>
      </c>
      <c r="P159" s="31">
        <v>0</v>
      </c>
      <c r="Q159" s="382">
        <f t="shared" si="16"/>
        <v>34808</v>
      </c>
      <c r="R159" s="178">
        <f>1137.39</f>
        <v>1137.3900000000001</v>
      </c>
      <c r="S159" s="295"/>
      <c r="T159" s="328">
        <f t="shared" si="21"/>
        <v>-33670.61</v>
      </c>
      <c r="U159" s="421"/>
      <c r="V159" s="158">
        <f t="shared" si="19"/>
        <v>0</v>
      </c>
      <c r="W159" s="386">
        <f t="shared" si="17"/>
        <v>34808</v>
      </c>
      <c r="X159" s="387">
        <f t="shared" si="18"/>
        <v>0</v>
      </c>
      <c r="Y159" s="305">
        <v>0</v>
      </c>
      <c r="Z159" s="305">
        <v>0</v>
      </c>
      <c r="AA159" s="38">
        <v>0</v>
      </c>
      <c r="AB159" s="16">
        <v>0</v>
      </c>
      <c r="AC159" s="16">
        <v>0</v>
      </c>
      <c r="AD159" s="16">
        <v>0</v>
      </c>
      <c r="AF159" s="16">
        <v>0</v>
      </c>
      <c r="AG159" s="16">
        <v>62300</v>
      </c>
      <c r="AH159" s="16">
        <v>0</v>
      </c>
    </row>
    <row r="160" spans="1:34">
      <c r="A160" s="27"/>
      <c r="B160" s="120"/>
      <c r="C160" s="111"/>
      <c r="D160" s="21"/>
      <c r="E160" s="21" t="s">
        <v>109</v>
      </c>
      <c r="F160" s="68" t="s">
        <v>38</v>
      </c>
      <c r="G160" s="133"/>
      <c r="H160" s="144" t="str">
        <f>'Q1 DMV - Revenue'!T151</f>
        <v/>
      </c>
      <c r="I160" s="340"/>
      <c r="J160" s="204"/>
      <c r="K160" s="204"/>
      <c r="L160" s="311">
        <f t="shared" si="20"/>
        <v>0</v>
      </c>
      <c r="M160" s="31"/>
      <c r="N160" s="84"/>
      <c r="O160" s="42"/>
      <c r="P160" s="31">
        <v>0</v>
      </c>
      <c r="Q160" s="382">
        <f t="shared" si="16"/>
        <v>0</v>
      </c>
      <c r="R160" s="178"/>
      <c r="S160" s="295"/>
      <c r="T160" s="328" t="str">
        <f t="shared" si="21"/>
        <v/>
      </c>
      <c r="U160" s="421"/>
      <c r="V160" s="158">
        <f t="shared" si="19"/>
        <v>0</v>
      </c>
      <c r="W160" s="386">
        <f t="shared" si="17"/>
        <v>0</v>
      </c>
      <c r="X160" s="387">
        <f t="shared" si="18"/>
        <v>0</v>
      </c>
      <c r="Y160" s="305">
        <v>0</v>
      </c>
      <c r="Z160" s="305">
        <v>0</v>
      </c>
      <c r="AA160" s="38">
        <v>0</v>
      </c>
      <c r="AB160" s="16">
        <v>0</v>
      </c>
      <c r="AC160" s="16">
        <v>0</v>
      </c>
      <c r="AD160" s="16">
        <v>0</v>
      </c>
      <c r="AF160" s="16">
        <v>0</v>
      </c>
      <c r="AG160" s="16">
        <v>0</v>
      </c>
      <c r="AH160" s="16">
        <v>0</v>
      </c>
    </row>
    <row r="161" spans="1:34">
      <c r="A161" s="27"/>
      <c r="B161" s="120"/>
      <c r="C161" s="111"/>
      <c r="D161" s="21"/>
      <c r="E161" s="21" t="s">
        <v>110</v>
      </c>
      <c r="F161" s="68" t="s">
        <v>185</v>
      </c>
      <c r="G161" s="133"/>
      <c r="H161" s="144">
        <f>'Q1 DMV - Revenue'!T152</f>
        <v>-69.649999999999977</v>
      </c>
      <c r="I161" s="341">
        <v>378</v>
      </c>
      <c r="J161" s="352">
        <v>730.1</v>
      </c>
      <c r="K161" s="204"/>
      <c r="L161" s="311">
        <f t="shared" si="20"/>
        <v>1038.45</v>
      </c>
      <c r="M161" s="31"/>
      <c r="N161" s="84"/>
      <c r="O161" s="42">
        <f>(I161+J161)/2</f>
        <v>554.04999999999995</v>
      </c>
      <c r="P161" s="31">
        <v>0</v>
      </c>
      <c r="Q161" s="382">
        <f t="shared" si="16"/>
        <v>554.04999999999995</v>
      </c>
      <c r="R161" s="479">
        <f>517.3+351.55</f>
        <v>868.84999999999991</v>
      </c>
      <c r="S161" s="295"/>
      <c r="T161" s="328">
        <f>IF(R161="","",R161-Q161)</f>
        <v>314.79999999999995</v>
      </c>
      <c r="U161" s="421">
        <v>3138.55</v>
      </c>
      <c r="V161" s="158">
        <f t="shared" si="19"/>
        <v>554.04999999999995</v>
      </c>
      <c r="W161" s="386">
        <f t="shared" si="17"/>
        <v>0</v>
      </c>
      <c r="X161" s="387">
        <f t="shared" si="18"/>
        <v>0</v>
      </c>
      <c r="Y161" s="305">
        <v>0</v>
      </c>
      <c r="Z161" s="305">
        <v>0</v>
      </c>
      <c r="AA161" s="38">
        <v>0</v>
      </c>
      <c r="AB161" s="16">
        <v>1509</v>
      </c>
      <c r="AC161" s="16">
        <v>0</v>
      </c>
      <c r="AD161" s="16">
        <v>0</v>
      </c>
      <c r="AF161" s="16">
        <v>561.04999999999995</v>
      </c>
      <c r="AG161" s="16">
        <v>0</v>
      </c>
      <c r="AH161" s="16">
        <v>0</v>
      </c>
    </row>
    <row r="162" spans="1:34">
      <c r="A162" s="27"/>
      <c r="B162" s="120"/>
      <c r="C162" s="111"/>
      <c r="D162" s="21"/>
      <c r="E162" s="21" t="s">
        <v>110</v>
      </c>
      <c r="F162" s="68" t="s">
        <v>186</v>
      </c>
      <c r="G162" s="133"/>
      <c r="H162" s="144">
        <f>'Q1 DMV - Revenue'!T153</f>
        <v>-40.465000000000032</v>
      </c>
      <c r="I162" s="341">
        <v>537.47</v>
      </c>
      <c r="J162" s="352">
        <v>540.96</v>
      </c>
      <c r="K162" s="204"/>
      <c r="L162" s="311">
        <f t="shared" si="20"/>
        <v>1037.9650000000001</v>
      </c>
      <c r="M162" s="31"/>
      <c r="N162" s="84"/>
      <c r="O162" s="42">
        <f>(I162+J162)/2</f>
        <v>539.21500000000003</v>
      </c>
      <c r="P162" s="31">
        <v>0</v>
      </c>
      <c r="Q162" s="382">
        <f t="shared" si="16"/>
        <v>539.21500000000003</v>
      </c>
      <c r="R162" s="178">
        <f>776.34</f>
        <v>776.34</v>
      </c>
      <c r="S162" s="295"/>
      <c r="T162" s="328">
        <f t="shared" si="21"/>
        <v>237.125</v>
      </c>
      <c r="U162" s="421"/>
      <c r="V162" s="158">
        <f t="shared" si="19"/>
        <v>539.21500000000003</v>
      </c>
      <c r="W162" s="386">
        <f t="shared" si="17"/>
        <v>0</v>
      </c>
      <c r="X162" s="387">
        <f t="shared" si="18"/>
        <v>0</v>
      </c>
      <c r="Y162" s="305">
        <v>0</v>
      </c>
      <c r="Z162" s="305">
        <v>0</v>
      </c>
      <c r="AA162" s="38">
        <v>0</v>
      </c>
      <c r="AB162" s="16">
        <v>950.11000000000013</v>
      </c>
      <c r="AC162" s="16">
        <v>0</v>
      </c>
      <c r="AD162" s="16">
        <v>0</v>
      </c>
      <c r="AF162" s="16">
        <v>501.08500000000004</v>
      </c>
      <c r="AG162" s="16">
        <v>0</v>
      </c>
      <c r="AH162" s="16">
        <v>0</v>
      </c>
    </row>
    <row r="163" spans="1:34">
      <c r="A163" s="27"/>
      <c r="B163" s="120"/>
      <c r="C163" s="111"/>
      <c r="D163" s="21"/>
      <c r="E163" s="21" t="s">
        <v>110</v>
      </c>
      <c r="F163" s="68" t="s">
        <v>39</v>
      </c>
      <c r="G163" s="133"/>
      <c r="H163" s="144" t="str">
        <f>'Q1 DMV - Revenue'!T154</f>
        <v/>
      </c>
      <c r="I163" s="341">
        <v>691.08</v>
      </c>
      <c r="J163" s="205">
        <v>977.58</v>
      </c>
      <c r="K163" s="352">
        <v>697.33</v>
      </c>
      <c r="L163" s="311">
        <f t="shared" si="20"/>
        <v>2365.9900000000002</v>
      </c>
      <c r="M163" s="31"/>
      <c r="N163" s="84"/>
      <c r="O163" s="42"/>
      <c r="P163" s="31">
        <v>0</v>
      </c>
      <c r="Q163" s="382">
        <f t="shared" si="16"/>
        <v>0</v>
      </c>
      <c r="R163" s="178"/>
      <c r="S163" s="295"/>
      <c r="T163" s="328" t="str">
        <f t="shared" si="21"/>
        <v/>
      </c>
      <c r="U163" s="421">
        <v>2365.9899999999998</v>
      </c>
      <c r="V163" s="158">
        <f t="shared" si="19"/>
        <v>0</v>
      </c>
      <c r="W163" s="386">
        <f t="shared" si="17"/>
        <v>0</v>
      </c>
      <c r="X163" s="387">
        <f t="shared" si="18"/>
        <v>0</v>
      </c>
      <c r="Y163" s="305">
        <v>0</v>
      </c>
      <c r="Z163" s="305">
        <v>0</v>
      </c>
      <c r="AA163" s="38">
        <v>0</v>
      </c>
      <c r="AB163" s="16">
        <v>1959.6899999999998</v>
      </c>
      <c r="AC163" s="16">
        <v>0</v>
      </c>
      <c r="AD163" s="16">
        <v>0</v>
      </c>
      <c r="AF163" s="16">
        <v>2200</v>
      </c>
      <c r="AG163" s="16">
        <v>0</v>
      </c>
      <c r="AH163" s="16">
        <v>0</v>
      </c>
    </row>
    <row r="164" spans="1:34">
      <c r="A164" s="29"/>
      <c r="B164" s="120" t="s">
        <v>97</v>
      </c>
      <c r="C164" s="111"/>
      <c r="D164" s="21"/>
      <c r="E164" s="21" t="s">
        <v>109</v>
      </c>
      <c r="F164" s="68" t="s">
        <v>40</v>
      </c>
      <c r="G164" s="133"/>
      <c r="H164" s="144" t="str">
        <f>'Q1 DMV - Revenue'!T155</f>
        <v/>
      </c>
      <c r="I164" s="340"/>
      <c r="J164" s="204"/>
      <c r="K164" s="409"/>
      <c r="L164" s="311">
        <f t="shared" si="20"/>
        <v>0</v>
      </c>
      <c r="M164" s="31"/>
      <c r="N164" s="84"/>
      <c r="O164" s="42"/>
      <c r="P164" s="31">
        <v>0</v>
      </c>
      <c r="Q164" s="382">
        <f t="shared" si="16"/>
        <v>0</v>
      </c>
      <c r="R164" s="178"/>
      <c r="S164" s="295"/>
      <c r="T164" s="328" t="str">
        <f t="shared" si="21"/>
        <v/>
      </c>
      <c r="U164" s="421"/>
      <c r="V164" s="158">
        <f t="shared" si="19"/>
        <v>0</v>
      </c>
      <c r="W164" s="386">
        <f t="shared" si="17"/>
        <v>0</v>
      </c>
      <c r="X164" s="387">
        <f t="shared" si="18"/>
        <v>0</v>
      </c>
      <c r="Y164" s="305">
        <v>0</v>
      </c>
      <c r="Z164" s="305">
        <v>0</v>
      </c>
      <c r="AA164" s="38">
        <v>0</v>
      </c>
      <c r="AB164" s="16">
        <v>0</v>
      </c>
      <c r="AC164" s="16">
        <v>0</v>
      </c>
      <c r="AD164" s="16">
        <v>0</v>
      </c>
      <c r="AF164" s="16">
        <v>0</v>
      </c>
      <c r="AG164" s="16">
        <v>0</v>
      </c>
      <c r="AH164" s="16">
        <v>0</v>
      </c>
    </row>
    <row r="165" spans="1:34">
      <c r="A165" s="27"/>
      <c r="B165" s="120" t="s">
        <v>216</v>
      </c>
      <c r="C165" s="111"/>
      <c r="D165" s="21"/>
      <c r="E165" s="21" t="s">
        <v>109</v>
      </c>
      <c r="F165" s="68" t="s">
        <v>99</v>
      </c>
      <c r="G165" s="133"/>
      <c r="H165" s="144">
        <v>-7000</v>
      </c>
      <c r="I165" s="341">
        <v>14329.79</v>
      </c>
      <c r="J165" s="205">
        <v>15946.51</v>
      </c>
      <c r="K165" s="204"/>
      <c r="L165" s="311">
        <f t="shared" si="20"/>
        <v>23276.300000000003</v>
      </c>
      <c r="M165" s="31"/>
      <c r="N165" s="84"/>
      <c r="O165" s="42">
        <v>70000</v>
      </c>
      <c r="P165" s="31">
        <v>0</v>
      </c>
      <c r="Q165" s="382">
        <f t="shared" si="16"/>
        <v>70000</v>
      </c>
      <c r="R165" s="178">
        <f>14329.79+15946.51+9067.16+11281.62+9011.19+12935.63+473.85+837.75+562.97+837.75+403.18+8386.29</f>
        <v>84073.69</v>
      </c>
      <c r="S165" s="295"/>
      <c r="T165" s="328">
        <f t="shared" si="21"/>
        <v>14073.690000000002</v>
      </c>
      <c r="U165" s="421"/>
      <c r="V165" s="158">
        <f t="shared" si="19"/>
        <v>0</v>
      </c>
      <c r="W165" s="386">
        <f t="shared" si="17"/>
        <v>70000</v>
      </c>
      <c r="X165" s="387">
        <f t="shared" si="18"/>
        <v>0</v>
      </c>
      <c r="Y165" s="305">
        <v>0</v>
      </c>
      <c r="Z165" s="305">
        <v>0</v>
      </c>
      <c r="AA165" s="38">
        <v>0</v>
      </c>
      <c r="AB165" s="16">
        <v>0</v>
      </c>
      <c r="AC165" s="16">
        <v>18931.120000000003</v>
      </c>
      <c r="AD165" s="16">
        <v>0</v>
      </c>
      <c r="AF165" s="16">
        <v>0</v>
      </c>
      <c r="AG165" s="16">
        <v>7368.33</v>
      </c>
      <c r="AH165" s="16">
        <v>0</v>
      </c>
    </row>
    <row r="166" spans="1:34">
      <c r="A166" s="27"/>
      <c r="B166" s="120"/>
      <c r="C166" s="111"/>
      <c r="D166" s="21"/>
      <c r="E166" s="21" t="s">
        <v>110</v>
      </c>
      <c r="F166" s="68" t="s">
        <v>303</v>
      </c>
      <c r="G166" s="133"/>
      <c r="H166" s="144">
        <f>'Q1 DMV - Revenue'!T157</f>
        <v>38864.789999999979</v>
      </c>
      <c r="I166" s="368">
        <v>89270.080000000002</v>
      </c>
      <c r="J166" s="205">
        <f>68886.14+25574.15</f>
        <v>94460.290000000008</v>
      </c>
      <c r="K166" s="204"/>
      <c r="L166" s="311">
        <f t="shared" si="20"/>
        <v>222595.15999999997</v>
      </c>
      <c r="M166" s="31"/>
      <c r="N166" s="84"/>
      <c r="O166" s="42">
        <f>SUM(I166+J166)/2</f>
        <v>91865.184999999998</v>
      </c>
      <c r="P166" s="31">
        <v>0</v>
      </c>
      <c r="Q166" s="382">
        <f t="shared" si="16"/>
        <v>91865.184999999998</v>
      </c>
      <c r="R166" s="178">
        <v>89692.9</v>
      </c>
      <c r="S166" s="295"/>
      <c r="T166" s="328">
        <f t="shared" si="21"/>
        <v>-2172.2850000000035</v>
      </c>
      <c r="U166" s="421">
        <v>373124.21</v>
      </c>
      <c r="V166" s="158">
        <f t="shared" si="19"/>
        <v>91865.184999999998</v>
      </c>
      <c r="W166" s="386">
        <f t="shared" si="17"/>
        <v>0</v>
      </c>
      <c r="X166" s="387">
        <f t="shared" si="18"/>
        <v>0</v>
      </c>
      <c r="Y166" s="305">
        <v>0</v>
      </c>
      <c r="Z166" s="305">
        <v>0</v>
      </c>
      <c r="AA166" s="38">
        <v>0</v>
      </c>
      <c r="AB166" s="16">
        <v>102169.52</v>
      </c>
      <c r="AC166" s="16">
        <v>0</v>
      </c>
      <c r="AD166" s="16">
        <v>0</v>
      </c>
      <c r="AF166" s="16">
        <v>150000</v>
      </c>
      <c r="AG166" s="16">
        <v>0</v>
      </c>
      <c r="AH166" s="16">
        <v>0</v>
      </c>
    </row>
    <row r="167" spans="1:34">
      <c r="A167" s="27"/>
      <c r="B167" s="120"/>
      <c r="C167" s="111"/>
      <c r="D167" s="21"/>
      <c r="E167" s="21" t="s">
        <v>110</v>
      </c>
      <c r="F167" s="68" t="s">
        <v>206</v>
      </c>
      <c r="G167" s="133"/>
      <c r="H167" s="144" t="str">
        <f>'Q1 DMV - Revenue'!T158</f>
        <v/>
      </c>
      <c r="I167" s="205">
        <f>219.36+12.65</f>
        <v>232.01000000000002</v>
      </c>
      <c r="J167" s="205">
        <f>187.29+32.4</f>
        <v>219.69</v>
      </c>
      <c r="K167" s="204"/>
      <c r="L167" s="311">
        <f t="shared" si="20"/>
        <v>451.70000000000005</v>
      </c>
      <c r="M167" s="31"/>
      <c r="N167" s="84"/>
      <c r="O167" s="42">
        <f>SUM(I167+J167)/2</f>
        <v>225.85000000000002</v>
      </c>
      <c r="P167" s="31">
        <v>0</v>
      </c>
      <c r="Q167" s="382">
        <f t="shared" si="16"/>
        <v>225.85000000000002</v>
      </c>
      <c r="R167" s="178">
        <v>181.96</v>
      </c>
      <c r="S167" s="295"/>
      <c r="T167" s="328">
        <f t="shared" si="21"/>
        <v>-43.890000000000015</v>
      </c>
      <c r="U167" s="421"/>
      <c r="V167" s="158">
        <f>IF(E167="D",Q167,0)-Y167</f>
        <v>0</v>
      </c>
      <c r="W167" s="386">
        <f t="shared" si="17"/>
        <v>0</v>
      </c>
      <c r="X167" s="387">
        <f t="shared" si="18"/>
        <v>0</v>
      </c>
      <c r="Y167" s="305">
        <f>Q167</f>
        <v>225.85000000000002</v>
      </c>
      <c r="Z167" s="305">
        <v>0</v>
      </c>
      <c r="AA167" s="38">
        <v>0</v>
      </c>
      <c r="AB167" s="16">
        <v>138.92999999999998</v>
      </c>
      <c r="AC167" s="16">
        <v>0</v>
      </c>
      <c r="AD167" s="16">
        <v>0</v>
      </c>
      <c r="AF167" s="16">
        <v>347.58</v>
      </c>
      <c r="AG167" s="16">
        <v>0</v>
      </c>
      <c r="AH167" s="16">
        <v>0</v>
      </c>
    </row>
    <row r="168" spans="1:34">
      <c r="A168" s="27"/>
      <c r="B168" s="120"/>
      <c r="C168" s="111"/>
      <c r="D168" s="21"/>
      <c r="E168" s="21" t="s">
        <v>110</v>
      </c>
      <c r="F168" s="68" t="s">
        <v>207</v>
      </c>
      <c r="G168" s="133"/>
      <c r="H168" s="144" t="str">
        <f>'Q1 DMV - Revenue'!T159</f>
        <v/>
      </c>
      <c r="I168" s="205">
        <v>2.13</v>
      </c>
      <c r="J168" s="205">
        <v>18.04</v>
      </c>
      <c r="K168" s="204"/>
      <c r="L168" s="311">
        <f t="shared" si="20"/>
        <v>20.169999999999998</v>
      </c>
      <c r="M168" s="31"/>
      <c r="N168" s="84"/>
      <c r="O168" s="42">
        <f>SUM(I168+J168)/2</f>
        <v>10.084999999999999</v>
      </c>
      <c r="P168" s="31">
        <v>0</v>
      </c>
      <c r="Q168" s="382">
        <f t="shared" si="16"/>
        <v>10.084999999999999</v>
      </c>
      <c r="R168" s="178">
        <v>2.06</v>
      </c>
      <c r="S168" s="295"/>
      <c r="T168" s="328">
        <f t="shared" si="21"/>
        <v>-8.0249999999999986</v>
      </c>
      <c r="U168" s="421"/>
      <c r="V168" s="158">
        <f t="shared" si="19"/>
        <v>10.084999999999999</v>
      </c>
      <c r="W168" s="386">
        <f t="shared" si="17"/>
        <v>0</v>
      </c>
      <c r="X168" s="387">
        <f t="shared" si="18"/>
        <v>0</v>
      </c>
      <c r="Y168" s="305">
        <v>0</v>
      </c>
      <c r="Z168" s="305">
        <v>0</v>
      </c>
      <c r="AA168" s="38">
        <v>0</v>
      </c>
      <c r="AB168" s="16">
        <v>0.25</v>
      </c>
      <c r="AC168" s="16">
        <v>0</v>
      </c>
      <c r="AD168" s="16">
        <v>0</v>
      </c>
      <c r="AF168" s="16">
        <v>0.5</v>
      </c>
      <c r="AG168" s="16">
        <v>0</v>
      </c>
      <c r="AH168" s="16">
        <v>0</v>
      </c>
    </row>
    <row r="169" spans="1:34">
      <c r="A169" s="27"/>
      <c r="B169" s="120"/>
      <c r="C169" s="111"/>
      <c r="D169" s="21"/>
      <c r="E169" s="21" t="s">
        <v>114</v>
      </c>
      <c r="F169" s="68" t="s">
        <v>241</v>
      </c>
      <c r="G169" s="133"/>
      <c r="H169" s="144">
        <v>-71000</v>
      </c>
      <c r="I169" s="340"/>
      <c r="J169" s="204"/>
      <c r="K169" s="204"/>
      <c r="L169" s="311">
        <f t="shared" si="20"/>
        <v>-71000</v>
      </c>
      <c r="M169" s="31"/>
      <c r="N169" s="84"/>
      <c r="O169" s="42">
        <f>71000+6000</f>
        <v>77000</v>
      </c>
      <c r="P169" s="31"/>
      <c r="Q169" s="382">
        <f t="shared" si="16"/>
        <v>77000</v>
      </c>
      <c r="R169" s="178">
        <v>41666</v>
      </c>
      <c r="S169" s="295"/>
      <c r="T169" s="328">
        <f t="shared" si="21"/>
        <v>-35334</v>
      </c>
      <c r="U169" s="421"/>
      <c r="V169" s="158">
        <f t="shared" si="19"/>
        <v>0</v>
      </c>
      <c r="W169" s="386">
        <f t="shared" si="17"/>
        <v>0</v>
      </c>
      <c r="X169" s="387">
        <f t="shared" si="18"/>
        <v>77000</v>
      </c>
      <c r="Y169" s="305">
        <v>0</v>
      </c>
      <c r="Z169" s="305">
        <v>0</v>
      </c>
      <c r="AA169" s="38"/>
      <c r="AB169" s="16">
        <v>0</v>
      </c>
      <c r="AC169" s="16">
        <v>0</v>
      </c>
      <c r="AD169" s="16">
        <v>-65000</v>
      </c>
      <c r="AF169" s="16">
        <v>0</v>
      </c>
      <c r="AG169" s="16">
        <v>0</v>
      </c>
      <c r="AH169" s="16">
        <v>71000</v>
      </c>
    </row>
    <row r="170" spans="1:34">
      <c r="A170" s="27"/>
      <c r="B170" s="118"/>
      <c r="C170" s="109"/>
      <c r="D170" s="20"/>
      <c r="E170" s="20" t="s">
        <v>109</v>
      </c>
      <c r="F170" s="68" t="s">
        <v>41</v>
      </c>
      <c r="G170" s="133">
        <v>3523.43</v>
      </c>
      <c r="H170" s="144">
        <f>'Q1 DMV - Revenue'!T161</f>
        <v>1499.08</v>
      </c>
      <c r="I170" s="340"/>
      <c r="J170" s="204"/>
      <c r="K170" s="204"/>
      <c r="L170" s="311">
        <f t="shared" si="20"/>
        <v>5022.51</v>
      </c>
      <c r="M170" s="31"/>
      <c r="N170" s="84"/>
      <c r="O170" s="42">
        <v>6000</v>
      </c>
      <c r="P170" s="31">
        <v>0</v>
      </c>
      <c r="Q170" s="382">
        <f t="shared" si="16"/>
        <v>6000</v>
      </c>
      <c r="R170" s="178"/>
      <c r="S170" s="295"/>
      <c r="T170" s="328" t="str">
        <f t="shared" si="21"/>
        <v/>
      </c>
      <c r="U170" s="421">
        <v>12858.57</v>
      </c>
      <c r="V170" s="158">
        <f t="shared" si="19"/>
        <v>0</v>
      </c>
      <c r="W170" s="386">
        <f t="shared" si="17"/>
        <v>6000</v>
      </c>
      <c r="X170" s="387">
        <f t="shared" si="18"/>
        <v>0</v>
      </c>
      <c r="Y170" s="305">
        <v>0</v>
      </c>
      <c r="Z170" s="305">
        <v>0</v>
      </c>
      <c r="AA170" s="38">
        <v>0</v>
      </c>
      <c r="AB170" s="16">
        <v>0</v>
      </c>
      <c r="AC170" s="16">
        <v>-5000</v>
      </c>
      <c r="AD170" s="16">
        <v>0</v>
      </c>
      <c r="AF170" s="16">
        <v>0</v>
      </c>
      <c r="AG170" s="16">
        <v>5000</v>
      </c>
      <c r="AH170" s="16">
        <v>0</v>
      </c>
    </row>
    <row r="171" spans="1:34">
      <c r="A171" s="27"/>
      <c r="B171" s="118"/>
      <c r="C171" s="109"/>
      <c r="D171" s="20"/>
      <c r="E171" s="20" t="s">
        <v>109</v>
      </c>
      <c r="F171" s="68" t="s">
        <v>221</v>
      </c>
      <c r="G171" s="133"/>
      <c r="H171" s="144">
        <f>'Q1 DMV - Revenue'!T162</f>
        <v>499.43</v>
      </c>
      <c r="I171" s="340"/>
      <c r="J171" s="204"/>
      <c r="K171" s="204"/>
      <c r="L171" s="311">
        <f t="shared" ref="L171:L223" si="22">SUM(G171:K171)</f>
        <v>499.43</v>
      </c>
      <c r="M171" s="31"/>
      <c r="N171" s="84"/>
      <c r="O171" s="42">
        <v>500</v>
      </c>
      <c r="P171" s="31">
        <v>0</v>
      </c>
      <c r="Q171" s="382">
        <f t="shared" si="16"/>
        <v>500</v>
      </c>
      <c r="R171" s="178"/>
      <c r="S171" s="295"/>
      <c r="T171" s="328" t="str">
        <f t="shared" si="21"/>
        <v/>
      </c>
      <c r="U171" s="421"/>
      <c r="V171" s="158">
        <f t="shared" si="19"/>
        <v>0</v>
      </c>
      <c r="W171" s="386">
        <f t="shared" si="17"/>
        <v>500</v>
      </c>
      <c r="X171" s="387">
        <f t="shared" si="18"/>
        <v>0</v>
      </c>
      <c r="Y171" s="305">
        <v>0</v>
      </c>
      <c r="Z171" s="305">
        <v>0</v>
      </c>
      <c r="AA171" s="38">
        <v>0</v>
      </c>
      <c r="AB171" s="16">
        <v>0</v>
      </c>
      <c r="AC171" s="16">
        <v>0</v>
      </c>
      <c r="AD171" s="16">
        <v>0</v>
      </c>
      <c r="AF171" s="16">
        <v>0</v>
      </c>
      <c r="AG171" s="16">
        <v>0</v>
      </c>
      <c r="AH171" s="16">
        <v>0</v>
      </c>
    </row>
    <row r="172" spans="1:34" s="146" customFormat="1">
      <c r="B172" s="120" t="s">
        <v>178</v>
      </c>
      <c r="C172" s="111" t="s">
        <v>177</v>
      </c>
      <c r="D172" s="21" t="s">
        <v>109</v>
      </c>
      <c r="E172" s="21" t="s">
        <v>110</v>
      </c>
      <c r="F172" s="68" t="s">
        <v>98</v>
      </c>
      <c r="G172" s="127"/>
      <c r="H172" s="144" t="str">
        <f>'Q1 DMV - Revenue'!T163</f>
        <v/>
      </c>
      <c r="I172" s="340"/>
      <c r="J172" s="204"/>
      <c r="K172" s="204"/>
      <c r="L172" s="311">
        <f t="shared" si="22"/>
        <v>0</v>
      </c>
      <c r="M172" s="31"/>
      <c r="N172" s="84"/>
      <c r="O172" s="42">
        <f>3716+1700</f>
        <v>5416</v>
      </c>
      <c r="P172" s="31">
        <v>0</v>
      </c>
      <c r="Q172" s="382">
        <f t="shared" si="16"/>
        <v>5416</v>
      </c>
      <c r="R172" s="178">
        <v>0</v>
      </c>
      <c r="S172" s="295"/>
      <c r="T172" s="328">
        <f t="shared" si="21"/>
        <v>-5416</v>
      </c>
      <c r="U172" s="421"/>
      <c r="V172" s="158">
        <f t="shared" si="19"/>
        <v>5416</v>
      </c>
      <c r="W172" s="386">
        <f t="shared" si="17"/>
        <v>0</v>
      </c>
      <c r="X172" s="387">
        <f t="shared" si="18"/>
        <v>0</v>
      </c>
      <c r="Y172" s="306">
        <v>0</v>
      </c>
      <c r="Z172" s="306">
        <v>0</v>
      </c>
      <c r="AA172" s="38">
        <v>0</v>
      </c>
      <c r="AB172" s="16">
        <v>0</v>
      </c>
      <c r="AC172" s="16">
        <v>0</v>
      </c>
      <c r="AD172" s="16">
        <v>0</v>
      </c>
      <c r="AF172" s="16">
        <v>0</v>
      </c>
      <c r="AG172" s="16">
        <v>0</v>
      </c>
      <c r="AH172" s="16">
        <v>0</v>
      </c>
    </row>
    <row r="173" spans="1:34">
      <c r="A173" s="27"/>
      <c r="B173" s="120"/>
      <c r="C173" s="111"/>
      <c r="D173" s="21"/>
      <c r="E173" s="21" t="s">
        <v>110</v>
      </c>
      <c r="F173" s="68" t="s">
        <v>43</v>
      </c>
      <c r="G173" s="133"/>
      <c r="H173" s="144">
        <f>'Q1 DMV - Revenue'!T164</f>
        <v>18.430000000000064</v>
      </c>
      <c r="I173" s="341">
        <v>986.99</v>
      </c>
      <c r="J173" s="352">
        <v>1230.97</v>
      </c>
      <c r="K173" s="205">
        <v>857.94</v>
      </c>
      <c r="L173" s="311">
        <f t="shared" si="22"/>
        <v>3094.3300000000004</v>
      </c>
      <c r="M173" s="31"/>
      <c r="N173" s="84"/>
      <c r="O173" s="42"/>
      <c r="P173" s="31">
        <v>0</v>
      </c>
      <c r="Q173" s="382">
        <f t="shared" si="16"/>
        <v>0</v>
      </c>
      <c r="R173" s="178"/>
      <c r="S173" s="295"/>
      <c r="T173" s="328" t="str">
        <f t="shared" si="21"/>
        <v/>
      </c>
      <c r="U173" s="421">
        <v>4442.3500000000004</v>
      </c>
      <c r="V173" s="158">
        <f t="shared" si="19"/>
        <v>0</v>
      </c>
      <c r="W173" s="386">
        <f t="shared" si="17"/>
        <v>0</v>
      </c>
      <c r="X173" s="387">
        <f t="shared" si="18"/>
        <v>0</v>
      </c>
      <c r="Y173" s="305">
        <v>0</v>
      </c>
      <c r="Z173" s="305">
        <v>0</v>
      </c>
      <c r="AA173" s="38">
        <v>0</v>
      </c>
      <c r="AB173" s="16">
        <v>2696.04</v>
      </c>
      <c r="AC173" s="16">
        <v>0</v>
      </c>
      <c r="AD173" s="16">
        <v>0</v>
      </c>
      <c r="AF173" s="16">
        <v>1348.02</v>
      </c>
      <c r="AG173" s="16">
        <v>0</v>
      </c>
      <c r="AH173" s="16">
        <v>0</v>
      </c>
    </row>
    <row r="174" spans="1:34">
      <c r="A174" s="27"/>
      <c r="B174" s="120"/>
      <c r="C174" s="111"/>
      <c r="D174" s="21"/>
      <c r="E174" s="21" t="s">
        <v>109</v>
      </c>
      <c r="F174" s="68" t="s">
        <v>44</v>
      </c>
      <c r="G174" s="133"/>
      <c r="H174" s="144" t="str">
        <f>'Q1 DMV - Revenue'!T165</f>
        <v/>
      </c>
      <c r="I174" s="341">
        <v>131.25</v>
      </c>
      <c r="J174" s="205">
        <v>92.5</v>
      </c>
      <c r="K174" s="352">
        <v>58.75</v>
      </c>
      <c r="L174" s="311">
        <f t="shared" si="22"/>
        <v>282.5</v>
      </c>
      <c r="M174" s="31"/>
      <c r="N174" s="84"/>
      <c r="O174" s="42"/>
      <c r="P174" s="31">
        <v>0</v>
      </c>
      <c r="Q174" s="382">
        <f t="shared" si="16"/>
        <v>0</v>
      </c>
      <c r="R174" s="178">
        <v>57.5</v>
      </c>
      <c r="S174" s="295"/>
      <c r="T174" s="328">
        <f t="shared" si="21"/>
        <v>57.5</v>
      </c>
      <c r="U174" s="421">
        <v>151.25</v>
      </c>
      <c r="V174" s="158">
        <f t="shared" si="19"/>
        <v>0</v>
      </c>
      <c r="W174" s="386">
        <f t="shared" si="17"/>
        <v>0</v>
      </c>
      <c r="X174" s="387">
        <f t="shared" si="18"/>
        <v>0</v>
      </c>
      <c r="Y174" s="305">
        <v>0</v>
      </c>
      <c r="Z174" s="305">
        <v>0</v>
      </c>
      <c r="AA174" s="38">
        <v>0</v>
      </c>
      <c r="AB174" s="16">
        <v>0</v>
      </c>
      <c r="AC174" s="16">
        <v>1376.25</v>
      </c>
      <c r="AD174" s="16">
        <v>0</v>
      </c>
      <c r="AF174" s="16">
        <v>0</v>
      </c>
      <c r="AG174" s="16">
        <v>0</v>
      </c>
      <c r="AH174" s="16">
        <v>0</v>
      </c>
    </row>
    <row r="175" spans="1:34">
      <c r="A175" s="27"/>
      <c r="B175" s="120"/>
      <c r="C175" s="111"/>
      <c r="D175" s="21"/>
      <c r="E175" s="21"/>
      <c r="F175" s="68" t="s">
        <v>388</v>
      </c>
      <c r="G175" s="133"/>
      <c r="H175" s="144"/>
      <c r="I175" s="340"/>
      <c r="J175" s="204"/>
      <c r="K175" s="204"/>
      <c r="L175" s="311">
        <f>SUM(G175:K175)</f>
        <v>0</v>
      </c>
      <c r="M175" s="31"/>
      <c r="N175" s="84"/>
      <c r="O175" s="42"/>
      <c r="P175" s="31">
        <v>0</v>
      </c>
      <c r="Q175" s="382">
        <f>N175+O175</f>
        <v>0</v>
      </c>
      <c r="R175" s="178">
        <f>407.88+1046.85</f>
        <v>1454.73</v>
      </c>
      <c r="S175" s="295"/>
      <c r="T175" s="328">
        <f>IF(R175="","",R175-Q175)</f>
        <v>1454.73</v>
      </c>
      <c r="U175" s="421"/>
      <c r="V175" s="158"/>
      <c r="W175" s="386"/>
      <c r="X175" s="387"/>
      <c r="Y175" s="305"/>
      <c r="Z175" s="305"/>
      <c r="AA175" s="38"/>
    </row>
    <row r="176" spans="1:34">
      <c r="A176" s="27"/>
      <c r="B176" s="120"/>
      <c r="C176" s="111"/>
      <c r="D176" s="21"/>
      <c r="E176" s="21" t="s">
        <v>110</v>
      </c>
      <c r="F176" s="68" t="s">
        <v>45</v>
      </c>
      <c r="G176" s="133"/>
      <c r="H176" s="144">
        <f>'Q1 DMV - Revenue'!T166</f>
        <v>-3463.5499999999993</v>
      </c>
      <c r="I176" s="341">
        <v>2833.19</v>
      </c>
      <c r="J176" s="352">
        <v>2315.7600000000002</v>
      </c>
      <c r="K176" s="204"/>
      <c r="L176" s="311">
        <f t="shared" si="22"/>
        <v>1685.400000000001</v>
      </c>
      <c r="M176" s="31"/>
      <c r="N176" s="84"/>
      <c r="O176" s="42">
        <f>SUM(I176+J176)/2</f>
        <v>2574.4750000000004</v>
      </c>
      <c r="P176" s="31">
        <v>0</v>
      </c>
      <c r="Q176" s="382">
        <f t="shared" si="16"/>
        <v>2574.4750000000004</v>
      </c>
      <c r="R176" s="178">
        <v>2809.06</v>
      </c>
      <c r="S176" s="295"/>
      <c r="T176" s="328">
        <f t="shared" si="21"/>
        <v>234.58499999999958</v>
      </c>
      <c r="U176" s="421">
        <v>26385.4</v>
      </c>
      <c r="V176" s="158">
        <f t="shared" si="19"/>
        <v>2574.4750000000004</v>
      </c>
      <c r="W176" s="386">
        <f t="shared" si="17"/>
        <v>0</v>
      </c>
      <c r="X176" s="387">
        <f t="shared" si="18"/>
        <v>0</v>
      </c>
      <c r="Y176" s="305">
        <v>0</v>
      </c>
      <c r="Z176" s="305">
        <v>0</v>
      </c>
      <c r="AA176" s="38">
        <v>0</v>
      </c>
      <c r="AB176" s="16">
        <v>0</v>
      </c>
      <c r="AC176" s="16">
        <v>0</v>
      </c>
      <c r="AD176" s="16">
        <v>0</v>
      </c>
      <c r="AF176" s="16">
        <v>11200</v>
      </c>
      <c r="AG176" s="16">
        <v>0</v>
      </c>
      <c r="AH176" s="16">
        <v>0</v>
      </c>
    </row>
    <row r="177" spans="1:34">
      <c r="A177" s="27" t="s">
        <v>217</v>
      </c>
      <c r="B177" s="118"/>
      <c r="C177" s="109"/>
      <c r="D177" s="20"/>
      <c r="E177" s="20" t="s">
        <v>110</v>
      </c>
      <c r="F177" s="68" t="s">
        <v>46</v>
      </c>
      <c r="G177" s="133"/>
      <c r="H177" s="144" t="str">
        <f>'Q1 DMV - Revenue'!T167</f>
        <v/>
      </c>
      <c r="I177" s="340"/>
      <c r="J177" s="204"/>
      <c r="K177" s="204"/>
      <c r="L177" s="311">
        <f t="shared" si="22"/>
        <v>0</v>
      </c>
      <c r="M177" s="31"/>
      <c r="N177" s="84"/>
      <c r="O177" s="42"/>
      <c r="P177" s="31">
        <v>0</v>
      </c>
      <c r="Q177" s="382">
        <f t="shared" si="16"/>
        <v>0</v>
      </c>
      <c r="R177" s="178"/>
      <c r="S177" s="295"/>
      <c r="T177" s="328" t="str">
        <f t="shared" si="21"/>
        <v/>
      </c>
      <c r="U177" s="421"/>
      <c r="V177" s="158">
        <f t="shared" si="19"/>
        <v>0</v>
      </c>
      <c r="W177" s="386">
        <f t="shared" si="17"/>
        <v>0</v>
      </c>
      <c r="X177" s="387">
        <f t="shared" si="18"/>
        <v>0</v>
      </c>
      <c r="Y177" s="305">
        <v>0</v>
      </c>
      <c r="Z177" s="305">
        <v>0</v>
      </c>
      <c r="AA177" s="38">
        <v>0</v>
      </c>
      <c r="AB177" s="16">
        <v>0</v>
      </c>
      <c r="AC177" s="16">
        <v>0</v>
      </c>
      <c r="AD177" s="16">
        <v>0</v>
      </c>
      <c r="AF177" s="16">
        <v>0</v>
      </c>
      <c r="AG177" s="16">
        <v>0</v>
      </c>
      <c r="AH177" s="16">
        <v>0</v>
      </c>
    </row>
    <row r="178" spans="1:34">
      <c r="A178" s="27"/>
      <c r="B178" s="120"/>
      <c r="C178" s="111"/>
      <c r="D178" s="21"/>
      <c r="E178" s="21" t="s">
        <v>109</v>
      </c>
      <c r="F178" s="68" t="s">
        <v>47</v>
      </c>
      <c r="G178" s="133"/>
      <c r="H178" s="144" t="str">
        <f>'Q1 DMV - Revenue'!T168</f>
        <v/>
      </c>
      <c r="I178" s="341">
        <v>9569.25</v>
      </c>
      <c r="J178" s="205">
        <v>9287.19</v>
      </c>
      <c r="K178" s="352">
        <v>7233.09</v>
      </c>
      <c r="L178" s="311">
        <f t="shared" si="22"/>
        <v>26089.530000000002</v>
      </c>
      <c r="M178" s="31"/>
      <c r="N178" s="84"/>
      <c r="O178" s="42"/>
      <c r="P178" s="31">
        <v>0</v>
      </c>
      <c r="Q178" s="382">
        <f t="shared" si="16"/>
        <v>0</v>
      </c>
      <c r="R178" s="178"/>
      <c r="S178" s="295"/>
      <c r="T178" s="328" t="str">
        <f t="shared" si="21"/>
        <v/>
      </c>
      <c r="U178" s="421">
        <v>26089.53</v>
      </c>
      <c r="V178" s="158">
        <f t="shared" si="19"/>
        <v>0</v>
      </c>
      <c r="W178" s="386">
        <f t="shared" si="17"/>
        <v>0</v>
      </c>
      <c r="X178" s="387">
        <f t="shared" si="18"/>
        <v>0</v>
      </c>
      <c r="Y178" s="305">
        <v>0</v>
      </c>
      <c r="Z178" s="305">
        <v>0</v>
      </c>
      <c r="AA178" s="38">
        <v>0</v>
      </c>
      <c r="AB178" s="16">
        <v>0</v>
      </c>
      <c r="AC178" s="16">
        <v>32894.33</v>
      </c>
      <c r="AD178" s="16">
        <v>0</v>
      </c>
      <c r="AF178" s="16">
        <v>0</v>
      </c>
      <c r="AG178" s="16">
        <v>0</v>
      </c>
      <c r="AH178" s="16">
        <v>0</v>
      </c>
    </row>
    <row r="179" spans="1:34">
      <c r="A179" s="27"/>
      <c r="B179" s="118"/>
      <c r="C179" s="109"/>
      <c r="D179" s="20" t="s">
        <v>211</v>
      </c>
      <c r="E179" s="20" t="s">
        <v>109</v>
      </c>
      <c r="F179" s="68" t="s">
        <v>233</v>
      </c>
      <c r="G179" s="133"/>
      <c r="H179" s="144">
        <f>'Q1 DMV - Revenue'!T169</f>
        <v>-548.36000000000013</v>
      </c>
      <c r="I179" s="341">
        <v>1055.93</v>
      </c>
      <c r="J179" s="352">
        <v>916.86</v>
      </c>
      <c r="K179" s="205">
        <v>723.77</v>
      </c>
      <c r="L179" s="311">
        <f t="shared" si="22"/>
        <v>2148.1999999999998</v>
      </c>
      <c r="M179" s="2"/>
      <c r="N179" s="336"/>
      <c r="O179" s="42"/>
      <c r="P179" s="31">
        <v>0</v>
      </c>
      <c r="Q179" s="382">
        <f t="shared" si="16"/>
        <v>0</v>
      </c>
      <c r="R179" s="178"/>
      <c r="S179" s="295"/>
      <c r="T179" s="328" t="str">
        <f t="shared" si="21"/>
        <v/>
      </c>
      <c r="U179" s="421">
        <v>3804.1</v>
      </c>
      <c r="V179" s="158">
        <f t="shared" si="19"/>
        <v>0</v>
      </c>
      <c r="W179" s="386">
        <f t="shared" si="17"/>
        <v>0</v>
      </c>
      <c r="X179" s="387">
        <f t="shared" si="18"/>
        <v>0</v>
      </c>
      <c r="Y179" s="305">
        <v>0</v>
      </c>
      <c r="Z179" s="305">
        <v>0</v>
      </c>
      <c r="AA179" s="38">
        <v>0</v>
      </c>
      <c r="AB179" s="16">
        <v>0</v>
      </c>
      <c r="AC179" s="16">
        <v>3311.8</v>
      </c>
      <c r="AD179" s="16">
        <v>0</v>
      </c>
      <c r="AF179" s="16">
        <v>0</v>
      </c>
      <c r="AG179" s="16">
        <v>1655.9</v>
      </c>
      <c r="AH179" s="16">
        <v>0</v>
      </c>
    </row>
    <row r="180" spans="1:34">
      <c r="A180" s="27"/>
      <c r="B180" s="118"/>
      <c r="C180" s="109"/>
      <c r="D180" s="20" t="s">
        <v>211</v>
      </c>
      <c r="E180" s="20" t="s">
        <v>109</v>
      </c>
      <c r="F180" s="68" t="s">
        <v>48</v>
      </c>
      <c r="G180" s="133"/>
      <c r="H180" s="144" t="str">
        <f>'Q1 DMV - Revenue'!T171</f>
        <v/>
      </c>
      <c r="I180" s="340"/>
      <c r="J180" s="204"/>
      <c r="K180" s="204"/>
      <c r="L180" s="311">
        <f t="shared" si="22"/>
        <v>0</v>
      </c>
      <c r="M180" s="2"/>
      <c r="N180" s="336"/>
      <c r="O180" s="42"/>
      <c r="P180" s="31">
        <v>0</v>
      </c>
      <c r="Q180" s="382">
        <f t="shared" si="16"/>
        <v>0</v>
      </c>
      <c r="R180" s="178"/>
      <c r="S180" s="295"/>
      <c r="T180" s="328" t="str">
        <f t="shared" si="21"/>
        <v/>
      </c>
      <c r="U180" s="421"/>
      <c r="V180" s="158">
        <f t="shared" si="19"/>
        <v>0</v>
      </c>
      <c r="W180" s="386">
        <f t="shared" si="17"/>
        <v>0</v>
      </c>
      <c r="X180" s="387">
        <f t="shared" si="18"/>
        <v>0</v>
      </c>
      <c r="Y180" s="305">
        <v>0</v>
      </c>
      <c r="Z180" s="305">
        <v>0</v>
      </c>
      <c r="AA180" s="38">
        <v>0</v>
      </c>
      <c r="AB180" s="16">
        <v>0</v>
      </c>
      <c r="AC180" s="16">
        <v>0</v>
      </c>
      <c r="AD180" s="16">
        <v>0</v>
      </c>
      <c r="AF180" s="16">
        <v>0</v>
      </c>
      <c r="AG180" s="16">
        <v>400</v>
      </c>
      <c r="AH180" s="16">
        <v>0</v>
      </c>
    </row>
    <row r="181" spans="1:34">
      <c r="A181" s="27"/>
      <c r="B181" s="118"/>
      <c r="C181" s="109"/>
      <c r="D181" s="20"/>
      <c r="E181" s="20" t="s">
        <v>110</v>
      </c>
      <c r="F181" s="68" t="s">
        <v>102</v>
      </c>
      <c r="G181" s="133"/>
      <c r="H181" s="144">
        <f>'Q1 DMV - Revenue'!T172</f>
        <v>34194.210000000006</v>
      </c>
      <c r="I181" s="341">
        <v>143540.71</v>
      </c>
      <c r="J181" s="407">
        <v>0</v>
      </c>
      <c r="K181" s="204"/>
      <c r="L181" s="311">
        <f t="shared" si="22"/>
        <v>177734.91999999998</v>
      </c>
      <c r="M181" s="2"/>
      <c r="N181" s="336">
        <f>127500*1.2</f>
        <v>153000</v>
      </c>
      <c r="O181" s="42">
        <v>164624</v>
      </c>
      <c r="P181" s="31">
        <v>0</v>
      </c>
      <c r="Q181" s="382">
        <f t="shared" si="16"/>
        <v>317624</v>
      </c>
      <c r="R181" s="178">
        <f>153213.83+155916.59</f>
        <v>309130.42</v>
      </c>
      <c r="S181" s="295"/>
      <c r="T181" s="328">
        <f t="shared" si="21"/>
        <v>-8493.5800000000163</v>
      </c>
      <c r="U181" s="421">
        <v>382327.17</v>
      </c>
      <c r="V181" s="158">
        <f t="shared" si="19"/>
        <v>317624</v>
      </c>
      <c r="W181" s="386">
        <f t="shared" si="17"/>
        <v>0</v>
      </c>
      <c r="X181" s="387">
        <f t="shared" si="18"/>
        <v>0</v>
      </c>
      <c r="Y181" s="305">
        <v>0</v>
      </c>
      <c r="Z181" s="305">
        <v>0</v>
      </c>
      <c r="AA181" s="38">
        <v>0</v>
      </c>
      <c r="AB181" s="16">
        <v>260860.42</v>
      </c>
      <c r="AC181" s="16">
        <v>0</v>
      </c>
      <c r="AD181" s="16">
        <v>0</v>
      </c>
      <c r="AF181" s="16">
        <v>130430.21</v>
      </c>
      <c r="AG181" s="16">
        <v>0</v>
      </c>
      <c r="AH181" s="16">
        <v>0</v>
      </c>
    </row>
    <row r="182" spans="1:34">
      <c r="A182" s="27"/>
      <c r="B182" s="120"/>
      <c r="C182" s="111"/>
      <c r="D182" s="21"/>
      <c r="E182" s="21" t="s">
        <v>110</v>
      </c>
      <c r="F182" s="68" t="s">
        <v>50</v>
      </c>
      <c r="G182" s="133"/>
      <c r="H182" s="144" t="str">
        <f>'Q1 DMV - Revenue'!T173</f>
        <v/>
      </c>
      <c r="I182" s="341">
        <v>1165.32</v>
      </c>
      <c r="J182" s="205">
        <v>1110.01</v>
      </c>
      <c r="K182" s="205">
        <v>1214.76</v>
      </c>
      <c r="L182" s="311">
        <f t="shared" si="22"/>
        <v>3490.09</v>
      </c>
      <c r="M182" s="31"/>
      <c r="N182" s="84"/>
      <c r="O182" s="42"/>
      <c r="P182" s="31">
        <v>0</v>
      </c>
      <c r="Q182" s="382">
        <f t="shared" si="16"/>
        <v>0</v>
      </c>
      <c r="R182" s="178"/>
      <c r="S182" s="295"/>
      <c r="T182" s="328" t="str">
        <f t="shared" si="21"/>
        <v/>
      </c>
      <c r="U182" s="421">
        <v>3490.09</v>
      </c>
      <c r="V182" s="158">
        <f t="shared" si="19"/>
        <v>0</v>
      </c>
      <c r="W182" s="386">
        <f t="shared" si="17"/>
        <v>0</v>
      </c>
      <c r="X182" s="387">
        <f t="shared" si="18"/>
        <v>0</v>
      </c>
      <c r="Y182" s="305">
        <v>0</v>
      </c>
      <c r="Z182" s="305">
        <v>0</v>
      </c>
      <c r="AA182" s="38">
        <v>0</v>
      </c>
      <c r="AB182" s="16">
        <v>3909.5</v>
      </c>
      <c r="AC182" s="16">
        <v>0</v>
      </c>
      <c r="AD182" s="16">
        <v>0</v>
      </c>
      <c r="AF182" s="16">
        <v>0</v>
      </c>
      <c r="AG182" s="16">
        <v>0</v>
      </c>
      <c r="AH182" s="16">
        <v>0</v>
      </c>
    </row>
    <row r="183" spans="1:34">
      <c r="A183" s="27" t="s">
        <v>217</v>
      </c>
      <c r="B183" s="120"/>
      <c r="C183" s="111"/>
      <c r="D183" s="21"/>
      <c r="E183" s="21" t="s">
        <v>109</v>
      </c>
      <c r="F183" s="68" t="s">
        <v>51</v>
      </c>
      <c r="G183" s="133"/>
      <c r="H183" s="144">
        <v>-15000</v>
      </c>
      <c r="I183" s="340"/>
      <c r="J183" s="204"/>
      <c r="K183" s="204"/>
      <c r="L183" s="311">
        <f t="shared" si="22"/>
        <v>-15000</v>
      </c>
      <c r="M183" s="31"/>
      <c r="N183" s="84"/>
      <c r="O183" s="42">
        <v>200</v>
      </c>
      <c r="P183" s="31">
        <v>0</v>
      </c>
      <c r="Q183" s="382">
        <f t="shared" si="16"/>
        <v>200</v>
      </c>
      <c r="R183" s="178"/>
      <c r="S183" s="295"/>
      <c r="T183" s="328" t="str">
        <f t="shared" si="21"/>
        <v/>
      </c>
      <c r="U183" s="421"/>
      <c r="V183" s="158">
        <f t="shared" si="19"/>
        <v>0</v>
      </c>
      <c r="W183" s="386">
        <f t="shared" si="17"/>
        <v>200</v>
      </c>
      <c r="X183" s="387">
        <f t="shared" si="18"/>
        <v>0</v>
      </c>
      <c r="Y183" s="305">
        <v>0</v>
      </c>
      <c r="Z183" s="305">
        <v>0</v>
      </c>
      <c r="AA183" s="38">
        <v>0</v>
      </c>
      <c r="AB183" s="16">
        <v>0</v>
      </c>
      <c r="AC183" s="16">
        <v>0</v>
      </c>
      <c r="AD183" s="16">
        <v>0</v>
      </c>
      <c r="AF183" s="16">
        <v>0</v>
      </c>
      <c r="AG183" s="16">
        <v>15000</v>
      </c>
      <c r="AH183" s="16">
        <v>0</v>
      </c>
    </row>
    <row r="184" spans="1:34">
      <c r="A184" s="27"/>
      <c r="B184" s="120"/>
      <c r="C184" s="111"/>
      <c r="D184" s="21"/>
      <c r="E184" s="21" t="s">
        <v>109</v>
      </c>
      <c r="F184" s="68" t="s">
        <v>107</v>
      </c>
      <c r="G184" s="133">
        <v>0</v>
      </c>
      <c r="H184" s="144">
        <f>'Q1 DMV - Revenue'!T175</f>
        <v>2262.06</v>
      </c>
      <c r="I184" s="341">
        <v>3588.43</v>
      </c>
      <c r="J184" s="205">
        <v>3539.11</v>
      </c>
      <c r="K184" s="205">
        <v>433.62</v>
      </c>
      <c r="L184" s="311">
        <f t="shared" si="22"/>
        <v>9823.2200000000012</v>
      </c>
      <c r="M184" s="31"/>
      <c r="N184" s="84"/>
      <c r="O184" s="42">
        <v>8500</v>
      </c>
      <c r="P184" s="31">
        <v>-18700</v>
      </c>
      <c r="Q184" s="382">
        <f t="shared" si="16"/>
        <v>8500</v>
      </c>
      <c r="R184" s="178">
        <f>4318.24+7561.16</f>
        <v>11879.4</v>
      </c>
      <c r="S184" s="295"/>
      <c r="T184" s="328">
        <f t="shared" si="21"/>
        <v>3379.3999999999996</v>
      </c>
      <c r="U184" s="421">
        <v>2262.06</v>
      </c>
      <c r="V184" s="158">
        <f t="shared" si="19"/>
        <v>0</v>
      </c>
      <c r="W184" s="386">
        <f t="shared" si="17"/>
        <v>8500</v>
      </c>
      <c r="X184" s="387">
        <f t="shared" si="18"/>
        <v>0</v>
      </c>
      <c r="Y184" s="305">
        <v>0</v>
      </c>
      <c r="Z184" s="305">
        <v>0</v>
      </c>
      <c r="AA184" s="38">
        <v>0</v>
      </c>
      <c r="AB184" s="16">
        <v>0</v>
      </c>
      <c r="AC184" s="16">
        <v>6593.2899999999972</v>
      </c>
      <c r="AD184" s="16">
        <v>0</v>
      </c>
      <c r="AF184" s="16">
        <v>0</v>
      </c>
      <c r="AG184" s="16">
        <v>0</v>
      </c>
      <c r="AH184" s="16">
        <v>0</v>
      </c>
    </row>
    <row r="185" spans="1:34">
      <c r="A185" s="27"/>
      <c r="B185" s="118"/>
      <c r="C185" s="109"/>
      <c r="D185" s="20"/>
      <c r="E185" s="20" t="s">
        <v>109</v>
      </c>
      <c r="F185" s="68" t="s">
        <v>156</v>
      </c>
      <c r="G185" s="133"/>
      <c r="H185" s="144" t="str">
        <f>'Q1 DMV - Revenue'!T176</f>
        <v/>
      </c>
      <c r="I185" s="341">
        <v>849.35</v>
      </c>
      <c r="J185" s="352">
        <v>752.01</v>
      </c>
      <c r="K185" s="352">
        <v>646.01</v>
      </c>
      <c r="L185" s="311">
        <f t="shared" si="22"/>
        <v>2247.37</v>
      </c>
      <c r="M185" s="31"/>
      <c r="N185" s="84"/>
      <c r="O185" s="42"/>
      <c r="P185" s="31">
        <v>0</v>
      </c>
      <c r="Q185" s="382">
        <f t="shared" si="16"/>
        <v>0</v>
      </c>
      <c r="R185" s="178"/>
      <c r="S185" s="295"/>
      <c r="T185" s="328" t="str">
        <f t="shared" si="21"/>
        <v/>
      </c>
      <c r="U185" s="421">
        <v>23147.360000000001</v>
      </c>
      <c r="V185" s="158">
        <f t="shared" si="19"/>
        <v>0</v>
      </c>
      <c r="W185" s="386">
        <f t="shared" si="17"/>
        <v>0</v>
      </c>
      <c r="X185" s="387">
        <f t="shared" si="18"/>
        <v>0</v>
      </c>
      <c r="Y185" s="305">
        <v>0</v>
      </c>
      <c r="Z185" s="305">
        <v>0</v>
      </c>
      <c r="AA185" s="38">
        <v>0</v>
      </c>
      <c r="AB185" s="16">
        <v>0</v>
      </c>
      <c r="AC185" s="16">
        <v>1513.63</v>
      </c>
      <c r="AD185" s="16">
        <v>0</v>
      </c>
      <c r="AF185" s="16">
        <v>0</v>
      </c>
      <c r="AG185" s="16">
        <v>0</v>
      </c>
      <c r="AH185" s="16">
        <v>0</v>
      </c>
    </row>
    <row r="186" spans="1:34">
      <c r="A186" s="27"/>
      <c r="B186" s="118"/>
      <c r="C186" s="109"/>
      <c r="D186" s="20"/>
      <c r="E186" s="20" t="s">
        <v>109</v>
      </c>
      <c r="F186" s="68" t="s">
        <v>157</v>
      </c>
      <c r="G186" s="133"/>
      <c r="H186" s="144" t="str">
        <f>'Q1 DMV - Revenue'!T177</f>
        <v/>
      </c>
      <c r="I186" s="341">
        <v>3564.24</v>
      </c>
      <c r="J186" s="352">
        <v>3044.27</v>
      </c>
      <c r="K186" s="352">
        <v>2972.79</v>
      </c>
      <c r="L186" s="311">
        <f t="shared" si="22"/>
        <v>9581.2999999999993</v>
      </c>
      <c r="M186" s="31"/>
      <c r="N186" s="84"/>
      <c r="O186" s="42"/>
      <c r="P186" s="31">
        <v>0</v>
      </c>
      <c r="Q186" s="382">
        <f t="shared" si="16"/>
        <v>0</v>
      </c>
      <c r="R186" s="178"/>
      <c r="S186" s="295"/>
      <c r="T186" s="328" t="str">
        <f t="shared" si="21"/>
        <v/>
      </c>
      <c r="U186" s="421"/>
      <c r="V186" s="158">
        <f t="shared" si="19"/>
        <v>0</v>
      </c>
      <c r="W186" s="386">
        <f t="shared" si="17"/>
        <v>0</v>
      </c>
      <c r="X186" s="387">
        <f t="shared" si="18"/>
        <v>0</v>
      </c>
      <c r="Y186" s="305">
        <v>0</v>
      </c>
      <c r="Z186" s="305">
        <v>0</v>
      </c>
      <c r="AA186" s="38">
        <v>0</v>
      </c>
      <c r="AB186" s="16">
        <v>0</v>
      </c>
      <c r="AC186" s="16">
        <v>10969.23</v>
      </c>
      <c r="AD186" s="16">
        <v>0</v>
      </c>
      <c r="AF186" s="16">
        <v>0</v>
      </c>
      <c r="AG186" s="16">
        <v>0</v>
      </c>
      <c r="AH186" s="16">
        <v>0</v>
      </c>
    </row>
    <row r="187" spans="1:34">
      <c r="A187" s="27"/>
      <c r="B187" s="118"/>
      <c r="C187" s="109"/>
      <c r="D187" s="20"/>
      <c r="E187" s="20" t="s">
        <v>109</v>
      </c>
      <c r="F187" s="68" t="s">
        <v>158</v>
      </c>
      <c r="G187" s="133"/>
      <c r="H187" s="144" t="str">
        <f>'Q1 DMV - Revenue'!T178</f>
        <v/>
      </c>
      <c r="I187" s="341">
        <v>3935.84</v>
      </c>
      <c r="J187" s="352">
        <v>3531.87</v>
      </c>
      <c r="K187" s="352">
        <v>3850.99</v>
      </c>
      <c r="L187" s="311">
        <f t="shared" si="22"/>
        <v>11318.7</v>
      </c>
      <c r="M187" s="31"/>
      <c r="N187" s="84"/>
      <c r="O187" s="42"/>
      <c r="P187" s="31">
        <v>0</v>
      </c>
      <c r="Q187" s="382">
        <f t="shared" si="16"/>
        <v>0</v>
      </c>
      <c r="R187" s="178"/>
      <c r="S187" s="295"/>
      <c r="T187" s="328" t="str">
        <f t="shared" si="21"/>
        <v/>
      </c>
      <c r="U187" s="421"/>
      <c r="V187" s="158">
        <f t="shared" si="19"/>
        <v>0</v>
      </c>
      <c r="W187" s="386">
        <f t="shared" si="17"/>
        <v>0</v>
      </c>
      <c r="X187" s="387">
        <f t="shared" si="18"/>
        <v>0</v>
      </c>
      <c r="Y187" s="305">
        <v>0</v>
      </c>
      <c r="Z187" s="305">
        <v>0</v>
      </c>
      <c r="AA187" s="38">
        <v>0</v>
      </c>
      <c r="AB187" s="16">
        <v>0</v>
      </c>
      <c r="AC187" s="16">
        <v>9240.380000000001</v>
      </c>
      <c r="AD187" s="16">
        <v>0</v>
      </c>
      <c r="AF187" s="16">
        <v>0</v>
      </c>
      <c r="AG187" s="16">
        <v>0</v>
      </c>
      <c r="AH187" s="16">
        <v>0</v>
      </c>
    </row>
    <row r="188" spans="1:34">
      <c r="A188" s="29"/>
      <c r="B188" s="120"/>
      <c r="C188" s="111"/>
      <c r="D188" s="21" t="s">
        <v>97</v>
      </c>
      <c r="E188" s="21" t="s">
        <v>109</v>
      </c>
      <c r="F188" s="68" t="s">
        <v>52</v>
      </c>
      <c r="G188" s="133">
        <f>30.76+19.87</f>
        <v>50.63</v>
      </c>
      <c r="H188" s="144">
        <f>'Q1 DMV - Revenue'!T179</f>
        <v>61.489999999999995</v>
      </c>
      <c r="I188" s="341">
        <v>14.98</v>
      </c>
      <c r="J188" s="204"/>
      <c r="K188" s="204"/>
      <c r="L188" s="311">
        <f t="shared" si="22"/>
        <v>127.10000000000001</v>
      </c>
      <c r="M188" s="31"/>
      <c r="N188" s="84"/>
      <c r="O188" s="42">
        <f>I188*2</f>
        <v>29.96</v>
      </c>
      <c r="P188" s="31">
        <v>0</v>
      </c>
      <c r="Q188" s="382">
        <f t="shared" si="16"/>
        <v>29.96</v>
      </c>
      <c r="R188" s="178">
        <f>9.51+5.94</f>
        <v>15.45</v>
      </c>
      <c r="S188" s="295"/>
      <c r="T188" s="328">
        <f t="shared" si="21"/>
        <v>-14.510000000000002</v>
      </c>
      <c r="U188" s="421">
        <v>127.1</v>
      </c>
      <c r="V188" s="158">
        <f t="shared" si="19"/>
        <v>0</v>
      </c>
      <c r="W188" s="386">
        <f t="shared" si="17"/>
        <v>29.96</v>
      </c>
      <c r="X188" s="387">
        <f t="shared" si="18"/>
        <v>0</v>
      </c>
      <c r="Y188" s="305">
        <v>0</v>
      </c>
      <c r="Z188" s="305">
        <v>0</v>
      </c>
      <c r="AA188" s="38">
        <v>0</v>
      </c>
      <c r="AB188" s="16">
        <v>0</v>
      </c>
      <c r="AC188" s="16">
        <v>0</v>
      </c>
      <c r="AD188" s="16">
        <v>0</v>
      </c>
      <c r="AF188" s="16">
        <v>0</v>
      </c>
      <c r="AG188" s="16">
        <v>0</v>
      </c>
      <c r="AH188" s="16">
        <v>0</v>
      </c>
    </row>
    <row r="189" spans="1:34">
      <c r="A189" s="27"/>
      <c r="B189" s="120"/>
      <c r="C189" s="111"/>
      <c r="D189" s="21"/>
      <c r="E189" s="21" t="s">
        <v>109</v>
      </c>
      <c r="F189" s="68" t="s">
        <v>53</v>
      </c>
      <c r="G189" s="133"/>
      <c r="H189" s="144">
        <f>'Q1 DMV - Revenue'!T180</f>
        <v>-542.85500000000138</v>
      </c>
      <c r="I189" s="341">
        <v>8529.2800000000007</v>
      </c>
      <c r="J189" s="352">
        <v>7688.44</v>
      </c>
      <c r="K189" s="352">
        <v>7275.67</v>
      </c>
      <c r="L189" s="311">
        <f t="shared" si="22"/>
        <v>22950.534999999996</v>
      </c>
      <c r="M189" s="31"/>
      <c r="N189" s="84"/>
      <c r="O189" s="42"/>
      <c r="P189" s="31">
        <v>0</v>
      </c>
      <c r="Q189" s="382">
        <f t="shared" si="16"/>
        <v>0</v>
      </c>
      <c r="R189" s="178"/>
      <c r="S189" s="295"/>
      <c r="T189" s="328" t="str">
        <f t="shared" si="21"/>
        <v/>
      </c>
      <c r="U189" s="421">
        <v>32486.86</v>
      </c>
      <c r="V189" s="158">
        <f t="shared" si="19"/>
        <v>0</v>
      </c>
      <c r="W189" s="386">
        <f t="shared" si="17"/>
        <v>0</v>
      </c>
      <c r="X189" s="387">
        <f t="shared" si="18"/>
        <v>0</v>
      </c>
      <c r="Y189" s="305">
        <v>0</v>
      </c>
      <c r="Z189" s="305">
        <v>0</v>
      </c>
      <c r="AA189" s="38">
        <v>0</v>
      </c>
      <c r="AB189" s="16">
        <v>0</v>
      </c>
      <c r="AC189" s="16">
        <v>19072.650000000001</v>
      </c>
      <c r="AD189" s="16">
        <v>0</v>
      </c>
      <c r="AF189" s="16">
        <v>0</v>
      </c>
      <c r="AG189" s="16">
        <v>9536.3250000000007</v>
      </c>
      <c r="AH189" s="16">
        <v>0</v>
      </c>
    </row>
    <row r="190" spans="1:34">
      <c r="A190" s="27"/>
      <c r="B190" s="118"/>
      <c r="C190" s="109"/>
      <c r="D190" s="20"/>
      <c r="E190" s="20" t="s">
        <v>109</v>
      </c>
      <c r="F190" s="68" t="s">
        <v>54</v>
      </c>
      <c r="G190" s="133"/>
      <c r="H190" s="144" t="str">
        <f>'Q1 DMV - Revenue'!T181</f>
        <v/>
      </c>
      <c r="I190" s="340"/>
      <c r="J190" s="204"/>
      <c r="K190" s="204"/>
      <c r="L190" s="311">
        <f t="shared" si="22"/>
        <v>0</v>
      </c>
      <c r="M190" s="31"/>
      <c r="N190" s="84"/>
      <c r="O190" s="42"/>
      <c r="P190" s="31">
        <v>0</v>
      </c>
      <c r="Q190" s="382">
        <f t="shared" si="16"/>
        <v>0</v>
      </c>
      <c r="R190" s="178">
        <v>3493.8</v>
      </c>
      <c r="S190" s="295"/>
      <c r="T190" s="328">
        <f t="shared" si="21"/>
        <v>3493.8</v>
      </c>
      <c r="U190" s="421"/>
      <c r="V190" s="158">
        <f t="shared" si="19"/>
        <v>0</v>
      </c>
      <c r="W190" s="386">
        <f t="shared" si="17"/>
        <v>0</v>
      </c>
      <c r="X190" s="387">
        <f t="shared" si="18"/>
        <v>0</v>
      </c>
      <c r="Y190" s="305">
        <v>0</v>
      </c>
      <c r="Z190" s="305">
        <v>0</v>
      </c>
      <c r="AA190" s="38">
        <v>0</v>
      </c>
      <c r="AB190" s="16">
        <v>0</v>
      </c>
      <c r="AC190" s="16">
        <v>0</v>
      </c>
      <c r="AD190" s="16">
        <v>0</v>
      </c>
      <c r="AF190" s="16">
        <v>0</v>
      </c>
      <c r="AG190" s="16">
        <v>0</v>
      </c>
      <c r="AH190" s="16">
        <v>0</v>
      </c>
    </row>
    <row r="191" spans="1:34">
      <c r="A191" s="27"/>
      <c r="B191" s="118"/>
      <c r="C191" s="109"/>
      <c r="D191" s="20"/>
      <c r="E191" s="20" t="s">
        <v>110</v>
      </c>
      <c r="F191" s="68" t="s">
        <v>55</v>
      </c>
      <c r="G191" s="133"/>
      <c r="H191" s="144" t="str">
        <f>'Q1 DMV - Revenue'!T182</f>
        <v/>
      </c>
      <c r="I191" s="341">
        <v>892.47</v>
      </c>
      <c r="J191" s="205">
        <v>674.27</v>
      </c>
      <c r="K191" s="352">
        <v>598.66</v>
      </c>
      <c r="L191" s="311">
        <f t="shared" si="22"/>
        <v>2165.4</v>
      </c>
      <c r="M191" s="31"/>
      <c r="N191" s="84"/>
      <c r="O191" s="42"/>
      <c r="P191" s="31">
        <v>0</v>
      </c>
      <c r="Q191" s="382">
        <f t="shared" si="16"/>
        <v>0</v>
      </c>
      <c r="R191" s="178"/>
      <c r="S191" s="295"/>
      <c r="T191" s="328" t="str">
        <f t="shared" si="21"/>
        <v/>
      </c>
      <c r="U191" s="421">
        <v>2165.4</v>
      </c>
      <c r="V191" s="158">
        <f t="shared" si="19"/>
        <v>0</v>
      </c>
      <c r="W191" s="386">
        <f t="shared" si="17"/>
        <v>0</v>
      </c>
      <c r="X191" s="387">
        <f t="shared" si="18"/>
        <v>0</v>
      </c>
      <c r="Y191" s="305">
        <v>0</v>
      </c>
      <c r="Z191" s="305">
        <v>0</v>
      </c>
      <c r="AA191" s="38">
        <v>0</v>
      </c>
      <c r="AB191" s="16">
        <v>2518.7600000000002</v>
      </c>
      <c r="AC191" s="16">
        <v>0</v>
      </c>
      <c r="AD191" s="16">
        <v>0</v>
      </c>
      <c r="AF191" s="16">
        <v>630.46500000000003</v>
      </c>
      <c r="AG191" s="16">
        <v>0</v>
      </c>
      <c r="AH191" s="16">
        <v>0</v>
      </c>
    </row>
    <row r="192" spans="1:34">
      <c r="A192" s="27"/>
      <c r="B192" s="120"/>
      <c r="C192" s="111" t="s">
        <v>176</v>
      </c>
      <c r="D192" s="21" t="s">
        <v>97</v>
      </c>
      <c r="E192" s="21" t="s">
        <v>110</v>
      </c>
      <c r="F192" s="68" t="s">
        <v>175</v>
      </c>
      <c r="G192" s="133"/>
      <c r="H192" s="144" t="str">
        <f>'Q1 DMV - Revenue'!T183</f>
        <v/>
      </c>
      <c r="I192" s="354">
        <v>4715.95</v>
      </c>
      <c r="J192" s="204"/>
      <c r="K192" s="204"/>
      <c r="L192" s="311">
        <f t="shared" si="22"/>
        <v>4715.95</v>
      </c>
      <c r="M192" s="31"/>
      <c r="N192" s="84"/>
      <c r="O192" s="42">
        <f>I192*2</f>
        <v>9431.9</v>
      </c>
      <c r="P192" s="31">
        <v>0</v>
      </c>
      <c r="Q192" s="382">
        <f t="shared" si="16"/>
        <v>9431.9</v>
      </c>
      <c r="R192" s="178"/>
      <c r="S192" s="295"/>
      <c r="T192" s="328" t="str">
        <f t="shared" si="21"/>
        <v/>
      </c>
      <c r="U192" s="421">
        <v>4715.95</v>
      </c>
      <c r="V192" s="158">
        <f t="shared" si="19"/>
        <v>9431.9</v>
      </c>
      <c r="W192" s="386">
        <f t="shared" si="17"/>
        <v>0</v>
      </c>
      <c r="X192" s="387">
        <f t="shared" si="18"/>
        <v>0</v>
      </c>
      <c r="Y192" s="305">
        <v>0</v>
      </c>
      <c r="Z192" s="305">
        <v>0</v>
      </c>
      <c r="AA192" s="38">
        <v>0</v>
      </c>
      <c r="AB192" s="16">
        <v>0</v>
      </c>
      <c r="AC192" s="16">
        <v>0</v>
      </c>
      <c r="AD192" s="16">
        <v>0</v>
      </c>
      <c r="AF192" s="16">
        <v>0</v>
      </c>
      <c r="AG192" s="16">
        <v>0</v>
      </c>
      <c r="AH192" s="16">
        <v>0</v>
      </c>
    </row>
    <row r="193" spans="1:34">
      <c r="A193" s="27"/>
      <c r="B193" s="118"/>
      <c r="C193" s="109"/>
      <c r="D193" s="20" t="s">
        <v>211</v>
      </c>
      <c r="E193" s="20" t="s">
        <v>109</v>
      </c>
      <c r="F193" s="68" t="s">
        <v>56</v>
      </c>
      <c r="G193" s="133"/>
      <c r="H193" s="144" t="str">
        <f>'Q1 DMV - Revenue'!T184</f>
        <v/>
      </c>
      <c r="I193" s="340"/>
      <c r="J193" s="204"/>
      <c r="K193" s="204"/>
      <c r="L193" s="311">
        <f t="shared" si="22"/>
        <v>0</v>
      </c>
      <c r="M193" s="2"/>
      <c r="N193" s="336"/>
      <c r="O193" s="42"/>
      <c r="P193" s="31">
        <v>0</v>
      </c>
      <c r="Q193" s="382">
        <f t="shared" si="16"/>
        <v>0</v>
      </c>
      <c r="R193" s="178"/>
      <c r="S193" s="295"/>
      <c r="T193" s="328" t="str">
        <f t="shared" si="21"/>
        <v/>
      </c>
      <c r="U193" s="421"/>
      <c r="V193" s="158">
        <f t="shared" si="19"/>
        <v>0</v>
      </c>
      <c r="W193" s="386">
        <f t="shared" si="17"/>
        <v>0</v>
      </c>
      <c r="X193" s="387">
        <f t="shared" si="18"/>
        <v>0</v>
      </c>
      <c r="Y193" s="305">
        <v>0</v>
      </c>
      <c r="Z193" s="305">
        <v>0</v>
      </c>
      <c r="AA193" s="38">
        <v>0</v>
      </c>
      <c r="AB193" s="16">
        <v>0</v>
      </c>
      <c r="AC193" s="16">
        <v>-213.80999999999995</v>
      </c>
      <c r="AD193" s="16">
        <v>0</v>
      </c>
      <c r="AF193" s="16">
        <v>0</v>
      </c>
      <c r="AG193" s="16">
        <v>0</v>
      </c>
      <c r="AH193" s="16">
        <v>0</v>
      </c>
    </row>
    <row r="194" spans="1:34">
      <c r="A194" s="27"/>
      <c r="B194" s="118"/>
      <c r="C194" s="109"/>
      <c r="D194" s="20"/>
      <c r="E194" s="20" t="s">
        <v>109</v>
      </c>
      <c r="F194" s="68" t="s">
        <v>159</v>
      </c>
      <c r="G194" s="133">
        <v>3751.22</v>
      </c>
      <c r="H194" s="144" t="str">
        <f>'Q1 DMV - Revenue'!T185</f>
        <v/>
      </c>
      <c r="I194" s="341">
        <v>36500.120000000003</v>
      </c>
      <c r="J194" s="205">
        <v>36191.24</v>
      </c>
      <c r="K194" s="352">
        <v>34506.160000000003</v>
      </c>
      <c r="L194" s="311">
        <f t="shared" si="22"/>
        <v>110948.74</v>
      </c>
      <c r="M194" s="31"/>
      <c r="N194" s="84"/>
      <c r="O194" s="42"/>
      <c r="P194" s="31">
        <v>0</v>
      </c>
      <c r="Q194" s="382">
        <f t="shared" si="16"/>
        <v>0</v>
      </c>
      <c r="R194" s="178"/>
      <c r="S194" s="295"/>
      <c r="T194" s="328" t="str">
        <f t="shared" si="21"/>
        <v/>
      </c>
      <c r="U194" s="421"/>
      <c r="V194" s="158">
        <f t="shared" si="19"/>
        <v>0</v>
      </c>
      <c r="W194" s="386">
        <f t="shared" si="17"/>
        <v>0</v>
      </c>
      <c r="X194" s="387">
        <f t="shared" si="18"/>
        <v>0</v>
      </c>
      <c r="Y194" s="305">
        <v>0</v>
      </c>
      <c r="Z194" s="305">
        <v>0</v>
      </c>
      <c r="AA194" s="38">
        <v>0</v>
      </c>
      <c r="AB194" s="16">
        <v>0</v>
      </c>
      <c r="AC194" s="16">
        <v>126567.35</v>
      </c>
      <c r="AD194" s="16">
        <v>0</v>
      </c>
      <c r="AF194" s="16">
        <v>0</v>
      </c>
      <c r="AG194" s="16">
        <v>0</v>
      </c>
      <c r="AH194" s="16">
        <v>0</v>
      </c>
    </row>
    <row r="195" spans="1:34">
      <c r="A195" s="27"/>
      <c r="B195" s="118"/>
      <c r="C195" s="109"/>
      <c r="D195" s="20"/>
      <c r="E195" s="20" t="s">
        <v>109</v>
      </c>
      <c r="F195" s="68" t="s">
        <v>160</v>
      </c>
      <c r="G195" s="133"/>
      <c r="H195" s="144" t="str">
        <f>'Q1 DMV - Revenue'!T186</f>
        <v/>
      </c>
      <c r="I195" s="341">
        <v>12703.36</v>
      </c>
      <c r="J195" s="205">
        <v>10600.72</v>
      </c>
      <c r="K195" s="205">
        <v>9567.76</v>
      </c>
      <c r="L195" s="311">
        <f t="shared" si="22"/>
        <v>32871.840000000004</v>
      </c>
      <c r="M195" s="31"/>
      <c r="N195" s="84"/>
      <c r="O195" s="42"/>
      <c r="P195" s="31">
        <v>0</v>
      </c>
      <c r="Q195" s="382">
        <f t="shared" si="16"/>
        <v>0</v>
      </c>
      <c r="R195" s="178"/>
      <c r="S195" s="295"/>
      <c r="T195" s="328" t="str">
        <f t="shared" si="21"/>
        <v/>
      </c>
      <c r="U195" s="421"/>
      <c r="V195" s="158">
        <f t="shared" si="19"/>
        <v>0</v>
      </c>
      <c r="W195" s="386">
        <f t="shared" si="17"/>
        <v>0</v>
      </c>
      <c r="X195" s="387">
        <f t="shared" si="18"/>
        <v>0</v>
      </c>
      <c r="Y195" s="305">
        <v>0</v>
      </c>
      <c r="Z195" s="305">
        <v>0</v>
      </c>
      <c r="AA195" s="38">
        <v>0</v>
      </c>
      <c r="AB195" s="16">
        <v>0</v>
      </c>
      <c r="AC195" s="16">
        <v>53791.68</v>
      </c>
      <c r="AD195" s="16">
        <v>0</v>
      </c>
      <c r="AF195" s="16">
        <v>0</v>
      </c>
      <c r="AG195" s="16">
        <v>0</v>
      </c>
      <c r="AH195" s="16">
        <v>0</v>
      </c>
    </row>
    <row r="196" spans="1:34">
      <c r="A196" s="27"/>
      <c r="B196" s="120"/>
      <c r="C196" s="111"/>
      <c r="D196" s="21"/>
      <c r="E196" s="21" t="s">
        <v>109</v>
      </c>
      <c r="F196" s="68" t="s">
        <v>161</v>
      </c>
      <c r="G196" s="133"/>
      <c r="H196" s="144" t="str">
        <f>'Q1 DMV - Revenue'!T187</f>
        <v/>
      </c>
      <c r="I196" s="341">
        <v>62153.67</v>
      </c>
      <c r="J196" s="205">
        <v>83050.3</v>
      </c>
      <c r="K196" s="352">
        <v>55656.86</v>
      </c>
      <c r="L196" s="311">
        <f t="shared" si="22"/>
        <v>200860.83000000002</v>
      </c>
      <c r="M196" s="31"/>
      <c r="N196" s="84"/>
      <c r="O196" s="42"/>
      <c r="P196" s="31">
        <v>0</v>
      </c>
      <c r="Q196" s="382">
        <f t="shared" si="16"/>
        <v>0</v>
      </c>
      <c r="R196" s="178"/>
      <c r="S196" s="295"/>
      <c r="T196" s="328" t="str">
        <f t="shared" si="21"/>
        <v/>
      </c>
      <c r="U196" s="421"/>
      <c r="V196" s="158">
        <f t="shared" si="19"/>
        <v>0</v>
      </c>
      <c r="W196" s="386">
        <f t="shared" si="17"/>
        <v>0</v>
      </c>
      <c r="X196" s="387">
        <f t="shared" si="18"/>
        <v>0</v>
      </c>
      <c r="Y196" s="305">
        <v>0</v>
      </c>
      <c r="Z196" s="305">
        <v>0</v>
      </c>
      <c r="AA196" s="38">
        <v>0</v>
      </c>
      <c r="AB196" s="16">
        <v>0</v>
      </c>
      <c r="AC196" s="16">
        <v>214936.98</v>
      </c>
      <c r="AD196" s="16">
        <v>0</v>
      </c>
      <c r="AF196" s="16">
        <v>0</v>
      </c>
      <c r="AG196" s="16">
        <v>0</v>
      </c>
      <c r="AH196" s="16">
        <v>0</v>
      </c>
    </row>
    <row r="197" spans="1:34">
      <c r="A197" s="27"/>
      <c r="B197" s="120"/>
      <c r="C197" s="111"/>
      <c r="D197" s="21"/>
      <c r="E197" s="21" t="s">
        <v>109</v>
      </c>
      <c r="F197" s="68" t="s">
        <v>162</v>
      </c>
      <c r="G197" s="133"/>
      <c r="H197" s="144" t="str">
        <f>'Q1 DMV - Revenue'!T188</f>
        <v/>
      </c>
      <c r="I197" s="341">
        <v>8746.11</v>
      </c>
      <c r="J197" s="205">
        <v>8653.02</v>
      </c>
      <c r="K197" s="352">
        <v>7410.66</v>
      </c>
      <c r="L197" s="311">
        <f t="shared" si="22"/>
        <v>24809.79</v>
      </c>
      <c r="M197" s="31"/>
      <c r="N197" s="84"/>
      <c r="O197" s="42"/>
      <c r="P197" s="31">
        <v>0</v>
      </c>
      <c r="Q197" s="382">
        <f t="shared" si="16"/>
        <v>0</v>
      </c>
      <c r="R197" s="178"/>
      <c r="S197" s="295"/>
      <c r="T197" s="328" t="str">
        <f t="shared" si="21"/>
        <v/>
      </c>
      <c r="U197" s="421">
        <v>444971.82</v>
      </c>
      <c r="V197" s="158">
        <f t="shared" si="19"/>
        <v>0</v>
      </c>
      <c r="W197" s="386">
        <f t="shared" si="17"/>
        <v>0</v>
      </c>
      <c r="X197" s="387">
        <f t="shared" si="18"/>
        <v>0</v>
      </c>
      <c r="Y197" s="305">
        <v>0</v>
      </c>
      <c r="Z197" s="305">
        <v>0</v>
      </c>
      <c r="AA197" s="38">
        <v>0</v>
      </c>
      <c r="AB197" s="16">
        <v>0</v>
      </c>
      <c r="AC197" s="16">
        <v>29439.93</v>
      </c>
      <c r="AD197" s="16">
        <v>0</v>
      </c>
      <c r="AF197" s="16">
        <v>0</v>
      </c>
      <c r="AG197" s="16">
        <v>0</v>
      </c>
      <c r="AH197" s="16">
        <v>0</v>
      </c>
    </row>
    <row r="198" spans="1:34">
      <c r="A198" s="27"/>
      <c r="B198" s="120"/>
      <c r="C198" s="111"/>
      <c r="D198" s="21"/>
      <c r="E198" s="21" t="s">
        <v>110</v>
      </c>
      <c r="F198" s="68" t="s">
        <v>163</v>
      </c>
      <c r="G198" s="133"/>
      <c r="H198" s="144" t="str">
        <f>'Q1 DMV - Revenue'!T189</f>
        <v/>
      </c>
      <c r="I198" s="341">
        <v>7880.79</v>
      </c>
      <c r="J198" s="205">
        <f>7833.67+150.3</f>
        <v>7983.97</v>
      </c>
      <c r="K198" s="204"/>
      <c r="L198" s="311">
        <f t="shared" si="22"/>
        <v>15864.76</v>
      </c>
      <c r="M198" s="3"/>
      <c r="N198" s="84"/>
      <c r="O198" s="42">
        <f>SUM(I198+J198)/2</f>
        <v>7932.38</v>
      </c>
      <c r="P198" s="11">
        <v>0</v>
      </c>
      <c r="Q198" s="382">
        <f t="shared" si="16"/>
        <v>7932.38</v>
      </c>
      <c r="R198" s="178">
        <v>6525.49</v>
      </c>
      <c r="S198" s="296"/>
      <c r="T198" s="328">
        <f t="shared" si="21"/>
        <v>-1406.8900000000003</v>
      </c>
      <c r="U198" s="421"/>
      <c r="V198" s="158">
        <f t="shared" si="19"/>
        <v>7932.38</v>
      </c>
      <c r="W198" s="386">
        <f t="shared" si="17"/>
        <v>0</v>
      </c>
      <c r="X198" s="387">
        <f t="shared" si="18"/>
        <v>0</v>
      </c>
      <c r="Y198" s="305">
        <v>0</v>
      </c>
      <c r="Z198" s="305">
        <v>0</v>
      </c>
      <c r="AA198" s="38">
        <v>0</v>
      </c>
      <c r="AB198" s="16">
        <v>25603.190000000002</v>
      </c>
      <c r="AC198" s="16">
        <v>0</v>
      </c>
      <c r="AD198" s="16">
        <v>0</v>
      </c>
      <c r="AF198" s="16">
        <v>0</v>
      </c>
      <c r="AG198" s="16">
        <v>0</v>
      </c>
      <c r="AH198" s="16">
        <v>0</v>
      </c>
    </row>
    <row r="199" spans="1:34">
      <c r="A199" s="27"/>
      <c r="B199" s="120"/>
      <c r="C199" s="111"/>
      <c r="D199" s="21"/>
      <c r="E199" s="21" t="s">
        <v>110</v>
      </c>
      <c r="F199" s="412" t="s">
        <v>164</v>
      </c>
      <c r="G199" s="133"/>
      <c r="H199" s="144" t="str">
        <f>'Q1 DMV - Revenue'!T190</f>
        <v/>
      </c>
      <c r="I199" s="341">
        <v>221.71</v>
      </c>
      <c r="J199" s="205">
        <v>150.30000000000001</v>
      </c>
      <c r="K199" s="204"/>
      <c r="L199" s="311">
        <f t="shared" si="22"/>
        <v>372.01</v>
      </c>
      <c r="M199" s="3"/>
      <c r="N199" s="84"/>
      <c r="O199" s="42">
        <f>SUM(I199+J199)/2</f>
        <v>186.005</v>
      </c>
      <c r="P199" s="11">
        <v>0</v>
      </c>
      <c r="Q199" s="382">
        <f t="shared" si="16"/>
        <v>186.005</v>
      </c>
      <c r="R199" s="178">
        <v>172.25</v>
      </c>
      <c r="S199" s="296"/>
      <c r="T199" s="328">
        <f t="shared" si="21"/>
        <v>-13.754999999999995</v>
      </c>
      <c r="U199" s="421">
        <v>16086.47</v>
      </c>
      <c r="V199" s="158">
        <f t="shared" si="19"/>
        <v>186.005</v>
      </c>
      <c r="W199" s="386">
        <f t="shared" si="17"/>
        <v>0</v>
      </c>
      <c r="X199" s="387">
        <f t="shared" si="18"/>
        <v>0</v>
      </c>
      <c r="Y199" s="305">
        <v>0</v>
      </c>
      <c r="Z199" s="305">
        <v>0</v>
      </c>
      <c r="AA199" s="38">
        <v>0</v>
      </c>
      <c r="AB199" s="16">
        <v>591.99</v>
      </c>
      <c r="AC199" s="16">
        <v>0</v>
      </c>
      <c r="AD199" s="16">
        <v>0</v>
      </c>
      <c r="AF199" s="16">
        <v>0</v>
      </c>
      <c r="AG199" s="16">
        <v>0</v>
      </c>
      <c r="AH199" s="16">
        <v>0</v>
      </c>
    </row>
    <row r="200" spans="1:34">
      <c r="A200" s="27"/>
      <c r="B200" s="120"/>
      <c r="C200" s="111"/>
      <c r="D200" s="21" t="s">
        <v>109</v>
      </c>
      <c r="E200" s="21" t="s">
        <v>110</v>
      </c>
      <c r="F200" s="412" t="s">
        <v>318</v>
      </c>
      <c r="G200" s="133"/>
      <c r="H200" s="144" t="str">
        <f>'Q1 DMV - Revenue'!T191</f>
        <v/>
      </c>
      <c r="I200" s="340"/>
      <c r="J200" s="204"/>
      <c r="K200" s="204"/>
      <c r="L200" s="311">
        <f>SUM(G200:K200)</f>
        <v>0</v>
      </c>
      <c r="M200" s="31"/>
      <c r="N200" s="84"/>
      <c r="O200" s="42"/>
      <c r="P200" s="11">
        <v>0</v>
      </c>
      <c r="Q200" s="382">
        <f t="shared" si="16"/>
        <v>0</v>
      </c>
      <c r="R200" s="178"/>
      <c r="S200" s="296"/>
      <c r="T200" s="328" t="str">
        <f>IF(R200="","",R200-Q200)</f>
        <v/>
      </c>
      <c r="U200" s="421">
        <v>21.38</v>
      </c>
      <c r="V200" s="158">
        <f t="shared" si="19"/>
        <v>0</v>
      </c>
      <c r="W200" s="386">
        <f t="shared" si="17"/>
        <v>0</v>
      </c>
      <c r="X200" s="387">
        <f t="shared" si="18"/>
        <v>0</v>
      </c>
      <c r="Y200" s="305">
        <v>0</v>
      </c>
      <c r="Z200" s="305">
        <v>0</v>
      </c>
      <c r="AA200" s="38">
        <v>0</v>
      </c>
      <c r="AB200" s="16">
        <v>0</v>
      </c>
      <c r="AC200" s="16">
        <v>0</v>
      </c>
      <c r="AD200" s="16">
        <v>0</v>
      </c>
      <c r="AF200" s="16">
        <v>0</v>
      </c>
      <c r="AG200" s="16">
        <v>0</v>
      </c>
      <c r="AH200" s="16">
        <v>0</v>
      </c>
    </row>
    <row r="201" spans="1:34">
      <c r="A201" s="27"/>
      <c r="B201" s="118"/>
      <c r="C201" s="109"/>
      <c r="D201" s="20" t="s">
        <v>211</v>
      </c>
      <c r="E201" s="20" t="s">
        <v>109</v>
      </c>
      <c r="F201" s="68" t="s">
        <v>57</v>
      </c>
      <c r="G201" s="133"/>
      <c r="H201" s="144">
        <f>'Q1 DMV - Revenue'!T192</f>
        <v>1018.08</v>
      </c>
      <c r="I201" s="340"/>
      <c r="J201" s="204"/>
      <c r="K201" s="204"/>
      <c r="L201" s="311">
        <f t="shared" si="22"/>
        <v>1018.08</v>
      </c>
      <c r="M201" s="31"/>
      <c r="N201" s="84"/>
      <c r="O201" s="42"/>
      <c r="P201" s="31">
        <v>0</v>
      </c>
      <c r="Q201" s="382">
        <f t="shared" si="16"/>
        <v>0</v>
      </c>
      <c r="R201" s="178">
        <f>1997.06+1472.44</f>
        <v>3469.5</v>
      </c>
      <c r="S201" s="295"/>
      <c r="T201" s="328">
        <f t="shared" si="21"/>
        <v>3469.5</v>
      </c>
      <c r="U201" s="421"/>
      <c r="V201" s="158">
        <f t="shared" si="19"/>
        <v>0</v>
      </c>
      <c r="W201" s="386">
        <f t="shared" si="17"/>
        <v>0</v>
      </c>
      <c r="X201" s="387">
        <f t="shared" si="18"/>
        <v>0</v>
      </c>
      <c r="Y201" s="305">
        <v>0</v>
      </c>
      <c r="Z201" s="305">
        <v>0</v>
      </c>
      <c r="AA201" s="38">
        <v>0</v>
      </c>
      <c r="AB201" s="16">
        <v>0</v>
      </c>
      <c r="AC201" s="16">
        <v>0</v>
      </c>
      <c r="AD201" s="16">
        <v>0</v>
      </c>
      <c r="AF201" s="16">
        <v>0</v>
      </c>
      <c r="AG201" s="16">
        <v>0</v>
      </c>
      <c r="AH201" s="16">
        <v>0</v>
      </c>
    </row>
    <row r="202" spans="1:34">
      <c r="A202" s="27"/>
      <c r="B202" s="118"/>
      <c r="C202" s="109"/>
      <c r="D202" s="20" t="s">
        <v>109</v>
      </c>
      <c r="E202" s="20" t="s">
        <v>109</v>
      </c>
      <c r="F202" s="68" t="s">
        <v>239</v>
      </c>
      <c r="G202" s="133">
        <f>274.97+489.22</f>
        <v>764.19</v>
      </c>
      <c r="H202" s="144" t="str">
        <f>'Q1 DMV - Revenue'!T193</f>
        <v/>
      </c>
      <c r="I202" s="340"/>
      <c r="J202" s="204"/>
      <c r="K202" s="204"/>
      <c r="L202" s="311">
        <f t="shared" si="22"/>
        <v>764.19</v>
      </c>
      <c r="M202" s="31"/>
      <c r="N202" s="84"/>
      <c r="O202" s="42"/>
      <c r="P202" s="31">
        <v>0</v>
      </c>
      <c r="Q202" s="382">
        <f t="shared" si="16"/>
        <v>0</v>
      </c>
      <c r="R202" s="178"/>
      <c r="S202" s="295"/>
      <c r="T202" s="328" t="str">
        <f t="shared" si="21"/>
        <v/>
      </c>
      <c r="U202" s="421">
        <v>1782.27</v>
      </c>
      <c r="V202" s="158">
        <f t="shared" si="19"/>
        <v>0</v>
      </c>
      <c r="W202" s="386">
        <f t="shared" si="17"/>
        <v>0</v>
      </c>
      <c r="X202" s="387">
        <f t="shared" si="18"/>
        <v>0</v>
      </c>
      <c r="Y202" s="305">
        <v>0</v>
      </c>
      <c r="Z202" s="305">
        <v>0</v>
      </c>
      <c r="AA202" s="38">
        <v>0</v>
      </c>
      <c r="AB202" s="16">
        <v>0</v>
      </c>
      <c r="AC202" s="16">
        <v>0</v>
      </c>
      <c r="AD202" s="16">
        <v>0</v>
      </c>
      <c r="AF202" s="16">
        <v>0</v>
      </c>
      <c r="AG202" s="16">
        <v>0</v>
      </c>
      <c r="AH202" s="16">
        <v>0</v>
      </c>
    </row>
    <row r="203" spans="1:34">
      <c r="A203" s="27"/>
      <c r="B203" s="118" t="s">
        <v>214</v>
      </c>
      <c r="C203" s="109"/>
      <c r="D203" s="20"/>
      <c r="E203" s="20" t="s">
        <v>114</v>
      </c>
      <c r="F203" s="68" t="s">
        <v>371</v>
      </c>
      <c r="G203" s="133"/>
      <c r="H203" s="144">
        <v>-44000</v>
      </c>
      <c r="I203" s="340"/>
      <c r="J203" s="204"/>
      <c r="K203" s="204"/>
      <c r="L203" s="311">
        <f t="shared" si="22"/>
        <v>-44000</v>
      </c>
      <c r="M203" s="31"/>
      <c r="N203" s="84"/>
      <c r="O203" s="42">
        <f>44000+44000</f>
        <v>88000</v>
      </c>
      <c r="P203" s="31">
        <v>0</v>
      </c>
      <c r="Q203" s="382">
        <f t="shared" si="16"/>
        <v>88000</v>
      </c>
      <c r="R203" s="178">
        <f>17983.75+22227.94+27517.77</f>
        <v>67729.460000000006</v>
      </c>
      <c r="S203" s="295"/>
      <c r="T203" s="328">
        <f t="shared" si="21"/>
        <v>-20270.539999999994</v>
      </c>
      <c r="U203" s="421"/>
      <c r="V203" s="158">
        <f t="shared" si="19"/>
        <v>0</v>
      </c>
      <c r="W203" s="386">
        <f t="shared" si="17"/>
        <v>0</v>
      </c>
      <c r="X203" s="387">
        <f t="shared" si="18"/>
        <v>88000</v>
      </c>
      <c r="Y203" s="305">
        <v>0</v>
      </c>
      <c r="Z203" s="305">
        <v>0</v>
      </c>
      <c r="AA203" s="38">
        <v>0</v>
      </c>
      <c r="AB203" s="16">
        <v>0</v>
      </c>
      <c r="AC203" s="16">
        <v>0</v>
      </c>
      <c r="AD203" s="16">
        <v>0</v>
      </c>
      <c r="AF203" s="16">
        <v>0</v>
      </c>
      <c r="AG203" s="16">
        <v>0</v>
      </c>
      <c r="AH203" s="16">
        <v>44422.29</v>
      </c>
    </row>
    <row r="204" spans="1:34">
      <c r="A204" s="27"/>
      <c r="B204" s="118" t="s">
        <v>214</v>
      </c>
      <c r="C204" s="109"/>
      <c r="D204" s="20"/>
      <c r="E204" s="20" t="s">
        <v>110</v>
      </c>
      <c r="F204" s="68" t="s">
        <v>370</v>
      </c>
      <c r="G204" s="133"/>
      <c r="H204" s="144">
        <v>-43000</v>
      </c>
      <c r="I204" s="340"/>
      <c r="J204" s="204"/>
      <c r="K204" s="204"/>
      <c r="L204" s="311">
        <f t="shared" si="22"/>
        <v>-43000</v>
      </c>
      <c r="M204" s="2"/>
      <c r="N204" s="84"/>
      <c r="O204" s="42">
        <f>43000+43000</f>
        <v>86000</v>
      </c>
      <c r="P204" s="31">
        <v>0</v>
      </c>
      <c r="Q204" s="382">
        <f t="shared" si="16"/>
        <v>86000</v>
      </c>
      <c r="R204" s="178">
        <f>11779.85+13095.71+15924.93</f>
        <v>40800.49</v>
      </c>
      <c r="S204" s="295"/>
      <c r="T204" s="328">
        <f t="shared" si="21"/>
        <v>-45199.51</v>
      </c>
      <c r="U204" s="421"/>
      <c r="V204" s="158">
        <f t="shared" si="19"/>
        <v>86000</v>
      </c>
      <c r="W204" s="386">
        <f t="shared" si="17"/>
        <v>0</v>
      </c>
      <c r="X204" s="387">
        <f t="shared" si="18"/>
        <v>0</v>
      </c>
      <c r="Y204" s="305">
        <v>0</v>
      </c>
      <c r="Z204" s="305">
        <v>0</v>
      </c>
      <c r="AA204" s="38">
        <v>0</v>
      </c>
      <c r="AB204" s="16">
        <v>-33881.499999999993</v>
      </c>
      <c r="AC204" s="16">
        <v>0</v>
      </c>
      <c r="AD204" s="16">
        <v>0</v>
      </c>
      <c r="AF204" s="16">
        <v>43282.899999999994</v>
      </c>
      <c r="AG204" s="16">
        <v>0</v>
      </c>
      <c r="AH204" s="16">
        <v>0</v>
      </c>
    </row>
    <row r="205" spans="1:34">
      <c r="A205" s="27"/>
      <c r="B205" s="118"/>
      <c r="C205" s="109"/>
      <c r="D205" s="20"/>
      <c r="E205" s="20" t="s">
        <v>109</v>
      </c>
      <c r="F205" s="68" t="s">
        <v>304</v>
      </c>
      <c r="G205" s="133">
        <f>1644.36+1719.21+1410.62+1390.38+921.27+886.88</f>
        <v>7972.72</v>
      </c>
      <c r="H205" s="144">
        <f>'Q1 DMV - Revenue'!T195</f>
        <v>1093.6500000000001</v>
      </c>
      <c r="I205" s="340"/>
      <c r="J205" s="204"/>
      <c r="K205" s="204"/>
      <c r="L205" s="311">
        <f t="shared" si="22"/>
        <v>9066.3700000000008</v>
      </c>
      <c r="M205" s="31"/>
      <c r="N205" s="84"/>
      <c r="O205" s="42">
        <v>1000</v>
      </c>
      <c r="P205" s="31">
        <v>0</v>
      </c>
      <c r="Q205" s="382">
        <f t="shared" si="16"/>
        <v>1000</v>
      </c>
      <c r="R205" s="178">
        <f>972.02+942.85</f>
        <v>1914.87</v>
      </c>
      <c r="S205" s="295"/>
      <c r="T205" s="328">
        <f t="shared" si="21"/>
        <v>914.86999999999989</v>
      </c>
      <c r="U205" s="421">
        <v>9066.16</v>
      </c>
      <c r="V205" s="158">
        <f t="shared" si="19"/>
        <v>0</v>
      </c>
      <c r="W205" s="386">
        <f t="shared" si="17"/>
        <v>1000</v>
      </c>
      <c r="X205" s="387">
        <f t="shared" si="18"/>
        <v>0</v>
      </c>
      <c r="Y205" s="305">
        <v>0</v>
      </c>
      <c r="Z205" s="305">
        <v>0</v>
      </c>
      <c r="AA205" s="38">
        <v>0</v>
      </c>
      <c r="AB205" s="16">
        <v>0</v>
      </c>
      <c r="AC205" s="16">
        <v>-3000</v>
      </c>
      <c r="AD205" s="16">
        <v>0</v>
      </c>
      <c r="AF205" s="16">
        <v>0</v>
      </c>
      <c r="AG205" s="16">
        <v>0</v>
      </c>
      <c r="AH205" s="16">
        <v>0</v>
      </c>
    </row>
    <row r="206" spans="1:34">
      <c r="A206" s="27"/>
      <c r="B206" s="120"/>
      <c r="C206" s="111"/>
      <c r="D206" s="21" t="s">
        <v>97</v>
      </c>
      <c r="E206" s="21" t="s">
        <v>109</v>
      </c>
      <c r="F206" s="68" t="s">
        <v>381</v>
      </c>
      <c r="G206" s="133"/>
      <c r="H206" s="144">
        <f>'Q1 DMV - Revenue'!T196</f>
        <v>-1649.6800000000003</v>
      </c>
      <c r="I206" s="340"/>
      <c r="J206" s="204"/>
      <c r="K206" s="204"/>
      <c r="L206" s="311">
        <f t="shared" si="22"/>
        <v>-1649.6800000000003</v>
      </c>
      <c r="M206" s="31"/>
      <c r="N206" s="84"/>
      <c r="O206" s="42">
        <v>5491</v>
      </c>
      <c r="P206" s="31">
        <v>0</v>
      </c>
      <c r="Q206" s="382">
        <f t="shared" si="16"/>
        <v>5491</v>
      </c>
      <c r="R206" s="178">
        <f>2060.79+1618.5+2255.25</f>
        <v>5934.54</v>
      </c>
      <c r="S206" s="295"/>
      <c r="T206" s="328">
        <f t="shared" si="21"/>
        <v>443.53999999999996</v>
      </c>
      <c r="U206" s="421">
        <v>5492.37</v>
      </c>
      <c r="V206" s="158">
        <f t="shared" si="19"/>
        <v>0</v>
      </c>
      <c r="W206" s="386">
        <f t="shared" si="17"/>
        <v>5491</v>
      </c>
      <c r="X206" s="387">
        <f t="shared" si="18"/>
        <v>0</v>
      </c>
      <c r="Y206" s="305">
        <v>0</v>
      </c>
      <c r="Z206" s="305">
        <v>0</v>
      </c>
      <c r="AA206" s="38">
        <v>0</v>
      </c>
      <c r="AB206" s="16">
        <v>0</v>
      </c>
      <c r="AC206" s="16">
        <v>2941.1900000000005</v>
      </c>
      <c r="AD206" s="16">
        <v>0</v>
      </c>
      <c r="AF206" s="16">
        <v>0</v>
      </c>
      <c r="AG206" s="16">
        <v>7141.1900000000005</v>
      </c>
      <c r="AH206" s="16">
        <v>0</v>
      </c>
    </row>
    <row r="207" spans="1:34">
      <c r="A207" s="27"/>
      <c r="B207" s="118"/>
      <c r="C207" s="109"/>
      <c r="D207" s="20"/>
      <c r="E207" s="20" t="s">
        <v>109</v>
      </c>
      <c r="F207" s="68" t="s">
        <v>390</v>
      </c>
      <c r="G207" s="133"/>
      <c r="H207" s="144" t="str">
        <f>'Q1 DMV - Revenue'!T197</f>
        <v/>
      </c>
      <c r="I207" s="340"/>
      <c r="J207" s="204"/>
      <c r="K207" s="204"/>
      <c r="L207" s="311">
        <f t="shared" si="22"/>
        <v>0</v>
      </c>
      <c r="M207" s="31"/>
      <c r="N207" s="84"/>
      <c r="O207" s="42"/>
      <c r="P207" s="31">
        <v>0</v>
      </c>
      <c r="Q207" s="382">
        <f t="shared" si="16"/>
        <v>0</v>
      </c>
      <c r="R207" s="178">
        <v>429.54</v>
      </c>
      <c r="S207" s="295"/>
      <c r="T207" s="328">
        <f t="shared" si="21"/>
        <v>429.54</v>
      </c>
      <c r="U207" s="421"/>
      <c r="V207" s="158">
        <f t="shared" si="19"/>
        <v>0</v>
      </c>
      <c r="W207" s="386">
        <f t="shared" si="17"/>
        <v>0</v>
      </c>
      <c r="X207" s="387">
        <f t="shared" si="18"/>
        <v>0</v>
      </c>
      <c r="Y207" s="305">
        <v>0</v>
      </c>
      <c r="Z207" s="305">
        <v>0</v>
      </c>
      <c r="AA207" s="38">
        <v>0</v>
      </c>
      <c r="AB207" s="16">
        <v>0</v>
      </c>
      <c r="AC207" s="16">
        <v>0</v>
      </c>
      <c r="AD207" s="16">
        <v>0</v>
      </c>
      <c r="AF207" s="16">
        <v>0</v>
      </c>
      <c r="AG207" s="16">
        <v>0</v>
      </c>
      <c r="AH207" s="16">
        <v>0</v>
      </c>
    </row>
    <row r="208" spans="1:34">
      <c r="A208" s="27"/>
      <c r="B208" s="118"/>
      <c r="C208" s="109"/>
      <c r="D208" s="20"/>
      <c r="E208" s="20" t="s">
        <v>110</v>
      </c>
      <c r="F208" s="123" t="s">
        <v>166</v>
      </c>
      <c r="G208" s="133"/>
      <c r="H208" s="144">
        <f>'Q1 DMV - Revenue'!T198</f>
        <v>-889.32000000000016</v>
      </c>
      <c r="I208" s="354">
        <v>692.61</v>
      </c>
      <c r="J208" s="352">
        <v>755.37</v>
      </c>
      <c r="K208" s="204"/>
      <c r="L208" s="311">
        <f t="shared" si="22"/>
        <v>558.65999999999985</v>
      </c>
      <c r="M208" s="31"/>
      <c r="N208" s="84"/>
      <c r="O208" s="42">
        <f>SUM(I208+J208)/2</f>
        <v>723.99</v>
      </c>
      <c r="P208" s="31">
        <v>0</v>
      </c>
      <c r="Q208" s="382">
        <f t="shared" si="16"/>
        <v>723.99</v>
      </c>
      <c r="R208" s="438">
        <v>862.35</v>
      </c>
      <c r="S208" s="295"/>
      <c r="T208" s="328">
        <f t="shared" si="21"/>
        <v>138.36000000000001</v>
      </c>
      <c r="U208" s="421">
        <v>13294.37</v>
      </c>
      <c r="V208" s="158">
        <f t="shared" si="19"/>
        <v>723.99</v>
      </c>
      <c r="W208" s="386">
        <f t="shared" si="17"/>
        <v>0</v>
      </c>
      <c r="X208" s="387">
        <f t="shared" si="18"/>
        <v>0</v>
      </c>
      <c r="Y208" s="305">
        <v>0</v>
      </c>
      <c r="Z208" s="305">
        <v>0</v>
      </c>
      <c r="AA208" s="38">
        <v>0</v>
      </c>
      <c r="AB208" s="16">
        <v>0</v>
      </c>
      <c r="AC208" s="16">
        <v>0</v>
      </c>
      <c r="AD208" s="16">
        <v>0</v>
      </c>
      <c r="AF208" s="16">
        <v>2906.13</v>
      </c>
      <c r="AG208" s="16">
        <v>0</v>
      </c>
      <c r="AH208" s="16">
        <v>0</v>
      </c>
    </row>
    <row r="209" spans="1:34">
      <c r="A209" s="27"/>
      <c r="B209" s="118"/>
      <c r="C209" s="109"/>
      <c r="D209" s="20"/>
      <c r="E209" s="20" t="s">
        <v>109</v>
      </c>
      <c r="F209" s="123" t="s">
        <v>165</v>
      </c>
      <c r="G209" s="133"/>
      <c r="H209" s="144">
        <f>'Q1 DMV - Revenue'!T199</f>
        <v>-2379.0699999999997</v>
      </c>
      <c r="I209" s="354">
        <v>2040.79</v>
      </c>
      <c r="J209" s="352">
        <v>2002.51</v>
      </c>
      <c r="K209" s="204"/>
      <c r="L209" s="311">
        <f t="shared" si="22"/>
        <v>1664.2300000000002</v>
      </c>
      <c r="M209" s="31"/>
      <c r="N209" s="84"/>
      <c r="O209" s="42">
        <f>SUM(I209+J209)/2</f>
        <v>2021.65</v>
      </c>
      <c r="P209" s="31">
        <v>0</v>
      </c>
      <c r="Q209" s="382">
        <f t="shared" si="16"/>
        <v>2021.65</v>
      </c>
      <c r="R209" s="438">
        <v>1631.88</v>
      </c>
      <c r="S209" s="295"/>
      <c r="T209" s="328">
        <f t="shared" si="21"/>
        <v>-389.77</v>
      </c>
      <c r="U209" s="421"/>
      <c r="V209" s="158">
        <f t="shared" si="19"/>
        <v>0</v>
      </c>
      <c r="W209" s="386">
        <f t="shared" si="17"/>
        <v>2021.65</v>
      </c>
      <c r="X209" s="387">
        <f t="shared" si="18"/>
        <v>0</v>
      </c>
      <c r="Y209" s="305">
        <v>0</v>
      </c>
      <c r="Z209" s="305">
        <v>0</v>
      </c>
      <c r="AA209" s="38">
        <v>0</v>
      </c>
      <c r="AB209" s="16">
        <v>0</v>
      </c>
      <c r="AC209" s="16">
        <v>0</v>
      </c>
      <c r="AD209" s="16">
        <v>0</v>
      </c>
      <c r="AF209" s="16">
        <v>0</v>
      </c>
      <c r="AG209" s="16">
        <v>8165.35</v>
      </c>
      <c r="AH209" s="16">
        <v>0</v>
      </c>
    </row>
    <row r="210" spans="1:34">
      <c r="A210" s="27"/>
      <c r="B210" s="118"/>
      <c r="C210" s="109"/>
      <c r="D210" s="20"/>
      <c r="E210" s="20" t="s">
        <v>109</v>
      </c>
      <c r="F210" s="123" t="s">
        <v>310</v>
      </c>
      <c r="G210" s="133">
        <f>224.45+93.06+147.19+109.91+153.94+164.17+91+77.83+117.23+6.28+68.7+92.9</f>
        <v>1346.66</v>
      </c>
      <c r="H210" s="144"/>
      <c r="I210" s="340"/>
      <c r="J210" s="204"/>
      <c r="K210" s="204"/>
      <c r="L210" s="311"/>
      <c r="M210" s="31"/>
      <c r="N210" s="84"/>
      <c r="O210" s="42"/>
      <c r="P210" s="31"/>
      <c r="Q210" s="382">
        <f t="shared" si="16"/>
        <v>0</v>
      </c>
      <c r="R210" s="178"/>
      <c r="S210" s="295"/>
      <c r="T210" s="328"/>
      <c r="U210" s="421"/>
      <c r="V210" s="158">
        <f t="shared" si="19"/>
        <v>0</v>
      </c>
      <c r="W210" s="386">
        <f t="shared" si="17"/>
        <v>0</v>
      </c>
      <c r="X210" s="387">
        <f t="shared" si="18"/>
        <v>0</v>
      </c>
      <c r="Y210" s="305"/>
      <c r="Z210" s="305"/>
      <c r="AA210" s="38"/>
    </row>
    <row r="211" spans="1:34">
      <c r="A211" s="27"/>
      <c r="B211" s="118"/>
      <c r="C211" s="109"/>
      <c r="D211" s="20"/>
      <c r="E211" s="20" t="s">
        <v>110</v>
      </c>
      <c r="F211" s="68" t="s">
        <v>121</v>
      </c>
      <c r="G211" s="133"/>
      <c r="H211" s="144" t="str">
        <f>'Q1 DMV - Revenue'!T200</f>
        <v/>
      </c>
      <c r="I211" s="340"/>
      <c r="J211" s="204"/>
      <c r="K211" s="204"/>
      <c r="L211" s="311">
        <f>SUM(G211:K211)</f>
        <v>0</v>
      </c>
      <c r="M211" s="31"/>
      <c r="N211" s="84"/>
      <c r="O211" s="42"/>
      <c r="P211" s="31">
        <v>0</v>
      </c>
      <c r="Q211" s="382">
        <f t="shared" si="16"/>
        <v>0</v>
      </c>
      <c r="R211" s="178"/>
      <c r="S211" s="295"/>
      <c r="T211" s="328" t="str">
        <f t="shared" si="21"/>
        <v/>
      </c>
      <c r="U211" s="421"/>
      <c r="V211" s="158">
        <f t="shared" si="19"/>
        <v>0</v>
      </c>
      <c r="W211" s="386">
        <f t="shared" si="17"/>
        <v>0</v>
      </c>
      <c r="X211" s="387">
        <f t="shared" si="18"/>
        <v>0</v>
      </c>
      <c r="Y211" s="305">
        <v>0</v>
      </c>
      <c r="Z211" s="305">
        <v>0</v>
      </c>
      <c r="AA211" s="38">
        <v>0</v>
      </c>
      <c r="AB211" s="16">
        <v>0</v>
      </c>
      <c r="AC211" s="16">
        <v>0</v>
      </c>
      <c r="AD211" s="16">
        <v>0</v>
      </c>
      <c r="AF211" s="16">
        <v>0</v>
      </c>
      <c r="AG211" s="16">
        <v>0</v>
      </c>
      <c r="AH211" s="16">
        <v>0</v>
      </c>
    </row>
    <row r="212" spans="1:34">
      <c r="A212" s="27"/>
      <c r="B212" s="118"/>
      <c r="C212" s="109"/>
      <c r="D212" s="20"/>
      <c r="E212" s="20" t="s">
        <v>110</v>
      </c>
      <c r="F212" s="68" t="s">
        <v>168</v>
      </c>
      <c r="G212" s="133"/>
      <c r="H212" s="144" t="str">
        <f>'Q1 DMV - Revenue'!T201</f>
        <v/>
      </c>
      <c r="I212" s="340"/>
      <c r="J212" s="204"/>
      <c r="K212" s="204"/>
      <c r="L212" s="311">
        <f t="shared" si="22"/>
        <v>0</v>
      </c>
      <c r="M212" s="31"/>
      <c r="N212" s="84"/>
      <c r="O212" s="42"/>
      <c r="P212" s="31">
        <v>0</v>
      </c>
      <c r="Q212" s="382">
        <f t="shared" si="16"/>
        <v>0</v>
      </c>
      <c r="R212" s="178"/>
      <c r="S212" s="295"/>
      <c r="T212" s="328" t="str">
        <f t="shared" si="21"/>
        <v/>
      </c>
      <c r="U212" s="421">
        <v>765.65</v>
      </c>
      <c r="V212" s="158">
        <f t="shared" si="19"/>
        <v>0</v>
      </c>
      <c r="W212" s="386">
        <f t="shared" si="17"/>
        <v>0</v>
      </c>
      <c r="X212" s="387">
        <f t="shared" si="18"/>
        <v>0</v>
      </c>
      <c r="Y212" s="305">
        <v>0</v>
      </c>
      <c r="Z212" s="305">
        <v>0</v>
      </c>
      <c r="AA212" s="38">
        <v>0</v>
      </c>
      <c r="AB212" s="16">
        <v>0</v>
      </c>
      <c r="AC212" s="16">
        <v>0</v>
      </c>
      <c r="AD212" s="16">
        <v>0</v>
      </c>
      <c r="AF212" s="16">
        <v>0</v>
      </c>
      <c r="AG212" s="16">
        <v>0</v>
      </c>
      <c r="AH212" s="16">
        <v>0</v>
      </c>
    </row>
    <row r="213" spans="1:34">
      <c r="A213" s="27"/>
      <c r="B213" s="118"/>
      <c r="C213" s="109"/>
      <c r="D213" s="20"/>
      <c r="E213" s="20" t="s">
        <v>109</v>
      </c>
      <c r="F213" s="68" t="s">
        <v>167</v>
      </c>
      <c r="G213" s="133"/>
      <c r="H213" s="144">
        <f>'Q1 DMV - Revenue'!T202</f>
        <v>463.57</v>
      </c>
      <c r="I213" s="354">
        <v>189.97</v>
      </c>
      <c r="J213" s="352">
        <v>112.11</v>
      </c>
      <c r="K213" s="204"/>
      <c r="L213" s="311">
        <f t="shared" si="22"/>
        <v>765.65</v>
      </c>
      <c r="M213" s="31"/>
      <c r="N213" s="84"/>
      <c r="O213" s="42">
        <f>SUM(I213+J213)/2</f>
        <v>151.04</v>
      </c>
      <c r="P213" s="31">
        <v>0</v>
      </c>
      <c r="Q213" s="382">
        <f t="shared" si="16"/>
        <v>151.04</v>
      </c>
      <c r="R213" s="178"/>
      <c r="S213" s="295"/>
      <c r="T213" s="328" t="str">
        <f t="shared" si="21"/>
        <v/>
      </c>
      <c r="U213" s="421"/>
      <c r="V213" s="158">
        <f t="shared" si="19"/>
        <v>0</v>
      </c>
      <c r="W213" s="386">
        <f t="shared" si="17"/>
        <v>151.04</v>
      </c>
      <c r="X213" s="387">
        <f t="shared" si="18"/>
        <v>0</v>
      </c>
      <c r="Y213" s="305">
        <v>0</v>
      </c>
      <c r="Z213" s="305">
        <v>0</v>
      </c>
      <c r="AA213" s="38">
        <v>0</v>
      </c>
      <c r="AB213" s="16">
        <v>0</v>
      </c>
      <c r="AC213" s="16">
        <v>0</v>
      </c>
      <c r="AD213" s="16">
        <v>0</v>
      </c>
      <c r="AF213" s="16">
        <v>0</v>
      </c>
      <c r="AG213" s="16">
        <v>0</v>
      </c>
      <c r="AH213" s="16">
        <v>0</v>
      </c>
    </row>
    <row r="214" spans="1:34">
      <c r="A214" s="110"/>
      <c r="B214" s="118"/>
      <c r="C214" s="109"/>
      <c r="D214" s="20" t="s">
        <v>218</v>
      </c>
      <c r="E214" s="20" t="s">
        <v>110</v>
      </c>
      <c r="F214" s="68" t="s">
        <v>240</v>
      </c>
      <c r="G214" s="133"/>
      <c r="H214" s="144" t="str">
        <f>'Q1 DMV - Revenue'!T203</f>
        <v/>
      </c>
      <c r="I214" s="340"/>
      <c r="J214" s="204"/>
      <c r="K214" s="204"/>
      <c r="L214" s="311">
        <f t="shared" si="22"/>
        <v>0</v>
      </c>
      <c r="M214" s="2"/>
      <c r="N214" s="84"/>
      <c r="O214" s="42"/>
      <c r="P214" s="31">
        <v>0</v>
      </c>
      <c r="Q214" s="382">
        <f t="shared" ref="Q214:Q227" si="23">N214+O214</f>
        <v>0</v>
      </c>
      <c r="R214" s="178"/>
      <c r="S214" s="295"/>
      <c r="T214" s="328" t="str">
        <f t="shared" si="21"/>
        <v/>
      </c>
      <c r="U214" s="421"/>
      <c r="V214" s="158">
        <f t="shared" si="19"/>
        <v>0</v>
      </c>
      <c r="W214" s="386">
        <f t="shared" ref="W214:W227" si="24">IF(E214="M",Q214,0)</f>
        <v>0</v>
      </c>
      <c r="X214" s="387">
        <f t="shared" ref="X214:X227" si="25">IF(E214="V",Q214,0)</f>
        <v>0</v>
      </c>
      <c r="Y214" s="305">
        <v>0</v>
      </c>
      <c r="Z214" s="305">
        <v>0</v>
      </c>
      <c r="AA214" s="38">
        <v>0</v>
      </c>
      <c r="AB214" s="16">
        <v>0</v>
      </c>
      <c r="AC214" s="16">
        <v>0</v>
      </c>
      <c r="AD214" s="16">
        <v>0</v>
      </c>
      <c r="AF214" s="16">
        <v>0</v>
      </c>
      <c r="AG214" s="16">
        <v>0</v>
      </c>
      <c r="AH214" s="16">
        <v>0</v>
      </c>
    </row>
    <row r="215" spans="1:34">
      <c r="A215" s="110"/>
      <c r="B215" s="118"/>
      <c r="C215" s="109"/>
      <c r="D215" s="20" t="s">
        <v>218</v>
      </c>
      <c r="E215" s="20" t="s">
        <v>110</v>
      </c>
      <c r="F215" s="68" t="s">
        <v>60</v>
      </c>
      <c r="G215" s="133"/>
      <c r="H215" s="144">
        <f>'Q1 DMV - Revenue'!T204</f>
        <v>7539.89</v>
      </c>
      <c r="I215" s="340"/>
      <c r="J215" s="204"/>
      <c r="K215" s="204"/>
      <c r="L215" s="311">
        <f t="shared" si="22"/>
        <v>7539.89</v>
      </c>
      <c r="M215" s="2"/>
      <c r="N215" s="84"/>
      <c r="O215" s="42">
        <v>7000</v>
      </c>
      <c r="P215" s="31">
        <v>0</v>
      </c>
      <c r="Q215" s="382">
        <f t="shared" si="23"/>
        <v>7000</v>
      </c>
      <c r="R215" s="178">
        <f>3110.18+2709.1+2785.67</f>
        <v>8604.9500000000007</v>
      </c>
      <c r="S215" s="295"/>
      <c r="T215" s="328">
        <f t="shared" si="21"/>
        <v>1604.9500000000007</v>
      </c>
      <c r="U215" s="421">
        <v>7539.89</v>
      </c>
      <c r="V215" s="158">
        <f t="shared" ref="V215:V227" si="26">IF(E215="D",Q215,0)</f>
        <v>7000</v>
      </c>
      <c r="W215" s="386">
        <f t="shared" si="24"/>
        <v>0</v>
      </c>
      <c r="X215" s="387">
        <f t="shared" si="25"/>
        <v>0</v>
      </c>
      <c r="Y215" s="305">
        <v>0</v>
      </c>
      <c r="Z215" s="305">
        <v>0</v>
      </c>
      <c r="AA215" s="38">
        <v>0</v>
      </c>
      <c r="AB215" s="16">
        <v>1355.67</v>
      </c>
      <c r="AC215" s="16">
        <v>0</v>
      </c>
      <c r="AD215" s="16">
        <v>0</v>
      </c>
      <c r="AF215" s="16">
        <v>0</v>
      </c>
      <c r="AG215" s="16">
        <v>0</v>
      </c>
      <c r="AH215" s="16">
        <v>0</v>
      </c>
    </row>
    <row r="216" spans="1:34">
      <c r="A216" s="126"/>
      <c r="B216" s="118" t="s">
        <v>219</v>
      </c>
      <c r="C216" s="109"/>
      <c r="D216" s="20"/>
      <c r="E216" s="20" t="s">
        <v>110</v>
      </c>
      <c r="F216" s="68" t="s">
        <v>61</v>
      </c>
      <c r="G216" s="133"/>
      <c r="H216" s="144" t="str">
        <f>'Q1 DMV - Revenue'!T205</f>
        <v/>
      </c>
      <c r="I216" s="354">
        <v>55.69</v>
      </c>
      <c r="J216" s="389">
        <v>74.94</v>
      </c>
      <c r="K216" s="204"/>
      <c r="L216" s="311">
        <f t="shared" si="22"/>
        <v>130.63</v>
      </c>
      <c r="M216" s="2"/>
      <c r="N216" s="84"/>
      <c r="O216" s="42">
        <f>SUM(I216+J216)/2</f>
        <v>65.314999999999998</v>
      </c>
      <c r="P216" s="31">
        <v>0</v>
      </c>
      <c r="Q216" s="382">
        <f t="shared" si="23"/>
        <v>65.314999999999998</v>
      </c>
      <c r="R216" s="178"/>
      <c r="S216" s="295"/>
      <c r="T216" s="328" t="str">
        <f t="shared" si="21"/>
        <v/>
      </c>
      <c r="U216" s="421">
        <v>130.63</v>
      </c>
      <c r="V216" s="158">
        <f t="shared" si="26"/>
        <v>65.314999999999998</v>
      </c>
      <c r="W216" s="386">
        <f t="shared" si="24"/>
        <v>0</v>
      </c>
      <c r="X216" s="387">
        <f t="shared" si="25"/>
        <v>0</v>
      </c>
      <c r="Y216" s="305">
        <v>0</v>
      </c>
      <c r="Z216" s="305">
        <v>0</v>
      </c>
      <c r="AA216" s="38">
        <v>0</v>
      </c>
      <c r="AB216" s="16">
        <v>0</v>
      </c>
      <c r="AC216" s="16">
        <v>0</v>
      </c>
      <c r="AD216" s="16">
        <v>0</v>
      </c>
      <c r="AF216" s="16">
        <v>0</v>
      </c>
      <c r="AG216" s="16">
        <v>0</v>
      </c>
      <c r="AH216" s="16">
        <v>0</v>
      </c>
    </row>
    <row r="217" spans="1:34">
      <c r="A217" s="16"/>
      <c r="B217" s="118"/>
      <c r="C217" s="109"/>
      <c r="D217" s="20"/>
      <c r="E217" s="20" t="s">
        <v>110</v>
      </c>
      <c r="F217" s="68" t="s">
        <v>169</v>
      </c>
      <c r="G217" s="91"/>
      <c r="H217" s="144" t="str">
        <f>'Q1 DMV - Revenue'!T206</f>
        <v/>
      </c>
      <c r="I217" s="341">
        <v>2125.75</v>
      </c>
      <c r="J217" s="205">
        <v>2634.91</v>
      </c>
      <c r="K217" s="205">
        <v>2363.84</v>
      </c>
      <c r="L217" s="311">
        <f t="shared" si="22"/>
        <v>7124.5</v>
      </c>
      <c r="M217" s="31"/>
      <c r="N217" s="84"/>
      <c r="O217" s="42"/>
      <c r="P217" s="31">
        <v>0</v>
      </c>
      <c r="Q217" s="382">
        <f t="shared" si="23"/>
        <v>0</v>
      </c>
      <c r="R217" s="178"/>
      <c r="S217" s="295"/>
      <c r="T217" s="328" t="str">
        <f t="shared" si="21"/>
        <v/>
      </c>
      <c r="U217" s="421">
        <v>7124.4</v>
      </c>
      <c r="V217" s="158">
        <f t="shared" si="26"/>
        <v>0</v>
      </c>
      <c r="W217" s="386">
        <f t="shared" si="24"/>
        <v>0</v>
      </c>
      <c r="X217" s="387">
        <f t="shared" si="25"/>
        <v>0</v>
      </c>
      <c r="Y217" s="305">
        <v>0</v>
      </c>
      <c r="Z217" s="305">
        <v>0</v>
      </c>
      <c r="AA217" s="38">
        <v>0</v>
      </c>
      <c r="AB217" s="16">
        <v>15426.14</v>
      </c>
      <c r="AC217" s="16">
        <v>0</v>
      </c>
      <c r="AD217" s="16">
        <v>0</v>
      </c>
      <c r="AF217" s="16">
        <v>0</v>
      </c>
      <c r="AG217" s="16">
        <v>0</v>
      </c>
      <c r="AH217" s="16">
        <v>0</v>
      </c>
    </row>
    <row r="218" spans="1:34">
      <c r="A218" s="16"/>
      <c r="B218" s="120" t="s">
        <v>90</v>
      </c>
      <c r="C218" s="111"/>
      <c r="D218" s="21"/>
      <c r="E218" s="21" t="s">
        <v>110</v>
      </c>
      <c r="F218" s="68" t="s">
        <v>302</v>
      </c>
      <c r="G218" s="91">
        <v>3016.08</v>
      </c>
      <c r="H218" s="144">
        <f>'Q1 DMV - Revenue'!T207</f>
        <v>0</v>
      </c>
      <c r="I218" s="340"/>
      <c r="J218" s="204"/>
      <c r="K218" s="204"/>
      <c r="L218" s="311">
        <f t="shared" ref="L218" si="27">SUM(G218:K218)</f>
        <v>3016.08</v>
      </c>
      <c r="M218" s="31"/>
      <c r="N218" s="84"/>
      <c r="O218" s="42"/>
      <c r="P218" s="31">
        <v>0</v>
      </c>
      <c r="Q218" s="382">
        <f t="shared" si="23"/>
        <v>0</v>
      </c>
      <c r="R218" s="178"/>
      <c r="S218" s="295"/>
      <c r="T218" s="328" t="str">
        <f t="shared" ref="T218" si="28">IF(R218="","",R218-Q218)</f>
        <v/>
      </c>
      <c r="U218" s="421">
        <v>3016.08</v>
      </c>
      <c r="V218" s="158">
        <f t="shared" si="26"/>
        <v>0</v>
      </c>
      <c r="W218" s="386">
        <f t="shared" si="24"/>
        <v>0</v>
      </c>
      <c r="X218" s="387">
        <f t="shared" si="25"/>
        <v>0</v>
      </c>
      <c r="Y218" s="305">
        <v>0</v>
      </c>
      <c r="Z218" s="305">
        <v>0</v>
      </c>
      <c r="AA218" s="38">
        <v>0</v>
      </c>
      <c r="AB218" s="16">
        <v>0</v>
      </c>
      <c r="AC218" s="16">
        <v>0</v>
      </c>
      <c r="AD218" s="16">
        <v>0</v>
      </c>
      <c r="AF218" s="16">
        <v>0</v>
      </c>
      <c r="AG218" s="16">
        <v>0</v>
      </c>
      <c r="AH218" s="16">
        <v>0</v>
      </c>
    </row>
    <row r="219" spans="1:34" ht="13" thickBot="1">
      <c r="A219" s="16"/>
      <c r="B219" s="120" t="s">
        <v>90</v>
      </c>
      <c r="C219" s="111"/>
      <c r="D219" s="21"/>
      <c r="E219" s="21" t="s">
        <v>110</v>
      </c>
      <c r="F219" s="170" t="s">
        <v>87</v>
      </c>
      <c r="G219" s="170"/>
      <c r="H219" s="301" t="str">
        <f>'Q1 DMV - Revenue'!T208</f>
        <v/>
      </c>
      <c r="I219" s="222"/>
      <c r="J219" s="179"/>
      <c r="K219" s="203"/>
      <c r="L219" s="319">
        <f t="shared" si="22"/>
        <v>0</v>
      </c>
      <c r="M219" s="31"/>
      <c r="N219" s="39"/>
      <c r="O219" s="45"/>
      <c r="P219" s="31">
        <v>0</v>
      </c>
      <c r="Q219" s="382">
        <f t="shared" si="23"/>
        <v>0</v>
      </c>
      <c r="R219" s="178"/>
      <c r="S219" s="295"/>
      <c r="T219" s="328" t="str">
        <f t="shared" si="21"/>
        <v/>
      </c>
      <c r="U219" s="421"/>
      <c r="V219" s="158">
        <f t="shared" si="26"/>
        <v>0</v>
      </c>
      <c r="W219" s="386">
        <f t="shared" si="24"/>
        <v>0</v>
      </c>
      <c r="X219" s="387">
        <f t="shared" si="25"/>
        <v>0</v>
      </c>
      <c r="Y219" s="305">
        <v>0</v>
      </c>
      <c r="Z219" s="305">
        <v>0</v>
      </c>
      <c r="AA219" s="38">
        <v>0</v>
      </c>
      <c r="AB219" s="16">
        <v>0</v>
      </c>
      <c r="AC219" s="16">
        <v>0</v>
      </c>
      <c r="AD219" s="16">
        <v>0</v>
      </c>
      <c r="AF219" s="16">
        <v>0</v>
      </c>
      <c r="AG219" s="16">
        <v>0</v>
      </c>
      <c r="AH219" s="16">
        <v>0</v>
      </c>
    </row>
    <row r="220" spans="1:34">
      <c r="A220" s="16"/>
      <c r="B220" s="121"/>
      <c r="C220" s="114"/>
      <c r="D220" s="25"/>
      <c r="E220" s="25" t="s">
        <v>110</v>
      </c>
      <c r="F220" s="69" t="s">
        <v>62</v>
      </c>
      <c r="G220" s="171"/>
      <c r="H220" s="302" t="str">
        <f>'Q1 DMV - Revenue'!T209</f>
        <v/>
      </c>
      <c r="I220" s="223"/>
      <c r="J220" s="26"/>
      <c r="K220" s="224"/>
      <c r="L220" s="320">
        <f t="shared" si="22"/>
        <v>0</v>
      </c>
      <c r="M220" s="31"/>
      <c r="N220" s="87"/>
      <c r="O220" s="43"/>
      <c r="P220" s="31">
        <v>0</v>
      </c>
      <c r="Q220" s="382">
        <f t="shared" si="23"/>
        <v>0</v>
      </c>
      <c r="R220" s="178"/>
      <c r="S220" s="295"/>
      <c r="T220" s="328" t="str">
        <f t="shared" si="21"/>
        <v/>
      </c>
      <c r="U220" s="421"/>
      <c r="V220" s="158">
        <f t="shared" si="26"/>
        <v>0</v>
      </c>
      <c r="W220" s="386">
        <f t="shared" si="24"/>
        <v>0</v>
      </c>
      <c r="X220" s="387">
        <f t="shared" si="25"/>
        <v>0</v>
      </c>
      <c r="Y220" s="305">
        <v>0</v>
      </c>
      <c r="Z220" s="305">
        <v>0</v>
      </c>
      <c r="AA220" s="38">
        <v>0</v>
      </c>
      <c r="AB220" s="16">
        <v>0</v>
      </c>
      <c r="AC220" s="16">
        <v>0</v>
      </c>
      <c r="AD220" s="16">
        <v>0</v>
      </c>
      <c r="AF220" s="16">
        <v>0</v>
      </c>
      <c r="AG220" s="16">
        <v>0</v>
      </c>
      <c r="AH220" s="16">
        <v>0</v>
      </c>
    </row>
    <row r="221" spans="1:34">
      <c r="A221" s="16" t="s">
        <v>217</v>
      </c>
      <c r="B221" s="121"/>
      <c r="C221" s="114"/>
      <c r="D221" s="25"/>
      <c r="E221" s="25"/>
      <c r="F221" s="70" t="s">
        <v>6</v>
      </c>
      <c r="G221" s="171"/>
      <c r="H221" s="302" t="str">
        <f>'Q1 DMV - Revenue'!T210</f>
        <v/>
      </c>
      <c r="I221" s="223"/>
      <c r="J221" s="26"/>
      <c r="K221" s="224"/>
      <c r="L221" s="320">
        <f t="shared" si="22"/>
        <v>0</v>
      </c>
      <c r="M221" s="31"/>
      <c r="N221" s="88"/>
      <c r="O221" s="44"/>
      <c r="P221" s="31">
        <v>0</v>
      </c>
      <c r="Q221" s="382">
        <f t="shared" si="23"/>
        <v>0</v>
      </c>
      <c r="R221" s="178"/>
      <c r="S221" s="295"/>
      <c r="T221" s="328" t="str">
        <f t="shared" si="21"/>
        <v/>
      </c>
      <c r="U221" s="421"/>
      <c r="V221" s="158">
        <f t="shared" si="26"/>
        <v>0</v>
      </c>
      <c r="W221" s="386">
        <f t="shared" si="24"/>
        <v>0</v>
      </c>
      <c r="X221" s="387">
        <f t="shared" si="25"/>
        <v>0</v>
      </c>
      <c r="Y221" s="305">
        <v>0</v>
      </c>
      <c r="Z221" s="305">
        <v>0</v>
      </c>
      <c r="AA221" s="38">
        <v>0</v>
      </c>
      <c r="AB221" s="16">
        <v>0</v>
      </c>
      <c r="AC221" s="16">
        <v>0</v>
      </c>
      <c r="AD221" s="16">
        <v>0</v>
      </c>
      <c r="AF221" s="16">
        <v>0</v>
      </c>
      <c r="AG221" s="16">
        <v>0</v>
      </c>
      <c r="AH221" s="16">
        <v>0</v>
      </c>
    </row>
    <row r="222" spans="1:34">
      <c r="A222" s="16"/>
      <c r="B222" s="121"/>
      <c r="C222" s="114"/>
      <c r="D222" s="25"/>
      <c r="E222" s="25"/>
      <c r="F222" s="70" t="s">
        <v>30</v>
      </c>
      <c r="G222" s="171"/>
      <c r="H222" s="303" t="str">
        <f>'Q1 DMV - Revenue'!T211</f>
        <v/>
      </c>
      <c r="I222" s="225"/>
      <c r="J222" s="1"/>
      <c r="K222" s="224"/>
      <c r="L222" s="321">
        <f t="shared" si="22"/>
        <v>0</v>
      </c>
      <c r="M222" s="31"/>
      <c r="N222" s="88"/>
      <c r="O222" s="44"/>
      <c r="P222" s="31">
        <v>0</v>
      </c>
      <c r="Q222" s="382">
        <f t="shared" si="23"/>
        <v>0</v>
      </c>
      <c r="R222" s="178"/>
      <c r="S222" s="295"/>
      <c r="T222" s="328" t="str">
        <f t="shared" si="21"/>
        <v/>
      </c>
      <c r="U222" s="421"/>
      <c r="V222" s="158">
        <f t="shared" si="26"/>
        <v>0</v>
      </c>
      <c r="W222" s="386">
        <f t="shared" si="24"/>
        <v>0</v>
      </c>
      <c r="X222" s="387">
        <f t="shared" si="25"/>
        <v>0</v>
      </c>
      <c r="Y222" s="305">
        <v>0</v>
      </c>
      <c r="Z222" s="305">
        <v>0</v>
      </c>
      <c r="AA222" s="38">
        <v>0</v>
      </c>
      <c r="AB222" s="16">
        <v>0</v>
      </c>
      <c r="AC222" s="16">
        <v>0</v>
      </c>
      <c r="AD222" s="16">
        <v>0</v>
      </c>
      <c r="AF222" s="16">
        <v>0</v>
      </c>
      <c r="AG222" s="16">
        <v>0</v>
      </c>
      <c r="AH222" s="16">
        <v>0</v>
      </c>
    </row>
    <row r="223" spans="1:34">
      <c r="A223" s="16"/>
      <c r="B223" s="121"/>
      <c r="C223" s="114"/>
      <c r="D223" s="25"/>
      <c r="E223" s="25"/>
      <c r="F223" s="70" t="s">
        <v>34</v>
      </c>
      <c r="G223" s="26"/>
      <c r="H223" s="303" t="str">
        <f>'Q1 DMV - Revenue'!T212</f>
        <v/>
      </c>
      <c r="I223" s="225"/>
      <c r="J223" s="1"/>
      <c r="K223" s="224"/>
      <c r="L223" s="321">
        <f t="shared" si="22"/>
        <v>0</v>
      </c>
      <c r="M223" s="31"/>
      <c r="N223" s="88"/>
      <c r="O223" s="44"/>
      <c r="P223" s="31">
        <v>0</v>
      </c>
      <c r="Q223" s="382">
        <f t="shared" si="23"/>
        <v>0</v>
      </c>
      <c r="R223" s="178"/>
      <c r="S223" s="295"/>
      <c r="T223" s="328" t="str">
        <f t="shared" si="21"/>
        <v/>
      </c>
      <c r="U223" s="421"/>
      <c r="V223" s="158">
        <f t="shared" si="26"/>
        <v>0</v>
      </c>
      <c r="W223" s="386">
        <f t="shared" si="24"/>
        <v>0</v>
      </c>
      <c r="X223" s="387">
        <f t="shared" si="25"/>
        <v>0</v>
      </c>
      <c r="Y223" s="305">
        <v>0</v>
      </c>
      <c r="Z223" s="305">
        <v>0</v>
      </c>
      <c r="AA223" s="38">
        <v>0</v>
      </c>
      <c r="AB223" s="16">
        <v>0</v>
      </c>
      <c r="AC223" s="16">
        <v>0</v>
      </c>
      <c r="AD223" s="16">
        <v>0</v>
      </c>
      <c r="AF223" s="16">
        <v>0</v>
      </c>
      <c r="AG223" s="16">
        <v>0</v>
      </c>
      <c r="AH223" s="16">
        <v>0</v>
      </c>
    </row>
    <row r="224" spans="1:34">
      <c r="A224" s="16"/>
      <c r="B224" s="121"/>
      <c r="C224" s="114"/>
      <c r="D224" s="25"/>
      <c r="E224" s="25"/>
      <c r="F224" s="70" t="s">
        <v>37</v>
      </c>
      <c r="G224" s="26"/>
      <c r="H224" s="303" t="str">
        <f>'Q1 DMV - Revenue'!T213</f>
        <v/>
      </c>
      <c r="I224" s="225"/>
      <c r="J224" s="1"/>
      <c r="K224" s="224"/>
      <c r="L224" s="321">
        <f t="shared" ref="L224:L227" si="29">SUM(G224:K224)</f>
        <v>0</v>
      </c>
      <c r="M224" s="31"/>
      <c r="N224" s="88"/>
      <c r="O224" s="44"/>
      <c r="P224" s="31">
        <v>0</v>
      </c>
      <c r="Q224" s="382">
        <f t="shared" si="23"/>
        <v>0</v>
      </c>
      <c r="R224" s="178"/>
      <c r="S224" s="295"/>
      <c r="T224" s="328" t="str">
        <f t="shared" ref="T224:T227" si="30">IF(R224="","",R224-Q224)</f>
        <v/>
      </c>
      <c r="U224" s="421"/>
      <c r="V224" s="158">
        <f t="shared" si="26"/>
        <v>0</v>
      </c>
      <c r="W224" s="386">
        <f t="shared" si="24"/>
        <v>0</v>
      </c>
      <c r="X224" s="387">
        <f t="shared" si="25"/>
        <v>0</v>
      </c>
      <c r="Y224" s="305">
        <v>0</v>
      </c>
      <c r="Z224" s="305">
        <v>0</v>
      </c>
      <c r="AA224" s="38">
        <v>0</v>
      </c>
      <c r="AB224" s="16">
        <v>0</v>
      </c>
      <c r="AC224" s="16">
        <v>0</v>
      </c>
      <c r="AD224" s="16">
        <v>0</v>
      </c>
      <c r="AF224" s="16">
        <v>0</v>
      </c>
      <c r="AG224" s="16">
        <v>0</v>
      </c>
      <c r="AH224" s="16">
        <v>0</v>
      </c>
    </row>
    <row r="225" spans="1:34">
      <c r="A225" s="16"/>
      <c r="B225" s="121"/>
      <c r="C225" s="114"/>
      <c r="D225" s="25"/>
      <c r="E225" s="25"/>
      <c r="F225" s="70" t="s">
        <v>42</v>
      </c>
      <c r="G225" s="26"/>
      <c r="H225" s="303" t="str">
        <f>'Q1 DMV - Revenue'!T214</f>
        <v/>
      </c>
      <c r="I225" s="225"/>
      <c r="J225" s="1"/>
      <c r="K225" s="224"/>
      <c r="L225" s="321">
        <f t="shared" si="29"/>
        <v>0</v>
      </c>
      <c r="M225" s="31"/>
      <c r="N225" s="88"/>
      <c r="O225" s="44"/>
      <c r="P225" s="31">
        <v>0</v>
      </c>
      <c r="Q225" s="382">
        <f t="shared" si="23"/>
        <v>0</v>
      </c>
      <c r="R225" s="178"/>
      <c r="S225" s="295"/>
      <c r="T225" s="328" t="str">
        <f t="shared" si="30"/>
        <v/>
      </c>
      <c r="U225" s="421"/>
      <c r="V225" s="158">
        <f t="shared" si="26"/>
        <v>0</v>
      </c>
      <c r="W225" s="386">
        <f t="shared" si="24"/>
        <v>0</v>
      </c>
      <c r="X225" s="387">
        <f t="shared" si="25"/>
        <v>0</v>
      </c>
      <c r="Y225" s="305">
        <v>0</v>
      </c>
      <c r="Z225" s="305">
        <v>0</v>
      </c>
      <c r="AA225" s="38">
        <v>0</v>
      </c>
      <c r="AB225" s="16">
        <v>0</v>
      </c>
      <c r="AC225" s="16">
        <v>0</v>
      </c>
      <c r="AD225" s="16">
        <v>0</v>
      </c>
      <c r="AF225" s="16">
        <v>0</v>
      </c>
      <c r="AG225" s="16">
        <v>0</v>
      </c>
      <c r="AH225" s="16">
        <v>0</v>
      </c>
    </row>
    <row r="226" spans="1:34" s="146" customFormat="1">
      <c r="B226" s="120"/>
      <c r="C226" s="111"/>
      <c r="D226" s="21"/>
      <c r="E226" s="21"/>
      <c r="F226" s="68" t="s">
        <v>93</v>
      </c>
      <c r="G226" s="14">
        <f>1215.5+2047.12+1530.2+1470.31+1154.95+827.83</f>
        <v>8245.91</v>
      </c>
      <c r="H226" s="346">
        <f>'Q1 DMV - Revenue'!T215</f>
        <v>1513.71</v>
      </c>
      <c r="I226" s="204"/>
      <c r="J226" s="204"/>
      <c r="K226" s="204"/>
      <c r="L226" s="347">
        <f t="shared" si="29"/>
        <v>9759.619999999999</v>
      </c>
      <c r="M226" s="31"/>
      <c r="N226" s="84"/>
      <c r="O226" s="42"/>
      <c r="P226" s="31">
        <v>0</v>
      </c>
      <c r="Q226" s="382">
        <f t="shared" si="23"/>
        <v>0</v>
      </c>
      <c r="R226" s="178"/>
      <c r="S226" s="14"/>
      <c r="T226" s="328" t="str">
        <f t="shared" si="30"/>
        <v/>
      </c>
      <c r="U226" s="421">
        <v>9759.6200000000008</v>
      </c>
      <c r="V226" s="158">
        <f t="shared" si="26"/>
        <v>0</v>
      </c>
      <c r="W226" s="386">
        <f t="shared" si="24"/>
        <v>0</v>
      </c>
      <c r="X226" s="387">
        <f t="shared" si="25"/>
        <v>0</v>
      </c>
      <c r="Y226" s="306">
        <v>0</v>
      </c>
      <c r="Z226" s="306">
        <v>0</v>
      </c>
      <c r="AA226" s="33">
        <v>0</v>
      </c>
      <c r="AB226" s="146">
        <v>0</v>
      </c>
      <c r="AC226" s="146">
        <v>0</v>
      </c>
      <c r="AD226" s="146">
        <v>0</v>
      </c>
      <c r="AF226" s="146">
        <v>0</v>
      </c>
      <c r="AG226" s="146">
        <v>0</v>
      </c>
      <c r="AH226" s="146">
        <v>0</v>
      </c>
    </row>
    <row r="227" spans="1:34" ht="13" thickBot="1">
      <c r="A227" s="16"/>
      <c r="B227" s="121"/>
      <c r="C227" s="115"/>
      <c r="D227" s="106"/>
      <c r="E227" s="106"/>
      <c r="F227" s="70" t="s">
        <v>49</v>
      </c>
      <c r="G227" s="26"/>
      <c r="H227" s="312" t="str">
        <f>'Q1 DMV - Revenue'!T216</f>
        <v/>
      </c>
      <c r="I227" s="228"/>
      <c r="J227" s="229"/>
      <c r="K227" s="230"/>
      <c r="L227" s="322">
        <f t="shared" si="29"/>
        <v>0</v>
      </c>
      <c r="M227" s="31"/>
      <c r="N227" s="88"/>
      <c r="O227" s="44"/>
      <c r="P227" s="31">
        <v>0</v>
      </c>
      <c r="Q227" s="382">
        <f t="shared" si="23"/>
        <v>0</v>
      </c>
      <c r="R227" s="178"/>
      <c r="S227" s="295"/>
      <c r="T227" s="328" t="str">
        <f t="shared" si="30"/>
        <v/>
      </c>
      <c r="U227" s="421"/>
      <c r="V227" s="158">
        <f t="shared" si="26"/>
        <v>0</v>
      </c>
      <c r="W227" s="386">
        <f t="shared" si="24"/>
        <v>0</v>
      </c>
      <c r="X227" s="387">
        <f t="shared" si="25"/>
        <v>0</v>
      </c>
      <c r="Y227" s="305">
        <v>0</v>
      </c>
      <c r="Z227" s="305">
        <v>0</v>
      </c>
      <c r="AA227" s="38">
        <v>0</v>
      </c>
      <c r="AB227" s="16">
        <v>0</v>
      </c>
      <c r="AC227" s="16">
        <v>0</v>
      </c>
      <c r="AD227" s="16">
        <v>0</v>
      </c>
      <c r="AF227" s="16">
        <v>0</v>
      </c>
      <c r="AG227" s="16">
        <v>0</v>
      </c>
      <c r="AH227" s="16">
        <v>0</v>
      </c>
    </row>
    <row r="228" spans="1:34" ht="13" thickBot="1">
      <c r="A228" s="16"/>
      <c r="B228" s="122"/>
      <c r="C228" s="116"/>
      <c r="D228" s="107"/>
      <c r="E228" s="108"/>
      <c r="F228" s="71" t="s">
        <v>86</v>
      </c>
      <c r="G228" s="157">
        <f>SUM(G19:G227)</f>
        <v>52116.290000000008</v>
      </c>
      <c r="H228" s="157">
        <f>SUM(H19:H227)</f>
        <v>-154504.19799999997</v>
      </c>
      <c r="I228" s="157">
        <f>SUM(I19:I227)</f>
        <v>5034805.7173333364</v>
      </c>
      <c r="J228" s="157">
        <f t="shared" ref="J228:L228" si="31">SUM(J19:J227)</f>
        <v>4274600.9733333327</v>
      </c>
      <c r="K228" s="157">
        <f t="shared" si="31"/>
        <v>306262.20333333331</v>
      </c>
      <c r="L228" s="157">
        <f t="shared" si="31"/>
        <v>9486667.1859999932</v>
      </c>
      <c r="M228" s="314">
        <f t="shared" ref="M228" si="32">SUM(M20:M227)</f>
        <v>0</v>
      </c>
      <c r="N228" s="157">
        <f>SUM(N19:N227)</f>
        <v>4019273.8533999999</v>
      </c>
      <c r="O228" s="157">
        <f>SUM(O19:O227)</f>
        <v>1373565.9149999996</v>
      </c>
      <c r="P228" s="157">
        <f t="shared" ref="P228" si="33">SUM(P20:P227)</f>
        <v>-18698</v>
      </c>
      <c r="Q228" s="157">
        <f>SUM(Q19:Q227)</f>
        <v>5392839.7683999995</v>
      </c>
      <c r="R228" s="157">
        <f t="shared" ref="R228" si="34">SUM(R20:R227)</f>
        <v>5058706.8049999997</v>
      </c>
      <c r="S228" s="297"/>
      <c r="T228" s="329">
        <f>SUM(T20:T227)</f>
        <v>-278008.22840000002</v>
      </c>
      <c r="U228" s="329"/>
      <c r="V228" s="105">
        <f>SUM(V19:V227)</f>
        <v>4806457.8683999991</v>
      </c>
      <c r="W228" s="105">
        <f>SUM(W19:W227)</f>
        <v>413174.33</v>
      </c>
      <c r="X228" s="105">
        <f>SUM(X19:X227)</f>
        <v>165596.62</v>
      </c>
      <c r="Y228" s="105">
        <f>SUM(Y19:Y227)</f>
        <v>6207</v>
      </c>
      <c r="Z228" s="105">
        <f>SUM(Z19:Z227)</f>
        <v>1403.95</v>
      </c>
      <c r="AB228" s="235">
        <v>10235044.639999999</v>
      </c>
      <c r="AC228" s="235">
        <v>910014.591518</v>
      </c>
      <c r="AD228" s="235">
        <v>11676.289999999994</v>
      </c>
      <c r="AF228" s="263">
        <v>3956428.0499999993</v>
      </c>
      <c r="AG228" s="263">
        <v>523677.39300000004</v>
      </c>
      <c r="AH228" s="263">
        <v>115422.29000000001</v>
      </c>
    </row>
    <row r="229" spans="1:34" ht="13" thickBot="1">
      <c r="A229" s="16"/>
      <c r="B229" s="65"/>
      <c r="C229" s="65"/>
      <c r="D229" s="65"/>
      <c r="E229" s="65"/>
      <c r="F229" s="141"/>
      <c r="G229" s="310" t="s">
        <v>293</v>
      </c>
      <c r="H229" s="160">
        <f>H228+G228</f>
        <v>-102387.90799999997</v>
      </c>
      <c r="I229" s="153"/>
      <c r="J229" s="153" t="s">
        <v>225</v>
      </c>
      <c r="K229" s="160">
        <f>K228+J228+I228</f>
        <v>9615668.8940000013</v>
      </c>
      <c r="L229" s="323"/>
      <c r="M229" s="153"/>
      <c r="N229" s="153" t="s">
        <v>296</v>
      </c>
      <c r="O229" s="100">
        <f>O228+N228</f>
        <v>5392839.7683999995</v>
      </c>
      <c r="P229" s="153"/>
      <c r="Q229" s="153"/>
      <c r="R229" s="153"/>
      <c r="S229" s="153"/>
      <c r="T229" s="153"/>
      <c r="U229" s="153"/>
      <c r="V229" s="139"/>
      <c r="W229" s="139"/>
      <c r="X229" s="139"/>
      <c r="Y229" s="139"/>
      <c r="Z229" s="104"/>
    </row>
    <row r="230" spans="1:34" ht="13" thickBot="1">
      <c r="A230" s="65"/>
      <c r="B230" s="65"/>
      <c r="C230" s="65"/>
      <c r="D230" s="65"/>
      <c r="E230" s="65"/>
      <c r="G230" s="128"/>
      <c r="H230" s="47"/>
      <c r="I230" s="153"/>
      <c r="J230" s="153"/>
      <c r="K230" s="153"/>
      <c r="L230" s="153"/>
      <c r="M230" s="153"/>
      <c r="N230" s="153"/>
      <c r="O230" s="67"/>
      <c r="P230" s="153"/>
      <c r="Q230" s="153"/>
      <c r="R230" s="153"/>
      <c r="S230" s="153"/>
      <c r="T230" s="153"/>
      <c r="U230" s="153"/>
      <c r="V230" s="331" t="s">
        <v>345</v>
      </c>
      <c r="W230" s="139"/>
      <c r="X230" s="139"/>
      <c r="Y230" s="139"/>
      <c r="Z230" s="104"/>
    </row>
    <row r="231" spans="1:34" ht="13" thickBot="1">
      <c r="J231" s="309"/>
      <c r="K231" s="79"/>
      <c r="L231" s="18"/>
      <c r="N231" s="232"/>
      <c r="O231" s="233"/>
      <c r="V231" s="332"/>
      <c r="W231" s="333"/>
      <c r="X231" s="333"/>
      <c r="Y231" s="333"/>
      <c r="Z231" s="334"/>
    </row>
    <row r="232" spans="1:34" ht="13" thickBot="1">
      <c r="F232" s="143" t="s">
        <v>294</v>
      </c>
      <c r="J232" s="142"/>
      <c r="K232" s="159"/>
      <c r="L232" s="169"/>
      <c r="N232" s="309" t="s">
        <v>292</v>
      </c>
      <c r="O232" s="308">
        <f>O229+K229+H229</f>
        <v>14906120.7544</v>
      </c>
      <c r="P232" s="146"/>
      <c r="V232" s="158" t="s">
        <v>346</v>
      </c>
      <c r="W232" s="104" t="s">
        <v>352</v>
      </c>
      <c r="X232" s="104">
        <f>SUM(Y234:Y238)-X233</f>
        <v>5348725.7683999995</v>
      </c>
      <c r="Y232" s="104"/>
      <c r="Z232" s="136"/>
    </row>
    <row r="233" spans="1:34" ht="13" thickBot="1">
      <c r="F233" s="143" t="s">
        <v>295</v>
      </c>
      <c r="J233" s="17" t="s">
        <v>249</v>
      </c>
      <c r="K233" s="132"/>
      <c r="O233" s="16"/>
      <c r="Q233" s="151"/>
      <c r="R233" s="151"/>
      <c r="S233" s="151"/>
      <c r="T233" s="151"/>
      <c r="U233" s="151"/>
      <c r="V233" s="158" t="s">
        <v>354</v>
      </c>
      <c r="W233" s="104" t="s">
        <v>353</v>
      </c>
      <c r="X233" s="104">
        <f>W57+W89</f>
        <v>44114</v>
      </c>
      <c r="Y233" s="104"/>
      <c r="Z233" s="136"/>
    </row>
    <row r="234" spans="1:34" ht="13" thickBot="1">
      <c r="F234" s="143" t="s">
        <v>297</v>
      </c>
      <c r="N234" s="309" t="s">
        <v>251</v>
      </c>
      <c r="O234" s="324"/>
      <c r="Q234" s="151"/>
      <c r="R234" s="151"/>
      <c r="S234" s="151"/>
      <c r="T234" s="151"/>
      <c r="U234" s="151"/>
      <c r="V234" s="158" t="s">
        <v>351</v>
      </c>
      <c r="W234" s="104" t="s">
        <v>355</v>
      </c>
      <c r="X234" s="104"/>
      <c r="Y234" s="104">
        <f>V228</f>
        <v>4806457.8683999991</v>
      </c>
      <c r="Z234" s="136"/>
    </row>
    <row r="235" spans="1:34" ht="13" thickBot="1">
      <c r="Q235" s="151"/>
      <c r="R235" s="54"/>
      <c r="S235" s="151"/>
      <c r="T235" s="294"/>
      <c r="U235" s="294"/>
      <c r="V235" s="330" t="s">
        <v>350</v>
      </c>
      <c r="W235" s="279" t="s">
        <v>356</v>
      </c>
      <c r="X235" s="279"/>
      <c r="Y235" s="279">
        <f>Y228</f>
        <v>6207</v>
      </c>
      <c r="Z235" s="280"/>
    </row>
    <row r="236" spans="1:34" ht="15">
      <c r="O236" s="326">
        <f>O232-O234</f>
        <v>14906120.7544</v>
      </c>
      <c r="Q236" s="151"/>
      <c r="R236" s="151"/>
      <c r="S236" s="151"/>
      <c r="T236" s="151"/>
      <c r="U236" s="151"/>
      <c r="V236" s="158" t="s">
        <v>349</v>
      </c>
      <c r="W236" s="104" t="s">
        <v>357</v>
      </c>
      <c r="X236" s="104"/>
      <c r="Y236" s="104">
        <f>W228</f>
        <v>413174.33</v>
      </c>
      <c r="Z236" s="136"/>
    </row>
    <row r="237" spans="1:34">
      <c r="O237" s="325"/>
      <c r="Q237" s="151"/>
      <c r="R237" s="151"/>
      <c r="S237" s="151"/>
      <c r="T237" s="151"/>
      <c r="U237" s="151"/>
      <c r="V237" s="415" t="s">
        <v>348</v>
      </c>
      <c r="W237" s="38" t="s">
        <v>358</v>
      </c>
      <c r="Y237" s="38">
        <f>Z228</f>
        <v>1403.95</v>
      </c>
      <c r="Z237" s="136"/>
    </row>
    <row r="238" spans="1:34" ht="13" thickBot="1">
      <c r="Q238" s="151"/>
      <c r="R238" s="151"/>
      <c r="S238" s="151"/>
      <c r="T238" s="151"/>
      <c r="U238" s="151"/>
      <c r="V238" s="417" t="s">
        <v>347</v>
      </c>
      <c r="W238" s="418" t="s">
        <v>359</v>
      </c>
      <c r="X238" s="418"/>
      <c r="Y238" s="418">
        <f>X228</f>
        <v>165596.62</v>
      </c>
      <c r="Z238" s="414"/>
    </row>
    <row r="239" spans="1:34" ht="13" thickTop="1">
      <c r="V239" s="416"/>
      <c r="W239" s="104"/>
      <c r="X239" s="80">
        <f>SUM(X232:X238)</f>
        <v>5392839.7683999995</v>
      </c>
      <c r="Y239" s="80">
        <f>SUM(Y234:Y238)</f>
        <v>5392839.7683999995</v>
      </c>
      <c r="Z239" s="136"/>
    </row>
    <row r="240" spans="1:34">
      <c r="V240" s="416"/>
      <c r="W240" s="104"/>
      <c r="X240" s="104"/>
      <c r="Y240" s="104"/>
      <c r="Z240" s="136"/>
    </row>
    <row r="241" spans="22:26" ht="13" thickBot="1">
      <c r="V241" s="330"/>
      <c r="W241" s="279"/>
      <c r="X241" s="279"/>
      <c r="Y241" s="279"/>
      <c r="Z241" s="280"/>
    </row>
    <row r="242" spans="22:26">
      <c r="V242" s="104"/>
      <c r="W242" s="104"/>
      <c r="X242" s="104"/>
      <c r="Y242" s="104"/>
      <c r="Z242" s="104"/>
    </row>
  </sheetData>
  <autoFilter ref="A18:K228"/>
  <customSheetViews>
    <customSheetView guid="{005F2F7B-A3A9-4755-A4DF-7CE06C365CC2}" showPageBreaks="1" fitToPage="1" printArea="1" showAutoFilter="1" hiddenColumns="1" topLeftCell="G1">
      <pane ySplit="18" topLeftCell="A196" activePane="bottomLeft" state="frozenSplit"/>
      <selection pane="bottomLeft" activeCell="R203" sqref="R203"/>
      <rowBreaks count="2" manualBreakCount="2">
        <brk id="66" min="4" max="19" man="1"/>
        <brk id="137" min="4" max="19" man="1"/>
      </rowBreaks>
      <pageSetup paperSize="5" scale="33" orientation="portrait" horizontalDpi="1200" verticalDpi="1200"/>
      <autoFilter ref="A18:K228"/>
    </customSheetView>
    <customSheetView guid="{D3CBD86D-0B34-40AC-BD97-D8082E871349}" showPageBreaks="1" fitToPage="1" printArea="1" showAutoFilter="1" hiddenColumns="1" topLeftCell="F1">
      <pane ySplit="17" topLeftCell="A180" activePane="bottomLeft" state="frozenSplit"/>
      <selection pane="bottomLeft" activeCell="L181" sqref="L181:O181"/>
      <rowBreaks count="2" manualBreakCount="2">
        <brk id="66" min="4" max="19" man="1"/>
        <brk id="137" min="4" max="19" man="1"/>
      </rowBreaks>
      <pageSetup paperSize="5" scale="33" orientation="portrait" horizontalDpi="1200" verticalDpi="1200"/>
      <autoFilter ref="A18:K228"/>
    </customSheetView>
    <customSheetView guid="{A6D105A8-F3F8-4045-83EA-8812D2E401D6}" showPageBreaks="1" fitToPage="1" printArea="1" showAutoFilter="1" hiddenColumns="1" topLeftCell="F1">
      <pane ySplit="17" topLeftCell="A30" activePane="bottomLeft" state="frozenSplit"/>
      <selection pane="bottomLeft" activeCell="L43" sqref="L43:O43"/>
      <rowBreaks count="2" manualBreakCount="2">
        <brk id="66" min="4" max="19" man="1"/>
        <brk id="137" min="4" max="19" man="1"/>
      </rowBreaks>
      <pageSetup paperSize="5" scale="33" orientation="portrait" horizontalDpi="1200" verticalDpi="1200"/>
      <autoFilter ref="A18:K228"/>
    </customSheetView>
    <customSheetView guid="{6F4B4768-8A4D-42E2-B88D-A2E3A11E334D}" showPageBreaks="1" fitToPage="1" printArea="1" showAutoFilter="1" hiddenColumns="1" topLeftCell="F1">
      <pane ySplit="18" topLeftCell="A85" activePane="bottomLeft" state="frozenSplit"/>
      <selection pane="bottomLeft" activeCell="H92" sqref="H92"/>
      <rowBreaks count="2" manualBreakCount="2">
        <brk id="66" min="4" max="19" man="1"/>
        <brk id="137" min="4" max="19" man="1"/>
      </rowBreaks>
      <pageSetup paperSize="5" scale="33" orientation="portrait" horizontalDpi="1200" verticalDpi="1200"/>
      <autoFilter ref="A18:K228"/>
    </customSheetView>
    <customSheetView guid="{B41BA366-C439-467E-8D7C-92B77F258AE7}" showPageBreaks="1" fitToPage="1" printArea="1" showAutoFilter="1" topLeftCell="E1">
      <pane xSplit="2" ySplit="18" topLeftCell="J153" activePane="bottomRight" state="frozenSplit"/>
      <selection pane="bottomRight" activeCell="R169" sqref="R169"/>
      <rowBreaks count="2" manualBreakCount="2">
        <brk id="65" min="5" max="24" man="1"/>
        <brk id="134" min="5" max="24" man="1"/>
      </rowBreaks>
      <pageSetup fitToHeight="0" orientation="landscape" horizontalDpi="1200" verticalDpi="1200"/>
      <autoFilter ref="A18:K228"/>
    </customSheetView>
    <customSheetView guid="{FBB4E27B-C157-469A-A64F-17B8B8E33533}" showPageBreaks="1" printArea="1" showAutoFilter="1" hiddenColumns="1" topLeftCell="F1">
      <pane ySplit="18" topLeftCell="A147" activePane="bottomLeft" state="frozenSplit"/>
      <selection pane="bottomLeft" activeCell="J157" sqref="J157"/>
      <rowBreaks count="2" manualBreakCount="2">
        <brk id="65" min="4" max="19" man="1"/>
        <brk id="133" min="4" max="19" man="1"/>
      </rowBreaks>
      <pageSetup paperSize="5" scale="24" orientation="landscape" horizontalDpi="1200" verticalDpi="1200"/>
      <autoFilter ref="A18:K224"/>
    </customSheetView>
    <customSheetView guid="{30EF2F7D-596A-4F42-BFFC-293775FB231D}" showPageBreaks="1" printArea="1" showAutoFilter="1" hiddenColumns="1" topLeftCell="F1">
      <pane ySplit="18" topLeftCell="A193" activePane="bottomLeft" state="frozenSplit"/>
      <selection pane="bottomLeft" activeCell="I203" sqref="I203"/>
      <rowBreaks count="2" manualBreakCount="2">
        <brk id="65" min="4" max="19" man="1"/>
        <brk id="135" min="4" max="19" man="1"/>
      </rowBreaks>
      <pageSetup paperSize="5" scale="24" orientation="landscape" horizontalDpi="1200" verticalDpi="1200"/>
      <autoFilter ref="A18:K228"/>
    </customSheetView>
    <customSheetView guid="{19673ADA-0B6E-420C-87C4-DFC2B9AF85E8}" showPageBreaks="1" printArea="1" showAutoFilter="1" hiddenColumns="1" topLeftCell="F1">
      <pane ySplit="18" topLeftCell="A82" activePane="bottomLeft" state="frozenSplit"/>
      <selection pane="bottomLeft" activeCell="L96" sqref="L96"/>
      <rowBreaks count="2" manualBreakCount="2">
        <brk id="65" min="4" max="19" man="1"/>
        <brk id="135" min="4" max="19" man="1"/>
      </rowBreaks>
      <pageSetup paperSize="5" scale="24" orientation="landscape" horizontalDpi="1200" verticalDpi="1200"/>
      <autoFilter ref="A18:K228"/>
    </customSheetView>
    <customSheetView guid="{EAD60427-EED9-4BA8-BD26-3C00E46B1F0E}" showPageBreaks="1" fitToPage="1" printArea="1" showAutoFilter="1" hiddenColumns="1" topLeftCell="F1">
      <pane ySplit="18" topLeftCell="A30" activePane="bottomLeft" state="frozenSplit"/>
      <selection pane="bottomLeft" activeCell="L43" sqref="L43:O43"/>
      <rowBreaks count="2" manualBreakCount="2">
        <brk id="66" min="4" max="19" man="1"/>
        <brk id="137" min="4" max="19" man="1"/>
      </rowBreaks>
      <pageSetup paperSize="5" scale="33" orientation="portrait" horizontalDpi="1200" verticalDpi="1200"/>
      <autoFilter ref="A18:K228"/>
    </customSheetView>
    <customSheetView guid="{041E0462-B6EA-414A-9F2E-C14ADEFAE5F2}" showPageBreaks="1" fitToPage="1" printArea="1" showAutoFilter="1" hiddenColumns="1" topLeftCell="F1">
      <pane ySplit="18" topLeftCell="A180" activePane="bottomLeft" state="frozenSplit"/>
      <selection pane="bottomLeft" activeCell="L181" sqref="L181:O181"/>
      <rowBreaks count="2" manualBreakCount="2">
        <brk id="66" min="4" max="19" man="1"/>
        <brk id="137" min="4" max="19" man="1"/>
      </rowBreaks>
      <pageSetup paperSize="5" scale="33" orientation="portrait" horizontalDpi="1200" verticalDpi="1200"/>
      <autoFilter ref="A18:K228"/>
    </customSheetView>
    <customSheetView guid="{86CCC894-C193-4761-8385-3C374FD67B70}" showPageBreaks="1" fitToPage="1" printArea="1" showAutoFilter="1" hiddenColumns="1" topLeftCell="F1">
      <pane ySplit="17" topLeftCell="A180" activePane="bottomLeft" state="frozenSplit"/>
      <selection pane="bottomLeft" activeCell="L181" sqref="L181:O181"/>
      <rowBreaks count="2" manualBreakCount="2">
        <brk id="66" min="4" max="19" man="1"/>
        <brk id="137" min="4" max="19" man="1"/>
      </rowBreaks>
      <pageSetup paperSize="5" scale="33" orientation="portrait" horizontalDpi="1200" verticalDpi="1200"/>
      <autoFilter ref="A18:K228"/>
    </customSheetView>
  </customSheetViews>
  <pageMargins left="0.25" right="0.7" top="0.28000000000000003" bottom="0.25" header="0.18" footer="0.04"/>
  <pageSetup paperSize="5" scale="33" orientation="portrait" horizontalDpi="1200" verticalDpi="1200"/>
  <rowBreaks count="2" manualBreakCount="2">
    <brk id="66" min="4" max="19" man="1"/>
    <brk id="137" min="4" max="19" man="1"/>
  </rowBreaks>
  <legacyDrawing r:id="rId1"/>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227"/>
  <sheetViews>
    <sheetView topLeftCell="F1" zoomScale="90" zoomScaleSheetLayoutView="87" workbookViewId="0">
      <pane xSplit="5" ySplit="17" topLeftCell="N165" activePane="bottomRight" state="frozen"/>
      <selection activeCell="F1" sqref="F1"/>
      <selection pane="topRight" activeCell="K1" sqref="K1"/>
      <selection pane="bottomLeft" activeCell="F18" sqref="F18"/>
      <selection pane="bottomRight" activeCell="M172" sqref="M172:O172"/>
    </sheetView>
  </sheetViews>
  <sheetFormatPr baseColWidth="10" defaultColWidth="9.3984375" defaultRowHeight="12" outlineLevelCol="1" x14ac:dyDescent="0"/>
  <cols>
    <col min="1" max="1" width="17.19921875" style="18" hidden="1" customWidth="1" outlineLevel="1"/>
    <col min="2" max="2" width="20.796875" style="18" hidden="1" customWidth="1" outlineLevel="1"/>
    <col min="3" max="3" width="18.59765625" style="18" hidden="1" customWidth="1" outlineLevel="1"/>
    <col min="4" max="4" width="19.59765625" style="18" hidden="1" customWidth="1" outlineLevel="1"/>
    <col min="5" max="5" width="11.59765625" style="18" hidden="1" customWidth="1" outlineLevel="1"/>
    <col min="6" max="6" width="70" style="23" customWidth="1" collapsed="1"/>
    <col min="7" max="7" width="22.19921875" style="35" bestFit="1" customWidth="1"/>
    <col min="8" max="8" width="18.3984375" style="48" customWidth="1"/>
    <col min="9" max="9" width="19.3984375" style="17" bestFit="1" customWidth="1"/>
    <col min="10" max="10" width="20.3984375" style="17" customWidth="1"/>
    <col min="11" max="11" width="22" style="131" bestFit="1" customWidth="1"/>
    <col min="12" max="12" width="1.59765625" style="24" customWidth="1"/>
    <col min="13" max="13" width="21.59765625" style="24" customWidth="1"/>
    <col min="14" max="14" width="20.3984375" style="24" customWidth="1"/>
    <col min="15" max="15" width="20.59765625" style="24" bestFit="1" customWidth="1"/>
    <col min="16" max="16" width="1" style="16" customWidth="1"/>
    <col min="17" max="17" width="20.796875" style="19" customWidth="1"/>
    <col min="18" max="18" width="25.3984375" style="19" customWidth="1"/>
    <col min="19" max="19" width="1" style="19" customWidth="1"/>
    <col min="20" max="20" width="22.19921875" style="19" customWidth="1"/>
    <col min="21" max="21" width="20.796875" style="38" bestFit="1" customWidth="1"/>
    <col min="22" max="22" width="21.3984375" style="38" bestFit="1" customWidth="1"/>
    <col min="23" max="23" width="20" style="38" bestFit="1" customWidth="1"/>
    <col min="24" max="24" width="23.3984375" style="38" bestFit="1" customWidth="1"/>
    <col min="25" max="25" width="24.796875" style="38" bestFit="1" customWidth="1"/>
    <col min="26" max="26" width="11" style="16" bestFit="1" customWidth="1"/>
    <col min="27" max="27" width="19.3984375" style="16" bestFit="1" customWidth="1"/>
    <col min="28" max="28" width="19" style="16" bestFit="1" customWidth="1"/>
    <col min="29" max="29" width="19.796875" style="16" customWidth="1"/>
    <col min="30" max="30" width="9.3984375" style="16"/>
    <col min="31" max="31" width="14.19921875" style="16" bestFit="1" customWidth="1"/>
    <col min="32" max="33" width="14.19921875" style="16" customWidth="1"/>
    <col min="34" max="16384" width="9.3984375" style="16"/>
  </cols>
  <sheetData>
    <row r="1" spans="1:24">
      <c r="F1" s="23" t="s">
        <v>71</v>
      </c>
      <c r="H1" s="29"/>
      <c r="I1" s="162"/>
      <c r="J1" s="163"/>
      <c r="L1" s="40"/>
      <c r="M1" s="20" t="s">
        <v>119</v>
      </c>
      <c r="N1" s="20" t="s">
        <v>119</v>
      </c>
      <c r="O1" s="20" t="s">
        <v>120</v>
      </c>
    </row>
    <row r="2" spans="1:24">
      <c r="A2" s="16"/>
      <c r="F2" s="23" t="s">
        <v>72</v>
      </c>
      <c r="H2" s="29"/>
      <c r="I2" s="162"/>
      <c r="J2" s="163"/>
      <c r="L2" s="40"/>
      <c r="M2" s="20"/>
      <c r="N2" s="20"/>
      <c r="O2" s="20"/>
    </row>
    <row r="3" spans="1:24">
      <c r="A3" s="16"/>
      <c r="F3" s="147" t="s">
        <v>252</v>
      </c>
      <c r="H3" s="29"/>
      <c r="I3" s="18"/>
      <c r="J3" s="168"/>
      <c r="M3" s="140"/>
      <c r="N3" s="140"/>
      <c r="O3" s="236"/>
    </row>
    <row r="4" spans="1:24">
      <c r="A4" s="16"/>
      <c r="F4" s="148" t="s">
        <v>228</v>
      </c>
      <c r="H4" s="152"/>
      <c r="I4" s="164"/>
      <c r="J4" s="168"/>
      <c r="K4" s="161"/>
    </row>
    <row r="5" spans="1:24" ht="13" thickBot="1">
      <c r="A5" s="16"/>
      <c r="F5" s="28"/>
      <c r="H5" s="152"/>
      <c r="I5" s="161"/>
      <c r="J5" s="161"/>
      <c r="K5" s="161"/>
    </row>
    <row r="6" spans="1:24" ht="13" thickBot="1">
      <c r="A6" s="16"/>
      <c r="F6" s="51" t="s">
        <v>84</v>
      </c>
      <c r="G6" s="52" t="s">
        <v>85</v>
      </c>
      <c r="H6" s="152"/>
      <c r="I6" s="161"/>
      <c r="J6" s="161"/>
      <c r="K6" s="161"/>
      <c r="M6" s="18"/>
      <c r="N6" s="18"/>
      <c r="O6" s="18"/>
      <c r="P6" s="18"/>
      <c r="Q6" s="48"/>
      <c r="R6" s="48"/>
      <c r="S6" s="48"/>
      <c r="T6" s="48"/>
    </row>
    <row r="7" spans="1:24">
      <c r="A7" s="16"/>
      <c r="F7" s="62" t="s">
        <v>74</v>
      </c>
      <c r="G7" s="55" t="s">
        <v>77</v>
      </c>
      <c r="H7" s="152"/>
      <c r="I7" s="161"/>
      <c r="J7" s="161"/>
      <c r="K7" s="161"/>
      <c r="M7" s="18"/>
      <c r="N7" s="169"/>
      <c r="O7" s="169"/>
    </row>
    <row r="8" spans="1:24">
      <c r="A8" s="16"/>
      <c r="F8" s="63" t="s">
        <v>75</v>
      </c>
      <c r="G8" s="97" t="s">
        <v>115</v>
      </c>
      <c r="H8" s="29"/>
      <c r="I8" s="161"/>
      <c r="J8" s="161"/>
      <c r="K8" s="135"/>
      <c r="L8" s="41"/>
      <c r="M8" s="172"/>
      <c r="N8" s="37"/>
      <c r="O8" s="37"/>
    </row>
    <row r="9" spans="1:24">
      <c r="A9" s="16"/>
      <c r="F9" s="63" t="s">
        <v>73</v>
      </c>
      <c r="G9" s="56" t="s">
        <v>78</v>
      </c>
      <c r="H9" s="29"/>
      <c r="I9" s="164"/>
      <c r="J9" s="175"/>
      <c r="K9" s="135"/>
      <c r="L9" s="41"/>
      <c r="M9" s="75"/>
      <c r="N9" s="77"/>
      <c r="O9" s="77"/>
      <c r="P9" s="27"/>
      <c r="Q9" s="46"/>
      <c r="R9" s="46"/>
      <c r="S9" s="46"/>
      <c r="T9" s="46"/>
    </row>
    <row r="10" spans="1:24">
      <c r="A10" s="16"/>
      <c r="F10" s="63" t="s">
        <v>76</v>
      </c>
      <c r="G10" s="57" t="s">
        <v>79</v>
      </c>
      <c r="H10" s="29"/>
      <c r="I10" s="161"/>
      <c r="J10" s="134"/>
      <c r="K10" s="135"/>
      <c r="M10" s="78"/>
      <c r="N10" s="79"/>
      <c r="O10" s="79"/>
      <c r="P10" s="27"/>
      <c r="Q10" s="46"/>
      <c r="R10" s="46"/>
      <c r="S10" s="46"/>
      <c r="T10" s="46"/>
    </row>
    <row r="11" spans="1:24">
      <c r="A11" s="16"/>
      <c r="F11" s="63" t="s">
        <v>81</v>
      </c>
      <c r="G11" s="58" t="s">
        <v>80</v>
      </c>
      <c r="H11" s="29"/>
      <c r="I11" s="161"/>
      <c r="J11" s="134"/>
      <c r="K11" s="10"/>
      <c r="M11" s="78"/>
      <c r="N11" s="79"/>
      <c r="O11" s="79"/>
      <c r="P11" s="27"/>
      <c r="Q11" s="46"/>
      <c r="R11" s="46"/>
      <c r="S11" s="46"/>
      <c r="T11" s="46"/>
    </row>
    <row r="12" spans="1:24">
      <c r="A12" s="16"/>
      <c r="F12" s="63" t="s">
        <v>83</v>
      </c>
      <c r="G12" s="59" t="s">
        <v>82</v>
      </c>
      <c r="H12" s="165"/>
      <c r="I12" s="147"/>
      <c r="J12" s="134"/>
      <c r="M12" s="78"/>
      <c r="N12" s="80"/>
      <c r="O12" s="80"/>
      <c r="P12" s="81"/>
      <c r="Q12" s="12"/>
      <c r="R12" s="12"/>
      <c r="S12" s="12"/>
      <c r="T12" s="12"/>
    </row>
    <row r="13" spans="1:24">
      <c r="A13" s="16"/>
      <c r="F13" s="63" t="s">
        <v>88</v>
      </c>
      <c r="G13" s="60" t="s">
        <v>89</v>
      </c>
      <c r="H13" s="29"/>
      <c r="M13" s="76"/>
      <c r="N13" s="174"/>
      <c r="O13" s="76"/>
      <c r="P13" s="27"/>
      <c r="Q13" s="46"/>
      <c r="R13" s="46"/>
      <c r="S13" s="46"/>
      <c r="T13" s="46"/>
    </row>
    <row r="14" spans="1:24">
      <c r="A14" s="16"/>
      <c r="F14" s="98" t="s">
        <v>116</v>
      </c>
      <c r="G14" s="99" t="s">
        <v>117</v>
      </c>
      <c r="H14" s="29"/>
      <c r="I14" s="166"/>
      <c r="J14" s="145"/>
      <c r="M14" s="76"/>
      <c r="N14" s="173"/>
      <c r="O14" s="173"/>
      <c r="P14" s="27"/>
      <c r="Q14" s="46"/>
      <c r="R14" s="46"/>
      <c r="S14" s="46"/>
      <c r="T14" s="46"/>
    </row>
    <row r="15" spans="1:24" ht="13" thickBot="1">
      <c r="A15" s="16"/>
      <c r="F15" s="64" t="s">
        <v>103</v>
      </c>
      <c r="G15" s="61" t="s">
        <v>101</v>
      </c>
      <c r="H15" s="29"/>
      <c r="I15" s="150"/>
      <c r="J15" s="150"/>
      <c r="M15" s="76"/>
    </row>
    <row r="16" spans="1:24" ht="13" thickBot="1">
      <c r="A16" s="16"/>
      <c r="B16" s="48"/>
      <c r="C16" s="48"/>
      <c r="D16" s="48"/>
      <c r="E16" s="48"/>
      <c r="F16" s="54"/>
      <c r="G16" s="34"/>
      <c r="H16" s="152"/>
      <c r="I16" s="167"/>
      <c r="J16" s="49"/>
      <c r="K16" s="67"/>
      <c r="L16" s="50"/>
      <c r="M16" s="50"/>
      <c r="N16" s="50"/>
      <c r="O16" s="50"/>
      <c r="P16" s="19"/>
      <c r="U16" s="33"/>
      <c r="V16" s="33"/>
      <c r="W16" s="33"/>
      <c r="X16" s="33"/>
    </row>
    <row r="17" spans="1:35" ht="13" thickBot="1">
      <c r="F17" s="53"/>
      <c r="G17" s="154" t="s">
        <v>253</v>
      </c>
      <c r="H17" s="193" t="s">
        <v>227</v>
      </c>
      <c r="I17" s="96" t="s">
        <v>254</v>
      </c>
      <c r="J17" s="96" t="s">
        <v>254</v>
      </c>
      <c r="K17" s="96" t="s">
        <v>254</v>
      </c>
      <c r="L17" s="93"/>
      <c r="M17" s="96" t="s">
        <v>254</v>
      </c>
      <c r="N17" s="96" t="s">
        <v>254</v>
      </c>
      <c r="O17" s="96" t="s">
        <v>254</v>
      </c>
      <c r="P17" s="93"/>
      <c r="Q17" s="13"/>
      <c r="R17" s="96" t="s">
        <v>254</v>
      </c>
      <c r="S17" s="101"/>
      <c r="T17" s="96" t="s">
        <v>254</v>
      </c>
      <c r="U17" s="96" t="s">
        <v>254</v>
      </c>
      <c r="V17" s="96" t="s">
        <v>254</v>
      </c>
      <c r="W17" s="96" t="s">
        <v>254</v>
      </c>
      <c r="X17" s="96" t="s">
        <v>254</v>
      </c>
      <c r="Y17" s="96" t="s">
        <v>254</v>
      </c>
      <c r="AB17" s="266" t="s">
        <v>266</v>
      </c>
      <c r="AF17" s="16" t="s">
        <v>267</v>
      </c>
    </row>
    <row r="18" spans="1:35" ht="13" thickBot="1">
      <c r="A18" s="16"/>
      <c r="B18" s="117" t="s">
        <v>205</v>
      </c>
      <c r="C18" s="112" t="s">
        <v>96</v>
      </c>
      <c r="D18" s="22" t="s">
        <v>95</v>
      </c>
      <c r="E18" s="22" t="s">
        <v>100</v>
      </c>
      <c r="F18" s="36" t="s">
        <v>67</v>
      </c>
      <c r="G18" s="36" t="s">
        <v>230</v>
      </c>
      <c r="H18" s="194" t="s">
        <v>229</v>
      </c>
      <c r="I18" s="176" t="s">
        <v>222</v>
      </c>
      <c r="J18" s="177" t="s">
        <v>255</v>
      </c>
      <c r="K18" s="189" t="s">
        <v>256</v>
      </c>
      <c r="L18" s="93"/>
      <c r="M18" s="92" t="s">
        <v>105</v>
      </c>
      <c r="N18" s="94" t="s">
        <v>104</v>
      </c>
      <c r="O18" s="95" t="s">
        <v>106</v>
      </c>
      <c r="P18" s="102"/>
      <c r="Q18" s="95" t="s">
        <v>257</v>
      </c>
      <c r="R18" s="156" t="s">
        <v>258</v>
      </c>
      <c r="S18" s="30"/>
      <c r="T18" s="155" t="s">
        <v>291</v>
      </c>
      <c r="U18" s="103" t="s">
        <v>111</v>
      </c>
      <c r="V18" s="74" t="s">
        <v>112</v>
      </c>
      <c r="W18" s="74" t="s">
        <v>113</v>
      </c>
      <c r="X18" s="74" t="s">
        <v>223</v>
      </c>
      <c r="Y18" s="138" t="s">
        <v>224</v>
      </c>
      <c r="AA18" s="264" t="s">
        <v>263</v>
      </c>
      <c r="AB18" s="265" t="s">
        <v>264</v>
      </c>
      <c r="AC18" s="265" t="s">
        <v>265</v>
      </c>
      <c r="AE18" s="264" t="s">
        <v>263</v>
      </c>
      <c r="AF18" s="265" t="s">
        <v>264</v>
      </c>
      <c r="AG18" s="265" t="s">
        <v>265</v>
      </c>
      <c r="AI18" s="343"/>
    </row>
    <row r="19" spans="1:35">
      <c r="A19" s="16"/>
      <c r="B19" s="118"/>
      <c r="C19" s="109"/>
      <c r="D19" s="20" t="s">
        <v>109</v>
      </c>
      <c r="E19" s="20" t="s">
        <v>110</v>
      </c>
      <c r="F19" s="123" t="s">
        <v>0</v>
      </c>
      <c r="G19" s="91"/>
      <c r="H19" s="144" t="s">
        <v>226</v>
      </c>
      <c r="I19" s="195">
        <v>22628.45</v>
      </c>
      <c r="J19" s="182">
        <v>17825.73</v>
      </c>
      <c r="K19" s="207"/>
      <c r="L19" s="31"/>
      <c r="M19" s="89">
        <v>40454.18</v>
      </c>
      <c r="N19" s="258">
        <v>17119.095000000001</v>
      </c>
      <c r="O19" s="42"/>
      <c r="P19" s="31">
        <v>0</v>
      </c>
      <c r="Q19" s="14">
        <v>17119.095000000001</v>
      </c>
      <c r="R19" s="178">
        <f>9584.03+7724.35</f>
        <v>17308.38</v>
      </c>
      <c r="S19" s="295"/>
      <c r="T19" s="14">
        <f>IF(R19="","",R19-Q19)</f>
        <v>189.28499999999985</v>
      </c>
      <c r="U19" s="158">
        <v>17119.095000000001</v>
      </c>
      <c r="V19" s="158">
        <v>0</v>
      </c>
      <c r="W19" s="158">
        <v>0</v>
      </c>
      <c r="X19" s="104"/>
      <c r="Y19" s="136"/>
      <c r="Z19" s="38">
        <v>0</v>
      </c>
      <c r="AA19" s="16">
        <v>40454.18</v>
      </c>
      <c r="AB19" s="16">
        <v>0</v>
      </c>
      <c r="AC19" s="16">
        <v>0</v>
      </c>
      <c r="AE19" s="16">
        <v>17119.095000000001</v>
      </c>
      <c r="AF19" s="16">
        <v>0</v>
      </c>
      <c r="AG19" s="16">
        <v>0</v>
      </c>
      <c r="AH19" s="16">
        <f t="shared" ref="AH19:AH50" si="0">SUM(AE19:AG19)</f>
        <v>17119.095000000001</v>
      </c>
      <c r="AI19" s="343">
        <f t="shared" ref="AI19:AI50" si="1">AH19/$AH$217</f>
        <v>3.7251641149001428E-3</v>
      </c>
    </row>
    <row r="20" spans="1:35">
      <c r="A20" s="16"/>
      <c r="B20" s="118"/>
      <c r="C20" s="109"/>
      <c r="D20" s="20" t="s">
        <v>109</v>
      </c>
      <c r="E20" s="20" t="s">
        <v>109</v>
      </c>
      <c r="F20" s="68" t="s">
        <v>127</v>
      </c>
      <c r="G20" s="91"/>
      <c r="H20" s="144" t="s">
        <v>226</v>
      </c>
      <c r="I20" s="195">
        <v>28491.64</v>
      </c>
      <c r="J20" s="178">
        <v>28830.93</v>
      </c>
      <c r="K20" s="238"/>
      <c r="L20" s="31"/>
      <c r="M20" s="89">
        <v>57322.57</v>
      </c>
      <c r="N20" s="259">
        <v>29881.5</v>
      </c>
      <c r="O20" s="42"/>
      <c r="P20" s="31">
        <v>0</v>
      </c>
      <c r="Q20" s="14">
        <v>29881.5</v>
      </c>
      <c r="R20" s="178">
        <v>36980.94</v>
      </c>
      <c r="S20" s="295"/>
      <c r="T20" s="14">
        <f t="shared" ref="T20:T84" si="2">IF(R20="","",R20-Q20)</f>
        <v>7099.4400000000023</v>
      </c>
      <c r="U20" s="158">
        <v>0</v>
      </c>
      <c r="V20" s="158">
        <v>29881.5</v>
      </c>
      <c r="W20" s="158">
        <v>0</v>
      </c>
      <c r="X20" s="104"/>
      <c r="Y20" s="136"/>
      <c r="Z20" s="38">
        <v>0</v>
      </c>
      <c r="AA20" s="16">
        <v>0</v>
      </c>
      <c r="AB20" s="16">
        <v>57322.57</v>
      </c>
      <c r="AC20" s="16">
        <v>0</v>
      </c>
      <c r="AE20" s="16">
        <v>0</v>
      </c>
      <c r="AF20" s="16">
        <v>29881.5</v>
      </c>
      <c r="AG20" s="16">
        <v>0</v>
      </c>
      <c r="AH20" s="16">
        <f t="shared" si="0"/>
        <v>29881.5</v>
      </c>
      <c r="AI20" s="343">
        <f t="shared" si="1"/>
        <v>6.5023000047250519E-3</v>
      </c>
    </row>
    <row r="21" spans="1:35">
      <c r="A21" s="16"/>
      <c r="B21" s="118"/>
      <c r="C21" s="109"/>
      <c r="D21" s="20" t="s">
        <v>109</v>
      </c>
      <c r="E21" s="20" t="s">
        <v>109</v>
      </c>
      <c r="F21" s="68" t="s">
        <v>128</v>
      </c>
      <c r="G21" s="91"/>
      <c r="H21" s="144" t="s">
        <v>226</v>
      </c>
      <c r="I21" s="197"/>
      <c r="J21" s="179"/>
      <c r="K21" s="198"/>
      <c r="L21" s="31"/>
      <c r="M21" s="89">
        <v>0</v>
      </c>
      <c r="N21" s="83"/>
      <c r="O21" s="42"/>
      <c r="P21" s="31">
        <v>0</v>
      </c>
      <c r="Q21" s="14">
        <v>0</v>
      </c>
      <c r="R21" s="178"/>
      <c r="S21" s="295"/>
      <c r="T21" s="14" t="str">
        <f t="shared" si="2"/>
        <v/>
      </c>
      <c r="U21" s="158">
        <v>0</v>
      </c>
      <c r="V21" s="158">
        <v>0</v>
      </c>
      <c r="W21" s="158">
        <v>0</v>
      </c>
      <c r="X21" s="104"/>
      <c r="Y21" s="136"/>
      <c r="Z21" s="38">
        <v>0</v>
      </c>
      <c r="AA21" s="16">
        <v>0</v>
      </c>
      <c r="AB21" s="16">
        <v>0</v>
      </c>
      <c r="AC21" s="16">
        <v>0</v>
      </c>
      <c r="AE21" s="16">
        <v>0</v>
      </c>
      <c r="AF21" s="16">
        <v>0</v>
      </c>
      <c r="AG21" s="16">
        <v>0</v>
      </c>
      <c r="AH21" s="16">
        <f t="shared" si="0"/>
        <v>0</v>
      </c>
      <c r="AI21" s="343">
        <f t="shared" si="1"/>
        <v>0</v>
      </c>
    </row>
    <row r="22" spans="1:35">
      <c r="A22" s="16"/>
      <c r="B22" s="118"/>
      <c r="C22" s="109"/>
      <c r="D22" s="20" t="s">
        <v>109</v>
      </c>
      <c r="E22" s="20" t="s">
        <v>109</v>
      </c>
      <c r="F22" s="68" t="s">
        <v>129</v>
      </c>
      <c r="G22" s="91"/>
      <c r="H22" s="144" t="s">
        <v>226</v>
      </c>
      <c r="I22" s="195">
        <v>60.02</v>
      </c>
      <c r="J22" s="178">
        <v>70.75</v>
      </c>
      <c r="K22" s="207"/>
      <c r="L22" s="31"/>
      <c r="M22" s="89">
        <v>130.77000000000001</v>
      </c>
      <c r="N22" s="258">
        <v>28.518000000000001</v>
      </c>
      <c r="O22" s="42"/>
      <c r="P22" s="31">
        <v>0</v>
      </c>
      <c r="Q22" s="14">
        <v>28.518000000000001</v>
      </c>
      <c r="R22" s="178">
        <v>28.33</v>
      </c>
      <c r="S22" s="295"/>
      <c r="T22" s="14">
        <f t="shared" si="2"/>
        <v>-0.18800000000000239</v>
      </c>
      <c r="U22" s="158">
        <v>0</v>
      </c>
      <c r="V22" s="158">
        <v>28.518000000000001</v>
      </c>
      <c r="W22" s="158">
        <v>0</v>
      </c>
      <c r="X22" s="104"/>
      <c r="Y22" s="136"/>
      <c r="Z22" s="38">
        <v>0</v>
      </c>
      <c r="AA22" s="16">
        <v>0</v>
      </c>
      <c r="AB22" s="16">
        <v>130.77000000000001</v>
      </c>
      <c r="AC22" s="16">
        <v>0</v>
      </c>
      <c r="AE22" s="16">
        <v>0</v>
      </c>
      <c r="AF22" s="16">
        <v>28.518000000000001</v>
      </c>
      <c r="AG22" s="16">
        <v>0</v>
      </c>
      <c r="AH22" s="16">
        <f t="shared" si="0"/>
        <v>28.518000000000001</v>
      </c>
      <c r="AI22" s="343">
        <f t="shared" si="1"/>
        <v>6.2055984985609499E-6</v>
      </c>
    </row>
    <row r="23" spans="1:35">
      <c r="A23" s="16"/>
      <c r="B23" s="118"/>
      <c r="C23" s="109"/>
      <c r="D23" s="20" t="s">
        <v>109</v>
      </c>
      <c r="E23" s="20" t="s">
        <v>110</v>
      </c>
      <c r="F23" s="68" t="s">
        <v>130</v>
      </c>
      <c r="G23" s="91"/>
      <c r="H23" s="144" t="s">
        <v>226</v>
      </c>
      <c r="I23" s="197"/>
      <c r="J23" s="179"/>
      <c r="K23" s="198"/>
      <c r="L23" s="31"/>
      <c r="M23" s="89">
        <v>0</v>
      </c>
      <c r="N23" s="83"/>
      <c r="O23" s="42"/>
      <c r="P23" s="31">
        <v>0</v>
      </c>
      <c r="Q23" s="14">
        <v>0</v>
      </c>
      <c r="R23" s="178"/>
      <c r="S23" s="295"/>
      <c r="T23" s="14" t="str">
        <f t="shared" si="2"/>
        <v/>
      </c>
      <c r="U23" s="158">
        <v>0</v>
      </c>
      <c r="V23" s="158">
        <v>0</v>
      </c>
      <c r="W23" s="158">
        <v>0</v>
      </c>
      <c r="X23" s="104"/>
      <c r="Y23" s="136"/>
      <c r="Z23" s="38">
        <v>0</v>
      </c>
      <c r="AA23" s="16">
        <v>0</v>
      </c>
      <c r="AB23" s="16">
        <v>0</v>
      </c>
      <c r="AC23" s="16">
        <v>0</v>
      </c>
      <c r="AE23" s="16">
        <v>0</v>
      </c>
      <c r="AF23" s="16">
        <v>0</v>
      </c>
      <c r="AG23" s="16">
        <v>0</v>
      </c>
      <c r="AH23" s="16">
        <f t="shared" si="0"/>
        <v>0</v>
      </c>
      <c r="AI23" s="343">
        <f t="shared" si="1"/>
        <v>0</v>
      </c>
    </row>
    <row r="24" spans="1:35">
      <c r="A24" s="16"/>
      <c r="B24" s="118"/>
      <c r="C24" s="109"/>
      <c r="D24" s="20"/>
      <c r="E24" s="20" t="s">
        <v>110</v>
      </c>
      <c r="F24" s="123" t="s">
        <v>131</v>
      </c>
      <c r="G24" s="91"/>
      <c r="H24" s="144" t="s">
        <v>226</v>
      </c>
      <c r="I24" s="195">
        <v>2900.13</v>
      </c>
      <c r="J24" s="180">
        <v>2909.03</v>
      </c>
      <c r="K24" s="201"/>
      <c r="L24" s="31"/>
      <c r="M24" s="89">
        <v>5809.16</v>
      </c>
      <c r="N24" s="84"/>
      <c r="O24" s="42">
        <v>2904.58</v>
      </c>
      <c r="P24" s="31">
        <v>0</v>
      </c>
      <c r="Q24" s="14">
        <v>2904.58</v>
      </c>
      <c r="R24" s="178">
        <v>3094.28</v>
      </c>
      <c r="S24" s="295"/>
      <c r="T24" s="14">
        <f t="shared" si="2"/>
        <v>189.70000000000027</v>
      </c>
      <c r="U24" s="158">
        <v>2904.58</v>
      </c>
      <c r="V24" s="158">
        <v>0</v>
      </c>
      <c r="W24" s="158">
        <v>0</v>
      </c>
      <c r="X24" s="104"/>
      <c r="Y24" s="136"/>
      <c r="Z24" s="38">
        <v>0</v>
      </c>
      <c r="AA24" s="16">
        <v>5809.16</v>
      </c>
      <c r="AB24" s="16">
        <v>0</v>
      </c>
      <c r="AC24" s="16">
        <v>0</v>
      </c>
      <c r="AE24" s="16">
        <v>2904.58</v>
      </c>
      <c r="AF24" s="16">
        <v>0</v>
      </c>
      <c r="AG24" s="16">
        <v>0</v>
      </c>
      <c r="AH24" s="16">
        <f t="shared" si="0"/>
        <v>2904.58</v>
      </c>
      <c r="AI24" s="343">
        <f t="shared" si="1"/>
        <v>6.3204492906059908E-4</v>
      </c>
    </row>
    <row r="25" spans="1:35">
      <c r="A25" s="16"/>
      <c r="B25" s="118"/>
      <c r="C25" s="109"/>
      <c r="D25" s="20"/>
      <c r="E25" s="20" t="s">
        <v>110</v>
      </c>
      <c r="F25" s="123" t="s">
        <v>132</v>
      </c>
      <c r="G25" s="91"/>
      <c r="H25" s="144" t="s">
        <v>226</v>
      </c>
      <c r="I25" s="195">
        <v>2919.18</v>
      </c>
      <c r="J25" s="180">
        <v>3446.69</v>
      </c>
      <c r="K25" s="201"/>
      <c r="L25" s="31"/>
      <c r="M25" s="89">
        <v>6365.87</v>
      </c>
      <c r="N25" s="84"/>
      <c r="O25" s="42">
        <v>3182.9349999999999</v>
      </c>
      <c r="P25" s="31">
        <v>0</v>
      </c>
      <c r="Q25" s="14">
        <v>3182.9349999999999</v>
      </c>
      <c r="R25" s="178">
        <v>3673.26</v>
      </c>
      <c r="S25" s="295"/>
      <c r="T25" s="14">
        <f t="shared" si="2"/>
        <v>490.32500000000027</v>
      </c>
      <c r="U25" s="158">
        <v>3182.9349999999999</v>
      </c>
      <c r="V25" s="158">
        <v>0</v>
      </c>
      <c r="W25" s="158">
        <v>0</v>
      </c>
      <c r="X25" s="104"/>
      <c r="Y25" s="136"/>
      <c r="Z25" s="38">
        <v>0</v>
      </c>
      <c r="AA25" s="16">
        <v>6365.87</v>
      </c>
      <c r="AB25" s="16">
        <v>0</v>
      </c>
      <c r="AC25" s="16">
        <v>0</v>
      </c>
      <c r="AE25" s="16">
        <v>3182.9349999999999</v>
      </c>
      <c r="AF25" s="16">
        <v>0</v>
      </c>
      <c r="AG25" s="16">
        <v>0</v>
      </c>
      <c r="AH25" s="16">
        <f t="shared" si="0"/>
        <v>3182.9349999999999</v>
      </c>
      <c r="AI25" s="343">
        <f t="shared" si="1"/>
        <v>6.92615774493902E-4</v>
      </c>
    </row>
    <row r="26" spans="1:35">
      <c r="A26" s="16"/>
      <c r="B26" s="118"/>
      <c r="C26" s="109"/>
      <c r="D26" s="20"/>
      <c r="E26" s="20" t="s">
        <v>110</v>
      </c>
      <c r="F26" s="123" t="s">
        <v>133</v>
      </c>
      <c r="G26" s="91"/>
      <c r="H26" s="144" t="s">
        <v>226</v>
      </c>
      <c r="I26" s="195">
        <v>984.2</v>
      </c>
      <c r="J26" s="180">
        <v>1047.5999999999999</v>
      </c>
      <c r="K26" s="201"/>
      <c r="L26" s="31"/>
      <c r="M26" s="89">
        <v>2031.8</v>
      </c>
      <c r="N26" s="84"/>
      <c r="O26" s="42">
        <v>1015.9</v>
      </c>
      <c r="P26" s="31">
        <v>0</v>
      </c>
      <c r="Q26" s="14">
        <v>1015.9</v>
      </c>
      <c r="R26" s="178">
        <v>1211.5999999999999</v>
      </c>
      <c r="S26" s="295"/>
      <c r="T26" s="14">
        <f t="shared" si="2"/>
        <v>195.69999999999993</v>
      </c>
      <c r="U26" s="158">
        <v>1015.9</v>
      </c>
      <c r="V26" s="158">
        <v>0</v>
      </c>
      <c r="W26" s="158">
        <v>0</v>
      </c>
      <c r="X26" s="104"/>
      <c r="Y26" s="136"/>
      <c r="Z26" s="38">
        <v>0</v>
      </c>
      <c r="AA26" s="16">
        <v>2031.8</v>
      </c>
      <c r="AB26" s="16">
        <v>0</v>
      </c>
      <c r="AC26" s="16">
        <v>0</v>
      </c>
      <c r="AE26" s="16">
        <v>1015.9</v>
      </c>
      <c r="AF26" s="16">
        <v>0</v>
      </c>
      <c r="AG26" s="16">
        <v>0</v>
      </c>
      <c r="AH26" s="16">
        <f t="shared" si="0"/>
        <v>1015.9</v>
      </c>
      <c r="AI26" s="343">
        <f t="shared" si="1"/>
        <v>2.2106275035725046E-4</v>
      </c>
    </row>
    <row r="27" spans="1:35">
      <c r="A27" s="16"/>
      <c r="B27" s="119"/>
      <c r="C27" s="113"/>
      <c r="D27" s="20" t="s">
        <v>211</v>
      </c>
      <c r="E27" s="20" t="s">
        <v>109</v>
      </c>
      <c r="F27" s="68" t="s">
        <v>187</v>
      </c>
      <c r="G27" s="91"/>
      <c r="H27" s="144">
        <v>9.9999999947613105E-3</v>
      </c>
      <c r="I27" s="212"/>
      <c r="J27" s="183"/>
      <c r="K27" s="183"/>
      <c r="L27" s="2"/>
      <c r="M27" s="89">
        <v>9.9999999947613105E-3</v>
      </c>
      <c r="N27" s="85"/>
      <c r="O27" s="42">
        <v>66874.17</v>
      </c>
      <c r="P27" s="31">
        <v>0</v>
      </c>
      <c r="Q27" s="14">
        <v>66874.17</v>
      </c>
      <c r="R27" s="178">
        <v>61027.01</v>
      </c>
      <c r="S27" s="295"/>
      <c r="T27" s="14">
        <f t="shared" si="2"/>
        <v>-5847.1599999999962</v>
      </c>
      <c r="U27" s="158">
        <v>0</v>
      </c>
      <c r="V27" s="158">
        <v>66874.17</v>
      </c>
      <c r="W27" s="158">
        <v>0</v>
      </c>
      <c r="X27" s="139"/>
      <c r="Y27" s="136"/>
      <c r="Z27" s="38">
        <v>0</v>
      </c>
      <c r="AA27" s="16">
        <v>0</v>
      </c>
      <c r="AB27" s="16">
        <v>9.9999999947613105E-3</v>
      </c>
      <c r="AC27" s="16">
        <v>0</v>
      </c>
      <c r="AE27" s="16">
        <v>0</v>
      </c>
      <c r="AF27" s="16">
        <v>66874.17</v>
      </c>
      <c r="AG27" s="16">
        <v>0</v>
      </c>
      <c r="AH27" s="16">
        <f t="shared" si="0"/>
        <v>66874.17</v>
      </c>
      <c r="AI27" s="343">
        <f t="shared" si="1"/>
        <v>1.4552010973578432E-2</v>
      </c>
    </row>
    <row r="28" spans="1:35">
      <c r="A28" s="16"/>
      <c r="B28" s="119"/>
      <c r="C28" s="113"/>
      <c r="D28" s="32"/>
      <c r="E28" s="20" t="s">
        <v>109</v>
      </c>
      <c r="F28" s="124" t="s">
        <v>189</v>
      </c>
      <c r="G28" s="91"/>
      <c r="H28" s="144">
        <v>-3.0000000000654836E-2</v>
      </c>
      <c r="I28" s="212"/>
      <c r="J28" s="183"/>
      <c r="K28" s="183"/>
      <c r="L28" s="2"/>
      <c r="M28" s="89">
        <v>-3.0000000000654836E-2</v>
      </c>
      <c r="N28" s="85"/>
      <c r="O28" s="42">
        <v>7698.57</v>
      </c>
      <c r="P28" s="31">
        <v>0</v>
      </c>
      <c r="Q28" s="14">
        <v>7698.57</v>
      </c>
      <c r="R28" s="178">
        <v>5419.98</v>
      </c>
      <c r="S28" s="295"/>
      <c r="T28" s="14">
        <f t="shared" si="2"/>
        <v>-2278.59</v>
      </c>
      <c r="U28" s="158">
        <v>0</v>
      </c>
      <c r="V28" s="158">
        <v>0</v>
      </c>
      <c r="W28" s="158">
        <v>0</v>
      </c>
      <c r="Y28" s="137">
        <v>7698.57</v>
      </c>
      <c r="Z28" s="38">
        <v>0</v>
      </c>
      <c r="AA28" s="16">
        <v>0</v>
      </c>
      <c r="AB28" s="16">
        <v>-3.0000000000654836E-2</v>
      </c>
      <c r="AC28" s="16">
        <v>0</v>
      </c>
      <c r="AE28" s="16">
        <v>0</v>
      </c>
      <c r="AF28" s="16">
        <v>7698.57</v>
      </c>
      <c r="AG28" s="16">
        <v>0</v>
      </c>
      <c r="AH28" s="16">
        <f t="shared" si="0"/>
        <v>7698.57</v>
      </c>
      <c r="AI28" s="343">
        <f t="shared" si="1"/>
        <v>1.6752308869158556E-3</v>
      </c>
    </row>
    <row r="29" spans="1:35">
      <c r="A29" s="16"/>
      <c r="B29" s="119"/>
      <c r="C29" s="113"/>
      <c r="D29" s="32"/>
      <c r="E29" s="20" t="s">
        <v>109</v>
      </c>
      <c r="F29" s="124" t="s">
        <v>188</v>
      </c>
      <c r="G29" s="91"/>
      <c r="H29" s="144">
        <v>-2.9999999999972715E-2</v>
      </c>
      <c r="I29" s="212"/>
      <c r="J29" s="183"/>
      <c r="K29" s="183"/>
      <c r="L29" s="2"/>
      <c r="M29" s="89">
        <v>-2.9999999999972715E-2</v>
      </c>
      <c r="N29" s="85"/>
      <c r="O29" s="42">
        <v>1760.47</v>
      </c>
      <c r="P29" s="31">
        <v>0</v>
      </c>
      <c r="Q29" s="14">
        <v>1760.47</v>
      </c>
      <c r="R29" s="178">
        <v>1612.27</v>
      </c>
      <c r="S29" s="295"/>
      <c r="T29" s="14">
        <f t="shared" si="2"/>
        <v>-148.20000000000005</v>
      </c>
      <c r="U29" s="158">
        <v>0</v>
      </c>
      <c r="V29" s="158">
        <v>1760.47</v>
      </c>
      <c r="W29" s="158">
        <v>0</v>
      </c>
      <c r="X29" s="139"/>
      <c r="Y29" s="136"/>
      <c r="Z29" s="38">
        <v>0</v>
      </c>
      <c r="AA29" s="16">
        <v>0</v>
      </c>
      <c r="AB29" s="16">
        <v>-2.9999999999972715E-2</v>
      </c>
      <c r="AC29" s="16">
        <v>0</v>
      </c>
      <c r="AE29" s="16">
        <v>0</v>
      </c>
      <c r="AF29" s="16">
        <v>1760.47</v>
      </c>
      <c r="AG29" s="16">
        <v>0</v>
      </c>
      <c r="AH29" s="16">
        <f t="shared" si="0"/>
        <v>1760.47</v>
      </c>
      <c r="AI29" s="343">
        <f t="shared" si="1"/>
        <v>3.8308331540646591E-4</v>
      </c>
    </row>
    <row r="30" spans="1:35">
      <c r="A30" s="16"/>
      <c r="B30" s="118" t="s">
        <v>70</v>
      </c>
      <c r="C30" s="109"/>
      <c r="D30" s="20"/>
      <c r="E30" s="20" t="s">
        <v>110</v>
      </c>
      <c r="F30" s="68" t="s">
        <v>191</v>
      </c>
      <c r="G30" s="91"/>
      <c r="H30" s="144">
        <v>-100</v>
      </c>
      <c r="I30" s="356">
        <v>111.24</v>
      </c>
      <c r="J30" s="360">
        <v>39.450000000000003</v>
      </c>
      <c r="K30" s="362">
        <v>67.959999999999994</v>
      </c>
      <c r="L30" s="31"/>
      <c r="M30" s="89">
        <v>-100</v>
      </c>
      <c r="N30" s="84"/>
      <c r="O30" s="42">
        <v>0</v>
      </c>
      <c r="P30" s="31">
        <v>0</v>
      </c>
      <c r="Q30" s="14">
        <v>0</v>
      </c>
      <c r="R30" s="178">
        <v>258.19</v>
      </c>
      <c r="S30" s="295"/>
      <c r="T30" s="14">
        <f t="shared" si="2"/>
        <v>258.19</v>
      </c>
      <c r="U30" s="158">
        <v>0</v>
      </c>
      <c r="V30" s="158">
        <v>0</v>
      </c>
      <c r="W30" s="158">
        <v>0</v>
      </c>
      <c r="X30" s="139"/>
      <c r="Y30" s="136"/>
      <c r="Z30" s="38">
        <v>0</v>
      </c>
      <c r="AA30" s="16">
        <v>0</v>
      </c>
      <c r="AB30" s="16">
        <v>-100</v>
      </c>
      <c r="AC30" s="16">
        <v>0</v>
      </c>
      <c r="AE30" s="16">
        <v>0</v>
      </c>
      <c r="AF30" s="16">
        <v>0</v>
      </c>
      <c r="AG30" s="16">
        <v>0</v>
      </c>
      <c r="AH30" s="16">
        <f t="shared" si="0"/>
        <v>0</v>
      </c>
      <c r="AI30" s="343">
        <f t="shared" si="1"/>
        <v>0</v>
      </c>
    </row>
    <row r="31" spans="1:35">
      <c r="A31" s="16"/>
      <c r="B31" s="118" t="s">
        <v>70</v>
      </c>
      <c r="C31" s="109"/>
      <c r="D31" s="20"/>
      <c r="E31" s="20" t="s">
        <v>109</v>
      </c>
      <c r="F31" s="68" t="s">
        <v>1</v>
      </c>
      <c r="G31" s="6"/>
      <c r="H31" s="144" t="s">
        <v>226</v>
      </c>
      <c r="I31" s="247"/>
      <c r="J31" s="183"/>
      <c r="K31" s="248"/>
      <c r="L31" s="31"/>
      <c r="M31" s="89">
        <v>0</v>
      </c>
      <c r="N31" s="84"/>
      <c r="O31" s="42">
        <v>0</v>
      </c>
      <c r="P31" s="31">
        <v>0</v>
      </c>
      <c r="Q31" s="14">
        <v>0</v>
      </c>
      <c r="R31" s="178"/>
      <c r="S31" s="295"/>
      <c r="T31" s="14" t="str">
        <f t="shared" si="2"/>
        <v/>
      </c>
      <c r="U31" s="158">
        <v>0</v>
      </c>
      <c r="V31" s="158">
        <v>0</v>
      </c>
      <c r="W31" s="158">
        <v>0</v>
      </c>
      <c r="X31" s="139"/>
      <c r="Y31" s="136"/>
      <c r="Z31" s="38">
        <v>0</v>
      </c>
      <c r="AA31" s="16">
        <v>0</v>
      </c>
      <c r="AB31" s="16">
        <v>0</v>
      </c>
      <c r="AC31" s="16">
        <v>0</v>
      </c>
      <c r="AE31" s="16">
        <v>0</v>
      </c>
      <c r="AF31" s="16">
        <v>0</v>
      </c>
      <c r="AG31" s="16">
        <v>0</v>
      </c>
      <c r="AH31" s="16">
        <f t="shared" si="0"/>
        <v>0</v>
      </c>
      <c r="AI31" s="343">
        <f t="shared" si="1"/>
        <v>0</v>
      </c>
    </row>
    <row r="32" spans="1:35">
      <c r="A32" s="16"/>
      <c r="B32" s="118"/>
      <c r="C32" s="109"/>
      <c r="D32" s="20" t="s">
        <v>213</v>
      </c>
      <c r="E32" s="20" t="s">
        <v>110</v>
      </c>
      <c r="F32" s="68" t="s">
        <v>2</v>
      </c>
      <c r="G32" s="91"/>
      <c r="H32" s="144" t="s">
        <v>226</v>
      </c>
      <c r="I32" s="197"/>
      <c r="J32" s="179"/>
      <c r="K32" s="203"/>
      <c r="L32" s="31"/>
      <c r="M32" s="89">
        <v>0</v>
      </c>
      <c r="N32" s="84"/>
      <c r="O32" s="42">
        <v>0</v>
      </c>
      <c r="P32" s="31">
        <v>0</v>
      </c>
      <c r="Q32" s="14">
        <v>0</v>
      </c>
      <c r="R32" s="178"/>
      <c r="S32" s="295"/>
      <c r="T32" s="14" t="str">
        <f t="shared" si="2"/>
        <v/>
      </c>
      <c r="U32" s="158">
        <v>0</v>
      </c>
      <c r="V32" s="158">
        <v>0</v>
      </c>
      <c r="W32" s="158">
        <v>0</v>
      </c>
      <c r="X32" s="139"/>
      <c r="Y32" s="136"/>
      <c r="Z32" s="38">
        <v>0</v>
      </c>
      <c r="AA32" s="16">
        <v>0</v>
      </c>
      <c r="AB32" s="16">
        <v>0</v>
      </c>
      <c r="AC32" s="16">
        <v>0</v>
      </c>
      <c r="AE32" s="16">
        <v>0</v>
      </c>
      <c r="AF32" s="16">
        <v>0</v>
      </c>
      <c r="AG32" s="16">
        <v>0</v>
      </c>
      <c r="AH32" s="16">
        <f t="shared" si="0"/>
        <v>0</v>
      </c>
      <c r="AI32" s="343">
        <f t="shared" si="1"/>
        <v>0</v>
      </c>
    </row>
    <row r="33" spans="1:35">
      <c r="A33" s="16"/>
      <c r="B33" s="118"/>
      <c r="C33" s="109"/>
      <c r="D33" s="20"/>
      <c r="E33" s="20" t="s">
        <v>110</v>
      </c>
      <c r="F33" s="68" t="s">
        <v>134</v>
      </c>
      <c r="G33" s="91"/>
      <c r="H33" s="144" t="s">
        <v>226</v>
      </c>
      <c r="I33" s="195">
        <v>228078.4</v>
      </c>
      <c r="J33" s="178">
        <v>245723.59</v>
      </c>
      <c r="K33" s="204"/>
      <c r="L33" s="31"/>
      <c r="M33" s="89">
        <v>473801.99</v>
      </c>
      <c r="N33" s="260">
        <v>254561</v>
      </c>
      <c r="O33" s="42"/>
      <c r="P33" s="31">
        <v>0</v>
      </c>
      <c r="Q33" s="14">
        <v>254561</v>
      </c>
      <c r="R33" s="178">
        <v>254561.95</v>
      </c>
      <c r="S33" s="295"/>
      <c r="T33" s="14">
        <f t="shared" si="2"/>
        <v>0.95000000001164153</v>
      </c>
      <c r="U33" s="158">
        <v>254561</v>
      </c>
      <c r="V33" s="158">
        <v>0</v>
      </c>
      <c r="W33" s="158">
        <v>0</v>
      </c>
      <c r="X33" s="139"/>
      <c r="Y33" s="136"/>
      <c r="Z33" s="38">
        <v>0</v>
      </c>
      <c r="AA33" s="16">
        <v>473801.99</v>
      </c>
      <c r="AB33" s="16">
        <v>0</v>
      </c>
      <c r="AC33" s="16">
        <v>0</v>
      </c>
      <c r="AE33" s="16">
        <v>254561</v>
      </c>
      <c r="AF33" s="16">
        <v>0</v>
      </c>
      <c r="AG33" s="16">
        <v>0</v>
      </c>
      <c r="AH33" s="16">
        <f t="shared" si="0"/>
        <v>254561</v>
      </c>
      <c r="AI33" s="343">
        <f t="shared" si="1"/>
        <v>5.5393202868089415E-2</v>
      </c>
    </row>
    <row r="34" spans="1:35">
      <c r="A34" s="16"/>
      <c r="B34" s="118"/>
      <c r="C34" s="109"/>
      <c r="D34" s="20"/>
      <c r="E34" s="20" t="s">
        <v>110</v>
      </c>
      <c r="F34" s="68" t="s">
        <v>135</v>
      </c>
      <c r="G34" s="91"/>
      <c r="H34" s="144">
        <v>-10000</v>
      </c>
      <c r="I34" s="195">
        <v>6764.8</v>
      </c>
      <c r="J34" s="178">
        <v>6696.9</v>
      </c>
      <c r="K34" s="204"/>
      <c r="L34" s="31"/>
      <c r="M34" s="89">
        <v>3461.7</v>
      </c>
      <c r="N34" s="84"/>
      <c r="O34" s="262">
        <v>10000</v>
      </c>
      <c r="P34" s="31">
        <v>0</v>
      </c>
      <c r="Q34" s="14">
        <v>10000</v>
      </c>
      <c r="R34" s="178">
        <f>6808.9+6227.9+5807.9+6001.1+4879.7</f>
        <v>29725.499999999996</v>
      </c>
      <c r="S34" s="295"/>
      <c r="T34" s="14">
        <f t="shared" si="2"/>
        <v>19725.499999999996</v>
      </c>
      <c r="U34" s="158">
        <v>0</v>
      </c>
      <c r="V34" s="158">
        <v>0</v>
      </c>
      <c r="W34" s="158">
        <v>0</v>
      </c>
      <c r="X34" s="139">
        <v>10000</v>
      </c>
      <c r="Y34" s="136"/>
      <c r="Z34" s="38">
        <v>0</v>
      </c>
      <c r="AA34" s="16">
        <v>3461.7</v>
      </c>
      <c r="AB34" s="16">
        <v>0</v>
      </c>
      <c r="AC34" s="16">
        <v>0</v>
      </c>
      <c r="AE34" s="16">
        <v>10000</v>
      </c>
      <c r="AF34" s="16">
        <v>0</v>
      </c>
      <c r="AG34" s="16">
        <v>0</v>
      </c>
      <c r="AH34" s="16">
        <f t="shared" si="0"/>
        <v>10000</v>
      </c>
      <c r="AI34" s="343">
        <f t="shared" si="1"/>
        <v>2.1760286480682202E-3</v>
      </c>
    </row>
    <row r="35" spans="1:35">
      <c r="A35" s="16"/>
      <c r="B35" s="118"/>
      <c r="C35" s="109"/>
      <c r="D35" s="20"/>
      <c r="E35" s="20" t="s">
        <v>110</v>
      </c>
      <c r="F35" s="68" t="s">
        <v>136</v>
      </c>
      <c r="G35" s="91"/>
      <c r="H35" s="144" t="s">
        <v>226</v>
      </c>
      <c r="I35" s="195">
        <v>55710.98</v>
      </c>
      <c r="J35" s="231">
        <v>44830.06</v>
      </c>
      <c r="K35" s="204"/>
      <c r="L35" s="31"/>
      <c r="M35" s="89">
        <v>100541.04000000001</v>
      </c>
      <c r="N35" s="260">
        <v>44826</v>
      </c>
      <c r="O35" s="42"/>
      <c r="P35" s="31">
        <v>0</v>
      </c>
      <c r="Q35" s="14">
        <v>44826</v>
      </c>
      <c r="R35" s="178">
        <v>44859.41</v>
      </c>
      <c r="S35" s="295"/>
      <c r="T35" s="14">
        <f t="shared" si="2"/>
        <v>33.410000000003492</v>
      </c>
      <c r="U35" s="158">
        <v>44826</v>
      </c>
      <c r="V35" s="158">
        <v>0</v>
      </c>
      <c r="W35" s="158">
        <v>0</v>
      </c>
      <c r="X35" s="139"/>
      <c r="Y35" s="136"/>
      <c r="Z35" s="38">
        <v>0</v>
      </c>
      <c r="AA35" s="16">
        <v>100541.04000000001</v>
      </c>
      <c r="AB35" s="16">
        <v>0</v>
      </c>
      <c r="AC35" s="16">
        <v>0</v>
      </c>
      <c r="AE35" s="16">
        <v>44826</v>
      </c>
      <c r="AF35" s="16">
        <v>0</v>
      </c>
      <c r="AG35" s="16">
        <v>0</v>
      </c>
      <c r="AH35" s="16">
        <f t="shared" si="0"/>
        <v>44826</v>
      </c>
      <c r="AI35" s="343">
        <f t="shared" si="1"/>
        <v>9.7542660178306026E-3</v>
      </c>
    </row>
    <row r="36" spans="1:35">
      <c r="A36" s="16"/>
      <c r="B36" s="118"/>
      <c r="C36" s="109"/>
      <c r="D36" s="20"/>
      <c r="E36" s="20" t="s">
        <v>110</v>
      </c>
      <c r="F36" s="68" t="s">
        <v>137</v>
      </c>
      <c r="G36" s="91"/>
      <c r="H36" s="144" t="s">
        <v>226</v>
      </c>
      <c r="I36" s="195">
        <v>57821.05</v>
      </c>
      <c r="J36" s="231">
        <v>54852.51</v>
      </c>
      <c r="K36" s="204"/>
      <c r="L36" s="31"/>
      <c r="M36" s="89">
        <v>112673.56</v>
      </c>
      <c r="N36" s="260">
        <v>56907</v>
      </c>
      <c r="O36" s="42"/>
      <c r="P36" s="31">
        <v>0</v>
      </c>
      <c r="Q36" s="14">
        <v>56907</v>
      </c>
      <c r="R36" s="178">
        <v>52209.26</v>
      </c>
      <c r="S36" s="295"/>
      <c r="T36" s="14">
        <f t="shared" si="2"/>
        <v>-4697.739999999998</v>
      </c>
      <c r="U36" s="158">
        <v>56907</v>
      </c>
      <c r="V36" s="158">
        <v>0</v>
      </c>
      <c r="W36" s="158">
        <v>0</v>
      </c>
      <c r="X36" s="139"/>
      <c r="Y36" s="136"/>
      <c r="Z36" s="38">
        <v>0</v>
      </c>
      <c r="AA36" s="16">
        <v>112673.56</v>
      </c>
      <c r="AB36" s="16">
        <v>0</v>
      </c>
      <c r="AC36" s="16">
        <v>0</v>
      </c>
      <c r="AE36" s="16">
        <v>56907</v>
      </c>
      <c r="AF36" s="16">
        <v>0</v>
      </c>
      <c r="AG36" s="16">
        <v>0</v>
      </c>
      <c r="AH36" s="16">
        <f t="shared" si="0"/>
        <v>56907</v>
      </c>
      <c r="AI36" s="343">
        <f t="shared" si="1"/>
        <v>1.238312622756182E-2</v>
      </c>
    </row>
    <row r="37" spans="1:35">
      <c r="A37" s="16"/>
      <c r="B37" s="118"/>
      <c r="C37" s="109"/>
      <c r="D37" s="20"/>
      <c r="E37" s="20" t="s">
        <v>110</v>
      </c>
      <c r="F37" s="68" t="s">
        <v>184</v>
      </c>
      <c r="G37" s="91"/>
      <c r="H37" s="144" t="s">
        <v>226</v>
      </c>
      <c r="I37" s="195">
        <v>10060.27</v>
      </c>
      <c r="J37" s="178">
        <v>10732.39</v>
      </c>
      <c r="K37" s="204"/>
      <c r="L37" s="31"/>
      <c r="M37" s="89">
        <v>20792.66</v>
      </c>
      <c r="N37" s="260">
        <v>13922</v>
      </c>
      <c r="O37" s="42"/>
      <c r="P37" s="31">
        <v>0</v>
      </c>
      <c r="Q37" s="14">
        <v>13922</v>
      </c>
      <c r="R37" s="178">
        <v>13926.08</v>
      </c>
      <c r="S37" s="295"/>
      <c r="T37" s="14">
        <f t="shared" si="2"/>
        <v>4.0799999999999272</v>
      </c>
      <c r="U37" s="158">
        <v>13922</v>
      </c>
      <c r="V37" s="158">
        <v>0</v>
      </c>
      <c r="W37" s="158">
        <v>0</v>
      </c>
      <c r="X37" s="139"/>
      <c r="Y37" s="136"/>
      <c r="Z37" s="38">
        <v>0</v>
      </c>
      <c r="AA37" s="16">
        <v>20792.66</v>
      </c>
      <c r="AB37" s="16">
        <v>0</v>
      </c>
      <c r="AC37" s="16">
        <v>0</v>
      </c>
      <c r="AE37" s="16">
        <v>13922</v>
      </c>
      <c r="AF37" s="16">
        <v>0</v>
      </c>
      <c r="AG37" s="16">
        <v>0</v>
      </c>
      <c r="AH37" s="16">
        <f t="shared" si="0"/>
        <v>13922</v>
      </c>
      <c r="AI37" s="343">
        <f t="shared" si="1"/>
        <v>3.0294670838405761E-3</v>
      </c>
    </row>
    <row r="38" spans="1:35">
      <c r="A38" s="16"/>
      <c r="B38" s="118"/>
      <c r="C38" s="109"/>
      <c r="D38" s="20"/>
      <c r="E38" s="20" t="s">
        <v>110</v>
      </c>
      <c r="F38" s="68" t="s">
        <v>246</v>
      </c>
      <c r="G38" s="91"/>
      <c r="H38" s="144" t="s">
        <v>226</v>
      </c>
      <c r="I38" s="195">
        <v>4802.7</v>
      </c>
      <c r="J38" s="178">
        <v>4228.49</v>
      </c>
      <c r="K38" s="204"/>
      <c r="L38" s="31"/>
      <c r="M38" s="89">
        <v>9031.1899999999987</v>
      </c>
      <c r="N38" s="84"/>
      <c r="O38" s="42"/>
      <c r="P38" s="31"/>
      <c r="Q38" s="14">
        <v>0</v>
      </c>
      <c r="R38" s="178">
        <v>3606.85</v>
      </c>
      <c r="S38" s="295"/>
      <c r="T38" s="14">
        <f t="shared" si="2"/>
        <v>3606.85</v>
      </c>
      <c r="U38" s="158">
        <v>0</v>
      </c>
      <c r="V38" s="158">
        <v>0</v>
      </c>
      <c r="W38" s="158">
        <v>0</v>
      </c>
      <c r="X38" s="139"/>
      <c r="Y38" s="136"/>
      <c r="Z38" s="38"/>
      <c r="AA38" s="16">
        <v>9031.1899999999987</v>
      </c>
      <c r="AB38" s="16">
        <v>0</v>
      </c>
      <c r="AC38" s="16">
        <v>0</v>
      </c>
      <c r="AE38" s="16">
        <v>0</v>
      </c>
      <c r="AF38" s="16">
        <v>0</v>
      </c>
      <c r="AG38" s="16">
        <v>0</v>
      </c>
      <c r="AH38" s="16">
        <f t="shared" si="0"/>
        <v>0</v>
      </c>
      <c r="AI38" s="343">
        <f t="shared" si="1"/>
        <v>0</v>
      </c>
    </row>
    <row r="39" spans="1:35">
      <c r="A39" s="16"/>
      <c r="B39" s="118"/>
      <c r="C39" s="109"/>
      <c r="D39" s="20"/>
      <c r="E39" s="20" t="s">
        <v>110</v>
      </c>
      <c r="F39" s="68" t="s">
        <v>247</v>
      </c>
      <c r="G39" s="91"/>
      <c r="H39" s="144" t="s">
        <v>226</v>
      </c>
      <c r="I39" s="195">
        <v>1561.46</v>
      </c>
      <c r="J39" s="178">
        <v>1343.71</v>
      </c>
      <c r="K39" s="204"/>
      <c r="L39" s="31"/>
      <c r="M39" s="89">
        <v>2905.17</v>
      </c>
      <c r="N39" s="84"/>
      <c r="O39" s="42"/>
      <c r="P39" s="31"/>
      <c r="Q39" s="14">
        <v>0</v>
      </c>
      <c r="R39" s="178">
        <v>1101.8</v>
      </c>
      <c r="S39" s="295"/>
      <c r="T39" s="14">
        <f t="shared" si="2"/>
        <v>1101.8</v>
      </c>
      <c r="U39" s="158">
        <v>0</v>
      </c>
      <c r="V39" s="158">
        <v>0</v>
      </c>
      <c r="W39" s="158">
        <v>0</v>
      </c>
      <c r="X39" s="139"/>
      <c r="Y39" s="136"/>
      <c r="Z39" s="38"/>
      <c r="AA39" s="16">
        <v>2905.17</v>
      </c>
      <c r="AB39" s="16">
        <v>0</v>
      </c>
      <c r="AC39" s="16">
        <v>0</v>
      </c>
      <c r="AE39" s="16">
        <v>0</v>
      </c>
      <c r="AF39" s="16">
        <v>0</v>
      </c>
      <c r="AG39" s="16">
        <v>0</v>
      </c>
      <c r="AH39" s="16">
        <f t="shared" si="0"/>
        <v>0</v>
      </c>
      <c r="AI39" s="343">
        <f t="shared" si="1"/>
        <v>0</v>
      </c>
    </row>
    <row r="40" spans="1:35">
      <c r="A40" s="16"/>
      <c r="B40" s="120"/>
      <c r="C40" s="111"/>
      <c r="D40" s="21"/>
      <c r="E40" s="21" t="s">
        <v>114</v>
      </c>
      <c r="F40" s="68" t="s">
        <v>108</v>
      </c>
      <c r="G40" s="91"/>
      <c r="H40" s="144">
        <v>92.839999999999975</v>
      </c>
      <c r="I40" s="195">
        <v>287.16000000000003</v>
      </c>
      <c r="J40" s="182">
        <v>296.29000000000002</v>
      </c>
      <c r="K40" s="207"/>
      <c r="L40" s="31"/>
      <c r="M40" s="89">
        <v>676.29</v>
      </c>
      <c r="N40" s="84"/>
      <c r="O40" s="42"/>
      <c r="P40" s="31">
        <v>0</v>
      </c>
      <c r="Q40" s="14">
        <v>0</v>
      </c>
      <c r="R40" s="178">
        <v>351.52</v>
      </c>
      <c r="S40" s="295"/>
      <c r="T40" s="14">
        <f t="shared" si="2"/>
        <v>351.52</v>
      </c>
      <c r="U40" s="158">
        <v>0</v>
      </c>
      <c r="V40" s="158">
        <v>0</v>
      </c>
      <c r="W40" s="158">
        <v>0</v>
      </c>
      <c r="X40" s="139"/>
      <c r="Y40" s="136"/>
      <c r="Z40" s="38">
        <v>0</v>
      </c>
      <c r="AA40" s="16">
        <v>0</v>
      </c>
      <c r="AB40" s="16">
        <v>0</v>
      </c>
      <c r="AC40" s="16">
        <v>676.29</v>
      </c>
      <c r="AE40" s="16">
        <v>0</v>
      </c>
      <c r="AF40" s="16">
        <v>0</v>
      </c>
      <c r="AG40" s="16">
        <v>0</v>
      </c>
      <c r="AH40" s="16">
        <f t="shared" si="0"/>
        <v>0</v>
      </c>
      <c r="AI40" s="343">
        <f t="shared" si="1"/>
        <v>0</v>
      </c>
    </row>
    <row r="41" spans="1:35">
      <c r="A41" s="16"/>
      <c r="B41" s="120"/>
      <c r="C41" s="111"/>
      <c r="D41" s="21"/>
      <c r="E41" s="21" t="s">
        <v>110</v>
      </c>
      <c r="F41" s="68" t="s">
        <v>234</v>
      </c>
      <c r="G41" s="91"/>
      <c r="H41" s="144" t="s">
        <v>226</v>
      </c>
      <c r="I41" s="356">
        <f>278.31/3</f>
        <v>92.77</v>
      </c>
      <c r="J41" s="356">
        <f>278.31/3</f>
        <v>92.77</v>
      </c>
      <c r="K41" s="356">
        <f>278.31/3</f>
        <v>92.77</v>
      </c>
      <c r="L41" s="31"/>
      <c r="M41" s="89">
        <v>0</v>
      </c>
      <c r="N41" s="84"/>
      <c r="O41" s="42"/>
      <c r="P41" s="31">
        <v>0</v>
      </c>
      <c r="Q41" s="14">
        <v>0</v>
      </c>
      <c r="R41" s="178"/>
      <c r="S41" s="295"/>
      <c r="T41" s="14" t="str">
        <f t="shared" si="2"/>
        <v/>
      </c>
      <c r="U41" s="158">
        <v>0</v>
      </c>
      <c r="V41" s="158">
        <v>0</v>
      </c>
      <c r="W41" s="158">
        <v>0</v>
      </c>
      <c r="X41" s="139"/>
      <c r="Y41" s="136"/>
      <c r="Z41" s="38">
        <v>0</v>
      </c>
      <c r="AA41" s="16">
        <v>0</v>
      </c>
      <c r="AB41" s="16">
        <v>0</v>
      </c>
      <c r="AC41" s="16">
        <v>0</v>
      </c>
      <c r="AE41" s="16">
        <v>0</v>
      </c>
      <c r="AF41" s="16">
        <v>0</v>
      </c>
      <c r="AG41" s="16">
        <v>0</v>
      </c>
      <c r="AH41" s="16">
        <f t="shared" si="0"/>
        <v>0</v>
      </c>
      <c r="AI41" s="343">
        <f t="shared" si="1"/>
        <v>0</v>
      </c>
    </row>
    <row r="42" spans="1:35">
      <c r="A42" s="16"/>
      <c r="B42" s="120"/>
      <c r="C42" s="111"/>
      <c r="D42" s="21"/>
      <c r="E42" s="21" t="s">
        <v>110</v>
      </c>
      <c r="F42" s="68" t="s">
        <v>3</v>
      </c>
      <c r="G42" s="91"/>
      <c r="H42" s="144" t="s">
        <v>226</v>
      </c>
      <c r="I42" s="195">
        <v>1646.73</v>
      </c>
      <c r="J42" s="183"/>
      <c r="K42" s="238"/>
      <c r="L42" s="31"/>
      <c r="M42" s="89">
        <v>1646.73</v>
      </c>
      <c r="N42" s="84"/>
      <c r="O42" s="42">
        <v>3293.46</v>
      </c>
      <c r="P42" s="31">
        <v>0</v>
      </c>
      <c r="Q42" s="14">
        <v>3293.46</v>
      </c>
      <c r="R42" s="178"/>
      <c r="S42" s="295"/>
      <c r="T42" s="14" t="str">
        <f t="shared" si="2"/>
        <v/>
      </c>
      <c r="U42" s="158">
        <v>3293.46</v>
      </c>
      <c r="V42" s="158">
        <v>0</v>
      </c>
      <c r="W42" s="158">
        <v>0</v>
      </c>
      <c r="X42" s="139"/>
      <c r="Y42" s="136"/>
      <c r="Z42" s="38">
        <v>0</v>
      </c>
      <c r="AA42" s="16">
        <v>1646.73</v>
      </c>
      <c r="AB42" s="16">
        <v>0</v>
      </c>
      <c r="AC42" s="16">
        <v>0</v>
      </c>
      <c r="AE42" s="16">
        <v>3293.46</v>
      </c>
      <c r="AF42" s="16">
        <v>0</v>
      </c>
      <c r="AG42" s="16">
        <v>0</v>
      </c>
      <c r="AH42" s="16">
        <f t="shared" si="0"/>
        <v>3293.46</v>
      </c>
      <c r="AI42" s="343">
        <f t="shared" si="1"/>
        <v>7.1666633112667602E-4</v>
      </c>
    </row>
    <row r="43" spans="1:35">
      <c r="A43" s="16"/>
      <c r="B43" s="118" t="s">
        <v>204</v>
      </c>
      <c r="C43" s="109"/>
      <c r="D43" s="20"/>
      <c r="E43" s="20" t="s">
        <v>109</v>
      </c>
      <c r="F43" s="68" t="s">
        <v>4</v>
      </c>
      <c r="G43" s="133">
        <v>168.07999999999998</v>
      </c>
      <c r="H43" s="144">
        <v>-1000</v>
      </c>
      <c r="I43" s="202"/>
      <c r="J43" s="183"/>
      <c r="K43" s="207"/>
      <c r="L43" s="31"/>
      <c r="M43" s="89">
        <v>-831.92000000000007</v>
      </c>
      <c r="N43" s="84"/>
      <c r="O43" s="42">
        <v>1000</v>
      </c>
      <c r="P43" s="31">
        <v>0</v>
      </c>
      <c r="Q43" s="14">
        <v>1000</v>
      </c>
      <c r="R43" s="178"/>
      <c r="S43" s="295"/>
      <c r="T43" s="14" t="str">
        <f t="shared" si="2"/>
        <v/>
      </c>
      <c r="U43" s="158">
        <v>0</v>
      </c>
      <c r="V43" s="158">
        <v>1000</v>
      </c>
      <c r="W43" s="158">
        <v>0</v>
      </c>
      <c r="X43" s="139"/>
      <c r="Y43" s="136"/>
      <c r="Z43" s="38">
        <v>0</v>
      </c>
      <c r="AA43" s="16">
        <v>0</v>
      </c>
      <c r="AB43" s="16">
        <v>-831.92000000000007</v>
      </c>
      <c r="AC43" s="16">
        <v>0</v>
      </c>
      <c r="AE43" s="16">
        <v>0</v>
      </c>
      <c r="AF43" s="16">
        <v>1000</v>
      </c>
      <c r="AG43" s="16">
        <v>0</v>
      </c>
      <c r="AH43" s="16">
        <f t="shared" si="0"/>
        <v>1000</v>
      </c>
      <c r="AI43" s="343">
        <f t="shared" si="1"/>
        <v>2.17602864806822E-4</v>
      </c>
    </row>
    <row r="44" spans="1:35">
      <c r="A44" s="16"/>
      <c r="B44" s="118"/>
      <c r="C44" s="109"/>
      <c r="D44" s="20"/>
      <c r="E44" s="20" t="s">
        <v>109</v>
      </c>
      <c r="F44" s="68" t="s">
        <v>5</v>
      </c>
      <c r="G44" s="133"/>
      <c r="H44" s="144" t="s">
        <v>226</v>
      </c>
      <c r="I44" s="202"/>
      <c r="J44" s="183"/>
      <c r="K44" s="201"/>
      <c r="L44" s="31"/>
      <c r="M44" s="89">
        <v>0</v>
      </c>
      <c r="N44" s="84"/>
      <c r="O44" s="42">
        <v>100</v>
      </c>
      <c r="P44" s="31">
        <v>0</v>
      </c>
      <c r="Q44" s="14">
        <v>100</v>
      </c>
      <c r="R44" s="178"/>
      <c r="S44" s="295"/>
      <c r="T44" s="14" t="str">
        <f t="shared" si="2"/>
        <v/>
      </c>
      <c r="U44" s="158">
        <v>0</v>
      </c>
      <c r="V44" s="158">
        <v>100</v>
      </c>
      <c r="W44" s="158">
        <v>0</v>
      </c>
      <c r="X44" s="139"/>
      <c r="Y44" s="136"/>
      <c r="Z44" s="38">
        <v>0</v>
      </c>
      <c r="AA44" s="16">
        <v>0</v>
      </c>
      <c r="AB44" s="16">
        <v>0</v>
      </c>
      <c r="AC44" s="16">
        <v>0</v>
      </c>
      <c r="AE44" s="16">
        <v>0</v>
      </c>
      <c r="AF44" s="16">
        <v>100</v>
      </c>
      <c r="AG44" s="16">
        <v>0</v>
      </c>
      <c r="AH44" s="16">
        <f t="shared" si="0"/>
        <v>100</v>
      </c>
      <c r="AI44" s="343">
        <f t="shared" si="1"/>
        <v>2.1760286480682199E-5</v>
      </c>
    </row>
    <row r="45" spans="1:35">
      <c r="A45" s="16"/>
      <c r="B45" s="118"/>
      <c r="C45" s="109"/>
      <c r="D45" s="20"/>
      <c r="E45" s="20" t="s">
        <v>110</v>
      </c>
      <c r="F45" s="68" t="s">
        <v>69</v>
      </c>
      <c r="G45" s="91"/>
      <c r="H45" s="144" t="s">
        <v>226</v>
      </c>
      <c r="I45" s="195">
        <v>2731.75</v>
      </c>
      <c r="J45" s="178">
        <v>1411.62</v>
      </c>
      <c r="K45" s="201"/>
      <c r="L45" s="31"/>
      <c r="M45" s="89">
        <v>4143.37</v>
      </c>
      <c r="N45" s="84"/>
      <c r="O45" s="42">
        <v>2071.6849999999999</v>
      </c>
      <c r="P45" s="31">
        <v>0</v>
      </c>
      <c r="Q45" s="14">
        <v>2071.6849999999999</v>
      </c>
      <c r="R45" s="178">
        <v>1544.93</v>
      </c>
      <c r="S45" s="295"/>
      <c r="T45" s="14">
        <f t="shared" si="2"/>
        <v>-526.75499999999988</v>
      </c>
      <c r="U45" s="158">
        <v>2071.6849999999999</v>
      </c>
      <c r="V45" s="158">
        <v>0</v>
      </c>
      <c r="W45" s="158">
        <v>0</v>
      </c>
      <c r="X45" s="139"/>
      <c r="Y45" s="136"/>
      <c r="Z45" s="38">
        <v>0</v>
      </c>
      <c r="AA45" s="16">
        <v>4143.37</v>
      </c>
      <c r="AB45" s="16">
        <v>0</v>
      </c>
      <c r="AC45" s="16">
        <v>0</v>
      </c>
      <c r="AE45" s="16">
        <v>2071.6849999999999</v>
      </c>
      <c r="AF45" s="16">
        <v>0</v>
      </c>
      <c r="AG45" s="16">
        <v>0</v>
      </c>
      <c r="AH45" s="16">
        <f t="shared" si="0"/>
        <v>2071.6849999999999</v>
      </c>
      <c r="AI45" s="343">
        <f t="shared" si="1"/>
        <v>4.5080459097732102E-4</v>
      </c>
    </row>
    <row r="46" spans="1:35">
      <c r="A46" s="16"/>
      <c r="B46" s="118"/>
      <c r="C46" s="109"/>
      <c r="D46" s="20"/>
      <c r="E46" s="20" t="s">
        <v>110</v>
      </c>
      <c r="F46" s="68" t="s">
        <v>237</v>
      </c>
      <c r="G46" s="91"/>
      <c r="H46" s="144" t="s">
        <v>226</v>
      </c>
      <c r="I46" s="195">
        <v>17636.16</v>
      </c>
      <c r="J46" s="178">
        <v>19213.849999999999</v>
      </c>
      <c r="K46" s="201"/>
      <c r="L46" s="31"/>
      <c r="M46" s="89">
        <v>36850.009999999995</v>
      </c>
      <c r="N46" s="84"/>
      <c r="O46" s="42">
        <v>18425.004999999997</v>
      </c>
      <c r="P46" s="31">
        <v>0</v>
      </c>
      <c r="Q46" s="14">
        <v>18425.004999999997</v>
      </c>
      <c r="R46" s="178">
        <v>17469.88</v>
      </c>
      <c r="S46" s="295"/>
      <c r="T46" s="14">
        <f t="shared" si="2"/>
        <v>-955.12499999999636</v>
      </c>
      <c r="U46" s="158">
        <v>18425.004999999997</v>
      </c>
      <c r="V46" s="158">
        <v>0</v>
      </c>
      <c r="W46" s="158">
        <v>0</v>
      </c>
      <c r="X46" s="139"/>
      <c r="Y46" s="136"/>
      <c r="Z46" s="38">
        <v>0</v>
      </c>
      <c r="AA46" s="16">
        <v>36850.009999999995</v>
      </c>
      <c r="AB46" s="16">
        <v>0</v>
      </c>
      <c r="AC46" s="16">
        <v>0</v>
      </c>
      <c r="AE46" s="16">
        <v>18425.004999999997</v>
      </c>
      <c r="AF46" s="16">
        <v>0</v>
      </c>
      <c r="AG46" s="16">
        <v>0</v>
      </c>
      <c r="AH46" s="16">
        <f t="shared" si="0"/>
        <v>18425.004999999997</v>
      </c>
      <c r="AI46" s="343">
        <f t="shared" si="1"/>
        <v>4.0093338720800188E-3</v>
      </c>
    </row>
    <row r="47" spans="1:35">
      <c r="A47" s="16"/>
      <c r="B47" s="118" t="s">
        <v>214</v>
      </c>
      <c r="C47" s="109"/>
      <c r="D47" s="20" t="s">
        <v>211</v>
      </c>
      <c r="E47" s="20" t="s">
        <v>110</v>
      </c>
      <c r="F47" s="68" t="s">
        <v>7</v>
      </c>
      <c r="G47" s="91"/>
      <c r="H47" s="144">
        <v>2693.6299999999992</v>
      </c>
      <c r="I47" s="202"/>
      <c r="J47" s="181"/>
      <c r="K47" s="207"/>
      <c r="L47" s="2"/>
      <c r="M47" s="89">
        <v>2693.6299999999992</v>
      </c>
      <c r="N47" s="85"/>
      <c r="O47" s="261">
        <v>15993.63</v>
      </c>
      <c r="P47" s="31">
        <v>0</v>
      </c>
      <c r="Q47" s="14">
        <v>15993.63</v>
      </c>
      <c r="R47" s="178">
        <v>15535.28</v>
      </c>
      <c r="S47" s="295"/>
      <c r="T47" s="14">
        <f t="shared" si="2"/>
        <v>-458.34999999999854</v>
      </c>
      <c r="U47" s="158">
        <v>15993.63</v>
      </c>
      <c r="V47" s="158">
        <v>0</v>
      </c>
      <c r="W47" s="158">
        <v>0</v>
      </c>
      <c r="X47" s="139"/>
      <c r="Y47" s="136"/>
      <c r="Z47" s="38">
        <v>0</v>
      </c>
      <c r="AA47" s="16">
        <v>2693.6299999999992</v>
      </c>
      <c r="AB47" s="16">
        <v>0</v>
      </c>
      <c r="AC47" s="16">
        <v>0</v>
      </c>
      <c r="AE47" s="16">
        <v>15993.63</v>
      </c>
      <c r="AF47" s="16">
        <v>0</v>
      </c>
      <c r="AG47" s="16">
        <v>0</v>
      </c>
      <c r="AH47" s="16">
        <f t="shared" si="0"/>
        <v>15993.63</v>
      </c>
      <c r="AI47" s="343">
        <f t="shared" si="1"/>
        <v>3.4802597066603326E-3</v>
      </c>
    </row>
    <row r="48" spans="1:35">
      <c r="A48" s="110"/>
      <c r="B48" s="118" t="s">
        <v>97</v>
      </c>
      <c r="C48" s="109"/>
      <c r="D48" s="20" t="s">
        <v>97</v>
      </c>
      <c r="E48" s="20" t="s">
        <v>109</v>
      </c>
      <c r="F48" s="68" t="s">
        <v>123</v>
      </c>
      <c r="G48" s="91"/>
      <c r="H48" s="144" t="s">
        <v>226</v>
      </c>
      <c r="I48" s="195">
        <v>1119.54</v>
      </c>
      <c r="J48" s="178">
        <v>906.04</v>
      </c>
      <c r="K48" s="199">
        <v>832.95</v>
      </c>
      <c r="L48" s="31"/>
      <c r="M48" s="89">
        <v>2858.5299999999997</v>
      </c>
      <c r="N48" s="84"/>
      <c r="O48" s="42"/>
      <c r="P48" s="31">
        <v>0</v>
      </c>
      <c r="Q48" s="14">
        <v>0</v>
      </c>
      <c r="R48" s="178"/>
      <c r="S48" s="295"/>
      <c r="T48" s="14" t="str">
        <f t="shared" si="2"/>
        <v/>
      </c>
      <c r="U48" s="158">
        <v>0</v>
      </c>
      <c r="V48" s="158">
        <v>0</v>
      </c>
      <c r="W48" s="158">
        <v>0</v>
      </c>
      <c r="X48" s="139"/>
      <c r="Y48" s="136"/>
      <c r="Z48" s="38">
        <v>0</v>
      </c>
      <c r="AA48" s="16">
        <v>0</v>
      </c>
      <c r="AB48" s="16">
        <v>2858.5299999999997</v>
      </c>
      <c r="AC48" s="16">
        <v>0</v>
      </c>
      <c r="AE48" s="16">
        <v>0</v>
      </c>
      <c r="AF48" s="16">
        <v>0</v>
      </c>
      <c r="AG48" s="16">
        <v>0</v>
      </c>
      <c r="AH48" s="16">
        <f t="shared" si="0"/>
        <v>0</v>
      </c>
      <c r="AI48" s="343">
        <f t="shared" si="1"/>
        <v>0</v>
      </c>
    </row>
    <row r="49" spans="1:35">
      <c r="A49" s="110"/>
      <c r="B49" s="118"/>
      <c r="C49" s="109"/>
      <c r="D49" s="20"/>
      <c r="E49" s="20" t="s">
        <v>109</v>
      </c>
      <c r="F49" s="68" t="s">
        <v>124</v>
      </c>
      <c r="G49" s="91"/>
      <c r="H49" s="144" t="s">
        <v>226</v>
      </c>
      <c r="I49" s="195">
        <v>2021.56</v>
      </c>
      <c r="J49" s="178">
        <v>2055.0700000000002</v>
      </c>
      <c r="K49" s="199">
        <v>1915.69</v>
      </c>
      <c r="L49" s="31"/>
      <c r="M49" s="89">
        <v>5992.32</v>
      </c>
      <c r="N49" s="84"/>
      <c r="O49" s="42"/>
      <c r="P49" s="31">
        <v>0</v>
      </c>
      <c r="Q49" s="14">
        <v>0</v>
      </c>
      <c r="R49" s="178"/>
      <c r="S49" s="295"/>
      <c r="T49" s="14" t="str">
        <f t="shared" si="2"/>
        <v/>
      </c>
      <c r="U49" s="158">
        <v>0</v>
      </c>
      <c r="V49" s="158">
        <v>0</v>
      </c>
      <c r="W49" s="158">
        <v>0</v>
      </c>
      <c r="X49" s="139"/>
      <c r="Y49" s="136"/>
      <c r="Z49" s="38">
        <v>0</v>
      </c>
      <c r="AA49" s="16">
        <v>0</v>
      </c>
      <c r="AB49" s="16">
        <v>5992.32</v>
      </c>
      <c r="AC49" s="16">
        <v>0</v>
      </c>
      <c r="AE49" s="16">
        <v>0</v>
      </c>
      <c r="AF49" s="16">
        <v>0</v>
      </c>
      <c r="AG49" s="16">
        <v>0</v>
      </c>
      <c r="AH49" s="16">
        <f t="shared" si="0"/>
        <v>0</v>
      </c>
      <c r="AI49" s="343">
        <f t="shared" si="1"/>
        <v>0</v>
      </c>
    </row>
    <row r="50" spans="1:35">
      <c r="A50" s="110"/>
      <c r="B50" s="118"/>
      <c r="C50" s="109"/>
      <c r="D50" s="20"/>
      <c r="E50" s="20" t="s">
        <v>109</v>
      </c>
      <c r="F50" s="68" t="s">
        <v>125</v>
      </c>
      <c r="G50" s="91">
        <v>1543.76</v>
      </c>
      <c r="H50" s="144" t="s">
        <v>226</v>
      </c>
      <c r="I50" s="195">
        <v>2190.64</v>
      </c>
      <c r="J50" s="178">
        <v>2116.09</v>
      </c>
      <c r="K50" s="199">
        <v>2086.04</v>
      </c>
      <c r="L50" s="31"/>
      <c r="M50" s="89">
        <v>7936.53</v>
      </c>
      <c r="N50" s="84"/>
      <c r="O50" s="42"/>
      <c r="P50" s="31">
        <v>0</v>
      </c>
      <c r="Q50" s="14">
        <v>0</v>
      </c>
      <c r="R50" s="178"/>
      <c r="S50" s="295"/>
      <c r="T50" s="14" t="str">
        <f t="shared" si="2"/>
        <v/>
      </c>
      <c r="U50" s="158">
        <v>0</v>
      </c>
      <c r="V50" s="158">
        <v>0</v>
      </c>
      <c r="W50" s="158">
        <v>0</v>
      </c>
      <c r="X50" s="139"/>
      <c r="Y50" s="136"/>
      <c r="Z50" s="38">
        <v>0</v>
      </c>
      <c r="AA50" s="16">
        <v>0</v>
      </c>
      <c r="AB50" s="16">
        <v>7936.53</v>
      </c>
      <c r="AC50" s="16">
        <v>0</v>
      </c>
      <c r="AE50" s="16">
        <v>0</v>
      </c>
      <c r="AF50" s="16">
        <v>0</v>
      </c>
      <c r="AG50" s="16">
        <v>0</v>
      </c>
      <c r="AH50" s="16">
        <f t="shared" si="0"/>
        <v>0</v>
      </c>
      <c r="AI50" s="343">
        <f t="shared" si="1"/>
        <v>0</v>
      </c>
    </row>
    <row r="51" spans="1:35">
      <c r="A51" s="110"/>
      <c r="B51" s="118"/>
      <c r="C51" s="109"/>
      <c r="D51" s="20"/>
      <c r="E51" s="20" t="s">
        <v>109</v>
      </c>
      <c r="F51" s="68" t="s">
        <v>126</v>
      </c>
      <c r="G51" s="91"/>
      <c r="H51" s="144" t="s">
        <v>226</v>
      </c>
      <c r="I51" s="195">
        <v>16.53</v>
      </c>
      <c r="J51" s="178">
        <v>23.44</v>
      </c>
      <c r="K51" s="199">
        <v>19.04</v>
      </c>
      <c r="L51" s="31"/>
      <c r="M51" s="89">
        <v>59.01</v>
      </c>
      <c r="N51" s="84"/>
      <c r="O51" s="42"/>
      <c r="P51" s="31">
        <v>0</v>
      </c>
      <c r="Q51" s="14">
        <v>0</v>
      </c>
      <c r="R51" s="178"/>
      <c r="S51" s="295"/>
      <c r="T51" s="14" t="str">
        <f t="shared" si="2"/>
        <v/>
      </c>
      <c r="U51" s="158">
        <v>0</v>
      </c>
      <c r="V51" s="158">
        <v>0</v>
      </c>
      <c r="W51" s="158">
        <v>0</v>
      </c>
      <c r="X51" s="139"/>
      <c r="Y51" s="136"/>
      <c r="Z51" s="38">
        <v>0</v>
      </c>
      <c r="AA51" s="16">
        <v>0</v>
      </c>
      <c r="AB51" s="16">
        <v>59.01</v>
      </c>
      <c r="AC51" s="16">
        <v>0</v>
      </c>
      <c r="AE51" s="16">
        <v>0</v>
      </c>
      <c r="AF51" s="16">
        <v>0</v>
      </c>
      <c r="AG51" s="16">
        <v>0</v>
      </c>
      <c r="AH51" s="16">
        <f t="shared" ref="AH51:AH82" si="3">SUM(AE51:AG51)</f>
        <v>0</v>
      </c>
      <c r="AI51" s="343">
        <f t="shared" ref="AI51:AI82" si="4">AH51/$AH$217</f>
        <v>0</v>
      </c>
    </row>
    <row r="52" spans="1:35">
      <c r="A52" s="16"/>
      <c r="B52" s="118" t="s">
        <v>214</v>
      </c>
      <c r="C52" s="111"/>
      <c r="D52" s="21" t="s">
        <v>109</v>
      </c>
      <c r="E52" s="21" t="s">
        <v>110</v>
      </c>
      <c r="F52" s="68" t="s">
        <v>8</v>
      </c>
      <c r="G52" s="91"/>
      <c r="H52" s="144" t="s">
        <v>226</v>
      </c>
      <c r="I52" s="202"/>
      <c r="J52" s="181"/>
      <c r="K52" s="207"/>
      <c r="L52" s="31"/>
      <c r="M52" s="89">
        <v>0</v>
      </c>
      <c r="N52" s="84"/>
      <c r="O52" s="42"/>
      <c r="P52" s="31">
        <v>0</v>
      </c>
      <c r="Q52" s="14">
        <v>0</v>
      </c>
      <c r="R52" s="178"/>
      <c r="S52" s="295"/>
      <c r="T52" s="14" t="str">
        <f t="shared" si="2"/>
        <v/>
      </c>
      <c r="U52" s="158">
        <v>0</v>
      </c>
      <c r="V52" s="158">
        <v>0</v>
      </c>
      <c r="W52" s="158">
        <v>0</v>
      </c>
      <c r="X52" s="139"/>
      <c r="Y52" s="136"/>
      <c r="Z52" s="38">
        <v>0</v>
      </c>
      <c r="AA52" s="16">
        <v>0</v>
      </c>
      <c r="AB52" s="16">
        <v>0</v>
      </c>
      <c r="AC52" s="16">
        <v>0</v>
      </c>
      <c r="AE52" s="16">
        <v>0</v>
      </c>
      <c r="AF52" s="16">
        <v>0</v>
      </c>
      <c r="AG52" s="16">
        <v>0</v>
      </c>
      <c r="AH52" s="16">
        <f t="shared" si="3"/>
        <v>0</v>
      </c>
      <c r="AI52" s="343">
        <f t="shared" si="4"/>
        <v>0</v>
      </c>
    </row>
    <row r="53" spans="1:35">
      <c r="A53" s="16"/>
      <c r="B53" s="118"/>
      <c r="C53" s="109"/>
      <c r="D53" s="20" t="s">
        <v>211</v>
      </c>
      <c r="E53" s="20" t="s">
        <v>109</v>
      </c>
      <c r="F53" s="68" t="s">
        <v>9</v>
      </c>
      <c r="G53" s="91"/>
      <c r="H53" s="144">
        <v>-4213.1900000000005</v>
      </c>
      <c r="I53" s="356">
        <v>1361.7</v>
      </c>
      <c r="J53" s="360">
        <v>1361.7</v>
      </c>
      <c r="K53" s="358">
        <v>1361.71</v>
      </c>
      <c r="L53" s="2"/>
      <c r="M53" s="89">
        <v>-4213.1900000000005</v>
      </c>
      <c r="N53" s="85"/>
      <c r="O53" s="262">
        <v>2886</v>
      </c>
      <c r="P53" s="31">
        <v>0</v>
      </c>
      <c r="Q53" s="14">
        <v>2886</v>
      </c>
      <c r="R53" s="178">
        <v>4085.11</v>
      </c>
      <c r="S53" s="295"/>
      <c r="T53" s="14">
        <f t="shared" si="2"/>
        <v>1199.1100000000001</v>
      </c>
      <c r="U53" s="158">
        <v>0</v>
      </c>
      <c r="V53" s="158">
        <v>2886</v>
      </c>
      <c r="W53" s="158">
        <v>0</v>
      </c>
      <c r="X53" s="139"/>
      <c r="Y53" s="136"/>
      <c r="Z53" s="38">
        <v>0</v>
      </c>
      <c r="AA53" s="16">
        <v>0</v>
      </c>
      <c r="AB53" s="16">
        <v>-4213.1900000000005</v>
      </c>
      <c r="AC53" s="16">
        <v>0</v>
      </c>
      <c r="AE53" s="16">
        <v>0</v>
      </c>
      <c r="AF53" s="16">
        <v>2886</v>
      </c>
      <c r="AG53" s="16">
        <v>0</v>
      </c>
      <c r="AH53" s="16">
        <f t="shared" si="3"/>
        <v>2886</v>
      </c>
      <c r="AI53" s="343">
        <f t="shared" si="4"/>
        <v>6.2800186783248827E-4</v>
      </c>
    </row>
    <row r="54" spans="1:35">
      <c r="A54" s="16" t="s">
        <v>215</v>
      </c>
      <c r="B54" s="118"/>
      <c r="C54" s="109"/>
      <c r="D54" s="20"/>
      <c r="E54" s="20" t="s">
        <v>109</v>
      </c>
      <c r="F54" s="68" t="s">
        <v>235</v>
      </c>
      <c r="G54" s="6"/>
      <c r="H54" s="144" t="s">
        <v>226</v>
      </c>
      <c r="I54" s="195">
        <v>0</v>
      </c>
      <c r="J54" s="195">
        <v>0</v>
      </c>
      <c r="K54" s="195">
        <v>0</v>
      </c>
      <c r="L54" s="31"/>
      <c r="M54" s="89">
        <v>0</v>
      </c>
      <c r="N54" s="84"/>
      <c r="O54" s="42">
        <v>0</v>
      </c>
      <c r="P54" s="31">
        <v>0</v>
      </c>
      <c r="Q54" s="14">
        <v>0</v>
      </c>
      <c r="R54" s="178">
        <v>903.79</v>
      </c>
      <c r="S54" s="295"/>
      <c r="T54" s="14">
        <f t="shared" si="2"/>
        <v>903.79</v>
      </c>
      <c r="U54" s="158">
        <v>0</v>
      </c>
      <c r="V54" s="158">
        <v>0</v>
      </c>
      <c r="W54" s="158">
        <v>0</v>
      </c>
      <c r="X54" s="139"/>
      <c r="Y54" s="136"/>
      <c r="Z54" s="38">
        <v>0</v>
      </c>
      <c r="AA54" s="16">
        <v>0</v>
      </c>
      <c r="AB54" s="16">
        <v>0</v>
      </c>
      <c r="AC54" s="16">
        <v>0</v>
      </c>
      <c r="AE54" s="16">
        <v>0</v>
      </c>
      <c r="AF54" s="16">
        <v>0</v>
      </c>
      <c r="AG54" s="16">
        <v>0</v>
      </c>
      <c r="AH54" s="16">
        <f t="shared" si="3"/>
        <v>0</v>
      </c>
      <c r="AI54" s="343">
        <f t="shared" si="4"/>
        <v>0</v>
      </c>
    </row>
    <row r="55" spans="1:35">
      <c r="A55" s="16" t="s">
        <v>215</v>
      </c>
      <c r="B55" s="118"/>
      <c r="C55" s="109"/>
      <c r="D55" s="20"/>
      <c r="E55" s="20" t="s">
        <v>109</v>
      </c>
      <c r="F55" s="68" t="s">
        <v>10</v>
      </c>
      <c r="G55" s="6"/>
      <c r="H55" s="144" t="s">
        <v>226</v>
      </c>
      <c r="I55" s="202"/>
      <c r="J55" s="181"/>
      <c r="K55" s="207"/>
      <c r="L55" s="31"/>
      <c r="M55" s="89">
        <v>0</v>
      </c>
      <c r="N55" s="84"/>
      <c r="O55" s="42">
        <v>0</v>
      </c>
      <c r="P55" s="31">
        <v>0</v>
      </c>
      <c r="Q55" s="14">
        <v>0</v>
      </c>
      <c r="R55" s="178"/>
      <c r="S55" s="295"/>
      <c r="T55" s="14" t="str">
        <f t="shared" si="2"/>
        <v/>
      </c>
      <c r="U55" s="158">
        <v>0</v>
      </c>
      <c r="V55" s="158">
        <v>0</v>
      </c>
      <c r="W55" s="158">
        <v>0</v>
      </c>
      <c r="X55" s="139"/>
      <c r="Y55" s="136"/>
      <c r="Z55" s="38">
        <v>0</v>
      </c>
      <c r="AA55" s="16">
        <v>0</v>
      </c>
      <c r="AB55" s="16">
        <v>0</v>
      </c>
      <c r="AC55" s="16">
        <v>0</v>
      </c>
      <c r="AE55" s="16">
        <v>0</v>
      </c>
      <c r="AF55" s="16">
        <v>0</v>
      </c>
      <c r="AG55" s="16">
        <v>0</v>
      </c>
      <c r="AH55" s="16">
        <f t="shared" si="3"/>
        <v>0</v>
      </c>
      <c r="AI55" s="343">
        <f t="shared" si="4"/>
        <v>0</v>
      </c>
    </row>
    <row r="56" spans="1:35">
      <c r="A56" s="16"/>
      <c r="B56" s="120"/>
      <c r="C56" s="111"/>
      <c r="D56" s="21"/>
      <c r="E56" s="21" t="s">
        <v>110</v>
      </c>
      <c r="F56" s="68" t="s">
        <v>138</v>
      </c>
      <c r="G56" s="91"/>
      <c r="H56" s="144" t="s">
        <v>226</v>
      </c>
      <c r="I56" s="195">
        <v>4769.83</v>
      </c>
      <c r="J56" s="178">
        <v>7876.41</v>
      </c>
      <c r="K56" s="250">
        <v>13063.08</v>
      </c>
      <c r="L56" s="2"/>
      <c r="M56" s="89">
        <v>25709.32</v>
      </c>
      <c r="N56" s="5"/>
      <c r="O56" s="4"/>
      <c r="P56" s="31">
        <v>0</v>
      </c>
      <c r="Q56" s="14">
        <v>0</v>
      </c>
      <c r="R56" s="178"/>
      <c r="S56" s="295"/>
      <c r="T56" s="14" t="str">
        <f t="shared" si="2"/>
        <v/>
      </c>
      <c r="U56" s="158">
        <v>0</v>
      </c>
      <c r="V56" s="158">
        <v>0</v>
      </c>
      <c r="W56" s="158">
        <v>0</v>
      </c>
      <c r="X56" s="139"/>
      <c r="Y56" s="136"/>
      <c r="Z56" s="38">
        <v>0</v>
      </c>
      <c r="AA56" s="16">
        <v>25709.32</v>
      </c>
      <c r="AB56" s="16">
        <v>0</v>
      </c>
      <c r="AC56" s="16">
        <v>0</v>
      </c>
      <c r="AE56" s="16">
        <v>0</v>
      </c>
      <c r="AF56" s="16">
        <v>0</v>
      </c>
      <c r="AG56" s="16">
        <v>0</v>
      </c>
      <c r="AH56" s="16">
        <f t="shared" si="3"/>
        <v>0</v>
      </c>
      <c r="AI56" s="343">
        <f t="shared" si="4"/>
        <v>0</v>
      </c>
    </row>
    <row r="57" spans="1:35">
      <c r="A57" s="16"/>
      <c r="B57" s="120"/>
      <c r="C57" s="111"/>
      <c r="D57" s="21"/>
      <c r="E57" s="21" t="s">
        <v>110</v>
      </c>
      <c r="F57" s="68" t="s">
        <v>242</v>
      </c>
      <c r="G57" s="91"/>
      <c r="H57" s="144" t="s">
        <v>226</v>
      </c>
      <c r="I57" s="195">
        <v>184.48</v>
      </c>
      <c r="J57" s="178">
        <v>372.59</v>
      </c>
      <c r="K57" s="250">
        <v>600.66</v>
      </c>
      <c r="L57" s="2"/>
      <c r="M57" s="89">
        <v>1157.73</v>
      </c>
      <c r="N57" s="5"/>
      <c r="O57" s="4"/>
      <c r="P57" s="31"/>
      <c r="Q57" s="14">
        <v>0</v>
      </c>
      <c r="R57" s="178"/>
      <c r="S57" s="295"/>
      <c r="T57" s="14" t="str">
        <f t="shared" si="2"/>
        <v/>
      </c>
      <c r="U57" s="158">
        <v>0</v>
      </c>
      <c r="V57" s="158">
        <v>0</v>
      </c>
      <c r="W57" s="158">
        <v>0</v>
      </c>
      <c r="X57" s="139"/>
      <c r="Y57" s="136"/>
      <c r="Z57" s="38"/>
      <c r="AA57" s="16">
        <v>1157.73</v>
      </c>
      <c r="AB57" s="16">
        <v>0</v>
      </c>
      <c r="AC57" s="16">
        <v>0</v>
      </c>
      <c r="AE57" s="16">
        <v>0</v>
      </c>
      <c r="AF57" s="16">
        <v>0</v>
      </c>
      <c r="AG57" s="16">
        <v>0</v>
      </c>
      <c r="AH57" s="16">
        <f t="shared" si="3"/>
        <v>0</v>
      </c>
      <c r="AI57" s="343">
        <f t="shared" si="4"/>
        <v>0</v>
      </c>
    </row>
    <row r="58" spans="1:35">
      <c r="A58" s="16"/>
      <c r="B58" s="120"/>
      <c r="C58" s="111"/>
      <c r="D58" s="21"/>
      <c r="E58" s="21" t="s">
        <v>110</v>
      </c>
      <c r="F58" s="68" t="s">
        <v>243</v>
      </c>
      <c r="G58" s="91"/>
      <c r="H58" s="144" t="s">
        <v>226</v>
      </c>
      <c r="I58" s="195">
        <v>2438.46</v>
      </c>
      <c r="J58" s="178">
        <v>1874.82</v>
      </c>
      <c r="K58" s="250">
        <v>2352.4899999999998</v>
      </c>
      <c r="L58" s="2"/>
      <c r="M58" s="89">
        <v>6665.7699999999995</v>
      </c>
      <c r="N58" s="5"/>
      <c r="O58" s="4"/>
      <c r="P58" s="31"/>
      <c r="Q58" s="14">
        <v>0</v>
      </c>
      <c r="R58" s="178"/>
      <c r="S58" s="295"/>
      <c r="T58" s="14" t="str">
        <f t="shared" si="2"/>
        <v/>
      </c>
      <c r="U58" s="158">
        <v>0</v>
      </c>
      <c r="V58" s="158">
        <v>0</v>
      </c>
      <c r="W58" s="158">
        <v>0</v>
      </c>
      <c r="X58" s="139"/>
      <c r="Y58" s="136"/>
      <c r="Z58" s="38"/>
      <c r="AA58" s="16">
        <v>6665.7699999999995</v>
      </c>
      <c r="AB58" s="16">
        <v>0</v>
      </c>
      <c r="AC58" s="16">
        <v>0</v>
      </c>
      <c r="AE58" s="16">
        <v>0</v>
      </c>
      <c r="AF58" s="16">
        <v>0</v>
      </c>
      <c r="AG58" s="16">
        <v>0</v>
      </c>
      <c r="AH58" s="16">
        <f t="shared" si="3"/>
        <v>0</v>
      </c>
      <c r="AI58" s="343">
        <f t="shared" si="4"/>
        <v>0</v>
      </c>
    </row>
    <row r="59" spans="1:35">
      <c r="A59" s="16"/>
      <c r="B59" s="120"/>
      <c r="C59" s="111"/>
      <c r="D59" s="21"/>
      <c r="E59" s="21" t="s">
        <v>110</v>
      </c>
      <c r="F59" s="68" t="s">
        <v>11</v>
      </c>
      <c r="G59" s="91"/>
      <c r="H59" s="144" t="s">
        <v>226</v>
      </c>
      <c r="I59" s="241"/>
      <c r="J59" s="242"/>
      <c r="K59" s="209"/>
      <c r="L59" s="2"/>
      <c r="M59" s="7">
        <v>0</v>
      </c>
      <c r="N59" s="5"/>
      <c r="O59" s="42">
        <v>0</v>
      </c>
      <c r="P59" s="31">
        <v>0</v>
      </c>
      <c r="Q59" s="14">
        <v>0</v>
      </c>
      <c r="R59" s="178"/>
      <c r="S59" s="295"/>
      <c r="T59" s="14" t="str">
        <f t="shared" si="2"/>
        <v/>
      </c>
      <c r="U59" s="158">
        <v>0</v>
      </c>
      <c r="V59" s="158">
        <v>0</v>
      </c>
      <c r="W59" s="158">
        <v>0</v>
      </c>
      <c r="X59" s="139"/>
      <c r="Y59" s="136"/>
      <c r="Z59" s="38">
        <v>0</v>
      </c>
      <c r="AA59" s="16">
        <v>0</v>
      </c>
      <c r="AB59" s="16">
        <v>0</v>
      </c>
      <c r="AC59" s="16">
        <v>0</v>
      </c>
      <c r="AE59" s="16">
        <v>0</v>
      </c>
      <c r="AF59" s="16">
        <v>0</v>
      </c>
      <c r="AG59" s="16">
        <v>0</v>
      </c>
      <c r="AH59" s="16">
        <f t="shared" si="3"/>
        <v>0</v>
      </c>
      <c r="AI59" s="343">
        <f t="shared" si="4"/>
        <v>0</v>
      </c>
    </row>
    <row r="60" spans="1:35">
      <c r="A60" s="16"/>
      <c r="B60" s="120"/>
      <c r="C60" s="111"/>
      <c r="D60" s="21"/>
      <c r="E60" s="21" t="s">
        <v>110</v>
      </c>
      <c r="F60" s="68" t="s">
        <v>12</v>
      </c>
      <c r="G60" s="91"/>
      <c r="H60" s="144">
        <v>1808.8400000000001</v>
      </c>
      <c r="I60" s="195">
        <v>796.4</v>
      </c>
      <c r="J60" s="178">
        <v>736.89</v>
      </c>
      <c r="K60" s="358">
        <v>894.75</v>
      </c>
      <c r="L60" s="31"/>
      <c r="M60" s="89">
        <v>3342.13</v>
      </c>
      <c r="N60" s="84"/>
      <c r="O60" s="42">
        <v>766.64499999999998</v>
      </c>
      <c r="P60" s="31">
        <v>0</v>
      </c>
      <c r="Q60" s="14">
        <v>766.64499999999998</v>
      </c>
      <c r="R60" s="178">
        <v>894.75</v>
      </c>
      <c r="S60" s="295"/>
      <c r="T60" s="14">
        <f t="shared" si="2"/>
        <v>128.10500000000002</v>
      </c>
      <c r="U60" s="158">
        <v>766.64499999999998</v>
      </c>
      <c r="V60" s="158">
        <v>0</v>
      </c>
      <c r="W60" s="158">
        <v>0</v>
      </c>
      <c r="X60" s="139"/>
      <c r="Y60" s="136"/>
      <c r="Z60" s="38">
        <v>0</v>
      </c>
      <c r="AA60" s="16">
        <v>3342.13</v>
      </c>
      <c r="AB60" s="16">
        <v>0</v>
      </c>
      <c r="AC60" s="16">
        <v>0</v>
      </c>
      <c r="AE60" s="16">
        <v>766.64499999999998</v>
      </c>
      <c r="AF60" s="16">
        <v>0</v>
      </c>
      <c r="AG60" s="16">
        <v>0</v>
      </c>
      <c r="AH60" s="16">
        <f t="shared" si="3"/>
        <v>766.64499999999998</v>
      </c>
      <c r="AI60" s="343">
        <f t="shared" si="4"/>
        <v>1.6682414828982604E-4</v>
      </c>
    </row>
    <row r="61" spans="1:35">
      <c r="A61" s="16"/>
      <c r="B61" s="118"/>
      <c r="C61" s="109"/>
      <c r="D61" s="20" t="s">
        <v>211</v>
      </c>
      <c r="E61" s="20" t="s">
        <v>110</v>
      </c>
      <c r="F61" s="68" t="s">
        <v>170</v>
      </c>
      <c r="G61" s="91"/>
      <c r="H61" s="144" t="s">
        <v>226</v>
      </c>
      <c r="I61" s="422">
        <f>523769.13/3</f>
        <v>174589.71</v>
      </c>
      <c r="J61" s="422">
        <f>523769.13/3</f>
        <v>174589.71</v>
      </c>
      <c r="K61" s="422">
        <f>523769.13/3</f>
        <v>174589.71</v>
      </c>
      <c r="L61" s="2"/>
      <c r="M61" s="7">
        <f>SUM(I61:K61)</f>
        <v>523769.13</v>
      </c>
      <c r="N61" s="5">
        <v>408335</v>
      </c>
      <c r="O61" s="42"/>
      <c r="P61" s="31">
        <v>0</v>
      </c>
      <c r="Q61" s="14">
        <v>408335</v>
      </c>
      <c r="R61" s="178">
        <v>523769.13</v>
      </c>
      <c r="S61" s="295"/>
      <c r="T61" s="14">
        <f t="shared" si="2"/>
        <v>115434.13</v>
      </c>
      <c r="U61" s="158">
        <v>408335</v>
      </c>
      <c r="V61" s="158">
        <v>0</v>
      </c>
      <c r="W61" s="158">
        <v>0</v>
      </c>
      <c r="X61" s="139"/>
      <c r="Y61" s="136"/>
      <c r="Z61" s="38">
        <v>0</v>
      </c>
      <c r="AA61" s="16">
        <v>0</v>
      </c>
      <c r="AB61" s="16">
        <v>0</v>
      </c>
      <c r="AC61" s="16">
        <v>0</v>
      </c>
      <c r="AE61" s="16">
        <v>408335</v>
      </c>
      <c r="AF61" s="16">
        <v>0</v>
      </c>
      <c r="AG61" s="16">
        <v>0</v>
      </c>
      <c r="AH61" s="16">
        <f t="shared" si="3"/>
        <v>408335</v>
      </c>
      <c r="AI61" s="343">
        <f t="shared" si="4"/>
        <v>8.8854865800893662E-2</v>
      </c>
    </row>
    <row r="62" spans="1:35">
      <c r="A62" s="16"/>
      <c r="B62" s="118"/>
      <c r="C62" s="109"/>
      <c r="D62" s="20" t="s">
        <v>211</v>
      </c>
      <c r="E62" s="20" t="s">
        <v>110</v>
      </c>
      <c r="F62" s="68" t="s">
        <v>171</v>
      </c>
      <c r="G62" s="91"/>
      <c r="H62" s="144" t="s">
        <v>226</v>
      </c>
      <c r="I62" s="423">
        <f>115396.96/3</f>
        <v>38465.653333333335</v>
      </c>
      <c r="J62" s="423">
        <f>115396.96/3</f>
        <v>38465.653333333335</v>
      </c>
      <c r="K62" s="423">
        <f>115396.96/3</f>
        <v>38465.653333333335</v>
      </c>
      <c r="L62" s="2"/>
      <c r="M62" s="7">
        <f>SUM(I62:K62)</f>
        <v>115396.96</v>
      </c>
      <c r="N62" s="5"/>
      <c r="O62" s="42"/>
      <c r="P62" s="31">
        <v>0</v>
      </c>
      <c r="Q62" s="14">
        <v>0</v>
      </c>
      <c r="R62" s="178">
        <v>2670.03</v>
      </c>
      <c r="S62" s="295"/>
      <c r="T62" s="14">
        <f t="shared" si="2"/>
        <v>2670.03</v>
      </c>
      <c r="U62" s="158">
        <v>0</v>
      </c>
      <c r="V62" s="158">
        <v>0</v>
      </c>
      <c r="W62" s="158">
        <v>0</v>
      </c>
      <c r="X62" s="139"/>
      <c r="Y62" s="136"/>
      <c r="Z62" s="38">
        <v>0</v>
      </c>
      <c r="AA62" s="16">
        <v>0</v>
      </c>
      <c r="AB62" s="16">
        <v>0</v>
      </c>
      <c r="AC62" s="16">
        <v>0</v>
      </c>
      <c r="AE62" s="16">
        <v>0</v>
      </c>
      <c r="AF62" s="16">
        <v>0</v>
      </c>
      <c r="AG62" s="16">
        <v>0</v>
      </c>
      <c r="AH62" s="16">
        <f t="shared" si="3"/>
        <v>0</v>
      </c>
      <c r="AI62" s="343">
        <f t="shared" si="4"/>
        <v>0</v>
      </c>
    </row>
    <row r="63" spans="1:35">
      <c r="A63" s="16"/>
      <c r="B63" s="118"/>
      <c r="C63" s="109"/>
      <c r="D63" s="20" t="s">
        <v>211</v>
      </c>
      <c r="E63" s="20" t="s">
        <v>110</v>
      </c>
      <c r="F63" s="68" t="s">
        <v>13</v>
      </c>
      <c r="G63" s="91"/>
      <c r="H63" s="144" t="s">
        <v>226</v>
      </c>
      <c r="I63" s="423">
        <f>33581.97/3</f>
        <v>11193.99</v>
      </c>
      <c r="J63" s="423">
        <f>33581.97/3</f>
        <v>11193.99</v>
      </c>
      <c r="K63" s="423">
        <f>33581.97/3</f>
        <v>11193.99</v>
      </c>
      <c r="L63" s="2"/>
      <c r="M63" s="7">
        <f>SUM(I63:K63)</f>
        <v>33581.97</v>
      </c>
      <c r="N63" s="5">
        <v>158129</v>
      </c>
      <c r="O63" s="42"/>
      <c r="P63" s="31">
        <v>0</v>
      </c>
      <c r="Q63" s="14">
        <v>158129</v>
      </c>
      <c r="R63" s="178">
        <v>115396.92</v>
      </c>
      <c r="S63" s="295"/>
      <c r="T63" s="14">
        <f t="shared" si="2"/>
        <v>-42732.08</v>
      </c>
      <c r="U63" s="158">
        <v>158129</v>
      </c>
      <c r="V63" s="158">
        <v>0</v>
      </c>
      <c r="W63" s="158">
        <v>0</v>
      </c>
      <c r="X63" s="139"/>
      <c r="Y63" s="136"/>
      <c r="Z63" s="38">
        <v>0</v>
      </c>
      <c r="AA63" s="16">
        <v>0</v>
      </c>
      <c r="AB63" s="16">
        <v>0</v>
      </c>
      <c r="AC63" s="16">
        <v>0</v>
      </c>
      <c r="AE63" s="16">
        <v>158129</v>
      </c>
      <c r="AF63" s="16">
        <v>0</v>
      </c>
      <c r="AG63" s="16">
        <v>0</v>
      </c>
      <c r="AH63" s="16">
        <f t="shared" si="3"/>
        <v>158129</v>
      </c>
      <c r="AI63" s="343">
        <f t="shared" si="4"/>
        <v>3.4409323409037955E-2</v>
      </c>
    </row>
    <row r="64" spans="1:35">
      <c r="A64" s="16"/>
      <c r="B64" s="118"/>
      <c r="C64" s="109"/>
      <c r="D64" s="20" t="s">
        <v>211</v>
      </c>
      <c r="E64" s="20" t="s">
        <v>110</v>
      </c>
      <c r="F64" s="68" t="s">
        <v>172</v>
      </c>
      <c r="G64" s="91"/>
      <c r="H64" s="144" t="s">
        <v>226</v>
      </c>
      <c r="I64" s="210"/>
      <c r="J64" s="184"/>
      <c r="K64" s="240"/>
      <c r="L64" s="2"/>
      <c r="M64" s="7">
        <v>0</v>
      </c>
      <c r="N64" s="5"/>
      <c r="O64" s="42"/>
      <c r="P64" s="31">
        <v>0</v>
      </c>
      <c r="Q64" s="14">
        <v>0</v>
      </c>
      <c r="R64" s="178">
        <v>26.8</v>
      </c>
      <c r="S64" s="295"/>
      <c r="T64" s="14">
        <f t="shared" si="2"/>
        <v>26.8</v>
      </c>
      <c r="U64" s="158">
        <v>0</v>
      </c>
      <c r="V64" s="158">
        <v>0</v>
      </c>
      <c r="W64" s="158">
        <v>0</v>
      </c>
      <c r="X64" s="139"/>
      <c r="Y64" s="136"/>
      <c r="Z64" s="38">
        <v>0</v>
      </c>
      <c r="AA64" s="16">
        <v>0</v>
      </c>
      <c r="AB64" s="16">
        <v>0</v>
      </c>
      <c r="AC64" s="16">
        <v>0</v>
      </c>
      <c r="AE64" s="16">
        <v>0</v>
      </c>
      <c r="AF64" s="16">
        <v>0</v>
      </c>
      <c r="AG64" s="16">
        <v>0</v>
      </c>
      <c r="AH64" s="16">
        <f t="shared" si="3"/>
        <v>0</v>
      </c>
      <c r="AI64" s="343">
        <f t="shared" si="4"/>
        <v>0</v>
      </c>
    </row>
    <row r="65" spans="1:35">
      <c r="A65" s="16"/>
      <c r="B65" s="118"/>
      <c r="C65" s="109"/>
      <c r="D65" s="20" t="s">
        <v>211</v>
      </c>
      <c r="E65" s="20" t="s">
        <v>110</v>
      </c>
      <c r="F65" s="68" t="s">
        <v>173</v>
      </c>
      <c r="G65" s="91"/>
      <c r="H65" s="144" t="s">
        <v>226</v>
      </c>
      <c r="I65" s="210"/>
      <c r="J65" s="184"/>
      <c r="K65" s="200"/>
      <c r="L65" s="2"/>
      <c r="M65" s="7">
        <v>0</v>
      </c>
      <c r="N65" s="5">
        <v>45815</v>
      </c>
      <c r="O65" s="42"/>
      <c r="P65" s="31">
        <v>0</v>
      </c>
      <c r="Q65" s="14">
        <v>45815</v>
      </c>
      <c r="R65" s="178">
        <v>33581.97</v>
      </c>
      <c r="S65" s="295"/>
      <c r="T65" s="14">
        <f>IF(R65="","",R65-Q65)</f>
        <v>-12233.029999999999</v>
      </c>
      <c r="U65" s="158">
        <v>45815</v>
      </c>
      <c r="V65" s="158">
        <v>0</v>
      </c>
      <c r="W65" s="158">
        <v>0</v>
      </c>
      <c r="X65" s="139"/>
      <c r="Y65" s="136"/>
      <c r="Z65" s="38">
        <v>0</v>
      </c>
      <c r="AA65" s="16">
        <v>0</v>
      </c>
      <c r="AB65" s="16">
        <v>0</v>
      </c>
      <c r="AC65" s="16">
        <v>0</v>
      </c>
      <c r="AE65" s="16">
        <v>45815</v>
      </c>
      <c r="AF65" s="16">
        <v>0</v>
      </c>
      <c r="AG65" s="16">
        <v>0</v>
      </c>
      <c r="AH65" s="16">
        <f t="shared" si="3"/>
        <v>45815</v>
      </c>
      <c r="AI65" s="343">
        <f t="shared" si="4"/>
        <v>9.9694752511245502E-3</v>
      </c>
    </row>
    <row r="66" spans="1:35">
      <c r="A66" s="16"/>
      <c r="B66" s="118"/>
      <c r="C66" s="109"/>
      <c r="D66" s="20" t="s">
        <v>211</v>
      </c>
      <c r="E66" s="20" t="s">
        <v>110</v>
      </c>
      <c r="F66" s="129" t="s">
        <v>174</v>
      </c>
      <c r="G66" s="91"/>
      <c r="H66" s="144" t="s">
        <v>226</v>
      </c>
      <c r="I66" s="210"/>
      <c r="J66" s="184"/>
      <c r="K66" s="204"/>
      <c r="L66" s="2"/>
      <c r="M66" s="89">
        <v>0</v>
      </c>
      <c r="N66" s="85"/>
      <c r="O66" s="42"/>
      <c r="P66" s="31">
        <v>0</v>
      </c>
      <c r="Q66" s="14">
        <v>0</v>
      </c>
      <c r="R66" s="178">
        <v>23.41</v>
      </c>
      <c r="S66" s="295"/>
      <c r="T66" s="14">
        <f t="shared" si="2"/>
        <v>23.41</v>
      </c>
      <c r="U66" s="158">
        <v>0</v>
      </c>
      <c r="V66" s="158">
        <v>0</v>
      </c>
      <c r="W66" s="158">
        <v>0</v>
      </c>
      <c r="X66" s="139"/>
      <c r="Y66" s="136"/>
      <c r="Z66" s="38">
        <v>0</v>
      </c>
      <c r="AA66" s="16">
        <v>0</v>
      </c>
      <c r="AB66" s="16">
        <v>0</v>
      </c>
      <c r="AC66" s="16">
        <v>0</v>
      </c>
      <c r="AE66" s="16">
        <v>0</v>
      </c>
      <c r="AF66" s="16">
        <v>0</v>
      </c>
      <c r="AG66" s="16">
        <v>0</v>
      </c>
      <c r="AH66" s="16">
        <f t="shared" si="3"/>
        <v>0</v>
      </c>
      <c r="AI66" s="343">
        <f t="shared" si="4"/>
        <v>0</v>
      </c>
    </row>
    <row r="67" spans="1:35">
      <c r="A67" s="16"/>
      <c r="B67" s="120"/>
      <c r="C67" s="111"/>
      <c r="D67" s="21"/>
      <c r="E67" s="21" t="s">
        <v>109</v>
      </c>
      <c r="F67" s="68" t="s">
        <v>94</v>
      </c>
      <c r="G67" s="14"/>
      <c r="H67" s="144">
        <v>-8000</v>
      </c>
      <c r="I67" s="226"/>
      <c r="J67" s="8"/>
      <c r="K67" s="227"/>
      <c r="L67" s="2"/>
      <c r="M67" s="89">
        <v>-8000</v>
      </c>
      <c r="N67" s="84"/>
      <c r="O67" s="4"/>
      <c r="P67" s="31">
        <v>0</v>
      </c>
      <c r="Q67" s="14">
        <v>0</v>
      </c>
      <c r="R67" s="178"/>
      <c r="S67" s="295"/>
      <c r="T67" s="14" t="str">
        <f>IF(R67="","",R67-Q67)</f>
        <v/>
      </c>
      <c r="U67" s="158">
        <v>0</v>
      </c>
      <c r="V67" s="158">
        <v>0</v>
      </c>
      <c r="W67" s="158">
        <v>0</v>
      </c>
      <c r="X67" s="104"/>
      <c r="Y67" s="136"/>
      <c r="Z67" s="38">
        <v>0</v>
      </c>
      <c r="AA67" s="16">
        <v>0</v>
      </c>
      <c r="AB67" s="16">
        <v>-8000</v>
      </c>
      <c r="AC67" s="16">
        <v>0</v>
      </c>
      <c r="AE67" s="16">
        <v>0</v>
      </c>
      <c r="AF67" s="16">
        <v>0</v>
      </c>
      <c r="AG67" s="16">
        <v>0</v>
      </c>
      <c r="AH67" s="16">
        <f t="shared" si="3"/>
        <v>0</v>
      </c>
      <c r="AI67" s="343">
        <f t="shared" si="4"/>
        <v>0</v>
      </c>
    </row>
    <row r="68" spans="1:35">
      <c r="A68" s="16"/>
      <c r="B68" s="118"/>
      <c r="C68" s="109"/>
      <c r="D68" s="20" t="s">
        <v>211</v>
      </c>
      <c r="E68" s="20" t="s">
        <v>109</v>
      </c>
      <c r="F68" s="68" t="s">
        <v>14</v>
      </c>
      <c r="G68" s="133"/>
      <c r="H68" s="144" t="s">
        <v>226</v>
      </c>
      <c r="I68" s="202"/>
      <c r="J68" s="181"/>
      <c r="K68" s="207"/>
      <c r="L68" s="31"/>
      <c r="M68" s="89">
        <v>0</v>
      </c>
      <c r="N68" s="84"/>
      <c r="O68" s="42">
        <v>9500</v>
      </c>
      <c r="P68" s="31">
        <v>0</v>
      </c>
      <c r="Q68" s="14">
        <v>9500</v>
      </c>
      <c r="R68" s="178"/>
      <c r="S68" s="295"/>
      <c r="T68" s="14" t="str">
        <f t="shared" si="2"/>
        <v/>
      </c>
      <c r="U68" s="158">
        <v>0</v>
      </c>
      <c r="V68" s="158">
        <v>9500</v>
      </c>
      <c r="W68" s="158">
        <v>0</v>
      </c>
      <c r="X68" s="139"/>
      <c r="Y68" s="136"/>
      <c r="Z68" s="38">
        <v>0</v>
      </c>
      <c r="AA68" s="16">
        <v>0</v>
      </c>
      <c r="AB68" s="16">
        <v>0</v>
      </c>
      <c r="AC68" s="16">
        <v>0</v>
      </c>
      <c r="AE68" s="16">
        <v>0</v>
      </c>
      <c r="AF68" s="16">
        <v>9500</v>
      </c>
      <c r="AG68" s="16">
        <v>0</v>
      </c>
      <c r="AH68" s="16">
        <f t="shared" si="3"/>
        <v>9500</v>
      </c>
      <c r="AI68" s="343">
        <f t="shared" si="4"/>
        <v>2.067227215664809E-3</v>
      </c>
    </row>
    <row r="69" spans="1:35">
      <c r="A69" s="16"/>
      <c r="B69" s="118"/>
      <c r="C69" s="109"/>
      <c r="D69" s="20"/>
      <c r="E69" s="20" t="s">
        <v>110</v>
      </c>
      <c r="F69" s="68" t="s">
        <v>15</v>
      </c>
      <c r="G69" s="91"/>
      <c r="H69" s="144" t="s">
        <v>226</v>
      </c>
      <c r="I69" s="195">
        <v>9888.42</v>
      </c>
      <c r="J69" s="185">
        <v>8642.52</v>
      </c>
      <c r="K69" s="211">
        <v>9714.67</v>
      </c>
      <c r="L69" s="31"/>
      <c r="M69" s="89">
        <v>28245.61</v>
      </c>
      <c r="N69" s="84"/>
      <c r="O69" s="42"/>
      <c r="P69" s="31">
        <v>0</v>
      </c>
      <c r="Q69" s="14">
        <v>0</v>
      </c>
      <c r="R69" s="178"/>
      <c r="S69" s="295"/>
      <c r="T69" s="14" t="str">
        <f t="shared" si="2"/>
        <v/>
      </c>
      <c r="U69" s="158">
        <v>0</v>
      </c>
      <c r="V69" s="158">
        <v>0</v>
      </c>
      <c r="W69" s="158">
        <v>0</v>
      </c>
      <c r="X69" s="139"/>
      <c r="Y69" s="136"/>
      <c r="Z69" s="38">
        <v>0</v>
      </c>
      <c r="AA69" s="16">
        <v>28245.61</v>
      </c>
      <c r="AB69" s="16">
        <v>0</v>
      </c>
      <c r="AC69" s="16">
        <v>0</v>
      </c>
      <c r="AE69" s="16">
        <v>0</v>
      </c>
      <c r="AF69" s="16">
        <v>0</v>
      </c>
      <c r="AG69" s="16">
        <v>0</v>
      </c>
      <c r="AH69" s="16">
        <f t="shared" si="3"/>
        <v>0</v>
      </c>
      <c r="AI69" s="343">
        <f t="shared" si="4"/>
        <v>0</v>
      </c>
    </row>
    <row r="70" spans="1:35">
      <c r="A70" s="16"/>
      <c r="B70" s="118" t="s">
        <v>70</v>
      </c>
      <c r="C70" s="109"/>
      <c r="D70" s="20"/>
      <c r="E70" s="20" t="s">
        <v>109</v>
      </c>
      <c r="F70" s="68" t="s">
        <v>16</v>
      </c>
      <c r="G70" s="91"/>
      <c r="H70" s="144">
        <v>-600</v>
      </c>
      <c r="I70" s="206"/>
      <c r="J70" s="184"/>
      <c r="K70" s="207"/>
      <c r="L70" s="31"/>
      <c r="M70" s="89">
        <v>-600</v>
      </c>
      <c r="N70" s="84"/>
      <c r="O70" s="42">
        <v>200</v>
      </c>
      <c r="P70" s="31">
        <v>0</v>
      </c>
      <c r="Q70" s="14">
        <v>200</v>
      </c>
      <c r="R70" s="178">
        <f>213.52+175.75+213.31</f>
        <v>602.57999999999993</v>
      </c>
      <c r="S70" s="295"/>
      <c r="T70" s="14">
        <f t="shared" si="2"/>
        <v>402.57999999999993</v>
      </c>
      <c r="U70" s="158">
        <v>0</v>
      </c>
      <c r="V70" s="158">
        <v>200</v>
      </c>
      <c r="W70" s="158">
        <v>0</v>
      </c>
      <c r="X70" s="139"/>
      <c r="Y70" s="136"/>
      <c r="Z70" s="38">
        <v>0</v>
      </c>
      <c r="AA70" s="16">
        <v>0</v>
      </c>
      <c r="AB70" s="16">
        <v>-600</v>
      </c>
      <c r="AC70" s="16">
        <v>0</v>
      </c>
      <c r="AE70" s="16">
        <v>0</v>
      </c>
      <c r="AF70" s="16">
        <v>200</v>
      </c>
      <c r="AG70" s="16">
        <v>0</v>
      </c>
      <c r="AH70" s="16">
        <f t="shared" si="3"/>
        <v>200</v>
      </c>
      <c r="AI70" s="343">
        <f t="shared" si="4"/>
        <v>4.3520572961364399E-5</v>
      </c>
    </row>
    <row r="71" spans="1:35">
      <c r="A71" s="16"/>
      <c r="B71" s="118"/>
      <c r="C71" s="109"/>
      <c r="D71" s="20"/>
      <c r="E71" s="20" t="s">
        <v>109</v>
      </c>
      <c r="F71" s="68" t="s">
        <v>208</v>
      </c>
      <c r="G71" s="91"/>
      <c r="H71" s="144">
        <v>-200</v>
      </c>
      <c r="I71" s="206"/>
      <c r="J71" s="184"/>
      <c r="K71" s="201"/>
      <c r="L71" s="31"/>
      <c r="M71" s="89">
        <v>-200</v>
      </c>
      <c r="N71" s="84"/>
      <c r="O71" s="42">
        <v>100</v>
      </c>
      <c r="P71" s="31">
        <v>0</v>
      </c>
      <c r="Q71" s="14">
        <v>100</v>
      </c>
      <c r="R71" s="178">
        <f>100.11+91.3+101.05</f>
        <v>292.45999999999998</v>
      </c>
      <c r="S71" s="295"/>
      <c r="T71" s="14">
        <f t="shared" si="2"/>
        <v>192.45999999999998</v>
      </c>
      <c r="U71" s="158">
        <v>0</v>
      </c>
      <c r="V71" s="158">
        <v>100</v>
      </c>
      <c r="W71" s="158">
        <v>0</v>
      </c>
      <c r="X71" s="139"/>
      <c r="Y71" s="136"/>
      <c r="Z71" s="38">
        <v>0</v>
      </c>
      <c r="AA71" s="16">
        <v>0</v>
      </c>
      <c r="AB71" s="16">
        <v>-200</v>
      </c>
      <c r="AC71" s="16">
        <v>0</v>
      </c>
      <c r="AE71" s="16">
        <v>0</v>
      </c>
      <c r="AF71" s="16">
        <v>100</v>
      </c>
      <c r="AG71" s="16">
        <v>0</v>
      </c>
      <c r="AH71" s="16">
        <f t="shared" si="3"/>
        <v>100</v>
      </c>
      <c r="AI71" s="343">
        <f t="shared" si="4"/>
        <v>2.1760286480682199E-5</v>
      </c>
    </row>
    <row r="72" spans="1:35">
      <c r="A72" s="16"/>
      <c r="B72" s="118"/>
      <c r="C72" s="109"/>
      <c r="D72" s="20"/>
      <c r="E72" s="20" t="s">
        <v>110</v>
      </c>
      <c r="F72" s="68" t="s">
        <v>17</v>
      </c>
      <c r="G72" s="91"/>
      <c r="H72" s="144" t="s">
        <v>226</v>
      </c>
      <c r="I72" s="202"/>
      <c r="J72" s="183"/>
      <c r="K72" s="201"/>
      <c r="L72" s="31"/>
      <c r="M72" s="89">
        <v>0</v>
      </c>
      <c r="N72" s="84"/>
      <c r="O72" s="42">
        <v>0</v>
      </c>
      <c r="P72" s="31">
        <v>0</v>
      </c>
      <c r="Q72" s="14">
        <v>0</v>
      </c>
      <c r="R72" s="178"/>
      <c r="S72" s="295"/>
      <c r="T72" s="14" t="str">
        <f t="shared" si="2"/>
        <v/>
      </c>
      <c r="U72" s="158">
        <v>0</v>
      </c>
      <c r="V72" s="158">
        <v>0</v>
      </c>
      <c r="W72" s="158">
        <v>0</v>
      </c>
      <c r="X72" s="139"/>
      <c r="Y72" s="136"/>
      <c r="Z72" s="38">
        <v>0</v>
      </c>
      <c r="AA72" s="16">
        <v>0</v>
      </c>
      <c r="AB72" s="16">
        <v>0</v>
      </c>
      <c r="AC72" s="16">
        <v>0</v>
      </c>
      <c r="AE72" s="16">
        <v>0</v>
      </c>
      <c r="AF72" s="16">
        <v>0</v>
      </c>
      <c r="AG72" s="16">
        <v>0</v>
      </c>
      <c r="AH72" s="16">
        <f t="shared" si="3"/>
        <v>0</v>
      </c>
      <c r="AI72" s="343">
        <f t="shared" si="4"/>
        <v>0</v>
      </c>
    </row>
    <row r="73" spans="1:35">
      <c r="A73" s="16"/>
      <c r="B73" s="118"/>
      <c r="C73" s="109"/>
      <c r="D73" s="20"/>
      <c r="E73" s="20" t="s">
        <v>109</v>
      </c>
      <c r="F73" s="68" t="s">
        <v>139</v>
      </c>
      <c r="G73" s="91"/>
      <c r="H73" s="144" t="s">
        <v>226</v>
      </c>
      <c r="I73" s="195">
        <v>32012.21</v>
      </c>
      <c r="J73" s="178">
        <v>28980.25</v>
      </c>
      <c r="K73" s="201"/>
      <c r="L73" s="31"/>
      <c r="M73" s="89">
        <v>60992.46</v>
      </c>
      <c r="N73" s="84"/>
      <c r="O73" s="42">
        <v>30496.23</v>
      </c>
      <c r="P73" s="31">
        <v>0</v>
      </c>
      <c r="Q73" s="14">
        <v>30496.23</v>
      </c>
      <c r="R73" s="178">
        <v>31358.77</v>
      </c>
      <c r="S73" s="295"/>
      <c r="T73" s="14">
        <f t="shared" si="2"/>
        <v>862.54000000000087</v>
      </c>
      <c r="U73" s="158">
        <v>0</v>
      </c>
      <c r="V73" s="158">
        <v>30496.23</v>
      </c>
      <c r="W73" s="158">
        <v>0</v>
      </c>
      <c r="X73" s="139"/>
      <c r="Y73" s="136"/>
      <c r="Z73" s="38">
        <v>0</v>
      </c>
      <c r="AA73" s="16">
        <v>0</v>
      </c>
      <c r="AB73" s="16">
        <v>60992.46</v>
      </c>
      <c r="AC73" s="16">
        <v>0</v>
      </c>
      <c r="AE73" s="16">
        <v>0</v>
      </c>
      <c r="AF73" s="16">
        <v>30496.23</v>
      </c>
      <c r="AG73" s="16">
        <v>0</v>
      </c>
      <c r="AH73" s="16">
        <f t="shared" si="3"/>
        <v>30496.23</v>
      </c>
      <c r="AI73" s="343">
        <f t="shared" si="4"/>
        <v>6.636067013807749E-3</v>
      </c>
    </row>
    <row r="74" spans="1:35">
      <c r="A74" s="16"/>
      <c r="B74" s="118"/>
      <c r="C74" s="109"/>
      <c r="D74" s="20"/>
      <c r="E74" s="20" t="s">
        <v>109</v>
      </c>
      <c r="F74" s="68" t="s">
        <v>140</v>
      </c>
      <c r="G74" s="91"/>
      <c r="H74" s="144" t="s">
        <v>226</v>
      </c>
      <c r="I74" s="195">
        <v>10478.459999999999</v>
      </c>
      <c r="J74" s="178">
        <v>9641.84</v>
      </c>
      <c r="K74" s="201"/>
      <c r="L74" s="31"/>
      <c r="M74" s="89">
        <v>20120.3</v>
      </c>
      <c r="N74" s="84"/>
      <c r="O74" s="42">
        <v>10060.15</v>
      </c>
      <c r="P74" s="31">
        <v>0</v>
      </c>
      <c r="Q74" s="14">
        <v>10060.15</v>
      </c>
      <c r="R74" s="178">
        <v>2865.42</v>
      </c>
      <c r="S74" s="295"/>
      <c r="T74" s="14">
        <f t="shared" si="2"/>
        <v>-7194.73</v>
      </c>
      <c r="U74" s="158">
        <v>0</v>
      </c>
      <c r="V74" s="158">
        <v>10060.15</v>
      </c>
      <c r="W74" s="158">
        <v>0</v>
      </c>
      <c r="X74" s="139"/>
      <c r="Y74" s="136"/>
      <c r="Z74" s="38">
        <v>0</v>
      </c>
      <c r="AA74" s="16">
        <v>0</v>
      </c>
      <c r="AB74" s="16">
        <v>20120.3</v>
      </c>
      <c r="AC74" s="16">
        <v>0</v>
      </c>
      <c r="AE74" s="16">
        <v>0</v>
      </c>
      <c r="AF74" s="16">
        <v>10060.15</v>
      </c>
      <c r="AG74" s="16">
        <v>0</v>
      </c>
      <c r="AH74" s="16">
        <f t="shared" si="3"/>
        <v>10060.15</v>
      </c>
      <c r="AI74" s="343">
        <f t="shared" si="4"/>
        <v>2.1891174603863501E-3</v>
      </c>
    </row>
    <row r="75" spans="1:35">
      <c r="A75" s="16"/>
      <c r="B75" s="118"/>
      <c r="C75" s="109"/>
      <c r="D75" s="20"/>
      <c r="E75" s="20" t="s">
        <v>109</v>
      </c>
      <c r="F75" s="68" t="s">
        <v>141</v>
      </c>
      <c r="G75" s="91"/>
      <c r="H75" s="144" t="s">
        <v>226</v>
      </c>
      <c r="I75" s="195">
        <v>165</v>
      </c>
      <c r="J75" s="178">
        <v>155.69999999999999</v>
      </c>
      <c r="K75" s="201"/>
      <c r="L75" s="31"/>
      <c r="M75" s="89">
        <v>320.7</v>
      </c>
      <c r="N75" s="84"/>
      <c r="O75" s="42">
        <v>160.35</v>
      </c>
      <c r="P75" s="31">
        <v>0</v>
      </c>
      <c r="Q75" s="14">
        <v>160.35</v>
      </c>
      <c r="R75" s="178">
        <v>142.6</v>
      </c>
      <c r="S75" s="295"/>
      <c r="T75" s="14">
        <f t="shared" si="2"/>
        <v>-17.75</v>
      </c>
      <c r="U75" s="158">
        <v>0</v>
      </c>
      <c r="V75" s="158">
        <v>160.35</v>
      </c>
      <c r="W75" s="158">
        <v>0</v>
      </c>
      <c r="X75" s="139"/>
      <c r="Y75" s="136"/>
      <c r="Z75" s="38">
        <v>0</v>
      </c>
      <c r="AA75" s="16">
        <v>0</v>
      </c>
      <c r="AB75" s="16">
        <v>320.7</v>
      </c>
      <c r="AC75" s="16">
        <v>0</v>
      </c>
      <c r="AE75" s="16">
        <v>0</v>
      </c>
      <c r="AF75" s="16">
        <v>160.35</v>
      </c>
      <c r="AG75" s="16">
        <v>0</v>
      </c>
      <c r="AH75" s="16">
        <f t="shared" si="3"/>
        <v>160.35</v>
      </c>
      <c r="AI75" s="343">
        <f t="shared" si="4"/>
        <v>3.4892619371773905E-5</v>
      </c>
    </row>
    <row r="76" spans="1:35">
      <c r="A76" s="16"/>
      <c r="B76" s="118"/>
      <c r="C76" s="109"/>
      <c r="D76" s="20"/>
      <c r="E76" s="20" t="s">
        <v>109</v>
      </c>
      <c r="F76" s="68" t="s">
        <v>179</v>
      </c>
      <c r="G76" s="91"/>
      <c r="H76" s="144" t="s">
        <v>226</v>
      </c>
      <c r="I76" s="195">
        <v>1309.8</v>
      </c>
      <c r="J76" s="178">
        <v>1238.25</v>
      </c>
      <c r="K76" s="201"/>
      <c r="L76" s="31"/>
      <c r="M76" s="89">
        <v>2548.0500000000002</v>
      </c>
      <c r="N76" s="84"/>
      <c r="O76" s="42">
        <v>1274.0250000000001</v>
      </c>
      <c r="P76" s="31">
        <v>0</v>
      </c>
      <c r="Q76" s="14">
        <v>1274.0250000000001</v>
      </c>
      <c r="R76" s="178">
        <v>1115.31</v>
      </c>
      <c r="S76" s="295"/>
      <c r="T76" s="14">
        <f t="shared" si="2"/>
        <v>-158.71500000000015</v>
      </c>
      <c r="U76" s="158">
        <v>0</v>
      </c>
      <c r="V76" s="158">
        <v>1274.0250000000001</v>
      </c>
      <c r="W76" s="158">
        <v>0</v>
      </c>
      <c r="X76" s="139"/>
      <c r="Y76" s="136"/>
      <c r="Z76" s="38">
        <v>0</v>
      </c>
      <c r="AA76" s="16">
        <v>0</v>
      </c>
      <c r="AB76" s="16">
        <v>2548.0500000000002</v>
      </c>
      <c r="AC76" s="16">
        <v>0</v>
      </c>
      <c r="AE76" s="16">
        <v>0</v>
      </c>
      <c r="AF76" s="16">
        <v>1274.0250000000001</v>
      </c>
      <c r="AG76" s="16">
        <v>0</v>
      </c>
      <c r="AH76" s="16">
        <f t="shared" si="3"/>
        <v>1274.0250000000001</v>
      </c>
      <c r="AI76" s="343">
        <f t="shared" si="4"/>
        <v>2.7723148983551142E-4</v>
      </c>
    </row>
    <row r="77" spans="1:35">
      <c r="A77" s="16"/>
      <c r="B77" s="118"/>
      <c r="C77" s="109"/>
      <c r="D77" s="20"/>
      <c r="E77" s="20" t="s">
        <v>109</v>
      </c>
      <c r="F77" s="68" t="s">
        <v>180</v>
      </c>
      <c r="G77" s="91"/>
      <c r="H77" s="144" t="s">
        <v>226</v>
      </c>
      <c r="I77" s="195">
        <v>110.07</v>
      </c>
      <c r="J77" s="178">
        <v>120.04</v>
      </c>
      <c r="K77" s="201"/>
      <c r="L77" s="31"/>
      <c r="M77" s="89">
        <v>230.11</v>
      </c>
      <c r="N77" s="84"/>
      <c r="O77" s="42">
        <v>115.05500000000001</v>
      </c>
      <c r="P77" s="31">
        <v>0</v>
      </c>
      <c r="Q77" s="14">
        <v>115.05500000000001</v>
      </c>
      <c r="R77" s="178">
        <v>50.45</v>
      </c>
      <c r="S77" s="295"/>
      <c r="T77" s="14">
        <f t="shared" si="2"/>
        <v>-64.605000000000004</v>
      </c>
      <c r="U77" s="158">
        <v>0</v>
      </c>
      <c r="V77" s="158">
        <v>115.05500000000001</v>
      </c>
      <c r="W77" s="158">
        <v>0</v>
      </c>
      <c r="X77" s="139"/>
      <c r="Y77" s="136"/>
      <c r="Z77" s="38">
        <v>0</v>
      </c>
      <c r="AA77" s="16">
        <v>0</v>
      </c>
      <c r="AB77" s="16">
        <v>230.11</v>
      </c>
      <c r="AC77" s="16">
        <v>0</v>
      </c>
      <c r="AE77" s="16">
        <v>0</v>
      </c>
      <c r="AF77" s="16">
        <v>115.05500000000001</v>
      </c>
      <c r="AG77" s="16">
        <v>0</v>
      </c>
      <c r="AH77" s="16">
        <f t="shared" si="3"/>
        <v>115.05500000000001</v>
      </c>
      <c r="AI77" s="343">
        <f t="shared" si="4"/>
        <v>2.5036297610348907E-5</v>
      </c>
    </row>
    <row r="78" spans="1:35">
      <c r="A78" s="16"/>
      <c r="B78" s="118"/>
      <c r="C78" s="109"/>
      <c r="D78" s="20"/>
      <c r="E78" s="20" t="s">
        <v>109</v>
      </c>
      <c r="F78" s="68" t="s">
        <v>199</v>
      </c>
      <c r="G78" s="91"/>
      <c r="H78" s="144" t="s">
        <v>226</v>
      </c>
      <c r="I78" s="208"/>
      <c r="J78" s="186"/>
      <c r="K78" s="201"/>
      <c r="L78" s="31"/>
      <c r="M78" s="89">
        <v>0</v>
      </c>
      <c r="N78" s="84"/>
      <c r="O78" s="42">
        <v>500</v>
      </c>
      <c r="P78" s="31">
        <v>0</v>
      </c>
      <c r="Q78" s="14">
        <v>500</v>
      </c>
      <c r="R78" s="178">
        <f>131.44+81.87+78.05</f>
        <v>291.36</v>
      </c>
      <c r="S78" s="295"/>
      <c r="T78" s="14">
        <f t="shared" si="2"/>
        <v>-208.64</v>
      </c>
      <c r="U78" s="158">
        <v>0</v>
      </c>
      <c r="V78" s="158">
        <v>500</v>
      </c>
      <c r="W78" s="158">
        <v>0</v>
      </c>
      <c r="X78" s="139"/>
      <c r="Y78" s="136"/>
      <c r="Z78" s="38">
        <v>0</v>
      </c>
      <c r="AA78" s="16">
        <v>0</v>
      </c>
      <c r="AB78" s="16">
        <v>0</v>
      </c>
      <c r="AC78" s="16">
        <v>0</v>
      </c>
      <c r="AE78" s="16">
        <v>0</v>
      </c>
      <c r="AF78" s="16">
        <v>500</v>
      </c>
      <c r="AG78" s="16">
        <v>0</v>
      </c>
      <c r="AH78" s="16">
        <f t="shared" si="3"/>
        <v>500</v>
      </c>
      <c r="AI78" s="343">
        <f t="shared" si="4"/>
        <v>1.08801432403411E-4</v>
      </c>
    </row>
    <row r="79" spans="1:35">
      <c r="A79" s="16"/>
      <c r="B79" s="118"/>
      <c r="C79" s="109"/>
      <c r="D79" s="20"/>
      <c r="E79" s="20" t="s">
        <v>109</v>
      </c>
      <c r="F79" s="68" t="s">
        <v>200</v>
      </c>
      <c r="G79" s="91"/>
      <c r="H79" s="144" t="s">
        <v>226</v>
      </c>
      <c r="I79" s="208"/>
      <c r="J79" s="186"/>
      <c r="K79" s="201"/>
      <c r="L79" s="31"/>
      <c r="M79" s="89">
        <v>0</v>
      </c>
      <c r="N79" s="84"/>
      <c r="O79" s="42">
        <v>600</v>
      </c>
      <c r="P79" s="31">
        <v>0</v>
      </c>
      <c r="Q79" s="14">
        <v>600</v>
      </c>
      <c r="R79" s="178">
        <f>2346.47+635.89+141.4</f>
        <v>3123.7599999999998</v>
      </c>
      <c r="S79" s="295"/>
      <c r="T79" s="14">
        <f t="shared" si="2"/>
        <v>2523.7599999999998</v>
      </c>
      <c r="U79" s="158">
        <v>0</v>
      </c>
      <c r="V79" s="158">
        <v>600</v>
      </c>
      <c r="W79" s="158">
        <v>0</v>
      </c>
      <c r="X79" s="139"/>
      <c r="Y79" s="136"/>
      <c r="Z79" s="38">
        <v>0</v>
      </c>
      <c r="AA79" s="16">
        <v>0</v>
      </c>
      <c r="AB79" s="16">
        <v>0</v>
      </c>
      <c r="AC79" s="16">
        <v>0</v>
      </c>
      <c r="AE79" s="16">
        <v>0</v>
      </c>
      <c r="AF79" s="16">
        <v>600</v>
      </c>
      <c r="AG79" s="16">
        <v>0</v>
      </c>
      <c r="AH79" s="16">
        <f t="shared" si="3"/>
        <v>600</v>
      </c>
      <c r="AI79" s="343">
        <f t="shared" si="4"/>
        <v>1.3056171888409319E-4</v>
      </c>
    </row>
    <row r="80" spans="1:35">
      <c r="A80" s="16"/>
      <c r="B80" s="118"/>
      <c r="C80" s="109"/>
      <c r="D80" s="20"/>
      <c r="E80" s="20" t="s">
        <v>109</v>
      </c>
      <c r="F80" s="68" t="s">
        <v>201</v>
      </c>
      <c r="G80" s="91"/>
      <c r="H80" s="144" t="s">
        <v>226</v>
      </c>
      <c r="I80" s="208"/>
      <c r="J80" s="186"/>
      <c r="K80" s="201"/>
      <c r="L80" s="31"/>
      <c r="M80" s="89">
        <v>0</v>
      </c>
      <c r="N80" s="84"/>
      <c r="O80" s="42">
        <v>200</v>
      </c>
      <c r="P80" s="31">
        <v>0</v>
      </c>
      <c r="Q80" s="14">
        <v>200</v>
      </c>
      <c r="R80" s="178">
        <f>17.42+59.73+19.93</f>
        <v>97.080000000000013</v>
      </c>
      <c r="S80" s="295"/>
      <c r="T80" s="14">
        <f t="shared" si="2"/>
        <v>-102.91999999999999</v>
      </c>
      <c r="U80" s="158">
        <v>0</v>
      </c>
      <c r="V80" s="158">
        <v>200</v>
      </c>
      <c r="W80" s="158">
        <v>0</v>
      </c>
      <c r="X80" s="139"/>
      <c r="Y80" s="136"/>
      <c r="Z80" s="38">
        <v>0</v>
      </c>
      <c r="AA80" s="16">
        <v>0</v>
      </c>
      <c r="AB80" s="16">
        <v>0</v>
      </c>
      <c r="AC80" s="16">
        <v>0</v>
      </c>
      <c r="AE80" s="16">
        <v>0</v>
      </c>
      <c r="AF80" s="16">
        <v>200</v>
      </c>
      <c r="AG80" s="16">
        <v>0</v>
      </c>
      <c r="AH80" s="16">
        <f t="shared" si="3"/>
        <v>200</v>
      </c>
      <c r="AI80" s="343">
        <f t="shared" si="4"/>
        <v>4.3520572961364399E-5</v>
      </c>
    </row>
    <row r="81" spans="1:35">
      <c r="A81" s="16"/>
      <c r="B81" s="118"/>
      <c r="C81" s="109"/>
      <c r="D81" s="20"/>
      <c r="E81" s="20" t="s">
        <v>110</v>
      </c>
      <c r="F81" s="68" t="s">
        <v>64</v>
      </c>
      <c r="G81" s="91"/>
      <c r="H81" s="144" t="s">
        <v>226</v>
      </c>
      <c r="I81" s="243"/>
      <c r="J81" s="244"/>
      <c r="K81" s="201"/>
      <c r="L81" s="31"/>
      <c r="M81" s="89">
        <v>0</v>
      </c>
      <c r="N81" s="84"/>
      <c r="O81" s="42">
        <v>0</v>
      </c>
      <c r="P81" s="31">
        <v>0</v>
      </c>
      <c r="Q81" s="14">
        <v>0</v>
      </c>
      <c r="R81" s="178"/>
      <c r="S81" s="295"/>
      <c r="T81" s="14" t="str">
        <f t="shared" si="2"/>
        <v/>
      </c>
      <c r="U81" s="158">
        <v>0</v>
      </c>
      <c r="V81" s="158">
        <v>0</v>
      </c>
      <c r="W81" s="158">
        <v>0</v>
      </c>
      <c r="X81" s="139"/>
      <c r="Y81" s="136"/>
      <c r="Z81" s="38">
        <v>0</v>
      </c>
      <c r="AA81" s="16">
        <v>0</v>
      </c>
      <c r="AB81" s="16">
        <v>0</v>
      </c>
      <c r="AC81" s="16">
        <v>0</v>
      </c>
      <c r="AE81" s="16">
        <v>0</v>
      </c>
      <c r="AF81" s="16">
        <v>0</v>
      </c>
      <c r="AG81" s="16">
        <v>0</v>
      </c>
      <c r="AH81" s="16">
        <f t="shared" si="3"/>
        <v>0</v>
      </c>
      <c r="AI81" s="343">
        <f t="shared" si="4"/>
        <v>0</v>
      </c>
    </row>
    <row r="82" spans="1:35">
      <c r="A82" s="16"/>
      <c r="B82" s="118"/>
      <c r="C82" s="109"/>
      <c r="D82" s="20" t="s">
        <v>211</v>
      </c>
      <c r="E82" s="20" t="s">
        <v>109</v>
      </c>
      <c r="F82" s="68" t="s">
        <v>18</v>
      </c>
      <c r="G82" s="91"/>
      <c r="H82" s="144" t="s">
        <v>226</v>
      </c>
      <c r="I82" s="210"/>
      <c r="J82" s="184"/>
      <c r="K82" s="200"/>
      <c r="L82" s="2"/>
      <c r="M82" s="89">
        <v>0</v>
      </c>
      <c r="N82" s="85"/>
      <c r="O82" s="42">
        <v>0</v>
      </c>
      <c r="P82" s="31">
        <v>0</v>
      </c>
      <c r="Q82" s="14">
        <v>0</v>
      </c>
      <c r="R82" s="178">
        <f>38.2+67.84</f>
        <v>106.04</v>
      </c>
      <c r="S82" s="295"/>
      <c r="T82" s="14">
        <f t="shared" si="2"/>
        <v>106.04</v>
      </c>
      <c r="U82" s="158">
        <v>0</v>
      </c>
      <c r="V82" s="158">
        <v>0</v>
      </c>
      <c r="W82" s="158">
        <v>0</v>
      </c>
      <c r="X82" s="139"/>
      <c r="Y82" s="136"/>
      <c r="Z82" s="38">
        <v>0</v>
      </c>
      <c r="AA82" s="16">
        <v>0</v>
      </c>
      <c r="AB82" s="16">
        <v>0</v>
      </c>
      <c r="AC82" s="16">
        <v>0</v>
      </c>
      <c r="AE82" s="16">
        <v>0</v>
      </c>
      <c r="AF82" s="16">
        <v>0</v>
      </c>
      <c r="AG82" s="16">
        <v>0</v>
      </c>
      <c r="AH82" s="16">
        <f t="shared" si="3"/>
        <v>0</v>
      </c>
      <c r="AI82" s="343">
        <f t="shared" si="4"/>
        <v>0</v>
      </c>
    </row>
    <row r="83" spans="1:35">
      <c r="A83" s="110"/>
      <c r="B83" s="118"/>
      <c r="C83" s="109"/>
      <c r="D83" s="20" t="s">
        <v>97</v>
      </c>
      <c r="E83" s="20" t="s">
        <v>109</v>
      </c>
      <c r="F83" s="68" t="s">
        <v>19</v>
      </c>
      <c r="G83" s="91"/>
      <c r="H83" s="144">
        <v>-4.8199999991993536E-4</v>
      </c>
      <c r="I83" s="195">
        <v>3830.55</v>
      </c>
      <c r="J83" s="178">
        <v>3004.22</v>
      </c>
      <c r="K83" s="201"/>
      <c r="L83" s="31"/>
      <c r="M83" s="89">
        <v>6834.7695180000001</v>
      </c>
      <c r="N83" s="84"/>
      <c r="O83" s="42">
        <v>3417.3850000000002</v>
      </c>
      <c r="P83" s="31">
        <v>0</v>
      </c>
      <c r="Q83" s="14">
        <v>3417.3850000000002</v>
      </c>
      <c r="R83" s="178">
        <v>3377.78</v>
      </c>
      <c r="S83" s="295"/>
      <c r="T83" s="14">
        <f t="shared" si="2"/>
        <v>-39.605000000000018</v>
      </c>
      <c r="U83" s="158">
        <v>0</v>
      </c>
      <c r="V83" s="158">
        <v>3417.3850000000002</v>
      </c>
      <c r="W83" s="158">
        <v>0</v>
      </c>
      <c r="X83" s="139"/>
      <c r="Y83" s="136"/>
      <c r="Z83" s="38">
        <v>0</v>
      </c>
      <c r="AA83" s="16">
        <v>0</v>
      </c>
      <c r="AB83" s="16">
        <v>6834.7695180000001</v>
      </c>
      <c r="AC83" s="16">
        <v>0</v>
      </c>
      <c r="AE83" s="16">
        <v>0</v>
      </c>
      <c r="AF83" s="16">
        <v>3417.3850000000002</v>
      </c>
      <c r="AG83" s="16">
        <v>0</v>
      </c>
      <c r="AH83" s="16">
        <f t="shared" ref="AH83:AH114" si="5">SUM(AE83:AG83)</f>
        <v>3417.3850000000002</v>
      </c>
      <c r="AI83" s="343">
        <f t="shared" ref="AI83:AI114" si="6">AH83/$AH$217</f>
        <v>7.4363276614786145E-4</v>
      </c>
    </row>
    <row r="84" spans="1:35">
      <c r="A84" s="27"/>
      <c r="B84" s="118"/>
      <c r="C84" s="109"/>
      <c r="D84" s="20" t="s">
        <v>109</v>
      </c>
      <c r="E84" s="20" t="s">
        <v>109</v>
      </c>
      <c r="F84" s="68" t="s">
        <v>66</v>
      </c>
      <c r="G84" s="91"/>
      <c r="H84" s="144" t="s">
        <v>226</v>
      </c>
      <c r="I84" s="210"/>
      <c r="J84" s="184"/>
      <c r="K84" s="200"/>
      <c r="L84" s="31"/>
      <c r="M84" s="89">
        <v>0</v>
      </c>
      <c r="N84" s="84"/>
      <c r="O84" s="42"/>
      <c r="P84" s="31">
        <v>0</v>
      </c>
      <c r="Q84" s="14">
        <v>0</v>
      </c>
      <c r="R84" s="178"/>
      <c r="S84" s="295"/>
      <c r="T84" s="14" t="str">
        <f t="shared" si="2"/>
        <v/>
      </c>
      <c r="U84" s="158">
        <v>0</v>
      </c>
      <c r="V84" s="158">
        <v>0</v>
      </c>
      <c r="W84" s="158">
        <v>0</v>
      </c>
      <c r="X84" s="139"/>
      <c r="Y84" s="136"/>
      <c r="Z84" s="38">
        <v>0</v>
      </c>
      <c r="AA84" s="16">
        <v>0</v>
      </c>
      <c r="AB84" s="16">
        <v>0</v>
      </c>
      <c r="AC84" s="16">
        <v>0</v>
      </c>
      <c r="AE84" s="16">
        <v>0</v>
      </c>
      <c r="AF84" s="16">
        <v>0</v>
      </c>
      <c r="AG84" s="16">
        <v>0</v>
      </c>
      <c r="AH84" s="16">
        <f t="shared" si="5"/>
        <v>0</v>
      </c>
      <c r="AI84" s="343">
        <f t="shared" si="6"/>
        <v>0</v>
      </c>
    </row>
    <row r="85" spans="1:35">
      <c r="A85" s="27"/>
      <c r="B85" s="120"/>
      <c r="C85" s="111"/>
      <c r="D85" s="21" t="s">
        <v>109</v>
      </c>
      <c r="E85" s="21" t="s">
        <v>110</v>
      </c>
      <c r="F85" s="68" t="s">
        <v>65</v>
      </c>
      <c r="G85" s="91"/>
      <c r="H85" s="144" t="s">
        <v>226</v>
      </c>
      <c r="I85" s="210"/>
      <c r="J85" s="184"/>
      <c r="K85" s="200"/>
      <c r="L85" s="31"/>
      <c r="M85" s="89">
        <v>0</v>
      </c>
      <c r="N85" s="84"/>
      <c r="O85" s="42"/>
      <c r="P85" s="31">
        <v>0</v>
      </c>
      <c r="Q85" s="14">
        <v>0</v>
      </c>
      <c r="R85" s="178"/>
      <c r="S85" s="295"/>
      <c r="T85" s="14" t="str">
        <f t="shared" ref="T85:T148" si="7">IF(R85="","",R85-Q85)</f>
        <v/>
      </c>
      <c r="U85" s="158">
        <v>0</v>
      </c>
      <c r="V85" s="158">
        <v>0</v>
      </c>
      <c r="W85" s="158">
        <v>0</v>
      </c>
      <c r="X85" s="139"/>
      <c r="Y85" s="136"/>
      <c r="Z85" s="38">
        <v>0</v>
      </c>
      <c r="AA85" s="16">
        <v>0</v>
      </c>
      <c r="AB85" s="16">
        <v>0</v>
      </c>
      <c r="AC85" s="16">
        <v>0</v>
      </c>
      <c r="AE85" s="16">
        <v>0</v>
      </c>
      <c r="AF85" s="16">
        <v>0</v>
      </c>
      <c r="AG85" s="16">
        <v>0</v>
      </c>
      <c r="AH85" s="16">
        <f t="shared" si="5"/>
        <v>0</v>
      </c>
      <c r="AI85" s="343">
        <f t="shared" si="6"/>
        <v>0</v>
      </c>
    </row>
    <row r="86" spans="1:35">
      <c r="A86" s="27"/>
      <c r="B86" s="120"/>
      <c r="C86" s="111" t="s">
        <v>182</v>
      </c>
      <c r="D86" s="21" t="s">
        <v>211</v>
      </c>
      <c r="E86" s="21" t="s">
        <v>109</v>
      </c>
      <c r="F86" s="68" t="s">
        <v>181</v>
      </c>
      <c r="G86" s="6"/>
      <c r="H86" s="144" t="s">
        <v>226</v>
      </c>
      <c r="I86" s="202"/>
      <c r="J86" s="183"/>
      <c r="K86" s="201"/>
      <c r="L86" s="31"/>
      <c r="M86" s="89">
        <v>0</v>
      </c>
      <c r="N86" s="84"/>
      <c r="O86" s="42">
        <v>0</v>
      </c>
      <c r="P86" s="31">
        <v>0</v>
      </c>
      <c r="Q86" s="14">
        <v>0</v>
      </c>
      <c r="R86" s="178"/>
      <c r="S86" s="295"/>
      <c r="T86" s="14" t="str">
        <f t="shared" si="7"/>
        <v/>
      </c>
      <c r="U86" s="158">
        <v>0</v>
      </c>
      <c r="V86" s="158">
        <v>0</v>
      </c>
      <c r="W86" s="158">
        <v>0</v>
      </c>
      <c r="X86" s="139"/>
      <c r="Y86" s="136"/>
      <c r="Z86" s="38">
        <v>0</v>
      </c>
      <c r="AA86" s="16">
        <v>0</v>
      </c>
      <c r="AB86" s="16">
        <v>0</v>
      </c>
      <c r="AC86" s="16">
        <v>0</v>
      </c>
      <c r="AE86" s="16">
        <v>0</v>
      </c>
      <c r="AF86" s="16">
        <v>0</v>
      </c>
      <c r="AG86" s="16">
        <v>0</v>
      </c>
      <c r="AH86" s="16">
        <f t="shared" si="5"/>
        <v>0</v>
      </c>
      <c r="AI86" s="343">
        <f t="shared" si="6"/>
        <v>0</v>
      </c>
    </row>
    <row r="87" spans="1:35">
      <c r="A87" s="27"/>
      <c r="B87" s="118"/>
      <c r="C87" s="109"/>
      <c r="D87" s="20" t="s">
        <v>211</v>
      </c>
      <c r="E87" s="20" t="s">
        <v>109</v>
      </c>
      <c r="F87" s="68" t="s">
        <v>142</v>
      </c>
      <c r="G87" s="91"/>
      <c r="H87" s="144" t="s">
        <v>226</v>
      </c>
      <c r="I87" s="210"/>
      <c r="J87" s="184"/>
      <c r="K87" s="200"/>
      <c r="L87" s="2"/>
      <c r="M87" s="89">
        <v>0</v>
      </c>
      <c r="N87" s="85"/>
      <c r="O87" s="42">
        <v>23800</v>
      </c>
      <c r="P87" s="31">
        <v>0</v>
      </c>
      <c r="Q87" s="14">
        <v>23800</v>
      </c>
      <c r="R87" s="178">
        <v>26279.52</v>
      </c>
      <c r="S87" s="295"/>
      <c r="T87" s="14">
        <f t="shared" si="7"/>
        <v>2479.5200000000004</v>
      </c>
      <c r="U87" s="158">
        <v>0</v>
      </c>
      <c r="V87" s="158">
        <v>23800</v>
      </c>
      <c r="W87" s="158">
        <v>0</v>
      </c>
      <c r="X87" s="139"/>
      <c r="Y87" s="136"/>
      <c r="Z87" s="38">
        <v>0</v>
      </c>
      <c r="AA87" s="16">
        <v>0</v>
      </c>
      <c r="AB87" s="16">
        <v>0</v>
      </c>
      <c r="AC87" s="16">
        <v>0</v>
      </c>
      <c r="AE87" s="16">
        <v>0</v>
      </c>
      <c r="AF87" s="16">
        <v>23800</v>
      </c>
      <c r="AG87" s="16">
        <v>0</v>
      </c>
      <c r="AH87" s="16">
        <f t="shared" si="5"/>
        <v>23800</v>
      </c>
      <c r="AI87" s="343">
        <f t="shared" si="6"/>
        <v>5.1789481824023632E-3</v>
      </c>
    </row>
    <row r="88" spans="1:35">
      <c r="A88" s="27"/>
      <c r="B88" s="118"/>
      <c r="C88" s="109"/>
      <c r="D88" s="20" t="s">
        <v>211</v>
      </c>
      <c r="E88" s="20" t="s">
        <v>109</v>
      </c>
      <c r="F88" s="68" t="s">
        <v>143</v>
      </c>
      <c r="G88" s="91"/>
      <c r="H88" s="144" t="s">
        <v>226</v>
      </c>
      <c r="I88" s="212"/>
      <c r="J88" s="183"/>
      <c r="K88" s="204"/>
      <c r="L88" s="2"/>
      <c r="M88" s="89">
        <v>0</v>
      </c>
      <c r="N88" s="85"/>
      <c r="O88" s="42">
        <v>2900</v>
      </c>
      <c r="P88" s="31">
        <v>0</v>
      </c>
      <c r="Q88" s="14">
        <v>2900</v>
      </c>
      <c r="R88" s="178">
        <v>1194.22</v>
      </c>
      <c r="S88" s="295"/>
      <c r="T88" s="14">
        <f t="shared" si="7"/>
        <v>-1705.78</v>
      </c>
      <c r="U88" s="158">
        <v>0</v>
      </c>
      <c r="V88" s="158">
        <v>2900</v>
      </c>
      <c r="W88" s="158">
        <v>0</v>
      </c>
      <c r="X88" s="139"/>
      <c r="Y88" s="136"/>
      <c r="Z88" s="38">
        <v>0</v>
      </c>
      <c r="AA88" s="16">
        <v>0</v>
      </c>
      <c r="AB88" s="16">
        <v>0</v>
      </c>
      <c r="AC88" s="16">
        <v>0</v>
      </c>
      <c r="AE88" s="16">
        <v>0</v>
      </c>
      <c r="AF88" s="16">
        <v>2900</v>
      </c>
      <c r="AG88" s="16">
        <v>0</v>
      </c>
      <c r="AH88" s="16">
        <f t="shared" si="5"/>
        <v>2900</v>
      </c>
      <c r="AI88" s="343">
        <f t="shared" si="6"/>
        <v>6.3104830793978385E-4</v>
      </c>
    </row>
    <row r="89" spans="1:35">
      <c r="A89" s="27"/>
      <c r="B89" s="120"/>
      <c r="C89" s="111"/>
      <c r="D89" s="21"/>
      <c r="E89" s="21" t="s">
        <v>110</v>
      </c>
      <c r="F89" s="68" t="s">
        <v>20</v>
      </c>
      <c r="G89" s="91"/>
      <c r="H89" s="144" t="s">
        <v>226</v>
      </c>
      <c r="I89" s="202"/>
      <c r="J89" s="183"/>
      <c r="K89" s="201"/>
      <c r="L89" s="31"/>
      <c r="M89" s="89">
        <v>0</v>
      </c>
      <c r="N89" s="84"/>
      <c r="O89" s="42">
        <v>300</v>
      </c>
      <c r="P89" s="31">
        <v>0</v>
      </c>
      <c r="Q89" s="14">
        <v>300</v>
      </c>
      <c r="R89" s="178"/>
      <c r="S89" s="295"/>
      <c r="T89" s="14" t="str">
        <f t="shared" si="7"/>
        <v/>
      </c>
      <c r="U89" s="158">
        <v>300</v>
      </c>
      <c r="V89" s="158">
        <v>0</v>
      </c>
      <c r="W89" s="158">
        <v>0</v>
      </c>
      <c r="X89" s="139"/>
      <c r="Y89" s="136"/>
      <c r="Z89" s="38">
        <v>0</v>
      </c>
      <c r="AA89" s="16">
        <v>0</v>
      </c>
      <c r="AB89" s="16">
        <v>0</v>
      </c>
      <c r="AC89" s="16">
        <v>0</v>
      </c>
      <c r="AE89" s="16">
        <v>300</v>
      </c>
      <c r="AF89" s="16">
        <v>0</v>
      </c>
      <c r="AG89" s="16">
        <v>0</v>
      </c>
      <c r="AH89" s="16">
        <f t="shared" si="5"/>
        <v>300</v>
      </c>
      <c r="AI89" s="343">
        <f t="shared" si="6"/>
        <v>6.5280859442046595E-5</v>
      </c>
    </row>
    <row r="90" spans="1:35">
      <c r="A90" s="27"/>
      <c r="B90" s="120"/>
      <c r="C90" s="111"/>
      <c r="D90" s="21"/>
      <c r="E90" s="21" t="s">
        <v>110</v>
      </c>
      <c r="F90" s="68" t="s">
        <v>203</v>
      </c>
      <c r="G90" s="91"/>
      <c r="H90" s="144" t="s">
        <v>226</v>
      </c>
      <c r="I90" s="195">
        <v>1107.7</v>
      </c>
      <c r="J90" s="178">
        <v>920.95</v>
      </c>
      <c r="K90" s="199">
        <v>1060.58</v>
      </c>
      <c r="L90" s="31"/>
      <c r="M90" s="89">
        <v>3089.23</v>
      </c>
      <c r="N90" s="84"/>
      <c r="O90" s="42"/>
      <c r="P90" s="31">
        <v>0</v>
      </c>
      <c r="Q90" s="14">
        <v>0</v>
      </c>
      <c r="R90" s="178"/>
      <c r="S90" s="295"/>
      <c r="T90" s="14" t="str">
        <f t="shared" si="7"/>
        <v/>
      </c>
      <c r="U90" s="158">
        <v>0</v>
      </c>
      <c r="V90" s="158">
        <v>0</v>
      </c>
      <c r="W90" s="158">
        <v>0</v>
      </c>
      <c r="X90" s="139"/>
      <c r="Y90" s="136"/>
      <c r="Z90" s="38">
        <v>0</v>
      </c>
      <c r="AA90" s="16">
        <v>3089.23</v>
      </c>
      <c r="AB90" s="16">
        <v>0</v>
      </c>
      <c r="AC90" s="16">
        <v>0</v>
      </c>
      <c r="AE90" s="16">
        <v>0</v>
      </c>
      <c r="AF90" s="16">
        <v>0</v>
      </c>
      <c r="AG90" s="16">
        <v>0</v>
      </c>
      <c r="AH90" s="16">
        <f t="shared" si="5"/>
        <v>0</v>
      </c>
      <c r="AI90" s="343">
        <f t="shared" si="6"/>
        <v>0</v>
      </c>
    </row>
    <row r="91" spans="1:35">
      <c r="A91" s="27"/>
      <c r="B91" s="120"/>
      <c r="C91" s="111"/>
      <c r="D91" s="21"/>
      <c r="E91" s="21" t="s">
        <v>110</v>
      </c>
      <c r="F91" s="68" t="s">
        <v>202</v>
      </c>
      <c r="G91" s="91"/>
      <c r="H91" s="144" t="s">
        <v>226</v>
      </c>
      <c r="I91" s="195">
        <v>3694.67</v>
      </c>
      <c r="J91" s="178">
        <v>4092.66</v>
      </c>
      <c r="K91" s="204"/>
      <c r="L91" s="31"/>
      <c r="M91" s="89">
        <v>7787.33</v>
      </c>
      <c r="N91" s="84"/>
      <c r="O91" s="42">
        <v>3893.665</v>
      </c>
      <c r="P91" s="31">
        <v>0</v>
      </c>
      <c r="Q91" s="14">
        <v>3893.665</v>
      </c>
      <c r="R91" s="178">
        <v>3157.81</v>
      </c>
      <c r="S91" s="295"/>
      <c r="T91" s="14">
        <f t="shared" si="7"/>
        <v>-735.85500000000002</v>
      </c>
      <c r="U91" s="158">
        <v>3893.665</v>
      </c>
      <c r="V91" s="158">
        <v>0</v>
      </c>
      <c r="W91" s="158">
        <v>0</v>
      </c>
      <c r="X91" s="139"/>
      <c r="Y91" s="136"/>
      <c r="Z91" s="38">
        <v>0</v>
      </c>
      <c r="AA91" s="16">
        <v>7787.33</v>
      </c>
      <c r="AB91" s="16">
        <v>0</v>
      </c>
      <c r="AC91" s="16">
        <v>0</v>
      </c>
      <c r="AE91" s="16">
        <v>3893.665</v>
      </c>
      <c r="AF91" s="16">
        <v>0</v>
      </c>
      <c r="AG91" s="16">
        <v>0</v>
      </c>
      <c r="AH91" s="16">
        <f t="shared" si="5"/>
        <v>3893.665</v>
      </c>
      <c r="AI91" s="343">
        <f t="shared" si="6"/>
        <v>8.4727265859805461E-4</v>
      </c>
    </row>
    <row r="92" spans="1:35">
      <c r="A92" s="27"/>
      <c r="B92" s="118"/>
      <c r="C92" s="109"/>
      <c r="D92" s="20"/>
      <c r="E92" s="20" t="s">
        <v>110</v>
      </c>
      <c r="F92" s="123" t="s">
        <v>144</v>
      </c>
      <c r="G92" s="91"/>
      <c r="H92" s="144" t="s">
        <v>226</v>
      </c>
      <c r="I92" s="195">
        <v>2740719.1</v>
      </c>
      <c r="J92" s="178">
        <v>1998335.43</v>
      </c>
      <c r="K92" s="254"/>
      <c r="L92" s="31"/>
      <c r="M92" s="89">
        <v>4739054.53</v>
      </c>
      <c r="N92" s="254">
        <v>1868000</v>
      </c>
      <c r="O92" s="42"/>
      <c r="P92" s="31">
        <v>0</v>
      </c>
      <c r="Q92" s="14">
        <f>N92</f>
        <v>1868000</v>
      </c>
      <c r="R92" s="178">
        <v>1847919.96</v>
      </c>
      <c r="S92" s="295"/>
      <c r="T92" s="14">
        <f t="shared" si="7"/>
        <v>-20080.040000000037</v>
      </c>
      <c r="U92" s="158">
        <v>1868000</v>
      </c>
      <c r="V92" s="158">
        <v>0</v>
      </c>
      <c r="W92" s="158">
        <v>0</v>
      </c>
      <c r="X92" s="139"/>
      <c r="Y92" s="136"/>
      <c r="Z92" s="38">
        <v>0</v>
      </c>
      <c r="AA92" s="16">
        <v>4663054.53</v>
      </c>
      <c r="AB92" s="16">
        <v>0</v>
      </c>
      <c r="AC92" s="16">
        <v>76000</v>
      </c>
      <c r="AE92" s="16">
        <v>1868000</v>
      </c>
      <c r="AF92" s="16">
        <v>0</v>
      </c>
      <c r="AG92" s="16">
        <v>0</v>
      </c>
      <c r="AH92" s="16">
        <f t="shared" si="5"/>
        <v>1868000</v>
      </c>
      <c r="AI92" s="343">
        <f t="shared" si="6"/>
        <v>0.40648215145914351</v>
      </c>
    </row>
    <row r="93" spans="1:35">
      <c r="A93" s="27"/>
      <c r="B93" s="118"/>
      <c r="C93" s="109"/>
      <c r="D93" s="20"/>
      <c r="E93" s="20" t="s">
        <v>110</v>
      </c>
      <c r="F93" s="123" t="s">
        <v>149</v>
      </c>
      <c r="G93" s="91"/>
      <c r="H93" s="144" t="s">
        <v>226</v>
      </c>
      <c r="I93" s="195">
        <v>62153</v>
      </c>
      <c r="J93" s="178">
        <v>39565.599999999999</v>
      </c>
      <c r="K93" s="201"/>
      <c r="L93" s="31"/>
      <c r="M93" s="89">
        <v>101718.6</v>
      </c>
      <c r="N93" s="84"/>
      <c r="O93" s="42"/>
      <c r="P93" s="31">
        <v>0</v>
      </c>
      <c r="Q93" s="14">
        <v>0</v>
      </c>
      <c r="R93" s="178">
        <v>36266.5</v>
      </c>
      <c r="S93" s="295"/>
      <c r="T93" s="14">
        <f t="shared" si="7"/>
        <v>36266.5</v>
      </c>
      <c r="U93" s="158">
        <v>0</v>
      </c>
      <c r="V93" s="158">
        <v>0</v>
      </c>
      <c r="W93" s="158">
        <v>0</v>
      </c>
      <c r="X93" s="139"/>
      <c r="Y93" s="136"/>
      <c r="Z93" s="38">
        <v>0</v>
      </c>
      <c r="AA93" s="16">
        <v>101718.6</v>
      </c>
      <c r="AB93" s="16">
        <v>0</v>
      </c>
      <c r="AC93" s="16">
        <v>0</v>
      </c>
      <c r="AE93" s="16">
        <v>0</v>
      </c>
      <c r="AF93" s="16">
        <v>0</v>
      </c>
      <c r="AG93" s="16">
        <v>0</v>
      </c>
      <c r="AH93" s="16">
        <f t="shared" si="5"/>
        <v>0</v>
      </c>
      <c r="AI93" s="343">
        <f t="shared" si="6"/>
        <v>0</v>
      </c>
    </row>
    <row r="94" spans="1:35">
      <c r="A94" s="27"/>
      <c r="B94" s="118"/>
      <c r="C94" s="109"/>
      <c r="D94" s="20"/>
      <c r="E94" s="20" t="s">
        <v>110</v>
      </c>
      <c r="F94" s="125" t="s">
        <v>145</v>
      </c>
      <c r="G94" s="91"/>
      <c r="H94" s="144" t="s">
        <v>226</v>
      </c>
      <c r="I94" s="195">
        <v>1136080.3</v>
      </c>
      <c r="J94" s="178">
        <v>801808.68</v>
      </c>
      <c r="K94" s="199">
        <v>776688.82</v>
      </c>
      <c r="L94" s="31"/>
      <c r="M94" s="89">
        <v>2714577.8</v>
      </c>
      <c r="N94" s="84"/>
      <c r="O94" s="42"/>
      <c r="P94" s="31">
        <v>0</v>
      </c>
      <c r="Q94" s="14">
        <v>0</v>
      </c>
      <c r="R94" s="178"/>
      <c r="S94" s="295"/>
      <c r="T94" s="14" t="str">
        <f t="shared" si="7"/>
        <v/>
      </c>
      <c r="U94" s="158">
        <v>0</v>
      </c>
      <c r="V94" s="158">
        <v>0</v>
      </c>
      <c r="W94" s="158">
        <v>0</v>
      </c>
      <c r="X94" s="139"/>
      <c r="Y94" s="136"/>
      <c r="Z94" s="38">
        <v>0</v>
      </c>
      <c r="AA94" s="16">
        <v>2714577.8</v>
      </c>
      <c r="AB94" s="16">
        <v>0</v>
      </c>
      <c r="AC94" s="16">
        <v>0</v>
      </c>
      <c r="AE94" s="16">
        <v>0</v>
      </c>
      <c r="AF94" s="16">
        <v>0</v>
      </c>
      <c r="AG94" s="16">
        <v>0</v>
      </c>
      <c r="AH94" s="16">
        <f t="shared" si="5"/>
        <v>0</v>
      </c>
      <c r="AI94" s="343">
        <f t="shared" si="6"/>
        <v>0</v>
      </c>
    </row>
    <row r="95" spans="1:35">
      <c r="A95" s="27"/>
      <c r="B95" s="118"/>
      <c r="C95" s="109"/>
      <c r="D95" s="20"/>
      <c r="E95" s="20" t="s">
        <v>110</v>
      </c>
      <c r="F95" s="123" t="s">
        <v>150</v>
      </c>
      <c r="G95" s="91"/>
      <c r="H95" s="144" t="s">
        <v>226</v>
      </c>
      <c r="I95" s="195">
        <v>2516.04</v>
      </c>
      <c r="J95" s="178">
        <v>2048.69</v>
      </c>
      <c r="K95" s="199">
        <v>1477.3</v>
      </c>
      <c r="L95" s="31"/>
      <c r="M95" s="89">
        <v>6042.03</v>
      </c>
      <c r="N95" s="84"/>
      <c r="O95" s="42"/>
      <c r="P95" s="31">
        <v>0</v>
      </c>
      <c r="Q95" s="14">
        <v>0</v>
      </c>
      <c r="R95" s="178"/>
      <c r="S95" s="295"/>
      <c r="T95" s="14" t="str">
        <f t="shared" si="7"/>
        <v/>
      </c>
      <c r="U95" s="158">
        <v>0</v>
      </c>
      <c r="V95" s="158">
        <v>0</v>
      </c>
      <c r="W95" s="158">
        <v>0</v>
      </c>
      <c r="X95" s="139"/>
      <c r="Y95" s="136"/>
      <c r="Z95" s="38">
        <v>0</v>
      </c>
      <c r="AA95" s="16">
        <v>6042.03</v>
      </c>
      <c r="AB95" s="16">
        <v>0</v>
      </c>
      <c r="AC95" s="16">
        <v>0</v>
      </c>
      <c r="AE95" s="16">
        <v>0</v>
      </c>
      <c r="AF95" s="16">
        <v>0</v>
      </c>
      <c r="AG95" s="16">
        <v>0</v>
      </c>
      <c r="AH95" s="16">
        <f t="shared" si="5"/>
        <v>0</v>
      </c>
      <c r="AI95" s="343">
        <f t="shared" si="6"/>
        <v>0</v>
      </c>
    </row>
    <row r="96" spans="1:35">
      <c r="A96" s="27"/>
      <c r="B96" s="118"/>
      <c r="C96" s="109"/>
      <c r="D96" s="20"/>
      <c r="E96" s="20" t="s">
        <v>110</v>
      </c>
      <c r="F96" s="123" t="s">
        <v>146</v>
      </c>
      <c r="G96" s="91"/>
      <c r="H96" s="144" t="s">
        <v>226</v>
      </c>
      <c r="I96" s="195">
        <v>228241.01</v>
      </c>
      <c r="J96" s="178">
        <v>149426.87</v>
      </c>
      <c r="K96" s="254"/>
      <c r="L96" s="31"/>
      <c r="M96" s="89">
        <v>377667.88</v>
      </c>
      <c r="N96" s="254">
        <v>151000</v>
      </c>
      <c r="O96" s="42"/>
      <c r="P96" s="31">
        <v>0</v>
      </c>
      <c r="Q96" s="14">
        <v>151000</v>
      </c>
      <c r="R96" s="178">
        <v>149290.74</v>
      </c>
      <c r="S96" s="295"/>
      <c r="T96" s="14">
        <f t="shared" si="7"/>
        <v>-1709.2600000000093</v>
      </c>
      <c r="U96" s="158">
        <v>151000</v>
      </c>
      <c r="V96" s="158">
        <v>0</v>
      </c>
      <c r="W96" s="158">
        <v>0</v>
      </c>
      <c r="X96" s="139"/>
      <c r="Y96" s="136"/>
      <c r="Z96" s="38">
        <v>0</v>
      </c>
      <c r="AA96" s="16">
        <v>377667.88</v>
      </c>
      <c r="AB96" s="16">
        <v>0</v>
      </c>
      <c r="AC96" s="16">
        <v>0</v>
      </c>
      <c r="AE96" s="16">
        <v>151000</v>
      </c>
      <c r="AF96" s="16">
        <v>0</v>
      </c>
      <c r="AG96" s="16">
        <v>0</v>
      </c>
      <c r="AH96" s="16">
        <f t="shared" si="5"/>
        <v>151000</v>
      </c>
      <c r="AI96" s="343">
        <f t="shared" si="6"/>
        <v>3.2858032585830123E-2</v>
      </c>
    </row>
    <row r="97" spans="1:35">
      <c r="A97" s="27"/>
      <c r="B97" s="118"/>
      <c r="C97" s="109"/>
      <c r="D97" s="20"/>
      <c r="E97" s="20" t="s">
        <v>110</v>
      </c>
      <c r="F97" s="123" t="s">
        <v>151</v>
      </c>
      <c r="G97" s="91"/>
      <c r="H97" s="144" t="s">
        <v>226</v>
      </c>
      <c r="I97" s="195">
        <v>1139.0899999999999</v>
      </c>
      <c r="J97" s="178">
        <v>631.11</v>
      </c>
      <c r="K97" s="201"/>
      <c r="L97" s="31"/>
      <c r="M97" s="89">
        <v>1770.1999999999998</v>
      </c>
      <c r="N97" s="84"/>
      <c r="O97" s="42"/>
      <c r="P97" s="31">
        <v>0</v>
      </c>
      <c r="Q97" s="14">
        <v>0</v>
      </c>
      <c r="R97" s="178">
        <v>601.64</v>
      </c>
      <c r="S97" s="295"/>
      <c r="T97" s="14">
        <f t="shared" si="7"/>
        <v>601.64</v>
      </c>
      <c r="U97" s="158">
        <v>0</v>
      </c>
      <c r="V97" s="158">
        <v>0</v>
      </c>
      <c r="W97" s="158">
        <v>0</v>
      </c>
      <c r="X97" s="139"/>
      <c r="Y97" s="136"/>
      <c r="Z97" s="38">
        <v>0</v>
      </c>
      <c r="AA97" s="16">
        <v>1770.1999999999998</v>
      </c>
      <c r="AB97" s="16">
        <v>0</v>
      </c>
      <c r="AC97" s="16">
        <v>0</v>
      </c>
      <c r="AE97" s="16">
        <v>0</v>
      </c>
      <c r="AF97" s="16">
        <v>0</v>
      </c>
      <c r="AG97" s="16">
        <v>0</v>
      </c>
      <c r="AH97" s="16">
        <f t="shared" si="5"/>
        <v>0</v>
      </c>
      <c r="AI97" s="343">
        <f t="shared" si="6"/>
        <v>0</v>
      </c>
    </row>
    <row r="98" spans="1:35">
      <c r="A98" s="27"/>
      <c r="B98" s="118"/>
      <c r="C98" s="109"/>
      <c r="D98" s="20"/>
      <c r="E98" s="20" t="s">
        <v>110</v>
      </c>
      <c r="F98" s="123" t="s">
        <v>147</v>
      </c>
      <c r="G98" s="91"/>
      <c r="H98" s="144" t="s">
        <v>226</v>
      </c>
      <c r="I98" s="195">
        <v>189306.71</v>
      </c>
      <c r="J98" s="178">
        <v>127834.08</v>
      </c>
      <c r="K98" s="199">
        <v>132526.68</v>
      </c>
      <c r="L98" s="31"/>
      <c r="M98" s="89">
        <v>449667.47</v>
      </c>
      <c r="N98" s="84"/>
      <c r="O98" s="42"/>
      <c r="P98" s="31">
        <v>0</v>
      </c>
      <c r="Q98" s="14">
        <v>0</v>
      </c>
      <c r="R98" s="178"/>
      <c r="S98" s="295"/>
      <c r="T98" s="14" t="str">
        <f t="shared" si="7"/>
        <v/>
      </c>
      <c r="U98" s="158">
        <v>0</v>
      </c>
      <c r="V98" s="158">
        <v>0</v>
      </c>
      <c r="W98" s="158">
        <v>0</v>
      </c>
      <c r="X98" s="139"/>
      <c r="Y98" s="136"/>
      <c r="Z98" s="38">
        <v>0</v>
      </c>
      <c r="AA98" s="16">
        <v>449667.47</v>
      </c>
      <c r="AB98" s="16">
        <v>0</v>
      </c>
      <c r="AC98" s="16">
        <v>0</v>
      </c>
      <c r="AE98" s="16">
        <v>0</v>
      </c>
      <c r="AF98" s="16">
        <v>0</v>
      </c>
      <c r="AG98" s="16">
        <v>0</v>
      </c>
      <c r="AH98" s="16">
        <f t="shared" si="5"/>
        <v>0</v>
      </c>
      <c r="AI98" s="343">
        <f t="shared" si="6"/>
        <v>0</v>
      </c>
    </row>
    <row r="99" spans="1:35">
      <c r="A99" s="27"/>
      <c r="B99" s="118"/>
      <c r="C99" s="109"/>
      <c r="D99" s="20"/>
      <c r="E99" s="20" t="s">
        <v>110</v>
      </c>
      <c r="F99" s="123" t="s">
        <v>152</v>
      </c>
      <c r="G99" s="91"/>
      <c r="H99" s="144" t="s">
        <v>226</v>
      </c>
      <c r="I99" s="195">
        <v>429.06</v>
      </c>
      <c r="J99" s="178">
        <v>260.06</v>
      </c>
      <c r="K99" s="199">
        <v>325.58999999999997</v>
      </c>
      <c r="L99" s="31"/>
      <c r="M99" s="89">
        <v>1014.71</v>
      </c>
      <c r="N99" s="84"/>
      <c r="O99" s="42"/>
      <c r="P99" s="31">
        <v>0</v>
      </c>
      <c r="Q99" s="14">
        <v>0</v>
      </c>
      <c r="R99" s="178"/>
      <c r="S99" s="295"/>
      <c r="T99" s="14" t="str">
        <f t="shared" si="7"/>
        <v/>
      </c>
      <c r="U99" s="158">
        <v>0</v>
      </c>
      <c r="V99" s="158">
        <v>0</v>
      </c>
      <c r="W99" s="158">
        <v>0</v>
      </c>
      <c r="X99" s="139"/>
      <c r="Y99" s="136"/>
      <c r="Z99" s="38">
        <v>0</v>
      </c>
      <c r="AA99" s="16">
        <v>1014.71</v>
      </c>
      <c r="AB99" s="16">
        <v>0</v>
      </c>
      <c r="AC99" s="16">
        <v>0</v>
      </c>
      <c r="AE99" s="16">
        <v>0</v>
      </c>
      <c r="AF99" s="16">
        <v>0</v>
      </c>
      <c r="AG99" s="16">
        <v>0</v>
      </c>
      <c r="AH99" s="16">
        <f t="shared" si="5"/>
        <v>0</v>
      </c>
      <c r="AI99" s="343">
        <f t="shared" si="6"/>
        <v>0</v>
      </c>
    </row>
    <row r="100" spans="1:35">
      <c r="A100" s="27"/>
      <c r="B100" s="118"/>
      <c r="C100" s="109"/>
      <c r="D100" s="20"/>
      <c r="E100" s="20" t="s">
        <v>110</v>
      </c>
      <c r="F100" s="123" t="s">
        <v>148</v>
      </c>
      <c r="G100" s="91"/>
      <c r="H100" s="144" t="s">
        <v>226</v>
      </c>
      <c r="I100" s="195">
        <v>82637</v>
      </c>
      <c r="J100" s="178">
        <v>65839.679999999993</v>
      </c>
      <c r="K100" s="199">
        <v>65247.45</v>
      </c>
      <c r="L100" s="31"/>
      <c r="M100" s="89">
        <v>213724.13</v>
      </c>
      <c r="N100" s="84"/>
      <c r="O100" s="42"/>
      <c r="P100" s="31">
        <v>0</v>
      </c>
      <c r="Q100" s="14">
        <v>0</v>
      </c>
      <c r="R100" s="178"/>
      <c r="S100" s="295"/>
      <c r="T100" s="14" t="str">
        <f t="shared" si="7"/>
        <v/>
      </c>
      <c r="U100" s="158">
        <v>0</v>
      </c>
      <c r="V100" s="158">
        <v>0</v>
      </c>
      <c r="W100" s="158">
        <v>0</v>
      </c>
      <c r="X100" s="139"/>
      <c r="Y100" s="136"/>
      <c r="Z100" s="38">
        <v>0</v>
      </c>
      <c r="AA100" s="16">
        <v>213724.13</v>
      </c>
      <c r="AB100" s="16">
        <v>0</v>
      </c>
      <c r="AC100" s="16">
        <v>0</v>
      </c>
      <c r="AE100" s="16">
        <v>0</v>
      </c>
      <c r="AF100" s="16">
        <v>0</v>
      </c>
      <c r="AG100" s="16">
        <v>0</v>
      </c>
      <c r="AH100" s="16">
        <f t="shared" si="5"/>
        <v>0</v>
      </c>
      <c r="AI100" s="343">
        <f t="shared" si="6"/>
        <v>0</v>
      </c>
    </row>
    <row r="101" spans="1:35">
      <c r="A101" s="27"/>
      <c r="B101" s="118"/>
      <c r="C101" s="109"/>
      <c r="D101" s="20"/>
      <c r="E101" s="20" t="s">
        <v>110</v>
      </c>
      <c r="F101" s="123" t="s">
        <v>209</v>
      </c>
      <c r="G101" s="91"/>
      <c r="H101" s="144" t="s">
        <v>226</v>
      </c>
      <c r="I101" s="213">
        <v>38300.339999999997</v>
      </c>
      <c r="J101" s="178">
        <v>29482.02</v>
      </c>
      <c r="K101" s="254"/>
      <c r="L101" s="31"/>
      <c r="M101" s="89">
        <v>67782.36</v>
      </c>
      <c r="N101" s="254">
        <v>28000</v>
      </c>
      <c r="O101" s="42"/>
      <c r="P101" s="31">
        <v>0</v>
      </c>
      <c r="Q101" s="14">
        <v>28000</v>
      </c>
      <c r="R101" s="178">
        <v>29219.26</v>
      </c>
      <c r="S101" s="295"/>
      <c r="T101" s="14">
        <f t="shared" si="7"/>
        <v>1219.2599999999984</v>
      </c>
      <c r="U101" s="158">
        <v>28000</v>
      </c>
      <c r="V101" s="158">
        <v>0</v>
      </c>
      <c r="W101" s="158">
        <v>0</v>
      </c>
      <c r="X101" s="139"/>
      <c r="Y101" s="136"/>
      <c r="Z101" s="38">
        <v>0</v>
      </c>
      <c r="AA101" s="16">
        <v>67782.36</v>
      </c>
      <c r="AB101" s="16">
        <v>0</v>
      </c>
      <c r="AC101" s="16">
        <v>0</v>
      </c>
      <c r="AE101" s="16">
        <v>28000</v>
      </c>
      <c r="AF101" s="16">
        <v>0</v>
      </c>
      <c r="AG101" s="16">
        <v>0</v>
      </c>
      <c r="AH101" s="16">
        <f t="shared" si="5"/>
        <v>28000</v>
      </c>
      <c r="AI101" s="343">
        <f t="shared" si="6"/>
        <v>6.0928802145910161E-3</v>
      </c>
    </row>
    <row r="102" spans="1:35">
      <c r="A102" s="27"/>
      <c r="B102" s="118"/>
      <c r="C102" s="109"/>
      <c r="D102" s="20"/>
      <c r="E102" s="20" t="s">
        <v>110</v>
      </c>
      <c r="F102" s="123" t="s">
        <v>210</v>
      </c>
      <c r="G102" s="91"/>
      <c r="H102" s="144" t="s">
        <v>226</v>
      </c>
      <c r="I102" s="213">
        <v>299.93</v>
      </c>
      <c r="J102" s="178">
        <v>239.63</v>
      </c>
      <c r="K102" s="201"/>
      <c r="L102" s="31"/>
      <c r="M102" s="89">
        <v>539.55999999999995</v>
      </c>
      <c r="N102" s="84"/>
      <c r="O102" s="42"/>
      <c r="P102" s="31">
        <v>0</v>
      </c>
      <c r="Q102" s="14">
        <v>0</v>
      </c>
      <c r="R102" s="178">
        <v>165.66</v>
      </c>
      <c r="S102" s="295"/>
      <c r="T102" s="14">
        <f t="shared" si="7"/>
        <v>165.66</v>
      </c>
      <c r="U102" s="158">
        <v>0</v>
      </c>
      <c r="V102" s="158">
        <v>0</v>
      </c>
      <c r="W102" s="158">
        <v>0</v>
      </c>
      <c r="X102" s="139"/>
      <c r="Y102" s="136"/>
      <c r="Z102" s="38">
        <v>0</v>
      </c>
      <c r="AA102" s="16">
        <v>539.55999999999995</v>
      </c>
      <c r="AB102" s="16">
        <v>0</v>
      </c>
      <c r="AC102" s="16">
        <v>0</v>
      </c>
      <c r="AE102" s="16">
        <v>0</v>
      </c>
      <c r="AF102" s="16">
        <v>0</v>
      </c>
      <c r="AG102" s="16">
        <v>0</v>
      </c>
      <c r="AH102" s="16">
        <f t="shared" si="5"/>
        <v>0</v>
      </c>
      <c r="AI102" s="343">
        <f t="shared" si="6"/>
        <v>0</v>
      </c>
    </row>
    <row r="103" spans="1:35">
      <c r="A103" s="27"/>
      <c r="B103" s="120"/>
      <c r="C103" s="111"/>
      <c r="D103" s="21"/>
      <c r="E103" s="21" t="s">
        <v>109</v>
      </c>
      <c r="F103" s="68" t="s">
        <v>21</v>
      </c>
      <c r="G103" s="91"/>
      <c r="H103" s="144" t="s">
        <v>226</v>
      </c>
      <c r="I103" s="195">
        <v>2588.08</v>
      </c>
      <c r="J103" s="182">
        <v>2516.4699999999998</v>
      </c>
      <c r="K103" s="207"/>
      <c r="L103" s="31"/>
      <c r="M103" s="89">
        <v>5104.5499999999993</v>
      </c>
      <c r="N103" s="84"/>
      <c r="O103" s="42">
        <v>2552.2749999999996</v>
      </c>
      <c r="P103" s="31">
        <v>0</v>
      </c>
      <c r="Q103" s="14">
        <v>2552.2749999999996</v>
      </c>
      <c r="R103" s="178">
        <v>2489.35</v>
      </c>
      <c r="S103" s="295"/>
      <c r="T103" s="14">
        <f t="shared" si="7"/>
        <v>-62.924999999999727</v>
      </c>
      <c r="U103" s="158">
        <v>0</v>
      </c>
      <c r="V103" s="158">
        <v>2552.2749999999996</v>
      </c>
      <c r="W103" s="158">
        <v>0</v>
      </c>
      <c r="X103" s="139"/>
      <c r="Y103" s="136"/>
      <c r="Z103" s="38">
        <v>0</v>
      </c>
      <c r="AA103" s="16">
        <v>0</v>
      </c>
      <c r="AB103" s="16">
        <v>5104.5499999999993</v>
      </c>
      <c r="AC103" s="16">
        <v>0</v>
      </c>
      <c r="AE103" s="16">
        <v>0</v>
      </c>
      <c r="AF103" s="16">
        <v>2552.2749999999996</v>
      </c>
      <c r="AG103" s="16">
        <v>0</v>
      </c>
      <c r="AH103" s="16">
        <f t="shared" si="5"/>
        <v>2552.2749999999996</v>
      </c>
      <c r="AI103" s="343">
        <f t="shared" si="6"/>
        <v>5.5538235177483158E-4</v>
      </c>
    </row>
    <row r="104" spans="1:35">
      <c r="A104" s="27"/>
      <c r="B104" s="118" t="s">
        <v>70</v>
      </c>
      <c r="C104" s="109"/>
      <c r="D104" s="20"/>
      <c r="E104" s="20" t="s">
        <v>109</v>
      </c>
      <c r="F104" s="68" t="s">
        <v>22</v>
      </c>
      <c r="G104" s="91">
        <v>181.9</v>
      </c>
      <c r="H104" s="144">
        <v>520.84</v>
      </c>
      <c r="I104" s="195">
        <v>162.13</v>
      </c>
      <c r="J104" s="178">
        <v>161.47</v>
      </c>
      <c r="K104" s="207"/>
      <c r="L104" s="31"/>
      <c r="M104" s="89">
        <v>1026.3399999999999</v>
      </c>
      <c r="N104" s="84"/>
      <c r="O104" s="42">
        <v>161.80000000000001</v>
      </c>
      <c r="P104" s="31">
        <v>0</v>
      </c>
      <c r="Q104" s="14">
        <v>161.80000000000001</v>
      </c>
      <c r="R104" s="178"/>
      <c r="S104" s="295"/>
      <c r="T104" s="14" t="str">
        <f t="shared" si="7"/>
        <v/>
      </c>
      <c r="U104" s="158">
        <v>0</v>
      </c>
      <c r="V104" s="158">
        <v>161.80000000000001</v>
      </c>
      <c r="W104" s="158">
        <v>0</v>
      </c>
      <c r="X104" s="139"/>
      <c r="Y104" s="136"/>
      <c r="Z104" s="38">
        <v>0</v>
      </c>
      <c r="AA104" s="16">
        <v>0</v>
      </c>
      <c r="AB104" s="16">
        <v>1026.3399999999999</v>
      </c>
      <c r="AC104" s="16">
        <v>0</v>
      </c>
      <c r="AE104" s="16">
        <v>0</v>
      </c>
      <c r="AF104" s="16">
        <v>161.80000000000001</v>
      </c>
      <c r="AG104" s="16">
        <v>0</v>
      </c>
      <c r="AH104" s="16">
        <f t="shared" si="5"/>
        <v>161.80000000000001</v>
      </c>
      <c r="AI104" s="343">
        <f t="shared" si="6"/>
        <v>3.5208143525743799E-5</v>
      </c>
    </row>
    <row r="105" spans="1:35">
      <c r="A105" s="27"/>
      <c r="B105" s="118"/>
      <c r="C105" s="109"/>
      <c r="D105" s="20" t="s">
        <v>211</v>
      </c>
      <c r="E105" s="20" t="s">
        <v>110</v>
      </c>
      <c r="F105" s="68" t="s">
        <v>23</v>
      </c>
      <c r="G105" s="91"/>
      <c r="H105" s="144" t="s">
        <v>226</v>
      </c>
      <c r="I105" s="202"/>
      <c r="J105" s="181"/>
      <c r="K105" s="207"/>
      <c r="L105" s="31"/>
      <c r="M105" s="89">
        <v>0</v>
      </c>
      <c r="N105" s="84"/>
      <c r="O105" s="42"/>
      <c r="P105" s="31">
        <v>0</v>
      </c>
      <c r="Q105" s="14">
        <v>0</v>
      </c>
      <c r="R105" s="178"/>
      <c r="S105" s="295"/>
      <c r="T105" s="14" t="str">
        <f t="shared" si="7"/>
        <v/>
      </c>
      <c r="U105" s="158">
        <v>0</v>
      </c>
      <c r="V105" s="158">
        <v>0</v>
      </c>
      <c r="W105" s="158">
        <v>0</v>
      </c>
      <c r="X105" s="104"/>
      <c r="Y105" s="136"/>
      <c r="Z105" s="38">
        <v>0</v>
      </c>
      <c r="AA105" s="16">
        <v>0</v>
      </c>
      <c r="AB105" s="16">
        <v>0</v>
      </c>
      <c r="AC105" s="16">
        <v>0</v>
      </c>
      <c r="AE105" s="16">
        <v>0</v>
      </c>
      <c r="AF105" s="16">
        <v>0</v>
      </c>
      <c r="AG105" s="16">
        <v>0</v>
      </c>
      <c r="AH105" s="16">
        <f t="shared" si="5"/>
        <v>0</v>
      </c>
      <c r="AI105" s="343">
        <f t="shared" si="6"/>
        <v>0</v>
      </c>
    </row>
    <row r="106" spans="1:35">
      <c r="A106" s="27"/>
      <c r="B106" s="118"/>
      <c r="C106" s="109"/>
      <c r="D106" s="20"/>
      <c r="E106" s="20" t="s">
        <v>110</v>
      </c>
      <c r="F106" s="68" t="s">
        <v>24</v>
      </c>
      <c r="G106" s="91"/>
      <c r="H106" s="144" t="s">
        <v>226</v>
      </c>
      <c r="I106" s="195">
        <v>3126.63</v>
      </c>
      <c r="J106" s="178">
        <v>3140.02</v>
      </c>
      <c r="K106" s="201"/>
      <c r="L106" s="31"/>
      <c r="M106" s="89">
        <v>6266.65</v>
      </c>
      <c r="N106" s="84"/>
      <c r="O106" s="42">
        <v>3133.3249999999998</v>
      </c>
      <c r="P106" s="31">
        <v>0</v>
      </c>
      <c r="Q106" s="14">
        <v>3133.3249999999998</v>
      </c>
      <c r="R106" s="178">
        <v>3368.84</v>
      </c>
      <c r="S106" s="295"/>
      <c r="T106" s="14">
        <f t="shared" si="7"/>
        <v>235.51500000000033</v>
      </c>
      <c r="U106" s="158">
        <v>3133.3249999999998</v>
      </c>
      <c r="V106" s="158">
        <v>0</v>
      </c>
      <c r="W106" s="158">
        <v>0</v>
      </c>
      <c r="X106" s="104"/>
      <c r="Y106" s="136"/>
      <c r="Z106" s="38">
        <v>0</v>
      </c>
      <c r="AA106" s="16">
        <v>6266.65</v>
      </c>
      <c r="AB106" s="16">
        <v>0</v>
      </c>
      <c r="AC106" s="16">
        <v>0</v>
      </c>
      <c r="AE106" s="16">
        <v>3133.3249999999998</v>
      </c>
      <c r="AF106" s="16">
        <v>0</v>
      </c>
      <c r="AG106" s="16">
        <v>0</v>
      </c>
      <c r="AH106" s="16">
        <f t="shared" si="5"/>
        <v>3133.3249999999998</v>
      </c>
      <c r="AI106" s="343">
        <f t="shared" si="6"/>
        <v>6.8182049637083547E-4</v>
      </c>
    </row>
    <row r="107" spans="1:35">
      <c r="A107" s="27"/>
      <c r="B107" s="118"/>
      <c r="C107" s="109"/>
      <c r="D107" s="20" t="s">
        <v>211</v>
      </c>
      <c r="E107" s="20" t="s">
        <v>110</v>
      </c>
      <c r="F107" s="68" t="s">
        <v>91</v>
      </c>
      <c r="G107" s="91"/>
      <c r="H107" s="144" t="s">
        <v>226</v>
      </c>
      <c r="I107" s="365">
        <v>18200.099999999999</v>
      </c>
      <c r="J107" s="366">
        <v>20195</v>
      </c>
      <c r="K107" s="367">
        <v>21509.88</v>
      </c>
      <c r="L107" s="2"/>
      <c r="M107" s="89">
        <v>0</v>
      </c>
      <c r="N107" s="85"/>
      <c r="O107" s="261">
        <v>37779.490000000005</v>
      </c>
      <c r="P107" s="31">
        <v>0</v>
      </c>
      <c r="Q107" s="14">
        <v>37779.490000000005</v>
      </c>
      <c r="R107" s="178">
        <v>59904.98</v>
      </c>
      <c r="S107" s="295"/>
      <c r="T107" s="14">
        <f t="shared" si="7"/>
        <v>22125.489999999998</v>
      </c>
      <c r="U107" s="158">
        <v>37779.490000000005</v>
      </c>
      <c r="V107" s="158">
        <v>0</v>
      </c>
      <c r="W107" s="158">
        <v>0</v>
      </c>
      <c r="X107" s="104"/>
      <c r="Y107" s="136"/>
      <c r="Z107" s="38">
        <v>0</v>
      </c>
      <c r="AA107" s="16">
        <v>0</v>
      </c>
      <c r="AB107" s="16">
        <v>0</v>
      </c>
      <c r="AC107" s="16">
        <v>0</v>
      </c>
      <c r="AE107" s="16">
        <v>37779.490000000005</v>
      </c>
      <c r="AF107" s="16">
        <v>0</v>
      </c>
      <c r="AG107" s="16">
        <v>0</v>
      </c>
      <c r="AH107" s="16">
        <f t="shared" si="5"/>
        <v>37779.490000000005</v>
      </c>
      <c r="AI107" s="343">
        <f t="shared" si="6"/>
        <v>8.2209252549406853E-3</v>
      </c>
    </row>
    <row r="108" spans="1:35">
      <c r="A108" s="27"/>
      <c r="B108" s="118"/>
      <c r="C108" s="109"/>
      <c r="D108" s="20"/>
      <c r="E108" s="20" t="s">
        <v>110</v>
      </c>
      <c r="F108" s="68" t="s">
        <v>118</v>
      </c>
      <c r="G108" s="6"/>
      <c r="H108" s="144" t="s">
        <v>226</v>
      </c>
      <c r="I108" s="212"/>
      <c r="J108" s="183"/>
      <c r="K108" s="214"/>
      <c r="L108" s="2"/>
      <c r="M108" s="89">
        <v>0</v>
      </c>
      <c r="N108" s="85"/>
      <c r="O108" s="42">
        <v>0</v>
      </c>
      <c r="P108" s="31">
        <v>0</v>
      </c>
      <c r="Q108" s="14">
        <v>0</v>
      </c>
      <c r="R108" s="178"/>
      <c r="S108" s="295"/>
      <c r="T108" s="14" t="str">
        <f t="shared" si="7"/>
        <v/>
      </c>
      <c r="U108" s="158">
        <v>0</v>
      </c>
      <c r="V108" s="158">
        <v>0</v>
      </c>
      <c r="W108" s="158">
        <v>0</v>
      </c>
      <c r="X108" s="104"/>
      <c r="Y108" s="136"/>
      <c r="Z108" s="38">
        <v>0</v>
      </c>
      <c r="AA108" s="16">
        <v>0</v>
      </c>
      <c r="AB108" s="16">
        <v>0</v>
      </c>
      <c r="AC108" s="16">
        <v>0</v>
      </c>
      <c r="AE108" s="16">
        <v>0</v>
      </c>
      <c r="AF108" s="16">
        <v>0</v>
      </c>
      <c r="AG108" s="16">
        <v>0</v>
      </c>
      <c r="AH108" s="16">
        <f t="shared" si="5"/>
        <v>0</v>
      </c>
      <c r="AI108" s="343">
        <f t="shared" si="6"/>
        <v>0</v>
      </c>
    </row>
    <row r="109" spans="1:35">
      <c r="A109" s="27"/>
      <c r="B109" s="118"/>
      <c r="C109" s="109"/>
      <c r="D109" s="20" t="s">
        <v>211</v>
      </c>
      <c r="E109" s="20" t="s">
        <v>110</v>
      </c>
      <c r="F109" s="68" t="s">
        <v>25</v>
      </c>
      <c r="G109" s="91"/>
      <c r="H109" s="144">
        <v>-1.4899999999997817</v>
      </c>
      <c r="I109" s="212"/>
      <c r="J109" s="183"/>
      <c r="K109" s="214"/>
      <c r="L109" s="31"/>
      <c r="M109" s="89">
        <v>-1.4899999999997817</v>
      </c>
      <c r="N109" s="85"/>
      <c r="O109" s="42">
        <v>2200</v>
      </c>
      <c r="P109" s="31">
        <v>0</v>
      </c>
      <c r="Q109" s="14">
        <v>2200</v>
      </c>
      <c r="R109" s="178"/>
      <c r="S109" s="295"/>
      <c r="T109" s="14" t="str">
        <f t="shared" si="7"/>
        <v/>
      </c>
      <c r="U109" s="158">
        <v>2200</v>
      </c>
      <c r="V109" s="158">
        <v>0</v>
      </c>
      <c r="W109" s="158">
        <v>0</v>
      </c>
      <c r="X109" s="104"/>
      <c r="Y109" s="136"/>
      <c r="Z109" s="38">
        <v>0</v>
      </c>
      <c r="AA109" s="16">
        <v>-1.4899999999997817</v>
      </c>
      <c r="AB109" s="16">
        <v>0</v>
      </c>
      <c r="AC109" s="16">
        <v>0</v>
      </c>
      <c r="AE109" s="16">
        <v>2200</v>
      </c>
      <c r="AF109" s="16">
        <v>0</v>
      </c>
      <c r="AG109" s="16">
        <v>0</v>
      </c>
      <c r="AH109" s="16">
        <f t="shared" si="5"/>
        <v>2200</v>
      </c>
      <c r="AI109" s="343">
        <f t="shared" si="6"/>
        <v>4.7872630257500841E-4</v>
      </c>
    </row>
    <row r="110" spans="1:35">
      <c r="A110" s="27"/>
      <c r="B110" s="120"/>
      <c r="C110" s="111"/>
      <c r="D110" s="21"/>
      <c r="E110" s="21" t="s">
        <v>110</v>
      </c>
      <c r="F110" s="68" t="s">
        <v>26</v>
      </c>
      <c r="G110" s="91"/>
      <c r="H110" s="144" t="s">
        <v>226</v>
      </c>
      <c r="I110" s="195">
        <v>8810.5400000000009</v>
      </c>
      <c r="J110" s="178">
        <v>11091.08</v>
      </c>
      <c r="K110" s="201"/>
      <c r="L110" s="31"/>
      <c r="M110" s="89">
        <v>19901.620000000003</v>
      </c>
      <c r="N110" s="84"/>
      <c r="O110" s="42">
        <v>9950.8100000000013</v>
      </c>
      <c r="P110" s="31">
        <v>0</v>
      </c>
      <c r="Q110" s="14">
        <v>9950.8100000000013</v>
      </c>
      <c r="R110" s="178">
        <v>10261.57</v>
      </c>
      <c r="S110" s="295"/>
      <c r="T110" s="14">
        <f t="shared" si="7"/>
        <v>310.7599999999984</v>
      </c>
      <c r="U110" s="158">
        <v>9950.8100000000013</v>
      </c>
      <c r="V110" s="158">
        <v>0</v>
      </c>
      <c r="W110" s="158">
        <v>0</v>
      </c>
      <c r="X110" s="104"/>
      <c r="Y110" s="136"/>
      <c r="Z110" s="38">
        <v>0</v>
      </c>
      <c r="AA110" s="16">
        <v>19901.620000000003</v>
      </c>
      <c r="AB110" s="16">
        <v>0</v>
      </c>
      <c r="AC110" s="16">
        <v>0</v>
      </c>
      <c r="AE110" s="16">
        <v>9950.8100000000013</v>
      </c>
      <c r="AF110" s="16">
        <v>0</v>
      </c>
      <c r="AG110" s="16">
        <v>0</v>
      </c>
      <c r="AH110" s="16">
        <f t="shared" si="5"/>
        <v>9950.8100000000013</v>
      </c>
      <c r="AI110" s="343">
        <f t="shared" si="6"/>
        <v>2.1653247631483728E-3</v>
      </c>
    </row>
    <row r="111" spans="1:35">
      <c r="A111" s="27"/>
      <c r="B111" s="120" t="s">
        <v>214</v>
      </c>
      <c r="C111" s="111"/>
      <c r="D111" s="21"/>
      <c r="E111" s="21" t="s">
        <v>110</v>
      </c>
      <c r="F111" s="68" t="s">
        <v>268</v>
      </c>
      <c r="G111" s="91"/>
      <c r="H111" s="144" t="s">
        <v>226</v>
      </c>
      <c r="I111" s="195">
        <v>4536.3500000000004</v>
      </c>
      <c r="J111" s="178">
        <v>4495.3999999999996</v>
      </c>
      <c r="K111" s="199">
        <v>5341.7</v>
      </c>
      <c r="L111" s="31"/>
      <c r="M111" s="89">
        <v>14373.45</v>
      </c>
      <c r="N111" s="84"/>
      <c r="O111" s="42"/>
      <c r="P111" s="31">
        <v>0</v>
      </c>
      <c r="Q111" s="14">
        <v>0</v>
      </c>
      <c r="R111" s="178"/>
      <c r="S111" s="295"/>
      <c r="T111" s="14" t="str">
        <f t="shared" si="7"/>
        <v/>
      </c>
      <c r="U111" s="158">
        <v>0</v>
      </c>
      <c r="V111" s="158">
        <v>0</v>
      </c>
      <c r="W111" s="158">
        <v>0</v>
      </c>
      <c r="X111" s="104"/>
      <c r="Y111" s="136"/>
      <c r="Z111" s="38">
        <v>0</v>
      </c>
      <c r="AA111" s="16">
        <v>14373.45</v>
      </c>
      <c r="AB111" s="16">
        <v>0</v>
      </c>
      <c r="AC111" s="16">
        <v>0</v>
      </c>
      <c r="AE111" s="16">
        <v>0</v>
      </c>
      <c r="AF111" s="16">
        <v>0</v>
      </c>
      <c r="AG111" s="16">
        <v>0</v>
      </c>
      <c r="AH111" s="16">
        <f t="shared" si="5"/>
        <v>0</v>
      </c>
      <c r="AI111" s="343">
        <f t="shared" si="6"/>
        <v>0</v>
      </c>
    </row>
    <row r="112" spans="1:35">
      <c r="A112" s="27"/>
      <c r="B112" s="120"/>
      <c r="C112" s="111"/>
      <c r="D112" s="21"/>
      <c r="E112" s="21" t="s">
        <v>110</v>
      </c>
      <c r="F112" s="68" t="s">
        <v>183</v>
      </c>
      <c r="G112" s="91"/>
      <c r="H112" s="144" t="s">
        <v>226</v>
      </c>
      <c r="I112" s="195">
        <v>1905.84</v>
      </c>
      <c r="J112" s="178">
        <v>3079.92</v>
      </c>
      <c r="K112" s="207"/>
      <c r="L112" s="31"/>
      <c r="M112" s="89">
        <v>4985.76</v>
      </c>
      <c r="N112" s="84"/>
      <c r="O112" s="42">
        <v>2492.88</v>
      </c>
      <c r="P112" s="31">
        <v>0</v>
      </c>
      <c r="Q112" s="14">
        <v>2492.88</v>
      </c>
      <c r="R112" s="178">
        <v>3592.84</v>
      </c>
      <c r="S112" s="295"/>
      <c r="T112" s="14">
        <f t="shared" si="7"/>
        <v>1099.96</v>
      </c>
      <c r="U112" s="158">
        <v>2492.88</v>
      </c>
      <c r="V112" s="158">
        <v>0</v>
      </c>
      <c r="W112" s="158">
        <v>0</v>
      </c>
      <c r="X112" s="104"/>
      <c r="Y112" s="136"/>
      <c r="Z112" s="38">
        <v>0</v>
      </c>
      <c r="AA112" s="16">
        <v>4985.76</v>
      </c>
      <c r="AB112" s="16">
        <v>0</v>
      </c>
      <c r="AC112" s="16">
        <v>0</v>
      </c>
      <c r="AE112" s="16">
        <v>2492.88</v>
      </c>
      <c r="AF112" s="16">
        <v>0</v>
      </c>
      <c r="AG112" s="16">
        <v>0</v>
      </c>
      <c r="AH112" s="16">
        <f t="shared" si="5"/>
        <v>2492.88</v>
      </c>
      <c r="AI112" s="343">
        <f t="shared" si="6"/>
        <v>5.4245782961963047E-4</v>
      </c>
    </row>
    <row r="113" spans="1:35">
      <c r="A113" s="27"/>
      <c r="B113" s="120"/>
      <c r="C113" s="111"/>
      <c r="D113" s="21"/>
      <c r="E113" s="21" t="s">
        <v>110</v>
      </c>
      <c r="F113" s="68" t="s">
        <v>282</v>
      </c>
      <c r="G113" s="91"/>
      <c r="H113" s="144" t="s">
        <v>226</v>
      </c>
      <c r="I113" s="195">
        <v>68631.39</v>
      </c>
      <c r="J113" s="178">
        <v>21086.969999999998</v>
      </c>
      <c r="K113" s="201"/>
      <c r="L113" s="31"/>
      <c r="M113" s="89">
        <v>89718.36</v>
      </c>
      <c r="N113" s="84">
        <v>22240.03</v>
      </c>
      <c r="O113" s="42"/>
      <c r="P113" s="31">
        <v>0</v>
      </c>
      <c r="Q113" s="14">
        <v>22240.03</v>
      </c>
      <c r="R113" s="178">
        <f>5.91+22739.2</f>
        <v>22745.11</v>
      </c>
      <c r="S113" s="295"/>
      <c r="T113" s="14">
        <f t="shared" si="7"/>
        <v>505.08000000000175</v>
      </c>
      <c r="U113" s="158">
        <v>22240.03</v>
      </c>
      <c r="V113" s="158">
        <v>0</v>
      </c>
      <c r="W113" s="158">
        <v>0</v>
      </c>
      <c r="X113" s="104"/>
      <c r="Y113" s="136"/>
      <c r="Z113" s="38">
        <v>0</v>
      </c>
      <c r="AA113" s="16">
        <v>89718.36</v>
      </c>
      <c r="AB113" s="16">
        <v>0</v>
      </c>
      <c r="AC113" s="16">
        <v>0</v>
      </c>
      <c r="AE113" s="16">
        <v>22240.03</v>
      </c>
      <c r="AF113" s="16">
        <v>0</v>
      </c>
      <c r="AG113" s="16">
        <v>0</v>
      </c>
      <c r="AH113" s="16">
        <f t="shared" si="5"/>
        <v>22240.03</v>
      </c>
      <c r="AI113" s="343">
        <f t="shared" si="6"/>
        <v>4.8394942413896649E-3</v>
      </c>
    </row>
    <row r="114" spans="1:35">
      <c r="A114" s="29"/>
      <c r="B114" s="120" t="s">
        <v>97</v>
      </c>
      <c r="C114" s="111"/>
      <c r="D114" s="21"/>
      <c r="E114" s="21" t="s">
        <v>110</v>
      </c>
      <c r="F114" s="68" t="s">
        <v>27</v>
      </c>
      <c r="G114" s="133"/>
      <c r="H114" s="144" t="s">
        <v>226</v>
      </c>
      <c r="I114" s="202"/>
      <c r="J114" s="181"/>
      <c r="K114" s="207"/>
      <c r="L114" s="31"/>
      <c r="M114" s="89">
        <v>0</v>
      </c>
      <c r="N114" s="84"/>
      <c r="O114" s="42">
        <v>200</v>
      </c>
      <c r="P114" s="31">
        <v>0</v>
      </c>
      <c r="Q114" s="14">
        <v>200</v>
      </c>
      <c r="R114" s="178"/>
      <c r="S114" s="295"/>
      <c r="T114" s="14" t="str">
        <f t="shared" si="7"/>
        <v/>
      </c>
      <c r="U114" s="158">
        <v>200</v>
      </c>
      <c r="V114" s="158">
        <v>0</v>
      </c>
      <c r="W114" s="158">
        <v>0</v>
      </c>
      <c r="X114" s="104"/>
      <c r="Y114" s="136"/>
      <c r="Z114" s="38">
        <v>0</v>
      </c>
      <c r="AA114" s="16">
        <v>0</v>
      </c>
      <c r="AB114" s="16">
        <v>0</v>
      </c>
      <c r="AC114" s="16">
        <v>0</v>
      </c>
      <c r="AE114" s="16">
        <v>200</v>
      </c>
      <c r="AF114" s="16">
        <v>0</v>
      </c>
      <c r="AG114" s="16">
        <v>0</v>
      </c>
      <c r="AH114" s="16">
        <f t="shared" si="5"/>
        <v>200</v>
      </c>
      <c r="AI114" s="343">
        <f t="shared" si="6"/>
        <v>4.3520572961364399E-5</v>
      </c>
    </row>
    <row r="115" spans="1:35">
      <c r="A115" s="27"/>
      <c r="B115" s="120"/>
      <c r="C115" s="111"/>
      <c r="D115" s="21"/>
      <c r="E115" s="21" t="s">
        <v>110</v>
      </c>
      <c r="F115" s="68" t="s">
        <v>28</v>
      </c>
      <c r="G115" s="91"/>
      <c r="H115" s="144" t="s">
        <v>226</v>
      </c>
      <c r="I115" s="195">
        <v>1458.8</v>
      </c>
      <c r="J115" s="178">
        <v>1661.8</v>
      </c>
      <c r="K115" s="199">
        <v>1803.9</v>
      </c>
      <c r="L115" s="31"/>
      <c r="M115" s="89">
        <v>4924.5</v>
      </c>
      <c r="N115" s="84"/>
      <c r="O115" s="42"/>
      <c r="P115" s="31">
        <v>0</v>
      </c>
      <c r="Q115" s="14">
        <v>0</v>
      </c>
      <c r="R115" s="178"/>
      <c r="S115" s="295"/>
      <c r="T115" s="14" t="str">
        <f t="shared" si="7"/>
        <v/>
      </c>
      <c r="U115" s="158">
        <v>0</v>
      </c>
      <c r="V115" s="158">
        <v>0</v>
      </c>
      <c r="W115" s="158">
        <v>0</v>
      </c>
      <c r="X115" s="104"/>
      <c r="Y115" s="136"/>
      <c r="Z115" s="38">
        <v>0</v>
      </c>
      <c r="AA115" s="16">
        <v>4924.5</v>
      </c>
      <c r="AB115" s="16">
        <v>0</v>
      </c>
      <c r="AC115" s="16">
        <v>0</v>
      </c>
      <c r="AE115" s="16">
        <v>0</v>
      </c>
      <c r="AF115" s="16">
        <v>0</v>
      </c>
      <c r="AG115" s="16">
        <v>0</v>
      </c>
      <c r="AH115" s="16">
        <f t="shared" ref="AH115:AH146" si="8">SUM(AE115:AG115)</f>
        <v>0</v>
      </c>
      <c r="AI115" s="343">
        <f t="shared" ref="AI115:AI146" si="9">AH115/$AH$217</f>
        <v>0</v>
      </c>
    </row>
    <row r="116" spans="1:35">
      <c r="A116" s="27"/>
      <c r="B116" s="118"/>
      <c r="C116" s="109"/>
      <c r="D116" s="20" t="s">
        <v>211</v>
      </c>
      <c r="E116" s="20" t="s">
        <v>109</v>
      </c>
      <c r="F116" s="68" t="s">
        <v>29</v>
      </c>
      <c r="G116" s="6"/>
      <c r="H116" s="144">
        <v>172.41999999999825</v>
      </c>
      <c r="I116" s="202"/>
      <c r="J116" s="181"/>
      <c r="K116" s="207"/>
      <c r="L116" s="2"/>
      <c r="M116" s="89">
        <v>172.41999999999825</v>
      </c>
      <c r="N116" s="85">
        <v>107855</v>
      </c>
      <c r="O116" s="42"/>
      <c r="P116" s="31">
        <v>0</v>
      </c>
      <c r="Q116" s="14">
        <v>107855</v>
      </c>
      <c r="R116" s="178">
        <f>68410.14+32314.12</f>
        <v>100724.26</v>
      </c>
      <c r="S116" s="295"/>
      <c r="T116" s="14">
        <f t="shared" si="7"/>
        <v>-7130.7400000000052</v>
      </c>
      <c r="U116" s="158">
        <v>0</v>
      </c>
      <c r="V116" s="158">
        <v>74855</v>
      </c>
      <c r="W116" s="158">
        <v>0</v>
      </c>
      <c r="Y116" s="137">
        <v>33000</v>
      </c>
      <c r="Z116" s="38">
        <v>0</v>
      </c>
      <c r="AA116" s="16">
        <v>0</v>
      </c>
      <c r="AB116" s="16">
        <v>172.41999999999825</v>
      </c>
      <c r="AC116" s="16">
        <v>0</v>
      </c>
      <c r="AE116" s="16">
        <v>0</v>
      </c>
      <c r="AF116" s="16">
        <v>107855</v>
      </c>
      <c r="AG116" s="16">
        <v>0</v>
      </c>
      <c r="AH116" s="16">
        <f t="shared" si="8"/>
        <v>107855</v>
      </c>
      <c r="AI116" s="343">
        <f t="shared" si="9"/>
        <v>2.3469556983739787E-2</v>
      </c>
    </row>
    <row r="117" spans="1:35">
      <c r="A117" s="27"/>
      <c r="B117" s="118"/>
      <c r="C117" s="109"/>
      <c r="D117" s="20" t="s">
        <v>211</v>
      </c>
      <c r="E117" s="20" t="s">
        <v>109</v>
      </c>
      <c r="F117" s="68" t="s">
        <v>236</v>
      </c>
      <c r="G117" s="133"/>
      <c r="H117" s="144" t="s">
        <v>226</v>
      </c>
      <c r="I117" s="195">
        <v>0</v>
      </c>
      <c r="J117" s="181"/>
      <c r="K117" s="207"/>
      <c r="L117" s="2"/>
      <c r="M117" s="89">
        <v>0</v>
      </c>
      <c r="N117" s="85"/>
      <c r="O117" s="42">
        <v>400</v>
      </c>
      <c r="P117" s="31">
        <v>0</v>
      </c>
      <c r="Q117" s="14">
        <v>400</v>
      </c>
      <c r="R117" s="178"/>
      <c r="S117" s="295"/>
      <c r="T117" s="14" t="str">
        <f t="shared" si="7"/>
        <v/>
      </c>
      <c r="U117" s="158">
        <v>0</v>
      </c>
      <c r="V117" s="158">
        <v>400</v>
      </c>
      <c r="W117" s="158">
        <v>0</v>
      </c>
      <c r="Y117" s="136"/>
      <c r="Z117" s="38">
        <v>0</v>
      </c>
      <c r="AA117" s="16">
        <v>0</v>
      </c>
      <c r="AB117" s="16">
        <v>0</v>
      </c>
      <c r="AC117" s="16">
        <v>0</v>
      </c>
      <c r="AE117" s="16">
        <v>0</v>
      </c>
      <c r="AF117" s="16">
        <v>400</v>
      </c>
      <c r="AG117" s="16">
        <v>0</v>
      </c>
      <c r="AH117" s="16">
        <f t="shared" si="8"/>
        <v>400</v>
      </c>
      <c r="AI117" s="343">
        <f t="shared" si="9"/>
        <v>8.7041145922728798E-5</v>
      </c>
    </row>
    <row r="118" spans="1:35">
      <c r="A118" s="27"/>
      <c r="B118" s="118"/>
      <c r="C118" s="109"/>
      <c r="D118" s="20"/>
      <c r="E118" s="20" t="s">
        <v>110</v>
      </c>
      <c r="F118" s="68" t="s">
        <v>192</v>
      </c>
      <c r="G118" s="91"/>
      <c r="H118" s="144" t="s">
        <v>226</v>
      </c>
      <c r="I118" s="195">
        <v>7128.5899999999992</v>
      </c>
      <c r="J118" s="249">
        <v>5981.64</v>
      </c>
      <c r="K118" s="201"/>
      <c r="L118" s="31"/>
      <c r="M118" s="89">
        <v>13110.23</v>
      </c>
      <c r="N118" s="84"/>
      <c r="O118" s="42">
        <v>6555.1149999999998</v>
      </c>
      <c r="P118" s="31">
        <v>0</v>
      </c>
      <c r="Q118" s="14">
        <v>6555.1149999999998</v>
      </c>
      <c r="R118" s="178">
        <v>5346.29</v>
      </c>
      <c r="S118" s="295"/>
      <c r="T118" s="14">
        <f t="shared" si="7"/>
        <v>-1208.8249999999998</v>
      </c>
      <c r="U118" s="158">
        <v>6555.1149999999998</v>
      </c>
      <c r="V118" s="158">
        <v>0</v>
      </c>
      <c r="W118" s="158">
        <v>0</v>
      </c>
      <c r="X118" s="104"/>
      <c r="Y118" s="136"/>
      <c r="Z118" s="38">
        <v>0</v>
      </c>
      <c r="AA118" s="16">
        <v>13110.23</v>
      </c>
      <c r="AB118" s="16">
        <v>0</v>
      </c>
      <c r="AC118" s="16">
        <v>0</v>
      </c>
      <c r="AE118" s="16">
        <v>6555.1149999999998</v>
      </c>
      <c r="AF118" s="16">
        <v>0</v>
      </c>
      <c r="AG118" s="16">
        <v>0</v>
      </c>
      <c r="AH118" s="16">
        <f t="shared" si="8"/>
        <v>6555.1149999999998</v>
      </c>
      <c r="AI118" s="343">
        <f t="shared" si="9"/>
        <v>1.426411803138171E-3</v>
      </c>
    </row>
    <row r="119" spans="1:35">
      <c r="A119" s="27"/>
      <c r="B119" s="118"/>
      <c r="C119" s="109"/>
      <c r="D119" s="20"/>
      <c r="E119" s="20" t="s">
        <v>110</v>
      </c>
      <c r="F119" s="68" t="s">
        <v>193</v>
      </c>
      <c r="G119" s="91"/>
      <c r="H119" s="144" t="s">
        <v>226</v>
      </c>
      <c r="I119" s="195">
        <v>1005.69</v>
      </c>
      <c r="J119" s="49">
        <v>879.39</v>
      </c>
      <c r="K119" s="245"/>
      <c r="L119" s="31"/>
      <c r="M119" s="89">
        <v>1885.08</v>
      </c>
      <c r="N119" s="84"/>
      <c r="O119" s="42">
        <v>942.54</v>
      </c>
      <c r="P119" s="31">
        <v>0</v>
      </c>
      <c r="Q119" s="14">
        <v>942.54</v>
      </c>
      <c r="R119" s="178">
        <v>783.47</v>
      </c>
      <c r="S119" s="295"/>
      <c r="T119" s="14">
        <f t="shared" si="7"/>
        <v>-159.06999999999994</v>
      </c>
      <c r="U119" s="158">
        <v>942.54</v>
      </c>
      <c r="V119" s="158">
        <v>0</v>
      </c>
      <c r="W119" s="158">
        <v>0</v>
      </c>
      <c r="X119" s="104"/>
      <c r="Y119" s="136"/>
      <c r="Z119" s="38">
        <v>0</v>
      </c>
      <c r="AA119" s="16">
        <v>1885.08</v>
      </c>
      <c r="AB119" s="16">
        <v>0</v>
      </c>
      <c r="AC119" s="16">
        <v>0</v>
      </c>
      <c r="AE119" s="16">
        <v>942.54</v>
      </c>
      <c r="AF119" s="16">
        <v>0</v>
      </c>
      <c r="AG119" s="16">
        <v>0</v>
      </c>
      <c r="AH119" s="16">
        <f t="shared" si="8"/>
        <v>942.54</v>
      </c>
      <c r="AI119" s="343">
        <f t="shared" si="9"/>
        <v>2.05099404195022E-4</v>
      </c>
    </row>
    <row r="120" spans="1:35">
      <c r="A120" s="27"/>
      <c r="B120" s="118"/>
      <c r="C120" s="109"/>
      <c r="D120" s="20"/>
      <c r="E120" s="20" t="s">
        <v>110</v>
      </c>
      <c r="F120" s="68" t="s">
        <v>194</v>
      </c>
      <c r="G120" s="91"/>
      <c r="H120" s="144" t="s">
        <v>226</v>
      </c>
      <c r="I120" s="195">
        <v>149.01</v>
      </c>
      <c r="J120" s="178">
        <v>125.6</v>
      </c>
      <c r="K120" s="201"/>
      <c r="L120" s="31"/>
      <c r="M120" s="89">
        <v>274.61</v>
      </c>
      <c r="N120" s="84"/>
      <c r="O120" s="42">
        <v>137.30500000000001</v>
      </c>
      <c r="P120" s="31">
        <v>0</v>
      </c>
      <c r="Q120" s="14">
        <v>137.30500000000001</v>
      </c>
      <c r="R120" s="178">
        <v>182.78</v>
      </c>
      <c r="S120" s="295"/>
      <c r="T120" s="14">
        <f t="shared" si="7"/>
        <v>45.474999999999994</v>
      </c>
      <c r="U120" s="158">
        <v>137.30500000000001</v>
      </c>
      <c r="V120" s="158">
        <v>0</v>
      </c>
      <c r="W120" s="158">
        <v>0</v>
      </c>
      <c r="X120" s="104"/>
      <c r="Y120" s="136"/>
      <c r="Z120" s="38">
        <v>0</v>
      </c>
      <c r="AA120" s="16">
        <v>274.61</v>
      </c>
      <c r="AB120" s="16">
        <v>0</v>
      </c>
      <c r="AC120" s="16">
        <v>0</v>
      </c>
      <c r="AE120" s="16">
        <v>137.30500000000001</v>
      </c>
      <c r="AF120" s="16">
        <v>0</v>
      </c>
      <c r="AG120" s="16">
        <v>0</v>
      </c>
      <c r="AH120" s="16">
        <f t="shared" si="8"/>
        <v>137.30500000000001</v>
      </c>
      <c r="AI120" s="343">
        <f t="shared" si="9"/>
        <v>2.9877961352300695E-5</v>
      </c>
    </row>
    <row r="121" spans="1:35">
      <c r="A121" s="27"/>
      <c r="B121" s="118"/>
      <c r="C121" s="109"/>
      <c r="D121" s="20"/>
      <c r="E121" s="20" t="s">
        <v>110</v>
      </c>
      <c r="F121" s="68" t="s">
        <v>195</v>
      </c>
      <c r="G121" s="91"/>
      <c r="H121" s="144" t="s">
        <v>226</v>
      </c>
      <c r="I121" s="195">
        <v>24.05</v>
      </c>
      <c r="J121" s="178">
        <v>13.47</v>
      </c>
      <c r="K121" s="201"/>
      <c r="L121" s="31"/>
      <c r="M121" s="89">
        <v>37.520000000000003</v>
      </c>
      <c r="N121" s="84"/>
      <c r="O121" s="42">
        <v>18.760000000000002</v>
      </c>
      <c r="P121" s="31">
        <v>0</v>
      </c>
      <c r="Q121" s="14">
        <v>18.760000000000002</v>
      </c>
      <c r="R121" s="178">
        <v>12.32</v>
      </c>
      <c r="S121" s="295"/>
      <c r="T121" s="14">
        <f t="shared" si="7"/>
        <v>-6.4400000000000013</v>
      </c>
      <c r="U121" s="158">
        <v>18.760000000000002</v>
      </c>
      <c r="V121" s="158">
        <v>0</v>
      </c>
      <c r="W121" s="158">
        <v>0</v>
      </c>
      <c r="X121" s="104"/>
      <c r="Y121" s="136"/>
      <c r="Z121" s="38">
        <v>0</v>
      </c>
      <c r="AA121" s="16">
        <v>37.520000000000003</v>
      </c>
      <c r="AB121" s="16">
        <v>0</v>
      </c>
      <c r="AC121" s="16">
        <v>0</v>
      </c>
      <c r="AE121" s="16">
        <v>18.760000000000002</v>
      </c>
      <c r="AF121" s="16">
        <v>0</v>
      </c>
      <c r="AG121" s="16">
        <v>0</v>
      </c>
      <c r="AH121" s="16">
        <f t="shared" si="8"/>
        <v>18.760000000000002</v>
      </c>
      <c r="AI121" s="343">
        <f t="shared" si="9"/>
        <v>4.0822297437759809E-6</v>
      </c>
    </row>
    <row r="122" spans="1:35">
      <c r="A122" s="27"/>
      <c r="B122" s="118"/>
      <c r="C122" s="109"/>
      <c r="D122" s="20"/>
      <c r="E122" s="20" t="s">
        <v>110</v>
      </c>
      <c r="F122" s="68" t="s">
        <v>196</v>
      </c>
      <c r="G122" s="91"/>
      <c r="H122" s="144" t="s">
        <v>226</v>
      </c>
      <c r="I122" s="195">
        <v>175.20000000000002</v>
      </c>
      <c r="J122" s="178">
        <v>151.76</v>
      </c>
      <c r="K122" s="201"/>
      <c r="L122" s="31"/>
      <c r="M122" s="89">
        <v>326.96000000000004</v>
      </c>
      <c r="N122" s="84"/>
      <c r="O122" s="42">
        <v>163.48000000000002</v>
      </c>
      <c r="P122" s="31">
        <v>0</v>
      </c>
      <c r="Q122" s="14">
        <v>163.48000000000002</v>
      </c>
      <c r="R122" s="178">
        <v>191.65</v>
      </c>
      <c r="S122" s="295"/>
      <c r="T122" s="14">
        <f t="shared" si="7"/>
        <v>28.169999999999987</v>
      </c>
      <c r="U122" s="158">
        <v>163.48000000000002</v>
      </c>
      <c r="V122" s="158">
        <v>0</v>
      </c>
      <c r="W122" s="158">
        <v>0</v>
      </c>
      <c r="X122" s="104"/>
      <c r="Y122" s="136"/>
      <c r="Z122" s="38">
        <v>0</v>
      </c>
      <c r="AA122" s="16">
        <v>326.96000000000004</v>
      </c>
      <c r="AB122" s="16">
        <v>0</v>
      </c>
      <c r="AC122" s="16">
        <v>0</v>
      </c>
      <c r="AE122" s="16">
        <v>163.48000000000002</v>
      </c>
      <c r="AF122" s="16">
        <v>0</v>
      </c>
      <c r="AG122" s="16">
        <v>0</v>
      </c>
      <c r="AH122" s="16">
        <f t="shared" si="8"/>
        <v>163.48000000000002</v>
      </c>
      <c r="AI122" s="343">
        <f t="shared" si="9"/>
        <v>3.5573716338619268E-5</v>
      </c>
    </row>
    <row r="123" spans="1:35">
      <c r="A123" s="27"/>
      <c r="B123" s="118"/>
      <c r="C123" s="109"/>
      <c r="D123" s="20"/>
      <c r="E123" s="20" t="s">
        <v>110</v>
      </c>
      <c r="F123" s="68" t="s">
        <v>197</v>
      </c>
      <c r="G123" s="91"/>
      <c r="H123" s="144" t="s">
        <v>226</v>
      </c>
      <c r="I123" s="195">
        <v>8.51</v>
      </c>
      <c r="J123" s="178">
        <v>9.8000000000000007</v>
      </c>
      <c r="K123" s="201"/>
      <c r="L123" s="31"/>
      <c r="M123" s="89">
        <v>18.310000000000002</v>
      </c>
      <c r="N123" s="84"/>
      <c r="O123" s="42">
        <v>9.1550000000000011</v>
      </c>
      <c r="P123" s="31">
        <v>0</v>
      </c>
      <c r="Q123" s="14">
        <v>9.1550000000000011</v>
      </c>
      <c r="R123" s="178">
        <v>11.82</v>
      </c>
      <c r="S123" s="295"/>
      <c r="T123" s="14">
        <f t="shared" si="7"/>
        <v>2.6649999999999991</v>
      </c>
      <c r="U123" s="158">
        <v>9.1550000000000011</v>
      </c>
      <c r="V123" s="158">
        <v>0</v>
      </c>
      <c r="W123" s="158">
        <v>0</v>
      </c>
      <c r="X123" s="104"/>
      <c r="Y123" s="136"/>
      <c r="Z123" s="38">
        <v>0</v>
      </c>
      <c r="AA123" s="16">
        <v>18.310000000000002</v>
      </c>
      <c r="AB123" s="16">
        <v>0</v>
      </c>
      <c r="AC123" s="16">
        <v>0</v>
      </c>
      <c r="AE123" s="16">
        <v>9.1550000000000011</v>
      </c>
      <c r="AF123" s="16">
        <v>0</v>
      </c>
      <c r="AG123" s="16">
        <v>0</v>
      </c>
      <c r="AH123" s="16">
        <f t="shared" si="8"/>
        <v>9.1550000000000011</v>
      </c>
      <c r="AI123" s="343">
        <f t="shared" si="9"/>
        <v>1.9921542273064555E-6</v>
      </c>
    </row>
    <row r="124" spans="1:35">
      <c r="A124" s="27"/>
      <c r="B124" s="118"/>
      <c r="C124" s="109"/>
      <c r="D124" s="20"/>
      <c r="E124" s="20" t="s">
        <v>110</v>
      </c>
      <c r="F124" s="68" t="s">
        <v>198</v>
      </c>
      <c r="G124" s="91"/>
      <c r="H124" s="144" t="s">
        <v>226</v>
      </c>
      <c r="I124" s="195">
        <v>37.92</v>
      </c>
      <c r="J124" s="178">
        <v>30.71</v>
      </c>
      <c r="K124" s="201"/>
      <c r="L124" s="31"/>
      <c r="M124" s="89">
        <v>68.63</v>
      </c>
      <c r="N124" s="84"/>
      <c r="O124" s="42">
        <v>34.314999999999998</v>
      </c>
      <c r="P124" s="31">
        <v>0</v>
      </c>
      <c r="Q124" s="14">
        <v>34.314999999999998</v>
      </c>
      <c r="R124" s="178">
        <v>7.47</v>
      </c>
      <c r="S124" s="295"/>
      <c r="T124" s="14">
        <f t="shared" si="7"/>
        <v>-26.844999999999999</v>
      </c>
      <c r="U124" s="158">
        <v>34.314999999999998</v>
      </c>
      <c r="V124" s="158">
        <v>0</v>
      </c>
      <c r="W124" s="158">
        <v>0</v>
      </c>
      <c r="X124" s="104"/>
      <c r="Y124" s="136"/>
      <c r="Z124" s="38">
        <v>0</v>
      </c>
      <c r="AA124" s="16">
        <v>68.63</v>
      </c>
      <c r="AB124" s="16">
        <v>0</v>
      </c>
      <c r="AC124" s="16">
        <v>0</v>
      </c>
      <c r="AE124" s="16">
        <v>34.314999999999998</v>
      </c>
      <c r="AF124" s="16">
        <v>0</v>
      </c>
      <c r="AG124" s="16">
        <v>0</v>
      </c>
      <c r="AH124" s="16">
        <f t="shared" si="8"/>
        <v>34.314999999999998</v>
      </c>
      <c r="AI124" s="343">
        <f t="shared" si="9"/>
        <v>7.4670423058460964E-6</v>
      </c>
    </row>
    <row r="125" spans="1:35">
      <c r="A125" s="27"/>
      <c r="B125" s="118"/>
      <c r="C125" s="109"/>
      <c r="D125" s="20"/>
      <c r="E125" s="20" t="s">
        <v>109</v>
      </c>
      <c r="F125" s="68" t="s">
        <v>248</v>
      </c>
      <c r="G125" s="91"/>
      <c r="H125" s="144" t="s">
        <v>226</v>
      </c>
      <c r="I125" s="195">
        <v>38.67</v>
      </c>
      <c r="J125" s="178">
        <v>24.93</v>
      </c>
      <c r="K125" s="201"/>
      <c r="L125" s="31"/>
      <c r="M125" s="89">
        <v>63.6</v>
      </c>
      <c r="N125" s="84"/>
      <c r="O125" s="42">
        <v>31.8</v>
      </c>
      <c r="P125" s="31"/>
      <c r="Q125" s="14">
        <f>O125</f>
        <v>31.8</v>
      </c>
      <c r="R125" s="178">
        <v>48.9</v>
      </c>
      <c r="S125" s="295"/>
      <c r="T125" s="14">
        <f t="shared" si="7"/>
        <v>17.099999999999998</v>
      </c>
      <c r="U125" s="158">
        <v>0</v>
      </c>
      <c r="V125" s="158">
        <v>31.8</v>
      </c>
      <c r="W125" s="158">
        <v>0</v>
      </c>
      <c r="X125" s="104"/>
      <c r="Y125" s="136"/>
      <c r="Z125" s="38"/>
      <c r="AA125" s="16">
        <v>0</v>
      </c>
      <c r="AB125" s="16">
        <v>63.6</v>
      </c>
      <c r="AC125" s="16">
        <v>0</v>
      </c>
      <c r="AE125" s="16">
        <v>0</v>
      </c>
      <c r="AF125" s="16">
        <v>31.8</v>
      </c>
      <c r="AG125" s="16">
        <v>0</v>
      </c>
      <c r="AH125" s="16">
        <f t="shared" si="8"/>
        <v>31.8</v>
      </c>
      <c r="AI125" s="343">
        <f t="shared" si="9"/>
        <v>6.9197711008569398E-6</v>
      </c>
    </row>
    <row r="126" spans="1:35">
      <c r="A126" s="27"/>
      <c r="B126" s="120" t="s">
        <v>92</v>
      </c>
      <c r="C126" s="111"/>
      <c r="D126" s="21"/>
      <c r="E126" s="21" t="s">
        <v>109</v>
      </c>
      <c r="F126" s="68" t="s">
        <v>31</v>
      </c>
      <c r="G126" s="6"/>
      <c r="H126" s="144" t="s">
        <v>226</v>
      </c>
      <c r="I126" s="202"/>
      <c r="J126" s="184"/>
      <c r="K126" s="201"/>
      <c r="L126" s="31"/>
      <c r="M126" s="89">
        <v>0</v>
      </c>
      <c r="N126" s="84"/>
      <c r="O126" s="42">
        <v>33300</v>
      </c>
      <c r="P126" s="31">
        <v>0</v>
      </c>
      <c r="Q126" s="14">
        <v>33300</v>
      </c>
      <c r="R126" s="178">
        <f>8809.77+6690.69+5988.09</f>
        <v>21488.55</v>
      </c>
      <c r="S126" s="295"/>
      <c r="T126" s="14">
        <f t="shared" si="7"/>
        <v>-11811.45</v>
      </c>
      <c r="U126" s="158">
        <v>0</v>
      </c>
      <c r="V126" s="158">
        <v>33300</v>
      </c>
      <c r="W126" s="158">
        <v>0</v>
      </c>
      <c r="X126" s="104"/>
      <c r="Y126" s="136"/>
      <c r="Z126" s="38">
        <v>0</v>
      </c>
      <c r="AA126" s="16">
        <v>0</v>
      </c>
      <c r="AB126" s="16">
        <v>0</v>
      </c>
      <c r="AC126" s="16">
        <v>0</v>
      </c>
      <c r="AE126" s="16">
        <v>0</v>
      </c>
      <c r="AF126" s="16">
        <v>33300</v>
      </c>
      <c r="AG126" s="16">
        <v>0</v>
      </c>
      <c r="AH126" s="16">
        <f t="shared" si="8"/>
        <v>33300</v>
      </c>
      <c r="AI126" s="343">
        <f t="shared" si="9"/>
        <v>7.2461753980671726E-3</v>
      </c>
    </row>
    <row r="127" spans="1:35">
      <c r="A127" s="27"/>
      <c r="B127" s="120"/>
      <c r="C127" s="111"/>
      <c r="D127" s="21"/>
      <c r="E127" s="21" t="s">
        <v>110</v>
      </c>
      <c r="F127" s="68" t="s">
        <v>261</v>
      </c>
      <c r="G127" s="133"/>
      <c r="H127" s="144"/>
      <c r="I127" s="195">
        <v>6780.869999999999</v>
      </c>
      <c r="J127" s="251">
        <v>32245.06</v>
      </c>
      <c r="K127" s="355">
        <f>43215.39-12220.63</f>
        <v>30994.760000000002</v>
      </c>
      <c r="L127" s="31"/>
      <c r="M127" s="89">
        <v>39025.929999999993</v>
      </c>
      <c r="N127" s="84"/>
      <c r="O127" s="42">
        <v>19512.964999999997</v>
      </c>
      <c r="P127" s="31">
        <v>1</v>
      </c>
      <c r="Q127" s="14">
        <f>19512.965+Q128</f>
        <v>19512.965</v>
      </c>
      <c r="R127" s="178">
        <v>43215.39</v>
      </c>
      <c r="S127" s="295"/>
      <c r="T127" s="14">
        <f t="shared" si="7"/>
        <v>23702.424999999999</v>
      </c>
      <c r="U127" s="158">
        <v>19512.964999999997</v>
      </c>
      <c r="V127" s="158">
        <v>0</v>
      </c>
      <c r="W127" s="158">
        <v>0</v>
      </c>
      <c r="X127" s="104"/>
      <c r="Y127" s="136"/>
      <c r="Z127" s="38">
        <v>1</v>
      </c>
      <c r="AA127" s="16">
        <v>39025.929999999993</v>
      </c>
      <c r="AE127" s="16">
        <v>19512.964999999997</v>
      </c>
      <c r="AF127" s="16">
        <v>0</v>
      </c>
      <c r="AG127" s="16">
        <v>0</v>
      </c>
      <c r="AH127" s="16">
        <f t="shared" si="8"/>
        <v>19512.964999999997</v>
      </c>
      <c r="AI127" s="343">
        <f t="shared" si="9"/>
        <v>4.2460770848752483E-3</v>
      </c>
    </row>
    <row r="128" spans="1:35" s="146" customFormat="1">
      <c r="A128" s="151"/>
      <c r="B128" s="120"/>
      <c r="C128" s="111"/>
      <c r="D128" s="21"/>
      <c r="E128" s="21" t="s">
        <v>110</v>
      </c>
      <c r="F128" s="68" t="s">
        <v>262</v>
      </c>
      <c r="G128" s="133"/>
      <c r="H128" s="144"/>
      <c r="I128" s="195">
        <v>2400.4299999999998</v>
      </c>
      <c r="J128" s="251">
        <v>12896.29</v>
      </c>
      <c r="K128" s="199">
        <v>12220.63</v>
      </c>
      <c r="L128" s="31"/>
      <c r="M128" s="89">
        <v>15296.720000000001</v>
      </c>
      <c r="N128" s="298"/>
      <c r="O128" s="196">
        <v>7648.3600000000006</v>
      </c>
      <c r="P128" s="31">
        <v>1</v>
      </c>
      <c r="Q128" s="14"/>
      <c r="R128" s="178"/>
      <c r="S128" s="14"/>
      <c r="T128" s="14" t="str">
        <f t="shared" si="7"/>
        <v/>
      </c>
      <c r="U128" s="299">
        <v>7648.3600000000006</v>
      </c>
      <c r="V128" s="299">
        <v>0</v>
      </c>
      <c r="W128" s="299">
        <v>0</v>
      </c>
      <c r="X128" s="139"/>
      <c r="Y128" s="137"/>
      <c r="Z128" s="33">
        <v>1</v>
      </c>
      <c r="AA128" s="146">
        <v>15296.720000000001</v>
      </c>
      <c r="AE128" s="146">
        <v>7648.3600000000006</v>
      </c>
      <c r="AF128" s="146">
        <v>0</v>
      </c>
      <c r="AG128" s="146">
        <v>0</v>
      </c>
      <c r="AH128" s="146">
        <f t="shared" si="8"/>
        <v>7648.3600000000006</v>
      </c>
      <c r="AI128" s="344">
        <f t="shared" si="9"/>
        <v>1.6643050470739054E-3</v>
      </c>
    </row>
    <row r="129" spans="1:35">
      <c r="A129" s="27"/>
      <c r="B129" s="120" t="s">
        <v>92</v>
      </c>
      <c r="C129" s="111"/>
      <c r="D129" s="21"/>
      <c r="E129" s="21" t="s">
        <v>109</v>
      </c>
      <c r="F129" s="68" t="s">
        <v>190</v>
      </c>
      <c r="G129" s="91"/>
      <c r="H129" s="144">
        <v>-700</v>
      </c>
      <c r="I129" s="202"/>
      <c r="J129" s="184"/>
      <c r="K129" s="201"/>
      <c r="L129" s="31"/>
      <c r="M129" s="89">
        <v>-700</v>
      </c>
      <c r="N129" s="84"/>
      <c r="O129" s="262">
        <v>700</v>
      </c>
      <c r="P129" s="31">
        <v>0</v>
      </c>
      <c r="Q129" s="14">
        <v>700</v>
      </c>
      <c r="R129" s="178">
        <f>338.9+266.45+358.81</f>
        <v>964.15999999999985</v>
      </c>
      <c r="S129" s="295"/>
      <c r="T129" s="14">
        <f t="shared" si="7"/>
        <v>264.15999999999985</v>
      </c>
      <c r="U129" s="158">
        <v>0</v>
      </c>
      <c r="V129" s="158">
        <v>700</v>
      </c>
      <c r="W129" s="158">
        <v>0</v>
      </c>
      <c r="X129" s="104"/>
      <c r="Y129" s="136"/>
      <c r="Z129" s="38">
        <v>0</v>
      </c>
      <c r="AA129" s="16">
        <v>0</v>
      </c>
      <c r="AB129" s="16">
        <v>-700</v>
      </c>
      <c r="AC129" s="16">
        <v>0</v>
      </c>
      <c r="AE129" s="16">
        <v>0</v>
      </c>
      <c r="AF129" s="16">
        <v>700</v>
      </c>
      <c r="AG129" s="16">
        <v>0</v>
      </c>
      <c r="AH129" s="16">
        <f t="shared" si="8"/>
        <v>700</v>
      </c>
      <c r="AI129" s="343">
        <f t="shared" si="9"/>
        <v>1.5232200536477539E-4</v>
      </c>
    </row>
    <row r="130" spans="1:35">
      <c r="A130" s="27"/>
      <c r="B130" s="120" t="s">
        <v>92</v>
      </c>
      <c r="C130" s="111"/>
      <c r="D130" s="21"/>
      <c r="E130" s="21" t="s">
        <v>109</v>
      </c>
      <c r="F130" s="68" t="s">
        <v>231</v>
      </c>
      <c r="G130" s="133">
        <v>34963.700000000004</v>
      </c>
      <c r="H130" s="144" t="s">
        <v>226</v>
      </c>
      <c r="I130" s="356">
        <v>0</v>
      </c>
      <c r="J130" s="357">
        <v>0</v>
      </c>
      <c r="K130" s="355">
        <v>0</v>
      </c>
      <c r="L130" s="31"/>
      <c r="M130" s="89">
        <v>34963.699999999997</v>
      </c>
      <c r="N130" s="84"/>
      <c r="O130" s="42">
        <v>0</v>
      </c>
      <c r="P130" s="31">
        <v>0</v>
      </c>
      <c r="Q130" s="14">
        <v>0</v>
      </c>
      <c r="R130" s="178">
        <v>3125.69</v>
      </c>
      <c r="S130" s="295"/>
      <c r="T130" s="14">
        <f t="shared" si="7"/>
        <v>3125.69</v>
      </c>
      <c r="U130" s="158">
        <v>0</v>
      </c>
      <c r="V130" s="158">
        <v>0</v>
      </c>
      <c r="W130" s="158">
        <v>0</v>
      </c>
      <c r="X130" s="104"/>
      <c r="Y130" s="136"/>
      <c r="Z130" s="38">
        <v>0</v>
      </c>
      <c r="AA130" s="16">
        <v>0</v>
      </c>
      <c r="AB130" s="16">
        <v>34963.700000000004</v>
      </c>
      <c r="AC130" s="16">
        <v>0</v>
      </c>
      <c r="AE130" s="16">
        <v>0</v>
      </c>
      <c r="AF130" s="16">
        <v>0</v>
      </c>
      <c r="AG130" s="16">
        <v>0</v>
      </c>
      <c r="AH130" s="16">
        <f t="shared" si="8"/>
        <v>0</v>
      </c>
      <c r="AI130" s="343">
        <f t="shared" si="9"/>
        <v>0</v>
      </c>
    </row>
    <row r="131" spans="1:35">
      <c r="A131" s="27"/>
      <c r="B131" s="118" t="s">
        <v>70</v>
      </c>
      <c r="C131" s="109"/>
      <c r="D131" s="20"/>
      <c r="E131" s="20" t="s">
        <v>109</v>
      </c>
      <c r="F131" s="68" t="s">
        <v>32</v>
      </c>
      <c r="G131" s="91"/>
      <c r="H131" s="144">
        <v>-1800</v>
      </c>
      <c r="I131" s="202"/>
      <c r="J131" s="183"/>
      <c r="K131" s="201"/>
      <c r="L131" s="31"/>
      <c r="M131" s="89">
        <v>-1800</v>
      </c>
      <c r="N131" s="84"/>
      <c r="O131" s="42">
        <v>900</v>
      </c>
      <c r="P131" s="31">
        <v>0</v>
      </c>
      <c r="Q131" s="14">
        <v>900</v>
      </c>
      <c r="R131" s="178">
        <f>1197.23+555.87+4545.91</f>
        <v>6299.01</v>
      </c>
      <c r="S131" s="295"/>
      <c r="T131" s="14">
        <f t="shared" si="7"/>
        <v>5399.01</v>
      </c>
      <c r="U131" s="158">
        <v>0</v>
      </c>
      <c r="V131" s="158">
        <v>900</v>
      </c>
      <c r="W131" s="158">
        <v>0</v>
      </c>
      <c r="X131" s="104"/>
      <c r="Y131" s="136"/>
      <c r="Z131" s="38">
        <v>0</v>
      </c>
      <c r="AA131" s="16">
        <v>0</v>
      </c>
      <c r="AB131" s="16">
        <v>-1800</v>
      </c>
      <c r="AC131" s="16">
        <v>0</v>
      </c>
      <c r="AE131" s="16">
        <v>0</v>
      </c>
      <c r="AF131" s="16">
        <v>900</v>
      </c>
      <c r="AG131" s="16">
        <v>0</v>
      </c>
      <c r="AH131" s="16">
        <f t="shared" si="8"/>
        <v>900</v>
      </c>
      <c r="AI131" s="343">
        <f t="shared" si="9"/>
        <v>1.958425783261398E-4</v>
      </c>
    </row>
    <row r="132" spans="1:35">
      <c r="A132" s="27"/>
      <c r="B132" s="120"/>
      <c r="C132" s="111"/>
      <c r="D132" s="21" t="s">
        <v>211</v>
      </c>
      <c r="E132" s="21" t="s">
        <v>110</v>
      </c>
      <c r="F132" s="68" t="s">
        <v>122</v>
      </c>
      <c r="G132" s="91"/>
      <c r="H132" s="144">
        <v>833.90000000000146</v>
      </c>
      <c r="I132" s="356">
        <v>4688.3100000000004</v>
      </c>
      <c r="J132" s="182">
        <v>3108</v>
      </c>
      <c r="K132" s="196">
        <v>3710.87</v>
      </c>
      <c r="L132" s="31"/>
      <c r="M132" s="89">
        <v>833.90000000000146</v>
      </c>
      <c r="N132" s="84"/>
      <c r="O132" s="42">
        <v>21533.9</v>
      </c>
      <c r="P132" s="31">
        <v>0</v>
      </c>
      <c r="Q132" s="14">
        <v>21533.9</v>
      </c>
      <c r="R132" s="178"/>
      <c r="S132" s="295"/>
      <c r="T132" s="14" t="str">
        <f t="shared" si="7"/>
        <v/>
      </c>
      <c r="U132" s="158">
        <v>21533.9</v>
      </c>
      <c r="V132" s="158">
        <v>0</v>
      </c>
      <c r="W132" s="158">
        <v>0</v>
      </c>
      <c r="X132" s="104"/>
      <c r="Y132" s="136"/>
      <c r="Z132" s="38">
        <v>0</v>
      </c>
      <c r="AA132" s="16">
        <v>833.90000000000146</v>
      </c>
      <c r="AB132" s="16">
        <v>0</v>
      </c>
      <c r="AC132" s="16">
        <v>0</v>
      </c>
      <c r="AE132" s="16">
        <v>21533.9</v>
      </c>
      <c r="AF132" s="16">
        <v>0</v>
      </c>
      <c r="AG132" s="16">
        <v>0</v>
      </c>
      <c r="AH132" s="16">
        <f t="shared" si="8"/>
        <v>21533.9</v>
      </c>
      <c r="AI132" s="343">
        <f t="shared" si="9"/>
        <v>4.6858383304636247E-3</v>
      </c>
    </row>
    <row r="133" spans="1:35">
      <c r="A133" s="27"/>
      <c r="B133" s="120"/>
      <c r="C133" s="111"/>
      <c r="D133" s="21"/>
      <c r="E133" s="21" t="s">
        <v>109</v>
      </c>
      <c r="F133" s="68" t="s">
        <v>33</v>
      </c>
      <c r="G133" s="91"/>
      <c r="H133" s="144" t="s">
        <v>226</v>
      </c>
      <c r="I133" s="195">
        <v>10100.41</v>
      </c>
      <c r="J133" s="178">
        <v>9778.41</v>
      </c>
      <c r="K133" s="199">
        <v>10833.83</v>
      </c>
      <c r="L133" s="31"/>
      <c r="M133" s="89">
        <v>30712.65</v>
      </c>
      <c r="N133" s="84"/>
      <c r="O133" s="42"/>
      <c r="P133" s="31">
        <v>0</v>
      </c>
      <c r="Q133" s="14">
        <v>0</v>
      </c>
      <c r="R133" s="178"/>
      <c r="S133" s="295"/>
      <c r="T133" s="14" t="str">
        <f t="shared" si="7"/>
        <v/>
      </c>
      <c r="U133" s="158">
        <v>0</v>
      </c>
      <c r="V133" s="158">
        <v>0</v>
      </c>
      <c r="W133" s="158">
        <v>0</v>
      </c>
      <c r="X133" s="104"/>
      <c r="Y133" s="136"/>
      <c r="Z133" s="38">
        <v>0</v>
      </c>
      <c r="AA133" s="16">
        <v>0</v>
      </c>
      <c r="AB133" s="16">
        <v>30712.65</v>
      </c>
      <c r="AC133" s="16">
        <v>0</v>
      </c>
      <c r="AE133" s="16">
        <v>0</v>
      </c>
      <c r="AF133" s="16">
        <v>0</v>
      </c>
      <c r="AG133" s="16">
        <v>0</v>
      </c>
      <c r="AH133" s="16">
        <f t="shared" si="8"/>
        <v>0</v>
      </c>
      <c r="AI133" s="343">
        <f t="shared" si="9"/>
        <v>0</v>
      </c>
    </row>
    <row r="134" spans="1:35" s="232" customFormat="1">
      <c r="A134" s="81"/>
      <c r="B134" s="281"/>
      <c r="C134" s="282"/>
      <c r="D134" s="283"/>
      <c r="E134" s="283" t="s">
        <v>110</v>
      </c>
      <c r="F134" s="123" t="s">
        <v>276</v>
      </c>
      <c r="G134" s="284"/>
      <c r="H134" s="285" t="s">
        <v>226</v>
      </c>
      <c r="I134" s="286">
        <v>34111.880000000005</v>
      </c>
      <c r="J134" s="14">
        <v>29984.03</v>
      </c>
      <c r="K134" s="287"/>
      <c r="L134" s="31"/>
      <c r="M134" s="288">
        <v>64095.91</v>
      </c>
      <c r="N134" s="289">
        <v>22155.6003595722</v>
      </c>
      <c r="O134" s="290"/>
      <c r="P134" s="31">
        <v>0</v>
      </c>
      <c r="Q134" s="14">
        <v>22155.6003595722</v>
      </c>
      <c r="R134" s="178">
        <f>13655.5+539.88+2543.24+1937.54+1450.45+9237.6</f>
        <v>29364.21</v>
      </c>
      <c r="S134" s="295"/>
      <c r="T134" s="14">
        <f>IF(R134="","",R134-Q134)</f>
        <v>7208.6096404277996</v>
      </c>
      <c r="U134" s="291">
        <v>22155.6003595722</v>
      </c>
      <c r="V134" s="291">
        <v>0</v>
      </c>
      <c r="W134" s="291">
        <v>0</v>
      </c>
      <c r="X134" s="80"/>
      <c r="Y134" s="292"/>
      <c r="Z134" s="233">
        <v>0</v>
      </c>
      <c r="AA134" s="232">
        <v>64095.91</v>
      </c>
      <c r="AB134" s="232">
        <v>0</v>
      </c>
      <c r="AC134" s="232">
        <v>0</v>
      </c>
      <c r="AE134" s="232">
        <v>22155.6003595722</v>
      </c>
      <c r="AF134" s="232">
        <v>0</v>
      </c>
      <c r="AG134" s="232">
        <v>0</v>
      </c>
      <c r="AH134" s="24">
        <f t="shared" si="8"/>
        <v>22155.6003595722</v>
      </c>
      <c r="AI134" s="345">
        <f t="shared" si="9"/>
        <v>4.8211221097579663E-3</v>
      </c>
    </row>
    <row r="135" spans="1:35" s="232" customFormat="1">
      <c r="A135" s="81"/>
      <c r="B135" s="281"/>
      <c r="C135" s="282"/>
      <c r="D135" s="283"/>
      <c r="E135" s="283" t="s">
        <v>110</v>
      </c>
      <c r="F135" s="123" t="s">
        <v>277</v>
      </c>
      <c r="G135" s="284"/>
      <c r="H135" s="285" t="s">
        <v>226</v>
      </c>
      <c r="I135" s="286">
        <v>41336.06</v>
      </c>
      <c r="J135" s="14">
        <v>38216.51</v>
      </c>
      <c r="K135" s="287"/>
      <c r="L135" s="31"/>
      <c r="M135" s="288">
        <v>79552.570000000007</v>
      </c>
      <c r="N135" s="289">
        <v>242498.39964042779</v>
      </c>
      <c r="O135" s="290"/>
      <c r="P135" s="31">
        <v>0</v>
      </c>
      <c r="Q135" s="14">
        <v>242498.39964042779</v>
      </c>
      <c r="R135" s="178">
        <f>20120.38+1920.64+2646.1+14727.46+821.45+2182.29+1513.15+12713.54+48579.81+59937.76</f>
        <v>165162.58000000002</v>
      </c>
      <c r="S135" s="295"/>
      <c r="T135" s="14">
        <f t="shared" si="7"/>
        <v>-77335.81964042777</v>
      </c>
      <c r="U135" s="291">
        <v>242498.39964042779</v>
      </c>
      <c r="V135" s="291">
        <v>0</v>
      </c>
      <c r="W135" s="291">
        <v>0</v>
      </c>
      <c r="X135" s="80"/>
      <c r="Y135" s="292"/>
      <c r="Z135" s="233">
        <v>0</v>
      </c>
      <c r="AA135" s="232">
        <v>79552.570000000007</v>
      </c>
      <c r="AB135" s="232">
        <v>0</v>
      </c>
      <c r="AC135" s="232">
        <v>0</v>
      </c>
      <c r="AE135" s="232">
        <v>242498.39964042779</v>
      </c>
      <c r="AF135" s="232">
        <v>0</v>
      </c>
      <c r="AG135" s="232">
        <v>0</v>
      </c>
      <c r="AH135" s="24">
        <f t="shared" si="8"/>
        <v>242498.39964042779</v>
      </c>
      <c r="AI135" s="345">
        <f t="shared" si="9"/>
        <v>5.2768346472826702E-2</v>
      </c>
    </row>
    <row r="136" spans="1:35" s="232" customFormat="1">
      <c r="A136" s="81"/>
      <c r="B136" s="281"/>
      <c r="C136" s="282"/>
      <c r="D136" s="283"/>
      <c r="E136" s="283" t="s">
        <v>110</v>
      </c>
      <c r="F136" s="123" t="s">
        <v>278</v>
      </c>
      <c r="G136" s="284"/>
      <c r="H136" s="285" t="s">
        <v>226</v>
      </c>
      <c r="I136" s="286">
        <v>758.44</v>
      </c>
      <c r="J136" s="14">
        <v>709.06999999999994</v>
      </c>
      <c r="K136" s="287"/>
      <c r="L136" s="31"/>
      <c r="M136" s="288">
        <v>1467.51</v>
      </c>
      <c r="N136" s="289">
        <v>699.85755162975863</v>
      </c>
      <c r="O136" s="290"/>
      <c r="P136" s="31">
        <v>0</v>
      </c>
      <c r="Q136" s="14">
        <v>699.85755162975863</v>
      </c>
      <c r="R136" s="178">
        <f>576.28+136.3</f>
        <v>712.57999999999993</v>
      </c>
      <c r="S136" s="295"/>
      <c r="T136" s="14">
        <f t="shared" si="7"/>
        <v>12.722448370241295</v>
      </c>
      <c r="U136" s="291">
        <v>699.85755162975863</v>
      </c>
      <c r="V136" s="291">
        <v>0</v>
      </c>
      <c r="W136" s="291">
        <v>0</v>
      </c>
      <c r="X136" s="80"/>
      <c r="Y136" s="292"/>
      <c r="Z136" s="233">
        <v>0</v>
      </c>
      <c r="AA136" s="232">
        <v>1467.51</v>
      </c>
      <c r="AB136" s="232">
        <v>0</v>
      </c>
      <c r="AC136" s="232">
        <v>0</v>
      </c>
      <c r="AE136" s="232">
        <v>699.85755162975863</v>
      </c>
      <c r="AF136" s="232">
        <v>0</v>
      </c>
      <c r="AG136" s="232">
        <v>0</v>
      </c>
      <c r="AH136" s="24">
        <f t="shared" si="8"/>
        <v>699.85755162975863</v>
      </c>
      <c r="AI136" s="345">
        <f t="shared" si="9"/>
        <v>1.5229100819132382E-4</v>
      </c>
    </row>
    <row r="137" spans="1:35" s="232" customFormat="1">
      <c r="A137" s="81"/>
      <c r="B137" s="281"/>
      <c r="C137" s="282"/>
      <c r="D137" s="283"/>
      <c r="E137" s="283" t="s">
        <v>110</v>
      </c>
      <c r="F137" s="123" t="s">
        <v>279</v>
      </c>
      <c r="G137" s="284"/>
      <c r="H137" s="285" t="s">
        <v>226</v>
      </c>
      <c r="I137" s="286">
        <v>1052.31</v>
      </c>
      <c r="J137" s="293">
        <v>856.13999999999987</v>
      </c>
      <c r="K137" s="287"/>
      <c r="L137" s="31"/>
      <c r="M137" s="288">
        <v>1908.4499999999998</v>
      </c>
      <c r="N137" s="289">
        <v>7910.1424483702413</v>
      </c>
      <c r="O137" s="290"/>
      <c r="P137" s="31">
        <v>0</v>
      </c>
      <c r="Q137" s="14">
        <v>7910.1424483702413</v>
      </c>
      <c r="R137" s="178">
        <f>897.26+0.21+0.26+0.01</f>
        <v>897.74</v>
      </c>
      <c r="S137" s="295"/>
      <c r="T137" s="14">
        <f t="shared" si="7"/>
        <v>-7012.4024483702415</v>
      </c>
      <c r="U137" s="291">
        <v>7910.1424483702413</v>
      </c>
      <c r="V137" s="291">
        <v>0</v>
      </c>
      <c r="W137" s="291">
        <v>0</v>
      </c>
      <c r="X137" s="80"/>
      <c r="Y137" s="292"/>
      <c r="Z137" s="233">
        <v>0</v>
      </c>
      <c r="AA137" s="232">
        <v>1908.4499999999998</v>
      </c>
      <c r="AB137" s="232">
        <v>0</v>
      </c>
      <c r="AC137" s="232">
        <v>0</v>
      </c>
      <c r="AE137" s="232">
        <v>7910.1424483702413</v>
      </c>
      <c r="AF137" s="232">
        <v>0</v>
      </c>
      <c r="AG137" s="232">
        <v>0</v>
      </c>
      <c r="AH137" s="24">
        <f t="shared" si="8"/>
        <v>7910.1424483702413</v>
      </c>
      <c r="AI137" s="345">
        <f t="shared" si="9"/>
        <v>1.7212696577954135E-3</v>
      </c>
    </row>
    <row r="138" spans="1:35" s="232" customFormat="1">
      <c r="A138" s="81"/>
      <c r="B138" s="281"/>
      <c r="C138" s="282"/>
      <c r="D138" s="283"/>
      <c r="E138" s="283" t="s">
        <v>109</v>
      </c>
      <c r="F138" s="123" t="s">
        <v>63</v>
      </c>
      <c r="G138" s="284"/>
      <c r="H138" s="285" t="s">
        <v>226</v>
      </c>
      <c r="I138" s="286">
        <v>161.18</v>
      </c>
      <c r="J138" s="14">
        <v>176.78200000000001</v>
      </c>
      <c r="K138" s="287"/>
      <c r="L138" s="31"/>
      <c r="M138" s="288">
        <v>337.96199999999999</v>
      </c>
      <c r="N138" s="289"/>
      <c r="O138" s="290"/>
      <c r="P138" s="31">
        <v>0</v>
      </c>
      <c r="Q138" s="14">
        <v>0</v>
      </c>
      <c r="R138" s="178">
        <f>278.59+141.86</f>
        <v>420.45</v>
      </c>
      <c r="S138" s="295"/>
      <c r="T138" s="14">
        <f t="shared" si="7"/>
        <v>420.45</v>
      </c>
      <c r="U138" s="291">
        <v>0</v>
      </c>
      <c r="V138" s="291">
        <v>0</v>
      </c>
      <c r="W138" s="291">
        <v>0</v>
      </c>
      <c r="X138" s="80"/>
      <c r="Y138" s="292"/>
      <c r="Z138" s="233">
        <v>0</v>
      </c>
      <c r="AA138" s="232">
        <v>0</v>
      </c>
      <c r="AB138" s="232">
        <v>337.96199999999999</v>
      </c>
      <c r="AC138" s="232">
        <v>0</v>
      </c>
      <c r="AE138" s="232">
        <v>0</v>
      </c>
      <c r="AF138" s="232">
        <v>0</v>
      </c>
      <c r="AG138" s="232">
        <v>0</v>
      </c>
      <c r="AH138" s="24">
        <f t="shared" si="8"/>
        <v>0</v>
      </c>
      <c r="AI138" s="345">
        <f t="shared" si="9"/>
        <v>0</v>
      </c>
    </row>
    <row r="139" spans="1:35" s="232" customFormat="1">
      <c r="A139" s="81"/>
      <c r="B139" s="281"/>
      <c r="C139" s="282"/>
      <c r="D139" s="283"/>
      <c r="E139" s="283" t="s">
        <v>109</v>
      </c>
      <c r="F139" s="123" t="s">
        <v>280</v>
      </c>
      <c r="G139" s="284"/>
      <c r="H139" s="285" t="s">
        <v>226</v>
      </c>
      <c r="I139" s="286">
        <v>10165.01</v>
      </c>
      <c r="J139" s="14">
        <v>9186.31</v>
      </c>
      <c r="K139" s="287"/>
      <c r="L139" s="31"/>
      <c r="M139" s="288">
        <v>19351.32</v>
      </c>
      <c r="N139" s="289">
        <v>16642</v>
      </c>
      <c r="O139" s="290"/>
      <c r="P139" s="31">
        <v>0</v>
      </c>
      <c r="Q139" s="14">
        <v>16642</v>
      </c>
      <c r="R139" s="178">
        <f>3319.38+12902.53</f>
        <v>16221.91</v>
      </c>
      <c r="S139" s="295"/>
      <c r="T139" s="14">
        <f t="shared" si="7"/>
        <v>-420.09000000000015</v>
      </c>
      <c r="U139" s="291">
        <v>0</v>
      </c>
      <c r="V139" s="291">
        <v>16642</v>
      </c>
      <c r="W139" s="291">
        <v>0</v>
      </c>
      <c r="X139" s="80"/>
      <c r="Y139" s="292"/>
      <c r="Z139" s="233">
        <v>0</v>
      </c>
      <c r="AA139" s="232">
        <v>0</v>
      </c>
      <c r="AB139" s="232">
        <v>19351.32</v>
      </c>
      <c r="AC139" s="232">
        <v>0</v>
      </c>
      <c r="AE139" s="232">
        <v>0</v>
      </c>
      <c r="AF139" s="232">
        <v>16642</v>
      </c>
      <c r="AG139" s="232">
        <v>0</v>
      </c>
      <c r="AH139" s="24">
        <f t="shared" si="8"/>
        <v>16642</v>
      </c>
      <c r="AI139" s="345">
        <f t="shared" si="9"/>
        <v>3.6213468761151319E-3</v>
      </c>
    </row>
    <row r="140" spans="1:35" s="232" customFormat="1">
      <c r="A140" s="81"/>
      <c r="B140" s="281"/>
      <c r="C140" s="282"/>
      <c r="D140" s="283" t="s">
        <v>109</v>
      </c>
      <c r="E140" s="283" t="s">
        <v>109</v>
      </c>
      <c r="F140" s="125" t="s">
        <v>281</v>
      </c>
      <c r="G140" s="284"/>
      <c r="H140" s="285" t="s">
        <v>226</v>
      </c>
      <c r="I140" s="286">
        <v>17.14</v>
      </c>
      <c r="J140" s="14">
        <v>16.77</v>
      </c>
      <c r="K140" s="287"/>
      <c r="L140" s="31"/>
      <c r="M140" s="288">
        <v>33.909999999999997</v>
      </c>
      <c r="N140" s="289">
        <v>15</v>
      </c>
      <c r="O140" s="290"/>
      <c r="P140" s="31">
        <v>0</v>
      </c>
      <c r="Q140" s="14">
        <v>15</v>
      </c>
      <c r="R140" s="178">
        <v>15.25</v>
      </c>
      <c r="S140" s="295"/>
      <c r="T140" s="14">
        <f t="shared" si="7"/>
        <v>0.25</v>
      </c>
      <c r="U140" s="291">
        <v>0</v>
      </c>
      <c r="V140" s="291">
        <v>15</v>
      </c>
      <c r="W140" s="291">
        <v>0</v>
      </c>
      <c r="X140" s="80"/>
      <c r="Y140" s="292"/>
      <c r="Z140" s="233">
        <v>0</v>
      </c>
      <c r="AA140" s="232">
        <v>0</v>
      </c>
      <c r="AB140" s="232">
        <v>33.909999999999997</v>
      </c>
      <c r="AC140" s="232">
        <v>0</v>
      </c>
      <c r="AE140" s="232">
        <v>0</v>
      </c>
      <c r="AF140" s="232">
        <v>15</v>
      </c>
      <c r="AG140" s="232">
        <v>0</v>
      </c>
      <c r="AH140" s="24">
        <f t="shared" si="8"/>
        <v>15</v>
      </c>
      <c r="AI140" s="345">
        <f t="shared" si="9"/>
        <v>3.2640429721023301E-6</v>
      </c>
    </row>
    <row r="141" spans="1:35">
      <c r="A141" s="27"/>
      <c r="B141" s="120"/>
      <c r="C141" s="111"/>
      <c r="D141" s="21"/>
      <c r="E141" s="21" t="s">
        <v>109</v>
      </c>
      <c r="F141" s="68" t="s">
        <v>153</v>
      </c>
      <c r="G141" s="91"/>
      <c r="H141" s="144" t="s">
        <v>226</v>
      </c>
      <c r="I141" s="195">
        <v>42250.86</v>
      </c>
      <c r="J141" s="178">
        <v>46498.240000000005</v>
      </c>
      <c r="K141" s="196">
        <v>51477.91</v>
      </c>
      <c r="L141" s="31"/>
      <c r="M141" s="89">
        <v>140227.01</v>
      </c>
      <c r="N141" s="84"/>
      <c r="O141" s="42"/>
      <c r="P141" s="31">
        <v>0</v>
      </c>
      <c r="Q141" s="14">
        <v>0</v>
      </c>
      <c r="R141" s="178"/>
      <c r="S141" s="295"/>
      <c r="T141" s="14" t="str">
        <f t="shared" si="7"/>
        <v/>
      </c>
      <c r="U141" s="158">
        <v>0</v>
      </c>
      <c r="V141" s="158">
        <v>0</v>
      </c>
      <c r="W141" s="158">
        <v>0</v>
      </c>
      <c r="X141" s="104"/>
      <c r="Y141" s="136"/>
      <c r="Z141" s="38">
        <v>0</v>
      </c>
      <c r="AA141" s="16">
        <v>0</v>
      </c>
      <c r="AB141" s="16">
        <v>140227.01</v>
      </c>
      <c r="AC141" s="16">
        <v>0</v>
      </c>
      <c r="AE141" s="16">
        <v>0</v>
      </c>
      <c r="AF141" s="16">
        <v>0</v>
      </c>
      <c r="AG141" s="16">
        <v>0</v>
      </c>
      <c r="AH141" s="16">
        <f t="shared" si="8"/>
        <v>0</v>
      </c>
      <c r="AI141" s="343">
        <f t="shared" si="9"/>
        <v>0</v>
      </c>
    </row>
    <row r="142" spans="1:35">
      <c r="A142" s="27"/>
      <c r="B142" s="120"/>
      <c r="C142" s="111"/>
      <c r="D142" s="21"/>
      <c r="E142" s="21" t="s">
        <v>109</v>
      </c>
      <c r="F142" s="68" t="s">
        <v>154</v>
      </c>
      <c r="G142" s="91"/>
      <c r="H142" s="144" t="s">
        <v>226</v>
      </c>
      <c r="I142" s="195">
        <v>1512.52</v>
      </c>
      <c r="J142" s="178">
        <v>1412.3600000000001</v>
      </c>
      <c r="K142" s="199">
        <v>1767.6100000000001</v>
      </c>
      <c r="L142" s="31"/>
      <c r="M142" s="89">
        <v>4692.49</v>
      </c>
      <c r="N142" s="84"/>
      <c r="O142" s="42"/>
      <c r="P142" s="31">
        <v>0</v>
      </c>
      <c r="Q142" s="14">
        <v>0</v>
      </c>
      <c r="R142" s="178"/>
      <c r="S142" s="295"/>
      <c r="T142" s="14" t="str">
        <f t="shared" si="7"/>
        <v/>
      </c>
      <c r="U142" s="158">
        <v>0</v>
      </c>
      <c r="V142" s="158">
        <v>0</v>
      </c>
      <c r="W142" s="158">
        <v>0</v>
      </c>
      <c r="X142" s="104"/>
      <c r="Y142" s="136"/>
      <c r="Z142" s="38">
        <v>0</v>
      </c>
      <c r="AA142" s="16">
        <v>0</v>
      </c>
      <c r="AB142" s="16">
        <v>4692.49</v>
      </c>
      <c r="AC142" s="16">
        <v>0</v>
      </c>
      <c r="AE142" s="16">
        <v>0</v>
      </c>
      <c r="AF142" s="16">
        <v>0</v>
      </c>
      <c r="AG142" s="16">
        <v>0</v>
      </c>
      <c r="AH142" s="16">
        <f t="shared" si="8"/>
        <v>0</v>
      </c>
      <c r="AI142" s="343">
        <f t="shared" si="9"/>
        <v>0</v>
      </c>
    </row>
    <row r="143" spans="1:35">
      <c r="A143" s="27"/>
      <c r="B143" s="120"/>
      <c r="C143" s="111"/>
      <c r="D143" s="21"/>
      <c r="E143" s="21" t="s">
        <v>109</v>
      </c>
      <c r="F143" s="68" t="s">
        <v>155</v>
      </c>
      <c r="G143" s="91"/>
      <c r="H143" s="144" t="s">
        <v>226</v>
      </c>
      <c r="I143" s="195">
        <v>411.71000000000004</v>
      </c>
      <c r="J143" s="178">
        <v>371.62</v>
      </c>
      <c r="K143" s="355">
        <v>0</v>
      </c>
      <c r="L143" s="31"/>
      <c r="M143" s="89">
        <v>783.33</v>
      </c>
      <c r="N143" s="84"/>
      <c r="O143" s="42"/>
      <c r="P143" s="31">
        <v>0</v>
      </c>
      <c r="Q143" s="14">
        <v>0</v>
      </c>
      <c r="R143" s="178">
        <v>423.84</v>
      </c>
      <c r="S143" s="295"/>
      <c r="T143" s="14">
        <f t="shared" si="7"/>
        <v>423.84</v>
      </c>
      <c r="U143" s="158">
        <v>0</v>
      </c>
      <c r="V143" s="158">
        <v>0</v>
      </c>
      <c r="W143" s="158">
        <v>0</v>
      </c>
      <c r="X143" s="104"/>
      <c r="Y143" s="136"/>
      <c r="Z143" s="38">
        <v>0</v>
      </c>
      <c r="AA143" s="16">
        <v>0</v>
      </c>
      <c r="AB143" s="16">
        <v>783.33</v>
      </c>
      <c r="AC143" s="16">
        <v>0</v>
      </c>
      <c r="AE143" s="16">
        <v>0</v>
      </c>
      <c r="AF143" s="16">
        <v>0</v>
      </c>
      <c r="AG143" s="16">
        <v>0</v>
      </c>
      <c r="AH143" s="16">
        <f t="shared" si="8"/>
        <v>0</v>
      </c>
      <c r="AI143" s="343">
        <f t="shared" si="9"/>
        <v>0</v>
      </c>
    </row>
    <row r="144" spans="1:35">
      <c r="A144" s="27"/>
      <c r="B144" s="120"/>
      <c r="C144" s="111"/>
      <c r="D144" s="21" t="s">
        <v>212</v>
      </c>
      <c r="E144" s="21" t="s">
        <v>110</v>
      </c>
      <c r="F144" s="68" t="s">
        <v>35</v>
      </c>
      <c r="G144" s="91"/>
      <c r="H144" s="144" t="s">
        <v>226</v>
      </c>
      <c r="I144" s="202"/>
      <c r="J144" s="181"/>
      <c r="K144" s="207"/>
      <c r="L144" s="31"/>
      <c r="M144" s="89">
        <v>0</v>
      </c>
      <c r="N144" s="84"/>
      <c r="O144" s="42"/>
      <c r="P144" s="31">
        <v>0</v>
      </c>
      <c r="Q144" s="14">
        <v>0</v>
      </c>
      <c r="R144" s="178"/>
      <c r="S144" s="295"/>
      <c r="T144" s="14" t="str">
        <f t="shared" si="7"/>
        <v/>
      </c>
      <c r="U144" s="158">
        <v>0</v>
      </c>
      <c r="V144" s="158">
        <v>0</v>
      </c>
      <c r="W144" s="158">
        <v>0</v>
      </c>
      <c r="X144" s="104"/>
      <c r="Y144" s="136"/>
      <c r="Z144" s="38">
        <v>0</v>
      </c>
      <c r="AA144" s="16">
        <v>0</v>
      </c>
      <c r="AB144" s="16">
        <v>0</v>
      </c>
      <c r="AC144" s="16">
        <v>0</v>
      </c>
      <c r="AE144" s="16">
        <v>0</v>
      </c>
      <c r="AF144" s="16">
        <v>0</v>
      </c>
      <c r="AG144" s="16">
        <v>0</v>
      </c>
      <c r="AH144" s="16">
        <f t="shared" si="8"/>
        <v>0</v>
      </c>
      <c r="AI144" s="343">
        <f t="shared" si="9"/>
        <v>0</v>
      </c>
    </row>
    <row r="145" spans="1:35">
      <c r="A145" s="27"/>
      <c r="B145" s="120"/>
      <c r="C145" s="111"/>
      <c r="D145" s="21" t="s">
        <v>212</v>
      </c>
      <c r="E145" s="21" t="s">
        <v>110</v>
      </c>
      <c r="F145" s="68" t="s">
        <v>232</v>
      </c>
      <c r="G145" s="6"/>
      <c r="H145" s="144">
        <v>-6000</v>
      </c>
      <c r="I145" s="202"/>
      <c r="J145" s="181"/>
      <c r="K145" s="207"/>
      <c r="L145" s="31"/>
      <c r="M145" s="89">
        <v>-6000</v>
      </c>
      <c r="N145" s="84"/>
      <c r="O145" s="262">
        <v>6000</v>
      </c>
      <c r="P145" s="31">
        <v>0</v>
      </c>
      <c r="Q145" s="14">
        <v>6000</v>
      </c>
      <c r="R145" s="178"/>
      <c r="S145" s="295"/>
      <c r="T145" s="14" t="str">
        <f t="shared" si="7"/>
        <v/>
      </c>
      <c r="U145" s="158">
        <v>6000</v>
      </c>
      <c r="V145" s="158">
        <v>0</v>
      </c>
      <c r="W145" s="158">
        <v>0</v>
      </c>
      <c r="X145" s="104"/>
      <c r="Y145" s="136"/>
      <c r="Z145" s="38">
        <v>0</v>
      </c>
      <c r="AA145" s="16">
        <v>-6000</v>
      </c>
      <c r="AB145" s="16">
        <v>0</v>
      </c>
      <c r="AC145" s="16">
        <v>0</v>
      </c>
      <c r="AE145" s="16">
        <v>6000</v>
      </c>
      <c r="AF145" s="16">
        <v>0</v>
      </c>
      <c r="AG145" s="16">
        <v>0</v>
      </c>
      <c r="AH145" s="16">
        <f t="shared" si="8"/>
        <v>6000</v>
      </c>
      <c r="AI145" s="343">
        <f t="shared" si="9"/>
        <v>1.3056171888409321E-3</v>
      </c>
    </row>
    <row r="146" spans="1:35">
      <c r="A146" s="27"/>
      <c r="B146" s="120"/>
      <c r="C146" s="111"/>
      <c r="D146" s="21" t="s">
        <v>212</v>
      </c>
      <c r="E146" s="21" t="s">
        <v>110</v>
      </c>
      <c r="F146" s="68" t="s">
        <v>238</v>
      </c>
      <c r="G146" s="133"/>
      <c r="H146" s="144">
        <v>118.75999999999999</v>
      </c>
      <c r="I146" s="195">
        <v>288.54000000000002</v>
      </c>
      <c r="J146" s="181"/>
      <c r="K146" s="207"/>
      <c r="L146" s="31"/>
      <c r="M146" s="89">
        <v>407.3</v>
      </c>
      <c r="N146" s="84"/>
      <c r="O146" s="42">
        <v>577.08000000000004</v>
      </c>
      <c r="P146" s="31">
        <v>0</v>
      </c>
      <c r="Q146" s="14">
        <v>577.08000000000004</v>
      </c>
      <c r="R146" s="178">
        <f>270.95+292.02</f>
        <v>562.97</v>
      </c>
      <c r="S146" s="295"/>
      <c r="T146" s="14">
        <f t="shared" si="7"/>
        <v>-14.110000000000014</v>
      </c>
      <c r="U146" s="158">
        <v>577.08000000000004</v>
      </c>
      <c r="V146" s="158">
        <v>0</v>
      </c>
      <c r="W146" s="158">
        <v>0</v>
      </c>
      <c r="X146" s="104"/>
      <c r="Y146" s="136"/>
      <c r="Z146" s="38">
        <v>0</v>
      </c>
      <c r="AA146" s="16">
        <v>407.3</v>
      </c>
      <c r="AB146" s="16">
        <v>0</v>
      </c>
      <c r="AC146" s="16">
        <v>0</v>
      </c>
      <c r="AE146" s="16">
        <v>577.08000000000004</v>
      </c>
      <c r="AF146" s="16">
        <v>0</v>
      </c>
      <c r="AG146" s="16">
        <v>0</v>
      </c>
      <c r="AH146" s="16">
        <f t="shared" si="8"/>
        <v>577.08000000000004</v>
      </c>
      <c r="AI146" s="343">
        <f t="shared" si="9"/>
        <v>1.2557426122272085E-4</v>
      </c>
    </row>
    <row r="147" spans="1:35">
      <c r="A147" s="27"/>
      <c r="B147" s="120"/>
      <c r="C147" s="111"/>
      <c r="D147" s="21"/>
      <c r="E147" s="21" t="s">
        <v>110</v>
      </c>
      <c r="F147" s="68" t="s">
        <v>68</v>
      </c>
      <c r="G147" s="91"/>
      <c r="H147" s="144" t="s">
        <v>226</v>
      </c>
      <c r="I147" s="212"/>
      <c r="J147" s="183"/>
      <c r="K147" s="214"/>
      <c r="L147" s="31"/>
      <c r="M147" s="89">
        <v>0</v>
      </c>
      <c r="N147" s="84"/>
      <c r="O147" s="42">
        <v>0</v>
      </c>
      <c r="P147" s="31">
        <v>0</v>
      </c>
      <c r="Q147" s="14">
        <v>0</v>
      </c>
      <c r="R147" s="178"/>
      <c r="S147" s="295"/>
      <c r="T147" s="14" t="str">
        <f t="shared" si="7"/>
        <v/>
      </c>
      <c r="U147" s="158">
        <v>0</v>
      </c>
      <c r="V147" s="158">
        <v>0</v>
      </c>
      <c r="W147" s="158">
        <v>0</v>
      </c>
      <c r="X147" s="104"/>
      <c r="Y147" s="136"/>
      <c r="Z147" s="38">
        <v>0</v>
      </c>
      <c r="AA147" s="16">
        <v>0</v>
      </c>
      <c r="AB147" s="16">
        <v>0</v>
      </c>
      <c r="AC147" s="16">
        <v>0</v>
      </c>
      <c r="AE147" s="16">
        <v>0</v>
      </c>
      <c r="AF147" s="16">
        <v>0</v>
      </c>
      <c r="AG147" s="16">
        <v>0</v>
      </c>
      <c r="AH147" s="16">
        <f t="shared" ref="AH147:AH178" si="10">SUM(AE147:AG147)</f>
        <v>0</v>
      </c>
      <c r="AI147" s="343">
        <f t="shared" ref="AI147:AI178" si="11">AH147/$AH$217</f>
        <v>0</v>
      </c>
    </row>
    <row r="148" spans="1:35">
      <c r="A148" s="27"/>
      <c r="B148" s="120"/>
      <c r="C148" s="111"/>
      <c r="D148" s="21"/>
      <c r="E148" s="21" t="s">
        <v>109</v>
      </c>
      <c r="F148" s="68" t="s">
        <v>36</v>
      </c>
      <c r="G148" s="91"/>
      <c r="H148" s="144" t="s">
        <v>226</v>
      </c>
      <c r="I148" s="195">
        <v>117.8</v>
      </c>
      <c r="J148" s="182">
        <v>84</v>
      </c>
      <c r="K148" s="196">
        <v>76.55</v>
      </c>
      <c r="L148" s="31"/>
      <c r="M148" s="89">
        <v>278.35000000000002</v>
      </c>
      <c r="N148" s="84"/>
      <c r="O148" s="42"/>
      <c r="P148" s="31">
        <v>0</v>
      </c>
      <c r="Q148" s="14">
        <v>0</v>
      </c>
      <c r="R148" s="178"/>
      <c r="S148" s="295"/>
      <c r="T148" s="14" t="str">
        <f t="shared" si="7"/>
        <v/>
      </c>
      <c r="U148" s="158">
        <v>0</v>
      </c>
      <c r="V148" s="158">
        <v>0</v>
      </c>
      <c r="W148" s="158">
        <v>0</v>
      </c>
      <c r="X148" s="104"/>
      <c r="Y148" s="136"/>
      <c r="Z148" s="38">
        <v>0</v>
      </c>
      <c r="AA148" s="16">
        <v>0</v>
      </c>
      <c r="AB148" s="16">
        <v>278.35000000000002</v>
      </c>
      <c r="AC148" s="16">
        <v>0</v>
      </c>
      <c r="AE148" s="16">
        <v>0</v>
      </c>
      <c r="AF148" s="16">
        <v>0</v>
      </c>
      <c r="AG148" s="16">
        <v>0</v>
      </c>
      <c r="AH148" s="16">
        <f t="shared" si="10"/>
        <v>0</v>
      </c>
      <c r="AI148" s="343">
        <f t="shared" si="11"/>
        <v>0</v>
      </c>
    </row>
    <row r="149" spans="1:35">
      <c r="A149" s="27"/>
      <c r="B149" s="120"/>
      <c r="C149" s="111"/>
      <c r="D149" s="21"/>
      <c r="E149" s="21" t="s">
        <v>109</v>
      </c>
      <c r="F149" s="68" t="s">
        <v>306</v>
      </c>
      <c r="G149" s="91"/>
      <c r="H149" s="144" t="s">
        <v>226</v>
      </c>
      <c r="I149" s="202"/>
      <c r="J149" s="181"/>
      <c r="K149" s="207"/>
      <c r="L149" s="31"/>
      <c r="M149" s="89">
        <v>0</v>
      </c>
      <c r="N149" s="84">
        <v>51000</v>
      </c>
      <c r="O149" s="42"/>
      <c r="P149" s="31"/>
      <c r="Q149" s="14">
        <v>51000</v>
      </c>
      <c r="R149" s="178">
        <f>6420.91+5495.36+6325.11+2.83+2.29+7645.08+14.95+121.15+213.58+844.59+42.07+1380.97+822.39+1311.15+392.72+1637.21+281.82+825.29+798.55+827.67+805.65+788.83+617.44+925.63</f>
        <v>38543.240000000013</v>
      </c>
      <c r="S149" s="295"/>
      <c r="T149" s="14">
        <f t="shared" ref="T149:T212" si="12">IF(R149="","",R149-Q149)</f>
        <v>-12456.759999999987</v>
      </c>
      <c r="U149" s="158">
        <v>0</v>
      </c>
      <c r="V149" s="158">
        <v>51000</v>
      </c>
      <c r="W149" s="158">
        <v>0</v>
      </c>
      <c r="X149" s="104"/>
      <c r="Y149" s="136"/>
      <c r="Z149" s="38"/>
      <c r="AA149" s="16">
        <v>0</v>
      </c>
      <c r="AB149" s="16">
        <v>0</v>
      </c>
      <c r="AC149" s="16">
        <v>0</v>
      </c>
      <c r="AE149" s="16">
        <v>0</v>
      </c>
      <c r="AF149" s="16">
        <v>51000</v>
      </c>
      <c r="AG149" s="16">
        <v>0</v>
      </c>
      <c r="AH149" s="16">
        <f t="shared" si="10"/>
        <v>51000</v>
      </c>
      <c r="AI149" s="343">
        <f t="shared" si="11"/>
        <v>1.1097746105147922E-2</v>
      </c>
    </row>
    <row r="150" spans="1:35">
      <c r="A150" s="27"/>
      <c r="B150" s="120"/>
      <c r="C150" s="111"/>
      <c r="D150" s="21"/>
      <c r="E150" s="21" t="s">
        <v>109</v>
      </c>
      <c r="F150" s="68" t="s">
        <v>220</v>
      </c>
      <c r="G150" s="6"/>
      <c r="H150" s="144" t="s">
        <v>226</v>
      </c>
      <c r="I150" s="202"/>
      <c r="J150" s="181"/>
      <c r="K150" s="207"/>
      <c r="L150" s="31"/>
      <c r="M150" s="89">
        <v>0</v>
      </c>
      <c r="N150" s="84"/>
      <c r="O150" s="234">
        <v>62300</v>
      </c>
      <c r="P150" s="31">
        <v>0</v>
      </c>
      <c r="Q150" s="14">
        <v>62300</v>
      </c>
      <c r="R150" s="178"/>
      <c r="S150" s="295"/>
      <c r="T150" s="14" t="str">
        <f t="shared" si="12"/>
        <v/>
      </c>
      <c r="U150" s="158">
        <v>0</v>
      </c>
      <c r="V150" s="158">
        <v>62300</v>
      </c>
      <c r="W150" s="158">
        <v>0</v>
      </c>
      <c r="X150" s="104"/>
      <c r="Y150" s="136"/>
      <c r="Z150" s="38">
        <v>0</v>
      </c>
      <c r="AA150" s="16">
        <v>0</v>
      </c>
      <c r="AB150" s="16">
        <v>0</v>
      </c>
      <c r="AC150" s="16">
        <v>0</v>
      </c>
      <c r="AE150" s="16">
        <v>0</v>
      </c>
      <c r="AF150" s="16">
        <v>62300</v>
      </c>
      <c r="AG150" s="16">
        <v>0</v>
      </c>
      <c r="AH150" s="16">
        <f t="shared" si="10"/>
        <v>62300</v>
      </c>
      <c r="AI150" s="343">
        <f t="shared" si="11"/>
        <v>1.3556658477465011E-2</v>
      </c>
    </row>
    <row r="151" spans="1:35">
      <c r="A151" s="27"/>
      <c r="B151" s="120"/>
      <c r="C151" s="111"/>
      <c r="D151" s="21"/>
      <c r="E151" s="21" t="s">
        <v>109</v>
      </c>
      <c r="F151" s="68" t="s">
        <v>38</v>
      </c>
      <c r="G151" s="133"/>
      <c r="H151" s="144" t="s">
        <v>226</v>
      </c>
      <c r="I151" s="202"/>
      <c r="J151" s="181"/>
      <c r="K151" s="207"/>
      <c r="L151" s="31"/>
      <c r="M151" s="89">
        <v>0</v>
      </c>
      <c r="N151" s="84"/>
      <c r="O151" s="42"/>
      <c r="P151" s="31">
        <v>0</v>
      </c>
      <c r="Q151" s="14">
        <v>0</v>
      </c>
      <c r="R151" s="178"/>
      <c r="S151" s="295"/>
      <c r="T151" s="14" t="str">
        <f t="shared" si="12"/>
        <v/>
      </c>
      <c r="U151" s="158">
        <v>0</v>
      </c>
      <c r="V151" s="158">
        <v>0</v>
      </c>
      <c r="W151" s="158">
        <v>0</v>
      </c>
      <c r="X151" s="104"/>
      <c r="Y151" s="136"/>
      <c r="Z151" s="38">
        <v>0</v>
      </c>
      <c r="AA151" s="16">
        <v>0</v>
      </c>
      <c r="AB151" s="16">
        <v>0</v>
      </c>
      <c r="AC151" s="16">
        <v>0</v>
      </c>
      <c r="AE151" s="16">
        <v>0</v>
      </c>
      <c r="AF151" s="16">
        <v>0</v>
      </c>
      <c r="AG151" s="16">
        <v>0</v>
      </c>
      <c r="AH151" s="16">
        <f t="shared" si="10"/>
        <v>0</v>
      </c>
      <c r="AI151" s="343">
        <f t="shared" si="11"/>
        <v>0</v>
      </c>
    </row>
    <row r="152" spans="1:35">
      <c r="A152" s="27"/>
      <c r="B152" s="120"/>
      <c r="C152" s="111"/>
      <c r="D152" s="21"/>
      <c r="E152" s="21" t="s">
        <v>110</v>
      </c>
      <c r="F152" s="68" t="s">
        <v>185</v>
      </c>
      <c r="G152" s="91"/>
      <c r="H152" s="144">
        <v>386.90000000000009</v>
      </c>
      <c r="I152" s="195">
        <v>585.9</v>
      </c>
      <c r="J152" s="178">
        <v>536.20000000000005</v>
      </c>
      <c r="K152" s="207"/>
      <c r="L152" s="31"/>
      <c r="M152" s="89">
        <v>1509</v>
      </c>
      <c r="N152" s="84"/>
      <c r="O152" s="42">
        <v>561.04999999999995</v>
      </c>
      <c r="P152" s="31">
        <v>0</v>
      </c>
      <c r="Q152" s="14">
        <v>561.04999999999995</v>
      </c>
      <c r="R152" s="178">
        <v>491.4</v>
      </c>
      <c r="S152" s="295"/>
      <c r="T152" s="14">
        <f t="shared" si="12"/>
        <v>-69.649999999999977</v>
      </c>
      <c r="U152" s="158">
        <v>561.04999999999995</v>
      </c>
      <c r="V152" s="158">
        <v>0</v>
      </c>
      <c r="W152" s="158">
        <v>0</v>
      </c>
      <c r="X152" s="104"/>
      <c r="Y152" s="136"/>
      <c r="Z152" s="38">
        <v>0</v>
      </c>
      <c r="AA152" s="16">
        <v>1509</v>
      </c>
      <c r="AB152" s="16">
        <v>0</v>
      </c>
      <c r="AC152" s="16">
        <v>0</v>
      </c>
      <c r="AE152" s="16">
        <v>561.04999999999995</v>
      </c>
      <c r="AF152" s="16">
        <v>0</v>
      </c>
      <c r="AG152" s="16">
        <v>0</v>
      </c>
      <c r="AH152" s="16">
        <f t="shared" si="10"/>
        <v>561.04999999999995</v>
      </c>
      <c r="AI152" s="343">
        <f t="shared" si="11"/>
        <v>1.2208608729986749E-4</v>
      </c>
    </row>
    <row r="153" spans="1:35">
      <c r="A153" s="27"/>
      <c r="B153" s="120"/>
      <c r="C153" s="111"/>
      <c r="D153" s="21"/>
      <c r="E153" s="21" t="s">
        <v>110</v>
      </c>
      <c r="F153" s="68" t="s">
        <v>186</v>
      </c>
      <c r="G153" s="91"/>
      <c r="H153" s="144">
        <v>-52.059999999999945</v>
      </c>
      <c r="I153" s="195">
        <v>504.92</v>
      </c>
      <c r="J153" s="178">
        <v>497.25</v>
      </c>
      <c r="K153" s="207"/>
      <c r="L153" s="31"/>
      <c r="M153" s="89">
        <v>950.11000000000013</v>
      </c>
      <c r="N153" s="84"/>
      <c r="O153" s="42">
        <v>501.08500000000004</v>
      </c>
      <c r="P153" s="31">
        <v>0</v>
      </c>
      <c r="Q153" s="14">
        <v>501.08500000000004</v>
      </c>
      <c r="R153" s="178">
        <v>460.62</v>
      </c>
      <c r="S153" s="295"/>
      <c r="T153" s="14">
        <f t="shared" si="12"/>
        <v>-40.465000000000032</v>
      </c>
      <c r="U153" s="158">
        <v>501.08500000000004</v>
      </c>
      <c r="V153" s="158">
        <v>0</v>
      </c>
      <c r="W153" s="158">
        <v>0</v>
      </c>
      <c r="X153" s="104"/>
      <c r="Y153" s="136"/>
      <c r="Z153" s="38">
        <v>0</v>
      </c>
      <c r="AA153" s="16">
        <v>950.11000000000013</v>
      </c>
      <c r="AB153" s="16">
        <v>0</v>
      </c>
      <c r="AC153" s="16">
        <v>0</v>
      </c>
      <c r="AE153" s="16">
        <v>501.08500000000004</v>
      </c>
      <c r="AF153" s="16">
        <v>0</v>
      </c>
      <c r="AG153" s="16">
        <v>0</v>
      </c>
      <c r="AH153" s="16">
        <f t="shared" si="10"/>
        <v>501.08500000000004</v>
      </c>
      <c r="AI153" s="343">
        <f t="shared" si="11"/>
        <v>1.0903753151172642E-4</v>
      </c>
    </row>
    <row r="154" spans="1:35">
      <c r="A154" s="27"/>
      <c r="B154" s="120"/>
      <c r="C154" s="111"/>
      <c r="D154" s="21"/>
      <c r="E154" s="21" t="s">
        <v>110</v>
      </c>
      <c r="F154" s="68" t="s">
        <v>39</v>
      </c>
      <c r="G154" s="91"/>
      <c r="H154" s="144" t="s">
        <v>226</v>
      </c>
      <c r="I154" s="195">
        <v>623.27</v>
      </c>
      <c r="J154" s="178">
        <v>672.66</v>
      </c>
      <c r="K154" s="199">
        <v>663.76</v>
      </c>
      <c r="L154" s="31"/>
      <c r="M154" s="89">
        <v>1959.6899999999998</v>
      </c>
      <c r="N154" s="84"/>
      <c r="O154" s="42">
        <v>2200</v>
      </c>
      <c r="P154" s="31">
        <v>0</v>
      </c>
      <c r="Q154" s="14">
        <v>2200</v>
      </c>
      <c r="R154" s="178"/>
      <c r="S154" s="295"/>
      <c r="T154" s="14" t="str">
        <f t="shared" si="12"/>
        <v/>
      </c>
      <c r="U154" s="158">
        <v>2200</v>
      </c>
      <c r="V154" s="158">
        <v>0</v>
      </c>
      <c r="W154" s="158">
        <v>0</v>
      </c>
      <c r="X154" s="104"/>
      <c r="Y154" s="136"/>
      <c r="Z154" s="38">
        <v>0</v>
      </c>
      <c r="AA154" s="16">
        <v>1959.6899999999998</v>
      </c>
      <c r="AB154" s="16">
        <v>0</v>
      </c>
      <c r="AC154" s="16">
        <v>0</v>
      </c>
      <c r="AE154" s="16">
        <v>2200</v>
      </c>
      <c r="AF154" s="16">
        <v>0</v>
      </c>
      <c r="AG154" s="16">
        <v>0</v>
      </c>
      <c r="AH154" s="16">
        <f t="shared" si="10"/>
        <v>2200</v>
      </c>
      <c r="AI154" s="343">
        <f t="shared" si="11"/>
        <v>4.7872630257500841E-4</v>
      </c>
    </row>
    <row r="155" spans="1:35">
      <c r="A155" s="29"/>
      <c r="B155" s="120" t="s">
        <v>97</v>
      </c>
      <c r="C155" s="111"/>
      <c r="D155" s="21"/>
      <c r="E155" s="21" t="s">
        <v>109</v>
      </c>
      <c r="F155" s="68" t="s">
        <v>40</v>
      </c>
      <c r="G155" s="91"/>
      <c r="H155" s="144" t="s">
        <v>226</v>
      </c>
      <c r="I155" s="246"/>
      <c r="J155" s="239"/>
      <c r="K155" s="201"/>
      <c r="L155" s="31"/>
      <c r="M155" s="89">
        <v>0</v>
      </c>
      <c r="N155" s="84"/>
      <c r="O155" s="42">
        <v>0</v>
      </c>
      <c r="P155" s="31">
        <v>0</v>
      </c>
      <c r="Q155" s="14">
        <v>0</v>
      </c>
      <c r="R155" s="178"/>
      <c r="S155" s="295"/>
      <c r="T155" s="14" t="str">
        <f t="shared" si="12"/>
        <v/>
      </c>
      <c r="U155" s="158">
        <v>0</v>
      </c>
      <c r="V155" s="158">
        <v>0</v>
      </c>
      <c r="W155" s="158">
        <v>0</v>
      </c>
      <c r="X155" s="104"/>
      <c r="Y155" s="136"/>
      <c r="Z155" s="38">
        <v>0</v>
      </c>
      <c r="AA155" s="16">
        <v>0</v>
      </c>
      <c r="AB155" s="16">
        <v>0</v>
      </c>
      <c r="AC155" s="16">
        <v>0</v>
      </c>
      <c r="AE155" s="16">
        <v>0</v>
      </c>
      <c r="AF155" s="16">
        <v>0</v>
      </c>
      <c r="AG155" s="16">
        <v>0</v>
      </c>
      <c r="AH155" s="16">
        <f t="shared" si="10"/>
        <v>0</v>
      </c>
      <c r="AI155" s="343">
        <f t="shared" si="11"/>
        <v>0</v>
      </c>
    </row>
    <row r="156" spans="1:35">
      <c r="A156" s="27"/>
      <c r="B156" s="120" t="s">
        <v>216</v>
      </c>
      <c r="C156" s="111"/>
      <c r="D156" s="21"/>
      <c r="E156" s="21" t="s">
        <v>109</v>
      </c>
      <c r="F156" s="68" t="s">
        <v>99</v>
      </c>
      <c r="G156" s="91"/>
      <c r="H156" s="144">
        <v>4194.4599999999991</v>
      </c>
      <c r="I156" s="195">
        <v>7868.56</v>
      </c>
      <c r="J156" s="178">
        <v>6868.1</v>
      </c>
      <c r="K156" s="199">
        <v>11281.62</v>
      </c>
      <c r="L156" s="31"/>
      <c r="M156" s="89">
        <v>18931.120000000003</v>
      </c>
      <c r="N156" s="84"/>
      <c r="O156" s="42">
        <v>7368.33</v>
      </c>
      <c r="P156" s="31">
        <v>0</v>
      </c>
      <c r="Q156" s="14">
        <v>7368.33</v>
      </c>
      <c r="R156" s="178"/>
      <c r="S156" s="295"/>
      <c r="T156" s="14" t="str">
        <f t="shared" si="12"/>
        <v/>
      </c>
      <c r="U156" s="158">
        <v>0</v>
      </c>
      <c r="V156" s="158">
        <v>7368.33</v>
      </c>
      <c r="W156" s="158">
        <v>0</v>
      </c>
      <c r="X156" s="104"/>
      <c r="Y156" s="136"/>
      <c r="Z156" s="38">
        <v>0</v>
      </c>
      <c r="AA156" s="16">
        <v>0</v>
      </c>
      <c r="AB156" s="16">
        <v>18931.120000000003</v>
      </c>
      <c r="AC156" s="16">
        <v>0</v>
      </c>
      <c r="AE156" s="16">
        <v>0</v>
      </c>
      <c r="AF156" s="16">
        <v>7368.33</v>
      </c>
      <c r="AG156" s="16">
        <v>0</v>
      </c>
      <c r="AH156" s="16">
        <f t="shared" si="10"/>
        <v>7368.33</v>
      </c>
      <c r="AI156" s="343">
        <f t="shared" si="11"/>
        <v>1.6033697168420507E-3</v>
      </c>
    </row>
    <row r="157" spans="1:35">
      <c r="A157" s="27"/>
      <c r="B157" s="120"/>
      <c r="C157" s="111"/>
      <c r="D157" s="21"/>
      <c r="E157" s="21" t="s">
        <v>110</v>
      </c>
      <c r="F157" s="68" t="s">
        <v>303</v>
      </c>
      <c r="G157" s="91"/>
      <c r="H157" s="144">
        <v>4992.8600000000006</v>
      </c>
      <c r="I157" s="195">
        <v>97176.66</v>
      </c>
      <c r="J157" s="362">
        <v>90543.95</v>
      </c>
      <c r="K157" s="355">
        <v>98301.66</v>
      </c>
      <c r="L157" s="31"/>
      <c r="M157" s="89">
        <v>102169.52</v>
      </c>
      <c r="N157" s="84"/>
      <c r="O157" s="234">
        <v>150000</v>
      </c>
      <c r="P157" s="31">
        <v>0</v>
      </c>
      <c r="Q157" s="14">
        <v>150000</v>
      </c>
      <c r="R157" s="178">
        <f>90543.95+98301.66+12.25+6.93</f>
        <v>188864.78999999998</v>
      </c>
      <c r="S157" s="295"/>
      <c r="T157" s="14">
        <f t="shared" si="12"/>
        <v>38864.789999999979</v>
      </c>
      <c r="U157" s="158">
        <v>150000</v>
      </c>
      <c r="V157" s="158">
        <v>0</v>
      </c>
      <c r="W157" s="158">
        <v>0</v>
      </c>
      <c r="X157" s="104"/>
      <c r="Y157" s="136"/>
      <c r="Z157" s="38">
        <v>0</v>
      </c>
      <c r="AA157" s="16">
        <v>102169.52</v>
      </c>
      <c r="AB157" s="16">
        <v>0</v>
      </c>
      <c r="AC157" s="16">
        <v>0</v>
      </c>
      <c r="AE157" s="16">
        <v>150000</v>
      </c>
      <c r="AF157" s="16">
        <v>0</v>
      </c>
      <c r="AG157" s="16">
        <v>0</v>
      </c>
      <c r="AH157" s="16">
        <f t="shared" si="10"/>
        <v>150000</v>
      </c>
      <c r="AI157" s="343">
        <f t="shared" si="11"/>
        <v>3.2640429721023302E-2</v>
      </c>
    </row>
    <row r="158" spans="1:35">
      <c r="A158" s="27"/>
      <c r="B158" s="120"/>
      <c r="C158" s="111"/>
      <c r="D158" s="21"/>
      <c r="E158" s="21" t="s">
        <v>110</v>
      </c>
      <c r="F158" s="68" t="s">
        <v>206</v>
      </c>
      <c r="G158" s="91"/>
      <c r="H158" s="144">
        <v>-34.860000000000014</v>
      </c>
      <c r="I158" s="195">
        <v>173.79</v>
      </c>
      <c r="J158" s="183"/>
      <c r="K158" s="207"/>
      <c r="L158" s="31"/>
      <c r="M158" s="89">
        <v>138.92999999999998</v>
      </c>
      <c r="N158" s="84"/>
      <c r="O158" s="42">
        <v>347.58</v>
      </c>
      <c r="P158" s="31">
        <v>0</v>
      </c>
      <c r="Q158" s="14">
        <v>347.58</v>
      </c>
      <c r="R158" s="178"/>
      <c r="S158" s="295"/>
      <c r="T158" s="14" t="str">
        <f t="shared" si="12"/>
        <v/>
      </c>
      <c r="U158" s="158">
        <v>0</v>
      </c>
      <c r="V158" s="158">
        <v>0</v>
      </c>
      <c r="W158" s="158">
        <v>0</v>
      </c>
      <c r="X158" s="104">
        <v>347.58</v>
      </c>
      <c r="Y158" s="136"/>
      <c r="Z158" s="38">
        <v>0</v>
      </c>
      <c r="AA158" s="16">
        <v>138.92999999999998</v>
      </c>
      <c r="AB158" s="16">
        <v>0</v>
      </c>
      <c r="AC158" s="16">
        <v>0</v>
      </c>
      <c r="AE158" s="16">
        <v>347.58</v>
      </c>
      <c r="AF158" s="16">
        <v>0</v>
      </c>
      <c r="AG158" s="16">
        <v>0</v>
      </c>
      <c r="AH158" s="16">
        <f t="shared" si="10"/>
        <v>347.58</v>
      </c>
      <c r="AI158" s="343">
        <f t="shared" si="11"/>
        <v>7.5634403749555193E-5</v>
      </c>
    </row>
    <row r="159" spans="1:35">
      <c r="A159" s="27"/>
      <c r="B159" s="120"/>
      <c r="C159" s="111"/>
      <c r="D159" s="21"/>
      <c r="E159" s="21" t="s">
        <v>110</v>
      </c>
      <c r="F159" s="68" t="s">
        <v>207</v>
      </c>
      <c r="G159" s="91"/>
      <c r="H159" s="144" t="s">
        <v>226</v>
      </c>
      <c r="I159" s="195">
        <v>0.25</v>
      </c>
      <c r="J159" s="183"/>
      <c r="K159" s="215"/>
      <c r="L159" s="31"/>
      <c r="M159" s="89">
        <v>0.25</v>
      </c>
      <c r="N159" s="84"/>
      <c r="O159" s="42">
        <v>0.5</v>
      </c>
      <c r="P159" s="31">
        <v>0</v>
      </c>
      <c r="Q159" s="14">
        <v>0.5</v>
      </c>
      <c r="R159" s="178"/>
      <c r="S159" s="295"/>
      <c r="T159" s="14" t="str">
        <f t="shared" si="12"/>
        <v/>
      </c>
      <c r="U159" s="158">
        <v>0.5</v>
      </c>
      <c r="V159" s="158">
        <v>0</v>
      </c>
      <c r="W159" s="158">
        <v>0</v>
      </c>
      <c r="X159" s="104"/>
      <c r="Y159" s="136"/>
      <c r="Z159" s="38">
        <v>0</v>
      </c>
      <c r="AA159" s="16">
        <v>0.25</v>
      </c>
      <c r="AB159" s="16">
        <v>0</v>
      </c>
      <c r="AC159" s="16">
        <v>0</v>
      </c>
      <c r="AE159" s="16">
        <v>0.5</v>
      </c>
      <c r="AF159" s="16">
        <v>0</v>
      </c>
      <c r="AG159" s="16">
        <v>0</v>
      </c>
      <c r="AH159" s="16">
        <f t="shared" si="10"/>
        <v>0.5</v>
      </c>
      <c r="AI159" s="343">
        <f t="shared" si="11"/>
        <v>1.08801432403411E-7</v>
      </c>
    </row>
    <row r="160" spans="1:35">
      <c r="A160" s="27"/>
      <c r="B160" s="120"/>
      <c r="C160" s="111"/>
      <c r="D160" s="21"/>
      <c r="E160" s="21" t="s">
        <v>114</v>
      </c>
      <c r="F160" s="68" t="s">
        <v>241</v>
      </c>
      <c r="G160" s="91"/>
      <c r="H160" s="144">
        <v>-65000</v>
      </c>
      <c r="I160" s="202"/>
      <c r="J160" s="183"/>
      <c r="K160" s="215"/>
      <c r="L160" s="31"/>
      <c r="M160" s="89">
        <v>-65000</v>
      </c>
      <c r="N160" s="84">
        <v>6000</v>
      </c>
      <c r="O160" s="262">
        <v>65000</v>
      </c>
      <c r="P160" s="31"/>
      <c r="Q160" s="14">
        <v>71000</v>
      </c>
      <c r="R160" s="178"/>
      <c r="S160" s="295"/>
      <c r="T160" s="14" t="str">
        <f t="shared" si="12"/>
        <v/>
      </c>
      <c r="U160" s="158">
        <v>0</v>
      </c>
      <c r="V160" s="158">
        <v>0</v>
      </c>
      <c r="W160" s="158">
        <v>71000</v>
      </c>
      <c r="X160" s="104"/>
      <c r="Y160" s="136"/>
      <c r="Z160" s="38"/>
      <c r="AA160" s="16">
        <v>0</v>
      </c>
      <c r="AB160" s="16">
        <v>0</v>
      </c>
      <c r="AC160" s="16">
        <v>-65000</v>
      </c>
      <c r="AE160" s="16">
        <v>0</v>
      </c>
      <c r="AF160" s="16">
        <v>0</v>
      </c>
      <c r="AG160" s="16">
        <v>71000</v>
      </c>
      <c r="AH160" s="16">
        <f t="shared" si="10"/>
        <v>71000</v>
      </c>
      <c r="AI160" s="343">
        <f t="shared" si="11"/>
        <v>1.5449803401284361E-2</v>
      </c>
    </row>
    <row r="161" spans="1:35">
      <c r="A161" s="27"/>
      <c r="B161" s="118"/>
      <c r="C161" s="109"/>
      <c r="D161" s="20"/>
      <c r="E161" s="20" t="s">
        <v>109</v>
      </c>
      <c r="F161" s="68" t="s">
        <v>41</v>
      </c>
      <c r="G161" s="6"/>
      <c r="H161" s="144">
        <v>-5000</v>
      </c>
      <c r="I161" s="356">
        <v>0</v>
      </c>
      <c r="J161" s="357">
        <v>0</v>
      </c>
      <c r="K161" s="207"/>
      <c r="L161" s="31"/>
      <c r="M161" s="89">
        <v>-5000</v>
      </c>
      <c r="N161" s="84"/>
      <c r="O161" s="262">
        <v>5000</v>
      </c>
      <c r="P161" s="31">
        <v>0</v>
      </c>
      <c r="Q161" s="14">
        <v>5000</v>
      </c>
      <c r="R161" s="178">
        <f>3488.62+3010.46</f>
        <v>6499.08</v>
      </c>
      <c r="S161" s="295"/>
      <c r="T161" s="14">
        <f t="shared" si="12"/>
        <v>1499.08</v>
      </c>
      <c r="U161" s="158">
        <v>0</v>
      </c>
      <c r="V161" s="158">
        <v>5000</v>
      </c>
      <c r="W161" s="158">
        <v>0</v>
      </c>
      <c r="X161" s="104"/>
      <c r="Y161" s="136"/>
      <c r="Z161" s="38">
        <v>0</v>
      </c>
      <c r="AA161" s="16">
        <v>0</v>
      </c>
      <c r="AB161" s="16">
        <v>-5000</v>
      </c>
      <c r="AC161" s="16">
        <v>0</v>
      </c>
      <c r="AE161" s="16">
        <v>0</v>
      </c>
      <c r="AF161" s="16">
        <v>5000</v>
      </c>
      <c r="AG161" s="16">
        <v>0</v>
      </c>
      <c r="AH161" s="16">
        <f t="shared" si="10"/>
        <v>5000</v>
      </c>
      <c r="AI161" s="343">
        <f t="shared" si="11"/>
        <v>1.0880143240341101E-3</v>
      </c>
    </row>
    <row r="162" spans="1:35">
      <c r="A162" s="27"/>
      <c r="B162" s="118"/>
      <c r="C162" s="109"/>
      <c r="D162" s="20"/>
      <c r="E162" s="20" t="s">
        <v>109</v>
      </c>
      <c r="F162" s="68" t="s">
        <v>221</v>
      </c>
      <c r="G162" s="6"/>
      <c r="H162" s="144" t="s">
        <v>226</v>
      </c>
      <c r="I162" s="356">
        <v>0</v>
      </c>
      <c r="J162" s="357">
        <v>0</v>
      </c>
      <c r="K162" s="207"/>
      <c r="L162" s="31"/>
      <c r="M162" s="89">
        <v>0</v>
      </c>
      <c r="N162" s="84"/>
      <c r="O162" s="42"/>
      <c r="P162" s="31">
        <v>0</v>
      </c>
      <c r="Q162" s="14">
        <v>0</v>
      </c>
      <c r="R162" s="178">
        <f>230.94+268.49</f>
        <v>499.43</v>
      </c>
      <c r="S162" s="295"/>
      <c r="T162" s="14">
        <f t="shared" si="12"/>
        <v>499.43</v>
      </c>
      <c r="U162" s="158">
        <v>0</v>
      </c>
      <c r="V162" s="158">
        <v>0</v>
      </c>
      <c r="W162" s="158">
        <v>0</v>
      </c>
      <c r="X162" s="104"/>
      <c r="Y162" s="136"/>
      <c r="Z162" s="38">
        <v>0</v>
      </c>
      <c r="AA162" s="16">
        <v>0</v>
      </c>
      <c r="AB162" s="16">
        <v>0</v>
      </c>
      <c r="AC162" s="16">
        <v>0</v>
      </c>
      <c r="AE162" s="16">
        <v>0</v>
      </c>
      <c r="AF162" s="16">
        <v>0</v>
      </c>
      <c r="AG162" s="16">
        <v>0</v>
      </c>
      <c r="AH162" s="16">
        <f t="shared" si="10"/>
        <v>0</v>
      </c>
      <c r="AI162" s="343">
        <f t="shared" si="11"/>
        <v>0</v>
      </c>
    </row>
    <row r="163" spans="1:35" s="19" customFormat="1">
      <c r="B163" s="120" t="s">
        <v>178</v>
      </c>
      <c r="C163" s="111" t="s">
        <v>177</v>
      </c>
      <c r="D163" s="21" t="s">
        <v>109</v>
      </c>
      <c r="E163" s="21" t="s">
        <v>110</v>
      </c>
      <c r="F163" s="68" t="s">
        <v>98</v>
      </c>
      <c r="G163" s="127"/>
      <c r="H163" s="144" t="s">
        <v>226</v>
      </c>
      <c r="I163" s="202"/>
      <c r="J163" s="181"/>
      <c r="K163" s="207"/>
      <c r="L163" s="31"/>
      <c r="M163" s="89">
        <v>0</v>
      </c>
      <c r="N163" s="84"/>
      <c r="O163" s="42"/>
      <c r="P163" s="31">
        <v>0</v>
      </c>
      <c r="Q163" s="14">
        <v>0</v>
      </c>
      <c r="R163" s="178"/>
      <c r="S163" s="295"/>
      <c r="T163" s="14" t="str">
        <f t="shared" si="12"/>
        <v/>
      </c>
      <c r="U163" s="158">
        <v>0</v>
      </c>
      <c r="V163" s="158">
        <v>0</v>
      </c>
      <c r="W163" s="158">
        <v>0</v>
      </c>
      <c r="X163" s="139"/>
      <c r="Y163" s="137"/>
      <c r="Z163" s="38">
        <v>0</v>
      </c>
      <c r="AA163" s="16">
        <v>0</v>
      </c>
      <c r="AB163" s="16">
        <v>0</v>
      </c>
      <c r="AC163" s="16">
        <v>0</v>
      </c>
      <c r="AE163" s="16">
        <v>0</v>
      </c>
      <c r="AF163" s="16">
        <v>0</v>
      </c>
      <c r="AG163" s="16">
        <v>0</v>
      </c>
      <c r="AH163" s="19">
        <f t="shared" si="10"/>
        <v>0</v>
      </c>
      <c r="AI163" s="344">
        <f t="shared" si="11"/>
        <v>0</v>
      </c>
    </row>
    <row r="164" spans="1:35">
      <c r="A164" s="27"/>
      <c r="B164" s="120"/>
      <c r="C164" s="111"/>
      <c r="D164" s="21"/>
      <c r="E164" s="21" t="s">
        <v>110</v>
      </c>
      <c r="F164" s="68" t="s">
        <v>43</v>
      </c>
      <c r="G164" s="91"/>
      <c r="H164" s="144" t="s">
        <v>226</v>
      </c>
      <c r="I164" s="195">
        <v>1527.25</v>
      </c>
      <c r="J164" s="178">
        <v>1168.79</v>
      </c>
      <c r="K164" s="201"/>
      <c r="L164" s="31"/>
      <c r="M164" s="89">
        <v>2696.04</v>
      </c>
      <c r="N164" s="84"/>
      <c r="O164" s="42">
        <v>1348.02</v>
      </c>
      <c r="P164" s="31">
        <v>0</v>
      </c>
      <c r="Q164" s="14">
        <v>1348.02</v>
      </c>
      <c r="R164" s="178">
        <v>1366.45</v>
      </c>
      <c r="S164" s="295"/>
      <c r="T164" s="14">
        <f t="shared" si="12"/>
        <v>18.430000000000064</v>
      </c>
      <c r="U164" s="158">
        <v>1348.02</v>
      </c>
      <c r="V164" s="158">
        <v>0</v>
      </c>
      <c r="W164" s="158">
        <v>0</v>
      </c>
      <c r="X164" s="104"/>
      <c r="Y164" s="136"/>
      <c r="Z164" s="38">
        <v>0</v>
      </c>
      <c r="AA164" s="16">
        <v>2696.04</v>
      </c>
      <c r="AB164" s="16">
        <v>0</v>
      </c>
      <c r="AC164" s="16">
        <v>0</v>
      </c>
      <c r="AE164" s="16">
        <v>1348.02</v>
      </c>
      <c r="AF164" s="16">
        <v>0</v>
      </c>
      <c r="AG164" s="16">
        <v>0</v>
      </c>
      <c r="AH164" s="16">
        <f t="shared" si="10"/>
        <v>1348.02</v>
      </c>
      <c r="AI164" s="343">
        <f t="shared" si="11"/>
        <v>2.9333301381689219E-4</v>
      </c>
    </row>
    <row r="165" spans="1:35">
      <c r="A165" s="27"/>
      <c r="B165" s="120"/>
      <c r="C165" s="111"/>
      <c r="D165" s="21"/>
      <c r="E165" s="21" t="s">
        <v>109</v>
      </c>
      <c r="F165" s="68" t="s">
        <v>44</v>
      </c>
      <c r="G165" s="91"/>
      <c r="H165" s="144">
        <v>-36.25</v>
      </c>
      <c r="I165" s="195">
        <v>1071.25</v>
      </c>
      <c r="J165" s="178">
        <v>210</v>
      </c>
      <c r="K165" s="199">
        <v>131.25</v>
      </c>
      <c r="L165" s="31"/>
      <c r="M165" s="89">
        <v>1376.25</v>
      </c>
      <c r="N165" s="84"/>
      <c r="O165" s="42"/>
      <c r="P165" s="31">
        <v>0</v>
      </c>
      <c r="Q165" s="14">
        <v>0</v>
      </c>
      <c r="R165" s="178"/>
      <c r="S165" s="295"/>
      <c r="T165" s="14" t="str">
        <f t="shared" si="12"/>
        <v/>
      </c>
      <c r="U165" s="158">
        <v>0</v>
      </c>
      <c r="V165" s="158">
        <v>0</v>
      </c>
      <c r="W165" s="158">
        <v>0</v>
      </c>
      <c r="X165" s="104"/>
      <c r="Y165" s="136"/>
      <c r="Z165" s="38">
        <v>0</v>
      </c>
      <c r="AA165" s="16">
        <v>0</v>
      </c>
      <c r="AB165" s="16">
        <v>1376.25</v>
      </c>
      <c r="AC165" s="16">
        <v>0</v>
      </c>
      <c r="AE165" s="16">
        <v>0</v>
      </c>
      <c r="AF165" s="16">
        <v>0</v>
      </c>
      <c r="AG165" s="16">
        <v>0</v>
      </c>
      <c r="AH165" s="16">
        <f t="shared" si="10"/>
        <v>0</v>
      </c>
      <c r="AI165" s="343">
        <f t="shared" si="11"/>
        <v>0</v>
      </c>
    </row>
    <row r="166" spans="1:35">
      <c r="A166" s="27"/>
      <c r="B166" s="120"/>
      <c r="C166" s="111"/>
      <c r="D166" s="21"/>
      <c r="E166" s="21" t="s">
        <v>110</v>
      </c>
      <c r="F166" s="68" t="s">
        <v>45</v>
      </c>
      <c r="G166" s="91"/>
      <c r="H166" s="144" t="s">
        <v>226</v>
      </c>
      <c r="I166" s="202"/>
      <c r="J166" s="181"/>
      <c r="K166" s="207"/>
      <c r="L166" s="31"/>
      <c r="M166" s="89">
        <v>0</v>
      </c>
      <c r="N166" s="84"/>
      <c r="O166" s="42">
        <v>11200</v>
      </c>
      <c r="P166" s="31">
        <v>0</v>
      </c>
      <c r="Q166" s="14">
        <v>11200</v>
      </c>
      <c r="R166" s="178">
        <f>2361.69+2427.28+2947.48</f>
        <v>7736.4500000000007</v>
      </c>
      <c r="S166" s="295"/>
      <c r="T166" s="14">
        <f t="shared" si="12"/>
        <v>-3463.5499999999993</v>
      </c>
      <c r="U166" s="158">
        <v>11200</v>
      </c>
      <c r="V166" s="158">
        <v>0</v>
      </c>
      <c r="W166" s="158">
        <v>0</v>
      </c>
      <c r="X166" s="104"/>
      <c r="Y166" s="136"/>
      <c r="Z166" s="38">
        <v>0</v>
      </c>
      <c r="AA166" s="16">
        <v>0</v>
      </c>
      <c r="AB166" s="16">
        <v>0</v>
      </c>
      <c r="AC166" s="16">
        <v>0</v>
      </c>
      <c r="AE166" s="16">
        <v>11200</v>
      </c>
      <c r="AF166" s="16">
        <v>0</v>
      </c>
      <c r="AG166" s="16">
        <v>0</v>
      </c>
      <c r="AH166" s="16">
        <f t="shared" si="10"/>
        <v>11200</v>
      </c>
      <c r="AI166" s="343">
        <f t="shared" si="11"/>
        <v>2.4371520858364063E-3</v>
      </c>
    </row>
    <row r="167" spans="1:35">
      <c r="A167" s="27" t="s">
        <v>217</v>
      </c>
      <c r="B167" s="118"/>
      <c r="C167" s="109"/>
      <c r="D167" s="20"/>
      <c r="E167" s="20" t="s">
        <v>110</v>
      </c>
      <c r="F167" s="68" t="s">
        <v>46</v>
      </c>
      <c r="G167" s="91"/>
      <c r="H167" s="144" t="s">
        <v>226</v>
      </c>
      <c r="I167" s="202"/>
      <c r="J167" s="181"/>
      <c r="K167" s="201"/>
      <c r="L167" s="31"/>
      <c r="M167" s="89">
        <v>0</v>
      </c>
      <c r="N167" s="84"/>
      <c r="O167" s="42">
        <v>0</v>
      </c>
      <c r="P167" s="31">
        <v>0</v>
      </c>
      <c r="Q167" s="14">
        <v>0</v>
      </c>
      <c r="R167" s="178"/>
      <c r="S167" s="295"/>
      <c r="T167" s="14" t="str">
        <f t="shared" si="12"/>
        <v/>
      </c>
      <c r="U167" s="158">
        <v>0</v>
      </c>
      <c r="V167" s="158">
        <v>0</v>
      </c>
      <c r="W167" s="158">
        <v>0</v>
      </c>
      <c r="X167" s="104"/>
      <c r="Y167" s="136"/>
      <c r="Z167" s="38">
        <v>0</v>
      </c>
      <c r="AA167" s="16">
        <v>0</v>
      </c>
      <c r="AB167" s="16">
        <v>0</v>
      </c>
      <c r="AC167" s="16">
        <v>0</v>
      </c>
      <c r="AE167" s="16">
        <v>0</v>
      </c>
      <c r="AF167" s="16">
        <v>0</v>
      </c>
      <c r="AG167" s="16">
        <v>0</v>
      </c>
      <c r="AH167" s="16">
        <f t="shared" si="10"/>
        <v>0</v>
      </c>
      <c r="AI167" s="343">
        <f t="shared" si="11"/>
        <v>0</v>
      </c>
    </row>
    <row r="168" spans="1:35">
      <c r="A168" s="27"/>
      <c r="B168" s="120"/>
      <c r="C168" s="111"/>
      <c r="D168" s="21"/>
      <c r="E168" s="21" t="s">
        <v>109</v>
      </c>
      <c r="F168" s="68" t="s">
        <v>47</v>
      </c>
      <c r="G168" s="91"/>
      <c r="H168" s="144" t="s">
        <v>226</v>
      </c>
      <c r="I168" s="195">
        <v>12167.92</v>
      </c>
      <c r="J168" s="178">
        <v>8286.94</v>
      </c>
      <c r="K168" s="199">
        <v>12439.47</v>
      </c>
      <c r="L168" s="31"/>
      <c r="M168" s="89">
        <v>32894.33</v>
      </c>
      <c r="N168" s="84"/>
      <c r="O168" s="42"/>
      <c r="P168" s="31">
        <v>0</v>
      </c>
      <c r="Q168" s="14">
        <v>0</v>
      </c>
      <c r="R168" s="178"/>
      <c r="S168" s="295"/>
      <c r="T168" s="14" t="str">
        <f t="shared" si="12"/>
        <v/>
      </c>
      <c r="U168" s="158">
        <v>0</v>
      </c>
      <c r="V168" s="158">
        <v>0</v>
      </c>
      <c r="W168" s="158">
        <v>0</v>
      </c>
      <c r="X168" s="104"/>
      <c r="Y168" s="136"/>
      <c r="Z168" s="38">
        <v>0</v>
      </c>
      <c r="AA168" s="16">
        <v>0</v>
      </c>
      <c r="AB168" s="16">
        <v>32894.33</v>
      </c>
      <c r="AC168" s="16">
        <v>0</v>
      </c>
      <c r="AE168" s="16">
        <v>0</v>
      </c>
      <c r="AF168" s="16">
        <v>0</v>
      </c>
      <c r="AG168" s="16">
        <v>0</v>
      </c>
      <c r="AH168" s="16">
        <f t="shared" si="10"/>
        <v>0</v>
      </c>
      <c r="AI168" s="343">
        <f t="shared" si="11"/>
        <v>0</v>
      </c>
    </row>
    <row r="169" spans="1:35">
      <c r="A169" s="27"/>
      <c r="B169" s="118"/>
      <c r="C169" s="109"/>
      <c r="D169" s="20" t="s">
        <v>211</v>
      </c>
      <c r="E169" s="20" t="s">
        <v>109</v>
      </c>
      <c r="F169" s="68" t="s">
        <v>233</v>
      </c>
      <c r="G169" s="91"/>
      <c r="H169" s="144" t="s">
        <v>226</v>
      </c>
      <c r="I169" s="195">
        <v>1951.68</v>
      </c>
      <c r="J169" s="182">
        <v>1360.12</v>
      </c>
      <c r="K169" s="207"/>
      <c r="L169" s="2"/>
      <c r="M169" s="9">
        <v>3311.8</v>
      </c>
      <c r="N169" s="85"/>
      <c r="O169" s="42">
        <v>1655.9</v>
      </c>
      <c r="P169" s="31">
        <v>0</v>
      </c>
      <c r="Q169" s="14">
        <v>1655.9</v>
      </c>
      <c r="R169" s="178">
        <v>1107.54</v>
      </c>
      <c r="S169" s="295"/>
      <c r="T169" s="14">
        <f t="shared" si="12"/>
        <v>-548.36000000000013</v>
      </c>
      <c r="U169" s="158">
        <v>0</v>
      </c>
      <c r="V169" s="158">
        <v>1655.9</v>
      </c>
      <c r="W169" s="158">
        <v>0</v>
      </c>
      <c r="X169" s="104"/>
      <c r="Y169" s="136"/>
      <c r="Z169" s="38">
        <v>0</v>
      </c>
      <c r="AA169" s="16">
        <v>0</v>
      </c>
      <c r="AB169" s="16">
        <v>3311.8</v>
      </c>
      <c r="AC169" s="16">
        <v>0</v>
      </c>
      <c r="AE169" s="16">
        <v>0</v>
      </c>
      <c r="AF169" s="16">
        <v>1655.9</v>
      </c>
      <c r="AG169" s="16">
        <v>0</v>
      </c>
      <c r="AH169" s="16">
        <f t="shared" si="10"/>
        <v>1655.9</v>
      </c>
      <c r="AI169" s="343">
        <f t="shared" si="11"/>
        <v>3.6032858383361658E-4</v>
      </c>
    </row>
    <row r="170" spans="1:35">
      <c r="A170" s="27"/>
      <c r="B170" s="118"/>
      <c r="C170" s="109"/>
      <c r="D170" s="20"/>
      <c r="E170" s="20" t="s">
        <v>110</v>
      </c>
      <c r="F170" s="68" t="s">
        <v>245</v>
      </c>
      <c r="G170" s="91"/>
      <c r="H170" s="144" t="s">
        <v>226</v>
      </c>
      <c r="I170" s="202"/>
      <c r="J170" s="181"/>
      <c r="K170" s="207"/>
      <c r="L170" s="2"/>
      <c r="M170" s="9">
        <v>0</v>
      </c>
      <c r="N170" s="85">
        <v>50000</v>
      </c>
      <c r="O170" s="42">
        <v>40165</v>
      </c>
      <c r="P170" s="31"/>
      <c r="Q170" s="14">
        <v>90165</v>
      </c>
      <c r="R170" s="178">
        <f>30287.18</f>
        <v>30287.18</v>
      </c>
      <c r="S170" s="295"/>
      <c r="T170" s="14">
        <f t="shared" si="12"/>
        <v>-59877.82</v>
      </c>
      <c r="U170" s="158">
        <v>39878</v>
      </c>
      <c r="V170" s="158">
        <v>0</v>
      </c>
      <c r="W170" s="158">
        <v>0</v>
      </c>
      <c r="X170" s="104">
        <v>50287</v>
      </c>
      <c r="Y170" s="136"/>
      <c r="Z170" s="38"/>
      <c r="AA170" s="16">
        <v>0</v>
      </c>
      <c r="AB170" s="16">
        <v>0</v>
      </c>
      <c r="AC170" s="16">
        <v>0</v>
      </c>
      <c r="AE170" s="16">
        <v>90165</v>
      </c>
      <c r="AF170" s="16">
        <v>0</v>
      </c>
      <c r="AG170" s="16">
        <v>0</v>
      </c>
      <c r="AH170" s="16">
        <f t="shared" si="10"/>
        <v>90165</v>
      </c>
      <c r="AI170" s="343">
        <f t="shared" si="11"/>
        <v>1.9620162305307106E-2</v>
      </c>
    </row>
    <row r="171" spans="1:35">
      <c r="A171" s="27"/>
      <c r="B171" s="118"/>
      <c r="C171" s="109"/>
      <c r="D171" s="20" t="s">
        <v>211</v>
      </c>
      <c r="E171" s="20" t="s">
        <v>109</v>
      </c>
      <c r="F171" s="68" t="s">
        <v>48</v>
      </c>
      <c r="G171" s="91"/>
      <c r="H171" s="144" t="s">
        <v>226</v>
      </c>
      <c r="I171" s="202"/>
      <c r="J171" s="181"/>
      <c r="K171" s="207"/>
      <c r="L171" s="2"/>
      <c r="M171" s="9">
        <v>0</v>
      </c>
      <c r="N171" s="85"/>
      <c r="O171" s="42">
        <v>400</v>
      </c>
      <c r="P171" s="31">
        <v>0</v>
      </c>
      <c r="Q171" s="14">
        <v>400</v>
      </c>
      <c r="R171" s="178"/>
      <c r="S171" s="295"/>
      <c r="T171" s="14" t="str">
        <f t="shared" si="12"/>
        <v/>
      </c>
      <c r="U171" s="158">
        <v>0</v>
      </c>
      <c r="V171" s="158">
        <v>400</v>
      </c>
      <c r="W171" s="158">
        <v>0</v>
      </c>
      <c r="X171" s="104"/>
      <c r="Y171" s="136"/>
      <c r="Z171" s="38">
        <v>0</v>
      </c>
      <c r="AA171" s="16">
        <v>0</v>
      </c>
      <c r="AB171" s="16">
        <v>0</v>
      </c>
      <c r="AC171" s="16">
        <v>0</v>
      </c>
      <c r="AE171" s="16">
        <v>0</v>
      </c>
      <c r="AF171" s="16">
        <v>400</v>
      </c>
      <c r="AG171" s="16">
        <v>0</v>
      </c>
      <c r="AH171" s="16">
        <f t="shared" si="10"/>
        <v>400</v>
      </c>
      <c r="AI171" s="343">
        <f t="shared" si="11"/>
        <v>8.7041145922728798E-5</v>
      </c>
    </row>
    <row r="172" spans="1:35">
      <c r="A172" s="27"/>
      <c r="B172" s="118"/>
      <c r="C172" s="109"/>
      <c r="D172" s="20"/>
      <c r="E172" s="20" t="s">
        <v>110</v>
      </c>
      <c r="F172" s="68" t="s">
        <v>102</v>
      </c>
      <c r="G172" s="91"/>
      <c r="H172" s="144" t="s">
        <v>226</v>
      </c>
      <c r="I172" s="216">
        <v>124517.78</v>
      </c>
      <c r="J172" s="178">
        <v>136342.64000000001</v>
      </c>
      <c r="K172" s="207"/>
      <c r="L172" s="2"/>
      <c r="M172" s="9">
        <v>260860.42</v>
      </c>
      <c r="N172" s="85"/>
      <c r="O172" s="42">
        <v>130430.21</v>
      </c>
      <c r="P172" s="31">
        <v>0</v>
      </c>
      <c r="Q172" s="14">
        <v>130430.21</v>
      </c>
      <c r="R172" s="178">
        <v>164624.42000000001</v>
      </c>
      <c r="S172" s="295"/>
      <c r="T172" s="14">
        <f t="shared" si="12"/>
        <v>34194.210000000006</v>
      </c>
      <c r="U172" s="158">
        <v>130430.21</v>
      </c>
      <c r="V172" s="158">
        <v>0</v>
      </c>
      <c r="W172" s="158">
        <v>0</v>
      </c>
      <c r="X172" s="104"/>
      <c r="Y172" s="136"/>
      <c r="Z172" s="38">
        <v>0</v>
      </c>
      <c r="AA172" s="16">
        <v>260860.42</v>
      </c>
      <c r="AB172" s="16">
        <v>0</v>
      </c>
      <c r="AC172" s="16">
        <v>0</v>
      </c>
      <c r="AE172" s="16">
        <v>130430.21</v>
      </c>
      <c r="AF172" s="16">
        <v>0</v>
      </c>
      <c r="AG172" s="16">
        <v>0</v>
      </c>
      <c r="AH172" s="16">
        <f t="shared" si="10"/>
        <v>130430.21</v>
      </c>
      <c r="AI172" s="343">
        <f t="shared" si="11"/>
        <v>2.8381987353355405E-2</v>
      </c>
    </row>
    <row r="173" spans="1:35">
      <c r="A173" s="27"/>
      <c r="B173" s="120"/>
      <c r="C173" s="111"/>
      <c r="D173" s="21"/>
      <c r="E173" s="21" t="s">
        <v>110</v>
      </c>
      <c r="F173" s="68" t="s">
        <v>50</v>
      </c>
      <c r="G173" s="91"/>
      <c r="H173" s="144" t="s">
        <v>226</v>
      </c>
      <c r="I173" s="195">
        <v>1283.46</v>
      </c>
      <c r="J173" s="178">
        <v>1222.25</v>
      </c>
      <c r="K173" s="199">
        <v>1403.79</v>
      </c>
      <c r="L173" s="31"/>
      <c r="M173" s="89">
        <v>3909.5</v>
      </c>
      <c r="N173" s="84"/>
      <c r="O173" s="42"/>
      <c r="P173" s="31">
        <v>0</v>
      </c>
      <c r="Q173" s="14">
        <v>0</v>
      </c>
      <c r="R173" s="178"/>
      <c r="S173" s="295"/>
      <c r="T173" s="14" t="str">
        <f t="shared" si="12"/>
        <v/>
      </c>
      <c r="U173" s="158">
        <v>0</v>
      </c>
      <c r="V173" s="158">
        <v>0</v>
      </c>
      <c r="W173" s="158">
        <v>0</v>
      </c>
      <c r="X173" s="104"/>
      <c r="Y173" s="136"/>
      <c r="Z173" s="38">
        <v>0</v>
      </c>
      <c r="AA173" s="16">
        <v>3909.5</v>
      </c>
      <c r="AB173" s="16">
        <v>0</v>
      </c>
      <c r="AC173" s="16">
        <v>0</v>
      </c>
      <c r="AE173" s="16">
        <v>0</v>
      </c>
      <c r="AF173" s="16">
        <v>0</v>
      </c>
      <c r="AG173" s="16">
        <v>0</v>
      </c>
      <c r="AH173" s="16">
        <f t="shared" si="10"/>
        <v>0</v>
      </c>
      <c r="AI173" s="343">
        <f t="shared" si="11"/>
        <v>0</v>
      </c>
    </row>
    <row r="174" spans="1:35">
      <c r="A174" s="27" t="s">
        <v>217</v>
      </c>
      <c r="B174" s="120"/>
      <c r="C174" s="111"/>
      <c r="D174" s="21"/>
      <c r="E174" s="21" t="s">
        <v>109</v>
      </c>
      <c r="F174" s="68" t="s">
        <v>51</v>
      </c>
      <c r="G174" s="91"/>
      <c r="H174" s="144" t="s">
        <v>226</v>
      </c>
      <c r="I174" s="202"/>
      <c r="J174" s="181"/>
      <c r="K174" s="201"/>
      <c r="L174" s="31"/>
      <c r="M174" s="89">
        <v>0</v>
      </c>
      <c r="N174" s="84"/>
      <c r="O174" s="42">
        <v>15000</v>
      </c>
      <c r="P174" s="31">
        <v>0</v>
      </c>
      <c r="Q174" s="14">
        <v>15000</v>
      </c>
      <c r="R174" s="178"/>
      <c r="S174" s="295"/>
      <c r="T174" s="14" t="str">
        <f t="shared" si="12"/>
        <v/>
      </c>
      <c r="U174" s="158">
        <v>0</v>
      </c>
      <c r="V174" s="158">
        <v>15000</v>
      </c>
      <c r="W174" s="158">
        <v>0</v>
      </c>
      <c r="X174" s="104"/>
      <c r="Y174" s="136"/>
      <c r="Z174" s="38">
        <v>0</v>
      </c>
      <c r="AA174" s="16">
        <v>0</v>
      </c>
      <c r="AB174" s="16">
        <v>0</v>
      </c>
      <c r="AC174" s="16">
        <v>0</v>
      </c>
      <c r="AE174" s="16">
        <v>0</v>
      </c>
      <c r="AF174" s="16">
        <v>15000</v>
      </c>
      <c r="AG174" s="16">
        <v>0</v>
      </c>
      <c r="AH174" s="16">
        <f t="shared" si="10"/>
        <v>15000</v>
      </c>
      <c r="AI174" s="343">
        <f t="shared" si="11"/>
        <v>3.26404297210233E-3</v>
      </c>
    </row>
    <row r="175" spans="1:35">
      <c r="A175" s="27"/>
      <c r="B175" s="120"/>
      <c r="C175" s="111"/>
      <c r="D175" s="21"/>
      <c r="E175" s="21" t="s">
        <v>109</v>
      </c>
      <c r="F175" s="68" t="s">
        <v>107</v>
      </c>
      <c r="G175" s="133">
        <v>43872.7</v>
      </c>
      <c r="H175" s="144">
        <v>-37300</v>
      </c>
      <c r="I175" s="195">
        <v>20.59</v>
      </c>
      <c r="J175" s="182">
        <v>0</v>
      </c>
      <c r="K175" s="196">
        <v>0</v>
      </c>
      <c r="L175" s="31"/>
      <c r="M175" s="89">
        <v>6593.2899999999972</v>
      </c>
      <c r="N175" s="84"/>
      <c r="O175" s="42"/>
      <c r="P175" s="31">
        <v>-18700</v>
      </c>
      <c r="Q175" s="14">
        <v>0</v>
      </c>
      <c r="R175" s="178">
        <f>1190.5+1071.56</f>
        <v>2262.06</v>
      </c>
      <c r="S175" s="295"/>
      <c r="T175" s="14">
        <f t="shared" si="12"/>
        <v>2262.06</v>
      </c>
      <c r="U175" s="158">
        <v>0</v>
      </c>
      <c r="V175" s="158">
        <v>0</v>
      </c>
      <c r="W175" s="158">
        <v>0</v>
      </c>
      <c r="X175" s="104"/>
      <c r="Y175" s="136"/>
      <c r="Z175" s="38">
        <v>0</v>
      </c>
      <c r="AA175" s="16">
        <v>0</v>
      </c>
      <c r="AB175" s="16">
        <v>6593.2899999999972</v>
      </c>
      <c r="AC175" s="16">
        <v>0</v>
      </c>
      <c r="AE175" s="16">
        <v>0</v>
      </c>
      <c r="AF175" s="16">
        <v>0</v>
      </c>
      <c r="AG175" s="16">
        <v>0</v>
      </c>
      <c r="AH175" s="16">
        <f t="shared" si="10"/>
        <v>0</v>
      </c>
      <c r="AI175" s="343">
        <f t="shared" si="11"/>
        <v>0</v>
      </c>
    </row>
    <row r="176" spans="1:35">
      <c r="A176" s="27"/>
      <c r="B176" s="118"/>
      <c r="C176" s="109"/>
      <c r="D176" s="20"/>
      <c r="E176" s="20" t="s">
        <v>109</v>
      </c>
      <c r="F176" s="68" t="s">
        <v>156</v>
      </c>
      <c r="G176" s="91"/>
      <c r="H176" s="144" t="s">
        <v>226</v>
      </c>
      <c r="I176" s="195">
        <v>505.9</v>
      </c>
      <c r="J176" s="178">
        <v>465.83</v>
      </c>
      <c r="K176" s="199">
        <v>541.9</v>
      </c>
      <c r="L176" s="31"/>
      <c r="M176" s="89">
        <v>1513.63</v>
      </c>
      <c r="N176" s="84"/>
      <c r="O176" s="42"/>
      <c r="P176" s="31">
        <v>0</v>
      </c>
      <c r="Q176" s="14">
        <v>0</v>
      </c>
      <c r="R176" s="178"/>
      <c r="S176" s="295"/>
      <c r="T176" s="14" t="str">
        <f t="shared" si="12"/>
        <v/>
      </c>
      <c r="U176" s="158">
        <v>0</v>
      </c>
      <c r="V176" s="158">
        <v>0</v>
      </c>
      <c r="W176" s="158">
        <v>0</v>
      </c>
      <c r="X176" s="104"/>
      <c r="Y176" s="136"/>
      <c r="Z176" s="38">
        <v>0</v>
      </c>
      <c r="AA176" s="16">
        <v>0</v>
      </c>
      <c r="AB176" s="16">
        <v>1513.63</v>
      </c>
      <c r="AC176" s="16">
        <v>0</v>
      </c>
      <c r="AE176" s="16">
        <v>0</v>
      </c>
      <c r="AF176" s="16">
        <v>0</v>
      </c>
      <c r="AG176" s="16">
        <v>0</v>
      </c>
      <c r="AH176" s="16">
        <f t="shared" si="10"/>
        <v>0</v>
      </c>
      <c r="AI176" s="343">
        <f t="shared" si="11"/>
        <v>0</v>
      </c>
    </row>
    <row r="177" spans="1:35">
      <c r="A177" s="27"/>
      <c r="B177" s="118"/>
      <c r="C177" s="109"/>
      <c r="D177" s="20"/>
      <c r="E177" s="20" t="s">
        <v>109</v>
      </c>
      <c r="F177" s="68" t="s">
        <v>157</v>
      </c>
      <c r="G177" s="91"/>
      <c r="H177" s="144" t="s">
        <v>226</v>
      </c>
      <c r="I177" s="195">
        <v>4113.05</v>
      </c>
      <c r="J177" s="178">
        <v>3422.83</v>
      </c>
      <c r="K177" s="199">
        <v>3433.35</v>
      </c>
      <c r="L177" s="31"/>
      <c r="M177" s="89">
        <v>10969.23</v>
      </c>
      <c r="N177" s="84"/>
      <c r="O177" s="42"/>
      <c r="P177" s="31">
        <v>0</v>
      </c>
      <c r="Q177" s="14">
        <v>0</v>
      </c>
      <c r="R177" s="178"/>
      <c r="S177" s="295"/>
      <c r="T177" s="14" t="str">
        <f t="shared" si="12"/>
        <v/>
      </c>
      <c r="U177" s="158">
        <v>0</v>
      </c>
      <c r="V177" s="158">
        <v>0</v>
      </c>
      <c r="W177" s="158">
        <v>0</v>
      </c>
      <c r="X177" s="104"/>
      <c r="Y177" s="136"/>
      <c r="Z177" s="38">
        <v>0</v>
      </c>
      <c r="AA177" s="16">
        <v>0</v>
      </c>
      <c r="AB177" s="16">
        <v>10969.23</v>
      </c>
      <c r="AC177" s="16">
        <v>0</v>
      </c>
      <c r="AE177" s="16">
        <v>0</v>
      </c>
      <c r="AF177" s="16">
        <v>0</v>
      </c>
      <c r="AG177" s="16">
        <v>0</v>
      </c>
      <c r="AH177" s="16">
        <f t="shared" si="10"/>
        <v>0</v>
      </c>
      <c r="AI177" s="343">
        <f t="shared" si="11"/>
        <v>0</v>
      </c>
    </row>
    <row r="178" spans="1:35">
      <c r="A178" s="27"/>
      <c r="B178" s="118"/>
      <c r="C178" s="109"/>
      <c r="D178" s="20"/>
      <c r="E178" s="20" t="s">
        <v>109</v>
      </c>
      <c r="F178" s="68" t="s">
        <v>158</v>
      </c>
      <c r="G178" s="91"/>
      <c r="H178" s="144" t="s">
        <v>226</v>
      </c>
      <c r="I178" s="195">
        <v>2673.32</v>
      </c>
      <c r="J178" s="178">
        <v>2391.14</v>
      </c>
      <c r="K178" s="199">
        <v>4175.92</v>
      </c>
      <c r="L178" s="31"/>
      <c r="M178" s="89">
        <v>9240.380000000001</v>
      </c>
      <c r="N178" s="84"/>
      <c r="O178" s="42"/>
      <c r="P178" s="31">
        <v>0</v>
      </c>
      <c r="Q178" s="14">
        <v>0</v>
      </c>
      <c r="R178" s="178"/>
      <c r="S178" s="295"/>
      <c r="T178" s="14" t="str">
        <f t="shared" si="12"/>
        <v/>
      </c>
      <c r="U178" s="158">
        <v>0</v>
      </c>
      <c r="V178" s="158">
        <v>0</v>
      </c>
      <c r="W178" s="158">
        <v>0</v>
      </c>
      <c r="X178" s="104"/>
      <c r="Y178" s="136"/>
      <c r="Z178" s="38">
        <v>0</v>
      </c>
      <c r="AA178" s="16">
        <v>0</v>
      </c>
      <c r="AB178" s="16">
        <v>9240.380000000001</v>
      </c>
      <c r="AC178" s="16">
        <v>0</v>
      </c>
      <c r="AE178" s="16">
        <v>0</v>
      </c>
      <c r="AF178" s="16">
        <v>0</v>
      </c>
      <c r="AG178" s="16">
        <v>0</v>
      </c>
      <c r="AH178" s="16">
        <f t="shared" si="10"/>
        <v>0</v>
      </c>
      <c r="AI178" s="343">
        <f t="shared" si="11"/>
        <v>0</v>
      </c>
    </row>
    <row r="179" spans="1:35">
      <c r="A179" s="29"/>
      <c r="B179" s="120"/>
      <c r="C179" s="111"/>
      <c r="D179" s="21" t="s">
        <v>97</v>
      </c>
      <c r="E179" s="21" t="s">
        <v>109</v>
      </c>
      <c r="F179" s="68" t="s">
        <v>52</v>
      </c>
      <c r="G179" s="91"/>
      <c r="H179" s="144" t="s">
        <v>226</v>
      </c>
      <c r="I179" s="202"/>
      <c r="J179" s="181"/>
      <c r="K179" s="207"/>
      <c r="L179" s="31"/>
      <c r="M179" s="89">
        <v>0</v>
      </c>
      <c r="N179" s="84"/>
      <c r="O179" s="42">
        <v>0</v>
      </c>
      <c r="P179" s="31">
        <v>0</v>
      </c>
      <c r="Q179" s="14">
        <v>0</v>
      </c>
      <c r="R179" s="178">
        <f>25.99+23.63+11.87</f>
        <v>61.489999999999995</v>
      </c>
      <c r="S179" s="295"/>
      <c r="T179" s="14">
        <f t="shared" si="12"/>
        <v>61.489999999999995</v>
      </c>
      <c r="U179" s="158">
        <v>0</v>
      </c>
      <c r="V179" s="158">
        <v>0</v>
      </c>
      <c r="W179" s="158">
        <v>0</v>
      </c>
      <c r="X179" s="104"/>
      <c r="Y179" s="136"/>
      <c r="Z179" s="38">
        <v>0</v>
      </c>
      <c r="AA179" s="16">
        <v>0</v>
      </c>
      <c r="AB179" s="16">
        <v>0</v>
      </c>
      <c r="AC179" s="16">
        <v>0</v>
      </c>
      <c r="AE179" s="16">
        <v>0</v>
      </c>
      <c r="AF179" s="16">
        <v>0</v>
      </c>
      <c r="AG179" s="16">
        <v>0</v>
      </c>
      <c r="AH179" s="16">
        <f t="shared" ref="AH179:AH210" si="13">SUM(AE179:AG179)</f>
        <v>0</v>
      </c>
      <c r="AI179" s="343">
        <f t="shared" ref="AI179:AI210" si="14">AH179/$AH$217</f>
        <v>0</v>
      </c>
    </row>
    <row r="180" spans="1:35">
      <c r="A180" s="27"/>
      <c r="B180" s="120"/>
      <c r="C180" s="111"/>
      <c r="D180" s="21"/>
      <c r="E180" s="21" t="s">
        <v>109</v>
      </c>
      <c r="F180" s="68" t="s">
        <v>53</v>
      </c>
      <c r="G180" s="91"/>
      <c r="H180" s="144" t="s">
        <v>226</v>
      </c>
      <c r="I180" s="195">
        <v>9488.35</v>
      </c>
      <c r="J180" s="178">
        <v>9584.2999999999993</v>
      </c>
      <c r="K180" s="201"/>
      <c r="L180" s="31"/>
      <c r="M180" s="89">
        <v>19072.650000000001</v>
      </c>
      <c r="N180" s="84"/>
      <c r="O180" s="42">
        <v>9536.3250000000007</v>
      </c>
      <c r="P180" s="31">
        <v>0</v>
      </c>
      <c r="Q180" s="14">
        <v>9536.3250000000007</v>
      </c>
      <c r="R180" s="178">
        <v>8993.4699999999993</v>
      </c>
      <c r="S180" s="295"/>
      <c r="T180" s="14">
        <f t="shared" si="12"/>
        <v>-542.85500000000138</v>
      </c>
      <c r="U180" s="158">
        <v>0</v>
      </c>
      <c r="V180" s="158">
        <v>9536.3250000000007</v>
      </c>
      <c r="W180" s="158">
        <v>0</v>
      </c>
      <c r="X180" s="104"/>
      <c r="Y180" s="136"/>
      <c r="Z180" s="38">
        <v>0</v>
      </c>
      <c r="AA180" s="16">
        <v>0</v>
      </c>
      <c r="AB180" s="16">
        <v>19072.650000000001</v>
      </c>
      <c r="AC180" s="16">
        <v>0</v>
      </c>
      <c r="AE180" s="16">
        <v>0</v>
      </c>
      <c r="AF180" s="16">
        <v>9536.3250000000007</v>
      </c>
      <c r="AG180" s="16">
        <v>0</v>
      </c>
      <c r="AH180" s="16">
        <f t="shared" si="13"/>
        <v>9536.3250000000007</v>
      </c>
      <c r="AI180" s="343">
        <f t="shared" si="14"/>
        <v>2.075131639728917E-3</v>
      </c>
    </row>
    <row r="181" spans="1:35">
      <c r="A181" s="27"/>
      <c r="B181" s="118"/>
      <c r="C181" s="109"/>
      <c r="D181" s="20"/>
      <c r="E181" s="20" t="s">
        <v>109</v>
      </c>
      <c r="F181" s="68" t="s">
        <v>54</v>
      </c>
      <c r="G181" s="133"/>
      <c r="H181" s="144" t="s">
        <v>226</v>
      </c>
      <c r="I181" s="202"/>
      <c r="J181" s="181"/>
      <c r="K181" s="207"/>
      <c r="L181" s="31"/>
      <c r="M181" s="89">
        <v>0</v>
      </c>
      <c r="N181" s="84"/>
      <c r="O181" s="42"/>
      <c r="P181" s="31">
        <v>0</v>
      </c>
      <c r="Q181" s="14">
        <v>0</v>
      </c>
      <c r="R181" s="178"/>
      <c r="S181" s="295"/>
      <c r="T181" s="14" t="str">
        <f t="shared" si="12"/>
        <v/>
      </c>
      <c r="U181" s="158">
        <v>0</v>
      </c>
      <c r="V181" s="158">
        <v>0</v>
      </c>
      <c r="W181" s="158">
        <v>0</v>
      </c>
      <c r="X181" s="104"/>
      <c r="Y181" s="136"/>
      <c r="Z181" s="38">
        <v>0</v>
      </c>
      <c r="AA181" s="16">
        <v>0</v>
      </c>
      <c r="AB181" s="16">
        <v>0</v>
      </c>
      <c r="AC181" s="16">
        <v>0</v>
      </c>
      <c r="AE181" s="16">
        <v>0</v>
      </c>
      <c r="AF181" s="16">
        <v>0</v>
      </c>
      <c r="AG181" s="16">
        <v>0</v>
      </c>
      <c r="AH181" s="16">
        <f t="shared" si="13"/>
        <v>0</v>
      </c>
      <c r="AI181" s="343">
        <f t="shared" si="14"/>
        <v>0</v>
      </c>
    </row>
    <row r="182" spans="1:35">
      <c r="A182" s="27"/>
      <c r="B182" s="118"/>
      <c r="C182" s="109"/>
      <c r="D182" s="20"/>
      <c r="E182" s="20" t="s">
        <v>110</v>
      </c>
      <c r="F182" s="68" t="s">
        <v>55</v>
      </c>
      <c r="G182" s="91"/>
      <c r="H182" s="144">
        <v>1257.83</v>
      </c>
      <c r="I182" s="195">
        <v>640.07000000000005</v>
      </c>
      <c r="J182" s="178">
        <v>620.86</v>
      </c>
      <c r="K182" s="201"/>
      <c r="L182" s="31"/>
      <c r="M182" s="89">
        <v>2518.7600000000002</v>
      </c>
      <c r="N182" s="84"/>
      <c r="O182" s="42">
        <v>630.46500000000003</v>
      </c>
      <c r="P182" s="31">
        <v>0</v>
      </c>
      <c r="Q182" s="14">
        <v>630.46500000000003</v>
      </c>
      <c r="R182" s="178"/>
      <c r="S182" s="295"/>
      <c r="T182" s="14" t="str">
        <f t="shared" si="12"/>
        <v/>
      </c>
      <c r="U182" s="158">
        <v>630.46500000000003</v>
      </c>
      <c r="V182" s="158">
        <v>0</v>
      </c>
      <c r="W182" s="158">
        <v>0</v>
      </c>
      <c r="X182" s="104"/>
      <c r="Y182" s="136"/>
      <c r="Z182" s="38">
        <v>0</v>
      </c>
      <c r="AA182" s="16">
        <v>2518.7600000000002</v>
      </c>
      <c r="AB182" s="16">
        <v>0</v>
      </c>
      <c r="AC182" s="16">
        <v>0</v>
      </c>
      <c r="AE182" s="16">
        <v>630.46500000000003</v>
      </c>
      <c r="AF182" s="16">
        <v>0</v>
      </c>
      <c r="AG182" s="16">
        <v>0</v>
      </c>
      <c r="AH182" s="16">
        <f t="shared" si="13"/>
        <v>630.46500000000003</v>
      </c>
      <c r="AI182" s="343">
        <f t="shared" si="14"/>
        <v>1.3719099016043304E-4</v>
      </c>
    </row>
    <row r="183" spans="1:35">
      <c r="A183" s="27"/>
      <c r="B183" s="120"/>
      <c r="C183" s="111" t="s">
        <v>176</v>
      </c>
      <c r="D183" s="21" t="s">
        <v>97</v>
      </c>
      <c r="E183" s="21" t="s">
        <v>110</v>
      </c>
      <c r="F183" s="68" t="s">
        <v>175</v>
      </c>
      <c r="G183" s="91"/>
      <c r="H183" s="144" t="s">
        <v>226</v>
      </c>
      <c r="I183" s="202"/>
      <c r="J183" s="181"/>
      <c r="K183" s="207"/>
      <c r="L183" s="31"/>
      <c r="M183" s="89">
        <v>0</v>
      </c>
      <c r="N183" s="84"/>
      <c r="O183" s="42"/>
      <c r="P183" s="31">
        <v>0</v>
      </c>
      <c r="Q183" s="14">
        <v>0</v>
      </c>
      <c r="R183" s="178"/>
      <c r="S183" s="295"/>
      <c r="T183" s="14" t="str">
        <f t="shared" si="12"/>
        <v/>
      </c>
      <c r="U183" s="158">
        <v>0</v>
      </c>
      <c r="V183" s="158">
        <v>0</v>
      </c>
      <c r="W183" s="158">
        <v>0</v>
      </c>
      <c r="X183" s="104"/>
      <c r="Y183" s="136"/>
      <c r="Z183" s="38">
        <v>0</v>
      </c>
      <c r="AA183" s="16">
        <v>0</v>
      </c>
      <c r="AB183" s="16">
        <v>0</v>
      </c>
      <c r="AC183" s="16">
        <v>0</v>
      </c>
      <c r="AE183" s="16">
        <v>0</v>
      </c>
      <c r="AF183" s="16">
        <v>0</v>
      </c>
      <c r="AG183" s="16">
        <v>0</v>
      </c>
      <c r="AH183" s="16">
        <f t="shared" si="13"/>
        <v>0</v>
      </c>
      <c r="AI183" s="343">
        <f t="shared" si="14"/>
        <v>0</v>
      </c>
    </row>
    <row r="184" spans="1:35">
      <c r="A184" s="27"/>
      <c r="B184" s="118"/>
      <c r="C184" s="109"/>
      <c r="D184" s="20" t="s">
        <v>211</v>
      </c>
      <c r="E184" s="20" t="s">
        <v>109</v>
      </c>
      <c r="F184" s="68" t="s">
        <v>56</v>
      </c>
      <c r="G184" s="91"/>
      <c r="H184" s="144">
        <v>-213.80999999999995</v>
      </c>
      <c r="I184" s="217"/>
      <c r="J184" s="181"/>
      <c r="K184" s="207"/>
      <c r="L184" s="2"/>
      <c r="M184" s="9">
        <v>-213.80999999999995</v>
      </c>
      <c r="N184" s="85"/>
      <c r="O184" s="42"/>
      <c r="P184" s="31">
        <v>0</v>
      </c>
      <c r="Q184" s="14">
        <v>0</v>
      </c>
      <c r="R184" s="178"/>
      <c r="S184" s="295"/>
      <c r="T184" s="14" t="str">
        <f t="shared" si="12"/>
        <v/>
      </c>
      <c r="U184" s="158">
        <v>0</v>
      </c>
      <c r="V184" s="158">
        <v>0</v>
      </c>
      <c r="W184" s="158">
        <v>0</v>
      </c>
      <c r="X184" s="104"/>
      <c r="Y184" s="136"/>
      <c r="Z184" s="38">
        <v>0</v>
      </c>
      <c r="AA184" s="16">
        <v>0</v>
      </c>
      <c r="AB184" s="16">
        <v>-213.80999999999995</v>
      </c>
      <c r="AC184" s="16">
        <v>0</v>
      </c>
      <c r="AE184" s="16">
        <v>0</v>
      </c>
      <c r="AF184" s="16">
        <v>0</v>
      </c>
      <c r="AG184" s="16">
        <v>0</v>
      </c>
      <c r="AH184" s="16">
        <f t="shared" si="13"/>
        <v>0</v>
      </c>
      <c r="AI184" s="343">
        <f t="shared" si="14"/>
        <v>0</v>
      </c>
    </row>
    <row r="185" spans="1:35">
      <c r="A185" s="27"/>
      <c r="B185" s="118"/>
      <c r="C185" s="109"/>
      <c r="D185" s="20"/>
      <c r="E185" s="20" t="s">
        <v>109</v>
      </c>
      <c r="F185" s="68" t="s">
        <v>159</v>
      </c>
      <c r="G185" s="91"/>
      <c r="H185" s="144" t="s">
        <v>226</v>
      </c>
      <c r="I185" s="195">
        <v>46227.91</v>
      </c>
      <c r="J185" s="182">
        <v>39690.120000000003</v>
      </c>
      <c r="K185" s="199">
        <v>40649.32</v>
      </c>
      <c r="L185" s="31"/>
      <c r="M185" s="89">
        <v>126567.35</v>
      </c>
      <c r="N185" s="84"/>
      <c r="O185" s="42"/>
      <c r="P185" s="31">
        <v>0</v>
      </c>
      <c r="Q185" s="14">
        <v>0</v>
      </c>
      <c r="R185" s="178"/>
      <c r="S185" s="295"/>
      <c r="T185" s="14" t="str">
        <f t="shared" si="12"/>
        <v/>
      </c>
      <c r="U185" s="158">
        <v>0</v>
      </c>
      <c r="V185" s="158">
        <v>0</v>
      </c>
      <c r="W185" s="158">
        <v>0</v>
      </c>
      <c r="X185" s="104"/>
      <c r="Y185" s="136"/>
      <c r="Z185" s="38">
        <v>0</v>
      </c>
      <c r="AA185" s="16">
        <v>0</v>
      </c>
      <c r="AB185" s="16">
        <v>126567.35</v>
      </c>
      <c r="AC185" s="16">
        <v>0</v>
      </c>
      <c r="AE185" s="16">
        <v>0</v>
      </c>
      <c r="AF185" s="16">
        <v>0</v>
      </c>
      <c r="AG185" s="16">
        <v>0</v>
      </c>
      <c r="AH185" s="16">
        <f t="shared" si="13"/>
        <v>0</v>
      </c>
      <c r="AI185" s="343">
        <f t="shared" si="14"/>
        <v>0</v>
      </c>
    </row>
    <row r="186" spans="1:35">
      <c r="A186" s="27"/>
      <c r="B186" s="118"/>
      <c r="C186" s="109"/>
      <c r="D186" s="20"/>
      <c r="E186" s="20" t="s">
        <v>109</v>
      </c>
      <c r="F186" s="68" t="s">
        <v>160</v>
      </c>
      <c r="G186" s="91"/>
      <c r="H186" s="144" t="s">
        <v>226</v>
      </c>
      <c r="I186" s="195">
        <v>19162.400000000001</v>
      </c>
      <c r="J186" s="182">
        <v>17310.88</v>
      </c>
      <c r="K186" s="199">
        <v>17318.400000000001</v>
      </c>
      <c r="L186" s="31"/>
      <c r="M186" s="89">
        <v>53791.68</v>
      </c>
      <c r="N186" s="84"/>
      <c r="O186" s="42"/>
      <c r="P186" s="31">
        <v>0</v>
      </c>
      <c r="Q186" s="14">
        <v>0</v>
      </c>
      <c r="R186" s="178"/>
      <c r="S186" s="295"/>
      <c r="T186" s="14" t="str">
        <f t="shared" si="12"/>
        <v/>
      </c>
      <c r="U186" s="158">
        <v>0</v>
      </c>
      <c r="V186" s="158">
        <v>0</v>
      </c>
      <c r="W186" s="158">
        <v>0</v>
      </c>
      <c r="X186" s="104"/>
      <c r="Y186" s="136"/>
      <c r="Z186" s="38">
        <v>0</v>
      </c>
      <c r="AA186" s="16">
        <v>0</v>
      </c>
      <c r="AB186" s="16">
        <v>53791.68</v>
      </c>
      <c r="AC186" s="16">
        <v>0</v>
      </c>
      <c r="AE186" s="16">
        <v>0</v>
      </c>
      <c r="AF186" s="16">
        <v>0</v>
      </c>
      <c r="AG186" s="16">
        <v>0</v>
      </c>
      <c r="AH186" s="16">
        <f t="shared" si="13"/>
        <v>0</v>
      </c>
      <c r="AI186" s="343">
        <f t="shared" si="14"/>
        <v>0</v>
      </c>
    </row>
    <row r="187" spans="1:35">
      <c r="A187" s="27"/>
      <c r="B187" s="120"/>
      <c r="C187" s="111"/>
      <c r="D187" s="21"/>
      <c r="E187" s="21" t="s">
        <v>109</v>
      </c>
      <c r="F187" s="68" t="s">
        <v>161</v>
      </c>
      <c r="G187" s="91"/>
      <c r="H187" s="144" t="s">
        <v>226</v>
      </c>
      <c r="I187" s="195">
        <v>66099.12</v>
      </c>
      <c r="J187" s="178">
        <v>80647.259999999995</v>
      </c>
      <c r="K187" s="199">
        <v>68190.600000000006</v>
      </c>
      <c r="L187" s="31"/>
      <c r="M187" s="89">
        <v>214936.98</v>
      </c>
      <c r="N187" s="84"/>
      <c r="O187" s="42"/>
      <c r="P187" s="31">
        <v>0</v>
      </c>
      <c r="Q187" s="14">
        <v>0</v>
      </c>
      <c r="R187" s="178"/>
      <c r="S187" s="295"/>
      <c r="T187" s="14" t="str">
        <f t="shared" si="12"/>
        <v/>
      </c>
      <c r="U187" s="158">
        <v>0</v>
      </c>
      <c r="V187" s="158">
        <v>0</v>
      </c>
      <c r="W187" s="158">
        <v>0</v>
      </c>
      <c r="X187" s="104"/>
      <c r="Y187" s="136"/>
      <c r="Z187" s="38">
        <v>0</v>
      </c>
      <c r="AA187" s="16">
        <v>0</v>
      </c>
      <c r="AB187" s="16">
        <v>214936.98</v>
      </c>
      <c r="AC187" s="16">
        <v>0</v>
      </c>
      <c r="AE187" s="16">
        <v>0</v>
      </c>
      <c r="AF187" s="16">
        <v>0</v>
      </c>
      <c r="AG187" s="16">
        <v>0</v>
      </c>
      <c r="AH187" s="16">
        <f t="shared" si="13"/>
        <v>0</v>
      </c>
      <c r="AI187" s="343">
        <f t="shared" si="14"/>
        <v>0</v>
      </c>
    </row>
    <row r="188" spans="1:35">
      <c r="A188" s="27"/>
      <c r="B188" s="120"/>
      <c r="C188" s="111"/>
      <c r="D188" s="21"/>
      <c r="E188" s="21" t="s">
        <v>109</v>
      </c>
      <c r="F188" s="68" t="s">
        <v>162</v>
      </c>
      <c r="G188" s="91"/>
      <c r="H188" s="144" t="s">
        <v>226</v>
      </c>
      <c r="I188" s="195">
        <v>10667.07</v>
      </c>
      <c r="J188" s="178">
        <v>9147.18</v>
      </c>
      <c r="K188" s="199">
        <v>9625.68</v>
      </c>
      <c r="L188" s="31"/>
      <c r="M188" s="89">
        <v>29439.93</v>
      </c>
      <c r="N188" s="84"/>
      <c r="O188" s="42"/>
      <c r="P188" s="31">
        <v>0</v>
      </c>
      <c r="Q188" s="14">
        <v>0</v>
      </c>
      <c r="R188" s="178"/>
      <c r="S188" s="295"/>
      <c r="T188" s="14" t="str">
        <f t="shared" si="12"/>
        <v/>
      </c>
      <c r="U188" s="158">
        <v>0</v>
      </c>
      <c r="V188" s="158">
        <v>0</v>
      </c>
      <c r="W188" s="158">
        <v>0</v>
      </c>
      <c r="X188" s="104"/>
      <c r="Y188" s="136"/>
      <c r="Z188" s="38">
        <v>0</v>
      </c>
      <c r="AA188" s="16">
        <v>0</v>
      </c>
      <c r="AB188" s="16">
        <v>29439.93</v>
      </c>
      <c r="AC188" s="16">
        <v>0</v>
      </c>
      <c r="AE188" s="16">
        <v>0</v>
      </c>
      <c r="AF188" s="16">
        <v>0</v>
      </c>
      <c r="AG188" s="16">
        <v>0</v>
      </c>
      <c r="AH188" s="16">
        <f t="shared" si="13"/>
        <v>0</v>
      </c>
      <c r="AI188" s="343">
        <f t="shared" si="14"/>
        <v>0</v>
      </c>
    </row>
    <row r="189" spans="1:35">
      <c r="A189" s="27"/>
      <c r="B189" s="120"/>
      <c r="C189" s="111"/>
      <c r="D189" s="21"/>
      <c r="E189" s="21" t="s">
        <v>110</v>
      </c>
      <c r="F189" s="68" t="s">
        <v>163</v>
      </c>
      <c r="G189" s="91"/>
      <c r="H189" s="144" t="s">
        <v>226</v>
      </c>
      <c r="I189" s="195">
        <v>8638.41</v>
      </c>
      <c r="J189" s="17">
        <v>7751.63</v>
      </c>
      <c r="K189" s="218">
        <v>9213.15</v>
      </c>
      <c r="L189" s="3"/>
      <c r="M189" s="89">
        <v>25603.190000000002</v>
      </c>
      <c r="N189" s="84"/>
      <c r="O189" s="42"/>
      <c r="P189" s="11">
        <v>0</v>
      </c>
      <c r="Q189" s="14">
        <v>0</v>
      </c>
      <c r="R189" s="178"/>
      <c r="S189" s="296"/>
      <c r="T189" s="14" t="str">
        <f t="shared" si="12"/>
        <v/>
      </c>
      <c r="U189" s="158">
        <v>0</v>
      </c>
      <c r="V189" s="158">
        <v>0</v>
      </c>
      <c r="W189" s="158">
        <v>0</v>
      </c>
      <c r="X189" s="104"/>
      <c r="Y189" s="136"/>
      <c r="Z189" s="38">
        <v>0</v>
      </c>
      <c r="AA189" s="16">
        <v>25603.190000000002</v>
      </c>
      <c r="AB189" s="16">
        <v>0</v>
      </c>
      <c r="AC189" s="16">
        <v>0</v>
      </c>
      <c r="AE189" s="16">
        <v>0</v>
      </c>
      <c r="AF189" s="16">
        <v>0</v>
      </c>
      <c r="AG189" s="16">
        <v>0</v>
      </c>
      <c r="AH189" s="16">
        <f t="shared" si="13"/>
        <v>0</v>
      </c>
      <c r="AI189" s="343">
        <f t="shared" si="14"/>
        <v>0</v>
      </c>
    </row>
    <row r="190" spans="1:35">
      <c r="A190" s="27"/>
      <c r="B190" s="120"/>
      <c r="C190" s="111"/>
      <c r="D190" s="21"/>
      <c r="E190" s="21" t="s">
        <v>110</v>
      </c>
      <c r="F190" s="124" t="s">
        <v>164</v>
      </c>
      <c r="G190" s="91"/>
      <c r="H190" s="144" t="s">
        <v>226</v>
      </c>
      <c r="I190" s="178">
        <v>254.09</v>
      </c>
      <c r="J190" s="178">
        <v>136.69</v>
      </c>
      <c r="K190" s="218">
        <v>201.21</v>
      </c>
      <c r="L190" s="3"/>
      <c r="M190" s="89">
        <v>591.99</v>
      </c>
      <c r="N190" s="84"/>
      <c r="O190" s="42"/>
      <c r="P190" s="11">
        <v>0</v>
      </c>
      <c r="Q190" s="14">
        <v>0</v>
      </c>
      <c r="R190" s="178"/>
      <c r="S190" s="296"/>
      <c r="T190" s="14" t="str">
        <f t="shared" si="12"/>
        <v/>
      </c>
      <c r="U190" s="158">
        <v>0</v>
      </c>
      <c r="V190" s="158">
        <v>0</v>
      </c>
      <c r="W190" s="158">
        <v>0</v>
      </c>
      <c r="X190" s="104"/>
      <c r="Y190" s="136"/>
      <c r="Z190" s="38">
        <v>0</v>
      </c>
      <c r="AA190" s="16">
        <v>591.99</v>
      </c>
      <c r="AB190" s="16">
        <v>0</v>
      </c>
      <c r="AC190" s="16">
        <v>0</v>
      </c>
      <c r="AE190" s="16">
        <v>0</v>
      </c>
      <c r="AF190" s="16">
        <v>0</v>
      </c>
      <c r="AG190" s="16">
        <v>0</v>
      </c>
      <c r="AH190" s="16">
        <f t="shared" si="13"/>
        <v>0</v>
      </c>
      <c r="AI190" s="343">
        <f t="shared" si="14"/>
        <v>0</v>
      </c>
    </row>
    <row r="191" spans="1:35">
      <c r="A191" s="27"/>
      <c r="B191" s="118"/>
      <c r="C191" s="109"/>
      <c r="D191" s="20" t="s">
        <v>211</v>
      </c>
      <c r="E191" s="20" t="s">
        <v>109</v>
      </c>
      <c r="F191" s="68" t="s">
        <v>57</v>
      </c>
      <c r="G191" s="91"/>
      <c r="H191" s="144" t="s">
        <v>226</v>
      </c>
      <c r="I191" s="217"/>
      <c r="J191" s="187"/>
      <c r="K191" s="219"/>
      <c r="L191" s="31"/>
      <c r="M191" s="89">
        <v>0</v>
      </c>
      <c r="N191" s="86"/>
      <c r="O191" s="42"/>
      <c r="P191" s="31">
        <v>0</v>
      </c>
      <c r="Q191" s="14">
        <v>0</v>
      </c>
      <c r="R191" s="178"/>
      <c r="S191" s="295"/>
      <c r="T191" s="14" t="str">
        <f t="shared" si="12"/>
        <v/>
      </c>
      <c r="U191" s="158">
        <v>0</v>
      </c>
      <c r="V191" s="158">
        <v>0</v>
      </c>
      <c r="W191" s="158">
        <v>0</v>
      </c>
      <c r="X191" s="104"/>
      <c r="Y191" s="136"/>
      <c r="Z191" s="38">
        <v>0</v>
      </c>
      <c r="AA191" s="16">
        <v>0</v>
      </c>
      <c r="AB191" s="16">
        <v>0</v>
      </c>
      <c r="AC191" s="16">
        <v>0</v>
      </c>
      <c r="AE191" s="16">
        <v>0</v>
      </c>
      <c r="AF191" s="16">
        <v>0</v>
      </c>
      <c r="AG191" s="16">
        <v>0</v>
      </c>
      <c r="AH191" s="16">
        <f t="shared" si="13"/>
        <v>0</v>
      </c>
      <c r="AI191" s="343">
        <f t="shared" si="14"/>
        <v>0</v>
      </c>
    </row>
    <row r="192" spans="1:35">
      <c r="A192" s="27"/>
      <c r="B192" s="118"/>
      <c r="C192" s="109"/>
      <c r="D192" s="20" t="s">
        <v>109</v>
      </c>
      <c r="E192" s="20" t="s">
        <v>109</v>
      </c>
      <c r="F192" s="68" t="s">
        <v>239</v>
      </c>
      <c r="G192" s="91"/>
      <c r="H192" s="144" t="s">
        <v>226</v>
      </c>
      <c r="I192" s="217"/>
      <c r="J192" s="187"/>
      <c r="K192" s="431">
        <v>856.55</v>
      </c>
      <c r="L192" s="31"/>
      <c r="M192" s="89">
        <v>0</v>
      </c>
      <c r="N192" s="86"/>
      <c r="O192" s="42">
        <v>0</v>
      </c>
      <c r="P192" s="31">
        <v>0</v>
      </c>
      <c r="Q192" s="14">
        <v>0</v>
      </c>
      <c r="R192" s="178">
        <f>496.39+521.69</f>
        <v>1018.08</v>
      </c>
      <c r="S192" s="295"/>
      <c r="T192" s="14">
        <f t="shared" si="12"/>
        <v>1018.08</v>
      </c>
      <c r="U192" s="158">
        <v>0</v>
      </c>
      <c r="V192" s="158">
        <v>0</v>
      </c>
      <c r="W192" s="158">
        <v>0</v>
      </c>
      <c r="X192" s="104"/>
      <c r="Y192" s="136"/>
      <c r="Z192" s="38">
        <v>0</v>
      </c>
      <c r="AA192" s="16">
        <v>0</v>
      </c>
      <c r="AB192" s="16">
        <v>0</v>
      </c>
      <c r="AC192" s="16">
        <v>0</v>
      </c>
      <c r="AE192" s="16">
        <v>0</v>
      </c>
      <c r="AF192" s="16">
        <v>0</v>
      </c>
      <c r="AG192" s="16">
        <v>0</v>
      </c>
      <c r="AH192" s="16">
        <f t="shared" si="13"/>
        <v>0</v>
      </c>
      <c r="AI192" s="343">
        <f t="shared" si="14"/>
        <v>0</v>
      </c>
    </row>
    <row r="193" spans="1:35">
      <c r="A193" s="27"/>
      <c r="B193" s="118" t="s">
        <v>214</v>
      </c>
      <c r="C193" s="109"/>
      <c r="D193" s="20"/>
      <c r="E193" s="20" t="s">
        <v>114</v>
      </c>
      <c r="F193" s="68" t="s">
        <v>244</v>
      </c>
      <c r="G193" s="91"/>
      <c r="H193" s="144" t="s">
        <v>226</v>
      </c>
      <c r="I193" s="255"/>
      <c r="J193" s="256"/>
      <c r="K193" s="257"/>
      <c r="L193" s="31"/>
      <c r="M193" s="89">
        <v>0</v>
      </c>
      <c r="N193" s="84">
        <v>44422.29</v>
      </c>
      <c r="O193" s="42"/>
      <c r="P193" s="31">
        <v>0</v>
      </c>
      <c r="Q193" s="14">
        <v>44422.29</v>
      </c>
      <c r="R193" s="178"/>
      <c r="S193" s="295"/>
      <c r="T193" s="14" t="str">
        <f t="shared" si="12"/>
        <v/>
      </c>
      <c r="U193" s="158">
        <v>0</v>
      </c>
      <c r="V193" s="158">
        <v>0</v>
      </c>
      <c r="W193" s="158">
        <v>44422.29</v>
      </c>
      <c r="X193" s="104"/>
      <c r="Y193" s="136"/>
      <c r="Z193" s="38">
        <v>0</v>
      </c>
      <c r="AA193" s="16">
        <v>0</v>
      </c>
      <c r="AB193" s="16">
        <v>0</v>
      </c>
      <c r="AC193" s="16">
        <v>0</v>
      </c>
      <c r="AE193" s="16">
        <v>0</v>
      </c>
      <c r="AF193" s="16">
        <v>0</v>
      </c>
      <c r="AG193" s="16">
        <v>44422.29</v>
      </c>
      <c r="AH193" s="16">
        <f t="shared" si="13"/>
        <v>44422.29</v>
      </c>
      <c r="AI193" s="343">
        <f t="shared" si="14"/>
        <v>9.6664175652794414E-3</v>
      </c>
    </row>
    <row r="194" spans="1:35">
      <c r="A194" s="27"/>
      <c r="B194" s="118" t="s">
        <v>214</v>
      </c>
      <c r="C194" s="109"/>
      <c r="D194" s="20"/>
      <c r="E194" s="20" t="s">
        <v>110</v>
      </c>
      <c r="F194" s="68" t="s">
        <v>341</v>
      </c>
      <c r="G194" s="91">
        <v>-17881.499999999993</v>
      </c>
      <c r="H194" s="144">
        <v>-16000</v>
      </c>
      <c r="I194" s="252"/>
      <c r="J194" s="253"/>
      <c r="K194" s="254"/>
      <c r="L194" s="2"/>
      <c r="M194" s="89">
        <v>-33881.499999999993</v>
      </c>
      <c r="N194" s="84">
        <v>43282.899999999994</v>
      </c>
      <c r="O194" s="42"/>
      <c r="P194" s="31">
        <v>0</v>
      </c>
      <c r="Q194" s="14">
        <v>43282.899999999994</v>
      </c>
      <c r="R194" s="178"/>
      <c r="S194" s="295"/>
      <c r="T194" s="14" t="str">
        <f t="shared" si="12"/>
        <v/>
      </c>
      <c r="U194" s="158">
        <v>43282.899999999994</v>
      </c>
      <c r="V194" s="158">
        <v>0</v>
      </c>
      <c r="W194" s="158">
        <v>0</v>
      </c>
      <c r="X194" s="104"/>
      <c r="Y194" s="136"/>
      <c r="Z194" s="38">
        <v>0</v>
      </c>
      <c r="AA194" s="16">
        <v>-33881.499999999993</v>
      </c>
      <c r="AB194" s="16">
        <v>0</v>
      </c>
      <c r="AC194" s="16">
        <v>0</v>
      </c>
      <c r="AE194" s="16">
        <v>43282.899999999994</v>
      </c>
      <c r="AF194" s="16">
        <v>0</v>
      </c>
      <c r="AG194" s="16">
        <v>0</v>
      </c>
      <c r="AH194" s="16">
        <f t="shared" si="13"/>
        <v>43282.899999999994</v>
      </c>
      <c r="AI194" s="343">
        <f t="shared" si="14"/>
        <v>9.4184830371471951E-3</v>
      </c>
    </row>
    <row r="195" spans="1:35">
      <c r="A195" s="27"/>
      <c r="B195" s="118"/>
      <c r="C195" s="109"/>
      <c r="D195" s="20"/>
      <c r="E195" s="20" t="s">
        <v>109</v>
      </c>
      <c r="F195" s="68" t="s">
        <v>304</v>
      </c>
      <c r="G195" s="133"/>
      <c r="H195" s="144">
        <v>-3000</v>
      </c>
      <c r="I195" s="217"/>
      <c r="J195" s="187"/>
      <c r="K195" s="219"/>
      <c r="L195" s="31"/>
      <c r="M195" s="89">
        <v>-3000</v>
      </c>
      <c r="N195" s="84"/>
      <c r="O195" s="42"/>
      <c r="P195" s="31">
        <v>0</v>
      </c>
      <c r="Q195" s="14">
        <v>0</v>
      </c>
      <c r="R195" s="178">
        <v>1093.6500000000001</v>
      </c>
      <c r="S195" s="295"/>
      <c r="T195" s="14">
        <f t="shared" si="12"/>
        <v>1093.6500000000001</v>
      </c>
      <c r="U195" s="158">
        <v>0</v>
      </c>
      <c r="V195" s="158">
        <v>0</v>
      </c>
      <c r="W195" s="158">
        <v>0</v>
      </c>
      <c r="X195" s="104"/>
      <c r="Y195" s="136"/>
      <c r="Z195" s="38">
        <v>0</v>
      </c>
      <c r="AA195" s="16">
        <v>0</v>
      </c>
      <c r="AB195" s="16">
        <v>-3000</v>
      </c>
      <c r="AC195" s="16">
        <v>0</v>
      </c>
      <c r="AE195" s="16">
        <v>0</v>
      </c>
      <c r="AF195" s="16">
        <v>0</v>
      </c>
      <c r="AG195" s="16">
        <v>0</v>
      </c>
      <c r="AH195" s="16">
        <f t="shared" si="13"/>
        <v>0</v>
      </c>
      <c r="AI195" s="343">
        <f t="shared" si="14"/>
        <v>0</v>
      </c>
    </row>
    <row r="196" spans="1:35">
      <c r="A196" s="27"/>
      <c r="B196" s="120"/>
      <c r="C196" s="111"/>
      <c r="D196" s="21" t="s">
        <v>97</v>
      </c>
      <c r="E196" s="21" t="s">
        <v>109</v>
      </c>
      <c r="F196" s="68" t="s">
        <v>58</v>
      </c>
      <c r="G196" s="133"/>
      <c r="H196" s="144">
        <v>2941.1900000000005</v>
      </c>
      <c r="I196" s="217"/>
      <c r="J196" s="187"/>
      <c r="K196" s="361">
        <v>1788.86</v>
      </c>
      <c r="L196" s="31"/>
      <c r="M196" s="89">
        <v>2941.1900000000005</v>
      </c>
      <c r="N196" s="84"/>
      <c r="O196" s="42">
        <v>7141.1900000000005</v>
      </c>
      <c r="P196" s="31">
        <v>0</v>
      </c>
      <c r="Q196" s="14">
        <v>7141.1900000000005</v>
      </c>
      <c r="R196" s="178">
        <f>2086.74+1616.77+1788</f>
        <v>5491.51</v>
      </c>
      <c r="S196" s="295"/>
      <c r="T196" s="14">
        <f t="shared" si="12"/>
        <v>-1649.6800000000003</v>
      </c>
      <c r="U196" s="158">
        <v>0</v>
      </c>
      <c r="V196" s="158">
        <v>7141.1900000000005</v>
      </c>
      <c r="W196" s="158">
        <v>0</v>
      </c>
      <c r="X196" s="104"/>
      <c r="Y196" s="136"/>
      <c r="Z196" s="38">
        <v>0</v>
      </c>
      <c r="AA196" s="16">
        <v>0</v>
      </c>
      <c r="AB196" s="16">
        <v>2941.1900000000005</v>
      </c>
      <c r="AC196" s="16">
        <v>0</v>
      </c>
      <c r="AE196" s="16">
        <v>0</v>
      </c>
      <c r="AF196" s="16">
        <v>7141.1900000000005</v>
      </c>
      <c r="AG196" s="16">
        <v>0</v>
      </c>
      <c r="AH196" s="16">
        <f t="shared" si="13"/>
        <v>7141.1900000000005</v>
      </c>
      <c r="AI196" s="343">
        <f t="shared" si="14"/>
        <v>1.5539434021298293E-3</v>
      </c>
    </row>
    <row r="197" spans="1:35">
      <c r="A197" s="27"/>
      <c r="B197" s="118"/>
      <c r="C197" s="109"/>
      <c r="D197" s="20"/>
      <c r="E197" s="20" t="s">
        <v>109</v>
      </c>
      <c r="F197" s="68" t="s">
        <v>59</v>
      </c>
      <c r="G197" s="133"/>
      <c r="H197" s="144" t="s">
        <v>226</v>
      </c>
      <c r="I197" s="202"/>
      <c r="J197" s="181"/>
      <c r="K197" s="219"/>
      <c r="L197" s="31"/>
      <c r="M197" s="89">
        <v>0</v>
      </c>
      <c r="N197" s="84"/>
      <c r="O197" s="42">
        <v>0</v>
      </c>
      <c r="P197" s="31">
        <v>0</v>
      </c>
      <c r="Q197" s="14">
        <v>0</v>
      </c>
      <c r="R197" s="178"/>
      <c r="S197" s="295"/>
      <c r="T197" s="14" t="str">
        <f t="shared" si="12"/>
        <v/>
      </c>
      <c r="U197" s="158">
        <v>0</v>
      </c>
      <c r="V197" s="158">
        <v>0</v>
      </c>
      <c r="W197" s="158">
        <v>0</v>
      </c>
      <c r="X197" s="104"/>
      <c r="Y197" s="136"/>
      <c r="Z197" s="38">
        <v>0</v>
      </c>
      <c r="AA197" s="16">
        <v>0</v>
      </c>
      <c r="AB197" s="16">
        <v>0</v>
      </c>
      <c r="AC197" s="16">
        <v>0</v>
      </c>
      <c r="AE197" s="16">
        <v>0</v>
      </c>
      <c r="AF197" s="16">
        <v>0</v>
      </c>
      <c r="AG197" s="16">
        <v>0</v>
      </c>
      <c r="AH197" s="16">
        <f t="shared" si="13"/>
        <v>0</v>
      </c>
      <c r="AI197" s="343">
        <f t="shared" si="14"/>
        <v>0</v>
      </c>
    </row>
    <row r="198" spans="1:35">
      <c r="A198" s="27"/>
      <c r="B198" s="118"/>
      <c r="C198" s="109"/>
      <c r="D198" s="20"/>
      <c r="E198" s="20" t="s">
        <v>110</v>
      </c>
      <c r="F198" s="123" t="s">
        <v>166</v>
      </c>
      <c r="G198" s="91"/>
      <c r="H198" s="144" t="s">
        <v>226</v>
      </c>
      <c r="I198" s="202"/>
      <c r="J198" s="183"/>
      <c r="K198" s="219"/>
      <c r="L198" s="31"/>
      <c r="M198" s="89">
        <v>0</v>
      </c>
      <c r="N198" s="84"/>
      <c r="O198" s="42">
        <v>2906.13</v>
      </c>
      <c r="P198" s="31">
        <v>0</v>
      </c>
      <c r="Q198" s="14">
        <v>2906.13</v>
      </c>
      <c r="R198" s="178">
        <f>531.31+754.16+731.34</f>
        <v>2016.81</v>
      </c>
      <c r="S198" s="295"/>
      <c r="T198" s="14">
        <f t="shared" si="12"/>
        <v>-889.32000000000016</v>
      </c>
      <c r="U198" s="158">
        <v>2906.13</v>
      </c>
      <c r="V198" s="158">
        <v>0</v>
      </c>
      <c r="W198" s="158">
        <v>0</v>
      </c>
      <c r="X198" s="104"/>
      <c r="Y198" s="136"/>
      <c r="Z198" s="38">
        <v>0</v>
      </c>
      <c r="AA198" s="16">
        <v>0</v>
      </c>
      <c r="AB198" s="16">
        <v>0</v>
      </c>
      <c r="AC198" s="16">
        <v>0</v>
      </c>
      <c r="AE198" s="16">
        <v>2906.13</v>
      </c>
      <c r="AF198" s="16">
        <v>0</v>
      </c>
      <c r="AG198" s="16">
        <v>0</v>
      </c>
      <c r="AH198" s="16">
        <f t="shared" si="13"/>
        <v>2906.13</v>
      </c>
      <c r="AI198" s="343">
        <f t="shared" si="14"/>
        <v>6.3238221350104965E-4</v>
      </c>
    </row>
    <row r="199" spans="1:35">
      <c r="A199" s="27"/>
      <c r="B199" s="118"/>
      <c r="C199" s="109"/>
      <c r="D199" s="20"/>
      <c r="E199" s="20" t="s">
        <v>109</v>
      </c>
      <c r="F199" s="123" t="s">
        <v>165</v>
      </c>
      <c r="G199" s="91"/>
      <c r="H199" s="144" t="s">
        <v>226</v>
      </c>
      <c r="I199" s="202"/>
      <c r="J199" s="187"/>
      <c r="K199" s="219"/>
      <c r="L199" s="31"/>
      <c r="M199" s="89">
        <v>0</v>
      </c>
      <c r="N199" s="84"/>
      <c r="O199" s="42">
        <v>8165.35</v>
      </c>
      <c r="P199" s="31">
        <v>0</v>
      </c>
      <c r="Q199" s="14">
        <v>8165.35</v>
      </c>
      <c r="R199" s="178">
        <f>1946.94+1681.99+2157.35</f>
        <v>5786.2800000000007</v>
      </c>
      <c r="S199" s="295"/>
      <c r="T199" s="14">
        <f t="shared" si="12"/>
        <v>-2379.0699999999997</v>
      </c>
      <c r="U199" s="158">
        <v>0</v>
      </c>
      <c r="V199" s="158">
        <v>8165.35</v>
      </c>
      <c r="W199" s="158">
        <v>0</v>
      </c>
      <c r="X199" s="104"/>
      <c r="Y199" s="136"/>
      <c r="Z199" s="38">
        <v>0</v>
      </c>
      <c r="AA199" s="16">
        <v>0</v>
      </c>
      <c r="AB199" s="16">
        <v>0</v>
      </c>
      <c r="AC199" s="16">
        <v>0</v>
      </c>
      <c r="AE199" s="16">
        <v>0</v>
      </c>
      <c r="AF199" s="16">
        <v>8165.35</v>
      </c>
      <c r="AG199" s="16">
        <v>0</v>
      </c>
      <c r="AH199" s="16">
        <f t="shared" si="13"/>
        <v>8165.35</v>
      </c>
      <c r="AI199" s="343">
        <f t="shared" si="14"/>
        <v>1.7768035521503842E-3</v>
      </c>
    </row>
    <row r="200" spans="1:35">
      <c r="A200" s="27"/>
      <c r="B200" s="118"/>
      <c r="C200" s="109"/>
      <c r="D200" s="20"/>
      <c r="E200" s="20" t="s">
        <v>110</v>
      </c>
      <c r="F200" s="68" t="s">
        <v>121</v>
      </c>
      <c r="G200" s="133"/>
      <c r="H200" s="144" t="s">
        <v>226</v>
      </c>
      <c r="I200" s="220"/>
      <c r="J200" s="188"/>
      <c r="K200" s="201"/>
      <c r="L200" s="31"/>
      <c r="M200" s="89">
        <v>0</v>
      </c>
      <c r="N200" s="84"/>
      <c r="O200" s="42"/>
      <c r="P200" s="31">
        <v>0</v>
      </c>
      <c r="Q200" s="14">
        <v>0</v>
      </c>
      <c r="R200" s="178"/>
      <c r="S200" s="295"/>
      <c r="T200" s="14" t="str">
        <f t="shared" si="12"/>
        <v/>
      </c>
      <c r="U200" s="158">
        <v>0</v>
      </c>
      <c r="V200" s="158">
        <v>0</v>
      </c>
      <c r="W200" s="158">
        <v>0</v>
      </c>
      <c r="X200" s="104"/>
      <c r="Y200" s="136"/>
      <c r="Z200" s="38">
        <v>0</v>
      </c>
      <c r="AA200" s="16">
        <v>0</v>
      </c>
      <c r="AB200" s="16">
        <v>0</v>
      </c>
      <c r="AC200" s="16">
        <v>0</v>
      </c>
      <c r="AE200" s="16">
        <v>0</v>
      </c>
      <c r="AF200" s="16">
        <v>0</v>
      </c>
      <c r="AG200" s="16">
        <v>0</v>
      </c>
      <c r="AH200" s="16">
        <f t="shared" si="13"/>
        <v>0</v>
      </c>
      <c r="AI200" s="343">
        <f t="shared" si="14"/>
        <v>0</v>
      </c>
    </row>
    <row r="201" spans="1:35">
      <c r="A201" s="27"/>
      <c r="B201" s="118"/>
      <c r="C201" s="109"/>
      <c r="D201" s="20"/>
      <c r="E201" s="20" t="s">
        <v>110</v>
      </c>
      <c r="F201" s="68" t="s">
        <v>168</v>
      </c>
      <c r="G201" s="91"/>
      <c r="H201" s="144" t="s">
        <v>226</v>
      </c>
      <c r="I201" s="202"/>
      <c r="J201" s="181"/>
      <c r="K201" s="219"/>
      <c r="L201" s="31"/>
      <c r="M201" s="89">
        <v>0</v>
      </c>
      <c r="N201" s="84"/>
      <c r="O201" s="42"/>
      <c r="P201" s="31">
        <v>0</v>
      </c>
      <c r="Q201" s="14">
        <v>0</v>
      </c>
      <c r="R201" s="178"/>
      <c r="S201" s="295"/>
      <c r="T201" s="14" t="str">
        <f t="shared" si="12"/>
        <v/>
      </c>
      <c r="U201" s="158">
        <v>0</v>
      </c>
      <c r="V201" s="158">
        <v>0</v>
      </c>
      <c r="W201" s="158">
        <v>0</v>
      </c>
      <c r="X201" s="104"/>
      <c r="Y201" s="136"/>
      <c r="Z201" s="38">
        <v>0</v>
      </c>
      <c r="AA201" s="16">
        <v>0</v>
      </c>
      <c r="AB201" s="16">
        <v>0</v>
      </c>
      <c r="AC201" s="16">
        <v>0</v>
      </c>
      <c r="AE201" s="16">
        <v>0</v>
      </c>
      <c r="AF201" s="16">
        <v>0</v>
      </c>
      <c r="AG201" s="16">
        <v>0</v>
      </c>
      <c r="AH201" s="16">
        <f t="shared" si="13"/>
        <v>0</v>
      </c>
      <c r="AI201" s="343">
        <f t="shared" si="14"/>
        <v>0</v>
      </c>
    </row>
    <row r="202" spans="1:35">
      <c r="A202" s="27"/>
      <c r="B202" s="118"/>
      <c r="C202" s="109"/>
      <c r="D202" s="20"/>
      <c r="E202" s="20" t="s">
        <v>109</v>
      </c>
      <c r="F202" s="68" t="s">
        <v>167</v>
      </c>
      <c r="G202" s="91"/>
      <c r="H202" s="144" t="s">
        <v>226</v>
      </c>
      <c r="I202" s="221"/>
      <c r="J202" s="187"/>
      <c r="K202" s="361">
        <v>153.81</v>
      </c>
      <c r="L202" s="31"/>
      <c r="M202" s="89">
        <v>0</v>
      </c>
      <c r="N202" s="84"/>
      <c r="O202" s="42"/>
      <c r="P202" s="31">
        <v>0</v>
      </c>
      <c r="Q202" s="14">
        <v>0</v>
      </c>
      <c r="R202" s="178">
        <f>176.61+133.15+153.81</f>
        <v>463.57</v>
      </c>
      <c r="S202" s="295"/>
      <c r="T202" s="14">
        <f t="shared" si="12"/>
        <v>463.57</v>
      </c>
      <c r="U202" s="158">
        <v>0</v>
      </c>
      <c r="V202" s="158">
        <v>0</v>
      </c>
      <c r="W202" s="158">
        <v>0</v>
      </c>
      <c r="X202" s="104"/>
      <c r="Y202" s="136"/>
      <c r="Z202" s="38">
        <v>0</v>
      </c>
      <c r="AA202" s="16">
        <v>0</v>
      </c>
      <c r="AB202" s="16">
        <v>0</v>
      </c>
      <c r="AC202" s="16">
        <v>0</v>
      </c>
      <c r="AE202" s="16">
        <v>0</v>
      </c>
      <c r="AF202" s="16">
        <v>0</v>
      </c>
      <c r="AG202" s="16">
        <v>0</v>
      </c>
      <c r="AH202" s="16">
        <f t="shared" si="13"/>
        <v>0</v>
      </c>
      <c r="AI202" s="343">
        <f t="shared" si="14"/>
        <v>0</v>
      </c>
    </row>
    <row r="203" spans="1:35">
      <c r="A203" s="110"/>
      <c r="B203" s="118"/>
      <c r="C203" s="109"/>
      <c r="D203" s="20" t="s">
        <v>218</v>
      </c>
      <c r="E203" s="20" t="s">
        <v>110</v>
      </c>
      <c r="F203" s="68" t="s">
        <v>240</v>
      </c>
      <c r="G203" s="6"/>
      <c r="H203" s="144" t="s">
        <v>226</v>
      </c>
      <c r="I203" s="221"/>
      <c r="J203" s="187"/>
      <c r="K203" s="219"/>
      <c r="L203" s="2"/>
      <c r="M203" s="89">
        <v>0</v>
      </c>
      <c r="N203" s="84"/>
      <c r="O203" s="42"/>
      <c r="P203" s="31">
        <v>0</v>
      </c>
      <c r="Q203" s="14">
        <v>0</v>
      </c>
      <c r="R203" s="178"/>
      <c r="S203" s="295"/>
      <c r="T203" s="14" t="str">
        <f t="shared" si="12"/>
        <v/>
      </c>
      <c r="U203" s="158">
        <v>0</v>
      </c>
      <c r="V203" s="158">
        <v>0</v>
      </c>
      <c r="W203" s="158">
        <v>0</v>
      </c>
      <c r="X203" s="104"/>
      <c r="Y203" s="136"/>
      <c r="Z203" s="38">
        <v>0</v>
      </c>
      <c r="AA203" s="16">
        <v>0</v>
      </c>
      <c r="AB203" s="16">
        <v>0</v>
      </c>
      <c r="AC203" s="16">
        <v>0</v>
      </c>
      <c r="AE203" s="16">
        <v>0</v>
      </c>
      <c r="AF203" s="16">
        <v>0</v>
      </c>
      <c r="AG203" s="16">
        <v>0</v>
      </c>
      <c r="AH203" s="16">
        <f t="shared" si="13"/>
        <v>0</v>
      </c>
      <c r="AI203" s="343">
        <f t="shared" si="14"/>
        <v>0</v>
      </c>
    </row>
    <row r="204" spans="1:35">
      <c r="A204" s="110"/>
      <c r="B204" s="118"/>
      <c r="C204" s="109"/>
      <c r="D204" s="20" t="s">
        <v>218</v>
      </c>
      <c r="E204" s="20" t="s">
        <v>110</v>
      </c>
      <c r="F204" s="68" t="s">
        <v>60</v>
      </c>
      <c r="G204" s="91"/>
      <c r="H204" s="144">
        <v>1355.67</v>
      </c>
      <c r="I204" s="212"/>
      <c r="J204" s="183"/>
      <c r="K204" s="204"/>
      <c r="L204" s="2"/>
      <c r="M204" s="89">
        <v>1355.67</v>
      </c>
      <c r="N204" s="84"/>
      <c r="O204" s="42"/>
      <c r="P204" s="31">
        <v>0</v>
      </c>
      <c r="Q204" s="14">
        <v>0</v>
      </c>
      <c r="R204" s="178">
        <f>3421.49+2010.14+2108.26</f>
        <v>7539.89</v>
      </c>
      <c r="S204" s="295"/>
      <c r="T204" s="14">
        <f t="shared" si="12"/>
        <v>7539.89</v>
      </c>
      <c r="U204" s="158">
        <v>0</v>
      </c>
      <c r="V204" s="158">
        <v>0</v>
      </c>
      <c r="W204" s="158">
        <v>0</v>
      </c>
      <c r="X204" s="104"/>
      <c r="Y204" s="136"/>
      <c r="Z204" s="38">
        <v>0</v>
      </c>
      <c r="AA204" s="16">
        <v>1355.67</v>
      </c>
      <c r="AB204" s="16">
        <v>0</v>
      </c>
      <c r="AC204" s="16">
        <v>0</v>
      </c>
      <c r="AE204" s="16">
        <v>0</v>
      </c>
      <c r="AF204" s="16">
        <v>0</v>
      </c>
      <c r="AG204" s="16">
        <v>0</v>
      </c>
      <c r="AH204" s="16">
        <f t="shared" si="13"/>
        <v>0</v>
      </c>
      <c r="AI204" s="343">
        <f t="shared" si="14"/>
        <v>0</v>
      </c>
    </row>
    <row r="205" spans="1:35">
      <c r="A205" s="126"/>
      <c r="B205" s="118" t="s">
        <v>219</v>
      </c>
      <c r="C205" s="109"/>
      <c r="D205" s="20"/>
      <c r="E205" s="20" t="s">
        <v>110</v>
      </c>
      <c r="F205" s="68" t="s">
        <v>61</v>
      </c>
      <c r="G205" s="91"/>
      <c r="H205" s="144" t="s">
        <v>226</v>
      </c>
      <c r="I205" s="212"/>
      <c r="J205" s="183"/>
      <c r="K205" s="204"/>
      <c r="L205" s="2"/>
      <c r="M205" s="89">
        <v>0</v>
      </c>
      <c r="N205" s="84"/>
      <c r="O205" s="42"/>
      <c r="P205" s="31">
        <v>0</v>
      </c>
      <c r="Q205" s="14">
        <v>0</v>
      </c>
      <c r="R205" s="178"/>
      <c r="S205" s="295"/>
      <c r="T205" s="14" t="str">
        <f t="shared" si="12"/>
        <v/>
      </c>
      <c r="U205" s="158">
        <v>0</v>
      </c>
      <c r="V205" s="158">
        <v>0</v>
      </c>
      <c r="W205" s="158">
        <v>0</v>
      </c>
      <c r="X205" s="104"/>
      <c r="Y205" s="136"/>
      <c r="Z205" s="38">
        <v>0</v>
      </c>
      <c r="AA205" s="16">
        <v>0</v>
      </c>
      <c r="AB205" s="16">
        <v>0</v>
      </c>
      <c r="AC205" s="16">
        <v>0</v>
      </c>
      <c r="AE205" s="16">
        <v>0</v>
      </c>
      <c r="AF205" s="16">
        <v>0</v>
      </c>
      <c r="AG205" s="16">
        <v>0</v>
      </c>
      <c r="AH205" s="16">
        <f t="shared" si="13"/>
        <v>0</v>
      </c>
      <c r="AI205" s="343">
        <f t="shared" si="14"/>
        <v>0</v>
      </c>
    </row>
    <row r="206" spans="1:35">
      <c r="A206" s="16"/>
      <c r="B206" s="118"/>
      <c r="C206" s="109"/>
      <c r="D206" s="20"/>
      <c r="E206" s="20" t="s">
        <v>110</v>
      </c>
      <c r="F206" s="68" t="s">
        <v>169</v>
      </c>
      <c r="G206" s="91"/>
      <c r="H206" s="144" t="s">
        <v>226</v>
      </c>
      <c r="I206" s="216">
        <v>5155.21</v>
      </c>
      <c r="J206" s="178">
        <v>4694.43</v>
      </c>
      <c r="K206" s="205">
        <v>5576.5</v>
      </c>
      <c r="L206" s="31"/>
      <c r="M206" s="89">
        <v>15426.14</v>
      </c>
      <c r="N206" s="84"/>
      <c r="O206" s="42"/>
      <c r="P206" s="31">
        <v>0</v>
      </c>
      <c r="Q206" s="14">
        <v>0</v>
      </c>
      <c r="R206" s="178"/>
      <c r="S206" s="295"/>
      <c r="T206" s="14" t="str">
        <f t="shared" si="12"/>
        <v/>
      </c>
      <c r="U206" s="158">
        <v>0</v>
      </c>
      <c r="V206" s="158">
        <v>0</v>
      </c>
      <c r="W206" s="158">
        <v>0</v>
      </c>
      <c r="X206" s="104"/>
      <c r="Y206" s="136"/>
      <c r="Z206" s="38">
        <v>0</v>
      </c>
      <c r="AA206" s="16">
        <v>15426.14</v>
      </c>
      <c r="AB206" s="16">
        <v>0</v>
      </c>
      <c r="AC206" s="16">
        <v>0</v>
      </c>
      <c r="AE206" s="16">
        <v>0</v>
      </c>
      <c r="AF206" s="16">
        <v>0</v>
      </c>
      <c r="AG206" s="16">
        <v>0</v>
      </c>
      <c r="AH206" s="16">
        <f t="shared" si="13"/>
        <v>0</v>
      </c>
      <c r="AI206" s="343">
        <f t="shared" si="14"/>
        <v>0</v>
      </c>
    </row>
    <row r="207" spans="1:35">
      <c r="A207" s="16"/>
      <c r="B207" s="120" t="s">
        <v>90</v>
      </c>
      <c r="C207" s="111"/>
      <c r="D207" s="21"/>
      <c r="E207" s="21" t="s">
        <v>110</v>
      </c>
      <c r="F207" s="68" t="s">
        <v>301</v>
      </c>
      <c r="G207" s="68"/>
      <c r="H207" s="144" t="s">
        <v>226</v>
      </c>
      <c r="I207" s="144"/>
      <c r="J207" s="144"/>
      <c r="K207" s="144"/>
      <c r="L207" s="31"/>
      <c r="M207" s="89">
        <v>0</v>
      </c>
      <c r="N207" s="144"/>
      <c r="O207" s="144"/>
      <c r="P207" s="31">
        <v>0</v>
      </c>
      <c r="Q207" s="14">
        <v>0</v>
      </c>
      <c r="R207" s="178">
        <v>0</v>
      </c>
      <c r="S207" s="295"/>
      <c r="T207" s="14">
        <f t="shared" ref="T207" si="15">IF(R207="","",R207-Q207)</f>
        <v>0</v>
      </c>
      <c r="U207" s="158">
        <v>0</v>
      </c>
      <c r="V207" s="158">
        <v>0</v>
      </c>
      <c r="W207" s="158">
        <v>0</v>
      </c>
      <c r="X207" s="104"/>
      <c r="Y207" s="136"/>
      <c r="Z207" s="38">
        <v>0</v>
      </c>
      <c r="AA207" s="16">
        <v>0</v>
      </c>
      <c r="AB207" s="16">
        <v>0</v>
      </c>
      <c r="AC207" s="16">
        <v>0</v>
      </c>
      <c r="AE207" s="16">
        <v>0</v>
      </c>
      <c r="AF207" s="16">
        <v>0</v>
      </c>
      <c r="AG207" s="16">
        <v>0</v>
      </c>
      <c r="AH207" s="16">
        <f t="shared" si="13"/>
        <v>0</v>
      </c>
      <c r="AI207" s="343">
        <f t="shared" si="14"/>
        <v>0</v>
      </c>
    </row>
    <row r="208" spans="1:35" ht="13" thickBot="1">
      <c r="A208" s="16"/>
      <c r="B208" s="120" t="s">
        <v>90</v>
      </c>
      <c r="C208" s="111"/>
      <c r="D208" s="21"/>
      <c r="E208" s="21" t="s">
        <v>110</v>
      </c>
      <c r="F208" s="130" t="s">
        <v>87</v>
      </c>
      <c r="G208" s="170"/>
      <c r="H208" s="144" t="s">
        <v>226</v>
      </c>
      <c r="I208" s="222"/>
      <c r="J208" s="179"/>
      <c r="K208" s="203"/>
      <c r="L208" s="31"/>
      <c r="M208" s="89">
        <v>0</v>
      </c>
      <c r="N208" s="39"/>
      <c r="O208" s="45"/>
      <c r="P208" s="31">
        <v>0</v>
      </c>
      <c r="Q208" s="14">
        <v>0</v>
      </c>
      <c r="R208" s="178"/>
      <c r="S208" s="295"/>
      <c r="T208" s="14" t="str">
        <f t="shared" si="12"/>
        <v/>
      </c>
      <c r="U208" s="158">
        <v>0</v>
      </c>
      <c r="V208" s="158">
        <v>0</v>
      </c>
      <c r="W208" s="158">
        <v>0</v>
      </c>
      <c r="X208" s="104"/>
      <c r="Y208" s="136"/>
      <c r="Z208" s="38">
        <v>0</v>
      </c>
      <c r="AA208" s="16">
        <v>0</v>
      </c>
      <c r="AB208" s="16">
        <v>0</v>
      </c>
      <c r="AC208" s="16">
        <v>0</v>
      </c>
      <c r="AE208" s="16">
        <v>0</v>
      </c>
      <c r="AF208" s="16">
        <v>0</v>
      </c>
      <c r="AG208" s="16">
        <v>0</v>
      </c>
      <c r="AH208" s="16">
        <f t="shared" si="13"/>
        <v>0</v>
      </c>
      <c r="AI208" s="343">
        <f t="shared" si="14"/>
        <v>0</v>
      </c>
    </row>
    <row r="209" spans="1:35">
      <c r="A209" s="16"/>
      <c r="B209" s="121"/>
      <c r="C209" s="114"/>
      <c r="D209" s="25"/>
      <c r="E209" s="25" t="s">
        <v>110</v>
      </c>
      <c r="F209" s="69" t="s">
        <v>62</v>
      </c>
      <c r="G209" s="171"/>
      <c r="H209" s="144" t="s">
        <v>226</v>
      </c>
      <c r="I209" s="223"/>
      <c r="J209" s="26"/>
      <c r="K209" s="224"/>
      <c r="L209" s="31"/>
      <c r="M209" s="89">
        <v>0</v>
      </c>
      <c r="N209" s="87"/>
      <c r="O209" s="43"/>
      <c r="P209" s="31">
        <v>0</v>
      </c>
      <c r="Q209" s="14">
        <v>0</v>
      </c>
      <c r="R209" s="178"/>
      <c r="S209" s="295"/>
      <c r="T209" s="14" t="str">
        <f t="shared" si="12"/>
        <v/>
      </c>
      <c r="U209" s="158">
        <v>0</v>
      </c>
      <c r="V209" s="158">
        <v>0</v>
      </c>
      <c r="W209" s="158">
        <v>0</v>
      </c>
      <c r="X209" s="104"/>
      <c r="Y209" s="136"/>
      <c r="Z209" s="38">
        <v>0</v>
      </c>
      <c r="AA209" s="16">
        <v>0</v>
      </c>
      <c r="AB209" s="16">
        <v>0</v>
      </c>
      <c r="AC209" s="16">
        <v>0</v>
      </c>
      <c r="AE209" s="16">
        <v>0</v>
      </c>
      <c r="AF209" s="16">
        <v>0</v>
      </c>
      <c r="AG209" s="16">
        <v>0</v>
      </c>
      <c r="AH209" s="16">
        <f t="shared" si="13"/>
        <v>0</v>
      </c>
      <c r="AI209" s="343">
        <f t="shared" si="14"/>
        <v>0</v>
      </c>
    </row>
    <row r="210" spans="1:35">
      <c r="A210" s="16" t="s">
        <v>217</v>
      </c>
      <c r="B210" s="121"/>
      <c r="C210" s="114"/>
      <c r="D210" s="25"/>
      <c r="E210" s="25"/>
      <c r="F210" s="70" t="s">
        <v>6</v>
      </c>
      <c r="G210" s="171"/>
      <c r="H210" s="144" t="s">
        <v>226</v>
      </c>
      <c r="I210" s="223"/>
      <c r="J210" s="26"/>
      <c r="K210" s="224"/>
      <c r="L210" s="31"/>
      <c r="M210" s="89">
        <v>0</v>
      </c>
      <c r="N210" s="88"/>
      <c r="O210" s="44"/>
      <c r="P210" s="31">
        <v>0</v>
      </c>
      <c r="Q210" s="14">
        <v>0</v>
      </c>
      <c r="R210" s="178"/>
      <c r="S210" s="295"/>
      <c r="T210" s="14" t="str">
        <f t="shared" si="12"/>
        <v/>
      </c>
      <c r="U210" s="158">
        <v>0</v>
      </c>
      <c r="V210" s="158">
        <v>0</v>
      </c>
      <c r="W210" s="158">
        <v>0</v>
      </c>
      <c r="X210" s="104"/>
      <c r="Y210" s="136"/>
      <c r="Z210" s="38">
        <v>0</v>
      </c>
      <c r="AA210" s="16">
        <v>0</v>
      </c>
      <c r="AB210" s="16">
        <v>0</v>
      </c>
      <c r="AC210" s="16">
        <v>0</v>
      </c>
      <c r="AE210" s="16">
        <v>0</v>
      </c>
      <c r="AF210" s="16">
        <v>0</v>
      </c>
      <c r="AG210" s="16">
        <v>0</v>
      </c>
      <c r="AH210" s="16">
        <f t="shared" si="13"/>
        <v>0</v>
      </c>
      <c r="AI210" s="343">
        <f t="shared" si="14"/>
        <v>0</v>
      </c>
    </row>
    <row r="211" spans="1:35">
      <c r="A211" s="16"/>
      <c r="B211" s="121"/>
      <c r="C211" s="114"/>
      <c r="D211" s="25"/>
      <c r="E211" s="25"/>
      <c r="F211" s="70" t="s">
        <v>30</v>
      </c>
      <c r="G211" s="171"/>
      <c r="H211" s="144" t="s">
        <v>226</v>
      </c>
      <c r="I211" s="225"/>
      <c r="J211" s="1"/>
      <c r="K211" s="224"/>
      <c r="L211" s="31"/>
      <c r="M211" s="89">
        <v>0</v>
      </c>
      <c r="N211" s="88"/>
      <c r="O211" s="44"/>
      <c r="P211" s="31">
        <v>0</v>
      </c>
      <c r="Q211" s="14">
        <v>0</v>
      </c>
      <c r="R211" s="178"/>
      <c r="S211" s="295"/>
      <c r="T211" s="14" t="str">
        <f t="shared" si="12"/>
        <v/>
      </c>
      <c r="U211" s="158">
        <v>0</v>
      </c>
      <c r="V211" s="158">
        <v>0</v>
      </c>
      <c r="W211" s="158">
        <v>0</v>
      </c>
      <c r="X211" s="104"/>
      <c r="Y211" s="136"/>
      <c r="Z211" s="38">
        <v>0</v>
      </c>
      <c r="AA211" s="16">
        <v>0</v>
      </c>
      <c r="AB211" s="16">
        <v>0</v>
      </c>
      <c r="AC211" s="16">
        <v>0</v>
      </c>
      <c r="AE211" s="16">
        <v>0</v>
      </c>
      <c r="AF211" s="16">
        <v>0</v>
      </c>
      <c r="AG211" s="16">
        <v>0</v>
      </c>
      <c r="AH211" s="16">
        <f t="shared" ref="AH211:AH216" si="16">SUM(AE211:AG211)</f>
        <v>0</v>
      </c>
      <c r="AI211" s="343">
        <f t="shared" ref="AI211:AI216" si="17">AH211/$AH$217</f>
        <v>0</v>
      </c>
    </row>
    <row r="212" spans="1:35">
      <c r="A212" s="16"/>
      <c r="B212" s="121"/>
      <c r="C212" s="114"/>
      <c r="D212" s="25"/>
      <c r="E212" s="25"/>
      <c r="F212" s="70" t="s">
        <v>34</v>
      </c>
      <c r="G212" s="26"/>
      <c r="H212" s="144" t="s">
        <v>226</v>
      </c>
      <c r="I212" s="225"/>
      <c r="J212" s="1"/>
      <c r="K212" s="224"/>
      <c r="L212" s="31"/>
      <c r="M212" s="89">
        <v>0</v>
      </c>
      <c r="N212" s="88"/>
      <c r="O212" s="44"/>
      <c r="P212" s="31">
        <v>0</v>
      </c>
      <c r="Q212" s="14">
        <v>0</v>
      </c>
      <c r="R212" s="178"/>
      <c r="S212" s="295"/>
      <c r="T212" s="14" t="str">
        <f t="shared" si="12"/>
        <v/>
      </c>
      <c r="U212" s="158">
        <v>0</v>
      </c>
      <c r="V212" s="158">
        <v>0</v>
      </c>
      <c r="W212" s="158">
        <v>0</v>
      </c>
      <c r="X212" s="104"/>
      <c r="Y212" s="136"/>
      <c r="Z212" s="38">
        <v>0</v>
      </c>
      <c r="AA212" s="16">
        <v>0</v>
      </c>
      <c r="AB212" s="16">
        <v>0</v>
      </c>
      <c r="AC212" s="16">
        <v>0</v>
      </c>
      <c r="AE212" s="16">
        <v>0</v>
      </c>
      <c r="AF212" s="16">
        <v>0</v>
      </c>
      <c r="AG212" s="16">
        <v>0</v>
      </c>
      <c r="AH212" s="16">
        <f t="shared" si="16"/>
        <v>0</v>
      </c>
      <c r="AI212" s="343">
        <f t="shared" si="17"/>
        <v>0</v>
      </c>
    </row>
    <row r="213" spans="1:35">
      <c r="A213" s="16"/>
      <c r="B213" s="121"/>
      <c r="C213" s="114"/>
      <c r="D213" s="25"/>
      <c r="E213" s="25"/>
      <c r="F213" s="70" t="s">
        <v>37</v>
      </c>
      <c r="G213" s="26"/>
      <c r="H213" s="144" t="s">
        <v>226</v>
      </c>
      <c r="I213" s="225"/>
      <c r="J213" s="1"/>
      <c r="K213" s="224"/>
      <c r="L213" s="31"/>
      <c r="M213" s="89">
        <v>0</v>
      </c>
      <c r="N213" s="88"/>
      <c r="O213" s="44"/>
      <c r="P213" s="31">
        <v>0</v>
      </c>
      <c r="Q213" s="14">
        <v>0</v>
      </c>
      <c r="R213" s="178"/>
      <c r="S213" s="295"/>
      <c r="T213" s="14" t="str">
        <f t="shared" ref="T213:T216" si="18">IF(R213="","",R213-Q213)</f>
        <v/>
      </c>
      <c r="U213" s="158">
        <v>0</v>
      </c>
      <c r="V213" s="158">
        <v>0</v>
      </c>
      <c r="W213" s="158">
        <v>0</v>
      </c>
      <c r="X213" s="104"/>
      <c r="Y213" s="136"/>
      <c r="Z213" s="38">
        <v>0</v>
      </c>
      <c r="AA213" s="16">
        <v>0</v>
      </c>
      <c r="AB213" s="16">
        <v>0</v>
      </c>
      <c r="AC213" s="16">
        <v>0</v>
      </c>
      <c r="AE213" s="16">
        <v>0</v>
      </c>
      <c r="AF213" s="16">
        <v>0</v>
      </c>
      <c r="AG213" s="16">
        <v>0</v>
      </c>
      <c r="AH213" s="16">
        <f t="shared" si="16"/>
        <v>0</v>
      </c>
      <c r="AI213" s="343">
        <f t="shared" si="17"/>
        <v>0</v>
      </c>
    </row>
    <row r="214" spans="1:35">
      <c r="A214" s="16"/>
      <c r="B214" s="121"/>
      <c r="C214" s="114"/>
      <c r="D214" s="25"/>
      <c r="E214" s="25"/>
      <c r="F214" s="70" t="s">
        <v>42</v>
      </c>
      <c r="G214" s="26"/>
      <c r="H214" s="144" t="s">
        <v>226</v>
      </c>
      <c r="I214" s="225"/>
      <c r="J214" s="1"/>
      <c r="K214" s="224"/>
      <c r="L214" s="31"/>
      <c r="M214" s="89">
        <v>0</v>
      </c>
      <c r="N214" s="88"/>
      <c r="O214" s="44"/>
      <c r="P214" s="31">
        <v>0</v>
      </c>
      <c r="Q214" s="14">
        <v>0</v>
      </c>
      <c r="R214" s="178"/>
      <c r="S214" s="295"/>
      <c r="T214" s="14" t="str">
        <f t="shared" si="18"/>
        <v/>
      </c>
      <c r="U214" s="158">
        <v>0</v>
      </c>
      <c r="V214" s="158">
        <v>0</v>
      </c>
      <c r="W214" s="158">
        <v>0</v>
      </c>
      <c r="X214" s="104"/>
      <c r="Y214" s="136"/>
      <c r="Z214" s="38">
        <v>0</v>
      </c>
      <c r="AA214" s="16">
        <v>0</v>
      </c>
      <c r="AB214" s="16">
        <v>0</v>
      </c>
      <c r="AC214" s="16">
        <v>0</v>
      </c>
      <c r="AE214" s="16">
        <v>0</v>
      </c>
      <c r="AF214" s="16">
        <v>0</v>
      </c>
      <c r="AG214" s="16">
        <v>0</v>
      </c>
      <c r="AH214" s="16">
        <f t="shared" si="16"/>
        <v>0</v>
      </c>
      <c r="AI214" s="343">
        <f t="shared" si="17"/>
        <v>0</v>
      </c>
    </row>
    <row r="215" spans="1:35">
      <c r="A215" s="16"/>
      <c r="B215" s="121"/>
      <c r="C215" s="114"/>
      <c r="D215" s="25"/>
      <c r="E215" s="25"/>
      <c r="F215" s="72" t="s">
        <v>93</v>
      </c>
      <c r="G215" s="26"/>
      <c r="H215" s="144" t="s">
        <v>226</v>
      </c>
      <c r="I215" s="223"/>
      <c r="J215" s="26"/>
      <c r="K215" s="224"/>
      <c r="L215" s="31"/>
      <c r="M215" s="89">
        <v>0</v>
      </c>
      <c r="N215" s="88"/>
      <c r="O215" s="44"/>
      <c r="P215" s="31">
        <v>0</v>
      </c>
      <c r="Q215" s="14">
        <v>0</v>
      </c>
      <c r="R215" s="178">
        <f>599.42+537.96+376.33</f>
        <v>1513.71</v>
      </c>
      <c r="S215" s="295"/>
      <c r="T215" s="14">
        <f t="shared" si="18"/>
        <v>1513.71</v>
      </c>
      <c r="U215" s="158">
        <v>0</v>
      </c>
      <c r="V215" s="158">
        <v>0</v>
      </c>
      <c r="W215" s="158">
        <v>0</v>
      </c>
      <c r="X215" s="104"/>
      <c r="Y215" s="136"/>
      <c r="Z215" s="38">
        <v>0</v>
      </c>
      <c r="AA215" s="16">
        <v>0</v>
      </c>
      <c r="AB215" s="16">
        <v>0</v>
      </c>
      <c r="AC215" s="16">
        <v>0</v>
      </c>
      <c r="AE215" s="16">
        <v>0</v>
      </c>
      <c r="AF215" s="16">
        <v>0</v>
      </c>
      <c r="AG215" s="16">
        <v>0</v>
      </c>
      <c r="AH215" s="16">
        <f t="shared" si="16"/>
        <v>0</v>
      </c>
      <c r="AI215" s="343">
        <f t="shared" si="17"/>
        <v>0</v>
      </c>
    </row>
    <row r="216" spans="1:35" ht="13" thickBot="1">
      <c r="A216" s="16"/>
      <c r="B216" s="121"/>
      <c r="C216" s="115"/>
      <c r="D216" s="106"/>
      <c r="E216" s="106"/>
      <c r="F216" s="70" t="s">
        <v>49</v>
      </c>
      <c r="G216" s="26"/>
      <c r="H216" s="144" t="s">
        <v>226</v>
      </c>
      <c r="I216" s="228"/>
      <c r="J216" s="229"/>
      <c r="K216" s="230"/>
      <c r="L216" s="31"/>
      <c r="M216" s="89">
        <v>0</v>
      </c>
      <c r="N216" s="88"/>
      <c r="O216" s="44"/>
      <c r="P216" s="31">
        <v>0</v>
      </c>
      <c r="Q216" s="15">
        <v>0</v>
      </c>
      <c r="R216" s="178"/>
      <c r="S216" s="295"/>
      <c r="T216" s="14" t="str">
        <f t="shared" si="18"/>
        <v/>
      </c>
      <c r="U216" s="158">
        <v>0</v>
      </c>
      <c r="V216" s="158">
        <v>0</v>
      </c>
      <c r="W216" s="158">
        <v>0</v>
      </c>
      <c r="X216" s="104"/>
      <c r="Y216" s="136"/>
      <c r="Z216" s="38">
        <v>0</v>
      </c>
      <c r="AA216" s="16">
        <v>0</v>
      </c>
      <c r="AB216" s="16">
        <v>0</v>
      </c>
      <c r="AC216" s="16">
        <v>0</v>
      </c>
      <c r="AE216" s="16">
        <v>0</v>
      </c>
      <c r="AF216" s="16">
        <v>0</v>
      </c>
      <c r="AG216" s="16">
        <v>0</v>
      </c>
      <c r="AH216" s="16">
        <f t="shared" si="16"/>
        <v>0</v>
      </c>
      <c r="AI216" s="343">
        <f t="shared" si="17"/>
        <v>0</v>
      </c>
    </row>
    <row r="217" spans="1:35" ht="13" thickBot="1">
      <c r="A217" s="16"/>
      <c r="B217" s="122"/>
      <c r="C217" s="116"/>
      <c r="D217" s="107"/>
      <c r="E217" s="108"/>
      <c r="F217" s="71" t="s">
        <v>86</v>
      </c>
      <c r="G217" s="157">
        <v>62848.640000000007</v>
      </c>
      <c r="H217" s="157">
        <v>-137881.57048200001</v>
      </c>
      <c r="I217" s="190">
        <v>5677391.719999996</v>
      </c>
      <c r="J217" s="191">
        <v>4301599.8920000019</v>
      </c>
      <c r="K217" s="192">
        <v>1252776.8399999999</v>
      </c>
      <c r="L217" s="82"/>
      <c r="M217" s="90">
        <v>11156735.521517998</v>
      </c>
      <c r="N217" s="90">
        <v>3691245.3329999996</v>
      </c>
      <c r="O217" s="90">
        <v>904282.39999999979</v>
      </c>
      <c r="P217" s="31"/>
      <c r="Q217" s="90">
        <f>SUM(Q19:Q216)</f>
        <v>4587879.3729999997</v>
      </c>
      <c r="R217" s="90">
        <f>SUM(R19:R216)</f>
        <v>4359644.6300000008</v>
      </c>
      <c r="S217" s="297"/>
      <c r="T217" s="105">
        <f>SUM(T19:T216)</f>
        <v>63406.48200000004</v>
      </c>
      <c r="U217" s="105">
        <v>3895793.4699999993</v>
      </c>
      <c r="V217" s="105">
        <v>482978.82299999997</v>
      </c>
      <c r="W217" s="105">
        <v>115422.29000000001</v>
      </c>
      <c r="X217" s="105">
        <v>60634.58</v>
      </c>
      <c r="Y217" s="105">
        <v>40698.57</v>
      </c>
      <c r="AA217" s="235">
        <v>10235044.639999999</v>
      </c>
      <c r="AB217" s="235">
        <v>910014.591518</v>
      </c>
      <c r="AC217" s="235">
        <v>11676.289999999994</v>
      </c>
      <c r="AE217" s="263">
        <v>3956428.0499999993</v>
      </c>
      <c r="AF217" s="263">
        <v>523677.39300000004</v>
      </c>
      <c r="AG217" s="263">
        <v>115422.29000000001</v>
      </c>
      <c r="AH217" s="263">
        <v>4595527.7329999991</v>
      </c>
      <c r="AI217" s="343">
        <f>SUM(AI19:AI216)</f>
        <v>1.0000000000000007</v>
      </c>
    </row>
    <row r="218" spans="1:35" ht="13" thickBot="1">
      <c r="A218" s="16"/>
      <c r="B218" s="65"/>
      <c r="C218" s="65"/>
      <c r="D218" s="65"/>
      <c r="E218" s="65"/>
      <c r="F218" s="141"/>
      <c r="G218" s="73"/>
      <c r="H218" s="160" t="e">
        <v>#REF!</v>
      </c>
      <c r="I218" s="66"/>
      <c r="J218" s="142"/>
      <c r="K218" s="100"/>
      <c r="L218" s="66"/>
      <c r="M218" s="141"/>
      <c r="N218" s="66" t="s">
        <v>225</v>
      </c>
      <c r="O218" s="100">
        <v>15752263.254517997</v>
      </c>
      <c r="P218" s="66"/>
      <c r="Q218" s="66"/>
      <c r="R218" s="66"/>
      <c r="S218" s="66"/>
      <c r="T218" s="66"/>
      <c r="U218" s="33"/>
      <c r="V218" s="33"/>
      <c r="W218" s="33"/>
      <c r="X218" s="33"/>
    </row>
    <row r="219" spans="1:35">
      <c r="A219" s="65"/>
      <c r="B219" s="65"/>
      <c r="C219" s="65"/>
      <c r="D219" s="65"/>
      <c r="E219" s="65"/>
      <c r="G219" s="128"/>
      <c r="H219" s="47"/>
      <c r="I219" s="66"/>
      <c r="J219" s="66"/>
      <c r="K219" s="66"/>
      <c r="L219" s="66"/>
      <c r="M219" s="66"/>
      <c r="N219" s="66"/>
      <c r="O219" s="67"/>
      <c r="P219" s="66"/>
      <c r="Q219" s="66"/>
      <c r="R219" s="66"/>
      <c r="S219" s="66"/>
      <c r="T219" s="66"/>
      <c r="U219" s="33">
        <v>3956428.0499999993</v>
      </c>
      <c r="V219" s="33">
        <v>523677.39299999998</v>
      </c>
      <c r="W219" s="33">
        <v>115422.29000000001</v>
      </c>
      <c r="X219" s="33"/>
    </row>
    <row r="220" spans="1:35">
      <c r="M220" s="18"/>
      <c r="N220" s="232" t="s">
        <v>251</v>
      </c>
      <c r="O220" s="233">
        <v>15753345</v>
      </c>
    </row>
    <row r="221" spans="1:35" ht="13" thickBot="1">
      <c r="F221" s="143" t="s">
        <v>259</v>
      </c>
      <c r="J221" s="142"/>
      <c r="K221" s="159"/>
      <c r="M221" s="169"/>
      <c r="O221" s="237">
        <v>1081.7454820033163</v>
      </c>
      <c r="P221" s="146"/>
      <c r="Q221" s="146"/>
    </row>
    <row r="222" spans="1:35">
      <c r="F222" s="143" t="s">
        <v>260</v>
      </c>
      <c r="J222" s="17" t="s">
        <v>249</v>
      </c>
      <c r="K222" s="132"/>
      <c r="O222" s="16" t="s">
        <v>250</v>
      </c>
      <c r="Q222" s="271"/>
      <c r="R222" s="272" t="s">
        <v>272</v>
      </c>
      <c r="S222" s="272"/>
      <c r="T222" s="272" t="s">
        <v>273</v>
      </c>
      <c r="U222" s="273">
        <v>3926336.9199999995</v>
      </c>
      <c r="V222" s="273">
        <v>482978.82299999997</v>
      </c>
      <c r="W222" s="273">
        <v>109422.29000000001</v>
      </c>
      <c r="X222" s="273">
        <v>10347.58</v>
      </c>
      <c r="Y222" s="274">
        <v>40698.57</v>
      </c>
    </row>
    <row r="223" spans="1:35">
      <c r="F223" s="143"/>
      <c r="H223" s="152"/>
      <c r="Q223" s="275"/>
      <c r="R223" s="151" t="s">
        <v>271</v>
      </c>
      <c r="S223" s="151"/>
      <c r="T223" s="151" t="s">
        <v>274</v>
      </c>
      <c r="U223" s="104">
        <v>39878</v>
      </c>
      <c r="V223" s="104"/>
      <c r="W223" s="104">
        <v>6000</v>
      </c>
      <c r="X223" s="104">
        <v>50287</v>
      </c>
      <c r="Y223" s="136"/>
    </row>
    <row r="224" spans="1:35">
      <c r="F224" s="147"/>
      <c r="H224" s="152"/>
      <c r="Q224" s="275"/>
      <c r="R224" s="54" t="s">
        <v>269</v>
      </c>
      <c r="S224" s="151"/>
      <c r="T224" s="294" t="s">
        <v>283</v>
      </c>
      <c r="U224" s="270">
        <v>-70421.45</v>
      </c>
      <c r="V224" s="270"/>
      <c r="W224" s="270"/>
      <c r="X224" s="270"/>
      <c r="Y224" s="276"/>
    </row>
    <row r="225" spans="6:25">
      <c r="F225" s="147"/>
      <c r="H225" s="152"/>
      <c r="Q225" s="275"/>
      <c r="R225" s="151" t="s">
        <v>270</v>
      </c>
      <c r="S225" s="151"/>
      <c r="T225" s="151"/>
      <c r="U225" s="104">
        <v>3895793.4699999993</v>
      </c>
      <c r="V225" s="104">
        <v>482978.82299999997</v>
      </c>
      <c r="W225" s="104">
        <v>115422.29000000001</v>
      </c>
      <c r="X225" s="104">
        <v>60634.58</v>
      </c>
      <c r="Y225" s="136">
        <v>40698.57</v>
      </c>
    </row>
    <row r="226" spans="6:25">
      <c r="Q226" s="275"/>
      <c r="R226" s="151"/>
      <c r="S226" s="151"/>
      <c r="T226" s="151"/>
      <c r="U226" s="104"/>
      <c r="V226" s="104"/>
      <c r="W226" s="104"/>
      <c r="X226" s="104"/>
      <c r="Y226" s="136"/>
    </row>
    <row r="227" spans="6:25" ht="13" thickBot="1">
      <c r="Q227" s="277"/>
      <c r="R227" s="278"/>
      <c r="S227" s="278"/>
      <c r="T227" s="278" t="s">
        <v>275</v>
      </c>
      <c r="U227" s="279">
        <v>0</v>
      </c>
      <c r="V227" s="279">
        <v>0</v>
      </c>
      <c r="W227" s="279">
        <v>0</v>
      </c>
      <c r="X227" s="279">
        <v>0</v>
      </c>
      <c r="Y227" s="280">
        <v>0</v>
      </c>
    </row>
  </sheetData>
  <autoFilter ref="A18:K217"/>
  <customSheetViews>
    <customSheetView guid="{005F2F7B-A3A9-4755-A4DF-7CE06C365CC2}" scale="75" showPageBreaks="1" fitToPage="1" printArea="1" hiddenColumns="1" topLeftCell="F1">
      <pane xSplit="1" ySplit="18" topLeftCell="K175" activePane="bottomRight" state="frozenSplit"/>
      <selection pane="bottomRight" activeCell="Q193" sqref="Q193"/>
      <rowBreaks count="2" manualBreakCount="2">
        <brk id="67" min="5" max="10" man="1"/>
        <brk id="130" min="5" max="10" man="1"/>
      </rowBreaks>
      <pageSetup scale="69" fitToHeight="3" orientation="portrait"/>
    </customSheetView>
    <customSheetView guid="{D3CBD86D-0B34-40AC-BD97-D8082E871349}" scale="90" showPageBreaks="1" printArea="1" showAutoFilter="1" hiddenColumns="1" topLeftCell="F1">
      <pane xSplit="5" ySplit="18" topLeftCell="N165" activePane="bottomRight" state="frozenSplit"/>
      <selection pane="bottomRight" activeCell="M172" sqref="M172:O172"/>
      <rowBreaks count="2" manualBreakCount="2">
        <brk id="64" min="4" max="19" man="1"/>
        <brk id="130" min="4" max="19" man="1"/>
      </rowBreaks>
      <pageSetup paperSize="5" scale="24" orientation="landscape" horizontalDpi="1200" verticalDpi="1200"/>
      <autoFilter ref="A18:K217"/>
    </customSheetView>
    <customSheetView guid="{A6D105A8-F3F8-4045-83EA-8812D2E401D6}" scale="90" showPageBreaks="1" printArea="1" showAutoFilter="1" hiddenColumns="1" topLeftCell="F1">
      <pane xSplit="3" ySplit="17.066666666666666" topLeftCell="K123" activePane="bottomRight" state="frozenSplit"/>
      <selection pane="bottomRight" activeCell="K132" sqref="I132:K132"/>
      <rowBreaks count="2" manualBreakCount="2">
        <brk id="64" min="4" max="19" man="1"/>
        <brk id="130" min="4" max="19" man="1"/>
      </rowBreaks>
      <pageSetup paperSize="5" scale="24" orientation="landscape" horizontalDpi="1200" verticalDpi="1200"/>
      <autoFilter ref="A18:K217"/>
    </customSheetView>
    <customSheetView guid="{6F4B4768-8A4D-42E2-B88D-A2E3A11E334D}" scale="90" showPageBreaks="1" printArea="1" showAutoFilter="1" hiddenColumns="1" topLeftCell="F1">
      <pane xSplit="5" ySplit="18" topLeftCell="K123" activePane="bottomRight" state="frozenSplit"/>
      <selection pane="bottomRight" activeCell="K132" sqref="I132:K132"/>
      <rowBreaks count="2" manualBreakCount="2">
        <brk id="64" min="4" max="19" man="1"/>
        <brk id="130" min="4" max="19" man="1"/>
      </rowBreaks>
      <pageSetup paperSize="5" scale="24" orientation="landscape" horizontalDpi="1200" verticalDpi="1200"/>
      <autoFilter ref="A18:K217"/>
    </customSheetView>
    <customSheetView guid="{B41BA366-C439-467E-8D7C-92B77F258AE7}" scale="75" showPageBreaks="1" fitToPage="1" printArea="1" hiddenColumns="1" topLeftCell="F1">
      <pane xSplit="1" ySplit="18" topLeftCell="G160" activePane="bottomRight" state="frozenSplit"/>
      <selection pane="bottomRight" activeCell="Q194" sqref="Q194"/>
      <rowBreaks count="2" manualBreakCount="2">
        <brk id="67" min="5" max="14" man="1"/>
        <brk id="130" min="5" max="14" man="1"/>
      </rowBreaks>
      <pageSetup fitToHeight="0" orientation="landscape"/>
    </customSheetView>
    <customSheetView guid="{FBB4E27B-C157-469A-A64F-17B8B8E33533}" showPageBreaks="1" printArea="1" showAutoFilter="1" hiddenColumns="1" topLeftCell="F1">
      <pane xSplit="6" ySplit="18" topLeftCell="S115" activePane="bottomRight" state="frozenSplit"/>
      <selection pane="bottomRight" activeCell="T128" sqref="T128"/>
      <rowBreaks count="2" manualBreakCount="2">
        <brk id="64" min="4" max="19" man="1"/>
        <brk id="130" min="4" max="19" man="1"/>
      </rowBreaks>
      <pageSetup paperSize="5" scale="24" orientation="landscape" horizontalDpi="1200" verticalDpi="1200"/>
      <autoFilter ref="A18:K217"/>
    </customSheetView>
    <customSheetView guid="{3EE5E96F-573A-4643-A702-44C30DCF3CB9}" showPageBreaks="1" fitToPage="1" printArea="1" showAutoFilter="1" hiddenColumns="1">
      <pane xSplit="6" ySplit="18" topLeftCell="S205" activePane="bottomRight" state="frozenSplit"/>
      <selection pane="bottomRight" activeCell="U219" sqref="U219:W219"/>
      <rowBreaks count="1" manualBreakCount="1">
        <brk id="62" min="5" max="17" man="1"/>
      </rowBreaks>
      <pageSetup paperSize="5" scale="72" fitToHeight="0" orientation="landscape" horizontalDpi="1200" verticalDpi="1200"/>
      <autoFilter ref="A18:K217"/>
    </customSheetView>
    <customSheetView guid="{30EF2F7D-596A-4F42-BFFC-293775FB231D}" showPageBreaks="1" fitToPage="1" printArea="1" hiddenColumns="1" topLeftCell="F1">
      <pane ySplit="18" topLeftCell="A99" activePane="bottomLeft" state="frozenSplit"/>
      <selection pane="bottomLeft" activeCell="G105" sqref="G105"/>
      <rowBreaks count="2" manualBreakCount="2">
        <brk id="67" min="5" max="10" man="1"/>
        <brk id="132" min="5" max="10" man="1"/>
      </rowBreaks>
      <pageSetup scale="68" fitToHeight="3" orientation="portrait"/>
    </customSheetView>
    <customSheetView guid="{19673ADA-0B6E-420C-87C4-DFC2B9AF85E8}" showPageBreaks="1" fitToPage="1" printArea="1" hiddenColumns="1" topLeftCell="F1">
      <pane ySplit="18" topLeftCell="A65" activePane="bottomLeft" state="frozenSplit"/>
      <selection pane="bottomLeft" activeCell="W222" sqref="W222:W223"/>
      <rowBreaks count="2" manualBreakCount="2">
        <brk id="67" min="5" max="10" man="1"/>
        <brk id="132" min="5" max="10" man="1"/>
      </rowBreaks>
      <pageSetup fitToHeight="3" orientation="landscape"/>
    </customSheetView>
    <customSheetView guid="{EAD60427-EED9-4BA8-BD26-3C00E46B1F0E}" scale="90" showPageBreaks="1" printArea="1" showAutoFilter="1" hiddenColumns="1" topLeftCell="F1">
      <pane xSplit="5" ySplit="18" topLeftCell="K123" activePane="bottomRight" state="frozenSplit"/>
      <selection pane="bottomRight" activeCell="K132" sqref="I132:K132"/>
      <rowBreaks count="2" manualBreakCount="2">
        <brk id="64" min="4" max="19" man="1"/>
        <brk id="130" min="4" max="19" man="1"/>
      </rowBreaks>
      <pageSetup paperSize="5" scale="24" orientation="landscape" horizontalDpi="1200" verticalDpi="1200"/>
      <autoFilter ref="A18:K217"/>
    </customSheetView>
    <customSheetView guid="{041E0462-B6EA-414A-9F2E-C14ADEFAE5F2}" scale="90" showPageBreaks="1" printArea="1" showAutoFilter="1" hiddenColumns="1" topLeftCell="F1">
      <pane xSplit="5" ySplit="18" topLeftCell="N165" activePane="bottomRight" state="frozenSplit"/>
      <selection pane="bottomRight" activeCell="M172" sqref="M172:O172"/>
      <rowBreaks count="2" manualBreakCount="2">
        <brk id="64" min="4" max="19" man="1"/>
        <brk id="130" min="4" max="19" man="1"/>
      </rowBreaks>
      <pageSetup paperSize="5" scale="24" orientation="landscape" horizontalDpi="1200" verticalDpi="1200"/>
      <autoFilter ref="A18:K217"/>
    </customSheetView>
    <customSheetView guid="{86CCC894-C193-4761-8385-3C374FD67B70}" scale="90" showPageBreaks="1" printArea="1" showAutoFilter="1" hiddenColumns="1" topLeftCell="F1">
      <pane xSplit="5" ySplit="17" topLeftCell="N165" activePane="bottomRight" state="frozenSplit"/>
      <selection pane="bottomRight" activeCell="M172" sqref="M172:O172"/>
      <rowBreaks count="2" manualBreakCount="2">
        <brk id="64" min="4" max="19" man="1"/>
        <brk id="130" min="4" max="19" man="1"/>
      </rowBreaks>
      <pageSetup paperSize="5" scale="24" orientation="landscape" horizontalDpi="1200" verticalDpi="1200"/>
      <autoFilter ref="A18:K217"/>
    </customSheetView>
  </customSheetViews>
  <pageMargins left="0.25" right="0.7" top="0.28000000000000003" bottom="0.25" header="0.18" footer="0.04"/>
  <pageSetup paperSize="5" scale="24" orientation="landscape" horizontalDpi="1200" verticalDpi="1200"/>
  <rowBreaks count="2" manualBreakCount="2">
    <brk id="64" min="4" max="19" man="1"/>
    <brk id="130" min="4" max="19" man="1"/>
  </rowBreaks>
  <legacyDrawing r:id="rId1"/>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topLeftCell="A52" workbookViewId="0">
      <selection activeCell="I76" sqref="I76"/>
    </sheetView>
  </sheetViews>
  <sheetFormatPr baseColWidth="10" defaultColWidth="9" defaultRowHeight="12" x14ac:dyDescent="0"/>
  <cols>
    <col min="4" max="4" width="30.59765625" bestFit="1" customWidth="1"/>
    <col min="5" max="5" width="16.59765625" bestFit="1" customWidth="1"/>
    <col min="8" max="8" width="14.19921875" bestFit="1" customWidth="1"/>
  </cols>
  <sheetData>
    <row r="1" spans="1:5" ht="14">
      <c r="A1" s="787" t="s">
        <v>650</v>
      </c>
      <c r="B1" s="787" t="s">
        <v>651</v>
      </c>
      <c r="C1" s="787" t="s">
        <v>652</v>
      </c>
      <c r="D1" s="787" t="s">
        <v>653</v>
      </c>
      <c r="E1" s="789" t="s">
        <v>654</v>
      </c>
    </row>
    <row r="2" spans="1:5" ht="14">
      <c r="A2" s="788" t="s">
        <v>655</v>
      </c>
      <c r="B2" s="787">
        <v>6</v>
      </c>
      <c r="C2" s="788" t="s">
        <v>600</v>
      </c>
      <c r="D2" s="788" t="s">
        <v>656</v>
      </c>
      <c r="E2" s="790">
        <v>-3030179.78</v>
      </c>
    </row>
    <row r="3" spans="1:5" ht="16.5" customHeight="1">
      <c r="A3" s="788" t="s">
        <v>655</v>
      </c>
      <c r="B3" s="787">
        <v>6</v>
      </c>
      <c r="C3" s="788" t="s">
        <v>601</v>
      </c>
      <c r="D3" s="788" t="s">
        <v>657</v>
      </c>
      <c r="E3" s="790">
        <v>59708.02</v>
      </c>
    </row>
    <row r="4" spans="1:5" ht="16.5" customHeight="1">
      <c r="A4" s="788" t="s">
        <v>655</v>
      </c>
      <c r="B4" s="787">
        <v>6</v>
      </c>
      <c r="C4" s="788" t="s">
        <v>658</v>
      </c>
      <c r="D4" s="788" t="s">
        <v>659</v>
      </c>
      <c r="E4" s="790">
        <v>-94451.55</v>
      </c>
    </row>
    <row r="5" spans="1:5" ht="16.5" customHeight="1">
      <c r="A5" s="788" t="s">
        <v>655</v>
      </c>
      <c r="B5" s="787">
        <v>6</v>
      </c>
      <c r="C5" s="788" t="s">
        <v>660</v>
      </c>
      <c r="D5" s="788" t="s">
        <v>737</v>
      </c>
      <c r="E5" s="790">
        <v>-15088.2</v>
      </c>
    </row>
    <row r="6" spans="1:5" ht="16.5" customHeight="1">
      <c r="A6" s="788" t="s">
        <v>655</v>
      </c>
      <c r="B6" s="787">
        <v>6</v>
      </c>
      <c r="C6" s="788" t="s">
        <v>738</v>
      </c>
      <c r="D6" s="788" t="s">
        <v>739</v>
      </c>
      <c r="E6" s="790">
        <v>-20.32</v>
      </c>
    </row>
    <row r="7" spans="1:5" ht="16.5" customHeight="1">
      <c r="A7" s="788" t="s">
        <v>655</v>
      </c>
      <c r="B7" s="787">
        <v>6</v>
      </c>
      <c r="C7" s="788" t="s">
        <v>661</v>
      </c>
      <c r="D7" s="788" t="s">
        <v>740</v>
      </c>
      <c r="E7" s="790">
        <v>-354.61</v>
      </c>
    </row>
    <row r="8" spans="1:5" ht="16.5" customHeight="1">
      <c r="A8" s="788" t="s">
        <v>655</v>
      </c>
      <c r="B8" s="787">
        <v>6</v>
      </c>
      <c r="C8" s="788" t="s">
        <v>662</v>
      </c>
      <c r="D8" s="788" t="s">
        <v>741</v>
      </c>
      <c r="E8" s="790">
        <v>-2793.96</v>
      </c>
    </row>
    <row r="9" spans="1:5" ht="16.5" customHeight="1">
      <c r="A9" s="788" t="s">
        <v>655</v>
      </c>
      <c r="B9" s="787">
        <v>6</v>
      </c>
      <c r="C9" s="788" t="s">
        <v>663</v>
      </c>
      <c r="D9" s="788" t="s">
        <v>742</v>
      </c>
      <c r="E9" s="790">
        <v>-6735.64</v>
      </c>
    </row>
    <row r="10" spans="1:5" ht="16.5" customHeight="1">
      <c r="A10" s="788" t="s">
        <v>655</v>
      </c>
      <c r="B10" s="787">
        <v>6</v>
      </c>
      <c r="C10" s="788" t="s">
        <v>664</v>
      </c>
      <c r="D10" s="788" t="s">
        <v>743</v>
      </c>
      <c r="E10" s="790">
        <v>-5429.15</v>
      </c>
    </row>
    <row r="11" spans="1:5" ht="16.5" customHeight="1">
      <c r="A11" s="788" t="s">
        <v>655</v>
      </c>
      <c r="B11" s="787">
        <v>6</v>
      </c>
      <c r="C11" s="788" t="s">
        <v>665</v>
      </c>
      <c r="D11" s="788" t="s">
        <v>744</v>
      </c>
      <c r="E11" s="790">
        <v>-3026.84</v>
      </c>
    </row>
    <row r="12" spans="1:5" ht="16.5" customHeight="1">
      <c r="A12" s="788" t="s">
        <v>655</v>
      </c>
      <c r="B12" s="787">
        <v>6</v>
      </c>
      <c r="C12" s="788" t="s">
        <v>666</v>
      </c>
      <c r="D12" s="788" t="s">
        <v>745</v>
      </c>
      <c r="E12" s="790">
        <v>-267.87</v>
      </c>
    </row>
    <row r="13" spans="1:5" ht="16.5" customHeight="1">
      <c r="A13" s="788" t="s">
        <v>655</v>
      </c>
      <c r="B13" s="787">
        <v>6</v>
      </c>
      <c r="C13" s="788" t="s">
        <v>667</v>
      </c>
      <c r="D13" s="788" t="s">
        <v>746</v>
      </c>
      <c r="E13" s="790">
        <v>-1909.95</v>
      </c>
    </row>
    <row r="14" spans="1:5" ht="16.5" customHeight="1">
      <c r="A14" s="788" t="s">
        <v>655</v>
      </c>
      <c r="B14" s="787">
        <v>6</v>
      </c>
      <c r="C14" s="788" t="s">
        <v>668</v>
      </c>
      <c r="D14" s="788" t="s">
        <v>747</v>
      </c>
      <c r="E14" s="790">
        <v>-207.15</v>
      </c>
    </row>
    <row r="15" spans="1:5" ht="16.5" customHeight="1">
      <c r="A15" s="788" t="s">
        <v>655</v>
      </c>
      <c r="B15" s="787">
        <v>6</v>
      </c>
      <c r="C15" s="788" t="s">
        <v>669</v>
      </c>
      <c r="D15" s="788" t="s">
        <v>748</v>
      </c>
      <c r="E15" s="790">
        <v>-1562.42</v>
      </c>
    </row>
    <row r="16" spans="1:5" ht="16.5" customHeight="1">
      <c r="A16" s="788" t="s">
        <v>655</v>
      </c>
      <c r="B16" s="787">
        <v>6</v>
      </c>
      <c r="C16" s="788" t="s">
        <v>749</v>
      </c>
      <c r="D16" s="788" t="s">
        <v>750</v>
      </c>
      <c r="E16" s="790">
        <v>-377.94</v>
      </c>
    </row>
    <row r="17" spans="1:5" ht="16.5" customHeight="1">
      <c r="A17" s="788" t="s">
        <v>655</v>
      </c>
      <c r="B17" s="787">
        <v>6</v>
      </c>
      <c r="C17" s="788" t="s">
        <v>670</v>
      </c>
      <c r="D17" s="788" t="s">
        <v>751</v>
      </c>
      <c r="E17" s="790">
        <v>-1015.72</v>
      </c>
    </row>
    <row r="18" spans="1:5" ht="16.5" customHeight="1">
      <c r="A18" s="788" t="s">
        <v>655</v>
      </c>
      <c r="B18" s="787">
        <v>6</v>
      </c>
      <c r="C18" s="788" t="s">
        <v>671</v>
      </c>
      <c r="D18" s="788" t="s">
        <v>752</v>
      </c>
      <c r="E18" s="790">
        <v>-2053.31</v>
      </c>
    </row>
    <row r="19" spans="1:5" ht="16.5" customHeight="1">
      <c r="A19" s="788" t="s">
        <v>655</v>
      </c>
      <c r="B19" s="787">
        <v>6</v>
      </c>
      <c r="C19" s="788" t="s">
        <v>672</v>
      </c>
      <c r="D19" s="788" t="s">
        <v>753</v>
      </c>
      <c r="E19" s="790">
        <v>-980.65</v>
      </c>
    </row>
    <row r="20" spans="1:5" ht="16.5" customHeight="1">
      <c r="A20" s="788" t="s">
        <v>655</v>
      </c>
      <c r="B20" s="787">
        <v>6</v>
      </c>
      <c r="C20" s="788" t="s">
        <v>673</v>
      </c>
      <c r="D20" s="788" t="s">
        <v>754</v>
      </c>
      <c r="E20" s="790">
        <v>-31246.080000000002</v>
      </c>
    </row>
    <row r="21" spans="1:5" ht="16.5" customHeight="1">
      <c r="A21" s="788" t="s">
        <v>655</v>
      </c>
      <c r="B21" s="787">
        <v>6</v>
      </c>
      <c r="C21" s="788" t="s">
        <v>674</v>
      </c>
      <c r="D21" s="788" t="s">
        <v>755</v>
      </c>
      <c r="E21" s="790">
        <v>-2100.75</v>
      </c>
    </row>
    <row r="22" spans="1:5" ht="16.5" customHeight="1">
      <c r="A22" s="788" t="s">
        <v>655</v>
      </c>
      <c r="B22" s="787">
        <v>6</v>
      </c>
      <c r="C22" s="788" t="s">
        <v>675</v>
      </c>
      <c r="D22" s="788" t="s">
        <v>756</v>
      </c>
      <c r="E22" s="790">
        <v>-1444.12</v>
      </c>
    </row>
    <row r="23" spans="1:5" ht="16.5" customHeight="1">
      <c r="A23" s="788" t="s">
        <v>655</v>
      </c>
      <c r="B23" s="787">
        <v>6</v>
      </c>
      <c r="C23" s="788" t="s">
        <v>676</v>
      </c>
      <c r="D23" s="788" t="s">
        <v>757</v>
      </c>
      <c r="E23" s="790">
        <v>-3516.21</v>
      </c>
    </row>
    <row r="24" spans="1:5" ht="16.5" customHeight="1">
      <c r="A24" s="788" t="s">
        <v>655</v>
      </c>
      <c r="B24" s="787">
        <v>6</v>
      </c>
      <c r="C24" s="788" t="s">
        <v>677</v>
      </c>
      <c r="D24" s="788" t="s">
        <v>758</v>
      </c>
      <c r="E24" s="790">
        <v>-251.39</v>
      </c>
    </row>
    <row r="25" spans="1:5" ht="16.5" customHeight="1">
      <c r="A25" s="788" t="s">
        <v>655</v>
      </c>
      <c r="B25" s="787">
        <v>6</v>
      </c>
      <c r="C25" s="788" t="s">
        <v>678</v>
      </c>
      <c r="D25" s="788" t="s">
        <v>759</v>
      </c>
      <c r="E25" s="790">
        <v>-75.03</v>
      </c>
    </row>
    <row r="26" spans="1:5" ht="16.5" customHeight="1">
      <c r="A26" s="788" t="s">
        <v>655</v>
      </c>
      <c r="B26" s="787">
        <v>6</v>
      </c>
      <c r="C26" s="788" t="s">
        <v>679</v>
      </c>
      <c r="D26" s="788" t="s">
        <v>760</v>
      </c>
      <c r="E26" s="790">
        <v>-35.85</v>
      </c>
    </row>
    <row r="27" spans="1:5" ht="16.5" customHeight="1">
      <c r="A27" s="788" t="s">
        <v>655</v>
      </c>
      <c r="B27" s="787">
        <v>6</v>
      </c>
      <c r="C27" s="788" t="s">
        <v>680</v>
      </c>
      <c r="D27" s="788" t="s">
        <v>761</v>
      </c>
      <c r="E27" s="790">
        <v>-156.9</v>
      </c>
    </row>
    <row r="28" spans="1:5" ht="16.5" customHeight="1">
      <c r="A28" s="788" t="s">
        <v>655</v>
      </c>
      <c r="B28" s="787">
        <v>6</v>
      </c>
      <c r="C28" s="788" t="s">
        <v>681</v>
      </c>
      <c r="D28" s="788" t="s">
        <v>762</v>
      </c>
      <c r="E28" s="790">
        <v>-2771.54</v>
      </c>
    </row>
    <row r="29" spans="1:5" ht="16.5" customHeight="1">
      <c r="A29" s="788" t="s">
        <v>655</v>
      </c>
      <c r="B29" s="787">
        <v>6</v>
      </c>
      <c r="C29" s="788" t="s">
        <v>682</v>
      </c>
      <c r="D29" s="788" t="s">
        <v>763</v>
      </c>
      <c r="E29" s="790">
        <v>-66.739999999999995</v>
      </c>
    </row>
    <row r="30" spans="1:5" ht="16.5" customHeight="1">
      <c r="A30" s="788" t="s">
        <v>655</v>
      </c>
      <c r="B30" s="787">
        <v>6</v>
      </c>
      <c r="C30" s="788" t="s">
        <v>683</v>
      </c>
      <c r="D30" s="788" t="s">
        <v>764</v>
      </c>
      <c r="E30" s="790">
        <v>-3837.39</v>
      </c>
    </row>
    <row r="31" spans="1:5" ht="16.5" customHeight="1">
      <c r="A31" s="788" t="s">
        <v>655</v>
      </c>
      <c r="B31" s="787">
        <v>6</v>
      </c>
      <c r="C31" s="788" t="s">
        <v>684</v>
      </c>
      <c r="D31" s="788" t="s">
        <v>765</v>
      </c>
      <c r="E31" s="790">
        <v>-98.92</v>
      </c>
    </row>
    <row r="32" spans="1:5" ht="16.5" customHeight="1">
      <c r="A32" s="788" t="s">
        <v>655</v>
      </c>
      <c r="B32" s="787">
        <v>6</v>
      </c>
      <c r="C32" s="788" t="s">
        <v>685</v>
      </c>
      <c r="D32" s="788" t="s">
        <v>766</v>
      </c>
      <c r="E32" s="790">
        <v>-3370.61</v>
      </c>
    </row>
    <row r="33" spans="1:5" ht="16.5" customHeight="1">
      <c r="A33" s="788" t="s">
        <v>655</v>
      </c>
      <c r="B33" s="787">
        <v>6</v>
      </c>
      <c r="C33" s="788" t="s">
        <v>686</v>
      </c>
      <c r="D33" s="788" t="s">
        <v>767</v>
      </c>
      <c r="E33" s="790">
        <v>-482.12</v>
      </c>
    </row>
    <row r="34" spans="1:5" ht="16.5" customHeight="1">
      <c r="A34" s="788" t="s">
        <v>655</v>
      </c>
      <c r="B34" s="787">
        <v>6</v>
      </c>
      <c r="C34" s="788" t="s">
        <v>687</v>
      </c>
      <c r="D34" s="788" t="s">
        <v>768</v>
      </c>
      <c r="E34" s="790">
        <v>-119.04</v>
      </c>
    </row>
    <row r="35" spans="1:5" ht="16.5" customHeight="1">
      <c r="A35" s="788" t="s">
        <v>655</v>
      </c>
      <c r="B35" s="787">
        <v>6</v>
      </c>
      <c r="C35" s="788" t="s">
        <v>688</v>
      </c>
      <c r="D35" s="788" t="s">
        <v>769</v>
      </c>
      <c r="E35" s="790">
        <v>-10586.38</v>
      </c>
    </row>
    <row r="36" spans="1:5" ht="16.5" customHeight="1">
      <c r="A36" s="788" t="s">
        <v>655</v>
      </c>
      <c r="B36" s="787">
        <v>6</v>
      </c>
      <c r="C36" s="788" t="s">
        <v>689</v>
      </c>
      <c r="D36" s="788" t="s">
        <v>770</v>
      </c>
      <c r="E36" s="790">
        <v>-1824.81</v>
      </c>
    </row>
    <row r="37" spans="1:5" ht="16.5" customHeight="1">
      <c r="A37" s="788" t="s">
        <v>655</v>
      </c>
      <c r="B37" s="787">
        <v>6</v>
      </c>
      <c r="C37" s="788" t="s">
        <v>690</v>
      </c>
      <c r="D37" s="788" t="s">
        <v>771</v>
      </c>
      <c r="E37" s="790">
        <v>-3625.45</v>
      </c>
    </row>
    <row r="38" spans="1:5" ht="16.5" customHeight="1">
      <c r="A38" s="788" t="s">
        <v>655</v>
      </c>
      <c r="B38" s="787">
        <v>6</v>
      </c>
      <c r="C38" s="788" t="s">
        <v>692</v>
      </c>
      <c r="D38" s="788" t="s">
        <v>773</v>
      </c>
      <c r="E38" s="790">
        <v>-5385.38</v>
      </c>
    </row>
    <row r="39" spans="1:5" ht="16.5" customHeight="1">
      <c r="A39" s="788" t="s">
        <v>655</v>
      </c>
      <c r="B39" s="787">
        <v>6</v>
      </c>
      <c r="C39" s="788" t="s">
        <v>693</v>
      </c>
      <c r="D39" s="788" t="s">
        <v>774</v>
      </c>
      <c r="E39" s="790">
        <v>-208.33</v>
      </c>
    </row>
    <row r="40" spans="1:5" ht="16.5" customHeight="1">
      <c r="A40" s="788" t="s">
        <v>655</v>
      </c>
      <c r="B40" s="787">
        <v>6</v>
      </c>
      <c r="C40" s="788" t="s">
        <v>694</v>
      </c>
      <c r="D40" s="788" t="s">
        <v>775</v>
      </c>
      <c r="E40" s="790">
        <v>-1618.58</v>
      </c>
    </row>
    <row r="41" spans="1:5" ht="16.5" customHeight="1">
      <c r="A41" s="788" t="s">
        <v>655</v>
      </c>
      <c r="B41" s="787">
        <v>6</v>
      </c>
      <c r="C41" s="788" t="s">
        <v>695</v>
      </c>
      <c r="D41" s="788" t="s">
        <v>776</v>
      </c>
      <c r="E41" s="790">
        <v>-23.57</v>
      </c>
    </row>
    <row r="42" spans="1:5" ht="16.5" customHeight="1">
      <c r="A42" s="788" t="s">
        <v>655</v>
      </c>
      <c r="B42" s="787">
        <v>6</v>
      </c>
      <c r="C42" s="788" t="s">
        <v>696</v>
      </c>
      <c r="D42" s="788" t="s">
        <v>777</v>
      </c>
      <c r="E42" s="790">
        <v>-4121.1899999999996</v>
      </c>
    </row>
    <row r="43" spans="1:5" ht="16.5" customHeight="1">
      <c r="A43" s="788" t="s">
        <v>655</v>
      </c>
      <c r="B43" s="787">
        <v>6</v>
      </c>
      <c r="C43" s="788" t="s">
        <v>697</v>
      </c>
      <c r="D43" s="788" t="s">
        <v>778</v>
      </c>
      <c r="E43" s="790">
        <v>-9519.64</v>
      </c>
    </row>
    <row r="44" spans="1:5" ht="16.5" customHeight="1">
      <c r="A44" s="788" t="s">
        <v>655</v>
      </c>
      <c r="B44" s="787">
        <v>6</v>
      </c>
      <c r="C44" s="788" t="s">
        <v>698</v>
      </c>
      <c r="D44" s="788" t="s">
        <v>779</v>
      </c>
      <c r="E44" s="790">
        <v>-205.74</v>
      </c>
    </row>
    <row r="45" spans="1:5" ht="16.5" customHeight="1">
      <c r="A45" s="788" t="s">
        <v>655</v>
      </c>
      <c r="B45" s="787">
        <v>6</v>
      </c>
      <c r="C45" s="788" t="s">
        <v>699</v>
      </c>
      <c r="D45" s="788" t="s">
        <v>780</v>
      </c>
      <c r="E45" s="790">
        <v>-10008.08</v>
      </c>
    </row>
    <row r="46" spans="1:5" ht="16.5" customHeight="1">
      <c r="A46" s="788" t="s">
        <v>655</v>
      </c>
      <c r="B46" s="787">
        <v>6</v>
      </c>
      <c r="C46" s="788" t="s">
        <v>701</v>
      </c>
      <c r="D46" s="788" t="s">
        <v>782</v>
      </c>
      <c r="E46" s="790">
        <v>-12.01</v>
      </c>
    </row>
    <row r="47" spans="1:5" ht="16.5" customHeight="1">
      <c r="A47" s="788" t="s">
        <v>655</v>
      </c>
      <c r="B47" s="787">
        <v>6</v>
      </c>
      <c r="C47" s="788" t="s">
        <v>702</v>
      </c>
      <c r="D47" s="788" t="s">
        <v>783</v>
      </c>
      <c r="E47" s="790">
        <v>-258.2</v>
      </c>
    </row>
    <row r="48" spans="1:5" ht="16.5" customHeight="1">
      <c r="A48" s="788" t="s">
        <v>655</v>
      </c>
      <c r="B48" s="787">
        <v>6</v>
      </c>
      <c r="C48" s="788" t="s">
        <v>703</v>
      </c>
      <c r="D48" s="788" t="s">
        <v>784</v>
      </c>
      <c r="E48" s="790">
        <v>-1424.54</v>
      </c>
    </row>
    <row r="49" spans="1:5" ht="16.5" customHeight="1">
      <c r="A49" s="788" t="s">
        <v>655</v>
      </c>
      <c r="B49" s="787">
        <v>6</v>
      </c>
      <c r="C49" s="788" t="s">
        <v>704</v>
      </c>
      <c r="D49" s="788" t="s">
        <v>785</v>
      </c>
      <c r="E49" s="790">
        <v>-863.69</v>
      </c>
    </row>
    <row r="50" spans="1:5" ht="16.5" customHeight="1">
      <c r="A50" s="788" t="s">
        <v>655</v>
      </c>
      <c r="B50" s="787">
        <v>6</v>
      </c>
      <c r="C50" s="788" t="s">
        <v>705</v>
      </c>
      <c r="D50" s="788" t="s">
        <v>786</v>
      </c>
      <c r="E50" s="790">
        <v>-56.94</v>
      </c>
    </row>
    <row r="51" spans="1:5" ht="16.5" customHeight="1">
      <c r="A51" s="788" t="s">
        <v>655</v>
      </c>
      <c r="B51" s="787">
        <v>6</v>
      </c>
      <c r="C51" s="788" t="s">
        <v>706</v>
      </c>
      <c r="D51" s="788" t="s">
        <v>787</v>
      </c>
      <c r="E51" s="790">
        <v>-161.19</v>
      </c>
    </row>
    <row r="52" spans="1:5" ht="16.5" customHeight="1">
      <c r="A52" s="788" t="s">
        <v>655</v>
      </c>
      <c r="B52" s="787">
        <v>6</v>
      </c>
      <c r="C52" s="788" t="s">
        <v>707</v>
      </c>
      <c r="D52" s="788" t="s">
        <v>788</v>
      </c>
      <c r="E52" s="790">
        <v>-7.14</v>
      </c>
    </row>
    <row r="53" spans="1:5" ht="16.5" customHeight="1">
      <c r="A53" s="788" t="s">
        <v>655</v>
      </c>
      <c r="B53" s="787">
        <v>6</v>
      </c>
      <c r="C53" s="788" t="s">
        <v>708</v>
      </c>
      <c r="D53" s="788" t="s">
        <v>789</v>
      </c>
      <c r="E53" s="790">
        <v>-6593.79</v>
      </c>
    </row>
    <row r="54" spans="1:5" ht="16.5" customHeight="1">
      <c r="A54" s="788" t="s">
        <v>655</v>
      </c>
      <c r="B54" s="787">
        <v>6</v>
      </c>
      <c r="C54" s="788" t="s">
        <v>709</v>
      </c>
      <c r="D54" s="788" t="s">
        <v>790</v>
      </c>
      <c r="E54" s="790">
        <v>-346.84</v>
      </c>
    </row>
    <row r="55" spans="1:5" ht="16.5" customHeight="1">
      <c r="A55" s="788" t="s">
        <v>655</v>
      </c>
      <c r="B55" s="787">
        <v>6</v>
      </c>
      <c r="C55" s="788" t="s">
        <v>710</v>
      </c>
      <c r="D55" s="788" t="s">
        <v>791</v>
      </c>
      <c r="E55" s="790">
        <v>-25045.3</v>
      </c>
    </row>
    <row r="56" spans="1:5" ht="16.5" customHeight="1">
      <c r="A56" s="788" t="s">
        <v>655</v>
      </c>
      <c r="B56" s="787">
        <v>6</v>
      </c>
      <c r="C56" s="788" t="s">
        <v>711</v>
      </c>
      <c r="D56" s="788" t="s">
        <v>792</v>
      </c>
      <c r="E56" s="790">
        <v>-128.38999999999999</v>
      </c>
    </row>
    <row r="57" spans="1:5" ht="16.5" customHeight="1">
      <c r="A57" s="788" t="s">
        <v>655</v>
      </c>
      <c r="B57" s="787">
        <v>6</v>
      </c>
      <c r="C57" s="788" t="s">
        <v>712</v>
      </c>
      <c r="D57" s="788" t="s">
        <v>793</v>
      </c>
      <c r="E57" s="790">
        <v>-61.6</v>
      </c>
    </row>
    <row r="58" spans="1:5" ht="16.5" customHeight="1">
      <c r="A58" s="788" t="s">
        <v>655</v>
      </c>
      <c r="B58" s="787">
        <v>6</v>
      </c>
      <c r="C58" s="788" t="s">
        <v>713</v>
      </c>
      <c r="D58" s="788" t="s">
        <v>794</v>
      </c>
      <c r="E58" s="790">
        <v>-583.92999999999995</v>
      </c>
    </row>
    <row r="59" spans="1:5" ht="16.5" customHeight="1">
      <c r="A59" s="788" t="s">
        <v>655</v>
      </c>
      <c r="B59" s="787">
        <v>6</v>
      </c>
      <c r="C59" s="788" t="s">
        <v>714</v>
      </c>
      <c r="D59" s="788" t="s">
        <v>795</v>
      </c>
      <c r="E59" s="790">
        <v>-11.68</v>
      </c>
    </row>
    <row r="60" spans="1:5" ht="16.5" customHeight="1">
      <c r="A60" s="788" t="s">
        <v>655</v>
      </c>
      <c r="B60" s="787">
        <v>6</v>
      </c>
      <c r="C60" s="788" t="s">
        <v>715</v>
      </c>
      <c r="D60" s="788" t="s">
        <v>796</v>
      </c>
      <c r="E60" s="790">
        <v>-1038.9000000000001</v>
      </c>
    </row>
    <row r="61" spans="1:5" ht="16.5" customHeight="1">
      <c r="A61" s="788" t="s">
        <v>655</v>
      </c>
      <c r="B61" s="787">
        <v>6</v>
      </c>
      <c r="C61" s="788" t="s">
        <v>818</v>
      </c>
      <c r="D61" s="788" t="s">
        <v>821</v>
      </c>
      <c r="E61" s="790">
        <v>-2450</v>
      </c>
    </row>
    <row r="62" spans="1:5" ht="16.5" customHeight="1">
      <c r="A62" s="788" t="s">
        <v>655</v>
      </c>
      <c r="B62" s="787">
        <v>6</v>
      </c>
      <c r="C62" s="788" t="s">
        <v>716</v>
      </c>
      <c r="D62" s="788" t="s">
        <v>797</v>
      </c>
      <c r="E62" s="790">
        <v>-1907.94</v>
      </c>
    </row>
    <row r="63" spans="1:5" ht="16.5" customHeight="1">
      <c r="A63" s="788" t="s">
        <v>655</v>
      </c>
      <c r="B63" s="787">
        <v>6</v>
      </c>
      <c r="C63" s="788" t="s">
        <v>717</v>
      </c>
      <c r="D63" s="788" t="s">
        <v>798</v>
      </c>
      <c r="E63" s="790">
        <v>-12771.03</v>
      </c>
    </row>
    <row r="64" spans="1:5" ht="16.5" customHeight="1">
      <c r="A64" s="788" t="s">
        <v>655</v>
      </c>
      <c r="B64" s="787">
        <v>6</v>
      </c>
      <c r="C64" s="788" t="s">
        <v>718</v>
      </c>
      <c r="D64" s="788" t="s">
        <v>799</v>
      </c>
      <c r="E64" s="790">
        <v>-2711.44</v>
      </c>
    </row>
    <row r="65" spans="1:8" ht="14">
      <c r="A65" s="788" t="s">
        <v>655</v>
      </c>
      <c r="B65" s="787">
        <v>6</v>
      </c>
      <c r="C65" s="788" t="s">
        <v>719</v>
      </c>
      <c r="D65" s="788" t="s">
        <v>800</v>
      </c>
      <c r="E65" s="790">
        <v>-401.95</v>
      </c>
      <c r="H65" s="771">
        <f>SUM(E72+E69+E2+E3)</f>
        <v>-3959068.3899999997</v>
      </c>
    </row>
    <row r="66" spans="1:8" ht="14">
      <c r="A66" s="788" t="s">
        <v>655</v>
      </c>
      <c r="B66" s="787">
        <v>6</v>
      </c>
      <c r="C66" s="788" t="s">
        <v>819</v>
      </c>
      <c r="D66" s="788" t="s">
        <v>822</v>
      </c>
      <c r="E66" s="790">
        <v>-1445.25</v>
      </c>
    </row>
    <row r="67" spans="1:8" ht="14">
      <c r="A67" s="788" t="s">
        <v>655</v>
      </c>
      <c r="B67" s="787">
        <v>6</v>
      </c>
      <c r="C67" s="788" t="s">
        <v>720</v>
      </c>
      <c r="D67" s="788" t="s">
        <v>721</v>
      </c>
      <c r="E67" s="790">
        <v>-38660.74</v>
      </c>
    </row>
    <row r="68" spans="1:8" ht="14">
      <c r="A68" s="788" t="s">
        <v>655</v>
      </c>
      <c r="B68" s="787">
        <v>6</v>
      </c>
      <c r="C68" s="788" t="s">
        <v>722</v>
      </c>
      <c r="D68" s="788" t="s">
        <v>723</v>
      </c>
      <c r="E68" s="790">
        <v>-66578.52</v>
      </c>
    </row>
    <row r="69" spans="1:8" ht="14">
      <c r="A69" s="788" t="s">
        <v>655</v>
      </c>
      <c r="B69" s="787">
        <v>6</v>
      </c>
      <c r="C69" s="788" t="s">
        <v>602</v>
      </c>
      <c r="D69" s="788" t="s">
        <v>724</v>
      </c>
      <c r="E69" s="790">
        <v>-772.32</v>
      </c>
    </row>
    <row r="70" spans="1:8" ht="14">
      <c r="A70" s="788" t="s">
        <v>655</v>
      </c>
      <c r="B70" s="787">
        <v>6</v>
      </c>
      <c r="C70" s="788" t="s">
        <v>725</v>
      </c>
      <c r="D70" s="788" t="s">
        <v>726</v>
      </c>
      <c r="E70" s="790">
        <v>-47602.7</v>
      </c>
    </row>
    <row r="71" spans="1:8" ht="14">
      <c r="A71" s="788" t="s">
        <v>655</v>
      </c>
      <c r="B71" s="787">
        <v>6</v>
      </c>
      <c r="C71" s="788" t="s">
        <v>727</v>
      </c>
      <c r="D71" s="788" t="s">
        <v>728</v>
      </c>
      <c r="E71" s="790">
        <v>82000</v>
      </c>
    </row>
    <row r="72" spans="1:8" ht="14">
      <c r="A72" s="788" t="s">
        <v>655</v>
      </c>
      <c r="B72" s="787">
        <v>6</v>
      </c>
      <c r="C72" s="788" t="s">
        <v>731</v>
      </c>
      <c r="D72" s="788" t="s">
        <v>732</v>
      </c>
      <c r="E72" s="790">
        <v>-987824.31</v>
      </c>
    </row>
    <row r="73" spans="1:8" ht="14">
      <c r="A73" s="788" t="s">
        <v>655</v>
      </c>
      <c r="B73" s="787">
        <v>6</v>
      </c>
      <c r="C73" s="788" t="s">
        <v>733</v>
      </c>
      <c r="D73" s="788" t="s">
        <v>734</v>
      </c>
      <c r="E73" s="790">
        <v>131753</v>
      </c>
    </row>
    <row r="74" spans="1:8" ht="14">
      <c r="A74" s="788" t="s">
        <v>655</v>
      </c>
      <c r="B74" s="787">
        <v>6</v>
      </c>
      <c r="C74" s="788" t="s">
        <v>824</v>
      </c>
      <c r="D74" s="788" t="s">
        <v>825</v>
      </c>
      <c r="E74" s="790">
        <v>-978.86</v>
      </c>
    </row>
    <row r="75" spans="1:8" ht="14">
      <c r="A75" s="788" t="s">
        <v>655</v>
      </c>
      <c r="B75" s="787">
        <v>6</v>
      </c>
      <c r="C75" s="788" t="s">
        <v>735</v>
      </c>
      <c r="D75" s="788" t="s">
        <v>801</v>
      </c>
      <c r="E75" s="790">
        <v>-3498.51</v>
      </c>
    </row>
    <row r="76" spans="1:8" ht="14">
      <c r="A76" s="788" t="s">
        <v>655</v>
      </c>
      <c r="B76" s="787">
        <v>6</v>
      </c>
      <c r="C76" s="788" t="s">
        <v>736</v>
      </c>
      <c r="D76" s="788" t="s">
        <v>802</v>
      </c>
      <c r="E76" s="790">
        <v>2351.4</v>
      </c>
    </row>
  </sheetData>
  <customSheetViews>
    <customSheetView guid="{005F2F7B-A3A9-4755-A4DF-7CE06C365CC2}" topLeftCell="A52">
      <selection activeCell="I76" sqref="I76"/>
    </customSheetView>
    <customSheetView guid="{041E0462-B6EA-414A-9F2E-C14ADEFAE5F2}" hiddenRows="1">
      <selection activeCell="H66" sqref="H66"/>
    </customSheetView>
    <customSheetView guid="{86CCC894-C193-4761-8385-3C374FD67B70}" showPageBreaks="1" topLeftCell="A52">
      <selection activeCell="I76" sqref="I76"/>
      <pageSetup orientation="portrait" horizontalDpi="1200" verticalDpi="1200"/>
    </customSheetView>
  </customSheetViews>
  <pageMargins left="0.7" right="0.7" top="0.75" bottom="0.75" header="0.3" footer="0.3"/>
  <pageSetup orientation="portrait" horizontalDpi="1200" verticalDpi="120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262"/>
  <sheetViews>
    <sheetView topLeftCell="D226" workbookViewId="0">
      <selection activeCell="I240" sqref="I240"/>
    </sheetView>
  </sheetViews>
  <sheetFormatPr baseColWidth="10" defaultColWidth="9.3984375" defaultRowHeight="12" outlineLevelCol="1" x14ac:dyDescent="0"/>
  <cols>
    <col min="1" max="1" width="9.796875" style="18" customWidth="1" outlineLevel="1"/>
    <col min="2" max="2" width="8.3984375" style="18" bestFit="1" customWidth="1" outlineLevel="1"/>
    <col min="3" max="3" width="11.3984375" style="131" bestFit="1" customWidth="1" outlineLevel="1"/>
    <col min="4" max="4" width="32.3984375" style="147" customWidth="1"/>
    <col min="5" max="5" width="17.3984375" style="35" bestFit="1" customWidth="1"/>
    <col min="6" max="6" width="17" style="152" bestFit="1" customWidth="1"/>
    <col min="7" max="8" width="15.3984375" style="17" hidden="1" customWidth="1"/>
    <col min="9" max="9" width="15.3984375" style="17" customWidth="1"/>
    <col min="10" max="10" width="17" style="24" bestFit="1" customWidth="1"/>
    <col min="11" max="11" width="3" style="24" customWidth="1"/>
    <col min="12" max="12" width="15.3984375" style="24" customWidth="1"/>
    <col min="13" max="13" width="16.3984375" style="24" bestFit="1" customWidth="1"/>
    <col min="14" max="14" width="1.796875" style="16" customWidth="1"/>
    <col min="15" max="15" width="13.3984375" style="146" bestFit="1" customWidth="1"/>
    <col min="16" max="16" width="1.796875" style="16" customWidth="1"/>
    <col min="17" max="17" width="15.3984375" style="146" customWidth="1"/>
    <col min="18" max="18" width="15.3984375" style="146" hidden="1" customWidth="1"/>
    <col min="19" max="19" width="12" style="146" hidden="1" customWidth="1"/>
    <col min="20" max="20" width="22.3984375" style="146" bestFit="1"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6.3984375" style="559" bestFit="1" customWidth="1"/>
    <col min="36" max="36" width="14.19921875" style="559" customWidth="1"/>
    <col min="37" max="37" width="9.3984375" style="16"/>
    <col min="38" max="38" width="14.796875" style="16" bestFit="1" customWidth="1"/>
    <col min="39" max="39" width="38.3984375" style="16" bestFit="1" customWidth="1"/>
    <col min="40" max="16384" width="9.398437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1096</v>
      </c>
      <c r="F3" s="29"/>
      <c r="G3" s="18"/>
      <c r="H3" s="168"/>
      <c r="I3" s="168"/>
      <c r="J3" s="169"/>
      <c r="K3" s="169"/>
      <c r="L3" s="169"/>
      <c r="M3" s="169"/>
      <c r="N3" s="169"/>
    </row>
    <row r="4" spans="1:39">
      <c r="D4" s="148"/>
      <c r="G4" s="164"/>
      <c r="H4" s="168"/>
      <c r="I4" s="168"/>
      <c r="J4" s="169"/>
      <c r="K4" s="169"/>
      <c r="L4" s="169"/>
      <c r="M4" s="169"/>
      <c r="N4" s="169"/>
    </row>
    <row r="5" spans="1:39" ht="13"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3" thickBot="1">
      <c r="B12" s="469"/>
      <c r="C12" s="670"/>
      <c r="D12" s="470" t="s">
        <v>103</v>
      </c>
      <c r="E12" s="471" t="s">
        <v>101</v>
      </c>
      <c r="F12" s="29"/>
      <c r="G12" s="166"/>
      <c r="H12" s="150"/>
      <c r="I12" s="150"/>
      <c r="J12" s="76"/>
    </row>
    <row r="13" spans="1:39" ht="13" thickBot="1">
      <c r="A13" s="152"/>
      <c r="B13" s="152"/>
      <c r="C13" s="67"/>
      <c r="D13" s="54"/>
      <c r="E13" s="34"/>
      <c r="G13" s="167"/>
      <c r="H13" s="49"/>
      <c r="I13" s="49"/>
      <c r="J13" s="50"/>
      <c r="K13" s="50"/>
      <c r="L13" s="50"/>
      <c r="M13" s="745"/>
      <c r="N13" s="146"/>
      <c r="P13" s="146"/>
      <c r="W13" s="50"/>
      <c r="X13" s="33"/>
      <c r="Y13" s="33"/>
      <c r="Z13" s="33"/>
      <c r="AA13" s="33"/>
    </row>
    <row r="14" spans="1:39" ht="13" thickBot="1">
      <c r="D14" s="526"/>
      <c r="E14" s="582" t="s">
        <v>1095</v>
      </c>
      <c r="F14" s="583" t="s">
        <v>288</v>
      </c>
      <c r="G14" s="96"/>
      <c r="H14" s="96"/>
      <c r="I14" s="96"/>
      <c r="J14" s="583" t="s">
        <v>289</v>
      </c>
      <c r="K14" s="581"/>
      <c r="L14" s="583" t="s">
        <v>289</v>
      </c>
      <c r="M14" s="583" t="s">
        <v>289</v>
      </c>
      <c r="N14" s="93"/>
      <c r="O14" s="96"/>
      <c r="P14" s="93"/>
      <c r="Q14" s="13"/>
      <c r="R14" s="13"/>
      <c r="S14" s="13"/>
      <c r="T14" s="96"/>
      <c r="U14" s="101"/>
      <c r="V14" s="96"/>
      <c r="W14" s="93"/>
      <c r="X14" s="96"/>
      <c r="Y14" s="96"/>
      <c r="Z14" s="304"/>
      <c r="AA14" s="304"/>
      <c r="AB14" s="304"/>
      <c r="AE14" s="560" t="s">
        <v>266</v>
      </c>
      <c r="AI14" s="561" t="s">
        <v>267</v>
      </c>
    </row>
    <row r="15" spans="1:39" ht="13" thickBot="1">
      <c r="A15" s="22" t="s">
        <v>95</v>
      </c>
      <c r="B15" s="22" t="s">
        <v>100</v>
      </c>
      <c r="C15" s="36" t="s">
        <v>522</v>
      </c>
      <c r="D15" s="36" t="s">
        <v>67</v>
      </c>
      <c r="E15" s="450" t="s">
        <v>230</v>
      </c>
      <c r="F15" s="528" t="s">
        <v>229</v>
      </c>
      <c r="G15" s="176" t="s">
        <v>288</v>
      </c>
      <c r="H15" s="545" t="s">
        <v>289</v>
      </c>
      <c r="I15" s="758" t="s">
        <v>289</v>
      </c>
      <c r="J15" s="313" t="s">
        <v>105</v>
      </c>
      <c r="K15" s="93"/>
      <c r="L15" s="94" t="s">
        <v>104</v>
      </c>
      <c r="M15" s="95" t="s">
        <v>106</v>
      </c>
      <c r="N15" s="102"/>
      <c r="O15" s="427" t="s">
        <v>839</v>
      </c>
      <c r="P15" s="102"/>
      <c r="Q15" s="313" t="s">
        <v>267</v>
      </c>
      <c r="R15" s="313" t="s">
        <v>946</v>
      </c>
      <c r="S15" s="313" t="s">
        <v>947</v>
      </c>
      <c r="T15" s="156" t="s">
        <v>1060</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1027</v>
      </c>
      <c r="E16" s="679">
        <v>2154.92</v>
      </c>
      <c r="F16" s="529">
        <f>VLOOKUP(D16,'Apr14 Revenue'!D:V,19,FALSE)</f>
        <v>0</v>
      </c>
      <c r="G16" s="680"/>
      <c r="H16" s="680"/>
      <c r="I16" s="755"/>
      <c r="J16" s="682">
        <f t="shared" ref="J16:J86" si="0">SUM(E16:I16)</f>
        <v>2154.92</v>
      </c>
      <c r="K16" s="683"/>
      <c r="L16" s="684"/>
      <c r="M16" s="753"/>
      <c r="N16" s="683">
        <v>0</v>
      </c>
      <c r="O16" s="686"/>
      <c r="P16" s="683">
        <v>0</v>
      </c>
      <c r="Q16" s="687">
        <f t="shared" ref="Q16:Q149" si="1">L16+M16</f>
        <v>0</v>
      </c>
      <c r="R16" s="687"/>
      <c r="S16" s="687"/>
      <c r="T16" s="688">
        <v>0</v>
      </c>
      <c r="U16" s="693"/>
      <c r="V16" s="690">
        <f t="shared" ref="V16:V79" si="2">IF(T16="","",T16-Q16)</f>
        <v>0</v>
      </c>
      <c r="W16" s="691"/>
      <c r="X16" s="474">
        <f t="shared" ref="X16:X87" si="3">IF(B16="D",Q16,0)</f>
        <v>0</v>
      </c>
      <c r="Y16" s="474">
        <f t="shared" ref="Y16:Y87" si="4">IF(B16="M",Q16,0)</f>
        <v>0</v>
      </c>
      <c r="Z16" s="475">
        <f t="shared" ref="Z16:Z87" si="5">IF(B16="V",Q16,0)</f>
        <v>0</v>
      </c>
      <c r="AA16" s="475">
        <v>0</v>
      </c>
      <c r="AB16" s="476">
        <v>0</v>
      </c>
      <c r="AC16" s="38">
        <f t="shared" ref="AC16:AC87" si="6">(L16+M16)-(X16+Y16+Z16+AA16+AB16)</f>
        <v>0</v>
      </c>
      <c r="AD16" s="692">
        <f t="shared" ref="AD16:AD86" si="7">IF(B16="D",J16,0)</f>
        <v>0</v>
      </c>
      <c r="AE16" s="692">
        <f t="shared" ref="AE16:AE86" si="8">IF(B16="M",J16,0)</f>
        <v>2154.92</v>
      </c>
      <c r="AF16" s="692">
        <f t="shared" ref="AF16:AF86" si="9">IF(B16="V",J16,0)</f>
        <v>0</v>
      </c>
      <c r="AG16" s="38"/>
      <c r="AH16" s="692">
        <f t="shared" ref="AH16:AH87" si="10">IF(B16="D",Q16,0)</f>
        <v>0</v>
      </c>
      <c r="AI16" s="692">
        <f t="shared" ref="AI16:AI87" si="11">IF(B16="M",Q16,0)</f>
        <v>0</v>
      </c>
      <c r="AJ16" s="692">
        <f t="shared" ref="AJ16:AJ87" si="12">IF(B16="V",Q16,0)</f>
        <v>0</v>
      </c>
      <c r="AL16" s="38">
        <f>SUM(AD16:AJ16)</f>
        <v>2154.92</v>
      </c>
      <c r="AM16" s="373" t="s">
        <v>382</v>
      </c>
    </row>
    <row r="17" spans="1:39">
      <c r="A17" s="20" t="s">
        <v>109</v>
      </c>
      <c r="B17" s="20" t="s">
        <v>110</v>
      </c>
      <c r="C17" s="671" t="s">
        <v>523</v>
      </c>
      <c r="D17" s="123" t="s">
        <v>317</v>
      </c>
      <c r="E17" s="679"/>
      <c r="F17" s="529">
        <f>VLOOKUP(D17,'Apr14 Revenue'!D:V,19,FALSE)</f>
        <v>-1199.7299999999996</v>
      </c>
      <c r="G17" s="680"/>
      <c r="H17" s="680"/>
      <c r="I17" s="755"/>
      <c r="J17" s="682">
        <f t="shared" si="0"/>
        <v>-1199.7299999999996</v>
      </c>
      <c r="K17" s="683"/>
      <c r="L17" s="684"/>
      <c r="M17" s="753">
        <v>10000</v>
      </c>
      <c r="N17" s="683">
        <v>0</v>
      </c>
      <c r="O17" s="686"/>
      <c r="P17" s="683">
        <v>0</v>
      </c>
      <c r="Q17" s="687">
        <f t="shared" si="1"/>
        <v>10000</v>
      </c>
      <c r="R17" s="687"/>
      <c r="S17" s="687"/>
      <c r="T17" s="688">
        <f>9223.18+512.7</f>
        <v>9735.880000000001</v>
      </c>
      <c r="U17" s="693"/>
      <c r="V17" s="690">
        <f t="shared" si="2"/>
        <v>-264.11999999999898</v>
      </c>
      <c r="W17" s="683"/>
      <c r="X17" s="474">
        <f t="shared" si="3"/>
        <v>10000</v>
      </c>
      <c r="Y17" s="474">
        <f t="shared" si="4"/>
        <v>0</v>
      </c>
      <c r="Z17" s="475">
        <f t="shared" si="5"/>
        <v>0</v>
      </c>
      <c r="AA17" s="475">
        <v>0</v>
      </c>
      <c r="AB17" s="476">
        <v>0</v>
      </c>
      <c r="AC17" s="38">
        <f t="shared" si="6"/>
        <v>0</v>
      </c>
      <c r="AD17" s="692">
        <f t="shared" si="7"/>
        <v>-1199.7299999999996</v>
      </c>
      <c r="AE17" s="692">
        <f t="shared" si="8"/>
        <v>0</v>
      </c>
      <c r="AF17" s="692">
        <f t="shared" si="9"/>
        <v>0</v>
      </c>
      <c r="AG17" s="38"/>
      <c r="AH17" s="692">
        <f t="shared" si="10"/>
        <v>10000</v>
      </c>
      <c r="AI17" s="692">
        <f t="shared" si="11"/>
        <v>0</v>
      </c>
      <c r="AJ17" s="692">
        <f t="shared" si="12"/>
        <v>0</v>
      </c>
      <c r="AL17" s="38">
        <f>SUM(AD17:AJ17)</f>
        <v>8800.27</v>
      </c>
      <c r="AM17" s="123" t="s">
        <v>317</v>
      </c>
    </row>
    <row r="18" spans="1:39">
      <c r="A18" s="20" t="s">
        <v>109</v>
      </c>
      <c r="B18" s="20" t="s">
        <v>109</v>
      </c>
      <c r="C18" s="671" t="s">
        <v>523</v>
      </c>
      <c r="D18" s="68" t="s">
        <v>393</v>
      </c>
      <c r="E18" s="679"/>
      <c r="F18" s="529">
        <f>VLOOKUP(D18,'Apr14 Revenue'!D:V,19,FALSE)</f>
        <v>-1613.239999999998</v>
      </c>
      <c r="G18" s="680"/>
      <c r="H18" s="680"/>
      <c r="I18" s="755"/>
      <c r="J18" s="682">
        <f t="shared" si="0"/>
        <v>-1613.239999999998</v>
      </c>
      <c r="K18" s="683"/>
      <c r="L18" s="684"/>
      <c r="M18" s="753">
        <v>60000</v>
      </c>
      <c r="N18" s="683">
        <v>0</v>
      </c>
      <c r="O18" s="686"/>
      <c r="P18" s="683">
        <v>0</v>
      </c>
      <c r="Q18" s="687">
        <f t="shared" si="1"/>
        <v>60000</v>
      </c>
      <c r="R18" s="687"/>
      <c r="S18" s="687"/>
      <c r="T18" s="688">
        <v>58425.16</v>
      </c>
      <c r="U18" s="693"/>
      <c r="V18" s="690">
        <f t="shared" si="2"/>
        <v>-1574.8399999999965</v>
      </c>
      <c r="W18" s="683"/>
      <c r="X18" s="474">
        <f t="shared" si="3"/>
        <v>0</v>
      </c>
      <c r="Y18" s="474">
        <f t="shared" si="4"/>
        <v>60000</v>
      </c>
      <c r="Z18" s="475">
        <f t="shared" si="5"/>
        <v>0</v>
      </c>
      <c r="AA18" s="475">
        <v>0</v>
      </c>
      <c r="AB18" s="476">
        <v>0</v>
      </c>
      <c r="AC18" s="38">
        <f t="shared" si="6"/>
        <v>0</v>
      </c>
      <c r="AD18" s="692">
        <f t="shared" si="7"/>
        <v>0</v>
      </c>
      <c r="AE18" s="692">
        <f t="shared" si="8"/>
        <v>-1613.239999999998</v>
      </c>
      <c r="AF18" s="692">
        <f t="shared" si="9"/>
        <v>0</v>
      </c>
      <c r="AG18" s="38"/>
      <c r="AH18" s="692">
        <f t="shared" si="10"/>
        <v>0</v>
      </c>
      <c r="AI18" s="692">
        <f t="shared" si="11"/>
        <v>60000</v>
      </c>
      <c r="AJ18" s="692">
        <f t="shared" si="12"/>
        <v>0</v>
      </c>
      <c r="AL18" s="38">
        <f t="shared" ref="AL18:AL88" si="13">SUM(AD18:AJ18)</f>
        <v>58386.76</v>
      </c>
      <c r="AM18" s="68" t="s">
        <v>393</v>
      </c>
    </row>
    <row r="19" spans="1:39">
      <c r="A19" s="20" t="s">
        <v>109</v>
      </c>
      <c r="B19" s="20" t="s">
        <v>109</v>
      </c>
      <c r="C19" s="671" t="s">
        <v>523</v>
      </c>
      <c r="D19" s="68" t="s">
        <v>129</v>
      </c>
      <c r="E19" s="679"/>
      <c r="F19" s="529">
        <f>VLOOKUP(D19,'Apr14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v>10593.81</v>
      </c>
      <c r="F20" s="529">
        <f>VLOOKUP(D20,'Apr14 Revenue'!D:V,19,FALSE)</f>
        <v>0</v>
      </c>
      <c r="G20" s="680"/>
      <c r="H20" s="680"/>
      <c r="I20" s="755"/>
      <c r="J20" s="682">
        <f t="shared" si="0"/>
        <v>10593.81</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10593.81</v>
      </c>
      <c r="AF20" s="692">
        <f t="shared" si="9"/>
        <v>0</v>
      </c>
      <c r="AG20" s="38"/>
      <c r="AH20" s="692">
        <f t="shared" si="10"/>
        <v>0</v>
      </c>
      <c r="AI20" s="692">
        <f t="shared" si="11"/>
        <v>0</v>
      </c>
      <c r="AJ20" s="692">
        <f t="shared" si="12"/>
        <v>0</v>
      </c>
      <c r="AL20" s="38">
        <f t="shared" si="13"/>
        <v>10593.81</v>
      </c>
      <c r="AM20" s="351" t="s">
        <v>878</v>
      </c>
    </row>
    <row r="21" spans="1:39">
      <c r="A21" s="20"/>
      <c r="B21" s="20" t="s">
        <v>110</v>
      </c>
      <c r="C21" s="667" t="s">
        <v>524</v>
      </c>
      <c r="D21" s="123" t="s">
        <v>380</v>
      </c>
      <c r="E21" s="679"/>
      <c r="F21" s="529">
        <f>VLOOKUP(D21,'Apr14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c r="AM21" s="123" t="s">
        <v>380</v>
      </c>
    </row>
    <row r="22" spans="1:39">
      <c r="A22" s="20"/>
      <c r="B22" s="20" t="s">
        <v>110</v>
      </c>
      <c r="C22" s="667" t="s">
        <v>524</v>
      </c>
      <c r="D22" s="123" t="s">
        <v>132</v>
      </c>
      <c r="E22" s="679"/>
      <c r="F22" s="529">
        <f>VLOOKUP(D22,'Apr14 Revenue'!D:V,19,FALSE)</f>
        <v>0</v>
      </c>
      <c r="G22" s="680"/>
      <c r="H22" s="680"/>
      <c r="I22" s="770">
        <v>27142.2</v>
      </c>
      <c r="J22" s="682">
        <f t="shared" si="0"/>
        <v>27142.2</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27142.2</v>
      </c>
      <c r="AE22" s="692">
        <f t="shared" si="8"/>
        <v>0</v>
      </c>
      <c r="AF22" s="692">
        <f t="shared" si="9"/>
        <v>0</v>
      </c>
      <c r="AG22" s="38"/>
      <c r="AH22" s="692">
        <f t="shared" si="10"/>
        <v>0</v>
      </c>
      <c r="AI22" s="692">
        <f t="shared" si="11"/>
        <v>0</v>
      </c>
      <c r="AJ22" s="692">
        <f t="shared" si="12"/>
        <v>0</v>
      </c>
      <c r="AL22" s="38">
        <f t="shared" si="13"/>
        <v>27142.2</v>
      </c>
      <c r="AM22" s="123" t="s">
        <v>132</v>
      </c>
    </row>
    <row r="23" spans="1:39">
      <c r="A23" s="20"/>
      <c r="B23" s="20" t="s">
        <v>110</v>
      </c>
      <c r="C23" s="667" t="s">
        <v>524</v>
      </c>
      <c r="D23" s="123" t="s">
        <v>133</v>
      </c>
      <c r="E23" s="679"/>
      <c r="F23" s="529">
        <f>VLOOKUP(D23,'Apr14 Revenue'!D:V,19,FALSE)</f>
        <v>0</v>
      </c>
      <c r="G23" s="680"/>
      <c r="H23" s="680"/>
      <c r="I23" s="755"/>
      <c r="J23" s="682">
        <f t="shared" si="0"/>
        <v>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3"/>
        <v>0</v>
      </c>
      <c r="AM23" s="123" t="s">
        <v>133</v>
      </c>
    </row>
    <row r="24" spans="1:39">
      <c r="A24" s="20"/>
      <c r="B24" s="20" t="s">
        <v>110</v>
      </c>
      <c r="C24" s="667"/>
      <c r="D24" s="123" t="s">
        <v>1015</v>
      </c>
      <c r="E24" s="679"/>
      <c r="F24" s="529">
        <f>VLOOKUP(D24,'Apr14 Revenue'!D:V,19,FALSE)</f>
        <v>0</v>
      </c>
      <c r="G24" s="680"/>
      <c r="H24" s="680"/>
      <c r="I24" s="755"/>
      <c r="J24" s="682">
        <f t="shared" si="0"/>
        <v>0</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3"/>
        <v>0</v>
      </c>
      <c r="AM24" s="123" t="s">
        <v>1015</v>
      </c>
    </row>
    <row r="25" spans="1:39" s="232" customFormat="1">
      <c r="A25" s="283" t="s">
        <v>211</v>
      </c>
      <c r="B25" s="283" t="s">
        <v>109</v>
      </c>
      <c r="C25" s="667" t="s">
        <v>525</v>
      </c>
      <c r="D25" s="123" t="s">
        <v>419</v>
      </c>
      <c r="E25" s="679"/>
      <c r="F25" s="529">
        <f>VLOOKUP(D25,'Apr14 Revenue'!D:V,19,FALSE)</f>
        <v>-30000</v>
      </c>
      <c r="G25" s="680"/>
      <c r="H25" s="680"/>
      <c r="I25" s="755"/>
      <c r="J25" s="682">
        <f t="shared" si="0"/>
        <v>-30000</v>
      </c>
      <c r="K25" s="683"/>
      <c r="L25" s="684"/>
      <c r="M25" s="753">
        <v>37500</v>
      </c>
      <c r="N25" s="683">
        <v>0</v>
      </c>
      <c r="O25" s="686"/>
      <c r="P25" s="683">
        <v>0</v>
      </c>
      <c r="Q25" s="687">
        <f t="shared" si="1"/>
        <v>37500</v>
      </c>
      <c r="R25" s="687"/>
      <c r="S25" s="687"/>
      <c r="T25" s="688">
        <v>0</v>
      </c>
      <c r="U25" s="693"/>
      <c r="V25" s="690">
        <f t="shared" si="2"/>
        <v>-37500</v>
      </c>
      <c r="W25" s="683"/>
      <c r="X25" s="474">
        <f t="shared" si="3"/>
        <v>0</v>
      </c>
      <c r="Y25" s="474">
        <f t="shared" si="4"/>
        <v>37500</v>
      </c>
      <c r="Z25" s="475">
        <f t="shared" si="5"/>
        <v>0</v>
      </c>
      <c r="AA25" s="475">
        <v>0</v>
      </c>
      <c r="AB25" s="476">
        <v>0</v>
      </c>
      <c r="AC25" s="38">
        <f t="shared" si="6"/>
        <v>0</v>
      </c>
      <c r="AD25" s="692">
        <f t="shared" si="7"/>
        <v>0</v>
      </c>
      <c r="AE25" s="692">
        <f t="shared" si="8"/>
        <v>-30000</v>
      </c>
      <c r="AF25" s="692">
        <f t="shared" si="9"/>
        <v>0</v>
      </c>
      <c r="AG25" s="38"/>
      <c r="AH25" s="692">
        <f t="shared" si="10"/>
        <v>0</v>
      </c>
      <c r="AI25" s="692">
        <f t="shared" si="11"/>
        <v>37500</v>
      </c>
      <c r="AJ25" s="692">
        <f t="shared" si="12"/>
        <v>0</v>
      </c>
      <c r="AL25" s="38">
        <f t="shared" si="13"/>
        <v>7500</v>
      </c>
      <c r="AM25" s="123" t="s">
        <v>419</v>
      </c>
    </row>
    <row r="26" spans="1:39">
      <c r="A26" s="20"/>
      <c r="B26" s="20" t="s">
        <v>110</v>
      </c>
      <c r="C26" s="667"/>
      <c r="D26" s="68" t="s">
        <v>922</v>
      </c>
      <c r="E26" s="679"/>
      <c r="F26" s="529">
        <f>VLOOKUP(D26,'Apr14 Revenue'!D:V,19,FALSE)</f>
        <v>0</v>
      </c>
      <c r="G26" s="680"/>
      <c r="H26" s="680"/>
      <c r="I26" s="770">
        <v>264.56</v>
      </c>
      <c r="J26" s="682">
        <f t="shared" si="0"/>
        <v>264.56</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264.56</v>
      </c>
      <c r="AE26" s="692">
        <f t="shared" si="8"/>
        <v>0</v>
      </c>
      <c r="AF26" s="692">
        <f t="shared" si="9"/>
        <v>0</v>
      </c>
      <c r="AG26" s="38"/>
      <c r="AH26" s="692">
        <f t="shared" si="10"/>
        <v>0</v>
      </c>
      <c r="AI26" s="692">
        <f t="shared" si="11"/>
        <v>0</v>
      </c>
      <c r="AJ26" s="692">
        <f t="shared" si="12"/>
        <v>0</v>
      </c>
      <c r="AL26" s="38">
        <f t="shared" si="13"/>
        <v>264.56</v>
      </c>
      <c r="AM26" s="68" t="s">
        <v>922</v>
      </c>
    </row>
    <row r="27" spans="1:39">
      <c r="A27" s="20"/>
      <c r="B27" s="20" t="s">
        <v>110</v>
      </c>
      <c r="C27" s="667"/>
      <c r="D27" s="68" t="s">
        <v>589</v>
      </c>
      <c r="E27" s="679"/>
      <c r="F27" s="529">
        <f>VLOOKUP(D27,'Apr14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c r="AM27" s="68" t="s">
        <v>589</v>
      </c>
    </row>
    <row r="28" spans="1:39">
      <c r="A28" s="20"/>
      <c r="B28" s="20" t="s">
        <v>110</v>
      </c>
      <c r="C28" s="667"/>
      <c r="D28" s="68" t="s">
        <v>829</v>
      </c>
      <c r="E28" s="679"/>
      <c r="F28" s="529">
        <f>VLOOKUP(D28,'Apr14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c r="F29" s="529">
        <f>VLOOKUP(D29,'Apr14 Revenue'!D:V,19,FALSE)</f>
        <v>872.01</v>
      </c>
      <c r="G29" s="680"/>
      <c r="H29" s="680"/>
      <c r="I29" s="755"/>
      <c r="J29" s="682">
        <f t="shared" si="0"/>
        <v>872.01</v>
      </c>
      <c r="K29" s="683"/>
      <c r="L29" s="684"/>
      <c r="M29" s="753"/>
      <c r="N29" s="683">
        <v>0</v>
      </c>
      <c r="O29" s="686"/>
      <c r="P29" s="683">
        <v>0</v>
      </c>
      <c r="Q29" s="687">
        <f t="shared" si="1"/>
        <v>0</v>
      </c>
      <c r="R29" s="687"/>
      <c r="S29" s="687"/>
      <c r="T29" s="688">
        <v>0</v>
      </c>
      <c r="U29" s="693"/>
      <c r="V29" s="690">
        <f t="shared" si="2"/>
        <v>0</v>
      </c>
      <c r="W29" s="691"/>
      <c r="X29" s="474">
        <f t="shared" si="3"/>
        <v>0</v>
      </c>
      <c r="Y29" s="474">
        <f t="shared" si="4"/>
        <v>0</v>
      </c>
      <c r="Z29" s="475">
        <f t="shared" si="5"/>
        <v>0</v>
      </c>
      <c r="AA29" s="475">
        <v>0</v>
      </c>
      <c r="AB29" s="476">
        <v>0</v>
      </c>
      <c r="AC29" s="38">
        <f t="shared" si="6"/>
        <v>0</v>
      </c>
      <c r="AD29" s="692">
        <f t="shared" si="7"/>
        <v>0</v>
      </c>
      <c r="AE29" s="692">
        <f t="shared" si="8"/>
        <v>872.01</v>
      </c>
      <c r="AF29" s="692">
        <f t="shared" si="9"/>
        <v>0</v>
      </c>
      <c r="AG29" s="38"/>
      <c r="AH29" s="692">
        <f t="shared" si="10"/>
        <v>0</v>
      </c>
      <c r="AI29" s="692">
        <f t="shared" si="11"/>
        <v>0</v>
      </c>
      <c r="AJ29" s="692">
        <f t="shared" si="12"/>
        <v>0</v>
      </c>
      <c r="AL29" s="38">
        <f t="shared" si="13"/>
        <v>872.01</v>
      </c>
      <c r="AM29" s="68" t="s">
        <v>385</v>
      </c>
    </row>
    <row r="30" spans="1:39" s="232" customFormat="1">
      <c r="A30" s="283"/>
      <c r="B30" s="283" t="s">
        <v>110</v>
      </c>
      <c r="C30" s="667" t="s">
        <v>527</v>
      </c>
      <c r="D30" s="123" t="s">
        <v>401</v>
      </c>
      <c r="E30" s="679"/>
      <c r="F30" s="529">
        <f>VLOOKUP(D30,'Apr14 Revenue'!D:V,19,FALSE)</f>
        <v>-111918.51000000001</v>
      </c>
      <c r="G30" s="680"/>
      <c r="H30" s="680"/>
      <c r="I30" s="755"/>
      <c r="J30" s="682">
        <f t="shared" si="0"/>
        <v>-111918.51000000001</v>
      </c>
      <c r="K30" s="683"/>
      <c r="L30" s="684"/>
      <c r="M30" s="753">
        <v>984000</v>
      </c>
      <c r="N30" s="683">
        <v>0</v>
      </c>
      <c r="O30" s="686"/>
      <c r="P30" s="683">
        <v>0</v>
      </c>
      <c r="Q30" s="687">
        <f t="shared" si="1"/>
        <v>984000</v>
      </c>
      <c r="R30" s="687"/>
      <c r="S30" s="687"/>
      <c r="T30" s="688">
        <v>919247.6</v>
      </c>
      <c r="U30" s="693"/>
      <c r="V30" s="690">
        <f t="shared" si="2"/>
        <v>-64752.400000000023</v>
      </c>
      <c r="W30" s="683"/>
      <c r="X30" s="474">
        <f t="shared" si="3"/>
        <v>984000</v>
      </c>
      <c r="Y30" s="474">
        <f t="shared" si="4"/>
        <v>0</v>
      </c>
      <c r="Z30" s="475">
        <f t="shared" si="5"/>
        <v>0</v>
      </c>
      <c r="AA30" s="475">
        <v>0</v>
      </c>
      <c r="AB30" s="476">
        <v>0</v>
      </c>
      <c r="AC30" s="38">
        <f t="shared" si="6"/>
        <v>0</v>
      </c>
      <c r="AD30" s="692">
        <f t="shared" si="7"/>
        <v>-111918.51000000001</v>
      </c>
      <c r="AE30" s="692">
        <f t="shared" si="8"/>
        <v>0</v>
      </c>
      <c r="AF30" s="692">
        <f t="shared" si="9"/>
        <v>0</v>
      </c>
      <c r="AG30" s="38"/>
      <c r="AH30" s="692">
        <f t="shared" si="10"/>
        <v>984000</v>
      </c>
      <c r="AI30" s="692">
        <f t="shared" si="11"/>
        <v>0</v>
      </c>
      <c r="AJ30" s="692">
        <f t="shared" si="12"/>
        <v>0</v>
      </c>
      <c r="AL30" s="38">
        <f t="shared" si="13"/>
        <v>872081.49</v>
      </c>
      <c r="AM30" s="123" t="s">
        <v>401</v>
      </c>
    </row>
    <row r="31" spans="1:39" s="232" customFormat="1">
      <c r="A31" s="283"/>
      <c r="B31" s="283" t="s">
        <v>110</v>
      </c>
      <c r="C31" s="667" t="s">
        <v>528</v>
      </c>
      <c r="D31" s="123" t="s">
        <v>403</v>
      </c>
      <c r="E31" s="679"/>
      <c r="F31" s="529">
        <f>VLOOKUP(D31,'Apr14 Revenue'!D:V,19,FALSE)</f>
        <v>147597.25</v>
      </c>
      <c r="G31" s="680"/>
      <c r="H31" s="680"/>
      <c r="I31" s="755"/>
      <c r="J31" s="682">
        <f t="shared" si="0"/>
        <v>147597.25</v>
      </c>
      <c r="K31" s="683"/>
      <c r="L31" s="684"/>
      <c r="M31" s="753">
        <v>250000</v>
      </c>
      <c r="N31" s="683">
        <v>0</v>
      </c>
      <c r="O31" s="686"/>
      <c r="P31" s="683">
        <v>0</v>
      </c>
      <c r="Q31" s="687">
        <f t="shared" si="1"/>
        <v>250000</v>
      </c>
      <c r="R31" s="687"/>
      <c r="S31" s="687"/>
      <c r="T31" s="688">
        <v>175356.15</v>
      </c>
      <c r="U31" s="693"/>
      <c r="V31" s="690">
        <f t="shared" si="2"/>
        <v>-74643.850000000006</v>
      </c>
      <c r="W31" s="683"/>
      <c r="X31" s="474">
        <f t="shared" si="3"/>
        <v>250000</v>
      </c>
      <c r="Y31" s="474">
        <f t="shared" si="4"/>
        <v>0</v>
      </c>
      <c r="Z31" s="475">
        <f t="shared" si="5"/>
        <v>0</v>
      </c>
      <c r="AA31" s="475">
        <v>0</v>
      </c>
      <c r="AB31" s="476">
        <v>0</v>
      </c>
      <c r="AC31" s="38">
        <f t="shared" si="6"/>
        <v>0</v>
      </c>
      <c r="AD31" s="692">
        <f t="shared" si="7"/>
        <v>147597.25</v>
      </c>
      <c r="AE31" s="692">
        <f t="shared" si="8"/>
        <v>0</v>
      </c>
      <c r="AF31" s="692">
        <f t="shared" si="9"/>
        <v>0</v>
      </c>
      <c r="AG31" s="38"/>
      <c r="AH31" s="692">
        <f t="shared" si="10"/>
        <v>250000</v>
      </c>
      <c r="AI31" s="692">
        <f t="shared" si="11"/>
        <v>0</v>
      </c>
      <c r="AJ31" s="692">
        <f t="shared" si="12"/>
        <v>0</v>
      </c>
      <c r="AL31" s="38">
        <f t="shared" si="13"/>
        <v>397597.25</v>
      </c>
      <c r="AM31" s="123" t="s">
        <v>403</v>
      </c>
    </row>
    <row r="32" spans="1:39" s="232" customFormat="1">
      <c r="A32" s="283"/>
      <c r="B32" s="283" t="s">
        <v>110</v>
      </c>
      <c r="C32" s="667" t="s">
        <v>528</v>
      </c>
      <c r="D32" s="123" t="s">
        <v>404</v>
      </c>
      <c r="E32" s="679"/>
      <c r="F32" s="529">
        <f>VLOOKUP(D32,'Apr14 Revenue'!D:V,19,FALSE)</f>
        <v>-1391.7699999999895</v>
      </c>
      <c r="G32" s="680"/>
      <c r="H32" s="680"/>
      <c r="I32" s="755"/>
      <c r="J32" s="682">
        <f t="shared" si="0"/>
        <v>-1391.7699999999895</v>
      </c>
      <c r="K32" s="683"/>
      <c r="L32" s="684"/>
      <c r="M32" s="753">
        <v>165000</v>
      </c>
      <c r="N32" s="683">
        <v>0</v>
      </c>
      <c r="O32" s="686"/>
      <c r="P32" s="683">
        <v>0</v>
      </c>
      <c r="Q32" s="687">
        <f t="shared" si="1"/>
        <v>165000</v>
      </c>
      <c r="R32" s="687"/>
      <c r="S32" s="687"/>
      <c r="T32" s="688">
        <v>182690.13</v>
      </c>
      <c r="U32" s="693"/>
      <c r="V32" s="690">
        <f t="shared" si="2"/>
        <v>17690.130000000005</v>
      </c>
      <c r="W32" s="683"/>
      <c r="X32" s="474">
        <f t="shared" si="3"/>
        <v>165000</v>
      </c>
      <c r="Y32" s="474">
        <f t="shared" si="4"/>
        <v>0</v>
      </c>
      <c r="Z32" s="475">
        <f t="shared" si="5"/>
        <v>0</v>
      </c>
      <c r="AA32" s="475">
        <v>0</v>
      </c>
      <c r="AB32" s="476">
        <v>0</v>
      </c>
      <c r="AC32" s="38">
        <f t="shared" si="6"/>
        <v>0</v>
      </c>
      <c r="AD32" s="692">
        <f t="shared" si="7"/>
        <v>-1391.7699999999895</v>
      </c>
      <c r="AE32" s="692">
        <f t="shared" si="8"/>
        <v>0</v>
      </c>
      <c r="AF32" s="692">
        <f t="shared" si="9"/>
        <v>0</v>
      </c>
      <c r="AG32" s="38"/>
      <c r="AH32" s="692">
        <f t="shared" si="10"/>
        <v>165000</v>
      </c>
      <c r="AI32" s="692">
        <f t="shared" si="11"/>
        <v>0</v>
      </c>
      <c r="AJ32" s="692">
        <f t="shared" si="12"/>
        <v>0</v>
      </c>
      <c r="AL32" s="38">
        <f t="shared" si="13"/>
        <v>163608.23000000001</v>
      </c>
      <c r="AM32" s="123" t="s">
        <v>404</v>
      </c>
    </row>
    <row r="33" spans="1:39" s="232" customFormat="1">
      <c r="A33" s="283"/>
      <c r="B33" s="283" t="s">
        <v>110</v>
      </c>
      <c r="C33" s="667" t="s">
        <v>528</v>
      </c>
      <c r="D33" s="123" t="s">
        <v>405</v>
      </c>
      <c r="E33" s="679"/>
      <c r="F33" s="529">
        <f>VLOOKUP(D33,'Apr14 Revenue'!D:V,19,FALSE)</f>
        <v>-1752.9199999999983</v>
      </c>
      <c r="G33" s="680"/>
      <c r="H33" s="680"/>
      <c r="I33" s="755"/>
      <c r="J33" s="682">
        <f t="shared" si="0"/>
        <v>-1752.9199999999983</v>
      </c>
      <c r="K33" s="683"/>
      <c r="L33" s="684"/>
      <c r="M33" s="753">
        <v>30000</v>
      </c>
      <c r="N33" s="683">
        <v>0</v>
      </c>
      <c r="O33" s="686"/>
      <c r="P33" s="683">
        <v>0</v>
      </c>
      <c r="Q33" s="687">
        <f t="shared" si="1"/>
        <v>30000</v>
      </c>
      <c r="R33" s="687"/>
      <c r="S33" s="687"/>
      <c r="T33" s="688">
        <v>30068.02</v>
      </c>
      <c r="U33" s="693"/>
      <c r="V33" s="690">
        <f t="shared" si="2"/>
        <v>68.020000000000437</v>
      </c>
      <c r="W33" s="683"/>
      <c r="X33" s="474">
        <f t="shared" si="3"/>
        <v>30000</v>
      </c>
      <c r="Y33" s="474">
        <f t="shared" si="4"/>
        <v>0</v>
      </c>
      <c r="Z33" s="475">
        <f t="shared" si="5"/>
        <v>0</v>
      </c>
      <c r="AA33" s="475">
        <v>0</v>
      </c>
      <c r="AB33" s="476">
        <v>0</v>
      </c>
      <c r="AC33" s="38">
        <f t="shared" si="6"/>
        <v>0</v>
      </c>
      <c r="AD33" s="692">
        <f t="shared" si="7"/>
        <v>-1752.9199999999983</v>
      </c>
      <c r="AE33" s="692">
        <f t="shared" si="8"/>
        <v>0</v>
      </c>
      <c r="AF33" s="692">
        <f t="shared" si="9"/>
        <v>0</v>
      </c>
      <c r="AG33" s="38"/>
      <c r="AH33" s="692">
        <f t="shared" si="10"/>
        <v>30000</v>
      </c>
      <c r="AI33" s="692">
        <f t="shared" si="11"/>
        <v>0</v>
      </c>
      <c r="AJ33" s="692">
        <f t="shared" si="12"/>
        <v>0</v>
      </c>
      <c r="AL33" s="38">
        <f t="shared" si="13"/>
        <v>28247.08</v>
      </c>
      <c r="AM33" s="123" t="s">
        <v>405</v>
      </c>
    </row>
    <row r="34" spans="1:39" s="232" customFormat="1">
      <c r="A34" s="283"/>
      <c r="B34" s="283" t="s">
        <v>110</v>
      </c>
      <c r="C34" s="667" t="s">
        <v>528</v>
      </c>
      <c r="D34" s="123" t="s">
        <v>406</v>
      </c>
      <c r="E34" s="679"/>
      <c r="F34" s="529">
        <f>VLOOKUP(D34,'Apr14 Revenue'!D:V,19,FALSE)</f>
        <v>-1684.6900000000005</v>
      </c>
      <c r="G34" s="680"/>
      <c r="H34" s="680"/>
      <c r="I34" s="755"/>
      <c r="J34" s="682">
        <f t="shared" si="0"/>
        <v>-1684.6900000000005</v>
      </c>
      <c r="K34" s="683"/>
      <c r="L34" s="684"/>
      <c r="M34" s="753">
        <v>15000</v>
      </c>
      <c r="N34" s="683">
        <v>0</v>
      </c>
      <c r="O34" s="686"/>
      <c r="P34" s="683">
        <v>0</v>
      </c>
      <c r="Q34" s="687">
        <f t="shared" si="1"/>
        <v>15000</v>
      </c>
      <c r="R34" s="687"/>
      <c r="S34" s="687"/>
      <c r="T34" s="688">
        <v>14878.44</v>
      </c>
      <c r="U34" s="693"/>
      <c r="V34" s="690">
        <f t="shared" si="2"/>
        <v>-121.55999999999949</v>
      </c>
      <c r="W34" s="683"/>
      <c r="X34" s="474">
        <f t="shared" si="3"/>
        <v>15000</v>
      </c>
      <c r="Y34" s="474">
        <f t="shared" si="4"/>
        <v>0</v>
      </c>
      <c r="Z34" s="475">
        <f t="shared" si="5"/>
        <v>0</v>
      </c>
      <c r="AA34" s="475">
        <v>0</v>
      </c>
      <c r="AB34" s="476">
        <v>0</v>
      </c>
      <c r="AC34" s="38">
        <f t="shared" si="6"/>
        <v>0</v>
      </c>
      <c r="AD34" s="692">
        <f t="shared" si="7"/>
        <v>-1684.6900000000005</v>
      </c>
      <c r="AE34" s="692">
        <f t="shared" si="8"/>
        <v>0</v>
      </c>
      <c r="AF34" s="692">
        <f t="shared" si="9"/>
        <v>0</v>
      </c>
      <c r="AG34" s="38"/>
      <c r="AH34" s="692">
        <f t="shared" si="10"/>
        <v>15000</v>
      </c>
      <c r="AI34" s="692">
        <f t="shared" si="11"/>
        <v>0</v>
      </c>
      <c r="AJ34" s="692">
        <f t="shared" si="12"/>
        <v>0</v>
      </c>
      <c r="AL34" s="38">
        <f t="shared" si="13"/>
        <v>13315.31</v>
      </c>
      <c r="AM34" s="123" t="s">
        <v>406</v>
      </c>
    </row>
    <row r="35" spans="1:39" s="232" customFormat="1">
      <c r="A35" s="283"/>
      <c r="B35" s="283" t="s">
        <v>110</v>
      </c>
      <c r="C35" s="667" t="s">
        <v>528</v>
      </c>
      <c r="D35" s="123" t="s">
        <v>407</v>
      </c>
      <c r="E35" s="679"/>
      <c r="F35" s="529">
        <f>VLOOKUP(D35,'Apr14 Revenue'!D:V,19,FALSE)</f>
        <v>411.05000000000018</v>
      </c>
      <c r="G35" s="680"/>
      <c r="H35" s="680"/>
      <c r="I35" s="755"/>
      <c r="J35" s="682">
        <f t="shared" si="0"/>
        <v>411.05000000000018</v>
      </c>
      <c r="K35" s="683"/>
      <c r="L35" s="684"/>
      <c r="M35" s="753">
        <v>5000</v>
      </c>
      <c r="N35" s="683">
        <v>0</v>
      </c>
      <c r="O35" s="686"/>
      <c r="P35" s="683">
        <v>0</v>
      </c>
      <c r="Q35" s="687">
        <f t="shared" si="1"/>
        <v>5000</v>
      </c>
      <c r="R35" s="687"/>
      <c r="S35" s="687"/>
      <c r="T35" s="688">
        <v>5946.3</v>
      </c>
      <c r="U35" s="693"/>
      <c r="V35" s="690">
        <f t="shared" si="2"/>
        <v>946.30000000000018</v>
      </c>
      <c r="W35" s="683"/>
      <c r="X35" s="474">
        <f t="shared" si="3"/>
        <v>5000</v>
      </c>
      <c r="Y35" s="474">
        <f t="shared" si="4"/>
        <v>0</v>
      </c>
      <c r="Z35" s="475">
        <f t="shared" si="5"/>
        <v>0</v>
      </c>
      <c r="AA35" s="475">
        <v>0</v>
      </c>
      <c r="AB35" s="476">
        <v>0</v>
      </c>
      <c r="AC35" s="38">
        <f t="shared" si="6"/>
        <v>0</v>
      </c>
      <c r="AD35" s="692">
        <f t="shared" si="7"/>
        <v>411.05000000000018</v>
      </c>
      <c r="AE35" s="692">
        <f t="shared" si="8"/>
        <v>0</v>
      </c>
      <c r="AF35" s="692">
        <f t="shared" si="9"/>
        <v>0</v>
      </c>
      <c r="AG35" s="38"/>
      <c r="AH35" s="692">
        <f t="shared" si="10"/>
        <v>5000</v>
      </c>
      <c r="AI35" s="692">
        <f t="shared" si="11"/>
        <v>0</v>
      </c>
      <c r="AJ35" s="692">
        <f t="shared" si="12"/>
        <v>0</v>
      </c>
      <c r="AL35" s="38">
        <f t="shared" si="13"/>
        <v>5411.05</v>
      </c>
      <c r="AM35" s="123" t="s">
        <v>407</v>
      </c>
    </row>
    <row r="36" spans="1:39" s="232" customFormat="1">
      <c r="A36" s="283"/>
      <c r="B36" s="283" t="s">
        <v>110</v>
      </c>
      <c r="C36" s="667" t="s">
        <v>528</v>
      </c>
      <c r="D36" s="123" t="s">
        <v>880</v>
      </c>
      <c r="E36" s="679"/>
      <c r="F36" s="529">
        <f>VLOOKUP(D36,'Apr14 Revenue'!D:V,19,FALSE)</f>
        <v>1476.7700000000004</v>
      </c>
      <c r="G36" s="680"/>
      <c r="H36" s="680"/>
      <c r="I36" s="755"/>
      <c r="J36" s="682">
        <f t="shared" si="0"/>
        <v>1476.7700000000004</v>
      </c>
      <c r="K36" s="683"/>
      <c r="L36" s="684"/>
      <c r="M36" s="753">
        <v>5000</v>
      </c>
      <c r="N36" s="683">
        <v>0</v>
      </c>
      <c r="O36" s="686"/>
      <c r="P36" s="683">
        <v>0</v>
      </c>
      <c r="Q36" s="687">
        <f t="shared" si="1"/>
        <v>5000</v>
      </c>
      <c r="R36" s="687"/>
      <c r="S36" s="687"/>
      <c r="T36" s="688">
        <v>6363.4</v>
      </c>
      <c r="U36" s="693"/>
      <c r="V36" s="690">
        <f t="shared" si="2"/>
        <v>1363.3999999999996</v>
      </c>
      <c r="W36" s="683"/>
      <c r="X36" s="474">
        <f t="shared" si="3"/>
        <v>5000</v>
      </c>
      <c r="Y36" s="474">
        <f t="shared" si="4"/>
        <v>0</v>
      </c>
      <c r="Z36" s="475">
        <f t="shared" si="5"/>
        <v>0</v>
      </c>
      <c r="AA36" s="475">
        <v>0</v>
      </c>
      <c r="AB36" s="476">
        <v>0</v>
      </c>
      <c r="AC36" s="38">
        <f t="shared" si="6"/>
        <v>0</v>
      </c>
      <c r="AD36" s="692">
        <f t="shared" si="7"/>
        <v>1476.7700000000004</v>
      </c>
      <c r="AE36" s="692">
        <f t="shared" si="8"/>
        <v>0</v>
      </c>
      <c r="AF36" s="692">
        <f t="shared" si="9"/>
        <v>0</v>
      </c>
      <c r="AG36" s="38"/>
      <c r="AH36" s="692">
        <f t="shared" si="10"/>
        <v>5000</v>
      </c>
      <c r="AI36" s="692">
        <f t="shared" si="11"/>
        <v>0</v>
      </c>
      <c r="AJ36" s="692">
        <f t="shared" si="12"/>
        <v>0</v>
      </c>
      <c r="AL36" s="38">
        <f t="shared" si="13"/>
        <v>6476.77</v>
      </c>
      <c r="AM36" s="123" t="s">
        <v>880</v>
      </c>
    </row>
    <row r="37" spans="1:39" s="232" customFormat="1">
      <c r="A37" s="283"/>
      <c r="B37" s="283" t="s">
        <v>110</v>
      </c>
      <c r="C37" s="667" t="s">
        <v>528</v>
      </c>
      <c r="D37" s="123" t="s">
        <v>881</v>
      </c>
      <c r="E37" s="679"/>
      <c r="F37" s="529">
        <f>VLOOKUP(D37,'Apr14 Revenue'!D:V,19,FALSE)</f>
        <v>-889.73999999999978</v>
      </c>
      <c r="G37" s="680"/>
      <c r="H37" s="680"/>
      <c r="I37" s="755"/>
      <c r="J37" s="682">
        <f t="shared" si="0"/>
        <v>-889.73999999999978</v>
      </c>
      <c r="K37" s="683"/>
      <c r="L37" s="684"/>
      <c r="M37" s="753">
        <v>5000</v>
      </c>
      <c r="N37" s="683">
        <v>0</v>
      </c>
      <c r="O37" s="686"/>
      <c r="P37" s="683">
        <v>0</v>
      </c>
      <c r="Q37" s="687">
        <f t="shared" si="1"/>
        <v>5000</v>
      </c>
      <c r="R37" s="687"/>
      <c r="S37" s="687"/>
      <c r="T37" s="688">
        <v>4262.75</v>
      </c>
      <c r="U37" s="693"/>
      <c r="V37" s="690">
        <f t="shared" si="2"/>
        <v>-737.25</v>
      </c>
      <c r="W37" s="683"/>
      <c r="X37" s="474">
        <f t="shared" si="3"/>
        <v>5000</v>
      </c>
      <c r="Y37" s="474">
        <f t="shared" si="4"/>
        <v>0</v>
      </c>
      <c r="Z37" s="475">
        <f t="shared" si="5"/>
        <v>0</v>
      </c>
      <c r="AA37" s="475">
        <v>0</v>
      </c>
      <c r="AB37" s="476">
        <v>0</v>
      </c>
      <c r="AC37" s="38">
        <f t="shared" si="6"/>
        <v>0</v>
      </c>
      <c r="AD37" s="692">
        <f t="shared" si="7"/>
        <v>-889.73999999999978</v>
      </c>
      <c r="AE37" s="692">
        <f t="shared" si="8"/>
        <v>0</v>
      </c>
      <c r="AF37" s="692">
        <f t="shared" si="9"/>
        <v>0</v>
      </c>
      <c r="AG37" s="38"/>
      <c r="AH37" s="692">
        <f t="shared" si="10"/>
        <v>5000</v>
      </c>
      <c r="AI37" s="692">
        <f t="shared" si="11"/>
        <v>0</v>
      </c>
      <c r="AJ37" s="692">
        <f t="shared" si="12"/>
        <v>0</v>
      </c>
      <c r="AL37" s="38">
        <f t="shared" si="13"/>
        <v>4110.26</v>
      </c>
      <c r="AM37" s="123" t="s">
        <v>881</v>
      </c>
    </row>
    <row r="38" spans="1:39" s="232" customFormat="1">
      <c r="A38" s="283"/>
      <c r="B38" s="283" t="s">
        <v>110</v>
      </c>
      <c r="C38" s="667" t="s">
        <v>528</v>
      </c>
      <c r="D38" s="123" t="s">
        <v>820</v>
      </c>
      <c r="E38" s="679"/>
      <c r="F38" s="529">
        <f>VLOOKUP(D38,'Apr14 Revenue'!D:V,19,FALSE)</f>
        <v>-2687.7099999999991</v>
      </c>
      <c r="G38" s="680"/>
      <c r="H38" s="680"/>
      <c r="I38" s="755"/>
      <c r="J38" s="682">
        <f t="shared" si="0"/>
        <v>-2687.7099999999991</v>
      </c>
      <c r="K38" s="683"/>
      <c r="L38" s="684"/>
      <c r="M38" s="753">
        <v>30000</v>
      </c>
      <c r="N38" s="683">
        <v>0</v>
      </c>
      <c r="O38" s="686"/>
      <c r="P38" s="683">
        <v>0</v>
      </c>
      <c r="Q38" s="687">
        <f t="shared" si="1"/>
        <v>30000</v>
      </c>
      <c r="R38" s="687"/>
      <c r="S38" s="687"/>
      <c r="T38" s="688">
        <v>28724.79</v>
      </c>
      <c r="U38" s="693"/>
      <c r="V38" s="690">
        <f t="shared" si="2"/>
        <v>-1275.2099999999991</v>
      </c>
      <c r="W38" s="683"/>
      <c r="X38" s="474">
        <f t="shared" si="3"/>
        <v>30000</v>
      </c>
      <c r="Y38" s="474">
        <f t="shared" si="4"/>
        <v>0</v>
      </c>
      <c r="Z38" s="475">
        <f t="shared" si="5"/>
        <v>0</v>
      </c>
      <c r="AA38" s="475">
        <v>0</v>
      </c>
      <c r="AB38" s="476">
        <v>0</v>
      </c>
      <c r="AC38" s="38">
        <f t="shared" si="6"/>
        <v>0</v>
      </c>
      <c r="AD38" s="692">
        <f t="shared" si="7"/>
        <v>-2687.7099999999991</v>
      </c>
      <c r="AE38" s="692">
        <f t="shared" si="8"/>
        <v>0</v>
      </c>
      <c r="AF38" s="692">
        <f t="shared" si="9"/>
        <v>0</v>
      </c>
      <c r="AG38" s="38"/>
      <c r="AH38" s="692">
        <f t="shared" si="10"/>
        <v>30000</v>
      </c>
      <c r="AI38" s="692">
        <f t="shared" si="11"/>
        <v>0</v>
      </c>
      <c r="AJ38" s="692">
        <f t="shared" si="12"/>
        <v>0</v>
      </c>
      <c r="AL38" s="38">
        <f t="shared" si="13"/>
        <v>27312.29</v>
      </c>
      <c r="AM38" s="123" t="s">
        <v>820</v>
      </c>
    </row>
    <row r="39" spans="1:39" s="232" customFormat="1">
      <c r="A39" s="283"/>
      <c r="B39" s="283" t="s">
        <v>110</v>
      </c>
      <c r="C39" s="667" t="s">
        <v>527</v>
      </c>
      <c r="D39" s="123" t="s">
        <v>460</v>
      </c>
      <c r="E39" s="679"/>
      <c r="F39" s="529">
        <f>VLOOKUP(D39,'Apr14 Revenue'!D:V,19,FALSE)</f>
        <v>0</v>
      </c>
      <c r="G39" s="680"/>
      <c r="H39" s="680"/>
      <c r="I39" s="770">
        <v>41021.17</v>
      </c>
      <c r="J39" s="682">
        <f t="shared" si="0"/>
        <v>41021.17</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41021.17</v>
      </c>
      <c r="AE39" s="692">
        <f t="shared" si="8"/>
        <v>0</v>
      </c>
      <c r="AF39" s="692">
        <f t="shared" si="9"/>
        <v>0</v>
      </c>
      <c r="AG39" s="38"/>
      <c r="AH39" s="692">
        <f t="shared" si="10"/>
        <v>0</v>
      </c>
      <c r="AI39" s="692">
        <f t="shared" si="11"/>
        <v>0</v>
      </c>
      <c r="AJ39" s="692">
        <f t="shared" si="12"/>
        <v>0</v>
      </c>
      <c r="AL39" s="38">
        <f t="shared" si="13"/>
        <v>41021.17</v>
      </c>
      <c r="AM39" s="123" t="s">
        <v>460</v>
      </c>
    </row>
    <row r="40" spans="1:39" s="232" customFormat="1">
      <c r="A40" s="283"/>
      <c r="B40" s="283" t="s">
        <v>110</v>
      </c>
      <c r="C40" s="676" t="s">
        <v>528</v>
      </c>
      <c r="D40" s="123" t="s">
        <v>623</v>
      </c>
      <c r="E40" s="679"/>
      <c r="F40" s="529">
        <f>VLOOKUP(D40,'Apr14 Revenue'!D:V,19,FALSE)</f>
        <v>0</v>
      </c>
      <c r="G40" s="680"/>
      <c r="H40" s="680"/>
      <c r="I40" s="770">
        <v>6178.93</v>
      </c>
      <c r="J40" s="682">
        <f t="shared" si="0"/>
        <v>6178.93</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6178.93</v>
      </c>
      <c r="AE40" s="692">
        <f t="shared" si="8"/>
        <v>0</v>
      </c>
      <c r="AF40" s="692">
        <f t="shared" si="9"/>
        <v>0</v>
      </c>
      <c r="AG40" s="38"/>
      <c r="AH40" s="692">
        <f t="shared" si="10"/>
        <v>0</v>
      </c>
      <c r="AI40" s="692">
        <f t="shared" si="11"/>
        <v>0</v>
      </c>
      <c r="AJ40" s="692">
        <f t="shared" si="12"/>
        <v>0</v>
      </c>
      <c r="AL40" s="38">
        <f t="shared" si="13"/>
        <v>6178.93</v>
      </c>
      <c r="AM40" s="123" t="s">
        <v>623</v>
      </c>
    </row>
    <row r="41" spans="1:39" s="232" customFormat="1">
      <c r="A41" s="403"/>
      <c r="B41" s="403" t="s">
        <v>114</v>
      </c>
      <c r="C41" s="675" t="s">
        <v>527</v>
      </c>
      <c r="D41" s="123" t="s">
        <v>1054</v>
      </c>
      <c r="E41" s="679"/>
      <c r="F41" s="529">
        <f>VLOOKUP(D41,'Apr14 Revenue'!D:V,19,FALSE)</f>
        <v>20670.5</v>
      </c>
      <c r="G41" s="680"/>
      <c r="H41" s="680"/>
      <c r="I41" s="755"/>
      <c r="J41" s="682">
        <f t="shared" si="0"/>
        <v>20670.5</v>
      </c>
      <c r="K41" s="683"/>
      <c r="L41" s="684"/>
      <c r="M41" s="753">
        <v>20000</v>
      </c>
      <c r="N41" s="683">
        <v>0</v>
      </c>
      <c r="O41" s="686"/>
      <c r="P41" s="683">
        <v>0</v>
      </c>
      <c r="Q41" s="687">
        <f t="shared" si="1"/>
        <v>20000</v>
      </c>
      <c r="R41" s="687"/>
      <c r="S41" s="687"/>
      <c r="T41" s="688">
        <v>22307.9</v>
      </c>
      <c r="U41" s="693"/>
      <c r="V41" s="690">
        <f t="shared" si="2"/>
        <v>2307.9000000000015</v>
      </c>
      <c r="W41" s="683"/>
      <c r="X41" s="474">
        <f t="shared" si="3"/>
        <v>0</v>
      </c>
      <c r="Y41" s="474">
        <f t="shared" si="4"/>
        <v>0</v>
      </c>
      <c r="Z41" s="475">
        <f t="shared" si="5"/>
        <v>20000</v>
      </c>
      <c r="AA41" s="475">
        <v>0</v>
      </c>
      <c r="AB41" s="476">
        <v>0</v>
      </c>
      <c r="AC41" s="38">
        <f t="shared" si="6"/>
        <v>0</v>
      </c>
      <c r="AD41" s="692">
        <f t="shared" si="7"/>
        <v>0</v>
      </c>
      <c r="AE41" s="692">
        <f t="shared" si="8"/>
        <v>0</v>
      </c>
      <c r="AF41" s="692">
        <f t="shared" si="9"/>
        <v>20670.5</v>
      </c>
      <c r="AG41" s="38"/>
      <c r="AH41" s="692">
        <f t="shared" si="10"/>
        <v>0</v>
      </c>
      <c r="AI41" s="692">
        <f t="shared" si="11"/>
        <v>0</v>
      </c>
      <c r="AJ41" s="692">
        <f t="shared" si="12"/>
        <v>20000</v>
      </c>
      <c r="AL41" s="38">
        <f t="shared" si="13"/>
        <v>40670.5</v>
      </c>
      <c r="AM41" s="123" t="s">
        <v>108</v>
      </c>
    </row>
    <row r="42" spans="1:39" s="232" customFormat="1">
      <c r="A42" s="403"/>
      <c r="B42" s="403" t="s">
        <v>114</v>
      </c>
      <c r="C42" s="666" t="s">
        <v>529</v>
      </c>
      <c r="D42" s="123" t="s">
        <v>108</v>
      </c>
      <c r="E42" s="679"/>
      <c r="F42" s="529">
        <f>VLOOKUP(D42,'Apr14 Revenue'!D:V,19,FALSE)</f>
        <v>-9248.7900000000009</v>
      </c>
      <c r="G42" s="680"/>
      <c r="H42" s="680"/>
      <c r="I42" s="755"/>
      <c r="J42" s="682">
        <f t="shared" si="0"/>
        <v>-9248.7900000000009</v>
      </c>
      <c r="K42" s="683"/>
      <c r="L42" s="684"/>
      <c r="M42" s="753">
        <v>25000</v>
      </c>
      <c r="N42" s="683">
        <v>0</v>
      </c>
      <c r="O42" s="686"/>
      <c r="P42" s="683">
        <v>0</v>
      </c>
      <c r="Q42" s="687">
        <f t="shared" si="1"/>
        <v>25000</v>
      </c>
      <c r="R42" s="687"/>
      <c r="S42" s="687"/>
      <c r="T42" s="688">
        <v>26159.73</v>
      </c>
      <c r="U42" s="693"/>
      <c r="V42" s="690">
        <f t="shared" si="2"/>
        <v>1159.7299999999996</v>
      </c>
      <c r="W42" s="683"/>
      <c r="X42" s="474">
        <f t="shared" si="3"/>
        <v>0</v>
      </c>
      <c r="Y42" s="474">
        <f t="shared" si="4"/>
        <v>0</v>
      </c>
      <c r="Z42" s="475">
        <f t="shared" si="5"/>
        <v>25000</v>
      </c>
      <c r="AA42" s="475">
        <v>0</v>
      </c>
      <c r="AB42" s="476">
        <v>0</v>
      </c>
      <c r="AC42" s="38">
        <f t="shared" si="6"/>
        <v>0</v>
      </c>
      <c r="AD42" s="692">
        <f t="shared" si="7"/>
        <v>0</v>
      </c>
      <c r="AE42" s="692">
        <f t="shared" si="8"/>
        <v>0</v>
      </c>
      <c r="AF42" s="692">
        <f t="shared" si="9"/>
        <v>-9248.7900000000009</v>
      </c>
      <c r="AG42" s="38"/>
      <c r="AH42" s="692">
        <f t="shared" si="10"/>
        <v>0</v>
      </c>
      <c r="AI42" s="692">
        <f t="shared" si="11"/>
        <v>0</v>
      </c>
      <c r="AJ42" s="692">
        <f t="shared" si="12"/>
        <v>25000</v>
      </c>
      <c r="AL42" s="38">
        <f t="shared" si="13"/>
        <v>15751.21</v>
      </c>
      <c r="AM42" s="123" t="s">
        <v>108</v>
      </c>
    </row>
    <row r="43" spans="1:39" s="232" customFormat="1">
      <c r="A43" s="403"/>
      <c r="B43" s="403" t="s">
        <v>110</v>
      </c>
      <c r="C43" s="666"/>
      <c r="D43" s="123" t="s">
        <v>911</v>
      </c>
      <c r="E43" s="679"/>
      <c r="F43" s="529">
        <f>VLOOKUP(D43,'Apr14 Revenue'!D:V,19,FALSE)</f>
        <v>952.10000000000036</v>
      </c>
      <c r="G43" s="680"/>
      <c r="H43" s="680"/>
      <c r="I43" s="755"/>
      <c r="J43" s="682">
        <f t="shared" si="0"/>
        <v>952.10000000000036</v>
      </c>
      <c r="K43" s="683"/>
      <c r="L43" s="684"/>
      <c r="M43" s="753">
        <v>15000</v>
      </c>
      <c r="N43" s="683">
        <v>0</v>
      </c>
      <c r="O43" s="686"/>
      <c r="P43" s="683">
        <v>0</v>
      </c>
      <c r="Q43" s="687">
        <f t="shared" si="1"/>
        <v>15000</v>
      </c>
      <c r="R43" s="687"/>
      <c r="S43" s="687"/>
      <c r="T43" s="688">
        <v>16076.16</v>
      </c>
      <c r="U43" s="693"/>
      <c r="V43" s="690">
        <f t="shared" si="2"/>
        <v>1076.1599999999999</v>
      </c>
      <c r="W43" s="683"/>
      <c r="X43" s="474">
        <f t="shared" si="3"/>
        <v>15000</v>
      </c>
      <c r="Y43" s="474">
        <f t="shared" si="4"/>
        <v>0</v>
      </c>
      <c r="Z43" s="475">
        <f t="shared" si="5"/>
        <v>0</v>
      </c>
      <c r="AA43" s="475">
        <v>0</v>
      </c>
      <c r="AB43" s="476">
        <v>0</v>
      </c>
      <c r="AC43" s="38">
        <f t="shared" si="6"/>
        <v>0</v>
      </c>
      <c r="AD43" s="692">
        <f t="shared" si="7"/>
        <v>952.10000000000036</v>
      </c>
      <c r="AE43" s="692">
        <f t="shared" si="8"/>
        <v>0</v>
      </c>
      <c r="AF43" s="692">
        <f t="shared" si="9"/>
        <v>0</v>
      </c>
      <c r="AG43" s="38"/>
      <c r="AH43" s="692">
        <f t="shared" si="10"/>
        <v>15000</v>
      </c>
      <c r="AI43" s="692">
        <f t="shared" si="11"/>
        <v>0</v>
      </c>
      <c r="AJ43" s="692">
        <f t="shared" si="12"/>
        <v>0</v>
      </c>
      <c r="AL43" s="38">
        <f t="shared" si="13"/>
        <v>15952.1</v>
      </c>
      <c r="AM43" s="123" t="s">
        <v>911</v>
      </c>
    </row>
    <row r="44" spans="1:39">
      <c r="A44" s="21"/>
      <c r="B44" s="21" t="s">
        <v>110</v>
      </c>
      <c r="C44" s="666"/>
      <c r="D44" s="68" t="s">
        <v>234</v>
      </c>
      <c r="E44" s="679"/>
      <c r="F44" s="529">
        <f>VLOOKUP(D44,'Apr14 Revenue'!D:V,19,FALSE)</f>
        <v>-20000</v>
      </c>
      <c r="G44" s="680"/>
      <c r="H44" s="680"/>
      <c r="I44" s="755"/>
      <c r="J44" s="682">
        <f t="shared" si="0"/>
        <v>-20000</v>
      </c>
      <c r="K44" s="683"/>
      <c r="L44" s="684"/>
      <c r="M44" s="753">
        <v>22000</v>
      </c>
      <c r="N44" s="683">
        <v>0</v>
      </c>
      <c r="O44" s="686"/>
      <c r="P44" s="683">
        <v>0</v>
      </c>
      <c r="Q44" s="687">
        <f t="shared" si="1"/>
        <v>22000</v>
      </c>
      <c r="R44" s="687"/>
      <c r="S44" s="687"/>
      <c r="T44" s="688">
        <v>0</v>
      </c>
      <c r="U44" s="693"/>
      <c r="V44" s="690">
        <f t="shared" si="2"/>
        <v>-22000</v>
      </c>
      <c r="W44" s="683"/>
      <c r="X44" s="474">
        <f t="shared" si="3"/>
        <v>22000</v>
      </c>
      <c r="Y44" s="474">
        <f t="shared" si="4"/>
        <v>0</v>
      </c>
      <c r="Z44" s="475">
        <f t="shared" si="5"/>
        <v>0</v>
      </c>
      <c r="AA44" s="475">
        <v>0</v>
      </c>
      <c r="AB44" s="476">
        <v>0</v>
      </c>
      <c r="AC44" s="38">
        <f t="shared" si="6"/>
        <v>0</v>
      </c>
      <c r="AD44" s="692">
        <f t="shared" si="7"/>
        <v>-20000</v>
      </c>
      <c r="AE44" s="692">
        <f t="shared" si="8"/>
        <v>0</v>
      </c>
      <c r="AF44" s="692">
        <f t="shared" si="9"/>
        <v>0</v>
      </c>
      <c r="AG44" s="38"/>
      <c r="AH44" s="692">
        <f t="shared" si="10"/>
        <v>22000</v>
      </c>
      <c r="AI44" s="692">
        <f t="shared" si="11"/>
        <v>0</v>
      </c>
      <c r="AJ44" s="692">
        <f t="shared" si="12"/>
        <v>0</v>
      </c>
      <c r="AL44" s="38">
        <f t="shared" si="13"/>
        <v>2000</v>
      </c>
      <c r="AM44" s="68" t="s">
        <v>234</v>
      </c>
    </row>
    <row r="45" spans="1:39">
      <c r="A45" s="20"/>
      <c r="B45" s="20" t="s">
        <v>109</v>
      </c>
      <c r="C45" s="667"/>
      <c r="D45" s="68" t="s">
        <v>598</v>
      </c>
      <c r="E45" s="679">
        <f>785.53+1123.7+1489.82+293.02</f>
        <v>3692.07</v>
      </c>
      <c r="F45" s="529">
        <f>VLOOKUP(D45,'Apr14 Revenue'!D:V,19,FALSE)</f>
        <v>0</v>
      </c>
      <c r="G45" s="680"/>
      <c r="H45" s="680"/>
      <c r="I45" s="755"/>
      <c r="J45" s="682">
        <f t="shared" si="0"/>
        <v>3692.07</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3692.07</v>
      </c>
      <c r="AF45" s="692">
        <f t="shared" si="9"/>
        <v>0</v>
      </c>
      <c r="AG45" s="38"/>
      <c r="AH45" s="692">
        <f t="shared" si="10"/>
        <v>0</v>
      </c>
      <c r="AI45" s="692">
        <f t="shared" si="11"/>
        <v>0</v>
      </c>
      <c r="AJ45" s="692">
        <f t="shared" si="12"/>
        <v>0</v>
      </c>
      <c r="AL45" s="38">
        <f t="shared" si="13"/>
        <v>3692.07</v>
      </c>
      <c r="AM45" s="68" t="s">
        <v>598</v>
      </c>
    </row>
    <row r="46" spans="1:39">
      <c r="A46" s="20"/>
      <c r="B46" s="20" t="s">
        <v>110</v>
      </c>
      <c r="C46" s="667"/>
      <c r="D46" s="68" t="s">
        <v>311</v>
      </c>
      <c r="E46" s="679"/>
      <c r="F46" s="529">
        <f>VLOOKUP(D46,'Apr14 Revenue'!D:V,19,FALSE)</f>
        <v>0</v>
      </c>
      <c r="G46" s="680"/>
      <c r="H46" s="680"/>
      <c r="I46" s="755"/>
      <c r="J46" s="682">
        <f t="shared" si="0"/>
        <v>0</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c r="AM46" s="68" t="s">
        <v>311</v>
      </c>
    </row>
    <row r="47" spans="1:39">
      <c r="A47" s="20"/>
      <c r="B47" s="20" t="s">
        <v>110</v>
      </c>
      <c r="C47" s="667"/>
      <c r="D47" s="68" t="s">
        <v>451</v>
      </c>
      <c r="E47" s="679"/>
      <c r="F47" s="529">
        <f>VLOOKUP(D47,'Apr14 Revenue'!D:V,19,FALSE)</f>
        <v>-790.41999999999825</v>
      </c>
      <c r="G47" s="680"/>
      <c r="H47" s="680"/>
      <c r="I47" s="755"/>
      <c r="J47" s="682">
        <f t="shared" si="0"/>
        <v>-790.41999999999825</v>
      </c>
      <c r="K47" s="683"/>
      <c r="L47" s="684"/>
      <c r="M47" s="753">
        <v>95000</v>
      </c>
      <c r="N47" s="683">
        <v>0</v>
      </c>
      <c r="O47" s="686"/>
      <c r="P47" s="683">
        <v>0</v>
      </c>
      <c r="Q47" s="687">
        <f t="shared" si="1"/>
        <v>95000</v>
      </c>
      <c r="R47" s="687"/>
      <c r="S47" s="687"/>
      <c r="T47" s="688">
        <v>72585.08</v>
      </c>
      <c r="U47" s="693"/>
      <c r="V47" s="690">
        <f t="shared" si="2"/>
        <v>-22414.92</v>
      </c>
      <c r="W47" s="683"/>
      <c r="X47" s="474">
        <f t="shared" si="3"/>
        <v>95000</v>
      </c>
      <c r="Y47" s="474">
        <f t="shared" si="4"/>
        <v>0</v>
      </c>
      <c r="Z47" s="475">
        <f t="shared" si="5"/>
        <v>0</v>
      </c>
      <c r="AA47" s="475">
        <v>0</v>
      </c>
      <c r="AB47" s="476">
        <v>0</v>
      </c>
      <c r="AC47" s="38">
        <f t="shared" si="6"/>
        <v>0</v>
      </c>
      <c r="AD47" s="692">
        <f t="shared" si="7"/>
        <v>-790.41999999999825</v>
      </c>
      <c r="AE47" s="692">
        <f t="shared" si="8"/>
        <v>0</v>
      </c>
      <c r="AF47" s="692">
        <f t="shared" si="9"/>
        <v>0</v>
      </c>
      <c r="AG47" s="38"/>
      <c r="AH47" s="692">
        <f t="shared" si="10"/>
        <v>95000</v>
      </c>
      <c r="AI47" s="692">
        <f t="shared" si="11"/>
        <v>0</v>
      </c>
      <c r="AJ47" s="692">
        <f t="shared" si="12"/>
        <v>0</v>
      </c>
      <c r="AL47" s="38">
        <f t="shared" si="13"/>
        <v>94209.58</v>
      </c>
      <c r="AM47" s="68" t="s">
        <v>451</v>
      </c>
    </row>
    <row r="48" spans="1:39">
      <c r="A48" s="20"/>
      <c r="B48" s="20" t="s">
        <v>109</v>
      </c>
      <c r="C48" s="667"/>
      <c r="D48" s="68" t="s">
        <v>469</v>
      </c>
      <c r="E48" s="679">
        <v>14518.48</v>
      </c>
      <c r="F48" s="529">
        <f>VLOOKUP(D48,'Apr14 Revenue'!D:V,19,FALSE)</f>
        <v>0</v>
      </c>
      <c r="G48" s="680"/>
      <c r="H48" s="680"/>
      <c r="I48" s="755"/>
      <c r="J48" s="682">
        <f t="shared" si="0"/>
        <v>14518.48</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14518.48</v>
      </c>
      <c r="AF48" s="692">
        <f t="shared" si="9"/>
        <v>0</v>
      </c>
      <c r="AG48" s="38"/>
      <c r="AH48" s="692">
        <f t="shared" si="10"/>
        <v>0</v>
      </c>
      <c r="AI48" s="692">
        <f t="shared" si="11"/>
        <v>0</v>
      </c>
      <c r="AJ48" s="692">
        <f t="shared" si="12"/>
        <v>0</v>
      </c>
      <c r="AL48" s="38">
        <f t="shared" si="13"/>
        <v>14518.48</v>
      </c>
      <c r="AM48" s="68" t="s">
        <v>469</v>
      </c>
    </row>
    <row r="49" spans="1:39">
      <c r="A49" s="20"/>
      <c r="B49" s="20" t="s">
        <v>110</v>
      </c>
      <c r="C49" s="667" t="s">
        <v>530</v>
      </c>
      <c r="D49" s="68" t="s">
        <v>69</v>
      </c>
      <c r="E49" s="679"/>
      <c r="F49" s="529">
        <f>VLOOKUP(D49,'Apr14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69</v>
      </c>
    </row>
    <row r="50" spans="1:39" hidden="1">
      <c r="A50" s="20"/>
      <c r="B50" s="20" t="s">
        <v>110</v>
      </c>
      <c r="C50" s="667" t="s">
        <v>531</v>
      </c>
      <c r="D50" s="68" t="s">
        <v>237</v>
      </c>
      <c r="E50" s="679"/>
      <c r="F50" s="529">
        <f>VLOOKUP(D50,'Apr14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c r="AM50" s="68" t="s">
        <v>237</v>
      </c>
    </row>
    <row r="51" spans="1:39">
      <c r="A51" s="20" t="s">
        <v>211</v>
      </c>
      <c r="B51" s="20" t="s">
        <v>110</v>
      </c>
      <c r="C51" s="667" t="s">
        <v>532</v>
      </c>
      <c r="D51" s="68" t="s">
        <v>7</v>
      </c>
      <c r="E51" s="679"/>
      <c r="F51" s="529">
        <f>VLOOKUP(D51,'Apr14 Revenue'!D:V,19,FALSE)</f>
        <v>-30000</v>
      </c>
      <c r="G51" s="680"/>
      <c r="H51" s="680"/>
      <c r="I51" s="755"/>
      <c r="J51" s="682">
        <f t="shared" si="0"/>
        <v>-30000</v>
      </c>
      <c r="K51" s="683"/>
      <c r="L51" s="684"/>
      <c r="M51" s="753">
        <v>60000</v>
      </c>
      <c r="N51" s="683">
        <v>0</v>
      </c>
      <c r="O51" s="686"/>
      <c r="P51" s="683">
        <v>0</v>
      </c>
      <c r="Q51" s="687">
        <f t="shared" si="1"/>
        <v>60000</v>
      </c>
      <c r="R51" s="687"/>
      <c r="S51" s="687"/>
      <c r="T51" s="688">
        <v>0</v>
      </c>
      <c r="U51" s="693"/>
      <c r="V51" s="690">
        <f t="shared" si="2"/>
        <v>-60000</v>
      </c>
      <c r="W51" s="697"/>
      <c r="X51" s="474">
        <f t="shared" si="3"/>
        <v>60000</v>
      </c>
      <c r="Y51" s="474">
        <f t="shared" si="4"/>
        <v>0</v>
      </c>
      <c r="Z51" s="475">
        <f t="shared" si="5"/>
        <v>0</v>
      </c>
      <c r="AA51" s="475">
        <v>0</v>
      </c>
      <c r="AB51" s="476">
        <v>0</v>
      </c>
      <c r="AC51" s="38">
        <f t="shared" si="6"/>
        <v>0</v>
      </c>
      <c r="AD51" s="692">
        <f t="shared" si="7"/>
        <v>-30000</v>
      </c>
      <c r="AE51" s="692">
        <f t="shared" si="8"/>
        <v>0</v>
      </c>
      <c r="AF51" s="692">
        <f t="shared" si="9"/>
        <v>0</v>
      </c>
      <c r="AG51" s="38"/>
      <c r="AH51" s="692">
        <f t="shared" si="10"/>
        <v>60000</v>
      </c>
      <c r="AI51" s="692">
        <f t="shared" si="11"/>
        <v>0</v>
      </c>
      <c r="AJ51" s="692">
        <f t="shared" si="12"/>
        <v>0</v>
      </c>
      <c r="AL51" s="38">
        <f t="shared" si="13"/>
        <v>30000</v>
      </c>
      <c r="AM51" s="68" t="s">
        <v>7</v>
      </c>
    </row>
    <row r="52" spans="1:39" s="24" customFormat="1">
      <c r="A52" s="32"/>
      <c r="B52" s="32" t="s">
        <v>109</v>
      </c>
      <c r="C52" s="676" t="s">
        <v>1094</v>
      </c>
      <c r="D52" s="351" t="s">
        <v>1071</v>
      </c>
      <c r="E52" s="832"/>
      <c r="F52" s="529">
        <f>VLOOKUP(D52,'Apr14 Revenue'!D:V,19,FALSE)</f>
        <v>-16070.580000000002</v>
      </c>
      <c r="G52" s="680"/>
      <c r="H52" s="680"/>
      <c r="I52" s="755"/>
      <c r="J52" s="703">
        <f t="shared" si="0"/>
        <v>-16070.580000000002</v>
      </c>
      <c r="K52" s="698"/>
      <c r="L52" s="833"/>
      <c r="M52" s="834">
        <v>20000</v>
      </c>
      <c r="N52" s="698">
        <v>0</v>
      </c>
      <c r="O52" s="699"/>
      <c r="P52" s="698">
        <v>0</v>
      </c>
      <c r="Q52" s="700">
        <f t="shared" si="1"/>
        <v>20000</v>
      </c>
      <c r="R52" s="700"/>
      <c r="S52" s="700"/>
      <c r="T52" s="688">
        <v>40706.79</v>
      </c>
      <c r="U52" s="693"/>
      <c r="V52" s="690">
        <f t="shared" si="2"/>
        <v>20706.79</v>
      </c>
      <c r="W52" s="698"/>
      <c r="X52" s="474">
        <f t="shared" si="3"/>
        <v>0</v>
      </c>
      <c r="Y52" s="474">
        <f t="shared" si="4"/>
        <v>20000</v>
      </c>
      <c r="Z52" s="475">
        <f t="shared" si="5"/>
        <v>0</v>
      </c>
      <c r="AA52" s="475">
        <v>0</v>
      </c>
      <c r="AB52" s="476">
        <v>0</v>
      </c>
      <c r="AC52" s="169">
        <f t="shared" si="6"/>
        <v>0</v>
      </c>
      <c r="AD52" s="692">
        <f t="shared" si="7"/>
        <v>0</v>
      </c>
      <c r="AE52" s="692">
        <f t="shared" si="8"/>
        <v>-16070.580000000002</v>
      </c>
      <c r="AF52" s="692">
        <f t="shared" si="9"/>
        <v>0</v>
      </c>
      <c r="AG52" s="169"/>
      <c r="AH52" s="692">
        <f t="shared" si="10"/>
        <v>0</v>
      </c>
      <c r="AI52" s="692">
        <f t="shared" si="11"/>
        <v>20000</v>
      </c>
      <c r="AJ52" s="692">
        <f t="shared" si="12"/>
        <v>0</v>
      </c>
      <c r="AL52" s="169">
        <f t="shared" si="13"/>
        <v>3929.4199999999983</v>
      </c>
      <c r="AM52" s="68" t="s">
        <v>1070</v>
      </c>
    </row>
    <row r="53" spans="1:39" s="232" customFormat="1" hidden="1">
      <c r="A53" s="283"/>
      <c r="B53" s="283" t="s">
        <v>109</v>
      </c>
      <c r="C53" s="667" t="s">
        <v>533</v>
      </c>
      <c r="D53" s="123" t="s">
        <v>416</v>
      </c>
      <c r="E53" s="679"/>
      <c r="F53" s="529">
        <f>VLOOKUP(D53,'Apr14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416</v>
      </c>
    </row>
    <row r="54" spans="1:39" s="232" customFormat="1" hidden="1">
      <c r="A54" s="283"/>
      <c r="B54" s="283" t="s">
        <v>109</v>
      </c>
      <c r="C54" s="667" t="s">
        <v>533</v>
      </c>
      <c r="D54" s="123" t="s">
        <v>417</v>
      </c>
      <c r="E54" s="679"/>
      <c r="F54" s="529">
        <f>VLOOKUP(D54,'Apr14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417</v>
      </c>
    </row>
    <row r="55" spans="1:39" s="232" customFormat="1" hidden="1">
      <c r="A55" s="283"/>
      <c r="B55" s="283" t="s">
        <v>109</v>
      </c>
      <c r="C55" s="667" t="s">
        <v>533</v>
      </c>
      <c r="D55" s="123" t="s">
        <v>418</v>
      </c>
      <c r="E55" s="679"/>
      <c r="F55" s="529">
        <f>VLOOKUP(D55,'Apr14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c r="AM55" s="123" t="s">
        <v>418</v>
      </c>
    </row>
    <row r="56" spans="1:39">
      <c r="A56" s="20"/>
      <c r="B56" s="20" t="s">
        <v>110</v>
      </c>
      <c r="C56" s="667"/>
      <c r="D56" s="68" t="s">
        <v>992</v>
      </c>
      <c r="E56" s="679"/>
      <c r="F56" s="529">
        <f>VLOOKUP(D56,'Apr14 Revenue'!D:V,19,FALSE)</f>
        <v>1088.51</v>
      </c>
      <c r="G56" s="680"/>
      <c r="H56" s="680"/>
      <c r="I56" s="755"/>
      <c r="J56" s="682">
        <f t="shared" si="0"/>
        <v>1088.51</v>
      </c>
      <c r="K56" s="683"/>
      <c r="L56" s="684"/>
      <c r="M56" s="753"/>
      <c r="N56" s="683">
        <v>0</v>
      </c>
      <c r="O56" s="686"/>
      <c r="P56" s="683">
        <v>0</v>
      </c>
      <c r="Q56" s="687">
        <f t="shared" si="1"/>
        <v>0</v>
      </c>
      <c r="R56" s="687"/>
      <c r="S56" s="687"/>
      <c r="T56" s="688">
        <v>2063.7399999999998</v>
      </c>
      <c r="U56" s="693"/>
      <c r="V56" s="690">
        <f t="shared" si="2"/>
        <v>2063.7399999999998</v>
      </c>
      <c r="W56" s="683"/>
      <c r="X56" s="474">
        <f t="shared" si="3"/>
        <v>0</v>
      </c>
      <c r="Y56" s="474">
        <f t="shared" si="4"/>
        <v>0</v>
      </c>
      <c r="Z56" s="475">
        <f t="shared" si="5"/>
        <v>0</v>
      </c>
      <c r="AA56" s="475">
        <v>0</v>
      </c>
      <c r="AB56" s="476">
        <v>0</v>
      </c>
      <c r="AC56" s="38">
        <f t="shared" si="6"/>
        <v>0</v>
      </c>
      <c r="AD56" s="692">
        <f t="shared" si="7"/>
        <v>1088.51</v>
      </c>
      <c r="AE56" s="692">
        <f t="shared" si="8"/>
        <v>0</v>
      </c>
      <c r="AF56" s="692">
        <f t="shared" si="9"/>
        <v>0</v>
      </c>
      <c r="AG56" s="38"/>
      <c r="AH56" s="692">
        <f t="shared" si="10"/>
        <v>0</v>
      </c>
      <c r="AI56" s="692">
        <f t="shared" si="11"/>
        <v>0</v>
      </c>
      <c r="AJ56" s="692">
        <f t="shared" si="12"/>
        <v>0</v>
      </c>
      <c r="AL56" s="38">
        <f t="shared" si="13"/>
        <v>1088.51</v>
      </c>
      <c r="AM56" s="68" t="s">
        <v>992</v>
      </c>
    </row>
    <row r="57" spans="1:39" s="232" customFormat="1">
      <c r="A57" s="283"/>
      <c r="B57" s="283" t="s">
        <v>110</v>
      </c>
      <c r="C57" s="676" t="s">
        <v>986</v>
      </c>
      <c r="D57" s="68" t="s">
        <v>987</v>
      </c>
      <c r="E57" s="679"/>
      <c r="F57" s="529">
        <f>VLOOKUP(D57,'Apr14 Revenue'!D:V,19,FALSE)</f>
        <v>7062.4500000000007</v>
      </c>
      <c r="G57" s="680"/>
      <c r="H57" s="680"/>
      <c r="I57" s="755"/>
      <c r="J57" s="682">
        <f t="shared" si="0"/>
        <v>7062.4500000000007</v>
      </c>
      <c r="K57" s="683"/>
      <c r="L57" s="684"/>
      <c r="M57" s="753"/>
      <c r="N57" s="683">
        <v>0</v>
      </c>
      <c r="O57" s="686"/>
      <c r="P57" s="683">
        <v>0</v>
      </c>
      <c r="Q57" s="687">
        <f t="shared" si="1"/>
        <v>0</v>
      </c>
      <c r="R57" s="687"/>
      <c r="S57" s="687"/>
      <c r="T57" s="688">
        <v>3802.47</v>
      </c>
      <c r="U57" s="693"/>
      <c r="V57" s="690">
        <f t="shared" si="2"/>
        <v>3802.47</v>
      </c>
      <c r="W57" s="683"/>
      <c r="X57" s="474">
        <f t="shared" si="3"/>
        <v>0</v>
      </c>
      <c r="Y57" s="474">
        <f t="shared" si="4"/>
        <v>0</v>
      </c>
      <c r="Z57" s="475">
        <f t="shared" si="5"/>
        <v>0</v>
      </c>
      <c r="AA57" s="475">
        <v>0</v>
      </c>
      <c r="AB57" s="476">
        <v>0</v>
      </c>
      <c r="AC57" s="38">
        <f t="shared" si="6"/>
        <v>0</v>
      </c>
      <c r="AD57" s="692">
        <f t="shared" si="7"/>
        <v>7062.4500000000007</v>
      </c>
      <c r="AE57" s="692">
        <f t="shared" si="8"/>
        <v>0</v>
      </c>
      <c r="AF57" s="692">
        <f t="shared" si="9"/>
        <v>0</v>
      </c>
      <c r="AG57" s="38"/>
      <c r="AH57" s="692">
        <f t="shared" si="10"/>
        <v>0</v>
      </c>
      <c r="AI57" s="692">
        <f t="shared" si="11"/>
        <v>0</v>
      </c>
      <c r="AJ57" s="692">
        <f t="shared" si="12"/>
        <v>0</v>
      </c>
      <c r="AK57" s="16"/>
      <c r="AL57" s="38">
        <f t="shared" si="13"/>
        <v>7062.4500000000007</v>
      </c>
      <c r="AM57" s="68" t="s">
        <v>987</v>
      </c>
    </row>
    <row r="58" spans="1:39">
      <c r="A58" s="20" t="s">
        <v>211</v>
      </c>
      <c r="B58" s="20" t="s">
        <v>109</v>
      </c>
      <c r="C58" s="667" t="s">
        <v>534</v>
      </c>
      <c r="D58" s="68" t="s">
        <v>9</v>
      </c>
      <c r="E58" s="679"/>
      <c r="F58" s="529">
        <f>VLOOKUP(D58,'Apr14 Revenue'!D:V,19,FALSE)</f>
        <v>0</v>
      </c>
      <c r="G58" s="680"/>
      <c r="H58" s="680"/>
      <c r="I58" s="755"/>
      <c r="J58" s="682">
        <f>SUM(E58:I58)</f>
        <v>0</v>
      </c>
      <c r="K58" s="683"/>
      <c r="L58" s="684"/>
      <c r="M58" s="753"/>
      <c r="N58" s="683">
        <v>0</v>
      </c>
      <c r="O58" s="686"/>
      <c r="P58" s="683">
        <v>0</v>
      </c>
      <c r="Q58" s="687">
        <f t="shared" si="1"/>
        <v>0</v>
      </c>
      <c r="R58" s="687"/>
      <c r="S58" s="687"/>
      <c r="T58" s="688">
        <v>0</v>
      </c>
      <c r="U58" s="693"/>
      <c r="V58" s="690">
        <f t="shared" si="2"/>
        <v>0</v>
      </c>
      <c r="W58" s="697"/>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c r="AM58" s="68" t="s">
        <v>9</v>
      </c>
    </row>
    <row r="59" spans="1:39">
      <c r="A59" s="20" t="s">
        <v>211</v>
      </c>
      <c r="B59" s="20" t="s">
        <v>110</v>
      </c>
      <c r="C59" s="667"/>
      <c r="D59" s="68" t="s">
        <v>1041</v>
      </c>
      <c r="E59" s="679">
        <v>923.66</v>
      </c>
      <c r="F59" s="529">
        <f>VLOOKUP(D59,'Apr14 Revenue'!D:V,19,FALSE)</f>
        <v>0</v>
      </c>
      <c r="G59" s="680"/>
      <c r="H59" s="680"/>
      <c r="I59" s="770">
        <v>770.95</v>
      </c>
      <c r="J59" s="682">
        <f t="shared" si="0"/>
        <v>1694.6100000000001</v>
      </c>
      <c r="K59" s="683"/>
      <c r="L59" s="684"/>
      <c r="M59" s="753"/>
      <c r="N59" s="683">
        <v>0</v>
      </c>
      <c r="O59" s="686"/>
      <c r="P59" s="683">
        <v>0</v>
      </c>
      <c r="Q59" s="687">
        <f t="shared" si="1"/>
        <v>0</v>
      </c>
      <c r="R59" s="687"/>
      <c r="S59" s="687"/>
      <c r="T59" s="688">
        <v>0</v>
      </c>
      <c r="U59" s="693"/>
      <c r="V59" s="690">
        <f t="shared" si="2"/>
        <v>0</v>
      </c>
      <c r="W59" s="683"/>
      <c r="X59" s="474">
        <f t="shared" si="3"/>
        <v>0</v>
      </c>
      <c r="Y59" s="474">
        <f t="shared" si="4"/>
        <v>0</v>
      </c>
      <c r="Z59" s="475">
        <f t="shared" si="5"/>
        <v>0</v>
      </c>
      <c r="AA59" s="475">
        <v>0</v>
      </c>
      <c r="AB59" s="476">
        <v>0</v>
      </c>
      <c r="AC59" s="38">
        <f t="shared" si="6"/>
        <v>0</v>
      </c>
      <c r="AD59" s="692">
        <f t="shared" si="7"/>
        <v>1694.6100000000001</v>
      </c>
      <c r="AE59" s="692">
        <f t="shared" si="8"/>
        <v>0</v>
      </c>
      <c r="AF59" s="692">
        <f t="shared" si="9"/>
        <v>0</v>
      </c>
      <c r="AG59" s="38"/>
      <c r="AH59" s="692">
        <f t="shared" si="10"/>
        <v>0</v>
      </c>
      <c r="AI59" s="692">
        <f t="shared" si="11"/>
        <v>0</v>
      </c>
      <c r="AJ59" s="692">
        <f t="shared" si="12"/>
        <v>0</v>
      </c>
      <c r="AL59" s="38">
        <f t="shared" si="13"/>
        <v>1694.6100000000001</v>
      </c>
      <c r="AM59" s="68" t="s">
        <v>487</v>
      </c>
    </row>
    <row r="60" spans="1:39">
      <c r="A60" s="20"/>
      <c r="B60" s="20" t="s">
        <v>109</v>
      </c>
      <c r="C60" s="676" t="s">
        <v>906</v>
      </c>
      <c r="D60" s="68" t="s">
        <v>830</v>
      </c>
      <c r="E60" s="679"/>
      <c r="F60" s="529">
        <f>VLOOKUP(D60,'Apr14 Revenue'!D:V,19,FALSE)</f>
        <v>0</v>
      </c>
      <c r="G60" s="680"/>
      <c r="H60" s="680"/>
      <c r="I60" s="770">
        <v>717562.06</v>
      </c>
      <c r="J60" s="682">
        <f t="shared" si="0"/>
        <v>717562.06</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717562.06</v>
      </c>
      <c r="AF60" s="692">
        <f t="shared" si="9"/>
        <v>0</v>
      </c>
      <c r="AG60" s="38"/>
      <c r="AH60" s="692">
        <f t="shared" si="10"/>
        <v>0</v>
      </c>
      <c r="AI60" s="692">
        <f t="shared" si="11"/>
        <v>0</v>
      </c>
      <c r="AJ60" s="692">
        <f t="shared" si="12"/>
        <v>0</v>
      </c>
      <c r="AL60" s="38">
        <f t="shared" si="13"/>
        <v>717562.06</v>
      </c>
      <c r="AM60" s="68" t="s">
        <v>830</v>
      </c>
    </row>
    <row r="61" spans="1:39">
      <c r="A61" s="20"/>
      <c r="B61" s="20" t="s">
        <v>109</v>
      </c>
      <c r="C61" s="667"/>
      <c r="D61" s="68" t="s">
        <v>374</v>
      </c>
      <c r="E61" s="679"/>
      <c r="F61" s="529">
        <f>VLOOKUP(D61,'Apr14 Revenue'!D:V,19,FALSE)</f>
        <v>-3000</v>
      </c>
      <c r="G61" s="680"/>
      <c r="H61" s="680"/>
      <c r="I61" s="755"/>
      <c r="J61" s="682">
        <f t="shared" si="0"/>
        <v>-3000</v>
      </c>
      <c r="K61" s="683"/>
      <c r="L61" s="684"/>
      <c r="M61" s="753">
        <v>9000</v>
      </c>
      <c r="N61" s="683">
        <v>0</v>
      </c>
      <c r="O61" s="686"/>
      <c r="P61" s="683">
        <v>0</v>
      </c>
      <c r="Q61" s="687">
        <f t="shared" si="1"/>
        <v>9000</v>
      </c>
      <c r="R61" s="687"/>
      <c r="S61" s="687"/>
      <c r="T61" s="688">
        <v>0</v>
      </c>
      <c r="U61" s="693"/>
      <c r="V61" s="690">
        <f t="shared" si="2"/>
        <v>-9000</v>
      </c>
      <c r="W61" s="683"/>
      <c r="X61" s="474">
        <f t="shared" si="3"/>
        <v>0</v>
      </c>
      <c r="Y61" s="474">
        <f t="shared" si="4"/>
        <v>9000</v>
      </c>
      <c r="Z61" s="475">
        <f t="shared" si="5"/>
        <v>0</v>
      </c>
      <c r="AA61" s="475">
        <v>0</v>
      </c>
      <c r="AB61" s="476">
        <v>0</v>
      </c>
      <c r="AC61" s="38">
        <f t="shared" si="6"/>
        <v>0</v>
      </c>
      <c r="AD61" s="692">
        <f t="shared" si="7"/>
        <v>0</v>
      </c>
      <c r="AE61" s="692">
        <f t="shared" si="8"/>
        <v>-3000</v>
      </c>
      <c r="AF61" s="692">
        <f t="shared" si="9"/>
        <v>0</v>
      </c>
      <c r="AG61" s="38"/>
      <c r="AH61" s="692">
        <f t="shared" si="10"/>
        <v>0</v>
      </c>
      <c r="AI61" s="692">
        <f t="shared" si="11"/>
        <v>9000</v>
      </c>
      <c r="AJ61" s="692">
        <f t="shared" si="12"/>
        <v>0</v>
      </c>
      <c r="AL61" s="38">
        <f t="shared" si="13"/>
        <v>6000</v>
      </c>
      <c r="AM61" s="68" t="s">
        <v>374</v>
      </c>
    </row>
    <row r="62" spans="1:39">
      <c r="A62" s="20"/>
      <c r="B62" s="20" t="s">
        <v>114</v>
      </c>
      <c r="C62" s="667"/>
      <c r="D62" s="68" t="s">
        <v>502</v>
      </c>
      <c r="E62" s="679"/>
      <c r="F62" s="529">
        <f>VLOOKUP(D62,'Apr14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c r="AM62" s="68" t="s">
        <v>502</v>
      </c>
    </row>
    <row r="63" spans="1:39">
      <c r="A63" s="21"/>
      <c r="B63" s="21" t="s">
        <v>110</v>
      </c>
      <c r="C63" s="666" t="s">
        <v>535</v>
      </c>
      <c r="D63" s="123" t="s">
        <v>517</v>
      </c>
      <c r="E63" s="679"/>
      <c r="F63" s="529">
        <f>VLOOKUP(D63,'Apr14 Revenue'!D:V,19,FALSE)</f>
        <v>-29562.050000000047</v>
      </c>
      <c r="G63" s="680"/>
      <c r="H63" s="680"/>
      <c r="I63" s="755"/>
      <c r="J63" s="682">
        <f t="shared" si="0"/>
        <v>-29562.050000000047</v>
      </c>
      <c r="K63" s="683"/>
      <c r="L63" s="684"/>
      <c r="M63" s="753">
        <v>550000</v>
      </c>
      <c r="N63" s="683">
        <v>0</v>
      </c>
      <c r="O63" s="686"/>
      <c r="P63" s="683">
        <v>0</v>
      </c>
      <c r="Q63" s="687">
        <f t="shared" si="1"/>
        <v>550000</v>
      </c>
      <c r="R63" s="687"/>
      <c r="S63" s="687"/>
      <c r="T63" s="688">
        <v>573765.67000000004</v>
      </c>
      <c r="U63" s="693"/>
      <c r="V63" s="690">
        <f t="shared" si="2"/>
        <v>23765.670000000042</v>
      </c>
      <c r="W63" s="697"/>
      <c r="X63" s="474">
        <f t="shared" si="3"/>
        <v>550000</v>
      </c>
      <c r="Y63" s="474">
        <f t="shared" si="4"/>
        <v>0</v>
      </c>
      <c r="Z63" s="475">
        <f t="shared" si="5"/>
        <v>0</v>
      </c>
      <c r="AA63" s="475">
        <v>0</v>
      </c>
      <c r="AB63" s="476">
        <v>0</v>
      </c>
      <c r="AC63" s="38">
        <f t="shared" si="6"/>
        <v>0</v>
      </c>
      <c r="AD63" s="692">
        <f t="shared" si="7"/>
        <v>-29562.050000000047</v>
      </c>
      <c r="AE63" s="692">
        <f t="shared" si="8"/>
        <v>0</v>
      </c>
      <c r="AF63" s="692">
        <f t="shared" si="9"/>
        <v>0</v>
      </c>
      <c r="AG63" s="38"/>
      <c r="AH63" s="692">
        <f t="shared" si="10"/>
        <v>550000</v>
      </c>
      <c r="AI63" s="692">
        <f t="shared" si="11"/>
        <v>0</v>
      </c>
      <c r="AJ63" s="692">
        <f t="shared" si="12"/>
        <v>0</v>
      </c>
      <c r="AL63" s="38">
        <f t="shared" si="13"/>
        <v>520437.94999999995</v>
      </c>
      <c r="AM63" s="123" t="s">
        <v>517</v>
      </c>
    </row>
    <row r="64" spans="1:39">
      <c r="A64" s="20"/>
      <c r="B64" s="20" t="s">
        <v>110</v>
      </c>
      <c r="C64" s="667" t="s">
        <v>536</v>
      </c>
      <c r="D64" s="68" t="s">
        <v>450</v>
      </c>
      <c r="E64" s="679"/>
      <c r="F64" s="529">
        <f>VLOOKUP(D64,'Apr14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c r="AM64" s="68" t="s">
        <v>450</v>
      </c>
    </row>
    <row r="65" spans="1:39">
      <c r="A65" s="20"/>
      <c r="B65" s="20" t="s">
        <v>110</v>
      </c>
      <c r="C65" s="676"/>
      <c r="D65" s="68" t="s">
        <v>991</v>
      </c>
      <c r="E65" s="679">
        <v>1084.6199999999999</v>
      </c>
      <c r="F65" s="529">
        <f>VLOOKUP(D65,'Apr14 Revenue'!D:V,19,FALSE)</f>
        <v>0</v>
      </c>
      <c r="G65" s="680"/>
      <c r="H65" s="680"/>
      <c r="I65" s="755"/>
      <c r="J65" s="682">
        <f t="shared" si="0"/>
        <v>1084.6199999999999</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1084.6199999999999</v>
      </c>
      <c r="AE65" s="692">
        <f t="shared" si="8"/>
        <v>0</v>
      </c>
      <c r="AF65" s="692">
        <f t="shared" si="9"/>
        <v>0</v>
      </c>
      <c r="AG65" s="38"/>
      <c r="AH65" s="692">
        <f t="shared" si="10"/>
        <v>0</v>
      </c>
      <c r="AI65" s="692">
        <f t="shared" si="11"/>
        <v>0</v>
      </c>
      <c r="AJ65" s="692">
        <f t="shared" si="12"/>
        <v>0</v>
      </c>
      <c r="AL65" s="38">
        <f t="shared" si="13"/>
        <v>1084.6199999999999</v>
      </c>
      <c r="AM65" s="68" t="s">
        <v>991</v>
      </c>
    </row>
    <row r="66" spans="1:39">
      <c r="A66" s="20"/>
      <c r="B66" s="20" t="s">
        <v>110</v>
      </c>
      <c r="C66" s="676" t="s">
        <v>975</v>
      </c>
      <c r="D66" s="68" t="s">
        <v>976</v>
      </c>
      <c r="E66" s="679"/>
      <c r="F66" s="529">
        <f>VLOOKUP(D66,'Apr14 Revenue'!D:V,19,FALSE)</f>
        <v>1298.3800000000001</v>
      </c>
      <c r="G66" s="680"/>
      <c r="H66" s="680"/>
      <c r="I66" s="755"/>
      <c r="J66" s="682">
        <f t="shared" si="0"/>
        <v>1298.3800000000001</v>
      </c>
      <c r="K66" s="683"/>
      <c r="L66" s="684"/>
      <c r="M66" s="753"/>
      <c r="N66" s="683">
        <v>0</v>
      </c>
      <c r="O66" s="686"/>
      <c r="P66" s="683">
        <v>0</v>
      </c>
      <c r="Q66" s="687">
        <f t="shared" si="1"/>
        <v>0</v>
      </c>
      <c r="R66" s="687"/>
      <c r="S66" s="687"/>
      <c r="T66" s="688">
        <v>1583.01</v>
      </c>
      <c r="U66" s="693"/>
      <c r="V66" s="690">
        <f t="shared" si="2"/>
        <v>1583.01</v>
      </c>
      <c r="W66" s="683"/>
      <c r="X66" s="474">
        <f t="shared" si="3"/>
        <v>0</v>
      </c>
      <c r="Y66" s="474">
        <f t="shared" si="4"/>
        <v>0</v>
      </c>
      <c r="Z66" s="475">
        <f t="shared" si="5"/>
        <v>0</v>
      </c>
      <c r="AA66" s="475">
        <v>0</v>
      </c>
      <c r="AB66" s="476">
        <v>0</v>
      </c>
      <c r="AC66" s="38">
        <f t="shared" si="6"/>
        <v>0</v>
      </c>
      <c r="AD66" s="692">
        <f t="shared" si="7"/>
        <v>1298.3800000000001</v>
      </c>
      <c r="AE66" s="692">
        <f t="shared" si="8"/>
        <v>0</v>
      </c>
      <c r="AF66" s="692">
        <f t="shared" si="9"/>
        <v>0</v>
      </c>
      <c r="AG66" s="38"/>
      <c r="AH66" s="692">
        <f t="shared" si="10"/>
        <v>0</v>
      </c>
      <c r="AI66" s="692">
        <f t="shared" si="11"/>
        <v>0</v>
      </c>
      <c r="AJ66" s="692">
        <f t="shared" si="12"/>
        <v>0</v>
      </c>
      <c r="AL66" s="38">
        <f t="shared" si="13"/>
        <v>1298.3800000000001</v>
      </c>
      <c r="AM66" s="68" t="s">
        <v>976</v>
      </c>
    </row>
    <row r="67" spans="1:39">
      <c r="A67" s="21" t="s">
        <v>109</v>
      </c>
      <c r="B67" s="21" t="s">
        <v>110</v>
      </c>
      <c r="C67" s="666"/>
      <c r="D67" s="68" t="s">
        <v>438</v>
      </c>
      <c r="E67" s="679"/>
      <c r="F67" s="529">
        <f>VLOOKUP(D67,'Apr14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438</v>
      </c>
    </row>
    <row r="68" spans="1:39">
      <c r="A68" s="21"/>
      <c r="B68" s="21" t="s">
        <v>110</v>
      </c>
      <c r="C68" s="666"/>
      <c r="D68" s="68" t="s">
        <v>628</v>
      </c>
      <c r="E68" s="679"/>
      <c r="F68" s="529">
        <f>VLOOKUP(D68,'Apr14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97"/>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628</v>
      </c>
    </row>
    <row r="69" spans="1:39">
      <c r="A69" s="21"/>
      <c r="B69" s="21" t="s">
        <v>110</v>
      </c>
      <c r="C69" s="666"/>
      <c r="D69" s="68" t="s">
        <v>956</v>
      </c>
      <c r="E69" s="679"/>
      <c r="F69" s="529">
        <f>VLOOKUP(D69,'Apr14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956</v>
      </c>
    </row>
    <row r="70" spans="1:39" s="232" customFormat="1">
      <c r="A70" s="283" t="s">
        <v>211</v>
      </c>
      <c r="B70" s="283" t="s">
        <v>110</v>
      </c>
      <c r="C70" s="667" t="s">
        <v>538</v>
      </c>
      <c r="D70" s="123" t="s">
        <v>170</v>
      </c>
      <c r="E70" s="679"/>
      <c r="F70" s="529">
        <f>VLOOKUP(D70,'Apr14 Revenue'!D:V,19,FALSE)</f>
        <v>-185000</v>
      </c>
      <c r="G70" s="680"/>
      <c r="H70" s="680"/>
      <c r="I70" s="755"/>
      <c r="J70" s="682">
        <f t="shared" si="0"/>
        <v>-185000</v>
      </c>
      <c r="K70" s="683"/>
      <c r="L70" s="684"/>
      <c r="M70" s="753">
        <v>370000</v>
      </c>
      <c r="N70" s="683">
        <v>0</v>
      </c>
      <c r="O70" s="686"/>
      <c r="P70" s="683">
        <v>0</v>
      </c>
      <c r="Q70" s="687">
        <f t="shared" si="1"/>
        <v>370000</v>
      </c>
      <c r="R70" s="687"/>
      <c r="S70" s="687"/>
      <c r="T70" s="688">
        <v>0</v>
      </c>
      <c r="U70" s="693"/>
      <c r="V70" s="690">
        <f t="shared" si="2"/>
        <v>-370000</v>
      </c>
      <c r="W70" s="683"/>
      <c r="X70" s="474">
        <f t="shared" si="3"/>
        <v>370000</v>
      </c>
      <c r="Y70" s="474">
        <f t="shared" si="4"/>
        <v>0</v>
      </c>
      <c r="Z70" s="475">
        <f t="shared" si="5"/>
        <v>0</v>
      </c>
      <c r="AA70" s="475">
        <v>0</v>
      </c>
      <c r="AB70" s="476">
        <v>0</v>
      </c>
      <c r="AC70" s="38">
        <f t="shared" si="6"/>
        <v>0</v>
      </c>
      <c r="AD70" s="692">
        <f t="shared" si="7"/>
        <v>-185000</v>
      </c>
      <c r="AE70" s="692">
        <f t="shared" si="8"/>
        <v>0</v>
      </c>
      <c r="AF70" s="692">
        <f t="shared" si="9"/>
        <v>0</v>
      </c>
      <c r="AG70" s="38"/>
      <c r="AH70" s="692">
        <f t="shared" si="10"/>
        <v>370000</v>
      </c>
      <c r="AI70" s="692">
        <f t="shared" si="11"/>
        <v>0</v>
      </c>
      <c r="AJ70" s="692">
        <f t="shared" si="12"/>
        <v>0</v>
      </c>
      <c r="AL70" s="38">
        <f t="shared" si="13"/>
        <v>185000</v>
      </c>
      <c r="AM70" s="123" t="s">
        <v>170</v>
      </c>
    </row>
    <row r="71" spans="1:39" s="232" customFormat="1">
      <c r="A71" s="283" t="s">
        <v>211</v>
      </c>
      <c r="B71" s="283" t="s">
        <v>110</v>
      </c>
      <c r="C71" s="667" t="s">
        <v>538</v>
      </c>
      <c r="D71" s="123" t="s">
        <v>171</v>
      </c>
      <c r="E71" s="679"/>
      <c r="F71" s="529">
        <f>VLOOKUP(D71,'Apr14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171</v>
      </c>
    </row>
    <row r="72" spans="1:39" s="232" customFormat="1" hidden="1">
      <c r="A72" s="283" t="s">
        <v>211</v>
      </c>
      <c r="B72" s="283" t="s">
        <v>110</v>
      </c>
      <c r="C72" s="667" t="s">
        <v>538</v>
      </c>
      <c r="D72" s="123" t="s">
        <v>13</v>
      </c>
      <c r="E72" s="679"/>
      <c r="F72" s="529">
        <f>VLOOKUP(D72,'Apr14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13</v>
      </c>
    </row>
    <row r="73" spans="1:39" s="232" customFormat="1" hidden="1">
      <c r="A73" s="283" t="s">
        <v>211</v>
      </c>
      <c r="B73" s="283" t="s">
        <v>110</v>
      </c>
      <c r="C73" s="667" t="s">
        <v>538</v>
      </c>
      <c r="D73" s="123" t="s">
        <v>172</v>
      </c>
      <c r="E73" s="679"/>
      <c r="F73" s="529">
        <f>VLOOKUP(D73,'Apr14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172</v>
      </c>
    </row>
    <row r="74" spans="1:39" s="232" customFormat="1" hidden="1">
      <c r="A74" s="283" t="s">
        <v>211</v>
      </c>
      <c r="B74" s="283" t="s">
        <v>110</v>
      </c>
      <c r="C74" s="667" t="s">
        <v>538</v>
      </c>
      <c r="D74" s="123" t="s">
        <v>173</v>
      </c>
      <c r="E74" s="679"/>
      <c r="F74" s="529">
        <f>VLOOKUP(D74,'Apr14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173</v>
      </c>
    </row>
    <row r="75" spans="1:39" s="232" customFormat="1" hidden="1">
      <c r="A75" s="283" t="s">
        <v>211</v>
      </c>
      <c r="B75" s="283" t="s">
        <v>110</v>
      </c>
      <c r="C75" s="667" t="s">
        <v>538</v>
      </c>
      <c r="D75" s="123" t="s">
        <v>174</v>
      </c>
      <c r="E75" s="679"/>
      <c r="F75" s="529">
        <f>VLOOKUP(D75,'Apr14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174</v>
      </c>
    </row>
    <row r="76" spans="1:39" s="232" customFormat="1">
      <c r="A76" s="283"/>
      <c r="B76" s="283" t="s">
        <v>109</v>
      </c>
      <c r="C76" s="794"/>
      <c r="D76" s="351" t="s">
        <v>14</v>
      </c>
      <c r="E76" s="679"/>
      <c r="F76" s="529">
        <f>VLOOKUP(D76,'Apr14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351" t="s">
        <v>14</v>
      </c>
    </row>
    <row r="77" spans="1:39" hidden="1">
      <c r="A77" s="20"/>
      <c r="B77" s="20" t="s">
        <v>110</v>
      </c>
      <c r="C77" s="667"/>
      <c r="D77" s="68" t="s">
        <v>15</v>
      </c>
      <c r="E77" s="679"/>
      <c r="F77" s="529">
        <f>VLOOKUP(D77,'Apr14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68" t="s">
        <v>15</v>
      </c>
    </row>
    <row r="78" spans="1:39">
      <c r="A78" s="20"/>
      <c r="B78" s="20" t="s">
        <v>110</v>
      </c>
      <c r="C78" s="667"/>
      <c r="D78" s="68" t="s">
        <v>646</v>
      </c>
      <c r="E78" s="679"/>
      <c r="F78" s="529">
        <f>VLOOKUP(D78,'Apr14 Revenue'!D:V,19,FALSE)</f>
        <v>0</v>
      </c>
      <c r="G78" s="680"/>
      <c r="H78" s="680"/>
      <c r="I78" s="770">
        <v>908.44</v>
      </c>
      <c r="J78" s="682">
        <f t="shared" si="0"/>
        <v>908.44</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908.44</v>
      </c>
      <c r="AE78" s="692">
        <f t="shared" si="8"/>
        <v>0</v>
      </c>
      <c r="AF78" s="692">
        <f t="shared" si="9"/>
        <v>0</v>
      </c>
      <c r="AG78" s="38"/>
      <c r="AH78" s="692">
        <f t="shared" si="10"/>
        <v>0</v>
      </c>
      <c r="AI78" s="692">
        <f t="shared" si="11"/>
        <v>0</v>
      </c>
      <c r="AJ78" s="692">
        <f t="shared" si="12"/>
        <v>0</v>
      </c>
      <c r="AL78" s="38">
        <f t="shared" si="13"/>
        <v>908.44</v>
      </c>
      <c r="AM78" s="68" t="s">
        <v>646</v>
      </c>
    </row>
    <row r="79" spans="1:39">
      <c r="A79" s="20"/>
      <c r="B79" s="20" t="s">
        <v>110</v>
      </c>
      <c r="C79" s="676" t="s">
        <v>1078</v>
      </c>
      <c r="D79" s="68" t="s">
        <v>988</v>
      </c>
      <c r="E79" s="679"/>
      <c r="F79" s="529">
        <f>VLOOKUP(D79,'Apr14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c r="AM79" s="68" t="s">
        <v>988</v>
      </c>
    </row>
    <row r="80" spans="1:39">
      <c r="A80" s="20" t="s">
        <v>109</v>
      </c>
      <c r="B80" s="20" t="s">
        <v>109</v>
      </c>
      <c r="C80" s="667" t="s">
        <v>539</v>
      </c>
      <c r="D80" s="68" t="s">
        <v>510</v>
      </c>
      <c r="E80" s="679"/>
      <c r="F80" s="529">
        <f>VLOOKUP(D80,'Apr14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ref="V80:V143" si="14">IF(T80="","",T80-Q80)</f>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510</v>
      </c>
    </row>
    <row r="81" spans="1:39">
      <c r="A81" s="20"/>
      <c r="B81" s="20" t="s">
        <v>109</v>
      </c>
      <c r="C81" s="667"/>
      <c r="D81" s="68" t="s">
        <v>16</v>
      </c>
      <c r="E81" s="679"/>
      <c r="F81" s="529">
        <f>VLOOKUP(D81,'Apr14 Revenue'!D:V,19,FALSE)</f>
        <v>0</v>
      </c>
      <c r="G81" s="680"/>
      <c r="H81" s="680"/>
      <c r="I81" s="755"/>
      <c r="J81" s="682">
        <f t="shared" si="0"/>
        <v>0</v>
      </c>
      <c r="K81" s="683"/>
      <c r="L81" s="684"/>
      <c r="M81" s="753"/>
      <c r="N81" s="683">
        <v>0</v>
      </c>
      <c r="O81" s="686"/>
      <c r="P81" s="683">
        <v>0</v>
      </c>
      <c r="Q81" s="687">
        <f t="shared" si="1"/>
        <v>0</v>
      </c>
      <c r="R81" s="687"/>
      <c r="S81" s="687"/>
      <c r="T81" s="688">
        <v>0</v>
      </c>
      <c r="U81" s="693"/>
      <c r="V81" s="690">
        <f t="shared" si="14"/>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3"/>
        <v>0</v>
      </c>
      <c r="AM81" s="68" t="s">
        <v>16</v>
      </c>
    </row>
    <row r="82" spans="1:39">
      <c r="A82" s="20"/>
      <c r="B82" s="20" t="s">
        <v>110</v>
      </c>
      <c r="C82" s="667"/>
      <c r="D82" s="68" t="s">
        <v>597</v>
      </c>
      <c r="E82" s="679"/>
      <c r="F82" s="529">
        <f>VLOOKUP(D82,'Apr14 Revenue'!D:V,19,FALSE)</f>
        <v>4811.5200000000186</v>
      </c>
      <c r="G82" s="680"/>
      <c r="H82" s="680"/>
      <c r="I82" s="755"/>
      <c r="J82" s="682">
        <f t="shared" si="0"/>
        <v>4811.5200000000186</v>
      </c>
      <c r="K82" s="683"/>
      <c r="L82" s="684"/>
      <c r="M82" s="753">
        <v>875000</v>
      </c>
      <c r="N82" s="683">
        <v>0</v>
      </c>
      <c r="O82" s="686"/>
      <c r="P82" s="683">
        <v>0</v>
      </c>
      <c r="Q82" s="687">
        <f t="shared" si="1"/>
        <v>875000</v>
      </c>
      <c r="R82" s="687"/>
      <c r="S82" s="687"/>
      <c r="T82" s="688">
        <f>73739.27+45405.26+12611.58+6409.75+72.49+48977.4+5204.72+1169.77+2935.03+8223.39+737.23+339899.5+66612.2+93.51+24116.09+3608.62+1686.26+7174.88+260480.07+6213.71</f>
        <v>915370.73</v>
      </c>
      <c r="U82" s="693"/>
      <c r="V82" s="690">
        <f t="shared" si="14"/>
        <v>40370.729999999981</v>
      </c>
      <c r="W82" s="683"/>
      <c r="X82" s="474">
        <f t="shared" si="3"/>
        <v>875000</v>
      </c>
      <c r="Y82" s="474">
        <f t="shared" si="4"/>
        <v>0</v>
      </c>
      <c r="Z82" s="475">
        <f t="shared" si="5"/>
        <v>0</v>
      </c>
      <c r="AA82" s="475">
        <v>0</v>
      </c>
      <c r="AB82" s="476">
        <v>0</v>
      </c>
      <c r="AC82" s="38">
        <f t="shared" si="6"/>
        <v>0</v>
      </c>
      <c r="AD82" s="692">
        <f t="shared" si="7"/>
        <v>4811.5200000000186</v>
      </c>
      <c r="AE82" s="692">
        <f t="shared" si="8"/>
        <v>0</v>
      </c>
      <c r="AF82" s="692">
        <f t="shared" si="9"/>
        <v>0</v>
      </c>
      <c r="AG82" s="38"/>
      <c r="AH82" s="692">
        <f t="shared" si="10"/>
        <v>875000</v>
      </c>
      <c r="AI82" s="692">
        <f t="shared" si="11"/>
        <v>0</v>
      </c>
      <c r="AJ82" s="692">
        <f t="shared" si="12"/>
        <v>0</v>
      </c>
      <c r="AL82" s="38">
        <f t="shared" si="13"/>
        <v>879811.52</v>
      </c>
      <c r="AM82" s="68" t="s">
        <v>597</v>
      </c>
    </row>
    <row r="83" spans="1:39" s="232" customFormat="1">
      <c r="A83" s="283"/>
      <c r="B83" s="283" t="s">
        <v>109</v>
      </c>
      <c r="C83" s="667" t="s">
        <v>540</v>
      </c>
      <c r="D83" s="373" t="s">
        <v>410</v>
      </c>
      <c r="E83" s="679"/>
      <c r="F83" s="529">
        <f>VLOOKUP(D83,'Apr14 Revenue'!D:V,19,FALSE)</f>
        <v>0</v>
      </c>
      <c r="G83" s="680"/>
      <c r="H83" s="680"/>
      <c r="I83" s="755"/>
      <c r="J83" s="682">
        <f t="shared" si="0"/>
        <v>0</v>
      </c>
      <c r="K83" s="683"/>
      <c r="L83" s="684"/>
      <c r="M83" s="753"/>
      <c r="N83" s="683">
        <v>0</v>
      </c>
      <c r="O83" s="686"/>
      <c r="P83" s="683">
        <v>0</v>
      </c>
      <c r="Q83" s="687">
        <f t="shared" si="1"/>
        <v>0</v>
      </c>
      <c r="R83" s="687"/>
      <c r="S83" s="687"/>
      <c r="T83" s="688">
        <v>0</v>
      </c>
      <c r="U83" s="693"/>
      <c r="V83" s="690">
        <f t="shared" si="14"/>
        <v>0</v>
      </c>
      <c r="W83" s="683"/>
      <c r="X83" s="474">
        <f t="shared" si="3"/>
        <v>0</v>
      </c>
      <c r="Y83" s="474">
        <f t="shared" si="4"/>
        <v>0</v>
      </c>
      <c r="Z83" s="475">
        <f t="shared" si="5"/>
        <v>0</v>
      </c>
      <c r="AA83" s="475">
        <v>0</v>
      </c>
      <c r="AB83" s="476">
        <v>0</v>
      </c>
      <c r="AC83" s="38">
        <f t="shared" si="6"/>
        <v>0</v>
      </c>
      <c r="AD83" s="692">
        <f t="shared" si="7"/>
        <v>0</v>
      </c>
      <c r="AE83" s="692">
        <f t="shared" si="8"/>
        <v>0</v>
      </c>
      <c r="AF83" s="692">
        <f t="shared" si="9"/>
        <v>0</v>
      </c>
      <c r="AG83" s="38"/>
      <c r="AH83" s="692">
        <f t="shared" si="10"/>
        <v>0</v>
      </c>
      <c r="AI83" s="692">
        <f t="shared" si="11"/>
        <v>0</v>
      </c>
      <c r="AJ83" s="692">
        <f t="shared" si="12"/>
        <v>0</v>
      </c>
      <c r="AL83" s="38">
        <f t="shared" si="13"/>
        <v>0</v>
      </c>
      <c r="AM83" s="373" t="s">
        <v>410</v>
      </c>
    </row>
    <row r="84" spans="1:39" s="232" customFormat="1">
      <c r="A84" s="283"/>
      <c r="B84" s="283" t="s">
        <v>109</v>
      </c>
      <c r="C84" s="667" t="s">
        <v>540</v>
      </c>
      <c r="D84" s="373" t="s">
        <v>879</v>
      </c>
      <c r="E84" s="679"/>
      <c r="F84" s="529">
        <f>VLOOKUP(D84,'Apr14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14"/>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879</v>
      </c>
    </row>
    <row r="85" spans="1:39" s="232" customFormat="1">
      <c r="A85" s="283"/>
      <c r="B85" s="283" t="s">
        <v>109</v>
      </c>
      <c r="C85" s="667" t="s">
        <v>540</v>
      </c>
      <c r="D85" s="373" t="s">
        <v>620</v>
      </c>
      <c r="E85" s="679"/>
      <c r="F85" s="529">
        <f>VLOOKUP(D85,'Apr14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14"/>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73" t="s">
        <v>620</v>
      </c>
    </row>
    <row r="86" spans="1:39">
      <c r="A86" s="20"/>
      <c r="B86" s="20" t="s">
        <v>110</v>
      </c>
      <c r="C86" s="667" t="s">
        <v>541</v>
      </c>
      <c r="D86" s="351" t="s">
        <v>507</v>
      </c>
      <c r="E86" s="679">
        <v>21.59</v>
      </c>
      <c r="F86" s="529">
        <f>VLOOKUP(D86,'Apr14 Revenue'!D:V,19,FALSE)</f>
        <v>0</v>
      </c>
      <c r="G86" s="680"/>
      <c r="H86" s="680"/>
      <c r="I86" s="755"/>
      <c r="J86" s="682">
        <f t="shared" si="0"/>
        <v>21.59</v>
      </c>
      <c r="K86" s="683"/>
      <c r="L86" s="684"/>
      <c r="M86" s="753"/>
      <c r="N86" s="683">
        <v>0</v>
      </c>
      <c r="O86" s="686"/>
      <c r="P86" s="683">
        <v>0</v>
      </c>
      <c r="Q86" s="687">
        <f t="shared" si="1"/>
        <v>0</v>
      </c>
      <c r="R86" s="687"/>
      <c r="S86" s="687"/>
      <c r="T86" s="688">
        <v>0</v>
      </c>
      <c r="U86" s="693"/>
      <c r="V86" s="690">
        <f t="shared" si="14"/>
        <v>0</v>
      </c>
      <c r="W86" s="683"/>
      <c r="X86" s="474">
        <f t="shared" si="3"/>
        <v>0</v>
      </c>
      <c r="Y86" s="474">
        <f t="shared" si="4"/>
        <v>0</v>
      </c>
      <c r="Z86" s="475">
        <f t="shared" si="5"/>
        <v>0</v>
      </c>
      <c r="AA86" s="475">
        <v>0</v>
      </c>
      <c r="AB86" s="476">
        <v>0</v>
      </c>
      <c r="AC86" s="38">
        <f t="shared" si="6"/>
        <v>0</v>
      </c>
      <c r="AD86" s="692">
        <f t="shared" si="7"/>
        <v>21.59</v>
      </c>
      <c r="AE86" s="692">
        <f t="shared" si="8"/>
        <v>0</v>
      </c>
      <c r="AF86" s="692">
        <f t="shared" si="9"/>
        <v>0</v>
      </c>
      <c r="AG86" s="38"/>
      <c r="AH86" s="692">
        <f t="shared" si="10"/>
        <v>0</v>
      </c>
      <c r="AI86" s="692">
        <f t="shared" si="11"/>
        <v>0</v>
      </c>
      <c r="AJ86" s="692">
        <f t="shared" si="12"/>
        <v>0</v>
      </c>
      <c r="AL86" s="38">
        <f t="shared" si="13"/>
        <v>21.59</v>
      </c>
      <c r="AM86" s="351" t="s">
        <v>507</v>
      </c>
    </row>
    <row r="87" spans="1:39">
      <c r="A87" s="20"/>
      <c r="B87" s="20" t="s">
        <v>110</v>
      </c>
      <c r="C87" s="667" t="s">
        <v>541</v>
      </c>
      <c r="D87" s="351" t="s">
        <v>506</v>
      </c>
      <c r="E87" s="679">
        <v>5015.78</v>
      </c>
      <c r="F87" s="529">
        <f>VLOOKUP(D87,'Apr14 Revenue'!D:V,19,FALSE)</f>
        <v>0</v>
      </c>
      <c r="G87" s="680"/>
      <c r="H87" s="680"/>
      <c r="I87" s="755"/>
      <c r="J87" s="682">
        <f t="shared" ref="J87:J156" si="15">SUM(E87:I87)</f>
        <v>5015.78</v>
      </c>
      <c r="K87" s="683"/>
      <c r="L87" s="684"/>
      <c r="M87" s="753"/>
      <c r="N87" s="683">
        <v>0</v>
      </c>
      <c r="O87" s="686"/>
      <c r="P87" s="683">
        <v>0</v>
      </c>
      <c r="Q87" s="687">
        <f t="shared" si="1"/>
        <v>0</v>
      </c>
      <c r="R87" s="687"/>
      <c r="S87" s="687"/>
      <c r="T87" s="688">
        <v>0</v>
      </c>
      <c r="U87" s="693"/>
      <c r="V87" s="690">
        <f t="shared" si="14"/>
        <v>0</v>
      </c>
      <c r="W87" s="683"/>
      <c r="X87" s="474">
        <f t="shared" si="3"/>
        <v>0</v>
      </c>
      <c r="Y87" s="474">
        <f t="shared" si="4"/>
        <v>0</v>
      </c>
      <c r="Z87" s="475">
        <f t="shared" si="5"/>
        <v>0</v>
      </c>
      <c r="AA87" s="475">
        <v>0</v>
      </c>
      <c r="AB87" s="476">
        <v>0</v>
      </c>
      <c r="AC87" s="38">
        <f t="shared" si="6"/>
        <v>0</v>
      </c>
      <c r="AD87" s="692">
        <f t="shared" ref="AD87:AD156" si="16">IF(B87="D",J87,0)</f>
        <v>5015.78</v>
      </c>
      <c r="AE87" s="692">
        <f t="shared" ref="AE87:AE156" si="17">IF(B87="M",J87,0)</f>
        <v>0</v>
      </c>
      <c r="AF87" s="692">
        <f t="shared" ref="AF87:AF156" si="18">IF(B87="V",J87,0)</f>
        <v>0</v>
      </c>
      <c r="AG87" s="38"/>
      <c r="AH87" s="692">
        <f t="shared" si="10"/>
        <v>0</v>
      </c>
      <c r="AI87" s="692">
        <f t="shared" si="11"/>
        <v>0</v>
      </c>
      <c r="AJ87" s="692">
        <f t="shared" si="12"/>
        <v>0</v>
      </c>
      <c r="AL87" s="38">
        <f t="shared" si="13"/>
        <v>5015.78</v>
      </c>
      <c r="AM87" s="351" t="s">
        <v>506</v>
      </c>
    </row>
    <row r="88" spans="1:39">
      <c r="A88" s="20"/>
      <c r="B88" s="20" t="s">
        <v>110</v>
      </c>
      <c r="C88" s="667" t="s">
        <v>542</v>
      </c>
      <c r="D88" s="68" t="s">
        <v>305</v>
      </c>
      <c r="E88" s="679"/>
      <c r="F88" s="529">
        <f>VLOOKUP(D88,'Apr14 Revenue'!D:V,19,FALSE)</f>
        <v>-5000</v>
      </c>
      <c r="G88" s="680"/>
      <c r="H88" s="680"/>
      <c r="I88" s="755"/>
      <c r="J88" s="682">
        <f t="shared" si="15"/>
        <v>-5000</v>
      </c>
      <c r="K88" s="683"/>
      <c r="L88" s="684"/>
      <c r="M88" s="753">
        <v>10000</v>
      </c>
      <c r="N88" s="683">
        <v>0</v>
      </c>
      <c r="O88" s="686"/>
      <c r="P88" s="683">
        <v>0</v>
      </c>
      <c r="Q88" s="687">
        <f t="shared" si="1"/>
        <v>10000</v>
      </c>
      <c r="R88" s="687"/>
      <c r="S88" s="687"/>
      <c r="T88" s="688">
        <v>9115.25</v>
      </c>
      <c r="U88" s="693"/>
      <c r="V88" s="690">
        <f t="shared" si="14"/>
        <v>-884.75</v>
      </c>
      <c r="W88" s="683"/>
      <c r="X88" s="474">
        <f t="shared" ref="X88:X158" si="19">IF(B88="D",Q88,0)</f>
        <v>10000</v>
      </c>
      <c r="Y88" s="474">
        <f t="shared" ref="Y88:Y158" si="20">IF(B88="M",Q88,0)</f>
        <v>0</v>
      </c>
      <c r="Z88" s="475">
        <f t="shared" ref="Z88:Z158" si="21">IF(B88="V",Q88,0)</f>
        <v>0</v>
      </c>
      <c r="AA88" s="475">
        <v>0</v>
      </c>
      <c r="AB88" s="476">
        <v>0</v>
      </c>
      <c r="AC88" s="38">
        <f t="shared" ref="AC88:AC158" si="22">(L88+M88)-(X88+Y88+Z88+AA88+AB88)</f>
        <v>0</v>
      </c>
      <c r="AD88" s="692">
        <f t="shared" si="16"/>
        <v>-5000</v>
      </c>
      <c r="AE88" s="692">
        <f t="shared" si="17"/>
        <v>0</v>
      </c>
      <c r="AF88" s="692">
        <f t="shared" si="18"/>
        <v>0</v>
      </c>
      <c r="AG88" s="38"/>
      <c r="AH88" s="692">
        <f t="shared" ref="AH88:AH157" si="23">IF(B88="D",Q88,0)</f>
        <v>10000</v>
      </c>
      <c r="AI88" s="692">
        <f t="shared" ref="AI88:AI157" si="24">IF(B88="M",Q88,0)</f>
        <v>0</v>
      </c>
      <c r="AJ88" s="692">
        <f t="shared" ref="AJ88:AJ157" si="25">IF(B88="V",Q88,0)</f>
        <v>0</v>
      </c>
      <c r="AL88" s="38">
        <f t="shared" si="13"/>
        <v>5000</v>
      </c>
      <c r="AM88" s="68" t="s">
        <v>305</v>
      </c>
    </row>
    <row r="89" spans="1:39">
      <c r="A89" s="20"/>
      <c r="B89" s="20" t="s">
        <v>110</v>
      </c>
      <c r="C89" s="667" t="s">
        <v>543</v>
      </c>
      <c r="D89" s="68" t="s">
        <v>199</v>
      </c>
      <c r="E89" s="679">
        <v>86.25</v>
      </c>
      <c r="F89" s="529">
        <f>VLOOKUP(D89,'Apr14 Revenue'!D:V,19,FALSE)</f>
        <v>0</v>
      </c>
      <c r="G89" s="680"/>
      <c r="H89" s="680"/>
      <c r="I89" s="755"/>
      <c r="J89" s="682">
        <f t="shared" si="15"/>
        <v>86.25</v>
      </c>
      <c r="K89" s="683"/>
      <c r="L89" s="684"/>
      <c r="M89" s="753"/>
      <c r="N89" s="683">
        <v>0</v>
      </c>
      <c r="O89" s="686"/>
      <c r="P89" s="683">
        <v>0</v>
      </c>
      <c r="Q89" s="687">
        <f t="shared" si="1"/>
        <v>0</v>
      </c>
      <c r="R89" s="687"/>
      <c r="S89" s="687"/>
      <c r="T89" s="688">
        <v>0</v>
      </c>
      <c r="U89" s="693"/>
      <c r="V89" s="690">
        <f t="shared" si="14"/>
        <v>0</v>
      </c>
      <c r="W89" s="683"/>
      <c r="X89" s="474">
        <f t="shared" si="19"/>
        <v>0</v>
      </c>
      <c r="Y89" s="474">
        <f t="shared" si="20"/>
        <v>0</v>
      </c>
      <c r="Z89" s="475">
        <f t="shared" si="21"/>
        <v>0</v>
      </c>
      <c r="AA89" s="475">
        <v>0</v>
      </c>
      <c r="AB89" s="476">
        <v>0</v>
      </c>
      <c r="AC89" s="38">
        <f t="shared" si="22"/>
        <v>0</v>
      </c>
      <c r="AD89" s="692">
        <f t="shared" si="16"/>
        <v>86.25</v>
      </c>
      <c r="AE89" s="692">
        <f t="shared" si="17"/>
        <v>0</v>
      </c>
      <c r="AF89" s="692">
        <f t="shared" si="18"/>
        <v>0</v>
      </c>
      <c r="AG89" s="38"/>
      <c r="AH89" s="692">
        <f t="shared" si="23"/>
        <v>0</v>
      </c>
      <c r="AI89" s="692">
        <f t="shared" si="24"/>
        <v>0</v>
      </c>
      <c r="AJ89" s="692">
        <f t="shared" si="25"/>
        <v>0</v>
      </c>
      <c r="AL89" s="38">
        <f t="shared" ref="AL89:AL156" si="26">SUM(AD89:AJ89)</f>
        <v>86.25</v>
      </c>
      <c r="AM89" s="68" t="s">
        <v>199</v>
      </c>
    </row>
    <row r="90" spans="1:39">
      <c r="A90" s="20"/>
      <c r="B90" s="20" t="s">
        <v>110</v>
      </c>
      <c r="C90" s="667" t="s">
        <v>543</v>
      </c>
      <c r="D90" s="68" t="s">
        <v>200</v>
      </c>
      <c r="E90" s="679">
        <v>891.1</v>
      </c>
      <c r="F90" s="529">
        <f>VLOOKUP(D90,'Apr14 Revenue'!D:V,19,FALSE)</f>
        <v>0</v>
      </c>
      <c r="G90" s="680"/>
      <c r="H90" s="680"/>
      <c r="I90" s="755"/>
      <c r="J90" s="682">
        <f t="shared" si="15"/>
        <v>891.1</v>
      </c>
      <c r="K90" s="683"/>
      <c r="L90" s="684"/>
      <c r="M90" s="753"/>
      <c r="N90" s="683">
        <v>0</v>
      </c>
      <c r="O90" s="686"/>
      <c r="P90" s="683">
        <v>0</v>
      </c>
      <c r="Q90" s="687">
        <f t="shared" si="1"/>
        <v>0</v>
      </c>
      <c r="R90" s="687"/>
      <c r="S90" s="687"/>
      <c r="T90" s="688">
        <v>0</v>
      </c>
      <c r="U90" s="693"/>
      <c r="V90" s="690">
        <f t="shared" si="14"/>
        <v>0</v>
      </c>
      <c r="W90" s="683"/>
      <c r="X90" s="474">
        <f t="shared" si="19"/>
        <v>0</v>
      </c>
      <c r="Y90" s="474">
        <f t="shared" si="20"/>
        <v>0</v>
      </c>
      <c r="Z90" s="475">
        <f t="shared" si="21"/>
        <v>0</v>
      </c>
      <c r="AA90" s="475">
        <v>0</v>
      </c>
      <c r="AB90" s="476">
        <v>0</v>
      </c>
      <c r="AC90" s="38">
        <f t="shared" si="22"/>
        <v>0</v>
      </c>
      <c r="AD90" s="692">
        <f t="shared" si="16"/>
        <v>891.1</v>
      </c>
      <c r="AE90" s="692">
        <f t="shared" si="17"/>
        <v>0</v>
      </c>
      <c r="AF90" s="692">
        <f t="shared" si="18"/>
        <v>0</v>
      </c>
      <c r="AG90" s="38"/>
      <c r="AH90" s="692">
        <f t="shared" si="23"/>
        <v>0</v>
      </c>
      <c r="AI90" s="692">
        <f t="shared" si="24"/>
        <v>0</v>
      </c>
      <c r="AJ90" s="692">
        <f t="shared" si="25"/>
        <v>0</v>
      </c>
      <c r="AL90" s="38">
        <f t="shared" si="26"/>
        <v>891.1</v>
      </c>
      <c r="AM90" s="68" t="s">
        <v>200</v>
      </c>
    </row>
    <row r="91" spans="1:39">
      <c r="A91" s="20"/>
      <c r="B91" s="20" t="s">
        <v>110</v>
      </c>
      <c r="C91" s="667" t="s">
        <v>543</v>
      </c>
      <c r="D91" s="68" t="s">
        <v>201</v>
      </c>
      <c r="E91" s="679">
        <v>15.57</v>
      </c>
      <c r="F91" s="529">
        <f>VLOOKUP(D91,'Apr14 Revenue'!D:V,19,FALSE)</f>
        <v>0</v>
      </c>
      <c r="G91" s="680"/>
      <c r="H91" s="680"/>
      <c r="I91" s="755"/>
      <c r="J91" s="682">
        <f t="shared" si="15"/>
        <v>15.57</v>
      </c>
      <c r="K91" s="683"/>
      <c r="L91" s="684"/>
      <c r="M91" s="753"/>
      <c r="N91" s="683">
        <v>0</v>
      </c>
      <c r="O91" s="686"/>
      <c r="P91" s="683">
        <v>0</v>
      </c>
      <c r="Q91" s="687">
        <f t="shared" si="1"/>
        <v>0</v>
      </c>
      <c r="R91" s="687"/>
      <c r="S91" s="687"/>
      <c r="T91" s="688">
        <v>0</v>
      </c>
      <c r="U91" s="693"/>
      <c r="V91" s="690">
        <f t="shared" si="14"/>
        <v>0</v>
      </c>
      <c r="W91" s="683"/>
      <c r="X91" s="474">
        <f t="shared" si="19"/>
        <v>0</v>
      </c>
      <c r="Y91" s="474">
        <f t="shared" si="20"/>
        <v>0</v>
      </c>
      <c r="Z91" s="475">
        <f t="shared" si="21"/>
        <v>0</v>
      </c>
      <c r="AA91" s="475">
        <v>0</v>
      </c>
      <c r="AB91" s="476">
        <v>0</v>
      </c>
      <c r="AC91" s="38">
        <f t="shared" si="22"/>
        <v>0</v>
      </c>
      <c r="AD91" s="692">
        <f t="shared" si="16"/>
        <v>15.57</v>
      </c>
      <c r="AE91" s="692">
        <f t="shared" si="17"/>
        <v>0</v>
      </c>
      <c r="AF91" s="692">
        <f t="shared" si="18"/>
        <v>0</v>
      </c>
      <c r="AG91" s="38"/>
      <c r="AH91" s="692">
        <f t="shared" si="23"/>
        <v>0</v>
      </c>
      <c r="AI91" s="692">
        <f t="shared" si="24"/>
        <v>0</v>
      </c>
      <c r="AJ91" s="692">
        <f t="shared" si="25"/>
        <v>0</v>
      </c>
      <c r="AL91" s="38">
        <f t="shared" si="26"/>
        <v>15.57</v>
      </c>
      <c r="AM91" s="68" t="s">
        <v>201</v>
      </c>
    </row>
    <row r="92" spans="1:39">
      <c r="A92" s="21"/>
      <c r="B92" s="21" t="s">
        <v>110</v>
      </c>
      <c r="C92" s="666"/>
      <c r="D92" s="68" t="s">
        <v>1033</v>
      </c>
      <c r="E92" s="679"/>
      <c r="F92" s="529">
        <f>VLOOKUP(D92,'Apr14 Revenue'!D:V,19,FALSE)</f>
        <v>0</v>
      </c>
      <c r="G92" s="680"/>
      <c r="H92" s="680"/>
      <c r="I92" s="755"/>
      <c r="J92" s="682">
        <f t="shared" si="15"/>
        <v>0</v>
      </c>
      <c r="K92" s="683"/>
      <c r="L92" s="684"/>
      <c r="M92" s="753"/>
      <c r="N92" s="683">
        <v>0</v>
      </c>
      <c r="O92" s="686"/>
      <c r="P92" s="683">
        <v>0</v>
      </c>
      <c r="Q92" s="687">
        <f t="shared" si="1"/>
        <v>0</v>
      </c>
      <c r="R92" s="687"/>
      <c r="S92" s="687"/>
      <c r="T92" s="688">
        <v>0</v>
      </c>
      <c r="U92" s="693"/>
      <c r="V92" s="690">
        <f t="shared" si="14"/>
        <v>0</v>
      </c>
      <c r="W92" s="697"/>
      <c r="X92" s="474">
        <f t="shared" si="19"/>
        <v>0</v>
      </c>
      <c r="Y92" s="474">
        <f t="shared" si="20"/>
        <v>0</v>
      </c>
      <c r="Z92" s="475">
        <f t="shared" si="21"/>
        <v>0</v>
      </c>
      <c r="AA92" s="475">
        <v>0</v>
      </c>
      <c r="AB92" s="476">
        <v>0</v>
      </c>
      <c r="AC92" s="38">
        <f t="shared" si="22"/>
        <v>0</v>
      </c>
      <c r="AD92" s="692">
        <f t="shared" si="16"/>
        <v>0</v>
      </c>
      <c r="AE92" s="692">
        <f t="shared" si="17"/>
        <v>0</v>
      </c>
      <c r="AF92" s="692">
        <f t="shared" si="18"/>
        <v>0</v>
      </c>
      <c r="AG92" s="38"/>
      <c r="AH92" s="692">
        <f t="shared" si="23"/>
        <v>0</v>
      </c>
      <c r="AI92" s="692">
        <f t="shared" si="24"/>
        <v>0</v>
      </c>
      <c r="AJ92" s="692">
        <f t="shared" si="25"/>
        <v>0</v>
      </c>
      <c r="AL92" s="38">
        <f t="shared" si="26"/>
        <v>0</v>
      </c>
      <c r="AM92" s="68" t="s">
        <v>628</v>
      </c>
    </row>
    <row r="93" spans="1:39">
      <c r="A93" s="20" t="s">
        <v>97</v>
      </c>
      <c r="B93" s="20" t="s">
        <v>114</v>
      </c>
      <c r="C93" s="667"/>
      <c r="D93" s="68" t="s">
        <v>387</v>
      </c>
      <c r="E93" s="679"/>
      <c r="F93" s="529">
        <f>VLOOKUP(D93,'Apr14 Revenue'!D:V,19,FALSE)</f>
        <v>-7855.9900000000016</v>
      </c>
      <c r="G93" s="680"/>
      <c r="H93" s="680"/>
      <c r="I93" s="755"/>
      <c r="J93" s="682">
        <f t="shared" si="15"/>
        <v>-7855.9900000000016</v>
      </c>
      <c r="K93" s="683"/>
      <c r="L93" s="684"/>
      <c r="M93" s="753">
        <v>20000</v>
      </c>
      <c r="N93" s="683">
        <v>0</v>
      </c>
      <c r="O93" s="686"/>
      <c r="P93" s="683">
        <v>0</v>
      </c>
      <c r="Q93" s="687">
        <f t="shared" si="1"/>
        <v>20000</v>
      </c>
      <c r="R93" s="687"/>
      <c r="S93" s="687"/>
      <c r="T93" s="688">
        <v>25627.87</v>
      </c>
      <c r="U93" s="693"/>
      <c r="V93" s="690">
        <f t="shared" si="14"/>
        <v>5627.869999999999</v>
      </c>
      <c r="W93" s="683"/>
      <c r="X93" s="474">
        <f t="shared" si="19"/>
        <v>0</v>
      </c>
      <c r="Y93" s="474">
        <f t="shared" si="20"/>
        <v>0</v>
      </c>
      <c r="Z93" s="475">
        <f t="shared" si="21"/>
        <v>20000</v>
      </c>
      <c r="AA93" s="475">
        <v>0</v>
      </c>
      <c r="AB93" s="476">
        <v>0</v>
      </c>
      <c r="AC93" s="38">
        <f t="shared" si="22"/>
        <v>0</v>
      </c>
      <c r="AD93" s="692">
        <f t="shared" si="16"/>
        <v>0</v>
      </c>
      <c r="AE93" s="692">
        <f t="shared" si="17"/>
        <v>0</v>
      </c>
      <c r="AF93" s="692">
        <f t="shared" si="18"/>
        <v>-7855.9900000000016</v>
      </c>
      <c r="AG93" s="38"/>
      <c r="AH93" s="692">
        <f t="shared" si="23"/>
        <v>0</v>
      </c>
      <c r="AI93" s="692">
        <f t="shared" si="24"/>
        <v>0</v>
      </c>
      <c r="AJ93" s="692">
        <f t="shared" si="25"/>
        <v>20000</v>
      </c>
      <c r="AL93" s="38">
        <f t="shared" si="26"/>
        <v>12144.009999999998</v>
      </c>
      <c r="AM93" s="68" t="s">
        <v>387</v>
      </c>
    </row>
    <row r="94" spans="1:39" hidden="1">
      <c r="A94" s="20" t="s">
        <v>97</v>
      </c>
      <c r="B94" s="20" t="s">
        <v>114</v>
      </c>
      <c r="C94" s="667"/>
      <c r="D94" s="68" t="s">
        <v>482</v>
      </c>
      <c r="E94" s="679"/>
      <c r="F94" s="529">
        <f>VLOOKUP(D94,'Apr14 Revenue'!D:V,19,FALSE)</f>
        <v>0</v>
      </c>
      <c r="G94" s="680"/>
      <c r="H94" s="680"/>
      <c r="I94" s="755"/>
      <c r="J94" s="682">
        <f t="shared" si="15"/>
        <v>0</v>
      </c>
      <c r="K94" s="683"/>
      <c r="L94" s="684"/>
      <c r="M94" s="753"/>
      <c r="N94" s="683"/>
      <c r="O94" s="686"/>
      <c r="P94" s="683"/>
      <c r="Q94" s="687">
        <f t="shared" si="1"/>
        <v>0</v>
      </c>
      <c r="R94" s="687"/>
      <c r="S94" s="687"/>
      <c r="T94" s="688">
        <v>0</v>
      </c>
      <c r="U94" s="693"/>
      <c r="V94" s="690">
        <f t="shared" si="14"/>
        <v>0</v>
      </c>
      <c r="W94" s="683"/>
      <c r="X94" s="474">
        <f t="shared" si="19"/>
        <v>0</v>
      </c>
      <c r="Y94" s="474">
        <f t="shared" si="20"/>
        <v>0</v>
      </c>
      <c r="Z94" s="475">
        <f t="shared" si="21"/>
        <v>0</v>
      </c>
      <c r="AA94" s="475">
        <v>0</v>
      </c>
      <c r="AB94" s="476">
        <v>0</v>
      </c>
      <c r="AC94" s="38">
        <f t="shared" si="22"/>
        <v>0</v>
      </c>
      <c r="AD94" s="692">
        <f t="shared" si="16"/>
        <v>0</v>
      </c>
      <c r="AE94" s="692">
        <f t="shared" si="17"/>
        <v>0</v>
      </c>
      <c r="AF94" s="692">
        <f t="shared" si="18"/>
        <v>0</v>
      </c>
      <c r="AG94" s="38"/>
      <c r="AH94" s="692">
        <f t="shared" si="23"/>
        <v>0</v>
      </c>
      <c r="AI94" s="692">
        <f t="shared" si="24"/>
        <v>0</v>
      </c>
      <c r="AJ94" s="692">
        <f t="shared" si="25"/>
        <v>0</v>
      </c>
      <c r="AL94" s="38">
        <f t="shared" si="26"/>
        <v>0</v>
      </c>
      <c r="AM94" s="68" t="s">
        <v>482</v>
      </c>
    </row>
    <row r="95" spans="1:39" hidden="1">
      <c r="A95" s="20" t="s">
        <v>109</v>
      </c>
      <c r="B95" s="20" t="s">
        <v>109</v>
      </c>
      <c r="C95" s="667" t="s">
        <v>544</v>
      </c>
      <c r="D95" s="68" t="s">
        <v>383</v>
      </c>
      <c r="E95" s="679"/>
      <c r="F95" s="529">
        <f>VLOOKUP(D95,'Apr14 Revenue'!D:V,19,FALSE)</f>
        <v>0</v>
      </c>
      <c r="G95" s="680"/>
      <c r="H95" s="680"/>
      <c r="I95" s="755"/>
      <c r="J95" s="682">
        <f t="shared" si="15"/>
        <v>0</v>
      </c>
      <c r="K95" s="683"/>
      <c r="L95" s="684"/>
      <c r="M95" s="753"/>
      <c r="N95" s="683">
        <v>0</v>
      </c>
      <c r="O95" s="686"/>
      <c r="P95" s="683">
        <v>0</v>
      </c>
      <c r="Q95" s="687">
        <f t="shared" si="1"/>
        <v>0</v>
      </c>
      <c r="R95" s="687"/>
      <c r="S95" s="687"/>
      <c r="T95" s="688">
        <v>0</v>
      </c>
      <c r="U95" s="693"/>
      <c r="V95" s="690">
        <f t="shared" si="14"/>
        <v>0</v>
      </c>
      <c r="W95" s="683"/>
      <c r="X95" s="474">
        <f t="shared" si="19"/>
        <v>0</v>
      </c>
      <c r="Y95" s="474">
        <f t="shared" si="20"/>
        <v>0</v>
      </c>
      <c r="Z95" s="475">
        <f t="shared" si="21"/>
        <v>0</v>
      </c>
      <c r="AA95" s="475">
        <v>0</v>
      </c>
      <c r="AB95" s="476">
        <v>0</v>
      </c>
      <c r="AC95" s="38">
        <f t="shared" si="22"/>
        <v>0</v>
      </c>
      <c r="AD95" s="692">
        <f t="shared" si="16"/>
        <v>0</v>
      </c>
      <c r="AE95" s="692">
        <f t="shared" si="17"/>
        <v>0</v>
      </c>
      <c r="AF95" s="692">
        <f t="shared" si="18"/>
        <v>0</v>
      </c>
      <c r="AG95" s="38"/>
      <c r="AH95" s="692">
        <f t="shared" si="23"/>
        <v>0</v>
      </c>
      <c r="AI95" s="692">
        <f t="shared" si="24"/>
        <v>0</v>
      </c>
      <c r="AJ95" s="692">
        <f t="shared" si="25"/>
        <v>0</v>
      </c>
      <c r="AL95" s="38">
        <f t="shared" si="26"/>
        <v>0</v>
      </c>
      <c r="AM95" s="68" t="s">
        <v>383</v>
      </c>
    </row>
    <row r="96" spans="1:39" hidden="1">
      <c r="A96" s="21" t="s">
        <v>211</v>
      </c>
      <c r="B96" s="21" t="s">
        <v>109</v>
      </c>
      <c r="C96" s="666" t="s">
        <v>545</v>
      </c>
      <c r="D96" s="68" t="s">
        <v>181</v>
      </c>
      <c r="E96" s="679"/>
      <c r="F96" s="529">
        <f>VLOOKUP(D96,'Apr14 Revenue'!D:V,19,FALSE)</f>
        <v>0</v>
      </c>
      <c r="G96" s="680"/>
      <c r="H96" s="680"/>
      <c r="I96" s="755"/>
      <c r="J96" s="682">
        <f t="shared" si="15"/>
        <v>0</v>
      </c>
      <c r="K96" s="683"/>
      <c r="L96" s="684"/>
      <c r="M96" s="753"/>
      <c r="N96" s="683">
        <v>0</v>
      </c>
      <c r="O96" s="686"/>
      <c r="P96" s="683">
        <v>0</v>
      </c>
      <c r="Q96" s="687">
        <f t="shared" si="1"/>
        <v>0</v>
      </c>
      <c r="R96" s="687"/>
      <c r="S96" s="687"/>
      <c r="T96" s="688">
        <v>0</v>
      </c>
      <c r="U96" s="693"/>
      <c r="V96" s="690">
        <f t="shared" si="14"/>
        <v>0</v>
      </c>
      <c r="W96" s="683"/>
      <c r="X96" s="474">
        <f t="shared" si="19"/>
        <v>0</v>
      </c>
      <c r="Y96" s="474">
        <f t="shared" si="20"/>
        <v>0</v>
      </c>
      <c r="Z96" s="475">
        <f t="shared" si="21"/>
        <v>0</v>
      </c>
      <c r="AA96" s="475">
        <v>0</v>
      </c>
      <c r="AB96" s="476">
        <v>0</v>
      </c>
      <c r="AC96" s="38">
        <f t="shared" si="22"/>
        <v>0</v>
      </c>
      <c r="AD96" s="692">
        <f t="shared" si="16"/>
        <v>0</v>
      </c>
      <c r="AE96" s="692">
        <f t="shared" si="17"/>
        <v>0</v>
      </c>
      <c r="AF96" s="692">
        <f t="shared" si="18"/>
        <v>0</v>
      </c>
      <c r="AG96" s="38"/>
      <c r="AH96" s="692">
        <f t="shared" si="23"/>
        <v>0</v>
      </c>
      <c r="AI96" s="692">
        <f t="shared" si="24"/>
        <v>0</v>
      </c>
      <c r="AJ96" s="692">
        <f t="shared" si="25"/>
        <v>0</v>
      </c>
      <c r="AL96" s="38">
        <f t="shared" si="26"/>
        <v>0</v>
      </c>
      <c r="AM96" s="68" t="s">
        <v>181</v>
      </c>
    </row>
    <row r="97" spans="1:39" hidden="1">
      <c r="A97" s="21" t="s">
        <v>211</v>
      </c>
      <c r="B97" s="21" t="s">
        <v>110</v>
      </c>
      <c r="C97" s="666"/>
      <c r="D97" s="68" t="s">
        <v>504</v>
      </c>
      <c r="E97" s="679"/>
      <c r="F97" s="529">
        <f>VLOOKUP(D97,'Apr14 Revenue'!D:V,19,FALSE)</f>
        <v>0</v>
      </c>
      <c r="G97" s="680"/>
      <c r="H97" s="680"/>
      <c r="I97" s="755"/>
      <c r="J97" s="682">
        <f t="shared" si="15"/>
        <v>0</v>
      </c>
      <c r="K97" s="683"/>
      <c r="L97" s="684"/>
      <c r="M97" s="753"/>
      <c r="N97" s="683">
        <v>0</v>
      </c>
      <c r="O97" s="686"/>
      <c r="P97" s="683">
        <v>0</v>
      </c>
      <c r="Q97" s="687">
        <f t="shared" si="1"/>
        <v>0</v>
      </c>
      <c r="R97" s="687"/>
      <c r="S97" s="687"/>
      <c r="T97" s="688">
        <v>0</v>
      </c>
      <c r="U97" s="693"/>
      <c r="V97" s="690">
        <f t="shared" si="14"/>
        <v>0</v>
      </c>
      <c r="W97" s="683"/>
      <c r="X97" s="474">
        <f t="shared" si="19"/>
        <v>0</v>
      </c>
      <c r="Y97" s="474">
        <f t="shared" si="20"/>
        <v>0</v>
      </c>
      <c r="Z97" s="475">
        <f t="shared" si="21"/>
        <v>0</v>
      </c>
      <c r="AA97" s="475">
        <v>0</v>
      </c>
      <c r="AB97" s="476">
        <v>0</v>
      </c>
      <c r="AC97" s="38">
        <f t="shared" si="22"/>
        <v>0</v>
      </c>
      <c r="AD97" s="692">
        <f t="shared" si="16"/>
        <v>0</v>
      </c>
      <c r="AE97" s="692">
        <f t="shared" si="17"/>
        <v>0</v>
      </c>
      <c r="AF97" s="692">
        <f t="shared" si="18"/>
        <v>0</v>
      </c>
      <c r="AG97" s="38"/>
      <c r="AH97" s="692">
        <f t="shared" si="23"/>
        <v>0</v>
      </c>
      <c r="AI97" s="692">
        <f t="shared" si="24"/>
        <v>0</v>
      </c>
      <c r="AJ97" s="692">
        <f t="shared" si="25"/>
        <v>0</v>
      </c>
      <c r="AL97" s="38">
        <f t="shared" si="26"/>
        <v>0</v>
      </c>
      <c r="AM97" s="68" t="s">
        <v>504</v>
      </c>
    </row>
    <row r="98" spans="1:39">
      <c r="A98" s="20" t="s">
        <v>211</v>
      </c>
      <c r="B98" s="20" t="s">
        <v>109</v>
      </c>
      <c r="C98" s="667" t="s">
        <v>546</v>
      </c>
      <c r="D98" s="68" t="s">
        <v>142</v>
      </c>
      <c r="E98" s="679"/>
      <c r="F98" s="529">
        <f>VLOOKUP(D98,'Apr14 Revenue'!D:V,19,FALSE)</f>
        <v>179.2</v>
      </c>
      <c r="G98" s="680"/>
      <c r="H98" s="680"/>
      <c r="I98" s="755"/>
      <c r="J98" s="682">
        <f t="shared" si="15"/>
        <v>179.2</v>
      </c>
      <c r="K98" s="683"/>
      <c r="L98" s="684"/>
      <c r="M98" s="753"/>
      <c r="N98" s="683">
        <v>0</v>
      </c>
      <c r="O98" s="686"/>
      <c r="P98" s="683">
        <v>0</v>
      </c>
      <c r="Q98" s="687">
        <f t="shared" si="1"/>
        <v>0</v>
      </c>
      <c r="R98" s="687"/>
      <c r="S98" s="687"/>
      <c r="T98" s="688">
        <v>0</v>
      </c>
      <c r="U98" s="693"/>
      <c r="V98" s="690">
        <f t="shared" si="14"/>
        <v>0</v>
      </c>
      <c r="W98" s="697"/>
      <c r="X98" s="474">
        <f t="shared" si="19"/>
        <v>0</v>
      </c>
      <c r="Y98" s="474">
        <f t="shared" si="20"/>
        <v>0</v>
      </c>
      <c r="Z98" s="475">
        <f t="shared" si="21"/>
        <v>0</v>
      </c>
      <c r="AA98" s="475">
        <v>0</v>
      </c>
      <c r="AB98" s="476">
        <v>0</v>
      </c>
      <c r="AC98" s="38">
        <f t="shared" si="22"/>
        <v>0</v>
      </c>
      <c r="AD98" s="692">
        <f t="shared" si="16"/>
        <v>0</v>
      </c>
      <c r="AE98" s="692">
        <f t="shared" si="17"/>
        <v>179.2</v>
      </c>
      <c r="AF98" s="692">
        <f t="shared" si="18"/>
        <v>0</v>
      </c>
      <c r="AG98" s="38"/>
      <c r="AH98" s="692">
        <f t="shared" si="23"/>
        <v>0</v>
      </c>
      <c r="AI98" s="692">
        <f t="shared" si="24"/>
        <v>0</v>
      </c>
      <c r="AJ98" s="692">
        <f t="shared" si="25"/>
        <v>0</v>
      </c>
      <c r="AL98" s="38">
        <f t="shared" si="26"/>
        <v>179.2</v>
      </c>
      <c r="AM98" s="68" t="s">
        <v>142</v>
      </c>
    </row>
    <row r="99" spans="1:39">
      <c r="A99" s="20" t="s">
        <v>211</v>
      </c>
      <c r="B99" s="20" t="s">
        <v>109</v>
      </c>
      <c r="C99" s="667" t="s">
        <v>546</v>
      </c>
      <c r="D99" s="68" t="s">
        <v>143</v>
      </c>
      <c r="E99" s="679"/>
      <c r="F99" s="529">
        <f>VLOOKUP(D99,'Apr14 Revenue'!D:V,19,FALSE)</f>
        <v>57.68</v>
      </c>
      <c r="G99" s="680"/>
      <c r="H99" s="680"/>
      <c r="I99" s="755"/>
      <c r="J99" s="682">
        <f t="shared" si="15"/>
        <v>57.68</v>
      </c>
      <c r="K99" s="683"/>
      <c r="L99" s="684"/>
      <c r="M99" s="753"/>
      <c r="N99" s="683">
        <v>0</v>
      </c>
      <c r="O99" s="686"/>
      <c r="P99" s="683">
        <v>0</v>
      </c>
      <c r="Q99" s="687">
        <f t="shared" si="1"/>
        <v>0</v>
      </c>
      <c r="R99" s="687"/>
      <c r="S99" s="687"/>
      <c r="T99" s="688">
        <v>0</v>
      </c>
      <c r="U99" s="693"/>
      <c r="V99" s="690">
        <f t="shared" si="14"/>
        <v>0</v>
      </c>
      <c r="W99" s="697"/>
      <c r="X99" s="474">
        <f t="shared" si="19"/>
        <v>0</v>
      </c>
      <c r="Y99" s="474">
        <f t="shared" si="20"/>
        <v>0</v>
      </c>
      <c r="Z99" s="475">
        <f t="shared" si="21"/>
        <v>0</v>
      </c>
      <c r="AA99" s="475">
        <v>0</v>
      </c>
      <c r="AB99" s="476">
        <v>0</v>
      </c>
      <c r="AC99" s="38">
        <f t="shared" si="22"/>
        <v>0</v>
      </c>
      <c r="AD99" s="692">
        <f t="shared" si="16"/>
        <v>0</v>
      </c>
      <c r="AE99" s="692">
        <f t="shared" si="17"/>
        <v>57.68</v>
      </c>
      <c r="AF99" s="692">
        <f t="shared" si="18"/>
        <v>0</v>
      </c>
      <c r="AG99" s="38"/>
      <c r="AH99" s="692">
        <f t="shared" si="23"/>
        <v>0</v>
      </c>
      <c r="AI99" s="692">
        <f t="shared" si="24"/>
        <v>0</v>
      </c>
      <c r="AJ99" s="692">
        <f t="shared" si="25"/>
        <v>0</v>
      </c>
      <c r="AL99" s="38">
        <f t="shared" si="26"/>
        <v>57.68</v>
      </c>
      <c r="AM99" s="68" t="s">
        <v>143</v>
      </c>
    </row>
    <row r="100" spans="1:39">
      <c r="A100" s="20"/>
      <c r="B100" s="20" t="s">
        <v>109</v>
      </c>
      <c r="C100" s="667"/>
      <c r="D100" s="68" t="s">
        <v>1014</v>
      </c>
      <c r="E100" s="679"/>
      <c r="F100" s="529">
        <f>VLOOKUP(D100,'Apr14 Revenue'!D:V,19,FALSE)</f>
        <v>0</v>
      </c>
      <c r="G100" s="680"/>
      <c r="H100" s="680"/>
      <c r="I100" s="755"/>
      <c r="J100" s="682">
        <f t="shared" si="15"/>
        <v>0</v>
      </c>
      <c r="K100" s="683"/>
      <c r="L100" s="684"/>
      <c r="M100" s="753"/>
      <c r="N100" s="683">
        <v>0</v>
      </c>
      <c r="O100" s="686"/>
      <c r="P100" s="683">
        <v>0</v>
      </c>
      <c r="Q100" s="687">
        <f t="shared" si="1"/>
        <v>0</v>
      </c>
      <c r="R100" s="687"/>
      <c r="S100" s="687"/>
      <c r="T100" s="688">
        <v>0</v>
      </c>
      <c r="U100" s="693"/>
      <c r="V100" s="690">
        <f t="shared" si="14"/>
        <v>0</v>
      </c>
      <c r="W100" s="683"/>
      <c r="X100" s="474">
        <f t="shared" si="19"/>
        <v>0</v>
      </c>
      <c r="Y100" s="474">
        <f t="shared" si="20"/>
        <v>0</v>
      </c>
      <c r="Z100" s="475">
        <f t="shared" si="21"/>
        <v>0</v>
      </c>
      <c r="AA100" s="475">
        <v>0</v>
      </c>
      <c r="AB100" s="476">
        <v>0</v>
      </c>
      <c r="AC100" s="38">
        <f t="shared" si="22"/>
        <v>0</v>
      </c>
      <c r="AD100" s="692">
        <f t="shared" si="16"/>
        <v>0</v>
      </c>
      <c r="AE100" s="692">
        <f t="shared" si="17"/>
        <v>0</v>
      </c>
      <c r="AF100" s="692">
        <f t="shared" si="18"/>
        <v>0</v>
      </c>
      <c r="AG100" s="38"/>
      <c r="AH100" s="692">
        <f t="shared" si="23"/>
        <v>0</v>
      </c>
      <c r="AI100" s="692">
        <f t="shared" si="24"/>
        <v>0</v>
      </c>
      <c r="AJ100" s="692">
        <f t="shared" si="25"/>
        <v>0</v>
      </c>
      <c r="AL100" s="38">
        <f t="shared" si="26"/>
        <v>0</v>
      </c>
      <c r="AM100" s="68" t="s">
        <v>1014</v>
      </c>
    </row>
    <row r="101" spans="1:39">
      <c r="A101" s="20" t="s">
        <v>109</v>
      </c>
      <c r="B101" s="20" t="s">
        <v>109</v>
      </c>
      <c r="C101" s="667"/>
      <c r="D101" s="68" t="s">
        <v>498</v>
      </c>
      <c r="E101" s="679"/>
      <c r="F101" s="529">
        <f>VLOOKUP(D101,'Apr14 Revenue'!D:V,19,FALSE)</f>
        <v>0</v>
      </c>
      <c r="G101" s="680"/>
      <c r="H101" s="680"/>
      <c r="I101" s="755"/>
      <c r="J101" s="682">
        <f t="shared" si="15"/>
        <v>0</v>
      </c>
      <c r="K101" s="683"/>
      <c r="L101" s="684"/>
      <c r="M101" s="753"/>
      <c r="N101" s="683">
        <v>0</v>
      </c>
      <c r="O101" s="686"/>
      <c r="P101" s="683">
        <v>0</v>
      </c>
      <c r="Q101" s="687">
        <f t="shared" si="1"/>
        <v>0</v>
      </c>
      <c r="R101" s="687"/>
      <c r="S101" s="687"/>
      <c r="T101" s="688">
        <v>0</v>
      </c>
      <c r="U101" s="693"/>
      <c r="V101" s="690">
        <f t="shared" si="14"/>
        <v>0</v>
      </c>
      <c r="W101" s="683"/>
      <c r="X101" s="474">
        <f t="shared" si="19"/>
        <v>0</v>
      </c>
      <c r="Y101" s="474">
        <f t="shared" si="20"/>
        <v>0</v>
      </c>
      <c r="Z101" s="475">
        <f t="shared" si="21"/>
        <v>0</v>
      </c>
      <c r="AA101" s="475">
        <v>0</v>
      </c>
      <c r="AB101" s="476">
        <v>0</v>
      </c>
      <c r="AC101" s="38">
        <f t="shared" si="22"/>
        <v>0</v>
      </c>
      <c r="AD101" s="692">
        <f t="shared" si="16"/>
        <v>0</v>
      </c>
      <c r="AE101" s="692">
        <f t="shared" si="17"/>
        <v>0</v>
      </c>
      <c r="AF101" s="692">
        <f t="shared" si="18"/>
        <v>0</v>
      </c>
      <c r="AG101" s="38"/>
      <c r="AH101" s="692">
        <f t="shared" si="23"/>
        <v>0</v>
      </c>
      <c r="AI101" s="692">
        <f t="shared" si="24"/>
        <v>0</v>
      </c>
      <c r="AJ101" s="692">
        <f t="shared" si="25"/>
        <v>0</v>
      </c>
      <c r="AL101" s="38">
        <f t="shared" si="26"/>
        <v>0</v>
      </c>
      <c r="AM101" s="68" t="s">
        <v>498</v>
      </c>
    </row>
    <row r="102" spans="1:39">
      <c r="A102" s="21"/>
      <c r="B102" s="21" t="s">
        <v>110</v>
      </c>
      <c r="C102" s="666"/>
      <c r="D102" s="68" t="s">
        <v>20</v>
      </c>
      <c r="E102" s="679"/>
      <c r="F102" s="529">
        <f>VLOOKUP(D102,'Apr14 Revenue'!D:V,19,FALSE)</f>
        <v>151.35</v>
      </c>
      <c r="G102" s="680"/>
      <c r="H102" s="680"/>
      <c r="I102" s="770">
        <v>172.47</v>
      </c>
      <c r="J102" s="682">
        <f t="shared" si="15"/>
        <v>323.82</v>
      </c>
      <c r="K102" s="683"/>
      <c r="L102" s="684"/>
      <c r="M102" s="753"/>
      <c r="N102" s="683">
        <v>0</v>
      </c>
      <c r="O102" s="686"/>
      <c r="P102" s="683">
        <v>0</v>
      </c>
      <c r="Q102" s="687">
        <f t="shared" si="1"/>
        <v>0</v>
      </c>
      <c r="R102" s="687"/>
      <c r="S102" s="687"/>
      <c r="T102" s="688">
        <v>0</v>
      </c>
      <c r="U102" s="693"/>
      <c r="V102" s="690">
        <f t="shared" si="14"/>
        <v>0</v>
      </c>
      <c r="W102" s="683"/>
      <c r="X102" s="474">
        <f t="shared" si="19"/>
        <v>0</v>
      </c>
      <c r="Y102" s="474">
        <f t="shared" si="20"/>
        <v>0</v>
      </c>
      <c r="Z102" s="475">
        <f t="shared" si="21"/>
        <v>0</v>
      </c>
      <c r="AA102" s="475">
        <v>0</v>
      </c>
      <c r="AB102" s="476">
        <v>0</v>
      </c>
      <c r="AC102" s="38">
        <f t="shared" si="22"/>
        <v>0</v>
      </c>
      <c r="AD102" s="692">
        <f t="shared" si="16"/>
        <v>323.82</v>
      </c>
      <c r="AE102" s="692">
        <f t="shared" si="17"/>
        <v>0</v>
      </c>
      <c r="AF102" s="692">
        <f t="shared" si="18"/>
        <v>0</v>
      </c>
      <c r="AG102" s="38"/>
      <c r="AH102" s="692">
        <f t="shared" si="23"/>
        <v>0</v>
      </c>
      <c r="AI102" s="692">
        <f t="shared" si="24"/>
        <v>0</v>
      </c>
      <c r="AJ102" s="692">
        <f t="shared" si="25"/>
        <v>0</v>
      </c>
      <c r="AL102" s="38">
        <f t="shared" si="26"/>
        <v>323.82</v>
      </c>
      <c r="AM102" s="68" t="s">
        <v>20</v>
      </c>
    </row>
    <row r="103" spans="1:39">
      <c r="A103" s="21"/>
      <c r="B103" s="21" t="s">
        <v>114</v>
      </c>
      <c r="C103" s="666"/>
      <c r="D103" s="68" t="s">
        <v>1083</v>
      </c>
      <c r="E103" s="679">
        <v>3612.46</v>
      </c>
      <c r="F103" s="529">
        <f>VLOOKUP(D103,'Apr14 Revenue'!D:V,19,FALSE)</f>
        <v>-20000</v>
      </c>
      <c r="G103" s="680"/>
      <c r="H103" s="680"/>
      <c r="I103" s="755"/>
      <c r="J103" s="682">
        <f t="shared" si="15"/>
        <v>-16387.54</v>
      </c>
      <c r="K103" s="683"/>
      <c r="L103" s="684"/>
      <c r="M103" s="753">
        <v>20000</v>
      </c>
      <c r="N103" s="683">
        <v>0</v>
      </c>
      <c r="O103" s="686"/>
      <c r="P103" s="683">
        <v>0</v>
      </c>
      <c r="Q103" s="687">
        <f t="shared" si="1"/>
        <v>20000</v>
      </c>
      <c r="R103" s="687"/>
      <c r="S103" s="687"/>
      <c r="T103" s="688">
        <v>0</v>
      </c>
      <c r="U103" s="693"/>
      <c r="V103" s="690">
        <f t="shared" si="14"/>
        <v>-20000</v>
      </c>
      <c r="W103" s="683"/>
      <c r="X103" s="474">
        <f t="shared" si="19"/>
        <v>0</v>
      </c>
      <c r="Y103" s="474">
        <f t="shared" si="20"/>
        <v>0</v>
      </c>
      <c r="Z103" s="475">
        <f t="shared" si="21"/>
        <v>20000</v>
      </c>
      <c r="AA103" s="475">
        <v>0</v>
      </c>
      <c r="AB103" s="476">
        <v>0</v>
      </c>
      <c r="AC103" s="38">
        <f t="shared" si="22"/>
        <v>0</v>
      </c>
      <c r="AD103" s="692">
        <f t="shared" si="16"/>
        <v>0</v>
      </c>
      <c r="AE103" s="692">
        <f t="shared" si="17"/>
        <v>0</v>
      </c>
      <c r="AF103" s="692">
        <f t="shared" si="18"/>
        <v>-16387.54</v>
      </c>
      <c r="AG103" s="38"/>
      <c r="AH103" s="692">
        <f t="shared" si="23"/>
        <v>0</v>
      </c>
      <c r="AI103" s="692">
        <f t="shared" si="24"/>
        <v>0</v>
      </c>
      <c r="AJ103" s="692">
        <f t="shared" si="25"/>
        <v>20000</v>
      </c>
      <c r="AL103" s="38">
        <f t="shared" si="26"/>
        <v>3612.4599999999991</v>
      </c>
      <c r="AM103" s="68" t="s">
        <v>203</v>
      </c>
    </row>
    <row r="104" spans="1:39">
      <c r="A104" s="21"/>
      <c r="B104" s="21" t="s">
        <v>110</v>
      </c>
      <c r="C104" s="666" t="s">
        <v>547</v>
      </c>
      <c r="D104" s="68" t="s">
        <v>202</v>
      </c>
      <c r="E104" s="679"/>
      <c r="F104" s="529">
        <f>VLOOKUP(D104,'Apr14 Revenue'!D:V,19,FALSE)</f>
        <v>0</v>
      </c>
      <c r="G104" s="680"/>
      <c r="H104" s="680"/>
      <c r="I104" s="755"/>
      <c r="J104" s="682">
        <f t="shared" si="15"/>
        <v>0</v>
      </c>
      <c r="K104" s="683"/>
      <c r="L104" s="684"/>
      <c r="M104" s="753"/>
      <c r="N104" s="683">
        <v>0</v>
      </c>
      <c r="O104" s="686"/>
      <c r="P104" s="683">
        <v>0</v>
      </c>
      <c r="Q104" s="687">
        <f t="shared" si="1"/>
        <v>0</v>
      </c>
      <c r="R104" s="687"/>
      <c r="S104" s="687"/>
      <c r="T104" s="688">
        <v>0</v>
      </c>
      <c r="U104" s="693"/>
      <c r="V104" s="690">
        <f t="shared" si="14"/>
        <v>0</v>
      </c>
      <c r="W104" s="683"/>
      <c r="X104" s="474">
        <f t="shared" si="19"/>
        <v>0</v>
      </c>
      <c r="Y104" s="474">
        <f t="shared" si="20"/>
        <v>0</v>
      </c>
      <c r="Z104" s="475">
        <f t="shared" si="21"/>
        <v>0</v>
      </c>
      <c r="AA104" s="475">
        <v>0</v>
      </c>
      <c r="AB104" s="476">
        <v>0</v>
      </c>
      <c r="AC104" s="38">
        <f t="shared" si="22"/>
        <v>0</v>
      </c>
      <c r="AD104" s="692">
        <f t="shared" si="16"/>
        <v>0</v>
      </c>
      <c r="AE104" s="692">
        <f t="shared" si="17"/>
        <v>0</v>
      </c>
      <c r="AF104" s="692">
        <f t="shared" si="18"/>
        <v>0</v>
      </c>
      <c r="AG104" s="38"/>
      <c r="AH104" s="692">
        <f t="shared" si="23"/>
        <v>0</v>
      </c>
      <c r="AI104" s="692">
        <f t="shared" si="24"/>
        <v>0</v>
      </c>
      <c r="AJ104" s="692">
        <f t="shared" si="25"/>
        <v>0</v>
      </c>
      <c r="AL104" s="38">
        <f t="shared" si="26"/>
        <v>0</v>
      </c>
      <c r="AM104" s="68" t="s">
        <v>202</v>
      </c>
    </row>
    <row r="105" spans="1:39">
      <c r="A105" s="20" t="s">
        <v>211</v>
      </c>
      <c r="B105" s="20" t="s">
        <v>110</v>
      </c>
      <c r="C105" s="676" t="s">
        <v>1031</v>
      </c>
      <c r="D105" s="373" t="s">
        <v>466</v>
      </c>
      <c r="E105" s="679"/>
      <c r="F105" s="529">
        <f>VLOOKUP(D105,'Apr14 Revenue'!D:V,19,FALSE)</f>
        <v>0</v>
      </c>
      <c r="G105" s="680"/>
      <c r="H105" s="680"/>
      <c r="I105" s="770">
        <v>643.57000000000005</v>
      </c>
      <c r="J105" s="682">
        <f t="shared" si="15"/>
        <v>643.57000000000005</v>
      </c>
      <c r="K105" s="683"/>
      <c r="L105" s="684"/>
      <c r="M105" s="753"/>
      <c r="N105" s="683">
        <v>0</v>
      </c>
      <c r="O105" s="686"/>
      <c r="P105" s="683">
        <v>0</v>
      </c>
      <c r="Q105" s="687">
        <f t="shared" si="1"/>
        <v>0</v>
      </c>
      <c r="R105" s="687"/>
      <c r="S105" s="687"/>
      <c r="T105" s="688">
        <v>0</v>
      </c>
      <c r="U105" s="693"/>
      <c r="V105" s="690">
        <f t="shared" si="14"/>
        <v>0</v>
      </c>
      <c r="W105" s="683"/>
      <c r="X105" s="474">
        <f t="shared" si="19"/>
        <v>0</v>
      </c>
      <c r="Y105" s="474">
        <f t="shared" si="20"/>
        <v>0</v>
      </c>
      <c r="Z105" s="475">
        <f t="shared" si="21"/>
        <v>0</v>
      </c>
      <c r="AA105" s="475">
        <v>0</v>
      </c>
      <c r="AB105" s="476">
        <v>0</v>
      </c>
      <c r="AC105" s="38">
        <f t="shared" si="22"/>
        <v>0</v>
      </c>
      <c r="AD105" s="692">
        <f t="shared" si="16"/>
        <v>643.57000000000005</v>
      </c>
      <c r="AE105" s="692">
        <f t="shared" si="17"/>
        <v>0</v>
      </c>
      <c r="AF105" s="692">
        <f t="shared" si="18"/>
        <v>0</v>
      </c>
      <c r="AG105" s="38"/>
      <c r="AH105" s="692">
        <f t="shared" si="23"/>
        <v>0</v>
      </c>
      <c r="AI105" s="692">
        <f t="shared" si="24"/>
        <v>0</v>
      </c>
      <c r="AJ105" s="692">
        <f t="shared" si="25"/>
        <v>0</v>
      </c>
      <c r="AL105" s="38">
        <f t="shared" si="26"/>
        <v>643.57000000000005</v>
      </c>
      <c r="AM105" s="373" t="s">
        <v>466</v>
      </c>
    </row>
    <row r="106" spans="1:39">
      <c r="A106" s="20"/>
      <c r="B106" s="20" t="s">
        <v>110</v>
      </c>
      <c r="C106" s="667"/>
      <c r="D106" s="373" t="s">
        <v>627</v>
      </c>
      <c r="E106" s="679"/>
      <c r="F106" s="529">
        <f>VLOOKUP(D106,'Apr14 Revenue'!D:V,19,FALSE)</f>
        <v>0</v>
      </c>
      <c r="G106" s="680"/>
      <c r="H106" s="680"/>
      <c r="I106" s="755"/>
      <c r="J106" s="682">
        <f t="shared" si="15"/>
        <v>0</v>
      </c>
      <c r="K106" s="683"/>
      <c r="L106" s="684"/>
      <c r="M106" s="753"/>
      <c r="N106" s="683">
        <v>0</v>
      </c>
      <c r="O106" s="686"/>
      <c r="P106" s="683">
        <v>0</v>
      </c>
      <c r="Q106" s="687">
        <f t="shared" si="1"/>
        <v>0</v>
      </c>
      <c r="R106" s="687"/>
      <c r="S106" s="687"/>
      <c r="T106" s="688">
        <v>0</v>
      </c>
      <c r="U106" s="693"/>
      <c r="V106" s="690">
        <f t="shared" si="14"/>
        <v>0</v>
      </c>
      <c r="W106" s="683"/>
      <c r="X106" s="474">
        <f t="shared" si="19"/>
        <v>0</v>
      </c>
      <c r="Y106" s="474">
        <f t="shared" si="20"/>
        <v>0</v>
      </c>
      <c r="Z106" s="475">
        <f t="shared" si="21"/>
        <v>0</v>
      </c>
      <c r="AA106" s="475">
        <v>0</v>
      </c>
      <c r="AB106" s="476">
        <v>0</v>
      </c>
      <c r="AC106" s="38">
        <f t="shared" si="22"/>
        <v>0</v>
      </c>
      <c r="AD106" s="692">
        <f t="shared" si="16"/>
        <v>0</v>
      </c>
      <c r="AE106" s="692">
        <f t="shared" si="17"/>
        <v>0</v>
      </c>
      <c r="AF106" s="692">
        <f t="shared" si="18"/>
        <v>0</v>
      </c>
      <c r="AG106" s="38"/>
      <c r="AH106" s="692">
        <f t="shared" si="23"/>
        <v>0</v>
      </c>
      <c r="AI106" s="692">
        <f t="shared" si="24"/>
        <v>0</v>
      </c>
      <c r="AJ106" s="692">
        <f t="shared" si="25"/>
        <v>0</v>
      </c>
      <c r="AL106" s="38">
        <f t="shared" si="26"/>
        <v>0</v>
      </c>
      <c r="AM106" s="373" t="s">
        <v>627</v>
      </c>
    </row>
    <row r="107" spans="1:39" s="232" customFormat="1" ht="12.75" customHeight="1">
      <c r="A107" s="283"/>
      <c r="B107" s="283" t="s">
        <v>110</v>
      </c>
      <c r="C107" s="667"/>
      <c r="D107" s="123" t="s">
        <v>994</v>
      </c>
      <c r="E107" s="679"/>
      <c r="F107" s="529">
        <f>VLOOKUP(D107,'Apr14 Revenue'!D:V,19,FALSE)</f>
        <v>0</v>
      </c>
      <c r="G107" s="680"/>
      <c r="H107" s="680"/>
      <c r="I107" s="770">
        <v>5522120.8099999996</v>
      </c>
      <c r="J107" s="682">
        <f t="shared" si="15"/>
        <v>5522120.8099999996</v>
      </c>
      <c r="K107" s="683"/>
      <c r="L107" s="684"/>
      <c r="M107" s="753"/>
      <c r="N107" s="683">
        <v>0</v>
      </c>
      <c r="O107" s="686"/>
      <c r="P107" s="683">
        <v>0</v>
      </c>
      <c r="Q107" s="687">
        <f t="shared" si="1"/>
        <v>0</v>
      </c>
      <c r="R107" s="687"/>
      <c r="S107" s="687"/>
      <c r="T107" s="688">
        <v>0</v>
      </c>
      <c r="U107" s="693"/>
      <c r="V107" s="690">
        <f t="shared" si="14"/>
        <v>0</v>
      </c>
      <c r="W107" s="683"/>
      <c r="X107" s="474">
        <f t="shared" si="19"/>
        <v>0</v>
      </c>
      <c r="Y107" s="474">
        <f t="shared" si="20"/>
        <v>0</v>
      </c>
      <c r="Z107" s="475">
        <f t="shared" si="21"/>
        <v>0</v>
      </c>
      <c r="AA107" s="475">
        <v>0</v>
      </c>
      <c r="AB107" s="476">
        <v>0</v>
      </c>
      <c r="AC107" s="38">
        <f t="shared" si="22"/>
        <v>0</v>
      </c>
      <c r="AD107" s="692">
        <f t="shared" si="16"/>
        <v>5522120.8099999996</v>
      </c>
      <c r="AE107" s="692">
        <f t="shared" si="17"/>
        <v>0</v>
      </c>
      <c r="AF107" s="692">
        <f t="shared" si="18"/>
        <v>0</v>
      </c>
      <c r="AG107" s="38"/>
      <c r="AH107" s="692">
        <f t="shared" si="23"/>
        <v>0</v>
      </c>
      <c r="AI107" s="692">
        <f t="shared" si="24"/>
        <v>0</v>
      </c>
      <c r="AJ107" s="692">
        <f t="shared" si="25"/>
        <v>0</v>
      </c>
      <c r="AL107" s="38">
        <f t="shared" si="26"/>
        <v>5522120.8099999996</v>
      </c>
      <c r="AM107" s="123" t="s">
        <v>994</v>
      </c>
    </row>
    <row r="108" spans="1:39" s="232" customFormat="1" ht="12.75" customHeight="1">
      <c r="A108" s="283"/>
      <c r="B108" s="283" t="s">
        <v>110</v>
      </c>
      <c r="C108" s="667"/>
      <c r="D108" s="123" t="s">
        <v>993</v>
      </c>
      <c r="E108" s="679"/>
      <c r="F108" s="529">
        <f>VLOOKUP(D108,'Apr14 Revenue'!D:V,19,FALSE)</f>
        <v>0</v>
      </c>
      <c r="G108" s="680"/>
      <c r="H108" s="680"/>
      <c r="I108" s="770">
        <v>2611403.9</v>
      </c>
      <c r="J108" s="682">
        <f t="shared" si="15"/>
        <v>2611403.9</v>
      </c>
      <c r="K108" s="683"/>
      <c r="L108" s="684"/>
      <c r="M108" s="753"/>
      <c r="N108" s="683">
        <v>0</v>
      </c>
      <c r="O108" s="686"/>
      <c r="P108" s="683">
        <v>0</v>
      </c>
      <c r="Q108" s="687">
        <f t="shared" si="1"/>
        <v>0</v>
      </c>
      <c r="R108" s="687"/>
      <c r="S108" s="687"/>
      <c r="T108" s="688">
        <v>0</v>
      </c>
      <c r="U108" s="693"/>
      <c r="V108" s="690">
        <f t="shared" si="14"/>
        <v>0</v>
      </c>
      <c r="W108" s="683"/>
      <c r="X108" s="474">
        <f t="shared" si="19"/>
        <v>0</v>
      </c>
      <c r="Y108" s="474">
        <f t="shared" si="20"/>
        <v>0</v>
      </c>
      <c r="Z108" s="475">
        <f t="shared" si="21"/>
        <v>0</v>
      </c>
      <c r="AA108" s="475">
        <v>0</v>
      </c>
      <c r="AB108" s="476">
        <v>0</v>
      </c>
      <c r="AC108" s="38">
        <f t="shared" si="22"/>
        <v>0</v>
      </c>
      <c r="AD108" s="692">
        <f t="shared" si="16"/>
        <v>2611403.9</v>
      </c>
      <c r="AE108" s="692">
        <f t="shared" si="17"/>
        <v>0</v>
      </c>
      <c r="AF108" s="692">
        <f t="shared" si="18"/>
        <v>0</v>
      </c>
      <c r="AG108" s="38"/>
      <c r="AH108" s="692">
        <f t="shared" si="23"/>
        <v>0</v>
      </c>
      <c r="AI108" s="692">
        <f t="shared" si="24"/>
        <v>0</v>
      </c>
      <c r="AJ108" s="692">
        <f t="shared" si="25"/>
        <v>0</v>
      </c>
      <c r="AL108" s="38">
        <f t="shared" si="26"/>
        <v>2611403.9</v>
      </c>
      <c r="AM108" s="123" t="s">
        <v>993</v>
      </c>
    </row>
    <row r="109" spans="1:39" s="232" customFormat="1" ht="12.75" customHeight="1">
      <c r="A109" s="283"/>
      <c r="B109" s="283" t="s">
        <v>110</v>
      </c>
      <c r="C109" s="667"/>
      <c r="D109" s="123" t="s">
        <v>996</v>
      </c>
      <c r="E109" s="679"/>
      <c r="F109" s="529">
        <f>VLOOKUP(D109,'Apr14 Revenue'!D:V,19,FALSE)</f>
        <v>0</v>
      </c>
      <c r="G109" s="680"/>
      <c r="H109" s="680"/>
      <c r="I109" s="770">
        <v>139948.12</v>
      </c>
      <c r="J109" s="682">
        <f t="shared" si="15"/>
        <v>139948.12</v>
      </c>
      <c r="K109" s="683"/>
      <c r="L109" s="684"/>
      <c r="M109" s="753"/>
      <c r="N109" s="683">
        <v>0</v>
      </c>
      <c r="O109" s="686"/>
      <c r="P109" s="683">
        <v>0</v>
      </c>
      <c r="Q109" s="687">
        <f t="shared" si="1"/>
        <v>0</v>
      </c>
      <c r="R109" s="687"/>
      <c r="S109" s="687"/>
      <c r="T109" s="688">
        <v>0</v>
      </c>
      <c r="U109" s="693"/>
      <c r="V109" s="690">
        <f t="shared" si="14"/>
        <v>0</v>
      </c>
      <c r="W109" s="683"/>
      <c r="X109" s="474">
        <f t="shared" si="19"/>
        <v>0</v>
      </c>
      <c r="Y109" s="474">
        <f t="shared" si="20"/>
        <v>0</v>
      </c>
      <c r="Z109" s="475">
        <f t="shared" si="21"/>
        <v>0</v>
      </c>
      <c r="AA109" s="475">
        <v>0</v>
      </c>
      <c r="AB109" s="476">
        <v>0</v>
      </c>
      <c r="AC109" s="38">
        <f t="shared" si="22"/>
        <v>0</v>
      </c>
      <c r="AD109" s="692">
        <f t="shared" si="16"/>
        <v>139948.12</v>
      </c>
      <c r="AE109" s="692">
        <f t="shared" si="17"/>
        <v>0</v>
      </c>
      <c r="AF109" s="692">
        <f t="shared" si="18"/>
        <v>0</v>
      </c>
      <c r="AG109" s="38"/>
      <c r="AH109" s="692">
        <f t="shared" si="23"/>
        <v>0</v>
      </c>
      <c r="AI109" s="692">
        <f t="shared" si="24"/>
        <v>0</v>
      </c>
      <c r="AJ109" s="692">
        <f t="shared" si="25"/>
        <v>0</v>
      </c>
      <c r="AL109" s="38">
        <f t="shared" si="26"/>
        <v>139948.12</v>
      </c>
      <c r="AM109" s="123" t="s">
        <v>996</v>
      </c>
    </row>
    <row r="110" spans="1:39" s="232" customFormat="1" ht="12.75" customHeight="1">
      <c r="A110" s="283"/>
      <c r="B110" s="283" t="s">
        <v>110</v>
      </c>
      <c r="C110" s="667"/>
      <c r="D110" s="123" t="s">
        <v>995</v>
      </c>
      <c r="E110" s="679"/>
      <c r="F110" s="529">
        <f>VLOOKUP(D110,'Apr14 Revenue'!D:V,19,FALSE)</f>
        <v>0</v>
      </c>
      <c r="G110" s="680"/>
      <c r="H110" s="680"/>
      <c r="I110" s="770">
        <v>13320.11</v>
      </c>
      <c r="J110" s="682">
        <f>SUM(E110:I110)</f>
        <v>13320.11</v>
      </c>
      <c r="K110" s="683"/>
      <c r="L110" s="684"/>
      <c r="M110" s="753"/>
      <c r="N110" s="683">
        <v>0</v>
      </c>
      <c r="O110" s="686"/>
      <c r="P110" s="683">
        <v>0</v>
      </c>
      <c r="Q110" s="687">
        <f>L110+M110</f>
        <v>0</v>
      </c>
      <c r="R110" s="687"/>
      <c r="S110" s="687"/>
      <c r="T110" s="688">
        <v>0</v>
      </c>
      <c r="U110" s="693"/>
      <c r="V110" s="690">
        <f t="shared" si="14"/>
        <v>0</v>
      </c>
      <c r="W110" s="683"/>
      <c r="X110" s="474">
        <f>IF(B110="D",Q110,0)</f>
        <v>0</v>
      </c>
      <c r="Y110" s="474">
        <f>IF(B110="M",Q110,0)</f>
        <v>0</v>
      </c>
      <c r="Z110" s="475">
        <f>IF(B110="V",Q110,0)</f>
        <v>0</v>
      </c>
      <c r="AA110" s="475">
        <v>0</v>
      </c>
      <c r="AB110" s="476">
        <v>0</v>
      </c>
      <c r="AC110" s="38">
        <f>(L110+M110)-(X110+Y110+Z110+AA110+AB110)</f>
        <v>0</v>
      </c>
      <c r="AD110" s="692">
        <f>IF(B110="D",J110,0)</f>
        <v>13320.11</v>
      </c>
      <c r="AE110" s="692">
        <f>IF(B110="M",J110,0)</f>
        <v>0</v>
      </c>
      <c r="AF110" s="692">
        <f>IF(B110="V",J110,0)</f>
        <v>0</v>
      </c>
      <c r="AG110" s="38"/>
      <c r="AH110" s="692">
        <f>IF(B110="D",Q110,0)</f>
        <v>0</v>
      </c>
      <c r="AI110" s="692">
        <f>IF(B110="M",Q110,0)</f>
        <v>0</v>
      </c>
      <c r="AJ110" s="692">
        <f>IF(B110="V",Q110,0)</f>
        <v>0</v>
      </c>
      <c r="AL110" s="38">
        <f>SUM(AD110:AJ110)</f>
        <v>13320.11</v>
      </c>
      <c r="AM110" s="123" t="s">
        <v>995</v>
      </c>
    </row>
    <row r="111" spans="1:39" s="232" customFormat="1" ht="12.75" customHeight="1">
      <c r="A111" s="283"/>
      <c r="B111" s="283" t="s">
        <v>110</v>
      </c>
      <c r="C111" s="667"/>
      <c r="D111" s="123" t="s">
        <v>997</v>
      </c>
      <c r="E111" s="679"/>
      <c r="F111" s="529">
        <f>VLOOKUP(D111,'Apr14 Revenue'!D:V,19,FALSE)</f>
        <v>0</v>
      </c>
      <c r="G111" s="680"/>
      <c r="H111" s="680"/>
      <c r="I111" s="770">
        <v>17720.29</v>
      </c>
      <c r="J111" s="682">
        <f t="shared" si="15"/>
        <v>17720.29</v>
      </c>
      <c r="K111" s="683"/>
      <c r="L111" s="684"/>
      <c r="M111" s="753"/>
      <c r="N111" s="683">
        <v>0</v>
      </c>
      <c r="O111" s="686"/>
      <c r="P111" s="683">
        <v>0</v>
      </c>
      <c r="Q111" s="687">
        <f t="shared" si="1"/>
        <v>0</v>
      </c>
      <c r="R111" s="687"/>
      <c r="S111" s="687"/>
      <c r="T111" s="688">
        <v>0</v>
      </c>
      <c r="U111" s="693"/>
      <c r="V111" s="690">
        <f t="shared" si="14"/>
        <v>0</v>
      </c>
      <c r="W111" s="683"/>
      <c r="X111" s="474">
        <f t="shared" si="19"/>
        <v>0</v>
      </c>
      <c r="Y111" s="474">
        <f t="shared" si="20"/>
        <v>0</v>
      </c>
      <c r="Z111" s="475">
        <f t="shared" si="21"/>
        <v>0</v>
      </c>
      <c r="AA111" s="475">
        <v>0</v>
      </c>
      <c r="AB111" s="476">
        <v>0</v>
      </c>
      <c r="AC111" s="38">
        <f t="shared" si="22"/>
        <v>0</v>
      </c>
      <c r="AD111" s="692">
        <f t="shared" si="16"/>
        <v>17720.29</v>
      </c>
      <c r="AE111" s="692">
        <f t="shared" si="17"/>
        <v>0</v>
      </c>
      <c r="AF111" s="692">
        <f t="shared" si="18"/>
        <v>0</v>
      </c>
      <c r="AG111" s="38"/>
      <c r="AH111" s="692">
        <f t="shared" si="23"/>
        <v>0</v>
      </c>
      <c r="AI111" s="692">
        <f t="shared" si="24"/>
        <v>0</v>
      </c>
      <c r="AJ111" s="692">
        <f t="shared" si="25"/>
        <v>0</v>
      </c>
      <c r="AL111" s="38">
        <f t="shared" si="26"/>
        <v>17720.29</v>
      </c>
      <c r="AM111" s="123" t="s">
        <v>997</v>
      </c>
    </row>
    <row r="112" spans="1:39" s="232" customFormat="1" ht="12.75" customHeight="1">
      <c r="A112" s="283"/>
      <c r="B112" s="283" t="s">
        <v>110</v>
      </c>
      <c r="C112" s="667"/>
      <c r="D112" s="123" t="s">
        <v>998</v>
      </c>
      <c r="E112" s="679"/>
      <c r="F112" s="529">
        <f>VLOOKUP(D112,'Apr14 Revenue'!D:V,19,FALSE)</f>
        <v>0</v>
      </c>
      <c r="G112" s="680"/>
      <c r="H112" s="680"/>
      <c r="I112" s="770">
        <v>25584.11</v>
      </c>
      <c r="J112" s="682">
        <f t="shared" si="15"/>
        <v>25584.11</v>
      </c>
      <c r="K112" s="683"/>
      <c r="L112" s="684"/>
      <c r="M112" s="753"/>
      <c r="N112" s="683">
        <v>0</v>
      </c>
      <c r="O112" s="686"/>
      <c r="P112" s="683">
        <v>0</v>
      </c>
      <c r="Q112" s="687">
        <f t="shared" si="1"/>
        <v>0</v>
      </c>
      <c r="R112" s="687"/>
      <c r="S112" s="687"/>
      <c r="T112" s="688">
        <v>0</v>
      </c>
      <c r="U112" s="693"/>
      <c r="V112" s="690">
        <f t="shared" si="14"/>
        <v>0</v>
      </c>
      <c r="W112" s="683"/>
      <c r="X112" s="474">
        <f t="shared" si="19"/>
        <v>0</v>
      </c>
      <c r="Y112" s="474">
        <f t="shared" si="20"/>
        <v>0</v>
      </c>
      <c r="Z112" s="475">
        <f t="shared" si="21"/>
        <v>0</v>
      </c>
      <c r="AA112" s="475">
        <v>0</v>
      </c>
      <c r="AB112" s="476">
        <v>0</v>
      </c>
      <c r="AC112" s="38">
        <f t="shared" si="22"/>
        <v>0</v>
      </c>
      <c r="AD112" s="692">
        <f t="shared" si="16"/>
        <v>25584.11</v>
      </c>
      <c r="AE112" s="692">
        <f t="shared" si="17"/>
        <v>0</v>
      </c>
      <c r="AF112" s="692">
        <f t="shared" si="18"/>
        <v>0</v>
      </c>
      <c r="AG112" s="38"/>
      <c r="AH112" s="692">
        <f t="shared" si="23"/>
        <v>0</v>
      </c>
      <c r="AI112" s="692">
        <f t="shared" si="24"/>
        <v>0</v>
      </c>
      <c r="AJ112" s="692">
        <f t="shared" si="25"/>
        <v>0</v>
      </c>
      <c r="AL112" s="38">
        <f t="shared" si="26"/>
        <v>25584.11</v>
      </c>
      <c r="AM112" s="123" t="s">
        <v>998</v>
      </c>
    </row>
    <row r="113" spans="1:39" s="232" customFormat="1" ht="12" customHeight="1">
      <c r="A113" s="283"/>
      <c r="B113" s="283" t="s">
        <v>110</v>
      </c>
      <c r="C113" s="667"/>
      <c r="D113" s="123" t="s">
        <v>999</v>
      </c>
      <c r="E113" s="679"/>
      <c r="F113" s="529">
        <f>VLOOKUP(D113,'Apr14 Revenue'!D:V,19,FALSE)</f>
        <v>0</v>
      </c>
      <c r="G113" s="680"/>
      <c r="H113" s="680"/>
      <c r="I113" s="770">
        <v>6811.26</v>
      </c>
      <c r="J113" s="682">
        <f t="shared" si="15"/>
        <v>6811.26</v>
      </c>
      <c r="K113" s="683"/>
      <c r="L113" s="684"/>
      <c r="M113" s="753"/>
      <c r="N113" s="683">
        <v>0</v>
      </c>
      <c r="O113" s="686"/>
      <c r="P113" s="683">
        <v>0</v>
      </c>
      <c r="Q113" s="687">
        <f t="shared" si="1"/>
        <v>0</v>
      </c>
      <c r="R113" s="687"/>
      <c r="S113" s="687"/>
      <c r="T113" s="688">
        <v>0</v>
      </c>
      <c r="U113" s="693"/>
      <c r="V113" s="690">
        <f t="shared" si="14"/>
        <v>0</v>
      </c>
      <c r="W113" s="683"/>
      <c r="X113" s="474">
        <f t="shared" si="19"/>
        <v>0</v>
      </c>
      <c r="Y113" s="474">
        <f t="shared" si="20"/>
        <v>0</v>
      </c>
      <c r="Z113" s="475">
        <f t="shared" si="21"/>
        <v>0</v>
      </c>
      <c r="AA113" s="475">
        <v>0</v>
      </c>
      <c r="AB113" s="476">
        <v>0</v>
      </c>
      <c r="AC113" s="38">
        <f t="shared" si="22"/>
        <v>0</v>
      </c>
      <c r="AD113" s="692">
        <f t="shared" si="16"/>
        <v>6811.26</v>
      </c>
      <c r="AE113" s="692">
        <f t="shared" si="17"/>
        <v>0</v>
      </c>
      <c r="AF113" s="692">
        <f t="shared" si="18"/>
        <v>0</v>
      </c>
      <c r="AG113" s="38"/>
      <c r="AH113" s="692">
        <f t="shared" si="23"/>
        <v>0</v>
      </c>
      <c r="AI113" s="692">
        <f t="shared" si="24"/>
        <v>0</v>
      </c>
      <c r="AJ113" s="692">
        <f t="shared" si="25"/>
        <v>0</v>
      </c>
      <c r="AL113" s="38">
        <f t="shared" si="26"/>
        <v>6811.26</v>
      </c>
      <c r="AM113" s="123" t="s">
        <v>999</v>
      </c>
    </row>
    <row r="114" spans="1:39" s="232" customFormat="1" ht="12" customHeight="1">
      <c r="A114" s="283"/>
      <c r="B114" s="283" t="s">
        <v>110</v>
      </c>
      <c r="C114" s="667"/>
      <c r="D114" s="123" t="s">
        <v>1000</v>
      </c>
      <c r="E114" s="679"/>
      <c r="F114" s="529">
        <f>VLOOKUP(D114,'Apr14 Revenue'!D:V,19,FALSE)</f>
        <v>0</v>
      </c>
      <c r="G114" s="680"/>
      <c r="H114" s="680"/>
      <c r="I114" s="770">
        <v>11058.46</v>
      </c>
      <c r="J114" s="682">
        <f t="shared" si="15"/>
        <v>11058.46</v>
      </c>
      <c r="K114" s="683"/>
      <c r="L114" s="684"/>
      <c r="M114" s="753"/>
      <c r="N114" s="683">
        <v>0</v>
      </c>
      <c r="O114" s="686"/>
      <c r="P114" s="683">
        <v>0</v>
      </c>
      <c r="Q114" s="687">
        <f t="shared" si="1"/>
        <v>0</v>
      </c>
      <c r="R114" s="687"/>
      <c r="S114" s="687"/>
      <c r="T114" s="688">
        <v>0</v>
      </c>
      <c r="U114" s="693"/>
      <c r="V114" s="690">
        <f t="shared" si="14"/>
        <v>0</v>
      </c>
      <c r="W114" s="683"/>
      <c r="X114" s="474">
        <f t="shared" si="19"/>
        <v>0</v>
      </c>
      <c r="Y114" s="474">
        <f t="shared" si="20"/>
        <v>0</v>
      </c>
      <c r="Z114" s="475">
        <f t="shared" si="21"/>
        <v>0</v>
      </c>
      <c r="AA114" s="475">
        <v>0</v>
      </c>
      <c r="AB114" s="476">
        <v>0</v>
      </c>
      <c r="AC114" s="38">
        <f t="shared" si="22"/>
        <v>0</v>
      </c>
      <c r="AD114" s="692">
        <f t="shared" si="16"/>
        <v>11058.46</v>
      </c>
      <c r="AE114" s="692">
        <f t="shared" si="17"/>
        <v>0</v>
      </c>
      <c r="AF114" s="692">
        <f t="shared" si="18"/>
        <v>0</v>
      </c>
      <c r="AG114" s="38"/>
      <c r="AH114" s="692">
        <f t="shared" si="23"/>
        <v>0</v>
      </c>
      <c r="AI114" s="692">
        <f t="shared" si="24"/>
        <v>0</v>
      </c>
      <c r="AJ114" s="692">
        <f t="shared" si="25"/>
        <v>0</v>
      </c>
      <c r="AL114" s="38">
        <f t="shared" si="26"/>
        <v>11058.46</v>
      </c>
      <c r="AM114" s="123" t="s">
        <v>1000</v>
      </c>
    </row>
    <row r="115" spans="1:39" s="232" customFormat="1" ht="12" customHeight="1">
      <c r="A115" s="283"/>
      <c r="B115" s="283" t="s">
        <v>110</v>
      </c>
      <c r="C115" s="667"/>
      <c r="D115" s="123" t="s">
        <v>1001</v>
      </c>
      <c r="E115" s="679"/>
      <c r="F115" s="529">
        <f>VLOOKUP(D115,'Apr14 Revenue'!D:V,19,FALSE)</f>
        <v>0</v>
      </c>
      <c r="G115" s="680"/>
      <c r="H115" s="680"/>
      <c r="I115" s="755"/>
      <c r="J115" s="682">
        <f t="shared" si="15"/>
        <v>0</v>
      </c>
      <c r="K115" s="683"/>
      <c r="L115" s="684"/>
      <c r="M115" s="753"/>
      <c r="N115" s="683">
        <v>0</v>
      </c>
      <c r="O115" s="686"/>
      <c r="P115" s="683">
        <v>0</v>
      </c>
      <c r="Q115" s="687">
        <f t="shared" si="1"/>
        <v>0</v>
      </c>
      <c r="R115" s="687"/>
      <c r="S115" s="687"/>
      <c r="T115" s="688">
        <v>0</v>
      </c>
      <c r="U115" s="693"/>
      <c r="V115" s="690">
        <f t="shared" si="14"/>
        <v>0</v>
      </c>
      <c r="W115" s="683"/>
      <c r="X115" s="474">
        <f t="shared" si="19"/>
        <v>0</v>
      </c>
      <c r="Y115" s="474">
        <f t="shared" si="20"/>
        <v>0</v>
      </c>
      <c r="Z115" s="475">
        <f t="shared" si="21"/>
        <v>0</v>
      </c>
      <c r="AA115" s="475">
        <v>0</v>
      </c>
      <c r="AB115" s="476">
        <v>0</v>
      </c>
      <c r="AC115" s="38">
        <f t="shared" si="22"/>
        <v>0</v>
      </c>
      <c r="AD115" s="692">
        <f t="shared" si="16"/>
        <v>0</v>
      </c>
      <c r="AE115" s="692">
        <f t="shared" si="17"/>
        <v>0</v>
      </c>
      <c r="AF115" s="692">
        <f t="shared" si="18"/>
        <v>0</v>
      </c>
      <c r="AG115" s="38"/>
      <c r="AH115" s="692">
        <f t="shared" si="23"/>
        <v>0</v>
      </c>
      <c r="AI115" s="692">
        <f t="shared" si="24"/>
        <v>0</v>
      </c>
      <c r="AJ115" s="692">
        <f t="shared" si="25"/>
        <v>0</v>
      </c>
      <c r="AL115" s="38">
        <f t="shared" si="26"/>
        <v>0</v>
      </c>
      <c r="AM115" s="123" t="s">
        <v>1001</v>
      </c>
    </row>
    <row r="116" spans="1:39" s="24" customFormat="1" ht="12" customHeight="1">
      <c r="A116" s="32"/>
      <c r="B116" s="32" t="s">
        <v>110</v>
      </c>
      <c r="C116" s="667"/>
      <c r="D116" s="68" t="s">
        <v>588</v>
      </c>
      <c r="E116" s="679"/>
      <c r="F116" s="529">
        <f>VLOOKUP(D116,'Apr14 Revenue'!D:V,19,FALSE)</f>
        <v>0</v>
      </c>
      <c r="G116" s="680"/>
      <c r="H116" s="680"/>
      <c r="I116" s="755"/>
      <c r="J116" s="682">
        <f t="shared" si="15"/>
        <v>0</v>
      </c>
      <c r="K116" s="683"/>
      <c r="L116" s="684"/>
      <c r="M116" s="753"/>
      <c r="N116" s="698"/>
      <c r="O116" s="699"/>
      <c r="P116" s="698"/>
      <c r="Q116" s="687">
        <f t="shared" si="1"/>
        <v>0</v>
      </c>
      <c r="R116" s="687"/>
      <c r="S116" s="687"/>
      <c r="T116" s="688">
        <v>0</v>
      </c>
      <c r="U116" s="693"/>
      <c r="V116" s="690">
        <f t="shared" si="14"/>
        <v>0</v>
      </c>
      <c r="W116" s="683"/>
      <c r="X116" s="474">
        <f t="shared" si="19"/>
        <v>0</v>
      </c>
      <c r="Y116" s="474">
        <f t="shared" si="20"/>
        <v>0</v>
      </c>
      <c r="Z116" s="475">
        <f t="shared" si="21"/>
        <v>0</v>
      </c>
      <c r="AA116" s="475">
        <v>0</v>
      </c>
      <c r="AB116" s="476">
        <v>0</v>
      </c>
      <c r="AC116" s="38">
        <f t="shared" si="22"/>
        <v>0</v>
      </c>
      <c r="AD116" s="692">
        <f t="shared" si="16"/>
        <v>0</v>
      </c>
      <c r="AE116" s="692">
        <f t="shared" si="17"/>
        <v>0</v>
      </c>
      <c r="AF116" s="692">
        <f t="shared" si="18"/>
        <v>0</v>
      </c>
      <c r="AG116" s="38"/>
      <c r="AH116" s="692">
        <f t="shared" si="23"/>
        <v>0</v>
      </c>
      <c r="AI116" s="692">
        <f t="shared" si="24"/>
        <v>0</v>
      </c>
      <c r="AJ116" s="692">
        <f t="shared" si="25"/>
        <v>0</v>
      </c>
      <c r="AL116" s="38">
        <f t="shared" si="26"/>
        <v>0</v>
      </c>
      <c r="AM116" s="68" t="s">
        <v>588</v>
      </c>
    </row>
    <row r="117" spans="1:39" s="24" customFormat="1" ht="12" customHeight="1">
      <c r="A117" s="32"/>
      <c r="B117" s="32" t="s">
        <v>110</v>
      </c>
      <c r="C117" s="667"/>
      <c r="D117" s="68" t="s">
        <v>935</v>
      </c>
      <c r="E117" s="679"/>
      <c r="F117" s="529">
        <f>VLOOKUP(D117,'Apr14 Revenue'!D:V,19,FALSE)</f>
        <v>-8000</v>
      </c>
      <c r="G117" s="680"/>
      <c r="H117" s="680"/>
      <c r="I117" s="755"/>
      <c r="J117" s="682">
        <f t="shared" si="15"/>
        <v>-8000</v>
      </c>
      <c r="K117" s="683"/>
      <c r="L117" s="684"/>
      <c r="M117" s="753">
        <v>12000</v>
      </c>
      <c r="N117" s="698"/>
      <c r="O117" s="699"/>
      <c r="P117" s="698"/>
      <c r="Q117" s="687">
        <f t="shared" si="1"/>
        <v>12000</v>
      </c>
      <c r="R117" s="687"/>
      <c r="S117" s="687"/>
      <c r="T117" s="688">
        <v>0</v>
      </c>
      <c r="U117" s="693"/>
      <c r="V117" s="690">
        <f t="shared" si="14"/>
        <v>-12000</v>
      </c>
      <c r="W117" s="683"/>
      <c r="X117" s="474">
        <f t="shared" si="19"/>
        <v>12000</v>
      </c>
      <c r="Y117" s="474">
        <f t="shared" si="20"/>
        <v>0</v>
      </c>
      <c r="Z117" s="475">
        <f t="shared" si="21"/>
        <v>0</v>
      </c>
      <c r="AA117" s="475">
        <v>0</v>
      </c>
      <c r="AB117" s="476">
        <v>0</v>
      </c>
      <c r="AC117" s="38">
        <f t="shared" si="22"/>
        <v>0</v>
      </c>
      <c r="AD117" s="692">
        <f t="shared" si="16"/>
        <v>-8000</v>
      </c>
      <c r="AE117" s="692">
        <f t="shared" si="17"/>
        <v>0</v>
      </c>
      <c r="AF117" s="692">
        <f t="shared" si="18"/>
        <v>0</v>
      </c>
      <c r="AG117" s="38"/>
      <c r="AH117" s="692">
        <f t="shared" si="23"/>
        <v>12000</v>
      </c>
      <c r="AI117" s="692">
        <f t="shared" si="24"/>
        <v>0</v>
      </c>
      <c r="AJ117" s="692">
        <f t="shared" si="25"/>
        <v>0</v>
      </c>
      <c r="AL117" s="38">
        <f t="shared" si="26"/>
        <v>4000</v>
      </c>
      <c r="AM117" s="68" t="s">
        <v>935</v>
      </c>
    </row>
    <row r="118" spans="1:39" ht="12" customHeight="1">
      <c r="A118" s="21"/>
      <c r="B118" s="21" t="s">
        <v>109</v>
      </c>
      <c r="C118" s="666" t="s">
        <v>548</v>
      </c>
      <c r="D118" s="68" t="s">
        <v>461</v>
      </c>
      <c r="E118" s="679"/>
      <c r="F118" s="529">
        <f>VLOOKUP(D118,'Apr14 Revenue'!D:V,19,FALSE)</f>
        <v>312.77999999999997</v>
      </c>
      <c r="G118" s="680"/>
      <c r="H118" s="680"/>
      <c r="I118" s="755"/>
      <c r="J118" s="682">
        <f t="shared" si="15"/>
        <v>312.77999999999997</v>
      </c>
      <c r="K118" s="683"/>
      <c r="L118" s="684"/>
      <c r="M118" s="753"/>
      <c r="N118" s="683">
        <v>0</v>
      </c>
      <c r="O118" s="686"/>
      <c r="P118" s="683">
        <v>0</v>
      </c>
      <c r="Q118" s="687">
        <f t="shared" si="1"/>
        <v>0</v>
      </c>
      <c r="R118" s="687"/>
      <c r="S118" s="687"/>
      <c r="T118" s="688">
        <v>277.97000000000003</v>
      </c>
      <c r="U118" s="693"/>
      <c r="V118" s="690">
        <f t="shared" si="14"/>
        <v>277.97000000000003</v>
      </c>
      <c r="W118" s="683"/>
      <c r="X118" s="474">
        <f t="shared" si="19"/>
        <v>0</v>
      </c>
      <c r="Y118" s="474">
        <f t="shared" si="20"/>
        <v>0</v>
      </c>
      <c r="Z118" s="475">
        <f t="shared" si="21"/>
        <v>0</v>
      </c>
      <c r="AA118" s="475">
        <v>0</v>
      </c>
      <c r="AB118" s="476">
        <v>0</v>
      </c>
      <c r="AC118" s="38">
        <f t="shared" si="22"/>
        <v>0</v>
      </c>
      <c r="AD118" s="692">
        <f t="shared" si="16"/>
        <v>0</v>
      </c>
      <c r="AE118" s="692">
        <f t="shared" si="17"/>
        <v>312.77999999999997</v>
      </c>
      <c r="AF118" s="692">
        <f t="shared" si="18"/>
        <v>0</v>
      </c>
      <c r="AG118" s="38"/>
      <c r="AH118" s="692">
        <f t="shared" si="23"/>
        <v>0</v>
      </c>
      <c r="AI118" s="692">
        <f t="shared" si="24"/>
        <v>0</v>
      </c>
      <c r="AJ118" s="692">
        <f t="shared" si="25"/>
        <v>0</v>
      </c>
      <c r="AL118" s="38">
        <f t="shared" si="26"/>
        <v>312.77999999999997</v>
      </c>
      <c r="AM118" s="68" t="s">
        <v>461</v>
      </c>
    </row>
    <row r="119" spans="1:39">
      <c r="A119" s="20"/>
      <c r="B119" s="20" t="s">
        <v>109</v>
      </c>
      <c r="C119" s="667" t="s">
        <v>549</v>
      </c>
      <c r="D119" s="68" t="s">
        <v>22</v>
      </c>
      <c r="E119" s="679"/>
      <c r="F119" s="529">
        <f>VLOOKUP(D119,'Apr14 Revenue'!D:V,19,FALSE)</f>
        <v>0</v>
      </c>
      <c r="G119" s="680"/>
      <c r="H119" s="680"/>
      <c r="I119" s="755"/>
      <c r="J119" s="682">
        <f t="shared" si="15"/>
        <v>0</v>
      </c>
      <c r="K119" s="683"/>
      <c r="L119" s="684"/>
      <c r="M119" s="753"/>
      <c r="N119" s="683">
        <v>0</v>
      </c>
      <c r="O119" s="686"/>
      <c r="P119" s="683">
        <v>0</v>
      </c>
      <c r="Q119" s="687">
        <f t="shared" si="1"/>
        <v>0</v>
      </c>
      <c r="R119" s="687"/>
      <c r="S119" s="687"/>
      <c r="T119" s="688">
        <v>0</v>
      </c>
      <c r="U119" s="693"/>
      <c r="V119" s="690">
        <f t="shared" si="14"/>
        <v>0</v>
      </c>
      <c r="W119" s="683"/>
      <c r="X119" s="474">
        <f t="shared" si="19"/>
        <v>0</v>
      </c>
      <c r="Y119" s="474">
        <f t="shared" si="20"/>
        <v>0</v>
      </c>
      <c r="Z119" s="475">
        <f t="shared" si="21"/>
        <v>0</v>
      </c>
      <c r="AA119" s="475">
        <v>0</v>
      </c>
      <c r="AB119" s="476">
        <v>0</v>
      </c>
      <c r="AC119" s="38">
        <f t="shared" si="22"/>
        <v>0</v>
      </c>
      <c r="AD119" s="692">
        <f t="shared" si="16"/>
        <v>0</v>
      </c>
      <c r="AE119" s="692">
        <f t="shared" si="17"/>
        <v>0</v>
      </c>
      <c r="AF119" s="692">
        <f t="shared" si="18"/>
        <v>0</v>
      </c>
      <c r="AG119" s="38"/>
      <c r="AH119" s="692">
        <f t="shared" si="23"/>
        <v>0</v>
      </c>
      <c r="AI119" s="692">
        <f t="shared" si="24"/>
        <v>0</v>
      </c>
      <c r="AJ119" s="692">
        <f t="shared" si="25"/>
        <v>0</v>
      </c>
      <c r="AL119" s="38">
        <f t="shared" si="26"/>
        <v>0</v>
      </c>
      <c r="AM119" s="68" t="s">
        <v>22</v>
      </c>
    </row>
    <row r="120" spans="1:39">
      <c r="A120" s="20"/>
      <c r="B120" s="20" t="s">
        <v>110</v>
      </c>
      <c r="C120" s="667"/>
      <c r="D120" s="68" t="s">
        <v>24</v>
      </c>
      <c r="E120" s="679"/>
      <c r="F120" s="529">
        <f>VLOOKUP(D120,'Apr14 Revenue'!D:V,19,FALSE)</f>
        <v>0</v>
      </c>
      <c r="G120" s="680"/>
      <c r="H120" s="680"/>
      <c r="I120" s="755"/>
      <c r="J120" s="682">
        <f t="shared" si="15"/>
        <v>0</v>
      </c>
      <c r="K120" s="683"/>
      <c r="L120" s="684"/>
      <c r="M120" s="753">
        <v>10000</v>
      </c>
      <c r="N120" s="683">
        <v>0</v>
      </c>
      <c r="O120" s="686"/>
      <c r="P120" s="683">
        <v>0</v>
      </c>
      <c r="Q120" s="687">
        <f t="shared" si="1"/>
        <v>10000</v>
      </c>
      <c r="R120" s="687"/>
      <c r="S120" s="687"/>
      <c r="T120" s="688">
        <v>10633.35</v>
      </c>
      <c r="U120" s="693"/>
      <c r="V120" s="690">
        <f t="shared" si="14"/>
        <v>633.35000000000036</v>
      </c>
      <c r="W120" s="683"/>
      <c r="X120" s="474">
        <f t="shared" si="19"/>
        <v>10000</v>
      </c>
      <c r="Y120" s="474">
        <f t="shared" si="20"/>
        <v>0</v>
      </c>
      <c r="Z120" s="475">
        <f t="shared" si="21"/>
        <v>0</v>
      </c>
      <c r="AA120" s="475">
        <v>0</v>
      </c>
      <c r="AB120" s="476">
        <v>0</v>
      </c>
      <c r="AC120" s="38">
        <f t="shared" si="22"/>
        <v>0</v>
      </c>
      <c r="AD120" s="692">
        <f t="shared" si="16"/>
        <v>0</v>
      </c>
      <c r="AE120" s="692">
        <f t="shared" si="17"/>
        <v>0</v>
      </c>
      <c r="AF120" s="692">
        <f t="shared" si="18"/>
        <v>0</v>
      </c>
      <c r="AG120" s="38"/>
      <c r="AH120" s="692">
        <f t="shared" si="23"/>
        <v>10000</v>
      </c>
      <c r="AI120" s="692">
        <f t="shared" si="24"/>
        <v>0</v>
      </c>
      <c r="AJ120" s="692">
        <f t="shared" si="25"/>
        <v>0</v>
      </c>
      <c r="AL120" s="38">
        <f t="shared" si="26"/>
        <v>10000</v>
      </c>
      <c r="AM120" s="68" t="s">
        <v>24</v>
      </c>
    </row>
    <row r="121" spans="1:39">
      <c r="A121" s="21"/>
      <c r="B121" s="21" t="s">
        <v>110</v>
      </c>
      <c r="C121" s="666"/>
      <c r="D121" s="68" t="s">
        <v>1019</v>
      </c>
      <c r="E121" s="679"/>
      <c r="F121" s="529">
        <f>VLOOKUP(D121,'Apr14 Revenue'!D:V,19,FALSE)</f>
        <v>0</v>
      </c>
      <c r="G121" s="680"/>
      <c r="H121" s="680"/>
      <c r="I121" s="755"/>
      <c r="J121" s="682">
        <f t="shared" si="15"/>
        <v>0</v>
      </c>
      <c r="K121" s="683"/>
      <c r="L121" s="684"/>
      <c r="M121" s="753"/>
      <c r="N121" s="683">
        <v>0</v>
      </c>
      <c r="O121" s="686"/>
      <c r="P121" s="683">
        <v>0</v>
      </c>
      <c r="Q121" s="687">
        <f t="shared" si="1"/>
        <v>0</v>
      </c>
      <c r="R121" s="687"/>
      <c r="S121" s="687"/>
      <c r="T121" s="688">
        <v>0</v>
      </c>
      <c r="U121" s="693"/>
      <c r="V121" s="690">
        <f t="shared" si="14"/>
        <v>0</v>
      </c>
      <c r="W121" s="683"/>
      <c r="X121" s="474">
        <f t="shared" si="19"/>
        <v>0</v>
      </c>
      <c r="Y121" s="474">
        <f t="shared" si="20"/>
        <v>0</v>
      </c>
      <c r="Z121" s="475">
        <f t="shared" si="21"/>
        <v>0</v>
      </c>
      <c r="AA121" s="475">
        <v>0</v>
      </c>
      <c r="AB121" s="476">
        <v>0</v>
      </c>
      <c r="AC121" s="38">
        <f t="shared" si="22"/>
        <v>0</v>
      </c>
      <c r="AD121" s="692">
        <f t="shared" si="16"/>
        <v>0</v>
      </c>
      <c r="AE121" s="692">
        <f t="shared" si="17"/>
        <v>0</v>
      </c>
      <c r="AF121" s="692">
        <f t="shared" si="18"/>
        <v>0</v>
      </c>
      <c r="AG121" s="38"/>
      <c r="AH121" s="692">
        <f t="shared" si="23"/>
        <v>0</v>
      </c>
      <c r="AI121" s="692">
        <f t="shared" si="24"/>
        <v>0</v>
      </c>
      <c r="AJ121" s="692">
        <f t="shared" si="25"/>
        <v>0</v>
      </c>
      <c r="AL121" s="38">
        <f t="shared" si="26"/>
        <v>0</v>
      </c>
      <c r="AM121" s="68" t="s">
        <v>1019</v>
      </c>
    </row>
    <row r="122" spans="1:39">
      <c r="A122" s="21"/>
      <c r="B122" s="21" t="s">
        <v>110</v>
      </c>
      <c r="C122" s="666"/>
      <c r="D122" s="68" t="s">
        <v>937</v>
      </c>
      <c r="E122" s="679"/>
      <c r="F122" s="529">
        <f>VLOOKUP(D122,'Apr14 Revenue'!D:V,19,FALSE)</f>
        <v>-5000</v>
      </c>
      <c r="G122" s="680"/>
      <c r="H122" s="680"/>
      <c r="I122" s="755"/>
      <c r="J122" s="682">
        <f t="shared" si="15"/>
        <v>-5000</v>
      </c>
      <c r="K122" s="683"/>
      <c r="L122" s="684"/>
      <c r="M122" s="753">
        <v>10000</v>
      </c>
      <c r="N122" s="683">
        <v>0</v>
      </c>
      <c r="O122" s="686"/>
      <c r="P122" s="683">
        <v>0</v>
      </c>
      <c r="Q122" s="687">
        <f t="shared" si="1"/>
        <v>10000</v>
      </c>
      <c r="R122" s="687"/>
      <c r="S122" s="687"/>
      <c r="T122" s="688">
        <v>3976.2</v>
      </c>
      <c r="U122" s="693"/>
      <c r="V122" s="690">
        <f t="shared" si="14"/>
        <v>-6023.8</v>
      </c>
      <c r="W122" s="683"/>
      <c r="X122" s="474">
        <f t="shared" si="19"/>
        <v>10000</v>
      </c>
      <c r="Y122" s="474">
        <f t="shared" si="20"/>
        <v>0</v>
      </c>
      <c r="Z122" s="475">
        <f t="shared" si="21"/>
        <v>0</v>
      </c>
      <c r="AA122" s="475">
        <v>0</v>
      </c>
      <c r="AB122" s="476">
        <v>0</v>
      </c>
      <c r="AC122" s="38">
        <f t="shared" si="22"/>
        <v>0</v>
      </c>
      <c r="AD122" s="692">
        <f t="shared" si="16"/>
        <v>-5000</v>
      </c>
      <c r="AE122" s="692">
        <f t="shared" si="17"/>
        <v>0</v>
      </c>
      <c r="AF122" s="692">
        <f t="shared" si="18"/>
        <v>0</v>
      </c>
      <c r="AG122" s="38"/>
      <c r="AH122" s="692">
        <f t="shared" si="23"/>
        <v>10000</v>
      </c>
      <c r="AI122" s="692">
        <f t="shared" si="24"/>
        <v>0</v>
      </c>
      <c r="AJ122" s="692">
        <f t="shared" si="25"/>
        <v>0</v>
      </c>
      <c r="AL122" s="38">
        <f t="shared" si="26"/>
        <v>5000</v>
      </c>
      <c r="AM122" s="68" t="s">
        <v>937</v>
      </c>
    </row>
    <row r="123" spans="1:39">
      <c r="A123" s="21"/>
      <c r="B123" s="21" t="s">
        <v>110</v>
      </c>
      <c r="C123" s="666"/>
      <c r="D123" s="68" t="s">
        <v>967</v>
      </c>
      <c r="E123" s="679"/>
      <c r="F123" s="529">
        <f>VLOOKUP(D123,'Apr14 Revenue'!D:V,19,FALSE)</f>
        <v>-90000</v>
      </c>
      <c r="G123" s="680"/>
      <c r="H123" s="680"/>
      <c r="I123" s="755"/>
      <c r="J123" s="682">
        <f t="shared" si="15"/>
        <v>-90000</v>
      </c>
      <c r="K123" s="683"/>
      <c r="L123" s="684"/>
      <c r="M123" s="753">
        <v>180000</v>
      </c>
      <c r="N123" s="683">
        <v>0</v>
      </c>
      <c r="O123" s="686"/>
      <c r="P123" s="683">
        <v>0</v>
      </c>
      <c r="Q123" s="687">
        <f t="shared" si="1"/>
        <v>180000</v>
      </c>
      <c r="R123" s="687"/>
      <c r="S123" s="687"/>
      <c r="T123" s="688">
        <v>0</v>
      </c>
      <c r="U123" s="693"/>
      <c r="V123" s="690">
        <f t="shared" si="14"/>
        <v>-180000</v>
      </c>
      <c r="W123" s="683"/>
      <c r="X123" s="474">
        <f t="shared" si="19"/>
        <v>180000</v>
      </c>
      <c r="Y123" s="474">
        <f t="shared" si="20"/>
        <v>0</v>
      </c>
      <c r="Z123" s="475">
        <f t="shared" si="21"/>
        <v>0</v>
      </c>
      <c r="AA123" s="475">
        <v>0</v>
      </c>
      <c r="AB123" s="476">
        <v>0</v>
      </c>
      <c r="AC123" s="38">
        <f t="shared" si="22"/>
        <v>0</v>
      </c>
      <c r="AD123" s="692">
        <f t="shared" si="16"/>
        <v>-90000</v>
      </c>
      <c r="AE123" s="692">
        <f t="shared" si="17"/>
        <v>0</v>
      </c>
      <c r="AF123" s="692">
        <f t="shared" si="18"/>
        <v>0</v>
      </c>
      <c r="AG123" s="38"/>
      <c r="AH123" s="692">
        <f t="shared" si="23"/>
        <v>180000</v>
      </c>
      <c r="AI123" s="692">
        <f t="shared" si="24"/>
        <v>0</v>
      </c>
      <c r="AJ123" s="692">
        <f t="shared" si="25"/>
        <v>0</v>
      </c>
      <c r="AL123" s="38">
        <f t="shared" si="26"/>
        <v>90000</v>
      </c>
      <c r="AM123" s="68" t="s">
        <v>967</v>
      </c>
    </row>
    <row r="124" spans="1:39">
      <c r="A124" s="21"/>
      <c r="B124" s="21" t="s">
        <v>110</v>
      </c>
      <c r="C124" s="666"/>
      <c r="D124" s="68" t="s">
        <v>1002</v>
      </c>
      <c r="E124" s="679"/>
      <c r="F124" s="529">
        <f>VLOOKUP(D124,'Apr14 Revenue'!D:V,19,FALSE)</f>
        <v>0</v>
      </c>
      <c r="G124" s="680"/>
      <c r="H124" s="680"/>
      <c r="I124" s="755"/>
      <c r="J124" s="682">
        <f t="shared" si="15"/>
        <v>0</v>
      </c>
      <c r="K124" s="683"/>
      <c r="L124" s="684"/>
      <c r="M124" s="753"/>
      <c r="N124" s="683">
        <v>0</v>
      </c>
      <c r="O124" s="686"/>
      <c r="P124" s="683">
        <v>0</v>
      </c>
      <c r="Q124" s="687">
        <f t="shared" si="1"/>
        <v>0</v>
      </c>
      <c r="R124" s="687"/>
      <c r="S124" s="687"/>
      <c r="T124" s="688">
        <v>0</v>
      </c>
      <c r="U124" s="693"/>
      <c r="V124" s="690">
        <f t="shared" si="14"/>
        <v>0</v>
      </c>
      <c r="W124" s="683"/>
      <c r="X124" s="474">
        <f t="shared" si="19"/>
        <v>0</v>
      </c>
      <c r="Y124" s="474">
        <f t="shared" si="20"/>
        <v>0</v>
      </c>
      <c r="Z124" s="475">
        <f t="shared" si="21"/>
        <v>0</v>
      </c>
      <c r="AA124" s="475">
        <v>0</v>
      </c>
      <c r="AB124" s="476">
        <v>0</v>
      </c>
      <c r="AC124" s="38">
        <f t="shared" si="22"/>
        <v>0</v>
      </c>
      <c r="AD124" s="692">
        <f t="shared" si="16"/>
        <v>0</v>
      </c>
      <c r="AE124" s="692">
        <f t="shared" si="17"/>
        <v>0</v>
      </c>
      <c r="AF124" s="692">
        <f t="shared" si="18"/>
        <v>0</v>
      </c>
      <c r="AG124" s="38"/>
      <c r="AH124" s="692">
        <f t="shared" si="23"/>
        <v>0</v>
      </c>
      <c r="AI124" s="692">
        <f t="shared" si="24"/>
        <v>0</v>
      </c>
      <c r="AJ124" s="692">
        <f t="shared" si="25"/>
        <v>0</v>
      </c>
      <c r="AL124" s="38">
        <f t="shared" si="26"/>
        <v>0</v>
      </c>
      <c r="AM124" s="68" t="s">
        <v>1002</v>
      </c>
    </row>
    <row r="125" spans="1:39">
      <c r="A125" s="20"/>
      <c r="B125" s="20" t="s">
        <v>110</v>
      </c>
      <c r="C125" s="667"/>
      <c r="D125" s="68" t="s">
        <v>1013</v>
      </c>
      <c r="E125" s="679">
        <v>1259.6400000000001</v>
      </c>
      <c r="F125" s="529">
        <f>VLOOKUP(D125,'Apr14 Revenue'!D:V,19,FALSE)</f>
        <v>0</v>
      </c>
      <c r="G125" s="680"/>
      <c r="H125" s="680"/>
      <c r="I125" s="770">
        <v>2953.44</v>
      </c>
      <c r="J125" s="682">
        <f t="shared" si="15"/>
        <v>4213.08</v>
      </c>
      <c r="K125" s="683"/>
      <c r="L125" s="684"/>
      <c r="M125" s="753"/>
      <c r="N125" s="683">
        <v>0</v>
      </c>
      <c r="O125" s="686"/>
      <c r="P125" s="683">
        <v>0</v>
      </c>
      <c r="Q125" s="687">
        <f t="shared" si="1"/>
        <v>0</v>
      </c>
      <c r="R125" s="687"/>
      <c r="S125" s="687"/>
      <c r="T125" s="688">
        <v>0</v>
      </c>
      <c r="U125" s="693"/>
      <c r="V125" s="690">
        <f t="shared" si="14"/>
        <v>0</v>
      </c>
      <c r="W125" s="683"/>
      <c r="X125" s="474">
        <f t="shared" si="19"/>
        <v>0</v>
      </c>
      <c r="Y125" s="474">
        <f t="shared" si="20"/>
        <v>0</v>
      </c>
      <c r="Z125" s="475">
        <f t="shared" si="21"/>
        <v>0</v>
      </c>
      <c r="AA125" s="475">
        <v>0</v>
      </c>
      <c r="AB125" s="476">
        <v>0</v>
      </c>
      <c r="AC125" s="38">
        <f t="shared" si="22"/>
        <v>0</v>
      </c>
      <c r="AD125" s="692">
        <f t="shared" si="16"/>
        <v>4213.08</v>
      </c>
      <c r="AE125" s="692">
        <f t="shared" si="17"/>
        <v>0</v>
      </c>
      <c r="AF125" s="692">
        <f t="shared" si="18"/>
        <v>0</v>
      </c>
      <c r="AG125" s="38"/>
      <c r="AH125" s="692">
        <f t="shared" si="23"/>
        <v>0</v>
      </c>
      <c r="AI125" s="692">
        <f t="shared" si="24"/>
        <v>0</v>
      </c>
      <c r="AJ125" s="692">
        <f t="shared" si="25"/>
        <v>0</v>
      </c>
      <c r="AL125" s="38">
        <f t="shared" si="26"/>
        <v>4213.08</v>
      </c>
      <c r="AM125" s="68" t="s">
        <v>1013</v>
      </c>
    </row>
    <row r="126" spans="1:39">
      <c r="A126" s="20"/>
      <c r="B126" s="20" t="s">
        <v>110</v>
      </c>
      <c r="C126" s="667"/>
      <c r="D126" s="68" t="s">
        <v>1088</v>
      </c>
      <c r="E126" s="679"/>
      <c r="F126" s="529">
        <f>VLOOKUP(D126,'Apr14 Revenue'!D:V,19,FALSE)</f>
        <v>0</v>
      </c>
      <c r="G126" s="680"/>
      <c r="H126" s="680"/>
      <c r="I126" s="755"/>
      <c r="J126" s="682">
        <f t="shared" si="15"/>
        <v>0</v>
      </c>
      <c r="K126" s="683"/>
      <c r="L126" s="684"/>
      <c r="M126" s="753"/>
      <c r="N126" s="683">
        <v>0</v>
      </c>
      <c r="O126" s="686"/>
      <c r="P126" s="683">
        <v>0</v>
      </c>
      <c r="Q126" s="687">
        <f t="shared" si="1"/>
        <v>0</v>
      </c>
      <c r="R126" s="687"/>
      <c r="S126" s="687"/>
      <c r="T126" s="688">
        <v>0</v>
      </c>
      <c r="U126" s="693"/>
      <c r="V126" s="690">
        <f t="shared" si="14"/>
        <v>0</v>
      </c>
      <c r="W126" s="683"/>
      <c r="X126" s="474">
        <f t="shared" si="19"/>
        <v>0</v>
      </c>
      <c r="Y126" s="474">
        <f t="shared" si="20"/>
        <v>0</v>
      </c>
      <c r="Z126" s="475">
        <f t="shared" si="21"/>
        <v>0</v>
      </c>
      <c r="AA126" s="475">
        <v>0</v>
      </c>
      <c r="AB126" s="476">
        <v>0</v>
      </c>
      <c r="AC126" s="38">
        <f t="shared" si="22"/>
        <v>0</v>
      </c>
      <c r="AD126" s="692">
        <f t="shared" si="16"/>
        <v>0</v>
      </c>
      <c r="AE126" s="692">
        <f t="shared" si="17"/>
        <v>0</v>
      </c>
      <c r="AF126" s="692">
        <f t="shared" si="18"/>
        <v>0</v>
      </c>
      <c r="AG126" s="38"/>
      <c r="AH126" s="692">
        <f t="shared" si="23"/>
        <v>0</v>
      </c>
      <c r="AI126" s="692">
        <f t="shared" si="24"/>
        <v>0</v>
      </c>
      <c r="AJ126" s="692">
        <f t="shared" si="25"/>
        <v>0</v>
      </c>
      <c r="AL126" s="38">
        <f t="shared" ref="AL126" si="27">SUM(AD126:AJ126)</f>
        <v>0</v>
      </c>
      <c r="AM126" s="68"/>
    </row>
    <row r="127" spans="1:39">
      <c r="A127" s="21"/>
      <c r="B127" s="21" t="s">
        <v>110</v>
      </c>
      <c r="C127" s="666" t="s">
        <v>550</v>
      </c>
      <c r="D127" s="68" t="s">
        <v>282</v>
      </c>
      <c r="E127" s="679">
        <v>24498.2</v>
      </c>
      <c r="F127" s="529">
        <f>VLOOKUP(D127,'Apr14 Revenue'!D:V,19,FALSE)</f>
        <v>-120000</v>
      </c>
      <c r="G127" s="680"/>
      <c r="H127" s="680"/>
      <c r="I127" s="755"/>
      <c r="J127" s="682">
        <f t="shared" si="15"/>
        <v>-95501.8</v>
      </c>
      <c r="K127" s="683"/>
      <c r="L127" s="684"/>
      <c r="M127" s="753">
        <v>110000</v>
      </c>
      <c r="N127" s="683">
        <v>0</v>
      </c>
      <c r="O127" s="686"/>
      <c r="P127" s="683">
        <v>0</v>
      </c>
      <c r="Q127" s="687">
        <f t="shared" si="1"/>
        <v>110000</v>
      </c>
      <c r="R127" s="687"/>
      <c r="S127" s="687"/>
      <c r="T127" s="688">
        <v>50071.39</v>
      </c>
      <c r="U127" s="693"/>
      <c r="V127" s="690">
        <f t="shared" si="14"/>
        <v>-59928.61</v>
      </c>
      <c r="W127" s="683"/>
      <c r="X127" s="474">
        <f t="shared" si="19"/>
        <v>110000</v>
      </c>
      <c r="Y127" s="474">
        <f t="shared" si="20"/>
        <v>0</v>
      </c>
      <c r="Z127" s="475">
        <f t="shared" si="21"/>
        <v>0</v>
      </c>
      <c r="AA127" s="475">
        <v>0</v>
      </c>
      <c r="AB127" s="476">
        <v>0</v>
      </c>
      <c r="AC127" s="38">
        <f t="shared" si="22"/>
        <v>0</v>
      </c>
      <c r="AD127" s="692">
        <f t="shared" si="16"/>
        <v>-95501.8</v>
      </c>
      <c r="AE127" s="692">
        <f t="shared" si="17"/>
        <v>0</v>
      </c>
      <c r="AF127" s="692">
        <f t="shared" si="18"/>
        <v>0</v>
      </c>
      <c r="AG127" s="38"/>
      <c r="AH127" s="692">
        <f t="shared" si="23"/>
        <v>110000</v>
      </c>
      <c r="AI127" s="692">
        <f t="shared" si="24"/>
        <v>0</v>
      </c>
      <c r="AJ127" s="692">
        <f t="shared" si="25"/>
        <v>0</v>
      </c>
      <c r="AL127" s="38">
        <f t="shared" si="26"/>
        <v>14498.199999999997</v>
      </c>
      <c r="AM127" s="68" t="s">
        <v>282</v>
      </c>
    </row>
    <row r="128" spans="1:39">
      <c r="A128" s="21"/>
      <c r="B128" s="21" t="s">
        <v>109</v>
      </c>
      <c r="C128" s="666" t="s">
        <v>551</v>
      </c>
      <c r="D128" s="68" t="s">
        <v>499</v>
      </c>
      <c r="E128" s="679"/>
      <c r="F128" s="529">
        <f>VLOOKUP(D128,'Apr14 Revenue'!D:V,19,FALSE)</f>
        <v>0</v>
      </c>
      <c r="G128" s="680"/>
      <c r="H128" s="680"/>
      <c r="I128" s="755"/>
      <c r="J128" s="682">
        <f t="shared" si="15"/>
        <v>0</v>
      </c>
      <c r="K128" s="683"/>
      <c r="L128" s="684"/>
      <c r="M128" s="753"/>
      <c r="N128" s="683">
        <v>0</v>
      </c>
      <c r="O128" s="686"/>
      <c r="P128" s="683">
        <v>0</v>
      </c>
      <c r="Q128" s="687">
        <f t="shared" si="1"/>
        <v>0</v>
      </c>
      <c r="R128" s="687"/>
      <c r="S128" s="687"/>
      <c r="T128" s="688">
        <v>0</v>
      </c>
      <c r="U128" s="693"/>
      <c r="V128" s="690">
        <f t="shared" si="14"/>
        <v>0</v>
      </c>
      <c r="W128" s="683"/>
      <c r="X128" s="474">
        <f t="shared" si="19"/>
        <v>0</v>
      </c>
      <c r="Y128" s="474">
        <f t="shared" si="20"/>
        <v>0</v>
      </c>
      <c r="Z128" s="475">
        <f t="shared" si="21"/>
        <v>0</v>
      </c>
      <c r="AA128" s="475">
        <v>0</v>
      </c>
      <c r="AB128" s="476">
        <v>0</v>
      </c>
      <c r="AC128" s="38">
        <f t="shared" si="22"/>
        <v>0</v>
      </c>
      <c r="AD128" s="692">
        <f t="shared" si="16"/>
        <v>0</v>
      </c>
      <c r="AE128" s="692">
        <f t="shared" si="17"/>
        <v>0</v>
      </c>
      <c r="AF128" s="692">
        <f t="shared" si="18"/>
        <v>0</v>
      </c>
      <c r="AG128" s="38"/>
      <c r="AH128" s="692">
        <f t="shared" si="23"/>
        <v>0</v>
      </c>
      <c r="AI128" s="692">
        <f t="shared" si="24"/>
        <v>0</v>
      </c>
      <c r="AJ128" s="692">
        <f t="shared" si="25"/>
        <v>0</v>
      </c>
      <c r="AL128" s="38">
        <f t="shared" si="26"/>
        <v>0</v>
      </c>
      <c r="AM128" s="68" t="s">
        <v>499</v>
      </c>
    </row>
    <row r="129" spans="1:39">
      <c r="A129" s="21"/>
      <c r="B129" s="21" t="s">
        <v>110</v>
      </c>
      <c r="C129" s="666"/>
      <c r="D129" s="68" t="s">
        <v>1040</v>
      </c>
      <c r="E129" s="679"/>
      <c r="F129" s="529">
        <f>VLOOKUP(D129,'Apr14 Revenue'!D:V,19,FALSE)</f>
        <v>0</v>
      </c>
      <c r="G129" s="680"/>
      <c r="H129" s="680"/>
      <c r="I129" s="755"/>
      <c r="J129" s="682">
        <f t="shared" si="15"/>
        <v>0</v>
      </c>
      <c r="K129" s="683"/>
      <c r="L129" s="684"/>
      <c r="M129" s="753"/>
      <c r="N129" s="683">
        <v>0</v>
      </c>
      <c r="O129" s="686"/>
      <c r="P129" s="683">
        <v>0</v>
      </c>
      <c r="Q129" s="687">
        <f t="shared" si="1"/>
        <v>0</v>
      </c>
      <c r="R129" s="687"/>
      <c r="S129" s="687"/>
      <c r="T129" s="688">
        <v>0</v>
      </c>
      <c r="U129" s="693"/>
      <c r="V129" s="690">
        <f t="shared" si="14"/>
        <v>0</v>
      </c>
      <c r="W129" s="683"/>
      <c r="X129" s="474">
        <f t="shared" si="19"/>
        <v>0</v>
      </c>
      <c r="Y129" s="474">
        <f t="shared" si="20"/>
        <v>0</v>
      </c>
      <c r="Z129" s="475">
        <f t="shared" si="21"/>
        <v>0</v>
      </c>
      <c r="AA129" s="475">
        <v>0</v>
      </c>
      <c r="AB129" s="476">
        <v>0</v>
      </c>
      <c r="AC129" s="38">
        <f t="shared" si="22"/>
        <v>0</v>
      </c>
      <c r="AD129" s="692">
        <f t="shared" si="16"/>
        <v>0</v>
      </c>
      <c r="AE129" s="692">
        <f t="shared" si="17"/>
        <v>0</v>
      </c>
      <c r="AF129" s="692">
        <f t="shared" si="18"/>
        <v>0</v>
      </c>
      <c r="AG129" s="38"/>
      <c r="AH129" s="692">
        <f t="shared" si="23"/>
        <v>0</v>
      </c>
      <c r="AI129" s="692">
        <f t="shared" si="24"/>
        <v>0</v>
      </c>
      <c r="AJ129" s="692">
        <f t="shared" si="25"/>
        <v>0</v>
      </c>
      <c r="AL129" s="38">
        <f t="shared" si="26"/>
        <v>0</v>
      </c>
      <c r="AM129" s="68" t="s">
        <v>1019</v>
      </c>
    </row>
    <row r="130" spans="1:39">
      <c r="A130" s="21"/>
      <c r="B130" s="21" t="s">
        <v>110</v>
      </c>
      <c r="C130" s="666"/>
      <c r="D130" s="68" t="s">
        <v>28</v>
      </c>
      <c r="E130" s="679"/>
      <c r="F130" s="529">
        <f>VLOOKUP(D130,'Apr14 Revenue'!D:V,19,FALSE)</f>
        <v>0</v>
      </c>
      <c r="G130" s="680"/>
      <c r="H130" s="680"/>
      <c r="I130" s="770">
        <v>17943.8</v>
      </c>
      <c r="J130" s="682">
        <f t="shared" si="15"/>
        <v>17943.8</v>
      </c>
      <c r="K130" s="683"/>
      <c r="L130" s="684"/>
      <c r="M130" s="753"/>
      <c r="N130" s="683">
        <v>0</v>
      </c>
      <c r="O130" s="686"/>
      <c r="P130" s="683">
        <v>0</v>
      </c>
      <c r="Q130" s="687">
        <f t="shared" si="1"/>
        <v>0</v>
      </c>
      <c r="R130" s="687"/>
      <c r="S130" s="687"/>
      <c r="T130" s="688">
        <v>0</v>
      </c>
      <c r="U130" s="693"/>
      <c r="V130" s="690">
        <f t="shared" si="14"/>
        <v>0</v>
      </c>
      <c r="W130" s="683"/>
      <c r="X130" s="474">
        <f t="shared" si="19"/>
        <v>0</v>
      </c>
      <c r="Y130" s="474">
        <f t="shared" si="20"/>
        <v>0</v>
      </c>
      <c r="Z130" s="475">
        <f t="shared" si="21"/>
        <v>0</v>
      </c>
      <c r="AA130" s="475">
        <v>0</v>
      </c>
      <c r="AB130" s="476">
        <v>0</v>
      </c>
      <c r="AC130" s="38">
        <f t="shared" si="22"/>
        <v>0</v>
      </c>
      <c r="AD130" s="692">
        <f t="shared" si="16"/>
        <v>17943.8</v>
      </c>
      <c r="AE130" s="692">
        <f t="shared" si="17"/>
        <v>0</v>
      </c>
      <c r="AF130" s="692">
        <f t="shared" si="18"/>
        <v>0</v>
      </c>
      <c r="AG130" s="38"/>
      <c r="AH130" s="692">
        <f t="shared" si="23"/>
        <v>0</v>
      </c>
      <c r="AI130" s="692">
        <f t="shared" si="24"/>
        <v>0</v>
      </c>
      <c r="AJ130" s="692">
        <f t="shared" si="25"/>
        <v>0</v>
      </c>
      <c r="AL130" s="38">
        <f t="shared" si="26"/>
        <v>17943.8</v>
      </c>
      <c r="AM130" s="68" t="s">
        <v>28</v>
      </c>
    </row>
    <row r="131" spans="1:39">
      <c r="A131" s="21"/>
      <c r="B131" s="21" t="s">
        <v>114</v>
      </c>
      <c r="C131" s="666" t="s">
        <v>552</v>
      </c>
      <c r="D131" s="68" t="s">
        <v>513</v>
      </c>
      <c r="E131" s="679"/>
      <c r="F131" s="529">
        <f>VLOOKUP(D131,'Apr14 Revenue'!D:V,19,FALSE)</f>
        <v>-9000</v>
      </c>
      <c r="G131" s="680"/>
      <c r="H131" s="680"/>
      <c r="I131" s="755"/>
      <c r="J131" s="682">
        <f t="shared" si="15"/>
        <v>-9000</v>
      </c>
      <c r="K131" s="683"/>
      <c r="L131" s="684"/>
      <c r="M131" s="753">
        <v>12000</v>
      </c>
      <c r="N131" s="683">
        <v>0</v>
      </c>
      <c r="O131" s="686"/>
      <c r="P131" s="683">
        <v>0</v>
      </c>
      <c r="Q131" s="687">
        <f>L131+M131</f>
        <v>12000</v>
      </c>
      <c r="R131" s="687"/>
      <c r="S131" s="687"/>
      <c r="T131" s="688">
        <v>0</v>
      </c>
      <c r="U131" s="693"/>
      <c r="V131" s="690">
        <f t="shared" si="14"/>
        <v>-12000</v>
      </c>
      <c r="W131" s="683"/>
      <c r="X131" s="474">
        <f t="shared" si="19"/>
        <v>0</v>
      </c>
      <c r="Y131" s="474">
        <f t="shared" si="20"/>
        <v>0</v>
      </c>
      <c r="Z131" s="475">
        <f t="shared" si="21"/>
        <v>12000</v>
      </c>
      <c r="AA131" s="475">
        <v>0</v>
      </c>
      <c r="AB131" s="476">
        <v>0</v>
      </c>
      <c r="AC131" s="38">
        <f t="shared" si="22"/>
        <v>0</v>
      </c>
      <c r="AD131" s="692">
        <f t="shared" si="16"/>
        <v>0</v>
      </c>
      <c r="AE131" s="692">
        <f t="shared" si="17"/>
        <v>0</v>
      </c>
      <c r="AF131" s="692">
        <f t="shared" si="18"/>
        <v>-9000</v>
      </c>
      <c r="AG131" s="38"/>
      <c r="AH131" s="692">
        <f t="shared" si="23"/>
        <v>0</v>
      </c>
      <c r="AI131" s="692">
        <f t="shared" si="24"/>
        <v>0</v>
      </c>
      <c r="AJ131" s="692">
        <f t="shared" si="25"/>
        <v>12000</v>
      </c>
      <c r="AL131" s="38">
        <f t="shared" si="26"/>
        <v>3000</v>
      </c>
      <c r="AM131" s="68" t="s">
        <v>513</v>
      </c>
    </row>
    <row r="132" spans="1:39">
      <c r="A132" s="21"/>
      <c r="B132" s="21" t="s">
        <v>109</v>
      </c>
      <c r="C132" s="666" t="s">
        <v>553</v>
      </c>
      <c r="D132" s="68" t="s">
        <v>308</v>
      </c>
      <c r="E132" s="679"/>
      <c r="F132" s="529">
        <f>VLOOKUP(D132,'Apr14 Revenue'!D:V,19,FALSE)</f>
        <v>0</v>
      </c>
      <c r="G132" s="680"/>
      <c r="H132" s="680"/>
      <c r="I132" s="755"/>
      <c r="J132" s="682">
        <f t="shared" si="15"/>
        <v>0</v>
      </c>
      <c r="K132" s="683"/>
      <c r="L132" s="684"/>
      <c r="M132" s="753"/>
      <c r="N132" s="683">
        <v>0</v>
      </c>
      <c r="O132" s="686"/>
      <c r="P132" s="683">
        <v>0</v>
      </c>
      <c r="Q132" s="687">
        <f t="shared" si="1"/>
        <v>0</v>
      </c>
      <c r="R132" s="687"/>
      <c r="S132" s="687"/>
      <c r="T132" s="688">
        <v>0</v>
      </c>
      <c r="U132" s="693"/>
      <c r="V132" s="690">
        <f t="shared" si="14"/>
        <v>0</v>
      </c>
      <c r="W132" s="683"/>
      <c r="X132" s="474">
        <f t="shared" si="19"/>
        <v>0</v>
      </c>
      <c r="Y132" s="474">
        <f t="shared" si="20"/>
        <v>0</v>
      </c>
      <c r="Z132" s="475">
        <f t="shared" si="21"/>
        <v>0</v>
      </c>
      <c r="AA132" s="475">
        <v>0</v>
      </c>
      <c r="AB132" s="476">
        <v>0</v>
      </c>
      <c r="AC132" s="38">
        <f t="shared" si="22"/>
        <v>0</v>
      </c>
      <c r="AD132" s="692">
        <f t="shared" si="16"/>
        <v>0</v>
      </c>
      <c r="AE132" s="692">
        <f t="shared" si="17"/>
        <v>0</v>
      </c>
      <c r="AF132" s="692">
        <f t="shared" si="18"/>
        <v>0</v>
      </c>
      <c r="AG132" s="38"/>
      <c r="AH132" s="692">
        <f t="shared" si="23"/>
        <v>0</v>
      </c>
      <c r="AI132" s="692">
        <f t="shared" si="24"/>
        <v>0</v>
      </c>
      <c r="AJ132" s="692">
        <f t="shared" si="25"/>
        <v>0</v>
      </c>
      <c r="AL132" s="38">
        <f t="shared" si="26"/>
        <v>0</v>
      </c>
      <c r="AM132" s="68" t="s">
        <v>308</v>
      </c>
    </row>
    <row r="133" spans="1:39" s="232" customFormat="1">
      <c r="A133" s="283" t="s">
        <v>211</v>
      </c>
      <c r="B133" s="283" t="s">
        <v>109</v>
      </c>
      <c r="C133" s="667" t="s">
        <v>554</v>
      </c>
      <c r="D133" s="123" t="s">
        <v>389</v>
      </c>
      <c r="E133" s="679"/>
      <c r="F133" s="529">
        <f>VLOOKUP(D133,'Apr14 Revenue'!D:V,19,FALSE)</f>
        <v>0</v>
      </c>
      <c r="G133" s="680"/>
      <c r="H133" s="680"/>
      <c r="I133" s="755"/>
      <c r="J133" s="682">
        <f t="shared" si="15"/>
        <v>0</v>
      </c>
      <c r="K133" s="683"/>
      <c r="L133" s="684"/>
      <c r="M133" s="753"/>
      <c r="N133" s="683">
        <v>0</v>
      </c>
      <c r="O133" s="686"/>
      <c r="P133" s="683">
        <v>0</v>
      </c>
      <c r="Q133" s="687">
        <f t="shared" si="1"/>
        <v>0</v>
      </c>
      <c r="R133" s="687"/>
      <c r="S133" s="687"/>
      <c r="T133" s="688">
        <v>0</v>
      </c>
      <c r="U133" s="693"/>
      <c r="V133" s="690">
        <f t="shared" si="14"/>
        <v>0</v>
      </c>
      <c r="W133" s="683"/>
      <c r="X133" s="474">
        <f t="shared" si="19"/>
        <v>0</v>
      </c>
      <c r="Y133" s="474">
        <f t="shared" si="20"/>
        <v>0</v>
      </c>
      <c r="Z133" s="475">
        <f t="shared" si="21"/>
        <v>0</v>
      </c>
      <c r="AA133" s="475">
        <v>0</v>
      </c>
      <c r="AB133" s="476">
        <v>0</v>
      </c>
      <c r="AC133" s="38">
        <f t="shared" si="22"/>
        <v>0</v>
      </c>
      <c r="AD133" s="692">
        <f t="shared" si="16"/>
        <v>0</v>
      </c>
      <c r="AE133" s="692">
        <f t="shared" si="17"/>
        <v>0</v>
      </c>
      <c r="AF133" s="692">
        <f t="shared" si="18"/>
        <v>0</v>
      </c>
      <c r="AG133" s="38"/>
      <c r="AH133" s="692">
        <f t="shared" si="23"/>
        <v>0</v>
      </c>
      <c r="AI133" s="692">
        <f t="shared" si="24"/>
        <v>0</v>
      </c>
      <c r="AJ133" s="692">
        <f t="shared" si="25"/>
        <v>0</v>
      </c>
      <c r="AL133" s="38">
        <f t="shared" si="26"/>
        <v>0</v>
      </c>
      <c r="AM133" s="123" t="s">
        <v>389</v>
      </c>
    </row>
    <row r="134" spans="1:39" s="232" customFormat="1">
      <c r="A134" s="283"/>
      <c r="B134" s="283" t="s">
        <v>110</v>
      </c>
      <c r="C134" s="667"/>
      <c r="D134" s="123" t="s">
        <v>807</v>
      </c>
      <c r="E134" s="679"/>
      <c r="F134" s="529">
        <f>VLOOKUP(D134,'Apr14 Revenue'!D:V,19,FALSE)</f>
        <v>2056.61</v>
      </c>
      <c r="G134" s="680"/>
      <c r="H134" s="680"/>
      <c r="I134" s="755"/>
      <c r="J134" s="682">
        <f t="shared" si="15"/>
        <v>2056.61</v>
      </c>
      <c r="K134" s="683"/>
      <c r="L134" s="684"/>
      <c r="M134" s="753"/>
      <c r="N134" s="683">
        <v>0</v>
      </c>
      <c r="O134" s="686"/>
      <c r="P134" s="683">
        <v>0</v>
      </c>
      <c r="Q134" s="687">
        <f t="shared" si="1"/>
        <v>0</v>
      </c>
      <c r="R134" s="687"/>
      <c r="S134" s="687"/>
      <c r="T134" s="688">
        <v>0</v>
      </c>
      <c r="U134" s="693"/>
      <c r="V134" s="690">
        <f t="shared" si="14"/>
        <v>0</v>
      </c>
      <c r="W134" s="683"/>
      <c r="X134" s="474">
        <f t="shared" si="19"/>
        <v>0</v>
      </c>
      <c r="Y134" s="474">
        <f t="shared" si="20"/>
        <v>0</v>
      </c>
      <c r="Z134" s="475">
        <f t="shared" si="21"/>
        <v>0</v>
      </c>
      <c r="AA134" s="475">
        <v>0</v>
      </c>
      <c r="AB134" s="476">
        <v>0</v>
      </c>
      <c r="AC134" s="38">
        <f t="shared" si="22"/>
        <v>0</v>
      </c>
      <c r="AD134" s="692">
        <f t="shared" si="16"/>
        <v>2056.61</v>
      </c>
      <c r="AE134" s="692">
        <f t="shared" si="17"/>
        <v>0</v>
      </c>
      <c r="AF134" s="692">
        <f t="shared" si="18"/>
        <v>0</v>
      </c>
      <c r="AG134" s="38"/>
      <c r="AH134" s="692">
        <f t="shared" si="23"/>
        <v>0</v>
      </c>
      <c r="AI134" s="692">
        <f t="shared" si="24"/>
        <v>0</v>
      </c>
      <c r="AJ134" s="692">
        <f t="shared" si="25"/>
        <v>0</v>
      </c>
      <c r="AL134" s="38">
        <f t="shared" si="26"/>
        <v>2056.61</v>
      </c>
      <c r="AM134" s="123" t="s">
        <v>807</v>
      </c>
    </row>
    <row r="135" spans="1:39" s="232" customFormat="1">
      <c r="A135" s="283"/>
      <c r="B135" s="283" t="s">
        <v>109</v>
      </c>
      <c r="C135" s="667"/>
      <c r="D135" s="123" t="s">
        <v>1114</v>
      </c>
      <c r="E135" s="679"/>
      <c r="F135" s="529">
        <f>VLOOKUP(D135,'Apr14 Revenue'!D:V,19,FALSE)</f>
        <v>-2528.1399999999994</v>
      </c>
      <c r="G135" s="680"/>
      <c r="H135" s="680"/>
      <c r="I135" s="755"/>
      <c r="J135" s="682">
        <f t="shared" si="15"/>
        <v>-2528.1399999999994</v>
      </c>
      <c r="K135" s="683"/>
      <c r="L135" s="684"/>
      <c r="M135" s="753">
        <v>40000</v>
      </c>
      <c r="N135" s="683">
        <v>0</v>
      </c>
      <c r="O135" s="686"/>
      <c r="P135" s="683">
        <v>0</v>
      </c>
      <c r="Q135" s="687">
        <f t="shared" si="1"/>
        <v>40000</v>
      </c>
      <c r="R135" s="687"/>
      <c r="S135" s="687"/>
      <c r="T135" s="688">
        <v>11122</v>
      </c>
      <c r="U135" s="693"/>
      <c r="V135" s="690">
        <f t="shared" si="14"/>
        <v>-28878</v>
      </c>
      <c r="W135" s="683"/>
      <c r="X135" s="474">
        <f t="shared" si="19"/>
        <v>0</v>
      </c>
      <c r="Y135" s="474">
        <f t="shared" si="20"/>
        <v>40000</v>
      </c>
      <c r="Z135" s="475">
        <f t="shared" si="21"/>
        <v>0</v>
      </c>
      <c r="AA135" s="475">
        <v>0</v>
      </c>
      <c r="AB135" s="476">
        <v>0</v>
      </c>
      <c r="AC135" s="38">
        <f t="shared" si="22"/>
        <v>0</v>
      </c>
      <c r="AD135" s="692">
        <f t="shared" si="16"/>
        <v>0</v>
      </c>
      <c r="AE135" s="692">
        <f t="shared" si="17"/>
        <v>-2528.1399999999994</v>
      </c>
      <c r="AF135" s="692">
        <f t="shared" si="18"/>
        <v>0</v>
      </c>
      <c r="AG135" s="38"/>
      <c r="AH135" s="692">
        <f t="shared" si="23"/>
        <v>0</v>
      </c>
      <c r="AI135" s="692">
        <f t="shared" si="24"/>
        <v>40000</v>
      </c>
      <c r="AJ135" s="692">
        <f t="shared" si="25"/>
        <v>0</v>
      </c>
      <c r="AL135" s="38">
        <f t="shared" si="26"/>
        <v>37471.86</v>
      </c>
      <c r="AM135" s="123" t="s">
        <v>808</v>
      </c>
    </row>
    <row r="136" spans="1:39" s="232" customFormat="1">
      <c r="A136" s="403"/>
      <c r="B136" s="403" t="s">
        <v>110</v>
      </c>
      <c r="C136" s="666" t="s">
        <v>563</v>
      </c>
      <c r="D136" s="123" t="s">
        <v>867</v>
      </c>
      <c r="E136" s="679"/>
      <c r="F136" s="529">
        <f>VLOOKUP(D136,'Apr14 Revenue'!D:V,19,FALSE)</f>
        <v>2087.94</v>
      </c>
      <c r="G136" s="680"/>
      <c r="H136" s="680"/>
      <c r="I136" s="770">
        <v>1111.08</v>
      </c>
      <c r="J136" s="682">
        <f t="shared" si="15"/>
        <v>3199.02</v>
      </c>
      <c r="K136" s="683"/>
      <c r="L136" s="684"/>
      <c r="M136" s="753"/>
      <c r="N136" s="683">
        <v>0</v>
      </c>
      <c r="O136" s="686"/>
      <c r="P136" s="683">
        <v>0</v>
      </c>
      <c r="Q136" s="687">
        <f t="shared" si="1"/>
        <v>0</v>
      </c>
      <c r="R136" s="687"/>
      <c r="S136" s="687"/>
      <c r="T136" s="688">
        <v>0</v>
      </c>
      <c r="U136" s="693"/>
      <c r="V136" s="690">
        <f t="shared" si="14"/>
        <v>0</v>
      </c>
      <c r="W136" s="683"/>
      <c r="X136" s="474">
        <f t="shared" si="19"/>
        <v>0</v>
      </c>
      <c r="Y136" s="474">
        <f t="shared" si="20"/>
        <v>0</v>
      </c>
      <c r="Z136" s="475">
        <f t="shared" si="21"/>
        <v>0</v>
      </c>
      <c r="AA136" s="475">
        <v>0</v>
      </c>
      <c r="AB136" s="476">
        <v>0</v>
      </c>
      <c r="AC136" s="38">
        <f t="shared" si="22"/>
        <v>0</v>
      </c>
      <c r="AD136" s="692">
        <f t="shared" si="16"/>
        <v>3199.02</v>
      </c>
      <c r="AE136" s="692">
        <f t="shared" si="17"/>
        <v>0</v>
      </c>
      <c r="AF136" s="692">
        <f t="shared" si="18"/>
        <v>0</v>
      </c>
      <c r="AG136" s="38"/>
      <c r="AH136" s="692">
        <f t="shared" si="23"/>
        <v>0</v>
      </c>
      <c r="AI136" s="692">
        <f t="shared" si="24"/>
        <v>0</v>
      </c>
      <c r="AJ136" s="692">
        <f t="shared" si="25"/>
        <v>0</v>
      </c>
      <c r="AL136" s="38">
        <f t="shared" si="26"/>
        <v>3199.02</v>
      </c>
      <c r="AM136" s="123" t="s">
        <v>867</v>
      </c>
    </row>
    <row r="137" spans="1:39" s="232" customFormat="1">
      <c r="A137" s="283"/>
      <c r="B137" s="283" t="s">
        <v>110</v>
      </c>
      <c r="C137" s="667"/>
      <c r="D137" s="68" t="s">
        <v>488</v>
      </c>
      <c r="E137" s="679"/>
      <c r="F137" s="529">
        <f>VLOOKUP(D137,'Apr14 Revenue'!D:V,19,FALSE)</f>
        <v>0</v>
      </c>
      <c r="G137" s="680"/>
      <c r="H137" s="680"/>
      <c r="I137" s="755"/>
      <c r="J137" s="682">
        <f t="shared" si="15"/>
        <v>0</v>
      </c>
      <c r="K137" s="683"/>
      <c r="L137" s="684"/>
      <c r="M137" s="753"/>
      <c r="N137" s="683">
        <v>0</v>
      </c>
      <c r="O137" s="686"/>
      <c r="P137" s="683">
        <v>0</v>
      </c>
      <c r="Q137" s="687">
        <f t="shared" si="1"/>
        <v>0</v>
      </c>
      <c r="R137" s="687"/>
      <c r="S137" s="687"/>
      <c r="T137" s="688">
        <v>0</v>
      </c>
      <c r="U137" s="693"/>
      <c r="V137" s="690">
        <f t="shared" si="14"/>
        <v>0</v>
      </c>
      <c r="W137" s="683"/>
      <c r="X137" s="474">
        <f t="shared" si="19"/>
        <v>0</v>
      </c>
      <c r="Y137" s="474">
        <f t="shared" si="20"/>
        <v>0</v>
      </c>
      <c r="Z137" s="475">
        <f t="shared" si="21"/>
        <v>0</v>
      </c>
      <c r="AA137" s="475">
        <v>0</v>
      </c>
      <c r="AB137" s="476">
        <v>0</v>
      </c>
      <c r="AC137" s="38">
        <f t="shared" si="22"/>
        <v>0</v>
      </c>
      <c r="AD137" s="692">
        <f t="shared" si="16"/>
        <v>0</v>
      </c>
      <c r="AE137" s="692">
        <f t="shared" si="17"/>
        <v>0</v>
      </c>
      <c r="AF137" s="692">
        <f t="shared" si="18"/>
        <v>0</v>
      </c>
      <c r="AG137" s="38"/>
      <c r="AH137" s="692">
        <f t="shared" si="23"/>
        <v>0</v>
      </c>
      <c r="AI137" s="692">
        <f t="shared" si="24"/>
        <v>0</v>
      </c>
      <c r="AJ137" s="692">
        <f t="shared" si="25"/>
        <v>0</v>
      </c>
      <c r="AL137" s="38">
        <f t="shared" si="26"/>
        <v>0</v>
      </c>
      <c r="AM137" s="68" t="s">
        <v>488</v>
      </c>
    </row>
    <row r="138" spans="1:39" s="232" customFormat="1">
      <c r="A138" s="283"/>
      <c r="B138" s="283" t="s">
        <v>110</v>
      </c>
      <c r="C138" s="667" t="s">
        <v>555</v>
      </c>
      <c r="D138" s="123" t="s">
        <v>192</v>
      </c>
      <c r="E138" s="679"/>
      <c r="F138" s="529">
        <f>VLOOKUP(D138,'Apr14 Revenue'!D:V,19,FALSE)</f>
        <v>0</v>
      </c>
      <c r="G138" s="680"/>
      <c r="H138" s="680"/>
      <c r="I138" s="755"/>
      <c r="J138" s="682">
        <f t="shared" si="15"/>
        <v>0</v>
      </c>
      <c r="K138" s="683"/>
      <c r="L138" s="684"/>
      <c r="M138" s="753"/>
      <c r="N138" s="683">
        <v>0</v>
      </c>
      <c r="O138" s="686"/>
      <c r="P138" s="683">
        <v>0</v>
      </c>
      <c r="Q138" s="687">
        <f t="shared" si="1"/>
        <v>0</v>
      </c>
      <c r="R138" s="687"/>
      <c r="S138" s="687"/>
      <c r="T138" s="688">
        <v>0</v>
      </c>
      <c r="U138" s="693"/>
      <c r="V138" s="690">
        <f t="shared" si="14"/>
        <v>0</v>
      </c>
      <c r="W138" s="683"/>
      <c r="X138" s="474">
        <f t="shared" si="19"/>
        <v>0</v>
      </c>
      <c r="Y138" s="474">
        <f t="shared" si="20"/>
        <v>0</v>
      </c>
      <c r="Z138" s="475">
        <f t="shared" si="21"/>
        <v>0</v>
      </c>
      <c r="AA138" s="475">
        <v>0</v>
      </c>
      <c r="AB138" s="476">
        <v>0</v>
      </c>
      <c r="AC138" s="38">
        <f t="shared" si="22"/>
        <v>0</v>
      </c>
      <c r="AD138" s="692">
        <f t="shared" si="16"/>
        <v>0</v>
      </c>
      <c r="AE138" s="692">
        <f t="shared" si="17"/>
        <v>0</v>
      </c>
      <c r="AF138" s="692">
        <f t="shared" si="18"/>
        <v>0</v>
      </c>
      <c r="AG138" s="38"/>
      <c r="AH138" s="692">
        <f t="shared" si="23"/>
        <v>0</v>
      </c>
      <c r="AI138" s="692">
        <f t="shared" si="24"/>
        <v>0</v>
      </c>
      <c r="AJ138" s="692">
        <f t="shared" si="25"/>
        <v>0</v>
      </c>
      <c r="AL138" s="38">
        <f t="shared" si="26"/>
        <v>0</v>
      </c>
      <c r="AM138" s="123" t="s">
        <v>192</v>
      </c>
    </row>
    <row r="139" spans="1:39" s="232" customFormat="1" hidden="1">
      <c r="A139" s="283"/>
      <c r="B139" s="283" t="s">
        <v>110</v>
      </c>
      <c r="C139" s="667" t="s">
        <v>555</v>
      </c>
      <c r="D139" s="123" t="s">
        <v>193</v>
      </c>
      <c r="E139" s="679"/>
      <c r="F139" s="529">
        <f>VLOOKUP(D139,'Apr14 Revenue'!D:V,19,FALSE)</f>
        <v>0</v>
      </c>
      <c r="G139" s="680"/>
      <c r="H139" s="680"/>
      <c r="I139" s="755"/>
      <c r="J139" s="682">
        <f t="shared" si="15"/>
        <v>0</v>
      </c>
      <c r="K139" s="683"/>
      <c r="L139" s="684"/>
      <c r="M139" s="753"/>
      <c r="N139" s="683">
        <v>0</v>
      </c>
      <c r="O139" s="686"/>
      <c r="P139" s="683">
        <v>0</v>
      </c>
      <c r="Q139" s="687">
        <f t="shared" si="1"/>
        <v>0</v>
      </c>
      <c r="R139" s="687"/>
      <c r="S139" s="687"/>
      <c r="T139" s="688">
        <v>0</v>
      </c>
      <c r="U139" s="693"/>
      <c r="V139" s="690">
        <f t="shared" si="14"/>
        <v>0</v>
      </c>
      <c r="W139" s="683"/>
      <c r="X139" s="474">
        <f t="shared" si="19"/>
        <v>0</v>
      </c>
      <c r="Y139" s="474">
        <f t="shared" si="20"/>
        <v>0</v>
      </c>
      <c r="Z139" s="475">
        <f t="shared" si="21"/>
        <v>0</v>
      </c>
      <c r="AA139" s="475">
        <v>0</v>
      </c>
      <c r="AB139" s="476">
        <v>0</v>
      </c>
      <c r="AC139" s="38">
        <f t="shared" si="22"/>
        <v>0</v>
      </c>
      <c r="AD139" s="692">
        <f t="shared" si="16"/>
        <v>0</v>
      </c>
      <c r="AE139" s="692">
        <f t="shared" si="17"/>
        <v>0</v>
      </c>
      <c r="AF139" s="692">
        <f t="shared" si="18"/>
        <v>0</v>
      </c>
      <c r="AG139" s="38"/>
      <c r="AH139" s="692">
        <f t="shared" si="23"/>
        <v>0</v>
      </c>
      <c r="AI139" s="692">
        <f t="shared" si="24"/>
        <v>0</v>
      </c>
      <c r="AJ139" s="692">
        <f t="shared" si="25"/>
        <v>0</v>
      </c>
      <c r="AL139" s="38">
        <f t="shared" si="26"/>
        <v>0</v>
      </c>
      <c r="AM139" s="123" t="s">
        <v>193</v>
      </c>
    </row>
    <row r="140" spans="1:39" s="232" customFormat="1" hidden="1">
      <c r="A140" s="283"/>
      <c r="B140" s="283" t="s">
        <v>110</v>
      </c>
      <c r="C140" s="667" t="s">
        <v>555</v>
      </c>
      <c r="D140" s="123" t="s">
        <v>194</v>
      </c>
      <c r="E140" s="679"/>
      <c r="F140" s="529">
        <f>VLOOKUP(D140,'Apr14 Revenue'!D:V,19,FALSE)</f>
        <v>0</v>
      </c>
      <c r="G140" s="680"/>
      <c r="H140" s="680"/>
      <c r="I140" s="755"/>
      <c r="J140" s="682">
        <f t="shared" si="15"/>
        <v>0</v>
      </c>
      <c r="K140" s="683"/>
      <c r="L140" s="684"/>
      <c r="M140" s="753"/>
      <c r="N140" s="683">
        <v>0</v>
      </c>
      <c r="O140" s="686"/>
      <c r="P140" s="683">
        <v>0</v>
      </c>
      <c r="Q140" s="687">
        <f t="shared" si="1"/>
        <v>0</v>
      </c>
      <c r="R140" s="687"/>
      <c r="S140" s="687"/>
      <c r="T140" s="688">
        <v>0</v>
      </c>
      <c r="U140" s="693"/>
      <c r="V140" s="690">
        <f t="shared" si="14"/>
        <v>0</v>
      </c>
      <c r="W140" s="683"/>
      <c r="X140" s="474">
        <f t="shared" si="19"/>
        <v>0</v>
      </c>
      <c r="Y140" s="474">
        <f t="shared" si="20"/>
        <v>0</v>
      </c>
      <c r="Z140" s="475">
        <f t="shared" si="21"/>
        <v>0</v>
      </c>
      <c r="AA140" s="475">
        <v>0</v>
      </c>
      <c r="AB140" s="476">
        <v>0</v>
      </c>
      <c r="AC140" s="38">
        <f t="shared" si="22"/>
        <v>0</v>
      </c>
      <c r="AD140" s="692">
        <f t="shared" si="16"/>
        <v>0</v>
      </c>
      <c r="AE140" s="692">
        <f t="shared" si="17"/>
        <v>0</v>
      </c>
      <c r="AF140" s="692">
        <f t="shared" si="18"/>
        <v>0</v>
      </c>
      <c r="AG140" s="38"/>
      <c r="AH140" s="692">
        <f t="shared" si="23"/>
        <v>0</v>
      </c>
      <c r="AI140" s="692">
        <f t="shared" si="24"/>
        <v>0</v>
      </c>
      <c r="AJ140" s="692">
        <f t="shared" si="25"/>
        <v>0</v>
      </c>
      <c r="AL140" s="38">
        <f t="shared" si="26"/>
        <v>0</v>
      </c>
      <c r="AM140" s="123" t="s">
        <v>194</v>
      </c>
    </row>
    <row r="141" spans="1:39" s="232" customFormat="1" hidden="1">
      <c r="A141" s="283"/>
      <c r="B141" s="283" t="s">
        <v>110</v>
      </c>
      <c r="C141" s="667" t="s">
        <v>555</v>
      </c>
      <c r="D141" s="123" t="s">
        <v>195</v>
      </c>
      <c r="E141" s="679"/>
      <c r="F141" s="529">
        <f>VLOOKUP(D141,'Apr14 Revenue'!D:V,19,FALSE)</f>
        <v>0</v>
      </c>
      <c r="G141" s="680"/>
      <c r="H141" s="680"/>
      <c r="I141" s="755"/>
      <c r="J141" s="682">
        <f t="shared" si="15"/>
        <v>0</v>
      </c>
      <c r="K141" s="683"/>
      <c r="L141" s="684"/>
      <c r="M141" s="753"/>
      <c r="N141" s="683">
        <v>0</v>
      </c>
      <c r="O141" s="686"/>
      <c r="P141" s="683">
        <v>0</v>
      </c>
      <c r="Q141" s="687">
        <f t="shared" si="1"/>
        <v>0</v>
      </c>
      <c r="R141" s="687"/>
      <c r="S141" s="687"/>
      <c r="T141" s="688">
        <v>0</v>
      </c>
      <c r="U141" s="693"/>
      <c r="V141" s="690">
        <f t="shared" si="14"/>
        <v>0</v>
      </c>
      <c r="W141" s="683"/>
      <c r="X141" s="474">
        <f t="shared" si="19"/>
        <v>0</v>
      </c>
      <c r="Y141" s="474">
        <f t="shared" si="20"/>
        <v>0</v>
      </c>
      <c r="Z141" s="475">
        <f t="shared" si="21"/>
        <v>0</v>
      </c>
      <c r="AA141" s="475">
        <v>0</v>
      </c>
      <c r="AB141" s="476">
        <v>0</v>
      </c>
      <c r="AC141" s="38">
        <f t="shared" si="22"/>
        <v>0</v>
      </c>
      <c r="AD141" s="692">
        <f t="shared" si="16"/>
        <v>0</v>
      </c>
      <c r="AE141" s="692">
        <f t="shared" si="17"/>
        <v>0</v>
      </c>
      <c r="AF141" s="692">
        <f t="shared" si="18"/>
        <v>0</v>
      </c>
      <c r="AG141" s="38"/>
      <c r="AH141" s="692">
        <f t="shared" si="23"/>
        <v>0</v>
      </c>
      <c r="AI141" s="692">
        <f t="shared" si="24"/>
        <v>0</v>
      </c>
      <c r="AJ141" s="692">
        <f t="shared" si="25"/>
        <v>0</v>
      </c>
      <c r="AL141" s="38">
        <f t="shared" si="26"/>
        <v>0</v>
      </c>
      <c r="AM141" s="123" t="s">
        <v>195</v>
      </c>
    </row>
    <row r="142" spans="1:39" s="232" customFormat="1" hidden="1">
      <c r="A142" s="283"/>
      <c r="B142" s="283" t="s">
        <v>110</v>
      </c>
      <c r="C142" s="667" t="s">
        <v>555</v>
      </c>
      <c r="D142" s="123" t="s">
        <v>196</v>
      </c>
      <c r="E142" s="679"/>
      <c r="F142" s="529">
        <f>VLOOKUP(D142,'Apr14 Revenue'!D:V,19,FALSE)</f>
        <v>0</v>
      </c>
      <c r="G142" s="680"/>
      <c r="H142" s="680"/>
      <c r="I142" s="755"/>
      <c r="J142" s="682">
        <f t="shared" si="15"/>
        <v>0</v>
      </c>
      <c r="K142" s="683"/>
      <c r="L142" s="684"/>
      <c r="M142" s="753"/>
      <c r="N142" s="683">
        <v>0</v>
      </c>
      <c r="O142" s="686"/>
      <c r="P142" s="683">
        <v>0</v>
      </c>
      <c r="Q142" s="687">
        <f t="shared" si="1"/>
        <v>0</v>
      </c>
      <c r="R142" s="687"/>
      <c r="S142" s="687"/>
      <c r="T142" s="688">
        <v>0</v>
      </c>
      <c r="U142" s="693"/>
      <c r="V142" s="690">
        <f t="shared" si="14"/>
        <v>0</v>
      </c>
      <c r="W142" s="683"/>
      <c r="X142" s="474">
        <f t="shared" si="19"/>
        <v>0</v>
      </c>
      <c r="Y142" s="474">
        <f t="shared" si="20"/>
        <v>0</v>
      </c>
      <c r="Z142" s="475">
        <f t="shared" si="21"/>
        <v>0</v>
      </c>
      <c r="AA142" s="475">
        <v>0</v>
      </c>
      <c r="AB142" s="476">
        <v>0</v>
      </c>
      <c r="AC142" s="38">
        <f t="shared" si="22"/>
        <v>0</v>
      </c>
      <c r="AD142" s="692">
        <f t="shared" si="16"/>
        <v>0</v>
      </c>
      <c r="AE142" s="692">
        <f t="shared" si="17"/>
        <v>0</v>
      </c>
      <c r="AF142" s="692">
        <f t="shared" si="18"/>
        <v>0</v>
      </c>
      <c r="AG142" s="38"/>
      <c r="AH142" s="692">
        <f t="shared" si="23"/>
        <v>0</v>
      </c>
      <c r="AI142" s="692">
        <f t="shared" si="24"/>
        <v>0</v>
      </c>
      <c r="AJ142" s="692">
        <f t="shared" si="25"/>
        <v>0</v>
      </c>
      <c r="AL142" s="38">
        <f t="shared" si="26"/>
        <v>0</v>
      </c>
      <c r="AM142" s="123" t="s">
        <v>196</v>
      </c>
    </row>
    <row r="143" spans="1:39" s="232" customFormat="1" hidden="1">
      <c r="A143" s="283"/>
      <c r="B143" s="283" t="s">
        <v>110</v>
      </c>
      <c r="C143" s="667" t="s">
        <v>555</v>
      </c>
      <c r="D143" s="123" t="s">
        <v>197</v>
      </c>
      <c r="E143" s="679"/>
      <c r="F143" s="529">
        <f>VLOOKUP(D143,'Apr14 Revenue'!D:V,19,FALSE)</f>
        <v>0</v>
      </c>
      <c r="G143" s="680"/>
      <c r="H143" s="680"/>
      <c r="I143" s="755"/>
      <c r="J143" s="682">
        <f t="shared" si="15"/>
        <v>0</v>
      </c>
      <c r="K143" s="683"/>
      <c r="L143" s="684"/>
      <c r="M143" s="753"/>
      <c r="N143" s="683">
        <v>0</v>
      </c>
      <c r="O143" s="686"/>
      <c r="P143" s="683">
        <v>0</v>
      </c>
      <c r="Q143" s="687">
        <f t="shared" si="1"/>
        <v>0</v>
      </c>
      <c r="R143" s="687"/>
      <c r="S143" s="687"/>
      <c r="T143" s="688">
        <v>0</v>
      </c>
      <c r="U143" s="693"/>
      <c r="V143" s="690">
        <f t="shared" si="14"/>
        <v>0</v>
      </c>
      <c r="W143" s="683"/>
      <c r="X143" s="474">
        <f t="shared" si="19"/>
        <v>0</v>
      </c>
      <c r="Y143" s="474">
        <f t="shared" si="20"/>
        <v>0</v>
      </c>
      <c r="Z143" s="475">
        <f t="shared" si="21"/>
        <v>0</v>
      </c>
      <c r="AA143" s="475">
        <v>0</v>
      </c>
      <c r="AB143" s="476">
        <v>0</v>
      </c>
      <c r="AC143" s="38">
        <f t="shared" si="22"/>
        <v>0</v>
      </c>
      <c r="AD143" s="692">
        <f t="shared" si="16"/>
        <v>0</v>
      </c>
      <c r="AE143" s="692">
        <f t="shared" si="17"/>
        <v>0</v>
      </c>
      <c r="AF143" s="692">
        <f t="shared" si="18"/>
        <v>0</v>
      </c>
      <c r="AG143" s="38"/>
      <c r="AH143" s="692">
        <f t="shared" si="23"/>
        <v>0</v>
      </c>
      <c r="AI143" s="692">
        <f t="shared" si="24"/>
        <v>0</v>
      </c>
      <c r="AJ143" s="692">
        <f t="shared" si="25"/>
        <v>0</v>
      </c>
      <c r="AL143" s="38">
        <f t="shared" si="26"/>
        <v>0</v>
      </c>
      <c r="AM143" s="123" t="s">
        <v>197</v>
      </c>
    </row>
    <row r="144" spans="1:39" s="232" customFormat="1" hidden="1">
      <c r="A144" s="283"/>
      <c r="B144" s="283" t="s">
        <v>110</v>
      </c>
      <c r="C144" s="667" t="s">
        <v>555</v>
      </c>
      <c r="D144" s="123" t="s">
        <v>440</v>
      </c>
      <c r="E144" s="679"/>
      <c r="F144" s="529">
        <f>VLOOKUP(D144,'Apr14 Revenue'!D:V,19,FALSE)</f>
        <v>0</v>
      </c>
      <c r="G144" s="680"/>
      <c r="H144" s="680"/>
      <c r="I144" s="755"/>
      <c r="J144" s="682">
        <f t="shared" si="15"/>
        <v>0</v>
      </c>
      <c r="K144" s="683"/>
      <c r="L144" s="684"/>
      <c r="M144" s="753"/>
      <c r="N144" s="683">
        <v>0</v>
      </c>
      <c r="O144" s="686"/>
      <c r="P144" s="683">
        <v>0</v>
      </c>
      <c r="Q144" s="687">
        <f t="shared" si="1"/>
        <v>0</v>
      </c>
      <c r="R144" s="687"/>
      <c r="S144" s="687"/>
      <c r="T144" s="688">
        <v>0</v>
      </c>
      <c r="U144" s="693"/>
      <c r="V144" s="690">
        <f t="shared" ref="V144:V207" si="28">IF(T144="","",T144-Q144)</f>
        <v>0</v>
      </c>
      <c r="W144" s="683"/>
      <c r="X144" s="474">
        <f t="shared" si="19"/>
        <v>0</v>
      </c>
      <c r="Y144" s="474">
        <f t="shared" si="20"/>
        <v>0</v>
      </c>
      <c r="Z144" s="475">
        <f t="shared" si="21"/>
        <v>0</v>
      </c>
      <c r="AA144" s="475">
        <v>0</v>
      </c>
      <c r="AB144" s="476">
        <v>0</v>
      </c>
      <c r="AC144" s="38">
        <f t="shared" si="22"/>
        <v>0</v>
      </c>
      <c r="AD144" s="692">
        <f t="shared" si="16"/>
        <v>0</v>
      </c>
      <c r="AE144" s="692">
        <f t="shared" si="17"/>
        <v>0</v>
      </c>
      <c r="AF144" s="692">
        <f t="shared" si="18"/>
        <v>0</v>
      </c>
      <c r="AG144" s="38"/>
      <c r="AH144" s="692">
        <f t="shared" si="23"/>
        <v>0</v>
      </c>
      <c r="AI144" s="692">
        <f t="shared" si="24"/>
        <v>0</v>
      </c>
      <c r="AJ144" s="692">
        <f t="shared" si="25"/>
        <v>0</v>
      </c>
      <c r="AL144" s="38">
        <f t="shared" si="26"/>
        <v>0</v>
      </c>
      <c r="AM144" s="123" t="s">
        <v>440</v>
      </c>
    </row>
    <row r="145" spans="1:39" s="232" customFormat="1">
      <c r="A145" s="283"/>
      <c r="B145" s="283" t="s">
        <v>110</v>
      </c>
      <c r="C145" s="667" t="s">
        <v>555</v>
      </c>
      <c r="D145" s="123" t="s">
        <v>481</v>
      </c>
      <c r="E145" s="679"/>
      <c r="F145" s="529">
        <f>VLOOKUP(D145,'Apr14 Revenue'!D:V,19,FALSE)</f>
        <v>0</v>
      </c>
      <c r="G145" s="680"/>
      <c r="H145" s="680"/>
      <c r="I145" s="755"/>
      <c r="J145" s="682">
        <f t="shared" si="15"/>
        <v>0</v>
      </c>
      <c r="K145" s="683"/>
      <c r="L145" s="684"/>
      <c r="M145" s="753"/>
      <c r="N145" s="683">
        <v>0</v>
      </c>
      <c r="O145" s="686"/>
      <c r="P145" s="683">
        <v>0</v>
      </c>
      <c r="Q145" s="687">
        <f t="shared" si="1"/>
        <v>0</v>
      </c>
      <c r="R145" s="687"/>
      <c r="S145" s="687"/>
      <c r="T145" s="688">
        <v>0</v>
      </c>
      <c r="U145" s="693"/>
      <c r="V145" s="690">
        <f t="shared" si="28"/>
        <v>0</v>
      </c>
      <c r="W145" s="683"/>
      <c r="X145" s="474">
        <f t="shared" si="19"/>
        <v>0</v>
      </c>
      <c r="Y145" s="474">
        <f t="shared" si="20"/>
        <v>0</v>
      </c>
      <c r="Z145" s="475">
        <f t="shared" si="21"/>
        <v>0</v>
      </c>
      <c r="AA145" s="475">
        <v>0</v>
      </c>
      <c r="AB145" s="476">
        <v>0</v>
      </c>
      <c r="AC145" s="38">
        <f t="shared" si="22"/>
        <v>0</v>
      </c>
      <c r="AD145" s="692">
        <f t="shared" si="16"/>
        <v>0</v>
      </c>
      <c r="AE145" s="692">
        <f t="shared" si="17"/>
        <v>0</v>
      </c>
      <c r="AF145" s="692">
        <f t="shared" si="18"/>
        <v>0</v>
      </c>
      <c r="AG145" s="38"/>
      <c r="AH145" s="692">
        <f t="shared" si="23"/>
        <v>0</v>
      </c>
      <c r="AI145" s="692">
        <f t="shared" si="24"/>
        <v>0</v>
      </c>
      <c r="AJ145" s="692">
        <f t="shared" si="25"/>
        <v>0</v>
      </c>
      <c r="AL145" s="38">
        <f t="shared" si="26"/>
        <v>0</v>
      </c>
      <c r="AM145" s="123" t="s">
        <v>481</v>
      </c>
    </row>
    <row r="146" spans="1:39" s="232" customFormat="1">
      <c r="A146" s="283"/>
      <c r="B146" s="283" t="s">
        <v>109</v>
      </c>
      <c r="C146" s="667" t="s">
        <v>555</v>
      </c>
      <c r="D146" s="123" t="s">
        <v>248</v>
      </c>
      <c r="E146" s="679"/>
      <c r="F146" s="529">
        <f>VLOOKUP(D146,'Apr14 Revenue'!D:V,19,FALSE)</f>
        <v>0</v>
      </c>
      <c r="G146" s="680"/>
      <c r="H146" s="680"/>
      <c r="I146" s="755"/>
      <c r="J146" s="682">
        <f>SUM(E146:I146)</f>
        <v>0</v>
      </c>
      <c r="K146" s="683"/>
      <c r="L146" s="684"/>
      <c r="M146" s="753"/>
      <c r="N146" s="683">
        <v>0</v>
      </c>
      <c r="O146" s="686"/>
      <c r="P146" s="683">
        <v>0</v>
      </c>
      <c r="Q146" s="687">
        <f t="shared" si="1"/>
        <v>0</v>
      </c>
      <c r="R146" s="687"/>
      <c r="S146" s="687"/>
      <c r="T146" s="688">
        <v>0</v>
      </c>
      <c r="U146" s="693"/>
      <c r="V146" s="690">
        <f t="shared" si="28"/>
        <v>0</v>
      </c>
      <c r="W146" s="683"/>
      <c r="X146" s="474">
        <f t="shared" si="19"/>
        <v>0</v>
      </c>
      <c r="Y146" s="474">
        <f t="shared" si="20"/>
        <v>0</v>
      </c>
      <c r="Z146" s="475">
        <f t="shared" si="21"/>
        <v>0</v>
      </c>
      <c r="AA146" s="475">
        <v>0</v>
      </c>
      <c r="AB146" s="476">
        <v>0</v>
      </c>
      <c r="AC146" s="38">
        <f t="shared" si="22"/>
        <v>0</v>
      </c>
      <c r="AD146" s="692">
        <f t="shared" si="16"/>
        <v>0</v>
      </c>
      <c r="AE146" s="692">
        <f t="shared" si="17"/>
        <v>0</v>
      </c>
      <c r="AF146" s="692">
        <f t="shared" si="18"/>
        <v>0</v>
      </c>
      <c r="AG146" s="38"/>
      <c r="AH146" s="692">
        <f t="shared" si="23"/>
        <v>0</v>
      </c>
      <c r="AI146" s="692">
        <f t="shared" si="24"/>
        <v>0</v>
      </c>
      <c r="AJ146" s="692">
        <f t="shared" si="25"/>
        <v>0</v>
      </c>
      <c r="AL146" s="38">
        <f t="shared" si="26"/>
        <v>0</v>
      </c>
      <c r="AM146" s="123" t="s">
        <v>248</v>
      </c>
    </row>
    <row r="147" spans="1:39" s="232" customFormat="1">
      <c r="A147" s="283"/>
      <c r="B147" s="20" t="s">
        <v>109</v>
      </c>
      <c r="C147" s="667"/>
      <c r="D147" s="68" t="s">
        <v>465</v>
      </c>
      <c r="E147" s="679"/>
      <c r="F147" s="529">
        <f>VLOOKUP(D147,'Apr14 Revenue'!D:V,19,FALSE)</f>
        <v>-15000</v>
      </c>
      <c r="G147" s="680"/>
      <c r="H147" s="680"/>
      <c r="I147" s="755"/>
      <c r="J147" s="682">
        <f t="shared" si="15"/>
        <v>-15000</v>
      </c>
      <c r="K147" s="683"/>
      <c r="L147" s="684"/>
      <c r="M147" s="753">
        <v>20000</v>
      </c>
      <c r="N147" s="683">
        <v>0</v>
      </c>
      <c r="O147" s="686"/>
      <c r="P147" s="683">
        <v>0</v>
      </c>
      <c r="Q147" s="687">
        <f t="shared" si="1"/>
        <v>20000</v>
      </c>
      <c r="R147" s="687"/>
      <c r="S147" s="687"/>
      <c r="T147" s="688">
        <v>0</v>
      </c>
      <c r="U147" s="693"/>
      <c r="V147" s="690">
        <f t="shared" si="28"/>
        <v>-20000</v>
      </c>
      <c r="W147" s="683"/>
      <c r="X147" s="474">
        <f t="shared" si="19"/>
        <v>0</v>
      </c>
      <c r="Y147" s="474">
        <f t="shared" si="20"/>
        <v>20000</v>
      </c>
      <c r="Z147" s="475">
        <f t="shared" si="21"/>
        <v>0</v>
      </c>
      <c r="AA147" s="475">
        <v>0</v>
      </c>
      <c r="AB147" s="476">
        <v>0</v>
      </c>
      <c r="AC147" s="38">
        <f t="shared" si="22"/>
        <v>0</v>
      </c>
      <c r="AD147" s="692">
        <f t="shared" si="16"/>
        <v>0</v>
      </c>
      <c r="AE147" s="692">
        <f t="shared" si="17"/>
        <v>-15000</v>
      </c>
      <c r="AF147" s="692">
        <f t="shared" si="18"/>
        <v>0</v>
      </c>
      <c r="AG147" s="38"/>
      <c r="AH147" s="692">
        <f t="shared" si="23"/>
        <v>0</v>
      </c>
      <c r="AI147" s="692">
        <f t="shared" si="24"/>
        <v>20000</v>
      </c>
      <c r="AJ147" s="692">
        <f t="shared" si="25"/>
        <v>0</v>
      </c>
      <c r="AL147" s="38">
        <f t="shared" si="26"/>
        <v>5000</v>
      </c>
      <c r="AM147" s="68" t="s">
        <v>465</v>
      </c>
    </row>
    <row r="148" spans="1:39">
      <c r="A148" s="21"/>
      <c r="B148" s="21" t="s">
        <v>110</v>
      </c>
      <c r="C148" s="666" t="s">
        <v>556</v>
      </c>
      <c r="D148" s="68" t="s">
        <v>261</v>
      </c>
      <c r="E148" s="679"/>
      <c r="F148" s="529">
        <f>VLOOKUP(D148,'Apr14 Revenue'!D:V,19,FALSE)</f>
        <v>1305.2900000000373</v>
      </c>
      <c r="G148" s="680"/>
      <c r="H148" s="680"/>
      <c r="I148" s="755"/>
      <c r="J148" s="682">
        <f t="shared" si="15"/>
        <v>1305.2900000000373</v>
      </c>
      <c r="K148" s="683"/>
      <c r="L148" s="684"/>
      <c r="M148" s="753">
        <v>320000</v>
      </c>
      <c r="N148" s="683">
        <v>0</v>
      </c>
      <c r="O148" s="686"/>
      <c r="P148" s="683">
        <v>0</v>
      </c>
      <c r="Q148" s="687">
        <f t="shared" si="1"/>
        <v>320000</v>
      </c>
      <c r="R148" s="687"/>
      <c r="S148" s="687"/>
      <c r="T148" s="688">
        <f>306345.26-T149</f>
        <v>291097.32</v>
      </c>
      <c r="U148" s="693"/>
      <c r="V148" s="690">
        <f t="shared" si="28"/>
        <v>-28902.679999999993</v>
      </c>
      <c r="W148" s="683"/>
      <c r="X148" s="474">
        <f t="shared" si="19"/>
        <v>320000</v>
      </c>
      <c r="Y148" s="474">
        <f t="shared" si="20"/>
        <v>0</v>
      </c>
      <c r="Z148" s="475">
        <f t="shared" si="21"/>
        <v>0</v>
      </c>
      <c r="AA148" s="475">
        <v>0</v>
      </c>
      <c r="AB148" s="476">
        <v>0</v>
      </c>
      <c r="AC148" s="38">
        <f t="shared" si="22"/>
        <v>0</v>
      </c>
      <c r="AD148" s="692">
        <f t="shared" si="16"/>
        <v>1305.2900000000373</v>
      </c>
      <c r="AE148" s="692">
        <f t="shared" si="17"/>
        <v>0</v>
      </c>
      <c r="AF148" s="692">
        <f t="shared" si="18"/>
        <v>0</v>
      </c>
      <c r="AG148" s="38"/>
      <c r="AH148" s="692">
        <f t="shared" si="23"/>
        <v>320000</v>
      </c>
      <c r="AI148" s="692">
        <f t="shared" si="24"/>
        <v>0</v>
      </c>
      <c r="AJ148" s="692">
        <f t="shared" si="25"/>
        <v>0</v>
      </c>
      <c r="AL148" s="38">
        <f t="shared" si="26"/>
        <v>321305.29000000004</v>
      </c>
      <c r="AM148" s="68" t="s">
        <v>261</v>
      </c>
    </row>
    <row r="149" spans="1:39" s="269" customFormat="1">
      <c r="A149" s="21"/>
      <c r="B149" s="21" t="s">
        <v>110</v>
      </c>
      <c r="C149" s="666" t="s">
        <v>556</v>
      </c>
      <c r="D149" s="68" t="s">
        <v>262</v>
      </c>
      <c r="E149" s="679"/>
      <c r="F149" s="529">
        <f>VLOOKUP(D149,'Apr14 Revenue'!D:V,19,FALSE)</f>
        <v>549.96999999999935</v>
      </c>
      <c r="G149" s="680"/>
      <c r="H149" s="680"/>
      <c r="I149" s="755"/>
      <c r="J149" s="682">
        <f t="shared" si="15"/>
        <v>549.96999999999935</v>
      </c>
      <c r="K149" s="683"/>
      <c r="L149" s="684"/>
      <c r="M149" s="753">
        <v>15000</v>
      </c>
      <c r="N149" s="683">
        <v>0</v>
      </c>
      <c r="O149" s="686"/>
      <c r="P149" s="683">
        <v>0</v>
      </c>
      <c r="Q149" s="687">
        <f t="shared" si="1"/>
        <v>15000</v>
      </c>
      <c r="R149" s="687"/>
      <c r="S149" s="687"/>
      <c r="T149" s="688">
        <v>15247.94</v>
      </c>
      <c r="U149" s="693"/>
      <c r="V149" s="690">
        <f t="shared" si="28"/>
        <v>247.94000000000051</v>
      </c>
      <c r="W149" s="683"/>
      <c r="X149" s="474">
        <f t="shared" si="19"/>
        <v>15000</v>
      </c>
      <c r="Y149" s="474">
        <f t="shared" si="20"/>
        <v>0</v>
      </c>
      <c r="Z149" s="475">
        <f t="shared" si="21"/>
        <v>0</v>
      </c>
      <c r="AA149" s="475">
        <v>0</v>
      </c>
      <c r="AB149" s="476">
        <v>0</v>
      </c>
      <c r="AC149" s="38">
        <f t="shared" si="22"/>
        <v>0</v>
      </c>
      <c r="AD149" s="692">
        <f t="shared" si="16"/>
        <v>549.96999999999935</v>
      </c>
      <c r="AE149" s="692">
        <f t="shared" si="17"/>
        <v>0</v>
      </c>
      <c r="AF149" s="692">
        <f t="shared" si="18"/>
        <v>0</v>
      </c>
      <c r="AG149" s="38"/>
      <c r="AH149" s="692">
        <f t="shared" si="23"/>
        <v>15000</v>
      </c>
      <c r="AI149" s="692">
        <f t="shared" si="24"/>
        <v>0</v>
      </c>
      <c r="AJ149" s="692">
        <f t="shared" si="25"/>
        <v>0</v>
      </c>
      <c r="AL149" s="38">
        <f t="shared" si="26"/>
        <v>15549.97</v>
      </c>
      <c r="AM149" s="68" t="s">
        <v>262</v>
      </c>
    </row>
    <row r="150" spans="1:39" s="269" customFormat="1">
      <c r="A150" s="21"/>
      <c r="B150" s="21" t="s">
        <v>114</v>
      </c>
      <c r="C150" s="675" t="s">
        <v>619</v>
      </c>
      <c r="D150" s="68" t="s">
        <v>626</v>
      </c>
      <c r="E150" s="679">
        <v>51612.36</v>
      </c>
      <c r="F150" s="529">
        <f>VLOOKUP(D150,'Apr14 Revenue'!D:V,19,FALSE)</f>
        <v>0</v>
      </c>
      <c r="G150" s="680"/>
      <c r="H150" s="680"/>
      <c r="I150" s="755"/>
      <c r="J150" s="682">
        <f t="shared" si="15"/>
        <v>51612.36</v>
      </c>
      <c r="K150" s="683"/>
      <c r="L150" s="684"/>
      <c r="M150" s="753">
        <v>10000</v>
      </c>
      <c r="N150" s="683">
        <v>0</v>
      </c>
      <c r="O150" s="686"/>
      <c r="P150" s="683">
        <v>0</v>
      </c>
      <c r="Q150" s="687">
        <f t="shared" ref="Q150:Q223" si="29">L150+M150</f>
        <v>10000</v>
      </c>
      <c r="R150" s="687"/>
      <c r="S150" s="687"/>
      <c r="T150" s="688">
        <v>0</v>
      </c>
      <c r="U150" s="693"/>
      <c r="V150" s="690">
        <f t="shared" si="28"/>
        <v>-10000</v>
      </c>
      <c r="W150" s="683"/>
      <c r="X150" s="474">
        <f t="shared" si="19"/>
        <v>0</v>
      </c>
      <c r="Y150" s="474">
        <f t="shared" si="20"/>
        <v>0</v>
      </c>
      <c r="Z150" s="475">
        <f t="shared" si="21"/>
        <v>10000</v>
      </c>
      <c r="AA150" s="475">
        <v>0</v>
      </c>
      <c r="AB150" s="476">
        <v>0</v>
      </c>
      <c r="AC150" s="38">
        <f t="shared" si="22"/>
        <v>0</v>
      </c>
      <c r="AD150" s="692">
        <f t="shared" si="16"/>
        <v>0</v>
      </c>
      <c r="AE150" s="692">
        <f t="shared" si="17"/>
        <v>0</v>
      </c>
      <c r="AF150" s="692">
        <f t="shared" si="18"/>
        <v>51612.36</v>
      </c>
      <c r="AG150" s="38"/>
      <c r="AH150" s="692">
        <f t="shared" si="23"/>
        <v>0</v>
      </c>
      <c r="AI150" s="692">
        <f t="shared" si="24"/>
        <v>0</v>
      </c>
      <c r="AJ150" s="692">
        <f t="shared" si="25"/>
        <v>10000</v>
      </c>
      <c r="AL150" s="38">
        <f t="shared" si="26"/>
        <v>61612.36</v>
      </c>
      <c r="AM150" s="68" t="s">
        <v>626</v>
      </c>
    </row>
    <row r="151" spans="1:39">
      <c r="A151" s="21"/>
      <c r="B151" s="21" t="s">
        <v>109</v>
      </c>
      <c r="C151" s="666"/>
      <c r="D151" s="68" t="s">
        <v>396</v>
      </c>
      <c r="E151" s="679"/>
      <c r="F151" s="529">
        <f>VLOOKUP(D151,'Apr14 Revenue'!D:V,19,FALSE)</f>
        <v>0</v>
      </c>
      <c r="G151" s="680"/>
      <c r="H151" s="680"/>
      <c r="I151" s="755"/>
      <c r="J151" s="682">
        <f t="shared" si="15"/>
        <v>0</v>
      </c>
      <c r="K151" s="683"/>
      <c r="L151" s="684"/>
      <c r="M151" s="753"/>
      <c r="N151" s="683">
        <v>0</v>
      </c>
      <c r="O151" s="686"/>
      <c r="P151" s="683">
        <v>0</v>
      </c>
      <c r="Q151" s="687">
        <f t="shared" si="29"/>
        <v>0</v>
      </c>
      <c r="R151" s="687"/>
      <c r="S151" s="687"/>
      <c r="T151" s="688">
        <v>0</v>
      </c>
      <c r="U151" s="693"/>
      <c r="V151" s="690">
        <f t="shared" si="28"/>
        <v>0</v>
      </c>
      <c r="W151" s="683"/>
      <c r="X151" s="474">
        <f t="shared" si="19"/>
        <v>0</v>
      </c>
      <c r="Y151" s="474">
        <f t="shared" si="20"/>
        <v>0</v>
      </c>
      <c r="Z151" s="475">
        <f t="shared" si="21"/>
        <v>0</v>
      </c>
      <c r="AA151" s="475">
        <v>0</v>
      </c>
      <c r="AB151" s="476">
        <v>0</v>
      </c>
      <c r="AC151" s="38">
        <f t="shared" si="22"/>
        <v>0</v>
      </c>
      <c r="AD151" s="692">
        <f t="shared" si="16"/>
        <v>0</v>
      </c>
      <c r="AE151" s="692">
        <f t="shared" si="17"/>
        <v>0</v>
      </c>
      <c r="AF151" s="692">
        <f t="shared" si="18"/>
        <v>0</v>
      </c>
      <c r="AG151" s="38"/>
      <c r="AH151" s="692">
        <f t="shared" si="23"/>
        <v>0</v>
      </c>
      <c r="AI151" s="692">
        <f t="shared" si="24"/>
        <v>0</v>
      </c>
      <c r="AJ151" s="692">
        <f t="shared" si="25"/>
        <v>0</v>
      </c>
      <c r="AL151" s="38">
        <f t="shared" si="26"/>
        <v>0</v>
      </c>
      <c r="AM151" s="68" t="s">
        <v>396</v>
      </c>
    </row>
    <row r="152" spans="1:39">
      <c r="A152" s="20"/>
      <c r="B152" s="20" t="s">
        <v>109</v>
      </c>
      <c r="C152" s="667" t="s">
        <v>557</v>
      </c>
      <c r="D152" s="68" t="s">
        <v>32</v>
      </c>
      <c r="E152" s="679"/>
      <c r="F152" s="529">
        <f>VLOOKUP(D152,'Apr14 Revenue'!D:V,19,FALSE)</f>
        <v>0</v>
      </c>
      <c r="G152" s="680"/>
      <c r="H152" s="680"/>
      <c r="I152" s="755"/>
      <c r="J152" s="682">
        <f t="shared" si="15"/>
        <v>0</v>
      </c>
      <c r="K152" s="683"/>
      <c r="L152" s="684"/>
      <c r="M152" s="753"/>
      <c r="N152" s="683">
        <v>0</v>
      </c>
      <c r="O152" s="686"/>
      <c r="P152" s="683">
        <v>0</v>
      </c>
      <c r="Q152" s="687">
        <f t="shared" si="29"/>
        <v>0</v>
      </c>
      <c r="R152" s="687"/>
      <c r="S152" s="687"/>
      <c r="T152" s="688">
        <v>0</v>
      </c>
      <c r="U152" s="693"/>
      <c r="V152" s="690">
        <f t="shared" si="28"/>
        <v>0</v>
      </c>
      <c r="W152" s="683"/>
      <c r="X152" s="474">
        <f t="shared" si="19"/>
        <v>0</v>
      </c>
      <c r="Y152" s="474">
        <f t="shared" si="20"/>
        <v>0</v>
      </c>
      <c r="Z152" s="475">
        <f t="shared" si="21"/>
        <v>0</v>
      </c>
      <c r="AA152" s="475">
        <v>0</v>
      </c>
      <c r="AB152" s="476">
        <v>0</v>
      </c>
      <c r="AC152" s="38">
        <f t="shared" si="22"/>
        <v>0</v>
      </c>
      <c r="AD152" s="692">
        <f t="shared" si="16"/>
        <v>0</v>
      </c>
      <c r="AE152" s="692">
        <f t="shared" si="17"/>
        <v>0</v>
      </c>
      <c r="AF152" s="692">
        <f t="shared" si="18"/>
        <v>0</v>
      </c>
      <c r="AG152" s="38"/>
      <c r="AH152" s="692">
        <f t="shared" si="23"/>
        <v>0</v>
      </c>
      <c r="AI152" s="692">
        <f t="shared" si="24"/>
        <v>0</v>
      </c>
      <c r="AJ152" s="692">
        <f t="shared" si="25"/>
        <v>0</v>
      </c>
      <c r="AL152" s="38">
        <f t="shared" si="26"/>
        <v>0</v>
      </c>
      <c r="AM152" s="68" t="s">
        <v>32</v>
      </c>
    </row>
    <row r="153" spans="1:39">
      <c r="A153" s="21"/>
      <c r="B153" s="21" t="s">
        <v>110</v>
      </c>
      <c r="C153" s="666"/>
      <c r="D153" s="68" t="s">
        <v>448</v>
      </c>
      <c r="E153" s="679"/>
      <c r="F153" s="529">
        <f>VLOOKUP(D153,'Apr14 Revenue'!D:V,19,FALSE)</f>
        <v>0</v>
      </c>
      <c r="G153" s="680"/>
      <c r="H153" s="680"/>
      <c r="I153" s="755"/>
      <c r="J153" s="682">
        <f t="shared" si="15"/>
        <v>0</v>
      </c>
      <c r="K153" s="683"/>
      <c r="L153" s="684"/>
      <c r="M153" s="753"/>
      <c r="N153" s="683">
        <v>0</v>
      </c>
      <c r="O153" s="686"/>
      <c r="P153" s="683">
        <v>0</v>
      </c>
      <c r="Q153" s="687">
        <f t="shared" si="29"/>
        <v>0</v>
      </c>
      <c r="R153" s="687"/>
      <c r="S153" s="687"/>
      <c r="T153" s="688">
        <v>0</v>
      </c>
      <c r="U153" s="693"/>
      <c r="V153" s="690">
        <f t="shared" si="28"/>
        <v>0</v>
      </c>
      <c r="W153" s="683"/>
      <c r="X153" s="474">
        <f t="shared" si="19"/>
        <v>0</v>
      </c>
      <c r="Y153" s="474">
        <f t="shared" si="20"/>
        <v>0</v>
      </c>
      <c r="Z153" s="475">
        <f t="shared" si="21"/>
        <v>0</v>
      </c>
      <c r="AA153" s="475">
        <v>0</v>
      </c>
      <c r="AB153" s="476">
        <v>0</v>
      </c>
      <c r="AC153" s="38">
        <f t="shared" si="22"/>
        <v>0</v>
      </c>
      <c r="AD153" s="692">
        <f t="shared" si="16"/>
        <v>0</v>
      </c>
      <c r="AE153" s="692">
        <f t="shared" si="17"/>
        <v>0</v>
      </c>
      <c r="AF153" s="692">
        <f t="shared" si="18"/>
        <v>0</v>
      </c>
      <c r="AG153" s="38"/>
      <c r="AH153" s="692">
        <f t="shared" si="23"/>
        <v>0</v>
      </c>
      <c r="AI153" s="692">
        <f t="shared" si="24"/>
        <v>0</v>
      </c>
      <c r="AJ153" s="692">
        <f t="shared" si="25"/>
        <v>0</v>
      </c>
      <c r="AL153" s="38">
        <f t="shared" si="26"/>
        <v>0</v>
      </c>
      <c r="AM153" s="68" t="s">
        <v>448</v>
      </c>
    </row>
    <row r="154" spans="1:39">
      <c r="A154" s="21"/>
      <c r="B154" s="21" t="s">
        <v>114</v>
      </c>
      <c r="C154" s="666"/>
      <c r="D154" s="68" t="s">
        <v>936</v>
      </c>
      <c r="E154" s="679"/>
      <c r="F154" s="529">
        <f>VLOOKUP(D154,'Apr14 Revenue'!D:V,19,FALSE)</f>
        <v>305.04000000000002</v>
      </c>
      <c r="G154" s="680"/>
      <c r="H154" s="680"/>
      <c r="I154" s="755"/>
      <c r="J154" s="682">
        <f t="shared" si="15"/>
        <v>305.04000000000002</v>
      </c>
      <c r="K154" s="683"/>
      <c r="L154" s="684"/>
      <c r="M154" s="753"/>
      <c r="N154" s="683">
        <v>0</v>
      </c>
      <c r="O154" s="686"/>
      <c r="P154" s="683">
        <v>0</v>
      </c>
      <c r="Q154" s="687">
        <f t="shared" si="29"/>
        <v>0</v>
      </c>
      <c r="R154" s="687"/>
      <c r="S154" s="687"/>
      <c r="T154" s="688">
        <v>373.74</v>
      </c>
      <c r="U154" s="693"/>
      <c r="V154" s="690">
        <f t="shared" si="28"/>
        <v>373.74</v>
      </c>
      <c r="W154" s="683"/>
      <c r="X154" s="474">
        <f t="shared" si="19"/>
        <v>0</v>
      </c>
      <c r="Y154" s="474">
        <f t="shared" si="20"/>
        <v>0</v>
      </c>
      <c r="Z154" s="475">
        <f t="shared" si="21"/>
        <v>0</v>
      </c>
      <c r="AA154" s="475">
        <v>0</v>
      </c>
      <c r="AB154" s="476">
        <v>0</v>
      </c>
      <c r="AC154" s="38">
        <f t="shared" si="22"/>
        <v>0</v>
      </c>
      <c r="AD154" s="692">
        <f t="shared" si="16"/>
        <v>0</v>
      </c>
      <c r="AE154" s="692">
        <f t="shared" si="17"/>
        <v>0</v>
      </c>
      <c r="AF154" s="692">
        <f t="shared" si="18"/>
        <v>305.04000000000002</v>
      </c>
      <c r="AG154" s="38"/>
      <c r="AH154" s="692">
        <f t="shared" si="23"/>
        <v>0</v>
      </c>
      <c r="AI154" s="692">
        <f t="shared" si="24"/>
        <v>0</v>
      </c>
      <c r="AJ154" s="692">
        <f t="shared" si="25"/>
        <v>0</v>
      </c>
      <c r="AL154" s="38">
        <f t="shared" si="26"/>
        <v>305.04000000000002</v>
      </c>
      <c r="AM154" s="68" t="s">
        <v>936</v>
      </c>
    </row>
    <row r="155" spans="1:39">
      <c r="A155" s="21"/>
      <c r="B155" s="21" t="s">
        <v>110</v>
      </c>
      <c r="C155" s="666"/>
      <c r="D155" s="68" t="s">
        <v>877</v>
      </c>
      <c r="E155" s="679"/>
      <c r="F155" s="529">
        <f>VLOOKUP(D155,'Apr14 Revenue'!D:V,19,FALSE)</f>
        <v>0</v>
      </c>
      <c r="G155" s="680"/>
      <c r="H155" s="680"/>
      <c r="I155" s="755"/>
      <c r="J155" s="682">
        <f t="shared" si="15"/>
        <v>0</v>
      </c>
      <c r="K155" s="683"/>
      <c r="L155" s="684"/>
      <c r="M155" s="753"/>
      <c r="N155" s="683">
        <v>0</v>
      </c>
      <c r="O155" s="686"/>
      <c r="P155" s="683">
        <v>0</v>
      </c>
      <c r="Q155" s="687">
        <f t="shared" si="29"/>
        <v>0</v>
      </c>
      <c r="R155" s="687"/>
      <c r="S155" s="687"/>
      <c r="T155" s="688">
        <v>0</v>
      </c>
      <c r="U155" s="693"/>
      <c r="V155" s="690">
        <f t="shared" si="28"/>
        <v>0</v>
      </c>
      <c r="W155" s="683"/>
      <c r="X155" s="474">
        <f t="shared" si="19"/>
        <v>0</v>
      </c>
      <c r="Y155" s="474">
        <f t="shared" si="20"/>
        <v>0</v>
      </c>
      <c r="Z155" s="475">
        <f t="shared" si="21"/>
        <v>0</v>
      </c>
      <c r="AA155" s="475">
        <v>0</v>
      </c>
      <c r="AB155" s="476">
        <v>0</v>
      </c>
      <c r="AC155" s="38">
        <f t="shared" si="22"/>
        <v>0</v>
      </c>
      <c r="AD155" s="692">
        <f t="shared" si="16"/>
        <v>0</v>
      </c>
      <c r="AE155" s="692">
        <f t="shared" si="17"/>
        <v>0</v>
      </c>
      <c r="AF155" s="692">
        <f t="shared" si="18"/>
        <v>0</v>
      </c>
      <c r="AG155" s="38"/>
      <c r="AH155" s="692">
        <f t="shared" si="23"/>
        <v>0</v>
      </c>
      <c r="AI155" s="692">
        <f t="shared" si="24"/>
        <v>0</v>
      </c>
      <c r="AJ155" s="692">
        <f t="shared" si="25"/>
        <v>0</v>
      </c>
      <c r="AL155" s="38">
        <f t="shared" si="26"/>
        <v>0</v>
      </c>
      <c r="AM155" s="68" t="s">
        <v>877</v>
      </c>
    </row>
    <row r="156" spans="1:39">
      <c r="A156" s="21"/>
      <c r="B156" s="21" t="s">
        <v>110</v>
      </c>
      <c r="C156" s="666" t="s">
        <v>558</v>
      </c>
      <c r="D156" s="68" t="s">
        <v>122</v>
      </c>
      <c r="E156" s="679"/>
      <c r="F156" s="529">
        <f>VLOOKUP(D156,'Apr14 Revenue'!D:V,19,FALSE)</f>
        <v>1319.42</v>
      </c>
      <c r="G156" s="680"/>
      <c r="H156" s="680"/>
      <c r="I156" s="755"/>
      <c r="J156" s="682">
        <f t="shared" si="15"/>
        <v>1319.42</v>
      </c>
      <c r="K156" s="683"/>
      <c r="L156" s="684"/>
      <c r="M156" s="753"/>
      <c r="N156" s="683">
        <v>0</v>
      </c>
      <c r="O156" s="686"/>
      <c r="P156" s="683">
        <v>0</v>
      </c>
      <c r="Q156" s="687">
        <f t="shared" si="29"/>
        <v>0</v>
      </c>
      <c r="R156" s="687"/>
      <c r="S156" s="687"/>
      <c r="T156" s="688">
        <v>1022.22</v>
      </c>
      <c r="U156" s="693"/>
      <c r="V156" s="690">
        <f t="shared" si="28"/>
        <v>1022.22</v>
      </c>
      <c r="W156" s="683"/>
      <c r="X156" s="474">
        <f t="shared" si="19"/>
        <v>0</v>
      </c>
      <c r="Y156" s="474">
        <f t="shared" si="20"/>
        <v>0</v>
      </c>
      <c r="Z156" s="475">
        <f t="shared" si="21"/>
        <v>0</v>
      </c>
      <c r="AA156" s="475">
        <v>0</v>
      </c>
      <c r="AB156" s="476">
        <v>0</v>
      </c>
      <c r="AC156" s="38">
        <f t="shared" si="22"/>
        <v>0</v>
      </c>
      <c r="AD156" s="692">
        <f t="shared" si="16"/>
        <v>1319.42</v>
      </c>
      <c r="AE156" s="692">
        <f t="shared" si="17"/>
        <v>0</v>
      </c>
      <c r="AF156" s="692">
        <f t="shared" si="18"/>
        <v>0</v>
      </c>
      <c r="AG156" s="38"/>
      <c r="AH156" s="692">
        <f t="shared" si="23"/>
        <v>0</v>
      </c>
      <c r="AI156" s="692">
        <f t="shared" si="24"/>
        <v>0</v>
      </c>
      <c r="AJ156" s="692">
        <f t="shared" si="25"/>
        <v>0</v>
      </c>
      <c r="AL156" s="38">
        <f t="shared" si="26"/>
        <v>1319.42</v>
      </c>
      <c r="AM156" s="68" t="s">
        <v>122</v>
      </c>
    </row>
    <row r="157" spans="1:39">
      <c r="A157" s="21"/>
      <c r="B157" s="21" t="s">
        <v>114</v>
      </c>
      <c r="C157" s="666" t="s">
        <v>558</v>
      </c>
      <c r="D157" s="68" t="s">
        <v>629</v>
      </c>
      <c r="E157" s="679"/>
      <c r="F157" s="529">
        <f>VLOOKUP(D157,'Apr14 Revenue'!D:V,19,FALSE)</f>
        <v>46.66</v>
      </c>
      <c r="G157" s="680"/>
      <c r="H157" s="680"/>
      <c r="I157" s="755"/>
      <c r="J157" s="682">
        <f t="shared" ref="J157:J227" si="30">SUM(E157:I157)</f>
        <v>46.66</v>
      </c>
      <c r="K157" s="683"/>
      <c r="L157" s="684"/>
      <c r="M157" s="753"/>
      <c r="N157" s="683">
        <v>0</v>
      </c>
      <c r="O157" s="686"/>
      <c r="P157" s="683">
        <v>0</v>
      </c>
      <c r="Q157" s="687">
        <f t="shared" si="29"/>
        <v>0</v>
      </c>
      <c r="R157" s="687"/>
      <c r="S157" s="687"/>
      <c r="T157" s="688">
        <v>33.42</v>
      </c>
      <c r="U157" s="693"/>
      <c r="V157" s="690">
        <f t="shared" si="28"/>
        <v>33.42</v>
      </c>
      <c r="W157" s="683"/>
      <c r="X157" s="474">
        <f t="shared" si="19"/>
        <v>0</v>
      </c>
      <c r="Y157" s="474">
        <f t="shared" si="20"/>
        <v>0</v>
      </c>
      <c r="Z157" s="475">
        <f t="shared" si="21"/>
        <v>0</v>
      </c>
      <c r="AA157" s="475">
        <v>0</v>
      </c>
      <c r="AB157" s="476">
        <v>0</v>
      </c>
      <c r="AC157" s="38">
        <f t="shared" si="22"/>
        <v>0</v>
      </c>
      <c r="AD157" s="692">
        <f t="shared" ref="AD157:AD227" si="31">IF(B157="D",J157,0)</f>
        <v>0</v>
      </c>
      <c r="AE157" s="692">
        <f t="shared" ref="AE157:AE227" si="32">IF(B157="M",J157,0)</f>
        <v>0</v>
      </c>
      <c r="AF157" s="692">
        <f t="shared" ref="AF157:AF227" si="33">IF(B157="V",J157,0)</f>
        <v>46.66</v>
      </c>
      <c r="AG157" s="38"/>
      <c r="AH157" s="692">
        <f t="shared" si="23"/>
        <v>0</v>
      </c>
      <c r="AI157" s="692">
        <f t="shared" si="24"/>
        <v>0</v>
      </c>
      <c r="AJ157" s="692">
        <f t="shared" si="25"/>
        <v>0</v>
      </c>
      <c r="AL157" s="38">
        <f t="shared" ref="AL157:AL227" si="34">SUM(AD157:AJ157)</f>
        <v>46.66</v>
      </c>
      <c r="AM157" s="68" t="s">
        <v>629</v>
      </c>
    </row>
    <row r="158" spans="1:39">
      <c r="A158" s="21"/>
      <c r="B158" s="21" t="s">
        <v>109</v>
      </c>
      <c r="C158" s="666" t="s">
        <v>559</v>
      </c>
      <c r="D158" s="68" t="s">
        <v>33</v>
      </c>
      <c r="E158" s="679"/>
      <c r="F158" s="529">
        <f>VLOOKUP(D158,'Apr14 Revenue'!D:V,19,FALSE)</f>
        <v>0</v>
      </c>
      <c r="G158" s="680"/>
      <c r="H158" s="680"/>
      <c r="I158" s="755"/>
      <c r="J158" s="682">
        <f t="shared" si="30"/>
        <v>0</v>
      </c>
      <c r="K158" s="683"/>
      <c r="L158" s="684"/>
      <c r="M158" s="753"/>
      <c r="N158" s="683">
        <v>0</v>
      </c>
      <c r="O158" s="686"/>
      <c r="P158" s="683">
        <v>0</v>
      </c>
      <c r="Q158" s="687">
        <f t="shared" si="29"/>
        <v>0</v>
      </c>
      <c r="R158" s="687"/>
      <c r="S158" s="687"/>
      <c r="T158" s="688">
        <v>0</v>
      </c>
      <c r="U158" s="693"/>
      <c r="V158" s="690">
        <f t="shared" si="28"/>
        <v>0</v>
      </c>
      <c r="W158" s="683"/>
      <c r="X158" s="474">
        <f t="shared" si="19"/>
        <v>0</v>
      </c>
      <c r="Y158" s="474">
        <f t="shared" si="20"/>
        <v>0</v>
      </c>
      <c r="Z158" s="475">
        <f t="shared" si="21"/>
        <v>0</v>
      </c>
      <c r="AA158" s="475">
        <v>0</v>
      </c>
      <c r="AB158" s="476">
        <v>0</v>
      </c>
      <c r="AC158" s="38">
        <f t="shared" si="22"/>
        <v>0</v>
      </c>
      <c r="AD158" s="692">
        <f t="shared" si="31"/>
        <v>0</v>
      </c>
      <c r="AE158" s="692">
        <f t="shared" si="32"/>
        <v>0</v>
      </c>
      <c r="AF158" s="692">
        <f t="shared" si="33"/>
        <v>0</v>
      </c>
      <c r="AG158" s="38"/>
      <c r="AH158" s="692">
        <f t="shared" ref="AH158:AH228" si="35">IF(B158="D",Q158,0)</f>
        <v>0</v>
      </c>
      <c r="AI158" s="692">
        <f t="shared" ref="AI158:AI228" si="36">IF(B158="M",Q158,0)</f>
        <v>0</v>
      </c>
      <c r="AJ158" s="692">
        <f t="shared" ref="AJ158:AJ228" si="37">IF(B158="V",Q158,0)</f>
        <v>0</v>
      </c>
      <c r="AL158" s="38">
        <f t="shared" si="34"/>
        <v>0</v>
      </c>
      <c r="AM158" s="68" t="s">
        <v>33</v>
      </c>
    </row>
    <row r="159" spans="1:39">
      <c r="A159" s="21"/>
      <c r="B159" s="21" t="s">
        <v>109</v>
      </c>
      <c r="C159" s="666" t="s">
        <v>560</v>
      </c>
      <c r="D159" s="68" t="s">
        <v>379</v>
      </c>
      <c r="E159" s="679"/>
      <c r="F159" s="529">
        <f>VLOOKUP(D159,'Apr14 Revenue'!D:V,19,FALSE)</f>
        <v>0</v>
      </c>
      <c r="G159" s="680"/>
      <c r="H159" s="680"/>
      <c r="I159" s="755"/>
      <c r="J159" s="682">
        <f t="shared" si="30"/>
        <v>0</v>
      </c>
      <c r="K159" s="683"/>
      <c r="L159" s="684"/>
      <c r="M159" s="753"/>
      <c r="N159" s="683">
        <v>0</v>
      </c>
      <c r="O159" s="686"/>
      <c r="P159" s="683">
        <v>0</v>
      </c>
      <c r="Q159" s="687">
        <f t="shared" si="29"/>
        <v>0</v>
      </c>
      <c r="R159" s="687"/>
      <c r="S159" s="687"/>
      <c r="T159" s="688">
        <v>0</v>
      </c>
      <c r="U159" s="693"/>
      <c r="V159" s="690">
        <f t="shared" si="28"/>
        <v>0</v>
      </c>
      <c r="W159" s="683"/>
      <c r="X159" s="474">
        <f t="shared" ref="X159:X229" si="38">IF(B159="D",Q159,0)</f>
        <v>0</v>
      </c>
      <c r="Y159" s="474">
        <f t="shared" ref="Y159:Y229" si="39">IF(B159="M",Q159,0)</f>
        <v>0</v>
      </c>
      <c r="Z159" s="475">
        <f t="shared" ref="Z159:Z229" si="40">IF(B159="V",Q159,0)</f>
        <v>0</v>
      </c>
      <c r="AA159" s="475">
        <v>0</v>
      </c>
      <c r="AB159" s="476">
        <v>0</v>
      </c>
      <c r="AC159" s="38">
        <f t="shared" ref="AC159:AC229" si="41">(L159+M159)-(X159+Y159+Z159+AA159+AB159)</f>
        <v>0</v>
      </c>
      <c r="AD159" s="692">
        <f t="shared" si="31"/>
        <v>0</v>
      </c>
      <c r="AE159" s="692">
        <f t="shared" si="32"/>
        <v>0</v>
      </c>
      <c r="AF159" s="692">
        <f t="shared" si="33"/>
        <v>0</v>
      </c>
      <c r="AG159" s="38"/>
      <c r="AH159" s="692">
        <f t="shared" si="35"/>
        <v>0</v>
      </c>
      <c r="AI159" s="692">
        <f t="shared" si="36"/>
        <v>0</v>
      </c>
      <c r="AJ159" s="692">
        <f t="shared" si="37"/>
        <v>0</v>
      </c>
      <c r="AL159" s="38">
        <f t="shared" si="34"/>
        <v>0</v>
      </c>
      <c r="AM159" s="68" t="s">
        <v>379</v>
      </c>
    </row>
    <row r="160" spans="1:39" s="232" customFormat="1">
      <c r="A160" s="283"/>
      <c r="B160" s="283" t="s">
        <v>114</v>
      </c>
      <c r="C160" s="667"/>
      <c r="D160" s="567" t="s">
        <v>408</v>
      </c>
      <c r="E160" s="679"/>
      <c r="F160" s="529">
        <f>VLOOKUP(D160,'Apr14 Revenue'!D:V,19,FALSE)</f>
        <v>0</v>
      </c>
      <c r="G160" s="680"/>
      <c r="H160" s="680"/>
      <c r="I160" s="770">
        <v>17400</v>
      </c>
      <c r="J160" s="682">
        <f t="shared" si="30"/>
        <v>17400</v>
      </c>
      <c r="K160" s="683"/>
      <c r="L160" s="684"/>
      <c r="M160" s="753"/>
      <c r="N160" s="683">
        <v>0</v>
      </c>
      <c r="O160" s="686"/>
      <c r="P160" s="683">
        <v>0</v>
      </c>
      <c r="Q160" s="687">
        <f t="shared" si="29"/>
        <v>0</v>
      </c>
      <c r="R160" s="687"/>
      <c r="S160" s="687"/>
      <c r="T160" s="688">
        <v>0</v>
      </c>
      <c r="U160" s="693"/>
      <c r="V160" s="690">
        <f t="shared" si="28"/>
        <v>0</v>
      </c>
      <c r="W160" s="683"/>
      <c r="X160" s="474">
        <f t="shared" si="38"/>
        <v>0</v>
      </c>
      <c r="Y160" s="474">
        <f t="shared" si="39"/>
        <v>0</v>
      </c>
      <c r="Z160" s="475">
        <f t="shared" si="40"/>
        <v>0</v>
      </c>
      <c r="AA160" s="475">
        <v>0</v>
      </c>
      <c r="AB160" s="476">
        <v>0</v>
      </c>
      <c r="AC160" s="38">
        <f t="shared" si="41"/>
        <v>0</v>
      </c>
      <c r="AD160" s="692">
        <f t="shared" si="31"/>
        <v>0</v>
      </c>
      <c r="AE160" s="692">
        <f t="shared" si="32"/>
        <v>0</v>
      </c>
      <c r="AF160" s="692">
        <f t="shared" si="33"/>
        <v>17400</v>
      </c>
      <c r="AG160" s="38"/>
      <c r="AH160" s="692">
        <f t="shared" si="35"/>
        <v>0</v>
      </c>
      <c r="AI160" s="692">
        <f t="shared" si="36"/>
        <v>0</v>
      </c>
      <c r="AJ160" s="692">
        <f t="shared" si="37"/>
        <v>0</v>
      </c>
      <c r="AL160" s="38">
        <f t="shared" si="34"/>
        <v>17400</v>
      </c>
      <c r="AM160" s="567" t="s">
        <v>408</v>
      </c>
    </row>
    <row r="161" spans="1:39" s="232" customFormat="1">
      <c r="A161" s="283"/>
      <c r="B161" s="283" t="s">
        <v>110</v>
      </c>
      <c r="C161" s="667"/>
      <c r="D161" s="567" t="s">
        <v>1053</v>
      </c>
      <c r="E161" s="679"/>
      <c r="F161" s="529">
        <f>VLOOKUP(D161,'Apr14 Revenue'!D:V,19,FALSE)</f>
        <v>-599.90000000000146</v>
      </c>
      <c r="G161" s="680"/>
      <c r="H161" s="680"/>
      <c r="I161" s="755"/>
      <c r="J161" s="682">
        <f t="shared" si="30"/>
        <v>-599.90000000000146</v>
      </c>
      <c r="K161" s="683"/>
      <c r="L161" s="684"/>
      <c r="M161" s="753">
        <v>35000</v>
      </c>
      <c r="N161" s="683">
        <v>0</v>
      </c>
      <c r="O161" s="686"/>
      <c r="P161" s="683">
        <v>0</v>
      </c>
      <c r="Q161" s="687">
        <f t="shared" si="29"/>
        <v>35000</v>
      </c>
      <c r="R161" s="687"/>
      <c r="S161" s="687"/>
      <c r="T161" s="688">
        <v>35323.4</v>
      </c>
      <c r="U161" s="693"/>
      <c r="V161" s="690">
        <f t="shared" si="28"/>
        <v>323.40000000000146</v>
      </c>
      <c r="W161" s="683"/>
      <c r="X161" s="474">
        <f t="shared" si="38"/>
        <v>35000</v>
      </c>
      <c r="Y161" s="474">
        <f t="shared" si="39"/>
        <v>0</v>
      </c>
      <c r="Z161" s="475">
        <f t="shared" si="40"/>
        <v>0</v>
      </c>
      <c r="AA161" s="475">
        <v>0</v>
      </c>
      <c r="AB161" s="476">
        <v>0</v>
      </c>
      <c r="AC161" s="38">
        <f t="shared" si="41"/>
        <v>0</v>
      </c>
      <c r="AD161" s="692">
        <f t="shared" si="31"/>
        <v>-599.90000000000146</v>
      </c>
      <c r="AE161" s="692">
        <f t="shared" si="32"/>
        <v>0</v>
      </c>
      <c r="AF161" s="692">
        <f t="shared" si="33"/>
        <v>0</v>
      </c>
      <c r="AG161" s="38"/>
      <c r="AH161" s="692">
        <f t="shared" si="35"/>
        <v>35000</v>
      </c>
      <c r="AI161" s="692">
        <f t="shared" si="36"/>
        <v>0</v>
      </c>
      <c r="AJ161" s="692">
        <f t="shared" si="37"/>
        <v>0</v>
      </c>
      <c r="AL161" s="38">
        <f t="shared" si="34"/>
        <v>34400.1</v>
      </c>
      <c r="AM161" s="567" t="s">
        <v>445</v>
      </c>
    </row>
    <row r="162" spans="1:39" s="232" customFormat="1">
      <c r="A162" s="283"/>
      <c r="B162" s="283" t="s">
        <v>109</v>
      </c>
      <c r="C162" s="667" t="s">
        <v>562</v>
      </c>
      <c r="D162" s="567" t="s">
        <v>480</v>
      </c>
      <c r="E162" s="679"/>
      <c r="F162" s="529">
        <f>VLOOKUP(D162,'Apr14 Revenue'!D:V,19,FALSE)</f>
        <v>0</v>
      </c>
      <c r="G162" s="680"/>
      <c r="H162" s="680"/>
      <c r="I162" s="770">
        <v>10937.45</v>
      </c>
      <c r="J162" s="682">
        <f t="shared" si="30"/>
        <v>10937.45</v>
      </c>
      <c r="K162" s="683"/>
      <c r="L162" s="684"/>
      <c r="M162" s="753"/>
      <c r="N162" s="683">
        <v>0</v>
      </c>
      <c r="O162" s="686"/>
      <c r="P162" s="683">
        <v>0</v>
      </c>
      <c r="Q162" s="687">
        <f t="shared" si="29"/>
        <v>0</v>
      </c>
      <c r="R162" s="687"/>
      <c r="S162" s="687"/>
      <c r="T162" s="688">
        <v>0</v>
      </c>
      <c r="U162" s="693"/>
      <c r="V162" s="690">
        <f t="shared" si="28"/>
        <v>0</v>
      </c>
      <c r="W162" s="683"/>
      <c r="X162" s="474">
        <f t="shared" si="38"/>
        <v>0</v>
      </c>
      <c r="Y162" s="474">
        <f t="shared" si="39"/>
        <v>0</v>
      </c>
      <c r="Z162" s="475">
        <f t="shared" si="40"/>
        <v>0</v>
      </c>
      <c r="AA162" s="475">
        <v>0</v>
      </c>
      <c r="AB162" s="476">
        <v>0</v>
      </c>
      <c r="AC162" s="38">
        <f t="shared" si="41"/>
        <v>0</v>
      </c>
      <c r="AD162" s="692">
        <f t="shared" si="31"/>
        <v>0</v>
      </c>
      <c r="AE162" s="692">
        <f t="shared" si="32"/>
        <v>10937.45</v>
      </c>
      <c r="AF162" s="692">
        <f t="shared" si="33"/>
        <v>0</v>
      </c>
      <c r="AG162" s="38"/>
      <c r="AH162" s="692">
        <f t="shared" si="35"/>
        <v>0</v>
      </c>
      <c r="AI162" s="692">
        <f t="shared" si="36"/>
        <v>0</v>
      </c>
      <c r="AJ162" s="692">
        <f t="shared" si="37"/>
        <v>0</v>
      </c>
      <c r="AL162" s="38">
        <f t="shared" si="34"/>
        <v>10937.45</v>
      </c>
      <c r="AM162" s="567" t="s">
        <v>480</v>
      </c>
    </row>
    <row r="163" spans="1:39" s="232" customFormat="1">
      <c r="A163" s="403"/>
      <c r="B163" s="403" t="s">
        <v>109</v>
      </c>
      <c r="C163" s="666" t="s">
        <v>563</v>
      </c>
      <c r="D163" s="807" t="s">
        <v>327</v>
      </c>
      <c r="E163" s="679"/>
      <c r="F163" s="529">
        <f>VLOOKUP(D163,'Apr14 Revenue'!D:V,19,FALSE)</f>
        <v>-35000</v>
      </c>
      <c r="G163" s="680"/>
      <c r="H163" s="680"/>
      <c r="I163" s="755"/>
      <c r="J163" s="682">
        <f t="shared" si="30"/>
        <v>-35000</v>
      </c>
      <c r="K163" s="683"/>
      <c r="L163" s="684"/>
      <c r="M163" s="753">
        <v>70000</v>
      </c>
      <c r="N163" s="683">
        <v>0</v>
      </c>
      <c r="O163" s="686"/>
      <c r="P163" s="683">
        <v>0</v>
      </c>
      <c r="Q163" s="687">
        <f t="shared" si="29"/>
        <v>70000</v>
      </c>
      <c r="R163" s="687"/>
      <c r="S163" s="687"/>
      <c r="T163" s="688">
        <v>35916.629999999997</v>
      </c>
      <c r="U163" s="693"/>
      <c r="V163" s="690">
        <f t="shared" si="28"/>
        <v>-34083.370000000003</v>
      </c>
      <c r="W163" s="683"/>
      <c r="X163" s="474">
        <f t="shared" si="38"/>
        <v>0</v>
      </c>
      <c r="Y163" s="474">
        <f t="shared" si="39"/>
        <v>70000</v>
      </c>
      <c r="Z163" s="475">
        <f t="shared" si="40"/>
        <v>0</v>
      </c>
      <c r="AA163" s="475">
        <v>0</v>
      </c>
      <c r="AB163" s="476">
        <v>0</v>
      </c>
      <c r="AC163" s="38">
        <f t="shared" si="41"/>
        <v>0</v>
      </c>
      <c r="AD163" s="692">
        <f t="shared" si="31"/>
        <v>0</v>
      </c>
      <c r="AE163" s="692">
        <f t="shared" si="32"/>
        <v>-35000</v>
      </c>
      <c r="AF163" s="692">
        <f t="shared" si="33"/>
        <v>0</v>
      </c>
      <c r="AG163" s="38"/>
      <c r="AH163" s="692">
        <f t="shared" si="35"/>
        <v>0</v>
      </c>
      <c r="AI163" s="692">
        <f t="shared" si="36"/>
        <v>70000</v>
      </c>
      <c r="AJ163" s="692">
        <f t="shared" si="37"/>
        <v>0</v>
      </c>
      <c r="AL163" s="38">
        <f t="shared" si="34"/>
        <v>35000</v>
      </c>
      <c r="AM163" s="807" t="s">
        <v>327</v>
      </c>
    </row>
    <row r="164" spans="1:39" s="232" customFormat="1">
      <c r="A164" s="403"/>
      <c r="B164" s="403" t="s">
        <v>110</v>
      </c>
      <c r="C164" s="666" t="s">
        <v>563</v>
      </c>
      <c r="D164" s="123" t="s">
        <v>637</v>
      </c>
      <c r="E164" s="679"/>
      <c r="F164" s="529">
        <f>VLOOKUP(D164,'Apr14 Revenue'!D:V,19,FALSE)</f>
        <v>0</v>
      </c>
      <c r="G164" s="680"/>
      <c r="H164" s="680"/>
      <c r="I164" s="755"/>
      <c r="J164" s="682">
        <f t="shared" si="30"/>
        <v>0</v>
      </c>
      <c r="K164" s="683"/>
      <c r="L164" s="684"/>
      <c r="M164" s="753"/>
      <c r="N164" s="683">
        <v>0</v>
      </c>
      <c r="O164" s="686"/>
      <c r="P164" s="683">
        <v>0</v>
      </c>
      <c r="Q164" s="687">
        <f t="shared" si="29"/>
        <v>0</v>
      </c>
      <c r="R164" s="687"/>
      <c r="S164" s="687"/>
      <c r="T164" s="688">
        <v>0</v>
      </c>
      <c r="U164" s="693"/>
      <c r="V164" s="690">
        <f t="shared" si="28"/>
        <v>0</v>
      </c>
      <c r="W164" s="683"/>
      <c r="X164" s="474">
        <f t="shared" si="38"/>
        <v>0</v>
      </c>
      <c r="Y164" s="474">
        <f t="shared" si="39"/>
        <v>0</v>
      </c>
      <c r="Z164" s="475">
        <f t="shared" si="40"/>
        <v>0</v>
      </c>
      <c r="AA164" s="475">
        <v>0</v>
      </c>
      <c r="AB164" s="476">
        <v>0</v>
      </c>
      <c r="AC164" s="38">
        <f t="shared" si="41"/>
        <v>0</v>
      </c>
      <c r="AD164" s="692">
        <f t="shared" si="31"/>
        <v>0</v>
      </c>
      <c r="AE164" s="692">
        <f t="shared" si="32"/>
        <v>0</v>
      </c>
      <c r="AF164" s="692">
        <f t="shared" si="33"/>
        <v>0</v>
      </c>
      <c r="AG164" s="38"/>
      <c r="AH164" s="692">
        <f t="shared" si="35"/>
        <v>0</v>
      </c>
      <c r="AI164" s="692">
        <f t="shared" si="36"/>
        <v>0</v>
      </c>
      <c r="AJ164" s="692">
        <f t="shared" si="37"/>
        <v>0</v>
      </c>
      <c r="AL164" s="38">
        <f t="shared" si="34"/>
        <v>0</v>
      </c>
      <c r="AM164" s="123" t="s">
        <v>637</v>
      </c>
    </row>
    <row r="165" spans="1:39">
      <c r="A165" s="21"/>
      <c r="B165" s="21" t="s">
        <v>110</v>
      </c>
      <c r="C165" s="666"/>
      <c r="D165" s="68" t="s">
        <v>232</v>
      </c>
      <c r="E165" s="679"/>
      <c r="F165" s="529">
        <f>VLOOKUP(D165,'Apr14 Revenue'!D:V,19,FALSE)</f>
        <v>-13000</v>
      </c>
      <c r="G165" s="680"/>
      <c r="H165" s="680"/>
      <c r="I165" s="755"/>
      <c r="J165" s="682">
        <f t="shared" si="30"/>
        <v>-13000</v>
      </c>
      <c r="K165" s="683"/>
      <c r="L165" s="684"/>
      <c r="M165" s="753">
        <v>16000</v>
      </c>
      <c r="N165" s="683">
        <v>0</v>
      </c>
      <c r="O165" s="686"/>
      <c r="P165" s="683">
        <v>0</v>
      </c>
      <c r="Q165" s="687">
        <f t="shared" si="29"/>
        <v>16000</v>
      </c>
      <c r="R165" s="687"/>
      <c r="S165" s="687"/>
      <c r="T165" s="688">
        <v>0</v>
      </c>
      <c r="U165" s="693"/>
      <c r="V165" s="690">
        <f t="shared" si="28"/>
        <v>-16000</v>
      </c>
      <c r="W165" s="683"/>
      <c r="X165" s="474">
        <f t="shared" si="38"/>
        <v>16000</v>
      </c>
      <c r="Y165" s="474">
        <f t="shared" si="39"/>
        <v>0</v>
      </c>
      <c r="Z165" s="475">
        <f t="shared" si="40"/>
        <v>0</v>
      </c>
      <c r="AA165" s="475">
        <v>0</v>
      </c>
      <c r="AB165" s="476">
        <v>0</v>
      </c>
      <c r="AC165" s="38">
        <f t="shared" si="41"/>
        <v>0</v>
      </c>
      <c r="AD165" s="692">
        <f t="shared" si="31"/>
        <v>-13000</v>
      </c>
      <c r="AE165" s="692">
        <f t="shared" si="32"/>
        <v>0</v>
      </c>
      <c r="AF165" s="692">
        <f t="shared" si="33"/>
        <v>0</v>
      </c>
      <c r="AG165" s="38"/>
      <c r="AH165" s="692">
        <f t="shared" si="35"/>
        <v>16000</v>
      </c>
      <c r="AI165" s="692">
        <f t="shared" si="36"/>
        <v>0</v>
      </c>
      <c r="AJ165" s="692">
        <f t="shared" si="37"/>
        <v>0</v>
      </c>
      <c r="AL165" s="38">
        <f t="shared" si="34"/>
        <v>3000</v>
      </c>
      <c r="AM165" s="68" t="s">
        <v>232</v>
      </c>
    </row>
    <row r="166" spans="1:39" hidden="1">
      <c r="A166" s="21"/>
      <c r="B166" s="21" t="s">
        <v>109</v>
      </c>
      <c r="C166" s="666" t="s">
        <v>564</v>
      </c>
      <c r="D166" s="68" t="s">
        <v>876</v>
      </c>
      <c r="E166" s="679"/>
      <c r="F166" s="529">
        <f>VLOOKUP(D166,'Apr14 Revenue'!D:V,19,FALSE)</f>
        <v>0</v>
      </c>
      <c r="G166" s="680"/>
      <c r="H166" s="680"/>
      <c r="I166" s="755"/>
      <c r="J166" s="682">
        <f t="shared" si="30"/>
        <v>0</v>
      </c>
      <c r="K166" s="683"/>
      <c r="L166" s="684"/>
      <c r="M166" s="753"/>
      <c r="N166" s="683">
        <v>0</v>
      </c>
      <c r="O166" s="686"/>
      <c r="P166" s="683">
        <v>0</v>
      </c>
      <c r="Q166" s="687">
        <f t="shared" si="29"/>
        <v>0</v>
      </c>
      <c r="R166" s="687"/>
      <c r="S166" s="687"/>
      <c r="T166" s="688">
        <v>0</v>
      </c>
      <c r="U166" s="693"/>
      <c r="V166" s="690">
        <f t="shared" si="28"/>
        <v>0</v>
      </c>
      <c r="W166" s="683"/>
      <c r="X166" s="474">
        <f t="shared" si="38"/>
        <v>0</v>
      </c>
      <c r="Y166" s="474">
        <f t="shared" si="39"/>
        <v>0</v>
      </c>
      <c r="Z166" s="475">
        <f t="shared" si="40"/>
        <v>0</v>
      </c>
      <c r="AA166" s="475">
        <v>0</v>
      </c>
      <c r="AB166" s="476">
        <v>0</v>
      </c>
      <c r="AC166" s="38">
        <f t="shared" si="41"/>
        <v>0</v>
      </c>
      <c r="AD166" s="692">
        <f t="shared" si="31"/>
        <v>0</v>
      </c>
      <c r="AE166" s="692">
        <f t="shared" si="32"/>
        <v>0</v>
      </c>
      <c r="AF166" s="692">
        <f t="shared" si="33"/>
        <v>0</v>
      </c>
      <c r="AG166" s="38"/>
      <c r="AH166" s="692">
        <f t="shared" si="35"/>
        <v>0</v>
      </c>
      <c r="AI166" s="692">
        <f t="shared" si="36"/>
        <v>0</v>
      </c>
      <c r="AJ166" s="692">
        <f t="shared" si="37"/>
        <v>0</v>
      </c>
      <c r="AL166" s="38">
        <f t="shared" si="34"/>
        <v>0</v>
      </c>
      <c r="AM166" s="68" t="s">
        <v>876</v>
      </c>
    </row>
    <row r="167" spans="1:39" hidden="1">
      <c r="A167" s="21"/>
      <c r="B167" s="21" t="s">
        <v>109</v>
      </c>
      <c r="C167" s="666" t="s">
        <v>564</v>
      </c>
      <c r="D167" s="68" t="s">
        <v>307</v>
      </c>
      <c r="E167" s="679"/>
      <c r="F167" s="529">
        <f>VLOOKUP(D167,'Apr14 Revenue'!D:V,19,FALSE)</f>
        <v>0</v>
      </c>
      <c r="G167" s="680"/>
      <c r="H167" s="680"/>
      <c r="I167" s="755"/>
      <c r="J167" s="682">
        <f t="shared" si="30"/>
        <v>0</v>
      </c>
      <c r="K167" s="683"/>
      <c r="L167" s="684"/>
      <c r="M167" s="753"/>
      <c r="N167" s="683">
        <v>0</v>
      </c>
      <c r="O167" s="686"/>
      <c r="P167" s="683">
        <v>0</v>
      </c>
      <c r="Q167" s="687">
        <f t="shared" si="29"/>
        <v>0</v>
      </c>
      <c r="R167" s="687"/>
      <c r="S167" s="687"/>
      <c r="T167" s="688">
        <v>0</v>
      </c>
      <c r="U167" s="693"/>
      <c r="V167" s="690">
        <f t="shared" si="28"/>
        <v>0</v>
      </c>
      <c r="W167" s="683"/>
      <c r="X167" s="474">
        <f t="shared" si="38"/>
        <v>0</v>
      </c>
      <c r="Y167" s="474">
        <f t="shared" si="39"/>
        <v>0</v>
      </c>
      <c r="Z167" s="475">
        <f t="shared" si="40"/>
        <v>0</v>
      </c>
      <c r="AA167" s="475">
        <v>0</v>
      </c>
      <c r="AB167" s="476">
        <v>0</v>
      </c>
      <c r="AC167" s="38">
        <f t="shared" si="41"/>
        <v>0</v>
      </c>
      <c r="AD167" s="692">
        <f t="shared" si="31"/>
        <v>0</v>
      </c>
      <c r="AE167" s="692">
        <f t="shared" si="32"/>
        <v>0</v>
      </c>
      <c r="AF167" s="692">
        <f t="shared" si="33"/>
        <v>0</v>
      </c>
      <c r="AG167" s="38"/>
      <c r="AH167" s="692">
        <f t="shared" si="35"/>
        <v>0</v>
      </c>
      <c r="AI167" s="692">
        <f t="shared" si="36"/>
        <v>0</v>
      </c>
      <c r="AJ167" s="692">
        <f t="shared" si="37"/>
        <v>0</v>
      </c>
      <c r="AL167" s="38">
        <f t="shared" si="34"/>
        <v>0</v>
      </c>
      <c r="AM167" s="68" t="s">
        <v>307</v>
      </c>
    </row>
    <row r="168" spans="1:39">
      <c r="A168" s="21"/>
      <c r="B168" s="21" t="s">
        <v>109</v>
      </c>
      <c r="C168" s="666" t="s">
        <v>565</v>
      </c>
      <c r="D168" s="68" t="s">
        <v>485</v>
      </c>
      <c r="E168" s="679"/>
      <c r="F168" s="529">
        <f>VLOOKUP(D168,'Apr14 Revenue'!D:V,19,FALSE)</f>
        <v>-18020.790000000008</v>
      </c>
      <c r="G168" s="680"/>
      <c r="H168" s="680"/>
      <c r="I168" s="755"/>
      <c r="J168" s="682">
        <f t="shared" si="30"/>
        <v>-18020.790000000008</v>
      </c>
      <c r="K168" s="683"/>
      <c r="L168" s="684"/>
      <c r="M168" s="753">
        <v>130000</v>
      </c>
      <c r="N168" s="683"/>
      <c r="O168" s="686"/>
      <c r="P168" s="683"/>
      <c r="Q168" s="687">
        <f t="shared" si="29"/>
        <v>130000</v>
      </c>
      <c r="R168" s="687"/>
      <c r="S168" s="687"/>
      <c r="T168" s="749">
        <f>3466.02+2168.55+7055.67+2317.97+12163.98+9405.81+14440.77+1476.15+553.59+1250.58+60127.04</f>
        <v>114426.13</v>
      </c>
      <c r="U168" s="693"/>
      <c r="V168" s="690">
        <f t="shared" si="28"/>
        <v>-15573.869999999995</v>
      </c>
      <c r="W168" s="683"/>
      <c r="X168" s="474">
        <f t="shared" si="38"/>
        <v>0</v>
      </c>
      <c r="Y168" s="474">
        <f t="shared" si="39"/>
        <v>130000</v>
      </c>
      <c r="Z168" s="475">
        <f t="shared" si="40"/>
        <v>0</v>
      </c>
      <c r="AA168" s="475">
        <v>0</v>
      </c>
      <c r="AB168" s="476">
        <v>0</v>
      </c>
      <c r="AC168" s="38">
        <f t="shared" si="41"/>
        <v>0</v>
      </c>
      <c r="AD168" s="692">
        <f t="shared" si="31"/>
        <v>0</v>
      </c>
      <c r="AE168" s="692">
        <f t="shared" si="32"/>
        <v>-18020.790000000008</v>
      </c>
      <c r="AF168" s="692">
        <f t="shared" si="33"/>
        <v>0</v>
      </c>
      <c r="AG168" s="38"/>
      <c r="AH168" s="692">
        <f t="shared" si="35"/>
        <v>0</v>
      </c>
      <c r="AI168" s="692">
        <f t="shared" si="36"/>
        <v>130000</v>
      </c>
      <c r="AJ168" s="692">
        <f t="shared" si="37"/>
        <v>0</v>
      </c>
      <c r="AL168" s="38">
        <f t="shared" si="34"/>
        <v>111979.20999999999</v>
      </c>
      <c r="AM168" s="68" t="s">
        <v>485</v>
      </c>
    </row>
    <row r="169" spans="1:39" s="232" customFormat="1">
      <c r="A169" s="403"/>
      <c r="B169" s="403" t="s">
        <v>109</v>
      </c>
      <c r="C169" s="666"/>
      <c r="D169" s="123" t="s">
        <v>220</v>
      </c>
      <c r="E169" s="679"/>
      <c r="F169" s="529">
        <f>VLOOKUP(D169,'Apr14 Revenue'!D:V,19,FALSE)</f>
        <v>0</v>
      </c>
      <c r="G169" s="680"/>
      <c r="H169" s="680"/>
      <c r="I169" s="755"/>
      <c r="J169" s="682">
        <f t="shared" si="30"/>
        <v>0</v>
      </c>
      <c r="K169" s="683"/>
      <c r="L169" s="684"/>
      <c r="M169" s="753"/>
      <c r="N169" s="683">
        <v>0</v>
      </c>
      <c r="O169" s="686"/>
      <c r="P169" s="683">
        <v>0</v>
      </c>
      <c r="Q169" s="687">
        <f t="shared" si="29"/>
        <v>0</v>
      </c>
      <c r="R169" s="687"/>
      <c r="S169" s="687"/>
      <c r="T169" s="688">
        <v>0</v>
      </c>
      <c r="U169" s="693"/>
      <c r="V169" s="690">
        <f t="shared" si="28"/>
        <v>0</v>
      </c>
      <c r="W169" s="683"/>
      <c r="X169" s="474">
        <f t="shared" si="38"/>
        <v>0</v>
      </c>
      <c r="Y169" s="474">
        <f t="shared" si="39"/>
        <v>0</v>
      </c>
      <c r="Z169" s="475">
        <f t="shared" si="40"/>
        <v>0</v>
      </c>
      <c r="AA169" s="475">
        <v>0</v>
      </c>
      <c r="AB169" s="476">
        <v>0</v>
      </c>
      <c r="AC169" s="38">
        <f t="shared" si="41"/>
        <v>0</v>
      </c>
      <c r="AD169" s="692">
        <f t="shared" si="31"/>
        <v>0</v>
      </c>
      <c r="AE169" s="692">
        <f t="shared" si="32"/>
        <v>0</v>
      </c>
      <c r="AF169" s="692">
        <f t="shared" si="33"/>
        <v>0</v>
      </c>
      <c r="AG169" s="38"/>
      <c r="AH169" s="692">
        <f t="shared" si="35"/>
        <v>0</v>
      </c>
      <c r="AI169" s="692">
        <f t="shared" si="36"/>
        <v>0</v>
      </c>
      <c r="AJ169" s="692">
        <f t="shared" si="37"/>
        <v>0</v>
      </c>
      <c r="AL169" s="38">
        <f t="shared" si="34"/>
        <v>0</v>
      </c>
      <c r="AM169" s="123" t="s">
        <v>220</v>
      </c>
    </row>
    <row r="170" spans="1:39" s="24" customFormat="1">
      <c r="A170" s="472"/>
      <c r="B170" s="21" t="s">
        <v>110</v>
      </c>
      <c r="C170" s="666"/>
      <c r="D170" s="68" t="s">
        <v>1065</v>
      </c>
      <c r="E170" s="679"/>
      <c r="F170" s="529">
        <f>VLOOKUP(D170,'Apr14 Revenue'!D:V,19,FALSE)</f>
        <v>0</v>
      </c>
      <c r="G170" s="680"/>
      <c r="H170" s="680"/>
      <c r="I170" s="755"/>
      <c r="J170" s="682">
        <f t="shared" si="30"/>
        <v>0</v>
      </c>
      <c r="K170" s="698"/>
      <c r="L170" s="684"/>
      <c r="M170" s="753"/>
      <c r="N170" s="698">
        <v>0</v>
      </c>
      <c r="O170" s="686"/>
      <c r="P170" s="698">
        <v>0</v>
      </c>
      <c r="Q170" s="700">
        <f t="shared" si="29"/>
        <v>0</v>
      </c>
      <c r="R170" s="700"/>
      <c r="S170" s="700"/>
      <c r="T170" s="688">
        <v>0</v>
      </c>
      <c r="U170" s="693"/>
      <c r="V170" s="690">
        <f t="shared" si="28"/>
        <v>0</v>
      </c>
      <c r="W170" s="698"/>
      <c r="X170" s="474">
        <f t="shared" si="38"/>
        <v>0</v>
      </c>
      <c r="Y170" s="474">
        <f t="shared" si="39"/>
        <v>0</v>
      </c>
      <c r="Z170" s="475">
        <f t="shared" si="40"/>
        <v>0</v>
      </c>
      <c r="AA170" s="475">
        <v>0</v>
      </c>
      <c r="AB170" s="476">
        <v>0</v>
      </c>
      <c r="AC170" s="38">
        <f t="shared" si="41"/>
        <v>0</v>
      </c>
      <c r="AD170" s="692">
        <f t="shared" si="31"/>
        <v>0</v>
      </c>
      <c r="AE170" s="692">
        <f t="shared" si="32"/>
        <v>0</v>
      </c>
      <c r="AF170" s="692">
        <f t="shared" si="33"/>
        <v>0</v>
      </c>
      <c r="AG170" s="38"/>
      <c r="AH170" s="692">
        <f t="shared" si="35"/>
        <v>0</v>
      </c>
      <c r="AI170" s="692">
        <f t="shared" si="36"/>
        <v>0</v>
      </c>
      <c r="AJ170" s="692">
        <f t="shared" si="37"/>
        <v>0</v>
      </c>
      <c r="AL170" s="38">
        <f t="shared" si="34"/>
        <v>0</v>
      </c>
      <c r="AM170" s="68" t="s">
        <v>505</v>
      </c>
    </row>
    <row r="171" spans="1:39">
      <c r="A171" s="21"/>
      <c r="B171" s="21" t="s">
        <v>110</v>
      </c>
      <c r="C171" s="666"/>
      <c r="D171" s="68" t="s">
        <v>185</v>
      </c>
      <c r="E171" s="679"/>
      <c r="F171" s="529">
        <f>VLOOKUP(D171,'Apr14 Revenue'!D:V,19,FALSE)</f>
        <v>0</v>
      </c>
      <c r="G171" s="680"/>
      <c r="H171" s="680"/>
      <c r="I171" s="755"/>
      <c r="J171" s="682">
        <f t="shared" si="30"/>
        <v>0</v>
      </c>
      <c r="K171" s="683"/>
      <c r="L171" s="684"/>
      <c r="M171" s="753"/>
      <c r="N171" s="683">
        <v>0</v>
      </c>
      <c r="O171" s="686"/>
      <c r="P171" s="683">
        <v>0</v>
      </c>
      <c r="Q171" s="687">
        <f t="shared" si="29"/>
        <v>0</v>
      </c>
      <c r="R171" s="687"/>
      <c r="S171" s="687"/>
      <c r="T171" s="688">
        <v>0</v>
      </c>
      <c r="U171" s="693"/>
      <c r="V171" s="690">
        <f t="shared" si="28"/>
        <v>0</v>
      </c>
      <c r="W171" s="683"/>
      <c r="X171" s="474">
        <f t="shared" si="38"/>
        <v>0</v>
      </c>
      <c r="Y171" s="474">
        <f t="shared" si="39"/>
        <v>0</v>
      </c>
      <c r="Z171" s="475">
        <f t="shared" si="40"/>
        <v>0</v>
      </c>
      <c r="AA171" s="475">
        <v>0</v>
      </c>
      <c r="AB171" s="476">
        <v>0</v>
      </c>
      <c r="AC171" s="38">
        <f t="shared" si="41"/>
        <v>0</v>
      </c>
      <c r="AD171" s="692">
        <f t="shared" si="31"/>
        <v>0</v>
      </c>
      <c r="AE171" s="692">
        <f t="shared" si="32"/>
        <v>0</v>
      </c>
      <c r="AF171" s="692">
        <f t="shared" si="33"/>
        <v>0</v>
      </c>
      <c r="AG171" s="38"/>
      <c r="AH171" s="692">
        <f t="shared" si="35"/>
        <v>0</v>
      </c>
      <c r="AI171" s="692">
        <f t="shared" si="36"/>
        <v>0</v>
      </c>
      <c r="AJ171" s="692">
        <f t="shared" si="37"/>
        <v>0</v>
      </c>
      <c r="AL171" s="38">
        <f t="shared" si="34"/>
        <v>0</v>
      </c>
      <c r="AM171" s="68" t="s">
        <v>185</v>
      </c>
    </row>
    <row r="172" spans="1:39">
      <c r="A172" s="21"/>
      <c r="B172" s="21" t="s">
        <v>110</v>
      </c>
      <c r="C172" s="21"/>
      <c r="D172" s="68" t="s">
        <v>186</v>
      </c>
      <c r="E172" s="679"/>
      <c r="F172" s="529">
        <f>VLOOKUP(D172,'Apr14 Revenue'!D:V,19,FALSE)</f>
        <v>0</v>
      </c>
      <c r="G172" s="680"/>
      <c r="H172" s="680"/>
      <c r="I172" s="755"/>
      <c r="J172" s="682">
        <f t="shared" si="30"/>
        <v>0</v>
      </c>
      <c r="K172" s="683"/>
      <c r="L172" s="684"/>
      <c r="M172" s="753"/>
      <c r="N172" s="683">
        <v>0</v>
      </c>
      <c r="O172" s="686"/>
      <c r="P172" s="683">
        <v>0</v>
      </c>
      <c r="Q172" s="687">
        <f t="shared" si="29"/>
        <v>0</v>
      </c>
      <c r="R172" s="687"/>
      <c r="S172" s="687"/>
      <c r="T172" s="688">
        <v>0</v>
      </c>
      <c r="U172" s="693"/>
      <c r="V172" s="690">
        <f t="shared" si="28"/>
        <v>0</v>
      </c>
      <c r="W172" s="683"/>
      <c r="X172" s="474">
        <f t="shared" si="38"/>
        <v>0</v>
      </c>
      <c r="Y172" s="474">
        <f t="shared" si="39"/>
        <v>0</v>
      </c>
      <c r="Z172" s="475">
        <f t="shared" si="40"/>
        <v>0</v>
      </c>
      <c r="AA172" s="475">
        <v>0</v>
      </c>
      <c r="AB172" s="476">
        <v>0</v>
      </c>
      <c r="AC172" s="38">
        <f t="shared" si="41"/>
        <v>0</v>
      </c>
      <c r="AD172" s="692">
        <f t="shared" si="31"/>
        <v>0</v>
      </c>
      <c r="AE172" s="692">
        <f t="shared" si="32"/>
        <v>0</v>
      </c>
      <c r="AF172" s="692">
        <f t="shared" si="33"/>
        <v>0</v>
      </c>
      <c r="AG172" s="38"/>
      <c r="AH172" s="692">
        <f t="shared" si="35"/>
        <v>0</v>
      </c>
      <c r="AI172" s="692">
        <f t="shared" si="36"/>
        <v>0</v>
      </c>
      <c r="AJ172" s="692">
        <f t="shared" si="37"/>
        <v>0</v>
      </c>
      <c r="AL172" s="38">
        <f t="shared" si="34"/>
        <v>0</v>
      </c>
      <c r="AM172" s="68" t="s">
        <v>186</v>
      </c>
    </row>
    <row r="173" spans="1:39">
      <c r="A173" s="21"/>
      <c r="B173" s="21" t="s">
        <v>110</v>
      </c>
      <c r="C173" s="666"/>
      <c r="D173" s="68" t="s">
        <v>449</v>
      </c>
      <c r="E173" s="679"/>
      <c r="F173" s="529">
        <f>VLOOKUP(D173,'Apr14 Revenue'!D:V,19,FALSE)</f>
        <v>0</v>
      </c>
      <c r="G173" s="680"/>
      <c r="H173" s="680"/>
      <c r="I173" s="755"/>
      <c r="J173" s="682">
        <f t="shared" si="30"/>
        <v>0</v>
      </c>
      <c r="K173" s="683"/>
      <c r="L173" s="684"/>
      <c r="M173" s="753"/>
      <c r="N173" s="683">
        <v>0</v>
      </c>
      <c r="O173" s="686"/>
      <c r="P173" s="683">
        <v>0</v>
      </c>
      <c r="Q173" s="687">
        <f t="shared" si="29"/>
        <v>0</v>
      </c>
      <c r="R173" s="687"/>
      <c r="S173" s="687"/>
      <c r="T173" s="688">
        <v>0</v>
      </c>
      <c r="U173" s="693"/>
      <c r="V173" s="690">
        <f t="shared" si="28"/>
        <v>0</v>
      </c>
      <c r="W173" s="683"/>
      <c r="X173" s="474">
        <f t="shared" si="38"/>
        <v>0</v>
      </c>
      <c r="Y173" s="474">
        <f t="shared" si="39"/>
        <v>0</v>
      </c>
      <c r="Z173" s="475">
        <f t="shared" si="40"/>
        <v>0</v>
      </c>
      <c r="AA173" s="475">
        <v>0</v>
      </c>
      <c r="AB173" s="476">
        <v>0</v>
      </c>
      <c r="AC173" s="38">
        <f t="shared" si="41"/>
        <v>0</v>
      </c>
      <c r="AD173" s="692">
        <f t="shared" si="31"/>
        <v>0</v>
      </c>
      <c r="AE173" s="692">
        <f t="shared" si="32"/>
        <v>0</v>
      </c>
      <c r="AF173" s="692">
        <f t="shared" si="33"/>
        <v>0</v>
      </c>
      <c r="AG173" s="38"/>
      <c r="AH173" s="692">
        <f t="shared" si="35"/>
        <v>0</v>
      </c>
      <c r="AI173" s="692">
        <f t="shared" si="36"/>
        <v>0</v>
      </c>
      <c r="AJ173" s="692">
        <f t="shared" si="37"/>
        <v>0</v>
      </c>
      <c r="AL173" s="38">
        <f t="shared" si="34"/>
        <v>0</v>
      </c>
      <c r="AM173" s="68" t="s">
        <v>449</v>
      </c>
    </row>
    <row r="174" spans="1:39">
      <c r="A174" s="21"/>
      <c r="B174" s="21" t="s">
        <v>110</v>
      </c>
      <c r="C174" s="666" t="s">
        <v>566</v>
      </c>
      <c r="D174" s="68" t="s">
        <v>39</v>
      </c>
      <c r="E174" s="679"/>
      <c r="F174" s="529">
        <f>VLOOKUP(D174,'Apr14 Revenue'!D:V,19,FALSE)</f>
        <v>-8000</v>
      </c>
      <c r="G174" s="680"/>
      <c r="H174" s="680"/>
      <c r="I174" s="770">
        <v>9823.14</v>
      </c>
      <c r="J174" s="682">
        <f t="shared" si="30"/>
        <v>1823.1399999999994</v>
      </c>
      <c r="K174" s="683"/>
      <c r="L174" s="684"/>
      <c r="M174" s="753"/>
      <c r="N174" s="683">
        <v>0</v>
      </c>
      <c r="O174" s="686"/>
      <c r="P174" s="683">
        <v>0</v>
      </c>
      <c r="Q174" s="687">
        <f t="shared" si="29"/>
        <v>0</v>
      </c>
      <c r="R174" s="687"/>
      <c r="S174" s="687"/>
      <c r="T174" s="688">
        <v>0</v>
      </c>
      <c r="U174" s="693"/>
      <c r="V174" s="690">
        <f t="shared" si="28"/>
        <v>0</v>
      </c>
      <c r="W174" s="683"/>
      <c r="X174" s="474">
        <f t="shared" si="38"/>
        <v>0</v>
      </c>
      <c r="Y174" s="474">
        <f t="shared" si="39"/>
        <v>0</v>
      </c>
      <c r="Z174" s="475">
        <f t="shared" si="40"/>
        <v>0</v>
      </c>
      <c r="AA174" s="475">
        <v>0</v>
      </c>
      <c r="AB174" s="476">
        <v>0</v>
      </c>
      <c r="AC174" s="38">
        <f t="shared" si="41"/>
        <v>0</v>
      </c>
      <c r="AD174" s="692">
        <f t="shared" si="31"/>
        <v>1823.1399999999994</v>
      </c>
      <c r="AE174" s="692">
        <f t="shared" si="32"/>
        <v>0</v>
      </c>
      <c r="AF174" s="692">
        <f t="shared" si="33"/>
        <v>0</v>
      </c>
      <c r="AG174" s="38"/>
      <c r="AH174" s="692">
        <f t="shared" si="35"/>
        <v>0</v>
      </c>
      <c r="AI174" s="692">
        <f t="shared" si="36"/>
        <v>0</v>
      </c>
      <c r="AJ174" s="692">
        <f t="shared" si="37"/>
        <v>0</v>
      </c>
      <c r="AL174" s="38">
        <f t="shared" si="34"/>
        <v>1823.1399999999994</v>
      </c>
      <c r="AM174" s="68" t="s">
        <v>39</v>
      </c>
    </row>
    <row r="175" spans="1:39" s="232" customFormat="1">
      <c r="A175" s="403"/>
      <c r="B175" s="403" t="s">
        <v>109</v>
      </c>
      <c r="C175" s="666"/>
      <c r="D175" s="68" t="s">
        <v>1039</v>
      </c>
      <c r="E175" s="679"/>
      <c r="F175" s="529">
        <f>VLOOKUP(D175,'Apr14 Revenue'!D:V,19,FALSE)</f>
        <v>-17000</v>
      </c>
      <c r="G175" s="680"/>
      <c r="H175" s="680"/>
      <c r="I175" s="755"/>
      <c r="J175" s="682">
        <f t="shared" si="30"/>
        <v>-17000</v>
      </c>
      <c r="K175" s="683"/>
      <c r="L175" s="684"/>
      <c r="M175" s="753">
        <v>20000</v>
      </c>
      <c r="N175" s="683">
        <v>0</v>
      </c>
      <c r="O175" s="686"/>
      <c r="P175" s="683">
        <v>0</v>
      </c>
      <c r="Q175" s="687">
        <f t="shared" si="29"/>
        <v>20000</v>
      </c>
      <c r="R175" s="687"/>
      <c r="S175" s="687"/>
      <c r="T175" s="688">
        <v>0</v>
      </c>
      <c r="U175" s="693"/>
      <c r="V175" s="690">
        <f t="shared" si="28"/>
        <v>-20000</v>
      </c>
      <c r="W175" s="683"/>
      <c r="X175" s="474">
        <f t="shared" si="38"/>
        <v>0</v>
      </c>
      <c r="Y175" s="474">
        <f t="shared" si="39"/>
        <v>20000</v>
      </c>
      <c r="Z175" s="475">
        <f t="shared" si="40"/>
        <v>0</v>
      </c>
      <c r="AA175" s="475">
        <v>0</v>
      </c>
      <c r="AB175" s="476">
        <v>0</v>
      </c>
      <c r="AC175" s="38">
        <f t="shared" si="41"/>
        <v>0</v>
      </c>
      <c r="AD175" s="692">
        <f t="shared" si="31"/>
        <v>0</v>
      </c>
      <c r="AE175" s="692">
        <f t="shared" si="32"/>
        <v>-17000</v>
      </c>
      <c r="AF175" s="692">
        <f t="shared" si="33"/>
        <v>0</v>
      </c>
      <c r="AG175" s="38"/>
      <c r="AH175" s="692">
        <f t="shared" si="35"/>
        <v>0</v>
      </c>
      <c r="AI175" s="692">
        <f t="shared" si="36"/>
        <v>20000</v>
      </c>
      <c r="AJ175" s="692">
        <f t="shared" si="37"/>
        <v>0</v>
      </c>
      <c r="AL175" s="38">
        <f t="shared" si="34"/>
        <v>3000</v>
      </c>
      <c r="AM175" s="123" t="s">
        <v>220</v>
      </c>
    </row>
    <row r="176" spans="1:39">
      <c r="A176" s="21"/>
      <c r="B176" s="21" t="s">
        <v>110</v>
      </c>
      <c r="C176" s="666" t="s">
        <v>567</v>
      </c>
      <c r="D176" s="68" t="s">
        <v>435</v>
      </c>
      <c r="E176" s="679"/>
      <c r="F176" s="529">
        <f>VLOOKUP(D176,'Apr14 Revenue'!D:V,19,FALSE)</f>
        <v>6422.8699999999953</v>
      </c>
      <c r="G176" s="680"/>
      <c r="H176" s="680"/>
      <c r="I176" s="770">
        <v>139219.34</v>
      </c>
      <c r="J176" s="682">
        <f t="shared" si="30"/>
        <v>145642.21</v>
      </c>
      <c r="K176" s="683"/>
      <c r="L176" s="684"/>
      <c r="M176" s="753"/>
      <c r="N176" s="683">
        <v>0</v>
      </c>
      <c r="O176" s="686"/>
      <c r="P176" s="683">
        <v>0</v>
      </c>
      <c r="Q176" s="687">
        <f t="shared" si="29"/>
        <v>0</v>
      </c>
      <c r="R176" s="687"/>
      <c r="S176" s="687"/>
      <c r="T176" s="688">
        <v>0</v>
      </c>
      <c r="U176" s="693"/>
      <c r="V176" s="690">
        <f t="shared" si="28"/>
        <v>0</v>
      </c>
      <c r="W176" s="683"/>
      <c r="X176" s="474">
        <f t="shared" si="38"/>
        <v>0</v>
      </c>
      <c r="Y176" s="474">
        <f t="shared" si="39"/>
        <v>0</v>
      </c>
      <c r="Z176" s="475">
        <f t="shared" si="40"/>
        <v>0</v>
      </c>
      <c r="AA176" s="475">
        <v>0</v>
      </c>
      <c r="AB176" s="476">
        <v>0</v>
      </c>
      <c r="AC176" s="38">
        <f t="shared" si="41"/>
        <v>0</v>
      </c>
      <c r="AD176" s="692">
        <f t="shared" si="31"/>
        <v>145642.21</v>
      </c>
      <c r="AE176" s="692">
        <f t="shared" si="32"/>
        <v>0</v>
      </c>
      <c r="AF176" s="692">
        <f t="shared" si="33"/>
        <v>0</v>
      </c>
      <c r="AG176" s="38"/>
      <c r="AH176" s="692">
        <f t="shared" si="35"/>
        <v>0</v>
      </c>
      <c r="AI176" s="692">
        <f t="shared" si="36"/>
        <v>0</v>
      </c>
      <c r="AJ176" s="692">
        <f t="shared" si="37"/>
        <v>0</v>
      </c>
      <c r="AL176" s="38">
        <f t="shared" si="34"/>
        <v>145642.21</v>
      </c>
      <c r="AM176" s="68" t="s">
        <v>435</v>
      </c>
    </row>
    <row r="177" spans="1:39">
      <c r="A177" s="21"/>
      <c r="B177" s="21" t="s">
        <v>110</v>
      </c>
      <c r="C177" s="675" t="s">
        <v>584</v>
      </c>
      <c r="D177" s="806" t="s">
        <v>99</v>
      </c>
      <c r="E177" s="679"/>
      <c r="F177" s="529">
        <f>VLOOKUP(D177,'Apr14 Revenue'!D:V,19,FALSE)</f>
        <v>-10000</v>
      </c>
      <c r="G177" s="680"/>
      <c r="H177" s="680"/>
      <c r="I177" s="755"/>
      <c r="J177" s="682">
        <f t="shared" si="30"/>
        <v>-10000</v>
      </c>
      <c r="K177" s="683"/>
      <c r="L177" s="684"/>
      <c r="M177" s="753">
        <v>20000</v>
      </c>
      <c r="N177" s="683">
        <v>0</v>
      </c>
      <c r="O177" s="686"/>
      <c r="P177" s="683">
        <v>0</v>
      </c>
      <c r="Q177" s="687">
        <f t="shared" si="29"/>
        <v>20000</v>
      </c>
      <c r="R177" s="687"/>
      <c r="S177" s="687"/>
      <c r="T177" s="688">
        <v>0</v>
      </c>
      <c r="U177" s="693"/>
      <c r="V177" s="690">
        <f t="shared" si="28"/>
        <v>-20000</v>
      </c>
      <c r="W177" s="683"/>
      <c r="X177" s="474">
        <f t="shared" si="38"/>
        <v>20000</v>
      </c>
      <c r="Y177" s="474">
        <f t="shared" si="39"/>
        <v>0</v>
      </c>
      <c r="Z177" s="475">
        <f t="shared" si="40"/>
        <v>0</v>
      </c>
      <c r="AA177" s="475">
        <v>0</v>
      </c>
      <c r="AB177" s="476">
        <v>0</v>
      </c>
      <c r="AC177" s="38">
        <f t="shared" si="41"/>
        <v>0</v>
      </c>
      <c r="AD177" s="692">
        <f t="shared" si="31"/>
        <v>-10000</v>
      </c>
      <c r="AE177" s="692">
        <f>IF(B177="M",J177,0)</f>
        <v>0</v>
      </c>
      <c r="AF177" s="692">
        <f t="shared" si="33"/>
        <v>0</v>
      </c>
      <c r="AG177" s="38"/>
      <c r="AH177" s="692">
        <f t="shared" si="35"/>
        <v>20000</v>
      </c>
      <c r="AI177" s="692">
        <f t="shared" si="36"/>
        <v>0</v>
      </c>
      <c r="AJ177" s="692">
        <f t="shared" si="37"/>
        <v>0</v>
      </c>
      <c r="AL177" s="38">
        <f t="shared" si="34"/>
        <v>10000</v>
      </c>
      <c r="AM177" s="806" t="s">
        <v>99</v>
      </c>
    </row>
    <row r="178" spans="1:39" s="232" customFormat="1" hidden="1">
      <c r="A178" s="403"/>
      <c r="B178" s="403" t="s">
        <v>110</v>
      </c>
      <c r="C178" s="666"/>
      <c r="D178" s="838" t="s">
        <v>966</v>
      </c>
      <c r="E178" s="679"/>
      <c r="F178" s="529">
        <f>VLOOKUP(D178,'Apr14 Revenue'!D:V,19,FALSE)</f>
        <v>0</v>
      </c>
      <c r="G178" s="680"/>
      <c r="H178" s="680"/>
      <c r="I178" s="755"/>
      <c r="J178" s="682">
        <f t="shared" si="30"/>
        <v>0</v>
      </c>
      <c r="K178" s="683"/>
      <c r="L178" s="684"/>
      <c r="M178" s="839"/>
      <c r="N178" s="683">
        <v>0</v>
      </c>
      <c r="O178" s="686"/>
      <c r="P178" s="683">
        <v>0</v>
      </c>
      <c r="Q178" s="687">
        <f t="shared" si="29"/>
        <v>0</v>
      </c>
      <c r="R178" s="687"/>
      <c r="S178" s="687"/>
      <c r="T178" s="688">
        <v>0</v>
      </c>
      <c r="U178" s="693"/>
      <c r="V178" s="690">
        <f t="shared" si="28"/>
        <v>0</v>
      </c>
      <c r="W178" s="683"/>
      <c r="X178" s="474">
        <f t="shared" si="38"/>
        <v>0</v>
      </c>
      <c r="Y178" s="474">
        <f t="shared" si="39"/>
        <v>0</v>
      </c>
      <c r="Z178" s="475">
        <f t="shared" si="40"/>
        <v>0</v>
      </c>
      <c r="AA178" s="475">
        <v>0</v>
      </c>
      <c r="AB178" s="476">
        <v>0</v>
      </c>
      <c r="AC178" s="38">
        <f t="shared" si="41"/>
        <v>0</v>
      </c>
      <c r="AD178" s="692">
        <f t="shared" si="31"/>
        <v>0</v>
      </c>
      <c r="AE178" s="692">
        <f t="shared" si="32"/>
        <v>0</v>
      </c>
      <c r="AF178" s="692">
        <f t="shared" si="33"/>
        <v>0</v>
      </c>
      <c r="AG178" s="38"/>
      <c r="AH178" s="692">
        <f t="shared" si="35"/>
        <v>0</v>
      </c>
      <c r="AI178" s="692">
        <f t="shared" si="36"/>
        <v>0</v>
      </c>
      <c r="AJ178" s="692">
        <f t="shared" si="37"/>
        <v>0</v>
      </c>
      <c r="AL178" s="38">
        <f t="shared" si="34"/>
        <v>0</v>
      </c>
      <c r="AM178" s="813" t="s">
        <v>966</v>
      </c>
    </row>
    <row r="179" spans="1:39" s="232" customFormat="1">
      <c r="A179" s="403"/>
      <c r="B179" s="403" t="s">
        <v>110</v>
      </c>
      <c r="C179" s="666" t="s">
        <v>568</v>
      </c>
      <c r="D179" s="807" t="s">
        <v>303</v>
      </c>
      <c r="E179" s="679">
        <v>294819.78999999998</v>
      </c>
      <c r="F179" s="529">
        <f>VLOOKUP(D179,'Apr14 Revenue'!D:V,19,FALSE)</f>
        <v>-100000</v>
      </c>
      <c r="G179" s="680"/>
      <c r="H179" s="680"/>
      <c r="I179" s="755"/>
      <c r="J179" s="682">
        <f t="shared" si="30"/>
        <v>194819.78999999998</v>
      </c>
      <c r="K179" s="683"/>
      <c r="L179" s="684"/>
      <c r="M179" s="831">
        <v>100000</v>
      </c>
      <c r="N179" s="683">
        <v>0</v>
      </c>
      <c r="O179" s="686"/>
      <c r="P179" s="683">
        <v>0</v>
      </c>
      <c r="Q179" s="687">
        <f t="shared" si="29"/>
        <v>100000</v>
      </c>
      <c r="R179" s="687"/>
      <c r="S179" s="687"/>
      <c r="T179" s="688">
        <v>0</v>
      </c>
      <c r="U179" s="693"/>
      <c r="V179" s="690">
        <f t="shared" si="28"/>
        <v>-100000</v>
      </c>
      <c r="W179" s="683"/>
      <c r="X179" s="474">
        <f t="shared" si="38"/>
        <v>100000</v>
      </c>
      <c r="Y179" s="474">
        <f t="shared" si="39"/>
        <v>0</v>
      </c>
      <c r="Z179" s="475">
        <f t="shared" si="40"/>
        <v>0</v>
      </c>
      <c r="AA179" s="475">
        <v>0</v>
      </c>
      <c r="AB179" s="476">
        <v>0</v>
      </c>
      <c r="AC179" s="38">
        <f t="shared" si="41"/>
        <v>0</v>
      </c>
      <c r="AD179" s="692">
        <f t="shared" si="31"/>
        <v>194819.78999999998</v>
      </c>
      <c r="AE179" s="692">
        <f t="shared" si="32"/>
        <v>0</v>
      </c>
      <c r="AF179" s="692">
        <f t="shared" si="33"/>
        <v>0</v>
      </c>
      <c r="AG179" s="38"/>
      <c r="AH179" s="692">
        <f t="shared" si="35"/>
        <v>100000</v>
      </c>
      <c r="AI179" s="692">
        <f t="shared" si="36"/>
        <v>0</v>
      </c>
      <c r="AJ179" s="692">
        <f t="shared" si="37"/>
        <v>0</v>
      </c>
      <c r="AL179" s="38">
        <f t="shared" si="34"/>
        <v>294819.78999999998</v>
      </c>
      <c r="AM179" s="807" t="s">
        <v>303</v>
      </c>
    </row>
    <row r="180" spans="1:39" s="232" customFormat="1">
      <c r="A180" s="403"/>
      <c r="B180" s="403" t="s">
        <v>110</v>
      </c>
      <c r="C180" s="666"/>
      <c r="D180" s="807" t="s">
        <v>856</v>
      </c>
      <c r="E180" s="679"/>
      <c r="F180" s="529">
        <f>VLOOKUP(D180,'Apr14 Revenue'!D:V,19,FALSE)</f>
        <v>0</v>
      </c>
      <c r="G180" s="680"/>
      <c r="H180" s="680"/>
      <c r="I180" s="755"/>
      <c r="J180" s="682">
        <f t="shared" si="30"/>
        <v>0</v>
      </c>
      <c r="K180" s="683"/>
      <c r="L180" s="684"/>
      <c r="M180" s="753"/>
      <c r="N180" s="683">
        <v>0</v>
      </c>
      <c r="O180" s="686"/>
      <c r="P180" s="683">
        <v>0</v>
      </c>
      <c r="Q180" s="687">
        <f t="shared" si="29"/>
        <v>0</v>
      </c>
      <c r="R180" s="687"/>
      <c r="S180" s="687"/>
      <c r="T180" s="688">
        <v>0</v>
      </c>
      <c r="U180" s="693"/>
      <c r="V180" s="690">
        <f t="shared" si="28"/>
        <v>0</v>
      </c>
      <c r="W180" s="683"/>
      <c r="X180" s="474">
        <f t="shared" si="38"/>
        <v>0</v>
      </c>
      <c r="Y180" s="474">
        <f t="shared" si="39"/>
        <v>0</v>
      </c>
      <c r="Z180" s="475">
        <f t="shared" si="40"/>
        <v>0</v>
      </c>
      <c r="AA180" s="475">
        <v>0</v>
      </c>
      <c r="AB180" s="476">
        <v>0</v>
      </c>
      <c r="AC180" s="38">
        <f t="shared" si="41"/>
        <v>0</v>
      </c>
      <c r="AD180" s="692">
        <f t="shared" si="31"/>
        <v>0</v>
      </c>
      <c r="AE180" s="692">
        <f t="shared" si="32"/>
        <v>0</v>
      </c>
      <c r="AF180" s="692">
        <f t="shared" si="33"/>
        <v>0</v>
      </c>
      <c r="AG180" s="38"/>
      <c r="AH180" s="692">
        <f t="shared" si="35"/>
        <v>0</v>
      </c>
      <c r="AI180" s="692">
        <f t="shared" si="36"/>
        <v>0</v>
      </c>
      <c r="AJ180" s="692">
        <f t="shared" si="37"/>
        <v>0</v>
      </c>
      <c r="AL180" s="38">
        <f t="shared" si="34"/>
        <v>0</v>
      </c>
      <c r="AM180" s="807" t="s">
        <v>856</v>
      </c>
    </row>
    <row r="181" spans="1:39" s="232" customFormat="1">
      <c r="A181" s="403"/>
      <c r="B181" s="403" t="s">
        <v>109</v>
      </c>
      <c r="C181" s="666" t="s">
        <v>569</v>
      </c>
      <c r="D181" s="123" t="s">
        <v>468</v>
      </c>
      <c r="E181" s="679"/>
      <c r="F181" s="529">
        <f>VLOOKUP(D181,'Apr14 Revenue'!D:V,19,FALSE)</f>
        <v>0</v>
      </c>
      <c r="G181" s="680"/>
      <c r="H181" s="680"/>
      <c r="I181" s="755"/>
      <c r="J181" s="682">
        <f t="shared" si="30"/>
        <v>0</v>
      </c>
      <c r="K181" s="683"/>
      <c r="L181" s="684"/>
      <c r="M181" s="753"/>
      <c r="N181" s="683">
        <v>0</v>
      </c>
      <c r="O181" s="686"/>
      <c r="P181" s="683">
        <v>0</v>
      </c>
      <c r="Q181" s="687">
        <f t="shared" si="29"/>
        <v>0</v>
      </c>
      <c r="R181" s="687"/>
      <c r="S181" s="687"/>
      <c r="T181" s="688">
        <v>0</v>
      </c>
      <c r="U181" s="693"/>
      <c r="V181" s="690">
        <f t="shared" si="28"/>
        <v>0</v>
      </c>
      <c r="W181" s="683"/>
      <c r="X181" s="474">
        <f t="shared" si="38"/>
        <v>0</v>
      </c>
      <c r="Y181" s="474">
        <f t="shared" si="39"/>
        <v>0</v>
      </c>
      <c r="Z181" s="475">
        <f t="shared" si="40"/>
        <v>0</v>
      </c>
      <c r="AA181" s="475">
        <v>0</v>
      </c>
      <c r="AB181" s="476">
        <v>0</v>
      </c>
      <c r="AC181" s="38">
        <f t="shared" si="41"/>
        <v>0</v>
      </c>
      <c r="AD181" s="692">
        <f t="shared" si="31"/>
        <v>0</v>
      </c>
      <c r="AE181" s="692">
        <f t="shared" si="32"/>
        <v>0</v>
      </c>
      <c r="AF181" s="692">
        <f t="shared" si="33"/>
        <v>0</v>
      </c>
      <c r="AG181" s="38"/>
      <c r="AH181" s="692">
        <f t="shared" si="35"/>
        <v>0</v>
      </c>
      <c r="AI181" s="692">
        <f t="shared" si="36"/>
        <v>0</v>
      </c>
      <c r="AJ181" s="692">
        <f t="shared" si="37"/>
        <v>0</v>
      </c>
      <c r="AL181" s="38">
        <f t="shared" si="34"/>
        <v>0</v>
      </c>
      <c r="AM181" s="123" t="s">
        <v>468</v>
      </c>
    </row>
    <row r="182" spans="1:39">
      <c r="A182" s="20"/>
      <c r="B182" s="20" t="s">
        <v>110</v>
      </c>
      <c r="C182" s="676" t="s">
        <v>844</v>
      </c>
      <c r="D182" s="68" t="s">
        <v>845</v>
      </c>
      <c r="E182" s="679"/>
      <c r="F182" s="529">
        <f>VLOOKUP(D182,'Apr14 Revenue'!D:V,19,FALSE)</f>
        <v>0</v>
      </c>
      <c r="G182" s="680"/>
      <c r="H182" s="680"/>
      <c r="I182" s="755"/>
      <c r="J182" s="682">
        <f t="shared" si="30"/>
        <v>0</v>
      </c>
      <c r="K182" s="683"/>
      <c r="L182" s="684"/>
      <c r="M182" s="753"/>
      <c r="N182" s="683">
        <v>0</v>
      </c>
      <c r="O182" s="686"/>
      <c r="P182" s="683">
        <v>0</v>
      </c>
      <c r="Q182" s="687">
        <f t="shared" si="29"/>
        <v>0</v>
      </c>
      <c r="R182" s="687"/>
      <c r="S182" s="687"/>
      <c r="T182" s="688">
        <v>0</v>
      </c>
      <c r="U182" s="693"/>
      <c r="V182" s="690">
        <f t="shared" si="28"/>
        <v>0</v>
      </c>
      <c r="W182" s="683"/>
      <c r="X182" s="474">
        <f t="shared" si="38"/>
        <v>0</v>
      </c>
      <c r="Y182" s="474">
        <f t="shared" si="39"/>
        <v>0</v>
      </c>
      <c r="Z182" s="475">
        <f t="shared" si="40"/>
        <v>0</v>
      </c>
      <c r="AA182" s="475">
        <v>0</v>
      </c>
      <c r="AB182" s="476">
        <v>0</v>
      </c>
      <c r="AC182" s="38">
        <f t="shared" si="41"/>
        <v>0</v>
      </c>
      <c r="AD182" s="692">
        <f t="shared" si="31"/>
        <v>0</v>
      </c>
      <c r="AE182" s="692">
        <f t="shared" si="32"/>
        <v>0</v>
      </c>
      <c r="AF182" s="692">
        <f t="shared" si="33"/>
        <v>0</v>
      </c>
      <c r="AG182" s="38"/>
      <c r="AH182" s="692">
        <f t="shared" si="35"/>
        <v>0</v>
      </c>
      <c r="AI182" s="692">
        <f t="shared" si="36"/>
        <v>0</v>
      </c>
      <c r="AJ182" s="692">
        <f t="shared" si="37"/>
        <v>0</v>
      </c>
      <c r="AL182" s="38">
        <f t="shared" si="34"/>
        <v>0</v>
      </c>
      <c r="AM182" s="68" t="s">
        <v>845</v>
      </c>
    </row>
    <row r="183" spans="1:39">
      <c r="A183" s="20"/>
      <c r="B183" s="20" t="s">
        <v>110</v>
      </c>
      <c r="C183" s="676" t="s">
        <v>844</v>
      </c>
      <c r="D183" s="68" t="s">
        <v>1089</v>
      </c>
      <c r="E183" s="679"/>
      <c r="F183" s="529">
        <f>VLOOKUP(D183,'Apr14 Revenue'!D:V,19,FALSE)</f>
        <v>38.299999999999997</v>
      </c>
      <c r="G183" s="680"/>
      <c r="H183" s="680"/>
      <c r="I183" s="755"/>
      <c r="J183" s="682">
        <f t="shared" si="30"/>
        <v>38.299999999999997</v>
      </c>
      <c r="K183" s="683"/>
      <c r="L183" s="684"/>
      <c r="M183" s="753"/>
      <c r="N183" s="683">
        <v>0</v>
      </c>
      <c r="O183" s="686"/>
      <c r="P183" s="683">
        <v>0</v>
      </c>
      <c r="Q183" s="687">
        <f t="shared" si="29"/>
        <v>0</v>
      </c>
      <c r="R183" s="687"/>
      <c r="S183" s="687"/>
      <c r="T183" s="688">
        <v>39.47</v>
      </c>
      <c r="U183" s="693"/>
      <c r="V183" s="690">
        <f t="shared" si="28"/>
        <v>39.47</v>
      </c>
      <c r="W183" s="683"/>
      <c r="X183" s="474">
        <f t="shared" si="38"/>
        <v>0</v>
      </c>
      <c r="Y183" s="474">
        <f t="shared" si="39"/>
        <v>0</v>
      </c>
      <c r="Z183" s="475">
        <f t="shared" si="40"/>
        <v>0</v>
      </c>
      <c r="AA183" s="475">
        <v>0</v>
      </c>
      <c r="AB183" s="476">
        <v>0</v>
      </c>
      <c r="AC183" s="38">
        <f t="shared" si="41"/>
        <v>0</v>
      </c>
      <c r="AD183" s="692">
        <f t="shared" si="31"/>
        <v>38.299999999999997</v>
      </c>
      <c r="AE183" s="692">
        <f t="shared" si="32"/>
        <v>0</v>
      </c>
      <c r="AF183" s="692">
        <f t="shared" si="33"/>
        <v>0</v>
      </c>
      <c r="AG183" s="38"/>
      <c r="AH183" s="692">
        <f t="shared" si="35"/>
        <v>0</v>
      </c>
      <c r="AI183" s="692">
        <f t="shared" si="36"/>
        <v>0</v>
      </c>
      <c r="AJ183" s="692">
        <f t="shared" si="37"/>
        <v>0</v>
      </c>
      <c r="AL183" s="38">
        <f t="shared" si="34"/>
        <v>38.299999999999997</v>
      </c>
      <c r="AM183" s="68" t="s">
        <v>845</v>
      </c>
    </row>
    <row r="184" spans="1:39">
      <c r="A184" s="20"/>
      <c r="B184" s="20" t="s">
        <v>110</v>
      </c>
      <c r="C184" s="676" t="s">
        <v>977</v>
      </c>
      <c r="D184" s="68" t="s">
        <v>978</v>
      </c>
      <c r="E184" s="679"/>
      <c r="F184" s="529">
        <f>VLOOKUP(D184,'Apr14 Revenue'!D:V,19,FALSE)</f>
        <v>2984.4</v>
      </c>
      <c r="G184" s="680"/>
      <c r="H184" s="680"/>
      <c r="I184" s="755"/>
      <c r="J184" s="682">
        <f t="shared" si="30"/>
        <v>2984.4</v>
      </c>
      <c r="K184" s="683"/>
      <c r="L184" s="684"/>
      <c r="M184" s="753"/>
      <c r="N184" s="683">
        <v>0</v>
      </c>
      <c r="O184" s="686"/>
      <c r="P184" s="683">
        <v>0</v>
      </c>
      <c r="Q184" s="687">
        <f t="shared" si="29"/>
        <v>0</v>
      </c>
      <c r="R184" s="687"/>
      <c r="S184" s="687"/>
      <c r="T184" s="688">
        <v>2034.9</v>
      </c>
      <c r="U184" s="693"/>
      <c r="V184" s="690">
        <f t="shared" si="28"/>
        <v>2034.9</v>
      </c>
      <c r="W184" s="683"/>
      <c r="X184" s="474">
        <f t="shared" si="38"/>
        <v>0</v>
      </c>
      <c r="Y184" s="474">
        <f t="shared" si="39"/>
        <v>0</v>
      </c>
      <c r="Z184" s="475">
        <f t="shared" si="40"/>
        <v>0</v>
      </c>
      <c r="AA184" s="475">
        <v>0</v>
      </c>
      <c r="AB184" s="476">
        <v>0</v>
      </c>
      <c r="AC184" s="38">
        <f t="shared" si="41"/>
        <v>0</v>
      </c>
      <c r="AD184" s="692">
        <f t="shared" si="31"/>
        <v>2984.4</v>
      </c>
      <c r="AE184" s="692">
        <f t="shared" si="32"/>
        <v>0</v>
      </c>
      <c r="AF184" s="692">
        <f t="shared" si="33"/>
        <v>0</v>
      </c>
      <c r="AG184" s="38"/>
      <c r="AH184" s="692">
        <f t="shared" si="35"/>
        <v>0</v>
      </c>
      <c r="AI184" s="692">
        <f t="shared" si="36"/>
        <v>0</v>
      </c>
      <c r="AJ184" s="692">
        <f t="shared" si="37"/>
        <v>0</v>
      </c>
      <c r="AL184" s="38">
        <f t="shared" si="34"/>
        <v>2984.4</v>
      </c>
      <c r="AM184" s="68" t="s">
        <v>978</v>
      </c>
    </row>
    <row r="185" spans="1:39">
      <c r="A185" s="20"/>
      <c r="B185" s="20" t="s">
        <v>109</v>
      </c>
      <c r="C185" s="667" t="s">
        <v>570</v>
      </c>
      <c r="D185" s="68" t="s">
        <v>221</v>
      </c>
      <c r="E185" s="679"/>
      <c r="F185" s="529">
        <f>VLOOKUP(D185,'Apr14 Revenue'!D:V,19,FALSE)</f>
        <v>0</v>
      </c>
      <c r="G185" s="680"/>
      <c r="H185" s="680"/>
      <c r="I185" s="755"/>
      <c r="J185" s="682">
        <f t="shared" si="30"/>
        <v>0</v>
      </c>
      <c r="K185" s="683"/>
      <c r="L185" s="684"/>
      <c r="M185" s="753"/>
      <c r="N185" s="683">
        <v>0</v>
      </c>
      <c r="O185" s="686"/>
      <c r="P185" s="683">
        <v>0</v>
      </c>
      <c r="Q185" s="687">
        <f t="shared" si="29"/>
        <v>0</v>
      </c>
      <c r="R185" s="687"/>
      <c r="S185" s="687"/>
      <c r="T185" s="688">
        <v>0</v>
      </c>
      <c r="U185" s="693"/>
      <c r="V185" s="690">
        <f t="shared" si="28"/>
        <v>0</v>
      </c>
      <c r="W185" s="683"/>
      <c r="X185" s="474">
        <f t="shared" si="38"/>
        <v>0</v>
      </c>
      <c r="Y185" s="474">
        <f t="shared" si="39"/>
        <v>0</v>
      </c>
      <c r="Z185" s="475">
        <f t="shared" si="40"/>
        <v>0</v>
      </c>
      <c r="AA185" s="475">
        <v>0</v>
      </c>
      <c r="AB185" s="476">
        <v>0</v>
      </c>
      <c r="AC185" s="38">
        <f t="shared" si="41"/>
        <v>0</v>
      </c>
      <c r="AD185" s="692">
        <f t="shared" si="31"/>
        <v>0</v>
      </c>
      <c r="AE185" s="692">
        <f t="shared" si="32"/>
        <v>0</v>
      </c>
      <c r="AF185" s="692">
        <f t="shared" si="33"/>
        <v>0</v>
      </c>
      <c r="AG185" s="38"/>
      <c r="AH185" s="692">
        <f t="shared" si="35"/>
        <v>0</v>
      </c>
      <c r="AI185" s="692">
        <f t="shared" si="36"/>
        <v>0</v>
      </c>
      <c r="AJ185" s="692">
        <f t="shared" si="37"/>
        <v>0</v>
      </c>
      <c r="AL185" s="38">
        <f t="shared" si="34"/>
        <v>0</v>
      </c>
      <c r="AM185" s="68" t="s">
        <v>221</v>
      </c>
    </row>
    <row r="186" spans="1:39">
      <c r="A186" s="21"/>
      <c r="B186" s="21" t="s">
        <v>110</v>
      </c>
      <c r="C186" s="666"/>
      <c r="D186" s="68" t="s">
        <v>985</v>
      </c>
      <c r="E186" s="679"/>
      <c r="F186" s="529">
        <f>VLOOKUP(D186,'Apr14 Revenue'!D:V,19,FALSE)</f>
        <v>0</v>
      </c>
      <c r="G186" s="680"/>
      <c r="H186" s="680"/>
      <c r="I186" s="755"/>
      <c r="J186" s="682">
        <f t="shared" si="30"/>
        <v>0</v>
      </c>
      <c r="K186" s="683"/>
      <c r="L186" s="684"/>
      <c r="M186" s="753"/>
      <c r="N186" s="683">
        <v>0</v>
      </c>
      <c r="O186" s="686"/>
      <c r="P186" s="683">
        <v>0</v>
      </c>
      <c r="Q186" s="687">
        <f t="shared" si="29"/>
        <v>0</v>
      </c>
      <c r="R186" s="687"/>
      <c r="S186" s="687"/>
      <c r="T186" s="688">
        <v>0</v>
      </c>
      <c r="U186" s="693"/>
      <c r="V186" s="690">
        <f t="shared" si="28"/>
        <v>0</v>
      </c>
      <c r="W186" s="683"/>
      <c r="X186" s="474">
        <f t="shared" si="38"/>
        <v>0</v>
      </c>
      <c r="Y186" s="474">
        <f t="shared" si="39"/>
        <v>0</v>
      </c>
      <c r="Z186" s="475">
        <f t="shared" si="40"/>
        <v>0</v>
      </c>
      <c r="AA186" s="475">
        <v>0</v>
      </c>
      <c r="AB186" s="476">
        <v>0</v>
      </c>
      <c r="AC186" s="38">
        <f t="shared" si="41"/>
        <v>0</v>
      </c>
      <c r="AD186" s="692">
        <f t="shared" si="31"/>
        <v>0</v>
      </c>
      <c r="AE186" s="692">
        <f t="shared" si="32"/>
        <v>0</v>
      </c>
      <c r="AF186" s="692">
        <f t="shared" si="33"/>
        <v>0</v>
      </c>
      <c r="AG186" s="38"/>
      <c r="AH186" s="692">
        <f t="shared" si="35"/>
        <v>0</v>
      </c>
      <c r="AI186" s="692">
        <f t="shared" si="36"/>
        <v>0</v>
      </c>
      <c r="AJ186" s="692">
        <f t="shared" si="37"/>
        <v>0</v>
      </c>
      <c r="AL186" s="38">
        <f t="shared" si="34"/>
        <v>0</v>
      </c>
      <c r="AM186" s="68" t="s">
        <v>985</v>
      </c>
    </row>
    <row r="187" spans="1:39">
      <c r="A187" s="21"/>
      <c r="B187" s="21" t="s">
        <v>109</v>
      </c>
      <c r="C187" s="666" t="s">
        <v>571</v>
      </c>
      <c r="D187" s="68" t="s">
        <v>44</v>
      </c>
      <c r="E187" s="679"/>
      <c r="F187" s="529">
        <f>VLOOKUP(D187,'Apr14 Revenue'!D:V,19,FALSE)</f>
        <v>0</v>
      </c>
      <c r="G187" s="680"/>
      <c r="H187" s="680"/>
      <c r="I187" s="755"/>
      <c r="J187" s="682">
        <f t="shared" si="30"/>
        <v>0</v>
      </c>
      <c r="K187" s="683"/>
      <c r="L187" s="684"/>
      <c r="M187" s="753"/>
      <c r="N187" s="683">
        <v>0</v>
      </c>
      <c r="O187" s="686"/>
      <c r="P187" s="683">
        <v>0</v>
      </c>
      <c r="Q187" s="687">
        <f t="shared" si="29"/>
        <v>0</v>
      </c>
      <c r="R187" s="687"/>
      <c r="S187" s="687"/>
      <c r="T187" s="688">
        <v>0</v>
      </c>
      <c r="U187" s="693"/>
      <c r="V187" s="690">
        <f t="shared" si="28"/>
        <v>0</v>
      </c>
      <c r="W187" s="683"/>
      <c r="X187" s="474">
        <f t="shared" si="38"/>
        <v>0</v>
      </c>
      <c r="Y187" s="474">
        <f t="shared" si="39"/>
        <v>0</v>
      </c>
      <c r="Z187" s="475">
        <f t="shared" si="40"/>
        <v>0</v>
      </c>
      <c r="AA187" s="475">
        <v>0</v>
      </c>
      <c r="AB187" s="476">
        <v>0</v>
      </c>
      <c r="AC187" s="38">
        <f t="shared" si="41"/>
        <v>0</v>
      </c>
      <c r="AD187" s="692">
        <f t="shared" si="31"/>
        <v>0</v>
      </c>
      <c r="AE187" s="692">
        <f t="shared" si="32"/>
        <v>0</v>
      </c>
      <c r="AF187" s="692">
        <f t="shared" si="33"/>
        <v>0</v>
      </c>
      <c r="AG187" s="38"/>
      <c r="AH187" s="692">
        <f t="shared" si="35"/>
        <v>0</v>
      </c>
      <c r="AI187" s="692">
        <f t="shared" si="36"/>
        <v>0</v>
      </c>
      <c r="AJ187" s="692">
        <f t="shared" si="37"/>
        <v>0</v>
      </c>
      <c r="AL187" s="38">
        <f t="shared" si="34"/>
        <v>0</v>
      </c>
      <c r="AM187" s="68" t="s">
        <v>44</v>
      </c>
    </row>
    <row r="188" spans="1:39">
      <c r="A188" s="21"/>
      <c r="B188" s="21" t="s">
        <v>114</v>
      </c>
      <c r="C188" s="666" t="s">
        <v>571</v>
      </c>
      <c r="D188" s="68" t="s">
        <v>44</v>
      </c>
      <c r="E188" s="679"/>
      <c r="F188" s="529">
        <f>VLOOKUP(D188,'Apr14 Revenue'!D:V,19,FALSE)</f>
        <v>0</v>
      </c>
      <c r="G188" s="680"/>
      <c r="H188" s="680"/>
      <c r="I188" s="755"/>
      <c r="J188" s="682">
        <f t="shared" si="30"/>
        <v>0</v>
      </c>
      <c r="K188" s="683"/>
      <c r="L188" s="684"/>
      <c r="M188" s="753"/>
      <c r="N188" s="683">
        <v>0</v>
      </c>
      <c r="O188" s="686"/>
      <c r="P188" s="683">
        <v>0</v>
      </c>
      <c r="Q188" s="687">
        <f t="shared" si="29"/>
        <v>0</v>
      </c>
      <c r="R188" s="687"/>
      <c r="S188" s="687"/>
      <c r="T188" s="688">
        <v>0</v>
      </c>
      <c r="U188" s="693"/>
      <c r="V188" s="690">
        <f t="shared" si="28"/>
        <v>0</v>
      </c>
      <c r="W188" s="683"/>
      <c r="X188" s="474">
        <f t="shared" si="38"/>
        <v>0</v>
      </c>
      <c r="Y188" s="474">
        <f t="shared" si="39"/>
        <v>0</v>
      </c>
      <c r="Z188" s="475">
        <f t="shared" si="40"/>
        <v>0</v>
      </c>
      <c r="AA188" s="475">
        <v>0</v>
      </c>
      <c r="AB188" s="476">
        <v>0</v>
      </c>
      <c r="AC188" s="38">
        <f t="shared" si="41"/>
        <v>0</v>
      </c>
      <c r="AD188" s="692">
        <f t="shared" si="31"/>
        <v>0</v>
      </c>
      <c r="AE188" s="692">
        <f t="shared" si="32"/>
        <v>0</v>
      </c>
      <c r="AF188" s="692">
        <f t="shared" si="33"/>
        <v>0</v>
      </c>
      <c r="AG188" s="38"/>
      <c r="AH188" s="692">
        <f t="shared" si="35"/>
        <v>0</v>
      </c>
      <c r="AI188" s="692">
        <f t="shared" si="36"/>
        <v>0</v>
      </c>
      <c r="AJ188" s="692">
        <f t="shared" si="37"/>
        <v>0</v>
      </c>
      <c r="AL188" s="38">
        <f t="shared" si="34"/>
        <v>0</v>
      </c>
      <c r="AM188" s="68" t="s">
        <v>44</v>
      </c>
    </row>
    <row r="189" spans="1:39">
      <c r="A189" s="21"/>
      <c r="B189" s="21" t="s">
        <v>110</v>
      </c>
      <c r="C189" s="666" t="s">
        <v>572</v>
      </c>
      <c r="D189" s="806" t="s">
        <v>388</v>
      </c>
      <c r="E189" s="679"/>
      <c r="F189" s="529">
        <f>VLOOKUP(D189,'Apr14 Revenue'!D:V,19,FALSE)</f>
        <v>0</v>
      </c>
      <c r="G189" s="680"/>
      <c r="H189" s="680"/>
      <c r="I189" s="755"/>
      <c r="J189" s="682">
        <f t="shared" si="30"/>
        <v>0</v>
      </c>
      <c r="K189" s="683"/>
      <c r="L189" s="684"/>
      <c r="M189" s="753">
        <v>15000</v>
      </c>
      <c r="N189" s="683">
        <v>0</v>
      </c>
      <c r="O189" s="686"/>
      <c r="P189" s="683">
        <v>0</v>
      </c>
      <c r="Q189" s="687">
        <f t="shared" si="29"/>
        <v>15000</v>
      </c>
      <c r="R189" s="687"/>
      <c r="S189" s="687"/>
      <c r="T189" s="688">
        <f>730.11+17205.86</f>
        <v>17935.97</v>
      </c>
      <c r="U189" s="693"/>
      <c r="V189" s="690">
        <f t="shared" si="28"/>
        <v>2935.9700000000012</v>
      </c>
      <c r="W189" s="683"/>
      <c r="X189" s="474">
        <f t="shared" si="38"/>
        <v>15000</v>
      </c>
      <c r="Y189" s="474">
        <f t="shared" si="39"/>
        <v>0</v>
      </c>
      <c r="Z189" s="475">
        <f t="shared" si="40"/>
        <v>0</v>
      </c>
      <c r="AA189" s="475">
        <v>0</v>
      </c>
      <c r="AB189" s="476">
        <v>0</v>
      </c>
      <c r="AC189" s="38">
        <f t="shared" si="41"/>
        <v>0</v>
      </c>
      <c r="AD189" s="692">
        <f t="shared" si="31"/>
        <v>0</v>
      </c>
      <c r="AE189" s="692">
        <f t="shared" si="32"/>
        <v>0</v>
      </c>
      <c r="AF189" s="692">
        <f t="shared" si="33"/>
        <v>0</v>
      </c>
      <c r="AG189" s="38"/>
      <c r="AH189" s="692">
        <f t="shared" si="35"/>
        <v>15000</v>
      </c>
      <c r="AI189" s="692">
        <f t="shared" si="36"/>
        <v>0</v>
      </c>
      <c r="AJ189" s="692">
        <f t="shared" si="37"/>
        <v>0</v>
      </c>
      <c r="AL189" s="38">
        <f t="shared" si="34"/>
        <v>15000</v>
      </c>
      <c r="AM189" s="806" t="s">
        <v>388</v>
      </c>
    </row>
    <row r="190" spans="1:39">
      <c r="A190" s="20"/>
      <c r="B190" s="20" t="s">
        <v>109</v>
      </c>
      <c r="C190" s="667"/>
      <c r="D190" s="806" t="s">
        <v>842</v>
      </c>
      <c r="E190" s="679">
        <f>11477.66+10259.96+11491.96-15840.09</f>
        <v>17389.490000000002</v>
      </c>
      <c r="F190" s="529">
        <f>VLOOKUP(D190,'Apr14 Revenue'!D:V,19,FALSE)</f>
        <v>-108081.51</v>
      </c>
      <c r="G190" s="680"/>
      <c r="H190" s="680"/>
      <c r="I190" s="755"/>
      <c r="J190" s="682">
        <f t="shared" si="30"/>
        <v>-90692.01999999999</v>
      </c>
      <c r="K190" s="683"/>
      <c r="L190" s="684"/>
      <c r="M190" s="753">
        <v>130000</v>
      </c>
      <c r="N190" s="683">
        <v>0</v>
      </c>
      <c r="O190" s="686"/>
      <c r="P190" s="683">
        <v>0</v>
      </c>
      <c r="Q190" s="687">
        <f t="shared" si="29"/>
        <v>130000</v>
      </c>
      <c r="R190" s="687"/>
      <c r="S190" s="687"/>
      <c r="T190" s="688">
        <v>0</v>
      </c>
      <c r="U190" s="693"/>
      <c r="V190" s="690">
        <f t="shared" si="28"/>
        <v>-130000</v>
      </c>
      <c r="W190" s="683"/>
      <c r="X190" s="474">
        <f t="shared" si="38"/>
        <v>0</v>
      </c>
      <c r="Y190" s="474">
        <f t="shared" si="39"/>
        <v>130000</v>
      </c>
      <c r="Z190" s="475">
        <f t="shared" si="40"/>
        <v>0</v>
      </c>
      <c r="AA190" s="475">
        <v>0</v>
      </c>
      <c r="AB190" s="476">
        <v>0</v>
      </c>
      <c r="AC190" s="38">
        <f t="shared" si="41"/>
        <v>0</v>
      </c>
      <c r="AD190" s="692">
        <f t="shared" si="31"/>
        <v>0</v>
      </c>
      <c r="AE190" s="692">
        <f t="shared" si="32"/>
        <v>-90692.01999999999</v>
      </c>
      <c r="AF190" s="692">
        <f t="shared" si="33"/>
        <v>0</v>
      </c>
      <c r="AG190" s="38"/>
      <c r="AH190" s="692">
        <f t="shared" si="35"/>
        <v>0</v>
      </c>
      <c r="AI190" s="692">
        <f t="shared" si="36"/>
        <v>130000</v>
      </c>
      <c r="AJ190" s="692">
        <f t="shared" si="37"/>
        <v>0</v>
      </c>
      <c r="AL190" s="38">
        <f t="shared" si="34"/>
        <v>39307.98000000001</v>
      </c>
      <c r="AM190" s="806" t="s">
        <v>842</v>
      </c>
    </row>
    <row r="191" spans="1:39">
      <c r="A191" s="21"/>
      <c r="B191" s="21" t="s">
        <v>110</v>
      </c>
      <c r="C191" s="666"/>
      <c r="D191" s="68" t="s">
        <v>45</v>
      </c>
      <c r="E191" s="679">
        <v>58317.54</v>
      </c>
      <c r="F191" s="529">
        <f>VLOOKUP(D191,'Apr14 Revenue'!D:V,19,FALSE)</f>
        <v>-4470.6999999999971</v>
      </c>
      <c r="G191" s="680"/>
      <c r="H191" s="680"/>
      <c r="I191" s="770">
        <f>61536.44+3661.23</f>
        <v>65197.670000000006</v>
      </c>
      <c r="J191" s="682">
        <f t="shared" si="30"/>
        <v>119044.51000000001</v>
      </c>
      <c r="K191" s="683"/>
      <c r="L191" s="684"/>
      <c r="M191" s="753"/>
      <c r="N191" s="683">
        <v>0</v>
      </c>
      <c r="O191" s="686"/>
      <c r="P191" s="683">
        <v>0</v>
      </c>
      <c r="Q191" s="687">
        <f t="shared" si="29"/>
        <v>0</v>
      </c>
      <c r="R191" s="687"/>
      <c r="S191" s="687"/>
      <c r="T191" s="688">
        <v>0</v>
      </c>
      <c r="U191" s="693"/>
      <c r="V191" s="690">
        <f t="shared" si="28"/>
        <v>0</v>
      </c>
      <c r="W191" s="683"/>
      <c r="X191" s="474">
        <f t="shared" si="38"/>
        <v>0</v>
      </c>
      <c r="Y191" s="474">
        <f t="shared" si="39"/>
        <v>0</v>
      </c>
      <c r="Z191" s="475">
        <f t="shared" si="40"/>
        <v>0</v>
      </c>
      <c r="AA191" s="475">
        <v>0</v>
      </c>
      <c r="AB191" s="476">
        <v>0</v>
      </c>
      <c r="AC191" s="38">
        <f t="shared" si="41"/>
        <v>0</v>
      </c>
      <c r="AD191" s="692">
        <f t="shared" si="31"/>
        <v>119044.51000000001</v>
      </c>
      <c r="AE191" s="692">
        <f t="shared" si="32"/>
        <v>0</v>
      </c>
      <c r="AF191" s="692">
        <f t="shared" si="33"/>
        <v>0</v>
      </c>
      <c r="AG191" s="38"/>
      <c r="AH191" s="692">
        <f t="shared" si="35"/>
        <v>0</v>
      </c>
      <c r="AI191" s="692">
        <f t="shared" si="36"/>
        <v>0</v>
      </c>
      <c r="AJ191" s="692">
        <f t="shared" si="37"/>
        <v>0</v>
      </c>
      <c r="AL191" s="38">
        <f t="shared" si="34"/>
        <v>119044.51000000001</v>
      </c>
      <c r="AM191" s="68" t="s">
        <v>45</v>
      </c>
    </row>
    <row r="192" spans="1:39">
      <c r="A192" s="20" t="s">
        <v>211</v>
      </c>
      <c r="B192" s="20" t="s">
        <v>109</v>
      </c>
      <c r="C192" s="667"/>
      <c r="D192" s="68" t="s">
        <v>923</v>
      </c>
      <c r="E192" s="679"/>
      <c r="F192" s="529">
        <f>VLOOKUP(D192,'Apr14 Revenue'!D:V,19,FALSE)</f>
        <v>-9000</v>
      </c>
      <c r="G192" s="680"/>
      <c r="H192" s="680"/>
      <c r="I192" s="755"/>
      <c r="J192" s="682">
        <f t="shared" si="30"/>
        <v>-9000</v>
      </c>
      <c r="K192" s="683"/>
      <c r="L192" s="684"/>
      <c r="M192" s="753">
        <v>18000</v>
      </c>
      <c r="N192" s="683">
        <v>0</v>
      </c>
      <c r="O192" s="686"/>
      <c r="P192" s="683">
        <v>0</v>
      </c>
      <c r="Q192" s="687">
        <f t="shared" si="29"/>
        <v>18000</v>
      </c>
      <c r="R192" s="687"/>
      <c r="S192" s="687"/>
      <c r="T192" s="688">
        <v>14443.68</v>
      </c>
      <c r="U192" s="693"/>
      <c r="V192" s="690">
        <f t="shared" si="28"/>
        <v>-3556.3199999999997</v>
      </c>
      <c r="W192" s="697"/>
      <c r="X192" s="474">
        <f t="shared" si="38"/>
        <v>0</v>
      </c>
      <c r="Y192" s="474">
        <f t="shared" si="39"/>
        <v>18000</v>
      </c>
      <c r="Z192" s="475">
        <f t="shared" si="40"/>
        <v>0</v>
      </c>
      <c r="AA192" s="475">
        <v>0</v>
      </c>
      <c r="AB192" s="476">
        <v>0</v>
      </c>
      <c r="AC192" s="38">
        <f t="shared" si="41"/>
        <v>0</v>
      </c>
      <c r="AD192" s="692">
        <f t="shared" si="31"/>
        <v>0</v>
      </c>
      <c r="AE192" s="692">
        <f t="shared" si="32"/>
        <v>-9000</v>
      </c>
      <c r="AF192" s="692">
        <f t="shared" si="33"/>
        <v>0</v>
      </c>
      <c r="AG192" s="38"/>
      <c r="AH192" s="692">
        <f t="shared" si="35"/>
        <v>0</v>
      </c>
      <c r="AI192" s="692">
        <f t="shared" si="36"/>
        <v>18000</v>
      </c>
      <c r="AJ192" s="692">
        <f t="shared" si="37"/>
        <v>0</v>
      </c>
      <c r="AL192" s="38">
        <f t="shared" si="34"/>
        <v>9000</v>
      </c>
      <c r="AM192" s="68" t="s">
        <v>923</v>
      </c>
    </row>
    <row r="193" spans="1:39">
      <c r="A193" s="20"/>
      <c r="B193" s="20" t="s">
        <v>110</v>
      </c>
      <c r="C193" s="667" t="s">
        <v>573</v>
      </c>
      <c r="D193" s="68" t="s">
        <v>102</v>
      </c>
      <c r="E193" s="679"/>
      <c r="F193" s="529">
        <f>VLOOKUP(D193,'Apr14 Revenue'!D:V,19,FALSE)</f>
        <v>90283.069999999367</v>
      </c>
      <c r="G193" s="680"/>
      <c r="H193" s="680"/>
      <c r="I193" s="755"/>
      <c r="J193" s="682">
        <f t="shared" si="30"/>
        <v>90283.069999999367</v>
      </c>
      <c r="K193" s="683"/>
      <c r="L193" s="684"/>
      <c r="M193" s="841">
        <v>3856521.29</v>
      </c>
      <c r="N193" s="683">
        <v>0</v>
      </c>
      <c r="O193" s="686"/>
      <c r="P193" s="683">
        <v>0</v>
      </c>
      <c r="Q193" s="687">
        <f t="shared" si="29"/>
        <v>3856521.29</v>
      </c>
      <c r="R193" s="687"/>
      <c r="S193" s="687"/>
      <c r="T193" s="688">
        <v>3856521.29</v>
      </c>
      <c r="U193" s="693"/>
      <c r="V193" s="690">
        <f t="shared" si="28"/>
        <v>0</v>
      </c>
      <c r="W193" s="697"/>
      <c r="X193" s="474">
        <f t="shared" si="38"/>
        <v>3856521.29</v>
      </c>
      <c r="Y193" s="474">
        <f t="shared" si="39"/>
        <v>0</v>
      </c>
      <c r="Z193" s="475">
        <f t="shared" si="40"/>
        <v>0</v>
      </c>
      <c r="AA193" s="475">
        <v>0</v>
      </c>
      <c r="AB193" s="476">
        <v>0</v>
      </c>
      <c r="AC193" s="38">
        <f t="shared" si="41"/>
        <v>0</v>
      </c>
      <c r="AD193" s="692">
        <f t="shared" si="31"/>
        <v>90283.069999999367</v>
      </c>
      <c r="AE193" s="692">
        <f t="shared" si="32"/>
        <v>0</v>
      </c>
      <c r="AF193" s="692">
        <f t="shared" si="33"/>
        <v>0</v>
      </c>
      <c r="AG193" s="38"/>
      <c r="AH193" s="692">
        <f t="shared" si="35"/>
        <v>3856521.29</v>
      </c>
      <c r="AI193" s="692">
        <f t="shared" si="36"/>
        <v>0</v>
      </c>
      <c r="AJ193" s="692">
        <f t="shared" si="37"/>
        <v>0</v>
      </c>
      <c r="AL193" s="38">
        <f t="shared" si="34"/>
        <v>3946804.3599999994</v>
      </c>
      <c r="AM193" s="68" t="s">
        <v>102</v>
      </c>
    </row>
    <row r="194" spans="1:39">
      <c r="A194" s="20"/>
      <c r="B194" s="20" t="s">
        <v>110</v>
      </c>
      <c r="C194" s="667" t="s">
        <v>573</v>
      </c>
      <c r="D194" s="68" t="s">
        <v>1061</v>
      </c>
      <c r="E194" s="679"/>
      <c r="F194" s="529">
        <f>VLOOKUP(D194,'Apr14 Revenue'!D:V,19,FALSE)</f>
        <v>-3036.3000000000029</v>
      </c>
      <c r="G194" s="680"/>
      <c r="H194" s="680"/>
      <c r="I194" s="755"/>
      <c r="J194" s="682">
        <f t="shared" si="30"/>
        <v>-3036.3000000000029</v>
      </c>
      <c r="K194" s="683"/>
      <c r="L194" s="684"/>
      <c r="M194" s="841">
        <v>80103.03</v>
      </c>
      <c r="N194" s="683">
        <v>0</v>
      </c>
      <c r="O194" s="686"/>
      <c r="P194" s="683">
        <v>0</v>
      </c>
      <c r="Q194" s="687">
        <f t="shared" si="29"/>
        <v>80103.03</v>
      </c>
      <c r="R194" s="687"/>
      <c r="S194" s="687"/>
      <c r="T194" s="688">
        <v>80103.03</v>
      </c>
      <c r="U194" s="693"/>
      <c r="V194" s="690">
        <f t="shared" si="28"/>
        <v>0</v>
      </c>
      <c r="W194" s="697"/>
      <c r="X194" s="474">
        <f t="shared" si="38"/>
        <v>80103.03</v>
      </c>
      <c r="Y194" s="474">
        <f t="shared" si="39"/>
        <v>0</v>
      </c>
      <c r="Z194" s="475">
        <f t="shared" si="40"/>
        <v>0</v>
      </c>
      <c r="AA194" s="475">
        <v>0</v>
      </c>
      <c r="AB194" s="476">
        <v>0</v>
      </c>
      <c r="AC194" s="38">
        <f t="shared" si="41"/>
        <v>0</v>
      </c>
      <c r="AD194" s="692">
        <f t="shared" si="31"/>
        <v>-3036.3000000000029</v>
      </c>
      <c r="AE194" s="692">
        <f t="shared" si="32"/>
        <v>0</v>
      </c>
      <c r="AF194" s="692">
        <f t="shared" si="33"/>
        <v>0</v>
      </c>
      <c r="AG194" s="38"/>
      <c r="AH194" s="692">
        <f t="shared" si="35"/>
        <v>80103.03</v>
      </c>
      <c r="AI194" s="692">
        <f t="shared" si="36"/>
        <v>0</v>
      </c>
      <c r="AJ194" s="692">
        <f t="shared" si="37"/>
        <v>0</v>
      </c>
      <c r="AL194" s="38">
        <f t="shared" si="34"/>
        <v>77066.73</v>
      </c>
      <c r="AM194" s="68" t="s">
        <v>511</v>
      </c>
    </row>
    <row r="195" spans="1:39">
      <c r="A195" s="21"/>
      <c r="B195" s="21" t="s">
        <v>110</v>
      </c>
      <c r="C195" s="666"/>
      <c r="D195" s="68" t="s">
        <v>50</v>
      </c>
      <c r="E195" s="679">
        <v>859</v>
      </c>
      <c r="F195" s="529">
        <f>VLOOKUP(D195,'Apr14 Revenue'!D:V,19,FALSE)</f>
        <v>0</v>
      </c>
      <c r="G195" s="680"/>
      <c r="H195" s="680"/>
      <c r="I195" s="755"/>
      <c r="J195" s="682">
        <f t="shared" si="30"/>
        <v>859</v>
      </c>
      <c r="K195" s="683"/>
      <c r="L195" s="684"/>
      <c r="M195" s="753"/>
      <c r="N195" s="683">
        <v>0</v>
      </c>
      <c r="O195" s="686"/>
      <c r="P195" s="683">
        <v>0</v>
      </c>
      <c r="Q195" s="687">
        <f t="shared" si="29"/>
        <v>0</v>
      </c>
      <c r="R195" s="687"/>
      <c r="S195" s="687"/>
      <c r="T195" s="688">
        <v>0</v>
      </c>
      <c r="U195" s="693"/>
      <c r="V195" s="690">
        <f t="shared" si="28"/>
        <v>0</v>
      </c>
      <c r="W195" s="683"/>
      <c r="X195" s="474">
        <f t="shared" si="38"/>
        <v>0</v>
      </c>
      <c r="Y195" s="474">
        <f t="shared" si="39"/>
        <v>0</v>
      </c>
      <c r="Z195" s="475">
        <f t="shared" si="40"/>
        <v>0</v>
      </c>
      <c r="AA195" s="475">
        <v>0</v>
      </c>
      <c r="AB195" s="476">
        <v>0</v>
      </c>
      <c r="AC195" s="38">
        <f t="shared" si="41"/>
        <v>0</v>
      </c>
      <c r="AD195" s="692">
        <f t="shared" si="31"/>
        <v>859</v>
      </c>
      <c r="AE195" s="692">
        <f t="shared" si="32"/>
        <v>0</v>
      </c>
      <c r="AF195" s="692">
        <f t="shared" si="33"/>
        <v>0</v>
      </c>
      <c r="AG195" s="38"/>
      <c r="AH195" s="692">
        <f t="shared" si="35"/>
        <v>0</v>
      </c>
      <c r="AI195" s="692">
        <f t="shared" si="36"/>
        <v>0</v>
      </c>
      <c r="AJ195" s="692">
        <f t="shared" si="37"/>
        <v>0</v>
      </c>
      <c r="AL195" s="38">
        <f t="shared" si="34"/>
        <v>859</v>
      </c>
      <c r="AM195" s="68" t="s">
        <v>50</v>
      </c>
    </row>
    <row r="196" spans="1:39" hidden="1">
      <c r="A196" s="21"/>
      <c r="B196" s="21" t="s">
        <v>109</v>
      </c>
      <c r="C196" s="666"/>
      <c r="D196" s="68" t="s">
        <v>51</v>
      </c>
      <c r="E196" s="679"/>
      <c r="F196" s="529">
        <f>VLOOKUP(D196,'Apr14 Revenue'!D:V,19,FALSE)</f>
        <v>0</v>
      </c>
      <c r="G196" s="680"/>
      <c r="H196" s="680"/>
      <c r="I196" s="755"/>
      <c r="J196" s="682">
        <f t="shared" si="30"/>
        <v>0</v>
      </c>
      <c r="K196" s="683"/>
      <c r="L196" s="684"/>
      <c r="M196" s="753"/>
      <c r="N196" s="683">
        <v>0</v>
      </c>
      <c r="O196" s="686"/>
      <c r="P196" s="683">
        <v>0</v>
      </c>
      <c r="Q196" s="687">
        <f t="shared" si="29"/>
        <v>0</v>
      </c>
      <c r="R196" s="687"/>
      <c r="S196" s="687"/>
      <c r="T196" s="688">
        <v>0</v>
      </c>
      <c r="U196" s="693"/>
      <c r="V196" s="690">
        <f t="shared" si="28"/>
        <v>0</v>
      </c>
      <c r="W196" s="683"/>
      <c r="X196" s="474">
        <f t="shared" si="38"/>
        <v>0</v>
      </c>
      <c r="Y196" s="474">
        <f t="shared" si="39"/>
        <v>0</v>
      </c>
      <c r="Z196" s="475">
        <f t="shared" si="40"/>
        <v>0</v>
      </c>
      <c r="AA196" s="475">
        <v>0</v>
      </c>
      <c r="AB196" s="476">
        <v>0</v>
      </c>
      <c r="AC196" s="38">
        <f t="shared" si="41"/>
        <v>0</v>
      </c>
      <c r="AD196" s="692">
        <f t="shared" si="31"/>
        <v>0</v>
      </c>
      <c r="AE196" s="692">
        <f t="shared" si="32"/>
        <v>0</v>
      </c>
      <c r="AF196" s="692">
        <f t="shared" si="33"/>
        <v>0</v>
      </c>
      <c r="AG196" s="38"/>
      <c r="AH196" s="692">
        <f t="shared" si="35"/>
        <v>0</v>
      </c>
      <c r="AI196" s="692">
        <f t="shared" si="36"/>
        <v>0</v>
      </c>
      <c r="AJ196" s="692">
        <f t="shared" si="37"/>
        <v>0</v>
      </c>
      <c r="AL196" s="38">
        <f t="shared" si="34"/>
        <v>0</v>
      </c>
      <c r="AM196" s="68" t="s">
        <v>51</v>
      </c>
    </row>
    <row r="197" spans="1:39">
      <c r="A197" s="21"/>
      <c r="B197" s="21" t="s">
        <v>109</v>
      </c>
      <c r="C197" s="666"/>
      <c r="D197" s="68" t="s">
        <v>107</v>
      </c>
      <c r="E197" s="679"/>
      <c r="F197" s="529">
        <f>VLOOKUP(D197,'Apr14 Revenue'!D:V,19,FALSE)</f>
        <v>0</v>
      </c>
      <c r="G197" s="680"/>
      <c r="H197" s="680"/>
      <c r="I197" s="755"/>
      <c r="J197" s="682">
        <f t="shared" si="30"/>
        <v>0</v>
      </c>
      <c r="K197" s="683"/>
      <c r="L197" s="684"/>
      <c r="M197" s="753"/>
      <c r="N197" s="683">
        <v>0</v>
      </c>
      <c r="O197" s="686"/>
      <c r="P197" s="683">
        <v>0</v>
      </c>
      <c r="Q197" s="687">
        <f t="shared" si="29"/>
        <v>0</v>
      </c>
      <c r="R197" s="687"/>
      <c r="S197" s="687"/>
      <c r="T197" s="688">
        <v>0</v>
      </c>
      <c r="U197" s="693"/>
      <c r="V197" s="690">
        <f t="shared" si="28"/>
        <v>0</v>
      </c>
      <c r="W197" s="683"/>
      <c r="X197" s="474">
        <f t="shared" si="38"/>
        <v>0</v>
      </c>
      <c r="Y197" s="474">
        <f t="shared" si="39"/>
        <v>0</v>
      </c>
      <c r="Z197" s="475">
        <f t="shared" si="40"/>
        <v>0</v>
      </c>
      <c r="AA197" s="475">
        <v>0</v>
      </c>
      <c r="AB197" s="476">
        <v>0</v>
      </c>
      <c r="AC197" s="38">
        <f t="shared" si="41"/>
        <v>0</v>
      </c>
      <c r="AD197" s="692">
        <f t="shared" si="31"/>
        <v>0</v>
      </c>
      <c r="AE197" s="692">
        <f t="shared" si="32"/>
        <v>0</v>
      </c>
      <c r="AF197" s="692">
        <f t="shared" si="33"/>
        <v>0</v>
      </c>
      <c r="AG197" s="38"/>
      <c r="AH197" s="692">
        <f t="shared" si="35"/>
        <v>0</v>
      </c>
      <c r="AI197" s="692">
        <f t="shared" si="36"/>
        <v>0</v>
      </c>
      <c r="AJ197" s="692">
        <f t="shared" si="37"/>
        <v>0</v>
      </c>
      <c r="AL197" s="38">
        <f t="shared" si="34"/>
        <v>0</v>
      </c>
      <c r="AM197" s="68" t="s">
        <v>107</v>
      </c>
    </row>
    <row r="198" spans="1:39" hidden="1">
      <c r="A198" s="21"/>
      <c r="B198" s="21" t="s">
        <v>109</v>
      </c>
      <c r="C198" s="666"/>
      <c r="D198" s="68" t="s">
        <v>467</v>
      </c>
      <c r="E198" s="679"/>
      <c r="F198" s="529">
        <f>VLOOKUP(D198,'Apr14 Revenue'!D:V,19,FALSE)</f>
        <v>0</v>
      </c>
      <c r="G198" s="680"/>
      <c r="H198" s="680"/>
      <c r="I198" s="755"/>
      <c r="J198" s="682">
        <f t="shared" si="30"/>
        <v>0</v>
      </c>
      <c r="K198" s="683"/>
      <c r="L198" s="684"/>
      <c r="M198" s="753"/>
      <c r="N198" s="683">
        <v>0</v>
      </c>
      <c r="O198" s="686"/>
      <c r="P198" s="683">
        <v>0</v>
      </c>
      <c r="Q198" s="687">
        <f t="shared" si="29"/>
        <v>0</v>
      </c>
      <c r="R198" s="687"/>
      <c r="S198" s="687"/>
      <c r="T198" s="688">
        <v>0</v>
      </c>
      <c r="U198" s="693"/>
      <c r="V198" s="690">
        <f t="shared" si="28"/>
        <v>0</v>
      </c>
      <c r="W198" s="683"/>
      <c r="X198" s="474">
        <f t="shared" si="38"/>
        <v>0</v>
      </c>
      <c r="Y198" s="474">
        <f t="shared" si="39"/>
        <v>0</v>
      </c>
      <c r="Z198" s="475">
        <f t="shared" si="40"/>
        <v>0</v>
      </c>
      <c r="AA198" s="475">
        <v>0</v>
      </c>
      <c r="AB198" s="476">
        <v>0</v>
      </c>
      <c r="AC198" s="38">
        <f t="shared" si="41"/>
        <v>0</v>
      </c>
      <c r="AD198" s="692">
        <f t="shared" si="31"/>
        <v>0</v>
      </c>
      <c r="AE198" s="692">
        <f t="shared" si="32"/>
        <v>0</v>
      </c>
      <c r="AF198" s="692">
        <f t="shared" si="33"/>
        <v>0</v>
      </c>
      <c r="AG198" s="38"/>
      <c r="AH198" s="692">
        <f t="shared" si="35"/>
        <v>0</v>
      </c>
      <c r="AI198" s="692">
        <f t="shared" si="36"/>
        <v>0</v>
      </c>
      <c r="AJ198" s="692">
        <f t="shared" si="37"/>
        <v>0</v>
      </c>
      <c r="AL198" s="38">
        <f t="shared" si="34"/>
        <v>0</v>
      </c>
      <c r="AM198" s="68" t="s">
        <v>467</v>
      </c>
    </row>
    <row r="199" spans="1:39">
      <c r="A199" s="21"/>
      <c r="B199" s="21" t="s">
        <v>110</v>
      </c>
      <c r="C199" s="666"/>
      <c r="D199" s="68" t="s">
        <v>1012</v>
      </c>
      <c r="E199" s="679"/>
      <c r="F199" s="529">
        <f>VLOOKUP(D199,'Apr14 Revenue'!D:V,19,FALSE)</f>
        <v>0</v>
      </c>
      <c r="G199" s="680"/>
      <c r="H199" s="680"/>
      <c r="I199" s="755"/>
      <c r="J199" s="682">
        <f t="shared" si="30"/>
        <v>0</v>
      </c>
      <c r="K199" s="683"/>
      <c r="L199" s="684"/>
      <c r="M199" s="753"/>
      <c r="N199" s="683">
        <v>0</v>
      </c>
      <c r="O199" s="686"/>
      <c r="P199" s="683">
        <v>0</v>
      </c>
      <c r="Q199" s="687">
        <f t="shared" si="29"/>
        <v>0</v>
      </c>
      <c r="R199" s="687"/>
      <c r="S199" s="687"/>
      <c r="T199" s="688">
        <v>0</v>
      </c>
      <c r="U199" s="693"/>
      <c r="V199" s="690">
        <f t="shared" si="28"/>
        <v>0</v>
      </c>
      <c r="W199" s="683"/>
      <c r="X199" s="474">
        <f t="shared" si="38"/>
        <v>0</v>
      </c>
      <c r="Y199" s="474">
        <f t="shared" si="39"/>
        <v>0</v>
      </c>
      <c r="Z199" s="475">
        <f t="shared" si="40"/>
        <v>0</v>
      </c>
      <c r="AA199" s="475">
        <v>0</v>
      </c>
      <c r="AB199" s="476">
        <v>0</v>
      </c>
      <c r="AC199" s="38">
        <f t="shared" si="41"/>
        <v>0</v>
      </c>
      <c r="AD199" s="692">
        <f t="shared" si="31"/>
        <v>0</v>
      </c>
      <c r="AE199" s="692">
        <f t="shared" si="32"/>
        <v>0</v>
      </c>
      <c r="AF199" s="692">
        <f t="shared" si="33"/>
        <v>0</v>
      </c>
      <c r="AG199" s="38"/>
      <c r="AH199" s="692">
        <f t="shared" si="35"/>
        <v>0</v>
      </c>
      <c r="AI199" s="692">
        <f t="shared" si="36"/>
        <v>0</v>
      </c>
      <c r="AJ199" s="692">
        <f t="shared" si="37"/>
        <v>0</v>
      </c>
      <c r="AL199" s="38">
        <f t="shared" si="34"/>
        <v>0</v>
      </c>
      <c r="AM199" s="68" t="s">
        <v>1012</v>
      </c>
    </row>
    <row r="200" spans="1:39">
      <c r="A200" s="21"/>
      <c r="B200" s="21" t="s">
        <v>109</v>
      </c>
      <c r="C200" s="666"/>
      <c r="D200" s="68" t="s">
        <v>1085</v>
      </c>
      <c r="E200" s="679"/>
      <c r="F200" s="529">
        <f>VLOOKUP(D200,'Apr14 Revenue'!D:V,19,FALSE)</f>
        <v>-50000</v>
      </c>
      <c r="G200" s="680"/>
      <c r="H200" s="680"/>
      <c r="I200" s="755"/>
      <c r="J200" s="682">
        <f t="shared" si="30"/>
        <v>-50000</v>
      </c>
      <c r="K200" s="683"/>
      <c r="L200" s="684"/>
      <c r="M200" s="753">
        <v>60000</v>
      </c>
      <c r="N200" s="683">
        <v>0</v>
      </c>
      <c r="O200" s="686"/>
      <c r="P200" s="683">
        <v>0</v>
      </c>
      <c r="Q200" s="687">
        <f t="shared" si="29"/>
        <v>60000</v>
      </c>
      <c r="R200" s="687"/>
      <c r="S200" s="687"/>
      <c r="T200" s="688">
        <v>0</v>
      </c>
      <c r="U200" s="693"/>
      <c r="V200" s="690">
        <f t="shared" si="28"/>
        <v>-60000</v>
      </c>
      <c r="W200" s="683"/>
      <c r="X200" s="474">
        <f t="shared" si="38"/>
        <v>0</v>
      </c>
      <c r="Y200" s="474">
        <f t="shared" si="39"/>
        <v>60000</v>
      </c>
      <c r="Z200" s="475">
        <f t="shared" si="40"/>
        <v>0</v>
      </c>
      <c r="AA200" s="475">
        <v>0</v>
      </c>
      <c r="AB200" s="476">
        <v>0</v>
      </c>
      <c r="AC200" s="38">
        <f t="shared" si="41"/>
        <v>0</v>
      </c>
      <c r="AD200" s="692">
        <f t="shared" si="31"/>
        <v>0</v>
      </c>
      <c r="AE200" s="692">
        <f t="shared" si="32"/>
        <v>-50000</v>
      </c>
      <c r="AF200" s="692">
        <f t="shared" si="33"/>
        <v>0</v>
      </c>
      <c r="AG200" s="38"/>
      <c r="AH200" s="692">
        <f t="shared" si="35"/>
        <v>0</v>
      </c>
      <c r="AI200" s="692">
        <f t="shared" si="36"/>
        <v>60000</v>
      </c>
      <c r="AJ200" s="692">
        <f t="shared" si="37"/>
        <v>0</v>
      </c>
      <c r="AL200" s="38">
        <f t="shared" si="34"/>
        <v>10000</v>
      </c>
      <c r="AM200" s="68" t="s">
        <v>54</v>
      </c>
    </row>
    <row r="201" spans="1:39">
      <c r="A201" s="21"/>
      <c r="B201" s="21" t="s">
        <v>109</v>
      </c>
      <c r="C201" s="666" t="s">
        <v>575</v>
      </c>
      <c r="D201" s="68" t="s">
        <v>54</v>
      </c>
      <c r="E201" s="679"/>
      <c r="F201" s="529">
        <f>VLOOKUP(D201,'Apr14 Revenue'!D:V,19,FALSE)</f>
        <v>0</v>
      </c>
      <c r="G201" s="680"/>
      <c r="H201" s="680"/>
      <c r="I201" s="755"/>
      <c r="J201" s="682">
        <f t="shared" si="30"/>
        <v>0</v>
      </c>
      <c r="K201" s="683"/>
      <c r="L201" s="684"/>
      <c r="M201" s="753"/>
      <c r="N201" s="683">
        <v>0</v>
      </c>
      <c r="O201" s="686"/>
      <c r="P201" s="683">
        <v>0</v>
      </c>
      <c r="Q201" s="687">
        <f t="shared" si="29"/>
        <v>0</v>
      </c>
      <c r="R201" s="687"/>
      <c r="S201" s="687"/>
      <c r="T201" s="688">
        <v>0</v>
      </c>
      <c r="U201" s="693"/>
      <c r="V201" s="690">
        <f t="shared" si="28"/>
        <v>0</v>
      </c>
      <c r="W201" s="683"/>
      <c r="X201" s="474">
        <f t="shared" si="38"/>
        <v>0</v>
      </c>
      <c r="Y201" s="474">
        <f t="shared" si="39"/>
        <v>0</v>
      </c>
      <c r="Z201" s="475">
        <f t="shared" si="40"/>
        <v>0</v>
      </c>
      <c r="AA201" s="475">
        <v>0</v>
      </c>
      <c r="AB201" s="476">
        <v>0</v>
      </c>
      <c r="AC201" s="38">
        <f t="shared" si="41"/>
        <v>0</v>
      </c>
      <c r="AD201" s="692">
        <f t="shared" si="31"/>
        <v>0</v>
      </c>
      <c r="AE201" s="692">
        <f t="shared" si="32"/>
        <v>0</v>
      </c>
      <c r="AF201" s="692">
        <f t="shared" si="33"/>
        <v>0</v>
      </c>
      <c r="AG201" s="38"/>
      <c r="AH201" s="692">
        <f t="shared" si="35"/>
        <v>0</v>
      </c>
      <c r="AI201" s="692">
        <f t="shared" si="36"/>
        <v>0</v>
      </c>
      <c r="AJ201" s="692">
        <f t="shared" si="37"/>
        <v>0</v>
      </c>
      <c r="AL201" s="38">
        <f t="shared" si="34"/>
        <v>0</v>
      </c>
      <c r="AM201" s="68" t="s">
        <v>54</v>
      </c>
    </row>
    <row r="202" spans="1:39">
      <c r="A202" s="20"/>
      <c r="B202" s="20" t="s">
        <v>109</v>
      </c>
      <c r="C202" s="667"/>
      <c r="D202" s="68" t="s">
        <v>1084</v>
      </c>
      <c r="E202" s="679">
        <v>9547.0400000000009</v>
      </c>
      <c r="F202" s="529">
        <f>VLOOKUP(D202,'Apr14 Revenue'!D:V,19,FALSE)</f>
        <v>-35000</v>
      </c>
      <c r="G202" s="680"/>
      <c r="H202" s="680"/>
      <c r="I202" s="755"/>
      <c r="J202" s="682">
        <f t="shared" si="30"/>
        <v>-25452.959999999999</v>
      </c>
      <c r="K202" s="683"/>
      <c r="L202" s="684"/>
      <c r="M202" s="753">
        <v>30000</v>
      </c>
      <c r="N202" s="683">
        <v>0</v>
      </c>
      <c r="O202" s="686"/>
      <c r="P202" s="683">
        <v>0</v>
      </c>
      <c r="Q202" s="687">
        <f t="shared" si="29"/>
        <v>30000</v>
      </c>
      <c r="R202" s="687"/>
      <c r="S202" s="687"/>
      <c r="T202" s="688">
        <v>0</v>
      </c>
      <c r="U202" s="693"/>
      <c r="V202" s="690">
        <f t="shared" si="28"/>
        <v>-30000</v>
      </c>
      <c r="W202" s="683"/>
      <c r="X202" s="474">
        <f t="shared" si="38"/>
        <v>0</v>
      </c>
      <c r="Y202" s="474">
        <f t="shared" si="39"/>
        <v>30000</v>
      </c>
      <c r="Z202" s="475">
        <f t="shared" si="40"/>
        <v>0</v>
      </c>
      <c r="AA202" s="475">
        <v>0</v>
      </c>
      <c r="AB202" s="476">
        <v>0</v>
      </c>
      <c r="AC202" s="38">
        <f t="shared" si="41"/>
        <v>0</v>
      </c>
      <c r="AD202" s="692">
        <f t="shared" si="31"/>
        <v>0</v>
      </c>
      <c r="AE202" s="692">
        <f t="shared" si="32"/>
        <v>-25452.959999999999</v>
      </c>
      <c r="AF202" s="692">
        <f t="shared" si="33"/>
        <v>0</v>
      </c>
      <c r="AG202" s="38"/>
      <c r="AH202" s="692">
        <f t="shared" si="35"/>
        <v>0</v>
      </c>
      <c r="AI202" s="692">
        <f t="shared" si="36"/>
        <v>30000</v>
      </c>
      <c r="AJ202" s="692">
        <f t="shared" si="37"/>
        <v>0</v>
      </c>
      <c r="AL202" s="38">
        <f t="shared" si="34"/>
        <v>4547.0400000000009</v>
      </c>
      <c r="AM202" s="68" t="s">
        <v>394</v>
      </c>
    </row>
    <row r="203" spans="1:39">
      <c r="A203" s="20"/>
      <c r="B203" s="20" t="s">
        <v>110</v>
      </c>
      <c r="C203" s="667"/>
      <c r="D203" s="68" t="s">
        <v>55</v>
      </c>
      <c r="E203" s="679"/>
      <c r="F203" s="529">
        <f>VLOOKUP(D203,'Apr14 Revenue'!D:V,19,FALSE)</f>
        <v>0</v>
      </c>
      <c r="G203" s="680"/>
      <c r="H203" s="680"/>
      <c r="I203" s="770">
        <v>316.08</v>
      </c>
      <c r="J203" s="682">
        <f t="shared" si="30"/>
        <v>316.08</v>
      </c>
      <c r="K203" s="683"/>
      <c r="L203" s="684"/>
      <c r="M203" s="753"/>
      <c r="N203" s="683">
        <v>0</v>
      </c>
      <c r="O203" s="686"/>
      <c r="P203" s="683">
        <v>0</v>
      </c>
      <c r="Q203" s="687">
        <f t="shared" si="29"/>
        <v>0</v>
      </c>
      <c r="R203" s="687"/>
      <c r="S203" s="687"/>
      <c r="T203" s="688">
        <v>0</v>
      </c>
      <c r="U203" s="693"/>
      <c r="V203" s="690">
        <f t="shared" si="28"/>
        <v>0</v>
      </c>
      <c r="W203" s="683"/>
      <c r="X203" s="474">
        <f t="shared" si="38"/>
        <v>0</v>
      </c>
      <c r="Y203" s="474">
        <f t="shared" si="39"/>
        <v>0</v>
      </c>
      <c r="Z203" s="475">
        <f t="shared" si="40"/>
        <v>0</v>
      </c>
      <c r="AA203" s="475">
        <v>0</v>
      </c>
      <c r="AB203" s="476">
        <v>0</v>
      </c>
      <c r="AC203" s="38">
        <f t="shared" si="41"/>
        <v>0</v>
      </c>
      <c r="AD203" s="692">
        <f t="shared" si="31"/>
        <v>316.08</v>
      </c>
      <c r="AE203" s="692">
        <f t="shared" si="32"/>
        <v>0</v>
      </c>
      <c r="AF203" s="692">
        <f t="shared" si="33"/>
        <v>0</v>
      </c>
      <c r="AG203" s="38"/>
      <c r="AH203" s="692">
        <f t="shared" si="35"/>
        <v>0</v>
      </c>
      <c r="AI203" s="692">
        <f t="shared" si="36"/>
        <v>0</v>
      </c>
      <c r="AJ203" s="692">
        <f t="shared" si="37"/>
        <v>0</v>
      </c>
      <c r="AL203" s="38">
        <f t="shared" si="34"/>
        <v>316.08</v>
      </c>
      <c r="AM203" s="68" t="s">
        <v>55</v>
      </c>
    </row>
    <row r="204" spans="1:39">
      <c r="A204" s="21"/>
      <c r="B204" s="21" t="s">
        <v>110</v>
      </c>
      <c r="C204" s="666"/>
      <c r="D204" s="68" t="s">
        <v>1052</v>
      </c>
      <c r="E204" s="679"/>
      <c r="F204" s="529">
        <f>VLOOKUP(D204,'Apr14 Revenue'!D:V,19,FALSE)</f>
        <v>-95000</v>
      </c>
      <c r="G204" s="680"/>
      <c r="H204" s="680"/>
      <c r="I204" s="755"/>
      <c r="J204" s="682">
        <f t="shared" si="30"/>
        <v>-95000</v>
      </c>
      <c r="K204" s="683"/>
      <c r="L204" s="684"/>
      <c r="M204" s="753">
        <v>120000</v>
      </c>
      <c r="N204" s="683">
        <v>0</v>
      </c>
      <c r="O204" s="686"/>
      <c r="P204" s="683">
        <v>0</v>
      </c>
      <c r="Q204" s="687">
        <f t="shared" si="29"/>
        <v>120000</v>
      </c>
      <c r="R204" s="687"/>
      <c r="S204" s="687"/>
      <c r="T204" s="688">
        <v>0</v>
      </c>
      <c r="U204" s="693"/>
      <c r="V204" s="690">
        <f t="shared" si="28"/>
        <v>-120000</v>
      </c>
      <c r="W204" s="683"/>
      <c r="X204" s="474">
        <f t="shared" si="38"/>
        <v>120000</v>
      </c>
      <c r="Y204" s="474">
        <f t="shared" si="39"/>
        <v>0</v>
      </c>
      <c r="Z204" s="475">
        <f t="shared" si="40"/>
        <v>0</v>
      </c>
      <c r="AA204" s="475">
        <v>0</v>
      </c>
      <c r="AB204" s="476">
        <v>0</v>
      </c>
      <c r="AC204" s="38">
        <f t="shared" si="41"/>
        <v>0</v>
      </c>
      <c r="AD204" s="692">
        <f t="shared" si="31"/>
        <v>-95000</v>
      </c>
      <c r="AE204" s="692">
        <f t="shared" si="32"/>
        <v>0</v>
      </c>
      <c r="AF204" s="692">
        <f t="shared" si="33"/>
        <v>0</v>
      </c>
      <c r="AG204" s="38"/>
      <c r="AH204" s="692">
        <f t="shared" si="35"/>
        <v>120000</v>
      </c>
      <c r="AI204" s="692">
        <f t="shared" si="36"/>
        <v>0</v>
      </c>
      <c r="AJ204" s="692">
        <f t="shared" si="37"/>
        <v>0</v>
      </c>
      <c r="AL204" s="38">
        <f t="shared" si="34"/>
        <v>25000</v>
      </c>
      <c r="AM204" s="68" t="s">
        <v>985</v>
      </c>
    </row>
    <row r="205" spans="1:39">
      <c r="A205" s="20"/>
      <c r="B205" s="20" t="s">
        <v>110</v>
      </c>
      <c r="C205" s="676" t="s">
        <v>854</v>
      </c>
      <c r="D205" s="68" t="s">
        <v>855</v>
      </c>
      <c r="E205" s="679"/>
      <c r="F205" s="529">
        <f>VLOOKUP(D205,'Apr14 Revenue'!D:V,19,FALSE)</f>
        <v>0</v>
      </c>
      <c r="G205" s="680"/>
      <c r="H205" s="680"/>
      <c r="I205" s="755"/>
      <c r="J205" s="682">
        <f t="shared" si="30"/>
        <v>0</v>
      </c>
      <c r="K205" s="683"/>
      <c r="L205" s="684"/>
      <c r="M205" s="753"/>
      <c r="N205" s="683">
        <v>0</v>
      </c>
      <c r="O205" s="686"/>
      <c r="P205" s="683">
        <v>0</v>
      </c>
      <c r="Q205" s="687">
        <f t="shared" si="29"/>
        <v>0</v>
      </c>
      <c r="R205" s="687"/>
      <c r="S205" s="687"/>
      <c r="T205" s="688">
        <v>0</v>
      </c>
      <c r="U205" s="693"/>
      <c r="V205" s="690">
        <f t="shared" si="28"/>
        <v>0</v>
      </c>
      <c r="W205" s="683"/>
      <c r="X205" s="474">
        <f t="shared" si="38"/>
        <v>0</v>
      </c>
      <c r="Y205" s="474">
        <f t="shared" si="39"/>
        <v>0</v>
      </c>
      <c r="Z205" s="475">
        <f t="shared" si="40"/>
        <v>0</v>
      </c>
      <c r="AA205" s="475">
        <v>0</v>
      </c>
      <c r="AB205" s="476">
        <v>0</v>
      </c>
      <c r="AC205" s="38">
        <f t="shared" si="41"/>
        <v>0</v>
      </c>
      <c r="AD205" s="692">
        <f t="shared" si="31"/>
        <v>0</v>
      </c>
      <c r="AE205" s="692">
        <f t="shared" si="32"/>
        <v>0</v>
      </c>
      <c r="AF205" s="692">
        <f t="shared" si="33"/>
        <v>0</v>
      </c>
      <c r="AG205" s="38"/>
      <c r="AH205" s="692">
        <f t="shared" si="35"/>
        <v>0</v>
      </c>
      <c r="AI205" s="692">
        <f t="shared" si="36"/>
        <v>0</v>
      </c>
      <c r="AJ205" s="692">
        <f t="shared" si="37"/>
        <v>0</v>
      </c>
      <c r="AL205" s="38">
        <f t="shared" si="34"/>
        <v>0</v>
      </c>
      <c r="AM205" s="68" t="s">
        <v>855</v>
      </c>
    </row>
    <row r="206" spans="1:39">
      <c r="A206" s="21"/>
      <c r="B206" s="21" t="s">
        <v>110</v>
      </c>
      <c r="C206" s="666"/>
      <c r="D206" s="806" t="s">
        <v>1051</v>
      </c>
      <c r="E206" s="679"/>
      <c r="F206" s="529">
        <f>VLOOKUP(D206,'Apr14 Revenue'!D:V,19,FALSE)</f>
        <v>0</v>
      </c>
      <c r="G206" s="680"/>
      <c r="H206" s="680"/>
      <c r="I206" s="755"/>
      <c r="J206" s="682">
        <f t="shared" si="30"/>
        <v>0</v>
      </c>
      <c r="K206" s="683"/>
      <c r="L206" s="684"/>
      <c r="M206" s="753"/>
      <c r="N206" s="683">
        <v>0</v>
      </c>
      <c r="O206" s="686"/>
      <c r="P206" s="683">
        <v>0</v>
      </c>
      <c r="Q206" s="687">
        <f t="shared" si="29"/>
        <v>0</v>
      </c>
      <c r="R206" s="687"/>
      <c r="S206" s="687"/>
      <c r="T206" s="688">
        <v>0</v>
      </c>
      <c r="U206" s="693"/>
      <c r="V206" s="690">
        <f t="shared" si="28"/>
        <v>0</v>
      </c>
      <c r="W206" s="683"/>
      <c r="X206" s="474">
        <f t="shared" si="38"/>
        <v>0</v>
      </c>
      <c r="Y206" s="474">
        <f t="shared" si="39"/>
        <v>0</v>
      </c>
      <c r="Z206" s="475">
        <f t="shared" si="40"/>
        <v>0</v>
      </c>
      <c r="AA206" s="475">
        <v>0</v>
      </c>
      <c r="AB206" s="476">
        <v>0</v>
      </c>
      <c r="AC206" s="38">
        <f t="shared" si="41"/>
        <v>0</v>
      </c>
      <c r="AD206" s="692">
        <f t="shared" si="31"/>
        <v>0</v>
      </c>
      <c r="AE206" s="692">
        <f t="shared" si="32"/>
        <v>0</v>
      </c>
      <c r="AF206" s="692">
        <f t="shared" si="33"/>
        <v>0</v>
      </c>
      <c r="AG206" s="38"/>
      <c r="AH206" s="692">
        <f t="shared" si="35"/>
        <v>0</v>
      </c>
      <c r="AI206" s="692">
        <f t="shared" si="36"/>
        <v>0</v>
      </c>
      <c r="AJ206" s="692">
        <f t="shared" si="37"/>
        <v>0</v>
      </c>
      <c r="AL206" s="38">
        <f t="shared" si="34"/>
        <v>0</v>
      </c>
      <c r="AM206" s="806" t="s">
        <v>388</v>
      </c>
    </row>
    <row r="207" spans="1:39">
      <c r="A207" s="20"/>
      <c r="B207" s="20" t="s">
        <v>109</v>
      </c>
      <c r="C207" s="667" t="s">
        <v>577</v>
      </c>
      <c r="D207" s="68" t="s">
        <v>159</v>
      </c>
      <c r="E207" s="679"/>
      <c r="F207" s="529">
        <f>VLOOKUP(D207,'Apr14 Revenue'!D:V,19,FALSE)</f>
        <v>0</v>
      </c>
      <c r="G207" s="680"/>
      <c r="H207" s="680"/>
      <c r="I207" s="770">
        <v>10789.96</v>
      </c>
      <c r="J207" s="682">
        <f t="shared" si="30"/>
        <v>10789.96</v>
      </c>
      <c r="K207" s="683"/>
      <c r="L207" s="684"/>
      <c r="M207" s="753"/>
      <c r="N207" s="683">
        <v>0</v>
      </c>
      <c r="O207" s="686"/>
      <c r="P207" s="683">
        <v>0</v>
      </c>
      <c r="Q207" s="687">
        <f t="shared" si="29"/>
        <v>0</v>
      </c>
      <c r="R207" s="687"/>
      <c r="S207" s="687"/>
      <c r="T207" s="688">
        <v>0</v>
      </c>
      <c r="U207" s="693"/>
      <c r="V207" s="690">
        <f t="shared" si="28"/>
        <v>0</v>
      </c>
      <c r="W207" s="683"/>
      <c r="X207" s="474">
        <f t="shared" si="38"/>
        <v>0</v>
      </c>
      <c r="Y207" s="474">
        <f t="shared" si="39"/>
        <v>0</v>
      </c>
      <c r="Z207" s="475">
        <f t="shared" si="40"/>
        <v>0</v>
      </c>
      <c r="AA207" s="475">
        <v>0</v>
      </c>
      <c r="AB207" s="476">
        <v>0</v>
      </c>
      <c r="AC207" s="38">
        <f t="shared" si="41"/>
        <v>0</v>
      </c>
      <c r="AD207" s="692">
        <f t="shared" si="31"/>
        <v>0</v>
      </c>
      <c r="AE207" s="692">
        <f t="shared" si="32"/>
        <v>10789.96</v>
      </c>
      <c r="AF207" s="692">
        <f t="shared" si="33"/>
        <v>0</v>
      </c>
      <c r="AG207" s="38"/>
      <c r="AH207" s="692">
        <f t="shared" si="35"/>
        <v>0</v>
      </c>
      <c r="AI207" s="692">
        <f t="shared" si="36"/>
        <v>0</v>
      </c>
      <c r="AJ207" s="692">
        <f t="shared" si="37"/>
        <v>0</v>
      </c>
      <c r="AL207" s="38">
        <f t="shared" si="34"/>
        <v>10789.96</v>
      </c>
      <c r="AM207" s="68" t="s">
        <v>159</v>
      </c>
    </row>
    <row r="208" spans="1:39">
      <c r="A208" s="20"/>
      <c r="B208" s="20" t="s">
        <v>109</v>
      </c>
      <c r="C208" s="667" t="s">
        <v>577</v>
      </c>
      <c r="D208" s="68" t="s">
        <v>160</v>
      </c>
      <c r="E208" s="679"/>
      <c r="F208" s="529">
        <f>VLOOKUP(D208,'Apr14 Revenue'!D:V,19,FALSE)</f>
        <v>0</v>
      </c>
      <c r="G208" s="680"/>
      <c r="H208" s="680"/>
      <c r="I208" s="770">
        <v>7550.28</v>
      </c>
      <c r="J208" s="682">
        <f t="shared" si="30"/>
        <v>7550.28</v>
      </c>
      <c r="K208" s="683"/>
      <c r="L208" s="684"/>
      <c r="M208" s="753"/>
      <c r="N208" s="683">
        <v>0</v>
      </c>
      <c r="O208" s="686"/>
      <c r="P208" s="683">
        <v>0</v>
      </c>
      <c r="Q208" s="687">
        <f t="shared" si="29"/>
        <v>0</v>
      </c>
      <c r="R208" s="687"/>
      <c r="S208" s="687"/>
      <c r="T208" s="688">
        <v>0</v>
      </c>
      <c r="U208" s="693"/>
      <c r="V208" s="690">
        <f t="shared" ref="V208:V237" si="42">IF(T208="","",T208-Q208)</f>
        <v>0</v>
      </c>
      <c r="W208" s="683"/>
      <c r="X208" s="474">
        <f t="shared" si="38"/>
        <v>0</v>
      </c>
      <c r="Y208" s="474">
        <f t="shared" si="39"/>
        <v>0</v>
      </c>
      <c r="Z208" s="475">
        <f t="shared" si="40"/>
        <v>0</v>
      </c>
      <c r="AA208" s="475">
        <v>0</v>
      </c>
      <c r="AB208" s="476">
        <v>0</v>
      </c>
      <c r="AC208" s="38">
        <f t="shared" si="41"/>
        <v>0</v>
      </c>
      <c r="AD208" s="692">
        <f t="shared" si="31"/>
        <v>0</v>
      </c>
      <c r="AE208" s="692">
        <f t="shared" si="32"/>
        <v>7550.28</v>
      </c>
      <c r="AF208" s="692">
        <f t="shared" si="33"/>
        <v>0</v>
      </c>
      <c r="AG208" s="38"/>
      <c r="AH208" s="692">
        <f t="shared" si="35"/>
        <v>0</v>
      </c>
      <c r="AI208" s="692">
        <f t="shared" si="36"/>
        <v>0</v>
      </c>
      <c r="AJ208" s="692">
        <f t="shared" si="37"/>
        <v>0</v>
      </c>
      <c r="AL208" s="38">
        <f t="shared" si="34"/>
        <v>7550.28</v>
      </c>
      <c r="AM208" s="68" t="s">
        <v>160</v>
      </c>
    </row>
    <row r="209" spans="1:39" hidden="1">
      <c r="A209" s="21"/>
      <c r="B209" s="21" t="s">
        <v>109</v>
      </c>
      <c r="C209" s="667" t="s">
        <v>577</v>
      </c>
      <c r="D209" s="68" t="s">
        <v>161</v>
      </c>
      <c r="E209" s="679"/>
      <c r="F209" s="529">
        <f>VLOOKUP(D209,'Apr14 Revenue'!D:V,19,FALSE)</f>
        <v>0</v>
      </c>
      <c r="G209" s="680"/>
      <c r="H209" s="680"/>
      <c r="I209" s="755"/>
      <c r="J209" s="682">
        <f t="shared" si="30"/>
        <v>0</v>
      </c>
      <c r="K209" s="683"/>
      <c r="L209" s="684"/>
      <c r="M209" s="753"/>
      <c r="N209" s="683">
        <v>0</v>
      </c>
      <c r="O209" s="686"/>
      <c r="P209" s="683">
        <v>0</v>
      </c>
      <c r="Q209" s="687">
        <f t="shared" si="29"/>
        <v>0</v>
      </c>
      <c r="R209" s="687"/>
      <c r="S209" s="687"/>
      <c r="T209" s="688">
        <v>0</v>
      </c>
      <c r="U209" s="693"/>
      <c r="V209" s="690">
        <f t="shared" si="42"/>
        <v>0</v>
      </c>
      <c r="W209" s="683"/>
      <c r="X209" s="474">
        <f t="shared" si="38"/>
        <v>0</v>
      </c>
      <c r="Y209" s="474">
        <f t="shared" si="39"/>
        <v>0</v>
      </c>
      <c r="Z209" s="475">
        <f t="shared" si="40"/>
        <v>0</v>
      </c>
      <c r="AA209" s="475">
        <v>0</v>
      </c>
      <c r="AB209" s="476">
        <v>0</v>
      </c>
      <c r="AC209" s="38">
        <f t="shared" si="41"/>
        <v>0</v>
      </c>
      <c r="AD209" s="692">
        <f t="shared" si="31"/>
        <v>0</v>
      </c>
      <c r="AE209" s="692">
        <f t="shared" si="32"/>
        <v>0</v>
      </c>
      <c r="AF209" s="692">
        <f t="shared" si="33"/>
        <v>0</v>
      </c>
      <c r="AG209" s="38"/>
      <c r="AH209" s="692">
        <f t="shared" si="35"/>
        <v>0</v>
      </c>
      <c r="AI209" s="692">
        <f t="shared" si="36"/>
        <v>0</v>
      </c>
      <c r="AJ209" s="692">
        <f t="shared" si="37"/>
        <v>0</v>
      </c>
      <c r="AL209" s="38">
        <f t="shared" si="34"/>
        <v>0</v>
      </c>
      <c r="AM209" s="68" t="s">
        <v>161</v>
      </c>
    </row>
    <row r="210" spans="1:39" hidden="1">
      <c r="A210" s="21"/>
      <c r="B210" s="21" t="s">
        <v>109</v>
      </c>
      <c r="C210" s="667" t="s">
        <v>577</v>
      </c>
      <c r="D210" s="68" t="s">
        <v>162</v>
      </c>
      <c r="E210" s="679"/>
      <c r="F210" s="529">
        <f>VLOOKUP(D210,'Apr14 Revenue'!D:V,19,FALSE)</f>
        <v>0</v>
      </c>
      <c r="G210" s="680"/>
      <c r="H210" s="680"/>
      <c r="I210" s="755"/>
      <c r="J210" s="682">
        <f t="shared" si="30"/>
        <v>0</v>
      </c>
      <c r="K210" s="683"/>
      <c r="L210" s="684"/>
      <c r="M210" s="753"/>
      <c r="N210" s="683">
        <v>0</v>
      </c>
      <c r="O210" s="686"/>
      <c r="P210" s="683">
        <v>0</v>
      </c>
      <c r="Q210" s="687">
        <f t="shared" si="29"/>
        <v>0</v>
      </c>
      <c r="R210" s="687"/>
      <c r="S210" s="687"/>
      <c r="T210" s="688">
        <v>0</v>
      </c>
      <c r="U210" s="693"/>
      <c r="V210" s="690">
        <f t="shared" si="42"/>
        <v>0</v>
      </c>
      <c r="W210" s="683"/>
      <c r="X210" s="474">
        <f t="shared" si="38"/>
        <v>0</v>
      </c>
      <c r="Y210" s="474">
        <f t="shared" si="39"/>
        <v>0</v>
      </c>
      <c r="Z210" s="475">
        <f t="shared" si="40"/>
        <v>0</v>
      </c>
      <c r="AA210" s="475">
        <v>0</v>
      </c>
      <c r="AB210" s="476">
        <v>0</v>
      </c>
      <c r="AC210" s="38">
        <f t="shared" si="41"/>
        <v>0</v>
      </c>
      <c r="AD210" s="692">
        <f t="shared" si="31"/>
        <v>0</v>
      </c>
      <c r="AE210" s="692">
        <f t="shared" si="32"/>
        <v>0</v>
      </c>
      <c r="AF210" s="692">
        <f t="shared" si="33"/>
        <v>0</v>
      </c>
      <c r="AG210" s="38"/>
      <c r="AH210" s="692">
        <f t="shared" si="35"/>
        <v>0</v>
      </c>
      <c r="AI210" s="692">
        <f t="shared" si="36"/>
        <v>0</v>
      </c>
      <c r="AJ210" s="692">
        <f t="shared" si="37"/>
        <v>0</v>
      </c>
      <c r="AL210" s="38">
        <f t="shared" si="34"/>
        <v>0</v>
      </c>
      <c r="AM210" s="68" t="s">
        <v>162</v>
      </c>
    </row>
    <row r="211" spans="1:39">
      <c r="A211" s="21"/>
      <c r="B211" s="21" t="s">
        <v>109</v>
      </c>
      <c r="C211" s="666"/>
      <c r="D211" s="68" t="s">
        <v>163</v>
      </c>
      <c r="E211" s="679"/>
      <c r="F211" s="529">
        <f>VLOOKUP(D211,'Apr14 Revenue'!D:V,19,FALSE)</f>
        <v>0</v>
      </c>
      <c r="G211" s="680"/>
      <c r="H211" s="680"/>
      <c r="I211" s="755"/>
      <c r="J211" s="682">
        <f t="shared" si="30"/>
        <v>0</v>
      </c>
      <c r="K211" s="683"/>
      <c r="L211" s="684"/>
      <c r="M211" s="753"/>
      <c r="N211" s="683">
        <v>0</v>
      </c>
      <c r="O211" s="686"/>
      <c r="P211" s="683">
        <v>0</v>
      </c>
      <c r="Q211" s="687">
        <f t="shared" si="29"/>
        <v>0</v>
      </c>
      <c r="R211" s="687"/>
      <c r="S211" s="687"/>
      <c r="T211" s="688">
        <v>0</v>
      </c>
      <c r="U211" s="693"/>
      <c r="V211" s="690">
        <f t="shared" si="42"/>
        <v>0</v>
      </c>
      <c r="W211" s="705"/>
      <c r="X211" s="474">
        <f t="shared" si="38"/>
        <v>0</v>
      </c>
      <c r="Y211" s="474">
        <f t="shared" si="39"/>
        <v>0</v>
      </c>
      <c r="Z211" s="475">
        <f t="shared" si="40"/>
        <v>0</v>
      </c>
      <c r="AA211" s="475">
        <v>0</v>
      </c>
      <c r="AB211" s="476">
        <v>0</v>
      </c>
      <c r="AC211" s="38">
        <f t="shared" si="41"/>
        <v>0</v>
      </c>
      <c r="AD211" s="692">
        <f t="shared" si="31"/>
        <v>0</v>
      </c>
      <c r="AE211" s="692">
        <f t="shared" si="32"/>
        <v>0</v>
      </c>
      <c r="AF211" s="692">
        <f t="shared" si="33"/>
        <v>0</v>
      </c>
      <c r="AG211" s="38"/>
      <c r="AH211" s="692">
        <f t="shared" si="35"/>
        <v>0</v>
      </c>
      <c r="AI211" s="692">
        <f t="shared" si="36"/>
        <v>0</v>
      </c>
      <c r="AJ211" s="692">
        <f t="shared" si="37"/>
        <v>0</v>
      </c>
      <c r="AL211" s="38">
        <f t="shared" si="34"/>
        <v>0</v>
      </c>
      <c r="AM211" s="68" t="s">
        <v>163</v>
      </c>
    </row>
    <row r="212" spans="1:39">
      <c r="A212" s="21"/>
      <c r="B212" s="21" t="s">
        <v>109</v>
      </c>
      <c r="C212" s="666"/>
      <c r="D212" s="412" t="s">
        <v>164</v>
      </c>
      <c r="E212" s="679"/>
      <c r="F212" s="529">
        <f>VLOOKUP(D212,'Apr14 Revenue'!D:V,19,FALSE)</f>
        <v>0</v>
      </c>
      <c r="G212" s="680"/>
      <c r="H212" s="680"/>
      <c r="I212" s="755"/>
      <c r="J212" s="682">
        <f t="shared" si="30"/>
        <v>0</v>
      </c>
      <c r="K212" s="683"/>
      <c r="L212" s="684"/>
      <c r="M212" s="753"/>
      <c r="N212" s="683">
        <v>0</v>
      </c>
      <c r="O212" s="686"/>
      <c r="P212" s="683">
        <v>0</v>
      </c>
      <c r="Q212" s="687">
        <f t="shared" si="29"/>
        <v>0</v>
      </c>
      <c r="R212" s="687"/>
      <c r="S212" s="687"/>
      <c r="T212" s="688">
        <v>0</v>
      </c>
      <c r="U212" s="693"/>
      <c r="V212" s="690">
        <f t="shared" si="42"/>
        <v>0</v>
      </c>
      <c r="W212" s="705"/>
      <c r="X212" s="474">
        <f t="shared" si="38"/>
        <v>0</v>
      </c>
      <c r="Y212" s="474">
        <f t="shared" si="39"/>
        <v>0</v>
      </c>
      <c r="Z212" s="475">
        <f t="shared" si="40"/>
        <v>0</v>
      </c>
      <c r="AA212" s="475">
        <v>0</v>
      </c>
      <c r="AB212" s="476">
        <v>0</v>
      </c>
      <c r="AC212" s="38">
        <f t="shared" si="41"/>
        <v>0</v>
      </c>
      <c r="AD212" s="692">
        <f t="shared" si="31"/>
        <v>0</v>
      </c>
      <c r="AE212" s="692">
        <f t="shared" si="32"/>
        <v>0</v>
      </c>
      <c r="AF212" s="692">
        <f t="shared" si="33"/>
        <v>0</v>
      </c>
      <c r="AG212" s="38"/>
      <c r="AH212" s="692">
        <f t="shared" si="35"/>
        <v>0</v>
      </c>
      <c r="AI212" s="692">
        <f t="shared" si="36"/>
        <v>0</v>
      </c>
      <c r="AJ212" s="692">
        <f t="shared" si="37"/>
        <v>0</v>
      </c>
      <c r="AL212" s="38">
        <f t="shared" si="34"/>
        <v>0</v>
      </c>
      <c r="AM212" s="412" t="s">
        <v>164</v>
      </c>
    </row>
    <row r="213" spans="1:39">
      <c r="A213" s="21" t="s">
        <v>109</v>
      </c>
      <c r="B213" s="21" t="s">
        <v>114</v>
      </c>
      <c r="C213" s="666" t="s">
        <v>578</v>
      </c>
      <c r="D213" s="412" t="s">
        <v>318</v>
      </c>
      <c r="E213" s="679"/>
      <c r="F213" s="529">
        <f>VLOOKUP(D213,'Apr14 Revenue'!D:V,19,FALSE)</f>
        <v>-45000</v>
      </c>
      <c r="G213" s="680"/>
      <c r="H213" s="680"/>
      <c r="I213" s="755"/>
      <c r="J213" s="682">
        <f t="shared" si="30"/>
        <v>-45000</v>
      </c>
      <c r="K213" s="683"/>
      <c r="L213" s="684"/>
      <c r="M213" s="753">
        <v>90000</v>
      </c>
      <c r="N213" s="683">
        <v>0</v>
      </c>
      <c r="O213" s="686"/>
      <c r="P213" s="683">
        <v>0</v>
      </c>
      <c r="Q213" s="687">
        <f t="shared" si="29"/>
        <v>90000</v>
      </c>
      <c r="R213" s="687"/>
      <c r="S213" s="687"/>
      <c r="T213" s="688">
        <v>0</v>
      </c>
      <c r="U213" s="693"/>
      <c r="V213" s="690">
        <f t="shared" si="42"/>
        <v>-90000</v>
      </c>
      <c r="W213" s="683"/>
      <c r="X213" s="474">
        <f t="shared" si="38"/>
        <v>0</v>
      </c>
      <c r="Y213" s="474">
        <f t="shared" si="39"/>
        <v>0</v>
      </c>
      <c r="Z213" s="475">
        <f t="shared" si="40"/>
        <v>90000</v>
      </c>
      <c r="AA213" s="475">
        <v>0</v>
      </c>
      <c r="AB213" s="476">
        <v>0</v>
      </c>
      <c r="AC213" s="38">
        <f t="shared" si="41"/>
        <v>0</v>
      </c>
      <c r="AD213" s="692">
        <f t="shared" si="31"/>
        <v>0</v>
      </c>
      <c r="AE213" s="692">
        <f t="shared" si="32"/>
        <v>0</v>
      </c>
      <c r="AF213" s="692">
        <f t="shared" si="33"/>
        <v>-45000</v>
      </c>
      <c r="AG213" s="38"/>
      <c r="AH213" s="692">
        <f t="shared" si="35"/>
        <v>0</v>
      </c>
      <c r="AI213" s="692">
        <f t="shared" si="36"/>
        <v>0</v>
      </c>
      <c r="AJ213" s="692">
        <f t="shared" si="37"/>
        <v>90000</v>
      </c>
      <c r="AL213" s="38">
        <f t="shared" si="34"/>
        <v>45000</v>
      </c>
      <c r="AM213" s="412" t="s">
        <v>318</v>
      </c>
    </row>
    <row r="214" spans="1:39">
      <c r="A214" s="20" t="s">
        <v>211</v>
      </c>
      <c r="B214" s="20" t="s">
        <v>109</v>
      </c>
      <c r="C214" s="667"/>
      <c r="D214" s="68" t="s">
        <v>57</v>
      </c>
      <c r="E214" s="679"/>
      <c r="F214" s="529">
        <f>VLOOKUP(D214,'Apr14 Revenue'!D:V,19,FALSE)</f>
        <v>0</v>
      </c>
      <c r="G214" s="680"/>
      <c r="H214" s="680"/>
      <c r="I214" s="755"/>
      <c r="J214" s="682">
        <f t="shared" si="30"/>
        <v>0</v>
      </c>
      <c r="K214" s="683"/>
      <c r="L214" s="684"/>
      <c r="M214" s="753"/>
      <c r="N214" s="683">
        <v>0</v>
      </c>
      <c r="O214" s="686"/>
      <c r="P214" s="683">
        <v>0</v>
      </c>
      <c r="Q214" s="687">
        <f t="shared" si="29"/>
        <v>0</v>
      </c>
      <c r="R214" s="687"/>
      <c r="S214" s="687"/>
      <c r="T214" s="688">
        <v>0</v>
      </c>
      <c r="U214" s="693"/>
      <c r="V214" s="690">
        <f t="shared" si="42"/>
        <v>0</v>
      </c>
      <c r="W214" s="683"/>
      <c r="X214" s="474">
        <f t="shared" si="38"/>
        <v>0</v>
      </c>
      <c r="Y214" s="474">
        <f t="shared" si="39"/>
        <v>0</v>
      </c>
      <c r="Z214" s="475">
        <f t="shared" si="40"/>
        <v>0</v>
      </c>
      <c r="AA214" s="475">
        <v>0</v>
      </c>
      <c r="AB214" s="476">
        <v>0</v>
      </c>
      <c r="AC214" s="38">
        <f t="shared" si="41"/>
        <v>0</v>
      </c>
      <c r="AD214" s="692">
        <f t="shared" si="31"/>
        <v>0</v>
      </c>
      <c r="AE214" s="692">
        <f t="shared" si="32"/>
        <v>0</v>
      </c>
      <c r="AF214" s="692">
        <f t="shared" si="33"/>
        <v>0</v>
      </c>
      <c r="AG214" s="38"/>
      <c r="AH214" s="692">
        <f t="shared" si="35"/>
        <v>0</v>
      </c>
      <c r="AI214" s="692">
        <f t="shared" si="36"/>
        <v>0</v>
      </c>
      <c r="AJ214" s="692">
        <f t="shared" si="37"/>
        <v>0</v>
      </c>
      <c r="AL214" s="38">
        <f t="shared" si="34"/>
        <v>0</v>
      </c>
      <c r="AM214" s="68" t="s">
        <v>57</v>
      </c>
    </row>
    <row r="215" spans="1:39">
      <c r="A215" s="21"/>
      <c r="B215" s="21" t="s">
        <v>110</v>
      </c>
      <c r="C215" s="666"/>
      <c r="D215" s="806" t="s">
        <v>1050</v>
      </c>
      <c r="E215" s="679"/>
      <c r="F215" s="529">
        <f>VLOOKUP(D215,'Apr14 Revenue'!D:V,19,FALSE)</f>
        <v>0</v>
      </c>
      <c r="G215" s="680"/>
      <c r="H215" s="680"/>
      <c r="I215" s="755"/>
      <c r="J215" s="682">
        <f t="shared" si="30"/>
        <v>0</v>
      </c>
      <c r="K215" s="683"/>
      <c r="L215" s="684"/>
      <c r="M215" s="753"/>
      <c r="N215" s="683">
        <v>0</v>
      </c>
      <c r="O215" s="686"/>
      <c r="P215" s="683">
        <v>0</v>
      </c>
      <c r="Q215" s="687">
        <f t="shared" si="29"/>
        <v>0</v>
      </c>
      <c r="R215" s="687"/>
      <c r="S215" s="687"/>
      <c r="T215" s="688">
        <v>0</v>
      </c>
      <c r="U215" s="693"/>
      <c r="V215" s="690">
        <f t="shared" si="42"/>
        <v>0</v>
      </c>
      <c r="W215" s="683"/>
      <c r="X215" s="474">
        <f t="shared" si="38"/>
        <v>0</v>
      </c>
      <c r="Y215" s="474">
        <f t="shared" si="39"/>
        <v>0</v>
      </c>
      <c r="Z215" s="475">
        <f t="shared" si="40"/>
        <v>0</v>
      </c>
      <c r="AA215" s="475">
        <v>0</v>
      </c>
      <c r="AB215" s="476">
        <v>0</v>
      </c>
      <c r="AC215" s="38">
        <f t="shared" si="41"/>
        <v>0</v>
      </c>
      <c r="AD215" s="692">
        <f t="shared" si="31"/>
        <v>0</v>
      </c>
      <c r="AE215" s="692">
        <f t="shared" si="32"/>
        <v>0</v>
      </c>
      <c r="AF215" s="692">
        <f t="shared" si="33"/>
        <v>0</v>
      </c>
      <c r="AG215" s="38"/>
      <c r="AH215" s="692">
        <f t="shared" si="35"/>
        <v>0</v>
      </c>
      <c r="AI215" s="692">
        <f t="shared" si="36"/>
        <v>0</v>
      </c>
      <c r="AJ215" s="692">
        <f t="shared" si="37"/>
        <v>0</v>
      </c>
      <c r="AL215" s="38">
        <f t="shared" si="34"/>
        <v>0</v>
      </c>
      <c r="AM215" s="806" t="s">
        <v>388</v>
      </c>
    </row>
    <row r="216" spans="1:39">
      <c r="A216" s="20"/>
      <c r="B216" s="20" t="s">
        <v>114</v>
      </c>
      <c r="C216" s="676" t="s">
        <v>621</v>
      </c>
      <c r="D216" s="68" t="s">
        <v>622</v>
      </c>
      <c r="E216" s="679"/>
      <c r="F216" s="529">
        <f>VLOOKUP(D216,'Apr14 Revenue'!D:V,19,FALSE)</f>
        <v>-2371.12</v>
      </c>
      <c r="G216" s="680"/>
      <c r="H216" s="680"/>
      <c r="I216" s="755"/>
      <c r="J216" s="682">
        <f t="shared" si="30"/>
        <v>-2371.12</v>
      </c>
      <c r="K216" s="683"/>
      <c r="L216" s="684"/>
      <c r="M216" s="753"/>
      <c r="N216" s="683">
        <v>0</v>
      </c>
      <c r="O216" s="686"/>
      <c r="P216" s="683">
        <v>0</v>
      </c>
      <c r="Q216" s="687">
        <f t="shared" si="29"/>
        <v>0</v>
      </c>
      <c r="R216" s="687"/>
      <c r="S216" s="687"/>
      <c r="T216" s="688">
        <v>0</v>
      </c>
      <c r="U216" s="693"/>
      <c r="V216" s="690">
        <f t="shared" si="42"/>
        <v>0</v>
      </c>
      <c r="W216" s="683"/>
      <c r="X216" s="474">
        <f t="shared" si="38"/>
        <v>0</v>
      </c>
      <c r="Y216" s="474">
        <f t="shared" si="39"/>
        <v>0</v>
      </c>
      <c r="Z216" s="475">
        <f t="shared" si="40"/>
        <v>0</v>
      </c>
      <c r="AA216" s="475">
        <v>0</v>
      </c>
      <c r="AB216" s="476">
        <v>0</v>
      </c>
      <c r="AC216" s="38">
        <f t="shared" si="41"/>
        <v>0</v>
      </c>
      <c r="AD216" s="692">
        <f t="shared" si="31"/>
        <v>0</v>
      </c>
      <c r="AE216" s="692">
        <f t="shared" si="32"/>
        <v>0</v>
      </c>
      <c r="AF216" s="692">
        <f t="shared" si="33"/>
        <v>-2371.12</v>
      </c>
      <c r="AG216" s="38"/>
      <c r="AH216" s="692">
        <f t="shared" si="35"/>
        <v>0</v>
      </c>
      <c r="AI216" s="692">
        <f t="shared" si="36"/>
        <v>0</v>
      </c>
      <c r="AJ216" s="692">
        <f t="shared" si="37"/>
        <v>0</v>
      </c>
      <c r="AL216" s="38">
        <f t="shared" si="34"/>
        <v>-2371.12</v>
      </c>
      <c r="AM216" s="68" t="s">
        <v>622</v>
      </c>
    </row>
    <row r="217" spans="1:39">
      <c r="A217" s="20"/>
      <c r="B217" s="20" t="s">
        <v>110</v>
      </c>
      <c r="C217" s="667"/>
      <c r="D217" s="68" t="s">
        <v>497</v>
      </c>
      <c r="E217" s="679"/>
      <c r="F217" s="529">
        <f>VLOOKUP(D217,'Apr14 Revenue'!D:V,19,FALSE)</f>
        <v>0</v>
      </c>
      <c r="G217" s="680"/>
      <c r="H217" s="680"/>
      <c r="I217" s="755"/>
      <c r="J217" s="682">
        <f t="shared" si="30"/>
        <v>0</v>
      </c>
      <c r="K217" s="683"/>
      <c r="L217" s="684"/>
      <c r="M217" s="753"/>
      <c r="N217" s="683">
        <v>0</v>
      </c>
      <c r="O217" s="686"/>
      <c r="P217" s="683">
        <v>0</v>
      </c>
      <c r="Q217" s="687">
        <f t="shared" si="29"/>
        <v>0</v>
      </c>
      <c r="R217" s="687"/>
      <c r="S217" s="687"/>
      <c r="T217" s="688">
        <v>0</v>
      </c>
      <c r="U217" s="693"/>
      <c r="V217" s="690">
        <f t="shared" si="42"/>
        <v>0</v>
      </c>
      <c r="W217" s="683"/>
      <c r="X217" s="474">
        <f t="shared" si="38"/>
        <v>0</v>
      </c>
      <c r="Y217" s="474">
        <f t="shared" si="39"/>
        <v>0</v>
      </c>
      <c r="Z217" s="475">
        <f t="shared" si="40"/>
        <v>0</v>
      </c>
      <c r="AA217" s="475">
        <v>0</v>
      </c>
      <c r="AB217" s="476">
        <v>0</v>
      </c>
      <c r="AC217" s="38">
        <f t="shared" si="41"/>
        <v>0</v>
      </c>
      <c r="AD217" s="692">
        <f t="shared" si="31"/>
        <v>0</v>
      </c>
      <c r="AE217" s="692">
        <f t="shared" si="32"/>
        <v>0</v>
      </c>
      <c r="AF217" s="692">
        <f t="shared" si="33"/>
        <v>0</v>
      </c>
      <c r="AG217" s="38"/>
      <c r="AH217" s="692">
        <f t="shared" si="35"/>
        <v>0</v>
      </c>
      <c r="AI217" s="692">
        <f t="shared" si="36"/>
        <v>0</v>
      </c>
      <c r="AJ217" s="692">
        <f t="shared" si="37"/>
        <v>0</v>
      </c>
      <c r="AL217" s="38">
        <f t="shared" si="34"/>
        <v>0</v>
      </c>
      <c r="AM217" s="68" t="s">
        <v>497</v>
      </c>
    </row>
    <row r="218" spans="1:39">
      <c r="A218" s="20"/>
      <c r="B218" s="20" t="s">
        <v>110</v>
      </c>
      <c r="C218" s="667"/>
      <c r="D218" s="68" t="s">
        <v>509</v>
      </c>
      <c r="E218" s="679"/>
      <c r="F218" s="529">
        <f>VLOOKUP(D218,'Apr14 Revenue'!D:V,19,FALSE)</f>
        <v>-175000</v>
      </c>
      <c r="G218" s="680"/>
      <c r="H218" s="680"/>
      <c r="I218" s="755"/>
      <c r="J218" s="682">
        <f t="shared" si="30"/>
        <v>-175000</v>
      </c>
      <c r="K218" s="683"/>
      <c r="L218" s="684"/>
      <c r="M218" s="753">
        <v>195000</v>
      </c>
      <c r="N218" s="683"/>
      <c r="O218" s="686"/>
      <c r="P218" s="683"/>
      <c r="Q218" s="687">
        <f t="shared" si="29"/>
        <v>195000</v>
      </c>
      <c r="R218" s="687"/>
      <c r="S218" s="687"/>
      <c r="T218" s="688">
        <v>0</v>
      </c>
      <c r="U218" s="693"/>
      <c r="V218" s="690">
        <f t="shared" si="42"/>
        <v>-195000</v>
      </c>
      <c r="W218" s="683"/>
      <c r="X218" s="474">
        <f t="shared" si="38"/>
        <v>195000</v>
      </c>
      <c r="Y218" s="474">
        <f t="shared" si="39"/>
        <v>0</v>
      </c>
      <c r="Z218" s="475">
        <f t="shared" si="40"/>
        <v>0</v>
      </c>
      <c r="AA218" s="475">
        <v>0</v>
      </c>
      <c r="AB218" s="476">
        <v>0</v>
      </c>
      <c r="AC218" s="38">
        <f t="shared" si="41"/>
        <v>0</v>
      </c>
      <c r="AD218" s="692">
        <f t="shared" si="31"/>
        <v>-175000</v>
      </c>
      <c r="AE218" s="692">
        <f t="shared" si="32"/>
        <v>0</v>
      </c>
      <c r="AF218" s="692">
        <f t="shared" si="33"/>
        <v>0</v>
      </c>
      <c r="AG218" s="38"/>
      <c r="AH218" s="692">
        <f t="shared" si="35"/>
        <v>195000</v>
      </c>
      <c r="AI218" s="692">
        <f t="shared" si="36"/>
        <v>0</v>
      </c>
      <c r="AJ218" s="692">
        <f t="shared" si="37"/>
        <v>0</v>
      </c>
      <c r="AL218" s="38">
        <f t="shared" si="34"/>
        <v>20000</v>
      </c>
      <c r="AM218" s="68" t="s">
        <v>509</v>
      </c>
    </row>
    <row r="219" spans="1:39" s="627" customFormat="1">
      <c r="A219" s="610"/>
      <c r="B219" s="610" t="s">
        <v>110</v>
      </c>
      <c r="C219" s="667" t="s">
        <v>580</v>
      </c>
      <c r="D219" s="612" t="s">
        <v>476</v>
      </c>
      <c r="E219" s="679"/>
      <c r="F219" s="529">
        <f>VLOOKUP(D219,'Apr14 Revenue'!D:V,19,FALSE)</f>
        <v>0</v>
      </c>
      <c r="G219" s="680"/>
      <c r="H219" s="680"/>
      <c r="I219" s="755"/>
      <c r="J219" s="682">
        <f t="shared" si="30"/>
        <v>0</v>
      </c>
      <c r="K219" s="683"/>
      <c r="L219" s="684"/>
      <c r="M219" s="753"/>
      <c r="N219" s="683">
        <v>0</v>
      </c>
      <c r="O219" s="686"/>
      <c r="P219" s="683">
        <v>0</v>
      </c>
      <c r="Q219" s="687">
        <f t="shared" si="29"/>
        <v>0</v>
      </c>
      <c r="R219" s="687"/>
      <c r="S219" s="687"/>
      <c r="T219" s="688">
        <v>0</v>
      </c>
      <c r="U219" s="693"/>
      <c r="V219" s="690">
        <f t="shared" si="42"/>
        <v>0</v>
      </c>
      <c r="W219" s="707"/>
      <c r="X219" s="474">
        <f t="shared" si="38"/>
        <v>0</v>
      </c>
      <c r="Y219" s="474">
        <f t="shared" si="39"/>
        <v>0</v>
      </c>
      <c r="Z219" s="475">
        <f t="shared" si="40"/>
        <v>0</v>
      </c>
      <c r="AA219" s="475">
        <v>0</v>
      </c>
      <c r="AB219" s="476">
        <v>0</v>
      </c>
      <c r="AC219" s="38">
        <f t="shared" si="41"/>
        <v>0</v>
      </c>
      <c r="AD219" s="692">
        <f t="shared" si="31"/>
        <v>0</v>
      </c>
      <c r="AE219" s="692">
        <f t="shared" si="32"/>
        <v>0</v>
      </c>
      <c r="AF219" s="692">
        <f t="shared" si="33"/>
        <v>0</v>
      </c>
      <c r="AG219" s="38"/>
      <c r="AH219" s="692">
        <f t="shared" si="35"/>
        <v>0</v>
      </c>
      <c r="AI219" s="692">
        <f t="shared" si="36"/>
        <v>0</v>
      </c>
      <c r="AJ219" s="692">
        <f t="shared" si="37"/>
        <v>0</v>
      </c>
      <c r="AL219" s="38">
        <f t="shared" si="34"/>
        <v>0</v>
      </c>
      <c r="AM219" s="612" t="s">
        <v>476</v>
      </c>
    </row>
    <row r="220" spans="1:39" s="232" customFormat="1" hidden="1">
      <c r="A220" s="283"/>
      <c r="B220" s="283" t="s">
        <v>114</v>
      </c>
      <c r="C220" s="667" t="s">
        <v>580</v>
      </c>
      <c r="D220" s="123" t="s">
        <v>371</v>
      </c>
      <c r="E220" s="679"/>
      <c r="F220" s="529">
        <f>VLOOKUP(D220,'Apr14 Revenue'!D:V,19,FALSE)</f>
        <v>-35000</v>
      </c>
      <c r="G220" s="680"/>
      <c r="H220" s="680"/>
      <c r="I220" s="755"/>
      <c r="J220" s="682">
        <f t="shared" si="30"/>
        <v>-35000</v>
      </c>
      <c r="K220" s="683"/>
      <c r="L220" s="684"/>
      <c r="M220" s="753"/>
      <c r="N220" s="683">
        <v>0</v>
      </c>
      <c r="O220" s="686"/>
      <c r="P220" s="683">
        <v>0</v>
      </c>
      <c r="Q220" s="687">
        <f>L220+M220</f>
        <v>0</v>
      </c>
      <c r="R220" s="687"/>
      <c r="S220" s="687"/>
      <c r="T220" s="688">
        <v>0</v>
      </c>
      <c r="U220" s="693"/>
      <c r="V220" s="690">
        <f t="shared" si="42"/>
        <v>0</v>
      </c>
      <c r="W220" s="683"/>
      <c r="X220" s="474">
        <f t="shared" si="38"/>
        <v>0</v>
      </c>
      <c r="Y220" s="474">
        <f t="shared" si="39"/>
        <v>0</v>
      </c>
      <c r="Z220" s="475">
        <f t="shared" si="40"/>
        <v>0</v>
      </c>
      <c r="AA220" s="475">
        <v>0</v>
      </c>
      <c r="AB220" s="476">
        <v>0</v>
      </c>
      <c r="AC220" s="38">
        <f>(L220+M220)-(X220+Y220+Z220+AA220+AB220)</f>
        <v>0</v>
      </c>
      <c r="AD220" s="692">
        <f t="shared" si="31"/>
        <v>0</v>
      </c>
      <c r="AE220" s="692">
        <f t="shared" si="32"/>
        <v>0</v>
      </c>
      <c r="AF220" s="692">
        <f t="shared" si="33"/>
        <v>-35000</v>
      </c>
      <c r="AG220" s="38"/>
      <c r="AH220" s="692">
        <f t="shared" si="35"/>
        <v>0</v>
      </c>
      <c r="AI220" s="692">
        <f t="shared" si="36"/>
        <v>0</v>
      </c>
      <c r="AJ220" s="692">
        <f t="shared" si="37"/>
        <v>0</v>
      </c>
      <c r="AL220" s="38">
        <f t="shared" si="34"/>
        <v>-35000</v>
      </c>
      <c r="AM220" s="123" t="s">
        <v>371</v>
      </c>
    </row>
    <row r="221" spans="1:39" s="232" customFormat="1">
      <c r="A221" s="283"/>
      <c r="B221" s="283" t="s">
        <v>110</v>
      </c>
      <c r="C221" s="667" t="s">
        <v>580</v>
      </c>
      <c r="D221" s="123" t="s">
        <v>422</v>
      </c>
      <c r="E221" s="679"/>
      <c r="F221" s="529">
        <f>VLOOKUP(D221,'Apr14 Revenue'!D:V,19,FALSE)</f>
        <v>0</v>
      </c>
      <c r="G221" s="680"/>
      <c r="H221" s="680"/>
      <c r="I221" s="755"/>
      <c r="J221" s="682">
        <f t="shared" si="30"/>
        <v>0</v>
      </c>
      <c r="K221" s="683"/>
      <c r="L221" s="684"/>
      <c r="M221" s="753"/>
      <c r="N221" s="683">
        <v>0</v>
      </c>
      <c r="O221" s="686"/>
      <c r="P221" s="683">
        <v>0</v>
      </c>
      <c r="Q221" s="687">
        <f t="shared" si="29"/>
        <v>0</v>
      </c>
      <c r="R221" s="687"/>
      <c r="S221" s="687"/>
      <c r="T221" s="688">
        <v>0</v>
      </c>
      <c r="U221" s="693"/>
      <c r="V221" s="690">
        <f t="shared" si="42"/>
        <v>0</v>
      </c>
      <c r="W221" s="683"/>
      <c r="X221" s="474">
        <f t="shared" si="38"/>
        <v>0</v>
      </c>
      <c r="Y221" s="474">
        <f t="shared" si="39"/>
        <v>0</v>
      </c>
      <c r="Z221" s="475">
        <f t="shared" si="40"/>
        <v>0</v>
      </c>
      <c r="AA221" s="475">
        <v>0</v>
      </c>
      <c r="AB221" s="476">
        <v>0</v>
      </c>
      <c r="AC221" s="38">
        <f t="shared" si="41"/>
        <v>0</v>
      </c>
      <c r="AD221" s="692">
        <f t="shared" si="31"/>
        <v>0</v>
      </c>
      <c r="AE221" s="692">
        <f t="shared" si="32"/>
        <v>0</v>
      </c>
      <c r="AF221" s="692">
        <f t="shared" si="33"/>
        <v>0</v>
      </c>
      <c r="AG221" s="38"/>
      <c r="AH221" s="692">
        <f t="shared" si="35"/>
        <v>0</v>
      </c>
      <c r="AI221" s="692">
        <f t="shared" si="36"/>
        <v>0</v>
      </c>
      <c r="AJ221" s="692">
        <f t="shared" si="37"/>
        <v>0</v>
      </c>
      <c r="AL221" s="38">
        <f t="shared" si="34"/>
        <v>0</v>
      </c>
      <c r="AM221" s="123" t="s">
        <v>422</v>
      </c>
    </row>
    <row r="222" spans="1:39" s="232" customFormat="1">
      <c r="A222" s="283"/>
      <c r="B222" s="283" t="s">
        <v>110</v>
      </c>
      <c r="C222" s="667" t="s">
        <v>580</v>
      </c>
      <c r="D222" s="123" t="s">
        <v>442</v>
      </c>
      <c r="E222" s="679"/>
      <c r="F222" s="529">
        <f>VLOOKUP(D222,'Apr14 Revenue'!D:V,19,FALSE)</f>
        <v>46005.860000000102</v>
      </c>
      <c r="G222" s="680"/>
      <c r="H222" s="680"/>
      <c r="I222" s="755"/>
      <c r="J222" s="682">
        <f t="shared" si="30"/>
        <v>46005.860000000102</v>
      </c>
      <c r="K222" s="683"/>
      <c r="L222" s="684">
        <v>606000</v>
      </c>
      <c r="M222" s="753">
        <v>1344000</v>
      </c>
      <c r="N222" s="683">
        <v>0</v>
      </c>
      <c r="O222" s="686"/>
      <c r="P222" s="683">
        <v>0</v>
      </c>
      <c r="Q222" s="687">
        <f>L222+M222</f>
        <v>1950000</v>
      </c>
      <c r="R222" s="687"/>
      <c r="S222" s="687"/>
      <c r="T222" s="688">
        <v>1960563.57</v>
      </c>
      <c r="U222" s="693"/>
      <c r="V222" s="690">
        <f t="shared" si="42"/>
        <v>10563.570000000065</v>
      </c>
      <c r="W222" s="683"/>
      <c r="X222" s="474">
        <f t="shared" si="38"/>
        <v>1950000</v>
      </c>
      <c r="Y222" s="474">
        <f t="shared" si="39"/>
        <v>0</v>
      </c>
      <c r="Z222" s="475">
        <f t="shared" si="40"/>
        <v>0</v>
      </c>
      <c r="AA222" s="475">
        <v>0</v>
      </c>
      <c r="AB222" s="476">
        <v>0</v>
      </c>
      <c r="AC222" s="38">
        <f>(L222+M222)-(X222+Y222+Z222+AA222+AB222)</f>
        <v>0</v>
      </c>
      <c r="AD222" s="692">
        <f t="shared" si="31"/>
        <v>46005.860000000102</v>
      </c>
      <c r="AE222" s="692">
        <f t="shared" si="32"/>
        <v>0</v>
      </c>
      <c r="AF222" s="692">
        <f t="shared" si="33"/>
        <v>0</v>
      </c>
      <c r="AG222" s="38"/>
      <c r="AH222" s="692">
        <f t="shared" si="35"/>
        <v>1950000</v>
      </c>
      <c r="AI222" s="692">
        <f t="shared" si="36"/>
        <v>0</v>
      </c>
      <c r="AJ222" s="692">
        <f t="shared" si="37"/>
        <v>0</v>
      </c>
      <c r="AL222" s="38">
        <f t="shared" si="34"/>
        <v>1996005.86</v>
      </c>
      <c r="AM222" s="123" t="s">
        <v>442</v>
      </c>
    </row>
    <row r="223" spans="1:39" hidden="1">
      <c r="A223" s="21" t="s">
        <v>97</v>
      </c>
      <c r="B223" s="21" t="s">
        <v>109</v>
      </c>
      <c r="C223" s="666"/>
      <c r="D223" s="68" t="s">
        <v>381</v>
      </c>
      <c r="E223" s="679"/>
      <c r="F223" s="529">
        <f>VLOOKUP(D223,'Apr14 Revenue'!D:V,19,FALSE)</f>
        <v>0</v>
      </c>
      <c r="G223" s="680"/>
      <c r="H223" s="680"/>
      <c r="I223" s="755"/>
      <c r="J223" s="682">
        <f t="shared" si="30"/>
        <v>0</v>
      </c>
      <c r="K223" s="683"/>
      <c r="L223" s="684"/>
      <c r="M223" s="753"/>
      <c r="N223" s="683">
        <v>0</v>
      </c>
      <c r="O223" s="686"/>
      <c r="P223" s="683">
        <v>0</v>
      </c>
      <c r="Q223" s="687">
        <f t="shared" si="29"/>
        <v>0</v>
      </c>
      <c r="R223" s="687"/>
      <c r="S223" s="687"/>
      <c r="T223" s="688">
        <v>0</v>
      </c>
      <c r="U223" s="693"/>
      <c r="V223" s="690">
        <f t="shared" si="42"/>
        <v>0</v>
      </c>
      <c r="W223" s="683"/>
      <c r="X223" s="474">
        <f t="shared" si="38"/>
        <v>0</v>
      </c>
      <c r="Y223" s="474">
        <f t="shared" si="39"/>
        <v>0</v>
      </c>
      <c r="Z223" s="475">
        <f t="shared" si="40"/>
        <v>0</v>
      </c>
      <c r="AA223" s="475">
        <v>0</v>
      </c>
      <c r="AB223" s="476">
        <v>0</v>
      </c>
      <c r="AC223" s="38">
        <f t="shared" si="41"/>
        <v>0</v>
      </c>
      <c r="AD223" s="692">
        <f t="shared" si="31"/>
        <v>0</v>
      </c>
      <c r="AE223" s="692">
        <f t="shared" si="32"/>
        <v>0</v>
      </c>
      <c r="AF223" s="692">
        <f t="shared" si="33"/>
        <v>0</v>
      </c>
      <c r="AG223" s="38"/>
      <c r="AH223" s="692">
        <f t="shared" si="35"/>
        <v>0</v>
      </c>
      <c r="AI223" s="692">
        <f t="shared" si="36"/>
        <v>0</v>
      </c>
      <c r="AJ223" s="692">
        <f t="shared" si="37"/>
        <v>0</v>
      </c>
      <c r="AL223" s="38">
        <f t="shared" si="34"/>
        <v>0</v>
      </c>
      <c r="AM223" s="68" t="s">
        <v>381</v>
      </c>
    </row>
    <row r="224" spans="1:39" hidden="1">
      <c r="A224" s="21" t="s">
        <v>97</v>
      </c>
      <c r="B224" s="21" t="s">
        <v>114</v>
      </c>
      <c r="C224" s="666"/>
      <c r="D224" s="68" t="s">
        <v>376</v>
      </c>
      <c r="E224" s="679"/>
      <c r="F224" s="529">
        <f>VLOOKUP(D224,'Apr14 Revenue'!D:V,19,FALSE)</f>
        <v>0</v>
      </c>
      <c r="G224" s="680"/>
      <c r="H224" s="680"/>
      <c r="I224" s="755"/>
      <c r="J224" s="682">
        <f t="shared" si="30"/>
        <v>0</v>
      </c>
      <c r="K224" s="683"/>
      <c r="L224" s="684"/>
      <c r="M224" s="753"/>
      <c r="N224" s="683">
        <v>0</v>
      </c>
      <c r="O224" s="686"/>
      <c r="P224" s="683">
        <v>0</v>
      </c>
      <c r="Q224" s="687">
        <f t="shared" ref="Q224:Q237" si="43">L224+M224</f>
        <v>0</v>
      </c>
      <c r="R224" s="687"/>
      <c r="S224" s="687"/>
      <c r="T224" s="688">
        <v>0</v>
      </c>
      <c r="U224" s="693"/>
      <c r="V224" s="690">
        <f t="shared" si="42"/>
        <v>0</v>
      </c>
      <c r="W224" s="683"/>
      <c r="X224" s="474">
        <f t="shared" si="38"/>
        <v>0</v>
      </c>
      <c r="Y224" s="474">
        <f t="shared" si="39"/>
        <v>0</v>
      </c>
      <c r="Z224" s="475">
        <f t="shared" si="40"/>
        <v>0</v>
      </c>
      <c r="AA224" s="475">
        <v>0</v>
      </c>
      <c r="AB224" s="476">
        <v>0</v>
      </c>
      <c r="AC224" s="38">
        <f t="shared" si="41"/>
        <v>0</v>
      </c>
      <c r="AD224" s="692">
        <f t="shared" si="31"/>
        <v>0</v>
      </c>
      <c r="AE224" s="692">
        <f t="shared" si="32"/>
        <v>0</v>
      </c>
      <c r="AF224" s="692">
        <f t="shared" si="33"/>
        <v>0</v>
      </c>
      <c r="AG224" s="38"/>
      <c r="AH224" s="692">
        <f t="shared" si="35"/>
        <v>0</v>
      </c>
      <c r="AI224" s="692">
        <f t="shared" si="36"/>
        <v>0</v>
      </c>
      <c r="AJ224" s="692">
        <f t="shared" si="37"/>
        <v>0</v>
      </c>
      <c r="AL224" s="38">
        <f t="shared" si="34"/>
        <v>0</v>
      </c>
      <c r="AM224" s="68" t="s">
        <v>376</v>
      </c>
    </row>
    <row r="225" spans="1:39">
      <c r="A225" s="20"/>
      <c r="B225" s="20" t="s">
        <v>110</v>
      </c>
      <c r="C225" s="667"/>
      <c r="D225" s="68" t="s">
        <v>1032</v>
      </c>
      <c r="E225" s="679">
        <v>955.54</v>
      </c>
      <c r="F225" s="529">
        <f>VLOOKUP(D225,'Apr14 Revenue'!D:V,19,FALSE)</f>
        <v>0</v>
      </c>
      <c r="G225" s="680"/>
      <c r="H225" s="680"/>
      <c r="I225" s="755"/>
      <c r="J225" s="682">
        <f t="shared" si="30"/>
        <v>955.54</v>
      </c>
      <c r="K225" s="683"/>
      <c r="L225" s="684"/>
      <c r="M225" s="753"/>
      <c r="N225" s="683">
        <v>0</v>
      </c>
      <c r="O225" s="686"/>
      <c r="P225" s="683">
        <v>0</v>
      </c>
      <c r="Q225" s="687">
        <f>L225+M225</f>
        <v>0</v>
      </c>
      <c r="R225" s="687"/>
      <c r="S225" s="687"/>
      <c r="T225" s="688">
        <v>0</v>
      </c>
      <c r="U225" s="693"/>
      <c r="V225" s="690">
        <f t="shared" si="42"/>
        <v>0</v>
      </c>
      <c r="W225" s="683"/>
      <c r="X225" s="474">
        <f t="shared" si="38"/>
        <v>0</v>
      </c>
      <c r="Y225" s="474">
        <f t="shared" si="39"/>
        <v>0</v>
      </c>
      <c r="Z225" s="475">
        <f t="shared" si="40"/>
        <v>0</v>
      </c>
      <c r="AA225" s="475">
        <v>0</v>
      </c>
      <c r="AB225" s="476">
        <v>0</v>
      </c>
      <c r="AC225" s="38">
        <f>(L225+M225)-(X225+Y225+Z225+AA225+AB225)</f>
        <v>0</v>
      </c>
      <c r="AD225" s="692">
        <f t="shared" si="31"/>
        <v>955.54</v>
      </c>
      <c r="AE225" s="692">
        <f t="shared" si="32"/>
        <v>0</v>
      </c>
      <c r="AF225" s="692">
        <f t="shared" si="33"/>
        <v>0</v>
      </c>
      <c r="AG225" s="38"/>
      <c r="AH225" s="692">
        <f t="shared" si="35"/>
        <v>0</v>
      </c>
      <c r="AI225" s="692">
        <f t="shared" si="36"/>
        <v>0</v>
      </c>
      <c r="AJ225" s="692">
        <f t="shared" si="37"/>
        <v>0</v>
      </c>
      <c r="AL225" s="38">
        <f t="shared" si="34"/>
        <v>955.54</v>
      </c>
      <c r="AM225" s="68" t="s">
        <v>390</v>
      </c>
    </row>
    <row r="226" spans="1:39">
      <c r="A226" s="20"/>
      <c r="B226" s="20" t="s">
        <v>110</v>
      </c>
      <c r="C226" s="667" t="s">
        <v>581</v>
      </c>
      <c r="D226" s="123" t="s">
        <v>166</v>
      </c>
      <c r="E226" s="679"/>
      <c r="F226" s="529">
        <f>VLOOKUP(D226,'Apr14 Revenue'!D:V,19,FALSE)</f>
        <v>-5000</v>
      </c>
      <c r="G226" s="680"/>
      <c r="H226" s="680"/>
      <c r="I226" s="755"/>
      <c r="J226" s="682">
        <f t="shared" si="30"/>
        <v>-5000</v>
      </c>
      <c r="K226" s="683"/>
      <c r="L226" s="684"/>
      <c r="M226" s="753">
        <v>10000</v>
      </c>
      <c r="N226" s="683">
        <v>0</v>
      </c>
      <c r="O226" s="686"/>
      <c r="P226" s="683">
        <v>0</v>
      </c>
      <c r="Q226" s="687">
        <f t="shared" si="43"/>
        <v>10000</v>
      </c>
      <c r="R226" s="687"/>
      <c r="S226" s="687"/>
      <c r="T226" s="688">
        <v>0</v>
      </c>
      <c r="U226" s="693"/>
      <c r="V226" s="690">
        <f t="shared" si="42"/>
        <v>-10000</v>
      </c>
      <c r="W226" s="683"/>
      <c r="X226" s="474">
        <f t="shared" si="38"/>
        <v>10000</v>
      </c>
      <c r="Y226" s="474">
        <f t="shared" si="39"/>
        <v>0</v>
      </c>
      <c r="Z226" s="475">
        <f t="shared" si="40"/>
        <v>0</v>
      </c>
      <c r="AA226" s="475">
        <v>0</v>
      </c>
      <c r="AB226" s="476">
        <v>0</v>
      </c>
      <c r="AC226" s="38">
        <f t="shared" si="41"/>
        <v>0</v>
      </c>
      <c r="AD226" s="692">
        <f t="shared" si="31"/>
        <v>-5000</v>
      </c>
      <c r="AE226" s="692">
        <f t="shared" si="32"/>
        <v>0</v>
      </c>
      <c r="AF226" s="692">
        <f t="shared" si="33"/>
        <v>0</v>
      </c>
      <c r="AG226" s="38"/>
      <c r="AH226" s="692">
        <f t="shared" si="35"/>
        <v>10000</v>
      </c>
      <c r="AI226" s="692">
        <f t="shared" si="36"/>
        <v>0</v>
      </c>
      <c r="AJ226" s="692">
        <f t="shared" si="37"/>
        <v>0</v>
      </c>
      <c r="AL226" s="38">
        <f t="shared" si="34"/>
        <v>5000</v>
      </c>
      <c r="AM226" s="123" t="s">
        <v>166</v>
      </c>
    </row>
    <row r="227" spans="1:39">
      <c r="A227" s="20"/>
      <c r="B227" s="20" t="s">
        <v>109</v>
      </c>
      <c r="C227" s="667" t="s">
        <v>581</v>
      </c>
      <c r="D227" s="123" t="s">
        <v>165</v>
      </c>
      <c r="E227" s="679"/>
      <c r="F227" s="529">
        <f>VLOOKUP(D227,'Apr14 Revenue'!D:V,19,FALSE)</f>
        <v>0</v>
      </c>
      <c r="G227" s="680"/>
      <c r="H227" s="680"/>
      <c r="I227" s="755"/>
      <c r="J227" s="682">
        <f t="shared" si="30"/>
        <v>0</v>
      </c>
      <c r="K227" s="683"/>
      <c r="L227" s="684"/>
      <c r="M227" s="753"/>
      <c r="N227" s="683">
        <v>0</v>
      </c>
      <c r="O227" s="686"/>
      <c r="P227" s="683">
        <v>0</v>
      </c>
      <c r="Q227" s="687">
        <f t="shared" si="43"/>
        <v>0</v>
      </c>
      <c r="R227" s="687"/>
      <c r="S227" s="687"/>
      <c r="T227" s="688">
        <v>0</v>
      </c>
      <c r="U227" s="693"/>
      <c r="V227" s="690">
        <f t="shared" si="42"/>
        <v>0</v>
      </c>
      <c r="W227" s="683"/>
      <c r="X227" s="474">
        <f t="shared" si="38"/>
        <v>0</v>
      </c>
      <c r="Y227" s="474">
        <f t="shared" si="39"/>
        <v>0</v>
      </c>
      <c r="Z227" s="475">
        <f t="shared" si="40"/>
        <v>0</v>
      </c>
      <c r="AA227" s="475">
        <v>0</v>
      </c>
      <c r="AB227" s="476">
        <v>0</v>
      </c>
      <c r="AC227" s="38">
        <f t="shared" si="41"/>
        <v>0</v>
      </c>
      <c r="AD227" s="692">
        <f t="shared" si="31"/>
        <v>0</v>
      </c>
      <c r="AE227" s="692">
        <f t="shared" si="32"/>
        <v>0</v>
      </c>
      <c r="AF227" s="692">
        <f t="shared" si="33"/>
        <v>0</v>
      </c>
      <c r="AG227" s="38"/>
      <c r="AH227" s="692">
        <f t="shared" si="35"/>
        <v>0</v>
      </c>
      <c r="AI227" s="692">
        <f t="shared" si="36"/>
        <v>0</v>
      </c>
      <c r="AJ227" s="692">
        <f t="shared" si="37"/>
        <v>0</v>
      </c>
      <c r="AL227" s="38">
        <f t="shared" si="34"/>
        <v>0</v>
      </c>
      <c r="AM227" s="123" t="s">
        <v>165</v>
      </c>
    </row>
    <row r="228" spans="1:39" hidden="1">
      <c r="A228" s="20"/>
      <c r="B228" s="20" t="s">
        <v>109</v>
      </c>
      <c r="C228" s="667"/>
      <c r="D228" s="123" t="s">
        <v>310</v>
      </c>
      <c r="E228" s="679"/>
      <c r="F228" s="529">
        <f>VLOOKUP(D228,'Apr14 Revenue'!D:V,19,FALSE)</f>
        <v>0</v>
      </c>
      <c r="G228" s="680"/>
      <c r="H228" s="680"/>
      <c r="I228" s="755"/>
      <c r="J228" s="682">
        <f t="shared" ref="J228:J238" si="44">SUM(E228:I228)</f>
        <v>0</v>
      </c>
      <c r="K228" s="683"/>
      <c r="L228" s="684"/>
      <c r="M228" s="753"/>
      <c r="N228" s="683">
        <v>0</v>
      </c>
      <c r="O228" s="686"/>
      <c r="P228" s="683">
        <v>0</v>
      </c>
      <c r="Q228" s="687">
        <f t="shared" si="43"/>
        <v>0</v>
      </c>
      <c r="R228" s="687"/>
      <c r="S228" s="687"/>
      <c r="T228" s="688">
        <v>0</v>
      </c>
      <c r="U228" s="693"/>
      <c r="V228" s="690">
        <f t="shared" si="42"/>
        <v>0</v>
      </c>
      <c r="W228" s="683"/>
      <c r="X228" s="474">
        <f t="shared" si="38"/>
        <v>0</v>
      </c>
      <c r="Y228" s="474">
        <f t="shared" si="39"/>
        <v>0</v>
      </c>
      <c r="Z228" s="475">
        <f t="shared" si="40"/>
        <v>0</v>
      </c>
      <c r="AA228" s="475">
        <v>0</v>
      </c>
      <c r="AB228" s="476">
        <v>0</v>
      </c>
      <c r="AC228" s="38">
        <f t="shared" si="41"/>
        <v>0</v>
      </c>
      <c r="AD228" s="692">
        <f t="shared" ref="AD228:AD238" si="45">IF(B228="D",J228,0)</f>
        <v>0</v>
      </c>
      <c r="AE228" s="692">
        <f t="shared" ref="AE228:AE238" si="46">IF(B228="M",J228,0)</f>
        <v>0</v>
      </c>
      <c r="AF228" s="692">
        <f t="shared" ref="AF228:AF238" si="47">IF(B228="V",J228,0)</f>
        <v>0</v>
      </c>
      <c r="AG228" s="38"/>
      <c r="AH228" s="692">
        <f t="shared" si="35"/>
        <v>0</v>
      </c>
      <c r="AI228" s="692">
        <f t="shared" si="36"/>
        <v>0</v>
      </c>
      <c r="AJ228" s="692">
        <f t="shared" si="37"/>
        <v>0</v>
      </c>
      <c r="AL228" s="38">
        <f t="shared" ref="AL228:AL238" si="48">SUM(AD228:AJ228)</f>
        <v>0</v>
      </c>
      <c r="AM228" s="123" t="s">
        <v>310</v>
      </c>
    </row>
    <row r="229" spans="1:39" hidden="1">
      <c r="A229" s="20"/>
      <c r="B229" s="20" t="s">
        <v>109</v>
      </c>
      <c r="C229" s="667"/>
      <c r="D229" s="123" t="s">
        <v>441</v>
      </c>
      <c r="E229" s="679"/>
      <c r="F229" s="529">
        <f>VLOOKUP(D229,'Apr14 Revenue'!D:V,19,FALSE)</f>
        <v>0</v>
      </c>
      <c r="G229" s="680"/>
      <c r="H229" s="680"/>
      <c r="I229" s="755"/>
      <c r="J229" s="682">
        <f t="shared" si="44"/>
        <v>0</v>
      </c>
      <c r="K229" s="683"/>
      <c r="L229" s="684"/>
      <c r="M229" s="753"/>
      <c r="N229" s="683">
        <v>0</v>
      </c>
      <c r="O229" s="686"/>
      <c r="P229" s="683">
        <v>0</v>
      </c>
      <c r="Q229" s="687">
        <f t="shared" si="43"/>
        <v>0</v>
      </c>
      <c r="R229" s="687"/>
      <c r="S229" s="687"/>
      <c r="T229" s="688">
        <v>0</v>
      </c>
      <c r="U229" s="693"/>
      <c r="V229" s="690">
        <f t="shared" si="42"/>
        <v>0</v>
      </c>
      <c r="W229" s="683"/>
      <c r="X229" s="474">
        <f t="shared" si="38"/>
        <v>0</v>
      </c>
      <c r="Y229" s="474">
        <f t="shared" si="39"/>
        <v>0</v>
      </c>
      <c r="Z229" s="475">
        <f t="shared" si="40"/>
        <v>0</v>
      </c>
      <c r="AA229" s="475">
        <v>0</v>
      </c>
      <c r="AB229" s="476">
        <v>0</v>
      </c>
      <c r="AC229" s="38">
        <f t="shared" si="41"/>
        <v>0</v>
      </c>
      <c r="AD229" s="692">
        <f t="shared" si="45"/>
        <v>0</v>
      </c>
      <c r="AE229" s="692">
        <f t="shared" si="46"/>
        <v>0</v>
      </c>
      <c r="AF229" s="692">
        <f t="shared" si="47"/>
        <v>0</v>
      </c>
      <c r="AG229" s="38"/>
      <c r="AH229" s="692">
        <f t="shared" ref="AH229:AH238" si="49">IF(B229="D",Q229,0)</f>
        <v>0</v>
      </c>
      <c r="AI229" s="692">
        <f t="shared" ref="AI229:AI238" si="50">IF(B229="M",Q229,0)</f>
        <v>0</v>
      </c>
      <c r="AJ229" s="692">
        <f t="shared" ref="AJ229:AJ238" si="51">IF(B229="V",Q229,0)</f>
        <v>0</v>
      </c>
      <c r="AL229" s="38">
        <f t="shared" si="48"/>
        <v>0</v>
      </c>
      <c r="AM229" s="123" t="s">
        <v>441</v>
      </c>
    </row>
    <row r="230" spans="1:39">
      <c r="A230" s="20"/>
      <c r="B230" s="20" t="s">
        <v>109</v>
      </c>
      <c r="C230" s="667"/>
      <c r="D230" s="68" t="s">
        <v>121</v>
      </c>
      <c r="E230" s="679"/>
      <c r="F230" s="529">
        <f>VLOOKUP(D230,'Apr14 Revenue'!D:V,19,FALSE)</f>
        <v>0</v>
      </c>
      <c r="G230" s="680"/>
      <c r="H230" s="680"/>
      <c r="I230" s="755"/>
      <c r="J230" s="682">
        <f t="shared" si="44"/>
        <v>0</v>
      </c>
      <c r="K230" s="683"/>
      <c r="L230" s="684"/>
      <c r="M230" s="753"/>
      <c r="N230" s="683">
        <v>0</v>
      </c>
      <c r="O230" s="686"/>
      <c r="P230" s="683">
        <v>0</v>
      </c>
      <c r="Q230" s="687">
        <f t="shared" si="43"/>
        <v>0</v>
      </c>
      <c r="R230" s="687"/>
      <c r="S230" s="687"/>
      <c r="T230" s="688">
        <v>0</v>
      </c>
      <c r="U230" s="693"/>
      <c r="V230" s="690">
        <f t="shared" si="42"/>
        <v>0</v>
      </c>
      <c r="W230" s="683"/>
      <c r="X230" s="474">
        <f t="shared" ref="X230:X238" si="52">IF(B230="D",Q230,0)</f>
        <v>0</v>
      </c>
      <c r="Y230" s="474">
        <f t="shared" ref="Y230:Y238" si="53">IF(B230="M",Q230,0)</f>
        <v>0</v>
      </c>
      <c r="Z230" s="475">
        <f t="shared" ref="Z230:Z238" si="54">IF(B230="V",Q230,0)</f>
        <v>0</v>
      </c>
      <c r="AA230" s="475">
        <v>0</v>
      </c>
      <c r="AB230" s="476">
        <v>0</v>
      </c>
      <c r="AC230" s="38">
        <f t="shared" ref="AC230:AC237" si="55">(L230+M230)-(X230+Y230+Z230+AA230+AB230)</f>
        <v>0</v>
      </c>
      <c r="AD230" s="692">
        <f t="shared" si="45"/>
        <v>0</v>
      </c>
      <c r="AE230" s="692">
        <f t="shared" si="46"/>
        <v>0</v>
      </c>
      <c r="AF230" s="692">
        <f t="shared" si="47"/>
        <v>0</v>
      </c>
      <c r="AG230" s="38"/>
      <c r="AH230" s="692">
        <f t="shared" si="49"/>
        <v>0</v>
      </c>
      <c r="AI230" s="692">
        <f t="shared" si="50"/>
        <v>0</v>
      </c>
      <c r="AJ230" s="692">
        <f t="shared" si="51"/>
        <v>0</v>
      </c>
      <c r="AL230" s="38">
        <f t="shared" si="48"/>
        <v>0</v>
      </c>
      <c r="AM230" s="68" t="s">
        <v>121</v>
      </c>
    </row>
    <row r="231" spans="1:39">
      <c r="A231" s="20"/>
      <c r="B231" s="20" t="s">
        <v>110</v>
      </c>
      <c r="C231" s="667"/>
      <c r="D231" s="68" t="s">
        <v>168</v>
      </c>
      <c r="E231" s="679"/>
      <c r="F231" s="529">
        <f>VLOOKUP(D231,'Apr14 Revenue'!D:V,19,FALSE)</f>
        <v>0</v>
      </c>
      <c r="G231" s="680"/>
      <c r="H231" s="680"/>
      <c r="I231" s="755"/>
      <c r="J231" s="682">
        <f t="shared" si="44"/>
        <v>0</v>
      </c>
      <c r="K231" s="683"/>
      <c r="L231" s="684"/>
      <c r="M231" s="753"/>
      <c r="N231" s="683">
        <v>0</v>
      </c>
      <c r="O231" s="686"/>
      <c r="P231" s="683">
        <v>0</v>
      </c>
      <c r="Q231" s="687">
        <f t="shared" si="43"/>
        <v>0</v>
      </c>
      <c r="R231" s="687"/>
      <c r="S231" s="687"/>
      <c r="T231" s="688">
        <v>0</v>
      </c>
      <c r="U231" s="693"/>
      <c r="V231" s="690">
        <f t="shared" si="42"/>
        <v>0</v>
      </c>
      <c r="W231" s="683"/>
      <c r="X231" s="474">
        <f t="shared" si="52"/>
        <v>0</v>
      </c>
      <c r="Y231" s="474">
        <f t="shared" si="53"/>
        <v>0</v>
      </c>
      <c r="Z231" s="475">
        <f t="shared" si="54"/>
        <v>0</v>
      </c>
      <c r="AA231" s="475">
        <v>0</v>
      </c>
      <c r="AB231" s="476">
        <v>0</v>
      </c>
      <c r="AC231" s="38">
        <f t="shared" si="55"/>
        <v>0</v>
      </c>
      <c r="AD231" s="692">
        <f t="shared" si="45"/>
        <v>0</v>
      </c>
      <c r="AE231" s="692">
        <f t="shared" si="46"/>
        <v>0</v>
      </c>
      <c r="AF231" s="692">
        <f t="shared" si="47"/>
        <v>0</v>
      </c>
      <c r="AG231" s="38"/>
      <c r="AH231" s="692">
        <f t="shared" si="49"/>
        <v>0</v>
      </c>
      <c r="AI231" s="692">
        <f t="shared" si="50"/>
        <v>0</v>
      </c>
      <c r="AJ231" s="692">
        <f t="shared" si="51"/>
        <v>0</v>
      </c>
      <c r="AL231" s="38">
        <f t="shared" si="48"/>
        <v>0</v>
      </c>
      <c r="AM231" s="68" t="s">
        <v>168</v>
      </c>
    </row>
    <row r="232" spans="1:39">
      <c r="A232" s="20"/>
      <c r="B232" s="20" t="s">
        <v>109</v>
      </c>
      <c r="C232" s="667" t="s">
        <v>582</v>
      </c>
      <c r="D232" s="68" t="s">
        <v>167</v>
      </c>
      <c r="E232" s="679"/>
      <c r="F232" s="529">
        <f>VLOOKUP(D232,'Apr14 Revenue'!D:V,19,FALSE)</f>
        <v>0</v>
      </c>
      <c r="G232" s="680"/>
      <c r="H232" s="680"/>
      <c r="I232" s="755"/>
      <c r="J232" s="682">
        <f t="shared" si="44"/>
        <v>0</v>
      </c>
      <c r="K232" s="683"/>
      <c r="L232" s="684"/>
      <c r="M232" s="753"/>
      <c r="N232" s="683">
        <v>0</v>
      </c>
      <c r="O232" s="686"/>
      <c r="P232" s="683">
        <v>0</v>
      </c>
      <c r="Q232" s="687">
        <f t="shared" si="43"/>
        <v>0</v>
      </c>
      <c r="R232" s="687"/>
      <c r="S232" s="687"/>
      <c r="T232" s="688">
        <v>0</v>
      </c>
      <c r="U232" s="693"/>
      <c r="V232" s="690">
        <f t="shared" si="42"/>
        <v>0</v>
      </c>
      <c r="W232" s="683"/>
      <c r="X232" s="474">
        <f t="shared" si="52"/>
        <v>0</v>
      </c>
      <c r="Y232" s="474">
        <f t="shared" si="53"/>
        <v>0</v>
      </c>
      <c r="Z232" s="475">
        <f t="shared" si="54"/>
        <v>0</v>
      </c>
      <c r="AA232" s="475">
        <v>0</v>
      </c>
      <c r="AB232" s="476">
        <v>0</v>
      </c>
      <c r="AC232" s="38">
        <f t="shared" si="55"/>
        <v>0</v>
      </c>
      <c r="AD232" s="692">
        <f t="shared" si="45"/>
        <v>0</v>
      </c>
      <c r="AE232" s="692">
        <f t="shared" si="46"/>
        <v>0</v>
      </c>
      <c r="AF232" s="692">
        <f t="shared" si="47"/>
        <v>0</v>
      </c>
      <c r="AG232" s="38"/>
      <c r="AH232" s="692">
        <f t="shared" si="49"/>
        <v>0</v>
      </c>
      <c r="AI232" s="692">
        <f t="shared" si="50"/>
        <v>0</v>
      </c>
      <c r="AJ232" s="692">
        <f t="shared" si="51"/>
        <v>0</v>
      </c>
      <c r="AL232" s="38">
        <f t="shared" si="48"/>
        <v>0</v>
      </c>
      <c r="AM232" s="68" t="s">
        <v>167</v>
      </c>
    </row>
    <row r="233" spans="1:39">
      <c r="A233" s="20" t="s">
        <v>218</v>
      </c>
      <c r="B233" s="20" t="s">
        <v>110</v>
      </c>
      <c r="C233" s="667"/>
      <c r="D233" s="68" t="s">
        <v>60</v>
      </c>
      <c r="E233" s="679">
        <v>24186.07</v>
      </c>
      <c r="F233" s="529">
        <f>VLOOKUP(D233,'Apr14 Revenue'!D:V,19,FALSE)</f>
        <v>-24000</v>
      </c>
      <c r="G233" s="680"/>
      <c r="H233" s="680"/>
      <c r="I233" s="755"/>
      <c r="J233" s="682">
        <f t="shared" si="44"/>
        <v>186.06999999999971</v>
      </c>
      <c r="K233" s="683"/>
      <c r="L233" s="684"/>
      <c r="M233" s="753">
        <v>16000</v>
      </c>
      <c r="N233" s="683">
        <v>0</v>
      </c>
      <c r="O233" s="686"/>
      <c r="P233" s="683">
        <v>0</v>
      </c>
      <c r="Q233" s="687">
        <f t="shared" si="43"/>
        <v>16000</v>
      </c>
      <c r="R233" s="687"/>
      <c r="S233" s="687"/>
      <c r="T233" s="688">
        <v>0</v>
      </c>
      <c r="U233" s="693"/>
      <c r="V233" s="690">
        <f t="shared" si="42"/>
        <v>-16000</v>
      </c>
      <c r="W233" s="697"/>
      <c r="X233" s="474">
        <f t="shared" si="52"/>
        <v>16000</v>
      </c>
      <c r="Y233" s="474">
        <f t="shared" si="53"/>
        <v>0</v>
      </c>
      <c r="Z233" s="475">
        <f t="shared" si="54"/>
        <v>0</v>
      </c>
      <c r="AA233" s="475">
        <v>0</v>
      </c>
      <c r="AB233" s="476">
        <v>0</v>
      </c>
      <c r="AC233" s="38">
        <f t="shared" si="55"/>
        <v>0</v>
      </c>
      <c r="AD233" s="692">
        <f t="shared" si="45"/>
        <v>186.06999999999971</v>
      </c>
      <c r="AE233" s="692">
        <f t="shared" si="46"/>
        <v>0</v>
      </c>
      <c r="AF233" s="692">
        <f t="shared" si="47"/>
        <v>0</v>
      </c>
      <c r="AG233" s="38"/>
      <c r="AH233" s="692">
        <f t="shared" si="49"/>
        <v>16000</v>
      </c>
      <c r="AI233" s="692">
        <f t="shared" si="50"/>
        <v>0</v>
      </c>
      <c r="AJ233" s="692">
        <f t="shared" si="51"/>
        <v>0</v>
      </c>
      <c r="AL233" s="38">
        <f t="shared" si="48"/>
        <v>16186.07</v>
      </c>
      <c r="AM233" s="68" t="s">
        <v>60</v>
      </c>
    </row>
    <row r="234" spans="1:39">
      <c r="A234" s="20"/>
      <c r="B234" s="20" t="s">
        <v>110</v>
      </c>
      <c r="C234" s="667" t="s">
        <v>583</v>
      </c>
      <c r="D234" s="68" t="s">
        <v>169</v>
      </c>
      <c r="E234" s="679"/>
      <c r="F234" s="529">
        <f>VLOOKUP(D234,'Apr14 Revenue'!D:V,19,FALSE)</f>
        <v>0</v>
      </c>
      <c r="G234" s="680"/>
      <c r="H234" s="680"/>
      <c r="I234" s="755"/>
      <c r="J234" s="682">
        <f t="shared" si="44"/>
        <v>0</v>
      </c>
      <c r="K234" s="683"/>
      <c r="L234" s="684"/>
      <c r="M234" s="753"/>
      <c r="N234" s="683">
        <v>0</v>
      </c>
      <c r="O234" s="686"/>
      <c r="P234" s="683">
        <v>0</v>
      </c>
      <c r="Q234" s="687">
        <f t="shared" si="43"/>
        <v>0</v>
      </c>
      <c r="R234" s="687"/>
      <c r="S234" s="687"/>
      <c r="T234" s="688">
        <v>0</v>
      </c>
      <c r="U234" s="693"/>
      <c r="V234" s="690">
        <f t="shared" si="42"/>
        <v>0</v>
      </c>
      <c r="W234" s="683"/>
      <c r="X234" s="474">
        <f t="shared" si="52"/>
        <v>0</v>
      </c>
      <c r="Y234" s="474">
        <f t="shared" si="53"/>
        <v>0</v>
      </c>
      <c r="Z234" s="475">
        <f t="shared" si="54"/>
        <v>0</v>
      </c>
      <c r="AA234" s="475">
        <v>0</v>
      </c>
      <c r="AB234" s="476">
        <v>0</v>
      </c>
      <c r="AC234" s="38">
        <f t="shared" si="55"/>
        <v>0</v>
      </c>
      <c r="AD234" s="692">
        <f t="shared" si="45"/>
        <v>0</v>
      </c>
      <c r="AE234" s="692">
        <f t="shared" si="46"/>
        <v>0</v>
      </c>
      <c r="AF234" s="692">
        <f t="shared" si="47"/>
        <v>0</v>
      </c>
      <c r="AG234" s="38"/>
      <c r="AH234" s="692">
        <f t="shared" si="49"/>
        <v>0</v>
      </c>
      <c r="AI234" s="692">
        <f t="shared" si="50"/>
        <v>0</v>
      </c>
      <c r="AJ234" s="692">
        <f t="shared" si="51"/>
        <v>0</v>
      </c>
      <c r="AL234" s="38">
        <f t="shared" si="48"/>
        <v>0</v>
      </c>
      <c r="AM234" s="68" t="s">
        <v>169</v>
      </c>
    </row>
    <row r="235" spans="1:39">
      <c r="A235" s="21"/>
      <c r="B235" s="21" t="s">
        <v>110</v>
      </c>
      <c r="C235" s="666"/>
      <c r="D235" s="821" t="s">
        <v>981</v>
      </c>
      <c r="E235" s="679"/>
      <c r="F235" s="529">
        <f>VLOOKUP(D235,'Apr14 Revenue'!D:V,19,FALSE)</f>
        <v>0</v>
      </c>
      <c r="G235" s="680"/>
      <c r="H235" s="680"/>
      <c r="I235" s="755"/>
      <c r="J235" s="682">
        <f t="shared" si="44"/>
        <v>0</v>
      </c>
      <c r="K235" s="683"/>
      <c r="L235" s="684"/>
      <c r="M235" s="753"/>
      <c r="N235" s="683">
        <v>0</v>
      </c>
      <c r="O235" s="686"/>
      <c r="P235" s="683">
        <v>0</v>
      </c>
      <c r="Q235" s="687">
        <f t="shared" si="43"/>
        <v>0</v>
      </c>
      <c r="R235" s="687"/>
      <c r="S235" s="687"/>
      <c r="T235" s="688">
        <v>0</v>
      </c>
      <c r="U235" s="693"/>
      <c r="V235" s="690">
        <f t="shared" si="42"/>
        <v>0</v>
      </c>
      <c r="W235" s="683"/>
      <c r="X235" s="474">
        <f t="shared" si="52"/>
        <v>0</v>
      </c>
      <c r="Y235" s="474">
        <f t="shared" si="53"/>
        <v>0</v>
      </c>
      <c r="Z235" s="475">
        <f t="shared" si="54"/>
        <v>0</v>
      </c>
      <c r="AA235" s="475">
        <v>0</v>
      </c>
      <c r="AB235" s="476">
        <v>0</v>
      </c>
      <c r="AC235" s="38">
        <f t="shared" si="55"/>
        <v>0</v>
      </c>
      <c r="AD235" s="692">
        <f t="shared" si="45"/>
        <v>0</v>
      </c>
      <c r="AE235" s="692">
        <f t="shared" si="46"/>
        <v>0</v>
      </c>
      <c r="AF235" s="692">
        <f t="shared" si="47"/>
        <v>0</v>
      </c>
      <c r="AG235" s="38"/>
      <c r="AH235" s="692">
        <f t="shared" si="49"/>
        <v>0</v>
      </c>
      <c r="AI235" s="692">
        <f t="shared" si="50"/>
        <v>0</v>
      </c>
      <c r="AJ235" s="692">
        <f t="shared" si="51"/>
        <v>0</v>
      </c>
      <c r="AL235" s="38">
        <f t="shared" si="48"/>
        <v>0</v>
      </c>
      <c r="AM235" s="821" t="s">
        <v>981</v>
      </c>
    </row>
    <row r="236" spans="1:39">
      <c r="A236" s="21"/>
      <c r="B236" s="21" t="s">
        <v>114</v>
      </c>
      <c r="C236" s="666"/>
      <c r="D236" s="68" t="s">
        <v>591</v>
      </c>
      <c r="E236" s="679"/>
      <c r="F236" s="529">
        <f>VLOOKUP(D236,'Apr14 Revenue'!D:V,19,FALSE)</f>
        <v>3306.55</v>
      </c>
      <c r="G236" s="680"/>
      <c r="H236" s="680"/>
      <c r="I236" s="755"/>
      <c r="J236" s="682">
        <f t="shared" si="44"/>
        <v>3306.55</v>
      </c>
      <c r="K236" s="683"/>
      <c r="L236" s="684"/>
      <c r="M236" s="753"/>
      <c r="N236" s="683">
        <v>0</v>
      </c>
      <c r="O236" s="686"/>
      <c r="P236" s="683">
        <v>0</v>
      </c>
      <c r="Q236" s="687">
        <f>L236+M236</f>
        <v>0</v>
      </c>
      <c r="R236" s="687"/>
      <c r="S236" s="687"/>
      <c r="T236" s="688">
        <f>1399.27+301.91+535.81+451.22</f>
        <v>2688.21</v>
      </c>
      <c r="U236" s="693"/>
      <c r="V236" s="690">
        <f t="shared" si="42"/>
        <v>2688.21</v>
      </c>
      <c r="W236" s="683"/>
      <c r="X236" s="474">
        <f t="shared" si="52"/>
        <v>0</v>
      </c>
      <c r="Y236" s="474">
        <f t="shared" si="53"/>
        <v>0</v>
      </c>
      <c r="Z236" s="475">
        <f t="shared" si="54"/>
        <v>0</v>
      </c>
      <c r="AA236" s="475">
        <v>0</v>
      </c>
      <c r="AB236" s="476">
        <v>0</v>
      </c>
      <c r="AC236" s="38">
        <f>(L236+M236)-(X236+Y236+Z236+AA236+AB236)</f>
        <v>0</v>
      </c>
      <c r="AD236" s="692">
        <f t="shared" si="45"/>
        <v>0</v>
      </c>
      <c r="AE236" s="692">
        <f t="shared" si="46"/>
        <v>0</v>
      </c>
      <c r="AF236" s="692">
        <f t="shared" si="47"/>
        <v>3306.55</v>
      </c>
      <c r="AG236" s="38"/>
      <c r="AH236" s="692">
        <f t="shared" si="49"/>
        <v>0</v>
      </c>
      <c r="AI236" s="692">
        <f t="shared" si="50"/>
        <v>0</v>
      </c>
      <c r="AJ236" s="692">
        <f t="shared" si="51"/>
        <v>0</v>
      </c>
      <c r="AL236" s="38">
        <f t="shared" si="48"/>
        <v>3306.55</v>
      </c>
      <c r="AM236" s="68" t="s">
        <v>591</v>
      </c>
    </row>
    <row r="237" spans="1:39">
      <c r="A237" s="21"/>
      <c r="B237" s="21" t="s">
        <v>114</v>
      </c>
      <c r="C237" s="672"/>
      <c r="D237" s="519" t="s">
        <v>433</v>
      </c>
      <c r="E237" s="679"/>
      <c r="F237" s="529">
        <f>VLOOKUP(D237,'Apr14 Revenue'!D:V,19,FALSE)</f>
        <v>0</v>
      </c>
      <c r="G237" s="680"/>
      <c r="H237" s="680"/>
      <c r="I237" s="755"/>
      <c r="J237" s="682">
        <f t="shared" si="44"/>
        <v>0</v>
      </c>
      <c r="K237" s="683"/>
      <c r="L237" s="684"/>
      <c r="M237" s="753"/>
      <c r="N237" s="683">
        <v>0</v>
      </c>
      <c r="O237" s="686"/>
      <c r="P237" s="683">
        <v>0</v>
      </c>
      <c r="Q237" s="687">
        <f t="shared" si="43"/>
        <v>0</v>
      </c>
      <c r="R237" s="687"/>
      <c r="S237" s="687"/>
      <c r="T237" s="688">
        <v>0</v>
      </c>
      <c r="U237" s="693"/>
      <c r="V237" s="690">
        <f t="shared" si="42"/>
        <v>0</v>
      </c>
      <c r="W237" s="683"/>
      <c r="X237" s="474">
        <f t="shared" si="52"/>
        <v>0</v>
      </c>
      <c r="Y237" s="474">
        <f t="shared" si="53"/>
        <v>0</v>
      </c>
      <c r="Z237" s="475">
        <f t="shared" si="54"/>
        <v>0</v>
      </c>
      <c r="AA237" s="475">
        <v>0</v>
      </c>
      <c r="AB237" s="476">
        <v>0</v>
      </c>
      <c r="AC237" s="38">
        <f t="shared" si="55"/>
        <v>0</v>
      </c>
      <c r="AD237" s="692">
        <f t="shared" si="45"/>
        <v>0</v>
      </c>
      <c r="AE237" s="692">
        <f t="shared" si="46"/>
        <v>0</v>
      </c>
      <c r="AF237" s="692">
        <f t="shared" si="47"/>
        <v>0</v>
      </c>
      <c r="AG237" s="38"/>
      <c r="AH237" s="692">
        <f t="shared" si="49"/>
        <v>0</v>
      </c>
      <c r="AI237" s="692">
        <f t="shared" si="50"/>
        <v>0</v>
      </c>
      <c r="AJ237" s="692">
        <f t="shared" si="51"/>
        <v>0</v>
      </c>
      <c r="AL237" s="38">
        <f t="shared" si="48"/>
        <v>0</v>
      </c>
      <c r="AM237" s="519" t="s">
        <v>433</v>
      </c>
    </row>
    <row r="238" spans="1:39" s="146" customFormat="1" ht="13" thickBot="1">
      <c r="A238" s="21"/>
      <c r="B238" s="21" t="s">
        <v>110</v>
      </c>
      <c r="C238" s="666"/>
      <c r="D238" s="68" t="s">
        <v>1020</v>
      </c>
      <c r="E238" s="679"/>
      <c r="F238" s="529">
        <f>VLOOKUP(D238,'Apr14 Revenue'!D:V,19,FALSE)</f>
        <v>0</v>
      </c>
      <c r="G238" s="680"/>
      <c r="H238" s="680"/>
      <c r="I238" s="755">
        <f>-800426+71907</f>
        <v>-728519</v>
      </c>
      <c r="J238" s="682">
        <f t="shared" si="44"/>
        <v>-728519</v>
      </c>
      <c r="K238" s="683"/>
      <c r="L238" s="684"/>
      <c r="M238" s="753"/>
      <c r="N238" s="683">
        <v>0</v>
      </c>
      <c r="O238" s="686"/>
      <c r="P238" s="683">
        <v>0</v>
      </c>
      <c r="Q238" s="687">
        <f>L238+M238</f>
        <v>0</v>
      </c>
      <c r="R238" s="687"/>
      <c r="S238" s="687"/>
      <c r="T238" s="688">
        <v>0</v>
      </c>
      <c r="U238" s="693"/>
      <c r="V238" s="690">
        <f t="shared" ref="V238" si="56">IF(T238="","",T238-Q238)</f>
        <v>0</v>
      </c>
      <c r="W238" s="683"/>
      <c r="X238" s="474">
        <f t="shared" si="52"/>
        <v>0</v>
      </c>
      <c r="Y238" s="474">
        <f t="shared" si="53"/>
        <v>0</v>
      </c>
      <c r="Z238" s="475">
        <f t="shared" si="54"/>
        <v>0</v>
      </c>
      <c r="AA238" s="475">
        <v>0</v>
      </c>
      <c r="AB238" s="476">
        <v>0</v>
      </c>
      <c r="AC238" s="38">
        <f>(L238+M238)-(X238+Y238+Z238+AA238+AB238)</f>
        <v>0</v>
      </c>
      <c r="AD238" s="692">
        <f t="shared" si="45"/>
        <v>-728519</v>
      </c>
      <c r="AE238" s="692">
        <f t="shared" si="46"/>
        <v>0</v>
      </c>
      <c r="AF238" s="692">
        <f t="shared" si="47"/>
        <v>0</v>
      </c>
      <c r="AG238" s="38"/>
      <c r="AH238" s="692">
        <f t="shared" si="49"/>
        <v>0</v>
      </c>
      <c r="AI238" s="692">
        <f t="shared" si="50"/>
        <v>0</v>
      </c>
      <c r="AJ238" s="692">
        <f t="shared" si="51"/>
        <v>0</v>
      </c>
      <c r="AL238" s="38">
        <f t="shared" si="48"/>
        <v>-728519</v>
      </c>
      <c r="AM238" s="68" t="s">
        <v>593</v>
      </c>
    </row>
    <row r="239" spans="1:39" ht="13" thickBot="1">
      <c r="A239" s="107"/>
      <c r="B239" s="108"/>
      <c r="C239" s="673"/>
      <c r="D239" s="71" t="s">
        <v>86</v>
      </c>
      <c r="E239" s="454">
        <f t="shared" ref="E239:J239" si="57">SUM(E16:E238)</f>
        <v>526054.97999999986</v>
      </c>
      <c r="F239" s="454">
        <f t="shared" si="57"/>
        <v>-1178121.0700000003</v>
      </c>
      <c r="G239" s="454">
        <f t="shared" si="57"/>
        <v>0</v>
      </c>
      <c r="H239" s="454">
        <f t="shared" si="57"/>
        <v>0</v>
      </c>
      <c r="I239" s="454">
        <f t="shared" si="57"/>
        <v>8697354.6499999966</v>
      </c>
      <c r="J239" s="454">
        <f t="shared" si="57"/>
        <v>8045288.5599999931</v>
      </c>
      <c r="K239" s="454"/>
      <c r="L239" s="454">
        <f>SUM(L16:L238)</f>
        <v>606000</v>
      </c>
      <c r="M239" s="454">
        <f>SUM(M16:M238)</f>
        <v>10802124.319999998</v>
      </c>
      <c r="N239" s="454">
        <f>SUM(N16:N238)</f>
        <v>0</v>
      </c>
      <c r="O239" s="100">
        <f>SUM(O16:O238)</f>
        <v>0</v>
      </c>
      <c r="P239" s="157">
        <f>SUM(P17:P238)</f>
        <v>0</v>
      </c>
      <c r="Q239" s="100">
        <f>SUM(Q16:Q238)</f>
        <v>11408124.319999998</v>
      </c>
      <c r="R239" s="100"/>
      <c r="S239" s="100"/>
      <c r="T239" s="100">
        <f>SUM(T16:T238)</f>
        <v>9648714.8500000015</v>
      </c>
      <c r="U239" s="708"/>
      <c r="V239" s="100">
        <f>SUM(V16:V238)</f>
        <v>-1759409.4700000002</v>
      </c>
      <c r="W239" s="683"/>
      <c r="X239" s="314">
        <f>SUM(X16:X238)</f>
        <v>10566624.32</v>
      </c>
      <c r="Y239" s="314">
        <f>SUM(Y16:Y238)</f>
        <v>644500</v>
      </c>
      <c r="Z239" s="314">
        <f>SUM(Z16:Z238)</f>
        <v>197000</v>
      </c>
      <c r="AA239" s="314">
        <f>SUM(AA16:AA238)</f>
        <v>0</v>
      </c>
      <c r="AB239" s="314">
        <f>SUM(AB16:AB238)</f>
        <v>0</v>
      </c>
      <c r="AC239" s="38"/>
      <c r="AD239" s="314">
        <f>SUM(AD16:AD238)</f>
        <v>7610967.9199999981</v>
      </c>
      <c r="AE239" s="314">
        <f>SUM(AE16:AE238)</f>
        <v>465842.97</v>
      </c>
      <c r="AF239" s="314">
        <f>SUM(AF16:AF238)</f>
        <v>-31522.330000000005</v>
      </c>
      <c r="AG239" s="38"/>
      <c r="AH239" s="314">
        <f>SUM(AH16:AH238)</f>
        <v>10566624.32</v>
      </c>
      <c r="AI239" s="314">
        <f>SUM(AI16:AI238)</f>
        <v>644500</v>
      </c>
      <c r="AJ239" s="314">
        <f>SUM(AJ16:AJ238)</f>
        <v>197000</v>
      </c>
    </row>
    <row r="240" spans="1:39" ht="13" thickBot="1">
      <c r="A240" s="65"/>
      <c r="B240" s="65"/>
      <c r="C240" s="674"/>
      <c r="D240" s="141"/>
      <c r="E240" s="709" t="s">
        <v>293</v>
      </c>
      <c r="F240" s="160">
        <f>F239+E239</f>
        <v>-652066.09000000043</v>
      </c>
      <c r="G240" s="153"/>
      <c r="H240" s="153" t="s">
        <v>225</v>
      </c>
      <c r="I240" s="153">
        <f>I239+H239+G239</f>
        <v>8697354.6499999966</v>
      </c>
      <c r="J240" s="323"/>
      <c r="K240" s="153"/>
      <c r="L240" s="153" t="s">
        <v>296</v>
      </c>
      <c r="M240" s="100">
        <f>M239+L239</f>
        <v>11408124.319999998</v>
      </c>
      <c r="N240" s="153"/>
      <c r="O240" s="641"/>
      <c r="P240" s="153"/>
      <c r="Q240" s="153"/>
      <c r="R240" s="153"/>
      <c r="S240" s="153"/>
      <c r="T240" s="153"/>
      <c r="U240" s="153"/>
      <c r="V240" s="153"/>
      <c r="W240" s="153"/>
      <c r="X240" s="139"/>
      <c r="Y240" s="139"/>
      <c r="Z240" s="139"/>
      <c r="AA240" s="139"/>
      <c r="AB240" s="104"/>
      <c r="AC240" s="38"/>
      <c r="AD240" s="711"/>
      <c r="AE240" s="711"/>
      <c r="AF240" s="711"/>
      <c r="AG240" s="38"/>
      <c r="AH240" s="38"/>
      <c r="AI240" s="38"/>
      <c r="AJ240" s="38"/>
    </row>
    <row r="241" spans="1:38" ht="13" thickBot="1">
      <c r="A241" s="65"/>
      <c r="B241" s="65"/>
      <c r="C241" s="674"/>
      <c r="E241" s="159"/>
      <c r="F241" s="153"/>
      <c r="G241" s="153"/>
      <c r="H241" s="153"/>
      <c r="I241" s="153"/>
      <c r="J241" s="153"/>
      <c r="K241" s="153"/>
      <c r="L241" s="153"/>
      <c r="M241" s="710"/>
      <c r="N241" s="153"/>
      <c r="O241" s="153"/>
      <c r="P241" s="153"/>
      <c r="Q241" s="153"/>
      <c r="R241" s="153"/>
      <c r="S241" s="153"/>
      <c r="T241" s="153"/>
      <c r="U241" s="153"/>
      <c r="V241" s="153"/>
      <c r="W241" s="153"/>
      <c r="X241" s="331" t="s">
        <v>345</v>
      </c>
      <c r="Y241" s="139"/>
      <c r="Z241" s="139"/>
      <c r="AA241" s="139"/>
      <c r="AB241" s="104"/>
      <c r="AC241" s="164" t="s">
        <v>633</v>
      </c>
      <c r="AD241" s="798"/>
      <c r="AE241" s="798"/>
      <c r="AF241" s="798"/>
      <c r="AG241" s="38"/>
      <c r="AH241" s="711"/>
      <c r="AI241" s="711"/>
      <c r="AJ241" s="711"/>
    </row>
    <row r="242" spans="1:38" ht="17" thickTop="1" thickBot="1">
      <c r="E242" s="712"/>
      <c r="F242" s="713"/>
      <c r="G242" s="714"/>
      <c r="H242" s="715"/>
      <c r="I242" s="715"/>
      <c r="J242" s="164"/>
      <c r="K242" s="169"/>
      <c r="L242" s="233"/>
      <c r="M242" s="233"/>
      <c r="N242" s="38"/>
      <c r="O242" s="642"/>
      <c r="P242" s="139"/>
      <c r="Q242" s="139"/>
      <c r="R242" s="139"/>
      <c r="S242" s="139"/>
      <c r="T242" s="33"/>
      <c r="U242" s="33"/>
      <c r="V242" s="33"/>
      <c r="W242" s="169"/>
      <c r="X242" s="332"/>
      <c r="Y242" s="333"/>
      <c r="Z242" s="491"/>
      <c r="AA242" s="491"/>
      <c r="AB242" s="334"/>
      <c r="AC242" s="164" t="s">
        <v>634</v>
      </c>
      <c r="AD242" s="798"/>
      <c r="AE242" s="798"/>
      <c r="AF242" s="802"/>
      <c r="AG242" s="38"/>
      <c r="AH242" s="38"/>
      <c r="AI242" s="38"/>
      <c r="AJ242" s="38"/>
    </row>
    <row r="243" spans="1:38" ht="17" thickBot="1">
      <c r="E243" s="712"/>
      <c r="F243" s="713"/>
      <c r="G243" s="714"/>
      <c r="H243" s="715"/>
      <c r="J243" s="79">
        <f>J239</f>
        <v>8045288.5599999931</v>
      </c>
      <c r="K243" s="715" t="s">
        <v>1097</v>
      </c>
      <c r="L243" s="169"/>
      <c r="M243" s="493"/>
      <c r="N243" s="38"/>
      <c r="O243" s="80"/>
      <c r="P243" s="104"/>
      <c r="Q243" s="139"/>
      <c r="R243" s="139"/>
      <c r="S243" s="139"/>
      <c r="T243" s="33"/>
      <c r="U243" s="33"/>
      <c r="V243" s="33"/>
      <c r="W243" s="169"/>
      <c r="X243" s="487"/>
      <c r="Y243" s="488"/>
      <c r="Z243" s="492" t="s">
        <v>399</v>
      </c>
      <c r="AA243" s="492" t="s">
        <v>400</v>
      </c>
      <c r="AB243" s="488"/>
      <c r="AC243" s="717" t="s">
        <v>475</v>
      </c>
      <c r="AD243" s="718">
        <f>SUM(AD239:AD242)</f>
        <v>7610967.9199999981</v>
      </c>
      <c r="AE243" s="718">
        <f>AE239</f>
        <v>465842.97</v>
      </c>
      <c r="AF243" s="718">
        <f>SUM(AF239:AF242)</f>
        <v>-31522.330000000005</v>
      </c>
      <c r="AG243" s="718"/>
      <c r="AH243" s="718">
        <f>AH239</f>
        <v>10566624.32</v>
      </c>
      <c r="AI243" s="718">
        <f>AI239</f>
        <v>644500</v>
      </c>
      <c r="AJ243" s="719">
        <f>AJ239</f>
        <v>197000</v>
      </c>
      <c r="AL243" s="38">
        <f>SUM(AL17:AL242)</f>
        <v>19451257.959999997</v>
      </c>
    </row>
    <row r="244" spans="1:38" ht="15" thickBot="1">
      <c r="D244" s="143"/>
      <c r="E244" s="759"/>
      <c r="F244" s="713"/>
      <c r="G244" s="714"/>
      <c r="H244" s="720"/>
      <c r="J244" s="750" t="e">
        <f>SUM('June GL'!#REF!)</f>
        <v>#REF!</v>
      </c>
      <c r="K244" s="757" t="s">
        <v>251</v>
      </c>
      <c r="L244" s="722"/>
      <c r="M244" s="642"/>
      <c r="N244" s="33"/>
      <c r="O244" s="80"/>
      <c r="P244" s="104"/>
      <c r="Q244" s="139"/>
      <c r="R244" s="139"/>
      <c r="S244" s="139"/>
      <c r="T244" s="33"/>
      <c r="U244" s="33"/>
      <c r="V244" s="33"/>
      <c r="W244" s="169"/>
      <c r="X244" s="158" t="s">
        <v>609</v>
      </c>
      <c r="Y244" s="104" t="s">
        <v>352</v>
      </c>
      <c r="Z244" s="104">
        <f>X239+Y239+Z239</f>
        <v>11408124.32</v>
      </c>
      <c r="AA244" s="104"/>
      <c r="AB244" s="136"/>
      <c r="AC244" s="723"/>
      <c r="AD244" s="38"/>
      <c r="AE244" s="38"/>
      <c r="AF244" s="38"/>
      <c r="AG244" s="38"/>
      <c r="AH244" s="38"/>
      <c r="AI244" s="38"/>
      <c r="AJ244" s="38"/>
    </row>
    <row r="245" spans="1:38" ht="15" thickTop="1">
      <c r="D245" s="143"/>
      <c r="E245" s="712"/>
      <c r="F245" s="713"/>
      <c r="G245" s="714"/>
      <c r="H245" s="714" t="s">
        <v>249</v>
      </c>
      <c r="I245" s="35"/>
      <c r="J245" s="824" t="e">
        <f>J244+J243</f>
        <v>#REF!</v>
      </c>
      <c r="K245" s="714" t="s">
        <v>454</v>
      </c>
      <c r="L245" s="722"/>
      <c r="M245" s="80"/>
      <c r="N245" s="104"/>
      <c r="O245" s="824"/>
      <c r="P245" s="104"/>
      <c r="Q245" s="826"/>
      <c r="R245" s="139"/>
      <c r="S245" s="139"/>
      <c r="T245" s="139"/>
      <c r="U245" s="139"/>
      <c r="V245" s="139"/>
      <c r="W245" s="169"/>
      <c r="X245" s="158"/>
      <c r="Y245" s="104"/>
      <c r="Z245" s="104"/>
      <c r="AA245" s="104"/>
      <c r="AB245" s="136"/>
      <c r="AC245" s="723"/>
      <c r="AD245" s="38"/>
      <c r="AE245" s="38"/>
      <c r="AF245" s="38" t="s">
        <v>86</v>
      </c>
      <c r="AG245" s="38"/>
      <c r="AH245" s="233">
        <f>SUM(AD243+AH243)</f>
        <v>18177592.239999998</v>
      </c>
      <c r="AI245" s="233">
        <f t="shared" ref="AI245:AJ245" si="58">SUM(AE243+AI243)</f>
        <v>1110342.97</v>
      </c>
      <c r="AJ245" s="233">
        <f t="shared" si="58"/>
        <v>165477.66999999998</v>
      </c>
    </row>
    <row r="246" spans="1:38" ht="14">
      <c r="D246" s="143"/>
      <c r="E246" s="712"/>
      <c r="F246" s="713"/>
      <c r="G246" s="714"/>
      <c r="H246" s="714"/>
      <c r="J246" s="80"/>
      <c r="K246" s="714"/>
      <c r="L246" s="722"/>
      <c r="M246" s="104"/>
      <c r="N246" s="38"/>
      <c r="O246" s="139"/>
      <c r="P246" s="104"/>
      <c r="Q246" s="139"/>
      <c r="R246" s="139"/>
      <c r="S246" s="139"/>
      <c r="T246" s="139"/>
      <c r="U246" s="139"/>
      <c r="V246" s="139"/>
      <c r="W246" s="169"/>
      <c r="X246" s="158" t="s">
        <v>600</v>
      </c>
      <c r="Y246" s="104" t="s">
        <v>355</v>
      </c>
      <c r="Z246" s="104"/>
      <c r="AA246" s="104">
        <f>X239</f>
        <v>10566624.32</v>
      </c>
      <c r="AB246" s="136"/>
      <c r="AC246" s="38"/>
      <c r="AD246" s="797" t="s">
        <v>882</v>
      </c>
      <c r="AE246" s="38"/>
      <c r="AF246" s="38"/>
      <c r="AG246" s="38"/>
      <c r="AH246" s="233"/>
      <c r="AI246" s="233"/>
      <c r="AJ246" s="233"/>
    </row>
    <row r="247" spans="1:38" ht="15" thickBot="1">
      <c r="D247" s="143" t="s">
        <v>823</v>
      </c>
      <c r="E247" s="712"/>
      <c r="F247" s="713"/>
      <c r="G247" s="714"/>
      <c r="H247" s="714"/>
      <c r="J247" s="661">
        <f>M240</f>
        <v>11408124.319999998</v>
      </c>
      <c r="K247" s="714" t="s">
        <v>1098</v>
      </c>
      <c r="L247" s="645"/>
      <c r="M247" s="173"/>
      <c r="N247" s="38"/>
      <c r="O247" s="139"/>
      <c r="P247" s="104"/>
      <c r="Q247" s="139"/>
      <c r="R247" s="139"/>
      <c r="S247" s="139"/>
      <c r="T247" s="726"/>
      <c r="U247" s="139"/>
      <c r="V247" s="727"/>
      <c r="W247" s="169"/>
      <c r="X247" s="158"/>
      <c r="Y247" s="104" t="s">
        <v>356</v>
      </c>
      <c r="Z247" s="104"/>
      <c r="AA247" s="104">
        <f>AA239</f>
        <v>0</v>
      </c>
      <c r="AB247" s="136"/>
      <c r="AC247" s="38"/>
      <c r="AD247" s="38"/>
      <c r="AE247" s="38"/>
      <c r="AF247" s="38"/>
      <c r="AG247" s="38"/>
      <c r="AH247" s="799" t="s">
        <v>897</v>
      </c>
      <c r="AI247" s="801">
        <f>SUM(AH245:AJ245)</f>
        <v>19453412.879999999</v>
      </c>
      <c r="AJ247" s="800"/>
    </row>
    <row r="248" spans="1:38" ht="16" thickTop="1" thickBot="1">
      <c r="D248" s="143"/>
      <c r="E248" s="712"/>
      <c r="F248" s="713"/>
      <c r="G248" s="714"/>
      <c r="H248" s="714"/>
      <c r="J248" s="824" t="e">
        <f>SUM(J245:J247)</f>
        <v>#REF!</v>
      </c>
      <c r="K248" s="714"/>
      <c r="L248" s="722"/>
      <c r="M248" s="173"/>
      <c r="N248" s="38"/>
      <c r="O248" s="33"/>
      <c r="P248" s="38"/>
      <c r="Q248" s="139"/>
      <c r="R248" s="139"/>
      <c r="S248" s="139"/>
      <c r="T248" s="139"/>
      <c r="U248" s="139"/>
      <c r="V248" s="139"/>
      <c r="W248" s="169"/>
      <c r="X248" s="158"/>
      <c r="Y248" s="104"/>
      <c r="Z248" s="104"/>
      <c r="AA248" s="104"/>
      <c r="AB248" s="136"/>
      <c r="AC248" s="38"/>
      <c r="AD248" s="38"/>
      <c r="AE248" s="38"/>
      <c r="AF248" s="38"/>
      <c r="AG248" s="38"/>
    </row>
    <row r="249" spans="1:38" ht="15" thickBot="1">
      <c r="E249" s="712"/>
      <c r="F249" s="713"/>
      <c r="G249" s="714"/>
      <c r="H249" s="714"/>
      <c r="J249" s="754">
        <f>J243+J247</f>
        <v>19453412.879999992</v>
      </c>
      <c r="K249" s="714" t="s">
        <v>1099</v>
      </c>
      <c r="L249" s="722"/>
      <c r="M249" s="173"/>
      <c r="N249" s="38"/>
      <c r="O249" s="33"/>
      <c r="P249" s="38"/>
      <c r="Q249" s="139"/>
      <c r="R249" s="139"/>
      <c r="S249" s="139"/>
      <c r="T249" s="139"/>
      <c r="U249" s="139"/>
      <c r="V249" s="139"/>
      <c r="W249" s="169"/>
      <c r="X249" s="158" t="s">
        <v>601</v>
      </c>
      <c r="Y249" s="104" t="s">
        <v>357</v>
      </c>
      <c r="Z249" s="104"/>
      <c r="AA249" s="104">
        <f>Y239</f>
        <v>644500</v>
      </c>
      <c r="AB249" s="136"/>
      <c r="AC249" s="38"/>
      <c r="AD249" s="38"/>
      <c r="AE249" s="38"/>
      <c r="AF249" s="38"/>
      <c r="AG249" s="38"/>
      <c r="AH249" s="796" t="s">
        <v>857</v>
      </c>
      <c r="AI249" s="38">
        <f>AI247-AJ245</f>
        <v>19287935.209999997</v>
      </c>
      <c r="AJ249" s="38"/>
    </row>
    <row r="250" spans="1:38">
      <c r="D250" s="161"/>
      <c r="E250" s="712"/>
      <c r="F250" s="713"/>
      <c r="G250" s="714"/>
      <c r="H250" s="714"/>
      <c r="J250" s="637"/>
      <c r="K250" s="714"/>
      <c r="L250" s="173"/>
      <c r="M250" s="731"/>
      <c r="N250" s="38"/>
      <c r="O250" s="33"/>
      <c r="P250" s="38"/>
      <c r="Q250" s="139"/>
      <c r="R250" s="139"/>
      <c r="S250" s="139"/>
      <c r="T250" s="139"/>
      <c r="U250" s="139"/>
      <c r="V250" s="139"/>
      <c r="W250" s="169"/>
      <c r="X250" s="415"/>
      <c r="Y250" s="104" t="s">
        <v>358</v>
      </c>
      <c r="Z250" s="104"/>
      <c r="AA250" s="104">
        <f>AB239</f>
        <v>0</v>
      </c>
      <c r="AB250" s="136"/>
      <c r="AC250" s="38"/>
      <c r="AD250" s="38"/>
      <c r="AE250" s="38"/>
      <c r="AF250" s="38"/>
      <c r="AG250" s="38"/>
      <c r="AH250" s="38"/>
      <c r="AI250" s="38"/>
      <c r="AJ250" s="38"/>
    </row>
    <row r="251" spans="1:38">
      <c r="E251" s="712"/>
      <c r="F251" s="713"/>
      <c r="G251" s="714"/>
      <c r="H251" s="714"/>
      <c r="J251" s="658">
        <f>SUM(AD243:AJ243)</f>
        <v>19453412.879999999</v>
      </c>
      <c r="K251" s="714" t="s">
        <v>518</v>
      </c>
      <c r="L251" s="732"/>
      <c r="M251" s="637"/>
      <c r="N251" s="38"/>
      <c r="O251" s="33"/>
      <c r="P251" s="38"/>
      <c r="Q251" s="139"/>
      <c r="R251" s="139"/>
      <c r="S251" s="139"/>
      <c r="T251" s="139"/>
      <c r="U251" s="139"/>
      <c r="V251" s="139"/>
      <c r="W251" s="169"/>
      <c r="X251" s="415"/>
      <c r="Y251" s="104"/>
      <c r="Z251" s="104"/>
      <c r="AA251" s="104"/>
      <c r="AB251" s="136"/>
      <c r="AC251" s="38"/>
      <c r="AD251" s="38"/>
      <c r="AE251" s="38"/>
      <c r="AF251" s="38"/>
      <c r="AG251" s="38"/>
      <c r="AH251" s="38"/>
      <c r="AI251" s="38"/>
      <c r="AJ251" s="38"/>
    </row>
    <row r="252" spans="1:38" ht="13" thickBot="1">
      <c r="E252" s="712"/>
      <c r="F252" s="713"/>
      <c r="G252" s="714"/>
      <c r="H252" s="714"/>
      <c r="J252" s="169"/>
      <c r="K252" s="714" t="s">
        <v>454</v>
      </c>
      <c r="L252" s="733"/>
      <c r="M252" s="795"/>
      <c r="N252" s="38"/>
      <c r="O252" s="33"/>
      <c r="P252" s="38"/>
      <c r="Q252" s="139"/>
      <c r="R252" s="139"/>
      <c r="S252" s="139"/>
      <c r="T252" s="139"/>
      <c r="U252" s="139"/>
      <c r="V252" s="139"/>
      <c r="W252" s="169"/>
      <c r="X252" s="158" t="s">
        <v>602</v>
      </c>
      <c r="Y252" s="488" t="s">
        <v>359</v>
      </c>
      <c r="Z252" s="488"/>
      <c r="AA252" s="488">
        <f>Z239</f>
        <v>197000</v>
      </c>
      <c r="AB252" s="414"/>
      <c r="AC252" s="38"/>
      <c r="AD252" s="38"/>
      <c r="AE252" s="38"/>
      <c r="AF252" s="38"/>
      <c r="AG252" s="38"/>
      <c r="AH252" s="38"/>
      <c r="AI252" s="38"/>
      <c r="AJ252" s="38"/>
    </row>
    <row r="253" spans="1:38" ht="15" thickBot="1">
      <c r="E253" s="712"/>
      <c r="F253" s="713"/>
      <c r="G253" s="714"/>
      <c r="H253" s="714"/>
      <c r="J253" s="736"/>
      <c r="K253" s="714" t="s">
        <v>519</v>
      </c>
      <c r="L253" s="169"/>
      <c r="M253" s="169"/>
      <c r="N253" s="38"/>
      <c r="O253" s="33"/>
      <c r="P253" s="38"/>
      <c r="Q253" s="33"/>
      <c r="R253" s="33"/>
      <c r="S253" s="33"/>
      <c r="T253" s="33"/>
      <c r="U253" s="33"/>
      <c r="V253" s="33"/>
      <c r="W253" s="169"/>
      <c r="X253" s="416"/>
      <c r="Y253" s="104"/>
      <c r="Z253" s="80">
        <f>SUM(Z244:Z252)</f>
        <v>11408124.32</v>
      </c>
      <c r="AA253" s="80">
        <f>SUM(AA244:AA252)</f>
        <v>11408124.32</v>
      </c>
      <c r="AB253" s="136"/>
      <c r="AC253" s="38"/>
      <c r="AD253" s="38"/>
      <c r="AE253" s="38"/>
      <c r="AF253" s="38"/>
      <c r="AG253" s="38"/>
      <c r="AH253" s="38"/>
      <c r="AI253" s="822">
        <f>SUM(AI245/AI249)</f>
        <v>5.7566709858312519E-2</v>
      </c>
      <c r="AJ253" s="38"/>
    </row>
    <row r="254" spans="1:38">
      <c r="E254" s="712"/>
      <c r="F254" s="713"/>
      <c r="G254" s="714"/>
      <c r="H254" s="714"/>
      <c r="I254" s="714"/>
      <c r="J254" s="169"/>
      <c r="K254" s="169"/>
      <c r="L254" s="169"/>
      <c r="M254" s="169"/>
      <c r="N254" s="38"/>
      <c r="O254" s="33"/>
      <c r="P254" s="38"/>
      <c r="Q254" s="33"/>
      <c r="R254" s="33"/>
      <c r="S254" s="33"/>
      <c r="T254" s="33"/>
      <c r="U254" s="33"/>
      <c r="V254" s="33"/>
      <c r="W254" s="169"/>
      <c r="X254" s="416"/>
      <c r="Y254" s="104"/>
      <c r="Z254" s="104"/>
      <c r="AA254" s="104"/>
      <c r="AB254" s="136"/>
      <c r="AC254" s="38"/>
      <c r="AD254" s="38"/>
      <c r="AE254" s="38"/>
      <c r="AF254" s="38"/>
      <c r="AG254" s="38"/>
      <c r="AH254" s="38"/>
      <c r="AI254" s="38"/>
      <c r="AJ254" s="38"/>
    </row>
    <row r="255" spans="1:38" ht="13" thickBot="1">
      <c r="E255" s="712"/>
      <c r="F255" s="713"/>
      <c r="G255" s="714"/>
      <c r="H255" s="714"/>
      <c r="I255" s="714"/>
      <c r="J255" s="169"/>
      <c r="K255" s="169"/>
      <c r="L255" s="169"/>
      <c r="M255" s="169"/>
      <c r="N255" s="38"/>
      <c r="O255" s="33"/>
      <c r="P255" s="38"/>
      <c r="Q255" s="33"/>
      <c r="R255" s="33"/>
      <c r="S255" s="33"/>
      <c r="T255" s="33"/>
      <c r="U255" s="33"/>
      <c r="V255" s="33"/>
      <c r="W255" s="169"/>
      <c r="X255" s="330"/>
      <c r="Y255" s="279"/>
      <c r="Z255" s="279"/>
      <c r="AA255" s="279"/>
      <c r="AB255" s="280"/>
      <c r="AC255" s="38"/>
      <c r="AD255" s="38"/>
      <c r="AE255" s="38"/>
      <c r="AF255" s="38"/>
      <c r="AG255" s="38"/>
      <c r="AH255" s="38"/>
      <c r="AI255" s="38"/>
      <c r="AJ255" s="38"/>
    </row>
    <row r="256" spans="1:38">
      <c r="E256" s="712"/>
      <c r="F256" s="713"/>
      <c r="G256" s="714"/>
      <c r="H256" s="714"/>
      <c r="I256" s="714"/>
      <c r="J256" s="169"/>
      <c r="K256" s="169"/>
      <c r="L256" s="169"/>
      <c r="M256" s="169"/>
      <c r="N256" s="38"/>
      <c r="O256" s="33"/>
      <c r="P256" s="38"/>
      <c r="Q256" s="33"/>
      <c r="R256" s="33"/>
      <c r="S256" s="33"/>
      <c r="T256" s="33"/>
      <c r="U256" s="33"/>
      <c r="V256" s="33"/>
      <c r="W256" s="169"/>
      <c r="X256" s="104"/>
      <c r="Y256" s="104"/>
      <c r="Z256" s="104"/>
      <c r="AA256" s="104"/>
      <c r="AB256" s="104"/>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row r="260" spans="5:36">
      <c r="E260" s="712"/>
      <c r="F260" s="713"/>
      <c r="G260" s="714"/>
      <c r="H260" s="714"/>
      <c r="I260" s="714"/>
      <c r="J260" s="169"/>
      <c r="K260" s="169"/>
      <c r="L260" s="169"/>
      <c r="M260" s="169"/>
      <c r="N260" s="38"/>
      <c r="O260" s="33"/>
      <c r="P260" s="38"/>
      <c r="Q260" s="33"/>
      <c r="R260" s="33"/>
      <c r="S260" s="33"/>
      <c r="T260" s="33"/>
      <c r="U260" s="33"/>
      <c r="V260" s="33"/>
      <c r="W260" s="169"/>
      <c r="AC260" s="38"/>
      <c r="AD260" s="38"/>
      <c r="AE260" s="38"/>
      <c r="AF260" s="38"/>
      <c r="AG260" s="38"/>
      <c r="AH260" s="38"/>
      <c r="AI260" s="38"/>
      <c r="AJ260" s="38"/>
    </row>
    <row r="261" spans="5:36">
      <c r="E261" s="712"/>
      <c r="F261" s="713"/>
      <c r="G261" s="714"/>
      <c r="H261" s="714"/>
      <c r="I261" s="714"/>
      <c r="J261" s="169"/>
      <c r="K261" s="169"/>
      <c r="L261" s="169"/>
      <c r="M261" s="169"/>
      <c r="N261" s="38"/>
      <c r="O261" s="33"/>
      <c r="P261" s="38"/>
      <c r="Q261" s="33"/>
      <c r="R261" s="33"/>
      <c r="S261" s="33"/>
      <c r="T261" s="33"/>
      <c r="U261" s="33"/>
      <c r="V261" s="33"/>
      <c r="W261" s="169"/>
      <c r="AC261" s="38"/>
      <c r="AD261" s="38"/>
      <c r="AE261" s="38"/>
      <c r="AF261" s="38"/>
      <c r="AG261" s="38"/>
      <c r="AH261" s="38"/>
      <c r="AI261" s="38"/>
      <c r="AJ261" s="38"/>
    </row>
    <row r="262" spans="5:36">
      <c r="E262" s="712"/>
      <c r="F262" s="713"/>
      <c r="G262" s="714"/>
      <c r="H262" s="714"/>
      <c r="I262" s="714"/>
      <c r="J262" s="169"/>
      <c r="K262" s="169"/>
      <c r="L262" s="169"/>
      <c r="M262" s="169"/>
      <c r="N262" s="38"/>
      <c r="O262" s="33"/>
      <c r="P262" s="38"/>
      <c r="Q262" s="33"/>
      <c r="R262" s="33"/>
      <c r="S262" s="33"/>
      <c r="T262" s="33"/>
      <c r="U262" s="33"/>
      <c r="V262" s="33"/>
      <c r="W262" s="169"/>
      <c r="AC262" s="38"/>
      <c r="AD262" s="38"/>
      <c r="AE262" s="38"/>
      <c r="AF262" s="38"/>
      <c r="AG262" s="38"/>
      <c r="AH262" s="38"/>
      <c r="AI262" s="38"/>
      <c r="AJ262"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262"/>
  <sheetViews>
    <sheetView topLeftCell="C215" workbookViewId="0">
      <selection activeCell="K249" sqref="K249"/>
    </sheetView>
  </sheetViews>
  <sheetFormatPr baseColWidth="10" defaultColWidth="9.3984375" defaultRowHeight="12" outlineLevelCol="1" x14ac:dyDescent="0"/>
  <cols>
    <col min="1" max="1" width="9.796875" style="18" customWidth="1" outlineLevel="1"/>
    <col min="2" max="2" width="8.3984375" style="18" bestFit="1" customWidth="1" outlineLevel="1"/>
    <col min="3" max="3" width="11.3984375" style="131" bestFit="1" customWidth="1" outlineLevel="1"/>
    <col min="4" max="4" width="32.3984375" style="147" customWidth="1"/>
    <col min="5" max="5" width="17.3984375" style="35" bestFit="1" customWidth="1"/>
    <col min="6" max="6" width="17" style="152" bestFit="1" customWidth="1"/>
    <col min="7" max="8" width="15.3984375" style="17" hidden="1" customWidth="1"/>
    <col min="9" max="9" width="15.3984375" style="17" customWidth="1"/>
    <col min="10" max="10" width="17" style="24" bestFit="1" customWidth="1"/>
    <col min="11" max="11" width="3" style="24" customWidth="1"/>
    <col min="12" max="12" width="15.3984375" style="24" customWidth="1"/>
    <col min="13" max="13" width="16.3984375" style="24" bestFit="1" customWidth="1"/>
    <col min="14" max="14" width="1.796875" style="16" customWidth="1"/>
    <col min="15" max="15" width="13.3984375" style="146" bestFit="1" customWidth="1"/>
    <col min="16" max="16" width="1.796875" style="16" customWidth="1"/>
    <col min="17" max="17" width="15.3984375" style="146" customWidth="1"/>
    <col min="18" max="18" width="15.3984375" style="146" hidden="1" customWidth="1"/>
    <col min="19" max="19" width="12" style="146" hidden="1" customWidth="1"/>
    <col min="20" max="20" width="22.3984375" style="146" bestFit="1"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6.3984375" style="559" bestFit="1" customWidth="1"/>
    <col min="36" max="36" width="14.19921875" style="559" customWidth="1"/>
    <col min="37" max="37" width="9.3984375" style="16"/>
    <col min="38" max="38" width="14.796875" style="16" bestFit="1" customWidth="1"/>
    <col min="39" max="39" width="38.3984375" style="16" bestFit="1" customWidth="1"/>
    <col min="40" max="16384" width="9.398437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1087</v>
      </c>
      <c r="F3" s="29"/>
      <c r="G3" s="18"/>
      <c r="H3" s="168"/>
      <c r="I3" s="168"/>
      <c r="J3" s="169"/>
      <c r="K3" s="169"/>
      <c r="L3" s="169"/>
      <c r="M3" s="169"/>
      <c r="N3" s="169"/>
    </row>
    <row r="4" spans="1:39">
      <c r="D4" s="148"/>
      <c r="G4" s="164"/>
      <c r="H4" s="168"/>
      <c r="I4" s="168"/>
      <c r="J4" s="169"/>
      <c r="K4" s="169"/>
      <c r="L4" s="169"/>
      <c r="M4" s="169"/>
      <c r="N4" s="169"/>
    </row>
    <row r="5" spans="1:39" ht="13"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3" thickBot="1">
      <c r="B12" s="469"/>
      <c r="C12" s="670"/>
      <c r="D12" s="470" t="s">
        <v>103</v>
      </c>
      <c r="E12" s="471" t="s">
        <v>101</v>
      </c>
      <c r="F12" s="29"/>
      <c r="G12" s="166"/>
      <c r="H12" s="150"/>
      <c r="I12" s="150"/>
      <c r="J12" s="76"/>
    </row>
    <row r="13" spans="1:39" ht="13" thickBot="1">
      <c r="A13" s="152"/>
      <c r="B13" s="152"/>
      <c r="C13" s="67"/>
      <c r="D13" s="54"/>
      <c r="E13" s="34"/>
      <c r="G13" s="167"/>
      <c r="H13" s="49"/>
      <c r="I13" s="49"/>
      <c r="J13" s="50"/>
      <c r="K13" s="50"/>
      <c r="L13" s="50"/>
      <c r="M13" s="745"/>
      <c r="N13" s="146"/>
      <c r="P13" s="146"/>
      <c r="W13" s="50"/>
      <c r="X13" s="33"/>
      <c r="Y13" s="33"/>
      <c r="Z13" s="33"/>
      <c r="AA13" s="33"/>
    </row>
    <row r="14" spans="1:39" ht="13" thickBot="1">
      <c r="D14" s="526"/>
      <c r="E14" s="582" t="s">
        <v>1086</v>
      </c>
      <c r="F14" s="583" t="s">
        <v>256</v>
      </c>
      <c r="G14" s="96"/>
      <c r="H14" s="96"/>
      <c r="I14" s="96"/>
      <c r="J14" s="583" t="s">
        <v>288</v>
      </c>
      <c r="K14" s="581"/>
      <c r="L14" s="583" t="s">
        <v>288</v>
      </c>
      <c r="M14" s="583" t="s">
        <v>288</v>
      </c>
      <c r="N14" s="93"/>
      <c r="O14" s="96"/>
      <c r="P14" s="93"/>
      <c r="Q14" s="13"/>
      <c r="R14" s="13"/>
      <c r="S14" s="13"/>
      <c r="T14" s="96"/>
      <c r="U14" s="101"/>
      <c r="V14" s="96"/>
      <c r="W14" s="93"/>
      <c r="X14" s="96"/>
      <c r="Y14" s="96"/>
      <c r="Z14" s="304"/>
      <c r="AA14" s="304"/>
      <c r="AB14" s="304"/>
      <c r="AE14" s="560" t="s">
        <v>266</v>
      </c>
      <c r="AI14" s="561" t="s">
        <v>267</v>
      </c>
    </row>
    <row r="15" spans="1:39" ht="13" thickBot="1">
      <c r="A15" s="22" t="s">
        <v>95</v>
      </c>
      <c r="B15" s="22" t="s">
        <v>100</v>
      </c>
      <c r="C15" s="36" t="s">
        <v>522</v>
      </c>
      <c r="D15" s="36" t="s">
        <v>67</v>
      </c>
      <c r="E15" s="450" t="s">
        <v>230</v>
      </c>
      <c r="F15" s="528" t="s">
        <v>229</v>
      </c>
      <c r="G15" s="176" t="s">
        <v>288</v>
      </c>
      <c r="H15" s="545" t="s">
        <v>289</v>
      </c>
      <c r="I15" s="758" t="s">
        <v>288</v>
      </c>
      <c r="J15" s="313" t="s">
        <v>105</v>
      </c>
      <c r="K15" s="93"/>
      <c r="L15" s="94" t="s">
        <v>104</v>
      </c>
      <c r="M15" s="95" t="s">
        <v>106</v>
      </c>
      <c r="N15" s="102"/>
      <c r="O15" s="427" t="s">
        <v>839</v>
      </c>
      <c r="P15" s="102"/>
      <c r="Q15" s="313" t="s">
        <v>267</v>
      </c>
      <c r="R15" s="313" t="s">
        <v>946</v>
      </c>
      <c r="S15" s="313" t="s">
        <v>947</v>
      </c>
      <c r="T15" s="156" t="s">
        <v>1060</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1027</v>
      </c>
      <c r="E16" s="679"/>
      <c r="F16" s="529">
        <f>VLOOKUP(D16,'Mar14 Revenue'!D:V,19,FALSE)</f>
        <v>0</v>
      </c>
      <c r="G16" s="680"/>
      <c r="H16" s="680"/>
      <c r="I16" s="755"/>
      <c r="J16" s="682">
        <f t="shared" ref="J16:J86" si="0">SUM(E16:I16)</f>
        <v>0</v>
      </c>
      <c r="K16" s="683"/>
      <c r="L16" s="684"/>
      <c r="M16" s="753"/>
      <c r="N16" s="683">
        <v>0</v>
      </c>
      <c r="O16" s="686"/>
      <c r="P16" s="683">
        <v>0</v>
      </c>
      <c r="Q16" s="687">
        <f t="shared" ref="Q16:Q149" si="1">L16+M16</f>
        <v>0</v>
      </c>
      <c r="R16" s="687"/>
      <c r="S16" s="687"/>
      <c r="T16" s="688">
        <v>0</v>
      </c>
      <c r="U16" s="689"/>
      <c r="V16" s="690">
        <f t="shared" ref="V16:V79" si="2">IF(T16="","",T16-Q16)</f>
        <v>0</v>
      </c>
      <c r="W16" s="691"/>
      <c r="X16" s="474">
        <f t="shared" ref="X16:X87" si="3">IF(B16="D",Q16,0)</f>
        <v>0</v>
      </c>
      <c r="Y16" s="474">
        <f t="shared" ref="Y16:Y87" si="4">IF(B16="M",Q16,0)</f>
        <v>0</v>
      </c>
      <c r="Z16" s="475">
        <f t="shared" ref="Z16:Z87" si="5">IF(B16="V",Q16,0)</f>
        <v>0</v>
      </c>
      <c r="AA16" s="475">
        <v>0</v>
      </c>
      <c r="AB16" s="476">
        <v>0</v>
      </c>
      <c r="AC16" s="38">
        <f t="shared" ref="AC16:AC87" si="6">(L16+M16)-(X16+Y16+Z16+AA16+AB16)</f>
        <v>0</v>
      </c>
      <c r="AD16" s="692">
        <f t="shared" ref="AD16:AD86" si="7">IF(B16="D",J16,0)</f>
        <v>0</v>
      </c>
      <c r="AE16" s="692">
        <f t="shared" ref="AE16:AE86" si="8">IF(B16="M",J16,0)</f>
        <v>0</v>
      </c>
      <c r="AF16" s="692">
        <f t="shared" ref="AF16:AF86" si="9">IF(B16="V",J16,0)</f>
        <v>0</v>
      </c>
      <c r="AG16" s="38"/>
      <c r="AH16" s="692">
        <f t="shared" ref="AH16:AH87" si="10">IF(B16="D",Q16,0)</f>
        <v>0</v>
      </c>
      <c r="AI16" s="692">
        <f t="shared" ref="AI16:AI87" si="11">IF(B16="M",Q16,0)</f>
        <v>0</v>
      </c>
      <c r="AJ16" s="692">
        <f t="shared" ref="AJ16:AJ87" si="12">IF(B16="V",Q16,0)</f>
        <v>0</v>
      </c>
      <c r="AM16" s="373" t="s">
        <v>382</v>
      </c>
    </row>
    <row r="17" spans="1:39">
      <c r="A17" s="20" t="s">
        <v>109</v>
      </c>
      <c r="B17" s="20" t="s">
        <v>110</v>
      </c>
      <c r="C17" s="671" t="s">
        <v>523</v>
      </c>
      <c r="D17" s="123" t="s">
        <v>317</v>
      </c>
      <c r="E17" s="679"/>
      <c r="F17" s="529">
        <f>VLOOKUP(D17,'Mar14 Revenue'!D:V,19,FALSE)</f>
        <v>1633.3500000000004</v>
      </c>
      <c r="G17" s="680"/>
      <c r="H17" s="680"/>
      <c r="I17" s="755"/>
      <c r="J17" s="682">
        <f t="shared" si="0"/>
        <v>1633.3500000000004</v>
      </c>
      <c r="K17" s="683"/>
      <c r="L17" s="684"/>
      <c r="M17" s="753">
        <v>10000</v>
      </c>
      <c r="N17" s="683">
        <v>0</v>
      </c>
      <c r="O17" s="686"/>
      <c r="P17" s="683">
        <v>0</v>
      </c>
      <c r="Q17" s="687">
        <f t="shared" si="1"/>
        <v>10000</v>
      </c>
      <c r="R17" s="687"/>
      <c r="S17" s="687"/>
      <c r="T17" s="688">
        <f>738.48+8061.79</f>
        <v>8800.27</v>
      </c>
      <c r="U17" s="693"/>
      <c r="V17" s="690">
        <f t="shared" si="2"/>
        <v>-1199.7299999999996</v>
      </c>
      <c r="W17" s="683"/>
      <c r="X17" s="474">
        <f t="shared" si="3"/>
        <v>10000</v>
      </c>
      <c r="Y17" s="474">
        <f t="shared" si="4"/>
        <v>0</v>
      </c>
      <c r="Z17" s="475">
        <f t="shared" si="5"/>
        <v>0</v>
      </c>
      <c r="AA17" s="475">
        <v>0</v>
      </c>
      <c r="AB17" s="476">
        <v>0</v>
      </c>
      <c r="AC17" s="38">
        <f t="shared" si="6"/>
        <v>0</v>
      </c>
      <c r="AD17" s="692">
        <f t="shared" si="7"/>
        <v>1633.3500000000004</v>
      </c>
      <c r="AE17" s="692">
        <f t="shared" si="8"/>
        <v>0</v>
      </c>
      <c r="AF17" s="692">
        <f t="shared" si="9"/>
        <v>0</v>
      </c>
      <c r="AG17" s="38"/>
      <c r="AH17" s="692">
        <f t="shared" si="10"/>
        <v>10000</v>
      </c>
      <c r="AI17" s="692">
        <f t="shared" si="11"/>
        <v>0</v>
      </c>
      <c r="AJ17" s="692">
        <f t="shared" si="12"/>
        <v>0</v>
      </c>
      <c r="AL17" s="38">
        <f>SUM(AD17:AJ17)</f>
        <v>11633.35</v>
      </c>
      <c r="AM17" s="123" t="s">
        <v>317</v>
      </c>
    </row>
    <row r="18" spans="1:39">
      <c r="A18" s="20" t="s">
        <v>109</v>
      </c>
      <c r="B18" s="20" t="s">
        <v>109</v>
      </c>
      <c r="C18" s="671" t="s">
        <v>523</v>
      </c>
      <c r="D18" s="68" t="s">
        <v>393</v>
      </c>
      <c r="E18" s="679"/>
      <c r="F18" s="529">
        <f>VLOOKUP(D18,'Mar14 Revenue'!D:V,19,FALSE)</f>
        <v>-11104.14</v>
      </c>
      <c r="G18" s="680"/>
      <c r="H18" s="680"/>
      <c r="I18" s="755"/>
      <c r="J18" s="682">
        <f t="shared" si="0"/>
        <v>-11104.14</v>
      </c>
      <c r="K18" s="683"/>
      <c r="L18" s="684"/>
      <c r="M18" s="753">
        <v>60000</v>
      </c>
      <c r="N18" s="683">
        <v>0</v>
      </c>
      <c r="O18" s="686"/>
      <c r="P18" s="683">
        <v>0</v>
      </c>
      <c r="Q18" s="687">
        <f t="shared" si="1"/>
        <v>60000</v>
      </c>
      <c r="R18" s="687"/>
      <c r="S18" s="687"/>
      <c r="T18" s="688">
        <v>58386.76</v>
      </c>
      <c r="U18" s="693"/>
      <c r="V18" s="690">
        <f t="shared" si="2"/>
        <v>-1613.239999999998</v>
      </c>
      <c r="W18" s="683"/>
      <c r="X18" s="474">
        <f t="shared" si="3"/>
        <v>0</v>
      </c>
      <c r="Y18" s="474">
        <f t="shared" si="4"/>
        <v>60000</v>
      </c>
      <c r="Z18" s="475">
        <f t="shared" si="5"/>
        <v>0</v>
      </c>
      <c r="AA18" s="475">
        <v>0</v>
      </c>
      <c r="AB18" s="476">
        <v>0</v>
      </c>
      <c r="AC18" s="38">
        <f t="shared" si="6"/>
        <v>0</v>
      </c>
      <c r="AD18" s="692">
        <f t="shared" si="7"/>
        <v>0</v>
      </c>
      <c r="AE18" s="692">
        <f t="shared" si="8"/>
        <v>-11104.14</v>
      </c>
      <c r="AF18" s="692">
        <f t="shared" si="9"/>
        <v>0</v>
      </c>
      <c r="AG18" s="38"/>
      <c r="AH18" s="692">
        <f t="shared" si="10"/>
        <v>0</v>
      </c>
      <c r="AI18" s="692">
        <f t="shared" si="11"/>
        <v>60000</v>
      </c>
      <c r="AJ18" s="692">
        <f t="shared" si="12"/>
        <v>0</v>
      </c>
      <c r="AL18" s="38">
        <f t="shared" ref="AL18:AL88" si="13">SUM(AD18:AJ18)</f>
        <v>48895.86</v>
      </c>
      <c r="AM18" s="68" t="s">
        <v>393</v>
      </c>
    </row>
    <row r="19" spans="1:39">
      <c r="A19" s="20" t="s">
        <v>109</v>
      </c>
      <c r="B19" s="20" t="s">
        <v>109</v>
      </c>
      <c r="C19" s="671" t="s">
        <v>523</v>
      </c>
      <c r="D19" s="68" t="s">
        <v>129</v>
      </c>
      <c r="E19" s="679"/>
      <c r="F19" s="529">
        <f>VLOOKUP(D19,'Mar14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VLOOKUP(D20,'Mar14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v>4973.29</v>
      </c>
      <c r="F21" s="529">
        <f>VLOOKUP(D21,'Mar14 Revenue'!D:V,19,FALSE)</f>
        <v>0</v>
      </c>
      <c r="G21" s="680"/>
      <c r="H21" s="680"/>
      <c r="I21" s="755"/>
      <c r="J21" s="682">
        <f t="shared" si="0"/>
        <v>4973.29</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4973.29</v>
      </c>
      <c r="AE21" s="692">
        <f t="shared" si="8"/>
        <v>0</v>
      </c>
      <c r="AF21" s="692">
        <f t="shared" si="9"/>
        <v>0</v>
      </c>
      <c r="AG21" s="38"/>
      <c r="AH21" s="692">
        <f t="shared" si="10"/>
        <v>0</v>
      </c>
      <c r="AI21" s="692">
        <f t="shared" si="11"/>
        <v>0</v>
      </c>
      <c r="AJ21" s="692">
        <f t="shared" si="12"/>
        <v>0</v>
      </c>
      <c r="AL21" s="38">
        <f t="shared" si="13"/>
        <v>4973.29</v>
      </c>
      <c r="AM21" s="123" t="s">
        <v>380</v>
      </c>
    </row>
    <row r="22" spans="1:39">
      <c r="A22" s="20"/>
      <c r="B22" s="20" t="s">
        <v>110</v>
      </c>
      <c r="C22" s="667" t="s">
        <v>524</v>
      </c>
      <c r="D22" s="123" t="s">
        <v>132</v>
      </c>
      <c r="E22" s="679">
        <v>5395.87</v>
      </c>
      <c r="F22" s="529">
        <f>VLOOKUP(D22,'Mar14 Revenue'!D:V,19,FALSE)</f>
        <v>-984.56000000000131</v>
      </c>
      <c r="G22" s="680"/>
      <c r="H22" s="680"/>
      <c r="I22" s="770">
        <v>30841.95</v>
      </c>
      <c r="J22" s="682">
        <f t="shared" si="0"/>
        <v>35253.26</v>
      </c>
      <c r="K22" s="683"/>
      <c r="L22" s="684"/>
      <c r="M22" s="753"/>
      <c r="N22" s="683">
        <v>0</v>
      </c>
      <c r="O22" s="686"/>
      <c r="P22" s="683">
        <v>0</v>
      </c>
      <c r="Q22" s="687">
        <f t="shared" si="1"/>
        <v>0</v>
      </c>
      <c r="R22" s="687"/>
      <c r="S22" s="687"/>
      <c r="T22" s="688">
        <v>0</v>
      </c>
      <c r="U22" s="693"/>
      <c r="V22" s="690">
        <f t="shared" si="2"/>
        <v>0</v>
      </c>
      <c r="W22" s="683"/>
      <c r="X22" s="474">
        <f t="shared" si="3"/>
        <v>0</v>
      </c>
      <c r="Y22" s="474">
        <f t="shared" si="4"/>
        <v>0</v>
      </c>
      <c r="Z22" s="475">
        <f t="shared" si="5"/>
        <v>0</v>
      </c>
      <c r="AA22" s="475">
        <v>0</v>
      </c>
      <c r="AB22" s="476">
        <v>0</v>
      </c>
      <c r="AC22" s="38">
        <f t="shared" si="6"/>
        <v>0</v>
      </c>
      <c r="AD22" s="692">
        <f t="shared" si="7"/>
        <v>35253.26</v>
      </c>
      <c r="AE22" s="692">
        <f t="shared" si="8"/>
        <v>0</v>
      </c>
      <c r="AF22" s="692">
        <f t="shared" si="9"/>
        <v>0</v>
      </c>
      <c r="AG22" s="38"/>
      <c r="AH22" s="692">
        <f t="shared" si="10"/>
        <v>0</v>
      </c>
      <c r="AI22" s="692">
        <f t="shared" si="11"/>
        <v>0</v>
      </c>
      <c r="AJ22" s="692">
        <f t="shared" si="12"/>
        <v>0</v>
      </c>
      <c r="AL22" s="38">
        <f t="shared" si="13"/>
        <v>35253.26</v>
      </c>
      <c r="AM22" s="123" t="s">
        <v>132</v>
      </c>
    </row>
    <row r="23" spans="1:39">
      <c r="A23" s="20"/>
      <c r="B23" s="20" t="s">
        <v>110</v>
      </c>
      <c r="C23" s="667" t="s">
        <v>524</v>
      </c>
      <c r="D23" s="123" t="s">
        <v>133</v>
      </c>
      <c r="E23" s="679">
        <v>13042.75</v>
      </c>
      <c r="F23" s="529">
        <f>VLOOKUP(D23,'Mar14 Revenue'!D:V,19,FALSE)</f>
        <v>0</v>
      </c>
      <c r="G23" s="680"/>
      <c r="H23" s="680"/>
      <c r="I23" s="755"/>
      <c r="J23" s="682">
        <f t="shared" si="0"/>
        <v>13042.75</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13042.75</v>
      </c>
      <c r="AE23" s="692">
        <f t="shared" si="8"/>
        <v>0</v>
      </c>
      <c r="AF23" s="692">
        <f t="shared" si="9"/>
        <v>0</v>
      </c>
      <c r="AG23" s="38"/>
      <c r="AH23" s="692">
        <f t="shared" si="10"/>
        <v>0</v>
      </c>
      <c r="AI23" s="692">
        <f t="shared" si="11"/>
        <v>0</v>
      </c>
      <c r="AJ23" s="692">
        <f t="shared" si="12"/>
        <v>0</v>
      </c>
      <c r="AL23" s="38">
        <f t="shared" si="13"/>
        <v>13042.75</v>
      </c>
      <c r="AM23" s="123" t="s">
        <v>133</v>
      </c>
    </row>
    <row r="24" spans="1:39">
      <c r="A24" s="20"/>
      <c r="B24" s="20" t="s">
        <v>110</v>
      </c>
      <c r="C24" s="667"/>
      <c r="D24" s="123" t="s">
        <v>1015</v>
      </c>
      <c r="E24" s="679"/>
      <c r="F24" s="529">
        <f>VLOOKUP(D24,'Mar14 Revenue'!D:V,19,FALSE)</f>
        <v>3304.01</v>
      </c>
      <c r="G24" s="680"/>
      <c r="H24" s="680"/>
      <c r="I24" s="755"/>
      <c r="J24" s="682">
        <f t="shared" si="0"/>
        <v>3304.01</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3304.01</v>
      </c>
      <c r="AE24" s="692">
        <f t="shared" si="8"/>
        <v>0</v>
      </c>
      <c r="AF24" s="692">
        <f t="shared" si="9"/>
        <v>0</v>
      </c>
      <c r="AG24" s="38"/>
      <c r="AH24" s="692">
        <f t="shared" si="10"/>
        <v>0</v>
      </c>
      <c r="AI24" s="692">
        <f t="shared" si="11"/>
        <v>0</v>
      </c>
      <c r="AJ24" s="692">
        <f t="shared" si="12"/>
        <v>0</v>
      </c>
      <c r="AL24" s="38">
        <f t="shared" si="13"/>
        <v>3304.01</v>
      </c>
      <c r="AM24" s="123" t="s">
        <v>1015</v>
      </c>
    </row>
    <row r="25" spans="1:39" s="232" customFormat="1">
      <c r="A25" s="283" t="s">
        <v>211</v>
      </c>
      <c r="B25" s="283" t="s">
        <v>109</v>
      </c>
      <c r="C25" s="667" t="s">
        <v>525</v>
      </c>
      <c r="D25" s="123" t="s">
        <v>419</v>
      </c>
      <c r="E25" s="679"/>
      <c r="F25" s="529">
        <f>VLOOKUP(D25,'Mar14 Revenue'!D:V,19,FALSE)</f>
        <v>-25000</v>
      </c>
      <c r="G25" s="680"/>
      <c r="H25" s="680"/>
      <c r="I25" s="755"/>
      <c r="J25" s="682">
        <f t="shared" si="0"/>
        <v>-25000</v>
      </c>
      <c r="K25" s="683"/>
      <c r="L25" s="684"/>
      <c r="M25" s="753">
        <v>30000</v>
      </c>
      <c r="N25" s="683">
        <v>0</v>
      </c>
      <c r="O25" s="686"/>
      <c r="P25" s="683">
        <v>0</v>
      </c>
      <c r="Q25" s="687">
        <f t="shared" si="1"/>
        <v>30000</v>
      </c>
      <c r="R25" s="687"/>
      <c r="S25" s="687"/>
      <c r="T25" s="688">
        <v>0</v>
      </c>
      <c r="U25" s="693"/>
      <c r="V25" s="690">
        <f t="shared" si="2"/>
        <v>-30000</v>
      </c>
      <c r="W25" s="683"/>
      <c r="X25" s="474">
        <f t="shared" si="3"/>
        <v>0</v>
      </c>
      <c r="Y25" s="474">
        <f t="shared" si="4"/>
        <v>30000</v>
      </c>
      <c r="Z25" s="475">
        <f t="shared" si="5"/>
        <v>0</v>
      </c>
      <c r="AA25" s="475">
        <v>0</v>
      </c>
      <c r="AB25" s="476">
        <v>0</v>
      </c>
      <c r="AC25" s="38">
        <f t="shared" si="6"/>
        <v>0</v>
      </c>
      <c r="AD25" s="692">
        <f t="shared" si="7"/>
        <v>0</v>
      </c>
      <c r="AE25" s="692">
        <f t="shared" si="8"/>
        <v>-25000</v>
      </c>
      <c r="AF25" s="692">
        <f t="shared" si="9"/>
        <v>0</v>
      </c>
      <c r="AG25" s="38"/>
      <c r="AH25" s="692">
        <f t="shared" si="10"/>
        <v>0</v>
      </c>
      <c r="AI25" s="692">
        <f t="shared" si="11"/>
        <v>30000</v>
      </c>
      <c r="AJ25" s="692">
        <f t="shared" si="12"/>
        <v>0</v>
      </c>
      <c r="AL25" s="38">
        <f t="shared" si="13"/>
        <v>5000</v>
      </c>
      <c r="AM25" s="123" t="s">
        <v>419</v>
      </c>
    </row>
    <row r="26" spans="1:39">
      <c r="A26" s="20"/>
      <c r="B26" s="20" t="s">
        <v>110</v>
      </c>
      <c r="C26" s="667"/>
      <c r="D26" s="68" t="s">
        <v>922</v>
      </c>
      <c r="E26" s="679"/>
      <c r="F26" s="529">
        <f>VLOOKUP(D26,'Mar14 Revenue'!D:V,19,FALSE)</f>
        <v>0</v>
      </c>
      <c r="G26" s="680"/>
      <c r="H26" s="680"/>
      <c r="I26" s="804">
        <v>406.04</v>
      </c>
      <c r="J26" s="682">
        <f t="shared" si="0"/>
        <v>406.04</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406.04</v>
      </c>
      <c r="AE26" s="692">
        <f t="shared" si="8"/>
        <v>0</v>
      </c>
      <c r="AF26" s="692">
        <f t="shared" si="9"/>
        <v>0</v>
      </c>
      <c r="AG26" s="38"/>
      <c r="AH26" s="692">
        <f t="shared" si="10"/>
        <v>0</v>
      </c>
      <c r="AI26" s="692">
        <f t="shared" si="11"/>
        <v>0</v>
      </c>
      <c r="AJ26" s="692">
        <f t="shared" si="12"/>
        <v>0</v>
      </c>
      <c r="AL26" s="38">
        <f t="shared" si="13"/>
        <v>406.04</v>
      </c>
      <c r="AM26" s="68" t="s">
        <v>922</v>
      </c>
    </row>
    <row r="27" spans="1:39">
      <c r="A27" s="20"/>
      <c r="B27" s="20" t="s">
        <v>110</v>
      </c>
      <c r="C27" s="667"/>
      <c r="D27" s="68" t="s">
        <v>589</v>
      </c>
      <c r="E27" s="679"/>
      <c r="F27" s="529">
        <f>VLOOKUP(D27,'Mar14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c r="AM27" s="68" t="s">
        <v>589</v>
      </c>
    </row>
    <row r="28" spans="1:39">
      <c r="A28" s="20"/>
      <c r="B28" s="20" t="s">
        <v>110</v>
      </c>
      <c r="C28" s="667"/>
      <c r="D28" s="68" t="s">
        <v>829</v>
      </c>
      <c r="E28" s="679"/>
      <c r="F28" s="529">
        <f>VLOOKUP(D28,'Mar14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f>1313.6+1239.17+1355.35</f>
        <v>3908.12</v>
      </c>
      <c r="F29" s="529">
        <f>VLOOKUP(D29,'Mar14 Revenue'!D:V,19,FALSE)</f>
        <v>942.31</v>
      </c>
      <c r="G29" s="680"/>
      <c r="H29" s="680"/>
      <c r="I29" s="755"/>
      <c r="J29" s="682">
        <f t="shared" si="0"/>
        <v>4850.43</v>
      </c>
      <c r="K29" s="683"/>
      <c r="L29" s="684"/>
      <c r="M29" s="753"/>
      <c r="N29" s="683">
        <v>0</v>
      </c>
      <c r="O29" s="686"/>
      <c r="P29" s="683">
        <v>0</v>
      </c>
      <c r="Q29" s="687">
        <f t="shared" si="1"/>
        <v>0</v>
      </c>
      <c r="R29" s="687"/>
      <c r="S29" s="687"/>
      <c r="T29" s="688">
        <v>872.01</v>
      </c>
      <c r="U29" s="693"/>
      <c r="V29" s="690">
        <f t="shared" si="2"/>
        <v>872.01</v>
      </c>
      <c r="W29" s="691"/>
      <c r="X29" s="474">
        <f t="shared" si="3"/>
        <v>0</v>
      </c>
      <c r="Y29" s="474">
        <f t="shared" si="4"/>
        <v>0</v>
      </c>
      <c r="Z29" s="475">
        <f t="shared" si="5"/>
        <v>0</v>
      </c>
      <c r="AA29" s="475">
        <v>0</v>
      </c>
      <c r="AB29" s="476">
        <v>0</v>
      </c>
      <c r="AC29" s="38">
        <f t="shared" si="6"/>
        <v>0</v>
      </c>
      <c r="AD29" s="692">
        <f t="shared" si="7"/>
        <v>0</v>
      </c>
      <c r="AE29" s="692">
        <f t="shared" si="8"/>
        <v>4850.43</v>
      </c>
      <c r="AF29" s="692">
        <f t="shared" si="9"/>
        <v>0</v>
      </c>
      <c r="AG29" s="38"/>
      <c r="AH29" s="692">
        <f t="shared" si="10"/>
        <v>0</v>
      </c>
      <c r="AI29" s="692">
        <f t="shared" si="11"/>
        <v>0</v>
      </c>
      <c r="AJ29" s="692">
        <f t="shared" si="12"/>
        <v>0</v>
      </c>
      <c r="AL29" s="38">
        <f t="shared" si="13"/>
        <v>4850.43</v>
      </c>
      <c r="AM29" s="68" t="s">
        <v>385</v>
      </c>
    </row>
    <row r="30" spans="1:39" s="232" customFormat="1">
      <c r="A30" s="283"/>
      <c r="B30" s="283" t="s">
        <v>110</v>
      </c>
      <c r="C30" s="667" t="s">
        <v>527</v>
      </c>
      <c r="D30" s="123" t="s">
        <v>401</v>
      </c>
      <c r="E30" s="679"/>
      <c r="F30" s="529">
        <f>VLOOKUP(D30,'Mar14 Revenue'!D:V,19,FALSE)</f>
        <v>57438</v>
      </c>
      <c r="G30" s="680"/>
      <c r="H30" s="680"/>
      <c r="I30" s="755"/>
      <c r="J30" s="682">
        <f t="shared" si="0"/>
        <v>57438</v>
      </c>
      <c r="K30" s="683"/>
      <c r="L30" s="684"/>
      <c r="M30" s="753">
        <v>1025000</v>
      </c>
      <c r="N30" s="683">
        <v>0</v>
      </c>
      <c r="O30" s="686"/>
      <c r="P30" s="683">
        <v>0</v>
      </c>
      <c r="Q30" s="687">
        <f t="shared" si="1"/>
        <v>1025000</v>
      </c>
      <c r="R30" s="687"/>
      <c r="S30" s="687"/>
      <c r="T30" s="688">
        <v>913081.49</v>
      </c>
      <c r="U30" s="693"/>
      <c r="V30" s="690">
        <f t="shared" si="2"/>
        <v>-111918.51000000001</v>
      </c>
      <c r="W30" s="683"/>
      <c r="X30" s="474">
        <f t="shared" si="3"/>
        <v>1025000</v>
      </c>
      <c r="Y30" s="474">
        <f t="shared" si="4"/>
        <v>0</v>
      </c>
      <c r="Z30" s="475">
        <f t="shared" si="5"/>
        <v>0</v>
      </c>
      <c r="AA30" s="475">
        <v>0</v>
      </c>
      <c r="AB30" s="476">
        <v>0</v>
      </c>
      <c r="AC30" s="38">
        <f t="shared" si="6"/>
        <v>0</v>
      </c>
      <c r="AD30" s="692">
        <f t="shared" si="7"/>
        <v>57438</v>
      </c>
      <c r="AE30" s="692">
        <f t="shared" si="8"/>
        <v>0</v>
      </c>
      <c r="AF30" s="692">
        <f t="shared" si="9"/>
        <v>0</v>
      </c>
      <c r="AG30" s="38"/>
      <c r="AH30" s="692">
        <f t="shared" si="10"/>
        <v>1025000</v>
      </c>
      <c r="AI30" s="692">
        <f t="shared" si="11"/>
        <v>0</v>
      </c>
      <c r="AJ30" s="692">
        <f t="shared" si="12"/>
        <v>0</v>
      </c>
      <c r="AL30" s="38">
        <f t="shared" si="13"/>
        <v>1082438</v>
      </c>
      <c r="AM30" s="123" t="s">
        <v>401</v>
      </c>
    </row>
    <row r="31" spans="1:39" s="232" customFormat="1">
      <c r="A31" s="283"/>
      <c r="B31" s="283" t="s">
        <v>110</v>
      </c>
      <c r="C31" s="667" t="s">
        <v>528</v>
      </c>
      <c r="D31" s="123" t="s">
        <v>403</v>
      </c>
      <c r="E31" s="679"/>
      <c r="F31" s="529">
        <f>VLOOKUP(D31,'Mar14 Revenue'!D:V,19,FALSE)</f>
        <v>722.32999999998719</v>
      </c>
      <c r="G31" s="680"/>
      <c r="H31" s="680"/>
      <c r="I31" s="755"/>
      <c r="J31" s="682">
        <f t="shared" si="0"/>
        <v>722.32999999998719</v>
      </c>
      <c r="K31" s="683"/>
      <c r="L31" s="684"/>
      <c r="M31" s="753">
        <v>180000</v>
      </c>
      <c r="N31" s="683">
        <v>0</v>
      </c>
      <c r="O31" s="686"/>
      <c r="P31" s="683">
        <v>0</v>
      </c>
      <c r="Q31" s="687">
        <f t="shared" si="1"/>
        <v>180000</v>
      </c>
      <c r="R31" s="687"/>
      <c r="S31" s="687"/>
      <c r="T31" s="688">
        <v>327597.25</v>
      </c>
      <c r="U31" s="693"/>
      <c r="V31" s="690">
        <f t="shared" si="2"/>
        <v>147597.25</v>
      </c>
      <c r="W31" s="683"/>
      <c r="X31" s="474">
        <f t="shared" si="3"/>
        <v>180000</v>
      </c>
      <c r="Y31" s="474">
        <f t="shared" si="4"/>
        <v>0</v>
      </c>
      <c r="Z31" s="475">
        <f t="shared" si="5"/>
        <v>0</v>
      </c>
      <c r="AA31" s="475">
        <v>0</v>
      </c>
      <c r="AB31" s="476">
        <v>0</v>
      </c>
      <c r="AC31" s="38">
        <f t="shared" si="6"/>
        <v>0</v>
      </c>
      <c r="AD31" s="692">
        <f t="shared" si="7"/>
        <v>722.32999999998719</v>
      </c>
      <c r="AE31" s="692">
        <f t="shared" si="8"/>
        <v>0</v>
      </c>
      <c r="AF31" s="692">
        <f t="shared" si="9"/>
        <v>0</v>
      </c>
      <c r="AG31" s="38"/>
      <c r="AH31" s="692">
        <f t="shared" si="10"/>
        <v>180000</v>
      </c>
      <c r="AI31" s="692">
        <f t="shared" si="11"/>
        <v>0</v>
      </c>
      <c r="AJ31" s="692">
        <f t="shared" si="12"/>
        <v>0</v>
      </c>
      <c r="AL31" s="38">
        <f t="shared" si="13"/>
        <v>180722.33</v>
      </c>
      <c r="AM31" s="123" t="s">
        <v>403</v>
      </c>
    </row>
    <row r="32" spans="1:39" s="232" customFormat="1">
      <c r="A32" s="283"/>
      <c r="B32" s="283" t="s">
        <v>110</v>
      </c>
      <c r="C32" s="667" t="s">
        <v>528</v>
      </c>
      <c r="D32" s="123" t="s">
        <v>404</v>
      </c>
      <c r="E32" s="679"/>
      <c r="F32" s="529">
        <f>VLOOKUP(D32,'Mar14 Revenue'!D:V,19,FALSE)</f>
        <v>2452.2799999999988</v>
      </c>
      <c r="G32" s="680"/>
      <c r="H32" s="680"/>
      <c r="I32" s="755"/>
      <c r="J32" s="682">
        <f t="shared" si="0"/>
        <v>2452.2799999999988</v>
      </c>
      <c r="K32" s="683"/>
      <c r="L32" s="684"/>
      <c r="M32" s="753">
        <v>165000</v>
      </c>
      <c r="N32" s="683">
        <v>0</v>
      </c>
      <c r="O32" s="686"/>
      <c r="P32" s="683">
        <v>0</v>
      </c>
      <c r="Q32" s="687">
        <f t="shared" si="1"/>
        <v>165000</v>
      </c>
      <c r="R32" s="687"/>
      <c r="S32" s="687"/>
      <c r="T32" s="688">
        <v>163608.23000000001</v>
      </c>
      <c r="U32" s="693"/>
      <c r="V32" s="690">
        <f t="shared" si="2"/>
        <v>-1391.7699999999895</v>
      </c>
      <c r="W32" s="683"/>
      <c r="X32" s="474">
        <f t="shared" si="3"/>
        <v>165000</v>
      </c>
      <c r="Y32" s="474">
        <f t="shared" si="4"/>
        <v>0</v>
      </c>
      <c r="Z32" s="475">
        <f t="shared" si="5"/>
        <v>0</v>
      </c>
      <c r="AA32" s="475">
        <v>0</v>
      </c>
      <c r="AB32" s="476">
        <v>0</v>
      </c>
      <c r="AC32" s="38">
        <f t="shared" si="6"/>
        <v>0</v>
      </c>
      <c r="AD32" s="692">
        <f t="shared" si="7"/>
        <v>2452.2799999999988</v>
      </c>
      <c r="AE32" s="692">
        <f t="shared" si="8"/>
        <v>0</v>
      </c>
      <c r="AF32" s="692">
        <f t="shared" si="9"/>
        <v>0</v>
      </c>
      <c r="AG32" s="38"/>
      <c r="AH32" s="692">
        <f t="shared" si="10"/>
        <v>165000</v>
      </c>
      <c r="AI32" s="692">
        <f t="shared" si="11"/>
        <v>0</v>
      </c>
      <c r="AJ32" s="692">
        <f t="shared" si="12"/>
        <v>0</v>
      </c>
      <c r="AL32" s="38">
        <f t="shared" si="13"/>
        <v>167452.28</v>
      </c>
      <c r="AM32" s="123" t="s">
        <v>404</v>
      </c>
    </row>
    <row r="33" spans="1:39" s="232" customFormat="1">
      <c r="A33" s="283"/>
      <c r="B33" s="283" t="s">
        <v>110</v>
      </c>
      <c r="C33" s="667" t="s">
        <v>528</v>
      </c>
      <c r="D33" s="123" t="s">
        <v>405</v>
      </c>
      <c r="E33" s="679"/>
      <c r="F33" s="529">
        <f>VLOOKUP(D33,'Mar14 Revenue'!D:V,19,FALSE)</f>
        <v>-776.88000000000102</v>
      </c>
      <c r="G33" s="680"/>
      <c r="H33" s="680"/>
      <c r="I33" s="755"/>
      <c r="J33" s="682">
        <f t="shared" si="0"/>
        <v>-776.88000000000102</v>
      </c>
      <c r="K33" s="683"/>
      <c r="L33" s="684"/>
      <c r="M33" s="753">
        <v>30000</v>
      </c>
      <c r="N33" s="683">
        <v>0</v>
      </c>
      <c r="O33" s="686"/>
      <c r="P33" s="683">
        <v>0</v>
      </c>
      <c r="Q33" s="687">
        <f t="shared" si="1"/>
        <v>30000</v>
      </c>
      <c r="R33" s="687"/>
      <c r="S33" s="687"/>
      <c r="T33" s="688">
        <v>28247.08</v>
      </c>
      <c r="U33" s="693"/>
      <c r="V33" s="690">
        <f t="shared" si="2"/>
        <v>-1752.9199999999983</v>
      </c>
      <c r="W33" s="683"/>
      <c r="X33" s="474">
        <f t="shared" si="3"/>
        <v>30000</v>
      </c>
      <c r="Y33" s="474">
        <f t="shared" si="4"/>
        <v>0</v>
      </c>
      <c r="Z33" s="475">
        <f t="shared" si="5"/>
        <v>0</v>
      </c>
      <c r="AA33" s="475">
        <v>0</v>
      </c>
      <c r="AB33" s="476">
        <v>0</v>
      </c>
      <c r="AC33" s="38">
        <f t="shared" si="6"/>
        <v>0</v>
      </c>
      <c r="AD33" s="692">
        <f t="shared" si="7"/>
        <v>-776.88000000000102</v>
      </c>
      <c r="AE33" s="692">
        <f t="shared" si="8"/>
        <v>0</v>
      </c>
      <c r="AF33" s="692">
        <f t="shared" si="9"/>
        <v>0</v>
      </c>
      <c r="AG33" s="38"/>
      <c r="AH33" s="692">
        <f t="shared" si="10"/>
        <v>30000</v>
      </c>
      <c r="AI33" s="692">
        <f t="shared" si="11"/>
        <v>0</v>
      </c>
      <c r="AJ33" s="692">
        <f t="shared" si="12"/>
        <v>0</v>
      </c>
      <c r="AL33" s="38">
        <f t="shared" si="13"/>
        <v>29223.119999999999</v>
      </c>
      <c r="AM33" s="123" t="s">
        <v>405</v>
      </c>
    </row>
    <row r="34" spans="1:39" s="232" customFormat="1">
      <c r="A34" s="283"/>
      <c r="B34" s="283" t="s">
        <v>110</v>
      </c>
      <c r="C34" s="667" t="s">
        <v>528</v>
      </c>
      <c r="D34" s="123" t="s">
        <v>406</v>
      </c>
      <c r="E34" s="679"/>
      <c r="F34" s="529">
        <f>VLOOKUP(D34,'Mar14 Revenue'!D:V,19,FALSE)</f>
        <v>-628.21999999999935</v>
      </c>
      <c r="G34" s="680"/>
      <c r="H34" s="680"/>
      <c r="I34" s="755"/>
      <c r="J34" s="682">
        <f t="shared" si="0"/>
        <v>-628.21999999999935</v>
      </c>
      <c r="K34" s="683"/>
      <c r="L34" s="684"/>
      <c r="M34" s="753">
        <v>15000</v>
      </c>
      <c r="N34" s="683">
        <v>0</v>
      </c>
      <c r="O34" s="686"/>
      <c r="P34" s="683">
        <v>0</v>
      </c>
      <c r="Q34" s="687">
        <f t="shared" si="1"/>
        <v>15000</v>
      </c>
      <c r="R34" s="687"/>
      <c r="S34" s="687"/>
      <c r="T34" s="688">
        <v>13315.31</v>
      </c>
      <c r="U34" s="693"/>
      <c r="V34" s="690">
        <f t="shared" si="2"/>
        <v>-1684.6900000000005</v>
      </c>
      <c r="W34" s="683"/>
      <c r="X34" s="474">
        <f t="shared" si="3"/>
        <v>15000</v>
      </c>
      <c r="Y34" s="474">
        <f t="shared" si="4"/>
        <v>0</v>
      </c>
      <c r="Z34" s="475">
        <f t="shared" si="5"/>
        <v>0</v>
      </c>
      <c r="AA34" s="475">
        <v>0</v>
      </c>
      <c r="AB34" s="476">
        <v>0</v>
      </c>
      <c r="AC34" s="38">
        <f t="shared" si="6"/>
        <v>0</v>
      </c>
      <c r="AD34" s="692">
        <f t="shared" si="7"/>
        <v>-628.21999999999935</v>
      </c>
      <c r="AE34" s="692">
        <f t="shared" si="8"/>
        <v>0</v>
      </c>
      <c r="AF34" s="692">
        <f t="shared" si="9"/>
        <v>0</v>
      </c>
      <c r="AG34" s="38"/>
      <c r="AH34" s="692">
        <f t="shared" si="10"/>
        <v>15000</v>
      </c>
      <c r="AI34" s="692">
        <f t="shared" si="11"/>
        <v>0</v>
      </c>
      <c r="AJ34" s="692">
        <f t="shared" si="12"/>
        <v>0</v>
      </c>
      <c r="AL34" s="38">
        <f t="shared" si="13"/>
        <v>14371.78</v>
      </c>
      <c r="AM34" s="123" t="s">
        <v>406</v>
      </c>
    </row>
    <row r="35" spans="1:39" s="232" customFormat="1">
      <c r="A35" s="283"/>
      <c r="B35" s="283" t="s">
        <v>110</v>
      </c>
      <c r="C35" s="667" t="s">
        <v>528</v>
      </c>
      <c r="D35" s="123" t="s">
        <v>407</v>
      </c>
      <c r="E35" s="679"/>
      <c r="F35" s="529">
        <f>VLOOKUP(D35,'Mar14 Revenue'!D:V,19,FALSE)</f>
        <v>895.64000000000033</v>
      </c>
      <c r="G35" s="680"/>
      <c r="H35" s="680"/>
      <c r="I35" s="755"/>
      <c r="J35" s="682">
        <f t="shared" si="0"/>
        <v>895.64000000000033</v>
      </c>
      <c r="K35" s="683"/>
      <c r="L35" s="684"/>
      <c r="M35" s="753">
        <v>5000</v>
      </c>
      <c r="N35" s="683">
        <v>0</v>
      </c>
      <c r="O35" s="686"/>
      <c r="P35" s="683">
        <v>0</v>
      </c>
      <c r="Q35" s="687">
        <f t="shared" si="1"/>
        <v>5000</v>
      </c>
      <c r="R35" s="687"/>
      <c r="S35" s="687"/>
      <c r="T35" s="688">
        <v>5411.05</v>
      </c>
      <c r="U35" s="693"/>
      <c r="V35" s="690">
        <f t="shared" si="2"/>
        <v>411.05000000000018</v>
      </c>
      <c r="W35" s="683"/>
      <c r="X35" s="474">
        <f t="shared" si="3"/>
        <v>5000</v>
      </c>
      <c r="Y35" s="474">
        <f t="shared" si="4"/>
        <v>0</v>
      </c>
      <c r="Z35" s="475">
        <f t="shared" si="5"/>
        <v>0</v>
      </c>
      <c r="AA35" s="475">
        <v>0</v>
      </c>
      <c r="AB35" s="476">
        <v>0</v>
      </c>
      <c r="AC35" s="38">
        <f t="shared" si="6"/>
        <v>0</v>
      </c>
      <c r="AD35" s="692">
        <f t="shared" si="7"/>
        <v>895.64000000000033</v>
      </c>
      <c r="AE35" s="692">
        <f t="shared" si="8"/>
        <v>0</v>
      </c>
      <c r="AF35" s="692">
        <f t="shared" si="9"/>
        <v>0</v>
      </c>
      <c r="AG35" s="38"/>
      <c r="AH35" s="692">
        <f t="shared" si="10"/>
        <v>5000</v>
      </c>
      <c r="AI35" s="692">
        <f t="shared" si="11"/>
        <v>0</v>
      </c>
      <c r="AJ35" s="692">
        <f t="shared" si="12"/>
        <v>0</v>
      </c>
      <c r="AL35" s="38">
        <f t="shared" si="13"/>
        <v>5895.64</v>
      </c>
      <c r="AM35" s="123" t="s">
        <v>407</v>
      </c>
    </row>
    <row r="36" spans="1:39" s="232" customFormat="1">
      <c r="A36" s="283"/>
      <c r="B36" s="283" t="s">
        <v>110</v>
      </c>
      <c r="C36" s="667" t="s">
        <v>528</v>
      </c>
      <c r="D36" s="123" t="s">
        <v>880</v>
      </c>
      <c r="E36" s="679"/>
      <c r="F36" s="529">
        <f>VLOOKUP(D36,'Mar14 Revenue'!D:V,19,FALSE)</f>
        <v>2540.87</v>
      </c>
      <c r="G36" s="680"/>
      <c r="H36" s="680"/>
      <c r="I36" s="755"/>
      <c r="J36" s="682">
        <f t="shared" si="0"/>
        <v>2540.87</v>
      </c>
      <c r="K36" s="683"/>
      <c r="L36" s="684"/>
      <c r="M36" s="753">
        <v>5000</v>
      </c>
      <c r="N36" s="683">
        <v>0</v>
      </c>
      <c r="O36" s="686"/>
      <c r="P36" s="683">
        <v>0</v>
      </c>
      <c r="Q36" s="687">
        <f t="shared" si="1"/>
        <v>5000</v>
      </c>
      <c r="R36" s="687"/>
      <c r="S36" s="687"/>
      <c r="T36" s="688">
        <v>6476.77</v>
      </c>
      <c r="U36" s="693"/>
      <c r="V36" s="690">
        <f t="shared" si="2"/>
        <v>1476.7700000000004</v>
      </c>
      <c r="W36" s="683"/>
      <c r="X36" s="474">
        <f t="shared" si="3"/>
        <v>5000</v>
      </c>
      <c r="Y36" s="474">
        <f t="shared" si="4"/>
        <v>0</v>
      </c>
      <c r="Z36" s="475">
        <f t="shared" si="5"/>
        <v>0</v>
      </c>
      <c r="AA36" s="475">
        <v>0</v>
      </c>
      <c r="AB36" s="476">
        <v>0</v>
      </c>
      <c r="AC36" s="38">
        <f t="shared" si="6"/>
        <v>0</v>
      </c>
      <c r="AD36" s="692">
        <f t="shared" si="7"/>
        <v>2540.87</v>
      </c>
      <c r="AE36" s="692">
        <f t="shared" si="8"/>
        <v>0</v>
      </c>
      <c r="AF36" s="692">
        <f t="shared" si="9"/>
        <v>0</v>
      </c>
      <c r="AG36" s="38"/>
      <c r="AH36" s="692">
        <f t="shared" si="10"/>
        <v>5000</v>
      </c>
      <c r="AI36" s="692">
        <f t="shared" si="11"/>
        <v>0</v>
      </c>
      <c r="AJ36" s="692">
        <f t="shared" si="12"/>
        <v>0</v>
      </c>
      <c r="AL36" s="38">
        <f t="shared" si="13"/>
        <v>7540.87</v>
      </c>
      <c r="AM36" s="123" t="s">
        <v>880</v>
      </c>
    </row>
    <row r="37" spans="1:39" s="232" customFormat="1">
      <c r="A37" s="283"/>
      <c r="B37" s="283" t="s">
        <v>110</v>
      </c>
      <c r="C37" s="667" t="s">
        <v>528</v>
      </c>
      <c r="D37" s="123" t="s">
        <v>881</v>
      </c>
      <c r="E37" s="679"/>
      <c r="F37" s="529">
        <f>VLOOKUP(D37,'Mar14 Revenue'!D:V,19,FALSE)</f>
        <v>-487.34000000000015</v>
      </c>
      <c r="G37" s="680"/>
      <c r="H37" s="680"/>
      <c r="I37" s="755"/>
      <c r="J37" s="682">
        <f t="shared" si="0"/>
        <v>-487.34000000000015</v>
      </c>
      <c r="K37" s="683"/>
      <c r="L37" s="684"/>
      <c r="M37" s="753">
        <v>5000</v>
      </c>
      <c r="N37" s="683">
        <v>0</v>
      </c>
      <c r="O37" s="686"/>
      <c r="P37" s="683">
        <v>0</v>
      </c>
      <c r="Q37" s="687">
        <f t="shared" si="1"/>
        <v>5000</v>
      </c>
      <c r="R37" s="687"/>
      <c r="S37" s="687"/>
      <c r="T37" s="688">
        <v>4110.26</v>
      </c>
      <c r="U37" s="693"/>
      <c r="V37" s="690">
        <f t="shared" si="2"/>
        <v>-889.73999999999978</v>
      </c>
      <c r="W37" s="683"/>
      <c r="X37" s="474">
        <f t="shared" si="3"/>
        <v>5000</v>
      </c>
      <c r="Y37" s="474">
        <f t="shared" si="4"/>
        <v>0</v>
      </c>
      <c r="Z37" s="475">
        <f t="shared" si="5"/>
        <v>0</v>
      </c>
      <c r="AA37" s="475">
        <v>0</v>
      </c>
      <c r="AB37" s="476">
        <v>0</v>
      </c>
      <c r="AC37" s="38">
        <f t="shared" si="6"/>
        <v>0</v>
      </c>
      <c r="AD37" s="692">
        <f t="shared" si="7"/>
        <v>-487.34000000000015</v>
      </c>
      <c r="AE37" s="692">
        <f t="shared" si="8"/>
        <v>0</v>
      </c>
      <c r="AF37" s="692">
        <f t="shared" si="9"/>
        <v>0</v>
      </c>
      <c r="AG37" s="38"/>
      <c r="AH37" s="692">
        <f t="shared" si="10"/>
        <v>5000</v>
      </c>
      <c r="AI37" s="692">
        <f t="shared" si="11"/>
        <v>0</v>
      </c>
      <c r="AJ37" s="692">
        <f t="shared" si="12"/>
        <v>0</v>
      </c>
      <c r="AL37" s="38">
        <f t="shared" si="13"/>
        <v>4512.66</v>
      </c>
      <c r="AM37" s="123" t="s">
        <v>881</v>
      </c>
    </row>
    <row r="38" spans="1:39" s="232" customFormat="1">
      <c r="A38" s="283"/>
      <c r="B38" s="283" t="s">
        <v>110</v>
      </c>
      <c r="C38" s="667" t="s">
        <v>528</v>
      </c>
      <c r="D38" s="123" t="s">
        <v>820</v>
      </c>
      <c r="E38" s="679"/>
      <c r="F38" s="529">
        <f>VLOOKUP(D38,'Mar14 Revenue'!D:V,19,FALSE)</f>
        <v>5913.6500000000015</v>
      </c>
      <c r="G38" s="680"/>
      <c r="H38" s="680"/>
      <c r="I38" s="755"/>
      <c r="J38" s="682">
        <f t="shared" si="0"/>
        <v>5913.6500000000015</v>
      </c>
      <c r="K38" s="683"/>
      <c r="L38" s="684"/>
      <c r="M38" s="753">
        <v>30000</v>
      </c>
      <c r="N38" s="683">
        <v>0</v>
      </c>
      <c r="O38" s="686"/>
      <c r="P38" s="683">
        <v>0</v>
      </c>
      <c r="Q38" s="687">
        <f t="shared" si="1"/>
        <v>30000</v>
      </c>
      <c r="R38" s="687"/>
      <c r="S38" s="687"/>
      <c r="T38" s="688">
        <v>27312.29</v>
      </c>
      <c r="U38" s="693"/>
      <c r="V38" s="690">
        <f t="shared" si="2"/>
        <v>-2687.7099999999991</v>
      </c>
      <c r="W38" s="683"/>
      <c r="X38" s="474">
        <f t="shared" si="3"/>
        <v>30000</v>
      </c>
      <c r="Y38" s="474">
        <f t="shared" si="4"/>
        <v>0</v>
      </c>
      <c r="Z38" s="475">
        <f t="shared" si="5"/>
        <v>0</v>
      </c>
      <c r="AA38" s="475">
        <v>0</v>
      </c>
      <c r="AB38" s="476">
        <v>0</v>
      </c>
      <c r="AC38" s="38">
        <f t="shared" si="6"/>
        <v>0</v>
      </c>
      <c r="AD38" s="692">
        <f t="shared" si="7"/>
        <v>5913.6500000000015</v>
      </c>
      <c r="AE38" s="692">
        <f t="shared" si="8"/>
        <v>0</v>
      </c>
      <c r="AF38" s="692">
        <f t="shared" si="9"/>
        <v>0</v>
      </c>
      <c r="AG38" s="38"/>
      <c r="AH38" s="692">
        <f t="shared" si="10"/>
        <v>30000</v>
      </c>
      <c r="AI38" s="692">
        <f t="shared" si="11"/>
        <v>0</v>
      </c>
      <c r="AJ38" s="692">
        <f t="shared" si="12"/>
        <v>0</v>
      </c>
      <c r="AL38" s="38">
        <f t="shared" si="13"/>
        <v>35913.65</v>
      </c>
      <c r="AM38" s="123" t="s">
        <v>820</v>
      </c>
    </row>
    <row r="39" spans="1:39" s="232" customFormat="1">
      <c r="A39" s="283"/>
      <c r="B39" s="283" t="s">
        <v>110</v>
      </c>
      <c r="C39" s="667" t="s">
        <v>527</v>
      </c>
      <c r="D39" s="123" t="s">
        <v>460</v>
      </c>
      <c r="E39" s="679"/>
      <c r="F39" s="529">
        <f>VLOOKUP(D39,'Mar14 Revenue'!D:V,19,FALSE)</f>
        <v>0</v>
      </c>
      <c r="G39" s="680"/>
      <c r="H39" s="680"/>
      <c r="I39" s="840">
        <v>39752.01</v>
      </c>
      <c r="J39" s="682">
        <f t="shared" si="0"/>
        <v>39752.01</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39752.01</v>
      </c>
      <c r="AE39" s="692">
        <f t="shared" si="8"/>
        <v>0</v>
      </c>
      <c r="AF39" s="692">
        <f t="shared" si="9"/>
        <v>0</v>
      </c>
      <c r="AG39" s="38"/>
      <c r="AH39" s="692">
        <f t="shared" si="10"/>
        <v>0</v>
      </c>
      <c r="AI39" s="692">
        <f t="shared" si="11"/>
        <v>0</v>
      </c>
      <c r="AJ39" s="692">
        <f t="shared" si="12"/>
        <v>0</v>
      </c>
      <c r="AL39" s="38">
        <f t="shared" si="13"/>
        <v>39752.01</v>
      </c>
      <c r="AM39" s="123" t="s">
        <v>460</v>
      </c>
    </row>
    <row r="40" spans="1:39" s="232" customFormat="1">
      <c r="A40" s="283"/>
      <c r="B40" s="283" t="s">
        <v>110</v>
      </c>
      <c r="C40" s="676" t="s">
        <v>528</v>
      </c>
      <c r="D40" s="123" t="s">
        <v>623</v>
      </c>
      <c r="E40" s="679"/>
      <c r="F40" s="529">
        <f>VLOOKUP(D40,'Mar14 Revenue'!D:V,19,FALSE)</f>
        <v>0</v>
      </c>
      <c r="G40" s="680"/>
      <c r="H40" s="680"/>
      <c r="I40" s="804">
        <v>6277.37</v>
      </c>
      <c r="J40" s="682">
        <f t="shared" si="0"/>
        <v>6277.37</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6277.37</v>
      </c>
      <c r="AE40" s="692">
        <f t="shared" si="8"/>
        <v>0</v>
      </c>
      <c r="AF40" s="692">
        <f t="shared" si="9"/>
        <v>0</v>
      </c>
      <c r="AG40" s="38"/>
      <c r="AH40" s="692">
        <f t="shared" si="10"/>
        <v>0</v>
      </c>
      <c r="AI40" s="692">
        <f t="shared" si="11"/>
        <v>0</v>
      </c>
      <c r="AJ40" s="692">
        <f t="shared" si="12"/>
        <v>0</v>
      </c>
      <c r="AL40" s="38">
        <f t="shared" si="13"/>
        <v>6277.37</v>
      </c>
      <c r="AM40" s="123" t="s">
        <v>623</v>
      </c>
    </row>
    <row r="41" spans="1:39" s="232" customFormat="1">
      <c r="A41" s="403"/>
      <c r="B41" s="403" t="s">
        <v>114</v>
      </c>
      <c r="C41" s="675" t="s">
        <v>527</v>
      </c>
      <c r="D41" s="123" t="s">
        <v>1054</v>
      </c>
      <c r="E41" s="679"/>
      <c r="F41" s="529">
        <f>VLOOKUP(D41,'Mar14 Revenue'!D:V,19,FALSE)</f>
        <v>3415.1000000000004</v>
      </c>
      <c r="G41" s="680"/>
      <c r="H41" s="680"/>
      <c r="I41" s="755"/>
      <c r="J41" s="682">
        <f t="shared" si="0"/>
        <v>3415.1000000000004</v>
      </c>
      <c r="K41" s="683"/>
      <c r="L41" s="684"/>
      <c r="M41" s="753">
        <v>5000</v>
      </c>
      <c r="N41" s="683">
        <v>0</v>
      </c>
      <c r="O41" s="686"/>
      <c r="P41" s="683">
        <v>0</v>
      </c>
      <c r="Q41" s="687">
        <f t="shared" si="1"/>
        <v>5000</v>
      </c>
      <c r="R41" s="687"/>
      <c r="S41" s="687"/>
      <c r="T41" s="688">
        <v>25670.5</v>
      </c>
      <c r="U41" s="693"/>
      <c r="V41" s="690">
        <f t="shared" si="2"/>
        <v>20670.5</v>
      </c>
      <c r="W41" s="683"/>
      <c r="X41" s="474">
        <f t="shared" si="3"/>
        <v>0</v>
      </c>
      <c r="Y41" s="474">
        <f t="shared" si="4"/>
        <v>0</v>
      </c>
      <c r="Z41" s="475">
        <f t="shared" si="5"/>
        <v>5000</v>
      </c>
      <c r="AA41" s="475">
        <v>0</v>
      </c>
      <c r="AB41" s="476">
        <v>0</v>
      </c>
      <c r="AC41" s="38">
        <f t="shared" si="6"/>
        <v>0</v>
      </c>
      <c r="AD41" s="692">
        <f t="shared" si="7"/>
        <v>0</v>
      </c>
      <c r="AE41" s="692">
        <f t="shared" si="8"/>
        <v>0</v>
      </c>
      <c r="AF41" s="692">
        <f t="shared" si="9"/>
        <v>3415.1000000000004</v>
      </c>
      <c r="AG41" s="38"/>
      <c r="AH41" s="692">
        <f t="shared" si="10"/>
        <v>0</v>
      </c>
      <c r="AI41" s="692">
        <f t="shared" si="11"/>
        <v>0</v>
      </c>
      <c r="AJ41" s="692">
        <f t="shared" si="12"/>
        <v>5000</v>
      </c>
      <c r="AL41" s="38">
        <f t="shared" si="13"/>
        <v>8415.1</v>
      </c>
      <c r="AM41" s="123" t="s">
        <v>108</v>
      </c>
    </row>
    <row r="42" spans="1:39" s="232" customFormat="1">
      <c r="A42" s="403"/>
      <c r="B42" s="403" t="s">
        <v>114</v>
      </c>
      <c r="C42" s="666" t="s">
        <v>529</v>
      </c>
      <c r="D42" s="123" t="s">
        <v>108</v>
      </c>
      <c r="E42" s="679"/>
      <c r="F42" s="529">
        <f>VLOOKUP(D42,'Mar14 Revenue'!D:V,19,FALSE)</f>
        <v>6555.1299999999974</v>
      </c>
      <c r="G42" s="680"/>
      <c r="H42" s="680"/>
      <c r="I42" s="755"/>
      <c r="J42" s="682">
        <f t="shared" si="0"/>
        <v>6555.1299999999974</v>
      </c>
      <c r="K42" s="683"/>
      <c r="L42" s="684"/>
      <c r="M42" s="753">
        <v>35000</v>
      </c>
      <c r="N42" s="683">
        <v>0</v>
      </c>
      <c r="O42" s="686"/>
      <c r="P42" s="683">
        <v>0</v>
      </c>
      <c r="Q42" s="687">
        <f t="shared" si="1"/>
        <v>35000</v>
      </c>
      <c r="R42" s="687"/>
      <c r="S42" s="687"/>
      <c r="T42" s="688">
        <v>25751.21</v>
      </c>
      <c r="U42" s="693"/>
      <c r="V42" s="690">
        <f t="shared" si="2"/>
        <v>-9248.7900000000009</v>
      </c>
      <c r="W42" s="683"/>
      <c r="X42" s="474">
        <f t="shared" si="3"/>
        <v>0</v>
      </c>
      <c r="Y42" s="474">
        <f t="shared" si="4"/>
        <v>0</v>
      </c>
      <c r="Z42" s="475">
        <f t="shared" si="5"/>
        <v>35000</v>
      </c>
      <c r="AA42" s="475">
        <v>0</v>
      </c>
      <c r="AB42" s="476">
        <v>0</v>
      </c>
      <c r="AC42" s="38">
        <f t="shared" si="6"/>
        <v>0</v>
      </c>
      <c r="AD42" s="692">
        <f t="shared" si="7"/>
        <v>0</v>
      </c>
      <c r="AE42" s="692">
        <f t="shared" si="8"/>
        <v>0</v>
      </c>
      <c r="AF42" s="692">
        <f t="shared" si="9"/>
        <v>6555.1299999999974</v>
      </c>
      <c r="AG42" s="38"/>
      <c r="AH42" s="692">
        <f t="shared" si="10"/>
        <v>0</v>
      </c>
      <c r="AI42" s="692">
        <f t="shared" si="11"/>
        <v>0</v>
      </c>
      <c r="AJ42" s="692">
        <f t="shared" si="12"/>
        <v>35000</v>
      </c>
      <c r="AL42" s="38">
        <f t="shared" si="13"/>
        <v>41555.129999999997</v>
      </c>
      <c r="AM42" s="123" t="s">
        <v>108</v>
      </c>
    </row>
    <row r="43" spans="1:39" s="232" customFormat="1">
      <c r="A43" s="403"/>
      <c r="B43" s="403" t="s">
        <v>110</v>
      </c>
      <c r="C43" s="666"/>
      <c r="D43" s="123" t="s">
        <v>911</v>
      </c>
      <c r="E43" s="679"/>
      <c r="F43" s="529">
        <f>VLOOKUP(D43,'Mar14 Revenue'!D:V,19,FALSE)</f>
        <v>687.70999999999913</v>
      </c>
      <c r="G43" s="680"/>
      <c r="H43" s="680"/>
      <c r="I43" s="755"/>
      <c r="J43" s="682">
        <f t="shared" si="0"/>
        <v>687.70999999999913</v>
      </c>
      <c r="K43" s="683"/>
      <c r="L43" s="684"/>
      <c r="M43" s="753">
        <v>15000</v>
      </c>
      <c r="N43" s="683">
        <v>0</v>
      </c>
      <c r="O43" s="686"/>
      <c r="P43" s="683">
        <v>0</v>
      </c>
      <c r="Q43" s="687">
        <f t="shared" si="1"/>
        <v>15000</v>
      </c>
      <c r="R43" s="687"/>
      <c r="S43" s="687"/>
      <c r="T43" s="688">
        <v>15952.1</v>
      </c>
      <c r="U43" s="693"/>
      <c r="V43" s="690">
        <f t="shared" si="2"/>
        <v>952.10000000000036</v>
      </c>
      <c r="W43" s="683"/>
      <c r="X43" s="474">
        <f t="shared" si="3"/>
        <v>15000</v>
      </c>
      <c r="Y43" s="474">
        <f t="shared" si="4"/>
        <v>0</v>
      </c>
      <c r="Z43" s="475">
        <f t="shared" si="5"/>
        <v>0</v>
      </c>
      <c r="AA43" s="475">
        <v>0</v>
      </c>
      <c r="AB43" s="476">
        <v>0</v>
      </c>
      <c r="AC43" s="38">
        <f t="shared" si="6"/>
        <v>0</v>
      </c>
      <c r="AD43" s="692">
        <f t="shared" si="7"/>
        <v>687.70999999999913</v>
      </c>
      <c r="AE43" s="692">
        <f t="shared" si="8"/>
        <v>0</v>
      </c>
      <c r="AF43" s="692">
        <f t="shared" si="9"/>
        <v>0</v>
      </c>
      <c r="AG43" s="38"/>
      <c r="AH43" s="692">
        <f t="shared" si="10"/>
        <v>15000</v>
      </c>
      <c r="AI43" s="692">
        <f t="shared" si="11"/>
        <v>0</v>
      </c>
      <c r="AJ43" s="692">
        <f t="shared" si="12"/>
        <v>0</v>
      </c>
      <c r="AL43" s="38">
        <f t="shared" si="13"/>
        <v>15687.71</v>
      </c>
      <c r="AM43" s="123" t="s">
        <v>911</v>
      </c>
    </row>
    <row r="44" spans="1:39">
      <c r="A44" s="21"/>
      <c r="B44" s="21" t="s">
        <v>110</v>
      </c>
      <c r="C44" s="666"/>
      <c r="D44" s="68" t="s">
        <v>234</v>
      </c>
      <c r="E44" s="679"/>
      <c r="F44" s="529">
        <f>VLOOKUP(D44,'Mar14 Revenue'!D:V,19,FALSE)</f>
        <v>-15000</v>
      </c>
      <c r="G44" s="680"/>
      <c r="H44" s="680"/>
      <c r="I44" s="755"/>
      <c r="J44" s="682">
        <f t="shared" si="0"/>
        <v>-15000</v>
      </c>
      <c r="K44" s="683"/>
      <c r="L44" s="684"/>
      <c r="M44" s="753">
        <v>20000</v>
      </c>
      <c r="N44" s="683">
        <v>0</v>
      </c>
      <c r="O44" s="686"/>
      <c r="P44" s="683">
        <v>0</v>
      </c>
      <c r="Q44" s="687">
        <f t="shared" si="1"/>
        <v>20000</v>
      </c>
      <c r="R44" s="687"/>
      <c r="S44" s="687"/>
      <c r="T44" s="688">
        <v>0</v>
      </c>
      <c r="U44" s="693"/>
      <c r="V44" s="690">
        <f t="shared" si="2"/>
        <v>-20000</v>
      </c>
      <c r="W44" s="683"/>
      <c r="X44" s="474">
        <f t="shared" si="3"/>
        <v>20000</v>
      </c>
      <c r="Y44" s="474">
        <f t="shared" si="4"/>
        <v>0</v>
      </c>
      <c r="Z44" s="475">
        <f t="shared" si="5"/>
        <v>0</v>
      </c>
      <c r="AA44" s="475">
        <v>0</v>
      </c>
      <c r="AB44" s="476">
        <v>0</v>
      </c>
      <c r="AC44" s="38">
        <f t="shared" si="6"/>
        <v>0</v>
      </c>
      <c r="AD44" s="692">
        <f t="shared" si="7"/>
        <v>-15000</v>
      </c>
      <c r="AE44" s="692">
        <f t="shared" si="8"/>
        <v>0</v>
      </c>
      <c r="AF44" s="692">
        <f t="shared" si="9"/>
        <v>0</v>
      </c>
      <c r="AG44" s="38"/>
      <c r="AH44" s="692">
        <f t="shared" si="10"/>
        <v>20000</v>
      </c>
      <c r="AI44" s="692">
        <f t="shared" si="11"/>
        <v>0</v>
      </c>
      <c r="AJ44" s="692">
        <f t="shared" si="12"/>
        <v>0</v>
      </c>
      <c r="AL44" s="38">
        <f t="shared" si="13"/>
        <v>5000</v>
      </c>
      <c r="AM44" s="68" t="s">
        <v>234</v>
      </c>
    </row>
    <row r="45" spans="1:39">
      <c r="A45" s="20"/>
      <c r="B45" s="20" t="s">
        <v>109</v>
      </c>
      <c r="C45" s="667"/>
      <c r="D45" s="68" t="s">
        <v>598</v>
      </c>
      <c r="E45" s="679"/>
      <c r="F45" s="529">
        <f>VLOOKUP(D45,'Mar14 Revenue'!D:V,19,FALSE)</f>
        <v>0</v>
      </c>
      <c r="G45" s="680"/>
      <c r="H45" s="680"/>
      <c r="I45" s="755"/>
      <c r="J45" s="682">
        <f t="shared" si="0"/>
        <v>0</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0</v>
      </c>
      <c r="AF45" s="692">
        <f t="shared" si="9"/>
        <v>0</v>
      </c>
      <c r="AG45" s="38"/>
      <c r="AH45" s="692">
        <f t="shared" si="10"/>
        <v>0</v>
      </c>
      <c r="AI45" s="692">
        <f t="shared" si="11"/>
        <v>0</v>
      </c>
      <c r="AJ45" s="692">
        <f t="shared" si="12"/>
        <v>0</v>
      </c>
      <c r="AL45" s="38">
        <f t="shared" si="13"/>
        <v>0</v>
      </c>
      <c r="AM45" s="68" t="s">
        <v>598</v>
      </c>
    </row>
    <row r="46" spans="1:39">
      <c r="A46" s="20"/>
      <c r="B46" s="20" t="s">
        <v>110</v>
      </c>
      <c r="C46" s="667"/>
      <c r="D46" s="68" t="s">
        <v>311</v>
      </c>
      <c r="E46" s="679"/>
      <c r="F46" s="529">
        <f>VLOOKUP(D46,'Mar14 Revenue'!D:V,19,FALSE)</f>
        <v>0</v>
      </c>
      <c r="G46" s="680"/>
      <c r="H46" s="680"/>
      <c r="I46" s="755"/>
      <c r="J46" s="682">
        <f t="shared" si="0"/>
        <v>0</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c r="AM46" s="68" t="s">
        <v>311</v>
      </c>
    </row>
    <row r="47" spans="1:39">
      <c r="A47" s="20"/>
      <c r="B47" s="20" t="s">
        <v>110</v>
      </c>
      <c r="C47" s="667"/>
      <c r="D47" s="68" t="s">
        <v>451</v>
      </c>
      <c r="E47" s="679"/>
      <c r="F47" s="529">
        <f>VLOOKUP(D47,'Mar14 Revenue'!D:V,19,FALSE)</f>
        <v>-3870.0899999999965</v>
      </c>
      <c r="G47" s="680"/>
      <c r="H47" s="680"/>
      <c r="I47" s="755"/>
      <c r="J47" s="682">
        <f t="shared" si="0"/>
        <v>-3870.0899999999965</v>
      </c>
      <c r="K47" s="683"/>
      <c r="L47" s="684"/>
      <c r="M47" s="753">
        <v>95000</v>
      </c>
      <c r="N47" s="683">
        <v>0</v>
      </c>
      <c r="O47" s="686"/>
      <c r="P47" s="683">
        <v>0</v>
      </c>
      <c r="Q47" s="687">
        <f t="shared" si="1"/>
        <v>95000</v>
      </c>
      <c r="R47" s="687"/>
      <c r="S47" s="687"/>
      <c r="T47" s="688">
        <v>94209.58</v>
      </c>
      <c r="U47" s="693"/>
      <c r="V47" s="690">
        <f t="shared" si="2"/>
        <v>-790.41999999999825</v>
      </c>
      <c r="W47" s="683"/>
      <c r="X47" s="474">
        <f t="shared" si="3"/>
        <v>95000</v>
      </c>
      <c r="Y47" s="474">
        <f t="shared" si="4"/>
        <v>0</v>
      </c>
      <c r="Z47" s="475">
        <f t="shared" si="5"/>
        <v>0</v>
      </c>
      <c r="AA47" s="475">
        <v>0</v>
      </c>
      <c r="AB47" s="476">
        <v>0</v>
      </c>
      <c r="AC47" s="38">
        <f t="shared" si="6"/>
        <v>0</v>
      </c>
      <c r="AD47" s="692">
        <f t="shared" si="7"/>
        <v>-3870.0899999999965</v>
      </c>
      <c r="AE47" s="692">
        <f t="shared" si="8"/>
        <v>0</v>
      </c>
      <c r="AF47" s="692">
        <f t="shared" si="9"/>
        <v>0</v>
      </c>
      <c r="AG47" s="38"/>
      <c r="AH47" s="692">
        <f t="shared" si="10"/>
        <v>95000</v>
      </c>
      <c r="AI47" s="692">
        <f t="shared" si="11"/>
        <v>0</v>
      </c>
      <c r="AJ47" s="692">
        <f t="shared" si="12"/>
        <v>0</v>
      </c>
      <c r="AL47" s="38">
        <f t="shared" si="13"/>
        <v>91129.91</v>
      </c>
      <c r="AM47" s="68" t="s">
        <v>451</v>
      </c>
    </row>
    <row r="48" spans="1:39">
      <c r="A48" s="20"/>
      <c r="B48" s="20" t="s">
        <v>109</v>
      </c>
      <c r="C48" s="667"/>
      <c r="D48" s="68" t="s">
        <v>469</v>
      </c>
      <c r="E48" s="679"/>
      <c r="F48" s="529">
        <f>VLOOKUP(D48,'Mar14 Revenue'!D:V,19,FALSE)</f>
        <v>0</v>
      </c>
      <c r="G48" s="680"/>
      <c r="H48" s="680"/>
      <c r="I48" s="755"/>
      <c r="J48" s="682">
        <f t="shared" si="0"/>
        <v>0</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c r="AM48" s="68" t="s">
        <v>469</v>
      </c>
    </row>
    <row r="49" spans="1:39">
      <c r="A49" s="20"/>
      <c r="B49" s="20" t="s">
        <v>110</v>
      </c>
      <c r="C49" s="667" t="s">
        <v>530</v>
      </c>
      <c r="D49" s="68" t="s">
        <v>69</v>
      </c>
      <c r="E49" s="679"/>
      <c r="F49" s="529">
        <f>VLOOKUP(D49,'Mar14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69</v>
      </c>
    </row>
    <row r="50" spans="1:39" hidden="1">
      <c r="A50" s="20"/>
      <c r="B50" s="20" t="s">
        <v>110</v>
      </c>
      <c r="C50" s="667" t="s">
        <v>531</v>
      </c>
      <c r="D50" s="68" t="s">
        <v>237</v>
      </c>
      <c r="E50" s="679"/>
      <c r="F50" s="529">
        <f>VLOOKUP(D50,'Mar14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c r="AM50" s="68" t="s">
        <v>237</v>
      </c>
    </row>
    <row r="51" spans="1:39">
      <c r="A51" s="20" t="s">
        <v>211</v>
      </c>
      <c r="B51" s="20" t="s">
        <v>110</v>
      </c>
      <c r="C51" s="667" t="s">
        <v>532</v>
      </c>
      <c r="D51" s="68" t="s">
        <v>7</v>
      </c>
      <c r="E51" s="679"/>
      <c r="F51" s="529">
        <f>VLOOKUP(D51,'Mar14 Revenue'!D:V,19,FALSE)</f>
        <v>-3890.679999999993</v>
      </c>
      <c r="G51" s="680"/>
      <c r="H51" s="680"/>
      <c r="I51" s="755"/>
      <c r="J51" s="682">
        <f t="shared" si="0"/>
        <v>-3890.679999999993</v>
      </c>
      <c r="K51" s="683"/>
      <c r="L51" s="684"/>
      <c r="M51" s="753">
        <v>30000</v>
      </c>
      <c r="N51" s="683">
        <v>0</v>
      </c>
      <c r="O51" s="686"/>
      <c r="P51" s="683">
        <v>0</v>
      </c>
      <c r="Q51" s="687">
        <f t="shared" si="1"/>
        <v>30000</v>
      </c>
      <c r="R51" s="687"/>
      <c r="S51" s="687"/>
      <c r="T51" s="688">
        <v>0</v>
      </c>
      <c r="U51" s="693"/>
      <c r="V51" s="690">
        <f t="shared" si="2"/>
        <v>-30000</v>
      </c>
      <c r="W51" s="697"/>
      <c r="X51" s="474">
        <f t="shared" si="3"/>
        <v>30000</v>
      </c>
      <c r="Y51" s="474">
        <f t="shared" si="4"/>
        <v>0</v>
      </c>
      <c r="Z51" s="475">
        <f t="shared" si="5"/>
        <v>0</v>
      </c>
      <c r="AA51" s="475">
        <v>0</v>
      </c>
      <c r="AB51" s="476">
        <v>0</v>
      </c>
      <c r="AC51" s="38">
        <f t="shared" si="6"/>
        <v>0</v>
      </c>
      <c r="AD51" s="692">
        <f t="shared" si="7"/>
        <v>-3890.679999999993</v>
      </c>
      <c r="AE51" s="692">
        <f t="shared" si="8"/>
        <v>0</v>
      </c>
      <c r="AF51" s="692">
        <f t="shared" si="9"/>
        <v>0</v>
      </c>
      <c r="AG51" s="38"/>
      <c r="AH51" s="692">
        <f t="shared" si="10"/>
        <v>30000</v>
      </c>
      <c r="AI51" s="692">
        <f t="shared" si="11"/>
        <v>0</v>
      </c>
      <c r="AJ51" s="692">
        <f t="shared" si="12"/>
        <v>0</v>
      </c>
      <c r="AL51" s="38">
        <f t="shared" si="13"/>
        <v>26109.320000000007</v>
      </c>
      <c r="AM51" s="68" t="s">
        <v>7</v>
      </c>
    </row>
    <row r="52" spans="1:39" s="24" customFormat="1">
      <c r="A52" s="32"/>
      <c r="B52" s="32" t="s">
        <v>109</v>
      </c>
      <c r="C52" s="676" t="s">
        <v>1094</v>
      </c>
      <c r="D52" s="351" t="s">
        <v>1071</v>
      </c>
      <c r="E52" s="832"/>
      <c r="F52" s="529">
        <f>VLOOKUP(D52,'Mar14 Revenue'!D:V,19,FALSE)</f>
        <v>-100000</v>
      </c>
      <c r="G52" s="680"/>
      <c r="H52" s="680"/>
      <c r="I52" s="770">
        <v>13440.87</v>
      </c>
      <c r="J52" s="703">
        <f t="shared" si="0"/>
        <v>-86559.13</v>
      </c>
      <c r="K52" s="698"/>
      <c r="L52" s="833"/>
      <c r="M52" s="834">
        <v>35000</v>
      </c>
      <c r="N52" s="698">
        <v>0</v>
      </c>
      <c r="O52" s="699"/>
      <c r="P52" s="698">
        <v>0</v>
      </c>
      <c r="Q52" s="700">
        <f t="shared" si="1"/>
        <v>35000</v>
      </c>
      <c r="R52" s="700"/>
      <c r="S52" s="700"/>
      <c r="T52" s="688">
        <v>18929.419999999998</v>
      </c>
      <c r="U52" s="701"/>
      <c r="V52" s="690">
        <f t="shared" si="2"/>
        <v>-16070.580000000002</v>
      </c>
      <c r="W52" s="698"/>
      <c r="X52" s="474">
        <f t="shared" si="3"/>
        <v>0</v>
      </c>
      <c r="Y52" s="474">
        <f t="shared" si="4"/>
        <v>35000</v>
      </c>
      <c r="Z52" s="475">
        <f t="shared" si="5"/>
        <v>0</v>
      </c>
      <c r="AA52" s="475">
        <v>0</v>
      </c>
      <c r="AB52" s="476">
        <v>0</v>
      </c>
      <c r="AC52" s="169">
        <f t="shared" si="6"/>
        <v>0</v>
      </c>
      <c r="AD52" s="692">
        <f t="shared" si="7"/>
        <v>0</v>
      </c>
      <c r="AE52" s="692">
        <f t="shared" si="8"/>
        <v>-86559.13</v>
      </c>
      <c r="AF52" s="692">
        <f t="shared" si="9"/>
        <v>0</v>
      </c>
      <c r="AG52" s="169"/>
      <c r="AH52" s="692">
        <f t="shared" si="10"/>
        <v>0</v>
      </c>
      <c r="AI52" s="692">
        <f t="shared" si="11"/>
        <v>35000</v>
      </c>
      <c r="AJ52" s="692">
        <f t="shared" si="12"/>
        <v>0</v>
      </c>
      <c r="AL52" s="169">
        <f t="shared" si="13"/>
        <v>-51559.130000000005</v>
      </c>
      <c r="AM52" s="68" t="s">
        <v>1070</v>
      </c>
    </row>
    <row r="53" spans="1:39" s="232" customFormat="1" hidden="1">
      <c r="A53" s="283"/>
      <c r="B53" s="283" t="s">
        <v>109</v>
      </c>
      <c r="C53" s="667" t="s">
        <v>533</v>
      </c>
      <c r="D53" s="123" t="s">
        <v>416</v>
      </c>
      <c r="E53" s="679"/>
      <c r="F53" s="529">
        <f>VLOOKUP(D53,'Mar14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416</v>
      </c>
    </row>
    <row r="54" spans="1:39" s="232" customFormat="1" hidden="1">
      <c r="A54" s="283"/>
      <c r="B54" s="283" t="s">
        <v>109</v>
      </c>
      <c r="C54" s="667" t="s">
        <v>533</v>
      </c>
      <c r="D54" s="123" t="s">
        <v>417</v>
      </c>
      <c r="E54" s="679"/>
      <c r="F54" s="529">
        <f>VLOOKUP(D54,'Mar14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417</v>
      </c>
    </row>
    <row r="55" spans="1:39" s="232" customFormat="1" hidden="1">
      <c r="A55" s="283"/>
      <c r="B55" s="283" t="s">
        <v>109</v>
      </c>
      <c r="C55" s="667" t="s">
        <v>533</v>
      </c>
      <c r="D55" s="123" t="s">
        <v>418</v>
      </c>
      <c r="E55" s="679"/>
      <c r="F55" s="529">
        <f>VLOOKUP(D55,'Mar14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c r="AM55" s="123" t="s">
        <v>418</v>
      </c>
    </row>
    <row r="56" spans="1:39">
      <c r="A56" s="20"/>
      <c r="B56" s="20" t="s">
        <v>110</v>
      </c>
      <c r="C56" s="667"/>
      <c r="D56" s="68" t="s">
        <v>992</v>
      </c>
      <c r="E56" s="679">
        <v>1454.33</v>
      </c>
      <c r="F56" s="529">
        <f>VLOOKUP(D56,'Mar14 Revenue'!D:V,19,FALSE)</f>
        <v>1332.07</v>
      </c>
      <c r="G56" s="680"/>
      <c r="H56" s="680"/>
      <c r="I56" s="755"/>
      <c r="J56" s="682">
        <f t="shared" si="0"/>
        <v>2786.3999999999996</v>
      </c>
      <c r="K56" s="683"/>
      <c r="L56" s="684"/>
      <c r="M56" s="753"/>
      <c r="N56" s="683">
        <v>0</v>
      </c>
      <c r="O56" s="686"/>
      <c r="P56" s="683">
        <v>0</v>
      </c>
      <c r="Q56" s="687">
        <f t="shared" si="1"/>
        <v>0</v>
      </c>
      <c r="R56" s="687"/>
      <c r="S56" s="687"/>
      <c r="T56" s="688">
        <v>1088.51</v>
      </c>
      <c r="U56" s="693"/>
      <c r="V56" s="690">
        <f t="shared" si="2"/>
        <v>1088.51</v>
      </c>
      <c r="W56" s="683"/>
      <c r="X56" s="474">
        <f t="shared" si="3"/>
        <v>0</v>
      </c>
      <c r="Y56" s="474">
        <f t="shared" si="4"/>
        <v>0</v>
      </c>
      <c r="Z56" s="475">
        <f t="shared" si="5"/>
        <v>0</v>
      </c>
      <c r="AA56" s="475">
        <v>0</v>
      </c>
      <c r="AB56" s="476">
        <v>0</v>
      </c>
      <c r="AC56" s="38">
        <f t="shared" si="6"/>
        <v>0</v>
      </c>
      <c r="AD56" s="692">
        <f t="shared" si="7"/>
        <v>2786.3999999999996</v>
      </c>
      <c r="AE56" s="692">
        <f t="shared" si="8"/>
        <v>0</v>
      </c>
      <c r="AF56" s="692">
        <f t="shared" si="9"/>
        <v>0</v>
      </c>
      <c r="AG56" s="38"/>
      <c r="AH56" s="692">
        <f t="shared" si="10"/>
        <v>0</v>
      </c>
      <c r="AI56" s="692">
        <f t="shared" si="11"/>
        <v>0</v>
      </c>
      <c r="AJ56" s="692">
        <f t="shared" si="12"/>
        <v>0</v>
      </c>
      <c r="AL56" s="38">
        <f t="shared" si="13"/>
        <v>2786.3999999999996</v>
      </c>
      <c r="AM56" s="68" t="s">
        <v>992</v>
      </c>
    </row>
    <row r="57" spans="1:39" s="232" customFormat="1">
      <c r="A57" s="283"/>
      <c r="B57" s="283" t="s">
        <v>110</v>
      </c>
      <c r="C57" s="676" t="s">
        <v>986</v>
      </c>
      <c r="D57" s="68" t="s">
        <v>987</v>
      </c>
      <c r="E57" s="679"/>
      <c r="F57" s="529">
        <f>VLOOKUP(D57,'Mar14 Revenue'!D:V,19,FALSE)</f>
        <v>0</v>
      </c>
      <c r="G57" s="680"/>
      <c r="H57" s="680"/>
      <c r="I57" s="755"/>
      <c r="J57" s="682">
        <f t="shared" si="0"/>
        <v>0</v>
      </c>
      <c r="K57" s="683"/>
      <c r="L57" s="684"/>
      <c r="M57" s="753"/>
      <c r="N57" s="683">
        <v>0</v>
      </c>
      <c r="O57" s="686"/>
      <c r="P57" s="683">
        <v>0</v>
      </c>
      <c r="Q57" s="687">
        <f t="shared" si="1"/>
        <v>0</v>
      </c>
      <c r="R57" s="687"/>
      <c r="S57" s="687"/>
      <c r="T57" s="688">
        <f>3543.32+3519.13</f>
        <v>7062.4500000000007</v>
      </c>
      <c r="U57" s="693"/>
      <c r="V57" s="690">
        <f t="shared" si="2"/>
        <v>7062.4500000000007</v>
      </c>
      <c r="W57" s="683"/>
      <c r="X57" s="474">
        <f t="shared" si="3"/>
        <v>0</v>
      </c>
      <c r="Y57" s="474">
        <f t="shared" si="4"/>
        <v>0</v>
      </c>
      <c r="Z57" s="475">
        <f t="shared" si="5"/>
        <v>0</v>
      </c>
      <c r="AA57" s="475">
        <v>0</v>
      </c>
      <c r="AB57" s="476">
        <v>0</v>
      </c>
      <c r="AC57" s="38">
        <f t="shared" si="6"/>
        <v>0</v>
      </c>
      <c r="AD57" s="692">
        <f t="shared" si="7"/>
        <v>0</v>
      </c>
      <c r="AE57" s="692">
        <f t="shared" si="8"/>
        <v>0</v>
      </c>
      <c r="AF57" s="692">
        <f t="shared" si="9"/>
        <v>0</v>
      </c>
      <c r="AG57" s="38"/>
      <c r="AH57" s="692">
        <f t="shared" si="10"/>
        <v>0</v>
      </c>
      <c r="AI57" s="692">
        <f t="shared" si="11"/>
        <v>0</v>
      </c>
      <c r="AJ57" s="692">
        <f t="shared" si="12"/>
        <v>0</v>
      </c>
      <c r="AK57" s="16"/>
      <c r="AL57" s="38">
        <f t="shared" si="13"/>
        <v>0</v>
      </c>
      <c r="AM57" s="68" t="s">
        <v>987</v>
      </c>
    </row>
    <row r="58" spans="1:39">
      <c r="A58" s="20" t="s">
        <v>211</v>
      </c>
      <c r="B58" s="20" t="s">
        <v>109</v>
      </c>
      <c r="C58" s="667" t="s">
        <v>534</v>
      </c>
      <c r="D58" s="68" t="s">
        <v>9</v>
      </c>
      <c r="E58" s="679"/>
      <c r="F58" s="529">
        <f>VLOOKUP(D58,'Mar14 Revenue'!D:V,19,FALSE)</f>
        <v>0</v>
      </c>
      <c r="G58" s="680"/>
      <c r="H58" s="680"/>
      <c r="I58" s="755"/>
      <c r="J58" s="682">
        <f>SUM(E58:I58)</f>
        <v>0</v>
      </c>
      <c r="K58" s="683"/>
      <c r="L58" s="684"/>
      <c r="M58" s="753"/>
      <c r="N58" s="683">
        <v>0</v>
      </c>
      <c r="O58" s="686"/>
      <c r="P58" s="683">
        <v>0</v>
      </c>
      <c r="Q58" s="687">
        <f t="shared" si="1"/>
        <v>0</v>
      </c>
      <c r="R58" s="687"/>
      <c r="S58" s="687"/>
      <c r="T58" s="688">
        <v>0</v>
      </c>
      <c r="U58" s="693"/>
      <c r="V58" s="690">
        <f t="shared" si="2"/>
        <v>0</v>
      </c>
      <c r="W58" s="697"/>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3"/>
        <v>0</v>
      </c>
      <c r="AM58" s="68" t="s">
        <v>9</v>
      </c>
    </row>
    <row r="59" spans="1:39">
      <c r="A59" s="20" t="s">
        <v>211</v>
      </c>
      <c r="B59" s="20" t="s">
        <v>110</v>
      </c>
      <c r="C59" s="667"/>
      <c r="D59" s="68" t="s">
        <v>1041</v>
      </c>
      <c r="E59" s="679"/>
      <c r="F59" s="529">
        <f>VLOOKUP(D59,'Mar14 Revenue'!D:V,19,FALSE)</f>
        <v>0</v>
      </c>
      <c r="G59" s="680"/>
      <c r="H59" s="680"/>
      <c r="I59" s="755"/>
      <c r="J59" s="682">
        <f t="shared" si="0"/>
        <v>0</v>
      </c>
      <c r="K59" s="683"/>
      <c r="L59" s="684"/>
      <c r="M59" s="753"/>
      <c r="N59" s="683">
        <v>0</v>
      </c>
      <c r="O59" s="686"/>
      <c r="P59" s="683">
        <v>0</v>
      </c>
      <c r="Q59" s="687">
        <f t="shared" si="1"/>
        <v>0</v>
      </c>
      <c r="R59" s="687"/>
      <c r="S59" s="687"/>
      <c r="T59" s="688">
        <v>0</v>
      </c>
      <c r="U59" s="693"/>
      <c r="V59" s="690">
        <f t="shared" si="2"/>
        <v>0</v>
      </c>
      <c r="W59" s="683"/>
      <c r="X59" s="474">
        <f t="shared" si="3"/>
        <v>0</v>
      </c>
      <c r="Y59" s="474">
        <f t="shared" si="4"/>
        <v>0</v>
      </c>
      <c r="Z59" s="475">
        <f t="shared" si="5"/>
        <v>0</v>
      </c>
      <c r="AA59" s="475">
        <v>0</v>
      </c>
      <c r="AB59" s="476">
        <v>0</v>
      </c>
      <c r="AC59" s="38">
        <f t="shared" si="6"/>
        <v>0</v>
      </c>
      <c r="AD59" s="692">
        <f t="shared" si="7"/>
        <v>0</v>
      </c>
      <c r="AE59" s="692">
        <f t="shared" si="8"/>
        <v>0</v>
      </c>
      <c r="AF59" s="692">
        <f t="shared" si="9"/>
        <v>0</v>
      </c>
      <c r="AG59" s="38"/>
      <c r="AH59" s="692">
        <f t="shared" si="10"/>
        <v>0</v>
      </c>
      <c r="AI59" s="692">
        <f t="shared" si="11"/>
        <v>0</v>
      </c>
      <c r="AJ59" s="692">
        <f t="shared" si="12"/>
        <v>0</v>
      </c>
      <c r="AL59" s="38">
        <f t="shared" si="13"/>
        <v>0</v>
      </c>
      <c r="AM59" s="68" t="s">
        <v>487</v>
      </c>
    </row>
    <row r="60" spans="1:39">
      <c r="A60" s="20"/>
      <c r="B60" s="20" t="s">
        <v>109</v>
      </c>
      <c r="C60" s="676" t="s">
        <v>906</v>
      </c>
      <c r="D60" s="68" t="s">
        <v>830</v>
      </c>
      <c r="E60" s="679"/>
      <c r="F60" s="529">
        <f>VLOOKUP(D60,'Mar14 Revenue'!D:V,19,FALSE)</f>
        <v>0</v>
      </c>
      <c r="G60" s="680"/>
      <c r="H60" s="680"/>
      <c r="I60" s="770">
        <v>736445.88</v>
      </c>
      <c r="J60" s="682">
        <f t="shared" si="0"/>
        <v>736445.88</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736445.88</v>
      </c>
      <c r="AF60" s="692">
        <f t="shared" si="9"/>
        <v>0</v>
      </c>
      <c r="AG60" s="38"/>
      <c r="AH60" s="692">
        <f t="shared" si="10"/>
        <v>0</v>
      </c>
      <c r="AI60" s="692">
        <f t="shared" si="11"/>
        <v>0</v>
      </c>
      <c r="AJ60" s="692">
        <f t="shared" si="12"/>
        <v>0</v>
      </c>
      <c r="AL60" s="38">
        <f t="shared" si="13"/>
        <v>736445.88</v>
      </c>
      <c r="AM60" s="68" t="s">
        <v>830</v>
      </c>
    </row>
    <row r="61" spans="1:39">
      <c r="A61" s="20"/>
      <c r="B61" s="20" t="s">
        <v>109</v>
      </c>
      <c r="C61" s="667"/>
      <c r="D61" s="68" t="s">
        <v>374</v>
      </c>
      <c r="E61" s="679"/>
      <c r="F61" s="529">
        <f>VLOOKUP(D61,'Mar14 Revenue'!D:V,19,FALSE)</f>
        <v>-7044.67</v>
      </c>
      <c r="G61" s="680"/>
      <c r="H61" s="680"/>
      <c r="I61" s="755"/>
      <c r="J61" s="682">
        <f t="shared" si="0"/>
        <v>-7044.67</v>
      </c>
      <c r="K61" s="683"/>
      <c r="L61" s="684"/>
      <c r="M61" s="753">
        <v>3000</v>
      </c>
      <c r="N61" s="683">
        <v>0</v>
      </c>
      <c r="O61" s="686"/>
      <c r="P61" s="683">
        <v>0</v>
      </c>
      <c r="Q61" s="687">
        <f t="shared" si="1"/>
        <v>3000</v>
      </c>
      <c r="R61" s="687"/>
      <c r="S61" s="687"/>
      <c r="T61" s="688">
        <v>0</v>
      </c>
      <c r="U61" s="693"/>
      <c r="V61" s="690">
        <f t="shared" si="2"/>
        <v>-3000</v>
      </c>
      <c r="W61" s="683"/>
      <c r="X61" s="474">
        <f t="shared" si="3"/>
        <v>0</v>
      </c>
      <c r="Y61" s="474">
        <f t="shared" si="4"/>
        <v>3000</v>
      </c>
      <c r="Z61" s="475">
        <f t="shared" si="5"/>
        <v>0</v>
      </c>
      <c r="AA61" s="475">
        <v>0</v>
      </c>
      <c r="AB61" s="476">
        <v>0</v>
      </c>
      <c r="AC61" s="38">
        <f t="shared" si="6"/>
        <v>0</v>
      </c>
      <c r="AD61" s="692">
        <f t="shared" si="7"/>
        <v>0</v>
      </c>
      <c r="AE61" s="692">
        <f t="shared" si="8"/>
        <v>-7044.67</v>
      </c>
      <c r="AF61" s="692">
        <f t="shared" si="9"/>
        <v>0</v>
      </c>
      <c r="AG61" s="38"/>
      <c r="AH61" s="692">
        <f t="shared" si="10"/>
        <v>0</v>
      </c>
      <c r="AI61" s="692">
        <f t="shared" si="11"/>
        <v>3000</v>
      </c>
      <c r="AJ61" s="692">
        <f t="shared" si="12"/>
        <v>0</v>
      </c>
      <c r="AL61" s="38">
        <f t="shared" si="13"/>
        <v>-4044.67</v>
      </c>
      <c r="AM61" s="68" t="s">
        <v>374</v>
      </c>
    </row>
    <row r="62" spans="1:39">
      <c r="A62" s="20"/>
      <c r="B62" s="20" t="s">
        <v>114</v>
      </c>
      <c r="C62" s="667"/>
      <c r="D62" s="68" t="s">
        <v>502</v>
      </c>
      <c r="E62" s="679"/>
      <c r="F62" s="529">
        <f>VLOOKUP(D62,'Mar14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c r="AM62" s="68" t="s">
        <v>502</v>
      </c>
    </row>
    <row r="63" spans="1:39">
      <c r="A63" s="21"/>
      <c r="B63" s="21" t="s">
        <v>110</v>
      </c>
      <c r="C63" s="666" t="s">
        <v>535</v>
      </c>
      <c r="D63" s="123" t="s">
        <v>517</v>
      </c>
      <c r="E63" s="679"/>
      <c r="F63" s="529">
        <f>VLOOKUP(D63,'Mar14 Revenue'!D:V,19,FALSE)</f>
        <v>19983.510000000009</v>
      </c>
      <c r="G63" s="680"/>
      <c r="H63" s="680"/>
      <c r="I63" s="755"/>
      <c r="J63" s="682">
        <f t="shared" si="0"/>
        <v>19983.510000000009</v>
      </c>
      <c r="K63" s="683"/>
      <c r="L63" s="684"/>
      <c r="M63" s="753">
        <v>575000</v>
      </c>
      <c r="N63" s="683">
        <v>0</v>
      </c>
      <c r="O63" s="686"/>
      <c r="P63" s="683">
        <v>0</v>
      </c>
      <c r="Q63" s="687">
        <f t="shared" si="1"/>
        <v>575000</v>
      </c>
      <c r="R63" s="687"/>
      <c r="S63" s="687"/>
      <c r="T63" s="688">
        <v>545437.94999999995</v>
      </c>
      <c r="U63" s="693"/>
      <c r="V63" s="690">
        <f t="shared" si="2"/>
        <v>-29562.050000000047</v>
      </c>
      <c r="W63" s="697"/>
      <c r="X63" s="474">
        <f t="shared" si="3"/>
        <v>575000</v>
      </c>
      <c r="Y63" s="474">
        <f t="shared" si="4"/>
        <v>0</v>
      </c>
      <c r="Z63" s="475">
        <f t="shared" si="5"/>
        <v>0</v>
      </c>
      <c r="AA63" s="475">
        <v>0</v>
      </c>
      <c r="AB63" s="476">
        <v>0</v>
      </c>
      <c r="AC63" s="38">
        <f t="shared" si="6"/>
        <v>0</v>
      </c>
      <c r="AD63" s="692">
        <f t="shared" si="7"/>
        <v>19983.510000000009</v>
      </c>
      <c r="AE63" s="692">
        <f t="shared" si="8"/>
        <v>0</v>
      </c>
      <c r="AF63" s="692">
        <f t="shared" si="9"/>
        <v>0</v>
      </c>
      <c r="AG63" s="38"/>
      <c r="AH63" s="692">
        <f t="shared" si="10"/>
        <v>575000</v>
      </c>
      <c r="AI63" s="692">
        <f t="shared" si="11"/>
        <v>0</v>
      </c>
      <c r="AJ63" s="692">
        <f t="shared" si="12"/>
        <v>0</v>
      </c>
      <c r="AL63" s="38">
        <f t="shared" si="13"/>
        <v>594983.51</v>
      </c>
      <c r="AM63" s="123" t="s">
        <v>517</v>
      </c>
    </row>
    <row r="64" spans="1:39">
      <c r="A64" s="20"/>
      <c r="B64" s="20" t="s">
        <v>110</v>
      </c>
      <c r="C64" s="667" t="s">
        <v>536</v>
      </c>
      <c r="D64" s="68" t="s">
        <v>450</v>
      </c>
      <c r="E64" s="679"/>
      <c r="F64" s="529">
        <f>VLOOKUP(D64,'Mar14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c r="AM64" s="68" t="s">
        <v>450</v>
      </c>
    </row>
    <row r="65" spans="1:39">
      <c r="A65" s="20"/>
      <c r="B65" s="20" t="s">
        <v>110</v>
      </c>
      <c r="C65" s="676"/>
      <c r="D65" s="68" t="s">
        <v>991</v>
      </c>
      <c r="E65" s="679"/>
      <c r="F65" s="529">
        <f>VLOOKUP(D65,'Mar14 Revenue'!D:V,19,FALSE)</f>
        <v>0</v>
      </c>
      <c r="G65" s="680"/>
      <c r="H65" s="680"/>
      <c r="I65" s="755"/>
      <c r="J65" s="682">
        <f t="shared" si="0"/>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c r="AM65" s="68" t="s">
        <v>991</v>
      </c>
    </row>
    <row r="66" spans="1:39">
      <c r="A66" s="20"/>
      <c r="B66" s="20" t="s">
        <v>110</v>
      </c>
      <c r="C66" s="676" t="s">
        <v>975</v>
      </c>
      <c r="D66" s="68" t="s">
        <v>976</v>
      </c>
      <c r="E66" s="679">
        <v>1149.67</v>
      </c>
      <c r="F66" s="529">
        <f>VLOOKUP(D66,'Mar14 Revenue'!D:V,19,FALSE)</f>
        <v>0</v>
      </c>
      <c r="G66" s="680"/>
      <c r="H66" s="680"/>
      <c r="I66" s="755"/>
      <c r="J66" s="682">
        <f t="shared" si="0"/>
        <v>1149.67</v>
      </c>
      <c r="K66" s="683"/>
      <c r="L66" s="684"/>
      <c r="M66" s="753"/>
      <c r="N66" s="683">
        <v>0</v>
      </c>
      <c r="O66" s="686"/>
      <c r="P66" s="683">
        <v>0</v>
      </c>
      <c r="Q66" s="687">
        <f t="shared" si="1"/>
        <v>0</v>
      </c>
      <c r="R66" s="687"/>
      <c r="S66" s="687"/>
      <c r="T66" s="688">
        <v>1298.3800000000001</v>
      </c>
      <c r="U66" s="693"/>
      <c r="V66" s="690">
        <f t="shared" si="2"/>
        <v>1298.3800000000001</v>
      </c>
      <c r="W66" s="683"/>
      <c r="X66" s="474">
        <f t="shared" si="3"/>
        <v>0</v>
      </c>
      <c r="Y66" s="474">
        <f t="shared" si="4"/>
        <v>0</v>
      </c>
      <c r="Z66" s="475">
        <f t="shared" si="5"/>
        <v>0</v>
      </c>
      <c r="AA66" s="475">
        <v>0</v>
      </c>
      <c r="AB66" s="476">
        <v>0</v>
      </c>
      <c r="AC66" s="38">
        <f t="shared" si="6"/>
        <v>0</v>
      </c>
      <c r="AD66" s="692">
        <f t="shared" si="7"/>
        <v>1149.67</v>
      </c>
      <c r="AE66" s="692">
        <f t="shared" si="8"/>
        <v>0</v>
      </c>
      <c r="AF66" s="692">
        <f t="shared" si="9"/>
        <v>0</v>
      </c>
      <c r="AG66" s="38"/>
      <c r="AH66" s="692">
        <f t="shared" si="10"/>
        <v>0</v>
      </c>
      <c r="AI66" s="692">
        <f t="shared" si="11"/>
        <v>0</v>
      </c>
      <c r="AJ66" s="692">
        <f t="shared" si="12"/>
        <v>0</v>
      </c>
      <c r="AL66" s="38">
        <f t="shared" si="13"/>
        <v>1149.67</v>
      </c>
      <c r="AM66" s="68" t="s">
        <v>976</v>
      </c>
    </row>
    <row r="67" spans="1:39">
      <c r="A67" s="21" t="s">
        <v>109</v>
      </c>
      <c r="B67" s="21" t="s">
        <v>110</v>
      </c>
      <c r="C67" s="666"/>
      <c r="D67" s="68" t="s">
        <v>438</v>
      </c>
      <c r="E67" s="679"/>
      <c r="F67" s="529">
        <f>VLOOKUP(D67,'Mar14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438</v>
      </c>
    </row>
    <row r="68" spans="1:39">
      <c r="A68" s="21"/>
      <c r="B68" s="21" t="s">
        <v>110</v>
      </c>
      <c r="C68" s="666"/>
      <c r="D68" s="68" t="s">
        <v>628</v>
      </c>
      <c r="E68" s="679"/>
      <c r="F68" s="529">
        <f>VLOOKUP(D68,'Mar14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97"/>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628</v>
      </c>
    </row>
    <row r="69" spans="1:39">
      <c r="A69" s="21"/>
      <c r="B69" s="21" t="s">
        <v>110</v>
      </c>
      <c r="C69" s="666"/>
      <c r="D69" s="68" t="s">
        <v>956</v>
      </c>
      <c r="E69" s="679"/>
      <c r="F69" s="529">
        <f>VLOOKUP(D69,'Mar14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956</v>
      </c>
    </row>
    <row r="70" spans="1:39" s="232" customFormat="1">
      <c r="A70" s="283" t="s">
        <v>211</v>
      </c>
      <c r="B70" s="283" t="s">
        <v>110</v>
      </c>
      <c r="C70" s="667" t="s">
        <v>538</v>
      </c>
      <c r="D70" s="123" t="s">
        <v>170</v>
      </c>
      <c r="E70" s="679"/>
      <c r="F70" s="529">
        <f>VLOOKUP(D70,'Mar14 Revenue'!D:V,19,FALSE)</f>
        <v>-53895.300000000047</v>
      </c>
      <c r="G70" s="680"/>
      <c r="H70" s="680"/>
      <c r="I70" s="755"/>
      <c r="J70" s="682">
        <f t="shared" si="0"/>
        <v>-53895.300000000047</v>
      </c>
      <c r="K70" s="683"/>
      <c r="L70" s="684"/>
      <c r="M70" s="753">
        <v>185000</v>
      </c>
      <c r="N70" s="683">
        <v>0</v>
      </c>
      <c r="O70" s="686"/>
      <c r="P70" s="683">
        <v>0</v>
      </c>
      <c r="Q70" s="687">
        <f t="shared" si="1"/>
        <v>185000</v>
      </c>
      <c r="R70" s="687"/>
      <c r="S70" s="687"/>
      <c r="T70" s="688">
        <v>0</v>
      </c>
      <c r="U70" s="693"/>
      <c r="V70" s="690">
        <f t="shared" si="2"/>
        <v>-185000</v>
      </c>
      <c r="W70" s="683"/>
      <c r="X70" s="474">
        <f t="shared" si="3"/>
        <v>185000</v>
      </c>
      <c r="Y70" s="474">
        <f t="shared" si="4"/>
        <v>0</v>
      </c>
      <c r="Z70" s="475">
        <f t="shared" si="5"/>
        <v>0</v>
      </c>
      <c r="AA70" s="475">
        <v>0</v>
      </c>
      <c r="AB70" s="476">
        <v>0</v>
      </c>
      <c r="AC70" s="38">
        <f t="shared" si="6"/>
        <v>0</v>
      </c>
      <c r="AD70" s="692">
        <f t="shared" si="7"/>
        <v>-53895.300000000047</v>
      </c>
      <c r="AE70" s="692">
        <f t="shared" si="8"/>
        <v>0</v>
      </c>
      <c r="AF70" s="692">
        <f t="shared" si="9"/>
        <v>0</v>
      </c>
      <c r="AG70" s="38"/>
      <c r="AH70" s="692">
        <f t="shared" si="10"/>
        <v>185000</v>
      </c>
      <c r="AI70" s="692">
        <f t="shared" si="11"/>
        <v>0</v>
      </c>
      <c r="AJ70" s="692">
        <f t="shared" si="12"/>
        <v>0</v>
      </c>
      <c r="AL70" s="38">
        <f t="shared" si="13"/>
        <v>131104.69999999995</v>
      </c>
      <c r="AM70" s="123" t="s">
        <v>170</v>
      </c>
    </row>
    <row r="71" spans="1:39" s="232" customFormat="1">
      <c r="A71" s="283" t="s">
        <v>211</v>
      </c>
      <c r="B71" s="283" t="s">
        <v>110</v>
      </c>
      <c r="C71" s="667" t="s">
        <v>538</v>
      </c>
      <c r="D71" s="123" t="s">
        <v>171</v>
      </c>
      <c r="E71" s="679"/>
      <c r="F71" s="529">
        <f>VLOOKUP(D71,'Mar14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171</v>
      </c>
    </row>
    <row r="72" spans="1:39" s="232" customFormat="1" hidden="1">
      <c r="A72" s="283" t="s">
        <v>211</v>
      </c>
      <c r="B72" s="283" t="s">
        <v>110</v>
      </c>
      <c r="C72" s="667" t="s">
        <v>538</v>
      </c>
      <c r="D72" s="123" t="s">
        <v>13</v>
      </c>
      <c r="E72" s="679"/>
      <c r="F72" s="529">
        <f>VLOOKUP(D72,'Mar14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13</v>
      </c>
    </row>
    <row r="73" spans="1:39" s="232" customFormat="1" hidden="1">
      <c r="A73" s="283" t="s">
        <v>211</v>
      </c>
      <c r="B73" s="283" t="s">
        <v>110</v>
      </c>
      <c r="C73" s="667" t="s">
        <v>538</v>
      </c>
      <c r="D73" s="123" t="s">
        <v>172</v>
      </c>
      <c r="E73" s="679"/>
      <c r="F73" s="529">
        <f>VLOOKUP(D73,'Mar14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172</v>
      </c>
    </row>
    <row r="74" spans="1:39" s="232" customFormat="1" hidden="1">
      <c r="A74" s="283" t="s">
        <v>211</v>
      </c>
      <c r="B74" s="283" t="s">
        <v>110</v>
      </c>
      <c r="C74" s="667" t="s">
        <v>538</v>
      </c>
      <c r="D74" s="123" t="s">
        <v>173</v>
      </c>
      <c r="E74" s="679"/>
      <c r="F74" s="529">
        <f>VLOOKUP(D74,'Mar14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173</v>
      </c>
    </row>
    <row r="75" spans="1:39" s="232" customFormat="1" hidden="1">
      <c r="A75" s="283" t="s">
        <v>211</v>
      </c>
      <c r="B75" s="283" t="s">
        <v>110</v>
      </c>
      <c r="C75" s="667" t="s">
        <v>538</v>
      </c>
      <c r="D75" s="123" t="s">
        <v>174</v>
      </c>
      <c r="E75" s="679"/>
      <c r="F75" s="529">
        <f>VLOOKUP(D75,'Mar14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174</v>
      </c>
    </row>
    <row r="76" spans="1:39" s="232" customFormat="1">
      <c r="A76" s="283"/>
      <c r="B76" s="283" t="s">
        <v>109</v>
      </c>
      <c r="C76" s="794"/>
      <c r="D76" s="351" t="s">
        <v>14</v>
      </c>
      <c r="E76" s="679"/>
      <c r="F76" s="529">
        <f>VLOOKUP(D76,'Mar14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351" t="s">
        <v>14</v>
      </c>
    </row>
    <row r="77" spans="1:39" hidden="1">
      <c r="A77" s="20"/>
      <c r="B77" s="20" t="s">
        <v>110</v>
      </c>
      <c r="C77" s="667"/>
      <c r="D77" s="68" t="s">
        <v>15</v>
      </c>
      <c r="E77" s="679"/>
      <c r="F77" s="529">
        <f>VLOOKUP(D77,'Mar14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68" t="s">
        <v>15</v>
      </c>
    </row>
    <row r="78" spans="1:39">
      <c r="A78" s="20"/>
      <c r="B78" s="20" t="s">
        <v>110</v>
      </c>
      <c r="C78" s="667"/>
      <c r="D78" s="68" t="s">
        <v>646</v>
      </c>
      <c r="E78" s="679"/>
      <c r="F78" s="529">
        <f>VLOOKUP(D78,'Mar14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c r="AM78" s="68" t="s">
        <v>646</v>
      </c>
    </row>
    <row r="79" spans="1:39">
      <c r="A79" s="20"/>
      <c r="B79" s="20" t="s">
        <v>110</v>
      </c>
      <c r="C79" s="676" t="s">
        <v>1078</v>
      </c>
      <c r="D79" s="68" t="s">
        <v>988</v>
      </c>
      <c r="E79" s="679"/>
      <c r="F79" s="529">
        <f>VLOOKUP(D79,'Mar14 Revenue'!D:V,19,FALSE)</f>
        <v>0</v>
      </c>
      <c r="G79" s="680"/>
      <c r="H79" s="680"/>
      <c r="I79" s="755"/>
      <c r="J79" s="682">
        <f t="shared" si="0"/>
        <v>0</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c r="AM79" s="68" t="s">
        <v>988</v>
      </c>
    </row>
    <row r="80" spans="1:39">
      <c r="A80" s="20" t="s">
        <v>109</v>
      </c>
      <c r="B80" s="20" t="s">
        <v>109</v>
      </c>
      <c r="C80" s="667" t="s">
        <v>539</v>
      </c>
      <c r="D80" s="68" t="s">
        <v>510</v>
      </c>
      <c r="E80" s="679"/>
      <c r="F80" s="529">
        <f>VLOOKUP(D80,'Mar14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ref="V80:V143" si="14">IF(T80="","",T80-Q80)</f>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510</v>
      </c>
    </row>
    <row r="81" spans="1:39">
      <c r="A81" s="20"/>
      <c r="B81" s="20" t="s">
        <v>109</v>
      </c>
      <c r="C81" s="667"/>
      <c r="D81" s="68" t="s">
        <v>16</v>
      </c>
      <c r="E81" s="679"/>
      <c r="F81" s="529">
        <f>VLOOKUP(D81,'Mar14 Revenue'!D:V,19,FALSE)</f>
        <v>0</v>
      </c>
      <c r="G81" s="680"/>
      <c r="H81" s="680"/>
      <c r="I81" s="755"/>
      <c r="J81" s="682">
        <f t="shared" si="0"/>
        <v>0</v>
      </c>
      <c r="K81" s="683"/>
      <c r="L81" s="684"/>
      <c r="M81" s="753"/>
      <c r="N81" s="683">
        <v>0</v>
      </c>
      <c r="O81" s="686"/>
      <c r="P81" s="683">
        <v>0</v>
      </c>
      <c r="Q81" s="687">
        <f t="shared" si="1"/>
        <v>0</v>
      </c>
      <c r="R81" s="687"/>
      <c r="S81" s="687"/>
      <c r="T81" s="688">
        <v>0</v>
      </c>
      <c r="U81" s="693"/>
      <c r="V81" s="690">
        <f t="shared" si="14"/>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3"/>
        <v>0</v>
      </c>
      <c r="AM81" s="68" t="s">
        <v>16</v>
      </c>
    </row>
    <row r="82" spans="1:39">
      <c r="A82" s="20"/>
      <c r="B82" s="20" t="s">
        <v>110</v>
      </c>
      <c r="C82" s="667"/>
      <c r="D82" s="68" t="s">
        <v>597</v>
      </c>
      <c r="E82" s="679"/>
      <c r="F82" s="529">
        <f>VLOOKUP(D82,'Mar14 Revenue'!D:V,19,FALSE)</f>
        <v>29574</v>
      </c>
      <c r="G82" s="680"/>
      <c r="H82" s="680"/>
      <c r="I82" s="755"/>
      <c r="J82" s="682">
        <f t="shared" si="0"/>
        <v>29574</v>
      </c>
      <c r="K82" s="683"/>
      <c r="L82" s="684"/>
      <c r="M82" s="753">
        <v>850000</v>
      </c>
      <c r="N82" s="683">
        <v>0</v>
      </c>
      <c r="O82" s="686"/>
      <c r="P82" s="683">
        <v>0</v>
      </c>
      <c r="Q82" s="687">
        <f t="shared" si="1"/>
        <v>850000</v>
      </c>
      <c r="R82" s="687"/>
      <c r="S82" s="687"/>
      <c r="T82" s="688">
        <f>63710.74+23321.63+3581.17+1160.03+6771.01+257416.87+65692.44+41960.07+5.33+5616.77+45997.06+3634.07+1050.5+2719.75+7562.27+754.74+323857.07</f>
        <v>854811.52</v>
      </c>
      <c r="U82" s="693"/>
      <c r="V82" s="690">
        <f t="shared" si="14"/>
        <v>4811.5200000000186</v>
      </c>
      <c r="W82" s="683"/>
      <c r="X82" s="474">
        <f t="shared" si="3"/>
        <v>850000</v>
      </c>
      <c r="Y82" s="474">
        <f t="shared" si="4"/>
        <v>0</v>
      </c>
      <c r="Z82" s="475">
        <f t="shared" si="5"/>
        <v>0</v>
      </c>
      <c r="AA82" s="475">
        <v>0</v>
      </c>
      <c r="AB82" s="476">
        <v>0</v>
      </c>
      <c r="AC82" s="38">
        <f t="shared" si="6"/>
        <v>0</v>
      </c>
      <c r="AD82" s="692">
        <f t="shared" si="7"/>
        <v>29574</v>
      </c>
      <c r="AE82" s="692">
        <f t="shared" si="8"/>
        <v>0</v>
      </c>
      <c r="AF82" s="692">
        <f t="shared" si="9"/>
        <v>0</v>
      </c>
      <c r="AG82" s="38"/>
      <c r="AH82" s="692">
        <f t="shared" si="10"/>
        <v>850000</v>
      </c>
      <c r="AI82" s="692">
        <f t="shared" si="11"/>
        <v>0</v>
      </c>
      <c r="AJ82" s="692">
        <f t="shared" si="12"/>
        <v>0</v>
      </c>
      <c r="AL82" s="38">
        <f t="shared" si="13"/>
        <v>879574</v>
      </c>
      <c r="AM82" s="68" t="s">
        <v>597</v>
      </c>
    </row>
    <row r="83" spans="1:39" s="232" customFormat="1">
      <c r="A83" s="283"/>
      <c r="B83" s="283" t="s">
        <v>109</v>
      </c>
      <c r="C83" s="667" t="s">
        <v>540</v>
      </c>
      <c r="D83" s="373" t="s">
        <v>410</v>
      </c>
      <c r="E83" s="679"/>
      <c r="F83" s="529">
        <f>VLOOKUP(D83,'Mar14 Revenue'!D:V,19,FALSE)</f>
        <v>0</v>
      </c>
      <c r="G83" s="680"/>
      <c r="H83" s="680"/>
      <c r="I83" s="755"/>
      <c r="J83" s="682">
        <f t="shared" si="0"/>
        <v>0</v>
      </c>
      <c r="K83" s="683"/>
      <c r="L83" s="684"/>
      <c r="M83" s="753"/>
      <c r="N83" s="683">
        <v>0</v>
      </c>
      <c r="O83" s="686"/>
      <c r="P83" s="683">
        <v>0</v>
      </c>
      <c r="Q83" s="687">
        <f t="shared" si="1"/>
        <v>0</v>
      </c>
      <c r="R83" s="687"/>
      <c r="S83" s="687"/>
      <c r="T83" s="688">
        <v>0</v>
      </c>
      <c r="U83" s="693"/>
      <c r="V83" s="690">
        <f t="shared" si="14"/>
        <v>0</v>
      </c>
      <c r="W83" s="683"/>
      <c r="X83" s="474">
        <f t="shared" si="3"/>
        <v>0</v>
      </c>
      <c r="Y83" s="474">
        <f t="shared" si="4"/>
        <v>0</v>
      </c>
      <c r="Z83" s="475">
        <f t="shared" si="5"/>
        <v>0</v>
      </c>
      <c r="AA83" s="475">
        <v>0</v>
      </c>
      <c r="AB83" s="476">
        <v>0</v>
      </c>
      <c r="AC83" s="38">
        <f t="shared" si="6"/>
        <v>0</v>
      </c>
      <c r="AD83" s="692">
        <f t="shared" si="7"/>
        <v>0</v>
      </c>
      <c r="AE83" s="692">
        <f t="shared" si="8"/>
        <v>0</v>
      </c>
      <c r="AF83" s="692">
        <f t="shared" si="9"/>
        <v>0</v>
      </c>
      <c r="AG83" s="38"/>
      <c r="AH83" s="692">
        <f t="shared" si="10"/>
        <v>0</v>
      </c>
      <c r="AI83" s="692">
        <f t="shared" si="11"/>
        <v>0</v>
      </c>
      <c r="AJ83" s="692">
        <f t="shared" si="12"/>
        <v>0</v>
      </c>
      <c r="AL83" s="38">
        <f t="shared" si="13"/>
        <v>0</v>
      </c>
      <c r="AM83" s="373" t="s">
        <v>410</v>
      </c>
    </row>
    <row r="84" spans="1:39" s="232" customFormat="1">
      <c r="A84" s="283"/>
      <c r="B84" s="283" t="s">
        <v>109</v>
      </c>
      <c r="C84" s="667" t="s">
        <v>540</v>
      </c>
      <c r="D84" s="373" t="s">
        <v>879</v>
      </c>
      <c r="E84" s="679"/>
      <c r="F84" s="529">
        <f>VLOOKUP(D84,'Mar14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14"/>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879</v>
      </c>
    </row>
    <row r="85" spans="1:39" s="232" customFormat="1">
      <c r="A85" s="283"/>
      <c r="B85" s="283" t="s">
        <v>109</v>
      </c>
      <c r="C85" s="667" t="s">
        <v>540</v>
      </c>
      <c r="D85" s="373" t="s">
        <v>620</v>
      </c>
      <c r="E85" s="679"/>
      <c r="F85" s="529">
        <f>VLOOKUP(D85,'Mar14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14"/>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73" t="s">
        <v>620</v>
      </c>
    </row>
    <row r="86" spans="1:39">
      <c r="A86" s="20"/>
      <c r="B86" s="20" t="s">
        <v>110</v>
      </c>
      <c r="C86" s="667" t="s">
        <v>541</v>
      </c>
      <c r="D86" s="351" t="s">
        <v>507</v>
      </c>
      <c r="E86" s="679">
        <v>48.8</v>
      </c>
      <c r="F86" s="529">
        <f>VLOOKUP(D86,'Mar14 Revenue'!D:V,19,FALSE)</f>
        <v>0</v>
      </c>
      <c r="G86" s="680"/>
      <c r="H86" s="680"/>
      <c r="I86" s="755"/>
      <c r="J86" s="682">
        <f t="shared" si="0"/>
        <v>48.8</v>
      </c>
      <c r="K86" s="683"/>
      <c r="L86" s="684"/>
      <c r="M86" s="753"/>
      <c r="N86" s="683">
        <v>0</v>
      </c>
      <c r="O86" s="686"/>
      <c r="P86" s="683">
        <v>0</v>
      </c>
      <c r="Q86" s="687">
        <f t="shared" si="1"/>
        <v>0</v>
      </c>
      <c r="R86" s="687"/>
      <c r="S86" s="687"/>
      <c r="T86" s="688">
        <v>0</v>
      </c>
      <c r="U86" s="693"/>
      <c r="V86" s="690">
        <f t="shared" si="14"/>
        <v>0</v>
      </c>
      <c r="W86" s="683"/>
      <c r="X86" s="474">
        <f t="shared" si="3"/>
        <v>0</v>
      </c>
      <c r="Y86" s="474">
        <f t="shared" si="4"/>
        <v>0</v>
      </c>
      <c r="Z86" s="475">
        <f t="shared" si="5"/>
        <v>0</v>
      </c>
      <c r="AA86" s="475">
        <v>0</v>
      </c>
      <c r="AB86" s="476">
        <v>0</v>
      </c>
      <c r="AC86" s="38">
        <f t="shared" si="6"/>
        <v>0</v>
      </c>
      <c r="AD86" s="692">
        <f t="shared" si="7"/>
        <v>48.8</v>
      </c>
      <c r="AE86" s="692">
        <f t="shared" si="8"/>
        <v>0</v>
      </c>
      <c r="AF86" s="692">
        <f t="shared" si="9"/>
        <v>0</v>
      </c>
      <c r="AG86" s="38"/>
      <c r="AH86" s="692">
        <f t="shared" si="10"/>
        <v>0</v>
      </c>
      <c r="AI86" s="692">
        <f t="shared" si="11"/>
        <v>0</v>
      </c>
      <c r="AJ86" s="692">
        <f t="shared" si="12"/>
        <v>0</v>
      </c>
      <c r="AL86" s="38">
        <f t="shared" si="13"/>
        <v>48.8</v>
      </c>
      <c r="AM86" s="351" t="s">
        <v>507</v>
      </c>
    </row>
    <row r="87" spans="1:39">
      <c r="A87" s="20"/>
      <c r="B87" s="20" t="s">
        <v>110</v>
      </c>
      <c r="C87" s="667" t="s">
        <v>541</v>
      </c>
      <c r="D87" s="351" t="s">
        <v>506</v>
      </c>
      <c r="E87" s="679">
        <v>7859.13</v>
      </c>
      <c r="F87" s="529">
        <f>VLOOKUP(D87,'Mar14 Revenue'!D:V,19,FALSE)</f>
        <v>0</v>
      </c>
      <c r="G87" s="680"/>
      <c r="H87" s="680"/>
      <c r="I87" s="755"/>
      <c r="J87" s="682">
        <f t="shared" ref="J87:J156" si="15">SUM(E87:I87)</f>
        <v>7859.13</v>
      </c>
      <c r="K87" s="683"/>
      <c r="L87" s="684"/>
      <c r="M87" s="753"/>
      <c r="N87" s="683">
        <v>0</v>
      </c>
      <c r="O87" s="686"/>
      <c r="P87" s="683">
        <v>0</v>
      </c>
      <c r="Q87" s="687">
        <f t="shared" si="1"/>
        <v>0</v>
      </c>
      <c r="R87" s="687"/>
      <c r="S87" s="687"/>
      <c r="T87" s="688">
        <v>0</v>
      </c>
      <c r="U87" s="693"/>
      <c r="V87" s="690">
        <f t="shared" si="14"/>
        <v>0</v>
      </c>
      <c r="W87" s="683"/>
      <c r="X87" s="474">
        <f t="shared" si="3"/>
        <v>0</v>
      </c>
      <c r="Y87" s="474">
        <f t="shared" si="4"/>
        <v>0</v>
      </c>
      <c r="Z87" s="475">
        <f t="shared" si="5"/>
        <v>0</v>
      </c>
      <c r="AA87" s="475">
        <v>0</v>
      </c>
      <c r="AB87" s="476">
        <v>0</v>
      </c>
      <c r="AC87" s="38">
        <f t="shared" si="6"/>
        <v>0</v>
      </c>
      <c r="AD87" s="692">
        <f t="shared" ref="AD87:AD156" si="16">IF(B87="D",J87,0)</f>
        <v>7859.13</v>
      </c>
      <c r="AE87" s="692">
        <f t="shared" ref="AE87:AE156" si="17">IF(B87="M",J87,0)</f>
        <v>0</v>
      </c>
      <c r="AF87" s="692">
        <f t="shared" ref="AF87:AF156" si="18">IF(B87="V",J87,0)</f>
        <v>0</v>
      </c>
      <c r="AG87" s="38"/>
      <c r="AH87" s="692">
        <f t="shared" si="10"/>
        <v>0</v>
      </c>
      <c r="AI87" s="692">
        <f t="shared" si="11"/>
        <v>0</v>
      </c>
      <c r="AJ87" s="692">
        <f t="shared" si="12"/>
        <v>0</v>
      </c>
      <c r="AL87" s="38">
        <f t="shared" si="13"/>
        <v>7859.13</v>
      </c>
      <c r="AM87" s="351" t="s">
        <v>506</v>
      </c>
    </row>
    <row r="88" spans="1:39">
      <c r="A88" s="20"/>
      <c r="B88" s="20" t="s">
        <v>110</v>
      </c>
      <c r="C88" s="667" t="s">
        <v>542</v>
      </c>
      <c r="D88" s="68" t="s">
        <v>305</v>
      </c>
      <c r="E88" s="679"/>
      <c r="F88" s="529">
        <f>VLOOKUP(D88,'Mar14 Revenue'!D:V,19,FALSE)</f>
        <v>-1662.6099999999997</v>
      </c>
      <c r="G88" s="680"/>
      <c r="H88" s="680"/>
      <c r="I88" s="755"/>
      <c r="J88" s="682">
        <f t="shared" si="15"/>
        <v>-1662.6099999999997</v>
      </c>
      <c r="K88" s="683"/>
      <c r="L88" s="684"/>
      <c r="M88" s="753">
        <v>5000</v>
      </c>
      <c r="N88" s="683">
        <v>0</v>
      </c>
      <c r="O88" s="686"/>
      <c r="P88" s="683">
        <v>0</v>
      </c>
      <c r="Q88" s="687">
        <f t="shared" si="1"/>
        <v>5000</v>
      </c>
      <c r="R88" s="687"/>
      <c r="S88" s="687"/>
      <c r="T88" s="688">
        <v>0</v>
      </c>
      <c r="U88" s="693"/>
      <c r="V88" s="690">
        <f t="shared" si="14"/>
        <v>-5000</v>
      </c>
      <c r="W88" s="683"/>
      <c r="X88" s="474">
        <f t="shared" ref="X88:X158" si="19">IF(B88="D",Q88,0)</f>
        <v>5000</v>
      </c>
      <c r="Y88" s="474">
        <f t="shared" ref="Y88:Y158" si="20">IF(B88="M",Q88,0)</f>
        <v>0</v>
      </c>
      <c r="Z88" s="475">
        <f t="shared" ref="Z88:Z158" si="21">IF(B88="V",Q88,0)</f>
        <v>0</v>
      </c>
      <c r="AA88" s="475">
        <v>0</v>
      </c>
      <c r="AB88" s="476">
        <v>0</v>
      </c>
      <c r="AC88" s="38">
        <f t="shared" ref="AC88:AC158" si="22">(L88+M88)-(X88+Y88+Z88+AA88+AB88)</f>
        <v>0</v>
      </c>
      <c r="AD88" s="692">
        <f t="shared" si="16"/>
        <v>-1662.6099999999997</v>
      </c>
      <c r="AE88" s="692">
        <f t="shared" si="17"/>
        <v>0</v>
      </c>
      <c r="AF88" s="692">
        <f t="shared" si="18"/>
        <v>0</v>
      </c>
      <c r="AG88" s="38"/>
      <c r="AH88" s="692">
        <f t="shared" ref="AH88:AH157" si="23">IF(B88="D",Q88,0)</f>
        <v>5000</v>
      </c>
      <c r="AI88" s="692">
        <f t="shared" ref="AI88:AI157" si="24">IF(B88="M",Q88,0)</f>
        <v>0</v>
      </c>
      <c r="AJ88" s="692">
        <f t="shared" ref="AJ88:AJ157" si="25">IF(B88="V",Q88,0)</f>
        <v>0</v>
      </c>
      <c r="AL88" s="38">
        <f t="shared" si="13"/>
        <v>3337.3900000000003</v>
      </c>
      <c r="AM88" s="68" t="s">
        <v>305</v>
      </c>
    </row>
    <row r="89" spans="1:39">
      <c r="A89" s="20"/>
      <c r="B89" s="20" t="s">
        <v>110</v>
      </c>
      <c r="C89" s="667" t="s">
        <v>543</v>
      </c>
      <c r="D89" s="68" t="s">
        <v>199</v>
      </c>
      <c r="E89" s="679">
        <v>187.87</v>
      </c>
      <c r="F89" s="529">
        <f>VLOOKUP(D89,'Mar14 Revenue'!D:V,19,FALSE)</f>
        <v>0</v>
      </c>
      <c r="G89" s="680"/>
      <c r="H89" s="680"/>
      <c r="I89" s="755"/>
      <c r="J89" s="682">
        <f t="shared" si="15"/>
        <v>187.87</v>
      </c>
      <c r="K89" s="683"/>
      <c r="L89" s="684"/>
      <c r="M89" s="753"/>
      <c r="N89" s="683">
        <v>0</v>
      </c>
      <c r="O89" s="686"/>
      <c r="P89" s="683">
        <v>0</v>
      </c>
      <c r="Q89" s="687">
        <f t="shared" si="1"/>
        <v>0</v>
      </c>
      <c r="R89" s="687"/>
      <c r="S89" s="687"/>
      <c r="T89" s="688">
        <v>0</v>
      </c>
      <c r="U89" s="693"/>
      <c r="V89" s="690">
        <f t="shared" si="14"/>
        <v>0</v>
      </c>
      <c r="W89" s="683"/>
      <c r="X89" s="474">
        <f t="shared" si="19"/>
        <v>0</v>
      </c>
      <c r="Y89" s="474">
        <f t="shared" si="20"/>
        <v>0</v>
      </c>
      <c r="Z89" s="475">
        <f t="shared" si="21"/>
        <v>0</v>
      </c>
      <c r="AA89" s="475">
        <v>0</v>
      </c>
      <c r="AB89" s="476">
        <v>0</v>
      </c>
      <c r="AC89" s="38">
        <f t="shared" si="22"/>
        <v>0</v>
      </c>
      <c r="AD89" s="692">
        <f t="shared" si="16"/>
        <v>187.87</v>
      </c>
      <c r="AE89" s="692">
        <f t="shared" si="17"/>
        <v>0</v>
      </c>
      <c r="AF89" s="692">
        <f t="shared" si="18"/>
        <v>0</v>
      </c>
      <c r="AG89" s="38"/>
      <c r="AH89" s="692">
        <f t="shared" si="23"/>
        <v>0</v>
      </c>
      <c r="AI89" s="692">
        <f t="shared" si="24"/>
        <v>0</v>
      </c>
      <c r="AJ89" s="692">
        <f t="shared" si="25"/>
        <v>0</v>
      </c>
      <c r="AL89" s="38">
        <f t="shared" ref="AL89:AL156" si="26">SUM(AD89:AJ89)</f>
        <v>187.87</v>
      </c>
      <c r="AM89" s="68" t="s">
        <v>199</v>
      </c>
    </row>
    <row r="90" spans="1:39">
      <c r="A90" s="20"/>
      <c r="B90" s="20" t="s">
        <v>110</v>
      </c>
      <c r="C90" s="667" t="s">
        <v>543</v>
      </c>
      <c r="D90" s="68" t="s">
        <v>200</v>
      </c>
      <c r="E90" s="679">
        <v>2730.7</v>
      </c>
      <c r="F90" s="529">
        <f>VLOOKUP(D90,'Mar14 Revenue'!D:V,19,FALSE)</f>
        <v>0</v>
      </c>
      <c r="G90" s="680"/>
      <c r="H90" s="680"/>
      <c r="I90" s="755"/>
      <c r="J90" s="682">
        <f t="shared" si="15"/>
        <v>2730.7</v>
      </c>
      <c r="K90" s="683"/>
      <c r="L90" s="684"/>
      <c r="M90" s="753"/>
      <c r="N90" s="683">
        <v>0</v>
      </c>
      <c r="O90" s="686"/>
      <c r="P90" s="683">
        <v>0</v>
      </c>
      <c r="Q90" s="687">
        <f t="shared" si="1"/>
        <v>0</v>
      </c>
      <c r="R90" s="687"/>
      <c r="S90" s="687"/>
      <c r="T90" s="688">
        <v>0</v>
      </c>
      <c r="U90" s="693"/>
      <c r="V90" s="690">
        <f t="shared" si="14"/>
        <v>0</v>
      </c>
      <c r="W90" s="683"/>
      <c r="X90" s="474">
        <f t="shared" si="19"/>
        <v>0</v>
      </c>
      <c r="Y90" s="474">
        <f t="shared" si="20"/>
        <v>0</v>
      </c>
      <c r="Z90" s="475">
        <f t="shared" si="21"/>
        <v>0</v>
      </c>
      <c r="AA90" s="475">
        <v>0</v>
      </c>
      <c r="AB90" s="476">
        <v>0</v>
      </c>
      <c r="AC90" s="38">
        <f t="shared" si="22"/>
        <v>0</v>
      </c>
      <c r="AD90" s="692">
        <f t="shared" si="16"/>
        <v>2730.7</v>
      </c>
      <c r="AE90" s="692">
        <f t="shared" si="17"/>
        <v>0</v>
      </c>
      <c r="AF90" s="692">
        <f t="shared" si="18"/>
        <v>0</v>
      </c>
      <c r="AG90" s="38"/>
      <c r="AH90" s="692">
        <f t="shared" si="23"/>
        <v>0</v>
      </c>
      <c r="AI90" s="692">
        <f t="shared" si="24"/>
        <v>0</v>
      </c>
      <c r="AJ90" s="692">
        <f t="shared" si="25"/>
        <v>0</v>
      </c>
      <c r="AL90" s="38">
        <f t="shared" si="26"/>
        <v>2730.7</v>
      </c>
      <c r="AM90" s="68" t="s">
        <v>200</v>
      </c>
    </row>
    <row r="91" spans="1:39">
      <c r="A91" s="20"/>
      <c r="B91" s="20" t="s">
        <v>110</v>
      </c>
      <c r="C91" s="667" t="s">
        <v>543</v>
      </c>
      <c r="D91" s="68" t="s">
        <v>201</v>
      </c>
      <c r="E91" s="679">
        <v>417.24</v>
      </c>
      <c r="F91" s="529">
        <f>VLOOKUP(D91,'Mar14 Revenue'!D:V,19,FALSE)</f>
        <v>0</v>
      </c>
      <c r="G91" s="680"/>
      <c r="H91" s="680"/>
      <c r="I91" s="755"/>
      <c r="J91" s="682">
        <f t="shared" si="15"/>
        <v>417.24</v>
      </c>
      <c r="K91" s="683"/>
      <c r="L91" s="684"/>
      <c r="M91" s="753"/>
      <c r="N91" s="683">
        <v>0</v>
      </c>
      <c r="O91" s="686"/>
      <c r="P91" s="683">
        <v>0</v>
      </c>
      <c r="Q91" s="687">
        <f t="shared" si="1"/>
        <v>0</v>
      </c>
      <c r="R91" s="687"/>
      <c r="S91" s="687"/>
      <c r="T91" s="688">
        <v>0</v>
      </c>
      <c r="U91" s="693"/>
      <c r="V91" s="690">
        <f t="shared" si="14"/>
        <v>0</v>
      </c>
      <c r="W91" s="683"/>
      <c r="X91" s="474">
        <f t="shared" si="19"/>
        <v>0</v>
      </c>
      <c r="Y91" s="474">
        <f t="shared" si="20"/>
        <v>0</v>
      </c>
      <c r="Z91" s="475">
        <f t="shared" si="21"/>
        <v>0</v>
      </c>
      <c r="AA91" s="475">
        <v>0</v>
      </c>
      <c r="AB91" s="476">
        <v>0</v>
      </c>
      <c r="AC91" s="38">
        <f t="shared" si="22"/>
        <v>0</v>
      </c>
      <c r="AD91" s="692">
        <f t="shared" si="16"/>
        <v>417.24</v>
      </c>
      <c r="AE91" s="692">
        <f t="shared" si="17"/>
        <v>0</v>
      </c>
      <c r="AF91" s="692">
        <f t="shared" si="18"/>
        <v>0</v>
      </c>
      <c r="AG91" s="38"/>
      <c r="AH91" s="692">
        <f t="shared" si="23"/>
        <v>0</v>
      </c>
      <c r="AI91" s="692">
        <f t="shared" si="24"/>
        <v>0</v>
      </c>
      <c r="AJ91" s="692">
        <f t="shared" si="25"/>
        <v>0</v>
      </c>
      <c r="AL91" s="38">
        <f t="shared" si="26"/>
        <v>417.24</v>
      </c>
      <c r="AM91" s="68" t="s">
        <v>201</v>
      </c>
    </row>
    <row r="92" spans="1:39">
      <c r="A92" s="21"/>
      <c r="B92" s="21" t="s">
        <v>110</v>
      </c>
      <c r="C92" s="666"/>
      <c r="D92" s="68" t="s">
        <v>1033</v>
      </c>
      <c r="E92" s="679"/>
      <c r="F92" s="529">
        <f>VLOOKUP(D92,'Mar14 Revenue'!D:V,19,FALSE)</f>
        <v>0</v>
      </c>
      <c r="G92" s="680"/>
      <c r="H92" s="680"/>
      <c r="I92" s="755"/>
      <c r="J92" s="682">
        <f t="shared" si="15"/>
        <v>0</v>
      </c>
      <c r="K92" s="683"/>
      <c r="L92" s="684"/>
      <c r="M92" s="753"/>
      <c r="N92" s="683">
        <v>0</v>
      </c>
      <c r="O92" s="686"/>
      <c r="P92" s="683">
        <v>0</v>
      </c>
      <c r="Q92" s="687">
        <f t="shared" si="1"/>
        <v>0</v>
      </c>
      <c r="R92" s="687"/>
      <c r="S92" s="687"/>
      <c r="T92" s="688">
        <v>0</v>
      </c>
      <c r="U92" s="693"/>
      <c r="V92" s="690">
        <f t="shared" si="14"/>
        <v>0</v>
      </c>
      <c r="W92" s="697"/>
      <c r="X92" s="474">
        <f t="shared" si="19"/>
        <v>0</v>
      </c>
      <c r="Y92" s="474">
        <f t="shared" si="20"/>
        <v>0</v>
      </c>
      <c r="Z92" s="475">
        <f t="shared" si="21"/>
        <v>0</v>
      </c>
      <c r="AA92" s="475">
        <v>0</v>
      </c>
      <c r="AB92" s="476">
        <v>0</v>
      </c>
      <c r="AC92" s="38">
        <f t="shared" si="22"/>
        <v>0</v>
      </c>
      <c r="AD92" s="692">
        <f t="shared" si="16"/>
        <v>0</v>
      </c>
      <c r="AE92" s="692">
        <f t="shared" si="17"/>
        <v>0</v>
      </c>
      <c r="AF92" s="692">
        <f t="shared" si="18"/>
        <v>0</v>
      </c>
      <c r="AG92" s="38"/>
      <c r="AH92" s="692">
        <f t="shared" si="23"/>
        <v>0</v>
      </c>
      <c r="AI92" s="692">
        <f t="shared" si="24"/>
        <v>0</v>
      </c>
      <c r="AJ92" s="692">
        <f t="shared" si="25"/>
        <v>0</v>
      </c>
      <c r="AL92" s="38">
        <f t="shared" si="26"/>
        <v>0</v>
      </c>
      <c r="AM92" s="68" t="s">
        <v>628</v>
      </c>
    </row>
    <row r="93" spans="1:39">
      <c r="A93" s="20" t="s">
        <v>97</v>
      </c>
      <c r="B93" s="20" t="s">
        <v>114</v>
      </c>
      <c r="C93" s="667"/>
      <c r="D93" s="68" t="s">
        <v>387</v>
      </c>
      <c r="E93" s="679"/>
      <c r="F93" s="529">
        <f>VLOOKUP(D93,'Mar14 Revenue'!D:V,19,FALSE)</f>
        <v>1255.5999999999985</v>
      </c>
      <c r="G93" s="680"/>
      <c r="H93" s="680"/>
      <c r="I93" s="755"/>
      <c r="J93" s="682">
        <f t="shared" si="15"/>
        <v>1255.5999999999985</v>
      </c>
      <c r="K93" s="683"/>
      <c r="L93" s="684"/>
      <c r="M93" s="753">
        <v>25000</v>
      </c>
      <c r="N93" s="683">
        <v>0</v>
      </c>
      <c r="O93" s="686"/>
      <c r="P93" s="683">
        <v>0</v>
      </c>
      <c r="Q93" s="687">
        <f t="shared" si="1"/>
        <v>25000</v>
      </c>
      <c r="R93" s="687"/>
      <c r="S93" s="687"/>
      <c r="T93" s="688">
        <v>17144.009999999998</v>
      </c>
      <c r="U93" s="693"/>
      <c r="V93" s="690">
        <f t="shared" si="14"/>
        <v>-7855.9900000000016</v>
      </c>
      <c r="W93" s="683"/>
      <c r="X93" s="474">
        <f t="shared" si="19"/>
        <v>0</v>
      </c>
      <c r="Y93" s="474">
        <f t="shared" si="20"/>
        <v>0</v>
      </c>
      <c r="Z93" s="475">
        <f t="shared" si="21"/>
        <v>25000</v>
      </c>
      <c r="AA93" s="475">
        <v>0</v>
      </c>
      <c r="AB93" s="476">
        <v>0</v>
      </c>
      <c r="AC93" s="38">
        <f t="shared" si="22"/>
        <v>0</v>
      </c>
      <c r="AD93" s="692">
        <f t="shared" si="16"/>
        <v>0</v>
      </c>
      <c r="AE93" s="692">
        <f t="shared" si="17"/>
        <v>0</v>
      </c>
      <c r="AF93" s="692">
        <f t="shared" si="18"/>
        <v>1255.5999999999985</v>
      </c>
      <c r="AG93" s="38"/>
      <c r="AH93" s="692">
        <f t="shared" si="23"/>
        <v>0</v>
      </c>
      <c r="AI93" s="692">
        <f t="shared" si="24"/>
        <v>0</v>
      </c>
      <c r="AJ93" s="692">
        <f t="shared" si="25"/>
        <v>25000</v>
      </c>
      <c r="AL93" s="38">
        <f t="shared" si="26"/>
        <v>26255.599999999999</v>
      </c>
      <c r="AM93" s="68" t="s">
        <v>387</v>
      </c>
    </row>
    <row r="94" spans="1:39" hidden="1">
      <c r="A94" s="20" t="s">
        <v>97</v>
      </c>
      <c r="B94" s="20" t="s">
        <v>114</v>
      </c>
      <c r="C94" s="667"/>
      <c r="D94" s="68" t="s">
        <v>482</v>
      </c>
      <c r="E94" s="679"/>
      <c r="F94" s="529">
        <f>VLOOKUP(D94,'Mar14 Revenue'!D:V,19,FALSE)</f>
        <v>0</v>
      </c>
      <c r="G94" s="680"/>
      <c r="H94" s="680"/>
      <c r="I94" s="755"/>
      <c r="J94" s="682">
        <f t="shared" si="15"/>
        <v>0</v>
      </c>
      <c r="K94" s="683"/>
      <c r="L94" s="684"/>
      <c r="M94" s="753"/>
      <c r="N94" s="683"/>
      <c r="O94" s="686"/>
      <c r="P94" s="683"/>
      <c r="Q94" s="687">
        <f t="shared" si="1"/>
        <v>0</v>
      </c>
      <c r="R94" s="687"/>
      <c r="S94" s="687"/>
      <c r="T94" s="688">
        <v>0</v>
      </c>
      <c r="U94" s="693"/>
      <c r="V94" s="690">
        <f t="shared" si="14"/>
        <v>0</v>
      </c>
      <c r="W94" s="683"/>
      <c r="X94" s="474">
        <f t="shared" si="19"/>
        <v>0</v>
      </c>
      <c r="Y94" s="474">
        <f t="shared" si="20"/>
        <v>0</v>
      </c>
      <c r="Z94" s="475">
        <f t="shared" si="21"/>
        <v>0</v>
      </c>
      <c r="AA94" s="475">
        <v>0</v>
      </c>
      <c r="AB94" s="476">
        <v>0</v>
      </c>
      <c r="AC94" s="38">
        <f t="shared" si="22"/>
        <v>0</v>
      </c>
      <c r="AD94" s="692">
        <f t="shared" si="16"/>
        <v>0</v>
      </c>
      <c r="AE94" s="692">
        <f t="shared" si="17"/>
        <v>0</v>
      </c>
      <c r="AF94" s="692">
        <f t="shared" si="18"/>
        <v>0</v>
      </c>
      <c r="AG94" s="38"/>
      <c r="AH94" s="692">
        <f t="shared" si="23"/>
        <v>0</v>
      </c>
      <c r="AI94" s="692">
        <f t="shared" si="24"/>
        <v>0</v>
      </c>
      <c r="AJ94" s="692">
        <f t="shared" si="25"/>
        <v>0</v>
      </c>
      <c r="AL94" s="38">
        <f t="shared" si="26"/>
        <v>0</v>
      </c>
      <c r="AM94" s="68" t="s">
        <v>482</v>
      </c>
    </row>
    <row r="95" spans="1:39" hidden="1">
      <c r="A95" s="20" t="s">
        <v>109</v>
      </c>
      <c r="B95" s="20" t="s">
        <v>109</v>
      </c>
      <c r="C95" s="667" t="s">
        <v>544</v>
      </c>
      <c r="D95" s="68" t="s">
        <v>383</v>
      </c>
      <c r="E95" s="679"/>
      <c r="F95" s="529">
        <f>VLOOKUP(D95,'Mar14 Revenue'!D:V,19,FALSE)</f>
        <v>0</v>
      </c>
      <c r="G95" s="680"/>
      <c r="H95" s="680"/>
      <c r="I95" s="755"/>
      <c r="J95" s="682">
        <f t="shared" si="15"/>
        <v>0</v>
      </c>
      <c r="K95" s="683"/>
      <c r="L95" s="684"/>
      <c r="M95" s="753"/>
      <c r="N95" s="683">
        <v>0</v>
      </c>
      <c r="O95" s="686"/>
      <c r="P95" s="683">
        <v>0</v>
      </c>
      <c r="Q95" s="687">
        <f t="shared" si="1"/>
        <v>0</v>
      </c>
      <c r="R95" s="687"/>
      <c r="S95" s="687"/>
      <c r="T95" s="688">
        <v>0</v>
      </c>
      <c r="U95" s="693"/>
      <c r="V95" s="690">
        <f t="shared" si="14"/>
        <v>0</v>
      </c>
      <c r="W95" s="683"/>
      <c r="X95" s="474">
        <f t="shared" si="19"/>
        <v>0</v>
      </c>
      <c r="Y95" s="474">
        <f t="shared" si="20"/>
        <v>0</v>
      </c>
      <c r="Z95" s="475">
        <f t="shared" si="21"/>
        <v>0</v>
      </c>
      <c r="AA95" s="475">
        <v>0</v>
      </c>
      <c r="AB95" s="476">
        <v>0</v>
      </c>
      <c r="AC95" s="38">
        <f t="shared" si="22"/>
        <v>0</v>
      </c>
      <c r="AD95" s="692">
        <f t="shared" si="16"/>
        <v>0</v>
      </c>
      <c r="AE95" s="692">
        <f t="shared" si="17"/>
        <v>0</v>
      </c>
      <c r="AF95" s="692">
        <f t="shared" si="18"/>
        <v>0</v>
      </c>
      <c r="AG95" s="38"/>
      <c r="AH95" s="692">
        <f t="shared" si="23"/>
        <v>0</v>
      </c>
      <c r="AI95" s="692">
        <f t="shared" si="24"/>
        <v>0</v>
      </c>
      <c r="AJ95" s="692">
        <f t="shared" si="25"/>
        <v>0</v>
      </c>
      <c r="AL95" s="38">
        <f t="shared" si="26"/>
        <v>0</v>
      </c>
      <c r="AM95" s="68" t="s">
        <v>383</v>
      </c>
    </row>
    <row r="96" spans="1:39" hidden="1">
      <c r="A96" s="21" t="s">
        <v>211</v>
      </c>
      <c r="B96" s="21" t="s">
        <v>109</v>
      </c>
      <c r="C96" s="666" t="s">
        <v>545</v>
      </c>
      <c r="D96" s="68" t="s">
        <v>181</v>
      </c>
      <c r="E96" s="679"/>
      <c r="F96" s="529">
        <f>VLOOKUP(D96,'Mar14 Revenue'!D:V,19,FALSE)</f>
        <v>0</v>
      </c>
      <c r="G96" s="680"/>
      <c r="H96" s="680"/>
      <c r="I96" s="755"/>
      <c r="J96" s="682">
        <f t="shared" si="15"/>
        <v>0</v>
      </c>
      <c r="K96" s="683"/>
      <c r="L96" s="684"/>
      <c r="M96" s="753"/>
      <c r="N96" s="683">
        <v>0</v>
      </c>
      <c r="O96" s="686"/>
      <c r="P96" s="683">
        <v>0</v>
      </c>
      <c r="Q96" s="687">
        <f t="shared" si="1"/>
        <v>0</v>
      </c>
      <c r="R96" s="687"/>
      <c r="S96" s="687"/>
      <c r="T96" s="688">
        <v>0</v>
      </c>
      <c r="U96" s="693"/>
      <c r="V96" s="690">
        <f t="shared" si="14"/>
        <v>0</v>
      </c>
      <c r="W96" s="683"/>
      <c r="X96" s="474">
        <f t="shared" si="19"/>
        <v>0</v>
      </c>
      <c r="Y96" s="474">
        <f t="shared" si="20"/>
        <v>0</v>
      </c>
      <c r="Z96" s="475">
        <f t="shared" si="21"/>
        <v>0</v>
      </c>
      <c r="AA96" s="475">
        <v>0</v>
      </c>
      <c r="AB96" s="476">
        <v>0</v>
      </c>
      <c r="AC96" s="38">
        <f t="shared" si="22"/>
        <v>0</v>
      </c>
      <c r="AD96" s="692">
        <f t="shared" si="16"/>
        <v>0</v>
      </c>
      <c r="AE96" s="692">
        <f t="shared" si="17"/>
        <v>0</v>
      </c>
      <c r="AF96" s="692">
        <f t="shared" si="18"/>
        <v>0</v>
      </c>
      <c r="AG96" s="38"/>
      <c r="AH96" s="692">
        <f t="shared" si="23"/>
        <v>0</v>
      </c>
      <c r="AI96" s="692">
        <f t="shared" si="24"/>
        <v>0</v>
      </c>
      <c r="AJ96" s="692">
        <f t="shared" si="25"/>
        <v>0</v>
      </c>
      <c r="AL96" s="38">
        <f t="shared" si="26"/>
        <v>0</v>
      </c>
      <c r="AM96" s="68" t="s">
        <v>181</v>
      </c>
    </row>
    <row r="97" spans="1:39" hidden="1">
      <c r="A97" s="21" t="s">
        <v>211</v>
      </c>
      <c r="B97" s="21" t="s">
        <v>110</v>
      </c>
      <c r="C97" s="666"/>
      <c r="D97" s="68" t="s">
        <v>504</v>
      </c>
      <c r="E97" s="679"/>
      <c r="F97" s="529">
        <f>VLOOKUP(D97,'Mar14 Revenue'!D:V,19,FALSE)</f>
        <v>0</v>
      </c>
      <c r="G97" s="680"/>
      <c r="H97" s="680"/>
      <c r="I97" s="755"/>
      <c r="J97" s="682">
        <f t="shared" si="15"/>
        <v>0</v>
      </c>
      <c r="K97" s="683"/>
      <c r="L97" s="684"/>
      <c r="M97" s="753"/>
      <c r="N97" s="683">
        <v>0</v>
      </c>
      <c r="O97" s="686"/>
      <c r="P97" s="683">
        <v>0</v>
      </c>
      <c r="Q97" s="687">
        <f t="shared" si="1"/>
        <v>0</v>
      </c>
      <c r="R97" s="687"/>
      <c r="S97" s="687"/>
      <c r="T97" s="688">
        <v>0</v>
      </c>
      <c r="U97" s="693"/>
      <c r="V97" s="690">
        <f t="shared" si="14"/>
        <v>0</v>
      </c>
      <c r="W97" s="683"/>
      <c r="X97" s="474">
        <f t="shared" si="19"/>
        <v>0</v>
      </c>
      <c r="Y97" s="474">
        <f t="shared" si="20"/>
        <v>0</v>
      </c>
      <c r="Z97" s="475">
        <f t="shared" si="21"/>
        <v>0</v>
      </c>
      <c r="AA97" s="475">
        <v>0</v>
      </c>
      <c r="AB97" s="476">
        <v>0</v>
      </c>
      <c r="AC97" s="38">
        <f t="shared" si="22"/>
        <v>0</v>
      </c>
      <c r="AD97" s="692">
        <f t="shared" si="16"/>
        <v>0</v>
      </c>
      <c r="AE97" s="692">
        <f t="shared" si="17"/>
        <v>0</v>
      </c>
      <c r="AF97" s="692">
        <f t="shared" si="18"/>
        <v>0</v>
      </c>
      <c r="AG97" s="38"/>
      <c r="AH97" s="692">
        <f t="shared" si="23"/>
        <v>0</v>
      </c>
      <c r="AI97" s="692">
        <f t="shared" si="24"/>
        <v>0</v>
      </c>
      <c r="AJ97" s="692">
        <f t="shared" si="25"/>
        <v>0</v>
      </c>
      <c r="AL97" s="38">
        <f t="shared" si="26"/>
        <v>0</v>
      </c>
      <c r="AM97" s="68" t="s">
        <v>504</v>
      </c>
    </row>
    <row r="98" spans="1:39">
      <c r="A98" s="20" t="s">
        <v>211</v>
      </c>
      <c r="B98" s="20" t="s">
        <v>109</v>
      </c>
      <c r="C98" s="667" t="s">
        <v>546</v>
      </c>
      <c r="D98" s="68" t="s">
        <v>142</v>
      </c>
      <c r="E98" s="679"/>
      <c r="F98" s="529">
        <f>VLOOKUP(D98,'Mar14 Revenue'!D:V,19,FALSE)</f>
        <v>0</v>
      </c>
      <c r="G98" s="680"/>
      <c r="H98" s="680"/>
      <c r="I98" s="755"/>
      <c r="J98" s="682">
        <f t="shared" si="15"/>
        <v>0</v>
      </c>
      <c r="K98" s="683"/>
      <c r="L98" s="684"/>
      <c r="M98" s="753"/>
      <c r="N98" s="683">
        <v>0</v>
      </c>
      <c r="O98" s="686"/>
      <c r="P98" s="683">
        <v>0</v>
      </c>
      <c r="Q98" s="687">
        <f t="shared" si="1"/>
        <v>0</v>
      </c>
      <c r="R98" s="687"/>
      <c r="S98" s="687"/>
      <c r="T98" s="688">
        <v>179.2</v>
      </c>
      <c r="U98" s="693"/>
      <c r="V98" s="690">
        <f t="shared" si="14"/>
        <v>179.2</v>
      </c>
      <c r="W98" s="697"/>
      <c r="X98" s="474">
        <f t="shared" si="19"/>
        <v>0</v>
      </c>
      <c r="Y98" s="474">
        <f t="shared" si="20"/>
        <v>0</v>
      </c>
      <c r="Z98" s="475">
        <f t="shared" si="21"/>
        <v>0</v>
      </c>
      <c r="AA98" s="475">
        <v>0</v>
      </c>
      <c r="AB98" s="476">
        <v>0</v>
      </c>
      <c r="AC98" s="38">
        <f t="shared" si="22"/>
        <v>0</v>
      </c>
      <c r="AD98" s="692">
        <f t="shared" si="16"/>
        <v>0</v>
      </c>
      <c r="AE98" s="692">
        <f t="shared" si="17"/>
        <v>0</v>
      </c>
      <c r="AF98" s="692">
        <f t="shared" si="18"/>
        <v>0</v>
      </c>
      <c r="AG98" s="38"/>
      <c r="AH98" s="692">
        <f t="shared" si="23"/>
        <v>0</v>
      </c>
      <c r="AI98" s="692">
        <f t="shared" si="24"/>
        <v>0</v>
      </c>
      <c r="AJ98" s="692">
        <f t="shared" si="25"/>
        <v>0</v>
      </c>
      <c r="AL98" s="38">
        <f t="shared" si="26"/>
        <v>0</v>
      </c>
      <c r="AM98" s="68" t="s">
        <v>142</v>
      </c>
    </row>
    <row r="99" spans="1:39">
      <c r="A99" s="20" t="s">
        <v>211</v>
      </c>
      <c r="B99" s="20" t="s">
        <v>109</v>
      </c>
      <c r="C99" s="667" t="s">
        <v>546</v>
      </c>
      <c r="D99" s="68" t="s">
        <v>143</v>
      </c>
      <c r="E99" s="679"/>
      <c r="F99" s="529">
        <f>VLOOKUP(D99,'Mar14 Revenue'!D:V,19,FALSE)</f>
        <v>0</v>
      </c>
      <c r="G99" s="680"/>
      <c r="H99" s="680"/>
      <c r="I99" s="755"/>
      <c r="J99" s="682">
        <f t="shared" si="15"/>
        <v>0</v>
      </c>
      <c r="K99" s="683"/>
      <c r="L99" s="684"/>
      <c r="M99" s="753"/>
      <c r="N99" s="683">
        <v>0</v>
      </c>
      <c r="O99" s="686"/>
      <c r="P99" s="683">
        <v>0</v>
      </c>
      <c r="Q99" s="687">
        <f t="shared" si="1"/>
        <v>0</v>
      </c>
      <c r="R99" s="687"/>
      <c r="S99" s="687"/>
      <c r="T99" s="688">
        <v>57.68</v>
      </c>
      <c r="U99" s="693"/>
      <c r="V99" s="690">
        <f t="shared" si="14"/>
        <v>57.68</v>
      </c>
      <c r="W99" s="697"/>
      <c r="X99" s="474">
        <f t="shared" si="19"/>
        <v>0</v>
      </c>
      <c r="Y99" s="474">
        <f t="shared" si="20"/>
        <v>0</v>
      </c>
      <c r="Z99" s="475">
        <f t="shared" si="21"/>
        <v>0</v>
      </c>
      <c r="AA99" s="475">
        <v>0</v>
      </c>
      <c r="AB99" s="476">
        <v>0</v>
      </c>
      <c r="AC99" s="38">
        <f t="shared" si="22"/>
        <v>0</v>
      </c>
      <c r="AD99" s="692">
        <f t="shared" si="16"/>
        <v>0</v>
      </c>
      <c r="AE99" s="692">
        <f t="shared" si="17"/>
        <v>0</v>
      </c>
      <c r="AF99" s="692">
        <f t="shared" si="18"/>
        <v>0</v>
      </c>
      <c r="AG99" s="38"/>
      <c r="AH99" s="692">
        <f t="shared" si="23"/>
        <v>0</v>
      </c>
      <c r="AI99" s="692">
        <f t="shared" si="24"/>
        <v>0</v>
      </c>
      <c r="AJ99" s="692">
        <f t="shared" si="25"/>
        <v>0</v>
      </c>
      <c r="AL99" s="38">
        <f t="shared" si="26"/>
        <v>0</v>
      </c>
      <c r="AM99" s="68" t="s">
        <v>143</v>
      </c>
    </row>
    <row r="100" spans="1:39">
      <c r="A100" s="20"/>
      <c r="B100" s="20" t="s">
        <v>109</v>
      </c>
      <c r="C100" s="667"/>
      <c r="D100" s="68" t="s">
        <v>1014</v>
      </c>
      <c r="E100" s="679">
        <v>230.86</v>
      </c>
      <c r="F100" s="529">
        <f>VLOOKUP(D100,'Mar14 Revenue'!D:V,19,FALSE)</f>
        <v>0</v>
      </c>
      <c r="G100" s="680"/>
      <c r="H100" s="680"/>
      <c r="I100" s="755"/>
      <c r="J100" s="682">
        <f t="shared" si="15"/>
        <v>230.86</v>
      </c>
      <c r="K100" s="683"/>
      <c r="L100" s="684"/>
      <c r="M100" s="753"/>
      <c r="N100" s="683">
        <v>0</v>
      </c>
      <c r="O100" s="686"/>
      <c r="P100" s="683">
        <v>0</v>
      </c>
      <c r="Q100" s="687">
        <f t="shared" si="1"/>
        <v>0</v>
      </c>
      <c r="R100" s="687"/>
      <c r="S100" s="687"/>
      <c r="T100" s="688">
        <v>0</v>
      </c>
      <c r="U100" s="693"/>
      <c r="V100" s="690">
        <f t="shared" si="14"/>
        <v>0</v>
      </c>
      <c r="W100" s="683"/>
      <c r="X100" s="474">
        <f t="shared" si="19"/>
        <v>0</v>
      </c>
      <c r="Y100" s="474">
        <f t="shared" si="20"/>
        <v>0</v>
      </c>
      <c r="Z100" s="475">
        <f t="shared" si="21"/>
        <v>0</v>
      </c>
      <c r="AA100" s="475">
        <v>0</v>
      </c>
      <c r="AB100" s="476">
        <v>0</v>
      </c>
      <c r="AC100" s="38">
        <f t="shared" si="22"/>
        <v>0</v>
      </c>
      <c r="AD100" s="692">
        <f t="shared" si="16"/>
        <v>0</v>
      </c>
      <c r="AE100" s="692">
        <f t="shared" si="17"/>
        <v>230.86</v>
      </c>
      <c r="AF100" s="692">
        <f t="shared" si="18"/>
        <v>0</v>
      </c>
      <c r="AG100" s="38"/>
      <c r="AH100" s="692">
        <f t="shared" si="23"/>
        <v>0</v>
      </c>
      <c r="AI100" s="692">
        <f t="shared" si="24"/>
        <v>0</v>
      </c>
      <c r="AJ100" s="692">
        <f t="shared" si="25"/>
        <v>0</v>
      </c>
      <c r="AL100" s="38">
        <f t="shared" si="26"/>
        <v>230.86</v>
      </c>
      <c r="AM100" s="68" t="s">
        <v>1014</v>
      </c>
    </row>
    <row r="101" spans="1:39">
      <c r="A101" s="20" t="s">
        <v>109</v>
      </c>
      <c r="B101" s="20" t="s">
        <v>109</v>
      </c>
      <c r="C101" s="667"/>
      <c r="D101" s="68" t="s">
        <v>498</v>
      </c>
      <c r="E101" s="679"/>
      <c r="F101" s="529">
        <f>VLOOKUP(D101,'Mar14 Revenue'!D:V,19,FALSE)</f>
        <v>0</v>
      </c>
      <c r="G101" s="680"/>
      <c r="H101" s="680"/>
      <c r="I101" s="755"/>
      <c r="J101" s="682">
        <f t="shared" si="15"/>
        <v>0</v>
      </c>
      <c r="K101" s="683"/>
      <c r="L101" s="684"/>
      <c r="M101" s="753"/>
      <c r="N101" s="683">
        <v>0</v>
      </c>
      <c r="O101" s="686"/>
      <c r="P101" s="683">
        <v>0</v>
      </c>
      <c r="Q101" s="687">
        <f t="shared" si="1"/>
        <v>0</v>
      </c>
      <c r="R101" s="687"/>
      <c r="S101" s="687"/>
      <c r="T101" s="688">
        <v>0</v>
      </c>
      <c r="U101" s="693"/>
      <c r="V101" s="690">
        <f t="shared" si="14"/>
        <v>0</v>
      </c>
      <c r="W101" s="683"/>
      <c r="X101" s="474">
        <f t="shared" si="19"/>
        <v>0</v>
      </c>
      <c r="Y101" s="474">
        <f t="shared" si="20"/>
        <v>0</v>
      </c>
      <c r="Z101" s="475">
        <f t="shared" si="21"/>
        <v>0</v>
      </c>
      <c r="AA101" s="475">
        <v>0</v>
      </c>
      <c r="AB101" s="476">
        <v>0</v>
      </c>
      <c r="AC101" s="38">
        <f t="shared" si="22"/>
        <v>0</v>
      </c>
      <c r="AD101" s="692">
        <f t="shared" si="16"/>
        <v>0</v>
      </c>
      <c r="AE101" s="692">
        <f t="shared" si="17"/>
        <v>0</v>
      </c>
      <c r="AF101" s="692">
        <f t="shared" si="18"/>
        <v>0</v>
      </c>
      <c r="AG101" s="38"/>
      <c r="AH101" s="692">
        <f t="shared" si="23"/>
        <v>0</v>
      </c>
      <c r="AI101" s="692">
        <f t="shared" si="24"/>
        <v>0</v>
      </c>
      <c r="AJ101" s="692">
        <f t="shared" si="25"/>
        <v>0</v>
      </c>
      <c r="AL101" s="38">
        <f t="shared" si="26"/>
        <v>0</v>
      </c>
      <c r="AM101" s="68" t="s">
        <v>498</v>
      </c>
    </row>
    <row r="102" spans="1:39">
      <c r="A102" s="21"/>
      <c r="B102" s="21" t="s">
        <v>110</v>
      </c>
      <c r="C102" s="666"/>
      <c r="D102" s="68" t="s">
        <v>20</v>
      </c>
      <c r="E102" s="679"/>
      <c r="F102" s="529">
        <f>VLOOKUP(D102,'Mar14 Revenue'!D:V,19,FALSE)</f>
        <v>0</v>
      </c>
      <c r="G102" s="680"/>
      <c r="H102" s="680"/>
      <c r="I102" s="755"/>
      <c r="J102" s="682">
        <f t="shared" si="15"/>
        <v>0</v>
      </c>
      <c r="K102" s="683"/>
      <c r="L102" s="684"/>
      <c r="M102" s="753"/>
      <c r="N102" s="683">
        <v>0</v>
      </c>
      <c r="O102" s="686"/>
      <c r="P102" s="683">
        <v>0</v>
      </c>
      <c r="Q102" s="687">
        <f t="shared" si="1"/>
        <v>0</v>
      </c>
      <c r="R102" s="687"/>
      <c r="S102" s="687"/>
      <c r="T102" s="688">
        <v>151.35</v>
      </c>
      <c r="U102" s="693"/>
      <c r="V102" s="690">
        <f t="shared" si="14"/>
        <v>151.35</v>
      </c>
      <c r="W102" s="683"/>
      <c r="X102" s="474">
        <f t="shared" si="19"/>
        <v>0</v>
      </c>
      <c r="Y102" s="474">
        <f t="shared" si="20"/>
        <v>0</v>
      </c>
      <c r="Z102" s="475">
        <f t="shared" si="21"/>
        <v>0</v>
      </c>
      <c r="AA102" s="475">
        <v>0</v>
      </c>
      <c r="AB102" s="476">
        <v>0</v>
      </c>
      <c r="AC102" s="38">
        <f t="shared" si="22"/>
        <v>0</v>
      </c>
      <c r="AD102" s="692">
        <f t="shared" si="16"/>
        <v>0</v>
      </c>
      <c r="AE102" s="692">
        <f t="shared" si="17"/>
        <v>0</v>
      </c>
      <c r="AF102" s="692">
        <f t="shared" si="18"/>
        <v>0</v>
      </c>
      <c r="AG102" s="38"/>
      <c r="AH102" s="692">
        <f t="shared" si="23"/>
        <v>0</v>
      </c>
      <c r="AI102" s="692">
        <f t="shared" si="24"/>
        <v>0</v>
      </c>
      <c r="AJ102" s="692">
        <f t="shared" si="25"/>
        <v>0</v>
      </c>
      <c r="AL102" s="38">
        <f t="shared" si="26"/>
        <v>0</v>
      </c>
      <c r="AM102" s="68" t="s">
        <v>20</v>
      </c>
    </row>
    <row r="103" spans="1:39">
      <c r="A103" s="21"/>
      <c r="B103" s="21" t="s">
        <v>114</v>
      </c>
      <c r="C103" s="666"/>
      <c r="D103" s="68" t="s">
        <v>1083</v>
      </c>
      <c r="E103" s="679"/>
      <c r="F103" s="529">
        <f>VLOOKUP(D103,'Mar14 Revenue'!D:V,19,FALSE)</f>
        <v>-6263.45</v>
      </c>
      <c r="G103" s="680"/>
      <c r="H103" s="680"/>
      <c r="I103" s="755"/>
      <c r="J103" s="682">
        <f t="shared" si="15"/>
        <v>-6263.45</v>
      </c>
      <c r="K103" s="683"/>
      <c r="L103" s="684"/>
      <c r="M103" s="753">
        <v>20000</v>
      </c>
      <c r="N103" s="683">
        <v>0</v>
      </c>
      <c r="O103" s="686"/>
      <c r="P103" s="683">
        <v>0</v>
      </c>
      <c r="Q103" s="687">
        <f t="shared" si="1"/>
        <v>20000</v>
      </c>
      <c r="R103" s="687"/>
      <c r="S103" s="687"/>
      <c r="T103" s="688">
        <v>0</v>
      </c>
      <c r="U103" s="693"/>
      <c r="V103" s="690">
        <f t="shared" si="14"/>
        <v>-20000</v>
      </c>
      <c r="W103" s="683"/>
      <c r="X103" s="474">
        <f t="shared" si="19"/>
        <v>0</v>
      </c>
      <c r="Y103" s="474">
        <f t="shared" si="20"/>
        <v>0</v>
      </c>
      <c r="Z103" s="475">
        <f t="shared" si="21"/>
        <v>20000</v>
      </c>
      <c r="AA103" s="475">
        <v>0</v>
      </c>
      <c r="AB103" s="476">
        <v>0</v>
      </c>
      <c r="AC103" s="38">
        <f t="shared" si="22"/>
        <v>0</v>
      </c>
      <c r="AD103" s="692">
        <f t="shared" si="16"/>
        <v>0</v>
      </c>
      <c r="AE103" s="692">
        <f t="shared" si="17"/>
        <v>0</v>
      </c>
      <c r="AF103" s="692">
        <f t="shared" si="18"/>
        <v>-6263.45</v>
      </c>
      <c r="AG103" s="38"/>
      <c r="AH103" s="692">
        <f t="shared" si="23"/>
        <v>0</v>
      </c>
      <c r="AI103" s="692">
        <f t="shared" si="24"/>
        <v>0</v>
      </c>
      <c r="AJ103" s="692">
        <f t="shared" si="25"/>
        <v>20000</v>
      </c>
      <c r="AL103" s="38">
        <f t="shared" si="26"/>
        <v>13736.55</v>
      </c>
      <c r="AM103" s="68" t="s">
        <v>203</v>
      </c>
    </row>
    <row r="104" spans="1:39">
      <c r="A104" s="21"/>
      <c r="B104" s="21" t="s">
        <v>110</v>
      </c>
      <c r="C104" s="666" t="s">
        <v>547</v>
      </c>
      <c r="D104" s="68" t="s">
        <v>202</v>
      </c>
      <c r="E104" s="679"/>
      <c r="F104" s="529">
        <f>VLOOKUP(D104,'Mar14 Revenue'!D:V,19,FALSE)</f>
        <v>0</v>
      </c>
      <c r="G104" s="680"/>
      <c r="H104" s="680"/>
      <c r="I104" s="755"/>
      <c r="J104" s="682">
        <f t="shared" si="15"/>
        <v>0</v>
      </c>
      <c r="K104" s="683"/>
      <c r="L104" s="684"/>
      <c r="M104" s="753"/>
      <c r="N104" s="683">
        <v>0</v>
      </c>
      <c r="O104" s="686"/>
      <c r="P104" s="683">
        <v>0</v>
      </c>
      <c r="Q104" s="687">
        <f t="shared" si="1"/>
        <v>0</v>
      </c>
      <c r="R104" s="687"/>
      <c r="S104" s="687"/>
      <c r="T104" s="688">
        <v>0</v>
      </c>
      <c r="U104" s="693"/>
      <c r="V104" s="690">
        <f t="shared" si="14"/>
        <v>0</v>
      </c>
      <c r="W104" s="683"/>
      <c r="X104" s="474">
        <f t="shared" si="19"/>
        <v>0</v>
      </c>
      <c r="Y104" s="474">
        <f t="shared" si="20"/>
        <v>0</v>
      </c>
      <c r="Z104" s="475">
        <f t="shared" si="21"/>
        <v>0</v>
      </c>
      <c r="AA104" s="475">
        <v>0</v>
      </c>
      <c r="AB104" s="476">
        <v>0</v>
      </c>
      <c r="AC104" s="38">
        <f t="shared" si="22"/>
        <v>0</v>
      </c>
      <c r="AD104" s="692">
        <f t="shared" si="16"/>
        <v>0</v>
      </c>
      <c r="AE104" s="692">
        <f t="shared" si="17"/>
        <v>0</v>
      </c>
      <c r="AF104" s="692">
        <f t="shared" si="18"/>
        <v>0</v>
      </c>
      <c r="AG104" s="38"/>
      <c r="AH104" s="692">
        <f t="shared" si="23"/>
        <v>0</v>
      </c>
      <c r="AI104" s="692">
        <f t="shared" si="24"/>
        <v>0</v>
      </c>
      <c r="AJ104" s="692">
        <f t="shared" si="25"/>
        <v>0</v>
      </c>
      <c r="AL104" s="38">
        <f t="shared" si="26"/>
        <v>0</v>
      </c>
      <c r="AM104" s="68" t="s">
        <v>202</v>
      </c>
    </row>
    <row r="105" spans="1:39">
      <c r="A105" s="20" t="s">
        <v>211</v>
      </c>
      <c r="B105" s="20" t="s">
        <v>110</v>
      </c>
      <c r="C105" s="676" t="s">
        <v>1031</v>
      </c>
      <c r="D105" s="373" t="s">
        <v>466</v>
      </c>
      <c r="E105" s="679"/>
      <c r="F105" s="529">
        <f>VLOOKUP(D105,'Mar14 Revenue'!D:V,19,FALSE)</f>
        <v>1701.77</v>
      </c>
      <c r="G105" s="680"/>
      <c r="H105" s="680"/>
      <c r="I105" s="804">
        <v>520.98</v>
      </c>
      <c r="J105" s="682">
        <f t="shared" si="15"/>
        <v>2222.75</v>
      </c>
      <c r="K105" s="683"/>
      <c r="L105" s="684"/>
      <c r="M105" s="753"/>
      <c r="N105" s="683">
        <v>0</v>
      </c>
      <c r="O105" s="686"/>
      <c r="P105" s="683">
        <v>0</v>
      </c>
      <c r="Q105" s="687">
        <f t="shared" si="1"/>
        <v>0</v>
      </c>
      <c r="R105" s="687"/>
      <c r="S105" s="687"/>
      <c r="T105" s="688">
        <v>0</v>
      </c>
      <c r="U105" s="693"/>
      <c r="V105" s="690">
        <f t="shared" si="14"/>
        <v>0</v>
      </c>
      <c r="W105" s="683"/>
      <c r="X105" s="474">
        <f t="shared" si="19"/>
        <v>0</v>
      </c>
      <c r="Y105" s="474">
        <f t="shared" si="20"/>
        <v>0</v>
      </c>
      <c r="Z105" s="475">
        <f t="shared" si="21"/>
        <v>0</v>
      </c>
      <c r="AA105" s="475">
        <v>0</v>
      </c>
      <c r="AB105" s="476">
        <v>0</v>
      </c>
      <c r="AC105" s="38">
        <f t="shared" si="22"/>
        <v>0</v>
      </c>
      <c r="AD105" s="692">
        <f t="shared" si="16"/>
        <v>2222.75</v>
      </c>
      <c r="AE105" s="692">
        <f t="shared" si="17"/>
        <v>0</v>
      </c>
      <c r="AF105" s="692">
        <f t="shared" si="18"/>
        <v>0</v>
      </c>
      <c r="AG105" s="38"/>
      <c r="AH105" s="692">
        <f t="shared" si="23"/>
        <v>0</v>
      </c>
      <c r="AI105" s="692">
        <f t="shared" si="24"/>
        <v>0</v>
      </c>
      <c r="AJ105" s="692">
        <f t="shared" si="25"/>
        <v>0</v>
      </c>
      <c r="AL105" s="38">
        <f t="shared" si="26"/>
        <v>2222.75</v>
      </c>
      <c r="AM105" s="373" t="s">
        <v>466</v>
      </c>
    </row>
    <row r="106" spans="1:39">
      <c r="A106" s="20"/>
      <c r="B106" s="20" t="s">
        <v>110</v>
      </c>
      <c r="C106" s="667"/>
      <c r="D106" s="373" t="s">
        <v>627</v>
      </c>
      <c r="E106" s="679">
        <v>299.04000000000002</v>
      </c>
      <c r="F106" s="529">
        <f>VLOOKUP(D106,'Mar14 Revenue'!D:V,19,FALSE)</f>
        <v>0</v>
      </c>
      <c r="G106" s="680"/>
      <c r="H106" s="680"/>
      <c r="I106" s="755"/>
      <c r="J106" s="682">
        <f t="shared" si="15"/>
        <v>299.04000000000002</v>
      </c>
      <c r="K106" s="683"/>
      <c r="L106" s="684"/>
      <c r="M106" s="753"/>
      <c r="N106" s="683">
        <v>0</v>
      </c>
      <c r="O106" s="686"/>
      <c r="P106" s="683">
        <v>0</v>
      </c>
      <c r="Q106" s="687">
        <f t="shared" si="1"/>
        <v>0</v>
      </c>
      <c r="R106" s="687"/>
      <c r="S106" s="687"/>
      <c r="T106" s="688">
        <v>0</v>
      </c>
      <c r="U106" s="693"/>
      <c r="V106" s="690">
        <f t="shared" si="14"/>
        <v>0</v>
      </c>
      <c r="W106" s="683"/>
      <c r="X106" s="474">
        <f t="shared" si="19"/>
        <v>0</v>
      </c>
      <c r="Y106" s="474">
        <f t="shared" si="20"/>
        <v>0</v>
      </c>
      <c r="Z106" s="475">
        <f t="shared" si="21"/>
        <v>0</v>
      </c>
      <c r="AA106" s="475">
        <v>0</v>
      </c>
      <c r="AB106" s="476">
        <v>0</v>
      </c>
      <c r="AC106" s="38">
        <f t="shared" si="22"/>
        <v>0</v>
      </c>
      <c r="AD106" s="692">
        <f t="shared" si="16"/>
        <v>299.04000000000002</v>
      </c>
      <c r="AE106" s="692">
        <f t="shared" si="17"/>
        <v>0</v>
      </c>
      <c r="AF106" s="692">
        <f t="shared" si="18"/>
        <v>0</v>
      </c>
      <c r="AG106" s="38"/>
      <c r="AH106" s="692">
        <f t="shared" si="23"/>
        <v>0</v>
      </c>
      <c r="AI106" s="692">
        <f t="shared" si="24"/>
        <v>0</v>
      </c>
      <c r="AJ106" s="692">
        <f t="shared" si="25"/>
        <v>0</v>
      </c>
      <c r="AL106" s="38">
        <f t="shared" si="26"/>
        <v>299.04000000000002</v>
      </c>
      <c r="AM106" s="373" t="s">
        <v>627</v>
      </c>
    </row>
    <row r="107" spans="1:39" s="232" customFormat="1" ht="12.75" customHeight="1">
      <c r="A107" s="283"/>
      <c r="B107" s="283" t="s">
        <v>110</v>
      </c>
      <c r="C107" s="667"/>
      <c r="D107" s="123" t="s">
        <v>994</v>
      </c>
      <c r="E107" s="679"/>
      <c r="F107" s="529">
        <f>VLOOKUP(D107,'Mar14 Revenue'!D:V,19,FALSE)</f>
        <v>0</v>
      </c>
      <c r="G107" s="680"/>
      <c r="H107" s="680"/>
      <c r="I107" s="804">
        <v>7195038.7255800003</v>
      </c>
      <c r="J107" s="682">
        <f t="shared" si="15"/>
        <v>7195038.7255800003</v>
      </c>
      <c r="K107" s="683"/>
      <c r="L107" s="684"/>
      <c r="M107" s="753"/>
      <c r="N107" s="683">
        <v>0</v>
      </c>
      <c r="O107" s="686"/>
      <c r="P107" s="683">
        <v>0</v>
      </c>
      <c r="Q107" s="687">
        <f t="shared" si="1"/>
        <v>0</v>
      </c>
      <c r="R107" s="687"/>
      <c r="S107" s="687"/>
      <c r="T107" s="688">
        <v>0</v>
      </c>
      <c r="U107" s="693"/>
      <c r="V107" s="690">
        <f t="shared" si="14"/>
        <v>0</v>
      </c>
      <c r="W107" s="683"/>
      <c r="X107" s="474">
        <f t="shared" si="19"/>
        <v>0</v>
      </c>
      <c r="Y107" s="474">
        <f t="shared" si="20"/>
        <v>0</v>
      </c>
      <c r="Z107" s="475">
        <f t="shared" si="21"/>
        <v>0</v>
      </c>
      <c r="AA107" s="475">
        <v>0</v>
      </c>
      <c r="AB107" s="476">
        <v>0</v>
      </c>
      <c r="AC107" s="38">
        <f t="shared" si="22"/>
        <v>0</v>
      </c>
      <c r="AD107" s="692">
        <f t="shared" si="16"/>
        <v>7195038.7255800003</v>
      </c>
      <c r="AE107" s="692">
        <f t="shared" si="17"/>
        <v>0</v>
      </c>
      <c r="AF107" s="692">
        <f t="shared" si="18"/>
        <v>0</v>
      </c>
      <c r="AG107" s="38"/>
      <c r="AH107" s="692">
        <f t="shared" si="23"/>
        <v>0</v>
      </c>
      <c r="AI107" s="692">
        <f t="shared" si="24"/>
        <v>0</v>
      </c>
      <c r="AJ107" s="692">
        <f t="shared" si="25"/>
        <v>0</v>
      </c>
      <c r="AL107" s="38">
        <f t="shared" si="26"/>
        <v>7195038.7255800003</v>
      </c>
      <c r="AM107" s="123" t="s">
        <v>994</v>
      </c>
    </row>
    <row r="108" spans="1:39" s="232" customFormat="1" ht="12.75" customHeight="1">
      <c r="A108" s="283"/>
      <c r="B108" s="283" t="s">
        <v>110</v>
      </c>
      <c r="C108" s="667"/>
      <c r="D108" s="123" t="s">
        <v>993</v>
      </c>
      <c r="E108" s="679"/>
      <c r="F108" s="529">
        <f>VLOOKUP(D108,'Mar14 Revenue'!D:V,19,FALSE)</f>
        <v>0</v>
      </c>
      <c r="G108" s="680"/>
      <c r="H108" s="680"/>
      <c r="I108" s="804">
        <v>3552487.125116</v>
      </c>
      <c r="J108" s="682">
        <f t="shared" si="15"/>
        <v>3552487.125116</v>
      </c>
      <c r="K108" s="683"/>
      <c r="L108" s="684"/>
      <c r="M108" s="753"/>
      <c r="N108" s="683">
        <v>0</v>
      </c>
      <c r="O108" s="686"/>
      <c r="P108" s="683">
        <v>0</v>
      </c>
      <c r="Q108" s="687">
        <f t="shared" si="1"/>
        <v>0</v>
      </c>
      <c r="R108" s="687"/>
      <c r="S108" s="687"/>
      <c r="T108" s="688">
        <v>0</v>
      </c>
      <c r="U108" s="693"/>
      <c r="V108" s="690">
        <f t="shared" si="14"/>
        <v>0</v>
      </c>
      <c r="W108" s="683"/>
      <c r="X108" s="474">
        <f t="shared" si="19"/>
        <v>0</v>
      </c>
      <c r="Y108" s="474">
        <f t="shared" si="20"/>
        <v>0</v>
      </c>
      <c r="Z108" s="475">
        <f t="shared" si="21"/>
        <v>0</v>
      </c>
      <c r="AA108" s="475">
        <v>0</v>
      </c>
      <c r="AB108" s="476">
        <v>0</v>
      </c>
      <c r="AC108" s="38">
        <f t="shared" si="22"/>
        <v>0</v>
      </c>
      <c r="AD108" s="692">
        <f t="shared" si="16"/>
        <v>3552487.125116</v>
      </c>
      <c r="AE108" s="692">
        <f t="shared" si="17"/>
        <v>0</v>
      </c>
      <c r="AF108" s="692">
        <f t="shared" si="18"/>
        <v>0</v>
      </c>
      <c r="AG108" s="38"/>
      <c r="AH108" s="692">
        <f t="shared" si="23"/>
        <v>0</v>
      </c>
      <c r="AI108" s="692">
        <f t="shared" si="24"/>
        <v>0</v>
      </c>
      <c r="AJ108" s="692">
        <f t="shared" si="25"/>
        <v>0</v>
      </c>
      <c r="AL108" s="38">
        <f t="shared" si="26"/>
        <v>3552487.125116</v>
      </c>
      <c r="AM108" s="123" t="s">
        <v>993</v>
      </c>
    </row>
    <row r="109" spans="1:39" s="232" customFormat="1" ht="12.75" customHeight="1">
      <c r="A109" s="283"/>
      <c r="B109" s="283" t="s">
        <v>110</v>
      </c>
      <c r="C109" s="667"/>
      <c r="D109" s="123" t="s">
        <v>996</v>
      </c>
      <c r="E109" s="679"/>
      <c r="F109" s="529">
        <f>VLOOKUP(D109,'Mar14 Revenue'!D:V,19,FALSE)</f>
        <v>0</v>
      </c>
      <c r="G109" s="680"/>
      <c r="H109" s="680"/>
      <c r="I109" s="804">
        <v>193419.06</v>
      </c>
      <c r="J109" s="682">
        <f t="shared" si="15"/>
        <v>193419.06</v>
      </c>
      <c r="K109" s="683"/>
      <c r="L109" s="684"/>
      <c r="M109" s="753"/>
      <c r="N109" s="683">
        <v>0</v>
      </c>
      <c r="O109" s="686"/>
      <c r="P109" s="683">
        <v>0</v>
      </c>
      <c r="Q109" s="687">
        <f t="shared" si="1"/>
        <v>0</v>
      </c>
      <c r="R109" s="687"/>
      <c r="S109" s="687"/>
      <c r="T109" s="688">
        <v>0</v>
      </c>
      <c r="U109" s="693"/>
      <c r="V109" s="690">
        <f t="shared" si="14"/>
        <v>0</v>
      </c>
      <c r="W109" s="683"/>
      <c r="X109" s="474">
        <f t="shared" si="19"/>
        <v>0</v>
      </c>
      <c r="Y109" s="474">
        <f t="shared" si="20"/>
        <v>0</v>
      </c>
      <c r="Z109" s="475">
        <f t="shared" si="21"/>
        <v>0</v>
      </c>
      <c r="AA109" s="475">
        <v>0</v>
      </c>
      <c r="AB109" s="476">
        <v>0</v>
      </c>
      <c r="AC109" s="38">
        <f t="shared" si="22"/>
        <v>0</v>
      </c>
      <c r="AD109" s="692">
        <f t="shared" si="16"/>
        <v>193419.06</v>
      </c>
      <c r="AE109" s="692">
        <f t="shared" si="17"/>
        <v>0</v>
      </c>
      <c r="AF109" s="692">
        <f t="shared" si="18"/>
        <v>0</v>
      </c>
      <c r="AG109" s="38"/>
      <c r="AH109" s="692">
        <f t="shared" si="23"/>
        <v>0</v>
      </c>
      <c r="AI109" s="692">
        <f t="shared" si="24"/>
        <v>0</v>
      </c>
      <c r="AJ109" s="692">
        <f t="shared" si="25"/>
        <v>0</v>
      </c>
      <c r="AL109" s="38">
        <f t="shared" si="26"/>
        <v>193419.06</v>
      </c>
      <c r="AM109" s="123" t="s">
        <v>996</v>
      </c>
    </row>
    <row r="110" spans="1:39" s="232" customFormat="1" ht="12.75" customHeight="1">
      <c r="A110" s="283"/>
      <c r="B110" s="283" t="s">
        <v>110</v>
      </c>
      <c r="C110" s="667"/>
      <c r="D110" s="123" t="s">
        <v>995</v>
      </c>
      <c r="E110" s="679"/>
      <c r="F110" s="529">
        <f>VLOOKUP(D110,'Mar14 Revenue'!D:V,19,FALSE)</f>
        <v>0</v>
      </c>
      <c r="G110" s="680"/>
      <c r="H110" s="680"/>
      <c r="I110" s="804">
        <v>17822.080000000002</v>
      </c>
      <c r="J110" s="682">
        <f>SUM(E110:I110)</f>
        <v>17822.080000000002</v>
      </c>
      <c r="K110" s="683"/>
      <c r="L110" s="684"/>
      <c r="M110" s="753"/>
      <c r="N110" s="683">
        <v>0</v>
      </c>
      <c r="O110" s="686"/>
      <c r="P110" s="683">
        <v>0</v>
      </c>
      <c r="Q110" s="687">
        <f>L110+M110</f>
        <v>0</v>
      </c>
      <c r="R110" s="687"/>
      <c r="S110" s="687"/>
      <c r="T110" s="688">
        <v>0</v>
      </c>
      <c r="U110" s="693"/>
      <c r="V110" s="690">
        <f t="shared" si="14"/>
        <v>0</v>
      </c>
      <c r="W110" s="683"/>
      <c r="X110" s="474">
        <f>IF(B110="D",Q110,0)</f>
        <v>0</v>
      </c>
      <c r="Y110" s="474">
        <f>IF(B110="M",Q110,0)</f>
        <v>0</v>
      </c>
      <c r="Z110" s="475">
        <f>IF(B110="V",Q110,0)</f>
        <v>0</v>
      </c>
      <c r="AA110" s="475">
        <v>0</v>
      </c>
      <c r="AB110" s="476">
        <v>0</v>
      </c>
      <c r="AC110" s="38">
        <f>(L110+M110)-(X110+Y110+Z110+AA110+AB110)</f>
        <v>0</v>
      </c>
      <c r="AD110" s="692">
        <f>IF(B110="D",J110,0)</f>
        <v>17822.080000000002</v>
      </c>
      <c r="AE110" s="692">
        <f>IF(B110="M",J110,0)</f>
        <v>0</v>
      </c>
      <c r="AF110" s="692">
        <f>IF(B110="V",J110,0)</f>
        <v>0</v>
      </c>
      <c r="AG110" s="38"/>
      <c r="AH110" s="692">
        <f>IF(B110="D",Q110,0)</f>
        <v>0</v>
      </c>
      <c r="AI110" s="692">
        <f>IF(B110="M",Q110,0)</f>
        <v>0</v>
      </c>
      <c r="AJ110" s="692">
        <f>IF(B110="V",Q110,0)</f>
        <v>0</v>
      </c>
      <c r="AL110" s="38">
        <f>SUM(AD110:AJ110)</f>
        <v>17822.080000000002</v>
      </c>
      <c r="AM110" s="123" t="s">
        <v>995</v>
      </c>
    </row>
    <row r="111" spans="1:39" s="232" customFormat="1" ht="12.75" customHeight="1">
      <c r="A111" s="283"/>
      <c r="B111" s="283" t="s">
        <v>110</v>
      </c>
      <c r="C111" s="667"/>
      <c r="D111" s="123" t="s">
        <v>997</v>
      </c>
      <c r="E111" s="679"/>
      <c r="F111" s="529">
        <f>VLOOKUP(D111,'Mar14 Revenue'!D:V,19,FALSE)</f>
        <v>0</v>
      </c>
      <c r="G111" s="680"/>
      <c r="H111" s="680"/>
      <c r="I111" s="804">
        <v>20632.36</v>
      </c>
      <c r="J111" s="682">
        <f t="shared" si="15"/>
        <v>20632.36</v>
      </c>
      <c r="K111" s="683"/>
      <c r="L111" s="684"/>
      <c r="M111" s="753"/>
      <c r="N111" s="683">
        <v>0</v>
      </c>
      <c r="O111" s="686"/>
      <c r="P111" s="683">
        <v>0</v>
      </c>
      <c r="Q111" s="687">
        <f t="shared" si="1"/>
        <v>0</v>
      </c>
      <c r="R111" s="687"/>
      <c r="S111" s="687"/>
      <c r="T111" s="688">
        <v>0</v>
      </c>
      <c r="U111" s="693"/>
      <c r="V111" s="690">
        <f t="shared" si="14"/>
        <v>0</v>
      </c>
      <c r="W111" s="683"/>
      <c r="X111" s="474">
        <f t="shared" si="19"/>
        <v>0</v>
      </c>
      <c r="Y111" s="474">
        <f t="shared" si="20"/>
        <v>0</v>
      </c>
      <c r="Z111" s="475">
        <f t="shared" si="21"/>
        <v>0</v>
      </c>
      <c r="AA111" s="475">
        <v>0</v>
      </c>
      <c r="AB111" s="476">
        <v>0</v>
      </c>
      <c r="AC111" s="38">
        <f t="shared" si="22"/>
        <v>0</v>
      </c>
      <c r="AD111" s="692">
        <f t="shared" si="16"/>
        <v>20632.36</v>
      </c>
      <c r="AE111" s="692">
        <f t="shared" si="17"/>
        <v>0</v>
      </c>
      <c r="AF111" s="692">
        <f t="shared" si="18"/>
        <v>0</v>
      </c>
      <c r="AG111" s="38"/>
      <c r="AH111" s="692">
        <f t="shared" si="23"/>
        <v>0</v>
      </c>
      <c r="AI111" s="692">
        <f t="shared" si="24"/>
        <v>0</v>
      </c>
      <c r="AJ111" s="692">
        <f t="shared" si="25"/>
        <v>0</v>
      </c>
      <c r="AL111" s="38">
        <f t="shared" si="26"/>
        <v>20632.36</v>
      </c>
      <c r="AM111" s="123" t="s">
        <v>997</v>
      </c>
    </row>
    <row r="112" spans="1:39" s="232" customFormat="1" ht="12.75" customHeight="1">
      <c r="A112" s="283"/>
      <c r="B112" s="283" t="s">
        <v>110</v>
      </c>
      <c r="C112" s="667"/>
      <c r="D112" s="123" t="s">
        <v>998</v>
      </c>
      <c r="E112" s="679"/>
      <c r="F112" s="529">
        <f>VLOOKUP(D112,'Mar14 Revenue'!D:V,19,FALSE)</f>
        <v>0</v>
      </c>
      <c r="G112" s="680"/>
      <c r="H112" s="680"/>
      <c r="I112" s="804">
        <v>32763.73</v>
      </c>
      <c r="J112" s="682">
        <f t="shared" si="15"/>
        <v>32763.73</v>
      </c>
      <c r="K112" s="683"/>
      <c r="L112" s="684"/>
      <c r="M112" s="753"/>
      <c r="N112" s="683">
        <v>0</v>
      </c>
      <c r="O112" s="686"/>
      <c r="P112" s="683">
        <v>0</v>
      </c>
      <c r="Q112" s="687">
        <f t="shared" si="1"/>
        <v>0</v>
      </c>
      <c r="R112" s="687"/>
      <c r="S112" s="687"/>
      <c r="T112" s="688">
        <v>0</v>
      </c>
      <c r="U112" s="693"/>
      <c r="V112" s="690">
        <f t="shared" si="14"/>
        <v>0</v>
      </c>
      <c r="W112" s="683"/>
      <c r="X112" s="474">
        <f t="shared" si="19"/>
        <v>0</v>
      </c>
      <c r="Y112" s="474">
        <f t="shared" si="20"/>
        <v>0</v>
      </c>
      <c r="Z112" s="475">
        <f t="shared" si="21"/>
        <v>0</v>
      </c>
      <c r="AA112" s="475">
        <v>0</v>
      </c>
      <c r="AB112" s="476">
        <v>0</v>
      </c>
      <c r="AC112" s="38">
        <f t="shared" si="22"/>
        <v>0</v>
      </c>
      <c r="AD112" s="692">
        <f t="shared" si="16"/>
        <v>32763.73</v>
      </c>
      <c r="AE112" s="692">
        <f t="shared" si="17"/>
        <v>0</v>
      </c>
      <c r="AF112" s="692">
        <f t="shared" si="18"/>
        <v>0</v>
      </c>
      <c r="AG112" s="38"/>
      <c r="AH112" s="692">
        <f t="shared" si="23"/>
        <v>0</v>
      </c>
      <c r="AI112" s="692">
        <f t="shared" si="24"/>
        <v>0</v>
      </c>
      <c r="AJ112" s="692">
        <f t="shared" si="25"/>
        <v>0</v>
      </c>
      <c r="AL112" s="38">
        <f t="shared" si="26"/>
        <v>32763.73</v>
      </c>
      <c r="AM112" s="123" t="s">
        <v>998</v>
      </c>
    </row>
    <row r="113" spans="1:39" s="232" customFormat="1" ht="12" customHeight="1">
      <c r="A113" s="283"/>
      <c r="B113" s="283" t="s">
        <v>110</v>
      </c>
      <c r="C113" s="667"/>
      <c r="D113" s="123" t="s">
        <v>999</v>
      </c>
      <c r="E113" s="679"/>
      <c r="F113" s="529">
        <f>VLOOKUP(D113,'Mar14 Revenue'!D:V,19,FALSE)</f>
        <v>0</v>
      </c>
      <c r="G113" s="680"/>
      <c r="H113" s="680"/>
      <c r="I113" s="804">
        <v>10586.12</v>
      </c>
      <c r="J113" s="682">
        <f t="shared" si="15"/>
        <v>10586.12</v>
      </c>
      <c r="K113" s="683"/>
      <c r="L113" s="684"/>
      <c r="M113" s="753"/>
      <c r="N113" s="683">
        <v>0</v>
      </c>
      <c r="O113" s="686"/>
      <c r="P113" s="683">
        <v>0</v>
      </c>
      <c r="Q113" s="687">
        <f t="shared" si="1"/>
        <v>0</v>
      </c>
      <c r="R113" s="687"/>
      <c r="S113" s="687"/>
      <c r="T113" s="688">
        <v>0</v>
      </c>
      <c r="U113" s="693"/>
      <c r="V113" s="690">
        <f t="shared" si="14"/>
        <v>0</v>
      </c>
      <c r="W113" s="683"/>
      <c r="X113" s="474">
        <f t="shared" si="19"/>
        <v>0</v>
      </c>
      <c r="Y113" s="474">
        <f t="shared" si="20"/>
        <v>0</v>
      </c>
      <c r="Z113" s="475">
        <f t="shared" si="21"/>
        <v>0</v>
      </c>
      <c r="AA113" s="475">
        <v>0</v>
      </c>
      <c r="AB113" s="476">
        <v>0</v>
      </c>
      <c r="AC113" s="38">
        <f t="shared" si="22"/>
        <v>0</v>
      </c>
      <c r="AD113" s="692">
        <f t="shared" si="16"/>
        <v>10586.12</v>
      </c>
      <c r="AE113" s="692">
        <f t="shared" si="17"/>
        <v>0</v>
      </c>
      <c r="AF113" s="692">
        <f t="shared" si="18"/>
        <v>0</v>
      </c>
      <c r="AG113" s="38"/>
      <c r="AH113" s="692">
        <f t="shared" si="23"/>
        <v>0</v>
      </c>
      <c r="AI113" s="692">
        <f t="shared" si="24"/>
        <v>0</v>
      </c>
      <c r="AJ113" s="692">
        <f t="shared" si="25"/>
        <v>0</v>
      </c>
      <c r="AL113" s="38">
        <f t="shared" si="26"/>
        <v>10586.12</v>
      </c>
      <c r="AM113" s="123" t="s">
        <v>999</v>
      </c>
    </row>
    <row r="114" spans="1:39" s="232" customFormat="1" ht="12" customHeight="1">
      <c r="A114" s="283"/>
      <c r="B114" s="283" t="s">
        <v>110</v>
      </c>
      <c r="C114" s="667"/>
      <c r="D114" s="123" t="s">
        <v>1000</v>
      </c>
      <c r="E114" s="679"/>
      <c r="F114" s="529">
        <f>VLOOKUP(D114,'Mar14 Revenue'!D:V,19,FALSE)</f>
        <v>0</v>
      </c>
      <c r="G114" s="680"/>
      <c r="H114" s="680"/>
      <c r="I114" s="804">
        <f>9319.03+5444.36</f>
        <v>14763.39</v>
      </c>
      <c r="J114" s="682">
        <f t="shared" si="15"/>
        <v>14763.39</v>
      </c>
      <c r="K114" s="683"/>
      <c r="L114" s="684"/>
      <c r="M114" s="753"/>
      <c r="N114" s="683">
        <v>0</v>
      </c>
      <c r="O114" s="686"/>
      <c r="P114" s="683">
        <v>0</v>
      </c>
      <c r="Q114" s="687">
        <f t="shared" si="1"/>
        <v>0</v>
      </c>
      <c r="R114" s="687"/>
      <c r="S114" s="687"/>
      <c r="T114" s="688">
        <v>0</v>
      </c>
      <c r="U114" s="693"/>
      <c r="V114" s="690">
        <f t="shared" si="14"/>
        <v>0</v>
      </c>
      <c r="W114" s="683"/>
      <c r="X114" s="474">
        <f t="shared" si="19"/>
        <v>0</v>
      </c>
      <c r="Y114" s="474">
        <f t="shared" si="20"/>
        <v>0</v>
      </c>
      <c r="Z114" s="475">
        <f t="shared" si="21"/>
        <v>0</v>
      </c>
      <c r="AA114" s="475">
        <v>0</v>
      </c>
      <c r="AB114" s="476">
        <v>0</v>
      </c>
      <c r="AC114" s="38">
        <f t="shared" si="22"/>
        <v>0</v>
      </c>
      <c r="AD114" s="692">
        <f t="shared" si="16"/>
        <v>14763.39</v>
      </c>
      <c r="AE114" s="692">
        <f t="shared" si="17"/>
        <v>0</v>
      </c>
      <c r="AF114" s="692">
        <f t="shared" si="18"/>
        <v>0</v>
      </c>
      <c r="AG114" s="38"/>
      <c r="AH114" s="692">
        <f t="shared" si="23"/>
        <v>0</v>
      </c>
      <c r="AI114" s="692">
        <f t="shared" si="24"/>
        <v>0</v>
      </c>
      <c r="AJ114" s="692">
        <f t="shared" si="25"/>
        <v>0</v>
      </c>
      <c r="AL114" s="38">
        <f t="shared" si="26"/>
        <v>14763.39</v>
      </c>
      <c r="AM114" s="123" t="s">
        <v>1000</v>
      </c>
    </row>
    <row r="115" spans="1:39" s="232" customFormat="1" ht="12" customHeight="1">
      <c r="A115" s="283"/>
      <c r="B115" s="283" t="s">
        <v>110</v>
      </c>
      <c r="C115" s="667"/>
      <c r="D115" s="123" t="s">
        <v>1001</v>
      </c>
      <c r="E115" s="679"/>
      <c r="F115" s="529">
        <f>VLOOKUP(D115,'Mar14 Revenue'!D:V,19,FALSE)</f>
        <v>0</v>
      </c>
      <c r="G115" s="680"/>
      <c r="H115" s="680"/>
      <c r="I115" s="755"/>
      <c r="J115" s="682">
        <f t="shared" si="15"/>
        <v>0</v>
      </c>
      <c r="K115" s="683"/>
      <c r="L115" s="684"/>
      <c r="M115" s="753"/>
      <c r="N115" s="683">
        <v>0</v>
      </c>
      <c r="O115" s="686"/>
      <c r="P115" s="683">
        <v>0</v>
      </c>
      <c r="Q115" s="687">
        <f t="shared" si="1"/>
        <v>0</v>
      </c>
      <c r="R115" s="687"/>
      <c r="S115" s="687"/>
      <c r="T115" s="688">
        <v>0</v>
      </c>
      <c r="U115" s="693"/>
      <c r="V115" s="690">
        <f t="shared" si="14"/>
        <v>0</v>
      </c>
      <c r="W115" s="683"/>
      <c r="X115" s="474">
        <f t="shared" si="19"/>
        <v>0</v>
      </c>
      <c r="Y115" s="474">
        <f t="shared" si="20"/>
        <v>0</v>
      </c>
      <c r="Z115" s="475">
        <f t="shared" si="21"/>
        <v>0</v>
      </c>
      <c r="AA115" s="475">
        <v>0</v>
      </c>
      <c r="AB115" s="476">
        <v>0</v>
      </c>
      <c r="AC115" s="38">
        <f t="shared" si="22"/>
        <v>0</v>
      </c>
      <c r="AD115" s="692">
        <f t="shared" si="16"/>
        <v>0</v>
      </c>
      <c r="AE115" s="692">
        <f t="shared" si="17"/>
        <v>0</v>
      </c>
      <c r="AF115" s="692">
        <f t="shared" si="18"/>
        <v>0</v>
      </c>
      <c r="AG115" s="38"/>
      <c r="AH115" s="692">
        <f t="shared" si="23"/>
        <v>0</v>
      </c>
      <c r="AI115" s="692">
        <f t="shared" si="24"/>
        <v>0</v>
      </c>
      <c r="AJ115" s="692">
        <f t="shared" si="25"/>
        <v>0</v>
      </c>
      <c r="AL115" s="38">
        <f t="shared" si="26"/>
        <v>0</v>
      </c>
      <c r="AM115" s="123" t="s">
        <v>1001</v>
      </c>
    </row>
    <row r="116" spans="1:39" s="24" customFormat="1" ht="12" customHeight="1">
      <c r="A116" s="32"/>
      <c r="B116" s="32" t="s">
        <v>110</v>
      </c>
      <c r="C116" s="667"/>
      <c r="D116" s="68" t="s">
        <v>588</v>
      </c>
      <c r="E116" s="679"/>
      <c r="F116" s="529">
        <f>VLOOKUP(D116,'Mar14 Revenue'!D:V,19,FALSE)</f>
        <v>0</v>
      </c>
      <c r="G116" s="680"/>
      <c r="H116" s="680"/>
      <c r="I116" s="755"/>
      <c r="J116" s="682">
        <f t="shared" si="15"/>
        <v>0</v>
      </c>
      <c r="K116" s="683"/>
      <c r="L116" s="684"/>
      <c r="M116" s="753"/>
      <c r="N116" s="698"/>
      <c r="O116" s="699"/>
      <c r="P116" s="698"/>
      <c r="Q116" s="687">
        <f t="shared" si="1"/>
        <v>0</v>
      </c>
      <c r="R116" s="687"/>
      <c r="S116" s="687"/>
      <c r="T116" s="688">
        <v>0</v>
      </c>
      <c r="U116" s="693"/>
      <c r="V116" s="690">
        <f t="shared" si="14"/>
        <v>0</v>
      </c>
      <c r="W116" s="683"/>
      <c r="X116" s="474">
        <f t="shared" si="19"/>
        <v>0</v>
      </c>
      <c r="Y116" s="474">
        <f t="shared" si="20"/>
        <v>0</v>
      </c>
      <c r="Z116" s="475">
        <f t="shared" si="21"/>
        <v>0</v>
      </c>
      <c r="AA116" s="475">
        <v>0</v>
      </c>
      <c r="AB116" s="476">
        <v>0</v>
      </c>
      <c r="AC116" s="38">
        <f t="shared" si="22"/>
        <v>0</v>
      </c>
      <c r="AD116" s="692">
        <f t="shared" si="16"/>
        <v>0</v>
      </c>
      <c r="AE116" s="692">
        <f t="shared" si="17"/>
        <v>0</v>
      </c>
      <c r="AF116" s="692">
        <f t="shared" si="18"/>
        <v>0</v>
      </c>
      <c r="AG116" s="38"/>
      <c r="AH116" s="692">
        <f t="shared" si="23"/>
        <v>0</v>
      </c>
      <c r="AI116" s="692">
        <f t="shared" si="24"/>
        <v>0</v>
      </c>
      <c r="AJ116" s="692">
        <f t="shared" si="25"/>
        <v>0</v>
      </c>
      <c r="AL116" s="38">
        <f t="shared" si="26"/>
        <v>0</v>
      </c>
      <c r="AM116" s="68" t="s">
        <v>588</v>
      </c>
    </row>
    <row r="117" spans="1:39" s="24" customFormat="1" ht="12" customHeight="1">
      <c r="A117" s="32"/>
      <c r="B117" s="32" t="s">
        <v>110</v>
      </c>
      <c r="C117" s="667"/>
      <c r="D117" s="68" t="s">
        <v>935</v>
      </c>
      <c r="E117" s="679">
        <v>3928.03</v>
      </c>
      <c r="F117" s="529">
        <f>VLOOKUP(D117,'Mar14 Revenue'!D:V,19,FALSE)</f>
        <v>-10000</v>
      </c>
      <c r="G117" s="680"/>
      <c r="H117" s="680"/>
      <c r="I117" s="755"/>
      <c r="J117" s="682">
        <f t="shared" si="15"/>
        <v>-6071.9699999999993</v>
      </c>
      <c r="K117" s="683"/>
      <c r="L117" s="684"/>
      <c r="M117" s="753">
        <v>8000</v>
      </c>
      <c r="N117" s="698"/>
      <c r="O117" s="699"/>
      <c r="P117" s="698"/>
      <c r="Q117" s="687">
        <f t="shared" si="1"/>
        <v>8000</v>
      </c>
      <c r="R117" s="687"/>
      <c r="S117" s="687"/>
      <c r="T117" s="688">
        <v>0</v>
      </c>
      <c r="U117" s="693"/>
      <c r="V117" s="690">
        <f t="shared" si="14"/>
        <v>-8000</v>
      </c>
      <c r="W117" s="683"/>
      <c r="X117" s="474">
        <f t="shared" si="19"/>
        <v>8000</v>
      </c>
      <c r="Y117" s="474">
        <f t="shared" si="20"/>
        <v>0</v>
      </c>
      <c r="Z117" s="475">
        <f t="shared" si="21"/>
        <v>0</v>
      </c>
      <c r="AA117" s="475">
        <v>0</v>
      </c>
      <c r="AB117" s="476">
        <v>0</v>
      </c>
      <c r="AC117" s="38">
        <f t="shared" si="22"/>
        <v>0</v>
      </c>
      <c r="AD117" s="692">
        <f t="shared" si="16"/>
        <v>-6071.9699999999993</v>
      </c>
      <c r="AE117" s="692">
        <f t="shared" si="17"/>
        <v>0</v>
      </c>
      <c r="AF117" s="692">
        <f t="shared" si="18"/>
        <v>0</v>
      </c>
      <c r="AG117" s="38"/>
      <c r="AH117" s="692">
        <f t="shared" si="23"/>
        <v>8000</v>
      </c>
      <c r="AI117" s="692">
        <f t="shared" si="24"/>
        <v>0</v>
      </c>
      <c r="AJ117" s="692">
        <f t="shared" si="25"/>
        <v>0</v>
      </c>
      <c r="AL117" s="38">
        <f t="shared" si="26"/>
        <v>1928.0300000000007</v>
      </c>
      <c r="AM117" s="68" t="s">
        <v>935</v>
      </c>
    </row>
    <row r="118" spans="1:39" ht="12" customHeight="1">
      <c r="A118" s="21"/>
      <c r="B118" s="21" t="s">
        <v>109</v>
      </c>
      <c r="C118" s="666" t="s">
        <v>548</v>
      </c>
      <c r="D118" s="68" t="s">
        <v>461</v>
      </c>
      <c r="E118" s="679"/>
      <c r="F118" s="529">
        <f>VLOOKUP(D118,'Mar14 Revenue'!D:V,19,FALSE)</f>
        <v>413.19</v>
      </c>
      <c r="G118" s="680"/>
      <c r="H118" s="680"/>
      <c r="I118" s="755"/>
      <c r="J118" s="682">
        <f t="shared" si="15"/>
        <v>413.19</v>
      </c>
      <c r="K118" s="683"/>
      <c r="L118" s="684"/>
      <c r="M118" s="753"/>
      <c r="N118" s="683">
        <v>0</v>
      </c>
      <c r="O118" s="686"/>
      <c r="P118" s="683">
        <v>0</v>
      </c>
      <c r="Q118" s="687">
        <f t="shared" si="1"/>
        <v>0</v>
      </c>
      <c r="R118" s="687"/>
      <c r="S118" s="687"/>
      <c r="T118" s="688">
        <v>312.77999999999997</v>
      </c>
      <c r="U118" s="693"/>
      <c r="V118" s="690">
        <f t="shared" si="14"/>
        <v>312.77999999999997</v>
      </c>
      <c r="W118" s="683"/>
      <c r="X118" s="474">
        <f t="shared" si="19"/>
        <v>0</v>
      </c>
      <c r="Y118" s="474">
        <f t="shared" si="20"/>
        <v>0</v>
      </c>
      <c r="Z118" s="475">
        <f t="shared" si="21"/>
        <v>0</v>
      </c>
      <c r="AA118" s="475">
        <v>0</v>
      </c>
      <c r="AB118" s="476">
        <v>0</v>
      </c>
      <c r="AC118" s="38">
        <f t="shared" si="22"/>
        <v>0</v>
      </c>
      <c r="AD118" s="692">
        <f t="shared" si="16"/>
        <v>0</v>
      </c>
      <c r="AE118" s="692">
        <f t="shared" si="17"/>
        <v>413.19</v>
      </c>
      <c r="AF118" s="692">
        <f t="shared" si="18"/>
        <v>0</v>
      </c>
      <c r="AG118" s="38"/>
      <c r="AH118" s="692">
        <f t="shared" si="23"/>
        <v>0</v>
      </c>
      <c r="AI118" s="692">
        <f t="shared" si="24"/>
        <v>0</v>
      </c>
      <c r="AJ118" s="692">
        <f t="shared" si="25"/>
        <v>0</v>
      </c>
      <c r="AL118" s="38">
        <f t="shared" si="26"/>
        <v>413.19</v>
      </c>
      <c r="AM118" s="68" t="s">
        <v>461</v>
      </c>
    </row>
    <row r="119" spans="1:39">
      <c r="A119" s="20"/>
      <c r="B119" s="20" t="s">
        <v>109</v>
      </c>
      <c r="C119" s="667" t="s">
        <v>549</v>
      </c>
      <c r="D119" s="68" t="s">
        <v>22</v>
      </c>
      <c r="E119" s="679"/>
      <c r="F119" s="529">
        <f>VLOOKUP(D119,'Mar14 Revenue'!D:V,19,FALSE)</f>
        <v>0</v>
      </c>
      <c r="G119" s="680"/>
      <c r="H119" s="680"/>
      <c r="I119" s="755"/>
      <c r="J119" s="682">
        <f t="shared" si="15"/>
        <v>0</v>
      </c>
      <c r="K119" s="683"/>
      <c r="L119" s="684"/>
      <c r="M119" s="753"/>
      <c r="N119" s="683">
        <v>0</v>
      </c>
      <c r="O119" s="686"/>
      <c r="P119" s="683">
        <v>0</v>
      </c>
      <c r="Q119" s="687">
        <f t="shared" si="1"/>
        <v>0</v>
      </c>
      <c r="R119" s="687"/>
      <c r="S119" s="687"/>
      <c r="T119" s="688">
        <v>0</v>
      </c>
      <c r="U119" s="693"/>
      <c r="V119" s="690">
        <f t="shared" si="14"/>
        <v>0</v>
      </c>
      <c r="W119" s="683"/>
      <c r="X119" s="474">
        <f t="shared" si="19"/>
        <v>0</v>
      </c>
      <c r="Y119" s="474">
        <f t="shared" si="20"/>
        <v>0</v>
      </c>
      <c r="Z119" s="475">
        <f t="shared" si="21"/>
        <v>0</v>
      </c>
      <c r="AA119" s="475">
        <v>0</v>
      </c>
      <c r="AB119" s="476">
        <v>0</v>
      </c>
      <c r="AC119" s="38">
        <f t="shared" si="22"/>
        <v>0</v>
      </c>
      <c r="AD119" s="692">
        <f t="shared" si="16"/>
        <v>0</v>
      </c>
      <c r="AE119" s="692">
        <f t="shared" si="17"/>
        <v>0</v>
      </c>
      <c r="AF119" s="692">
        <f t="shared" si="18"/>
        <v>0</v>
      </c>
      <c r="AG119" s="38"/>
      <c r="AH119" s="692">
        <f t="shared" si="23"/>
        <v>0</v>
      </c>
      <c r="AI119" s="692">
        <f t="shared" si="24"/>
        <v>0</v>
      </c>
      <c r="AJ119" s="692">
        <f t="shared" si="25"/>
        <v>0</v>
      </c>
      <c r="AL119" s="38">
        <f t="shared" si="26"/>
        <v>0</v>
      </c>
      <c r="AM119" s="68" t="s">
        <v>22</v>
      </c>
    </row>
    <row r="120" spans="1:39">
      <c r="A120" s="20"/>
      <c r="B120" s="20" t="s">
        <v>110</v>
      </c>
      <c r="C120" s="667"/>
      <c r="D120" s="68" t="s">
        <v>24</v>
      </c>
      <c r="E120" s="679"/>
      <c r="F120" s="529">
        <f>VLOOKUP(D120,'Mar14 Revenue'!D:V,19,FALSE)</f>
        <v>-173.30999999999949</v>
      </c>
      <c r="G120" s="680"/>
      <c r="H120" s="680"/>
      <c r="I120" s="770">
        <v>10203.65</v>
      </c>
      <c r="J120" s="682">
        <f t="shared" si="15"/>
        <v>10030.34</v>
      </c>
      <c r="K120" s="683"/>
      <c r="L120" s="684"/>
      <c r="M120" s="753"/>
      <c r="N120" s="683">
        <v>0</v>
      </c>
      <c r="O120" s="686"/>
      <c r="P120" s="683">
        <v>0</v>
      </c>
      <c r="Q120" s="687">
        <f t="shared" si="1"/>
        <v>0</v>
      </c>
      <c r="R120" s="687"/>
      <c r="S120" s="687"/>
      <c r="T120" s="688">
        <v>0</v>
      </c>
      <c r="U120" s="693"/>
      <c r="V120" s="690">
        <f t="shared" si="14"/>
        <v>0</v>
      </c>
      <c r="W120" s="683"/>
      <c r="X120" s="474">
        <f t="shared" si="19"/>
        <v>0</v>
      </c>
      <c r="Y120" s="474">
        <f t="shared" si="20"/>
        <v>0</v>
      </c>
      <c r="Z120" s="475">
        <f t="shared" si="21"/>
        <v>0</v>
      </c>
      <c r="AA120" s="475">
        <v>0</v>
      </c>
      <c r="AB120" s="476">
        <v>0</v>
      </c>
      <c r="AC120" s="38">
        <f t="shared" si="22"/>
        <v>0</v>
      </c>
      <c r="AD120" s="692">
        <f t="shared" si="16"/>
        <v>10030.34</v>
      </c>
      <c r="AE120" s="692">
        <f t="shared" si="17"/>
        <v>0</v>
      </c>
      <c r="AF120" s="692">
        <f t="shared" si="18"/>
        <v>0</v>
      </c>
      <c r="AG120" s="38"/>
      <c r="AH120" s="692">
        <f t="shared" si="23"/>
        <v>0</v>
      </c>
      <c r="AI120" s="692">
        <f t="shared" si="24"/>
        <v>0</v>
      </c>
      <c r="AJ120" s="692">
        <f t="shared" si="25"/>
        <v>0</v>
      </c>
      <c r="AL120" s="38">
        <f t="shared" si="26"/>
        <v>10030.34</v>
      </c>
      <c r="AM120" s="68" t="s">
        <v>24</v>
      </c>
    </row>
    <row r="121" spans="1:39">
      <c r="A121" s="21"/>
      <c r="B121" s="21" t="s">
        <v>110</v>
      </c>
      <c r="C121" s="666"/>
      <c r="D121" s="68" t="s">
        <v>1019</v>
      </c>
      <c r="E121" s="679"/>
      <c r="F121" s="529">
        <f>VLOOKUP(D121,'Mar14 Revenue'!D:V,19,FALSE)</f>
        <v>0</v>
      </c>
      <c r="G121" s="680"/>
      <c r="H121" s="680"/>
      <c r="I121" s="755"/>
      <c r="J121" s="682">
        <f t="shared" si="15"/>
        <v>0</v>
      </c>
      <c r="K121" s="683"/>
      <c r="L121" s="684"/>
      <c r="M121" s="753"/>
      <c r="N121" s="683">
        <v>0</v>
      </c>
      <c r="O121" s="686"/>
      <c r="P121" s="683">
        <v>0</v>
      </c>
      <c r="Q121" s="687">
        <f t="shared" si="1"/>
        <v>0</v>
      </c>
      <c r="R121" s="687"/>
      <c r="S121" s="687"/>
      <c r="T121" s="688">
        <v>0</v>
      </c>
      <c r="U121" s="693"/>
      <c r="V121" s="690">
        <f t="shared" si="14"/>
        <v>0</v>
      </c>
      <c r="W121" s="683"/>
      <c r="X121" s="474">
        <f t="shared" si="19"/>
        <v>0</v>
      </c>
      <c r="Y121" s="474">
        <f t="shared" si="20"/>
        <v>0</v>
      </c>
      <c r="Z121" s="475">
        <f t="shared" si="21"/>
        <v>0</v>
      </c>
      <c r="AA121" s="475">
        <v>0</v>
      </c>
      <c r="AB121" s="476">
        <v>0</v>
      </c>
      <c r="AC121" s="38">
        <f t="shared" si="22"/>
        <v>0</v>
      </c>
      <c r="AD121" s="692">
        <f t="shared" si="16"/>
        <v>0</v>
      </c>
      <c r="AE121" s="692">
        <f t="shared" si="17"/>
        <v>0</v>
      </c>
      <c r="AF121" s="692">
        <f t="shared" si="18"/>
        <v>0</v>
      </c>
      <c r="AG121" s="38"/>
      <c r="AH121" s="692">
        <f t="shared" si="23"/>
        <v>0</v>
      </c>
      <c r="AI121" s="692">
        <f t="shared" si="24"/>
        <v>0</v>
      </c>
      <c r="AJ121" s="692">
        <f t="shared" si="25"/>
        <v>0</v>
      </c>
      <c r="AL121" s="38">
        <f t="shared" si="26"/>
        <v>0</v>
      </c>
      <c r="AM121" s="68" t="s">
        <v>1019</v>
      </c>
    </row>
    <row r="122" spans="1:39">
      <c r="A122" s="21"/>
      <c r="B122" s="21" t="s">
        <v>110</v>
      </c>
      <c r="C122" s="666"/>
      <c r="D122" s="68" t="s">
        <v>937</v>
      </c>
      <c r="E122" s="679"/>
      <c r="F122" s="529">
        <f>VLOOKUP(D122,'Mar14 Revenue'!D:V,19,FALSE)</f>
        <v>0</v>
      </c>
      <c r="G122" s="680"/>
      <c r="H122" s="680"/>
      <c r="I122" s="755"/>
      <c r="J122" s="682">
        <f t="shared" si="15"/>
        <v>0</v>
      </c>
      <c r="K122" s="683"/>
      <c r="L122" s="684"/>
      <c r="M122" s="753">
        <v>5000</v>
      </c>
      <c r="N122" s="683">
        <v>0</v>
      </c>
      <c r="O122" s="686"/>
      <c r="P122" s="683">
        <v>0</v>
      </c>
      <c r="Q122" s="687">
        <f t="shared" si="1"/>
        <v>5000</v>
      </c>
      <c r="R122" s="687"/>
      <c r="S122" s="687"/>
      <c r="T122" s="688">
        <v>0</v>
      </c>
      <c r="U122" s="693"/>
      <c r="V122" s="690">
        <f t="shared" si="14"/>
        <v>-5000</v>
      </c>
      <c r="W122" s="683"/>
      <c r="X122" s="474">
        <f t="shared" si="19"/>
        <v>5000</v>
      </c>
      <c r="Y122" s="474">
        <f t="shared" si="20"/>
        <v>0</v>
      </c>
      <c r="Z122" s="475">
        <f t="shared" si="21"/>
        <v>0</v>
      </c>
      <c r="AA122" s="475">
        <v>0</v>
      </c>
      <c r="AB122" s="476">
        <v>0</v>
      </c>
      <c r="AC122" s="38">
        <f t="shared" si="22"/>
        <v>0</v>
      </c>
      <c r="AD122" s="692">
        <f t="shared" si="16"/>
        <v>0</v>
      </c>
      <c r="AE122" s="692">
        <f t="shared" si="17"/>
        <v>0</v>
      </c>
      <c r="AF122" s="692">
        <f t="shared" si="18"/>
        <v>0</v>
      </c>
      <c r="AG122" s="38"/>
      <c r="AH122" s="692">
        <f t="shared" si="23"/>
        <v>5000</v>
      </c>
      <c r="AI122" s="692">
        <f t="shared" si="24"/>
        <v>0</v>
      </c>
      <c r="AJ122" s="692">
        <f t="shared" si="25"/>
        <v>0</v>
      </c>
      <c r="AL122" s="38">
        <f t="shared" si="26"/>
        <v>5000</v>
      </c>
      <c r="AM122" s="68" t="s">
        <v>937</v>
      </c>
    </row>
    <row r="123" spans="1:39">
      <c r="A123" s="21"/>
      <c r="B123" s="21" t="s">
        <v>110</v>
      </c>
      <c r="C123" s="666"/>
      <c r="D123" s="68" t="s">
        <v>967</v>
      </c>
      <c r="E123" s="679"/>
      <c r="F123" s="529">
        <f>VLOOKUP(D123,'Mar14 Revenue'!D:V,19,FALSE)</f>
        <v>0</v>
      </c>
      <c r="G123" s="680"/>
      <c r="H123" s="680"/>
      <c r="I123" s="755"/>
      <c r="J123" s="682">
        <f t="shared" si="15"/>
        <v>0</v>
      </c>
      <c r="K123" s="683"/>
      <c r="L123" s="684"/>
      <c r="M123" s="753">
        <v>90000</v>
      </c>
      <c r="N123" s="683">
        <v>0</v>
      </c>
      <c r="O123" s="686"/>
      <c r="P123" s="683">
        <v>0</v>
      </c>
      <c r="Q123" s="687">
        <f t="shared" si="1"/>
        <v>90000</v>
      </c>
      <c r="R123" s="687"/>
      <c r="S123" s="687"/>
      <c r="T123" s="688">
        <v>0</v>
      </c>
      <c r="U123" s="693"/>
      <c r="V123" s="690">
        <f t="shared" si="14"/>
        <v>-90000</v>
      </c>
      <c r="W123" s="683"/>
      <c r="X123" s="474">
        <f t="shared" si="19"/>
        <v>90000</v>
      </c>
      <c r="Y123" s="474">
        <f t="shared" si="20"/>
        <v>0</v>
      </c>
      <c r="Z123" s="475">
        <f t="shared" si="21"/>
        <v>0</v>
      </c>
      <c r="AA123" s="475">
        <v>0</v>
      </c>
      <c r="AB123" s="476">
        <v>0</v>
      </c>
      <c r="AC123" s="38">
        <f t="shared" si="22"/>
        <v>0</v>
      </c>
      <c r="AD123" s="692">
        <f t="shared" si="16"/>
        <v>0</v>
      </c>
      <c r="AE123" s="692">
        <f t="shared" si="17"/>
        <v>0</v>
      </c>
      <c r="AF123" s="692">
        <f t="shared" si="18"/>
        <v>0</v>
      </c>
      <c r="AG123" s="38"/>
      <c r="AH123" s="692">
        <f t="shared" si="23"/>
        <v>90000</v>
      </c>
      <c r="AI123" s="692">
        <f t="shared" si="24"/>
        <v>0</v>
      </c>
      <c r="AJ123" s="692">
        <f t="shared" si="25"/>
        <v>0</v>
      </c>
      <c r="AL123" s="38">
        <f t="shared" si="26"/>
        <v>90000</v>
      </c>
      <c r="AM123" s="68" t="s">
        <v>967</v>
      </c>
    </row>
    <row r="124" spans="1:39">
      <c r="A124" s="21"/>
      <c r="B124" s="21" t="s">
        <v>110</v>
      </c>
      <c r="C124" s="666"/>
      <c r="D124" s="68" t="s">
        <v>1002</v>
      </c>
      <c r="E124" s="679"/>
      <c r="F124" s="529">
        <f>VLOOKUP(D124,'Mar14 Revenue'!D:V,19,FALSE)</f>
        <v>0</v>
      </c>
      <c r="G124" s="680"/>
      <c r="H124" s="680"/>
      <c r="I124" s="755"/>
      <c r="J124" s="682">
        <f t="shared" si="15"/>
        <v>0</v>
      </c>
      <c r="K124" s="683"/>
      <c r="L124" s="684"/>
      <c r="M124" s="753"/>
      <c r="N124" s="683">
        <v>0</v>
      </c>
      <c r="O124" s="686"/>
      <c r="P124" s="683">
        <v>0</v>
      </c>
      <c r="Q124" s="687">
        <f t="shared" si="1"/>
        <v>0</v>
      </c>
      <c r="R124" s="687"/>
      <c r="S124" s="687"/>
      <c r="T124" s="688">
        <v>0</v>
      </c>
      <c r="U124" s="693"/>
      <c r="V124" s="690">
        <f t="shared" si="14"/>
        <v>0</v>
      </c>
      <c r="W124" s="683"/>
      <c r="X124" s="474">
        <f t="shared" si="19"/>
        <v>0</v>
      </c>
      <c r="Y124" s="474">
        <f t="shared" si="20"/>
        <v>0</v>
      </c>
      <c r="Z124" s="475">
        <f t="shared" si="21"/>
        <v>0</v>
      </c>
      <c r="AA124" s="475">
        <v>0</v>
      </c>
      <c r="AB124" s="476">
        <v>0</v>
      </c>
      <c r="AC124" s="38">
        <f t="shared" si="22"/>
        <v>0</v>
      </c>
      <c r="AD124" s="692">
        <f t="shared" si="16"/>
        <v>0</v>
      </c>
      <c r="AE124" s="692">
        <f t="shared" si="17"/>
        <v>0</v>
      </c>
      <c r="AF124" s="692">
        <f t="shared" si="18"/>
        <v>0</v>
      </c>
      <c r="AG124" s="38"/>
      <c r="AH124" s="692">
        <f t="shared" si="23"/>
        <v>0</v>
      </c>
      <c r="AI124" s="692">
        <f t="shared" si="24"/>
        <v>0</v>
      </c>
      <c r="AJ124" s="692">
        <f t="shared" si="25"/>
        <v>0</v>
      </c>
      <c r="AL124" s="38">
        <f t="shared" si="26"/>
        <v>0</v>
      </c>
      <c r="AM124" s="68" t="s">
        <v>1002</v>
      </c>
    </row>
    <row r="125" spans="1:39">
      <c r="A125" s="20"/>
      <c r="B125" s="20" t="s">
        <v>110</v>
      </c>
      <c r="C125" s="667"/>
      <c r="D125" s="68" t="s">
        <v>1013</v>
      </c>
      <c r="E125" s="679"/>
      <c r="F125" s="529">
        <f>VLOOKUP(D125,'Mar14 Revenue'!D:V,19,FALSE)</f>
        <v>0</v>
      </c>
      <c r="G125" s="680"/>
      <c r="H125" s="680"/>
      <c r="I125" s="755"/>
      <c r="J125" s="682">
        <f t="shared" si="15"/>
        <v>0</v>
      </c>
      <c r="K125" s="683"/>
      <c r="L125" s="684"/>
      <c r="M125" s="753"/>
      <c r="N125" s="683">
        <v>0</v>
      </c>
      <c r="O125" s="686"/>
      <c r="P125" s="683">
        <v>0</v>
      </c>
      <c r="Q125" s="687">
        <f t="shared" si="1"/>
        <v>0</v>
      </c>
      <c r="R125" s="687"/>
      <c r="S125" s="687"/>
      <c r="T125" s="688">
        <v>0</v>
      </c>
      <c r="U125" s="693"/>
      <c r="V125" s="690">
        <f t="shared" si="14"/>
        <v>0</v>
      </c>
      <c r="W125" s="683"/>
      <c r="X125" s="474">
        <f t="shared" si="19"/>
        <v>0</v>
      </c>
      <c r="Y125" s="474">
        <f t="shared" si="20"/>
        <v>0</v>
      </c>
      <c r="Z125" s="475">
        <f t="shared" si="21"/>
        <v>0</v>
      </c>
      <c r="AA125" s="475">
        <v>0</v>
      </c>
      <c r="AB125" s="476">
        <v>0</v>
      </c>
      <c r="AC125" s="38">
        <f t="shared" si="22"/>
        <v>0</v>
      </c>
      <c r="AD125" s="692">
        <f t="shared" si="16"/>
        <v>0</v>
      </c>
      <c r="AE125" s="692">
        <f t="shared" si="17"/>
        <v>0</v>
      </c>
      <c r="AF125" s="692">
        <f t="shared" si="18"/>
        <v>0</v>
      </c>
      <c r="AG125" s="38"/>
      <c r="AH125" s="692">
        <f t="shared" si="23"/>
        <v>0</v>
      </c>
      <c r="AI125" s="692">
        <f t="shared" si="24"/>
        <v>0</v>
      </c>
      <c r="AJ125" s="692">
        <f t="shared" si="25"/>
        <v>0</v>
      </c>
      <c r="AL125" s="38">
        <f t="shared" si="26"/>
        <v>0</v>
      </c>
      <c r="AM125" s="68" t="s">
        <v>1013</v>
      </c>
    </row>
    <row r="126" spans="1:39">
      <c r="A126" s="20"/>
      <c r="B126" s="20" t="s">
        <v>110</v>
      </c>
      <c r="C126" s="667"/>
      <c r="D126" s="68" t="s">
        <v>1088</v>
      </c>
      <c r="E126" s="679"/>
      <c r="F126" s="529">
        <f>VLOOKUP(D126,'Mar14 Revenue'!D:V,19,FALSE)</f>
        <v>86.07</v>
      </c>
      <c r="G126" s="680"/>
      <c r="H126" s="680"/>
      <c r="I126" s="755"/>
      <c r="J126" s="682">
        <f t="shared" ref="J126" si="27">SUM(E126:I126)</f>
        <v>86.07</v>
      </c>
      <c r="K126" s="683"/>
      <c r="L126" s="684"/>
      <c r="M126" s="753"/>
      <c r="N126" s="683">
        <v>0</v>
      </c>
      <c r="O126" s="686"/>
      <c r="P126" s="683">
        <v>0</v>
      </c>
      <c r="Q126" s="687">
        <f t="shared" ref="Q126" si="28">L126+M126</f>
        <v>0</v>
      </c>
      <c r="R126" s="687"/>
      <c r="S126" s="687"/>
      <c r="T126" s="688">
        <v>0</v>
      </c>
      <c r="U126" s="693"/>
      <c r="V126" s="690">
        <f t="shared" si="14"/>
        <v>0</v>
      </c>
      <c r="W126" s="683"/>
      <c r="X126" s="474">
        <f t="shared" ref="X126" si="29">IF(B126="D",Q126,0)</f>
        <v>0</v>
      </c>
      <c r="Y126" s="474">
        <f t="shared" ref="Y126" si="30">IF(B126="M",Q126,0)</f>
        <v>0</v>
      </c>
      <c r="Z126" s="475">
        <f t="shared" ref="Z126" si="31">IF(B126="V",Q126,0)</f>
        <v>0</v>
      </c>
      <c r="AA126" s="475">
        <v>0</v>
      </c>
      <c r="AB126" s="476">
        <v>0</v>
      </c>
      <c r="AC126" s="38">
        <f t="shared" ref="AC126" si="32">(L126+M126)-(X126+Y126+Z126+AA126+AB126)</f>
        <v>0</v>
      </c>
      <c r="AD126" s="692">
        <f t="shared" ref="AD126" si="33">IF(B126="D",J126,0)</f>
        <v>86.07</v>
      </c>
      <c r="AE126" s="692">
        <f t="shared" ref="AE126" si="34">IF(B126="M",J126,0)</f>
        <v>0</v>
      </c>
      <c r="AF126" s="692">
        <f t="shared" ref="AF126" si="35">IF(B126="V",J126,0)</f>
        <v>0</v>
      </c>
      <c r="AG126" s="38"/>
      <c r="AH126" s="692">
        <f t="shared" ref="AH126" si="36">IF(B126="D",Q126,0)</f>
        <v>0</v>
      </c>
      <c r="AI126" s="692">
        <f t="shared" ref="AI126" si="37">IF(B126="M",Q126,0)</f>
        <v>0</v>
      </c>
      <c r="AJ126" s="692">
        <f t="shared" ref="AJ126" si="38">IF(B126="V",Q126,0)</f>
        <v>0</v>
      </c>
      <c r="AL126" s="38">
        <f t="shared" ref="AL126" si="39">SUM(AD126:AJ126)</f>
        <v>86.07</v>
      </c>
      <c r="AM126" s="68"/>
    </row>
    <row r="127" spans="1:39">
      <c r="A127" s="21"/>
      <c r="B127" s="21" t="s">
        <v>110</v>
      </c>
      <c r="C127" s="666" t="s">
        <v>550</v>
      </c>
      <c r="D127" s="68" t="s">
        <v>282</v>
      </c>
      <c r="E127" s="679"/>
      <c r="F127" s="529">
        <f>VLOOKUP(D127,'Mar14 Revenue'!D:V,19,FALSE)</f>
        <v>-47840.23</v>
      </c>
      <c r="G127" s="680"/>
      <c r="H127" s="680"/>
      <c r="I127" s="755"/>
      <c r="J127" s="682">
        <f t="shared" si="15"/>
        <v>-47840.23</v>
      </c>
      <c r="K127" s="683"/>
      <c r="L127" s="684"/>
      <c r="M127" s="753">
        <v>120000</v>
      </c>
      <c r="N127" s="683">
        <v>0</v>
      </c>
      <c r="O127" s="686"/>
      <c r="P127" s="683">
        <v>0</v>
      </c>
      <c r="Q127" s="687">
        <f t="shared" si="1"/>
        <v>120000</v>
      </c>
      <c r="R127" s="687"/>
      <c r="S127" s="687"/>
      <c r="T127" s="688">
        <v>0</v>
      </c>
      <c r="U127" s="693"/>
      <c r="V127" s="690">
        <f t="shared" si="14"/>
        <v>-120000</v>
      </c>
      <c r="W127" s="683"/>
      <c r="X127" s="474">
        <f t="shared" si="19"/>
        <v>120000</v>
      </c>
      <c r="Y127" s="474">
        <f t="shared" si="20"/>
        <v>0</v>
      </c>
      <c r="Z127" s="475">
        <f t="shared" si="21"/>
        <v>0</v>
      </c>
      <c r="AA127" s="475">
        <v>0</v>
      </c>
      <c r="AB127" s="476">
        <v>0</v>
      </c>
      <c r="AC127" s="38">
        <f t="shared" si="22"/>
        <v>0</v>
      </c>
      <c r="AD127" s="692">
        <f t="shared" si="16"/>
        <v>-47840.23</v>
      </c>
      <c r="AE127" s="692">
        <f t="shared" si="17"/>
        <v>0</v>
      </c>
      <c r="AF127" s="692">
        <f t="shared" si="18"/>
        <v>0</v>
      </c>
      <c r="AG127" s="38"/>
      <c r="AH127" s="692">
        <f t="shared" si="23"/>
        <v>120000</v>
      </c>
      <c r="AI127" s="692">
        <f t="shared" si="24"/>
        <v>0</v>
      </c>
      <c r="AJ127" s="692">
        <f t="shared" si="25"/>
        <v>0</v>
      </c>
      <c r="AL127" s="38">
        <f t="shared" si="26"/>
        <v>72159.76999999999</v>
      </c>
      <c r="AM127" s="68" t="s">
        <v>282</v>
      </c>
    </row>
    <row r="128" spans="1:39">
      <c r="A128" s="21"/>
      <c r="B128" s="21" t="s">
        <v>109</v>
      </c>
      <c r="C128" s="666" t="s">
        <v>551</v>
      </c>
      <c r="D128" s="68" t="s">
        <v>499</v>
      </c>
      <c r="E128" s="679"/>
      <c r="F128" s="529">
        <f>VLOOKUP(D128,'Mar14 Revenue'!D:V,19,FALSE)</f>
        <v>0</v>
      </c>
      <c r="G128" s="680"/>
      <c r="H128" s="680"/>
      <c r="I128" s="755"/>
      <c r="J128" s="682">
        <f t="shared" si="15"/>
        <v>0</v>
      </c>
      <c r="K128" s="683"/>
      <c r="L128" s="684"/>
      <c r="M128" s="753"/>
      <c r="N128" s="683">
        <v>0</v>
      </c>
      <c r="O128" s="686"/>
      <c r="P128" s="683">
        <v>0</v>
      </c>
      <c r="Q128" s="687">
        <f t="shared" si="1"/>
        <v>0</v>
      </c>
      <c r="R128" s="687"/>
      <c r="S128" s="687"/>
      <c r="T128" s="688">
        <v>0</v>
      </c>
      <c r="U128" s="693"/>
      <c r="V128" s="690">
        <f t="shared" si="14"/>
        <v>0</v>
      </c>
      <c r="W128" s="683"/>
      <c r="X128" s="474">
        <f t="shared" si="19"/>
        <v>0</v>
      </c>
      <c r="Y128" s="474">
        <f t="shared" si="20"/>
        <v>0</v>
      </c>
      <c r="Z128" s="475">
        <f t="shared" si="21"/>
        <v>0</v>
      </c>
      <c r="AA128" s="475">
        <v>0</v>
      </c>
      <c r="AB128" s="476">
        <v>0</v>
      </c>
      <c r="AC128" s="38">
        <f t="shared" si="22"/>
        <v>0</v>
      </c>
      <c r="AD128" s="692">
        <f t="shared" si="16"/>
        <v>0</v>
      </c>
      <c r="AE128" s="692">
        <f t="shared" si="17"/>
        <v>0</v>
      </c>
      <c r="AF128" s="692">
        <f t="shared" si="18"/>
        <v>0</v>
      </c>
      <c r="AG128" s="38"/>
      <c r="AH128" s="692">
        <f t="shared" si="23"/>
        <v>0</v>
      </c>
      <c r="AI128" s="692">
        <f t="shared" si="24"/>
        <v>0</v>
      </c>
      <c r="AJ128" s="692">
        <f t="shared" si="25"/>
        <v>0</v>
      </c>
      <c r="AL128" s="38">
        <f t="shared" si="26"/>
        <v>0</v>
      </c>
      <c r="AM128" s="68" t="s">
        <v>499</v>
      </c>
    </row>
    <row r="129" spans="1:39">
      <c r="A129" s="21"/>
      <c r="B129" s="21" t="s">
        <v>110</v>
      </c>
      <c r="C129" s="666"/>
      <c r="D129" s="68" t="s">
        <v>1040</v>
      </c>
      <c r="E129" s="679"/>
      <c r="F129" s="529">
        <f>VLOOKUP(D129,'Mar14 Revenue'!D:V,19,FALSE)</f>
        <v>0</v>
      </c>
      <c r="G129" s="680"/>
      <c r="H129" s="680"/>
      <c r="I129" s="755"/>
      <c r="J129" s="682">
        <f t="shared" si="15"/>
        <v>0</v>
      </c>
      <c r="K129" s="683"/>
      <c r="L129" s="684"/>
      <c r="M129" s="753"/>
      <c r="N129" s="683">
        <v>0</v>
      </c>
      <c r="O129" s="686"/>
      <c r="P129" s="683">
        <v>0</v>
      </c>
      <c r="Q129" s="687">
        <f t="shared" si="1"/>
        <v>0</v>
      </c>
      <c r="R129" s="687"/>
      <c r="S129" s="687"/>
      <c r="T129" s="688">
        <v>0</v>
      </c>
      <c r="U129" s="693"/>
      <c r="V129" s="690">
        <f t="shared" si="14"/>
        <v>0</v>
      </c>
      <c r="W129" s="683"/>
      <c r="X129" s="474">
        <f t="shared" si="19"/>
        <v>0</v>
      </c>
      <c r="Y129" s="474">
        <f t="shared" si="20"/>
        <v>0</v>
      </c>
      <c r="Z129" s="475">
        <f t="shared" si="21"/>
        <v>0</v>
      </c>
      <c r="AA129" s="475">
        <v>0</v>
      </c>
      <c r="AB129" s="476">
        <v>0</v>
      </c>
      <c r="AC129" s="38">
        <f t="shared" si="22"/>
        <v>0</v>
      </c>
      <c r="AD129" s="692">
        <f t="shared" si="16"/>
        <v>0</v>
      </c>
      <c r="AE129" s="692">
        <f t="shared" si="17"/>
        <v>0</v>
      </c>
      <c r="AF129" s="692">
        <f t="shared" si="18"/>
        <v>0</v>
      </c>
      <c r="AG129" s="38"/>
      <c r="AH129" s="692">
        <f t="shared" si="23"/>
        <v>0</v>
      </c>
      <c r="AI129" s="692">
        <f t="shared" si="24"/>
        <v>0</v>
      </c>
      <c r="AJ129" s="692">
        <f t="shared" si="25"/>
        <v>0</v>
      </c>
      <c r="AL129" s="38">
        <f t="shared" si="26"/>
        <v>0</v>
      </c>
      <c r="AM129" s="68" t="s">
        <v>1019</v>
      </c>
    </row>
    <row r="130" spans="1:39">
      <c r="A130" s="21"/>
      <c r="B130" s="21" t="s">
        <v>110</v>
      </c>
      <c r="C130" s="666"/>
      <c r="D130" s="68" t="s">
        <v>28</v>
      </c>
      <c r="E130" s="679"/>
      <c r="F130" s="529">
        <f>VLOOKUP(D130,'Mar14 Revenue'!D:V,19,FALSE)</f>
        <v>0</v>
      </c>
      <c r="G130" s="680"/>
      <c r="H130" s="680"/>
      <c r="I130" s="804">
        <v>16687.3</v>
      </c>
      <c r="J130" s="682">
        <f t="shared" si="15"/>
        <v>16687.3</v>
      </c>
      <c r="K130" s="683"/>
      <c r="L130" s="684"/>
      <c r="M130" s="753"/>
      <c r="N130" s="683">
        <v>0</v>
      </c>
      <c r="O130" s="686"/>
      <c r="P130" s="683">
        <v>0</v>
      </c>
      <c r="Q130" s="687">
        <f t="shared" si="1"/>
        <v>0</v>
      </c>
      <c r="R130" s="687"/>
      <c r="S130" s="687"/>
      <c r="T130" s="688">
        <v>0</v>
      </c>
      <c r="U130" s="693"/>
      <c r="V130" s="690">
        <f t="shared" si="14"/>
        <v>0</v>
      </c>
      <c r="W130" s="683"/>
      <c r="X130" s="474">
        <f t="shared" si="19"/>
        <v>0</v>
      </c>
      <c r="Y130" s="474">
        <f t="shared" si="20"/>
        <v>0</v>
      </c>
      <c r="Z130" s="475">
        <f t="shared" si="21"/>
        <v>0</v>
      </c>
      <c r="AA130" s="475">
        <v>0</v>
      </c>
      <c r="AB130" s="476">
        <v>0</v>
      </c>
      <c r="AC130" s="38">
        <f t="shared" si="22"/>
        <v>0</v>
      </c>
      <c r="AD130" s="692">
        <f t="shared" si="16"/>
        <v>16687.3</v>
      </c>
      <c r="AE130" s="692">
        <f t="shared" si="17"/>
        <v>0</v>
      </c>
      <c r="AF130" s="692">
        <f t="shared" si="18"/>
        <v>0</v>
      </c>
      <c r="AG130" s="38"/>
      <c r="AH130" s="692">
        <f t="shared" si="23"/>
        <v>0</v>
      </c>
      <c r="AI130" s="692">
        <f t="shared" si="24"/>
        <v>0</v>
      </c>
      <c r="AJ130" s="692">
        <f t="shared" si="25"/>
        <v>0</v>
      </c>
      <c r="AL130" s="38">
        <f t="shared" si="26"/>
        <v>16687.3</v>
      </c>
      <c r="AM130" s="68" t="s">
        <v>28</v>
      </c>
    </row>
    <row r="131" spans="1:39">
      <c r="A131" s="21"/>
      <c r="B131" s="21" t="s">
        <v>114</v>
      </c>
      <c r="C131" s="666" t="s">
        <v>552</v>
      </c>
      <c r="D131" s="68" t="s">
        <v>513</v>
      </c>
      <c r="E131" s="679"/>
      <c r="F131" s="529">
        <f>VLOOKUP(D131,'Mar14 Revenue'!D:V,19,FALSE)</f>
        <v>-6000</v>
      </c>
      <c r="G131" s="680"/>
      <c r="H131" s="680"/>
      <c r="I131" s="755"/>
      <c r="J131" s="682">
        <f t="shared" si="15"/>
        <v>-6000</v>
      </c>
      <c r="K131" s="683"/>
      <c r="L131" s="684"/>
      <c r="M131" s="753">
        <v>9000</v>
      </c>
      <c r="N131" s="683">
        <v>0</v>
      </c>
      <c r="O131" s="686"/>
      <c r="P131" s="683">
        <v>0</v>
      </c>
      <c r="Q131" s="687">
        <f>L131+M131</f>
        <v>9000</v>
      </c>
      <c r="R131" s="687"/>
      <c r="S131" s="687"/>
      <c r="T131" s="688">
        <v>0</v>
      </c>
      <c r="U131" s="693"/>
      <c r="V131" s="690">
        <f t="shared" si="14"/>
        <v>-9000</v>
      </c>
      <c r="W131" s="683"/>
      <c r="X131" s="474">
        <f t="shared" si="19"/>
        <v>0</v>
      </c>
      <c r="Y131" s="474">
        <f t="shared" si="20"/>
        <v>0</v>
      </c>
      <c r="Z131" s="475">
        <f t="shared" si="21"/>
        <v>9000</v>
      </c>
      <c r="AA131" s="475">
        <v>0</v>
      </c>
      <c r="AB131" s="476">
        <v>0</v>
      </c>
      <c r="AC131" s="38">
        <f t="shared" si="22"/>
        <v>0</v>
      </c>
      <c r="AD131" s="692">
        <f t="shared" si="16"/>
        <v>0</v>
      </c>
      <c r="AE131" s="692">
        <f t="shared" si="17"/>
        <v>0</v>
      </c>
      <c r="AF131" s="692">
        <f t="shared" si="18"/>
        <v>-6000</v>
      </c>
      <c r="AG131" s="38"/>
      <c r="AH131" s="692">
        <f t="shared" si="23"/>
        <v>0</v>
      </c>
      <c r="AI131" s="692">
        <f t="shared" si="24"/>
        <v>0</v>
      </c>
      <c r="AJ131" s="692">
        <f t="shared" si="25"/>
        <v>9000</v>
      </c>
      <c r="AL131" s="38">
        <f t="shared" si="26"/>
        <v>3000</v>
      </c>
      <c r="AM131" s="68" t="s">
        <v>513</v>
      </c>
    </row>
    <row r="132" spans="1:39">
      <c r="A132" s="21"/>
      <c r="B132" s="21" t="s">
        <v>109</v>
      </c>
      <c r="C132" s="666" t="s">
        <v>553</v>
      </c>
      <c r="D132" s="68" t="s">
        <v>308</v>
      </c>
      <c r="E132" s="679"/>
      <c r="F132" s="529">
        <f>VLOOKUP(D132,'Mar14 Revenue'!D:V,19,FALSE)</f>
        <v>0</v>
      </c>
      <c r="G132" s="680"/>
      <c r="H132" s="680"/>
      <c r="I132" s="755"/>
      <c r="J132" s="682">
        <f t="shared" si="15"/>
        <v>0</v>
      </c>
      <c r="K132" s="683"/>
      <c r="L132" s="684"/>
      <c r="M132" s="753"/>
      <c r="N132" s="683">
        <v>0</v>
      </c>
      <c r="O132" s="686"/>
      <c r="P132" s="683">
        <v>0</v>
      </c>
      <c r="Q132" s="687">
        <f t="shared" si="1"/>
        <v>0</v>
      </c>
      <c r="R132" s="687"/>
      <c r="S132" s="687"/>
      <c r="T132" s="688">
        <v>0</v>
      </c>
      <c r="U132" s="693"/>
      <c r="V132" s="690">
        <f t="shared" si="14"/>
        <v>0</v>
      </c>
      <c r="W132" s="683"/>
      <c r="X132" s="474">
        <f t="shared" si="19"/>
        <v>0</v>
      </c>
      <c r="Y132" s="474">
        <f t="shared" si="20"/>
        <v>0</v>
      </c>
      <c r="Z132" s="475">
        <f t="shared" si="21"/>
        <v>0</v>
      </c>
      <c r="AA132" s="475">
        <v>0</v>
      </c>
      <c r="AB132" s="476">
        <v>0</v>
      </c>
      <c r="AC132" s="38">
        <f t="shared" si="22"/>
        <v>0</v>
      </c>
      <c r="AD132" s="692">
        <f t="shared" si="16"/>
        <v>0</v>
      </c>
      <c r="AE132" s="692">
        <f t="shared" si="17"/>
        <v>0</v>
      </c>
      <c r="AF132" s="692">
        <f t="shared" si="18"/>
        <v>0</v>
      </c>
      <c r="AG132" s="38"/>
      <c r="AH132" s="692">
        <f t="shared" si="23"/>
        <v>0</v>
      </c>
      <c r="AI132" s="692">
        <f t="shared" si="24"/>
        <v>0</v>
      </c>
      <c r="AJ132" s="692">
        <f t="shared" si="25"/>
        <v>0</v>
      </c>
      <c r="AL132" s="38">
        <f t="shared" si="26"/>
        <v>0</v>
      </c>
      <c r="AM132" s="68" t="s">
        <v>308</v>
      </c>
    </row>
    <row r="133" spans="1:39" s="232" customFormat="1">
      <c r="A133" s="283" t="s">
        <v>211</v>
      </c>
      <c r="B133" s="283" t="s">
        <v>109</v>
      </c>
      <c r="C133" s="667" t="s">
        <v>554</v>
      </c>
      <c r="D133" s="123" t="s">
        <v>389</v>
      </c>
      <c r="E133" s="679"/>
      <c r="F133" s="529">
        <f>VLOOKUP(D133,'Mar14 Revenue'!D:V,19,FALSE)</f>
        <v>0</v>
      </c>
      <c r="G133" s="680"/>
      <c r="H133" s="680"/>
      <c r="I133" s="755"/>
      <c r="J133" s="682">
        <f t="shared" si="15"/>
        <v>0</v>
      </c>
      <c r="K133" s="683"/>
      <c r="L133" s="684"/>
      <c r="M133" s="753"/>
      <c r="N133" s="683">
        <v>0</v>
      </c>
      <c r="O133" s="686"/>
      <c r="P133" s="683">
        <v>0</v>
      </c>
      <c r="Q133" s="687">
        <f t="shared" si="1"/>
        <v>0</v>
      </c>
      <c r="R133" s="687"/>
      <c r="S133" s="687"/>
      <c r="T133" s="688">
        <v>0</v>
      </c>
      <c r="U133" s="693"/>
      <c r="V133" s="690">
        <f t="shared" si="14"/>
        <v>0</v>
      </c>
      <c r="W133" s="683"/>
      <c r="X133" s="474">
        <f t="shared" si="19"/>
        <v>0</v>
      </c>
      <c r="Y133" s="474">
        <f t="shared" si="20"/>
        <v>0</v>
      </c>
      <c r="Z133" s="475">
        <f t="shared" si="21"/>
        <v>0</v>
      </c>
      <c r="AA133" s="475">
        <v>0</v>
      </c>
      <c r="AB133" s="476">
        <v>0</v>
      </c>
      <c r="AC133" s="38">
        <f t="shared" si="22"/>
        <v>0</v>
      </c>
      <c r="AD133" s="692">
        <f t="shared" si="16"/>
        <v>0</v>
      </c>
      <c r="AE133" s="692">
        <f t="shared" si="17"/>
        <v>0</v>
      </c>
      <c r="AF133" s="692">
        <f t="shared" si="18"/>
        <v>0</v>
      </c>
      <c r="AG133" s="38"/>
      <c r="AH133" s="692">
        <f t="shared" si="23"/>
        <v>0</v>
      </c>
      <c r="AI133" s="692">
        <f t="shared" si="24"/>
        <v>0</v>
      </c>
      <c r="AJ133" s="692">
        <f t="shared" si="25"/>
        <v>0</v>
      </c>
      <c r="AL133" s="38">
        <f t="shared" si="26"/>
        <v>0</v>
      </c>
      <c r="AM133" s="123" t="s">
        <v>389</v>
      </c>
    </row>
    <row r="134" spans="1:39" s="232" customFormat="1">
      <c r="A134" s="283"/>
      <c r="B134" s="283" t="s">
        <v>110</v>
      </c>
      <c r="C134" s="667"/>
      <c r="D134" s="123" t="s">
        <v>807</v>
      </c>
      <c r="E134" s="679"/>
      <c r="F134" s="529">
        <f>VLOOKUP(D134,'Mar14 Revenue'!D:V,19,FALSE)</f>
        <v>-2788.6</v>
      </c>
      <c r="G134" s="680"/>
      <c r="H134" s="680"/>
      <c r="I134" s="755"/>
      <c r="J134" s="682">
        <f t="shared" si="15"/>
        <v>-2788.6</v>
      </c>
      <c r="K134" s="683"/>
      <c r="L134" s="684"/>
      <c r="M134" s="753"/>
      <c r="N134" s="683">
        <v>0</v>
      </c>
      <c r="O134" s="686"/>
      <c r="P134" s="683">
        <v>0</v>
      </c>
      <c r="Q134" s="687">
        <f t="shared" si="1"/>
        <v>0</v>
      </c>
      <c r="R134" s="687"/>
      <c r="S134" s="687"/>
      <c r="T134" s="688">
        <v>2056.61</v>
      </c>
      <c r="U134" s="693"/>
      <c r="V134" s="690">
        <f t="shared" si="14"/>
        <v>2056.61</v>
      </c>
      <c r="W134" s="683"/>
      <c r="X134" s="474">
        <f t="shared" si="19"/>
        <v>0</v>
      </c>
      <c r="Y134" s="474">
        <f t="shared" si="20"/>
        <v>0</v>
      </c>
      <c r="Z134" s="475">
        <f t="shared" si="21"/>
        <v>0</v>
      </c>
      <c r="AA134" s="475">
        <v>0</v>
      </c>
      <c r="AB134" s="476">
        <v>0</v>
      </c>
      <c r="AC134" s="38">
        <f t="shared" si="22"/>
        <v>0</v>
      </c>
      <c r="AD134" s="692">
        <f t="shared" si="16"/>
        <v>-2788.6</v>
      </c>
      <c r="AE134" s="692">
        <f t="shared" si="17"/>
        <v>0</v>
      </c>
      <c r="AF134" s="692">
        <f t="shared" si="18"/>
        <v>0</v>
      </c>
      <c r="AG134" s="38"/>
      <c r="AH134" s="692">
        <f t="shared" si="23"/>
        <v>0</v>
      </c>
      <c r="AI134" s="692">
        <f t="shared" si="24"/>
        <v>0</v>
      </c>
      <c r="AJ134" s="692">
        <f t="shared" si="25"/>
        <v>0</v>
      </c>
      <c r="AL134" s="38">
        <f t="shared" si="26"/>
        <v>-2788.6</v>
      </c>
      <c r="AM134" s="123" t="s">
        <v>807</v>
      </c>
    </row>
    <row r="135" spans="1:39" s="232" customFormat="1">
      <c r="A135" s="283"/>
      <c r="B135" s="283" t="s">
        <v>109</v>
      </c>
      <c r="C135" s="667"/>
      <c r="D135" s="123" t="s">
        <v>1114</v>
      </c>
      <c r="E135" s="679"/>
      <c r="F135" s="529">
        <f>SUM('Mar14 Revenue'!V135)</f>
        <v>-2126.9800000000032</v>
      </c>
      <c r="G135" s="680"/>
      <c r="H135" s="680"/>
      <c r="I135" s="755"/>
      <c r="J135" s="682">
        <f t="shared" si="15"/>
        <v>-2126.9800000000032</v>
      </c>
      <c r="K135" s="683"/>
      <c r="L135" s="684"/>
      <c r="M135" s="753">
        <v>40000</v>
      </c>
      <c r="N135" s="683">
        <v>0</v>
      </c>
      <c r="O135" s="686"/>
      <c r="P135" s="683">
        <v>0</v>
      </c>
      <c r="Q135" s="687">
        <f t="shared" si="1"/>
        <v>40000</v>
      </c>
      <c r="R135" s="687"/>
      <c r="S135" s="687"/>
      <c r="T135" s="749">
        <f>26043.23+428.47+11000.16</f>
        <v>37471.86</v>
      </c>
      <c r="U135" s="693"/>
      <c r="V135" s="690">
        <f t="shared" si="14"/>
        <v>-2528.1399999999994</v>
      </c>
      <c r="W135" s="683"/>
      <c r="X135" s="474">
        <f t="shared" si="19"/>
        <v>0</v>
      </c>
      <c r="Y135" s="474">
        <f t="shared" si="20"/>
        <v>40000</v>
      </c>
      <c r="Z135" s="475">
        <f t="shared" si="21"/>
        <v>0</v>
      </c>
      <c r="AA135" s="475">
        <v>0</v>
      </c>
      <c r="AB135" s="476">
        <v>0</v>
      </c>
      <c r="AC135" s="38">
        <f t="shared" si="22"/>
        <v>0</v>
      </c>
      <c r="AD135" s="692">
        <f t="shared" si="16"/>
        <v>0</v>
      </c>
      <c r="AE135" s="692">
        <f t="shared" si="17"/>
        <v>-2126.9800000000032</v>
      </c>
      <c r="AF135" s="692">
        <f t="shared" si="18"/>
        <v>0</v>
      </c>
      <c r="AG135" s="38"/>
      <c r="AH135" s="692">
        <f t="shared" si="23"/>
        <v>0</v>
      </c>
      <c r="AI135" s="692">
        <f t="shared" si="24"/>
        <v>40000</v>
      </c>
      <c r="AJ135" s="692">
        <f t="shared" si="25"/>
        <v>0</v>
      </c>
      <c r="AL135" s="38">
        <f t="shared" si="26"/>
        <v>37873.019999999997</v>
      </c>
      <c r="AM135" s="123" t="s">
        <v>808</v>
      </c>
    </row>
    <row r="136" spans="1:39" s="232" customFormat="1">
      <c r="A136" s="403"/>
      <c r="B136" s="403" t="s">
        <v>110</v>
      </c>
      <c r="C136" s="666" t="s">
        <v>563</v>
      </c>
      <c r="D136" s="123" t="s">
        <v>867</v>
      </c>
      <c r="E136" s="679"/>
      <c r="F136" s="529">
        <f>VLOOKUP(D136,'Mar14 Revenue'!D:V,19,FALSE)</f>
        <v>0</v>
      </c>
      <c r="G136" s="680"/>
      <c r="H136" s="680"/>
      <c r="I136" s="755"/>
      <c r="J136" s="682">
        <f t="shared" si="15"/>
        <v>0</v>
      </c>
      <c r="K136" s="683"/>
      <c r="L136" s="684"/>
      <c r="M136" s="753"/>
      <c r="N136" s="683">
        <v>0</v>
      </c>
      <c r="O136" s="686"/>
      <c r="P136" s="683">
        <v>0</v>
      </c>
      <c r="Q136" s="687">
        <f t="shared" si="1"/>
        <v>0</v>
      </c>
      <c r="R136" s="687"/>
      <c r="S136" s="687"/>
      <c r="T136" s="688">
        <v>2087.94</v>
      </c>
      <c r="U136" s="693"/>
      <c r="V136" s="690">
        <f t="shared" si="14"/>
        <v>2087.94</v>
      </c>
      <c r="W136" s="683"/>
      <c r="X136" s="474">
        <f t="shared" si="19"/>
        <v>0</v>
      </c>
      <c r="Y136" s="474">
        <f t="shared" si="20"/>
        <v>0</v>
      </c>
      <c r="Z136" s="475">
        <f t="shared" si="21"/>
        <v>0</v>
      </c>
      <c r="AA136" s="475">
        <v>0</v>
      </c>
      <c r="AB136" s="476">
        <v>0</v>
      </c>
      <c r="AC136" s="38">
        <f t="shared" si="22"/>
        <v>0</v>
      </c>
      <c r="AD136" s="692">
        <f t="shared" si="16"/>
        <v>0</v>
      </c>
      <c r="AE136" s="692">
        <f t="shared" si="17"/>
        <v>0</v>
      </c>
      <c r="AF136" s="692">
        <f t="shared" si="18"/>
        <v>0</v>
      </c>
      <c r="AG136" s="38"/>
      <c r="AH136" s="692">
        <f t="shared" si="23"/>
        <v>0</v>
      </c>
      <c r="AI136" s="692">
        <f t="shared" si="24"/>
        <v>0</v>
      </c>
      <c r="AJ136" s="692">
        <f t="shared" si="25"/>
        <v>0</v>
      </c>
      <c r="AL136" s="38">
        <f t="shared" si="26"/>
        <v>0</v>
      </c>
      <c r="AM136" s="123" t="s">
        <v>867</v>
      </c>
    </row>
    <row r="137" spans="1:39" s="232" customFormat="1">
      <c r="A137" s="283"/>
      <c r="B137" s="283" t="s">
        <v>110</v>
      </c>
      <c r="C137" s="667"/>
      <c r="D137" s="68" t="s">
        <v>488</v>
      </c>
      <c r="E137" s="679"/>
      <c r="F137" s="529">
        <f>VLOOKUP(D137,'Mar14 Revenue'!D:V,19,FALSE)</f>
        <v>0</v>
      </c>
      <c r="G137" s="680"/>
      <c r="H137" s="680"/>
      <c r="I137" s="755"/>
      <c r="J137" s="682">
        <f t="shared" si="15"/>
        <v>0</v>
      </c>
      <c r="K137" s="683"/>
      <c r="L137" s="684"/>
      <c r="M137" s="753"/>
      <c r="N137" s="683">
        <v>0</v>
      </c>
      <c r="O137" s="686"/>
      <c r="P137" s="683">
        <v>0</v>
      </c>
      <c r="Q137" s="687">
        <f t="shared" si="1"/>
        <v>0</v>
      </c>
      <c r="R137" s="687"/>
      <c r="S137" s="687"/>
      <c r="T137" s="688">
        <v>0</v>
      </c>
      <c r="U137" s="693"/>
      <c r="V137" s="690">
        <f t="shared" si="14"/>
        <v>0</v>
      </c>
      <c r="W137" s="683"/>
      <c r="X137" s="474">
        <f t="shared" si="19"/>
        <v>0</v>
      </c>
      <c r="Y137" s="474">
        <f t="shared" si="20"/>
        <v>0</v>
      </c>
      <c r="Z137" s="475">
        <f t="shared" si="21"/>
        <v>0</v>
      </c>
      <c r="AA137" s="475">
        <v>0</v>
      </c>
      <c r="AB137" s="476">
        <v>0</v>
      </c>
      <c r="AC137" s="38">
        <f t="shared" si="22"/>
        <v>0</v>
      </c>
      <c r="AD137" s="692">
        <f t="shared" si="16"/>
        <v>0</v>
      </c>
      <c r="AE137" s="692">
        <f t="shared" si="17"/>
        <v>0</v>
      </c>
      <c r="AF137" s="692">
        <f t="shared" si="18"/>
        <v>0</v>
      </c>
      <c r="AG137" s="38"/>
      <c r="AH137" s="692">
        <f t="shared" si="23"/>
        <v>0</v>
      </c>
      <c r="AI137" s="692">
        <f t="shared" si="24"/>
        <v>0</v>
      </c>
      <c r="AJ137" s="692">
        <f t="shared" si="25"/>
        <v>0</v>
      </c>
      <c r="AL137" s="38">
        <f t="shared" si="26"/>
        <v>0</v>
      </c>
      <c r="AM137" s="68" t="s">
        <v>488</v>
      </c>
    </row>
    <row r="138" spans="1:39" s="232" customFormat="1">
      <c r="A138" s="283"/>
      <c r="B138" s="283" t="s">
        <v>110</v>
      </c>
      <c r="C138" s="667" t="s">
        <v>555</v>
      </c>
      <c r="D138" s="123" t="s">
        <v>192</v>
      </c>
      <c r="E138" s="679"/>
      <c r="F138" s="529">
        <f>VLOOKUP(D138,'Mar14 Revenue'!D:V,19,FALSE)</f>
        <v>0</v>
      </c>
      <c r="G138" s="680"/>
      <c r="H138" s="680"/>
      <c r="I138" s="755"/>
      <c r="J138" s="682">
        <f t="shared" si="15"/>
        <v>0</v>
      </c>
      <c r="K138" s="683"/>
      <c r="L138" s="684"/>
      <c r="M138" s="753"/>
      <c r="N138" s="683">
        <v>0</v>
      </c>
      <c r="O138" s="686"/>
      <c r="P138" s="683">
        <v>0</v>
      </c>
      <c r="Q138" s="687">
        <f t="shared" si="1"/>
        <v>0</v>
      </c>
      <c r="R138" s="687"/>
      <c r="S138" s="687"/>
      <c r="T138" s="688">
        <v>0</v>
      </c>
      <c r="U138" s="693"/>
      <c r="V138" s="690">
        <f t="shared" si="14"/>
        <v>0</v>
      </c>
      <c r="W138" s="683"/>
      <c r="X138" s="474">
        <f t="shared" si="19"/>
        <v>0</v>
      </c>
      <c r="Y138" s="474">
        <f t="shared" si="20"/>
        <v>0</v>
      </c>
      <c r="Z138" s="475">
        <f t="shared" si="21"/>
        <v>0</v>
      </c>
      <c r="AA138" s="475">
        <v>0</v>
      </c>
      <c r="AB138" s="476">
        <v>0</v>
      </c>
      <c r="AC138" s="38">
        <f t="shared" si="22"/>
        <v>0</v>
      </c>
      <c r="AD138" s="692">
        <f t="shared" si="16"/>
        <v>0</v>
      </c>
      <c r="AE138" s="692">
        <f t="shared" si="17"/>
        <v>0</v>
      </c>
      <c r="AF138" s="692">
        <f t="shared" si="18"/>
        <v>0</v>
      </c>
      <c r="AG138" s="38"/>
      <c r="AH138" s="692">
        <f t="shared" si="23"/>
        <v>0</v>
      </c>
      <c r="AI138" s="692">
        <f t="shared" si="24"/>
        <v>0</v>
      </c>
      <c r="AJ138" s="692">
        <f t="shared" si="25"/>
        <v>0</v>
      </c>
      <c r="AL138" s="38">
        <f t="shared" si="26"/>
        <v>0</v>
      </c>
      <c r="AM138" s="123" t="s">
        <v>192</v>
      </c>
    </row>
    <row r="139" spans="1:39" s="232" customFormat="1" hidden="1">
      <c r="A139" s="283"/>
      <c r="B139" s="283" t="s">
        <v>110</v>
      </c>
      <c r="C139" s="667" t="s">
        <v>555</v>
      </c>
      <c r="D139" s="123" t="s">
        <v>193</v>
      </c>
      <c r="E139" s="679"/>
      <c r="F139" s="529">
        <f>VLOOKUP(D139,'Mar14 Revenue'!D:V,19,FALSE)</f>
        <v>0</v>
      </c>
      <c r="G139" s="680"/>
      <c r="H139" s="680"/>
      <c r="I139" s="755"/>
      <c r="J139" s="682">
        <f t="shared" si="15"/>
        <v>0</v>
      </c>
      <c r="K139" s="683"/>
      <c r="L139" s="684"/>
      <c r="M139" s="753"/>
      <c r="N139" s="683">
        <v>0</v>
      </c>
      <c r="O139" s="686"/>
      <c r="P139" s="683">
        <v>0</v>
      </c>
      <c r="Q139" s="687">
        <f t="shared" si="1"/>
        <v>0</v>
      </c>
      <c r="R139" s="687"/>
      <c r="S139" s="687"/>
      <c r="T139" s="688">
        <v>0</v>
      </c>
      <c r="U139" s="693"/>
      <c r="V139" s="690">
        <f t="shared" si="14"/>
        <v>0</v>
      </c>
      <c r="W139" s="683"/>
      <c r="X139" s="474">
        <f t="shared" si="19"/>
        <v>0</v>
      </c>
      <c r="Y139" s="474">
        <f t="shared" si="20"/>
        <v>0</v>
      </c>
      <c r="Z139" s="475">
        <f t="shared" si="21"/>
        <v>0</v>
      </c>
      <c r="AA139" s="475">
        <v>0</v>
      </c>
      <c r="AB139" s="476">
        <v>0</v>
      </c>
      <c r="AC139" s="38">
        <f t="shared" si="22"/>
        <v>0</v>
      </c>
      <c r="AD139" s="692">
        <f t="shared" si="16"/>
        <v>0</v>
      </c>
      <c r="AE139" s="692">
        <f t="shared" si="17"/>
        <v>0</v>
      </c>
      <c r="AF139" s="692">
        <f t="shared" si="18"/>
        <v>0</v>
      </c>
      <c r="AG139" s="38"/>
      <c r="AH139" s="692">
        <f t="shared" si="23"/>
        <v>0</v>
      </c>
      <c r="AI139" s="692">
        <f t="shared" si="24"/>
        <v>0</v>
      </c>
      <c r="AJ139" s="692">
        <f t="shared" si="25"/>
        <v>0</v>
      </c>
      <c r="AL139" s="38">
        <f t="shared" si="26"/>
        <v>0</v>
      </c>
      <c r="AM139" s="123" t="s">
        <v>193</v>
      </c>
    </row>
    <row r="140" spans="1:39" s="232" customFormat="1" hidden="1">
      <c r="A140" s="283"/>
      <c r="B140" s="283" t="s">
        <v>110</v>
      </c>
      <c r="C140" s="667" t="s">
        <v>555</v>
      </c>
      <c r="D140" s="123" t="s">
        <v>194</v>
      </c>
      <c r="E140" s="679"/>
      <c r="F140" s="529">
        <f>VLOOKUP(D140,'Mar14 Revenue'!D:V,19,FALSE)</f>
        <v>0</v>
      </c>
      <c r="G140" s="680"/>
      <c r="H140" s="680"/>
      <c r="I140" s="755"/>
      <c r="J140" s="682">
        <f t="shared" si="15"/>
        <v>0</v>
      </c>
      <c r="K140" s="683"/>
      <c r="L140" s="684"/>
      <c r="M140" s="753"/>
      <c r="N140" s="683">
        <v>0</v>
      </c>
      <c r="O140" s="686"/>
      <c r="P140" s="683">
        <v>0</v>
      </c>
      <c r="Q140" s="687">
        <f t="shared" si="1"/>
        <v>0</v>
      </c>
      <c r="R140" s="687"/>
      <c r="S140" s="687"/>
      <c r="T140" s="688">
        <v>0</v>
      </c>
      <c r="U140" s="693"/>
      <c r="V140" s="690">
        <f t="shared" si="14"/>
        <v>0</v>
      </c>
      <c r="W140" s="683"/>
      <c r="X140" s="474">
        <f t="shared" si="19"/>
        <v>0</v>
      </c>
      <c r="Y140" s="474">
        <f t="shared" si="20"/>
        <v>0</v>
      </c>
      <c r="Z140" s="475">
        <f t="shared" si="21"/>
        <v>0</v>
      </c>
      <c r="AA140" s="475">
        <v>0</v>
      </c>
      <c r="AB140" s="476">
        <v>0</v>
      </c>
      <c r="AC140" s="38">
        <f t="shared" si="22"/>
        <v>0</v>
      </c>
      <c r="AD140" s="692">
        <f t="shared" si="16"/>
        <v>0</v>
      </c>
      <c r="AE140" s="692">
        <f t="shared" si="17"/>
        <v>0</v>
      </c>
      <c r="AF140" s="692">
        <f t="shared" si="18"/>
        <v>0</v>
      </c>
      <c r="AG140" s="38"/>
      <c r="AH140" s="692">
        <f t="shared" si="23"/>
        <v>0</v>
      </c>
      <c r="AI140" s="692">
        <f t="shared" si="24"/>
        <v>0</v>
      </c>
      <c r="AJ140" s="692">
        <f t="shared" si="25"/>
        <v>0</v>
      </c>
      <c r="AL140" s="38">
        <f t="shared" si="26"/>
        <v>0</v>
      </c>
      <c r="AM140" s="123" t="s">
        <v>194</v>
      </c>
    </row>
    <row r="141" spans="1:39" s="232" customFormat="1" hidden="1">
      <c r="A141" s="283"/>
      <c r="B141" s="283" t="s">
        <v>110</v>
      </c>
      <c r="C141" s="667" t="s">
        <v>555</v>
      </c>
      <c r="D141" s="123" t="s">
        <v>195</v>
      </c>
      <c r="E141" s="679"/>
      <c r="F141" s="529">
        <f>VLOOKUP(D141,'Mar14 Revenue'!D:V,19,FALSE)</f>
        <v>0</v>
      </c>
      <c r="G141" s="680"/>
      <c r="H141" s="680"/>
      <c r="I141" s="755"/>
      <c r="J141" s="682">
        <f t="shared" si="15"/>
        <v>0</v>
      </c>
      <c r="K141" s="683"/>
      <c r="L141" s="684"/>
      <c r="M141" s="753"/>
      <c r="N141" s="683">
        <v>0</v>
      </c>
      <c r="O141" s="686"/>
      <c r="P141" s="683">
        <v>0</v>
      </c>
      <c r="Q141" s="687">
        <f t="shared" si="1"/>
        <v>0</v>
      </c>
      <c r="R141" s="687"/>
      <c r="S141" s="687"/>
      <c r="T141" s="688">
        <v>0</v>
      </c>
      <c r="U141" s="693"/>
      <c r="V141" s="690">
        <f t="shared" si="14"/>
        <v>0</v>
      </c>
      <c r="W141" s="683"/>
      <c r="X141" s="474">
        <f t="shared" si="19"/>
        <v>0</v>
      </c>
      <c r="Y141" s="474">
        <f t="shared" si="20"/>
        <v>0</v>
      </c>
      <c r="Z141" s="475">
        <f t="shared" si="21"/>
        <v>0</v>
      </c>
      <c r="AA141" s="475">
        <v>0</v>
      </c>
      <c r="AB141" s="476">
        <v>0</v>
      </c>
      <c r="AC141" s="38">
        <f t="shared" si="22"/>
        <v>0</v>
      </c>
      <c r="AD141" s="692">
        <f t="shared" si="16"/>
        <v>0</v>
      </c>
      <c r="AE141" s="692">
        <f t="shared" si="17"/>
        <v>0</v>
      </c>
      <c r="AF141" s="692">
        <f t="shared" si="18"/>
        <v>0</v>
      </c>
      <c r="AG141" s="38"/>
      <c r="AH141" s="692">
        <f t="shared" si="23"/>
        <v>0</v>
      </c>
      <c r="AI141" s="692">
        <f t="shared" si="24"/>
        <v>0</v>
      </c>
      <c r="AJ141" s="692">
        <f t="shared" si="25"/>
        <v>0</v>
      </c>
      <c r="AL141" s="38">
        <f t="shared" si="26"/>
        <v>0</v>
      </c>
      <c r="AM141" s="123" t="s">
        <v>195</v>
      </c>
    </row>
    <row r="142" spans="1:39" s="232" customFormat="1" hidden="1">
      <c r="A142" s="283"/>
      <c r="B142" s="283" t="s">
        <v>110</v>
      </c>
      <c r="C142" s="667" t="s">
        <v>555</v>
      </c>
      <c r="D142" s="123" t="s">
        <v>196</v>
      </c>
      <c r="E142" s="679"/>
      <c r="F142" s="529">
        <f>VLOOKUP(D142,'Mar14 Revenue'!D:V,19,FALSE)</f>
        <v>0</v>
      </c>
      <c r="G142" s="680"/>
      <c r="H142" s="680"/>
      <c r="I142" s="755"/>
      <c r="J142" s="682">
        <f t="shared" si="15"/>
        <v>0</v>
      </c>
      <c r="K142" s="683"/>
      <c r="L142" s="684"/>
      <c r="M142" s="753"/>
      <c r="N142" s="683">
        <v>0</v>
      </c>
      <c r="O142" s="686"/>
      <c r="P142" s="683">
        <v>0</v>
      </c>
      <c r="Q142" s="687">
        <f t="shared" si="1"/>
        <v>0</v>
      </c>
      <c r="R142" s="687"/>
      <c r="S142" s="687"/>
      <c r="T142" s="688">
        <v>0</v>
      </c>
      <c r="U142" s="693"/>
      <c r="V142" s="690">
        <f t="shared" si="14"/>
        <v>0</v>
      </c>
      <c r="W142" s="683"/>
      <c r="X142" s="474">
        <f t="shared" si="19"/>
        <v>0</v>
      </c>
      <c r="Y142" s="474">
        <f t="shared" si="20"/>
        <v>0</v>
      </c>
      <c r="Z142" s="475">
        <f t="shared" si="21"/>
        <v>0</v>
      </c>
      <c r="AA142" s="475">
        <v>0</v>
      </c>
      <c r="AB142" s="476">
        <v>0</v>
      </c>
      <c r="AC142" s="38">
        <f t="shared" si="22"/>
        <v>0</v>
      </c>
      <c r="AD142" s="692">
        <f t="shared" si="16"/>
        <v>0</v>
      </c>
      <c r="AE142" s="692">
        <f t="shared" si="17"/>
        <v>0</v>
      </c>
      <c r="AF142" s="692">
        <f t="shared" si="18"/>
        <v>0</v>
      </c>
      <c r="AG142" s="38"/>
      <c r="AH142" s="692">
        <f t="shared" si="23"/>
        <v>0</v>
      </c>
      <c r="AI142" s="692">
        <f t="shared" si="24"/>
        <v>0</v>
      </c>
      <c r="AJ142" s="692">
        <f t="shared" si="25"/>
        <v>0</v>
      </c>
      <c r="AL142" s="38">
        <f t="shared" si="26"/>
        <v>0</v>
      </c>
      <c r="AM142" s="123" t="s">
        <v>196</v>
      </c>
    </row>
    <row r="143" spans="1:39" s="232" customFormat="1" hidden="1">
      <c r="A143" s="283"/>
      <c r="B143" s="283" t="s">
        <v>110</v>
      </c>
      <c r="C143" s="667" t="s">
        <v>555</v>
      </c>
      <c r="D143" s="123" t="s">
        <v>197</v>
      </c>
      <c r="E143" s="679"/>
      <c r="F143" s="529">
        <f>VLOOKUP(D143,'Mar14 Revenue'!D:V,19,FALSE)</f>
        <v>0</v>
      </c>
      <c r="G143" s="680"/>
      <c r="H143" s="680"/>
      <c r="I143" s="755"/>
      <c r="J143" s="682">
        <f t="shared" si="15"/>
        <v>0</v>
      </c>
      <c r="K143" s="683"/>
      <c r="L143" s="684"/>
      <c r="M143" s="753"/>
      <c r="N143" s="683">
        <v>0</v>
      </c>
      <c r="O143" s="686"/>
      <c r="P143" s="683">
        <v>0</v>
      </c>
      <c r="Q143" s="687">
        <f t="shared" si="1"/>
        <v>0</v>
      </c>
      <c r="R143" s="687"/>
      <c r="S143" s="687"/>
      <c r="T143" s="688">
        <v>0</v>
      </c>
      <c r="U143" s="693"/>
      <c r="V143" s="690">
        <f t="shared" si="14"/>
        <v>0</v>
      </c>
      <c r="W143" s="683"/>
      <c r="X143" s="474">
        <f t="shared" si="19"/>
        <v>0</v>
      </c>
      <c r="Y143" s="474">
        <f t="shared" si="20"/>
        <v>0</v>
      </c>
      <c r="Z143" s="475">
        <f t="shared" si="21"/>
        <v>0</v>
      </c>
      <c r="AA143" s="475">
        <v>0</v>
      </c>
      <c r="AB143" s="476">
        <v>0</v>
      </c>
      <c r="AC143" s="38">
        <f t="shared" si="22"/>
        <v>0</v>
      </c>
      <c r="AD143" s="692">
        <f t="shared" si="16"/>
        <v>0</v>
      </c>
      <c r="AE143" s="692">
        <f t="shared" si="17"/>
        <v>0</v>
      </c>
      <c r="AF143" s="692">
        <f t="shared" si="18"/>
        <v>0</v>
      </c>
      <c r="AG143" s="38"/>
      <c r="AH143" s="692">
        <f t="shared" si="23"/>
        <v>0</v>
      </c>
      <c r="AI143" s="692">
        <f t="shared" si="24"/>
        <v>0</v>
      </c>
      <c r="AJ143" s="692">
        <f t="shared" si="25"/>
        <v>0</v>
      </c>
      <c r="AL143" s="38">
        <f t="shared" si="26"/>
        <v>0</v>
      </c>
      <c r="AM143" s="123" t="s">
        <v>197</v>
      </c>
    </row>
    <row r="144" spans="1:39" s="232" customFormat="1" hidden="1">
      <c r="A144" s="283"/>
      <c r="B144" s="283" t="s">
        <v>110</v>
      </c>
      <c r="C144" s="667" t="s">
        <v>555</v>
      </c>
      <c r="D144" s="123" t="s">
        <v>440</v>
      </c>
      <c r="E144" s="679"/>
      <c r="F144" s="529">
        <f>VLOOKUP(D144,'Mar14 Revenue'!D:V,19,FALSE)</f>
        <v>0</v>
      </c>
      <c r="G144" s="680"/>
      <c r="H144" s="680"/>
      <c r="I144" s="755"/>
      <c r="J144" s="682">
        <f t="shared" si="15"/>
        <v>0</v>
      </c>
      <c r="K144" s="683"/>
      <c r="L144" s="684"/>
      <c r="M144" s="753"/>
      <c r="N144" s="683">
        <v>0</v>
      </c>
      <c r="O144" s="686"/>
      <c r="P144" s="683">
        <v>0</v>
      </c>
      <c r="Q144" s="687">
        <f t="shared" si="1"/>
        <v>0</v>
      </c>
      <c r="R144" s="687"/>
      <c r="S144" s="687"/>
      <c r="T144" s="688">
        <v>0</v>
      </c>
      <c r="U144" s="693"/>
      <c r="V144" s="690">
        <f t="shared" ref="V144:V207" si="40">IF(T144="","",T144-Q144)</f>
        <v>0</v>
      </c>
      <c r="W144" s="683"/>
      <c r="X144" s="474">
        <f t="shared" si="19"/>
        <v>0</v>
      </c>
      <c r="Y144" s="474">
        <f t="shared" si="20"/>
        <v>0</v>
      </c>
      <c r="Z144" s="475">
        <f t="shared" si="21"/>
        <v>0</v>
      </c>
      <c r="AA144" s="475">
        <v>0</v>
      </c>
      <c r="AB144" s="476">
        <v>0</v>
      </c>
      <c r="AC144" s="38">
        <f t="shared" si="22"/>
        <v>0</v>
      </c>
      <c r="AD144" s="692">
        <f t="shared" si="16"/>
        <v>0</v>
      </c>
      <c r="AE144" s="692">
        <f t="shared" si="17"/>
        <v>0</v>
      </c>
      <c r="AF144" s="692">
        <f t="shared" si="18"/>
        <v>0</v>
      </c>
      <c r="AG144" s="38"/>
      <c r="AH144" s="692">
        <f t="shared" si="23"/>
        <v>0</v>
      </c>
      <c r="AI144" s="692">
        <f t="shared" si="24"/>
        <v>0</v>
      </c>
      <c r="AJ144" s="692">
        <f t="shared" si="25"/>
        <v>0</v>
      </c>
      <c r="AL144" s="38">
        <f t="shared" si="26"/>
        <v>0</v>
      </c>
      <c r="AM144" s="123" t="s">
        <v>440</v>
      </c>
    </row>
    <row r="145" spans="1:39" s="232" customFormat="1">
      <c r="A145" s="283"/>
      <c r="B145" s="283" t="s">
        <v>110</v>
      </c>
      <c r="C145" s="667" t="s">
        <v>555</v>
      </c>
      <c r="D145" s="123" t="s">
        <v>481</v>
      </c>
      <c r="E145" s="679"/>
      <c r="F145" s="529">
        <f>VLOOKUP(D145,'Mar14 Revenue'!D:V,19,FALSE)</f>
        <v>0</v>
      </c>
      <c r="G145" s="680"/>
      <c r="H145" s="680"/>
      <c r="I145" s="755"/>
      <c r="J145" s="682">
        <f t="shared" si="15"/>
        <v>0</v>
      </c>
      <c r="K145" s="683"/>
      <c r="L145" s="684"/>
      <c r="M145" s="753"/>
      <c r="N145" s="683">
        <v>0</v>
      </c>
      <c r="O145" s="686"/>
      <c r="P145" s="683">
        <v>0</v>
      </c>
      <c r="Q145" s="687">
        <f t="shared" si="1"/>
        <v>0</v>
      </c>
      <c r="R145" s="687"/>
      <c r="S145" s="687"/>
      <c r="T145" s="688">
        <v>0</v>
      </c>
      <c r="U145" s="693"/>
      <c r="V145" s="690">
        <f t="shared" si="40"/>
        <v>0</v>
      </c>
      <c r="W145" s="683"/>
      <c r="X145" s="474">
        <f t="shared" si="19"/>
        <v>0</v>
      </c>
      <c r="Y145" s="474">
        <f t="shared" si="20"/>
        <v>0</v>
      </c>
      <c r="Z145" s="475">
        <f t="shared" si="21"/>
        <v>0</v>
      </c>
      <c r="AA145" s="475">
        <v>0</v>
      </c>
      <c r="AB145" s="476">
        <v>0</v>
      </c>
      <c r="AC145" s="38">
        <f t="shared" si="22"/>
        <v>0</v>
      </c>
      <c r="AD145" s="692">
        <f t="shared" si="16"/>
        <v>0</v>
      </c>
      <c r="AE145" s="692">
        <f t="shared" si="17"/>
        <v>0</v>
      </c>
      <c r="AF145" s="692">
        <f t="shared" si="18"/>
        <v>0</v>
      </c>
      <c r="AG145" s="38"/>
      <c r="AH145" s="692">
        <f t="shared" si="23"/>
        <v>0</v>
      </c>
      <c r="AI145" s="692">
        <f t="shared" si="24"/>
        <v>0</v>
      </c>
      <c r="AJ145" s="692">
        <f t="shared" si="25"/>
        <v>0</v>
      </c>
      <c r="AL145" s="38">
        <f t="shared" si="26"/>
        <v>0</v>
      </c>
      <c r="AM145" s="123" t="s">
        <v>481</v>
      </c>
    </row>
    <row r="146" spans="1:39" s="232" customFormat="1">
      <c r="A146" s="283"/>
      <c r="B146" s="283" t="s">
        <v>109</v>
      </c>
      <c r="C146" s="667" t="s">
        <v>555</v>
      </c>
      <c r="D146" s="123" t="s">
        <v>248</v>
      </c>
      <c r="E146" s="679"/>
      <c r="F146" s="529">
        <f>VLOOKUP(D146,'Mar14 Revenue'!D:V,19,FALSE)</f>
        <v>0</v>
      </c>
      <c r="G146" s="680"/>
      <c r="H146" s="680"/>
      <c r="I146" s="755"/>
      <c r="J146" s="682">
        <f>SUM(E146:I146)</f>
        <v>0</v>
      </c>
      <c r="K146" s="683"/>
      <c r="L146" s="684"/>
      <c r="M146" s="753"/>
      <c r="N146" s="683">
        <v>0</v>
      </c>
      <c r="O146" s="686"/>
      <c r="P146" s="683">
        <v>0</v>
      </c>
      <c r="Q146" s="687">
        <f t="shared" si="1"/>
        <v>0</v>
      </c>
      <c r="R146" s="687"/>
      <c r="S146" s="687"/>
      <c r="T146" s="688">
        <v>0</v>
      </c>
      <c r="U146" s="693"/>
      <c r="V146" s="690">
        <f t="shared" si="40"/>
        <v>0</v>
      </c>
      <c r="W146" s="683"/>
      <c r="X146" s="474">
        <f t="shared" si="19"/>
        <v>0</v>
      </c>
      <c r="Y146" s="474">
        <f t="shared" si="20"/>
        <v>0</v>
      </c>
      <c r="Z146" s="475">
        <f t="shared" si="21"/>
        <v>0</v>
      </c>
      <c r="AA146" s="475">
        <v>0</v>
      </c>
      <c r="AB146" s="476">
        <v>0</v>
      </c>
      <c r="AC146" s="38">
        <f t="shared" si="22"/>
        <v>0</v>
      </c>
      <c r="AD146" s="692">
        <f t="shared" si="16"/>
        <v>0</v>
      </c>
      <c r="AE146" s="692">
        <f t="shared" si="17"/>
        <v>0</v>
      </c>
      <c r="AF146" s="692">
        <f t="shared" si="18"/>
        <v>0</v>
      </c>
      <c r="AG146" s="38"/>
      <c r="AH146" s="692">
        <f t="shared" si="23"/>
        <v>0</v>
      </c>
      <c r="AI146" s="692">
        <f t="shared" si="24"/>
        <v>0</v>
      </c>
      <c r="AJ146" s="692">
        <f t="shared" si="25"/>
        <v>0</v>
      </c>
      <c r="AL146" s="38">
        <f t="shared" si="26"/>
        <v>0</v>
      </c>
      <c r="AM146" s="123" t="s">
        <v>248</v>
      </c>
    </row>
    <row r="147" spans="1:39" s="232" customFormat="1">
      <c r="A147" s="283"/>
      <c r="B147" s="20" t="s">
        <v>109</v>
      </c>
      <c r="C147" s="667"/>
      <c r="D147" s="68" t="s">
        <v>465</v>
      </c>
      <c r="E147" s="679"/>
      <c r="F147" s="529">
        <f>VLOOKUP(D147,'Mar14 Revenue'!D:V,19,FALSE)</f>
        <v>-10000</v>
      </c>
      <c r="G147" s="680"/>
      <c r="H147" s="680"/>
      <c r="I147" s="755"/>
      <c r="J147" s="682">
        <f t="shared" si="15"/>
        <v>-10000</v>
      </c>
      <c r="K147" s="683"/>
      <c r="L147" s="684"/>
      <c r="M147" s="753">
        <v>15000</v>
      </c>
      <c r="N147" s="683">
        <v>0</v>
      </c>
      <c r="O147" s="686"/>
      <c r="P147" s="683">
        <v>0</v>
      </c>
      <c r="Q147" s="687">
        <f t="shared" si="1"/>
        <v>15000</v>
      </c>
      <c r="R147" s="687"/>
      <c r="S147" s="687"/>
      <c r="T147" s="688">
        <v>0</v>
      </c>
      <c r="U147" s="693"/>
      <c r="V147" s="690">
        <f t="shared" si="40"/>
        <v>-15000</v>
      </c>
      <c r="W147" s="683"/>
      <c r="X147" s="474">
        <f t="shared" si="19"/>
        <v>0</v>
      </c>
      <c r="Y147" s="474">
        <f t="shared" si="20"/>
        <v>15000</v>
      </c>
      <c r="Z147" s="475">
        <f t="shared" si="21"/>
        <v>0</v>
      </c>
      <c r="AA147" s="475">
        <v>0</v>
      </c>
      <c r="AB147" s="476">
        <v>0</v>
      </c>
      <c r="AC147" s="38">
        <f t="shared" si="22"/>
        <v>0</v>
      </c>
      <c r="AD147" s="692">
        <f t="shared" si="16"/>
        <v>0</v>
      </c>
      <c r="AE147" s="692">
        <f t="shared" si="17"/>
        <v>-10000</v>
      </c>
      <c r="AF147" s="692">
        <f t="shared" si="18"/>
        <v>0</v>
      </c>
      <c r="AG147" s="38"/>
      <c r="AH147" s="692">
        <f t="shared" si="23"/>
        <v>0</v>
      </c>
      <c r="AI147" s="692">
        <f t="shared" si="24"/>
        <v>15000</v>
      </c>
      <c r="AJ147" s="692">
        <f t="shared" si="25"/>
        <v>0</v>
      </c>
      <c r="AL147" s="38">
        <f t="shared" si="26"/>
        <v>5000</v>
      </c>
      <c r="AM147" s="68" t="s">
        <v>465</v>
      </c>
    </row>
    <row r="148" spans="1:39">
      <c r="A148" s="21"/>
      <c r="B148" s="21" t="s">
        <v>110</v>
      </c>
      <c r="C148" s="666" t="s">
        <v>556</v>
      </c>
      <c r="D148" s="68" t="s">
        <v>261</v>
      </c>
      <c r="E148" s="679"/>
      <c r="F148" s="529">
        <f>VLOOKUP(D148,'Mar14 Revenue'!D:V,19,FALSE)</f>
        <v>-12183.659999999974</v>
      </c>
      <c r="G148" s="680"/>
      <c r="H148" s="680"/>
      <c r="I148" s="755"/>
      <c r="J148" s="682">
        <f t="shared" si="15"/>
        <v>-12183.659999999974</v>
      </c>
      <c r="K148" s="683"/>
      <c r="L148" s="684"/>
      <c r="M148" s="753">
        <v>320000</v>
      </c>
      <c r="N148" s="683">
        <v>0</v>
      </c>
      <c r="O148" s="686"/>
      <c r="P148" s="683">
        <v>0</v>
      </c>
      <c r="Q148" s="687">
        <f t="shared" si="1"/>
        <v>320000</v>
      </c>
      <c r="R148" s="687"/>
      <c r="S148" s="687"/>
      <c r="T148" s="688">
        <f>336855.26-T149</f>
        <v>321305.29000000004</v>
      </c>
      <c r="U148" s="693"/>
      <c r="V148" s="690">
        <f t="shared" si="40"/>
        <v>1305.2900000000373</v>
      </c>
      <c r="W148" s="683"/>
      <c r="X148" s="474">
        <f t="shared" si="19"/>
        <v>320000</v>
      </c>
      <c r="Y148" s="474">
        <f t="shared" si="20"/>
        <v>0</v>
      </c>
      <c r="Z148" s="475">
        <f t="shared" si="21"/>
        <v>0</v>
      </c>
      <c r="AA148" s="475">
        <v>0</v>
      </c>
      <c r="AB148" s="476">
        <v>0</v>
      </c>
      <c r="AC148" s="38">
        <f t="shared" si="22"/>
        <v>0</v>
      </c>
      <c r="AD148" s="692">
        <f t="shared" si="16"/>
        <v>-12183.659999999974</v>
      </c>
      <c r="AE148" s="692">
        <f t="shared" si="17"/>
        <v>0</v>
      </c>
      <c r="AF148" s="692">
        <f t="shared" si="18"/>
        <v>0</v>
      </c>
      <c r="AG148" s="38"/>
      <c r="AH148" s="692">
        <f t="shared" si="23"/>
        <v>320000</v>
      </c>
      <c r="AI148" s="692">
        <f t="shared" si="24"/>
        <v>0</v>
      </c>
      <c r="AJ148" s="692">
        <f t="shared" si="25"/>
        <v>0</v>
      </c>
      <c r="AL148" s="38">
        <f t="shared" si="26"/>
        <v>307816.34000000003</v>
      </c>
      <c r="AM148" s="68" t="s">
        <v>261</v>
      </c>
    </row>
    <row r="149" spans="1:39" s="269" customFormat="1">
      <c r="A149" s="21"/>
      <c r="B149" s="21" t="s">
        <v>110</v>
      </c>
      <c r="C149" s="666" t="s">
        <v>556</v>
      </c>
      <c r="D149" s="68" t="s">
        <v>262</v>
      </c>
      <c r="E149" s="679"/>
      <c r="F149" s="529">
        <f>VLOOKUP(D149,'Mar14 Revenue'!D:V,19,FALSE)</f>
        <v>893.40999999999985</v>
      </c>
      <c r="G149" s="680"/>
      <c r="H149" s="680"/>
      <c r="I149" s="755"/>
      <c r="J149" s="682">
        <f t="shared" si="15"/>
        <v>893.40999999999985</v>
      </c>
      <c r="K149" s="683"/>
      <c r="L149" s="684"/>
      <c r="M149" s="753">
        <v>15000</v>
      </c>
      <c r="N149" s="683">
        <v>0</v>
      </c>
      <c r="O149" s="686"/>
      <c r="P149" s="683">
        <v>0</v>
      </c>
      <c r="Q149" s="687">
        <f t="shared" si="1"/>
        <v>15000</v>
      </c>
      <c r="R149" s="687"/>
      <c r="S149" s="687"/>
      <c r="T149" s="688">
        <v>15549.97</v>
      </c>
      <c r="U149" s="693"/>
      <c r="V149" s="690">
        <f t="shared" si="40"/>
        <v>549.96999999999935</v>
      </c>
      <c r="W149" s="683"/>
      <c r="X149" s="474">
        <f t="shared" si="19"/>
        <v>15000</v>
      </c>
      <c r="Y149" s="474">
        <f t="shared" si="20"/>
        <v>0</v>
      </c>
      <c r="Z149" s="475">
        <f t="shared" si="21"/>
        <v>0</v>
      </c>
      <c r="AA149" s="475">
        <v>0</v>
      </c>
      <c r="AB149" s="476">
        <v>0</v>
      </c>
      <c r="AC149" s="38">
        <f t="shared" si="22"/>
        <v>0</v>
      </c>
      <c r="AD149" s="692">
        <f t="shared" si="16"/>
        <v>893.40999999999985</v>
      </c>
      <c r="AE149" s="692">
        <f t="shared" si="17"/>
        <v>0</v>
      </c>
      <c r="AF149" s="692">
        <f t="shared" si="18"/>
        <v>0</v>
      </c>
      <c r="AG149" s="38"/>
      <c r="AH149" s="692">
        <f t="shared" si="23"/>
        <v>15000</v>
      </c>
      <c r="AI149" s="692">
        <f t="shared" si="24"/>
        <v>0</v>
      </c>
      <c r="AJ149" s="692">
        <f t="shared" si="25"/>
        <v>0</v>
      </c>
      <c r="AL149" s="38">
        <f t="shared" si="26"/>
        <v>15893.41</v>
      </c>
      <c r="AM149" s="68" t="s">
        <v>262</v>
      </c>
    </row>
    <row r="150" spans="1:39" s="269" customFormat="1">
      <c r="A150" s="21"/>
      <c r="B150" s="21" t="s">
        <v>114</v>
      </c>
      <c r="C150" s="675" t="s">
        <v>619</v>
      </c>
      <c r="D150" s="68" t="s">
        <v>626</v>
      </c>
      <c r="E150" s="679"/>
      <c r="F150" s="529">
        <f>VLOOKUP(D150,'Mar14 Revenue'!D:V,19,FALSE)</f>
        <v>0</v>
      </c>
      <c r="G150" s="680"/>
      <c r="H150" s="680"/>
      <c r="I150" s="804">
        <v>5138.17</v>
      </c>
      <c r="J150" s="682">
        <f t="shared" si="15"/>
        <v>5138.17</v>
      </c>
      <c r="K150" s="683"/>
      <c r="L150" s="684"/>
      <c r="M150" s="753"/>
      <c r="N150" s="683">
        <v>0</v>
      </c>
      <c r="O150" s="686"/>
      <c r="P150" s="683">
        <v>0</v>
      </c>
      <c r="Q150" s="687">
        <f t="shared" ref="Q150:Q223" si="41">L150+M150</f>
        <v>0</v>
      </c>
      <c r="R150" s="687"/>
      <c r="S150" s="687"/>
      <c r="T150" s="688">
        <v>0</v>
      </c>
      <c r="U150" s="693"/>
      <c r="V150" s="690">
        <f t="shared" si="40"/>
        <v>0</v>
      </c>
      <c r="W150" s="683"/>
      <c r="X150" s="474">
        <f t="shared" si="19"/>
        <v>0</v>
      </c>
      <c r="Y150" s="474">
        <f t="shared" si="20"/>
        <v>0</v>
      </c>
      <c r="Z150" s="475">
        <f t="shared" si="21"/>
        <v>0</v>
      </c>
      <c r="AA150" s="475">
        <v>0</v>
      </c>
      <c r="AB150" s="476">
        <v>0</v>
      </c>
      <c r="AC150" s="38">
        <f t="shared" si="22"/>
        <v>0</v>
      </c>
      <c r="AD150" s="692">
        <f t="shared" si="16"/>
        <v>0</v>
      </c>
      <c r="AE150" s="692">
        <f t="shared" si="17"/>
        <v>0</v>
      </c>
      <c r="AF150" s="692">
        <f t="shared" si="18"/>
        <v>5138.17</v>
      </c>
      <c r="AG150" s="38"/>
      <c r="AH150" s="692">
        <f t="shared" si="23"/>
        <v>0</v>
      </c>
      <c r="AI150" s="692">
        <f t="shared" si="24"/>
        <v>0</v>
      </c>
      <c r="AJ150" s="692">
        <f t="shared" si="25"/>
        <v>0</v>
      </c>
      <c r="AL150" s="38">
        <f t="shared" si="26"/>
        <v>5138.17</v>
      </c>
      <c r="AM150" s="68" t="s">
        <v>626</v>
      </c>
    </row>
    <row r="151" spans="1:39">
      <c r="A151" s="21"/>
      <c r="B151" s="21" t="s">
        <v>109</v>
      </c>
      <c r="C151" s="666"/>
      <c r="D151" s="68" t="s">
        <v>396</v>
      </c>
      <c r="E151" s="679">
        <v>46.9</v>
      </c>
      <c r="F151" s="529">
        <f>VLOOKUP(D151,'Mar14 Revenue'!D:V,19,FALSE)</f>
        <v>0</v>
      </c>
      <c r="G151" s="680"/>
      <c r="H151" s="680"/>
      <c r="I151" s="755"/>
      <c r="J151" s="682">
        <f t="shared" si="15"/>
        <v>46.9</v>
      </c>
      <c r="K151" s="683"/>
      <c r="L151" s="684"/>
      <c r="M151" s="753"/>
      <c r="N151" s="683">
        <v>0</v>
      </c>
      <c r="O151" s="686"/>
      <c r="P151" s="683">
        <v>0</v>
      </c>
      <c r="Q151" s="687">
        <f t="shared" si="41"/>
        <v>0</v>
      </c>
      <c r="R151" s="687"/>
      <c r="S151" s="687"/>
      <c r="T151" s="688">
        <v>0</v>
      </c>
      <c r="U151" s="693"/>
      <c r="V151" s="690">
        <f t="shared" si="40"/>
        <v>0</v>
      </c>
      <c r="W151" s="683"/>
      <c r="X151" s="474">
        <f t="shared" si="19"/>
        <v>0</v>
      </c>
      <c r="Y151" s="474">
        <f t="shared" si="20"/>
        <v>0</v>
      </c>
      <c r="Z151" s="475">
        <f t="shared" si="21"/>
        <v>0</v>
      </c>
      <c r="AA151" s="475">
        <v>0</v>
      </c>
      <c r="AB151" s="476">
        <v>0</v>
      </c>
      <c r="AC151" s="38">
        <f t="shared" si="22"/>
        <v>0</v>
      </c>
      <c r="AD151" s="692">
        <f t="shared" si="16"/>
        <v>0</v>
      </c>
      <c r="AE151" s="692">
        <f t="shared" si="17"/>
        <v>46.9</v>
      </c>
      <c r="AF151" s="692">
        <f t="shared" si="18"/>
        <v>0</v>
      </c>
      <c r="AG151" s="38"/>
      <c r="AH151" s="692">
        <f t="shared" si="23"/>
        <v>0</v>
      </c>
      <c r="AI151" s="692">
        <f t="shared" si="24"/>
        <v>0</v>
      </c>
      <c r="AJ151" s="692">
        <f t="shared" si="25"/>
        <v>0</v>
      </c>
      <c r="AL151" s="38">
        <f t="shared" si="26"/>
        <v>46.9</v>
      </c>
      <c r="AM151" s="68" t="s">
        <v>396</v>
      </c>
    </row>
    <row r="152" spans="1:39">
      <c r="A152" s="20"/>
      <c r="B152" s="20" t="s">
        <v>109</v>
      </c>
      <c r="C152" s="667" t="s">
        <v>557</v>
      </c>
      <c r="D152" s="68" t="s">
        <v>32</v>
      </c>
      <c r="E152" s="679"/>
      <c r="F152" s="529">
        <f>VLOOKUP(D152,'Mar14 Revenue'!D:V,19,FALSE)</f>
        <v>0</v>
      </c>
      <c r="G152" s="680"/>
      <c r="H152" s="680"/>
      <c r="I152" s="755"/>
      <c r="J152" s="682">
        <f t="shared" si="15"/>
        <v>0</v>
      </c>
      <c r="K152" s="683"/>
      <c r="L152" s="684"/>
      <c r="M152" s="753"/>
      <c r="N152" s="683">
        <v>0</v>
      </c>
      <c r="O152" s="686"/>
      <c r="P152" s="683">
        <v>0</v>
      </c>
      <c r="Q152" s="687">
        <f t="shared" si="41"/>
        <v>0</v>
      </c>
      <c r="R152" s="687"/>
      <c r="S152" s="687"/>
      <c r="T152" s="688">
        <v>0</v>
      </c>
      <c r="U152" s="693"/>
      <c r="V152" s="690">
        <f t="shared" si="40"/>
        <v>0</v>
      </c>
      <c r="W152" s="683"/>
      <c r="X152" s="474">
        <f t="shared" si="19"/>
        <v>0</v>
      </c>
      <c r="Y152" s="474">
        <f t="shared" si="20"/>
        <v>0</v>
      </c>
      <c r="Z152" s="475">
        <f t="shared" si="21"/>
        <v>0</v>
      </c>
      <c r="AA152" s="475">
        <v>0</v>
      </c>
      <c r="AB152" s="476">
        <v>0</v>
      </c>
      <c r="AC152" s="38">
        <f t="shared" si="22"/>
        <v>0</v>
      </c>
      <c r="AD152" s="692">
        <f t="shared" si="16"/>
        <v>0</v>
      </c>
      <c r="AE152" s="692">
        <f t="shared" si="17"/>
        <v>0</v>
      </c>
      <c r="AF152" s="692">
        <f t="shared" si="18"/>
        <v>0</v>
      </c>
      <c r="AG152" s="38"/>
      <c r="AH152" s="692">
        <f t="shared" si="23"/>
        <v>0</v>
      </c>
      <c r="AI152" s="692">
        <f t="shared" si="24"/>
        <v>0</v>
      </c>
      <c r="AJ152" s="692">
        <f t="shared" si="25"/>
        <v>0</v>
      </c>
      <c r="AL152" s="38">
        <f t="shared" si="26"/>
        <v>0</v>
      </c>
      <c r="AM152" s="68" t="s">
        <v>32</v>
      </c>
    </row>
    <row r="153" spans="1:39">
      <c r="A153" s="21"/>
      <c r="B153" s="21" t="s">
        <v>110</v>
      </c>
      <c r="C153" s="666"/>
      <c r="D153" s="68" t="s">
        <v>448</v>
      </c>
      <c r="E153" s="679">
        <f>2999.55</f>
        <v>2999.55</v>
      </c>
      <c r="F153" s="529">
        <f>VLOOKUP(D153,'Mar14 Revenue'!D:V,19,FALSE)</f>
        <v>2019.11</v>
      </c>
      <c r="G153" s="680"/>
      <c r="H153" s="680"/>
      <c r="I153" s="755"/>
      <c r="J153" s="682">
        <f t="shared" si="15"/>
        <v>5018.66</v>
      </c>
      <c r="K153" s="683"/>
      <c r="L153" s="684"/>
      <c r="M153" s="753"/>
      <c r="N153" s="683">
        <v>0</v>
      </c>
      <c r="O153" s="686"/>
      <c r="P153" s="683">
        <v>0</v>
      </c>
      <c r="Q153" s="687">
        <f t="shared" si="41"/>
        <v>0</v>
      </c>
      <c r="R153" s="687"/>
      <c r="S153" s="687"/>
      <c r="T153" s="688">
        <v>0</v>
      </c>
      <c r="U153" s="693"/>
      <c r="V153" s="690">
        <f t="shared" si="40"/>
        <v>0</v>
      </c>
      <c r="W153" s="683"/>
      <c r="X153" s="474">
        <f t="shared" si="19"/>
        <v>0</v>
      </c>
      <c r="Y153" s="474">
        <f t="shared" si="20"/>
        <v>0</v>
      </c>
      <c r="Z153" s="475">
        <f t="shared" si="21"/>
        <v>0</v>
      </c>
      <c r="AA153" s="475">
        <v>0</v>
      </c>
      <c r="AB153" s="476">
        <v>0</v>
      </c>
      <c r="AC153" s="38">
        <f t="shared" si="22"/>
        <v>0</v>
      </c>
      <c r="AD153" s="692">
        <f t="shared" si="16"/>
        <v>5018.66</v>
      </c>
      <c r="AE153" s="692">
        <f t="shared" si="17"/>
        <v>0</v>
      </c>
      <c r="AF153" s="692">
        <f t="shared" si="18"/>
        <v>0</v>
      </c>
      <c r="AG153" s="38"/>
      <c r="AH153" s="692">
        <f t="shared" si="23"/>
        <v>0</v>
      </c>
      <c r="AI153" s="692">
        <f t="shared" si="24"/>
        <v>0</v>
      </c>
      <c r="AJ153" s="692">
        <f t="shared" si="25"/>
        <v>0</v>
      </c>
      <c r="AL153" s="38">
        <f t="shared" si="26"/>
        <v>5018.66</v>
      </c>
      <c r="AM153" s="68" t="s">
        <v>448</v>
      </c>
    </row>
    <row r="154" spans="1:39">
      <c r="A154" s="21"/>
      <c r="B154" s="21" t="s">
        <v>114</v>
      </c>
      <c r="C154" s="666"/>
      <c r="D154" s="68" t="s">
        <v>936</v>
      </c>
      <c r="E154" s="679">
        <f>347.14+251.72</f>
        <v>598.86</v>
      </c>
      <c r="F154" s="529">
        <f>VLOOKUP(D154,'Mar14 Revenue'!D:V,19,FALSE)</f>
        <v>591</v>
      </c>
      <c r="G154" s="680"/>
      <c r="H154" s="680"/>
      <c r="I154" s="755"/>
      <c r="J154" s="682">
        <f t="shared" si="15"/>
        <v>1189.8600000000001</v>
      </c>
      <c r="K154" s="683"/>
      <c r="L154" s="684"/>
      <c r="M154" s="753"/>
      <c r="N154" s="683">
        <v>0</v>
      </c>
      <c r="O154" s="686"/>
      <c r="P154" s="683">
        <v>0</v>
      </c>
      <c r="Q154" s="687">
        <f t="shared" si="41"/>
        <v>0</v>
      </c>
      <c r="R154" s="687"/>
      <c r="S154" s="687"/>
      <c r="T154" s="688">
        <v>305.04000000000002</v>
      </c>
      <c r="U154" s="693"/>
      <c r="V154" s="690">
        <f t="shared" si="40"/>
        <v>305.04000000000002</v>
      </c>
      <c r="W154" s="683"/>
      <c r="X154" s="474">
        <f t="shared" si="19"/>
        <v>0</v>
      </c>
      <c r="Y154" s="474">
        <f t="shared" si="20"/>
        <v>0</v>
      </c>
      <c r="Z154" s="475">
        <f t="shared" si="21"/>
        <v>0</v>
      </c>
      <c r="AA154" s="475">
        <v>0</v>
      </c>
      <c r="AB154" s="476">
        <v>0</v>
      </c>
      <c r="AC154" s="38">
        <f t="shared" si="22"/>
        <v>0</v>
      </c>
      <c r="AD154" s="692">
        <f t="shared" si="16"/>
        <v>0</v>
      </c>
      <c r="AE154" s="692">
        <f t="shared" si="17"/>
        <v>0</v>
      </c>
      <c r="AF154" s="692">
        <f t="shared" si="18"/>
        <v>1189.8600000000001</v>
      </c>
      <c r="AG154" s="38"/>
      <c r="AH154" s="692">
        <f t="shared" si="23"/>
        <v>0</v>
      </c>
      <c r="AI154" s="692">
        <f t="shared" si="24"/>
        <v>0</v>
      </c>
      <c r="AJ154" s="692">
        <f t="shared" si="25"/>
        <v>0</v>
      </c>
      <c r="AL154" s="38">
        <f t="shared" si="26"/>
        <v>1189.8600000000001</v>
      </c>
      <c r="AM154" s="68" t="s">
        <v>936</v>
      </c>
    </row>
    <row r="155" spans="1:39">
      <c r="A155" s="21"/>
      <c r="B155" s="21" t="s">
        <v>110</v>
      </c>
      <c r="C155" s="666"/>
      <c r="D155" s="68" t="s">
        <v>877</v>
      </c>
      <c r="E155" s="679"/>
      <c r="F155" s="529">
        <f>VLOOKUP(D155,'Mar14 Revenue'!D:V,19,FALSE)</f>
        <v>0</v>
      </c>
      <c r="G155" s="680"/>
      <c r="H155" s="680"/>
      <c r="I155" s="755"/>
      <c r="J155" s="682">
        <f t="shared" si="15"/>
        <v>0</v>
      </c>
      <c r="K155" s="683"/>
      <c r="L155" s="684"/>
      <c r="M155" s="753"/>
      <c r="N155" s="683">
        <v>0</v>
      </c>
      <c r="O155" s="686"/>
      <c r="P155" s="683">
        <v>0</v>
      </c>
      <c r="Q155" s="687">
        <f t="shared" si="41"/>
        <v>0</v>
      </c>
      <c r="R155" s="687"/>
      <c r="S155" s="687"/>
      <c r="T155" s="688">
        <v>0</v>
      </c>
      <c r="U155" s="693"/>
      <c r="V155" s="690">
        <f t="shared" si="40"/>
        <v>0</v>
      </c>
      <c r="W155" s="683"/>
      <c r="X155" s="474">
        <f t="shared" si="19"/>
        <v>0</v>
      </c>
      <c r="Y155" s="474">
        <f t="shared" si="20"/>
        <v>0</v>
      </c>
      <c r="Z155" s="475">
        <f t="shared" si="21"/>
        <v>0</v>
      </c>
      <c r="AA155" s="475">
        <v>0</v>
      </c>
      <c r="AB155" s="476">
        <v>0</v>
      </c>
      <c r="AC155" s="38">
        <f t="shared" si="22"/>
        <v>0</v>
      </c>
      <c r="AD155" s="692">
        <f t="shared" si="16"/>
        <v>0</v>
      </c>
      <c r="AE155" s="692">
        <f t="shared" si="17"/>
        <v>0</v>
      </c>
      <c r="AF155" s="692">
        <f t="shared" si="18"/>
        <v>0</v>
      </c>
      <c r="AG155" s="38"/>
      <c r="AH155" s="692">
        <f t="shared" si="23"/>
        <v>0</v>
      </c>
      <c r="AI155" s="692">
        <f t="shared" si="24"/>
        <v>0</v>
      </c>
      <c r="AJ155" s="692">
        <f t="shared" si="25"/>
        <v>0</v>
      </c>
      <c r="AL155" s="38">
        <f t="shared" si="26"/>
        <v>0</v>
      </c>
      <c r="AM155" s="68" t="s">
        <v>877</v>
      </c>
    </row>
    <row r="156" spans="1:39">
      <c r="A156" s="21"/>
      <c r="B156" s="21" t="s">
        <v>110</v>
      </c>
      <c r="C156" s="666" t="s">
        <v>558</v>
      </c>
      <c r="D156" s="68" t="s">
        <v>122</v>
      </c>
      <c r="E156" s="679">
        <f>554.15+536.35</f>
        <v>1090.5</v>
      </c>
      <c r="F156" s="529">
        <f>VLOOKUP(D156,'Mar14 Revenue'!D:V,19,FALSE)</f>
        <v>0</v>
      </c>
      <c r="G156" s="680"/>
      <c r="H156" s="680"/>
      <c r="I156" s="755"/>
      <c r="J156" s="682">
        <f t="shared" si="15"/>
        <v>1090.5</v>
      </c>
      <c r="K156" s="683"/>
      <c r="L156" s="684"/>
      <c r="M156" s="753"/>
      <c r="N156" s="683">
        <v>0</v>
      </c>
      <c r="O156" s="686"/>
      <c r="P156" s="683">
        <v>0</v>
      </c>
      <c r="Q156" s="687">
        <f t="shared" si="41"/>
        <v>0</v>
      </c>
      <c r="R156" s="687"/>
      <c r="S156" s="687"/>
      <c r="T156" s="688">
        <v>1319.42</v>
      </c>
      <c r="U156" s="693"/>
      <c r="V156" s="690">
        <f t="shared" si="40"/>
        <v>1319.42</v>
      </c>
      <c r="W156" s="683"/>
      <c r="X156" s="474">
        <f t="shared" si="19"/>
        <v>0</v>
      </c>
      <c r="Y156" s="474">
        <f t="shared" si="20"/>
        <v>0</v>
      </c>
      <c r="Z156" s="475">
        <f t="shared" si="21"/>
        <v>0</v>
      </c>
      <c r="AA156" s="475">
        <v>0</v>
      </c>
      <c r="AB156" s="476">
        <v>0</v>
      </c>
      <c r="AC156" s="38">
        <f t="shared" si="22"/>
        <v>0</v>
      </c>
      <c r="AD156" s="692">
        <f t="shared" si="16"/>
        <v>1090.5</v>
      </c>
      <c r="AE156" s="692">
        <f t="shared" si="17"/>
        <v>0</v>
      </c>
      <c r="AF156" s="692">
        <f t="shared" si="18"/>
        <v>0</v>
      </c>
      <c r="AG156" s="38"/>
      <c r="AH156" s="692">
        <f t="shared" si="23"/>
        <v>0</v>
      </c>
      <c r="AI156" s="692">
        <f t="shared" si="24"/>
        <v>0</v>
      </c>
      <c r="AJ156" s="692">
        <f t="shared" si="25"/>
        <v>0</v>
      </c>
      <c r="AL156" s="38">
        <f t="shared" si="26"/>
        <v>1090.5</v>
      </c>
      <c r="AM156" s="68" t="s">
        <v>122</v>
      </c>
    </row>
    <row r="157" spans="1:39">
      <c r="A157" s="21"/>
      <c r="B157" s="21" t="s">
        <v>114</v>
      </c>
      <c r="C157" s="666" t="s">
        <v>558</v>
      </c>
      <c r="D157" s="68" t="s">
        <v>629</v>
      </c>
      <c r="E157" s="679">
        <v>23.71</v>
      </c>
      <c r="F157" s="529">
        <f>VLOOKUP(D157,'Mar14 Revenue'!D:V,19,FALSE)</f>
        <v>0</v>
      </c>
      <c r="G157" s="680"/>
      <c r="H157" s="680"/>
      <c r="I157" s="755"/>
      <c r="J157" s="682">
        <f t="shared" ref="J157:J227" si="42">SUM(E157:I157)</f>
        <v>23.71</v>
      </c>
      <c r="K157" s="683"/>
      <c r="L157" s="684"/>
      <c r="M157" s="753"/>
      <c r="N157" s="683">
        <v>0</v>
      </c>
      <c r="O157" s="686"/>
      <c r="P157" s="683">
        <v>0</v>
      </c>
      <c r="Q157" s="687">
        <f t="shared" si="41"/>
        <v>0</v>
      </c>
      <c r="R157" s="687"/>
      <c r="S157" s="687"/>
      <c r="T157" s="688">
        <v>46.66</v>
      </c>
      <c r="U157" s="693"/>
      <c r="V157" s="690">
        <f t="shared" si="40"/>
        <v>46.66</v>
      </c>
      <c r="W157" s="683"/>
      <c r="X157" s="474">
        <f t="shared" si="19"/>
        <v>0</v>
      </c>
      <c r="Y157" s="474">
        <f t="shared" si="20"/>
        <v>0</v>
      </c>
      <c r="Z157" s="475">
        <f t="shared" si="21"/>
        <v>0</v>
      </c>
      <c r="AA157" s="475">
        <v>0</v>
      </c>
      <c r="AB157" s="476">
        <v>0</v>
      </c>
      <c r="AC157" s="38">
        <f t="shared" si="22"/>
        <v>0</v>
      </c>
      <c r="AD157" s="692">
        <f t="shared" ref="AD157:AD227" si="43">IF(B157="D",J157,0)</f>
        <v>0</v>
      </c>
      <c r="AE157" s="692">
        <f t="shared" ref="AE157:AE227" si="44">IF(B157="M",J157,0)</f>
        <v>0</v>
      </c>
      <c r="AF157" s="692">
        <f t="shared" ref="AF157:AF227" si="45">IF(B157="V",J157,0)</f>
        <v>23.71</v>
      </c>
      <c r="AG157" s="38"/>
      <c r="AH157" s="692">
        <f t="shared" si="23"/>
        <v>0</v>
      </c>
      <c r="AI157" s="692">
        <f t="shared" si="24"/>
        <v>0</v>
      </c>
      <c r="AJ157" s="692">
        <f t="shared" si="25"/>
        <v>0</v>
      </c>
      <c r="AL157" s="38">
        <f t="shared" ref="AL157:AL227" si="46">SUM(AD157:AJ157)</f>
        <v>23.71</v>
      </c>
      <c r="AM157" s="68" t="s">
        <v>629</v>
      </c>
    </row>
    <row r="158" spans="1:39">
      <c r="A158" s="21"/>
      <c r="B158" s="21" t="s">
        <v>109</v>
      </c>
      <c r="C158" s="666" t="s">
        <v>559</v>
      </c>
      <c r="D158" s="68" t="s">
        <v>33</v>
      </c>
      <c r="E158" s="679"/>
      <c r="F158" s="529">
        <f>VLOOKUP(D158,'Mar14 Revenue'!D:V,19,FALSE)</f>
        <v>0</v>
      </c>
      <c r="G158" s="680"/>
      <c r="H158" s="680"/>
      <c r="I158" s="755"/>
      <c r="J158" s="682">
        <f t="shared" si="42"/>
        <v>0</v>
      </c>
      <c r="K158" s="683"/>
      <c r="L158" s="684"/>
      <c r="M158" s="753"/>
      <c r="N158" s="683">
        <v>0</v>
      </c>
      <c r="O158" s="686"/>
      <c r="P158" s="683">
        <v>0</v>
      </c>
      <c r="Q158" s="687">
        <f t="shared" si="41"/>
        <v>0</v>
      </c>
      <c r="R158" s="687"/>
      <c r="S158" s="687"/>
      <c r="T158" s="688">
        <v>0</v>
      </c>
      <c r="U158" s="693"/>
      <c r="V158" s="690">
        <f t="shared" si="40"/>
        <v>0</v>
      </c>
      <c r="W158" s="683"/>
      <c r="X158" s="474">
        <f t="shared" si="19"/>
        <v>0</v>
      </c>
      <c r="Y158" s="474">
        <f t="shared" si="20"/>
        <v>0</v>
      </c>
      <c r="Z158" s="475">
        <f t="shared" si="21"/>
        <v>0</v>
      </c>
      <c r="AA158" s="475">
        <v>0</v>
      </c>
      <c r="AB158" s="476">
        <v>0</v>
      </c>
      <c r="AC158" s="38">
        <f t="shared" si="22"/>
        <v>0</v>
      </c>
      <c r="AD158" s="692">
        <f t="shared" si="43"/>
        <v>0</v>
      </c>
      <c r="AE158" s="692">
        <f t="shared" si="44"/>
        <v>0</v>
      </c>
      <c r="AF158" s="692">
        <f t="shared" si="45"/>
        <v>0</v>
      </c>
      <c r="AG158" s="38"/>
      <c r="AH158" s="692">
        <f t="shared" ref="AH158:AH228" si="47">IF(B158="D",Q158,0)</f>
        <v>0</v>
      </c>
      <c r="AI158" s="692">
        <f t="shared" ref="AI158:AI228" si="48">IF(B158="M",Q158,0)</f>
        <v>0</v>
      </c>
      <c r="AJ158" s="692">
        <f t="shared" ref="AJ158:AJ228" si="49">IF(B158="V",Q158,0)</f>
        <v>0</v>
      </c>
      <c r="AL158" s="38">
        <f t="shared" si="46"/>
        <v>0</v>
      </c>
      <c r="AM158" s="68" t="s">
        <v>33</v>
      </c>
    </row>
    <row r="159" spans="1:39">
      <c r="A159" s="21"/>
      <c r="B159" s="21" t="s">
        <v>109</v>
      </c>
      <c r="C159" s="666" t="s">
        <v>560</v>
      </c>
      <c r="D159" s="68" t="s">
        <v>379</v>
      </c>
      <c r="E159" s="679"/>
      <c r="F159" s="529">
        <f>VLOOKUP(D159,'Mar14 Revenue'!D:V,19,FALSE)</f>
        <v>86.82</v>
      </c>
      <c r="G159" s="680"/>
      <c r="H159" s="680"/>
      <c r="I159" s="755"/>
      <c r="J159" s="682">
        <f t="shared" si="42"/>
        <v>86.82</v>
      </c>
      <c r="K159" s="683"/>
      <c r="L159" s="684"/>
      <c r="M159" s="753"/>
      <c r="N159" s="683">
        <v>0</v>
      </c>
      <c r="O159" s="686"/>
      <c r="P159" s="683">
        <v>0</v>
      </c>
      <c r="Q159" s="687">
        <f t="shared" si="41"/>
        <v>0</v>
      </c>
      <c r="R159" s="687"/>
      <c r="S159" s="687"/>
      <c r="T159" s="688">
        <v>0</v>
      </c>
      <c r="U159" s="693"/>
      <c r="V159" s="690">
        <f t="shared" si="40"/>
        <v>0</v>
      </c>
      <c r="W159" s="683"/>
      <c r="X159" s="474">
        <f t="shared" ref="X159:X229" si="50">IF(B159="D",Q159,0)</f>
        <v>0</v>
      </c>
      <c r="Y159" s="474">
        <f t="shared" ref="Y159:Y229" si="51">IF(B159="M",Q159,0)</f>
        <v>0</v>
      </c>
      <c r="Z159" s="475">
        <f t="shared" ref="Z159:Z229" si="52">IF(B159="V",Q159,0)</f>
        <v>0</v>
      </c>
      <c r="AA159" s="475">
        <v>0</v>
      </c>
      <c r="AB159" s="476">
        <v>0</v>
      </c>
      <c r="AC159" s="38">
        <f t="shared" ref="AC159:AC229" si="53">(L159+M159)-(X159+Y159+Z159+AA159+AB159)</f>
        <v>0</v>
      </c>
      <c r="AD159" s="692">
        <f t="shared" si="43"/>
        <v>0</v>
      </c>
      <c r="AE159" s="692">
        <f t="shared" si="44"/>
        <v>86.82</v>
      </c>
      <c r="AF159" s="692">
        <f t="shared" si="45"/>
        <v>0</v>
      </c>
      <c r="AG159" s="38"/>
      <c r="AH159" s="692">
        <f t="shared" si="47"/>
        <v>0</v>
      </c>
      <c r="AI159" s="692">
        <f t="shared" si="48"/>
        <v>0</v>
      </c>
      <c r="AJ159" s="692">
        <f t="shared" si="49"/>
        <v>0</v>
      </c>
      <c r="AL159" s="38">
        <f t="shared" si="46"/>
        <v>86.82</v>
      </c>
      <c r="AM159" s="68" t="s">
        <v>379</v>
      </c>
    </row>
    <row r="160" spans="1:39" s="232" customFormat="1">
      <c r="A160" s="283"/>
      <c r="B160" s="283" t="s">
        <v>114</v>
      </c>
      <c r="C160" s="667"/>
      <c r="D160" s="567" t="s">
        <v>408</v>
      </c>
      <c r="E160" s="679"/>
      <c r="F160" s="529">
        <f>VLOOKUP(D160,'Mar14 Revenue'!D:V,19,FALSE)</f>
        <v>0</v>
      </c>
      <c r="G160" s="680"/>
      <c r="H160" s="680"/>
      <c r="I160" s="770">
        <v>17400</v>
      </c>
      <c r="J160" s="682">
        <f t="shared" si="42"/>
        <v>17400</v>
      </c>
      <c r="K160" s="683"/>
      <c r="L160" s="684"/>
      <c r="M160" s="753"/>
      <c r="N160" s="683">
        <v>0</v>
      </c>
      <c r="O160" s="686"/>
      <c r="P160" s="683">
        <v>0</v>
      </c>
      <c r="Q160" s="687">
        <f t="shared" si="41"/>
        <v>0</v>
      </c>
      <c r="R160" s="687"/>
      <c r="S160" s="687"/>
      <c r="T160" s="688">
        <v>0</v>
      </c>
      <c r="U160" s="693"/>
      <c r="V160" s="690">
        <f t="shared" si="40"/>
        <v>0</v>
      </c>
      <c r="W160" s="683"/>
      <c r="X160" s="474">
        <f t="shared" si="50"/>
        <v>0</v>
      </c>
      <c r="Y160" s="474">
        <f t="shared" si="51"/>
        <v>0</v>
      </c>
      <c r="Z160" s="475">
        <f t="shared" si="52"/>
        <v>0</v>
      </c>
      <c r="AA160" s="475">
        <v>0</v>
      </c>
      <c r="AB160" s="476">
        <v>0</v>
      </c>
      <c r="AC160" s="38">
        <f t="shared" si="53"/>
        <v>0</v>
      </c>
      <c r="AD160" s="692">
        <f t="shared" si="43"/>
        <v>0</v>
      </c>
      <c r="AE160" s="692">
        <f t="shared" si="44"/>
        <v>0</v>
      </c>
      <c r="AF160" s="692">
        <f t="shared" si="45"/>
        <v>17400</v>
      </c>
      <c r="AG160" s="38"/>
      <c r="AH160" s="692">
        <f t="shared" si="47"/>
        <v>0</v>
      </c>
      <c r="AI160" s="692">
        <f t="shared" si="48"/>
        <v>0</v>
      </c>
      <c r="AJ160" s="692">
        <f t="shared" si="49"/>
        <v>0</v>
      </c>
      <c r="AL160" s="38">
        <f t="shared" si="46"/>
        <v>17400</v>
      </c>
      <c r="AM160" s="567" t="s">
        <v>408</v>
      </c>
    </row>
    <row r="161" spans="1:39" s="232" customFormat="1">
      <c r="A161" s="283"/>
      <c r="B161" s="283" t="s">
        <v>110</v>
      </c>
      <c r="C161" s="667"/>
      <c r="D161" s="567" t="s">
        <v>1053</v>
      </c>
      <c r="E161" s="679"/>
      <c r="F161" s="529">
        <f>VLOOKUP(D161,'Mar14 Revenue'!D:V,19,FALSE)</f>
        <v>0</v>
      </c>
      <c r="G161" s="680"/>
      <c r="H161" s="680"/>
      <c r="I161" s="755"/>
      <c r="J161" s="682">
        <f t="shared" si="42"/>
        <v>0</v>
      </c>
      <c r="K161" s="683"/>
      <c r="L161" s="684"/>
      <c r="M161" s="753">
        <v>35000</v>
      </c>
      <c r="N161" s="683">
        <v>0</v>
      </c>
      <c r="O161" s="686"/>
      <c r="P161" s="683">
        <v>0</v>
      </c>
      <c r="Q161" s="687">
        <f t="shared" si="41"/>
        <v>35000</v>
      </c>
      <c r="R161" s="687"/>
      <c r="S161" s="687"/>
      <c r="T161" s="688">
        <v>34400.1</v>
      </c>
      <c r="U161" s="693"/>
      <c r="V161" s="690">
        <f t="shared" si="40"/>
        <v>-599.90000000000146</v>
      </c>
      <c r="W161" s="683"/>
      <c r="X161" s="474">
        <f t="shared" si="50"/>
        <v>35000</v>
      </c>
      <c r="Y161" s="474">
        <f t="shared" si="51"/>
        <v>0</v>
      </c>
      <c r="Z161" s="475">
        <f t="shared" si="52"/>
        <v>0</v>
      </c>
      <c r="AA161" s="475">
        <v>0</v>
      </c>
      <c r="AB161" s="476">
        <v>0</v>
      </c>
      <c r="AC161" s="38">
        <f t="shared" si="53"/>
        <v>0</v>
      </c>
      <c r="AD161" s="692">
        <f t="shared" si="43"/>
        <v>0</v>
      </c>
      <c r="AE161" s="692">
        <f t="shared" si="44"/>
        <v>0</v>
      </c>
      <c r="AF161" s="692">
        <f t="shared" si="45"/>
        <v>0</v>
      </c>
      <c r="AG161" s="38"/>
      <c r="AH161" s="692">
        <f t="shared" si="47"/>
        <v>35000</v>
      </c>
      <c r="AI161" s="692">
        <f t="shared" si="48"/>
        <v>0</v>
      </c>
      <c r="AJ161" s="692">
        <f t="shared" si="49"/>
        <v>0</v>
      </c>
      <c r="AL161" s="38">
        <f t="shared" si="46"/>
        <v>35000</v>
      </c>
      <c r="AM161" s="567" t="s">
        <v>445</v>
      </c>
    </row>
    <row r="162" spans="1:39" s="232" customFormat="1">
      <c r="A162" s="283"/>
      <c r="B162" s="283" t="s">
        <v>109</v>
      </c>
      <c r="C162" s="667" t="s">
        <v>562</v>
      </c>
      <c r="D162" s="567" t="s">
        <v>480</v>
      </c>
      <c r="E162" s="679"/>
      <c r="F162" s="529">
        <f>VLOOKUP(D162,'Mar14 Revenue'!D:V,19,FALSE)</f>
        <v>0</v>
      </c>
      <c r="G162" s="680"/>
      <c r="H162" s="680"/>
      <c r="I162" s="770">
        <v>10471.040000000001</v>
      </c>
      <c r="J162" s="682">
        <f t="shared" si="42"/>
        <v>10471.040000000001</v>
      </c>
      <c r="K162" s="683"/>
      <c r="L162" s="684"/>
      <c r="M162" s="753"/>
      <c r="N162" s="683">
        <v>0</v>
      </c>
      <c r="O162" s="686"/>
      <c r="P162" s="683">
        <v>0</v>
      </c>
      <c r="Q162" s="687">
        <f t="shared" si="41"/>
        <v>0</v>
      </c>
      <c r="R162" s="687"/>
      <c r="S162" s="687"/>
      <c r="T162" s="688">
        <v>0</v>
      </c>
      <c r="U162" s="693"/>
      <c r="V162" s="690">
        <f t="shared" si="40"/>
        <v>0</v>
      </c>
      <c r="W162" s="683"/>
      <c r="X162" s="474">
        <f t="shared" si="50"/>
        <v>0</v>
      </c>
      <c r="Y162" s="474">
        <f t="shared" si="51"/>
        <v>0</v>
      </c>
      <c r="Z162" s="475">
        <f t="shared" si="52"/>
        <v>0</v>
      </c>
      <c r="AA162" s="475">
        <v>0</v>
      </c>
      <c r="AB162" s="476">
        <v>0</v>
      </c>
      <c r="AC162" s="38">
        <f t="shared" si="53"/>
        <v>0</v>
      </c>
      <c r="AD162" s="692">
        <f t="shared" si="43"/>
        <v>0</v>
      </c>
      <c r="AE162" s="692">
        <f t="shared" si="44"/>
        <v>10471.040000000001</v>
      </c>
      <c r="AF162" s="692">
        <f t="shared" si="45"/>
        <v>0</v>
      </c>
      <c r="AG162" s="38"/>
      <c r="AH162" s="692">
        <f t="shared" si="47"/>
        <v>0</v>
      </c>
      <c r="AI162" s="692">
        <f t="shared" si="48"/>
        <v>0</v>
      </c>
      <c r="AJ162" s="692">
        <f t="shared" si="49"/>
        <v>0</v>
      </c>
      <c r="AL162" s="38">
        <f t="shared" si="46"/>
        <v>10471.040000000001</v>
      </c>
      <c r="AM162" s="567" t="s">
        <v>480</v>
      </c>
    </row>
    <row r="163" spans="1:39" s="232" customFormat="1">
      <c r="A163" s="403"/>
      <c r="B163" s="403" t="s">
        <v>109</v>
      </c>
      <c r="C163" s="666" t="s">
        <v>563</v>
      </c>
      <c r="D163" s="807" t="s">
        <v>327</v>
      </c>
      <c r="E163" s="679"/>
      <c r="F163" s="529">
        <f>VLOOKUP(D163,'Mar14 Revenue'!D:V,19,FALSE)</f>
        <v>4586.1999999999971</v>
      </c>
      <c r="G163" s="680"/>
      <c r="H163" s="680"/>
      <c r="I163" s="755"/>
      <c r="J163" s="682">
        <f t="shared" si="42"/>
        <v>4586.1999999999971</v>
      </c>
      <c r="K163" s="683"/>
      <c r="L163" s="684"/>
      <c r="M163" s="753">
        <v>35000</v>
      </c>
      <c r="N163" s="683">
        <v>0</v>
      </c>
      <c r="O163" s="686"/>
      <c r="P163" s="683">
        <v>0</v>
      </c>
      <c r="Q163" s="687">
        <f t="shared" si="41"/>
        <v>35000</v>
      </c>
      <c r="R163" s="687"/>
      <c r="S163" s="687"/>
      <c r="T163" s="688">
        <v>0</v>
      </c>
      <c r="U163" s="693"/>
      <c r="V163" s="690">
        <f t="shared" si="40"/>
        <v>-35000</v>
      </c>
      <c r="W163" s="683"/>
      <c r="X163" s="474">
        <f t="shared" si="50"/>
        <v>0</v>
      </c>
      <c r="Y163" s="474">
        <f t="shared" si="51"/>
        <v>35000</v>
      </c>
      <c r="Z163" s="475">
        <f t="shared" si="52"/>
        <v>0</v>
      </c>
      <c r="AA163" s="475">
        <v>0</v>
      </c>
      <c r="AB163" s="476">
        <v>0</v>
      </c>
      <c r="AC163" s="38">
        <f t="shared" si="53"/>
        <v>0</v>
      </c>
      <c r="AD163" s="692">
        <f t="shared" si="43"/>
        <v>0</v>
      </c>
      <c r="AE163" s="692">
        <f t="shared" si="44"/>
        <v>4586.1999999999971</v>
      </c>
      <c r="AF163" s="692">
        <f t="shared" si="45"/>
        <v>0</v>
      </c>
      <c r="AG163" s="38"/>
      <c r="AH163" s="692">
        <f t="shared" si="47"/>
        <v>0</v>
      </c>
      <c r="AI163" s="692">
        <f t="shared" si="48"/>
        <v>35000</v>
      </c>
      <c r="AJ163" s="692">
        <f t="shared" si="49"/>
        <v>0</v>
      </c>
      <c r="AL163" s="38">
        <f t="shared" si="46"/>
        <v>39586.199999999997</v>
      </c>
      <c r="AM163" s="807" t="s">
        <v>327</v>
      </c>
    </row>
    <row r="164" spans="1:39" s="232" customFormat="1">
      <c r="A164" s="403"/>
      <c r="B164" s="403" t="s">
        <v>110</v>
      </c>
      <c r="C164" s="666" t="s">
        <v>563</v>
      </c>
      <c r="D164" s="123" t="s">
        <v>637</v>
      </c>
      <c r="E164" s="679"/>
      <c r="F164" s="529">
        <f>VLOOKUP(D164,'Mar14 Revenue'!D:V,19,FALSE)</f>
        <v>0</v>
      </c>
      <c r="G164" s="680"/>
      <c r="H164" s="680"/>
      <c r="I164" s="755"/>
      <c r="J164" s="682">
        <f t="shared" si="42"/>
        <v>0</v>
      </c>
      <c r="K164" s="683"/>
      <c r="L164" s="684"/>
      <c r="M164" s="753"/>
      <c r="N164" s="683">
        <v>0</v>
      </c>
      <c r="O164" s="686"/>
      <c r="P164" s="683">
        <v>0</v>
      </c>
      <c r="Q164" s="687">
        <f t="shared" si="41"/>
        <v>0</v>
      </c>
      <c r="R164" s="687"/>
      <c r="S164" s="687"/>
      <c r="T164" s="688">
        <v>0</v>
      </c>
      <c r="U164" s="693"/>
      <c r="V164" s="690">
        <f t="shared" si="40"/>
        <v>0</v>
      </c>
      <c r="W164" s="683"/>
      <c r="X164" s="474">
        <f t="shared" si="50"/>
        <v>0</v>
      </c>
      <c r="Y164" s="474">
        <f t="shared" si="51"/>
        <v>0</v>
      </c>
      <c r="Z164" s="475">
        <f t="shared" si="52"/>
        <v>0</v>
      </c>
      <c r="AA164" s="475">
        <v>0</v>
      </c>
      <c r="AB164" s="476">
        <v>0</v>
      </c>
      <c r="AC164" s="38">
        <f t="shared" si="53"/>
        <v>0</v>
      </c>
      <c r="AD164" s="692">
        <f t="shared" si="43"/>
        <v>0</v>
      </c>
      <c r="AE164" s="692">
        <f t="shared" si="44"/>
        <v>0</v>
      </c>
      <c r="AF164" s="692">
        <f t="shared" si="45"/>
        <v>0</v>
      </c>
      <c r="AG164" s="38"/>
      <c r="AH164" s="692">
        <f t="shared" si="47"/>
        <v>0</v>
      </c>
      <c r="AI164" s="692">
        <f t="shared" si="48"/>
        <v>0</v>
      </c>
      <c r="AJ164" s="692">
        <f t="shared" si="49"/>
        <v>0</v>
      </c>
      <c r="AL164" s="38">
        <f t="shared" si="46"/>
        <v>0</v>
      </c>
      <c r="AM164" s="123" t="s">
        <v>637</v>
      </c>
    </row>
    <row r="165" spans="1:39">
      <c r="A165" s="21"/>
      <c r="B165" s="21" t="s">
        <v>110</v>
      </c>
      <c r="C165" s="666"/>
      <c r="D165" s="68" t="s">
        <v>232</v>
      </c>
      <c r="E165" s="679">
        <v>7943.74</v>
      </c>
      <c r="F165" s="529">
        <f>VLOOKUP(D165,'Mar14 Revenue'!D:V,19,FALSE)</f>
        <v>-20000</v>
      </c>
      <c r="G165" s="680"/>
      <c r="H165" s="680"/>
      <c r="I165" s="755"/>
      <c r="J165" s="682">
        <f t="shared" si="42"/>
        <v>-12056.26</v>
      </c>
      <c r="K165" s="683"/>
      <c r="L165" s="684"/>
      <c r="M165" s="753">
        <v>13000</v>
      </c>
      <c r="N165" s="683">
        <v>0</v>
      </c>
      <c r="O165" s="686"/>
      <c r="P165" s="683">
        <v>0</v>
      </c>
      <c r="Q165" s="687">
        <f t="shared" si="41"/>
        <v>13000</v>
      </c>
      <c r="R165" s="687"/>
      <c r="S165" s="687"/>
      <c r="T165" s="688">
        <v>0</v>
      </c>
      <c r="U165" s="693"/>
      <c r="V165" s="690">
        <f t="shared" si="40"/>
        <v>-13000</v>
      </c>
      <c r="W165" s="683"/>
      <c r="X165" s="474">
        <f t="shared" si="50"/>
        <v>13000</v>
      </c>
      <c r="Y165" s="474">
        <f t="shared" si="51"/>
        <v>0</v>
      </c>
      <c r="Z165" s="475">
        <f t="shared" si="52"/>
        <v>0</v>
      </c>
      <c r="AA165" s="475">
        <v>0</v>
      </c>
      <c r="AB165" s="476">
        <v>0</v>
      </c>
      <c r="AC165" s="38">
        <f t="shared" si="53"/>
        <v>0</v>
      </c>
      <c r="AD165" s="692">
        <f t="shared" si="43"/>
        <v>-12056.26</v>
      </c>
      <c r="AE165" s="692">
        <f t="shared" si="44"/>
        <v>0</v>
      </c>
      <c r="AF165" s="692">
        <f t="shared" si="45"/>
        <v>0</v>
      </c>
      <c r="AG165" s="38"/>
      <c r="AH165" s="692">
        <f t="shared" si="47"/>
        <v>13000</v>
      </c>
      <c r="AI165" s="692">
        <f t="shared" si="48"/>
        <v>0</v>
      </c>
      <c r="AJ165" s="692">
        <f t="shared" si="49"/>
        <v>0</v>
      </c>
      <c r="AL165" s="38">
        <f t="shared" si="46"/>
        <v>943.73999999999978</v>
      </c>
      <c r="AM165" s="68" t="s">
        <v>232</v>
      </c>
    </row>
    <row r="166" spans="1:39" hidden="1">
      <c r="A166" s="21"/>
      <c r="B166" s="21" t="s">
        <v>109</v>
      </c>
      <c r="C166" s="666" t="s">
        <v>564</v>
      </c>
      <c r="D166" s="68" t="s">
        <v>876</v>
      </c>
      <c r="E166" s="679"/>
      <c r="F166" s="529">
        <f>VLOOKUP(D166,'Mar14 Revenue'!D:V,19,FALSE)</f>
        <v>0</v>
      </c>
      <c r="G166" s="680"/>
      <c r="H166" s="680"/>
      <c r="I166" s="755"/>
      <c r="J166" s="682">
        <f t="shared" si="42"/>
        <v>0</v>
      </c>
      <c r="K166" s="683"/>
      <c r="L166" s="684"/>
      <c r="M166" s="753"/>
      <c r="N166" s="683">
        <v>0</v>
      </c>
      <c r="O166" s="686"/>
      <c r="P166" s="683">
        <v>0</v>
      </c>
      <c r="Q166" s="687">
        <f t="shared" si="41"/>
        <v>0</v>
      </c>
      <c r="R166" s="687"/>
      <c r="S166" s="687"/>
      <c r="T166" s="688">
        <v>0</v>
      </c>
      <c r="U166" s="693"/>
      <c r="V166" s="690">
        <f t="shared" si="40"/>
        <v>0</v>
      </c>
      <c r="W166" s="683"/>
      <c r="X166" s="474">
        <f t="shared" si="50"/>
        <v>0</v>
      </c>
      <c r="Y166" s="474">
        <f t="shared" si="51"/>
        <v>0</v>
      </c>
      <c r="Z166" s="475">
        <f t="shared" si="52"/>
        <v>0</v>
      </c>
      <c r="AA166" s="475">
        <v>0</v>
      </c>
      <c r="AB166" s="476">
        <v>0</v>
      </c>
      <c r="AC166" s="38">
        <f t="shared" si="53"/>
        <v>0</v>
      </c>
      <c r="AD166" s="692">
        <f t="shared" si="43"/>
        <v>0</v>
      </c>
      <c r="AE166" s="692">
        <f t="shared" si="44"/>
        <v>0</v>
      </c>
      <c r="AF166" s="692">
        <f t="shared" si="45"/>
        <v>0</v>
      </c>
      <c r="AG166" s="38"/>
      <c r="AH166" s="692">
        <f t="shared" si="47"/>
        <v>0</v>
      </c>
      <c r="AI166" s="692">
        <f t="shared" si="48"/>
        <v>0</v>
      </c>
      <c r="AJ166" s="692">
        <f t="shared" si="49"/>
        <v>0</v>
      </c>
      <c r="AL166" s="38">
        <f t="shared" si="46"/>
        <v>0</v>
      </c>
      <c r="AM166" s="68" t="s">
        <v>876</v>
      </c>
    </row>
    <row r="167" spans="1:39" hidden="1">
      <c r="A167" s="21"/>
      <c r="B167" s="21" t="s">
        <v>109</v>
      </c>
      <c r="C167" s="666" t="s">
        <v>564</v>
      </c>
      <c r="D167" s="68" t="s">
        <v>307</v>
      </c>
      <c r="E167" s="679"/>
      <c r="F167" s="529">
        <f>VLOOKUP(D167,'Mar14 Revenue'!D:V,19,FALSE)</f>
        <v>0</v>
      </c>
      <c r="G167" s="680"/>
      <c r="H167" s="680"/>
      <c r="I167" s="755"/>
      <c r="J167" s="682">
        <f t="shared" si="42"/>
        <v>0</v>
      </c>
      <c r="K167" s="683"/>
      <c r="L167" s="684"/>
      <c r="M167" s="753"/>
      <c r="N167" s="683">
        <v>0</v>
      </c>
      <c r="O167" s="686"/>
      <c r="P167" s="683">
        <v>0</v>
      </c>
      <c r="Q167" s="687">
        <f t="shared" si="41"/>
        <v>0</v>
      </c>
      <c r="R167" s="687"/>
      <c r="S167" s="687"/>
      <c r="T167" s="688">
        <v>0</v>
      </c>
      <c r="U167" s="693"/>
      <c r="V167" s="690">
        <f t="shared" si="40"/>
        <v>0</v>
      </c>
      <c r="W167" s="683"/>
      <c r="X167" s="474">
        <f t="shared" si="50"/>
        <v>0</v>
      </c>
      <c r="Y167" s="474">
        <f t="shared" si="51"/>
        <v>0</v>
      </c>
      <c r="Z167" s="475">
        <f t="shared" si="52"/>
        <v>0</v>
      </c>
      <c r="AA167" s="475">
        <v>0</v>
      </c>
      <c r="AB167" s="476">
        <v>0</v>
      </c>
      <c r="AC167" s="38">
        <f t="shared" si="53"/>
        <v>0</v>
      </c>
      <c r="AD167" s="692">
        <f t="shared" si="43"/>
        <v>0</v>
      </c>
      <c r="AE167" s="692">
        <f t="shared" si="44"/>
        <v>0</v>
      </c>
      <c r="AF167" s="692">
        <f t="shared" si="45"/>
        <v>0</v>
      </c>
      <c r="AG167" s="38"/>
      <c r="AH167" s="692">
        <f t="shared" si="47"/>
        <v>0</v>
      </c>
      <c r="AI167" s="692">
        <f t="shared" si="48"/>
        <v>0</v>
      </c>
      <c r="AJ167" s="692">
        <f t="shared" si="49"/>
        <v>0</v>
      </c>
      <c r="AL167" s="38">
        <f t="shared" si="46"/>
        <v>0</v>
      </c>
      <c r="AM167" s="68" t="s">
        <v>307</v>
      </c>
    </row>
    <row r="168" spans="1:39">
      <c r="A168" s="21"/>
      <c r="B168" s="21" t="s">
        <v>109</v>
      </c>
      <c r="C168" s="666" t="s">
        <v>565</v>
      </c>
      <c r="D168" s="68" t="s">
        <v>485</v>
      </c>
      <c r="E168" s="679"/>
      <c r="F168" s="529">
        <f>VLOOKUP(D168,'Mar14 Revenue'!D:V,19,FALSE)</f>
        <v>757.39000000001397</v>
      </c>
      <c r="G168" s="680"/>
      <c r="H168" s="680"/>
      <c r="I168" s="755"/>
      <c r="J168" s="682">
        <f t="shared" si="42"/>
        <v>757.39000000001397</v>
      </c>
      <c r="K168" s="683"/>
      <c r="L168" s="684"/>
      <c r="M168" s="753">
        <v>140000</v>
      </c>
      <c r="N168" s="683"/>
      <c r="O168" s="686"/>
      <c r="P168" s="683"/>
      <c r="Q168" s="687">
        <f t="shared" si="41"/>
        <v>140000</v>
      </c>
      <c r="R168" s="687"/>
      <c r="S168" s="687"/>
      <c r="T168" s="688">
        <f>3764.68+2105.32+7820.28+2029.71+12195.61+11293.35+15458.04+1537.96+422.76+1359.54+63991.96</f>
        <v>121979.20999999999</v>
      </c>
      <c r="U168" s="693"/>
      <c r="V168" s="690">
        <f t="shared" si="40"/>
        <v>-18020.790000000008</v>
      </c>
      <c r="W168" s="683"/>
      <c r="X168" s="474">
        <f t="shared" si="50"/>
        <v>0</v>
      </c>
      <c r="Y168" s="474">
        <f t="shared" si="51"/>
        <v>140000</v>
      </c>
      <c r="Z168" s="475">
        <f t="shared" si="52"/>
        <v>0</v>
      </c>
      <c r="AA168" s="475">
        <v>0</v>
      </c>
      <c r="AB168" s="476">
        <v>0</v>
      </c>
      <c r="AC168" s="38">
        <f t="shared" si="53"/>
        <v>0</v>
      </c>
      <c r="AD168" s="692">
        <f t="shared" si="43"/>
        <v>0</v>
      </c>
      <c r="AE168" s="692">
        <f t="shared" si="44"/>
        <v>757.39000000001397</v>
      </c>
      <c r="AF168" s="692">
        <f t="shared" si="45"/>
        <v>0</v>
      </c>
      <c r="AG168" s="38"/>
      <c r="AH168" s="692">
        <f t="shared" si="47"/>
        <v>0</v>
      </c>
      <c r="AI168" s="692">
        <f t="shared" si="48"/>
        <v>140000</v>
      </c>
      <c r="AJ168" s="692">
        <f t="shared" si="49"/>
        <v>0</v>
      </c>
      <c r="AL168" s="38">
        <f t="shared" si="46"/>
        <v>140757.39000000001</v>
      </c>
      <c r="AM168" s="68" t="s">
        <v>485</v>
      </c>
    </row>
    <row r="169" spans="1:39" s="232" customFormat="1">
      <c r="A169" s="403"/>
      <c r="B169" s="403" t="s">
        <v>109</v>
      </c>
      <c r="C169" s="666"/>
      <c r="D169" s="123" t="s">
        <v>220</v>
      </c>
      <c r="E169" s="679"/>
      <c r="F169" s="529">
        <f>VLOOKUP(D169,'Mar14 Revenue'!D:V,19,FALSE)</f>
        <v>0</v>
      </c>
      <c r="G169" s="680"/>
      <c r="H169" s="680"/>
      <c r="I169" s="755"/>
      <c r="J169" s="682">
        <f t="shared" si="42"/>
        <v>0</v>
      </c>
      <c r="K169" s="683"/>
      <c r="L169" s="684"/>
      <c r="M169" s="753"/>
      <c r="N169" s="683">
        <v>0</v>
      </c>
      <c r="O169" s="686"/>
      <c r="P169" s="683">
        <v>0</v>
      </c>
      <c r="Q169" s="687">
        <f t="shared" si="41"/>
        <v>0</v>
      </c>
      <c r="R169" s="687"/>
      <c r="S169" s="687"/>
      <c r="T169" s="688">
        <v>0</v>
      </c>
      <c r="U169" s="693"/>
      <c r="V169" s="690">
        <f t="shared" si="40"/>
        <v>0</v>
      </c>
      <c r="W169" s="683"/>
      <c r="X169" s="474">
        <f t="shared" si="50"/>
        <v>0</v>
      </c>
      <c r="Y169" s="474">
        <f t="shared" si="51"/>
        <v>0</v>
      </c>
      <c r="Z169" s="475">
        <f t="shared" si="52"/>
        <v>0</v>
      </c>
      <c r="AA169" s="475">
        <v>0</v>
      </c>
      <c r="AB169" s="476">
        <v>0</v>
      </c>
      <c r="AC169" s="38">
        <f t="shared" si="53"/>
        <v>0</v>
      </c>
      <c r="AD169" s="692">
        <f t="shared" si="43"/>
        <v>0</v>
      </c>
      <c r="AE169" s="692">
        <f t="shared" si="44"/>
        <v>0</v>
      </c>
      <c r="AF169" s="692">
        <f t="shared" si="45"/>
        <v>0</v>
      </c>
      <c r="AG169" s="38"/>
      <c r="AH169" s="692">
        <f t="shared" si="47"/>
        <v>0</v>
      </c>
      <c r="AI169" s="692">
        <f t="shared" si="48"/>
        <v>0</v>
      </c>
      <c r="AJ169" s="692">
        <f t="shared" si="49"/>
        <v>0</v>
      </c>
      <c r="AL169" s="38">
        <f t="shared" si="46"/>
        <v>0</v>
      </c>
      <c r="AM169" s="123" t="s">
        <v>220</v>
      </c>
    </row>
    <row r="170" spans="1:39" s="24" customFormat="1">
      <c r="A170" s="472"/>
      <c r="B170" s="21" t="s">
        <v>110</v>
      </c>
      <c r="C170" s="666"/>
      <c r="D170" s="68" t="s">
        <v>1065</v>
      </c>
      <c r="E170" s="679">
        <v>247</v>
      </c>
      <c r="F170" s="529">
        <f>VLOOKUP(D170,'Mar14 Revenue'!D:V,19,FALSE)</f>
        <v>0</v>
      </c>
      <c r="G170" s="680"/>
      <c r="H170" s="680"/>
      <c r="I170" s="755"/>
      <c r="J170" s="682">
        <f t="shared" si="42"/>
        <v>247</v>
      </c>
      <c r="K170" s="698"/>
      <c r="L170" s="684"/>
      <c r="M170" s="753"/>
      <c r="N170" s="698">
        <v>0</v>
      </c>
      <c r="O170" s="686"/>
      <c r="P170" s="698">
        <v>0</v>
      </c>
      <c r="Q170" s="700">
        <f t="shared" si="41"/>
        <v>0</v>
      </c>
      <c r="R170" s="700"/>
      <c r="S170" s="700"/>
      <c r="T170" s="688">
        <v>0</v>
      </c>
      <c r="U170" s="701"/>
      <c r="V170" s="690">
        <f t="shared" si="40"/>
        <v>0</v>
      </c>
      <c r="W170" s="698"/>
      <c r="X170" s="474">
        <f t="shared" si="50"/>
        <v>0</v>
      </c>
      <c r="Y170" s="474">
        <f t="shared" si="51"/>
        <v>0</v>
      </c>
      <c r="Z170" s="475">
        <f t="shared" si="52"/>
        <v>0</v>
      </c>
      <c r="AA170" s="475">
        <v>0</v>
      </c>
      <c r="AB170" s="476">
        <v>0</v>
      </c>
      <c r="AC170" s="38">
        <f t="shared" si="53"/>
        <v>0</v>
      </c>
      <c r="AD170" s="692">
        <f t="shared" si="43"/>
        <v>247</v>
      </c>
      <c r="AE170" s="692">
        <f t="shared" si="44"/>
        <v>0</v>
      </c>
      <c r="AF170" s="692">
        <f t="shared" si="45"/>
        <v>0</v>
      </c>
      <c r="AG170" s="38"/>
      <c r="AH170" s="692">
        <f t="shared" si="47"/>
        <v>0</v>
      </c>
      <c r="AI170" s="692">
        <f t="shared" si="48"/>
        <v>0</v>
      </c>
      <c r="AJ170" s="692">
        <f t="shared" si="49"/>
        <v>0</v>
      </c>
      <c r="AL170" s="38">
        <f t="shared" si="46"/>
        <v>247</v>
      </c>
      <c r="AM170" s="68" t="s">
        <v>505</v>
      </c>
    </row>
    <row r="171" spans="1:39">
      <c r="A171" s="21"/>
      <c r="B171" s="21" t="s">
        <v>110</v>
      </c>
      <c r="C171" s="666"/>
      <c r="D171" s="68" t="s">
        <v>185</v>
      </c>
      <c r="E171" s="679"/>
      <c r="F171" s="529">
        <f>VLOOKUP(D171,'Mar14 Revenue'!D:V,19,FALSE)</f>
        <v>0</v>
      </c>
      <c r="G171" s="680"/>
      <c r="H171" s="680"/>
      <c r="I171" s="755"/>
      <c r="J171" s="682">
        <f t="shared" si="42"/>
        <v>0</v>
      </c>
      <c r="K171" s="683"/>
      <c r="L171" s="684"/>
      <c r="M171" s="753"/>
      <c r="N171" s="683">
        <v>0</v>
      </c>
      <c r="O171" s="686"/>
      <c r="P171" s="683">
        <v>0</v>
      </c>
      <c r="Q171" s="687">
        <f t="shared" si="41"/>
        <v>0</v>
      </c>
      <c r="R171" s="687"/>
      <c r="S171" s="687"/>
      <c r="T171" s="688">
        <v>0</v>
      </c>
      <c r="U171" s="693"/>
      <c r="V171" s="690">
        <f t="shared" si="40"/>
        <v>0</v>
      </c>
      <c r="W171" s="683"/>
      <c r="X171" s="474">
        <f t="shared" si="50"/>
        <v>0</v>
      </c>
      <c r="Y171" s="474">
        <f t="shared" si="51"/>
        <v>0</v>
      </c>
      <c r="Z171" s="475">
        <f t="shared" si="52"/>
        <v>0</v>
      </c>
      <c r="AA171" s="475">
        <v>0</v>
      </c>
      <c r="AB171" s="476">
        <v>0</v>
      </c>
      <c r="AC171" s="38">
        <f t="shared" si="53"/>
        <v>0</v>
      </c>
      <c r="AD171" s="692">
        <f t="shared" si="43"/>
        <v>0</v>
      </c>
      <c r="AE171" s="692">
        <f t="shared" si="44"/>
        <v>0</v>
      </c>
      <c r="AF171" s="692">
        <f t="shared" si="45"/>
        <v>0</v>
      </c>
      <c r="AG171" s="38"/>
      <c r="AH171" s="692">
        <f t="shared" si="47"/>
        <v>0</v>
      </c>
      <c r="AI171" s="692">
        <f t="shared" si="48"/>
        <v>0</v>
      </c>
      <c r="AJ171" s="692">
        <f t="shared" si="49"/>
        <v>0</v>
      </c>
      <c r="AL171" s="38">
        <f t="shared" si="46"/>
        <v>0</v>
      </c>
      <c r="AM171" s="68" t="s">
        <v>185</v>
      </c>
    </row>
    <row r="172" spans="1:39">
      <c r="A172" s="21"/>
      <c r="B172" s="21" t="s">
        <v>110</v>
      </c>
      <c r="C172" s="21"/>
      <c r="D172" s="68" t="s">
        <v>186</v>
      </c>
      <c r="E172" s="679"/>
      <c r="F172" s="529">
        <f>VLOOKUP(D172,'Mar14 Revenue'!D:V,19,FALSE)</f>
        <v>0</v>
      </c>
      <c r="G172" s="680"/>
      <c r="H172" s="680"/>
      <c r="I172" s="755"/>
      <c r="J172" s="682">
        <f t="shared" si="42"/>
        <v>0</v>
      </c>
      <c r="K172" s="683"/>
      <c r="L172" s="684"/>
      <c r="M172" s="753"/>
      <c r="N172" s="683">
        <v>0</v>
      </c>
      <c r="O172" s="686"/>
      <c r="P172" s="683">
        <v>0</v>
      </c>
      <c r="Q172" s="687">
        <f t="shared" si="41"/>
        <v>0</v>
      </c>
      <c r="R172" s="687"/>
      <c r="S172" s="687"/>
      <c r="T172" s="688">
        <v>0</v>
      </c>
      <c r="U172" s="693"/>
      <c r="V172" s="690">
        <f t="shared" si="40"/>
        <v>0</v>
      </c>
      <c r="W172" s="683"/>
      <c r="X172" s="474">
        <f t="shared" si="50"/>
        <v>0</v>
      </c>
      <c r="Y172" s="474">
        <f t="shared" si="51"/>
        <v>0</v>
      </c>
      <c r="Z172" s="475">
        <f t="shared" si="52"/>
        <v>0</v>
      </c>
      <c r="AA172" s="475">
        <v>0</v>
      </c>
      <c r="AB172" s="476">
        <v>0</v>
      </c>
      <c r="AC172" s="38">
        <f t="shared" si="53"/>
        <v>0</v>
      </c>
      <c r="AD172" s="692">
        <f t="shared" si="43"/>
        <v>0</v>
      </c>
      <c r="AE172" s="692">
        <f t="shared" si="44"/>
        <v>0</v>
      </c>
      <c r="AF172" s="692">
        <f t="shared" si="45"/>
        <v>0</v>
      </c>
      <c r="AG172" s="38"/>
      <c r="AH172" s="692">
        <f t="shared" si="47"/>
        <v>0</v>
      </c>
      <c r="AI172" s="692">
        <f t="shared" si="48"/>
        <v>0</v>
      </c>
      <c r="AJ172" s="692">
        <f t="shared" si="49"/>
        <v>0</v>
      </c>
      <c r="AL172" s="38">
        <f t="shared" si="46"/>
        <v>0</v>
      </c>
      <c r="AM172" s="68" t="s">
        <v>186</v>
      </c>
    </row>
    <row r="173" spans="1:39">
      <c r="A173" s="21"/>
      <c r="B173" s="21" t="s">
        <v>110</v>
      </c>
      <c r="C173" s="666"/>
      <c r="D173" s="68" t="s">
        <v>449</v>
      </c>
      <c r="E173" s="679"/>
      <c r="F173" s="529">
        <f>VLOOKUP(D173,'Mar14 Revenue'!D:V,19,FALSE)</f>
        <v>0</v>
      </c>
      <c r="G173" s="680"/>
      <c r="H173" s="680"/>
      <c r="I173" s="755"/>
      <c r="J173" s="682">
        <f t="shared" si="42"/>
        <v>0</v>
      </c>
      <c r="K173" s="683"/>
      <c r="L173" s="684"/>
      <c r="M173" s="753"/>
      <c r="N173" s="683">
        <v>0</v>
      </c>
      <c r="O173" s="686"/>
      <c r="P173" s="683">
        <v>0</v>
      </c>
      <c r="Q173" s="687">
        <f t="shared" si="41"/>
        <v>0</v>
      </c>
      <c r="R173" s="687"/>
      <c r="S173" s="687"/>
      <c r="T173" s="688">
        <v>0</v>
      </c>
      <c r="U173" s="693"/>
      <c r="V173" s="690">
        <f t="shared" si="40"/>
        <v>0</v>
      </c>
      <c r="W173" s="683"/>
      <c r="X173" s="474">
        <f t="shared" si="50"/>
        <v>0</v>
      </c>
      <c r="Y173" s="474">
        <f t="shared" si="51"/>
        <v>0</v>
      </c>
      <c r="Z173" s="475">
        <f t="shared" si="52"/>
        <v>0</v>
      </c>
      <c r="AA173" s="475">
        <v>0</v>
      </c>
      <c r="AB173" s="476">
        <v>0</v>
      </c>
      <c r="AC173" s="38">
        <f t="shared" si="53"/>
        <v>0</v>
      </c>
      <c r="AD173" s="692">
        <f t="shared" si="43"/>
        <v>0</v>
      </c>
      <c r="AE173" s="692">
        <f t="shared" si="44"/>
        <v>0</v>
      </c>
      <c r="AF173" s="692">
        <f t="shared" si="45"/>
        <v>0</v>
      </c>
      <c r="AG173" s="38"/>
      <c r="AH173" s="692">
        <f t="shared" si="47"/>
        <v>0</v>
      </c>
      <c r="AI173" s="692">
        <f t="shared" si="48"/>
        <v>0</v>
      </c>
      <c r="AJ173" s="692">
        <f t="shared" si="49"/>
        <v>0</v>
      </c>
      <c r="AL173" s="38">
        <f t="shared" si="46"/>
        <v>0</v>
      </c>
      <c r="AM173" s="68" t="s">
        <v>449</v>
      </c>
    </row>
    <row r="174" spans="1:39">
      <c r="A174" s="21"/>
      <c r="B174" s="21" t="s">
        <v>110</v>
      </c>
      <c r="C174" s="666" t="s">
        <v>566</v>
      </c>
      <c r="D174" s="68" t="s">
        <v>39</v>
      </c>
      <c r="E174" s="679"/>
      <c r="F174" s="529">
        <f>VLOOKUP(D174,'Mar14 Revenue'!D:V,19,FALSE)</f>
        <v>9346.58</v>
      </c>
      <c r="G174" s="680"/>
      <c r="H174" s="680"/>
      <c r="I174" s="755"/>
      <c r="J174" s="682">
        <f t="shared" si="42"/>
        <v>9346.58</v>
      </c>
      <c r="K174" s="683"/>
      <c r="L174" s="684"/>
      <c r="M174" s="753">
        <v>8000</v>
      </c>
      <c r="N174" s="683">
        <v>0</v>
      </c>
      <c r="O174" s="686"/>
      <c r="P174" s="683">
        <v>0</v>
      </c>
      <c r="Q174" s="687">
        <f t="shared" si="41"/>
        <v>8000</v>
      </c>
      <c r="R174" s="687"/>
      <c r="S174" s="687"/>
      <c r="T174" s="688">
        <v>0</v>
      </c>
      <c r="U174" s="693"/>
      <c r="V174" s="690">
        <f t="shared" si="40"/>
        <v>-8000</v>
      </c>
      <c r="W174" s="683"/>
      <c r="X174" s="474">
        <f t="shared" si="50"/>
        <v>8000</v>
      </c>
      <c r="Y174" s="474">
        <f t="shared" si="51"/>
        <v>0</v>
      </c>
      <c r="Z174" s="475">
        <f t="shared" si="52"/>
        <v>0</v>
      </c>
      <c r="AA174" s="475">
        <v>0</v>
      </c>
      <c r="AB174" s="476">
        <v>0</v>
      </c>
      <c r="AC174" s="38">
        <f t="shared" si="53"/>
        <v>0</v>
      </c>
      <c r="AD174" s="692">
        <f t="shared" si="43"/>
        <v>9346.58</v>
      </c>
      <c r="AE174" s="692">
        <f t="shared" si="44"/>
        <v>0</v>
      </c>
      <c r="AF174" s="692">
        <f t="shared" si="45"/>
        <v>0</v>
      </c>
      <c r="AG174" s="38"/>
      <c r="AH174" s="692">
        <f t="shared" si="47"/>
        <v>8000</v>
      </c>
      <c r="AI174" s="692">
        <f t="shared" si="48"/>
        <v>0</v>
      </c>
      <c r="AJ174" s="692">
        <f t="shared" si="49"/>
        <v>0</v>
      </c>
      <c r="AL174" s="38">
        <f t="shared" si="46"/>
        <v>17346.580000000002</v>
      </c>
      <c r="AM174" s="68" t="s">
        <v>39</v>
      </c>
    </row>
    <row r="175" spans="1:39" s="232" customFormat="1">
      <c r="A175" s="403"/>
      <c r="B175" s="403" t="s">
        <v>109</v>
      </c>
      <c r="C175" s="666"/>
      <c r="D175" s="68" t="s">
        <v>1039</v>
      </c>
      <c r="E175" s="679"/>
      <c r="F175" s="529">
        <f>VLOOKUP(D175,'Mar14 Revenue'!D:V,19,FALSE)</f>
        <v>-15000</v>
      </c>
      <c r="G175" s="680"/>
      <c r="H175" s="680"/>
      <c r="I175" s="755"/>
      <c r="J175" s="682">
        <f t="shared" si="42"/>
        <v>-15000</v>
      </c>
      <c r="K175" s="683"/>
      <c r="L175" s="684"/>
      <c r="M175" s="753">
        <v>17000</v>
      </c>
      <c r="N175" s="683">
        <v>0</v>
      </c>
      <c r="O175" s="686"/>
      <c r="P175" s="683">
        <v>0</v>
      </c>
      <c r="Q175" s="687">
        <f t="shared" si="41"/>
        <v>17000</v>
      </c>
      <c r="R175" s="687"/>
      <c r="S175" s="687"/>
      <c r="T175" s="688">
        <v>0</v>
      </c>
      <c r="U175" s="693"/>
      <c r="V175" s="690">
        <f t="shared" si="40"/>
        <v>-17000</v>
      </c>
      <c r="W175" s="683"/>
      <c r="X175" s="474">
        <f t="shared" si="50"/>
        <v>0</v>
      </c>
      <c r="Y175" s="474">
        <f t="shared" si="51"/>
        <v>17000</v>
      </c>
      <c r="Z175" s="475">
        <f t="shared" si="52"/>
        <v>0</v>
      </c>
      <c r="AA175" s="475">
        <v>0</v>
      </c>
      <c r="AB175" s="476">
        <v>0</v>
      </c>
      <c r="AC175" s="38">
        <f t="shared" si="53"/>
        <v>0</v>
      </c>
      <c r="AD175" s="692">
        <f t="shared" si="43"/>
        <v>0</v>
      </c>
      <c r="AE175" s="692">
        <f t="shared" si="44"/>
        <v>-15000</v>
      </c>
      <c r="AF175" s="692">
        <f t="shared" si="45"/>
        <v>0</v>
      </c>
      <c r="AG175" s="38"/>
      <c r="AH175" s="692">
        <f t="shared" si="47"/>
        <v>0</v>
      </c>
      <c r="AI175" s="692">
        <f t="shared" si="48"/>
        <v>17000</v>
      </c>
      <c r="AJ175" s="692">
        <f t="shared" si="49"/>
        <v>0</v>
      </c>
      <c r="AL175" s="38">
        <f t="shared" si="46"/>
        <v>2000</v>
      </c>
      <c r="AM175" s="123" t="s">
        <v>220</v>
      </c>
    </row>
    <row r="176" spans="1:39">
      <c r="A176" s="21"/>
      <c r="B176" s="21" t="s">
        <v>110</v>
      </c>
      <c r="C176" s="666" t="s">
        <v>567</v>
      </c>
      <c r="D176" s="68" t="s">
        <v>435</v>
      </c>
      <c r="E176" s="679"/>
      <c r="F176" s="529">
        <f>VLOOKUP(D176,'Mar14 Revenue'!D:V,19,FALSE)</f>
        <v>0</v>
      </c>
      <c r="G176" s="680"/>
      <c r="H176" s="680"/>
      <c r="I176" s="755"/>
      <c r="J176" s="682">
        <f t="shared" si="42"/>
        <v>0</v>
      </c>
      <c r="K176" s="683"/>
      <c r="L176" s="684"/>
      <c r="M176" s="753">
        <v>130000</v>
      </c>
      <c r="N176" s="683">
        <v>0</v>
      </c>
      <c r="O176" s="686"/>
      <c r="P176" s="683">
        <v>0</v>
      </c>
      <c r="Q176" s="687">
        <f t="shared" si="41"/>
        <v>130000</v>
      </c>
      <c r="R176" s="687"/>
      <c r="S176" s="687"/>
      <c r="T176" s="688">
        <v>136422.87</v>
      </c>
      <c r="U176" s="693"/>
      <c r="V176" s="690">
        <f t="shared" si="40"/>
        <v>6422.8699999999953</v>
      </c>
      <c r="W176" s="683"/>
      <c r="X176" s="474">
        <f t="shared" si="50"/>
        <v>130000</v>
      </c>
      <c r="Y176" s="474">
        <f t="shared" si="51"/>
        <v>0</v>
      </c>
      <c r="Z176" s="475">
        <f t="shared" si="52"/>
        <v>0</v>
      </c>
      <c r="AA176" s="475">
        <v>0</v>
      </c>
      <c r="AB176" s="476">
        <v>0</v>
      </c>
      <c r="AC176" s="38">
        <f t="shared" si="53"/>
        <v>0</v>
      </c>
      <c r="AD176" s="692">
        <f t="shared" si="43"/>
        <v>0</v>
      </c>
      <c r="AE176" s="692">
        <f t="shared" si="44"/>
        <v>0</v>
      </c>
      <c r="AF176" s="692">
        <f t="shared" si="45"/>
        <v>0</v>
      </c>
      <c r="AG176" s="38"/>
      <c r="AH176" s="692">
        <f t="shared" si="47"/>
        <v>130000</v>
      </c>
      <c r="AI176" s="692">
        <f t="shared" si="48"/>
        <v>0</v>
      </c>
      <c r="AJ176" s="692">
        <f t="shared" si="49"/>
        <v>0</v>
      </c>
      <c r="AL176" s="38">
        <f t="shared" si="46"/>
        <v>130000</v>
      </c>
      <c r="AM176" s="68" t="s">
        <v>435</v>
      </c>
    </row>
    <row r="177" spans="1:39">
      <c r="A177" s="21"/>
      <c r="B177" s="21" t="s">
        <v>110</v>
      </c>
      <c r="C177" s="675" t="s">
        <v>584</v>
      </c>
      <c r="D177" s="806" t="s">
        <v>99</v>
      </c>
      <c r="E177" s="679"/>
      <c r="F177" s="529">
        <f>VLOOKUP(D177,'Mar14 Revenue'!D:V,19,FALSE)</f>
        <v>-1534.1599999999999</v>
      </c>
      <c r="G177" s="680"/>
      <c r="H177" s="680"/>
      <c r="I177" s="755"/>
      <c r="J177" s="682">
        <f t="shared" si="42"/>
        <v>-1534.1599999999999</v>
      </c>
      <c r="K177" s="683"/>
      <c r="L177" s="684"/>
      <c r="M177" s="753">
        <v>10000</v>
      </c>
      <c r="N177" s="683">
        <v>0</v>
      </c>
      <c r="O177" s="686"/>
      <c r="P177" s="683">
        <v>0</v>
      </c>
      <c r="Q177" s="687">
        <f t="shared" si="41"/>
        <v>10000</v>
      </c>
      <c r="R177" s="687"/>
      <c r="S177" s="687"/>
      <c r="T177" s="688">
        <v>0</v>
      </c>
      <c r="U177" s="693"/>
      <c r="V177" s="690">
        <f t="shared" si="40"/>
        <v>-10000</v>
      </c>
      <c r="W177" s="683"/>
      <c r="X177" s="474">
        <f t="shared" si="50"/>
        <v>10000</v>
      </c>
      <c r="Y177" s="474">
        <f t="shared" si="51"/>
        <v>0</v>
      </c>
      <c r="Z177" s="475">
        <f t="shared" si="52"/>
        <v>0</v>
      </c>
      <c r="AA177" s="475">
        <v>0</v>
      </c>
      <c r="AB177" s="476">
        <v>0</v>
      </c>
      <c r="AC177" s="38">
        <f t="shared" si="53"/>
        <v>0</v>
      </c>
      <c r="AD177" s="692">
        <f t="shared" si="43"/>
        <v>-1534.1599999999999</v>
      </c>
      <c r="AE177" s="692">
        <f>IF(B177="M",J177,0)</f>
        <v>0</v>
      </c>
      <c r="AF177" s="692">
        <f t="shared" si="45"/>
        <v>0</v>
      </c>
      <c r="AG177" s="38"/>
      <c r="AH177" s="692">
        <f t="shared" si="47"/>
        <v>10000</v>
      </c>
      <c r="AI177" s="692">
        <f t="shared" si="48"/>
        <v>0</v>
      </c>
      <c r="AJ177" s="692">
        <f t="shared" si="49"/>
        <v>0</v>
      </c>
      <c r="AL177" s="38">
        <f t="shared" si="46"/>
        <v>8465.84</v>
      </c>
      <c r="AM177" s="806" t="s">
        <v>99</v>
      </c>
    </row>
    <row r="178" spans="1:39" s="232" customFormat="1" hidden="1">
      <c r="A178" s="403"/>
      <c r="B178" s="403" t="s">
        <v>110</v>
      </c>
      <c r="C178" s="666"/>
      <c r="D178" s="838" t="s">
        <v>966</v>
      </c>
      <c r="E178" s="679"/>
      <c r="F178" s="529">
        <f>VLOOKUP(D178,'Mar14 Revenue'!D:V,19,FALSE)</f>
        <v>-80000</v>
      </c>
      <c r="G178" s="680"/>
      <c r="H178" s="680"/>
      <c r="I178" s="755"/>
      <c r="J178" s="682">
        <f t="shared" si="42"/>
        <v>-80000</v>
      </c>
      <c r="K178" s="683"/>
      <c r="L178" s="684"/>
      <c r="M178" s="839"/>
      <c r="N178" s="683">
        <v>0</v>
      </c>
      <c r="O178" s="686"/>
      <c r="P178" s="683">
        <v>0</v>
      </c>
      <c r="Q178" s="687">
        <f t="shared" si="41"/>
        <v>0</v>
      </c>
      <c r="R178" s="687"/>
      <c r="S178" s="687"/>
      <c r="T178" s="688">
        <v>0</v>
      </c>
      <c r="U178" s="693"/>
      <c r="V178" s="690">
        <f t="shared" si="40"/>
        <v>0</v>
      </c>
      <c r="W178" s="683"/>
      <c r="X178" s="474">
        <f t="shared" si="50"/>
        <v>0</v>
      </c>
      <c r="Y178" s="474">
        <f t="shared" si="51"/>
        <v>0</v>
      </c>
      <c r="Z178" s="475">
        <f t="shared" si="52"/>
        <v>0</v>
      </c>
      <c r="AA178" s="475">
        <v>0</v>
      </c>
      <c r="AB178" s="476">
        <v>0</v>
      </c>
      <c r="AC178" s="38">
        <f t="shared" si="53"/>
        <v>0</v>
      </c>
      <c r="AD178" s="692">
        <f t="shared" si="43"/>
        <v>-80000</v>
      </c>
      <c r="AE178" s="692">
        <f t="shared" si="44"/>
        <v>0</v>
      </c>
      <c r="AF178" s="692">
        <f t="shared" si="45"/>
        <v>0</v>
      </c>
      <c r="AG178" s="38"/>
      <c r="AH178" s="692">
        <f t="shared" si="47"/>
        <v>0</v>
      </c>
      <c r="AI178" s="692">
        <f t="shared" si="48"/>
        <v>0</v>
      </c>
      <c r="AJ178" s="692">
        <f t="shared" si="49"/>
        <v>0</v>
      </c>
      <c r="AL178" s="38">
        <f t="shared" si="46"/>
        <v>-80000</v>
      </c>
      <c r="AM178" s="813" t="s">
        <v>966</v>
      </c>
    </row>
    <row r="179" spans="1:39" s="232" customFormat="1">
      <c r="A179" s="403"/>
      <c r="B179" s="403" t="s">
        <v>110</v>
      </c>
      <c r="C179" s="666" t="s">
        <v>568</v>
      </c>
      <c r="D179" s="807" t="s">
        <v>303</v>
      </c>
      <c r="E179" s="679">
        <v>305958.39</v>
      </c>
      <c r="F179" s="529">
        <f>VLOOKUP(D179,'Mar14 Revenue'!D:V,19,FALSE)</f>
        <v>-100000</v>
      </c>
      <c r="G179" s="680"/>
      <c r="H179" s="680"/>
      <c r="I179" s="755"/>
      <c r="J179" s="682">
        <f t="shared" si="42"/>
        <v>205958.39</v>
      </c>
      <c r="K179" s="683"/>
      <c r="L179" s="684"/>
      <c r="M179" s="831">
        <v>100000</v>
      </c>
      <c r="N179" s="683">
        <v>0</v>
      </c>
      <c r="O179" s="686"/>
      <c r="P179" s="683">
        <v>0</v>
      </c>
      <c r="Q179" s="687">
        <f t="shared" si="41"/>
        <v>100000</v>
      </c>
      <c r="R179" s="687"/>
      <c r="S179" s="687"/>
      <c r="T179" s="688">
        <v>0</v>
      </c>
      <c r="U179" s="693"/>
      <c r="V179" s="690">
        <f t="shared" si="40"/>
        <v>-100000</v>
      </c>
      <c r="W179" s="683"/>
      <c r="X179" s="474">
        <f t="shared" si="50"/>
        <v>100000</v>
      </c>
      <c r="Y179" s="474">
        <f t="shared" si="51"/>
        <v>0</v>
      </c>
      <c r="Z179" s="475">
        <f t="shared" si="52"/>
        <v>0</v>
      </c>
      <c r="AA179" s="475">
        <v>0</v>
      </c>
      <c r="AB179" s="476">
        <v>0</v>
      </c>
      <c r="AC179" s="38">
        <f t="shared" si="53"/>
        <v>0</v>
      </c>
      <c r="AD179" s="692">
        <f t="shared" si="43"/>
        <v>205958.39</v>
      </c>
      <c r="AE179" s="692">
        <f t="shared" si="44"/>
        <v>0</v>
      </c>
      <c r="AF179" s="692">
        <f t="shared" si="45"/>
        <v>0</v>
      </c>
      <c r="AG179" s="38"/>
      <c r="AH179" s="692">
        <f t="shared" si="47"/>
        <v>100000</v>
      </c>
      <c r="AI179" s="692">
        <f t="shared" si="48"/>
        <v>0</v>
      </c>
      <c r="AJ179" s="692">
        <f t="shared" si="49"/>
        <v>0</v>
      </c>
      <c r="AL179" s="38">
        <f t="shared" si="46"/>
        <v>305958.39</v>
      </c>
      <c r="AM179" s="807" t="s">
        <v>303</v>
      </c>
    </row>
    <row r="180" spans="1:39" s="232" customFormat="1">
      <c r="A180" s="403"/>
      <c r="B180" s="403" t="s">
        <v>110</v>
      </c>
      <c r="C180" s="666"/>
      <c r="D180" s="807" t="s">
        <v>856</v>
      </c>
      <c r="E180" s="679"/>
      <c r="F180" s="529">
        <f>VLOOKUP(D180,'Mar14 Revenue'!D:V,19,FALSE)</f>
        <v>0</v>
      </c>
      <c r="G180" s="680"/>
      <c r="H180" s="680"/>
      <c r="I180" s="755"/>
      <c r="J180" s="682">
        <f t="shared" si="42"/>
        <v>0</v>
      </c>
      <c r="K180" s="683"/>
      <c r="L180" s="684"/>
      <c r="M180" s="753"/>
      <c r="N180" s="683">
        <v>0</v>
      </c>
      <c r="O180" s="686"/>
      <c r="P180" s="683">
        <v>0</v>
      </c>
      <c r="Q180" s="687">
        <f t="shared" si="41"/>
        <v>0</v>
      </c>
      <c r="R180" s="687"/>
      <c r="S180" s="687"/>
      <c r="T180" s="688">
        <v>0</v>
      </c>
      <c r="U180" s="693"/>
      <c r="V180" s="690">
        <f t="shared" si="40"/>
        <v>0</v>
      </c>
      <c r="W180" s="683"/>
      <c r="X180" s="474">
        <f t="shared" si="50"/>
        <v>0</v>
      </c>
      <c r="Y180" s="474">
        <f t="shared" si="51"/>
        <v>0</v>
      </c>
      <c r="Z180" s="475">
        <f t="shared" si="52"/>
        <v>0</v>
      </c>
      <c r="AA180" s="475">
        <v>0</v>
      </c>
      <c r="AB180" s="476">
        <v>0</v>
      </c>
      <c r="AC180" s="38">
        <f t="shared" si="53"/>
        <v>0</v>
      </c>
      <c r="AD180" s="692">
        <f t="shared" si="43"/>
        <v>0</v>
      </c>
      <c r="AE180" s="692">
        <f t="shared" si="44"/>
        <v>0</v>
      </c>
      <c r="AF180" s="692">
        <f t="shared" si="45"/>
        <v>0</v>
      </c>
      <c r="AG180" s="38"/>
      <c r="AH180" s="692">
        <f t="shared" si="47"/>
        <v>0</v>
      </c>
      <c r="AI180" s="692">
        <f t="shared" si="48"/>
        <v>0</v>
      </c>
      <c r="AJ180" s="692">
        <f t="shared" si="49"/>
        <v>0</v>
      </c>
      <c r="AL180" s="38">
        <f t="shared" si="46"/>
        <v>0</v>
      </c>
      <c r="AM180" s="807" t="s">
        <v>856</v>
      </c>
    </row>
    <row r="181" spans="1:39" s="232" customFormat="1">
      <c r="A181" s="403"/>
      <c r="B181" s="403" t="s">
        <v>109</v>
      </c>
      <c r="C181" s="666" t="s">
        <v>569</v>
      </c>
      <c r="D181" s="123" t="s">
        <v>468</v>
      </c>
      <c r="E181" s="679"/>
      <c r="F181" s="529">
        <f>VLOOKUP(D181,'Mar14 Revenue'!D:V,19,FALSE)</f>
        <v>0</v>
      </c>
      <c r="G181" s="680"/>
      <c r="H181" s="680"/>
      <c r="I181" s="755"/>
      <c r="J181" s="682">
        <f t="shared" si="42"/>
        <v>0</v>
      </c>
      <c r="K181" s="683"/>
      <c r="L181" s="684"/>
      <c r="M181" s="753"/>
      <c r="N181" s="683">
        <v>0</v>
      </c>
      <c r="O181" s="686"/>
      <c r="P181" s="683">
        <v>0</v>
      </c>
      <c r="Q181" s="687">
        <f t="shared" si="41"/>
        <v>0</v>
      </c>
      <c r="R181" s="687"/>
      <c r="S181" s="687"/>
      <c r="T181" s="688">
        <v>0</v>
      </c>
      <c r="U181" s="693"/>
      <c r="V181" s="690">
        <f t="shared" si="40"/>
        <v>0</v>
      </c>
      <c r="W181" s="683"/>
      <c r="X181" s="474">
        <f t="shared" si="50"/>
        <v>0</v>
      </c>
      <c r="Y181" s="474">
        <f t="shared" si="51"/>
        <v>0</v>
      </c>
      <c r="Z181" s="475">
        <f t="shared" si="52"/>
        <v>0</v>
      </c>
      <c r="AA181" s="475">
        <v>0</v>
      </c>
      <c r="AB181" s="476">
        <v>0</v>
      </c>
      <c r="AC181" s="38">
        <f t="shared" si="53"/>
        <v>0</v>
      </c>
      <c r="AD181" s="692">
        <f t="shared" si="43"/>
        <v>0</v>
      </c>
      <c r="AE181" s="692">
        <f t="shared" si="44"/>
        <v>0</v>
      </c>
      <c r="AF181" s="692">
        <f t="shared" si="45"/>
        <v>0</v>
      </c>
      <c r="AG181" s="38"/>
      <c r="AH181" s="692">
        <f t="shared" si="47"/>
        <v>0</v>
      </c>
      <c r="AI181" s="692">
        <f t="shared" si="48"/>
        <v>0</v>
      </c>
      <c r="AJ181" s="692">
        <f t="shared" si="49"/>
        <v>0</v>
      </c>
      <c r="AL181" s="38">
        <f t="shared" si="46"/>
        <v>0</v>
      </c>
      <c r="AM181" s="123" t="s">
        <v>468</v>
      </c>
    </row>
    <row r="182" spans="1:39">
      <c r="A182" s="20"/>
      <c r="B182" s="20" t="s">
        <v>110</v>
      </c>
      <c r="C182" s="676" t="s">
        <v>844</v>
      </c>
      <c r="D182" s="68" t="s">
        <v>845</v>
      </c>
      <c r="E182" s="679"/>
      <c r="F182" s="529">
        <f>VLOOKUP(D182,'Mar14 Revenue'!D:V,19,FALSE)</f>
        <v>0</v>
      </c>
      <c r="G182" s="680"/>
      <c r="H182" s="680"/>
      <c r="I182" s="755"/>
      <c r="J182" s="682">
        <f t="shared" ref="J182" si="54">SUM(E182:I182)</f>
        <v>0</v>
      </c>
      <c r="K182" s="683"/>
      <c r="L182" s="684"/>
      <c r="M182" s="753"/>
      <c r="N182" s="683">
        <v>0</v>
      </c>
      <c r="O182" s="686"/>
      <c r="P182" s="683">
        <v>0</v>
      </c>
      <c r="Q182" s="687">
        <f t="shared" ref="Q182" si="55">L182+M182</f>
        <v>0</v>
      </c>
      <c r="R182" s="687"/>
      <c r="S182" s="687"/>
      <c r="T182" s="688">
        <v>0</v>
      </c>
      <c r="U182" s="693"/>
      <c r="V182" s="690">
        <f t="shared" si="40"/>
        <v>0</v>
      </c>
      <c r="W182" s="683"/>
      <c r="X182" s="474">
        <f t="shared" ref="X182" si="56">IF(B182="D",Q182,0)</f>
        <v>0</v>
      </c>
      <c r="Y182" s="474">
        <f t="shared" ref="Y182" si="57">IF(B182="M",Q182,0)</f>
        <v>0</v>
      </c>
      <c r="Z182" s="475">
        <f t="shared" ref="Z182" si="58">IF(B182="V",Q182,0)</f>
        <v>0</v>
      </c>
      <c r="AA182" s="475">
        <v>0</v>
      </c>
      <c r="AB182" s="476">
        <v>0</v>
      </c>
      <c r="AC182" s="38">
        <f t="shared" ref="AC182" si="59">(L182+M182)-(X182+Y182+Z182+AA182+AB182)</f>
        <v>0</v>
      </c>
      <c r="AD182" s="692">
        <f t="shared" ref="AD182" si="60">IF(B182="D",J182,0)</f>
        <v>0</v>
      </c>
      <c r="AE182" s="692">
        <f t="shared" ref="AE182" si="61">IF(B182="M",J182,0)</f>
        <v>0</v>
      </c>
      <c r="AF182" s="692">
        <f t="shared" ref="AF182" si="62">IF(B182="V",J182,0)</f>
        <v>0</v>
      </c>
      <c r="AG182" s="38"/>
      <c r="AH182" s="692">
        <f t="shared" ref="AH182" si="63">IF(B182="D",Q182,0)</f>
        <v>0</v>
      </c>
      <c r="AI182" s="692">
        <f t="shared" ref="AI182" si="64">IF(B182="M",Q182,0)</f>
        <v>0</v>
      </c>
      <c r="AJ182" s="692">
        <f t="shared" ref="AJ182" si="65">IF(B182="V",Q182,0)</f>
        <v>0</v>
      </c>
      <c r="AL182" s="38">
        <f t="shared" ref="AL182" si="66">SUM(AD182:AJ182)</f>
        <v>0</v>
      </c>
      <c r="AM182" s="68" t="s">
        <v>845</v>
      </c>
    </row>
    <row r="183" spans="1:39">
      <c r="A183" s="20"/>
      <c r="B183" s="20" t="s">
        <v>110</v>
      </c>
      <c r="C183" s="676" t="s">
        <v>844</v>
      </c>
      <c r="D183" s="68" t="s">
        <v>1089</v>
      </c>
      <c r="E183" s="679"/>
      <c r="F183" s="529">
        <f>VLOOKUP(D183,'Mar14 Revenue'!D:V,19,FALSE)</f>
        <v>41.72</v>
      </c>
      <c r="G183" s="680"/>
      <c r="H183" s="680"/>
      <c r="I183" s="755"/>
      <c r="J183" s="682">
        <f t="shared" si="42"/>
        <v>41.72</v>
      </c>
      <c r="K183" s="683"/>
      <c r="L183" s="684"/>
      <c r="M183" s="753"/>
      <c r="N183" s="683">
        <v>0</v>
      </c>
      <c r="O183" s="686"/>
      <c r="P183" s="683">
        <v>0</v>
      </c>
      <c r="Q183" s="687">
        <f t="shared" si="41"/>
        <v>0</v>
      </c>
      <c r="R183" s="687"/>
      <c r="S183" s="687"/>
      <c r="T183" s="688">
        <v>38.299999999999997</v>
      </c>
      <c r="U183" s="693"/>
      <c r="V183" s="690">
        <f t="shared" si="40"/>
        <v>38.299999999999997</v>
      </c>
      <c r="W183" s="683"/>
      <c r="X183" s="474">
        <f t="shared" si="50"/>
        <v>0</v>
      </c>
      <c r="Y183" s="474">
        <f t="shared" si="51"/>
        <v>0</v>
      </c>
      <c r="Z183" s="475">
        <f t="shared" si="52"/>
        <v>0</v>
      </c>
      <c r="AA183" s="475">
        <v>0</v>
      </c>
      <c r="AB183" s="476">
        <v>0</v>
      </c>
      <c r="AC183" s="38">
        <f t="shared" si="53"/>
        <v>0</v>
      </c>
      <c r="AD183" s="692">
        <f t="shared" si="43"/>
        <v>41.72</v>
      </c>
      <c r="AE183" s="692">
        <f t="shared" si="44"/>
        <v>0</v>
      </c>
      <c r="AF183" s="692">
        <f t="shared" si="45"/>
        <v>0</v>
      </c>
      <c r="AG183" s="38"/>
      <c r="AH183" s="692">
        <f t="shared" si="47"/>
        <v>0</v>
      </c>
      <c r="AI183" s="692">
        <f t="shared" si="48"/>
        <v>0</v>
      </c>
      <c r="AJ183" s="692">
        <f t="shared" si="49"/>
        <v>0</v>
      </c>
      <c r="AL183" s="38">
        <f t="shared" si="46"/>
        <v>41.72</v>
      </c>
      <c r="AM183" s="68" t="s">
        <v>845</v>
      </c>
    </row>
    <row r="184" spans="1:39">
      <c r="A184" s="20"/>
      <c r="B184" s="20" t="s">
        <v>110</v>
      </c>
      <c r="C184" s="676" t="s">
        <v>977</v>
      </c>
      <c r="D184" s="68" t="s">
        <v>978</v>
      </c>
      <c r="E184" s="679"/>
      <c r="F184" s="529">
        <f>VLOOKUP(D184,'Mar14 Revenue'!D:V,19,FALSE)</f>
        <v>159</v>
      </c>
      <c r="G184" s="680"/>
      <c r="H184" s="680"/>
      <c r="I184" s="755"/>
      <c r="J184" s="682">
        <f t="shared" si="42"/>
        <v>159</v>
      </c>
      <c r="K184" s="683"/>
      <c r="L184" s="684"/>
      <c r="M184" s="753"/>
      <c r="N184" s="683">
        <v>0</v>
      </c>
      <c r="O184" s="686"/>
      <c r="P184" s="683">
        <v>0</v>
      </c>
      <c r="Q184" s="687">
        <f t="shared" si="41"/>
        <v>0</v>
      </c>
      <c r="R184" s="687"/>
      <c r="S184" s="687"/>
      <c r="T184" s="688">
        <v>2984.4</v>
      </c>
      <c r="U184" s="693"/>
      <c r="V184" s="690">
        <f t="shared" si="40"/>
        <v>2984.4</v>
      </c>
      <c r="W184" s="683"/>
      <c r="X184" s="474">
        <f t="shared" si="50"/>
        <v>0</v>
      </c>
      <c r="Y184" s="474">
        <f t="shared" si="51"/>
        <v>0</v>
      </c>
      <c r="Z184" s="475">
        <f t="shared" si="52"/>
        <v>0</v>
      </c>
      <c r="AA184" s="475">
        <v>0</v>
      </c>
      <c r="AB184" s="476">
        <v>0</v>
      </c>
      <c r="AC184" s="38">
        <f t="shared" si="53"/>
        <v>0</v>
      </c>
      <c r="AD184" s="692">
        <f t="shared" si="43"/>
        <v>159</v>
      </c>
      <c r="AE184" s="692">
        <f t="shared" si="44"/>
        <v>0</v>
      </c>
      <c r="AF184" s="692">
        <f t="shared" si="45"/>
        <v>0</v>
      </c>
      <c r="AG184" s="38"/>
      <c r="AH184" s="692">
        <f t="shared" si="47"/>
        <v>0</v>
      </c>
      <c r="AI184" s="692">
        <f t="shared" si="48"/>
        <v>0</v>
      </c>
      <c r="AJ184" s="692">
        <f t="shared" si="49"/>
        <v>0</v>
      </c>
      <c r="AL184" s="38">
        <f t="shared" si="46"/>
        <v>159</v>
      </c>
      <c r="AM184" s="68" t="s">
        <v>978</v>
      </c>
    </row>
    <row r="185" spans="1:39">
      <c r="A185" s="20"/>
      <c r="B185" s="20" t="s">
        <v>109</v>
      </c>
      <c r="C185" s="667" t="s">
        <v>570</v>
      </c>
      <c r="D185" s="68" t="s">
        <v>221</v>
      </c>
      <c r="E185" s="679"/>
      <c r="F185" s="529">
        <f>VLOOKUP(D185,'Mar14 Revenue'!D:V,19,FALSE)</f>
        <v>0</v>
      </c>
      <c r="G185" s="680"/>
      <c r="H185" s="680"/>
      <c r="I185" s="755"/>
      <c r="J185" s="682">
        <f t="shared" si="42"/>
        <v>0</v>
      </c>
      <c r="K185" s="683"/>
      <c r="L185" s="684"/>
      <c r="M185" s="753"/>
      <c r="N185" s="683">
        <v>0</v>
      </c>
      <c r="O185" s="686"/>
      <c r="P185" s="683">
        <v>0</v>
      </c>
      <c r="Q185" s="687">
        <f t="shared" si="41"/>
        <v>0</v>
      </c>
      <c r="R185" s="687"/>
      <c r="S185" s="687"/>
      <c r="T185" s="688">
        <v>0</v>
      </c>
      <c r="U185" s="693"/>
      <c r="V185" s="690">
        <f t="shared" si="40"/>
        <v>0</v>
      </c>
      <c r="W185" s="683"/>
      <c r="X185" s="474">
        <f t="shared" si="50"/>
        <v>0</v>
      </c>
      <c r="Y185" s="474">
        <f t="shared" si="51"/>
        <v>0</v>
      </c>
      <c r="Z185" s="475">
        <f t="shared" si="52"/>
        <v>0</v>
      </c>
      <c r="AA185" s="475">
        <v>0</v>
      </c>
      <c r="AB185" s="476">
        <v>0</v>
      </c>
      <c r="AC185" s="38">
        <f t="shared" si="53"/>
        <v>0</v>
      </c>
      <c r="AD185" s="692">
        <f t="shared" si="43"/>
        <v>0</v>
      </c>
      <c r="AE185" s="692">
        <f t="shared" si="44"/>
        <v>0</v>
      </c>
      <c r="AF185" s="692">
        <f t="shared" si="45"/>
        <v>0</v>
      </c>
      <c r="AG185" s="38"/>
      <c r="AH185" s="692">
        <f t="shared" si="47"/>
        <v>0</v>
      </c>
      <c r="AI185" s="692">
        <f t="shared" si="48"/>
        <v>0</v>
      </c>
      <c r="AJ185" s="692">
        <f t="shared" si="49"/>
        <v>0</v>
      </c>
      <c r="AL185" s="38">
        <f t="shared" si="46"/>
        <v>0</v>
      </c>
      <c r="AM185" s="68" t="s">
        <v>221</v>
      </c>
    </row>
    <row r="186" spans="1:39">
      <c r="A186" s="21"/>
      <c r="B186" s="21" t="s">
        <v>110</v>
      </c>
      <c r="C186" s="666"/>
      <c r="D186" s="68" t="s">
        <v>985</v>
      </c>
      <c r="E186" s="679"/>
      <c r="F186" s="529">
        <f>VLOOKUP(D186,'Mar14 Revenue'!D:V,19,FALSE)</f>
        <v>0</v>
      </c>
      <c r="G186" s="680"/>
      <c r="H186" s="680"/>
      <c r="I186" s="755"/>
      <c r="J186" s="682">
        <f t="shared" si="42"/>
        <v>0</v>
      </c>
      <c r="K186" s="683"/>
      <c r="L186" s="684"/>
      <c r="M186" s="753"/>
      <c r="N186" s="683">
        <v>0</v>
      </c>
      <c r="O186" s="686"/>
      <c r="P186" s="683">
        <v>0</v>
      </c>
      <c r="Q186" s="687">
        <f t="shared" si="41"/>
        <v>0</v>
      </c>
      <c r="R186" s="687"/>
      <c r="S186" s="687"/>
      <c r="T186" s="688">
        <v>0</v>
      </c>
      <c r="U186" s="693"/>
      <c r="V186" s="690">
        <f t="shared" si="40"/>
        <v>0</v>
      </c>
      <c r="W186" s="683"/>
      <c r="X186" s="474">
        <f t="shared" si="50"/>
        <v>0</v>
      </c>
      <c r="Y186" s="474">
        <f t="shared" si="51"/>
        <v>0</v>
      </c>
      <c r="Z186" s="475">
        <f t="shared" si="52"/>
        <v>0</v>
      </c>
      <c r="AA186" s="475">
        <v>0</v>
      </c>
      <c r="AB186" s="476">
        <v>0</v>
      </c>
      <c r="AC186" s="38">
        <f t="shared" si="53"/>
        <v>0</v>
      </c>
      <c r="AD186" s="692">
        <f t="shared" si="43"/>
        <v>0</v>
      </c>
      <c r="AE186" s="692">
        <f t="shared" si="44"/>
        <v>0</v>
      </c>
      <c r="AF186" s="692">
        <f t="shared" si="45"/>
        <v>0</v>
      </c>
      <c r="AG186" s="38"/>
      <c r="AH186" s="692">
        <f t="shared" si="47"/>
        <v>0</v>
      </c>
      <c r="AI186" s="692">
        <f t="shared" si="48"/>
        <v>0</v>
      </c>
      <c r="AJ186" s="692">
        <f t="shared" si="49"/>
        <v>0</v>
      </c>
      <c r="AL186" s="38">
        <f t="shared" si="46"/>
        <v>0</v>
      </c>
      <c r="AM186" s="68" t="s">
        <v>985</v>
      </c>
    </row>
    <row r="187" spans="1:39">
      <c r="A187" s="21"/>
      <c r="B187" s="21" t="s">
        <v>109</v>
      </c>
      <c r="C187" s="666" t="s">
        <v>571</v>
      </c>
      <c r="D187" s="68" t="s">
        <v>44</v>
      </c>
      <c r="E187" s="679"/>
      <c r="F187" s="529">
        <f>VLOOKUP(D187,'Mar14 Revenue'!D:V,19,FALSE)</f>
        <v>0</v>
      </c>
      <c r="G187" s="680"/>
      <c r="H187" s="680"/>
      <c r="I187" s="755"/>
      <c r="J187" s="682">
        <f t="shared" si="42"/>
        <v>0</v>
      </c>
      <c r="K187" s="683"/>
      <c r="L187" s="684"/>
      <c r="M187" s="753"/>
      <c r="N187" s="683">
        <v>0</v>
      </c>
      <c r="O187" s="686"/>
      <c r="P187" s="683">
        <v>0</v>
      </c>
      <c r="Q187" s="687">
        <f t="shared" si="41"/>
        <v>0</v>
      </c>
      <c r="R187" s="687"/>
      <c r="S187" s="687"/>
      <c r="T187" s="688">
        <v>0</v>
      </c>
      <c r="U187" s="693"/>
      <c r="V187" s="690">
        <f t="shared" si="40"/>
        <v>0</v>
      </c>
      <c r="W187" s="683"/>
      <c r="X187" s="474">
        <f t="shared" si="50"/>
        <v>0</v>
      </c>
      <c r="Y187" s="474">
        <f t="shared" si="51"/>
        <v>0</v>
      </c>
      <c r="Z187" s="475">
        <f t="shared" si="52"/>
        <v>0</v>
      </c>
      <c r="AA187" s="475">
        <v>0</v>
      </c>
      <c r="AB187" s="476">
        <v>0</v>
      </c>
      <c r="AC187" s="38">
        <f t="shared" si="53"/>
        <v>0</v>
      </c>
      <c r="AD187" s="692">
        <f t="shared" si="43"/>
        <v>0</v>
      </c>
      <c r="AE187" s="692">
        <f t="shared" si="44"/>
        <v>0</v>
      </c>
      <c r="AF187" s="692">
        <f t="shared" si="45"/>
        <v>0</v>
      </c>
      <c r="AG187" s="38"/>
      <c r="AH187" s="692">
        <f t="shared" si="47"/>
        <v>0</v>
      </c>
      <c r="AI187" s="692">
        <f t="shared" si="48"/>
        <v>0</v>
      </c>
      <c r="AJ187" s="692">
        <f t="shared" si="49"/>
        <v>0</v>
      </c>
      <c r="AL187" s="38">
        <f t="shared" si="46"/>
        <v>0</v>
      </c>
      <c r="AM187" s="68" t="s">
        <v>44</v>
      </c>
    </row>
    <row r="188" spans="1:39">
      <c r="A188" s="21"/>
      <c r="B188" s="21" t="s">
        <v>114</v>
      </c>
      <c r="C188" s="666" t="s">
        <v>571</v>
      </c>
      <c r="D188" s="68" t="s">
        <v>44</v>
      </c>
      <c r="E188" s="679"/>
      <c r="F188" s="529">
        <f>VLOOKUP(D188,'Mar14 Revenue'!D:V,19,FALSE)</f>
        <v>0</v>
      </c>
      <c r="G188" s="680"/>
      <c r="H188" s="680"/>
      <c r="I188" s="755"/>
      <c r="J188" s="682">
        <f t="shared" si="42"/>
        <v>0</v>
      </c>
      <c r="K188" s="683"/>
      <c r="L188" s="684"/>
      <c r="M188" s="753"/>
      <c r="N188" s="683">
        <v>0</v>
      </c>
      <c r="O188" s="686"/>
      <c r="P188" s="683">
        <v>0</v>
      </c>
      <c r="Q188" s="687">
        <f t="shared" si="41"/>
        <v>0</v>
      </c>
      <c r="R188" s="687"/>
      <c r="S188" s="687"/>
      <c r="T188" s="688">
        <v>0</v>
      </c>
      <c r="U188" s="693"/>
      <c r="V188" s="690">
        <f t="shared" si="40"/>
        <v>0</v>
      </c>
      <c r="W188" s="683"/>
      <c r="X188" s="474">
        <f t="shared" si="50"/>
        <v>0</v>
      </c>
      <c r="Y188" s="474">
        <f t="shared" si="51"/>
        <v>0</v>
      </c>
      <c r="Z188" s="475">
        <f t="shared" si="52"/>
        <v>0</v>
      </c>
      <c r="AA188" s="475">
        <v>0</v>
      </c>
      <c r="AB188" s="476">
        <v>0</v>
      </c>
      <c r="AC188" s="38">
        <f t="shared" si="53"/>
        <v>0</v>
      </c>
      <c r="AD188" s="692">
        <f t="shared" si="43"/>
        <v>0</v>
      </c>
      <c r="AE188" s="692">
        <f t="shared" si="44"/>
        <v>0</v>
      </c>
      <c r="AF188" s="692">
        <f t="shared" si="45"/>
        <v>0</v>
      </c>
      <c r="AG188" s="38"/>
      <c r="AH188" s="692">
        <f t="shared" si="47"/>
        <v>0</v>
      </c>
      <c r="AI188" s="692">
        <f t="shared" si="48"/>
        <v>0</v>
      </c>
      <c r="AJ188" s="692">
        <f t="shared" si="49"/>
        <v>0</v>
      </c>
      <c r="AL188" s="38">
        <f t="shared" si="46"/>
        <v>0</v>
      </c>
      <c r="AM188" s="68" t="s">
        <v>44</v>
      </c>
    </row>
    <row r="189" spans="1:39">
      <c r="A189" s="21"/>
      <c r="B189" s="21" t="s">
        <v>110</v>
      </c>
      <c r="C189" s="666" t="s">
        <v>572</v>
      </c>
      <c r="D189" s="806" t="s">
        <v>388</v>
      </c>
      <c r="E189" s="679"/>
      <c r="F189" s="529">
        <f>VLOOKUP(D189,'Mar14 Revenue'!D:V,19,FALSE)</f>
        <v>0</v>
      </c>
      <c r="G189" s="680"/>
      <c r="H189" s="680"/>
      <c r="I189" s="770">
        <f>906.17+17148.78</f>
        <v>18054.949999999997</v>
      </c>
      <c r="J189" s="682">
        <f t="shared" si="42"/>
        <v>18054.949999999997</v>
      </c>
      <c r="K189" s="683"/>
      <c r="L189" s="684"/>
      <c r="M189" s="753"/>
      <c r="N189" s="683">
        <v>0</v>
      </c>
      <c r="O189" s="686"/>
      <c r="P189" s="683">
        <v>0</v>
      </c>
      <c r="Q189" s="687">
        <f t="shared" si="41"/>
        <v>0</v>
      </c>
      <c r="R189" s="687"/>
      <c r="S189" s="687"/>
      <c r="T189" s="688">
        <v>0</v>
      </c>
      <c r="U189" s="693"/>
      <c r="V189" s="690">
        <f t="shared" si="40"/>
        <v>0</v>
      </c>
      <c r="W189" s="683"/>
      <c r="X189" s="474">
        <f t="shared" si="50"/>
        <v>0</v>
      </c>
      <c r="Y189" s="474">
        <f t="shared" si="51"/>
        <v>0</v>
      </c>
      <c r="Z189" s="475">
        <f t="shared" si="52"/>
        <v>0</v>
      </c>
      <c r="AA189" s="475">
        <v>0</v>
      </c>
      <c r="AB189" s="476">
        <v>0</v>
      </c>
      <c r="AC189" s="38">
        <f t="shared" si="53"/>
        <v>0</v>
      </c>
      <c r="AD189" s="692">
        <f t="shared" si="43"/>
        <v>18054.949999999997</v>
      </c>
      <c r="AE189" s="692">
        <f t="shared" si="44"/>
        <v>0</v>
      </c>
      <c r="AF189" s="692">
        <f t="shared" si="45"/>
        <v>0</v>
      </c>
      <c r="AG189" s="38"/>
      <c r="AH189" s="692">
        <f t="shared" si="47"/>
        <v>0</v>
      </c>
      <c r="AI189" s="692">
        <f t="shared" si="48"/>
        <v>0</v>
      </c>
      <c r="AJ189" s="692">
        <f t="shared" si="49"/>
        <v>0</v>
      </c>
      <c r="AL189" s="38">
        <f t="shared" si="46"/>
        <v>18054.949999999997</v>
      </c>
      <c r="AM189" s="806" t="s">
        <v>388</v>
      </c>
    </row>
    <row r="190" spans="1:39">
      <c r="A190" s="20"/>
      <c r="B190" s="20" t="s">
        <v>109</v>
      </c>
      <c r="C190" s="667"/>
      <c r="D190" s="806" t="s">
        <v>842</v>
      </c>
      <c r="E190" s="679">
        <f>8363.71+7476.38</f>
        <v>15840.09</v>
      </c>
      <c r="F190" s="529">
        <f>VLOOKUP(D190,'Mar14 Revenue'!D:V,19,FALSE)</f>
        <v>-150000</v>
      </c>
      <c r="G190" s="680"/>
      <c r="H190" s="680"/>
      <c r="I190" s="755"/>
      <c r="J190" s="682">
        <f t="shared" si="42"/>
        <v>-134159.91</v>
      </c>
      <c r="K190" s="683"/>
      <c r="L190" s="684"/>
      <c r="M190" s="753">
        <v>120000</v>
      </c>
      <c r="N190" s="683">
        <v>0</v>
      </c>
      <c r="O190" s="686"/>
      <c r="P190" s="683">
        <v>0</v>
      </c>
      <c r="Q190" s="687">
        <f t="shared" si="41"/>
        <v>120000</v>
      </c>
      <c r="R190" s="687"/>
      <c r="S190" s="687"/>
      <c r="T190" s="688">
        <v>11918.49</v>
      </c>
      <c r="U190" s="693"/>
      <c r="V190" s="690">
        <f t="shared" si="40"/>
        <v>-108081.51</v>
      </c>
      <c r="W190" s="683"/>
      <c r="X190" s="474">
        <f t="shared" si="50"/>
        <v>0</v>
      </c>
      <c r="Y190" s="474">
        <f t="shared" si="51"/>
        <v>120000</v>
      </c>
      <c r="Z190" s="475">
        <f t="shared" si="52"/>
        <v>0</v>
      </c>
      <c r="AA190" s="475">
        <v>0</v>
      </c>
      <c r="AB190" s="476">
        <v>0</v>
      </c>
      <c r="AC190" s="38">
        <f t="shared" si="53"/>
        <v>0</v>
      </c>
      <c r="AD190" s="692">
        <f t="shared" si="43"/>
        <v>0</v>
      </c>
      <c r="AE190" s="692">
        <f t="shared" si="44"/>
        <v>-134159.91</v>
      </c>
      <c r="AF190" s="692">
        <f t="shared" si="45"/>
        <v>0</v>
      </c>
      <c r="AG190" s="38"/>
      <c r="AH190" s="692">
        <f t="shared" si="47"/>
        <v>0</v>
      </c>
      <c r="AI190" s="692">
        <f t="shared" si="48"/>
        <v>120000</v>
      </c>
      <c r="AJ190" s="692">
        <f t="shared" si="49"/>
        <v>0</v>
      </c>
      <c r="AL190" s="38">
        <f t="shared" si="46"/>
        <v>-14159.910000000003</v>
      </c>
      <c r="AM190" s="806" t="s">
        <v>842</v>
      </c>
    </row>
    <row r="191" spans="1:39">
      <c r="A191" s="21"/>
      <c r="B191" s="21" t="s">
        <v>110</v>
      </c>
      <c r="C191" s="666"/>
      <c r="D191" s="68" t="s">
        <v>45</v>
      </c>
      <c r="E191" s="679"/>
      <c r="F191" s="529">
        <f>VLOOKUP(D191,'Mar14 Revenue'!D:V,19,FALSE)</f>
        <v>-139.50999999999476</v>
      </c>
      <c r="G191" s="680"/>
      <c r="H191" s="680"/>
      <c r="I191" s="755"/>
      <c r="J191" s="682">
        <f t="shared" si="42"/>
        <v>-139.50999999999476</v>
      </c>
      <c r="K191" s="683"/>
      <c r="L191" s="684"/>
      <c r="M191" s="753">
        <v>70000</v>
      </c>
      <c r="N191" s="683">
        <v>0</v>
      </c>
      <c r="O191" s="686"/>
      <c r="P191" s="683">
        <v>0</v>
      </c>
      <c r="Q191" s="687">
        <f t="shared" si="41"/>
        <v>70000</v>
      </c>
      <c r="R191" s="687"/>
      <c r="S191" s="687"/>
      <c r="T191" s="688">
        <f>61900.64+3628.66</f>
        <v>65529.3</v>
      </c>
      <c r="U191" s="693"/>
      <c r="V191" s="690">
        <f t="shared" si="40"/>
        <v>-4470.6999999999971</v>
      </c>
      <c r="W191" s="683"/>
      <c r="X191" s="474">
        <f t="shared" si="50"/>
        <v>70000</v>
      </c>
      <c r="Y191" s="474">
        <f t="shared" si="51"/>
        <v>0</v>
      </c>
      <c r="Z191" s="475">
        <f t="shared" si="52"/>
        <v>0</v>
      </c>
      <c r="AA191" s="475">
        <v>0</v>
      </c>
      <c r="AB191" s="476">
        <v>0</v>
      </c>
      <c r="AC191" s="38">
        <f t="shared" si="53"/>
        <v>0</v>
      </c>
      <c r="AD191" s="692">
        <f t="shared" si="43"/>
        <v>-139.50999999999476</v>
      </c>
      <c r="AE191" s="692">
        <f t="shared" si="44"/>
        <v>0</v>
      </c>
      <c r="AF191" s="692">
        <f t="shared" si="45"/>
        <v>0</v>
      </c>
      <c r="AG191" s="38"/>
      <c r="AH191" s="692">
        <f t="shared" si="47"/>
        <v>70000</v>
      </c>
      <c r="AI191" s="692">
        <f t="shared" si="48"/>
        <v>0</v>
      </c>
      <c r="AJ191" s="692">
        <f t="shared" si="49"/>
        <v>0</v>
      </c>
      <c r="AL191" s="38">
        <f t="shared" si="46"/>
        <v>69860.490000000005</v>
      </c>
      <c r="AM191" s="68" t="s">
        <v>45</v>
      </c>
    </row>
    <row r="192" spans="1:39">
      <c r="A192" s="20" t="s">
        <v>211</v>
      </c>
      <c r="B192" s="20" t="s">
        <v>109</v>
      </c>
      <c r="C192" s="667"/>
      <c r="D192" s="68" t="s">
        <v>923</v>
      </c>
      <c r="E192" s="679"/>
      <c r="F192" s="529">
        <f>VLOOKUP(D192,'Mar14 Revenue'!D:V,19,FALSE)</f>
        <v>26194.41</v>
      </c>
      <c r="G192" s="680"/>
      <c r="H192" s="680"/>
      <c r="I192" s="755"/>
      <c r="J192" s="682">
        <f t="shared" si="42"/>
        <v>26194.41</v>
      </c>
      <c r="K192" s="683"/>
      <c r="L192" s="684"/>
      <c r="M192" s="753">
        <v>9000</v>
      </c>
      <c r="N192" s="683">
        <v>0</v>
      </c>
      <c r="O192" s="686"/>
      <c r="P192" s="683">
        <v>0</v>
      </c>
      <c r="Q192" s="687">
        <f t="shared" si="41"/>
        <v>9000</v>
      </c>
      <c r="R192" s="687"/>
      <c r="S192" s="687"/>
      <c r="T192" s="688">
        <v>0</v>
      </c>
      <c r="U192" s="693"/>
      <c r="V192" s="690">
        <f t="shared" si="40"/>
        <v>-9000</v>
      </c>
      <c r="W192" s="697"/>
      <c r="X192" s="474">
        <f t="shared" si="50"/>
        <v>0</v>
      </c>
      <c r="Y192" s="474">
        <f t="shared" si="51"/>
        <v>9000</v>
      </c>
      <c r="Z192" s="475">
        <f t="shared" si="52"/>
        <v>0</v>
      </c>
      <c r="AA192" s="475">
        <v>0</v>
      </c>
      <c r="AB192" s="476">
        <v>0</v>
      </c>
      <c r="AC192" s="38">
        <f t="shared" si="53"/>
        <v>0</v>
      </c>
      <c r="AD192" s="692">
        <f t="shared" si="43"/>
        <v>0</v>
      </c>
      <c r="AE192" s="692">
        <f t="shared" si="44"/>
        <v>26194.41</v>
      </c>
      <c r="AF192" s="692">
        <f t="shared" si="45"/>
        <v>0</v>
      </c>
      <c r="AG192" s="38"/>
      <c r="AH192" s="692">
        <f t="shared" si="47"/>
        <v>0</v>
      </c>
      <c r="AI192" s="692">
        <f t="shared" si="48"/>
        <v>9000</v>
      </c>
      <c r="AJ192" s="692">
        <f t="shared" si="49"/>
        <v>0</v>
      </c>
      <c r="AL192" s="38">
        <f t="shared" si="46"/>
        <v>35194.410000000003</v>
      </c>
      <c r="AM192" s="68" t="s">
        <v>923</v>
      </c>
    </row>
    <row r="193" spans="1:39">
      <c r="A193" s="20"/>
      <c r="B193" s="20" t="s">
        <v>110</v>
      </c>
      <c r="C193" s="667" t="s">
        <v>573</v>
      </c>
      <c r="D193" s="68" t="s">
        <v>102</v>
      </c>
      <c r="E193" s="679">
        <v>1014881</v>
      </c>
      <c r="F193" s="529">
        <f>VLOOKUP(D193,'Mar14 Revenue'!D:V,19,FALSE)</f>
        <v>0</v>
      </c>
      <c r="G193" s="680"/>
      <c r="H193" s="680"/>
      <c r="I193" s="755"/>
      <c r="J193" s="682">
        <f t="shared" si="42"/>
        <v>1014881</v>
      </c>
      <c r="K193" s="683"/>
      <c r="L193" s="684"/>
      <c r="M193" s="753">
        <f>4000000+1014608.49-199828</f>
        <v>4814780.49</v>
      </c>
      <c r="N193" s="683">
        <v>0</v>
      </c>
      <c r="O193" s="686"/>
      <c r="P193" s="683">
        <v>0</v>
      </c>
      <c r="Q193" s="687">
        <f t="shared" si="41"/>
        <v>4814780.49</v>
      </c>
      <c r="R193" s="687"/>
      <c r="S193" s="687"/>
      <c r="T193" s="688">
        <f>1101854.93+3803208.63</f>
        <v>4905063.5599999996</v>
      </c>
      <c r="U193" s="693"/>
      <c r="V193" s="690">
        <f t="shared" si="40"/>
        <v>90283.069999999367</v>
      </c>
      <c r="W193" s="697"/>
      <c r="X193" s="474">
        <f t="shared" si="50"/>
        <v>4814780.49</v>
      </c>
      <c r="Y193" s="474">
        <f t="shared" si="51"/>
        <v>0</v>
      </c>
      <c r="Z193" s="475">
        <f t="shared" si="52"/>
        <v>0</v>
      </c>
      <c r="AA193" s="475">
        <v>0</v>
      </c>
      <c r="AB193" s="476">
        <v>0</v>
      </c>
      <c r="AC193" s="38">
        <f t="shared" si="53"/>
        <v>0</v>
      </c>
      <c r="AD193" s="692">
        <f t="shared" si="43"/>
        <v>1014881</v>
      </c>
      <c r="AE193" s="692">
        <f t="shared" si="44"/>
        <v>0</v>
      </c>
      <c r="AF193" s="692">
        <f t="shared" si="45"/>
        <v>0</v>
      </c>
      <c r="AG193" s="38"/>
      <c r="AH193" s="692">
        <f t="shared" si="47"/>
        <v>4814780.49</v>
      </c>
      <c r="AI193" s="692">
        <f t="shared" si="48"/>
        <v>0</v>
      </c>
      <c r="AJ193" s="692">
        <f t="shared" si="49"/>
        <v>0</v>
      </c>
      <c r="AL193" s="38">
        <f t="shared" si="46"/>
        <v>5829661.4900000002</v>
      </c>
      <c r="AM193" s="68" t="s">
        <v>102</v>
      </c>
    </row>
    <row r="194" spans="1:39">
      <c r="A194" s="20"/>
      <c r="B194" s="20" t="s">
        <v>110</v>
      </c>
      <c r="C194" s="667" t="s">
        <v>573</v>
      </c>
      <c r="D194" s="68" t="s">
        <v>1061</v>
      </c>
      <c r="E194" s="679"/>
      <c r="F194" s="529">
        <f>VLOOKUP(D194,'Mar14 Revenue'!D:V,19,FALSE)</f>
        <v>0</v>
      </c>
      <c r="G194" s="680"/>
      <c r="H194" s="680"/>
      <c r="I194" s="755"/>
      <c r="J194" s="682">
        <f t="shared" si="42"/>
        <v>0</v>
      </c>
      <c r="K194" s="683"/>
      <c r="L194" s="684"/>
      <c r="M194" s="753">
        <f>80000+13662</f>
        <v>93662</v>
      </c>
      <c r="N194" s="683">
        <v>0</v>
      </c>
      <c r="O194" s="686"/>
      <c r="P194" s="683">
        <v>0</v>
      </c>
      <c r="Q194" s="687">
        <f t="shared" si="41"/>
        <v>93662</v>
      </c>
      <c r="R194" s="687"/>
      <c r="S194" s="687"/>
      <c r="T194" s="688">
        <f>76963.7+13662</f>
        <v>90625.7</v>
      </c>
      <c r="U194" s="693"/>
      <c r="V194" s="690">
        <f t="shared" si="40"/>
        <v>-3036.3000000000029</v>
      </c>
      <c r="W194" s="697"/>
      <c r="X194" s="474">
        <f t="shared" si="50"/>
        <v>93662</v>
      </c>
      <c r="Y194" s="474">
        <f t="shared" si="51"/>
        <v>0</v>
      </c>
      <c r="Z194" s="475">
        <f t="shared" si="52"/>
        <v>0</v>
      </c>
      <c r="AA194" s="475">
        <v>0</v>
      </c>
      <c r="AB194" s="476">
        <v>0</v>
      </c>
      <c r="AC194" s="38">
        <f t="shared" si="53"/>
        <v>0</v>
      </c>
      <c r="AD194" s="692">
        <f t="shared" si="43"/>
        <v>0</v>
      </c>
      <c r="AE194" s="692">
        <f t="shared" si="44"/>
        <v>0</v>
      </c>
      <c r="AF194" s="692">
        <f t="shared" si="45"/>
        <v>0</v>
      </c>
      <c r="AG194" s="38"/>
      <c r="AH194" s="692">
        <f t="shared" si="47"/>
        <v>93662</v>
      </c>
      <c r="AI194" s="692">
        <f t="shared" si="48"/>
        <v>0</v>
      </c>
      <c r="AJ194" s="692">
        <f t="shared" si="49"/>
        <v>0</v>
      </c>
      <c r="AL194" s="38">
        <f t="shared" si="46"/>
        <v>93662</v>
      </c>
      <c r="AM194" s="68" t="s">
        <v>511</v>
      </c>
    </row>
    <row r="195" spans="1:39">
      <c r="A195" s="21"/>
      <c r="B195" s="21" t="s">
        <v>110</v>
      </c>
      <c r="C195" s="666"/>
      <c r="D195" s="68" t="s">
        <v>50</v>
      </c>
      <c r="E195" s="679"/>
      <c r="F195" s="529">
        <f>VLOOKUP(D195,'Mar14 Revenue'!D:V,19,FALSE)</f>
        <v>0</v>
      </c>
      <c r="G195" s="680"/>
      <c r="H195" s="680"/>
      <c r="I195" s="755"/>
      <c r="J195" s="682">
        <f t="shared" si="42"/>
        <v>0</v>
      </c>
      <c r="K195" s="683"/>
      <c r="L195" s="684"/>
      <c r="M195" s="753"/>
      <c r="N195" s="683">
        <v>0</v>
      </c>
      <c r="O195" s="686"/>
      <c r="P195" s="683">
        <v>0</v>
      </c>
      <c r="Q195" s="687">
        <f t="shared" si="41"/>
        <v>0</v>
      </c>
      <c r="R195" s="687"/>
      <c r="S195" s="687"/>
      <c r="T195" s="688">
        <v>0</v>
      </c>
      <c r="U195" s="693"/>
      <c r="V195" s="690">
        <f t="shared" si="40"/>
        <v>0</v>
      </c>
      <c r="W195" s="683"/>
      <c r="X195" s="474">
        <f t="shared" si="50"/>
        <v>0</v>
      </c>
      <c r="Y195" s="474">
        <f t="shared" si="51"/>
        <v>0</v>
      </c>
      <c r="Z195" s="475">
        <f t="shared" si="52"/>
        <v>0</v>
      </c>
      <c r="AA195" s="475">
        <v>0</v>
      </c>
      <c r="AB195" s="476">
        <v>0</v>
      </c>
      <c r="AC195" s="38">
        <f t="shared" si="53"/>
        <v>0</v>
      </c>
      <c r="AD195" s="692">
        <f t="shared" si="43"/>
        <v>0</v>
      </c>
      <c r="AE195" s="692">
        <f t="shared" si="44"/>
        <v>0</v>
      </c>
      <c r="AF195" s="692">
        <f t="shared" si="45"/>
        <v>0</v>
      </c>
      <c r="AG195" s="38"/>
      <c r="AH195" s="692">
        <f t="shared" si="47"/>
        <v>0</v>
      </c>
      <c r="AI195" s="692">
        <f t="shared" si="48"/>
        <v>0</v>
      </c>
      <c r="AJ195" s="692">
        <f t="shared" si="49"/>
        <v>0</v>
      </c>
      <c r="AL195" s="38">
        <f t="shared" si="46"/>
        <v>0</v>
      </c>
      <c r="AM195" s="68" t="s">
        <v>50</v>
      </c>
    </row>
    <row r="196" spans="1:39" hidden="1">
      <c r="A196" s="21"/>
      <c r="B196" s="21" t="s">
        <v>109</v>
      </c>
      <c r="C196" s="666"/>
      <c r="D196" s="68" t="s">
        <v>51</v>
      </c>
      <c r="E196" s="679"/>
      <c r="F196" s="529">
        <f>VLOOKUP(D196,'Mar14 Revenue'!D:V,19,FALSE)</f>
        <v>0</v>
      </c>
      <c r="G196" s="680"/>
      <c r="H196" s="680"/>
      <c r="I196" s="755"/>
      <c r="J196" s="682">
        <f t="shared" si="42"/>
        <v>0</v>
      </c>
      <c r="K196" s="683"/>
      <c r="L196" s="684"/>
      <c r="M196" s="753"/>
      <c r="N196" s="683">
        <v>0</v>
      </c>
      <c r="O196" s="686"/>
      <c r="P196" s="683">
        <v>0</v>
      </c>
      <c r="Q196" s="687">
        <f t="shared" si="41"/>
        <v>0</v>
      </c>
      <c r="R196" s="687"/>
      <c r="S196" s="687"/>
      <c r="T196" s="688">
        <v>0</v>
      </c>
      <c r="U196" s="693"/>
      <c r="V196" s="690">
        <f t="shared" si="40"/>
        <v>0</v>
      </c>
      <c r="W196" s="683"/>
      <c r="X196" s="474">
        <f t="shared" si="50"/>
        <v>0</v>
      </c>
      <c r="Y196" s="474">
        <f t="shared" si="51"/>
        <v>0</v>
      </c>
      <c r="Z196" s="475">
        <f t="shared" si="52"/>
        <v>0</v>
      </c>
      <c r="AA196" s="475">
        <v>0</v>
      </c>
      <c r="AB196" s="476">
        <v>0</v>
      </c>
      <c r="AC196" s="38">
        <f t="shared" si="53"/>
        <v>0</v>
      </c>
      <c r="AD196" s="692">
        <f t="shared" si="43"/>
        <v>0</v>
      </c>
      <c r="AE196" s="692">
        <f t="shared" si="44"/>
        <v>0</v>
      </c>
      <c r="AF196" s="692">
        <f t="shared" si="45"/>
        <v>0</v>
      </c>
      <c r="AG196" s="38"/>
      <c r="AH196" s="692">
        <f t="shared" si="47"/>
        <v>0</v>
      </c>
      <c r="AI196" s="692">
        <f t="shared" si="48"/>
        <v>0</v>
      </c>
      <c r="AJ196" s="692">
        <f t="shared" si="49"/>
        <v>0</v>
      </c>
      <c r="AL196" s="38">
        <f t="shared" si="46"/>
        <v>0</v>
      </c>
      <c r="AM196" s="68" t="s">
        <v>51</v>
      </c>
    </row>
    <row r="197" spans="1:39">
      <c r="A197" s="21"/>
      <c r="B197" s="21" t="s">
        <v>109</v>
      </c>
      <c r="C197" s="666"/>
      <c r="D197" s="68" t="s">
        <v>107</v>
      </c>
      <c r="E197" s="679"/>
      <c r="F197" s="529">
        <f>VLOOKUP(D197,'Mar14 Revenue'!D:V,19,FALSE)</f>
        <v>0</v>
      </c>
      <c r="G197" s="680"/>
      <c r="H197" s="680"/>
      <c r="I197" s="755"/>
      <c r="J197" s="682">
        <f t="shared" si="42"/>
        <v>0</v>
      </c>
      <c r="K197" s="683"/>
      <c r="L197" s="684"/>
      <c r="M197" s="753"/>
      <c r="N197" s="683">
        <v>0</v>
      </c>
      <c r="O197" s="686"/>
      <c r="P197" s="683">
        <v>0</v>
      </c>
      <c r="Q197" s="687">
        <f t="shared" si="41"/>
        <v>0</v>
      </c>
      <c r="R197" s="687"/>
      <c r="S197" s="687"/>
      <c r="T197" s="688">
        <v>0</v>
      </c>
      <c r="U197" s="693"/>
      <c r="V197" s="690">
        <f t="shared" si="40"/>
        <v>0</v>
      </c>
      <c r="W197" s="683"/>
      <c r="X197" s="474">
        <f t="shared" si="50"/>
        <v>0</v>
      </c>
      <c r="Y197" s="474">
        <f t="shared" si="51"/>
        <v>0</v>
      </c>
      <c r="Z197" s="475">
        <f t="shared" si="52"/>
        <v>0</v>
      </c>
      <c r="AA197" s="475">
        <v>0</v>
      </c>
      <c r="AB197" s="476">
        <v>0</v>
      </c>
      <c r="AC197" s="38">
        <f t="shared" si="53"/>
        <v>0</v>
      </c>
      <c r="AD197" s="692">
        <f t="shared" si="43"/>
        <v>0</v>
      </c>
      <c r="AE197" s="692">
        <f t="shared" si="44"/>
        <v>0</v>
      </c>
      <c r="AF197" s="692">
        <f t="shared" si="45"/>
        <v>0</v>
      </c>
      <c r="AG197" s="38"/>
      <c r="AH197" s="692">
        <f t="shared" si="47"/>
        <v>0</v>
      </c>
      <c r="AI197" s="692">
        <f t="shared" si="48"/>
        <v>0</v>
      </c>
      <c r="AJ197" s="692">
        <f t="shared" si="49"/>
        <v>0</v>
      </c>
      <c r="AL197" s="38">
        <f t="shared" si="46"/>
        <v>0</v>
      </c>
      <c r="AM197" s="68" t="s">
        <v>107</v>
      </c>
    </row>
    <row r="198" spans="1:39" hidden="1">
      <c r="A198" s="21"/>
      <c r="B198" s="21" t="s">
        <v>109</v>
      </c>
      <c r="C198" s="666"/>
      <c r="D198" s="68" t="s">
        <v>467</v>
      </c>
      <c r="E198" s="679"/>
      <c r="F198" s="529">
        <f>VLOOKUP(D198,'Mar14 Revenue'!D:V,19,FALSE)</f>
        <v>0</v>
      </c>
      <c r="G198" s="680"/>
      <c r="H198" s="680"/>
      <c r="I198" s="755"/>
      <c r="J198" s="682">
        <f t="shared" si="42"/>
        <v>0</v>
      </c>
      <c r="K198" s="683"/>
      <c r="L198" s="684"/>
      <c r="M198" s="753"/>
      <c r="N198" s="683">
        <v>0</v>
      </c>
      <c r="O198" s="686"/>
      <c r="P198" s="683">
        <v>0</v>
      </c>
      <c r="Q198" s="687">
        <f t="shared" si="41"/>
        <v>0</v>
      </c>
      <c r="R198" s="687"/>
      <c r="S198" s="687"/>
      <c r="T198" s="688">
        <v>0</v>
      </c>
      <c r="U198" s="693"/>
      <c r="V198" s="690">
        <f t="shared" si="40"/>
        <v>0</v>
      </c>
      <c r="W198" s="683"/>
      <c r="X198" s="474">
        <f t="shared" si="50"/>
        <v>0</v>
      </c>
      <c r="Y198" s="474">
        <f t="shared" si="51"/>
        <v>0</v>
      </c>
      <c r="Z198" s="475">
        <f t="shared" si="52"/>
        <v>0</v>
      </c>
      <c r="AA198" s="475">
        <v>0</v>
      </c>
      <c r="AB198" s="476">
        <v>0</v>
      </c>
      <c r="AC198" s="38">
        <f t="shared" si="53"/>
        <v>0</v>
      </c>
      <c r="AD198" s="692">
        <f t="shared" si="43"/>
        <v>0</v>
      </c>
      <c r="AE198" s="692">
        <f t="shared" si="44"/>
        <v>0</v>
      </c>
      <c r="AF198" s="692">
        <f t="shared" si="45"/>
        <v>0</v>
      </c>
      <c r="AG198" s="38"/>
      <c r="AH198" s="692">
        <f t="shared" si="47"/>
        <v>0</v>
      </c>
      <c r="AI198" s="692">
        <f t="shared" si="48"/>
        <v>0</v>
      </c>
      <c r="AJ198" s="692">
        <f t="shared" si="49"/>
        <v>0</v>
      </c>
      <c r="AL198" s="38">
        <f t="shared" si="46"/>
        <v>0</v>
      </c>
      <c r="AM198" s="68" t="s">
        <v>467</v>
      </c>
    </row>
    <row r="199" spans="1:39">
      <c r="A199" s="21"/>
      <c r="B199" s="21" t="s">
        <v>110</v>
      </c>
      <c r="C199" s="666"/>
      <c r="D199" s="68" t="s">
        <v>1012</v>
      </c>
      <c r="E199" s="679">
        <v>1694.8</v>
      </c>
      <c r="F199" s="529">
        <f>VLOOKUP(D199,'Mar14 Revenue'!D:V,19,FALSE)</f>
        <v>1948.63</v>
      </c>
      <c r="G199" s="680"/>
      <c r="H199" s="680"/>
      <c r="I199" s="770">
        <v>1522.36</v>
      </c>
      <c r="J199" s="682">
        <f t="shared" si="42"/>
        <v>5165.79</v>
      </c>
      <c r="K199" s="683"/>
      <c r="L199" s="684"/>
      <c r="M199" s="753"/>
      <c r="N199" s="683">
        <v>0</v>
      </c>
      <c r="O199" s="686"/>
      <c r="P199" s="683">
        <v>0</v>
      </c>
      <c r="Q199" s="687">
        <f t="shared" si="41"/>
        <v>0</v>
      </c>
      <c r="R199" s="687"/>
      <c r="S199" s="687"/>
      <c r="T199" s="688">
        <v>0</v>
      </c>
      <c r="U199" s="693"/>
      <c r="V199" s="690">
        <f t="shared" si="40"/>
        <v>0</v>
      </c>
      <c r="W199" s="683"/>
      <c r="X199" s="474">
        <f t="shared" si="50"/>
        <v>0</v>
      </c>
      <c r="Y199" s="474">
        <f t="shared" si="51"/>
        <v>0</v>
      </c>
      <c r="Z199" s="475">
        <f t="shared" si="52"/>
        <v>0</v>
      </c>
      <c r="AA199" s="475">
        <v>0</v>
      </c>
      <c r="AB199" s="476">
        <v>0</v>
      </c>
      <c r="AC199" s="38">
        <f t="shared" si="53"/>
        <v>0</v>
      </c>
      <c r="AD199" s="692">
        <f t="shared" si="43"/>
        <v>5165.79</v>
      </c>
      <c r="AE199" s="692">
        <f t="shared" si="44"/>
        <v>0</v>
      </c>
      <c r="AF199" s="692">
        <f t="shared" si="45"/>
        <v>0</v>
      </c>
      <c r="AG199" s="38"/>
      <c r="AH199" s="692">
        <f t="shared" si="47"/>
        <v>0</v>
      </c>
      <c r="AI199" s="692">
        <f t="shared" si="48"/>
        <v>0</v>
      </c>
      <c r="AJ199" s="692">
        <f t="shared" si="49"/>
        <v>0</v>
      </c>
      <c r="AL199" s="38">
        <f t="shared" si="46"/>
        <v>5165.79</v>
      </c>
      <c r="AM199" s="68" t="s">
        <v>1012</v>
      </c>
    </row>
    <row r="200" spans="1:39">
      <c r="A200" s="21"/>
      <c r="B200" s="21" t="s">
        <v>109</v>
      </c>
      <c r="C200" s="666"/>
      <c r="D200" s="68" t="s">
        <v>1085</v>
      </c>
      <c r="E200" s="679"/>
      <c r="F200" s="529">
        <f>VLOOKUP(D200,'Mar14 Revenue'!D:V,19,FALSE)</f>
        <v>-40000</v>
      </c>
      <c r="G200" s="680"/>
      <c r="H200" s="680"/>
      <c r="I200" s="755"/>
      <c r="J200" s="682">
        <f t="shared" si="42"/>
        <v>-40000</v>
      </c>
      <c r="K200" s="683"/>
      <c r="L200" s="684"/>
      <c r="M200" s="753">
        <v>50000</v>
      </c>
      <c r="N200" s="683">
        <v>0</v>
      </c>
      <c r="O200" s="686"/>
      <c r="P200" s="683">
        <v>0</v>
      </c>
      <c r="Q200" s="687">
        <f t="shared" si="41"/>
        <v>50000</v>
      </c>
      <c r="R200" s="687"/>
      <c r="S200" s="687"/>
      <c r="T200" s="688">
        <v>0</v>
      </c>
      <c r="U200" s="693"/>
      <c r="V200" s="690">
        <f t="shared" si="40"/>
        <v>-50000</v>
      </c>
      <c r="W200" s="683"/>
      <c r="X200" s="474">
        <f t="shared" si="50"/>
        <v>0</v>
      </c>
      <c r="Y200" s="474">
        <f t="shared" si="51"/>
        <v>50000</v>
      </c>
      <c r="Z200" s="475">
        <f t="shared" si="52"/>
        <v>0</v>
      </c>
      <c r="AA200" s="475">
        <v>0</v>
      </c>
      <c r="AB200" s="476">
        <v>0</v>
      </c>
      <c r="AC200" s="38">
        <f t="shared" si="53"/>
        <v>0</v>
      </c>
      <c r="AD200" s="692">
        <f t="shared" si="43"/>
        <v>0</v>
      </c>
      <c r="AE200" s="692">
        <f t="shared" si="44"/>
        <v>-40000</v>
      </c>
      <c r="AF200" s="692">
        <f t="shared" si="45"/>
        <v>0</v>
      </c>
      <c r="AG200" s="38"/>
      <c r="AH200" s="692">
        <f t="shared" si="47"/>
        <v>0</v>
      </c>
      <c r="AI200" s="692">
        <f t="shared" si="48"/>
        <v>50000</v>
      </c>
      <c r="AJ200" s="692">
        <f t="shared" si="49"/>
        <v>0</v>
      </c>
      <c r="AL200" s="38">
        <f t="shared" si="46"/>
        <v>10000</v>
      </c>
      <c r="AM200" s="68" t="s">
        <v>54</v>
      </c>
    </row>
    <row r="201" spans="1:39">
      <c r="A201" s="21"/>
      <c r="B201" s="21" t="s">
        <v>109</v>
      </c>
      <c r="C201" s="666" t="s">
        <v>575</v>
      </c>
      <c r="D201" s="68" t="s">
        <v>54</v>
      </c>
      <c r="E201" s="679"/>
      <c r="F201" s="529">
        <f>VLOOKUP(D201,'Mar14 Revenue'!D:V,19,FALSE)</f>
        <v>0</v>
      </c>
      <c r="G201" s="680"/>
      <c r="H201" s="680"/>
      <c r="I201" s="755"/>
      <c r="J201" s="682">
        <f t="shared" si="42"/>
        <v>0</v>
      </c>
      <c r="K201" s="683"/>
      <c r="L201" s="684"/>
      <c r="M201" s="753"/>
      <c r="N201" s="683">
        <v>0</v>
      </c>
      <c r="O201" s="686"/>
      <c r="P201" s="683">
        <v>0</v>
      </c>
      <c r="Q201" s="687">
        <f t="shared" si="41"/>
        <v>0</v>
      </c>
      <c r="R201" s="687"/>
      <c r="S201" s="687"/>
      <c r="T201" s="688">
        <v>0</v>
      </c>
      <c r="U201" s="693"/>
      <c r="V201" s="690">
        <f t="shared" si="40"/>
        <v>0</v>
      </c>
      <c r="W201" s="683"/>
      <c r="X201" s="474">
        <f t="shared" si="50"/>
        <v>0</v>
      </c>
      <c r="Y201" s="474">
        <f t="shared" si="51"/>
        <v>0</v>
      </c>
      <c r="Z201" s="475">
        <f t="shared" si="52"/>
        <v>0</v>
      </c>
      <c r="AA201" s="475">
        <v>0</v>
      </c>
      <c r="AB201" s="476">
        <v>0</v>
      </c>
      <c r="AC201" s="38">
        <f t="shared" si="53"/>
        <v>0</v>
      </c>
      <c r="AD201" s="692">
        <f t="shared" si="43"/>
        <v>0</v>
      </c>
      <c r="AE201" s="692">
        <f t="shared" si="44"/>
        <v>0</v>
      </c>
      <c r="AF201" s="692">
        <f t="shared" si="45"/>
        <v>0</v>
      </c>
      <c r="AG201" s="38"/>
      <c r="AH201" s="692">
        <f t="shared" si="47"/>
        <v>0</v>
      </c>
      <c r="AI201" s="692">
        <f t="shared" si="48"/>
        <v>0</v>
      </c>
      <c r="AJ201" s="692">
        <f t="shared" si="49"/>
        <v>0</v>
      </c>
      <c r="AL201" s="38">
        <f t="shared" si="46"/>
        <v>0</v>
      </c>
      <c r="AM201" s="68" t="s">
        <v>54</v>
      </c>
    </row>
    <row r="202" spans="1:39">
      <c r="A202" s="20"/>
      <c r="B202" s="20" t="s">
        <v>109</v>
      </c>
      <c r="C202" s="667"/>
      <c r="D202" s="68" t="s">
        <v>1084</v>
      </c>
      <c r="E202" s="679"/>
      <c r="F202" s="529">
        <f>VLOOKUP(D202,'Mar14 Revenue'!D:V,19,FALSE)</f>
        <v>-30000</v>
      </c>
      <c r="G202" s="680"/>
      <c r="H202" s="680"/>
      <c r="I202" s="755"/>
      <c r="J202" s="682">
        <f t="shared" si="42"/>
        <v>-30000</v>
      </c>
      <c r="K202" s="683"/>
      <c r="L202" s="684"/>
      <c r="M202" s="753">
        <v>35000</v>
      </c>
      <c r="N202" s="683">
        <v>0</v>
      </c>
      <c r="O202" s="686"/>
      <c r="P202" s="683">
        <v>0</v>
      </c>
      <c r="Q202" s="687">
        <f t="shared" si="41"/>
        <v>35000</v>
      </c>
      <c r="R202" s="687"/>
      <c r="S202" s="687"/>
      <c r="T202" s="688">
        <v>0</v>
      </c>
      <c r="U202" s="693"/>
      <c r="V202" s="690">
        <f t="shared" si="40"/>
        <v>-35000</v>
      </c>
      <c r="W202" s="683"/>
      <c r="X202" s="474">
        <f t="shared" si="50"/>
        <v>0</v>
      </c>
      <c r="Y202" s="474">
        <f t="shared" si="51"/>
        <v>35000</v>
      </c>
      <c r="Z202" s="475">
        <f t="shared" si="52"/>
        <v>0</v>
      </c>
      <c r="AA202" s="475">
        <v>0</v>
      </c>
      <c r="AB202" s="476">
        <v>0</v>
      </c>
      <c r="AC202" s="38">
        <f t="shared" si="53"/>
        <v>0</v>
      </c>
      <c r="AD202" s="692">
        <f t="shared" si="43"/>
        <v>0</v>
      </c>
      <c r="AE202" s="692">
        <f t="shared" si="44"/>
        <v>-30000</v>
      </c>
      <c r="AF202" s="692">
        <f t="shared" si="45"/>
        <v>0</v>
      </c>
      <c r="AG202" s="38"/>
      <c r="AH202" s="692">
        <f t="shared" si="47"/>
        <v>0</v>
      </c>
      <c r="AI202" s="692">
        <f t="shared" si="48"/>
        <v>35000</v>
      </c>
      <c r="AJ202" s="692">
        <f t="shared" si="49"/>
        <v>0</v>
      </c>
      <c r="AL202" s="38">
        <f t="shared" si="46"/>
        <v>5000</v>
      </c>
      <c r="AM202" s="68" t="s">
        <v>394</v>
      </c>
    </row>
    <row r="203" spans="1:39">
      <c r="A203" s="20"/>
      <c r="B203" s="20" t="s">
        <v>110</v>
      </c>
      <c r="C203" s="667"/>
      <c r="D203" s="68" t="s">
        <v>55</v>
      </c>
      <c r="E203" s="679"/>
      <c r="F203" s="529">
        <f>VLOOKUP(D203,'Mar14 Revenue'!D:V,19,FALSE)</f>
        <v>0</v>
      </c>
      <c r="G203" s="680"/>
      <c r="H203" s="680"/>
      <c r="I203" s="755"/>
      <c r="J203" s="682">
        <f t="shared" si="42"/>
        <v>0</v>
      </c>
      <c r="K203" s="683"/>
      <c r="L203" s="684"/>
      <c r="M203" s="753"/>
      <c r="N203" s="683">
        <v>0</v>
      </c>
      <c r="O203" s="686"/>
      <c r="P203" s="683">
        <v>0</v>
      </c>
      <c r="Q203" s="687">
        <f t="shared" si="41"/>
        <v>0</v>
      </c>
      <c r="R203" s="687"/>
      <c r="S203" s="687"/>
      <c r="T203" s="688">
        <v>0</v>
      </c>
      <c r="U203" s="693"/>
      <c r="V203" s="690">
        <f t="shared" si="40"/>
        <v>0</v>
      </c>
      <c r="W203" s="683"/>
      <c r="X203" s="474">
        <f t="shared" si="50"/>
        <v>0</v>
      </c>
      <c r="Y203" s="474">
        <f t="shared" si="51"/>
        <v>0</v>
      </c>
      <c r="Z203" s="475">
        <f t="shared" si="52"/>
        <v>0</v>
      </c>
      <c r="AA203" s="475">
        <v>0</v>
      </c>
      <c r="AB203" s="476">
        <v>0</v>
      </c>
      <c r="AC203" s="38">
        <f t="shared" si="53"/>
        <v>0</v>
      </c>
      <c r="AD203" s="692">
        <f t="shared" si="43"/>
        <v>0</v>
      </c>
      <c r="AE203" s="692">
        <f t="shared" si="44"/>
        <v>0</v>
      </c>
      <c r="AF203" s="692">
        <f t="shared" si="45"/>
        <v>0</v>
      </c>
      <c r="AG203" s="38"/>
      <c r="AH203" s="692">
        <f t="shared" si="47"/>
        <v>0</v>
      </c>
      <c r="AI203" s="692">
        <f t="shared" si="48"/>
        <v>0</v>
      </c>
      <c r="AJ203" s="692">
        <f t="shared" si="49"/>
        <v>0</v>
      </c>
      <c r="AL203" s="38">
        <f t="shared" si="46"/>
        <v>0</v>
      </c>
      <c r="AM203" s="68" t="s">
        <v>55</v>
      </c>
    </row>
    <row r="204" spans="1:39">
      <c r="A204" s="21"/>
      <c r="B204" s="21" t="s">
        <v>110</v>
      </c>
      <c r="C204" s="666"/>
      <c r="D204" s="68" t="s">
        <v>1052</v>
      </c>
      <c r="E204" s="679"/>
      <c r="F204" s="529">
        <f>VLOOKUP(D204,'Mar14 Revenue'!D:V,19,FALSE)</f>
        <v>-70000</v>
      </c>
      <c r="G204" s="680"/>
      <c r="H204" s="680"/>
      <c r="I204" s="755"/>
      <c r="J204" s="682">
        <f t="shared" si="42"/>
        <v>-70000</v>
      </c>
      <c r="K204" s="683"/>
      <c r="L204" s="684"/>
      <c r="M204" s="753">
        <v>95000</v>
      </c>
      <c r="N204" s="683">
        <v>0</v>
      </c>
      <c r="O204" s="686"/>
      <c r="P204" s="683">
        <v>0</v>
      </c>
      <c r="Q204" s="687">
        <f t="shared" si="41"/>
        <v>95000</v>
      </c>
      <c r="R204" s="687"/>
      <c r="S204" s="687"/>
      <c r="T204" s="688">
        <v>0</v>
      </c>
      <c r="U204" s="693"/>
      <c r="V204" s="690">
        <f t="shared" si="40"/>
        <v>-95000</v>
      </c>
      <c r="W204" s="683"/>
      <c r="X204" s="474">
        <f t="shared" si="50"/>
        <v>95000</v>
      </c>
      <c r="Y204" s="474">
        <f t="shared" si="51"/>
        <v>0</v>
      </c>
      <c r="Z204" s="475">
        <f t="shared" si="52"/>
        <v>0</v>
      </c>
      <c r="AA204" s="475">
        <v>0</v>
      </c>
      <c r="AB204" s="476">
        <v>0</v>
      </c>
      <c r="AC204" s="38">
        <f t="shared" si="53"/>
        <v>0</v>
      </c>
      <c r="AD204" s="692">
        <f t="shared" si="43"/>
        <v>-70000</v>
      </c>
      <c r="AE204" s="692">
        <f t="shared" si="44"/>
        <v>0</v>
      </c>
      <c r="AF204" s="692">
        <f t="shared" si="45"/>
        <v>0</v>
      </c>
      <c r="AG204" s="38"/>
      <c r="AH204" s="692">
        <f t="shared" si="47"/>
        <v>95000</v>
      </c>
      <c r="AI204" s="692">
        <f t="shared" si="48"/>
        <v>0</v>
      </c>
      <c r="AJ204" s="692">
        <f t="shared" si="49"/>
        <v>0</v>
      </c>
      <c r="AL204" s="38">
        <f t="shared" si="46"/>
        <v>25000</v>
      </c>
      <c r="AM204" s="68" t="s">
        <v>985</v>
      </c>
    </row>
    <row r="205" spans="1:39">
      <c r="A205" s="20"/>
      <c r="B205" s="20" t="s">
        <v>110</v>
      </c>
      <c r="C205" s="676" t="s">
        <v>854</v>
      </c>
      <c r="D205" s="68" t="s">
        <v>855</v>
      </c>
      <c r="E205" s="679"/>
      <c r="F205" s="529">
        <f>VLOOKUP(D205,'Mar14 Revenue'!D:V,19,FALSE)</f>
        <v>0</v>
      </c>
      <c r="G205" s="680"/>
      <c r="H205" s="680"/>
      <c r="I205" s="755"/>
      <c r="J205" s="682">
        <f t="shared" si="42"/>
        <v>0</v>
      </c>
      <c r="K205" s="683"/>
      <c r="L205" s="684"/>
      <c r="M205" s="753"/>
      <c r="N205" s="683">
        <v>0</v>
      </c>
      <c r="O205" s="686"/>
      <c r="P205" s="683">
        <v>0</v>
      </c>
      <c r="Q205" s="687">
        <f t="shared" si="41"/>
        <v>0</v>
      </c>
      <c r="R205" s="687"/>
      <c r="S205" s="687"/>
      <c r="T205" s="688">
        <v>0</v>
      </c>
      <c r="U205" s="693"/>
      <c r="V205" s="690">
        <f t="shared" si="40"/>
        <v>0</v>
      </c>
      <c r="W205" s="683"/>
      <c r="X205" s="474">
        <f t="shared" si="50"/>
        <v>0</v>
      </c>
      <c r="Y205" s="474">
        <f t="shared" si="51"/>
        <v>0</v>
      </c>
      <c r="Z205" s="475">
        <f t="shared" si="52"/>
        <v>0</v>
      </c>
      <c r="AA205" s="475">
        <v>0</v>
      </c>
      <c r="AB205" s="476">
        <v>0</v>
      </c>
      <c r="AC205" s="38">
        <f t="shared" si="53"/>
        <v>0</v>
      </c>
      <c r="AD205" s="692">
        <f t="shared" si="43"/>
        <v>0</v>
      </c>
      <c r="AE205" s="692">
        <f t="shared" si="44"/>
        <v>0</v>
      </c>
      <c r="AF205" s="692">
        <f t="shared" si="45"/>
        <v>0</v>
      </c>
      <c r="AG205" s="38"/>
      <c r="AH205" s="692">
        <f t="shared" si="47"/>
        <v>0</v>
      </c>
      <c r="AI205" s="692">
        <f t="shared" si="48"/>
        <v>0</v>
      </c>
      <c r="AJ205" s="692">
        <f t="shared" si="49"/>
        <v>0</v>
      </c>
      <c r="AL205" s="38">
        <f t="shared" si="46"/>
        <v>0</v>
      </c>
      <c r="AM205" s="68" t="s">
        <v>855</v>
      </c>
    </row>
    <row r="206" spans="1:39">
      <c r="A206" s="21"/>
      <c r="B206" s="21" t="s">
        <v>110</v>
      </c>
      <c r="C206" s="666"/>
      <c r="D206" s="806" t="s">
        <v>1051</v>
      </c>
      <c r="E206" s="679"/>
      <c r="F206" s="529">
        <f>VLOOKUP(D206,'Mar14 Revenue'!D:V,19,FALSE)</f>
        <v>0</v>
      </c>
      <c r="G206" s="680"/>
      <c r="H206" s="680"/>
      <c r="I206" s="755"/>
      <c r="J206" s="682">
        <f t="shared" si="42"/>
        <v>0</v>
      </c>
      <c r="K206" s="683"/>
      <c r="L206" s="684"/>
      <c r="M206" s="753"/>
      <c r="N206" s="683">
        <v>0</v>
      </c>
      <c r="O206" s="686"/>
      <c r="P206" s="683">
        <v>0</v>
      </c>
      <c r="Q206" s="687">
        <f t="shared" si="41"/>
        <v>0</v>
      </c>
      <c r="R206" s="687"/>
      <c r="S206" s="687"/>
      <c r="T206" s="688">
        <v>0</v>
      </c>
      <c r="U206" s="693"/>
      <c r="V206" s="690">
        <f t="shared" si="40"/>
        <v>0</v>
      </c>
      <c r="W206" s="683"/>
      <c r="X206" s="474">
        <f t="shared" si="50"/>
        <v>0</v>
      </c>
      <c r="Y206" s="474">
        <f t="shared" si="51"/>
        <v>0</v>
      </c>
      <c r="Z206" s="475">
        <f t="shared" si="52"/>
        <v>0</v>
      </c>
      <c r="AA206" s="475">
        <v>0</v>
      </c>
      <c r="AB206" s="476">
        <v>0</v>
      </c>
      <c r="AC206" s="38">
        <f t="shared" si="53"/>
        <v>0</v>
      </c>
      <c r="AD206" s="692">
        <f t="shared" si="43"/>
        <v>0</v>
      </c>
      <c r="AE206" s="692">
        <f t="shared" si="44"/>
        <v>0</v>
      </c>
      <c r="AF206" s="692">
        <f t="shared" si="45"/>
        <v>0</v>
      </c>
      <c r="AG206" s="38"/>
      <c r="AH206" s="692">
        <f t="shared" si="47"/>
        <v>0</v>
      </c>
      <c r="AI206" s="692">
        <f t="shared" si="48"/>
        <v>0</v>
      </c>
      <c r="AJ206" s="692">
        <f t="shared" si="49"/>
        <v>0</v>
      </c>
      <c r="AL206" s="38">
        <f t="shared" si="46"/>
        <v>0</v>
      </c>
      <c r="AM206" s="806" t="s">
        <v>388</v>
      </c>
    </row>
    <row r="207" spans="1:39">
      <c r="A207" s="20"/>
      <c r="B207" s="20" t="s">
        <v>109</v>
      </c>
      <c r="C207" s="667" t="s">
        <v>577</v>
      </c>
      <c r="D207" s="68" t="s">
        <v>159</v>
      </c>
      <c r="E207" s="679"/>
      <c r="F207" s="529">
        <f>VLOOKUP(D207,'Mar14 Revenue'!D:V,19,FALSE)</f>
        <v>0</v>
      </c>
      <c r="G207" s="680"/>
      <c r="H207" s="680"/>
      <c r="I207" s="770">
        <v>10478.09</v>
      </c>
      <c r="J207" s="682">
        <f t="shared" si="42"/>
        <v>10478.09</v>
      </c>
      <c r="K207" s="683"/>
      <c r="L207" s="684"/>
      <c r="M207" s="753"/>
      <c r="N207" s="683">
        <v>0</v>
      </c>
      <c r="O207" s="686"/>
      <c r="P207" s="683">
        <v>0</v>
      </c>
      <c r="Q207" s="687">
        <f t="shared" si="41"/>
        <v>0</v>
      </c>
      <c r="R207" s="687"/>
      <c r="S207" s="687"/>
      <c r="T207" s="688">
        <v>0</v>
      </c>
      <c r="U207" s="693"/>
      <c r="V207" s="690">
        <f t="shared" si="40"/>
        <v>0</v>
      </c>
      <c r="W207" s="683"/>
      <c r="X207" s="474">
        <f t="shared" si="50"/>
        <v>0</v>
      </c>
      <c r="Y207" s="474">
        <f t="shared" si="51"/>
        <v>0</v>
      </c>
      <c r="Z207" s="475">
        <f t="shared" si="52"/>
        <v>0</v>
      </c>
      <c r="AA207" s="475">
        <v>0</v>
      </c>
      <c r="AB207" s="476">
        <v>0</v>
      </c>
      <c r="AC207" s="38">
        <f t="shared" si="53"/>
        <v>0</v>
      </c>
      <c r="AD207" s="692">
        <f t="shared" si="43"/>
        <v>0</v>
      </c>
      <c r="AE207" s="692">
        <f t="shared" si="44"/>
        <v>10478.09</v>
      </c>
      <c r="AF207" s="692">
        <f t="shared" si="45"/>
        <v>0</v>
      </c>
      <c r="AG207" s="38"/>
      <c r="AH207" s="692">
        <f t="shared" si="47"/>
        <v>0</v>
      </c>
      <c r="AI207" s="692">
        <f t="shared" si="48"/>
        <v>0</v>
      </c>
      <c r="AJ207" s="692">
        <f t="shared" si="49"/>
        <v>0</v>
      </c>
      <c r="AL207" s="38">
        <f t="shared" si="46"/>
        <v>10478.09</v>
      </c>
      <c r="AM207" s="68" t="s">
        <v>159</v>
      </c>
    </row>
    <row r="208" spans="1:39">
      <c r="A208" s="20"/>
      <c r="B208" s="20" t="s">
        <v>109</v>
      </c>
      <c r="C208" s="667" t="s">
        <v>577</v>
      </c>
      <c r="D208" s="68" t="s">
        <v>160</v>
      </c>
      <c r="E208" s="679"/>
      <c r="F208" s="529">
        <f>VLOOKUP(D208,'Mar14 Revenue'!D:V,19,FALSE)</f>
        <v>0</v>
      </c>
      <c r="G208" s="680"/>
      <c r="H208" s="680"/>
      <c r="I208" s="770">
        <v>7519.13</v>
      </c>
      <c r="J208" s="682">
        <f t="shared" si="42"/>
        <v>7519.13</v>
      </c>
      <c r="K208" s="683"/>
      <c r="L208" s="684"/>
      <c r="M208" s="753"/>
      <c r="N208" s="683">
        <v>0</v>
      </c>
      <c r="O208" s="686"/>
      <c r="P208" s="683">
        <v>0</v>
      </c>
      <c r="Q208" s="687">
        <f t="shared" si="41"/>
        <v>0</v>
      </c>
      <c r="R208" s="687"/>
      <c r="S208" s="687"/>
      <c r="T208" s="688">
        <v>0</v>
      </c>
      <c r="U208" s="693"/>
      <c r="V208" s="690">
        <f t="shared" ref="V208:V237" si="67">IF(T208="","",T208-Q208)</f>
        <v>0</v>
      </c>
      <c r="W208" s="683"/>
      <c r="X208" s="474">
        <f t="shared" si="50"/>
        <v>0</v>
      </c>
      <c r="Y208" s="474">
        <f t="shared" si="51"/>
        <v>0</v>
      </c>
      <c r="Z208" s="475">
        <f t="shared" si="52"/>
        <v>0</v>
      </c>
      <c r="AA208" s="475">
        <v>0</v>
      </c>
      <c r="AB208" s="476">
        <v>0</v>
      </c>
      <c r="AC208" s="38">
        <f t="shared" si="53"/>
        <v>0</v>
      </c>
      <c r="AD208" s="692">
        <f t="shared" si="43"/>
        <v>0</v>
      </c>
      <c r="AE208" s="692">
        <f t="shared" si="44"/>
        <v>7519.13</v>
      </c>
      <c r="AF208" s="692">
        <f t="shared" si="45"/>
        <v>0</v>
      </c>
      <c r="AG208" s="38"/>
      <c r="AH208" s="692">
        <f t="shared" si="47"/>
        <v>0</v>
      </c>
      <c r="AI208" s="692">
        <f t="shared" si="48"/>
        <v>0</v>
      </c>
      <c r="AJ208" s="692">
        <f t="shared" si="49"/>
        <v>0</v>
      </c>
      <c r="AL208" s="38">
        <f t="shared" si="46"/>
        <v>7519.13</v>
      </c>
      <c r="AM208" s="68" t="s">
        <v>160</v>
      </c>
    </row>
    <row r="209" spans="1:39" hidden="1">
      <c r="A209" s="21"/>
      <c r="B209" s="21" t="s">
        <v>109</v>
      </c>
      <c r="C209" s="667" t="s">
        <v>577</v>
      </c>
      <c r="D209" s="68" t="s">
        <v>161</v>
      </c>
      <c r="E209" s="679"/>
      <c r="F209" s="529">
        <f>VLOOKUP(D209,'Mar14 Revenue'!D:V,19,FALSE)</f>
        <v>0</v>
      </c>
      <c r="G209" s="680"/>
      <c r="H209" s="680"/>
      <c r="I209" s="755"/>
      <c r="J209" s="682">
        <f t="shared" si="42"/>
        <v>0</v>
      </c>
      <c r="K209" s="683"/>
      <c r="L209" s="684"/>
      <c r="M209" s="753"/>
      <c r="N209" s="683">
        <v>0</v>
      </c>
      <c r="O209" s="686"/>
      <c r="P209" s="683">
        <v>0</v>
      </c>
      <c r="Q209" s="687">
        <f t="shared" si="41"/>
        <v>0</v>
      </c>
      <c r="R209" s="687"/>
      <c r="S209" s="687"/>
      <c r="T209" s="688">
        <v>0</v>
      </c>
      <c r="U209" s="693"/>
      <c r="V209" s="690">
        <f t="shared" si="67"/>
        <v>0</v>
      </c>
      <c r="W209" s="683"/>
      <c r="X209" s="474">
        <f t="shared" si="50"/>
        <v>0</v>
      </c>
      <c r="Y209" s="474">
        <f t="shared" si="51"/>
        <v>0</v>
      </c>
      <c r="Z209" s="475">
        <f t="shared" si="52"/>
        <v>0</v>
      </c>
      <c r="AA209" s="475">
        <v>0</v>
      </c>
      <c r="AB209" s="476">
        <v>0</v>
      </c>
      <c r="AC209" s="38">
        <f t="shared" si="53"/>
        <v>0</v>
      </c>
      <c r="AD209" s="692">
        <f t="shared" si="43"/>
        <v>0</v>
      </c>
      <c r="AE209" s="692">
        <f t="shared" si="44"/>
        <v>0</v>
      </c>
      <c r="AF209" s="692">
        <f t="shared" si="45"/>
        <v>0</v>
      </c>
      <c r="AG209" s="38"/>
      <c r="AH209" s="692">
        <f t="shared" si="47"/>
        <v>0</v>
      </c>
      <c r="AI209" s="692">
        <f t="shared" si="48"/>
        <v>0</v>
      </c>
      <c r="AJ209" s="692">
        <f t="shared" si="49"/>
        <v>0</v>
      </c>
      <c r="AL209" s="38">
        <f t="shared" si="46"/>
        <v>0</v>
      </c>
      <c r="AM209" s="68" t="s">
        <v>161</v>
      </c>
    </row>
    <row r="210" spans="1:39" hidden="1">
      <c r="A210" s="21"/>
      <c r="B210" s="21" t="s">
        <v>109</v>
      </c>
      <c r="C210" s="667" t="s">
        <v>577</v>
      </c>
      <c r="D210" s="68" t="s">
        <v>162</v>
      </c>
      <c r="E210" s="679"/>
      <c r="F210" s="529">
        <f>VLOOKUP(D210,'Mar14 Revenue'!D:V,19,FALSE)</f>
        <v>0</v>
      </c>
      <c r="G210" s="680"/>
      <c r="H210" s="680"/>
      <c r="I210" s="755"/>
      <c r="J210" s="682">
        <f t="shared" si="42"/>
        <v>0</v>
      </c>
      <c r="K210" s="683"/>
      <c r="L210" s="684"/>
      <c r="M210" s="753"/>
      <c r="N210" s="683">
        <v>0</v>
      </c>
      <c r="O210" s="686"/>
      <c r="P210" s="683">
        <v>0</v>
      </c>
      <c r="Q210" s="687">
        <f t="shared" si="41"/>
        <v>0</v>
      </c>
      <c r="R210" s="687"/>
      <c r="S210" s="687"/>
      <c r="T210" s="688">
        <v>0</v>
      </c>
      <c r="U210" s="693"/>
      <c r="V210" s="690">
        <f t="shared" si="67"/>
        <v>0</v>
      </c>
      <c r="W210" s="683"/>
      <c r="X210" s="474">
        <f t="shared" si="50"/>
        <v>0</v>
      </c>
      <c r="Y210" s="474">
        <f t="shared" si="51"/>
        <v>0</v>
      </c>
      <c r="Z210" s="475">
        <f t="shared" si="52"/>
        <v>0</v>
      </c>
      <c r="AA210" s="475">
        <v>0</v>
      </c>
      <c r="AB210" s="476">
        <v>0</v>
      </c>
      <c r="AC210" s="38">
        <f t="shared" si="53"/>
        <v>0</v>
      </c>
      <c r="AD210" s="692">
        <f t="shared" si="43"/>
        <v>0</v>
      </c>
      <c r="AE210" s="692">
        <f t="shared" si="44"/>
        <v>0</v>
      </c>
      <c r="AF210" s="692">
        <f t="shared" si="45"/>
        <v>0</v>
      </c>
      <c r="AG210" s="38"/>
      <c r="AH210" s="692">
        <f t="shared" si="47"/>
        <v>0</v>
      </c>
      <c r="AI210" s="692">
        <f t="shared" si="48"/>
        <v>0</v>
      </c>
      <c r="AJ210" s="692">
        <f t="shared" si="49"/>
        <v>0</v>
      </c>
      <c r="AL210" s="38">
        <f t="shared" si="46"/>
        <v>0</v>
      </c>
      <c r="AM210" s="68" t="s">
        <v>162</v>
      </c>
    </row>
    <row r="211" spans="1:39">
      <c r="A211" s="21"/>
      <c r="B211" s="21" t="s">
        <v>109</v>
      </c>
      <c r="C211" s="666"/>
      <c r="D211" s="68" t="s">
        <v>163</v>
      </c>
      <c r="E211" s="679"/>
      <c r="F211" s="529">
        <f>VLOOKUP(D211,'Mar14 Revenue'!D:V,19,FALSE)</f>
        <v>0</v>
      </c>
      <c r="G211" s="680"/>
      <c r="H211" s="680"/>
      <c r="I211" s="755"/>
      <c r="J211" s="682">
        <f t="shared" si="42"/>
        <v>0</v>
      </c>
      <c r="K211" s="683"/>
      <c r="L211" s="684"/>
      <c r="M211" s="753"/>
      <c r="N211" s="683">
        <v>0</v>
      </c>
      <c r="O211" s="686"/>
      <c r="P211" s="683">
        <v>0</v>
      </c>
      <c r="Q211" s="687">
        <f t="shared" si="41"/>
        <v>0</v>
      </c>
      <c r="R211" s="687"/>
      <c r="S211" s="687"/>
      <c r="T211" s="688">
        <v>0</v>
      </c>
      <c r="U211" s="704"/>
      <c r="V211" s="690">
        <f t="shared" si="67"/>
        <v>0</v>
      </c>
      <c r="W211" s="705"/>
      <c r="X211" s="474">
        <f t="shared" si="50"/>
        <v>0</v>
      </c>
      <c r="Y211" s="474">
        <f t="shared" si="51"/>
        <v>0</v>
      </c>
      <c r="Z211" s="475">
        <f t="shared" si="52"/>
        <v>0</v>
      </c>
      <c r="AA211" s="475">
        <v>0</v>
      </c>
      <c r="AB211" s="476">
        <v>0</v>
      </c>
      <c r="AC211" s="38">
        <f t="shared" si="53"/>
        <v>0</v>
      </c>
      <c r="AD211" s="692">
        <f t="shared" si="43"/>
        <v>0</v>
      </c>
      <c r="AE211" s="692">
        <f t="shared" si="44"/>
        <v>0</v>
      </c>
      <c r="AF211" s="692">
        <f t="shared" si="45"/>
        <v>0</v>
      </c>
      <c r="AG211" s="38"/>
      <c r="AH211" s="692">
        <f t="shared" si="47"/>
        <v>0</v>
      </c>
      <c r="AI211" s="692">
        <f t="shared" si="48"/>
        <v>0</v>
      </c>
      <c r="AJ211" s="692">
        <f t="shared" si="49"/>
        <v>0</v>
      </c>
      <c r="AL211" s="38">
        <f t="shared" si="46"/>
        <v>0</v>
      </c>
      <c r="AM211" s="68" t="s">
        <v>163</v>
      </c>
    </row>
    <row r="212" spans="1:39">
      <c r="A212" s="21"/>
      <c r="B212" s="21" t="s">
        <v>109</v>
      </c>
      <c r="C212" s="666"/>
      <c r="D212" s="412" t="s">
        <v>164</v>
      </c>
      <c r="E212" s="679"/>
      <c r="F212" s="529">
        <f>VLOOKUP(D212,'Mar14 Revenue'!D:V,19,FALSE)</f>
        <v>0</v>
      </c>
      <c r="G212" s="680"/>
      <c r="H212" s="680"/>
      <c r="I212" s="755"/>
      <c r="J212" s="682">
        <f t="shared" si="42"/>
        <v>0</v>
      </c>
      <c r="K212" s="683"/>
      <c r="L212" s="684"/>
      <c r="M212" s="753"/>
      <c r="N212" s="683">
        <v>0</v>
      </c>
      <c r="O212" s="686"/>
      <c r="P212" s="683">
        <v>0</v>
      </c>
      <c r="Q212" s="687">
        <f t="shared" si="41"/>
        <v>0</v>
      </c>
      <c r="R212" s="687"/>
      <c r="S212" s="687"/>
      <c r="T212" s="688">
        <v>0</v>
      </c>
      <c r="U212" s="704"/>
      <c r="V212" s="690">
        <f t="shared" si="67"/>
        <v>0</v>
      </c>
      <c r="W212" s="705"/>
      <c r="X212" s="474">
        <f t="shared" si="50"/>
        <v>0</v>
      </c>
      <c r="Y212" s="474">
        <f t="shared" si="51"/>
        <v>0</v>
      </c>
      <c r="Z212" s="475">
        <f t="shared" si="52"/>
        <v>0</v>
      </c>
      <c r="AA212" s="475">
        <v>0</v>
      </c>
      <c r="AB212" s="476">
        <v>0</v>
      </c>
      <c r="AC212" s="38">
        <f t="shared" si="53"/>
        <v>0</v>
      </c>
      <c r="AD212" s="692">
        <f t="shared" si="43"/>
        <v>0</v>
      </c>
      <c r="AE212" s="692">
        <f t="shared" si="44"/>
        <v>0</v>
      </c>
      <c r="AF212" s="692">
        <f t="shared" si="45"/>
        <v>0</v>
      </c>
      <c r="AG212" s="38"/>
      <c r="AH212" s="692">
        <f t="shared" si="47"/>
        <v>0</v>
      </c>
      <c r="AI212" s="692">
        <f t="shared" si="48"/>
        <v>0</v>
      </c>
      <c r="AJ212" s="692">
        <f t="shared" si="49"/>
        <v>0</v>
      </c>
      <c r="AL212" s="38">
        <f t="shared" si="46"/>
        <v>0</v>
      </c>
      <c r="AM212" s="412" t="s">
        <v>164</v>
      </c>
    </row>
    <row r="213" spans="1:39">
      <c r="A213" s="21" t="s">
        <v>109</v>
      </c>
      <c r="B213" s="21" t="s">
        <v>114</v>
      </c>
      <c r="C213" s="666" t="s">
        <v>578</v>
      </c>
      <c r="D213" s="412" t="s">
        <v>318</v>
      </c>
      <c r="E213" s="679"/>
      <c r="F213" s="529">
        <f>VLOOKUP(D213,'Mar14 Revenue'!D:V,19,FALSE)</f>
        <v>-1848.6299999999974</v>
      </c>
      <c r="G213" s="680"/>
      <c r="H213" s="680"/>
      <c r="I213" s="755"/>
      <c r="J213" s="682">
        <f t="shared" si="42"/>
        <v>-1848.6299999999974</v>
      </c>
      <c r="K213" s="683"/>
      <c r="L213" s="684"/>
      <c r="M213" s="753">
        <v>45000</v>
      </c>
      <c r="N213" s="683">
        <v>0</v>
      </c>
      <c r="O213" s="686"/>
      <c r="P213" s="683">
        <v>0</v>
      </c>
      <c r="Q213" s="687">
        <f t="shared" si="41"/>
        <v>45000</v>
      </c>
      <c r="R213" s="687"/>
      <c r="S213" s="687"/>
      <c r="T213" s="688">
        <v>0</v>
      </c>
      <c r="U213" s="704"/>
      <c r="V213" s="690">
        <f t="shared" si="67"/>
        <v>-45000</v>
      </c>
      <c r="W213" s="683"/>
      <c r="X213" s="474">
        <f t="shared" si="50"/>
        <v>0</v>
      </c>
      <c r="Y213" s="474">
        <f t="shared" si="51"/>
        <v>0</v>
      </c>
      <c r="Z213" s="475">
        <f t="shared" si="52"/>
        <v>45000</v>
      </c>
      <c r="AA213" s="475">
        <v>0</v>
      </c>
      <c r="AB213" s="476">
        <v>0</v>
      </c>
      <c r="AC213" s="38">
        <f t="shared" si="53"/>
        <v>0</v>
      </c>
      <c r="AD213" s="692">
        <f t="shared" si="43"/>
        <v>0</v>
      </c>
      <c r="AE213" s="692">
        <f t="shared" si="44"/>
        <v>0</v>
      </c>
      <c r="AF213" s="692">
        <f t="shared" si="45"/>
        <v>-1848.6299999999974</v>
      </c>
      <c r="AG213" s="38"/>
      <c r="AH213" s="692">
        <f t="shared" si="47"/>
        <v>0</v>
      </c>
      <c r="AI213" s="692">
        <f t="shared" si="48"/>
        <v>0</v>
      </c>
      <c r="AJ213" s="692">
        <f t="shared" si="49"/>
        <v>45000</v>
      </c>
      <c r="AL213" s="38">
        <f t="shared" si="46"/>
        <v>43151.37</v>
      </c>
      <c r="AM213" s="412" t="s">
        <v>318</v>
      </c>
    </row>
    <row r="214" spans="1:39">
      <c r="A214" s="20" t="s">
        <v>211</v>
      </c>
      <c r="B214" s="20" t="s">
        <v>109</v>
      </c>
      <c r="C214" s="667"/>
      <c r="D214" s="68" t="s">
        <v>57</v>
      </c>
      <c r="E214" s="679"/>
      <c r="F214" s="529">
        <f>VLOOKUP(D214,'Mar14 Revenue'!D:V,19,FALSE)</f>
        <v>0</v>
      </c>
      <c r="G214" s="680"/>
      <c r="H214" s="680"/>
      <c r="I214" s="755"/>
      <c r="J214" s="682">
        <f t="shared" si="42"/>
        <v>0</v>
      </c>
      <c r="K214" s="683"/>
      <c r="L214" s="684"/>
      <c r="M214" s="753"/>
      <c r="N214" s="683">
        <v>0</v>
      </c>
      <c r="O214" s="686"/>
      <c r="P214" s="683">
        <v>0</v>
      </c>
      <c r="Q214" s="687">
        <f t="shared" si="41"/>
        <v>0</v>
      </c>
      <c r="R214" s="687"/>
      <c r="S214" s="687"/>
      <c r="T214" s="688">
        <v>0</v>
      </c>
      <c r="U214" s="693"/>
      <c r="V214" s="690">
        <f t="shared" si="67"/>
        <v>0</v>
      </c>
      <c r="W214" s="683"/>
      <c r="X214" s="474">
        <f t="shared" si="50"/>
        <v>0</v>
      </c>
      <c r="Y214" s="474">
        <f t="shared" si="51"/>
        <v>0</v>
      </c>
      <c r="Z214" s="475">
        <f t="shared" si="52"/>
        <v>0</v>
      </c>
      <c r="AA214" s="475">
        <v>0</v>
      </c>
      <c r="AB214" s="476">
        <v>0</v>
      </c>
      <c r="AC214" s="38">
        <f t="shared" si="53"/>
        <v>0</v>
      </c>
      <c r="AD214" s="692">
        <f t="shared" si="43"/>
        <v>0</v>
      </c>
      <c r="AE214" s="692">
        <f t="shared" si="44"/>
        <v>0</v>
      </c>
      <c r="AF214" s="692">
        <f t="shared" si="45"/>
        <v>0</v>
      </c>
      <c r="AG214" s="38"/>
      <c r="AH214" s="692">
        <f t="shared" si="47"/>
        <v>0</v>
      </c>
      <c r="AI214" s="692">
        <f t="shared" si="48"/>
        <v>0</v>
      </c>
      <c r="AJ214" s="692">
        <f t="shared" si="49"/>
        <v>0</v>
      </c>
      <c r="AL214" s="38">
        <f t="shared" si="46"/>
        <v>0</v>
      </c>
      <c r="AM214" s="68" t="s">
        <v>57</v>
      </c>
    </row>
    <row r="215" spans="1:39">
      <c r="A215" s="21"/>
      <c r="B215" s="21" t="s">
        <v>110</v>
      </c>
      <c r="C215" s="666"/>
      <c r="D215" s="806" t="s">
        <v>1050</v>
      </c>
      <c r="E215" s="679"/>
      <c r="F215" s="529">
        <f>VLOOKUP(D215,'Mar14 Revenue'!D:V,19,FALSE)</f>
        <v>4713.9399999999996</v>
      </c>
      <c r="G215" s="680"/>
      <c r="H215" s="680"/>
      <c r="I215" s="755"/>
      <c r="J215" s="682">
        <f t="shared" si="42"/>
        <v>4713.9399999999996</v>
      </c>
      <c r="K215" s="683"/>
      <c r="L215" s="684"/>
      <c r="M215" s="753"/>
      <c r="N215" s="683">
        <v>0</v>
      </c>
      <c r="O215" s="686"/>
      <c r="P215" s="683">
        <v>0</v>
      </c>
      <c r="Q215" s="687">
        <f t="shared" si="41"/>
        <v>0</v>
      </c>
      <c r="R215" s="687"/>
      <c r="S215" s="687"/>
      <c r="T215" s="688">
        <v>0</v>
      </c>
      <c r="U215" s="693"/>
      <c r="V215" s="690">
        <f t="shared" si="67"/>
        <v>0</v>
      </c>
      <c r="W215" s="683"/>
      <c r="X215" s="474">
        <f t="shared" si="50"/>
        <v>0</v>
      </c>
      <c r="Y215" s="474">
        <f t="shared" si="51"/>
        <v>0</v>
      </c>
      <c r="Z215" s="475">
        <f t="shared" si="52"/>
        <v>0</v>
      </c>
      <c r="AA215" s="475">
        <v>0</v>
      </c>
      <c r="AB215" s="476">
        <v>0</v>
      </c>
      <c r="AC215" s="38">
        <f t="shared" si="53"/>
        <v>0</v>
      </c>
      <c r="AD215" s="692">
        <f t="shared" si="43"/>
        <v>4713.9399999999996</v>
      </c>
      <c r="AE215" s="692">
        <f t="shared" si="44"/>
        <v>0</v>
      </c>
      <c r="AF215" s="692">
        <f t="shared" si="45"/>
        <v>0</v>
      </c>
      <c r="AG215" s="38"/>
      <c r="AH215" s="692">
        <f t="shared" si="47"/>
        <v>0</v>
      </c>
      <c r="AI215" s="692">
        <f t="shared" si="48"/>
        <v>0</v>
      </c>
      <c r="AJ215" s="692">
        <f t="shared" si="49"/>
        <v>0</v>
      </c>
      <c r="AL215" s="38">
        <f t="shared" si="46"/>
        <v>4713.9399999999996</v>
      </c>
      <c r="AM215" s="806" t="s">
        <v>388</v>
      </c>
    </row>
    <row r="216" spans="1:39">
      <c r="A216" s="20"/>
      <c r="B216" s="20" t="s">
        <v>114</v>
      </c>
      <c r="C216" s="676" t="s">
        <v>621</v>
      </c>
      <c r="D216" s="68" t="s">
        <v>622</v>
      </c>
      <c r="E216" s="679"/>
      <c r="F216" s="529">
        <f>VLOOKUP(D216,'Mar14 Revenue'!D:V,19,FALSE)</f>
        <v>0</v>
      </c>
      <c r="G216" s="680"/>
      <c r="H216" s="680"/>
      <c r="I216" s="755"/>
      <c r="J216" s="682">
        <f t="shared" si="42"/>
        <v>0</v>
      </c>
      <c r="K216" s="683"/>
      <c r="L216" s="684"/>
      <c r="M216" s="753">
        <v>5000</v>
      </c>
      <c r="N216" s="683">
        <v>0</v>
      </c>
      <c r="O216" s="686"/>
      <c r="P216" s="683">
        <v>0</v>
      </c>
      <c r="Q216" s="687">
        <f t="shared" si="41"/>
        <v>5000</v>
      </c>
      <c r="R216" s="687"/>
      <c r="S216" s="687"/>
      <c r="T216" s="688">
        <v>2628.88</v>
      </c>
      <c r="U216" s="704"/>
      <c r="V216" s="690">
        <f t="shared" si="67"/>
        <v>-2371.12</v>
      </c>
      <c r="W216" s="683"/>
      <c r="X216" s="474">
        <f t="shared" si="50"/>
        <v>0</v>
      </c>
      <c r="Y216" s="474">
        <f t="shared" si="51"/>
        <v>0</v>
      </c>
      <c r="Z216" s="475">
        <f t="shared" si="52"/>
        <v>5000</v>
      </c>
      <c r="AA216" s="475">
        <v>0</v>
      </c>
      <c r="AB216" s="476">
        <v>0</v>
      </c>
      <c r="AC216" s="38">
        <f t="shared" si="53"/>
        <v>0</v>
      </c>
      <c r="AD216" s="692">
        <f t="shared" si="43"/>
        <v>0</v>
      </c>
      <c r="AE216" s="692">
        <f t="shared" si="44"/>
        <v>0</v>
      </c>
      <c r="AF216" s="692">
        <f t="shared" si="45"/>
        <v>0</v>
      </c>
      <c r="AG216" s="38"/>
      <c r="AH216" s="692">
        <f t="shared" si="47"/>
        <v>0</v>
      </c>
      <c r="AI216" s="692">
        <f t="shared" si="48"/>
        <v>0</v>
      </c>
      <c r="AJ216" s="692">
        <f t="shared" si="49"/>
        <v>5000</v>
      </c>
      <c r="AL216" s="38">
        <f t="shared" si="46"/>
        <v>5000</v>
      </c>
      <c r="AM216" s="68" t="s">
        <v>622</v>
      </c>
    </row>
    <row r="217" spans="1:39">
      <c r="A217" s="20"/>
      <c r="B217" s="20" t="s">
        <v>110</v>
      </c>
      <c r="C217" s="667"/>
      <c r="D217" s="68" t="s">
        <v>497</v>
      </c>
      <c r="E217" s="679"/>
      <c r="F217" s="529">
        <f>VLOOKUP(D217,'Mar14 Revenue'!D:V,19,FALSE)</f>
        <v>0</v>
      </c>
      <c r="G217" s="680"/>
      <c r="H217" s="680"/>
      <c r="I217" s="755"/>
      <c r="J217" s="682">
        <f t="shared" si="42"/>
        <v>0</v>
      </c>
      <c r="K217" s="683"/>
      <c r="L217" s="684"/>
      <c r="M217" s="753"/>
      <c r="N217" s="683">
        <v>0</v>
      </c>
      <c r="O217" s="686"/>
      <c r="P217" s="683">
        <v>0</v>
      </c>
      <c r="Q217" s="687">
        <f t="shared" si="41"/>
        <v>0</v>
      </c>
      <c r="R217" s="687"/>
      <c r="S217" s="687"/>
      <c r="T217" s="688">
        <v>0</v>
      </c>
      <c r="U217" s="693"/>
      <c r="V217" s="690">
        <f t="shared" si="67"/>
        <v>0</v>
      </c>
      <c r="W217" s="683"/>
      <c r="X217" s="474">
        <f t="shared" si="50"/>
        <v>0</v>
      </c>
      <c r="Y217" s="474">
        <f t="shared" si="51"/>
        <v>0</v>
      </c>
      <c r="Z217" s="475">
        <f t="shared" si="52"/>
        <v>0</v>
      </c>
      <c r="AA217" s="475">
        <v>0</v>
      </c>
      <c r="AB217" s="476">
        <v>0</v>
      </c>
      <c r="AC217" s="38">
        <f t="shared" si="53"/>
        <v>0</v>
      </c>
      <c r="AD217" s="692">
        <f t="shared" si="43"/>
        <v>0</v>
      </c>
      <c r="AE217" s="692">
        <f t="shared" si="44"/>
        <v>0</v>
      </c>
      <c r="AF217" s="692">
        <f t="shared" si="45"/>
        <v>0</v>
      </c>
      <c r="AG217" s="38"/>
      <c r="AH217" s="692">
        <f t="shared" si="47"/>
        <v>0</v>
      </c>
      <c r="AI217" s="692">
        <f t="shared" si="48"/>
        <v>0</v>
      </c>
      <c r="AJ217" s="692">
        <f t="shared" si="49"/>
        <v>0</v>
      </c>
      <c r="AL217" s="38">
        <f t="shared" si="46"/>
        <v>0</v>
      </c>
      <c r="AM217" s="68" t="s">
        <v>497</v>
      </c>
    </row>
    <row r="218" spans="1:39">
      <c r="A218" s="20"/>
      <c r="B218" s="20" t="s">
        <v>110</v>
      </c>
      <c r="C218" s="667"/>
      <c r="D218" s="68" t="s">
        <v>509</v>
      </c>
      <c r="E218" s="679"/>
      <c r="F218" s="529">
        <f>VLOOKUP(D218,'Mar14 Revenue'!D:V,19,FALSE)</f>
        <v>-120000</v>
      </c>
      <c r="G218" s="680"/>
      <c r="H218" s="680"/>
      <c r="I218" s="755"/>
      <c r="J218" s="682">
        <f t="shared" si="42"/>
        <v>-120000</v>
      </c>
      <c r="K218" s="683"/>
      <c r="L218" s="684"/>
      <c r="M218" s="753">
        <v>175000</v>
      </c>
      <c r="N218" s="683"/>
      <c r="O218" s="686"/>
      <c r="P218" s="683"/>
      <c r="Q218" s="687">
        <f t="shared" si="41"/>
        <v>175000</v>
      </c>
      <c r="R218" s="687"/>
      <c r="S218" s="687"/>
      <c r="T218" s="688">
        <v>0</v>
      </c>
      <c r="U218" s="693"/>
      <c r="V218" s="690">
        <f t="shared" si="67"/>
        <v>-175000</v>
      </c>
      <c r="W218" s="683"/>
      <c r="X218" s="474">
        <f t="shared" si="50"/>
        <v>175000</v>
      </c>
      <c r="Y218" s="474">
        <f t="shared" si="51"/>
        <v>0</v>
      </c>
      <c r="Z218" s="475">
        <f t="shared" si="52"/>
        <v>0</v>
      </c>
      <c r="AA218" s="475">
        <v>0</v>
      </c>
      <c r="AB218" s="476">
        <v>0</v>
      </c>
      <c r="AC218" s="38">
        <f t="shared" si="53"/>
        <v>0</v>
      </c>
      <c r="AD218" s="692">
        <f t="shared" si="43"/>
        <v>-120000</v>
      </c>
      <c r="AE218" s="692">
        <f t="shared" si="44"/>
        <v>0</v>
      </c>
      <c r="AF218" s="692">
        <f t="shared" si="45"/>
        <v>0</v>
      </c>
      <c r="AG218" s="38"/>
      <c r="AH218" s="692">
        <f t="shared" si="47"/>
        <v>175000</v>
      </c>
      <c r="AI218" s="692">
        <f t="shared" si="48"/>
        <v>0</v>
      </c>
      <c r="AJ218" s="692">
        <f t="shared" si="49"/>
        <v>0</v>
      </c>
      <c r="AL218" s="38">
        <f t="shared" si="46"/>
        <v>55000</v>
      </c>
      <c r="AM218" s="68" t="s">
        <v>509</v>
      </c>
    </row>
    <row r="219" spans="1:39" s="627" customFormat="1">
      <c r="A219" s="610"/>
      <c r="B219" s="610" t="s">
        <v>110</v>
      </c>
      <c r="C219" s="667" t="s">
        <v>580</v>
      </c>
      <c r="D219" s="612" t="s">
        <v>476</v>
      </c>
      <c r="E219" s="679"/>
      <c r="F219" s="529">
        <f>VLOOKUP(D219,'Mar14 Revenue'!D:V,19,FALSE)</f>
        <v>0</v>
      </c>
      <c r="G219" s="680"/>
      <c r="H219" s="680"/>
      <c r="I219" s="755"/>
      <c r="J219" s="682">
        <f t="shared" si="42"/>
        <v>0</v>
      </c>
      <c r="K219" s="683"/>
      <c r="L219" s="684"/>
      <c r="M219" s="753"/>
      <c r="N219" s="683">
        <v>0</v>
      </c>
      <c r="O219" s="686"/>
      <c r="P219" s="683">
        <v>0</v>
      </c>
      <c r="Q219" s="687">
        <f t="shared" si="41"/>
        <v>0</v>
      </c>
      <c r="R219" s="687"/>
      <c r="S219" s="687"/>
      <c r="T219" s="688">
        <v>0</v>
      </c>
      <c r="U219" s="706"/>
      <c r="V219" s="690">
        <f t="shared" si="67"/>
        <v>0</v>
      </c>
      <c r="W219" s="707"/>
      <c r="X219" s="474">
        <f t="shared" si="50"/>
        <v>0</v>
      </c>
      <c r="Y219" s="474">
        <f t="shared" si="51"/>
        <v>0</v>
      </c>
      <c r="Z219" s="475">
        <f t="shared" si="52"/>
        <v>0</v>
      </c>
      <c r="AA219" s="475">
        <v>0</v>
      </c>
      <c r="AB219" s="476">
        <v>0</v>
      </c>
      <c r="AC219" s="38">
        <f t="shared" si="53"/>
        <v>0</v>
      </c>
      <c r="AD219" s="692">
        <f t="shared" si="43"/>
        <v>0</v>
      </c>
      <c r="AE219" s="692">
        <f t="shared" si="44"/>
        <v>0</v>
      </c>
      <c r="AF219" s="692">
        <f t="shared" si="45"/>
        <v>0</v>
      </c>
      <c r="AG219" s="38"/>
      <c r="AH219" s="692">
        <f t="shared" si="47"/>
        <v>0</v>
      </c>
      <c r="AI219" s="692">
        <f t="shared" si="48"/>
        <v>0</v>
      </c>
      <c r="AJ219" s="692">
        <f t="shared" si="49"/>
        <v>0</v>
      </c>
      <c r="AL219" s="38">
        <f t="shared" si="46"/>
        <v>0</v>
      </c>
      <c r="AM219" s="612" t="s">
        <v>476</v>
      </c>
    </row>
    <row r="220" spans="1:39" s="232" customFormat="1">
      <c r="A220" s="283"/>
      <c r="B220" s="283" t="s">
        <v>114</v>
      </c>
      <c r="C220" s="667" t="s">
        <v>580</v>
      </c>
      <c r="D220" s="123" t="s">
        <v>371</v>
      </c>
      <c r="E220" s="679"/>
      <c r="F220" s="529">
        <f>VLOOKUP(D220,'Mar14 Revenue'!D:V,19,FALSE)</f>
        <v>-35600</v>
      </c>
      <c r="G220" s="680"/>
      <c r="H220" s="680"/>
      <c r="I220" s="755"/>
      <c r="J220" s="682">
        <f t="shared" si="42"/>
        <v>-35600</v>
      </c>
      <c r="K220" s="683"/>
      <c r="L220" s="684"/>
      <c r="M220" s="753">
        <v>35000</v>
      </c>
      <c r="N220" s="683">
        <v>0</v>
      </c>
      <c r="O220" s="686"/>
      <c r="P220" s="683">
        <v>0</v>
      </c>
      <c r="Q220" s="687">
        <f>L220+M220</f>
        <v>35000</v>
      </c>
      <c r="R220" s="687"/>
      <c r="S220" s="687"/>
      <c r="T220" s="688">
        <v>0</v>
      </c>
      <c r="U220" s="693"/>
      <c r="V220" s="690">
        <f t="shared" si="67"/>
        <v>-35000</v>
      </c>
      <c r="W220" s="683"/>
      <c r="X220" s="474">
        <f t="shared" si="50"/>
        <v>0</v>
      </c>
      <c r="Y220" s="474">
        <f t="shared" si="51"/>
        <v>0</v>
      </c>
      <c r="Z220" s="475">
        <f t="shared" si="52"/>
        <v>35000</v>
      </c>
      <c r="AA220" s="475">
        <v>0</v>
      </c>
      <c r="AB220" s="476">
        <v>0</v>
      </c>
      <c r="AC220" s="38">
        <f>(L220+M220)-(X220+Y220+Z220+AA220+AB220)</f>
        <v>0</v>
      </c>
      <c r="AD220" s="692">
        <f t="shared" si="43"/>
        <v>0</v>
      </c>
      <c r="AE220" s="692">
        <f t="shared" si="44"/>
        <v>0</v>
      </c>
      <c r="AF220" s="692">
        <f t="shared" si="45"/>
        <v>-35600</v>
      </c>
      <c r="AG220" s="38"/>
      <c r="AH220" s="692">
        <f t="shared" si="47"/>
        <v>0</v>
      </c>
      <c r="AI220" s="692">
        <f t="shared" si="48"/>
        <v>0</v>
      </c>
      <c r="AJ220" s="692">
        <f t="shared" si="49"/>
        <v>35000</v>
      </c>
      <c r="AL220" s="38">
        <f t="shared" si="46"/>
        <v>-600</v>
      </c>
      <c r="AM220" s="123" t="s">
        <v>371</v>
      </c>
    </row>
    <row r="221" spans="1:39" s="232" customFormat="1">
      <c r="A221" s="283"/>
      <c r="B221" s="283" t="s">
        <v>110</v>
      </c>
      <c r="C221" s="667" t="s">
        <v>580</v>
      </c>
      <c r="D221" s="123" t="s">
        <v>422</v>
      </c>
      <c r="E221" s="679"/>
      <c r="F221" s="529">
        <f>VLOOKUP(D221,'Mar14 Revenue'!D:V,19,FALSE)</f>
        <v>0</v>
      </c>
      <c r="G221" s="680"/>
      <c r="H221" s="680"/>
      <c r="I221" s="755"/>
      <c r="J221" s="682">
        <f t="shared" si="42"/>
        <v>0</v>
      </c>
      <c r="K221" s="683"/>
      <c r="L221" s="684"/>
      <c r="M221" s="753"/>
      <c r="N221" s="683">
        <v>0</v>
      </c>
      <c r="O221" s="686"/>
      <c r="P221" s="683">
        <v>0</v>
      </c>
      <c r="Q221" s="687">
        <f t="shared" si="41"/>
        <v>0</v>
      </c>
      <c r="R221" s="687"/>
      <c r="S221" s="687"/>
      <c r="T221" s="688">
        <v>0</v>
      </c>
      <c r="U221" s="693"/>
      <c r="V221" s="690">
        <f t="shared" si="67"/>
        <v>0</v>
      </c>
      <c r="W221" s="683"/>
      <c r="X221" s="474">
        <f t="shared" si="50"/>
        <v>0</v>
      </c>
      <c r="Y221" s="474">
        <f t="shared" si="51"/>
        <v>0</v>
      </c>
      <c r="Z221" s="475">
        <f t="shared" si="52"/>
        <v>0</v>
      </c>
      <c r="AA221" s="475">
        <v>0</v>
      </c>
      <c r="AB221" s="476">
        <v>0</v>
      </c>
      <c r="AC221" s="38">
        <f t="shared" si="53"/>
        <v>0</v>
      </c>
      <c r="AD221" s="692">
        <f t="shared" si="43"/>
        <v>0</v>
      </c>
      <c r="AE221" s="692">
        <f t="shared" si="44"/>
        <v>0</v>
      </c>
      <c r="AF221" s="692">
        <f t="shared" si="45"/>
        <v>0</v>
      </c>
      <c r="AG221" s="38"/>
      <c r="AH221" s="692">
        <f t="shared" si="47"/>
        <v>0</v>
      </c>
      <c r="AI221" s="692">
        <f t="shared" si="48"/>
        <v>0</v>
      </c>
      <c r="AJ221" s="692">
        <f t="shared" si="49"/>
        <v>0</v>
      </c>
      <c r="AL221" s="38">
        <f t="shared" si="46"/>
        <v>0</v>
      </c>
      <c r="AM221" s="123" t="s">
        <v>422</v>
      </c>
    </row>
    <row r="222" spans="1:39" s="232" customFormat="1">
      <c r="A222" s="283"/>
      <c r="B222" s="283" t="s">
        <v>110</v>
      </c>
      <c r="C222" s="667" t="s">
        <v>580</v>
      </c>
      <c r="D222" s="123" t="s">
        <v>442</v>
      </c>
      <c r="E222" s="679"/>
      <c r="F222" s="529">
        <f>VLOOKUP(D222,'Mar14 Revenue'!D:V,19,FALSE)</f>
        <v>50684.550000000047</v>
      </c>
      <c r="G222" s="680"/>
      <c r="H222" s="680"/>
      <c r="I222" s="755"/>
      <c r="J222" s="682">
        <f t="shared" si="42"/>
        <v>50684.550000000047</v>
      </c>
      <c r="K222" s="683"/>
      <c r="L222" s="684">
        <v>551000</v>
      </c>
      <c r="M222" s="753">
        <v>1092000</v>
      </c>
      <c r="N222" s="683">
        <v>0</v>
      </c>
      <c r="O222" s="686"/>
      <c r="P222" s="683">
        <v>0</v>
      </c>
      <c r="Q222" s="687">
        <f>L222+M222</f>
        <v>1643000</v>
      </c>
      <c r="R222" s="687"/>
      <c r="S222" s="687"/>
      <c r="T222" s="688">
        <v>1689005.86</v>
      </c>
      <c r="U222" s="693"/>
      <c r="V222" s="690">
        <f t="shared" si="67"/>
        <v>46005.860000000102</v>
      </c>
      <c r="W222" s="683"/>
      <c r="X222" s="474">
        <f t="shared" si="50"/>
        <v>1643000</v>
      </c>
      <c r="Y222" s="474">
        <f t="shared" si="51"/>
        <v>0</v>
      </c>
      <c r="Z222" s="475">
        <f t="shared" si="52"/>
        <v>0</v>
      </c>
      <c r="AA222" s="475">
        <v>0</v>
      </c>
      <c r="AB222" s="476">
        <v>0</v>
      </c>
      <c r="AC222" s="38">
        <f>(L222+M222)-(X222+Y222+Z222+AA222+AB222)</f>
        <v>0</v>
      </c>
      <c r="AD222" s="692">
        <f t="shared" si="43"/>
        <v>50684.550000000047</v>
      </c>
      <c r="AE222" s="692">
        <f t="shared" si="44"/>
        <v>0</v>
      </c>
      <c r="AF222" s="692">
        <f t="shared" si="45"/>
        <v>0</v>
      </c>
      <c r="AG222" s="38"/>
      <c r="AH222" s="692">
        <f t="shared" si="47"/>
        <v>1643000</v>
      </c>
      <c r="AI222" s="692">
        <f t="shared" si="48"/>
        <v>0</v>
      </c>
      <c r="AJ222" s="692">
        <f t="shared" si="49"/>
        <v>0</v>
      </c>
      <c r="AL222" s="38">
        <f t="shared" si="46"/>
        <v>1693684.55</v>
      </c>
      <c r="AM222" s="123" t="s">
        <v>442</v>
      </c>
    </row>
    <row r="223" spans="1:39" hidden="1">
      <c r="A223" s="21" t="s">
        <v>97</v>
      </c>
      <c r="B223" s="21" t="s">
        <v>109</v>
      </c>
      <c r="C223" s="666"/>
      <c r="D223" s="68" t="s">
        <v>381</v>
      </c>
      <c r="E223" s="679"/>
      <c r="F223" s="529">
        <f>VLOOKUP(D223,'Mar14 Revenue'!D:V,19,FALSE)</f>
        <v>0</v>
      </c>
      <c r="G223" s="680"/>
      <c r="H223" s="680"/>
      <c r="I223" s="755"/>
      <c r="J223" s="682">
        <f t="shared" si="42"/>
        <v>0</v>
      </c>
      <c r="K223" s="683"/>
      <c r="L223" s="684"/>
      <c r="M223" s="753"/>
      <c r="N223" s="683">
        <v>0</v>
      </c>
      <c r="O223" s="686"/>
      <c r="P223" s="683">
        <v>0</v>
      </c>
      <c r="Q223" s="687">
        <f t="shared" si="41"/>
        <v>0</v>
      </c>
      <c r="R223" s="687"/>
      <c r="S223" s="687"/>
      <c r="T223" s="688">
        <v>0</v>
      </c>
      <c r="U223" s="693"/>
      <c r="V223" s="690">
        <f t="shared" si="67"/>
        <v>0</v>
      </c>
      <c r="W223" s="683"/>
      <c r="X223" s="474">
        <f t="shared" si="50"/>
        <v>0</v>
      </c>
      <c r="Y223" s="474">
        <f t="shared" si="51"/>
        <v>0</v>
      </c>
      <c r="Z223" s="475">
        <f t="shared" si="52"/>
        <v>0</v>
      </c>
      <c r="AA223" s="475">
        <v>0</v>
      </c>
      <c r="AB223" s="476">
        <v>0</v>
      </c>
      <c r="AC223" s="38">
        <f t="shared" si="53"/>
        <v>0</v>
      </c>
      <c r="AD223" s="692">
        <f t="shared" si="43"/>
        <v>0</v>
      </c>
      <c r="AE223" s="692">
        <f t="shared" si="44"/>
        <v>0</v>
      </c>
      <c r="AF223" s="692">
        <f t="shared" si="45"/>
        <v>0</v>
      </c>
      <c r="AG223" s="38"/>
      <c r="AH223" s="692">
        <f t="shared" si="47"/>
        <v>0</v>
      </c>
      <c r="AI223" s="692">
        <f t="shared" si="48"/>
        <v>0</v>
      </c>
      <c r="AJ223" s="692">
        <f t="shared" si="49"/>
        <v>0</v>
      </c>
      <c r="AL223" s="38">
        <f t="shared" si="46"/>
        <v>0</v>
      </c>
      <c r="AM223" s="68" t="s">
        <v>381</v>
      </c>
    </row>
    <row r="224" spans="1:39" hidden="1">
      <c r="A224" s="21" t="s">
        <v>97</v>
      </c>
      <c r="B224" s="21" t="s">
        <v>114</v>
      </c>
      <c r="C224" s="666"/>
      <c r="D224" s="68" t="s">
        <v>376</v>
      </c>
      <c r="E224" s="679"/>
      <c r="F224" s="529">
        <f>VLOOKUP(D224,'Mar14 Revenue'!D:V,19,FALSE)</f>
        <v>0</v>
      </c>
      <c r="G224" s="680"/>
      <c r="H224" s="680"/>
      <c r="I224" s="755"/>
      <c r="J224" s="682">
        <f t="shared" si="42"/>
        <v>0</v>
      </c>
      <c r="K224" s="683"/>
      <c r="L224" s="684"/>
      <c r="M224" s="753"/>
      <c r="N224" s="683">
        <v>0</v>
      </c>
      <c r="O224" s="686"/>
      <c r="P224" s="683">
        <v>0</v>
      </c>
      <c r="Q224" s="687">
        <f t="shared" ref="Q224:Q238" si="68">L224+M224</f>
        <v>0</v>
      </c>
      <c r="R224" s="687"/>
      <c r="S224" s="687"/>
      <c r="T224" s="688">
        <v>0</v>
      </c>
      <c r="U224" s="693"/>
      <c r="V224" s="690">
        <f t="shared" si="67"/>
        <v>0</v>
      </c>
      <c r="W224" s="683"/>
      <c r="X224" s="474">
        <f t="shared" si="50"/>
        <v>0</v>
      </c>
      <c r="Y224" s="474">
        <f t="shared" si="51"/>
        <v>0</v>
      </c>
      <c r="Z224" s="475">
        <f t="shared" si="52"/>
        <v>0</v>
      </c>
      <c r="AA224" s="475">
        <v>0</v>
      </c>
      <c r="AB224" s="476">
        <v>0</v>
      </c>
      <c r="AC224" s="38">
        <f t="shared" si="53"/>
        <v>0</v>
      </c>
      <c r="AD224" s="692">
        <f t="shared" si="43"/>
        <v>0</v>
      </c>
      <c r="AE224" s="692">
        <f t="shared" si="44"/>
        <v>0</v>
      </c>
      <c r="AF224" s="692">
        <f t="shared" si="45"/>
        <v>0</v>
      </c>
      <c r="AG224" s="38"/>
      <c r="AH224" s="692">
        <f t="shared" si="47"/>
        <v>0</v>
      </c>
      <c r="AI224" s="692">
        <f t="shared" si="48"/>
        <v>0</v>
      </c>
      <c r="AJ224" s="692">
        <f t="shared" si="49"/>
        <v>0</v>
      </c>
      <c r="AL224" s="38">
        <f t="shared" si="46"/>
        <v>0</v>
      </c>
      <c r="AM224" s="68" t="s">
        <v>376</v>
      </c>
    </row>
    <row r="225" spans="1:39">
      <c r="A225" s="20"/>
      <c r="B225" s="20" t="s">
        <v>110</v>
      </c>
      <c r="C225" s="667"/>
      <c r="D225" s="68" t="s">
        <v>1032</v>
      </c>
      <c r="E225" s="679"/>
      <c r="F225" s="529">
        <f>VLOOKUP(D225,'Mar14 Revenue'!D:V,19,FALSE)</f>
        <v>0</v>
      </c>
      <c r="G225" s="680"/>
      <c r="H225" s="680"/>
      <c r="I225" s="755"/>
      <c r="J225" s="682">
        <f t="shared" si="42"/>
        <v>0</v>
      </c>
      <c r="K225" s="683"/>
      <c r="L225" s="684"/>
      <c r="M225" s="753"/>
      <c r="N225" s="683">
        <v>0</v>
      </c>
      <c r="O225" s="686"/>
      <c r="P225" s="683">
        <v>0</v>
      </c>
      <c r="Q225" s="687">
        <f>L225+M225</f>
        <v>0</v>
      </c>
      <c r="R225" s="687"/>
      <c r="S225" s="687"/>
      <c r="T225" s="688">
        <v>0</v>
      </c>
      <c r="U225" s="693"/>
      <c r="V225" s="690">
        <f t="shared" si="67"/>
        <v>0</v>
      </c>
      <c r="W225" s="683"/>
      <c r="X225" s="474">
        <f t="shared" si="50"/>
        <v>0</v>
      </c>
      <c r="Y225" s="474">
        <f t="shared" si="51"/>
        <v>0</v>
      </c>
      <c r="Z225" s="475">
        <f t="shared" si="52"/>
        <v>0</v>
      </c>
      <c r="AA225" s="475">
        <v>0</v>
      </c>
      <c r="AB225" s="476">
        <v>0</v>
      </c>
      <c r="AC225" s="38">
        <f>(L225+M225)-(X225+Y225+Z225+AA225+AB225)</f>
        <v>0</v>
      </c>
      <c r="AD225" s="692">
        <f t="shared" si="43"/>
        <v>0</v>
      </c>
      <c r="AE225" s="692">
        <f t="shared" si="44"/>
        <v>0</v>
      </c>
      <c r="AF225" s="692">
        <f t="shared" si="45"/>
        <v>0</v>
      </c>
      <c r="AG225" s="38"/>
      <c r="AH225" s="692">
        <f t="shared" si="47"/>
        <v>0</v>
      </c>
      <c r="AI225" s="692">
        <f t="shared" si="48"/>
        <v>0</v>
      </c>
      <c r="AJ225" s="692">
        <f t="shared" si="49"/>
        <v>0</v>
      </c>
      <c r="AL225" s="38">
        <f t="shared" si="46"/>
        <v>0</v>
      </c>
      <c r="AM225" s="68" t="s">
        <v>390</v>
      </c>
    </row>
    <row r="226" spans="1:39">
      <c r="A226" s="20"/>
      <c r="B226" s="20" t="s">
        <v>110</v>
      </c>
      <c r="C226" s="667" t="s">
        <v>581</v>
      </c>
      <c r="D226" s="123" t="s">
        <v>166</v>
      </c>
      <c r="E226" s="679"/>
      <c r="F226" s="529">
        <f>VLOOKUP(D226,'Mar14 Revenue'!D:V,19,FALSE)</f>
        <v>-487.5</v>
      </c>
      <c r="G226" s="680"/>
      <c r="H226" s="680"/>
      <c r="I226" s="755"/>
      <c r="J226" s="682">
        <f t="shared" si="42"/>
        <v>-487.5</v>
      </c>
      <c r="K226" s="683"/>
      <c r="L226" s="684"/>
      <c r="M226" s="753">
        <v>5000</v>
      </c>
      <c r="N226" s="683">
        <v>0</v>
      </c>
      <c r="O226" s="686"/>
      <c r="P226" s="683">
        <v>0</v>
      </c>
      <c r="Q226" s="687">
        <f t="shared" si="68"/>
        <v>5000</v>
      </c>
      <c r="R226" s="687"/>
      <c r="S226" s="687"/>
      <c r="T226" s="688">
        <v>0</v>
      </c>
      <c r="U226" s="693"/>
      <c r="V226" s="690">
        <f t="shared" si="67"/>
        <v>-5000</v>
      </c>
      <c r="W226" s="683"/>
      <c r="X226" s="474">
        <f t="shared" si="50"/>
        <v>5000</v>
      </c>
      <c r="Y226" s="474">
        <f t="shared" si="51"/>
        <v>0</v>
      </c>
      <c r="Z226" s="475">
        <f t="shared" si="52"/>
        <v>0</v>
      </c>
      <c r="AA226" s="475">
        <v>0</v>
      </c>
      <c r="AB226" s="476">
        <v>0</v>
      </c>
      <c r="AC226" s="38">
        <f t="shared" si="53"/>
        <v>0</v>
      </c>
      <c r="AD226" s="692">
        <f t="shared" si="43"/>
        <v>-487.5</v>
      </c>
      <c r="AE226" s="692">
        <f t="shared" si="44"/>
        <v>0</v>
      </c>
      <c r="AF226" s="692">
        <f t="shared" si="45"/>
        <v>0</v>
      </c>
      <c r="AG226" s="38"/>
      <c r="AH226" s="692">
        <f t="shared" si="47"/>
        <v>5000</v>
      </c>
      <c r="AI226" s="692">
        <f t="shared" si="48"/>
        <v>0</v>
      </c>
      <c r="AJ226" s="692">
        <f t="shared" si="49"/>
        <v>0</v>
      </c>
      <c r="AL226" s="38">
        <f t="shared" si="46"/>
        <v>4512.5</v>
      </c>
      <c r="AM226" s="123" t="s">
        <v>166</v>
      </c>
    </row>
    <row r="227" spans="1:39">
      <c r="A227" s="20"/>
      <c r="B227" s="20" t="s">
        <v>109</v>
      </c>
      <c r="C227" s="667" t="s">
        <v>581</v>
      </c>
      <c r="D227" s="123" t="s">
        <v>165</v>
      </c>
      <c r="E227" s="679"/>
      <c r="F227" s="529">
        <f>VLOOKUP(D227,'Mar14 Revenue'!D:V,19,FALSE)</f>
        <v>0</v>
      </c>
      <c r="G227" s="680"/>
      <c r="H227" s="680"/>
      <c r="I227" s="755"/>
      <c r="J227" s="682">
        <f t="shared" si="42"/>
        <v>0</v>
      </c>
      <c r="K227" s="683"/>
      <c r="L227" s="684"/>
      <c r="M227" s="753"/>
      <c r="N227" s="683">
        <v>0</v>
      </c>
      <c r="O227" s="686"/>
      <c r="P227" s="683">
        <v>0</v>
      </c>
      <c r="Q227" s="687">
        <f t="shared" si="68"/>
        <v>0</v>
      </c>
      <c r="R227" s="687"/>
      <c r="S227" s="687"/>
      <c r="T227" s="688">
        <v>0</v>
      </c>
      <c r="U227" s="693"/>
      <c r="V227" s="690">
        <f t="shared" si="67"/>
        <v>0</v>
      </c>
      <c r="W227" s="683"/>
      <c r="X227" s="474">
        <f t="shared" si="50"/>
        <v>0</v>
      </c>
      <c r="Y227" s="474">
        <f t="shared" si="51"/>
        <v>0</v>
      </c>
      <c r="Z227" s="475">
        <f t="shared" si="52"/>
        <v>0</v>
      </c>
      <c r="AA227" s="475">
        <v>0</v>
      </c>
      <c r="AB227" s="476">
        <v>0</v>
      </c>
      <c r="AC227" s="38">
        <f t="shared" si="53"/>
        <v>0</v>
      </c>
      <c r="AD227" s="692">
        <f t="shared" si="43"/>
        <v>0</v>
      </c>
      <c r="AE227" s="692">
        <f t="shared" si="44"/>
        <v>0</v>
      </c>
      <c r="AF227" s="692">
        <f t="shared" si="45"/>
        <v>0</v>
      </c>
      <c r="AG227" s="38"/>
      <c r="AH227" s="692">
        <f t="shared" si="47"/>
        <v>0</v>
      </c>
      <c r="AI227" s="692">
        <f t="shared" si="48"/>
        <v>0</v>
      </c>
      <c r="AJ227" s="692">
        <f t="shared" si="49"/>
        <v>0</v>
      </c>
      <c r="AL227" s="38">
        <f t="shared" si="46"/>
        <v>0</v>
      </c>
      <c r="AM227" s="123" t="s">
        <v>165</v>
      </c>
    </row>
    <row r="228" spans="1:39" hidden="1">
      <c r="A228" s="20"/>
      <c r="B228" s="20" t="s">
        <v>109</v>
      </c>
      <c r="C228" s="667"/>
      <c r="D228" s="123" t="s">
        <v>310</v>
      </c>
      <c r="E228" s="679"/>
      <c r="F228" s="529">
        <f>VLOOKUP(D228,'Mar14 Revenue'!D:V,19,FALSE)</f>
        <v>0</v>
      </c>
      <c r="G228" s="680"/>
      <c r="H228" s="680"/>
      <c r="I228" s="755"/>
      <c r="J228" s="682">
        <f t="shared" ref="J228:J238" si="69">SUM(E228:I228)</f>
        <v>0</v>
      </c>
      <c r="K228" s="683"/>
      <c r="L228" s="684"/>
      <c r="M228" s="753"/>
      <c r="N228" s="683">
        <v>0</v>
      </c>
      <c r="O228" s="686"/>
      <c r="P228" s="683">
        <v>0</v>
      </c>
      <c r="Q228" s="687">
        <f t="shared" si="68"/>
        <v>0</v>
      </c>
      <c r="R228" s="687"/>
      <c r="S228" s="687"/>
      <c r="T228" s="688">
        <v>0</v>
      </c>
      <c r="U228" s="693"/>
      <c r="V228" s="690">
        <f t="shared" si="67"/>
        <v>0</v>
      </c>
      <c r="W228" s="683"/>
      <c r="X228" s="474">
        <f t="shared" si="50"/>
        <v>0</v>
      </c>
      <c r="Y228" s="474">
        <f t="shared" si="51"/>
        <v>0</v>
      </c>
      <c r="Z228" s="475">
        <f t="shared" si="52"/>
        <v>0</v>
      </c>
      <c r="AA228" s="475">
        <v>0</v>
      </c>
      <c r="AB228" s="476">
        <v>0</v>
      </c>
      <c r="AC228" s="38">
        <f t="shared" si="53"/>
        <v>0</v>
      </c>
      <c r="AD228" s="692">
        <f t="shared" ref="AD228:AD238" si="70">IF(B228="D",J228,0)</f>
        <v>0</v>
      </c>
      <c r="AE228" s="692">
        <f t="shared" ref="AE228:AE238" si="71">IF(B228="M",J228,0)</f>
        <v>0</v>
      </c>
      <c r="AF228" s="692">
        <f t="shared" ref="AF228:AF238" si="72">IF(B228="V",J228,0)</f>
        <v>0</v>
      </c>
      <c r="AG228" s="38"/>
      <c r="AH228" s="692">
        <f t="shared" si="47"/>
        <v>0</v>
      </c>
      <c r="AI228" s="692">
        <f t="shared" si="48"/>
        <v>0</v>
      </c>
      <c r="AJ228" s="692">
        <f t="shared" si="49"/>
        <v>0</v>
      </c>
      <c r="AL228" s="38">
        <f t="shared" ref="AL228:AL238" si="73">SUM(AD228:AJ228)</f>
        <v>0</v>
      </c>
      <c r="AM228" s="123" t="s">
        <v>310</v>
      </c>
    </row>
    <row r="229" spans="1:39" hidden="1">
      <c r="A229" s="20"/>
      <c r="B229" s="20" t="s">
        <v>109</v>
      </c>
      <c r="C229" s="667"/>
      <c r="D229" s="123" t="s">
        <v>441</v>
      </c>
      <c r="E229" s="679"/>
      <c r="F229" s="529">
        <f>VLOOKUP(D229,'Mar14 Revenue'!D:V,19,FALSE)</f>
        <v>0</v>
      </c>
      <c r="G229" s="680"/>
      <c r="H229" s="680"/>
      <c r="I229" s="755"/>
      <c r="J229" s="682">
        <f t="shared" si="69"/>
        <v>0</v>
      </c>
      <c r="K229" s="683"/>
      <c r="L229" s="684"/>
      <c r="M229" s="753"/>
      <c r="N229" s="683">
        <v>0</v>
      </c>
      <c r="O229" s="686"/>
      <c r="P229" s="683">
        <v>0</v>
      </c>
      <c r="Q229" s="687">
        <f t="shared" si="68"/>
        <v>0</v>
      </c>
      <c r="R229" s="687"/>
      <c r="S229" s="687"/>
      <c r="T229" s="688">
        <v>0</v>
      </c>
      <c r="U229" s="693"/>
      <c r="V229" s="690">
        <f t="shared" si="67"/>
        <v>0</v>
      </c>
      <c r="W229" s="683"/>
      <c r="X229" s="474">
        <f t="shared" si="50"/>
        <v>0</v>
      </c>
      <c r="Y229" s="474">
        <f t="shared" si="51"/>
        <v>0</v>
      </c>
      <c r="Z229" s="475">
        <f t="shared" si="52"/>
        <v>0</v>
      </c>
      <c r="AA229" s="475">
        <v>0</v>
      </c>
      <c r="AB229" s="476">
        <v>0</v>
      </c>
      <c r="AC229" s="38">
        <f t="shared" si="53"/>
        <v>0</v>
      </c>
      <c r="AD229" s="692">
        <f t="shared" si="70"/>
        <v>0</v>
      </c>
      <c r="AE229" s="692">
        <f t="shared" si="71"/>
        <v>0</v>
      </c>
      <c r="AF229" s="692">
        <f t="shared" si="72"/>
        <v>0</v>
      </c>
      <c r="AG229" s="38"/>
      <c r="AH229" s="692">
        <f t="shared" ref="AH229:AH238" si="74">IF(B229="D",Q229,0)</f>
        <v>0</v>
      </c>
      <c r="AI229" s="692">
        <f t="shared" ref="AI229:AI238" si="75">IF(B229="M",Q229,0)</f>
        <v>0</v>
      </c>
      <c r="AJ229" s="692">
        <f t="shared" ref="AJ229:AJ238" si="76">IF(B229="V",Q229,0)</f>
        <v>0</v>
      </c>
      <c r="AL229" s="38">
        <f t="shared" si="73"/>
        <v>0</v>
      </c>
      <c r="AM229" s="123" t="s">
        <v>441</v>
      </c>
    </row>
    <row r="230" spans="1:39">
      <c r="A230" s="20"/>
      <c r="B230" s="20" t="s">
        <v>109</v>
      </c>
      <c r="C230" s="667"/>
      <c r="D230" s="68" t="s">
        <v>121</v>
      </c>
      <c r="E230" s="679"/>
      <c r="F230" s="529">
        <f>VLOOKUP(D230,'Mar14 Revenue'!D:V,19,FALSE)</f>
        <v>0</v>
      </c>
      <c r="G230" s="680"/>
      <c r="H230" s="680"/>
      <c r="I230" s="755"/>
      <c r="J230" s="682">
        <f t="shared" si="69"/>
        <v>0</v>
      </c>
      <c r="K230" s="683"/>
      <c r="L230" s="684"/>
      <c r="M230" s="753"/>
      <c r="N230" s="683">
        <v>0</v>
      </c>
      <c r="O230" s="686"/>
      <c r="P230" s="683">
        <v>0</v>
      </c>
      <c r="Q230" s="687">
        <f t="shared" si="68"/>
        <v>0</v>
      </c>
      <c r="R230" s="687"/>
      <c r="S230" s="687"/>
      <c r="T230" s="688">
        <v>0</v>
      </c>
      <c r="U230" s="693"/>
      <c r="V230" s="690">
        <f t="shared" si="67"/>
        <v>0</v>
      </c>
      <c r="W230" s="683"/>
      <c r="X230" s="474">
        <f t="shared" ref="X230:X238" si="77">IF(B230="D",Q230,0)</f>
        <v>0</v>
      </c>
      <c r="Y230" s="474">
        <f t="shared" ref="Y230:Y238" si="78">IF(B230="M",Q230,0)</f>
        <v>0</v>
      </c>
      <c r="Z230" s="475">
        <f t="shared" ref="Z230:Z238" si="79">IF(B230="V",Q230,0)</f>
        <v>0</v>
      </c>
      <c r="AA230" s="475">
        <v>0</v>
      </c>
      <c r="AB230" s="476">
        <v>0</v>
      </c>
      <c r="AC230" s="38">
        <f t="shared" ref="AC230:AC238" si="80">(L230+M230)-(X230+Y230+Z230+AA230+AB230)</f>
        <v>0</v>
      </c>
      <c r="AD230" s="692">
        <f t="shared" si="70"/>
        <v>0</v>
      </c>
      <c r="AE230" s="692">
        <f t="shared" si="71"/>
        <v>0</v>
      </c>
      <c r="AF230" s="692">
        <f t="shared" si="72"/>
        <v>0</v>
      </c>
      <c r="AG230" s="38"/>
      <c r="AH230" s="692">
        <f t="shared" si="74"/>
        <v>0</v>
      </c>
      <c r="AI230" s="692">
        <f t="shared" si="75"/>
        <v>0</v>
      </c>
      <c r="AJ230" s="692">
        <f t="shared" si="76"/>
        <v>0</v>
      </c>
      <c r="AL230" s="38">
        <f t="shared" si="73"/>
        <v>0</v>
      </c>
      <c r="AM230" s="68" t="s">
        <v>121</v>
      </c>
    </row>
    <row r="231" spans="1:39">
      <c r="A231" s="20"/>
      <c r="B231" s="20" t="s">
        <v>110</v>
      </c>
      <c r="C231" s="667"/>
      <c r="D231" s="68" t="s">
        <v>168</v>
      </c>
      <c r="E231" s="679"/>
      <c r="F231" s="529">
        <f>VLOOKUP(D231,'Mar14 Revenue'!D:V,19,FALSE)</f>
        <v>0</v>
      </c>
      <c r="G231" s="680"/>
      <c r="H231" s="680"/>
      <c r="I231" s="755"/>
      <c r="J231" s="682">
        <f t="shared" si="69"/>
        <v>0</v>
      </c>
      <c r="K231" s="683"/>
      <c r="L231" s="684"/>
      <c r="M231" s="753"/>
      <c r="N231" s="683">
        <v>0</v>
      </c>
      <c r="O231" s="686"/>
      <c r="P231" s="683">
        <v>0</v>
      </c>
      <c r="Q231" s="687">
        <f t="shared" si="68"/>
        <v>0</v>
      </c>
      <c r="R231" s="687"/>
      <c r="S231" s="687"/>
      <c r="T231" s="688">
        <v>0</v>
      </c>
      <c r="U231" s="693"/>
      <c r="V231" s="690">
        <f t="shared" si="67"/>
        <v>0</v>
      </c>
      <c r="W231" s="683"/>
      <c r="X231" s="474">
        <f t="shared" si="77"/>
        <v>0</v>
      </c>
      <c r="Y231" s="474">
        <f t="shared" si="78"/>
        <v>0</v>
      </c>
      <c r="Z231" s="475">
        <f t="shared" si="79"/>
        <v>0</v>
      </c>
      <c r="AA231" s="475">
        <v>0</v>
      </c>
      <c r="AB231" s="476">
        <v>0</v>
      </c>
      <c r="AC231" s="38">
        <f t="shared" si="80"/>
        <v>0</v>
      </c>
      <c r="AD231" s="692">
        <f t="shared" si="70"/>
        <v>0</v>
      </c>
      <c r="AE231" s="692">
        <f t="shared" si="71"/>
        <v>0</v>
      </c>
      <c r="AF231" s="692">
        <f t="shared" si="72"/>
        <v>0</v>
      </c>
      <c r="AG231" s="38"/>
      <c r="AH231" s="692">
        <f t="shared" si="74"/>
        <v>0</v>
      </c>
      <c r="AI231" s="692">
        <f t="shared" si="75"/>
        <v>0</v>
      </c>
      <c r="AJ231" s="692">
        <f t="shared" si="76"/>
        <v>0</v>
      </c>
      <c r="AL231" s="38">
        <f t="shared" si="73"/>
        <v>0</v>
      </c>
      <c r="AM231" s="68" t="s">
        <v>168</v>
      </c>
    </row>
    <row r="232" spans="1:39">
      <c r="A232" s="20"/>
      <c r="B232" s="20" t="s">
        <v>109</v>
      </c>
      <c r="C232" s="667" t="s">
        <v>582</v>
      </c>
      <c r="D232" s="68" t="s">
        <v>167</v>
      </c>
      <c r="E232" s="679"/>
      <c r="F232" s="529">
        <f>VLOOKUP(D232,'Mar14 Revenue'!D:V,19,FALSE)</f>
        <v>0</v>
      </c>
      <c r="G232" s="680"/>
      <c r="H232" s="680"/>
      <c r="I232" s="755"/>
      <c r="J232" s="682">
        <f t="shared" si="69"/>
        <v>0</v>
      </c>
      <c r="K232" s="683"/>
      <c r="L232" s="684"/>
      <c r="M232" s="753"/>
      <c r="N232" s="683">
        <v>0</v>
      </c>
      <c r="O232" s="686"/>
      <c r="P232" s="683">
        <v>0</v>
      </c>
      <c r="Q232" s="687">
        <f t="shared" si="68"/>
        <v>0</v>
      </c>
      <c r="R232" s="687"/>
      <c r="S232" s="687"/>
      <c r="T232" s="688">
        <v>0</v>
      </c>
      <c r="U232" s="693"/>
      <c r="V232" s="690">
        <f t="shared" si="67"/>
        <v>0</v>
      </c>
      <c r="W232" s="683"/>
      <c r="X232" s="474">
        <f t="shared" si="77"/>
        <v>0</v>
      </c>
      <c r="Y232" s="474">
        <f t="shared" si="78"/>
        <v>0</v>
      </c>
      <c r="Z232" s="475">
        <f t="shared" si="79"/>
        <v>0</v>
      </c>
      <c r="AA232" s="475">
        <v>0</v>
      </c>
      <c r="AB232" s="476">
        <v>0</v>
      </c>
      <c r="AC232" s="38">
        <f t="shared" si="80"/>
        <v>0</v>
      </c>
      <c r="AD232" s="692">
        <f t="shared" si="70"/>
        <v>0</v>
      </c>
      <c r="AE232" s="692">
        <f t="shared" si="71"/>
        <v>0</v>
      </c>
      <c r="AF232" s="692">
        <f t="shared" si="72"/>
        <v>0</v>
      </c>
      <c r="AG232" s="38"/>
      <c r="AH232" s="692">
        <f t="shared" si="74"/>
        <v>0</v>
      </c>
      <c r="AI232" s="692">
        <f t="shared" si="75"/>
        <v>0</v>
      </c>
      <c r="AJ232" s="692">
        <f t="shared" si="76"/>
        <v>0</v>
      </c>
      <c r="AL232" s="38">
        <f t="shared" si="73"/>
        <v>0</v>
      </c>
      <c r="AM232" s="68" t="s">
        <v>167</v>
      </c>
    </row>
    <row r="233" spans="1:39">
      <c r="A233" s="20" t="s">
        <v>218</v>
      </c>
      <c r="B233" s="20" t="s">
        <v>110</v>
      </c>
      <c r="C233" s="667"/>
      <c r="D233" s="68" t="s">
        <v>60</v>
      </c>
      <c r="E233" s="679"/>
      <c r="F233" s="529">
        <f>VLOOKUP(D233,'Mar14 Revenue'!D:V,19,FALSE)</f>
        <v>-18000</v>
      </c>
      <c r="G233" s="680"/>
      <c r="H233" s="680"/>
      <c r="I233" s="755"/>
      <c r="J233" s="682">
        <f t="shared" si="69"/>
        <v>-18000</v>
      </c>
      <c r="K233" s="683"/>
      <c r="L233" s="684"/>
      <c r="M233" s="753">
        <v>24000</v>
      </c>
      <c r="N233" s="683">
        <v>0</v>
      </c>
      <c r="O233" s="686"/>
      <c r="P233" s="683">
        <v>0</v>
      </c>
      <c r="Q233" s="687">
        <f t="shared" si="68"/>
        <v>24000</v>
      </c>
      <c r="R233" s="687"/>
      <c r="S233" s="687"/>
      <c r="T233" s="688">
        <v>0</v>
      </c>
      <c r="U233" s="693"/>
      <c r="V233" s="690">
        <f t="shared" si="67"/>
        <v>-24000</v>
      </c>
      <c r="W233" s="697"/>
      <c r="X233" s="474">
        <f t="shared" si="77"/>
        <v>24000</v>
      </c>
      <c r="Y233" s="474">
        <f t="shared" si="78"/>
        <v>0</v>
      </c>
      <c r="Z233" s="475">
        <f t="shared" si="79"/>
        <v>0</v>
      </c>
      <c r="AA233" s="475">
        <v>0</v>
      </c>
      <c r="AB233" s="476">
        <v>0</v>
      </c>
      <c r="AC233" s="38">
        <f t="shared" si="80"/>
        <v>0</v>
      </c>
      <c r="AD233" s="692">
        <f t="shared" si="70"/>
        <v>-18000</v>
      </c>
      <c r="AE233" s="692">
        <f t="shared" si="71"/>
        <v>0</v>
      </c>
      <c r="AF233" s="692">
        <f t="shared" si="72"/>
        <v>0</v>
      </c>
      <c r="AG233" s="38"/>
      <c r="AH233" s="692">
        <f t="shared" si="74"/>
        <v>24000</v>
      </c>
      <c r="AI233" s="692">
        <f t="shared" si="75"/>
        <v>0</v>
      </c>
      <c r="AJ233" s="692">
        <f t="shared" si="76"/>
        <v>0</v>
      </c>
      <c r="AL233" s="38">
        <f t="shared" si="73"/>
        <v>6000</v>
      </c>
      <c r="AM233" s="68" t="s">
        <v>60</v>
      </c>
    </row>
    <row r="234" spans="1:39">
      <c r="A234" s="20"/>
      <c r="B234" s="20" t="s">
        <v>110</v>
      </c>
      <c r="C234" s="667" t="s">
        <v>583</v>
      </c>
      <c r="D234" s="68" t="s">
        <v>169</v>
      </c>
      <c r="E234" s="679"/>
      <c r="F234" s="529">
        <f>VLOOKUP(D234,'Mar14 Revenue'!D:V,19,FALSE)</f>
        <v>0</v>
      </c>
      <c r="G234" s="680"/>
      <c r="H234" s="680"/>
      <c r="I234" s="755"/>
      <c r="J234" s="682">
        <f t="shared" si="69"/>
        <v>0</v>
      </c>
      <c r="K234" s="683"/>
      <c r="L234" s="684"/>
      <c r="M234" s="753"/>
      <c r="N234" s="683">
        <v>0</v>
      </c>
      <c r="O234" s="686"/>
      <c r="P234" s="683">
        <v>0</v>
      </c>
      <c r="Q234" s="687">
        <f t="shared" si="68"/>
        <v>0</v>
      </c>
      <c r="R234" s="687"/>
      <c r="S234" s="687"/>
      <c r="T234" s="688">
        <v>0</v>
      </c>
      <c r="U234" s="693"/>
      <c r="V234" s="690">
        <f t="shared" si="67"/>
        <v>0</v>
      </c>
      <c r="W234" s="683"/>
      <c r="X234" s="474">
        <f t="shared" si="77"/>
        <v>0</v>
      </c>
      <c r="Y234" s="474">
        <f t="shared" si="78"/>
        <v>0</v>
      </c>
      <c r="Z234" s="475">
        <f t="shared" si="79"/>
        <v>0</v>
      </c>
      <c r="AA234" s="475">
        <v>0</v>
      </c>
      <c r="AB234" s="476">
        <v>0</v>
      </c>
      <c r="AC234" s="38">
        <f t="shared" si="80"/>
        <v>0</v>
      </c>
      <c r="AD234" s="692">
        <f t="shared" si="70"/>
        <v>0</v>
      </c>
      <c r="AE234" s="692">
        <f t="shared" si="71"/>
        <v>0</v>
      </c>
      <c r="AF234" s="692">
        <f t="shared" si="72"/>
        <v>0</v>
      </c>
      <c r="AG234" s="38"/>
      <c r="AH234" s="692">
        <f t="shared" si="74"/>
        <v>0</v>
      </c>
      <c r="AI234" s="692">
        <f t="shared" si="75"/>
        <v>0</v>
      </c>
      <c r="AJ234" s="692">
        <f t="shared" si="76"/>
        <v>0</v>
      </c>
      <c r="AL234" s="38">
        <f t="shared" si="73"/>
        <v>0</v>
      </c>
      <c r="AM234" s="68" t="s">
        <v>169</v>
      </c>
    </row>
    <row r="235" spans="1:39">
      <c r="A235" s="21"/>
      <c r="B235" s="21" t="s">
        <v>110</v>
      </c>
      <c r="C235" s="666"/>
      <c r="D235" s="821" t="s">
        <v>981</v>
      </c>
      <c r="E235" s="679"/>
      <c r="F235" s="529">
        <f>VLOOKUP(D235,'Mar14 Revenue'!D:V,19,FALSE)</f>
        <v>0</v>
      </c>
      <c r="G235" s="680"/>
      <c r="H235" s="680"/>
      <c r="I235" s="755"/>
      <c r="J235" s="682">
        <f t="shared" si="69"/>
        <v>0</v>
      </c>
      <c r="K235" s="683"/>
      <c r="L235" s="684"/>
      <c r="M235" s="753"/>
      <c r="N235" s="683">
        <v>0</v>
      </c>
      <c r="O235" s="686"/>
      <c r="P235" s="683">
        <v>0</v>
      </c>
      <c r="Q235" s="687">
        <f t="shared" si="68"/>
        <v>0</v>
      </c>
      <c r="R235" s="687"/>
      <c r="S235" s="687"/>
      <c r="T235" s="688">
        <v>0</v>
      </c>
      <c r="U235" s="693"/>
      <c r="V235" s="690">
        <f t="shared" si="67"/>
        <v>0</v>
      </c>
      <c r="W235" s="683"/>
      <c r="X235" s="474">
        <f t="shared" si="77"/>
        <v>0</v>
      </c>
      <c r="Y235" s="474">
        <f t="shared" si="78"/>
        <v>0</v>
      </c>
      <c r="Z235" s="475">
        <f t="shared" si="79"/>
        <v>0</v>
      </c>
      <c r="AA235" s="475">
        <v>0</v>
      </c>
      <c r="AB235" s="476">
        <v>0</v>
      </c>
      <c r="AC235" s="38">
        <f t="shared" si="80"/>
        <v>0</v>
      </c>
      <c r="AD235" s="692">
        <f t="shared" si="70"/>
        <v>0</v>
      </c>
      <c r="AE235" s="692">
        <f t="shared" si="71"/>
        <v>0</v>
      </c>
      <c r="AF235" s="692">
        <f t="shared" si="72"/>
        <v>0</v>
      </c>
      <c r="AG235" s="38"/>
      <c r="AH235" s="692">
        <f t="shared" si="74"/>
        <v>0</v>
      </c>
      <c r="AI235" s="692">
        <f t="shared" si="75"/>
        <v>0</v>
      </c>
      <c r="AJ235" s="692">
        <f t="shared" si="76"/>
        <v>0</v>
      </c>
      <c r="AL235" s="38">
        <f t="shared" si="73"/>
        <v>0</v>
      </c>
      <c r="AM235" s="821" t="s">
        <v>981</v>
      </c>
    </row>
    <row r="236" spans="1:39">
      <c r="A236" s="21"/>
      <c r="B236" s="21" t="s">
        <v>114</v>
      </c>
      <c r="C236" s="666"/>
      <c r="D236" s="68" t="s">
        <v>591</v>
      </c>
      <c r="E236" s="679"/>
      <c r="F236" s="529">
        <f>VLOOKUP(D236,'Mar14 Revenue'!D:V,19,FALSE)</f>
        <v>4628.41</v>
      </c>
      <c r="G236" s="680"/>
      <c r="H236" s="680"/>
      <c r="I236" s="755"/>
      <c r="J236" s="682">
        <f t="shared" si="69"/>
        <v>4628.41</v>
      </c>
      <c r="K236" s="683"/>
      <c r="L236" s="684"/>
      <c r="M236" s="753"/>
      <c r="N236" s="683">
        <v>0</v>
      </c>
      <c r="O236" s="686"/>
      <c r="P236" s="683">
        <v>0</v>
      </c>
      <c r="Q236" s="687">
        <f t="shared" si="68"/>
        <v>0</v>
      </c>
      <c r="R236" s="687"/>
      <c r="S236" s="687"/>
      <c r="T236" s="688">
        <f>1816.26+469.07+623.96+397.26</f>
        <v>3306.55</v>
      </c>
      <c r="U236" s="693"/>
      <c r="V236" s="690">
        <f t="shared" si="67"/>
        <v>3306.55</v>
      </c>
      <c r="W236" s="683"/>
      <c r="X236" s="474">
        <f t="shared" si="77"/>
        <v>0</v>
      </c>
      <c r="Y236" s="474">
        <f t="shared" si="78"/>
        <v>0</v>
      </c>
      <c r="Z236" s="475">
        <f t="shared" si="79"/>
        <v>0</v>
      </c>
      <c r="AA236" s="475">
        <v>0</v>
      </c>
      <c r="AB236" s="476">
        <v>0</v>
      </c>
      <c r="AC236" s="38">
        <f t="shared" si="80"/>
        <v>0</v>
      </c>
      <c r="AD236" s="692">
        <f t="shared" si="70"/>
        <v>0</v>
      </c>
      <c r="AE236" s="692">
        <f t="shared" si="71"/>
        <v>0</v>
      </c>
      <c r="AF236" s="692">
        <f t="shared" si="72"/>
        <v>4628.41</v>
      </c>
      <c r="AG236" s="38"/>
      <c r="AH236" s="692">
        <f t="shared" si="74"/>
        <v>0</v>
      </c>
      <c r="AI236" s="692">
        <f t="shared" si="75"/>
        <v>0</v>
      </c>
      <c r="AJ236" s="692">
        <f t="shared" si="76"/>
        <v>0</v>
      </c>
      <c r="AL236" s="38">
        <f t="shared" si="73"/>
        <v>4628.41</v>
      </c>
      <c r="AM236" s="68" t="s">
        <v>591</v>
      </c>
    </row>
    <row r="237" spans="1:39">
      <c r="A237" s="21"/>
      <c r="B237" s="21" t="s">
        <v>114</v>
      </c>
      <c r="C237" s="672"/>
      <c r="D237" s="519" t="s">
        <v>433</v>
      </c>
      <c r="E237" s="679"/>
      <c r="F237" s="529">
        <f>VLOOKUP(D237,'Mar14 Revenue'!D:V,19,FALSE)</f>
        <v>0</v>
      </c>
      <c r="G237" s="680"/>
      <c r="H237" s="680"/>
      <c r="I237" s="755"/>
      <c r="J237" s="682">
        <f t="shared" si="69"/>
        <v>0</v>
      </c>
      <c r="K237" s="683"/>
      <c r="L237" s="684"/>
      <c r="M237" s="753"/>
      <c r="N237" s="683">
        <v>0</v>
      </c>
      <c r="O237" s="686"/>
      <c r="P237" s="683">
        <v>0</v>
      </c>
      <c r="Q237" s="687">
        <f t="shared" si="68"/>
        <v>0</v>
      </c>
      <c r="R237" s="687"/>
      <c r="S237" s="687"/>
      <c r="T237" s="688">
        <v>0</v>
      </c>
      <c r="U237" s="693"/>
      <c r="V237" s="690">
        <f t="shared" si="67"/>
        <v>0</v>
      </c>
      <c r="W237" s="683"/>
      <c r="X237" s="474">
        <f t="shared" si="77"/>
        <v>0</v>
      </c>
      <c r="Y237" s="474">
        <f t="shared" si="78"/>
        <v>0</v>
      </c>
      <c r="Z237" s="475">
        <f t="shared" si="79"/>
        <v>0</v>
      </c>
      <c r="AA237" s="475">
        <v>0</v>
      </c>
      <c r="AB237" s="476">
        <v>0</v>
      </c>
      <c r="AC237" s="38">
        <f t="shared" si="80"/>
        <v>0</v>
      </c>
      <c r="AD237" s="692">
        <f t="shared" si="70"/>
        <v>0</v>
      </c>
      <c r="AE237" s="692">
        <f t="shared" si="71"/>
        <v>0</v>
      </c>
      <c r="AF237" s="692">
        <f t="shared" si="72"/>
        <v>0</v>
      </c>
      <c r="AG237" s="38"/>
      <c r="AH237" s="692">
        <f t="shared" si="74"/>
        <v>0</v>
      </c>
      <c r="AI237" s="692">
        <f t="shared" si="75"/>
        <v>0</v>
      </c>
      <c r="AJ237" s="692">
        <f t="shared" si="76"/>
        <v>0</v>
      </c>
      <c r="AL237" s="38">
        <f t="shared" si="73"/>
        <v>0</v>
      </c>
      <c r="AM237" s="519" t="s">
        <v>433</v>
      </c>
    </row>
    <row r="238" spans="1:39" s="146" customFormat="1" ht="13" thickBot="1">
      <c r="A238" s="21"/>
      <c r="B238" s="21" t="s">
        <v>110</v>
      </c>
      <c r="C238" s="666"/>
      <c r="D238" s="68" t="s">
        <v>1020</v>
      </c>
      <c r="E238" s="679"/>
      <c r="F238" s="529">
        <f>VLOOKUP(D238,'Mar14 Revenue'!D:V,19,FALSE)</f>
        <v>0</v>
      </c>
      <c r="G238" s="680"/>
      <c r="H238" s="680"/>
      <c r="I238" s="755">
        <f>40609.87+26000</f>
        <v>66609.87</v>
      </c>
      <c r="J238" s="682">
        <f t="shared" si="69"/>
        <v>66609.87</v>
      </c>
      <c r="K238" s="683"/>
      <c r="L238" s="684"/>
      <c r="M238" s="753"/>
      <c r="N238" s="683">
        <v>0</v>
      </c>
      <c r="O238" s="686"/>
      <c r="P238" s="683">
        <v>0</v>
      </c>
      <c r="Q238" s="687">
        <f t="shared" si="68"/>
        <v>0</v>
      </c>
      <c r="R238" s="687"/>
      <c r="S238" s="687"/>
      <c r="T238" s="688">
        <v>0</v>
      </c>
      <c r="U238" s="693"/>
      <c r="V238" s="690">
        <f t="shared" ref="V238" si="81">IF(T238="","",T238-Q238)</f>
        <v>0</v>
      </c>
      <c r="W238" s="683"/>
      <c r="X238" s="474">
        <f t="shared" si="77"/>
        <v>0</v>
      </c>
      <c r="Y238" s="474">
        <f t="shared" si="78"/>
        <v>0</v>
      </c>
      <c r="Z238" s="475">
        <f t="shared" si="79"/>
        <v>0</v>
      </c>
      <c r="AA238" s="475">
        <v>0</v>
      </c>
      <c r="AB238" s="476">
        <v>0</v>
      </c>
      <c r="AC238" s="38">
        <f t="shared" si="80"/>
        <v>0</v>
      </c>
      <c r="AD238" s="692">
        <f t="shared" si="70"/>
        <v>66609.87</v>
      </c>
      <c r="AE238" s="692">
        <f t="shared" si="71"/>
        <v>0</v>
      </c>
      <c r="AF238" s="692">
        <f t="shared" si="72"/>
        <v>0</v>
      </c>
      <c r="AG238" s="38"/>
      <c r="AH238" s="692">
        <f t="shared" si="74"/>
        <v>0</v>
      </c>
      <c r="AI238" s="692">
        <f t="shared" si="75"/>
        <v>0</v>
      </c>
      <c r="AJ238" s="692">
        <f t="shared" si="76"/>
        <v>0</v>
      </c>
      <c r="AL238" s="38">
        <f t="shared" si="73"/>
        <v>66609.87</v>
      </c>
      <c r="AM238" s="68" t="s">
        <v>593</v>
      </c>
    </row>
    <row r="239" spans="1:39" ht="13" thickBot="1">
      <c r="A239" s="107"/>
      <c r="B239" s="108"/>
      <c r="C239" s="673"/>
      <c r="D239" s="71" t="s">
        <v>86</v>
      </c>
      <c r="E239" s="454">
        <f t="shared" ref="E239:J239" si="82">SUM(E16:E238)</f>
        <v>1396950.24</v>
      </c>
      <c r="F239" s="454">
        <f t="shared" si="82"/>
        <v>-756832.76</v>
      </c>
      <c r="G239" s="454">
        <f t="shared" si="82"/>
        <v>0</v>
      </c>
      <c r="H239" s="454">
        <f t="shared" si="82"/>
        <v>0</v>
      </c>
      <c r="I239" s="454">
        <f t="shared" si="82"/>
        <v>12029282.250695998</v>
      </c>
      <c r="J239" s="454">
        <f t="shared" si="82"/>
        <v>12669399.730696</v>
      </c>
      <c r="K239" s="454"/>
      <c r="L239" s="454">
        <f>SUM(L16:L238)</f>
        <v>551000</v>
      </c>
      <c r="M239" s="454">
        <f>SUM(M16:M238)</f>
        <v>11236442.49</v>
      </c>
      <c r="N239" s="454">
        <f>SUM(N16:N238)</f>
        <v>0</v>
      </c>
      <c r="O239" s="100">
        <f>SUM(O16:O238)</f>
        <v>0</v>
      </c>
      <c r="P239" s="157">
        <f>SUM(P17:P238)</f>
        <v>0</v>
      </c>
      <c r="Q239" s="100">
        <f>SUM(Q16:Q238)</f>
        <v>11787442.49</v>
      </c>
      <c r="R239" s="100"/>
      <c r="S239" s="100"/>
      <c r="T239" s="100">
        <f>SUM(T16:T238)</f>
        <v>10609321.42</v>
      </c>
      <c r="U239" s="708"/>
      <c r="V239" s="100">
        <f>SUM(V16:V238)</f>
        <v>-1178121.0700000003</v>
      </c>
      <c r="W239" s="683"/>
      <c r="X239" s="314">
        <f>SUM(X16:X238)</f>
        <v>11019442.49</v>
      </c>
      <c r="Y239" s="314">
        <f>SUM(Y16:Y238)</f>
        <v>589000</v>
      </c>
      <c r="Z239" s="314">
        <f>SUM(Z16:Z238)</f>
        <v>179000</v>
      </c>
      <c r="AA239" s="314">
        <f>SUM(AA16:AA238)</f>
        <v>0</v>
      </c>
      <c r="AB239" s="314">
        <f>SUM(AB16:AB238)</f>
        <v>0</v>
      </c>
      <c r="AC239" s="38"/>
      <c r="AD239" s="314">
        <f>SUM(AD16:AD238)</f>
        <v>12238420.320696</v>
      </c>
      <c r="AE239" s="314">
        <f>SUM(AE16:AE238)</f>
        <v>441085.50999999989</v>
      </c>
      <c r="AF239" s="314">
        <f>SUM(AF16:AF238)</f>
        <v>-10106.100000000002</v>
      </c>
      <c r="AG239" s="38"/>
      <c r="AH239" s="314">
        <f>SUM(AH16:AH238)</f>
        <v>11019442.49</v>
      </c>
      <c r="AI239" s="314">
        <f>SUM(AI16:AI238)</f>
        <v>589000</v>
      </c>
      <c r="AJ239" s="314">
        <f>SUM(AJ16:AJ238)</f>
        <v>179000</v>
      </c>
    </row>
    <row r="240" spans="1:39" ht="13" thickBot="1">
      <c r="A240" s="65"/>
      <c r="B240" s="65"/>
      <c r="C240" s="674"/>
      <c r="D240" s="141"/>
      <c r="E240" s="709" t="s">
        <v>293</v>
      </c>
      <c r="F240" s="160">
        <f>F239+E239</f>
        <v>640117.48</v>
      </c>
      <c r="G240" s="153"/>
      <c r="H240" s="153" t="s">
        <v>225</v>
      </c>
      <c r="I240" s="153">
        <f>I239+H239+G239</f>
        <v>12029282.250695998</v>
      </c>
      <c r="J240" s="323"/>
      <c r="K240" s="153"/>
      <c r="L240" s="153" t="s">
        <v>296</v>
      </c>
      <c r="M240" s="100">
        <f>M239+L239</f>
        <v>11787442.49</v>
      </c>
      <c r="N240" s="153"/>
      <c r="O240" s="641"/>
      <c r="P240" s="153"/>
      <c r="Q240" s="153"/>
      <c r="R240" s="153"/>
      <c r="S240" s="153"/>
      <c r="T240" s="153"/>
      <c r="U240" s="153"/>
      <c r="V240" s="153"/>
      <c r="W240" s="153"/>
      <c r="X240" s="139"/>
      <c r="Y240" s="139"/>
      <c r="Z240" s="139"/>
      <c r="AA240" s="139"/>
      <c r="AB240" s="104"/>
      <c r="AC240" s="38"/>
      <c r="AD240" s="711"/>
      <c r="AE240" s="711"/>
      <c r="AF240" s="711"/>
      <c r="AG240" s="38"/>
      <c r="AH240" s="38"/>
      <c r="AI240" s="38"/>
      <c r="AJ240" s="38"/>
    </row>
    <row r="241" spans="1:38" ht="13" thickBot="1">
      <c r="A241" s="65"/>
      <c r="B241" s="65"/>
      <c r="C241" s="674"/>
      <c r="E241" s="159"/>
      <c r="F241" s="153"/>
      <c r="G241" s="153"/>
      <c r="H241" s="153"/>
      <c r="I241" s="153"/>
      <c r="J241" s="153"/>
      <c r="K241" s="153"/>
      <c r="L241" s="153"/>
      <c r="M241" s="710"/>
      <c r="N241" s="153"/>
      <c r="O241" s="153"/>
      <c r="P241" s="153"/>
      <c r="Q241" s="153"/>
      <c r="R241" s="153"/>
      <c r="S241" s="153"/>
      <c r="T241" s="153"/>
      <c r="U241" s="153"/>
      <c r="V241" s="153"/>
      <c r="W241" s="153"/>
      <c r="X241" s="331" t="s">
        <v>345</v>
      </c>
      <c r="Y241" s="139"/>
      <c r="Z241" s="139"/>
      <c r="AA241" s="139"/>
      <c r="AB241" s="104"/>
      <c r="AC241" s="164" t="s">
        <v>633</v>
      </c>
      <c r="AD241" s="798"/>
      <c r="AE241" s="798"/>
      <c r="AF241" s="798"/>
      <c r="AG241" s="38"/>
      <c r="AH241" s="711"/>
      <c r="AI241" s="711"/>
      <c r="AJ241" s="711"/>
    </row>
    <row r="242" spans="1:38" ht="17" thickTop="1" thickBot="1">
      <c r="E242" s="712"/>
      <c r="F242" s="713"/>
      <c r="G242" s="714"/>
      <c r="H242" s="715"/>
      <c r="I242" s="715"/>
      <c r="J242" s="164"/>
      <c r="K242" s="169"/>
      <c r="L242" s="233"/>
      <c r="M242" s="233"/>
      <c r="N242" s="38"/>
      <c r="O242" s="642"/>
      <c r="P242" s="139"/>
      <c r="Q242" s="139"/>
      <c r="R242" s="139"/>
      <c r="S242" s="139"/>
      <c r="T242" s="33"/>
      <c r="U242" s="33"/>
      <c r="V242" s="33"/>
      <c r="W242" s="169"/>
      <c r="X242" s="332"/>
      <c r="Y242" s="333"/>
      <c r="Z242" s="491"/>
      <c r="AA242" s="491"/>
      <c r="AB242" s="334"/>
      <c r="AC242" s="164" t="s">
        <v>634</v>
      </c>
      <c r="AD242" s="798"/>
      <c r="AE242" s="798"/>
      <c r="AF242" s="802"/>
      <c r="AG242" s="38"/>
      <c r="AH242" s="38"/>
      <c r="AI242" s="38"/>
      <c r="AJ242" s="38"/>
    </row>
    <row r="243" spans="1:38" ht="17" thickBot="1">
      <c r="E243" s="712"/>
      <c r="F243" s="713"/>
      <c r="G243" s="714"/>
      <c r="H243" s="715"/>
      <c r="J243" s="79">
        <f>J239</f>
        <v>12669399.730696</v>
      </c>
      <c r="K243" s="715" t="s">
        <v>1073</v>
      </c>
      <c r="L243" s="169"/>
      <c r="M243" s="493"/>
      <c r="N243" s="38"/>
      <c r="O243" s="80"/>
      <c r="P243" s="104"/>
      <c r="Q243" s="139"/>
      <c r="R243" s="139"/>
      <c r="S243" s="139"/>
      <c r="T243" s="33"/>
      <c r="U243" s="33"/>
      <c r="V243" s="33"/>
      <c r="W243" s="169"/>
      <c r="X243" s="487"/>
      <c r="Y243" s="488"/>
      <c r="Z243" s="492" t="s">
        <v>399</v>
      </c>
      <c r="AA243" s="492" t="s">
        <v>400</v>
      </c>
      <c r="AB243" s="488"/>
      <c r="AC243" s="717" t="s">
        <v>475</v>
      </c>
      <c r="AD243" s="718">
        <f>SUM(AD239:AD242)</f>
        <v>12238420.320696</v>
      </c>
      <c r="AE243" s="718">
        <f>AE239</f>
        <v>441085.50999999989</v>
      </c>
      <c r="AF243" s="718">
        <f>SUM(AF239:AF242)</f>
        <v>-10106.100000000002</v>
      </c>
      <c r="AG243" s="718"/>
      <c r="AH243" s="718">
        <f>AH239</f>
        <v>11019442.49</v>
      </c>
      <c r="AI243" s="718">
        <f>AI239</f>
        <v>589000</v>
      </c>
      <c r="AJ243" s="719">
        <f>AJ239</f>
        <v>179000</v>
      </c>
      <c r="AL243" s="38">
        <f>SUM(AL17:AL242)</f>
        <v>24456842.220696002</v>
      </c>
    </row>
    <row r="244" spans="1:38" ht="15" thickBot="1">
      <c r="D244" s="143"/>
      <c r="E244" s="759"/>
      <c r="F244" s="713"/>
      <c r="G244" s="714"/>
      <c r="H244" s="720"/>
      <c r="J244" s="750" t="e">
        <f>SUM('June GL'!#REF!)</f>
        <v>#REF!</v>
      </c>
      <c r="K244" s="757" t="s">
        <v>251</v>
      </c>
      <c r="L244" s="722"/>
      <c r="M244" s="642"/>
      <c r="N244" s="33"/>
      <c r="O244" s="80"/>
      <c r="P244" s="104"/>
      <c r="Q244" s="139"/>
      <c r="R244" s="139"/>
      <c r="S244" s="139"/>
      <c r="T244" s="33"/>
      <c r="U244" s="33"/>
      <c r="V244" s="33"/>
      <c r="W244" s="169"/>
      <c r="X244" s="158" t="s">
        <v>609</v>
      </c>
      <c r="Y244" s="104" t="s">
        <v>352</v>
      </c>
      <c r="Z244" s="104">
        <f>X239+Y239+Z239</f>
        <v>11787442.49</v>
      </c>
      <c r="AA244" s="104"/>
      <c r="AB244" s="136"/>
      <c r="AC244" s="723"/>
      <c r="AD244" s="38"/>
      <c r="AE244" s="38"/>
      <c r="AF244" s="38"/>
      <c r="AG244" s="38"/>
      <c r="AH244" s="38"/>
      <c r="AI244" s="38"/>
      <c r="AJ244" s="38"/>
    </row>
    <row r="245" spans="1:38" ht="15" thickTop="1">
      <c r="D245" s="143"/>
      <c r="E245" s="712"/>
      <c r="F245" s="713"/>
      <c r="G245" s="714"/>
      <c r="H245" s="714" t="s">
        <v>249</v>
      </c>
      <c r="I245" s="35"/>
      <c r="J245" s="824" t="e">
        <f>J244+J243</f>
        <v>#REF!</v>
      </c>
      <c r="K245" s="714" t="s">
        <v>454</v>
      </c>
      <c r="L245" s="722"/>
      <c r="M245" s="80"/>
      <c r="N245" s="104"/>
      <c r="O245" s="824"/>
      <c r="P245" s="104"/>
      <c r="Q245" s="826"/>
      <c r="R245" s="139"/>
      <c r="S245" s="139"/>
      <c r="T245" s="139"/>
      <c r="U245" s="139"/>
      <c r="V245" s="139"/>
      <c r="W245" s="169"/>
      <c r="X245" s="158"/>
      <c r="Y245" s="104"/>
      <c r="Z245" s="104"/>
      <c r="AA245" s="104"/>
      <c r="AB245" s="136"/>
      <c r="AC245" s="723"/>
      <c r="AD245" s="38"/>
      <c r="AE245" s="38"/>
      <c r="AF245" s="38" t="s">
        <v>86</v>
      </c>
      <c r="AG245" s="38"/>
      <c r="AH245" s="233">
        <f>SUM(AD243+AH243)</f>
        <v>23257862.810695998</v>
      </c>
      <c r="AI245" s="233">
        <f t="shared" ref="AI245:AJ245" si="83">SUM(AE243+AI243)</f>
        <v>1030085.5099999999</v>
      </c>
      <c r="AJ245" s="233">
        <f t="shared" si="83"/>
        <v>168893.9</v>
      </c>
    </row>
    <row r="246" spans="1:38" ht="14">
      <c r="D246" s="143"/>
      <c r="E246" s="712"/>
      <c r="F246" s="713"/>
      <c r="G246" s="714"/>
      <c r="H246" s="714"/>
      <c r="J246" s="80"/>
      <c r="K246" s="714"/>
      <c r="L246" s="722"/>
      <c r="M246" s="104"/>
      <c r="N246" s="38"/>
      <c r="O246" s="139"/>
      <c r="P246" s="104"/>
      <c r="Q246" s="139"/>
      <c r="R246" s="139"/>
      <c r="S246" s="139"/>
      <c r="T246" s="139"/>
      <c r="U246" s="139"/>
      <c r="V246" s="139"/>
      <c r="W246" s="169"/>
      <c r="X246" s="158" t="s">
        <v>600</v>
      </c>
      <c r="Y246" s="104" t="s">
        <v>355</v>
      </c>
      <c r="Z246" s="104"/>
      <c r="AA246" s="104">
        <f>X239</f>
        <v>11019442.49</v>
      </c>
      <c r="AB246" s="136"/>
      <c r="AC246" s="38"/>
      <c r="AD246" s="797" t="s">
        <v>882</v>
      </c>
      <c r="AE246" s="38"/>
      <c r="AF246" s="38"/>
      <c r="AG246" s="38"/>
      <c r="AH246" s="233"/>
      <c r="AI246" s="233"/>
      <c r="AJ246" s="233"/>
    </row>
    <row r="247" spans="1:38" ht="15" thickBot="1">
      <c r="D247" s="143" t="s">
        <v>823</v>
      </c>
      <c r="E247" s="712"/>
      <c r="F247" s="713"/>
      <c r="G247" s="714"/>
      <c r="H247" s="714"/>
      <c r="J247" s="661">
        <f>M240</f>
        <v>11787442.49</v>
      </c>
      <c r="K247" s="714" t="s">
        <v>1074</v>
      </c>
      <c r="L247" s="645"/>
      <c r="M247" s="173"/>
      <c r="N247" s="38"/>
      <c r="O247" s="139"/>
      <c r="P247" s="104"/>
      <c r="Q247" s="139"/>
      <c r="R247" s="139"/>
      <c r="S247" s="139"/>
      <c r="T247" s="726"/>
      <c r="U247" s="139"/>
      <c r="V247" s="727"/>
      <c r="W247" s="169"/>
      <c r="X247" s="158"/>
      <c r="Y247" s="104" t="s">
        <v>356</v>
      </c>
      <c r="Z247" s="104"/>
      <c r="AA247" s="104">
        <f>AA239</f>
        <v>0</v>
      </c>
      <c r="AB247" s="136"/>
      <c r="AC247" s="38"/>
      <c r="AD247" s="38"/>
      <c r="AE247" s="38"/>
      <c r="AF247" s="38"/>
      <c r="AG247" s="38"/>
      <c r="AH247" s="799" t="s">
        <v>897</v>
      </c>
      <c r="AI247" s="801">
        <f>SUM(AH245:AJ245)</f>
        <v>24456842.220695999</v>
      </c>
      <c r="AJ247" s="800"/>
    </row>
    <row r="248" spans="1:38" ht="16" thickTop="1" thickBot="1">
      <c r="D248" s="143"/>
      <c r="E248" s="712"/>
      <c r="F248" s="713"/>
      <c r="G248" s="714"/>
      <c r="H248" s="714"/>
      <c r="J248" s="824" t="e">
        <f>SUM(J245:J247)</f>
        <v>#REF!</v>
      </c>
      <c r="K248" s="714"/>
      <c r="L248" s="722"/>
      <c r="M248" s="173"/>
      <c r="N248" s="38"/>
      <c r="O248" s="33"/>
      <c r="P248" s="38"/>
      <c r="Q248" s="139"/>
      <c r="R248" s="139"/>
      <c r="S248" s="139"/>
      <c r="T248" s="139"/>
      <c r="U248" s="139"/>
      <c r="V248" s="139"/>
      <c r="W248" s="169"/>
      <c r="X248" s="158"/>
      <c r="Y248" s="104"/>
      <c r="Z248" s="104"/>
      <c r="AA248" s="104"/>
      <c r="AB248" s="136"/>
      <c r="AC248" s="38"/>
      <c r="AD248" s="38"/>
      <c r="AE248" s="38"/>
      <c r="AF248" s="38"/>
      <c r="AG248" s="38"/>
    </row>
    <row r="249" spans="1:38" ht="15" thickBot="1">
      <c r="E249" s="712"/>
      <c r="F249" s="713"/>
      <c r="G249" s="714"/>
      <c r="H249" s="714"/>
      <c r="J249" s="754">
        <f>J243+J247</f>
        <v>24456842.220696002</v>
      </c>
      <c r="K249" s="714" t="s">
        <v>1075</v>
      </c>
      <c r="L249" s="722"/>
      <c r="M249" s="173"/>
      <c r="N249" s="38"/>
      <c r="O249" s="33"/>
      <c r="P249" s="38"/>
      <c r="Q249" s="139"/>
      <c r="R249" s="139"/>
      <c r="S249" s="139"/>
      <c r="T249" s="139"/>
      <c r="U249" s="139"/>
      <c r="V249" s="139"/>
      <c r="W249" s="169"/>
      <c r="X249" s="158" t="s">
        <v>601</v>
      </c>
      <c r="Y249" s="104" t="s">
        <v>357</v>
      </c>
      <c r="Z249" s="104"/>
      <c r="AA249" s="104">
        <f>Y239</f>
        <v>589000</v>
      </c>
      <c r="AB249" s="136"/>
      <c r="AC249" s="38"/>
      <c r="AD249" s="38"/>
      <c r="AE249" s="38"/>
      <c r="AF249" s="38"/>
      <c r="AG249" s="38"/>
      <c r="AH249" s="796" t="s">
        <v>857</v>
      </c>
      <c r="AI249" s="38">
        <f>AI247-AJ245</f>
        <v>24287948.320696</v>
      </c>
      <c r="AJ249" s="38"/>
    </row>
    <row r="250" spans="1:38">
      <c r="D250" s="161"/>
      <c r="E250" s="712"/>
      <c r="F250" s="713"/>
      <c r="G250" s="714"/>
      <c r="H250" s="714"/>
      <c r="J250" s="637"/>
      <c r="K250" s="714"/>
      <c r="L250" s="173"/>
      <c r="M250" s="731"/>
      <c r="N250" s="38"/>
      <c r="O250" s="33"/>
      <c r="P250" s="38"/>
      <c r="Q250" s="139"/>
      <c r="R250" s="139"/>
      <c r="S250" s="139"/>
      <c r="T250" s="139"/>
      <c r="U250" s="139"/>
      <c r="V250" s="139"/>
      <c r="W250" s="169"/>
      <c r="X250" s="415"/>
      <c r="Y250" s="104" t="s">
        <v>358</v>
      </c>
      <c r="Z250" s="104"/>
      <c r="AA250" s="104">
        <f>AB239</f>
        <v>0</v>
      </c>
      <c r="AB250" s="136"/>
      <c r="AC250" s="38"/>
      <c r="AD250" s="38"/>
      <c r="AE250" s="38"/>
      <c r="AF250" s="38"/>
      <c r="AG250" s="38"/>
      <c r="AH250" s="38"/>
      <c r="AI250" s="38"/>
      <c r="AJ250" s="38"/>
    </row>
    <row r="251" spans="1:38">
      <c r="E251" s="712"/>
      <c r="F251" s="713"/>
      <c r="G251" s="714"/>
      <c r="H251" s="714"/>
      <c r="J251" s="658">
        <f>SUM(AD243:AJ243)</f>
        <v>24456842.220696002</v>
      </c>
      <c r="K251" s="714" t="s">
        <v>518</v>
      </c>
      <c r="L251" s="732"/>
      <c r="M251" s="637"/>
      <c r="N251" s="38"/>
      <c r="O251" s="33"/>
      <c r="P251" s="38"/>
      <c r="Q251" s="139"/>
      <c r="R251" s="139"/>
      <c r="S251" s="139"/>
      <c r="T251" s="139"/>
      <c r="U251" s="139"/>
      <c r="V251" s="139"/>
      <c r="W251" s="169"/>
      <c r="X251" s="415"/>
      <c r="Y251" s="104"/>
      <c r="Z251" s="104"/>
      <c r="AA251" s="104"/>
      <c r="AB251" s="136"/>
      <c r="AC251" s="38"/>
      <c r="AD251" s="38"/>
      <c r="AE251" s="38"/>
      <c r="AF251" s="38"/>
      <c r="AG251" s="38"/>
      <c r="AH251" s="38"/>
      <c r="AI251" s="38"/>
      <c r="AJ251" s="38"/>
    </row>
    <row r="252" spans="1:38" ht="13" thickBot="1">
      <c r="E252" s="712"/>
      <c r="F252" s="713"/>
      <c r="G252" s="714"/>
      <c r="H252" s="714"/>
      <c r="J252" s="169"/>
      <c r="K252" s="714" t="s">
        <v>454</v>
      </c>
      <c r="L252" s="733"/>
      <c r="M252" s="795"/>
      <c r="N252" s="38"/>
      <c r="O252" s="33"/>
      <c r="P252" s="38"/>
      <c r="Q252" s="139"/>
      <c r="R252" s="139"/>
      <c r="S252" s="139"/>
      <c r="T252" s="139"/>
      <c r="U252" s="139"/>
      <c r="V252" s="139"/>
      <c r="W252" s="169"/>
      <c r="X252" s="158" t="s">
        <v>602</v>
      </c>
      <c r="Y252" s="488" t="s">
        <v>359</v>
      </c>
      <c r="Z252" s="488"/>
      <c r="AA252" s="488">
        <f>Z239</f>
        <v>179000</v>
      </c>
      <c r="AB252" s="414"/>
      <c r="AC252" s="38"/>
      <c r="AD252" s="38"/>
      <c r="AE252" s="38"/>
      <c r="AF252" s="38"/>
      <c r="AG252" s="38"/>
      <c r="AH252" s="38"/>
      <c r="AI252" s="38"/>
      <c r="AJ252" s="38"/>
    </row>
    <row r="253" spans="1:38" ht="15" thickBot="1">
      <c r="E253" s="712"/>
      <c r="F253" s="713"/>
      <c r="G253" s="714"/>
      <c r="H253" s="714"/>
      <c r="J253" s="736"/>
      <c r="K253" s="714" t="s">
        <v>519</v>
      </c>
      <c r="L253" s="169"/>
      <c r="M253" s="169"/>
      <c r="N253" s="38"/>
      <c r="O253" s="33"/>
      <c r="P253" s="38"/>
      <c r="Q253" s="33"/>
      <c r="R253" s="33"/>
      <c r="S253" s="33"/>
      <c r="T253" s="33"/>
      <c r="U253" s="33"/>
      <c r="V253" s="33"/>
      <c r="W253" s="169"/>
      <c r="X253" s="416"/>
      <c r="Y253" s="104"/>
      <c r="Z253" s="80">
        <f>SUM(Z244:Z252)</f>
        <v>11787442.49</v>
      </c>
      <c r="AA253" s="80">
        <f>SUM(AA244:AA252)</f>
        <v>11787442.49</v>
      </c>
      <c r="AB253" s="136"/>
      <c r="AC253" s="38"/>
      <c r="AD253" s="38"/>
      <c r="AE253" s="38"/>
      <c r="AF253" s="38"/>
      <c r="AG253" s="38"/>
      <c r="AH253" s="38"/>
      <c r="AI253" s="822">
        <f>SUM(AI245/AI249)</f>
        <v>4.2411384296394183E-2</v>
      </c>
      <c r="AJ253" s="38"/>
    </row>
    <row r="254" spans="1:38">
      <c r="E254" s="712"/>
      <c r="F254" s="713"/>
      <c r="G254" s="714"/>
      <c r="H254" s="714"/>
      <c r="I254" s="714"/>
      <c r="J254" s="169"/>
      <c r="K254" s="169"/>
      <c r="L254" s="169"/>
      <c r="M254" s="169"/>
      <c r="N254" s="38"/>
      <c r="O254" s="33"/>
      <c r="P254" s="38"/>
      <c r="Q254" s="33"/>
      <c r="R254" s="33"/>
      <c r="S254" s="33"/>
      <c r="T254" s="33"/>
      <c r="U254" s="33"/>
      <c r="V254" s="33"/>
      <c r="W254" s="169"/>
      <c r="X254" s="416"/>
      <c r="Y254" s="104"/>
      <c r="Z254" s="104"/>
      <c r="AA254" s="104"/>
      <c r="AB254" s="136"/>
      <c r="AC254" s="38"/>
      <c r="AD254" s="38"/>
      <c r="AE254" s="38"/>
      <c r="AF254" s="38"/>
      <c r="AG254" s="38"/>
      <c r="AH254" s="38"/>
      <c r="AI254" s="38"/>
      <c r="AJ254" s="38"/>
    </row>
    <row r="255" spans="1:38" ht="13" thickBot="1">
      <c r="E255" s="712"/>
      <c r="F255" s="713"/>
      <c r="G255" s="714"/>
      <c r="H255" s="714"/>
      <c r="I255" s="714"/>
      <c r="J255" s="169"/>
      <c r="K255" s="169"/>
      <c r="L255" s="169"/>
      <c r="M255" s="169"/>
      <c r="N255" s="38"/>
      <c r="O255" s="33"/>
      <c r="P255" s="38"/>
      <c r="Q255" s="33"/>
      <c r="R255" s="33"/>
      <c r="S255" s="33"/>
      <c r="T255" s="33"/>
      <c r="U255" s="33"/>
      <c r="V255" s="33"/>
      <c r="W255" s="169"/>
      <c r="X255" s="330"/>
      <c r="Y255" s="279"/>
      <c r="Z255" s="279"/>
      <c r="AA255" s="279"/>
      <c r="AB255" s="280"/>
      <c r="AC255" s="38"/>
      <c r="AD255" s="38"/>
      <c r="AE255" s="38"/>
      <c r="AF255" s="38"/>
      <c r="AG255" s="38"/>
      <c r="AH255" s="38"/>
      <c r="AI255" s="38"/>
      <c r="AJ255" s="38"/>
    </row>
    <row r="256" spans="1:38">
      <c r="E256" s="712"/>
      <c r="F256" s="713"/>
      <c r="G256" s="714"/>
      <c r="H256" s="714"/>
      <c r="I256" s="714"/>
      <c r="J256" s="169"/>
      <c r="K256" s="169"/>
      <c r="L256" s="169"/>
      <c r="M256" s="169"/>
      <c r="N256" s="38"/>
      <c r="O256" s="33"/>
      <c r="P256" s="38"/>
      <c r="Q256" s="33"/>
      <c r="R256" s="33"/>
      <c r="S256" s="33"/>
      <c r="T256" s="33"/>
      <c r="U256" s="33"/>
      <c r="V256" s="33"/>
      <c r="W256" s="169"/>
      <c r="X256" s="104"/>
      <c r="Y256" s="104"/>
      <c r="Z256" s="104"/>
      <c r="AA256" s="104"/>
      <c r="AB256" s="104"/>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row r="260" spans="5:36">
      <c r="E260" s="712"/>
      <c r="F260" s="713"/>
      <c r="G260" s="714"/>
      <c r="H260" s="714"/>
      <c r="I260" s="714"/>
      <c r="J260" s="169"/>
      <c r="K260" s="169"/>
      <c r="L260" s="169"/>
      <c r="M260" s="169"/>
      <c r="N260" s="38"/>
      <c r="O260" s="33"/>
      <c r="P260" s="38"/>
      <c r="Q260" s="33"/>
      <c r="R260" s="33"/>
      <c r="S260" s="33"/>
      <c r="T260" s="33"/>
      <c r="U260" s="33"/>
      <c r="V260" s="33"/>
      <c r="W260" s="169"/>
      <c r="AC260" s="38"/>
      <c r="AD260" s="38"/>
      <c r="AE260" s="38"/>
      <c r="AF260" s="38"/>
      <c r="AG260" s="38"/>
      <c r="AH260" s="38"/>
      <c r="AI260" s="38"/>
      <c r="AJ260" s="38"/>
    </row>
    <row r="261" spans="5:36">
      <c r="E261" s="712"/>
      <c r="F261" s="713"/>
      <c r="G261" s="714"/>
      <c r="H261" s="714"/>
      <c r="I261" s="714"/>
      <c r="J261" s="169"/>
      <c r="K261" s="169"/>
      <c r="L261" s="169"/>
      <c r="M261" s="169"/>
      <c r="N261" s="38"/>
      <c r="O261" s="33"/>
      <c r="P261" s="38"/>
      <c r="Q261" s="33"/>
      <c r="R261" s="33"/>
      <c r="S261" s="33"/>
      <c r="T261" s="33"/>
      <c r="U261" s="33"/>
      <c r="V261" s="33"/>
      <c r="W261" s="169"/>
      <c r="AC261" s="38"/>
      <c r="AD261" s="38"/>
      <c r="AE261" s="38"/>
      <c r="AF261" s="38"/>
      <c r="AG261" s="38"/>
      <c r="AH261" s="38"/>
      <c r="AI261" s="38"/>
      <c r="AJ261" s="38"/>
    </row>
    <row r="262" spans="5:36">
      <c r="E262" s="712"/>
      <c r="F262" s="713"/>
      <c r="G262" s="714"/>
      <c r="H262" s="714"/>
      <c r="I262" s="714"/>
      <c r="J262" s="169"/>
      <c r="K262" s="169"/>
      <c r="L262" s="169"/>
      <c r="M262" s="169"/>
      <c r="N262" s="38"/>
      <c r="O262" s="33"/>
      <c r="P262" s="38"/>
      <c r="Q262" s="33"/>
      <c r="R262" s="33"/>
      <c r="S262" s="33"/>
      <c r="T262" s="33"/>
      <c r="U262" s="33"/>
      <c r="V262" s="33"/>
      <c r="W262" s="169"/>
      <c r="AC262" s="38"/>
      <c r="AD262" s="38"/>
      <c r="AE262" s="38"/>
      <c r="AF262" s="38"/>
      <c r="AG262" s="38"/>
      <c r="AH262" s="38"/>
      <c r="AI262" s="38"/>
      <c r="AJ262"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262"/>
  <sheetViews>
    <sheetView topLeftCell="D234" workbookViewId="0">
      <selection activeCell="J244" sqref="J244"/>
    </sheetView>
  </sheetViews>
  <sheetFormatPr baseColWidth="10" defaultColWidth="9.3984375" defaultRowHeight="12" outlineLevelCol="1" x14ac:dyDescent="0"/>
  <cols>
    <col min="1" max="1" width="9.796875" style="18" customWidth="1" outlineLevel="1"/>
    <col min="2" max="2" width="8.3984375" style="18" bestFit="1" customWidth="1" outlineLevel="1"/>
    <col min="3" max="3" width="11.3984375" style="131" bestFit="1" customWidth="1" outlineLevel="1"/>
    <col min="4" max="4" width="32.3984375" style="147" customWidth="1"/>
    <col min="5" max="5" width="17.3984375" style="35" bestFit="1" customWidth="1"/>
    <col min="6" max="6" width="17" style="152" bestFit="1" customWidth="1"/>
    <col min="7" max="8" width="15.3984375" style="17" hidden="1" customWidth="1"/>
    <col min="9" max="9" width="15.3984375" style="17" customWidth="1"/>
    <col min="10" max="10" width="17" style="24" bestFit="1" customWidth="1"/>
    <col min="11" max="11" width="3" style="24" customWidth="1"/>
    <col min="12" max="12" width="15.3984375" style="24" customWidth="1"/>
    <col min="13" max="13" width="16.3984375" style="24" bestFit="1" customWidth="1"/>
    <col min="14" max="14" width="1.796875" style="16" customWidth="1"/>
    <col min="15" max="15" width="13.3984375" style="146" bestFit="1" customWidth="1"/>
    <col min="16" max="16" width="1.796875" style="16" customWidth="1"/>
    <col min="17" max="17" width="15.3984375" style="146" customWidth="1"/>
    <col min="18" max="18" width="15.3984375" style="146" hidden="1" customWidth="1"/>
    <col min="19" max="19" width="12" style="146" hidden="1" customWidth="1"/>
    <col min="20" max="20" width="22.3984375" style="146" bestFit="1"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6.3984375" style="559" bestFit="1" customWidth="1"/>
    <col min="36" max="36" width="14.19921875" style="559" customWidth="1"/>
    <col min="37" max="37" width="9.3984375" style="16"/>
    <col min="38" max="38" width="14.796875" style="16" bestFit="1" customWidth="1"/>
    <col min="39" max="39" width="38.3984375" style="16" bestFit="1" customWidth="1"/>
    <col min="40" max="16384" width="9.398437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1072</v>
      </c>
      <c r="F3" s="29"/>
      <c r="G3" s="18"/>
      <c r="H3" s="168"/>
      <c r="I3" s="168"/>
      <c r="J3" s="169"/>
      <c r="K3" s="169"/>
      <c r="L3" s="169"/>
      <c r="M3" s="169"/>
      <c r="N3" s="169"/>
    </row>
    <row r="4" spans="1:39">
      <c r="D4" s="148"/>
      <c r="G4" s="164"/>
      <c r="H4" s="168"/>
      <c r="I4" s="168"/>
      <c r="J4" s="169"/>
      <c r="K4" s="169"/>
      <c r="L4" s="169"/>
      <c r="M4" s="169"/>
      <c r="N4" s="169"/>
    </row>
    <row r="5" spans="1:39" ht="13"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3" thickBot="1">
      <c r="B12" s="469"/>
      <c r="C12" s="670"/>
      <c r="D12" s="470" t="s">
        <v>103</v>
      </c>
      <c r="E12" s="471" t="s">
        <v>101</v>
      </c>
      <c r="F12" s="29"/>
      <c r="G12" s="166"/>
      <c r="H12" s="150"/>
      <c r="I12" s="150"/>
      <c r="J12" s="76"/>
    </row>
    <row r="13" spans="1:39" ht="13" thickBot="1">
      <c r="A13" s="152"/>
      <c r="B13" s="152"/>
      <c r="C13" s="67"/>
      <c r="D13" s="54"/>
      <c r="E13" s="34"/>
      <c r="G13" s="167"/>
      <c r="H13" s="49"/>
      <c r="I13" s="49"/>
      <c r="J13" s="50"/>
      <c r="K13" s="50"/>
      <c r="L13" s="50"/>
      <c r="M13" s="745"/>
      <c r="N13" s="146"/>
      <c r="P13" s="146"/>
      <c r="W13" s="50"/>
      <c r="X13" s="33"/>
      <c r="Y13" s="33"/>
      <c r="Z13" s="33"/>
      <c r="AA13" s="33"/>
    </row>
    <row r="14" spans="1:39" ht="13" thickBot="1">
      <c r="D14" s="526"/>
      <c r="E14" s="582" t="s">
        <v>1076</v>
      </c>
      <c r="F14" s="583" t="s">
        <v>1082</v>
      </c>
      <c r="G14" s="96"/>
      <c r="H14" s="96"/>
      <c r="I14" s="96"/>
      <c r="J14" s="583" t="s">
        <v>256</v>
      </c>
      <c r="K14" s="581"/>
      <c r="L14" s="583" t="s">
        <v>256</v>
      </c>
      <c r="M14" s="583" t="s">
        <v>256</v>
      </c>
      <c r="N14" s="93"/>
      <c r="O14" s="96"/>
      <c r="P14" s="93"/>
      <c r="Q14" s="13"/>
      <c r="R14" s="13"/>
      <c r="S14" s="13"/>
      <c r="T14" s="96"/>
      <c r="U14" s="101"/>
      <c r="V14" s="96"/>
      <c r="W14" s="93"/>
      <c r="X14" s="96"/>
      <c r="Y14" s="96"/>
      <c r="Z14" s="304"/>
      <c r="AA14" s="304"/>
      <c r="AB14" s="304"/>
      <c r="AE14" s="560" t="s">
        <v>266</v>
      </c>
      <c r="AI14" s="561" t="s">
        <v>267</v>
      </c>
    </row>
    <row r="15" spans="1:39" ht="13" thickBot="1">
      <c r="A15" s="22" t="s">
        <v>95</v>
      </c>
      <c r="B15" s="22" t="s">
        <v>100</v>
      </c>
      <c r="C15" s="36" t="s">
        <v>522</v>
      </c>
      <c r="D15" s="36" t="s">
        <v>67</v>
      </c>
      <c r="E15" s="450" t="s">
        <v>230</v>
      </c>
      <c r="F15" s="528" t="s">
        <v>229</v>
      </c>
      <c r="G15" s="176" t="s">
        <v>288</v>
      </c>
      <c r="H15" s="545" t="s">
        <v>289</v>
      </c>
      <c r="I15" s="758" t="s">
        <v>256</v>
      </c>
      <c r="J15" s="313" t="s">
        <v>105</v>
      </c>
      <c r="K15" s="93"/>
      <c r="L15" s="94" t="s">
        <v>104</v>
      </c>
      <c r="M15" s="95" t="s">
        <v>106</v>
      </c>
      <c r="N15" s="102"/>
      <c r="O15" s="427" t="s">
        <v>839</v>
      </c>
      <c r="P15" s="102"/>
      <c r="Q15" s="313" t="s">
        <v>267</v>
      </c>
      <c r="R15" s="313" t="s">
        <v>946</v>
      </c>
      <c r="S15" s="313" t="s">
        <v>947</v>
      </c>
      <c r="T15" s="156" t="s">
        <v>1060</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1027</v>
      </c>
      <c r="E16" s="679"/>
      <c r="F16" s="529">
        <f>VLOOKUP(D16,'Feb14 Revenue'!D:V,19,FALSE)</f>
        <v>0</v>
      </c>
      <c r="G16" s="680"/>
      <c r="H16" s="680"/>
      <c r="I16" s="755"/>
      <c r="J16" s="682">
        <f t="shared" ref="J16:J86" si="0">SUM(E16:I16)</f>
        <v>0</v>
      </c>
      <c r="K16" s="683"/>
      <c r="L16" s="684"/>
      <c r="M16" s="753"/>
      <c r="N16" s="683">
        <v>0</v>
      </c>
      <c r="O16" s="686"/>
      <c r="P16" s="683">
        <v>0</v>
      </c>
      <c r="Q16" s="687">
        <f t="shared" ref="Q16:Q149" si="1">L16+M16</f>
        <v>0</v>
      </c>
      <c r="R16" s="687"/>
      <c r="S16" s="687"/>
      <c r="T16" s="688">
        <v>0</v>
      </c>
      <c r="U16" s="689"/>
      <c r="V16" s="690">
        <f t="shared" ref="V16" si="2">IF(T16="","",T16-Q16)</f>
        <v>0</v>
      </c>
      <c r="W16" s="691"/>
      <c r="X16" s="474">
        <f t="shared" ref="X16:X87" si="3">IF(B16="D",Q16,0)</f>
        <v>0</v>
      </c>
      <c r="Y16" s="474">
        <f t="shared" ref="Y16:Y87" si="4">IF(B16="M",Q16,0)</f>
        <v>0</v>
      </c>
      <c r="Z16" s="475">
        <f t="shared" ref="Z16:Z87" si="5">IF(B16="V",Q16,0)</f>
        <v>0</v>
      </c>
      <c r="AA16" s="475">
        <v>0</v>
      </c>
      <c r="AB16" s="476">
        <v>0</v>
      </c>
      <c r="AC16" s="38">
        <f t="shared" ref="AC16:AC87" si="6">(L16+M16)-(X16+Y16+Z16+AA16+AB16)</f>
        <v>0</v>
      </c>
      <c r="AD16" s="692">
        <f t="shared" ref="AD16:AD86" si="7">IF(B16="D",J16,0)</f>
        <v>0</v>
      </c>
      <c r="AE16" s="692">
        <f t="shared" ref="AE16:AE86" si="8">IF(B16="M",J16,0)</f>
        <v>0</v>
      </c>
      <c r="AF16" s="692">
        <f t="shared" ref="AF16:AF86" si="9">IF(B16="V",J16,0)</f>
        <v>0</v>
      </c>
      <c r="AG16" s="38"/>
      <c r="AH16" s="692">
        <f t="shared" ref="AH16:AH87" si="10">IF(B16="D",Q16,0)</f>
        <v>0</v>
      </c>
      <c r="AI16" s="692">
        <f t="shared" ref="AI16:AI87" si="11">IF(B16="M",Q16,0)</f>
        <v>0</v>
      </c>
      <c r="AJ16" s="692">
        <f t="shared" ref="AJ16:AJ87" si="12">IF(B16="V",Q16,0)</f>
        <v>0</v>
      </c>
      <c r="AM16" s="373" t="s">
        <v>382</v>
      </c>
    </row>
    <row r="17" spans="1:39">
      <c r="A17" s="20" t="s">
        <v>109</v>
      </c>
      <c r="B17" s="20" t="s">
        <v>110</v>
      </c>
      <c r="C17" s="671" t="s">
        <v>523</v>
      </c>
      <c r="D17" s="123" t="s">
        <v>317</v>
      </c>
      <c r="E17" s="679">
        <f>8548.29+1565.19+7753.18+848.93</f>
        <v>18715.590000000004</v>
      </c>
      <c r="F17" s="529">
        <f>VLOOKUP(D17,'Feb14 Revenue'!D:V,19,FALSE)</f>
        <v>-21123.61</v>
      </c>
      <c r="G17" s="680"/>
      <c r="H17" s="680"/>
      <c r="I17" s="755"/>
      <c r="J17" s="682">
        <f t="shared" si="0"/>
        <v>-2408.0199999999968</v>
      </c>
      <c r="K17" s="683"/>
      <c r="L17" s="684"/>
      <c r="M17" s="753">
        <v>10000</v>
      </c>
      <c r="N17" s="683">
        <v>0</v>
      </c>
      <c r="O17" s="686"/>
      <c r="P17" s="683">
        <v>0</v>
      </c>
      <c r="Q17" s="687">
        <f t="shared" si="1"/>
        <v>10000</v>
      </c>
      <c r="R17" s="687"/>
      <c r="S17" s="687"/>
      <c r="T17" s="688">
        <f>10808.98+824.37</f>
        <v>11633.35</v>
      </c>
      <c r="U17" s="689"/>
      <c r="V17" s="690">
        <f t="shared" ref="V17:V80" si="13">IF(T17="","",T17-Q17)</f>
        <v>1633.3500000000004</v>
      </c>
      <c r="W17" s="683"/>
      <c r="X17" s="474">
        <f t="shared" si="3"/>
        <v>10000</v>
      </c>
      <c r="Y17" s="474">
        <f t="shared" si="4"/>
        <v>0</v>
      </c>
      <c r="Z17" s="475">
        <f t="shared" si="5"/>
        <v>0</v>
      </c>
      <c r="AA17" s="475">
        <v>0</v>
      </c>
      <c r="AB17" s="476">
        <v>0</v>
      </c>
      <c r="AC17" s="38">
        <f t="shared" si="6"/>
        <v>0</v>
      </c>
      <c r="AD17" s="692">
        <f t="shared" si="7"/>
        <v>-2408.0199999999968</v>
      </c>
      <c r="AE17" s="692">
        <f t="shared" si="8"/>
        <v>0</v>
      </c>
      <c r="AF17" s="692">
        <f t="shared" si="9"/>
        <v>0</v>
      </c>
      <c r="AG17" s="38"/>
      <c r="AH17" s="692">
        <f t="shared" si="10"/>
        <v>10000</v>
      </c>
      <c r="AI17" s="692">
        <f t="shared" si="11"/>
        <v>0</v>
      </c>
      <c r="AJ17" s="692">
        <f t="shared" si="12"/>
        <v>0</v>
      </c>
      <c r="AL17" s="38">
        <f>SUM(AD17:AJ17)</f>
        <v>7591.9800000000032</v>
      </c>
      <c r="AM17" s="123" t="s">
        <v>317</v>
      </c>
    </row>
    <row r="18" spans="1:39">
      <c r="A18" s="20" t="s">
        <v>109</v>
      </c>
      <c r="B18" s="20" t="s">
        <v>109</v>
      </c>
      <c r="C18" s="671" t="s">
        <v>523</v>
      </c>
      <c r="D18" s="68" t="s">
        <v>393</v>
      </c>
      <c r="E18" s="679">
        <f>47920.74+58791.06</f>
        <v>106711.79999999999</v>
      </c>
      <c r="F18" s="529">
        <f>VLOOKUP(D18,'Feb14 Revenue'!D:V,19,FALSE)</f>
        <v>-65084.58</v>
      </c>
      <c r="G18" s="680"/>
      <c r="H18" s="680"/>
      <c r="I18" s="755"/>
      <c r="J18" s="682">
        <f t="shared" si="0"/>
        <v>41627.219999999987</v>
      </c>
      <c r="K18" s="683"/>
      <c r="L18" s="684"/>
      <c r="M18" s="753">
        <v>70000</v>
      </c>
      <c r="N18" s="683">
        <v>0</v>
      </c>
      <c r="O18" s="686"/>
      <c r="P18" s="683">
        <v>0</v>
      </c>
      <c r="Q18" s="687">
        <f t="shared" si="1"/>
        <v>70000</v>
      </c>
      <c r="R18" s="687"/>
      <c r="S18" s="687"/>
      <c r="T18" s="688">
        <v>58895.86</v>
      </c>
      <c r="U18" s="689"/>
      <c r="V18" s="690">
        <f t="shared" si="13"/>
        <v>-11104.14</v>
      </c>
      <c r="W18" s="683"/>
      <c r="X18" s="474">
        <f t="shared" si="3"/>
        <v>0</v>
      </c>
      <c r="Y18" s="474">
        <f t="shared" si="4"/>
        <v>70000</v>
      </c>
      <c r="Z18" s="475">
        <f t="shared" si="5"/>
        <v>0</v>
      </c>
      <c r="AA18" s="475">
        <v>0</v>
      </c>
      <c r="AB18" s="476">
        <v>0</v>
      </c>
      <c r="AC18" s="38">
        <f t="shared" si="6"/>
        <v>0</v>
      </c>
      <c r="AD18" s="692">
        <f t="shared" si="7"/>
        <v>0</v>
      </c>
      <c r="AE18" s="692">
        <f t="shared" si="8"/>
        <v>41627.219999999987</v>
      </c>
      <c r="AF18" s="692">
        <f t="shared" si="9"/>
        <v>0</v>
      </c>
      <c r="AG18" s="38"/>
      <c r="AH18" s="692">
        <f t="shared" si="10"/>
        <v>0</v>
      </c>
      <c r="AI18" s="692">
        <f t="shared" si="11"/>
        <v>70000</v>
      </c>
      <c r="AJ18" s="692">
        <f t="shared" si="12"/>
        <v>0</v>
      </c>
      <c r="AL18" s="38">
        <f t="shared" ref="AL18:AL88" si="14">SUM(AD18:AJ18)</f>
        <v>111627.21999999999</v>
      </c>
      <c r="AM18" s="68" t="s">
        <v>393</v>
      </c>
    </row>
    <row r="19" spans="1:39">
      <c r="A19" s="20" t="s">
        <v>109</v>
      </c>
      <c r="B19" s="20" t="s">
        <v>109</v>
      </c>
      <c r="C19" s="671" t="s">
        <v>523</v>
      </c>
      <c r="D19" s="68" t="s">
        <v>129</v>
      </c>
      <c r="E19" s="679"/>
      <c r="F19" s="529">
        <f>VLOOKUP(D19,'Feb14 Revenue'!D:V,19,FALSE)</f>
        <v>0</v>
      </c>
      <c r="G19" s="680"/>
      <c r="H19" s="680"/>
      <c r="I19" s="755"/>
      <c r="J19" s="682">
        <f t="shared" si="0"/>
        <v>0</v>
      </c>
      <c r="K19" s="683"/>
      <c r="L19" s="684"/>
      <c r="M19" s="753"/>
      <c r="N19" s="683">
        <v>0</v>
      </c>
      <c r="O19" s="686"/>
      <c r="P19" s="683">
        <v>0</v>
      </c>
      <c r="Q19" s="687">
        <f t="shared" si="1"/>
        <v>0</v>
      </c>
      <c r="R19" s="687"/>
      <c r="S19" s="687"/>
      <c r="T19" s="688">
        <v>0</v>
      </c>
      <c r="U19" s="689"/>
      <c r="V19" s="690">
        <f t="shared" si="13"/>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4"/>
        <v>0</v>
      </c>
      <c r="AM19" s="68" t="s">
        <v>129</v>
      </c>
    </row>
    <row r="20" spans="1:39">
      <c r="A20" s="20" t="s">
        <v>109</v>
      </c>
      <c r="B20" s="20" t="s">
        <v>109</v>
      </c>
      <c r="C20" s="671" t="s">
        <v>523</v>
      </c>
      <c r="D20" s="351" t="s">
        <v>878</v>
      </c>
      <c r="E20" s="679"/>
      <c r="F20" s="529">
        <f>VLOOKUP(D20,'Feb14 Revenue'!D:V,19,FALSE)</f>
        <v>-1534.5299999999988</v>
      </c>
      <c r="G20" s="680"/>
      <c r="H20" s="680"/>
      <c r="I20" s="755"/>
      <c r="J20" s="682">
        <f t="shared" si="0"/>
        <v>-1534.5299999999988</v>
      </c>
      <c r="K20" s="683"/>
      <c r="L20" s="684"/>
      <c r="M20" s="753"/>
      <c r="N20" s="683">
        <v>0</v>
      </c>
      <c r="O20" s="686"/>
      <c r="P20" s="683">
        <v>0</v>
      </c>
      <c r="Q20" s="687">
        <f t="shared" si="1"/>
        <v>0</v>
      </c>
      <c r="R20" s="687"/>
      <c r="S20" s="687"/>
      <c r="T20" s="688">
        <v>0</v>
      </c>
      <c r="U20" s="689"/>
      <c r="V20" s="690">
        <f t="shared" si="13"/>
        <v>0</v>
      </c>
      <c r="W20" s="683"/>
      <c r="X20" s="474">
        <f t="shared" si="3"/>
        <v>0</v>
      </c>
      <c r="Y20" s="474">
        <f t="shared" si="4"/>
        <v>0</v>
      </c>
      <c r="Z20" s="475">
        <f t="shared" si="5"/>
        <v>0</v>
      </c>
      <c r="AA20" s="475">
        <v>0</v>
      </c>
      <c r="AB20" s="476">
        <v>0</v>
      </c>
      <c r="AC20" s="38">
        <f t="shared" si="6"/>
        <v>0</v>
      </c>
      <c r="AD20" s="692">
        <f t="shared" si="7"/>
        <v>0</v>
      </c>
      <c r="AE20" s="692">
        <f t="shared" si="8"/>
        <v>-1534.5299999999988</v>
      </c>
      <c r="AF20" s="692">
        <f t="shared" si="9"/>
        <v>0</v>
      </c>
      <c r="AG20" s="38"/>
      <c r="AH20" s="692">
        <f t="shared" si="10"/>
        <v>0</v>
      </c>
      <c r="AI20" s="692">
        <f t="shared" si="11"/>
        <v>0</v>
      </c>
      <c r="AJ20" s="692">
        <f t="shared" si="12"/>
        <v>0</v>
      </c>
      <c r="AL20" s="38">
        <f t="shared" si="14"/>
        <v>-1534.5299999999988</v>
      </c>
      <c r="AM20" s="351" t="s">
        <v>878</v>
      </c>
    </row>
    <row r="21" spans="1:39">
      <c r="A21" s="20"/>
      <c r="B21" s="20" t="s">
        <v>110</v>
      </c>
      <c r="C21" s="667" t="s">
        <v>524</v>
      </c>
      <c r="D21" s="123" t="s">
        <v>380</v>
      </c>
      <c r="E21" s="679"/>
      <c r="F21" s="529">
        <f>VLOOKUP(D21,'Feb14 Revenue'!D:V,19,FALSE)</f>
        <v>0</v>
      </c>
      <c r="G21" s="680"/>
      <c r="H21" s="680"/>
      <c r="I21" s="755"/>
      <c r="J21" s="682">
        <f t="shared" si="0"/>
        <v>0</v>
      </c>
      <c r="K21" s="683"/>
      <c r="L21" s="684"/>
      <c r="M21" s="753"/>
      <c r="N21" s="683">
        <v>0</v>
      </c>
      <c r="O21" s="686"/>
      <c r="P21" s="683">
        <v>0</v>
      </c>
      <c r="Q21" s="687">
        <f t="shared" si="1"/>
        <v>0</v>
      </c>
      <c r="R21" s="687"/>
      <c r="S21" s="687"/>
      <c r="T21" s="688">
        <v>0</v>
      </c>
      <c r="U21" s="689"/>
      <c r="V21" s="690">
        <f t="shared" si="13"/>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4"/>
        <v>0</v>
      </c>
      <c r="AM21" s="123" t="s">
        <v>380</v>
      </c>
    </row>
    <row r="22" spans="1:39">
      <c r="A22" s="20"/>
      <c r="B22" s="20" t="s">
        <v>110</v>
      </c>
      <c r="C22" s="667" t="s">
        <v>524</v>
      </c>
      <c r="D22" s="123" t="s">
        <v>132</v>
      </c>
      <c r="E22" s="679"/>
      <c r="F22" s="529">
        <f>VLOOKUP(D22,'Feb14 Revenue'!D:V,19,FALSE)</f>
        <v>-3426.369999999999</v>
      </c>
      <c r="G22" s="680"/>
      <c r="H22" s="680"/>
      <c r="I22" s="755"/>
      <c r="J22" s="682">
        <f t="shared" si="0"/>
        <v>-3426.369999999999</v>
      </c>
      <c r="K22" s="683"/>
      <c r="L22" s="684"/>
      <c r="M22" s="753">
        <v>30000</v>
      </c>
      <c r="N22" s="683">
        <v>0</v>
      </c>
      <c r="O22" s="686"/>
      <c r="P22" s="683">
        <v>0</v>
      </c>
      <c r="Q22" s="687">
        <f t="shared" si="1"/>
        <v>30000</v>
      </c>
      <c r="R22" s="687"/>
      <c r="S22" s="687"/>
      <c r="T22" s="688">
        <v>29015.439999999999</v>
      </c>
      <c r="U22" s="689"/>
      <c r="V22" s="690">
        <f t="shared" si="13"/>
        <v>-984.56000000000131</v>
      </c>
      <c r="W22" s="683"/>
      <c r="X22" s="474">
        <f t="shared" si="3"/>
        <v>30000</v>
      </c>
      <c r="Y22" s="474">
        <f t="shared" si="4"/>
        <v>0</v>
      </c>
      <c r="Z22" s="475">
        <f t="shared" si="5"/>
        <v>0</v>
      </c>
      <c r="AA22" s="475">
        <v>0</v>
      </c>
      <c r="AB22" s="476">
        <v>0</v>
      </c>
      <c r="AC22" s="38">
        <f t="shared" si="6"/>
        <v>0</v>
      </c>
      <c r="AD22" s="692">
        <f t="shared" si="7"/>
        <v>-3426.369999999999</v>
      </c>
      <c r="AE22" s="692">
        <f t="shared" si="8"/>
        <v>0</v>
      </c>
      <c r="AF22" s="692">
        <f t="shared" si="9"/>
        <v>0</v>
      </c>
      <c r="AG22" s="38"/>
      <c r="AH22" s="692">
        <f t="shared" si="10"/>
        <v>30000</v>
      </c>
      <c r="AI22" s="692">
        <f t="shared" si="11"/>
        <v>0</v>
      </c>
      <c r="AJ22" s="692">
        <f t="shared" si="12"/>
        <v>0</v>
      </c>
      <c r="AL22" s="38">
        <f t="shared" si="14"/>
        <v>26573.63</v>
      </c>
      <c r="AM22" s="123" t="s">
        <v>132</v>
      </c>
    </row>
    <row r="23" spans="1:39">
      <c r="A23" s="20"/>
      <c r="B23" s="20" t="s">
        <v>110</v>
      </c>
      <c r="C23" s="667" t="s">
        <v>524</v>
      </c>
      <c r="D23" s="123" t="s">
        <v>133</v>
      </c>
      <c r="E23" s="679"/>
      <c r="F23" s="529">
        <f>VLOOKUP(D23,'Feb14 Revenue'!D:V,19,FALSE)</f>
        <v>0</v>
      </c>
      <c r="G23" s="680"/>
      <c r="H23" s="680"/>
      <c r="I23" s="755"/>
      <c r="J23" s="682">
        <f t="shared" si="0"/>
        <v>0</v>
      </c>
      <c r="K23" s="683"/>
      <c r="L23" s="684"/>
      <c r="M23" s="753"/>
      <c r="N23" s="683">
        <v>0</v>
      </c>
      <c r="O23" s="686"/>
      <c r="P23" s="683">
        <v>0</v>
      </c>
      <c r="Q23" s="687">
        <f t="shared" si="1"/>
        <v>0</v>
      </c>
      <c r="R23" s="687"/>
      <c r="S23" s="687"/>
      <c r="T23" s="688">
        <v>0</v>
      </c>
      <c r="U23" s="689"/>
      <c r="V23" s="690">
        <f t="shared" si="13"/>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4"/>
        <v>0</v>
      </c>
      <c r="AM23" s="123" t="s">
        <v>133</v>
      </c>
    </row>
    <row r="24" spans="1:39">
      <c r="A24" s="20"/>
      <c r="B24" s="20" t="s">
        <v>110</v>
      </c>
      <c r="C24" s="667"/>
      <c r="D24" s="123" t="s">
        <v>1015</v>
      </c>
      <c r="E24" s="679"/>
      <c r="F24" s="529">
        <f>VLOOKUP(D24,'Feb14 Revenue'!D:V,19,FALSE)</f>
        <v>0</v>
      </c>
      <c r="G24" s="680"/>
      <c r="H24" s="680"/>
      <c r="I24" s="755"/>
      <c r="J24" s="682">
        <f t="shared" si="0"/>
        <v>0</v>
      </c>
      <c r="K24" s="683"/>
      <c r="L24" s="684"/>
      <c r="M24" s="753"/>
      <c r="N24" s="683">
        <v>0</v>
      </c>
      <c r="O24" s="686"/>
      <c r="P24" s="683">
        <v>0</v>
      </c>
      <c r="Q24" s="687">
        <f t="shared" si="1"/>
        <v>0</v>
      </c>
      <c r="R24" s="687"/>
      <c r="S24" s="687"/>
      <c r="T24" s="688">
        <v>3304.01</v>
      </c>
      <c r="U24" s="689"/>
      <c r="V24" s="690">
        <f t="shared" si="13"/>
        <v>3304.01</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4"/>
        <v>0</v>
      </c>
      <c r="AM24" s="123" t="s">
        <v>1015</v>
      </c>
    </row>
    <row r="25" spans="1:39" s="232" customFormat="1">
      <c r="A25" s="283" t="s">
        <v>211</v>
      </c>
      <c r="B25" s="283" t="s">
        <v>109</v>
      </c>
      <c r="C25" s="667" t="s">
        <v>525</v>
      </c>
      <c r="D25" s="123" t="s">
        <v>419</v>
      </c>
      <c r="E25" s="679">
        <v>27755.15</v>
      </c>
      <c r="F25" s="529">
        <f>VLOOKUP(D25,'Feb14 Revenue'!D:V,19,FALSE)</f>
        <v>-50000</v>
      </c>
      <c r="G25" s="680"/>
      <c r="H25" s="680"/>
      <c r="I25" s="755"/>
      <c r="J25" s="682">
        <f t="shared" si="0"/>
        <v>-22244.85</v>
      </c>
      <c r="K25" s="683"/>
      <c r="L25" s="684"/>
      <c r="M25" s="753">
        <v>25000</v>
      </c>
      <c r="N25" s="683">
        <v>0</v>
      </c>
      <c r="O25" s="686"/>
      <c r="P25" s="683">
        <v>0</v>
      </c>
      <c r="Q25" s="687">
        <f t="shared" si="1"/>
        <v>25000</v>
      </c>
      <c r="R25" s="687"/>
      <c r="S25" s="687"/>
      <c r="T25" s="688">
        <v>0</v>
      </c>
      <c r="U25" s="689"/>
      <c r="V25" s="690">
        <f t="shared" si="13"/>
        <v>-25000</v>
      </c>
      <c r="W25" s="683"/>
      <c r="X25" s="474">
        <f t="shared" si="3"/>
        <v>0</v>
      </c>
      <c r="Y25" s="474">
        <f t="shared" si="4"/>
        <v>25000</v>
      </c>
      <c r="Z25" s="475">
        <f t="shared" si="5"/>
        <v>0</v>
      </c>
      <c r="AA25" s="475">
        <v>0</v>
      </c>
      <c r="AB25" s="476">
        <v>0</v>
      </c>
      <c r="AC25" s="38">
        <f t="shared" si="6"/>
        <v>0</v>
      </c>
      <c r="AD25" s="692">
        <f t="shared" si="7"/>
        <v>0</v>
      </c>
      <c r="AE25" s="692">
        <f t="shared" si="8"/>
        <v>-22244.85</v>
      </c>
      <c r="AF25" s="692">
        <f t="shared" si="9"/>
        <v>0</v>
      </c>
      <c r="AG25" s="38"/>
      <c r="AH25" s="692">
        <f t="shared" si="10"/>
        <v>0</v>
      </c>
      <c r="AI25" s="692">
        <f t="shared" si="11"/>
        <v>25000</v>
      </c>
      <c r="AJ25" s="692">
        <f t="shared" si="12"/>
        <v>0</v>
      </c>
      <c r="AL25" s="38">
        <f t="shared" si="14"/>
        <v>2755.1500000000015</v>
      </c>
      <c r="AM25" s="123" t="s">
        <v>419</v>
      </c>
    </row>
    <row r="26" spans="1:39">
      <c r="A26" s="20"/>
      <c r="B26" s="20" t="s">
        <v>110</v>
      </c>
      <c r="C26" s="667"/>
      <c r="D26" s="68" t="s">
        <v>922</v>
      </c>
      <c r="E26" s="679"/>
      <c r="F26" s="529">
        <f>VLOOKUP(D26,'Feb14 Revenue'!D:V,19,FALSE)</f>
        <v>0</v>
      </c>
      <c r="G26" s="680"/>
      <c r="H26" s="680"/>
      <c r="I26" s="770">
        <v>327.82</v>
      </c>
      <c r="J26" s="682">
        <f t="shared" si="0"/>
        <v>327.82</v>
      </c>
      <c r="K26" s="683"/>
      <c r="L26" s="684"/>
      <c r="M26" s="753"/>
      <c r="N26" s="683">
        <v>0</v>
      </c>
      <c r="O26" s="686"/>
      <c r="P26" s="683">
        <v>0</v>
      </c>
      <c r="Q26" s="687">
        <f t="shared" si="1"/>
        <v>0</v>
      </c>
      <c r="R26" s="687"/>
      <c r="S26" s="687"/>
      <c r="T26" s="688">
        <v>0</v>
      </c>
      <c r="U26" s="689"/>
      <c r="V26" s="690">
        <f t="shared" si="13"/>
        <v>0</v>
      </c>
      <c r="W26" s="683"/>
      <c r="X26" s="474">
        <f t="shared" si="3"/>
        <v>0</v>
      </c>
      <c r="Y26" s="474">
        <f t="shared" si="4"/>
        <v>0</v>
      </c>
      <c r="Z26" s="475">
        <f t="shared" si="5"/>
        <v>0</v>
      </c>
      <c r="AA26" s="475">
        <v>0</v>
      </c>
      <c r="AB26" s="476">
        <v>0</v>
      </c>
      <c r="AC26" s="38">
        <f t="shared" si="6"/>
        <v>0</v>
      </c>
      <c r="AD26" s="692">
        <f t="shared" si="7"/>
        <v>327.82</v>
      </c>
      <c r="AE26" s="692">
        <f t="shared" si="8"/>
        <v>0</v>
      </c>
      <c r="AF26" s="692">
        <f t="shared" si="9"/>
        <v>0</v>
      </c>
      <c r="AG26" s="38"/>
      <c r="AH26" s="692">
        <f t="shared" si="10"/>
        <v>0</v>
      </c>
      <c r="AI26" s="692">
        <f t="shared" si="11"/>
        <v>0</v>
      </c>
      <c r="AJ26" s="692">
        <f t="shared" si="12"/>
        <v>0</v>
      </c>
      <c r="AL26" s="38">
        <f t="shared" si="14"/>
        <v>327.82</v>
      </c>
      <c r="AM26" s="68" t="s">
        <v>922</v>
      </c>
    </row>
    <row r="27" spans="1:39">
      <c r="A27" s="20"/>
      <c r="B27" s="20" t="s">
        <v>110</v>
      </c>
      <c r="C27" s="667"/>
      <c r="D27" s="68" t="s">
        <v>589</v>
      </c>
      <c r="E27" s="679"/>
      <c r="F27" s="529">
        <f>VLOOKUP(D27,'Feb14 Revenue'!D:V,19,FALSE)</f>
        <v>0</v>
      </c>
      <c r="G27" s="680"/>
      <c r="H27" s="680"/>
      <c r="I27" s="755"/>
      <c r="J27" s="682">
        <f t="shared" si="0"/>
        <v>0</v>
      </c>
      <c r="K27" s="683"/>
      <c r="L27" s="684"/>
      <c r="M27" s="753"/>
      <c r="N27" s="683">
        <v>0</v>
      </c>
      <c r="O27" s="686"/>
      <c r="P27" s="683">
        <v>0</v>
      </c>
      <c r="Q27" s="687">
        <f t="shared" si="1"/>
        <v>0</v>
      </c>
      <c r="R27" s="687"/>
      <c r="S27" s="687"/>
      <c r="T27" s="688">
        <v>0</v>
      </c>
      <c r="U27" s="689"/>
      <c r="V27" s="690">
        <f t="shared" si="13"/>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4"/>
        <v>0</v>
      </c>
      <c r="AM27" s="68" t="s">
        <v>589</v>
      </c>
    </row>
    <row r="28" spans="1:39">
      <c r="A28" s="20"/>
      <c r="B28" s="20" t="s">
        <v>110</v>
      </c>
      <c r="C28" s="667"/>
      <c r="D28" s="68" t="s">
        <v>829</v>
      </c>
      <c r="E28" s="679"/>
      <c r="F28" s="529">
        <f>VLOOKUP(D28,'Feb14 Revenue'!D:V,19,FALSE)</f>
        <v>0</v>
      </c>
      <c r="G28" s="680"/>
      <c r="H28" s="680"/>
      <c r="I28" s="755"/>
      <c r="J28" s="682">
        <f t="shared" si="0"/>
        <v>0</v>
      </c>
      <c r="K28" s="683"/>
      <c r="L28" s="684"/>
      <c r="M28" s="753"/>
      <c r="N28" s="683">
        <v>0</v>
      </c>
      <c r="O28" s="686"/>
      <c r="P28" s="683">
        <v>0</v>
      </c>
      <c r="Q28" s="687">
        <f t="shared" si="1"/>
        <v>0</v>
      </c>
      <c r="R28" s="687"/>
      <c r="S28" s="687"/>
      <c r="T28" s="688">
        <v>0</v>
      </c>
      <c r="U28" s="689"/>
      <c r="V28" s="690">
        <f t="shared" si="13"/>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4"/>
        <v>0</v>
      </c>
      <c r="AM28" s="68" t="s">
        <v>829</v>
      </c>
    </row>
    <row r="29" spans="1:39">
      <c r="A29" s="20"/>
      <c r="B29" s="20" t="s">
        <v>109</v>
      </c>
      <c r="C29" s="667" t="s">
        <v>526</v>
      </c>
      <c r="D29" s="68" t="s">
        <v>385</v>
      </c>
      <c r="E29" s="679"/>
      <c r="F29" s="529">
        <f>VLOOKUP(D29,'Feb14 Revenue'!D:V,19,FALSE)</f>
        <v>2477.85</v>
      </c>
      <c r="G29" s="680"/>
      <c r="H29" s="680"/>
      <c r="I29" s="755"/>
      <c r="J29" s="682">
        <f t="shared" si="0"/>
        <v>2477.85</v>
      </c>
      <c r="K29" s="683"/>
      <c r="L29" s="684"/>
      <c r="M29" s="753"/>
      <c r="N29" s="683">
        <v>0</v>
      </c>
      <c r="O29" s="686"/>
      <c r="P29" s="683">
        <v>0</v>
      </c>
      <c r="Q29" s="687">
        <f t="shared" si="1"/>
        <v>0</v>
      </c>
      <c r="R29" s="687"/>
      <c r="S29" s="687"/>
      <c r="T29" s="688">
        <v>942.31</v>
      </c>
      <c r="U29" s="689"/>
      <c r="V29" s="690">
        <f t="shared" si="13"/>
        <v>942.31</v>
      </c>
      <c r="W29" s="691"/>
      <c r="X29" s="474">
        <f t="shared" si="3"/>
        <v>0</v>
      </c>
      <c r="Y29" s="474">
        <f t="shared" si="4"/>
        <v>0</v>
      </c>
      <c r="Z29" s="475">
        <f t="shared" si="5"/>
        <v>0</v>
      </c>
      <c r="AA29" s="475">
        <v>0</v>
      </c>
      <c r="AB29" s="476">
        <v>0</v>
      </c>
      <c r="AC29" s="38">
        <f t="shared" si="6"/>
        <v>0</v>
      </c>
      <c r="AD29" s="692">
        <f t="shared" si="7"/>
        <v>0</v>
      </c>
      <c r="AE29" s="692">
        <f t="shared" si="8"/>
        <v>2477.85</v>
      </c>
      <c r="AF29" s="692">
        <f t="shared" si="9"/>
        <v>0</v>
      </c>
      <c r="AG29" s="38"/>
      <c r="AH29" s="692">
        <f t="shared" si="10"/>
        <v>0</v>
      </c>
      <c r="AI29" s="692">
        <f t="shared" si="11"/>
        <v>0</v>
      </c>
      <c r="AJ29" s="692">
        <f t="shared" si="12"/>
        <v>0</v>
      </c>
      <c r="AL29" s="38">
        <f t="shared" si="14"/>
        <v>2477.85</v>
      </c>
      <c r="AM29" s="68" t="s">
        <v>385</v>
      </c>
    </row>
    <row r="30" spans="1:39" s="232" customFormat="1">
      <c r="A30" s="283"/>
      <c r="B30" s="283" t="s">
        <v>110</v>
      </c>
      <c r="C30" s="667" t="s">
        <v>527</v>
      </c>
      <c r="D30" s="123" t="s">
        <v>401</v>
      </c>
      <c r="E30" s="679"/>
      <c r="F30" s="529">
        <f>VLOOKUP(D30,'Feb14 Revenue'!D:V,19,FALSE)</f>
        <v>-139246.68999999994</v>
      </c>
      <c r="G30" s="680"/>
      <c r="H30" s="680"/>
      <c r="I30" s="755"/>
      <c r="J30" s="682">
        <f t="shared" si="0"/>
        <v>-139246.68999999994</v>
      </c>
      <c r="K30" s="683"/>
      <c r="L30" s="684"/>
      <c r="M30" s="753">
        <v>950000</v>
      </c>
      <c r="N30" s="683">
        <v>0</v>
      </c>
      <c r="O30" s="686"/>
      <c r="P30" s="683">
        <v>0</v>
      </c>
      <c r="Q30" s="687">
        <f t="shared" si="1"/>
        <v>950000</v>
      </c>
      <c r="R30" s="687"/>
      <c r="S30" s="687"/>
      <c r="T30" s="688">
        <v>1007438</v>
      </c>
      <c r="U30" s="689"/>
      <c r="V30" s="690">
        <f t="shared" si="13"/>
        <v>57438</v>
      </c>
      <c r="W30" s="683"/>
      <c r="X30" s="474">
        <f t="shared" si="3"/>
        <v>950000</v>
      </c>
      <c r="Y30" s="474">
        <f t="shared" si="4"/>
        <v>0</v>
      </c>
      <c r="Z30" s="475">
        <f t="shared" si="5"/>
        <v>0</v>
      </c>
      <c r="AA30" s="475">
        <v>0</v>
      </c>
      <c r="AB30" s="476">
        <v>0</v>
      </c>
      <c r="AC30" s="38">
        <f t="shared" si="6"/>
        <v>0</v>
      </c>
      <c r="AD30" s="692">
        <f t="shared" si="7"/>
        <v>-139246.68999999994</v>
      </c>
      <c r="AE30" s="692">
        <f t="shared" si="8"/>
        <v>0</v>
      </c>
      <c r="AF30" s="692">
        <f t="shared" si="9"/>
        <v>0</v>
      </c>
      <c r="AG30" s="38"/>
      <c r="AH30" s="692">
        <f t="shared" si="10"/>
        <v>950000</v>
      </c>
      <c r="AI30" s="692">
        <f t="shared" si="11"/>
        <v>0</v>
      </c>
      <c r="AJ30" s="692">
        <f t="shared" si="12"/>
        <v>0</v>
      </c>
      <c r="AL30" s="38">
        <f t="shared" si="14"/>
        <v>810753.31</v>
      </c>
      <c r="AM30" s="123" t="s">
        <v>401</v>
      </c>
    </row>
    <row r="31" spans="1:39" s="232" customFormat="1">
      <c r="A31" s="283"/>
      <c r="B31" s="283" t="s">
        <v>110</v>
      </c>
      <c r="C31" s="667" t="s">
        <v>528</v>
      </c>
      <c r="D31" s="123" t="s">
        <v>403</v>
      </c>
      <c r="E31" s="679"/>
      <c r="F31" s="529">
        <f>VLOOKUP(D31,'Feb14 Revenue'!D:V,19,FALSE)</f>
        <v>-2614.3999999999942</v>
      </c>
      <c r="G31" s="680"/>
      <c r="H31" s="680"/>
      <c r="I31" s="755"/>
      <c r="J31" s="682">
        <f t="shared" si="0"/>
        <v>-2614.3999999999942</v>
      </c>
      <c r="K31" s="683"/>
      <c r="L31" s="684"/>
      <c r="M31" s="753">
        <v>180000</v>
      </c>
      <c r="N31" s="683">
        <v>0</v>
      </c>
      <c r="O31" s="686"/>
      <c r="P31" s="683">
        <v>0</v>
      </c>
      <c r="Q31" s="687">
        <f t="shared" si="1"/>
        <v>180000</v>
      </c>
      <c r="R31" s="687"/>
      <c r="S31" s="687"/>
      <c r="T31" s="688">
        <v>180722.33</v>
      </c>
      <c r="U31" s="689"/>
      <c r="V31" s="690">
        <f t="shared" si="13"/>
        <v>722.32999999998719</v>
      </c>
      <c r="W31" s="683"/>
      <c r="X31" s="474">
        <f t="shared" si="3"/>
        <v>180000</v>
      </c>
      <c r="Y31" s="474">
        <f t="shared" si="4"/>
        <v>0</v>
      </c>
      <c r="Z31" s="475">
        <f t="shared" si="5"/>
        <v>0</v>
      </c>
      <c r="AA31" s="475">
        <v>0</v>
      </c>
      <c r="AB31" s="476">
        <v>0</v>
      </c>
      <c r="AC31" s="38">
        <f t="shared" si="6"/>
        <v>0</v>
      </c>
      <c r="AD31" s="692">
        <f t="shared" si="7"/>
        <v>-2614.3999999999942</v>
      </c>
      <c r="AE31" s="692">
        <f t="shared" si="8"/>
        <v>0</v>
      </c>
      <c r="AF31" s="692">
        <f t="shared" si="9"/>
        <v>0</v>
      </c>
      <c r="AG31" s="38"/>
      <c r="AH31" s="692">
        <f t="shared" si="10"/>
        <v>180000</v>
      </c>
      <c r="AI31" s="692">
        <f t="shared" si="11"/>
        <v>0</v>
      </c>
      <c r="AJ31" s="692">
        <f t="shared" si="12"/>
        <v>0</v>
      </c>
      <c r="AL31" s="38">
        <f t="shared" si="14"/>
        <v>177385.60000000001</v>
      </c>
      <c r="AM31" s="123" t="s">
        <v>403</v>
      </c>
    </row>
    <row r="32" spans="1:39" s="232" customFormat="1">
      <c r="A32" s="283"/>
      <c r="B32" s="283" t="s">
        <v>110</v>
      </c>
      <c r="C32" s="667" t="s">
        <v>528</v>
      </c>
      <c r="D32" s="123" t="s">
        <v>404</v>
      </c>
      <c r="E32" s="679"/>
      <c r="F32" s="529">
        <f>VLOOKUP(D32,'Feb14 Revenue'!D:V,19,FALSE)</f>
        <v>-19967.359999999986</v>
      </c>
      <c r="G32" s="680"/>
      <c r="H32" s="680"/>
      <c r="I32" s="755"/>
      <c r="J32" s="682">
        <f t="shared" si="0"/>
        <v>-19967.359999999986</v>
      </c>
      <c r="K32" s="683"/>
      <c r="L32" s="684"/>
      <c r="M32" s="753">
        <v>165000</v>
      </c>
      <c r="N32" s="683">
        <v>0</v>
      </c>
      <c r="O32" s="686"/>
      <c r="P32" s="683">
        <v>0</v>
      </c>
      <c r="Q32" s="687">
        <f t="shared" si="1"/>
        <v>165000</v>
      </c>
      <c r="R32" s="687"/>
      <c r="S32" s="687"/>
      <c r="T32" s="688">
        <v>167452.28</v>
      </c>
      <c r="U32" s="689"/>
      <c r="V32" s="690">
        <f t="shared" si="13"/>
        <v>2452.2799999999988</v>
      </c>
      <c r="W32" s="683"/>
      <c r="X32" s="474">
        <f t="shared" si="3"/>
        <v>165000</v>
      </c>
      <c r="Y32" s="474">
        <f t="shared" si="4"/>
        <v>0</v>
      </c>
      <c r="Z32" s="475">
        <f t="shared" si="5"/>
        <v>0</v>
      </c>
      <c r="AA32" s="475">
        <v>0</v>
      </c>
      <c r="AB32" s="476">
        <v>0</v>
      </c>
      <c r="AC32" s="38">
        <f t="shared" si="6"/>
        <v>0</v>
      </c>
      <c r="AD32" s="692">
        <f t="shared" si="7"/>
        <v>-19967.359999999986</v>
      </c>
      <c r="AE32" s="692">
        <f t="shared" si="8"/>
        <v>0</v>
      </c>
      <c r="AF32" s="692">
        <f t="shared" si="9"/>
        <v>0</v>
      </c>
      <c r="AG32" s="38"/>
      <c r="AH32" s="692">
        <f t="shared" si="10"/>
        <v>165000</v>
      </c>
      <c r="AI32" s="692">
        <f t="shared" si="11"/>
        <v>0</v>
      </c>
      <c r="AJ32" s="692">
        <f t="shared" si="12"/>
        <v>0</v>
      </c>
      <c r="AL32" s="38">
        <f t="shared" si="14"/>
        <v>145032.64000000001</v>
      </c>
      <c r="AM32" s="123" t="s">
        <v>404</v>
      </c>
    </row>
    <row r="33" spans="1:39" s="232" customFormat="1">
      <c r="A33" s="283"/>
      <c r="B33" s="283" t="s">
        <v>110</v>
      </c>
      <c r="C33" s="667" t="s">
        <v>528</v>
      </c>
      <c r="D33" s="123" t="s">
        <v>405</v>
      </c>
      <c r="E33" s="679"/>
      <c r="F33" s="529">
        <f>VLOOKUP(D33,'Feb14 Revenue'!D:V,19,FALSE)</f>
        <v>506.36999999999898</v>
      </c>
      <c r="G33" s="680"/>
      <c r="H33" s="680"/>
      <c r="I33" s="755"/>
      <c r="J33" s="682">
        <f t="shared" si="0"/>
        <v>506.36999999999898</v>
      </c>
      <c r="K33" s="683"/>
      <c r="L33" s="684"/>
      <c r="M33" s="753">
        <v>30000</v>
      </c>
      <c r="N33" s="683">
        <v>0</v>
      </c>
      <c r="O33" s="686"/>
      <c r="P33" s="683">
        <v>0</v>
      </c>
      <c r="Q33" s="687">
        <f t="shared" si="1"/>
        <v>30000</v>
      </c>
      <c r="R33" s="687"/>
      <c r="S33" s="687"/>
      <c r="T33" s="688">
        <v>29223.119999999999</v>
      </c>
      <c r="U33" s="689"/>
      <c r="V33" s="690">
        <f t="shared" si="13"/>
        <v>-776.88000000000102</v>
      </c>
      <c r="W33" s="683"/>
      <c r="X33" s="474">
        <f t="shared" si="3"/>
        <v>30000</v>
      </c>
      <c r="Y33" s="474">
        <f t="shared" si="4"/>
        <v>0</v>
      </c>
      <c r="Z33" s="475">
        <f t="shared" si="5"/>
        <v>0</v>
      </c>
      <c r="AA33" s="475">
        <v>0</v>
      </c>
      <c r="AB33" s="476">
        <v>0</v>
      </c>
      <c r="AC33" s="38">
        <f t="shared" si="6"/>
        <v>0</v>
      </c>
      <c r="AD33" s="692">
        <f t="shared" si="7"/>
        <v>506.36999999999898</v>
      </c>
      <c r="AE33" s="692">
        <f t="shared" si="8"/>
        <v>0</v>
      </c>
      <c r="AF33" s="692">
        <f t="shared" si="9"/>
        <v>0</v>
      </c>
      <c r="AG33" s="38"/>
      <c r="AH33" s="692">
        <f t="shared" si="10"/>
        <v>30000</v>
      </c>
      <c r="AI33" s="692">
        <f t="shared" si="11"/>
        <v>0</v>
      </c>
      <c r="AJ33" s="692">
        <f t="shared" si="12"/>
        <v>0</v>
      </c>
      <c r="AL33" s="38">
        <f t="shared" si="14"/>
        <v>30506.37</v>
      </c>
      <c r="AM33" s="123" t="s">
        <v>405</v>
      </c>
    </row>
    <row r="34" spans="1:39" s="232" customFormat="1">
      <c r="A34" s="283"/>
      <c r="B34" s="283" t="s">
        <v>110</v>
      </c>
      <c r="C34" s="667" t="s">
        <v>528</v>
      </c>
      <c r="D34" s="123" t="s">
        <v>406</v>
      </c>
      <c r="E34" s="679"/>
      <c r="F34" s="529">
        <f>VLOOKUP(D34,'Feb14 Revenue'!D:V,19,FALSE)</f>
        <v>-732.70000000000073</v>
      </c>
      <c r="G34" s="680"/>
      <c r="H34" s="680"/>
      <c r="I34" s="755"/>
      <c r="J34" s="682">
        <f t="shared" si="0"/>
        <v>-732.70000000000073</v>
      </c>
      <c r="K34" s="683"/>
      <c r="L34" s="684"/>
      <c r="M34" s="753">
        <v>15000</v>
      </c>
      <c r="N34" s="683">
        <v>0</v>
      </c>
      <c r="O34" s="686"/>
      <c r="P34" s="683">
        <v>0</v>
      </c>
      <c r="Q34" s="687">
        <f t="shared" si="1"/>
        <v>15000</v>
      </c>
      <c r="R34" s="687"/>
      <c r="S34" s="687"/>
      <c r="T34" s="688">
        <v>14371.78</v>
      </c>
      <c r="U34" s="689"/>
      <c r="V34" s="690">
        <f t="shared" si="13"/>
        <v>-628.21999999999935</v>
      </c>
      <c r="W34" s="683"/>
      <c r="X34" s="474">
        <f t="shared" si="3"/>
        <v>15000</v>
      </c>
      <c r="Y34" s="474">
        <f t="shared" si="4"/>
        <v>0</v>
      </c>
      <c r="Z34" s="475">
        <f t="shared" si="5"/>
        <v>0</v>
      </c>
      <c r="AA34" s="475">
        <v>0</v>
      </c>
      <c r="AB34" s="476">
        <v>0</v>
      </c>
      <c r="AC34" s="38">
        <f t="shared" si="6"/>
        <v>0</v>
      </c>
      <c r="AD34" s="692">
        <f t="shared" si="7"/>
        <v>-732.70000000000073</v>
      </c>
      <c r="AE34" s="692">
        <f t="shared" si="8"/>
        <v>0</v>
      </c>
      <c r="AF34" s="692">
        <f t="shared" si="9"/>
        <v>0</v>
      </c>
      <c r="AG34" s="38"/>
      <c r="AH34" s="692">
        <f t="shared" si="10"/>
        <v>15000</v>
      </c>
      <c r="AI34" s="692">
        <f t="shared" si="11"/>
        <v>0</v>
      </c>
      <c r="AJ34" s="692">
        <f t="shared" si="12"/>
        <v>0</v>
      </c>
      <c r="AL34" s="38">
        <f t="shared" si="14"/>
        <v>14267.3</v>
      </c>
      <c r="AM34" s="123" t="s">
        <v>406</v>
      </c>
    </row>
    <row r="35" spans="1:39" s="232" customFormat="1">
      <c r="A35" s="283"/>
      <c r="B35" s="283" t="s">
        <v>110</v>
      </c>
      <c r="C35" s="667" t="s">
        <v>528</v>
      </c>
      <c r="D35" s="123" t="s">
        <v>407</v>
      </c>
      <c r="E35" s="679"/>
      <c r="F35" s="529">
        <f>VLOOKUP(D35,'Feb14 Revenue'!D:V,19,FALSE)</f>
        <v>-10.989999999999782</v>
      </c>
      <c r="G35" s="680"/>
      <c r="H35" s="680"/>
      <c r="I35" s="755"/>
      <c r="J35" s="682">
        <f t="shared" si="0"/>
        <v>-10.989999999999782</v>
      </c>
      <c r="K35" s="683"/>
      <c r="L35" s="684"/>
      <c r="M35" s="753">
        <v>5000</v>
      </c>
      <c r="N35" s="683">
        <v>0</v>
      </c>
      <c r="O35" s="686"/>
      <c r="P35" s="683">
        <v>0</v>
      </c>
      <c r="Q35" s="687">
        <f t="shared" si="1"/>
        <v>5000</v>
      </c>
      <c r="R35" s="687"/>
      <c r="S35" s="687"/>
      <c r="T35" s="688">
        <v>5895.64</v>
      </c>
      <c r="U35" s="689"/>
      <c r="V35" s="690">
        <f t="shared" si="13"/>
        <v>895.64000000000033</v>
      </c>
      <c r="W35" s="683"/>
      <c r="X35" s="474">
        <f t="shared" si="3"/>
        <v>5000</v>
      </c>
      <c r="Y35" s="474">
        <f t="shared" si="4"/>
        <v>0</v>
      </c>
      <c r="Z35" s="475">
        <f t="shared" si="5"/>
        <v>0</v>
      </c>
      <c r="AA35" s="475">
        <v>0</v>
      </c>
      <c r="AB35" s="476">
        <v>0</v>
      </c>
      <c r="AC35" s="38">
        <f t="shared" si="6"/>
        <v>0</v>
      </c>
      <c r="AD35" s="692">
        <f t="shared" si="7"/>
        <v>-10.989999999999782</v>
      </c>
      <c r="AE35" s="692">
        <f t="shared" si="8"/>
        <v>0</v>
      </c>
      <c r="AF35" s="692">
        <f t="shared" si="9"/>
        <v>0</v>
      </c>
      <c r="AG35" s="38"/>
      <c r="AH35" s="692">
        <f t="shared" si="10"/>
        <v>5000</v>
      </c>
      <c r="AI35" s="692">
        <f t="shared" si="11"/>
        <v>0</v>
      </c>
      <c r="AJ35" s="692">
        <f t="shared" si="12"/>
        <v>0</v>
      </c>
      <c r="AL35" s="38">
        <f t="shared" si="14"/>
        <v>4989.01</v>
      </c>
      <c r="AM35" s="123" t="s">
        <v>407</v>
      </c>
    </row>
    <row r="36" spans="1:39" s="232" customFormat="1">
      <c r="A36" s="283"/>
      <c r="B36" s="283" t="s">
        <v>110</v>
      </c>
      <c r="C36" s="667" t="s">
        <v>528</v>
      </c>
      <c r="D36" s="123" t="s">
        <v>880</v>
      </c>
      <c r="E36" s="679"/>
      <c r="F36" s="529">
        <f>VLOOKUP(D36,'Feb14 Revenue'!D:V,19,FALSE)</f>
        <v>1608.7700000000004</v>
      </c>
      <c r="G36" s="680"/>
      <c r="H36" s="680"/>
      <c r="I36" s="755"/>
      <c r="J36" s="682">
        <f t="shared" si="0"/>
        <v>1608.7700000000004</v>
      </c>
      <c r="K36" s="683"/>
      <c r="L36" s="684"/>
      <c r="M36" s="753">
        <v>5000</v>
      </c>
      <c r="N36" s="683">
        <v>0</v>
      </c>
      <c r="O36" s="686"/>
      <c r="P36" s="683">
        <v>0</v>
      </c>
      <c r="Q36" s="687">
        <f t="shared" si="1"/>
        <v>5000</v>
      </c>
      <c r="R36" s="687"/>
      <c r="S36" s="687"/>
      <c r="T36" s="688">
        <v>7540.87</v>
      </c>
      <c r="U36" s="689"/>
      <c r="V36" s="690">
        <f t="shared" si="13"/>
        <v>2540.87</v>
      </c>
      <c r="W36" s="683"/>
      <c r="X36" s="474">
        <f t="shared" si="3"/>
        <v>5000</v>
      </c>
      <c r="Y36" s="474">
        <f t="shared" si="4"/>
        <v>0</v>
      </c>
      <c r="Z36" s="475">
        <f t="shared" si="5"/>
        <v>0</v>
      </c>
      <c r="AA36" s="475">
        <v>0</v>
      </c>
      <c r="AB36" s="476">
        <v>0</v>
      </c>
      <c r="AC36" s="38">
        <f t="shared" si="6"/>
        <v>0</v>
      </c>
      <c r="AD36" s="692">
        <f t="shared" si="7"/>
        <v>1608.7700000000004</v>
      </c>
      <c r="AE36" s="692">
        <f t="shared" si="8"/>
        <v>0</v>
      </c>
      <c r="AF36" s="692">
        <f t="shared" si="9"/>
        <v>0</v>
      </c>
      <c r="AG36" s="38"/>
      <c r="AH36" s="692">
        <f t="shared" si="10"/>
        <v>5000</v>
      </c>
      <c r="AI36" s="692">
        <f t="shared" si="11"/>
        <v>0</v>
      </c>
      <c r="AJ36" s="692">
        <f t="shared" si="12"/>
        <v>0</v>
      </c>
      <c r="AL36" s="38">
        <f t="shared" si="14"/>
        <v>6608.77</v>
      </c>
      <c r="AM36" s="123" t="s">
        <v>880</v>
      </c>
    </row>
    <row r="37" spans="1:39" s="232" customFormat="1">
      <c r="A37" s="283"/>
      <c r="B37" s="283" t="s">
        <v>110</v>
      </c>
      <c r="C37" s="667" t="s">
        <v>528</v>
      </c>
      <c r="D37" s="123" t="s">
        <v>881</v>
      </c>
      <c r="E37" s="679"/>
      <c r="F37" s="529">
        <f>VLOOKUP(D37,'Feb14 Revenue'!D:V,19,FALSE)</f>
        <v>-5.3400000000001455</v>
      </c>
      <c r="G37" s="680"/>
      <c r="H37" s="680"/>
      <c r="I37" s="755"/>
      <c r="J37" s="682">
        <f t="shared" si="0"/>
        <v>-5.3400000000001455</v>
      </c>
      <c r="K37" s="683"/>
      <c r="L37" s="684"/>
      <c r="M37" s="753">
        <v>5000</v>
      </c>
      <c r="N37" s="683">
        <v>0</v>
      </c>
      <c r="O37" s="686"/>
      <c r="P37" s="683">
        <v>0</v>
      </c>
      <c r="Q37" s="687">
        <f t="shared" si="1"/>
        <v>5000</v>
      </c>
      <c r="R37" s="687"/>
      <c r="S37" s="687"/>
      <c r="T37" s="688">
        <v>4512.66</v>
      </c>
      <c r="U37" s="689"/>
      <c r="V37" s="690">
        <f t="shared" si="13"/>
        <v>-487.34000000000015</v>
      </c>
      <c r="W37" s="683"/>
      <c r="X37" s="474">
        <f t="shared" si="3"/>
        <v>5000</v>
      </c>
      <c r="Y37" s="474">
        <f t="shared" si="4"/>
        <v>0</v>
      </c>
      <c r="Z37" s="475">
        <f t="shared" si="5"/>
        <v>0</v>
      </c>
      <c r="AA37" s="475">
        <v>0</v>
      </c>
      <c r="AB37" s="476">
        <v>0</v>
      </c>
      <c r="AC37" s="38">
        <f t="shared" si="6"/>
        <v>0</v>
      </c>
      <c r="AD37" s="692">
        <f t="shared" si="7"/>
        <v>-5.3400000000001455</v>
      </c>
      <c r="AE37" s="692">
        <f t="shared" si="8"/>
        <v>0</v>
      </c>
      <c r="AF37" s="692">
        <f t="shared" si="9"/>
        <v>0</v>
      </c>
      <c r="AG37" s="38"/>
      <c r="AH37" s="692">
        <f t="shared" si="10"/>
        <v>5000</v>
      </c>
      <c r="AI37" s="692">
        <f t="shared" si="11"/>
        <v>0</v>
      </c>
      <c r="AJ37" s="692">
        <f t="shared" si="12"/>
        <v>0</v>
      </c>
      <c r="AL37" s="38">
        <f t="shared" si="14"/>
        <v>4994.66</v>
      </c>
      <c r="AM37" s="123" t="s">
        <v>881</v>
      </c>
    </row>
    <row r="38" spans="1:39" s="232" customFormat="1">
      <c r="A38" s="283"/>
      <c r="B38" s="283" t="s">
        <v>110</v>
      </c>
      <c r="C38" s="667" t="s">
        <v>528</v>
      </c>
      <c r="D38" s="123" t="s">
        <v>820</v>
      </c>
      <c r="E38" s="679"/>
      <c r="F38" s="529">
        <f>VLOOKUP(D38,'Feb14 Revenue'!D:V,19,FALSE)</f>
        <v>-2113.5800000000017</v>
      </c>
      <c r="G38" s="680"/>
      <c r="H38" s="680"/>
      <c r="I38" s="755"/>
      <c r="J38" s="682">
        <f t="shared" si="0"/>
        <v>-2113.5800000000017</v>
      </c>
      <c r="K38" s="683"/>
      <c r="L38" s="684"/>
      <c r="M38" s="753">
        <v>25000</v>
      </c>
      <c r="N38" s="683">
        <v>0</v>
      </c>
      <c r="O38" s="686"/>
      <c r="P38" s="683">
        <v>0</v>
      </c>
      <c r="Q38" s="687">
        <f t="shared" si="1"/>
        <v>25000</v>
      </c>
      <c r="R38" s="687"/>
      <c r="S38" s="687"/>
      <c r="T38" s="688">
        <v>30913.65</v>
      </c>
      <c r="U38" s="689"/>
      <c r="V38" s="690">
        <f t="shared" si="13"/>
        <v>5913.6500000000015</v>
      </c>
      <c r="W38" s="683"/>
      <c r="X38" s="474">
        <f t="shared" si="3"/>
        <v>25000</v>
      </c>
      <c r="Y38" s="474">
        <f t="shared" si="4"/>
        <v>0</v>
      </c>
      <c r="Z38" s="475">
        <f t="shared" si="5"/>
        <v>0</v>
      </c>
      <c r="AA38" s="475">
        <v>0</v>
      </c>
      <c r="AB38" s="476">
        <v>0</v>
      </c>
      <c r="AC38" s="38">
        <f t="shared" si="6"/>
        <v>0</v>
      </c>
      <c r="AD38" s="692">
        <f t="shared" si="7"/>
        <v>-2113.5800000000017</v>
      </c>
      <c r="AE38" s="692">
        <f t="shared" si="8"/>
        <v>0</v>
      </c>
      <c r="AF38" s="692">
        <f t="shared" si="9"/>
        <v>0</v>
      </c>
      <c r="AG38" s="38"/>
      <c r="AH38" s="692">
        <f t="shared" si="10"/>
        <v>25000</v>
      </c>
      <c r="AI38" s="692">
        <f t="shared" si="11"/>
        <v>0</v>
      </c>
      <c r="AJ38" s="692">
        <f t="shared" si="12"/>
        <v>0</v>
      </c>
      <c r="AL38" s="38">
        <f t="shared" si="14"/>
        <v>22886.42</v>
      </c>
      <c r="AM38" s="123" t="s">
        <v>820</v>
      </c>
    </row>
    <row r="39" spans="1:39" s="232" customFormat="1">
      <c r="A39" s="283"/>
      <c r="B39" s="283" t="s">
        <v>110</v>
      </c>
      <c r="C39" s="667" t="s">
        <v>527</v>
      </c>
      <c r="D39" s="123" t="s">
        <v>460</v>
      </c>
      <c r="E39" s="679"/>
      <c r="F39" s="529">
        <f>VLOOKUP(D39,'Feb14 Revenue'!D:V,19,FALSE)</f>
        <v>0</v>
      </c>
      <c r="G39" s="680"/>
      <c r="H39" s="680"/>
      <c r="I39" s="770">
        <v>42616.49</v>
      </c>
      <c r="J39" s="682">
        <f t="shared" si="0"/>
        <v>42616.49</v>
      </c>
      <c r="K39" s="683"/>
      <c r="L39" s="684"/>
      <c r="M39" s="753"/>
      <c r="N39" s="683">
        <v>0</v>
      </c>
      <c r="O39" s="686"/>
      <c r="P39" s="683">
        <v>0</v>
      </c>
      <c r="Q39" s="687">
        <f t="shared" si="1"/>
        <v>0</v>
      </c>
      <c r="R39" s="687"/>
      <c r="S39" s="687"/>
      <c r="T39" s="688">
        <v>0</v>
      </c>
      <c r="U39" s="689"/>
      <c r="V39" s="690">
        <f t="shared" si="13"/>
        <v>0</v>
      </c>
      <c r="W39" s="683"/>
      <c r="X39" s="474">
        <f t="shared" si="3"/>
        <v>0</v>
      </c>
      <c r="Y39" s="474">
        <f t="shared" si="4"/>
        <v>0</v>
      </c>
      <c r="Z39" s="475">
        <f t="shared" si="5"/>
        <v>0</v>
      </c>
      <c r="AA39" s="475">
        <v>0</v>
      </c>
      <c r="AB39" s="476">
        <v>0</v>
      </c>
      <c r="AC39" s="38">
        <f t="shared" si="6"/>
        <v>0</v>
      </c>
      <c r="AD39" s="692">
        <f t="shared" si="7"/>
        <v>42616.49</v>
      </c>
      <c r="AE39" s="692">
        <f t="shared" si="8"/>
        <v>0</v>
      </c>
      <c r="AF39" s="692">
        <f t="shared" si="9"/>
        <v>0</v>
      </c>
      <c r="AG39" s="38"/>
      <c r="AH39" s="692">
        <f t="shared" si="10"/>
        <v>0</v>
      </c>
      <c r="AI39" s="692">
        <f t="shared" si="11"/>
        <v>0</v>
      </c>
      <c r="AJ39" s="692">
        <f t="shared" si="12"/>
        <v>0</v>
      </c>
      <c r="AL39" s="38">
        <f t="shared" si="14"/>
        <v>42616.49</v>
      </c>
      <c r="AM39" s="123" t="s">
        <v>460</v>
      </c>
    </row>
    <row r="40" spans="1:39" s="232" customFormat="1">
      <c r="A40" s="283"/>
      <c r="B40" s="283" t="s">
        <v>110</v>
      </c>
      <c r="C40" s="676" t="s">
        <v>528</v>
      </c>
      <c r="D40" s="123" t="s">
        <v>623</v>
      </c>
      <c r="E40" s="679"/>
      <c r="F40" s="529">
        <f>VLOOKUP(D40,'Feb14 Revenue'!D:V,19,FALSE)</f>
        <v>0</v>
      </c>
      <c r="G40" s="680"/>
      <c r="H40" s="680"/>
      <c r="I40" s="770">
        <v>5804.16</v>
      </c>
      <c r="J40" s="682">
        <f t="shared" si="0"/>
        <v>5804.16</v>
      </c>
      <c r="K40" s="683"/>
      <c r="L40" s="684"/>
      <c r="M40" s="753"/>
      <c r="N40" s="683">
        <v>0</v>
      </c>
      <c r="O40" s="686"/>
      <c r="P40" s="683">
        <v>0</v>
      </c>
      <c r="Q40" s="687">
        <f t="shared" si="1"/>
        <v>0</v>
      </c>
      <c r="R40" s="687"/>
      <c r="S40" s="687"/>
      <c r="T40" s="688">
        <v>0</v>
      </c>
      <c r="U40" s="689"/>
      <c r="V40" s="690">
        <f t="shared" si="13"/>
        <v>0</v>
      </c>
      <c r="W40" s="683"/>
      <c r="X40" s="474">
        <f t="shared" si="3"/>
        <v>0</v>
      </c>
      <c r="Y40" s="474">
        <f t="shared" si="4"/>
        <v>0</v>
      </c>
      <c r="Z40" s="475">
        <f t="shared" si="5"/>
        <v>0</v>
      </c>
      <c r="AA40" s="475">
        <v>0</v>
      </c>
      <c r="AB40" s="476">
        <v>0</v>
      </c>
      <c r="AC40" s="38">
        <f t="shared" si="6"/>
        <v>0</v>
      </c>
      <c r="AD40" s="692">
        <f t="shared" si="7"/>
        <v>5804.16</v>
      </c>
      <c r="AE40" s="692">
        <f t="shared" si="8"/>
        <v>0</v>
      </c>
      <c r="AF40" s="692">
        <f t="shared" si="9"/>
        <v>0</v>
      </c>
      <c r="AG40" s="38"/>
      <c r="AH40" s="692">
        <f t="shared" si="10"/>
        <v>0</v>
      </c>
      <c r="AI40" s="692">
        <f t="shared" si="11"/>
        <v>0</v>
      </c>
      <c r="AJ40" s="692">
        <f t="shared" si="12"/>
        <v>0</v>
      </c>
      <c r="AL40" s="38">
        <f t="shared" si="14"/>
        <v>5804.16</v>
      </c>
      <c r="AM40" s="123" t="s">
        <v>623</v>
      </c>
    </row>
    <row r="41" spans="1:39" s="232" customFormat="1">
      <c r="A41" s="403"/>
      <c r="B41" s="403" t="s">
        <v>114</v>
      </c>
      <c r="C41" s="675" t="s">
        <v>527</v>
      </c>
      <c r="D41" s="123" t="s">
        <v>1054</v>
      </c>
      <c r="E41" s="679"/>
      <c r="F41" s="529">
        <f>VLOOKUP(D41,'Feb14 Revenue'!D:V,19,FALSE)</f>
        <v>-14480</v>
      </c>
      <c r="G41" s="680"/>
      <c r="H41" s="680"/>
      <c r="I41" s="755"/>
      <c r="J41" s="682">
        <f t="shared" si="0"/>
        <v>-14480</v>
      </c>
      <c r="K41" s="683"/>
      <c r="L41" s="684"/>
      <c r="M41" s="753">
        <v>5000</v>
      </c>
      <c r="N41" s="683">
        <v>0</v>
      </c>
      <c r="O41" s="686"/>
      <c r="P41" s="683">
        <v>0</v>
      </c>
      <c r="Q41" s="687">
        <f t="shared" si="1"/>
        <v>5000</v>
      </c>
      <c r="R41" s="687"/>
      <c r="S41" s="687"/>
      <c r="T41" s="688">
        <v>8415.1</v>
      </c>
      <c r="U41" s="689"/>
      <c r="V41" s="690">
        <f t="shared" si="13"/>
        <v>3415.1000000000004</v>
      </c>
      <c r="W41" s="683"/>
      <c r="X41" s="474">
        <f t="shared" si="3"/>
        <v>0</v>
      </c>
      <c r="Y41" s="474">
        <f t="shared" si="4"/>
        <v>0</v>
      </c>
      <c r="Z41" s="475">
        <f t="shared" si="5"/>
        <v>5000</v>
      </c>
      <c r="AA41" s="475">
        <v>0</v>
      </c>
      <c r="AB41" s="476">
        <v>0</v>
      </c>
      <c r="AC41" s="38">
        <f t="shared" si="6"/>
        <v>0</v>
      </c>
      <c r="AD41" s="692">
        <f t="shared" si="7"/>
        <v>0</v>
      </c>
      <c r="AE41" s="692">
        <f t="shared" si="8"/>
        <v>0</v>
      </c>
      <c r="AF41" s="692">
        <f t="shared" si="9"/>
        <v>-14480</v>
      </c>
      <c r="AG41" s="38"/>
      <c r="AH41" s="692">
        <f t="shared" si="10"/>
        <v>0</v>
      </c>
      <c r="AI41" s="692">
        <f t="shared" si="11"/>
        <v>0</v>
      </c>
      <c r="AJ41" s="692">
        <f t="shared" si="12"/>
        <v>5000</v>
      </c>
      <c r="AL41" s="38">
        <f t="shared" si="14"/>
        <v>-9480</v>
      </c>
      <c r="AM41" s="123" t="s">
        <v>108</v>
      </c>
    </row>
    <row r="42" spans="1:39" s="232" customFormat="1">
      <c r="A42" s="403"/>
      <c r="B42" s="403" t="s">
        <v>114</v>
      </c>
      <c r="C42" s="666" t="s">
        <v>529</v>
      </c>
      <c r="D42" s="123" t="s">
        <v>108</v>
      </c>
      <c r="E42" s="679"/>
      <c r="F42" s="529">
        <f>VLOOKUP(D42,'Feb14 Revenue'!D:V,19,FALSE)</f>
        <v>5436.1900000000023</v>
      </c>
      <c r="G42" s="680"/>
      <c r="H42" s="680"/>
      <c r="I42" s="755"/>
      <c r="J42" s="682">
        <f t="shared" si="0"/>
        <v>5436.1900000000023</v>
      </c>
      <c r="K42" s="683"/>
      <c r="L42" s="684"/>
      <c r="M42" s="753">
        <v>30000</v>
      </c>
      <c r="N42" s="683">
        <v>0</v>
      </c>
      <c r="O42" s="686"/>
      <c r="P42" s="683">
        <v>0</v>
      </c>
      <c r="Q42" s="687">
        <f t="shared" si="1"/>
        <v>30000</v>
      </c>
      <c r="R42" s="687"/>
      <c r="S42" s="687"/>
      <c r="T42" s="688">
        <v>36555.129999999997</v>
      </c>
      <c r="U42" s="689"/>
      <c r="V42" s="690">
        <f t="shared" si="13"/>
        <v>6555.1299999999974</v>
      </c>
      <c r="W42" s="683"/>
      <c r="X42" s="474">
        <f t="shared" si="3"/>
        <v>0</v>
      </c>
      <c r="Y42" s="474">
        <f t="shared" si="4"/>
        <v>0</v>
      </c>
      <c r="Z42" s="475">
        <f t="shared" si="5"/>
        <v>30000</v>
      </c>
      <c r="AA42" s="475">
        <v>0</v>
      </c>
      <c r="AB42" s="476">
        <v>0</v>
      </c>
      <c r="AC42" s="38">
        <f t="shared" si="6"/>
        <v>0</v>
      </c>
      <c r="AD42" s="692">
        <f t="shared" si="7"/>
        <v>0</v>
      </c>
      <c r="AE42" s="692">
        <f t="shared" si="8"/>
        <v>0</v>
      </c>
      <c r="AF42" s="692">
        <f t="shared" si="9"/>
        <v>5436.1900000000023</v>
      </c>
      <c r="AG42" s="38"/>
      <c r="AH42" s="692">
        <f t="shared" si="10"/>
        <v>0</v>
      </c>
      <c r="AI42" s="692">
        <f t="shared" si="11"/>
        <v>0</v>
      </c>
      <c r="AJ42" s="692">
        <f t="shared" si="12"/>
        <v>30000</v>
      </c>
      <c r="AL42" s="38">
        <f t="shared" si="14"/>
        <v>35436.19</v>
      </c>
      <c r="AM42" s="123" t="s">
        <v>108</v>
      </c>
    </row>
    <row r="43" spans="1:39" s="232" customFormat="1">
      <c r="A43" s="403"/>
      <c r="B43" s="403" t="s">
        <v>110</v>
      </c>
      <c r="C43" s="666"/>
      <c r="D43" s="123" t="s">
        <v>911</v>
      </c>
      <c r="E43" s="679"/>
      <c r="F43" s="529">
        <f>VLOOKUP(D43,'Feb14 Revenue'!D:V,19,FALSE)</f>
        <v>763.1299999999992</v>
      </c>
      <c r="G43" s="680"/>
      <c r="H43" s="680"/>
      <c r="I43" s="755"/>
      <c r="J43" s="682">
        <f t="shared" si="0"/>
        <v>763.1299999999992</v>
      </c>
      <c r="K43" s="683"/>
      <c r="L43" s="684"/>
      <c r="M43" s="753">
        <v>15000</v>
      </c>
      <c r="N43" s="683">
        <v>0</v>
      </c>
      <c r="O43" s="686"/>
      <c r="P43" s="683">
        <v>0</v>
      </c>
      <c r="Q43" s="687">
        <f t="shared" si="1"/>
        <v>15000</v>
      </c>
      <c r="R43" s="687"/>
      <c r="S43" s="687"/>
      <c r="T43" s="688">
        <v>15687.71</v>
      </c>
      <c r="U43" s="689"/>
      <c r="V43" s="690">
        <f t="shared" si="13"/>
        <v>687.70999999999913</v>
      </c>
      <c r="W43" s="683"/>
      <c r="X43" s="474">
        <f t="shared" si="3"/>
        <v>15000</v>
      </c>
      <c r="Y43" s="474">
        <f t="shared" si="4"/>
        <v>0</v>
      </c>
      <c r="Z43" s="475">
        <f t="shared" si="5"/>
        <v>0</v>
      </c>
      <c r="AA43" s="475">
        <v>0</v>
      </c>
      <c r="AB43" s="476">
        <v>0</v>
      </c>
      <c r="AC43" s="38">
        <f t="shared" si="6"/>
        <v>0</v>
      </c>
      <c r="AD43" s="692">
        <f t="shared" si="7"/>
        <v>763.1299999999992</v>
      </c>
      <c r="AE43" s="692">
        <f t="shared" si="8"/>
        <v>0</v>
      </c>
      <c r="AF43" s="692">
        <f t="shared" si="9"/>
        <v>0</v>
      </c>
      <c r="AG43" s="38"/>
      <c r="AH43" s="692">
        <f t="shared" si="10"/>
        <v>15000</v>
      </c>
      <c r="AI43" s="692">
        <f t="shared" si="11"/>
        <v>0</v>
      </c>
      <c r="AJ43" s="692">
        <f t="shared" si="12"/>
        <v>0</v>
      </c>
      <c r="AL43" s="38">
        <f t="shared" si="14"/>
        <v>15763.13</v>
      </c>
      <c r="AM43" s="123" t="s">
        <v>911</v>
      </c>
    </row>
    <row r="44" spans="1:39">
      <c r="A44" s="21"/>
      <c r="B44" s="21" t="s">
        <v>110</v>
      </c>
      <c r="C44" s="666"/>
      <c r="D44" s="68" t="s">
        <v>234</v>
      </c>
      <c r="E44" s="679"/>
      <c r="F44" s="529">
        <f>VLOOKUP(D44,'Feb14 Revenue'!D:V,19,FALSE)</f>
        <v>-10000</v>
      </c>
      <c r="G44" s="680"/>
      <c r="H44" s="680"/>
      <c r="I44" s="755"/>
      <c r="J44" s="682">
        <f t="shared" si="0"/>
        <v>-10000</v>
      </c>
      <c r="K44" s="683"/>
      <c r="L44" s="684"/>
      <c r="M44" s="753">
        <v>15000</v>
      </c>
      <c r="N44" s="683">
        <v>0</v>
      </c>
      <c r="O44" s="686"/>
      <c r="P44" s="683">
        <v>0</v>
      </c>
      <c r="Q44" s="687">
        <f t="shared" si="1"/>
        <v>15000</v>
      </c>
      <c r="R44" s="687"/>
      <c r="S44" s="687"/>
      <c r="T44" s="688">
        <v>0</v>
      </c>
      <c r="U44" s="689"/>
      <c r="V44" s="690">
        <f t="shared" si="13"/>
        <v>-15000</v>
      </c>
      <c r="W44" s="683"/>
      <c r="X44" s="474">
        <f t="shared" si="3"/>
        <v>15000</v>
      </c>
      <c r="Y44" s="474">
        <f t="shared" si="4"/>
        <v>0</v>
      </c>
      <c r="Z44" s="475">
        <f t="shared" si="5"/>
        <v>0</v>
      </c>
      <c r="AA44" s="475">
        <v>0</v>
      </c>
      <c r="AB44" s="476">
        <v>0</v>
      </c>
      <c r="AC44" s="38">
        <f t="shared" si="6"/>
        <v>0</v>
      </c>
      <c r="AD44" s="692">
        <f t="shared" si="7"/>
        <v>-10000</v>
      </c>
      <c r="AE44" s="692">
        <f t="shared" si="8"/>
        <v>0</v>
      </c>
      <c r="AF44" s="692">
        <f t="shared" si="9"/>
        <v>0</v>
      </c>
      <c r="AG44" s="38"/>
      <c r="AH44" s="692">
        <f t="shared" si="10"/>
        <v>15000</v>
      </c>
      <c r="AI44" s="692">
        <f t="shared" si="11"/>
        <v>0</v>
      </c>
      <c r="AJ44" s="692">
        <f t="shared" si="12"/>
        <v>0</v>
      </c>
      <c r="AL44" s="38">
        <f t="shared" si="14"/>
        <v>5000</v>
      </c>
      <c r="AM44" s="68" t="s">
        <v>234</v>
      </c>
    </row>
    <row r="45" spans="1:39">
      <c r="A45" s="20"/>
      <c r="B45" s="20" t="s">
        <v>109</v>
      </c>
      <c r="C45" s="667"/>
      <c r="D45" s="68" t="s">
        <v>598</v>
      </c>
      <c r="E45" s="679"/>
      <c r="F45" s="529">
        <f>VLOOKUP(D45,'Feb14 Revenue'!D:V,19,FALSE)</f>
        <v>0</v>
      </c>
      <c r="G45" s="680"/>
      <c r="H45" s="680"/>
      <c r="I45" s="755"/>
      <c r="J45" s="682">
        <f t="shared" si="0"/>
        <v>0</v>
      </c>
      <c r="K45" s="683"/>
      <c r="L45" s="684"/>
      <c r="M45" s="753"/>
      <c r="N45" s="683">
        <v>0</v>
      </c>
      <c r="O45" s="686"/>
      <c r="P45" s="683">
        <v>0</v>
      </c>
      <c r="Q45" s="687">
        <f t="shared" si="1"/>
        <v>0</v>
      </c>
      <c r="R45" s="687"/>
      <c r="S45" s="687"/>
      <c r="T45" s="688">
        <v>0</v>
      </c>
      <c r="U45" s="689"/>
      <c r="V45" s="690">
        <f t="shared" si="13"/>
        <v>0</v>
      </c>
      <c r="W45" s="683"/>
      <c r="X45" s="474">
        <f t="shared" si="3"/>
        <v>0</v>
      </c>
      <c r="Y45" s="474">
        <f t="shared" si="4"/>
        <v>0</v>
      </c>
      <c r="Z45" s="475">
        <f t="shared" si="5"/>
        <v>0</v>
      </c>
      <c r="AA45" s="475">
        <v>0</v>
      </c>
      <c r="AB45" s="476">
        <v>0</v>
      </c>
      <c r="AC45" s="38">
        <f t="shared" si="6"/>
        <v>0</v>
      </c>
      <c r="AD45" s="692">
        <f t="shared" si="7"/>
        <v>0</v>
      </c>
      <c r="AE45" s="692">
        <f t="shared" si="8"/>
        <v>0</v>
      </c>
      <c r="AF45" s="692">
        <f t="shared" si="9"/>
        <v>0</v>
      </c>
      <c r="AG45" s="38"/>
      <c r="AH45" s="692">
        <f t="shared" si="10"/>
        <v>0</v>
      </c>
      <c r="AI45" s="692">
        <f t="shared" si="11"/>
        <v>0</v>
      </c>
      <c r="AJ45" s="692">
        <f t="shared" si="12"/>
        <v>0</v>
      </c>
      <c r="AL45" s="38">
        <f t="shared" si="14"/>
        <v>0</v>
      </c>
      <c r="AM45" s="68" t="s">
        <v>598</v>
      </c>
    </row>
    <row r="46" spans="1:39">
      <c r="A46" s="20"/>
      <c r="B46" s="20" t="s">
        <v>110</v>
      </c>
      <c r="C46" s="667"/>
      <c r="D46" s="68" t="s">
        <v>311</v>
      </c>
      <c r="E46" s="679"/>
      <c r="F46" s="529">
        <f>VLOOKUP(D46,'Feb14 Revenue'!D:V,19,FALSE)</f>
        <v>0</v>
      </c>
      <c r="G46" s="680"/>
      <c r="H46" s="680"/>
      <c r="I46" s="755"/>
      <c r="J46" s="682">
        <f t="shared" si="0"/>
        <v>0</v>
      </c>
      <c r="K46" s="683"/>
      <c r="L46" s="684"/>
      <c r="M46" s="753"/>
      <c r="N46" s="683">
        <v>0</v>
      </c>
      <c r="O46" s="686"/>
      <c r="P46" s="683">
        <v>0</v>
      </c>
      <c r="Q46" s="687">
        <f t="shared" si="1"/>
        <v>0</v>
      </c>
      <c r="R46" s="687"/>
      <c r="S46" s="687"/>
      <c r="T46" s="688">
        <v>0</v>
      </c>
      <c r="U46" s="689"/>
      <c r="V46" s="690">
        <f t="shared" si="13"/>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4"/>
        <v>0</v>
      </c>
      <c r="AM46" s="68" t="s">
        <v>311</v>
      </c>
    </row>
    <row r="47" spans="1:39">
      <c r="A47" s="20"/>
      <c r="B47" s="20" t="s">
        <v>110</v>
      </c>
      <c r="C47" s="667"/>
      <c r="D47" s="68" t="s">
        <v>451</v>
      </c>
      <c r="E47" s="679"/>
      <c r="F47" s="529">
        <f>VLOOKUP(D47,'Feb14 Revenue'!D:V,19,FALSE)</f>
        <v>11118.679999999993</v>
      </c>
      <c r="G47" s="680"/>
      <c r="H47" s="680"/>
      <c r="I47" s="755"/>
      <c r="J47" s="682">
        <f t="shared" si="0"/>
        <v>11118.679999999993</v>
      </c>
      <c r="K47" s="683"/>
      <c r="L47" s="684"/>
      <c r="M47" s="753">
        <v>95000</v>
      </c>
      <c r="N47" s="683">
        <v>0</v>
      </c>
      <c r="O47" s="686"/>
      <c r="P47" s="683">
        <v>0</v>
      </c>
      <c r="Q47" s="687">
        <f t="shared" si="1"/>
        <v>95000</v>
      </c>
      <c r="R47" s="687"/>
      <c r="S47" s="687"/>
      <c r="T47" s="688">
        <v>91129.91</v>
      </c>
      <c r="U47" s="689"/>
      <c r="V47" s="690">
        <f t="shared" si="13"/>
        <v>-3870.0899999999965</v>
      </c>
      <c r="W47" s="683"/>
      <c r="X47" s="474">
        <f t="shared" si="3"/>
        <v>95000</v>
      </c>
      <c r="Y47" s="474">
        <f t="shared" si="4"/>
        <v>0</v>
      </c>
      <c r="Z47" s="475">
        <f t="shared" si="5"/>
        <v>0</v>
      </c>
      <c r="AA47" s="475">
        <v>0</v>
      </c>
      <c r="AB47" s="476">
        <v>0</v>
      </c>
      <c r="AC47" s="38">
        <f t="shared" si="6"/>
        <v>0</v>
      </c>
      <c r="AD47" s="692">
        <f t="shared" si="7"/>
        <v>11118.679999999993</v>
      </c>
      <c r="AE47" s="692">
        <f t="shared" si="8"/>
        <v>0</v>
      </c>
      <c r="AF47" s="692">
        <f t="shared" si="9"/>
        <v>0</v>
      </c>
      <c r="AG47" s="38"/>
      <c r="AH47" s="692">
        <f t="shared" si="10"/>
        <v>95000</v>
      </c>
      <c r="AI47" s="692">
        <f t="shared" si="11"/>
        <v>0</v>
      </c>
      <c r="AJ47" s="692">
        <f t="shared" si="12"/>
        <v>0</v>
      </c>
      <c r="AL47" s="38">
        <f t="shared" si="14"/>
        <v>106118.68</v>
      </c>
      <c r="AM47" s="68" t="s">
        <v>451</v>
      </c>
    </row>
    <row r="48" spans="1:39">
      <c r="A48" s="20"/>
      <c r="B48" s="20" t="s">
        <v>109</v>
      </c>
      <c r="C48" s="667"/>
      <c r="D48" s="68" t="s">
        <v>469</v>
      </c>
      <c r="E48" s="679"/>
      <c r="F48" s="529">
        <f>VLOOKUP(D48,'Feb14 Revenue'!D:V,19,FALSE)</f>
        <v>0</v>
      </c>
      <c r="G48" s="680"/>
      <c r="H48" s="680"/>
      <c r="I48" s="755"/>
      <c r="J48" s="682">
        <f t="shared" si="0"/>
        <v>0</v>
      </c>
      <c r="K48" s="683"/>
      <c r="L48" s="684"/>
      <c r="M48" s="753"/>
      <c r="N48" s="683">
        <v>0</v>
      </c>
      <c r="O48" s="686"/>
      <c r="P48" s="683">
        <v>0</v>
      </c>
      <c r="Q48" s="687">
        <f t="shared" si="1"/>
        <v>0</v>
      </c>
      <c r="R48" s="687"/>
      <c r="S48" s="687"/>
      <c r="T48" s="688">
        <v>0</v>
      </c>
      <c r="U48" s="689"/>
      <c r="V48" s="690">
        <f t="shared" si="13"/>
        <v>0</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4"/>
        <v>0</v>
      </c>
      <c r="AM48" s="68" t="s">
        <v>469</v>
      </c>
    </row>
    <row r="49" spans="1:39">
      <c r="A49" s="20"/>
      <c r="B49" s="20" t="s">
        <v>110</v>
      </c>
      <c r="C49" s="667" t="s">
        <v>530</v>
      </c>
      <c r="D49" s="68" t="s">
        <v>69</v>
      </c>
      <c r="E49" s="679"/>
      <c r="F49" s="529">
        <f>VLOOKUP(D49,'Feb14 Revenue'!D:V,19,FALSE)</f>
        <v>0</v>
      </c>
      <c r="G49" s="680"/>
      <c r="H49" s="680"/>
      <c r="I49" s="755"/>
      <c r="J49" s="682">
        <f t="shared" si="0"/>
        <v>0</v>
      </c>
      <c r="K49" s="683"/>
      <c r="L49" s="684"/>
      <c r="M49" s="753"/>
      <c r="N49" s="683">
        <v>0</v>
      </c>
      <c r="O49" s="686"/>
      <c r="P49" s="683">
        <v>0</v>
      </c>
      <c r="Q49" s="687">
        <f t="shared" si="1"/>
        <v>0</v>
      </c>
      <c r="R49" s="687"/>
      <c r="S49" s="687"/>
      <c r="T49" s="688">
        <v>0</v>
      </c>
      <c r="U49" s="689"/>
      <c r="V49" s="690">
        <f t="shared" si="13"/>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4"/>
        <v>0</v>
      </c>
      <c r="AM49" s="68" t="s">
        <v>69</v>
      </c>
    </row>
    <row r="50" spans="1:39" hidden="1">
      <c r="A50" s="20"/>
      <c r="B50" s="20" t="s">
        <v>110</v>
      </c>
      <c r="C50" s="667" t="s">
        <v>531</v>
      </c>
      <c r="D50" s="68" t="s">
        <v>237</v>
      </c>
      <c r="E50" s="679"/>
      <c r="F50" s="529">
        <f>VLOOKUP(D50,'Feb14 Revenue'!D:V,19,FALSE)</f>
        <v>0</v>
      </c>
      <c r="G50" s="680"/>
      <c r="H50" s="680"/>
      <c r="I50" s="755"/>
      <c r="J50" s="682">
        <f t="shared" si="0"/>
        <v>0</v>
      </c>
      <c r="K50" s="683"/>
      <c r="L50" s="684"/>
      <c r="M50" s="753"/>
      <c r="N50" s="683">
        <v>0</v>
      </c>
      <c r="O50" s="686"/>
      <c r="P50" s="683">
        <v>0</v>
      </c>
      <c r="Q50" s="687">
        <f t="shared" si="1"/>
        <v>0</v>
      </c>
      <c r="R50" s="687"/>
      <c r="S50" s="687"/>
      <c r="T50" s="688">
        <v>0</v>
      </c>
      <c r="U50" s="689"/>
      <c r="V50" s="690">
        <f t="shared" si="13"/>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4"/>
        <v>0</v>
      </c>
      <c r="AM50" s="68" t="s">
        <v>237</v>
      </c>
    </row>
    <row r="51" spans="1:39">
      <c r="A51" s="20" t="s">
        <v>211</v>
      </c>
      <c r="B51" s="20" t="s">
        <v>110</v>
      </c>
      <c r="C51" s="667" t="s">
        <v>532</v>
      </c>
      <c r="D51" s="68" t="s">
        <v>7</v>
      </c>
      <c r="E51" s="679"/>
      <c r="F51" s="529">
        <f>VLOOKUP(D51,'Feb14 Revenue'!D:V,19,FALSE)</f>
        <v>-60000</v>
      </c>
      <c r="G51" s="680"/>
      <c r="H51" s="680"/>
      <c r="I51" s="755"/>
      <c r="J51" s="682">
        <f t="shared" si="0"/>
        <v>-60000</v>
      </c>
      <c r="K51" s="683"/>
      <c r="L51" s="684"/>
      <c r="M51" s="753">
        <v>90000</v>
      </c>
      <c r="N51" s="683">
        <v>0</v>
      </c>
      <c r="O51" s="686"/>
      <c r="P51" s="683">
        <v>0</v>
      </c>
      <c r="Q51" s="687">
        <f t="shared" si="1"/>
        <v>90000</v>
      </c>
      <c r="R51" s="687"/>
      <c r="S51" s="687"/>
      <c r="T51" s="688">
        <v>86109.32</v>
      </c>
      <c r="U51" s="689"/>
      <c r="V51" s="690">
        <f t="shared" si="13"/>
        <v>-3890.679999999993</v>
      </c>
      <c r="W51" s="697"/>
      <c r="X51" s="474">
        <f t="shared" si="3"/>
        <v>90000</v>
      </c>
      <c r="Y51" s="474">
        <f t="shared" si="4"/>
        <v>0</v>
      </c>
      <c r="Z51" s="475">
        <f t="shared" si="5"/>
        <v>0</v>
      </c>
      <c r="AA51" s="475">
        <v>0</v>
      </c>
      <c r="AB51" s="476">
        <v>0</v>
      </c>
      <c r="AC51" s="38">
        <f t="shared" si="6"/>
        <v>0</v>
      </c>
      <c r="AD51" s="692">
        <f t="shared" si="7"/>
        <v>-60000</v>
      </c>
      <c r="AE51" s="692">
        <f t="shared" si="8"/>
        <v>0</v>
      </c>
      <c r="AF51" s="692">
        <f t="shared" si="9"/>
        <v>0</v>
      </c>
      <c r="AG51" s="38"/>
      <c r="AH51" s="692">
        <f t="shared" si="10"/>
        <v>90000</v>
      </c>
      <c r="AI51" s="692">
        <f t="shared" si="11"/>
        <v>0</v>
      </c>
      <c r="AJ51" s="692">
        <f t="shared" si="12"/>
        <v>0</v>
      </c>
      <c r="AL51" s="38">
        <f t="shared" si="14"/>
        <v>30000</v>
      </c>
      <c r="AM51" s="68" t="s">
        <v>7</v>
      </c>
    </row>
    <row r="52" spans="1:39" s="24" customFormat="1">
      <c r="A52" s="32"/>
      <c r="B52" s="32" t="s">
        <v>109</v>
      </c>
      <c r="C52" s="667"/>
      <c r="D52" s="351" t="s">
        <v>1071</v>
      </c>
      <c r="E52" s="832"/>
      <c r="F52" s="529">
        <f>VLOOKUP(D52,'Feb14 Revenue'!D:V,19,FALSE)</f>
        <v>-16020.08</v>
      </c>
      <c r="G52" s="680"/>
      <c r="H52" s="680"/>
      <c r="I52" s="755"/>
      <c r="J52" s="703">
        <f t="shared" si="0"/>
        <v>-16020.08</v>
      </c>
      <c r="K52" s="698"/>
      <c r="L52" s="833"/>
      <c r="M52" s="834">
        <v>100000</v>
      </c>
      <c r="N52" s="698">
        <v>0</v>
      </c>
      <c r="O52" s="699"/>
      <c r="P52" s="698">
        <v>0</v>
      </c>
      <c r="Q52" s="700">
        <f t="shared" si="1"/>
        <v>100000</v>
      </c>
      <c r="R52" s="700"/>
      <c r="S52" s="700"/>
      <c r="T52" s="688">
        <v>0</v>
      </c>
      <c r="U52" s="689"/>
      <c r="V52" s="690">
        <f t="shared" si="13"/>
        <v>-100000</v>
      </c>
      <c r="W52" s="698"/>
      <c r="X52" s="474">
        <f t="shared" si="3"/>
        <v>0</v>
      </c>
      <c r="Y52" s="474">
        <f t="shared" si="4"/>
        <v>100000</v>
      </c>
      <c r="Z52" s="475">
        <f t="shared" si="5"/>
        <v>0</v>
      </c>
      <c r="AA52" s="475">
        <v>0</v>
      </c>
      <c r="AB52" s="476">
        <v>0</v>
      </c>
      <c r="AC52" s="169">
        <f t="shared" si="6"/>
        <v>0</v>
      </c>
      <c r="AD52" s="692">
        <f t="shared" si="7"/>
        <v>0</v>
      </c>
      <c r="AE52" s="692">
        <f t="shared" si="8"/>
        <v>-16020.08</v>
      </c>
      <c r="AF52" s="692">
        <f t="shared" si="9"/>
        <v>0</v>
      </c>
      <c r="AG52" s="169"/>
      <c r="AH52" s="692">
        <f t="shared" si="10"/>
        <v>0</v>
      </c>
      <c r="AI52" s="692">
        <f t="shared" si="11"/>
        <v>100000</v>
      </c>
      <c r="AJ52" s="692">
        <f t="shared" si="12"/>
        <v>0</v>
      </c>
      <c r="AL52" s="169">
        <f t="shared" si="14"/>
        <v>83979.92</v>
      </c>
      <c r="AM52" s="68" t="s">
        <v>1070</v>
      </c>
    </row>
    <row r="53" spans="1:39" s="232" customFormat="1" hidden="1">
      <c r="A53" s="283"/>
      <c r="B53" s="283" t="s">
        <v>109</v>
      </c>
      <c r="C53" s="667" t="s">
        <v>533</v>
      </c>
      <c r="D53" s="123" t="s">
        <v>416</v>
      </c>
      <c r="E53" s="679"/>
      <c r="F53" s="529">
        <f>VLOOKUP(D53,'Feb14 Revenue'!D:V,19,FALSE)</f>
        <v>0</v>
      </c>
      <c r="G53" s="680"/>
      <c r="H53" s="680"/>
      <c r="I53" s="755"/>
      <c r="J53" s="682">
        <f t="shared" si="0"/>
        <v>0</v>
      </c>
      <c r="K53" s="683"/>
      <c r="L53" s="684"/>
      <c r="M53" s="753"/>
      <c r="N53" s="683">
        <v>0</v>
      </c>
      <c r="O53" s="686"/>
      <c r="P53" s="683">
        <v>0</v>
      </c>
      <c r="Q53" s="687">
        <f t="shared" si="1"/>
        <v>0</v>
      </c>
      <c r="R53" s="687"/>
      <c r="S53" s="687"/>
      <c r="T53" s="688">
        <v>0</v>
      </c>
      <c r="U53" s="689"/>
      <c r="V53" s="690">
        <f t="shared" si="13"/>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4"/>
        <v>0</v>
      </c>
      <c r="AM53" s="123" t="s">
        <v>416</v>
      </c>
    </row>
    <row r="54" spans="1:39" s="232" customFormat="1" hidden="1">
      <c r="A54" s="283"/>
      <c r="B54" s="283" t="s">
        <v>109</v>
      </c>
      <c r="C54" s="667" t="s">
        <v>533</v>
      </c>
      <c r="D54" s="123" t="s">
        <v>417</v>
      </c>
      <c r="E54" s="679"/>
      <c r="F54" s="529">
        <f>VLOOKUP(D54,'Feb14 Revenue'!D:V,19,FALSE)</f>
        <v>0</v>
      </c>
      <c r="G54" s="680"/>
      <c r="H54" s="680"/>
      <c r="I54" s="755"/>
      <c r="J54" s="682">
        <f t="shared" si="0"/>
        <v>0</v>
      </c>
      <c r="K54" s="683"/>
      <c r="L54" s="684"/>
      <c r="M54" s="753"/>
      <c r="N54" s="683">
        <v>0</v>
      </c>
      <c r="O54" s="686"/>
      <c r="P54" s="683">
        <v>0</v>
      </c>
      <c r="Q54" s="687">
        <f t="shared" si="1"/>
        <v>0</v>
      </c>
      <c r="R54" s="687"/>
      <c r="S54" s="687"/>
      <c r="T54" s="688">
        <v>0</v>
      </c>
      <c r="U54" s="689"/>
      <c r="V54" s="690">
        <f t="shared" si="13"/>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4"/>
        <v>0</v>
      </c>
      <c r="AM54" s="123" t="s">
        <v>417</v>
      </c>
    </row>
    <row r="55" spans="1:39" s="232" customFormat="1" hidden="1">
      <c r="A55" s="283"/>
      <c r="B55" s="283" t="s">
        <v>109</v>
      </c>
      <c r="C55" s="667" t="s">
        <v>533</v>
      </c>
      <c r="D55" s="123" t="s">
        <v>418</v>
      </c>
      <c r="E55" s="679"/>
      <c r="F55" s="529">
        <f>VLOOKUP(D55,'Feb14 Revenue'!D:V,19,FALSE)</f>
        <v>0</v>
      </c>
      <c r="G55" s="680"/>
      <c r="H55" s="680"/>
      <c r="I55" s="755"/>
      <c r="J55" s="682">
        <f t="shared" si="0"/>
        <v>0</v>
      </c>
      <c r="K55" s="683"/>
      <c r="L55" s="684"/>
      <c r="M55" s="753"/>
      <c r="N55" s="683">
        <v>0</v>
      </c>
      <c r="O55" s="686"/>
      <c r="P55" s="683">
        <v>0</v>
      </c>
      <c r="Q55" s="687">
        <f t="shared" si="1"/>
        <v>0</v>
      </c>
      <c r="R55" s="687"/>
      <c r="S55" s="687"/>
      <c r="T55" s="688">
        <v>0</v>
      </c>
      <c r="U55" s="689"/>
      <c r="V55" s="690">
        <f t="shared" si="13"/>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4"/>
        <v>0</v>
      </c>
      <c r="AM55" s="123" t="s">
        <v>418</v>
      </c>
    </row>
    <row r="56" spans="1:39">
      <c r="A56" s="20"/>
      <c r="B56" s="20" t="s">
        <v>110</v>
      </c>
      <c r="C56" s="667"/>
      <c r="D56" s="68" t="s">
        <v>992</v>
      </c>
      <c r="E56" s="679"/>
      <c r="F56" s="529">
        <f>VLOOKUP(D56,'Feb14 Revenue'!D:V,19,FALSE)</f>
        <v>0</v>
      </c>
      <c r="G56" s="680"/>
      <c r="H56" s="680"/>
      <c r="I56" s="755"/>
      <c r="J56" s="682">
        <f t="shared" si="0"/>
        <v>0</v>
      </c>
      <c r="K56" s="683"/>
      <c r="L56" s="684"/>
      <c r="M56" s="753"/>
      <c r="N56" s="683">
        <v>0</v>
      </c>
      <c r="O56" s="686"/>
      <c r="P56" s="683">
        <v>0</v>
      </c>
      <c r="Q56" s="687">
        <f t="shared" si="1"/>
        <v>0</v>
      </c>
      <c r="R56" s="687"/>
      <c r="S56" s="687"/>
      <c r="T56" s="688">
        <v>1332.07</v>
      </c>
      <c r="U56" s="689"/>
      <c r="V56" s="690">
        <f t="shared" si="13"/>
        <v>1332.07</v>
      </c>
      <c r="W56" s="683"/>
      <c r="X56" s="474">
        <f t="shared" si="3"/>
        <v>0</v>
      </c>
      <c r="Y56" s="474">
        <f t="shared" si="4"/>
        <v>0</v>
      </c>
      <c r="Z56" s="475">
        <f t="shared" si="5"/>
        <v>0</v>
      </c>
      <c r="AA56" s="475">
        <v>0</v>
      </c>
      <c r="AB56" s="476">
        <v>0</v>
      </c>
      <c r="AC56" s="38">
        <f t="shared" si="6"/>
        <v>0</v>
      </c>
      <c r="AD56" s="692">
        <f t="shared" si="7"/>
        <v>0</v>
      </c>
      <c r="AE56" s="692">
        <f t="shared" si="8"/>
        <v>0</v>
      </c>
      <c r="AF56" s="692">
        <f t="shared" si="9"/>
        <v>0</v>
      </c>
      <c r="AG56" s="38"/>
      <c r="AH56" s="692">
        <f t="shared" si="10"/>
        <v>0</v>
      </c>
      <c r="AI56" s="692">
        <f t="shared" si="11"/>
        <v>0</v>
      </c>
      <c r="AJ56" s="692">
        <f t="shared" si="12"/>
        <v>0</v>
      </c>
      <c r="AL56" s="38">
        <f t="shared" si="14"/>
        <v>0</v>
      </c>
      <c r="AM56" s="68" t="s">
        <v>992</v>
      </c>
    </row>
    <row r="57" spans="1:39" s="232" customFormat="1">
      <c r="A57" s="283"/>
      <c r="B57" s="283" t="s">
        <v>110</v>
      </c>
      <c r="C57" s="676" t="s">
        <v>986</v>
      </c>
      <c r="D57" s="68" t="s">
        <v>987</v>
      </c>
      <c r="E57" s="679"/>
      <c r="F57" s="529">
        <f>VLOOKUP(D57,'Feb14 Revenue'!D:V,19,FALSE)</f>
        <v>4158.1400000000003</v>
      </c>
      <c r="G57" s="680"/>
      <c r="H57" s="680"/>
      <c r="I57" s="770">
        <v>3974.06</v>
      </c>
      <c r="J57" s="682">
        <f t="shared" si="0"/>
        <v>8132.2000000000007</v>
      </c>
      <c r="K57" s="683"/>
      <c r="L57" s="684"/>
      <c r="M57" s="753"/>
      <c r="N57" s="683">
        <v>0</v>
      </c>
      <c r="O57" s="686"/>
      <c r="P57" s="683">
        <v>0</v>
      </c>
      <c r="Q57" s="687">
        <f t="shared" si="1"/>
        <v>0</v>
      </c>
      <c r="R57" s="687"/>
      <c r="S57" s="687"/>
      <c r="T57" s="688">
        <v>0</v>
      </c>
      <c r="U57" s="689"/>
      <c r="V57" s="690">
        <f t="shared" si="13"/>
        <v>0</v>
      </c>
      <c r="W57" s="683"/>
      <c r="X57" s="474">
        <f t="shared" si="3"/>
        <v>0</v>
      </c>
      <c r="Y57" s="474">
        <f t="shared" si="4"/>
        <v>0</v>
      </c>
      <c r="Z57" s="475">
        <f t="shared" si="5"/>
        <v>0</v>
      </c>
      <c r="AA57" s="475">
        <v>0</v>
      </c>
      <c r="AB57" s="476">
        <v>0</v>
      </c>
      <c r="AC57" s="38">
        <f t="shared" si="6"/>
        <v>0</v>
      </c>
      <c r="AD57" s="692">
        <f t="shared" si="7"/>
        <v>8132.2000000000007</v>
      </c>
      <c r="AE57" s="692">
        <f t="shared" si="8"/>
        <v>0</v>
      </c>
      <c r="AF57" s="692">
        <f t="shared" si="9"/>
        <v>0</v>
      </c>
      <c r="AG57" s="38"/>
      <c r="AH57" s="692">
        <f t="shared" si="10"/>
        <v>0</v>
      </c>
      <c r="AI57" s="692">
        <f t="shared" si="11"/>
        <v>0</v>
      </c>
      <c r="AJ57" s="692">
        <f t="shared" si="12"/>
        <v>0</v>
      </c>
      <c r="AK57" s="16"/>
      <c r="AL57" s="38">
        <f t="shared" si="14"/>
        <v>8132.2000000000007</v>
      </c>
      <c r="AM57" s="68" t="s">
        <v>987</v>
      </c>
    </row>
    <row r="58" spans="1:39">
      <c r="A58" s="20" t="s">
        <v>211</v>
      </c>
      <c r="B58" s="20" t="s">
        <v>109</v>
      </c>
      <c r="C58" s="667" t="s">
        <v>534</v>
      </c>
      <c r="D58" s="68" t="s">
        <v>9</v>
      </c>
      <c r="E58" s="679"/>
      <c r="F58" s="529">
        <f>VLOOKUP(D58,'Feb14 Revenue'!D:V,19,FALSE)</f>
        <v>0</v>
      </c>
      <c r="G58" s="680"/>
      <c r="H58" s="680"/>
      <c r="I58" s="755"/>
      <c r="J58" s="682">
        <f>SUM(E58:I58)</f>
        <v>0</v>
      </c>
      <c r="K58" s="683"/>
      <c r="L58" s="684"/>
      <c r="M58" s="753"/>
      <c r="N58" s="683">
        <v>0</v>
      </c>
      <c r="O58" s="686"/>
      <c r="P58" s="683">
        <v>0</v>
      </c>
      <c r="Q58" s="687">
        <f t="shared" si="1"/>
        <v>0</v>
      </c>
      <c r="R58" s="687"/>
      <c r="S58" s="687"/>
      <c r="T58" s="688">
        <v>0</v>
      </c>
      <c r="U58" s="689"/>
      <c r="V58" s="690">
        <f t="shared" si="13"/>
        <v>0</v>
      </c>
      <c r="W58" s="697"/>
      <c r="X58" s="474">
        <f t="shared" si="3"/>
        <v>0</v>
      </c>
      <c r="Y58" s="474">
        <f t="shared" si="4"/>
        <v>0</v>
      </c>
      <c r="Z58" s="475">
        <f t="shared" si="5"/>
        <v>0</v>
      </c>
      <c r="AA58" s="475">
        <v>0</v>
      </c>
      <c r="AB58" s="476">
        <v>0</v>
      </c>
      <c r="AC58" s="38">
        <f t="shared" si="6"/>
        <v>0</v>
      </c>
      <c r="AD58" s="692">
        <f t="shared" si="7"/>
        <v>0</v>
      </c>
      <c r="AE58" s="692">
        <f t="shared" si="8"/>
        <v>0</v>
      </c>
      <c r="AF58" s="692">
        <f t="shared" si="9"/>
        <v>0</v>
      </c>
      <c r="AG58" s="38"/>
      <c r="AH58" s="692">
        <f t="shared" si="10"/>
        <v>0</v>
      </c>
      <c r="AI58" s="692">
        <f t="shared" si="11"/>
        <v>0</v>
      </c>
      <c r="AJ58" s="692">
        <f t="shared" si="12"/>
        <v>0</v>
      </c>
      <c r="AL58" s="38">
        <f t="shared" si="14"/>
        <v>0</v>
      </c>
      <c r="AM58" s="68" t="s">
        <v>9</v>
      </c>
    </row>
    <row r="59" spans="1:39">
      <c r="A59" s="20" t="s">
        <v>211</v>
      </c>
      <c r="B59" s="20" t="s">
        <v>110</v>
      </c>
      <c r="C59" s="667"/>
      <c r="D59" s="68" t="s">
        <v>1041</v>
      </c>
      <c r="E59" s="679"/>
      <c r="F59" s="529">
        <f>VLOOKUP(D59,'Feb14 Revenue'!D:V,19,FALSE)</f>
        <v>0</v>
      </c>
      <c r="G59" s="680"/>
      <c r="H59" s="680"/>
      <c r="I59" s="755"/>
      <c r="J59" s="682">
        <f t="shared" si="0"/>
        <v>0</v>
      </c>
      <c r="K59" s="683"/>
      <c r="L59" s="684"/>
      <c r="M59" s="753"/>
      <c r="N59" s="683">
        <v>0</v>
      </c>
      <c r="O59" s="686"/>
      <c r="P59" s="683">
        <v>0</v>
      </c>
      <c r="Q59" s="687">
        <f t="shared" si="1"/>
        <v>0</v>
      </c>
      <c r="R59" s="687"/>
      <c r="S59" s="687"/>
      <c r="T59" s="688">
        <v>0</v>
      </c>
      <c r="U59" s="689"/>
      <c r="V59" s="690">
        <f t="shared" si="13"/>
        <v>0</v>
      </c>
      <c r="W59" s="683"/>
      <c r="X59" s="474">
        <f t="shared" si="3"/>
        <v>0</v>
      </c>
      <c r="Y59" s="474">
        <f t="shared" si="4"/>
        <v>0</v>
      </c>
      <c r="Z59" s="475">
        <f t="shared" si="5"/>
        <v>0</v>
      </c>
      <c r="AA59" s="475">
        <v>0</v>
      </c>
      <c r="AB59" s="476">
        <v>0</v>
      </c>
      <c r="AC59" s="38">
        <f t="shared" si="6"/>
        <v>0</v>
      </c>
      <c r="AD59" s="692">
        <f t="shared" si="7"/>
        <v>0</v>
      </c>
      <c r="AE59" s="692">
        <f t="shared" si="8"/>
        <v>0</v>
      </c>
      <c r="AF59" s="692">
        <f t="shared" si="9"/>
        <v>0</v>
      </c>
      <c r="AG59" s="38"/>
      <c r="AH59" s="692">
        <f t="shared" si="10"/>
        <v>0</v>
      </c>
      <c r="AI59" s="692">
        <f t="shared" si="11"/>
        <v>0</v>
      </c>
      <c r="AJ59" s="692">
        <f t="shared" si="12"/>
        <v>0</v>
      </c>
      <c r="AL59" s="38">
        <f t="shared" si="14"/>
        <v>0</v>
      </c>
      <c r="AM59" s="68" t="s">
        <v>487</v>
      </c>
    </row>
    <row r="60" spans="1:39">
      <c r="A60" s="20"/>
      <c r="B60" s="20" t="s">
        <v>109</v>
      </c>
      <c r="C60" s="676" t="s">
        <v>906</v>
      </c>
      <c r="D60" s="68" t="s">
        <v>830</v>
      </c>
      <c r="E60" s="679"/>
      <c r="F60" s="529">
        <f>VLOOKUP(D60,'Feb14 Revenue'!D:V,19,FALSE)</f>
        <v>0</v>
      </c>
      <c r="G60" s="680"/>
      <c r="H60" s="680"/>
      <c r="I60" s="770">
        <v>745530.08</v>
      </c>
      <c r="J60" s="682">
        <f t="shared" si="0"/>
        <v>745530.08</v>
      </c>
      <c r="K60" s="683"/>
      <c r="L60" s="684"/>
      <c r="M60" s="753"/>
      <c r="N60" s="683">
        <v>0</v>
      </c>
      <c r="O60" s="686"/>
      <c r="P60" s="683">
        <v>0</v>
      </c>
      <c r="Q60" s="687">
        <f t="shared" si="1"/>
        <v>0</v>
      </c>
      <c r="R60" s="687"/>
      <c r="S60" s="687"/>
      <c r="T60" s="688">
        <v>0</v>
      </c>
      <c r="U60" s="689"/>
      <c r="V60" s="690">
        <f t="shared" si="13"/>
        <v>0</v>
      </c>
      <c r="W60" s="683"/>
      <c r="X60" s="474">
        <f t="shared" si="3"/>
        <v>0</v>
      </c>
      <c r="Y60" s="474">
        <f t="shared" si="4"/>
        <v>0</v>
      </c>
      <c r="Z60" s="475">
        <f t="shared" si="5"/>
        <v>0</v>
      </c>
      <c r="AA60" s="475">
        <v>0</v>
      </c>
      <c r="AB60" s="476">
        <v>0</v>
      </c>
      <c r="AC60" s="38">
        <f t="shared" si="6"/>
        <v>0</v>
      </c>
      <c r="AD60" s="692">
        <f t="shared" si="7"/>
        <v>0</v>
      </c>
      <c r="AE60" s="692">
        <f t="shared" si="8"/>
        <v>745530.08</v>
      </c>
      <c r="AF60" s="692">
        <f t="shared" si="9"/>
        <v>0</v>
      </c>
      <c r="AG60" s="38"/>
      <c r="AH60" s="692">
        <f t="shared" si="10"/>
        <v>0</v>
      </c>
      <c r="AI60" s="692">
        <f t="shared" si="11"/>
        <v>0</v>
      </c>
      <c r="AJ60" s="692">
        <f t="shared" si="12"/>
        <v>0</v>
      </c>
      <c r="AL60" s="38">
        <f t="shared" si="14"/>
        <v>745530.08</v>
      </c>
      <c r="AM60" s="68" t="s">
        <v>830</v>
      </c>
    </row>
    <row r="61" spans="1:39">
      <c r="A61" s="20"/>
      <c r="B61" s="20" t="s">
        <v>109</v>
      </c>
      <c r="C61" s="667"/>
      <c r="D61" s="68" t="s">
        <v>374</v>
      </c>
      <c r="E61" s="679"/>
      <c r="F61" s="529">
        <f>VLOOKUP(D61,'Feb14 Revenue'!D:V,19,FALSE)</f>
        <v>-10000</v>
      </c>
      <c r="G61" s="680"/>
      <c r="H61" s="680"/>
      <c r="I61" s="755"/>
      <c r="J61" s="682">
        <f t="shared" si="0"/>
        <v>-10000</v>
      </c>
      <c r="K61" s="683"/>
      <c r="L61" s="684"/>
      <c r="M61" s="753">
        <v>15000</v>
      </c>
      <c r="N61" s="683">
        <v>0</v>
      </c>
      <c r="O61" s="686"/>
      <c r="P61" s="683">
        <v>0</v>
      </c>
      <c r="Q61" s="687">
        <f t="shared" si="1"/>
        <v>15000</v>
      </c>
      <c r="R61" s="687"/>
      <c r="S61" s="687"/>
      <c r="T61" s="688">
        <v>7955.33</v>
      </c>
      <c r="U61" s="689"/>
      <c r="V61" s="690">
        <f t="shared" si="13"/>
        <v>-7044.67</v>
      </c>
      <c r="W61" s="683"/>
      <c r="X61" s="474">
        <f t="shared" si="3"/>
        <v>0</v>
      </c>
      <c r="Y61" s="474">
        <f t="shared" si="4"/>
        <v>15000</v>
      </c>
      <c r="Z61" s="475">
        <f t="shared" si="5"/>
        <v>0</v>
      </c>
      <c r="AA61" s="475">
        <v>0</v>
      </c>
      <c r="AB61" s="476">
        <v>0</v>
      </c>
      <c r="AC61" s="38">
        <f t="shared" si="6"/>
        <v>0</v>
      </c>
      <c r="AD61" s="692">
        <f t="shared" si="7"/>
        <v>0</v>
      </c>
      <c r="AE61" s="692">
        <f t="shared" si="8"/>
        <v>-10000</v>
      </c>
      <c r="AF61" s="692">
        <f t="shared" si="9"/>
        <v>0</v>
      </c>
      <c r="AG61" s="38"/>
      <c r="AH61" s="692">
        <f t="shared" si="10"/>
        <v>0</v>
      </c>
      <c r="AI61" s="692">
        <f t="shared" si="11"/>
        <v>15000</v>
      </c>
      <c r="AJ61" s="692">
        <f t="shared" si="12"/>
        <v>0</v>
      </c>
      <c r="AL61" s="38">
        <f t="shared" si="14"/>
        <v>5000</v>
      </c>
      <c r="AM61" s="68" t="s">
        <v>374</v>
      </c>
    </row>
    <row r="62" spans="1:39">
      <c r="A62" s="20"/>
      <c r="B62" s="20" t="s">
        <v>114</v>
      </c>
      <c r="C62" s="667"/>
      <c r="D62" s="68" t="s">
        <v>502</v>
      </c>
      <c r="E62" s="679"/>
      <c r="F62" s="529">
        <f>VLOOKUP(D62,'Feb14 Revenue'!D:V,19,FALSE)</f>
        <v>0</v>
      </c>
      <c r="G62" s="680"/>
      <c r="H62" s="680"/>
      <c r="I62" s="755"/>
      <c r="J62" s="682">
        <f t="shared" si="0"/>
        <v>0</v>
      </c>
      <c r="K62" s="683"/>
      <c r="L62" s="684"/>
      <c r="M62" s="753"/>
      <c r="N62" s="683">
        <v>0</v>
      </c>
      <c r="O62" s="686"/>
      <c r="P62" s="683">
        <v>0</v>
      </c>
      <c r="Q62" s="687">
        <f t="shared" si="1"/>
        <v>0</v>
      </c>
      <c r="R62" s="687"/>
      <c r="S62" s="687"/>
      <c r="T62" s="688">
        <v>0</v>
      </c>
      <c r="U62" s="689"/>
      <c r="V62" s="690">
        <f t="shared" si="13"/>
        <v>0</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4"/>
        <v>0</v>
      </c>
      <c r="AM62" s="68" t="s">
        <v>502</v>
      </c>
    </row>
    <row r="63" spans="1:39">
      <c r="A63" s="21"/>
      <c r="B63" s="21" t="s">
        <v>110</v>
      </c>
      <c r="C63" s="666" t="s">
        <v>535</v>
      </c>
      <c r="D63" s="123" t="s">
        <v>517</v>
      </c>
      <c r="E63" s="679"/>
      <c r="F63" s="529">
        <f>VLOOKUP(D63,'Feb14 Revenue'!D:V,19,FALSE)</f>
        <v>16779.059999999998</v>
      </c>
      <c r="G63" s="680"/>
      <c r="H63" s="680"/>
      <c r="I63" s="755"/>
      <c r="J63" s="682">
        <f t="shared" si="0"/>
        <v>16779.059999999998</v>
      </c>
      <c r="K63" s="683"/>
      <c r="L63" s="684"/>
      <c r="M63" s="753">
        <v>530000</v>
      </c>
      <c r="N63" s="683">
        <v>0</v>
      </c>
      <c r="O63" s="686"/>
      <c r="P63" s="683">
        <v>0</v>
      </c>
      <c r="Q63" s="687">
        <f t="shared" si="1"/>
        <v>530000</v>
      </c>
      <c r="R63" s="687"/>
      <c r="S63" s="687"/>
      <c r="T63" s="688">
        <v>549983.51</v>
      </c>
      <c r="U63" s="689"/>
      <c r="V63" s="690">
        <f t="shared" si="13"/>
        <v>19983.510000000009</v>
      </c>
      <c r="W63" s="697"/>
      <c r="X63" s="474">
        <f t="shared" si="3"/>
        <v>530000</v>
      </c>
      <c r="Y63" s="474">
        <f t="shared" si="4"/>
        <v>0</v>
      </c>
      <c r="Z63" s="475">
        <f t="shared" si="5"/>
        <v>0</v>
      </c>
      <c r="AA63" s="475">
        <v>0</v>
      </c>
      <c r="AB63" s="476">
        <v>0</v>
      </c>
      <c r="AC63" s="38">
        <f t="shared" si="6"/>
        <v>0</v>
      </c>
      <c r="AD63" s="692">
        <f t="shared" si="7"/>
        <v>16779.059999999998</v>
      </c>
      <c r="AE63" s="692">
        <f t="shared" si="8"/>
        <v>0</v>
      </c>
      <c r="AF63" s="692">
        <f t="shared" si="9"/>
        <v>0</v>
      </c>
      <c r="AG63" s="38"/>
      <c r="AH63" s="692">
        <f t="shared" si="10"/>
        <v>530000</v>
      </c>
      <c r="AI63" s="692">
        <f t="shared" si="11"/>
        <v>0</v>
      </c>
      <c r="AJ63" s="692">
        <f t="shared" si="12"/>
        <v>0</v>
      </c>
      <c r="AL63" s="38">
        <f t="shared" si="14"/>
        <v>546779.06000000006</v>
      </c>
      <c r="AM63" s="123" t="s">
        <v>517</v>
      </c>
    </row>
    <row r="64" spans="1:39">
      <c r="A64" s="20"/>
      <c r="B64" s="20" t="s">
        <v>110</v>
      </c>
      <c r="C64" s="667" t="s">
        <v>536</v>
      </c>
      <c r="D64" s="68" t="s">
        <v>450</v>
      </c>
      <c r="E64" s="679">
        <v>3877.24</v>
      </c>
      <c r="F64" s="529">
        <f>VLOOKUP(D64,'Feb14 Revenue'!D:V,19,FALSE)</f>
        <v>0</v>
      </c>
      <c r="G64" s="680"/>
      <c r="H64" s="680"/>
      <c r="I64" s="755"/>
      <c r="J64" s="682">
        <f t="shared" si="0"/>
        <v>3877.24</v>
      </c>
      <c r="K64" s="683"/>
      <c r="L64" s="684"/>
      <c r="M64" s="753"/>
      <c r="N64" s="683">
        <v>0</v>
      </c>
      <c r="O64" s="686"/>
      <c r="P64" s="683">
        <v>0</v>
      </c>
      <c r="Q64" s="687">
        <f t="shared" si="1"/>
        <v>0</v>
      </c>
      <c r="R64" s="687"/>
      <c r="S64" s="687"/>
      <c r="T64" s="688">
        <v>0</v>
      </c>
      <c r="U64" s="689"/>
      <c r="V64" s="690">
        <f t="shared" si="13"/>
        <v>0</v>
      </c>
      <c r="W64" s="683"/>
      <c r="X64" s="474">
        <f t="shared" si="3"/>
        <v>0</v>
      </c>
      <c r="Y64" s="474">
        <f t="shared" si="4"/>
        <v>0</v>
      </c>
      <c r="Z64" s="475">
        <f t="shared" si="5"/>
        <v>0</v>
      </c>
      <c r="AA64" s="475">
        <v>0</v>
      </c>
      <c r="AB64" s="476">
        <v>0</v>
      </c>
      <c r="AC64" s="38">
        <f t="shared" si="6"/>
        <v>0</v>
      </c>
      <c r="AD64" s="692">
        <f t="shared" si="7"/>
        <v>3877.24</v>
      </c>
      <c r="AE64" s="692">
        <f t="shared" si="8"/>
        <v>0</v>
      </c>
      <c r="AF64" s="692">
        <f t="shared" si="9"/>
        <v>0</v>
      </c>
      <c r="AG64" s="38"/>
      <c r="AH64" s="692">
        <f t="shared" si="10"/>
        <v>0</v>
      </c>
      <c r="AI64" s="692">
        <f t="shared" si="11"/>
        <v>0</v>
      </c>
      <c r="AJ64" s="692">
        <f t="shared" si="12"/>
        <v>0</v>
      </c>
      <c r="AL64" s="38">
        <f t="shared" si="14"/>
        <v>3877.24</v>
      </c>
      <c r="AM64" s="68" t="s">
        <v>450</v>
      </c>
    </row>
    <row r="65" spans="1:39">
      <c r="A65" s="20"/>
      <c r="B65" s="20" t="s">
        <v>110</v>
      </c>
      <c r="C65" s="676"/>
      <c r="D65" s="68" t="s">
        <v>991</v>
      </c>
      <c r="E65" s="679"/>
      <c r="F65" s="529">
        <f>VLOOKUP(D65,'Feb14 Revenue'!D:V,19,FALSE)</f>
        <v>0</v>
      </c>
      <c r="G65" s="680"/>
      <c r="H65" s="680"/>
      <c r="I65" s="755"/>
      <c r="J65" s="682">
        <f t="shared" si="0"/>
        <v>0</v>
      </c>
      <c r="K65" s="683"/>
      <c r="L65" s="684"/>
      <c r="M65" s="753"/>
      <c r="N65" s="683">
        <v>0</v>
      </c>
      <c r="O65" s="686"/>
      <c r="P65" s="683">
        <v>0</v>
      </c>
      <c r="Q65" s="687">
        <f t="shared" si="1"/>
        <v>0</v>
      </c>
      <c r="R65" s="687"/>
      <c r="S65" s="687"/>
      <c r="T65" s="688">
        <v>0</v>
      </c>
      <c r="U65" s="689"/>
      <c r="V65" s="690">
        <f t="shared" si="13"/>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4"/>
        <v>0</v>
      </c>
      <c r="AM65" s="68" t="s">
        <v>991</v>
      </c>
    </row>
    <row r="66" spans="1:39">
      <c r="A66" s="20"/>
      <c r="B66" s="20" t="s">
        <v>110</v>
      </c>
      <c r="C66" s="676" t="s">
        <v>975</v>
      </c>
      <c r="D66" s="68" t="s">
        <v>976</v>
      </c>
      <c r="E66" s="679"/>
      <c r="F66" s="529">
        <f>VLOOKUP(D66,'Feb14 Revenue'!D:V,19,FALSE)</f>
        <v>0</v>
      </c>
      <c r="G66" s="680"/>
      <c r="H66" s="680"/>
      <c r="I66" s="755"/>
      <c r="J66" s="682">
        <f t="shared" si="0"/>
        <v>0</v>
      </c>
      <c r="K66" s="683"/>
      <c r="L66" s="684"/>
      <c r="M66" s="753"/>
      <c r="N66" s="683">
        <v>0</v>
      </c>
      <c r="O66" s="686"/>
      <c r="P66" s="683">
        <v>0</v>
      </c>
      <c r="Q66" s="687">
        <f t="shared" si="1"/>
        <v>0</v>
      </c>
      <c r="R66" s="687"/>
      <c r="S66" s="687"/>
      <c r="T66" s="688">
        <v>0</v>
      </c>
      <c r="U66" s="689"/>
      <c r="V66" s="690">
        <f t="shared" si="13"/>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4"/>
        <v>0</v>
      </c>
      <c r="AM66" s="68" t="s">
        <v>976</v>
      </c>
    </row>
    <row r="67" spans="1:39">
      <c r="A67" s="21" t="s">
        <v>109</v>
      </c>
      <c r="B67" s="21" t="s">
        <v>110</v>
      </c>
      <c r="C67" s="666"/>
      <c r="D67" s="68" t="s">
        <v>438</v>
      </c>
      <c r="E67" s="679"/>
      <c r="F67" s="529">
        <f>VLOOKUP(D67,'Feb14 Revenue'!D:V,19,FALSE)</f>
        <v>0</v>
      </c>
      <c r="G67" s="680"/>
      <c r="H67" s="680"/>
      <c r="I67" s="755"/>
      <c r="J67" s="682">
        <f t="shared" si="0"/>
        <v>0</v>
      </c>
      <c r="K67" s="683"/>
      <c r="L67" s="684"/>
      <c r="M67" s="753"/>
      <c r="N67" s="683">
        <v>0</v>
      </c>
      <c r="O67" s="686"/>
      <c r="P67" s="683">
        <v>0</v>
      </c>
      <c r="Q67" s="687">
        <f t="shared" si="1"/>
        <v>0</v>
      </c>
      <c r="R67" s="687"/>
      <c r="S67" s="687"/>
      <c r="T67" s="688">
        <v>0</v>
      </c>
      <c r="U67" s="689"/>
      <c r="V67" s="690">
        <f t="shared" si="13"/>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4"/>
        <v>0</v>
      </c>
      <c r="AM67" s="68" t="s">
        <v>438</v>
      </c>
    </row>
    <row r="68" spans="1:39">
      <c r="A68" s="21"/>
      <c r="B68" s="21" t="s">
        <v>110</v>
      </c>
      <c r="C68" s="666"/>
      <c r="D68" s="68" t="s">
        <v>628</v>
      </c>
      <c r="E68" s="679"/>
      <c r="F68" s="529">
        <f>VLOOKUP(D68,'Feb14 Revenue'!D:V,19,FALSE)</f>
        <v>0</v>
      </c>
      <c r="G68" s="680"/>
      <c r="H68" s="680"/>
      <c r="I68" s="755"/>
      <c r="J68" s="682">
        <f t="shared" si="0"/>
        <v>0</v>
      </c>
      <c r="K68" s="683"/>
      <c r="L68" s="684"/>
      <c r="M68" s="753"/>
      <c r="N68" s="683">
        <v>0</v>
      </c>
      <c r="O68" s="686"/>
      <c r="P68" s="683">
        <v>0</v>
      </c>
      <c r="Q68" s="687">
        <f t="shared" si="1"/>
        <v>0</v>
      </c>
      <c r="R68" s="687"/>
      <c r="S68" s="687"/>
      <c r="T68" s="688">
        <v>0</v>
      </c>
      <c r="U68" s="689"/>
      <c r="V68" s="690">
        <f t="shared" si="13"/>
        <v>0</v>
      </c>
      <c r="W68" s="697"/>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4"/>
        <v>0</v>
      </c>
      <c r="AM68" s="68" t="s">
        <v>628</v>
      </c>
    </row>
    <row r="69" spans="1:39">
      <c r="A69" s="21"/>
      <c r="B69" s="21" t="s">
        <v>110</v>
      </c>
      <c r="C69" s="666"/>
      <c r="D69" s="68" t="s">
        <v>956</v>
      </c>
      <c r="E69" s="679"/>
      <c r="F69" s="529">
        <f>VLOOKUP(D69,'Feb14 Revenue'!D:V,19,FALSE)</f>
        <v>0</v>
      </c>
      <c r="G69" s="680"/>
      <c r="H69" s="680"/>
      <c r="I69" s="755"/>
      <c r="J69" s="682">
        <f t="shared" si="0"/>
        <v>0</v>
      </c>
      <c r="K69" s="683"/>
      <c r="L69" s="684"/>
      <c r="M69" s="753"/>
      <c r="N69" s="683">
        <v>0</v>
      </c>
      <c r="O69" s="686"/>
      <c r="P69" s="683">
        <v>0</v>
      </c>
      <c r="Q69" s="687">
        <f t="shared" si="1"/>
        <v>0</v>
      </c>
      <c r="R69" s="687"/>
      <c r="S69" s="687"/>
      <c r="T69" s="688">
        <v>0</v>
      </c>
      <c r="U69" s="689"/>
      <c r="V69" s="690">
        <f t="shared" si="13"/>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4"/>
        <v>0</v>
      </c>
      <c r="AM69" s="68" t="s">
        <v>956</v>
      </c>
    </row>
    <row r="70" spans="1:39" s="232" customFormat="1">
      <c r="A70" s="283" t="s">
        <v>211</v>
      </c>
      <c r="B70" s="283" t="s">
        <v>110</v>
      </c>
      <c r="C70" s="667" t="s">
        <v>538</v>
      </c>
      <c r="D70" s="123" t="s">
        <v>170</v>
      </c>
      <c r="E70" s="679"/>
      <c r="F70" s="529">
        <f>VLOOKUP(D70,'Feb14 Revenue'!D:V,19,FALSE)</f>
        <v>-400000</v>
      </c>
      <c r="G70" s="680"/>
      <c r="H70" s="680"/>
      <c r="I70" s="755"/>
      <c r="J70" s="682">
        <f t="shared" si="0"/>
        <v>-400000</v>
      </c>
      <c r="K70" s="683"/>
      <c r="L70" s="684"/>
      <c r="M70" s="753">
        <v>600000</v>
      </c>
      <c r="N70" s="683">
        <v>0</v>
      </c>
      <c r="O70" s="686"/>
      <c r="P70" s="683">
        <v>0</v>
      </c>
      <c r="Q70" s="687">
        <f t="shared" si="1"/>
        <v>600000</v>
      </c>
      <c r="R70" s="687"/>
      <c r="S70" s="687"/>
      <c r="T70" s="688">
        <v>546104.69999999995</v>
      </c>
      <c r="U70" s="689"/>
      <c r="V70" s="690">
        <f t="shared" si="13"/>
        <v>-53895.300000000047</v>
      </c>
      <c r="W70" s="683"/>
      <c r="X70" s="474">
        <f t="shared" si="3"/>
        <v>600000</v>
      </c>
      <c r="Y70" s="474">
        <f t="shared" si="4"/>
        <v>0</v>
      </c>
      <c r="Z70" s="475">
        <f t="shared" si="5"/>
        <v>0</v>
      </c>
      <c r="AA70" s="475">
        <v>0</v>
      </c>
      <c r="AB70" s="476">
        <v>0</v>
      </c>
      <c r="AC70" s="38">
        <f t="shared" si="6"/>
        <v>0</v>
      </c>
      <c r="AD70" s="692">
        <f t="shared" si="7"/>
        <v>-400000</v>
      </c>
      <c r="AE70" s="692">
        <f t="shared" si="8"/>
        <v>0</v>
      </c>
      <c r="AF70" s="692">
        <f t="shared" si="9"/>
        <v>0</v>
      </c>
      <c r="AG70" s="38"/>
      <c r="AH70" s="692">
        <f t="shared" si="10"/>
        <v>600000</v>
      </c>
      <c r="AI70" s="692">
        <f t="shared" si="11"/>
        <v>0</v>
      </c>
      <c r="AJ70" s="692">
        <f t="shared" si="12"/>
        <v>0</v>
      </c>
      <c r="AL70" s="38">
        <f t="shared" si="14"/>
        <v>200000</v>
      </c>
      <c r="AM70" s="123" t="s">
        <v>170</v>
      </c>
    </row>
    <row r="71" spans="1:39" s="232" customFormat="1">
      <c r="A71" s="283" t="s">
        <v>211</v>
      </c>
      <c r="B71" s="283" t="s">
        <v>110</v>
      </c>
      <c r="C71" s="667" t="s">
        <v>538</v>
      </c>
      <c r="D71" s="123" t="s">
        <v>171</v>
      </c>
      <c r="E71" s="679"/>
      <c r="F71" s="529">
        <f>VLOOKUP(D71,'Feb14 Revenue'!D:V,19,FALSE)</f>
        <v>0</v>
      </c>
      <c r="G71" s="680"/>
      <c r="H71" s="680"/>
      <c r="I71" s="755"/>
      <c r="J71" s="682">
        <f t="shared" si="0"/>
        <v>0</v>
      </c>
      <c r="K71" s="683"/>
      <c r="L71" s="684"/>
      <c r="M71" s="753"/>
      <c r="N71" s="683">
        <v>0</v>
      </c>
      <c r="O71" s="686"/>
      <c r="P71" s="683">
        <v>0</v>
      </c>
      <c r="Q71" s="687">
        <f t="shared" si="1"/>
        <v>0</v>
      </c>
      <c r="R71" s="687"/>
      <c r="S71" s="687"/>
      <c r="T71" s="688">
        <v>0</v>
      </c>
      <c r="U71" s="689"/>
      <c r="V71" s="690">
        <f t="shared" si="13"/>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4"/>
        <v>0</v>
      </c>
      <c r="AM71" s="123" t="s">
        <v>171</v>
      </c>
    </row>
    <row r="72" spans="1:39" s="232" customFormat="1" hidden="1">
      <c r="A72" s="283" t="s">
        <v>211</v>
      </c>
      <c r="B72" s="283" t="s">
        <v>110</v>
      </c>
      <c r="C72" s="667" t="s">
        <v>538</v>
      </c>
      <c r="D72" s="123" t="s">
        <v>13</v>
      </c>
      <c r="E72" s="679"/>
      <c r="F72" s="529">
        <f>VLOOKUP(D72,'Feb14 Revenue'!D:V,19,FALSE)</f>
        <v>0</v>
      </c>
      <c r="G72" s="680"/>
      <c r="H72" s="680"/>
      <c r="I72" s="755"/>
      <c r="J72" s="682">
        <f t="shared" si="0"/>
        <v>0</v>
      </c>
      <c r="K72" s="683"/>
      <c r="L72" s="684"/>
      <c r="M72" s="753"/>
      <c r="N72" s="683">
        <v>0</v>
      </c>
      <c r="O72" s="686"/>
      <c r="P72" s="683">
        <v>0</v>
      </c>
      <c r="Q72" s="687">
        <f t="shared" si="1"/>
        <v>0</v>
      </c>
      <c r="R72" s="687"/>
      <c r="S72" s="687"/>
      <c r="T72" s="688">
        <v>0</v>
      </c>
      <c r="U72" s="689"/>
      <c r="V72" s="690">
        <f t="shared" si="13"/>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4"/>
        <v>0</v>
      </c>
      <c r="AM72" s="123" t="s">
        <v>13</v>
      </c>
    </row>
    <row r="73" spans="1:39" s="232" customFormat="1" hidden="1">
      <c r="A73" s="283" t="s">
        <v>211</v>
      </c>
      <c r="B73" s="283" t="s">
        <v>110</v>
      </c>
      <c r="C73" s="667" t="s">
        <v>538</v>
      </c>
      <c r="D73" s="123" t="s">
        <v>172</v>
      </c>
      <c r="E73" s="679"/>
      <c r="F73" s="529">
        <f>VLOOKUP(D73,'Feb14 Revenue'!D:V,19,FALSE)</f>
        <v>0</v>
      </c>
      <c r="G73" s="680"/>
      <c r="H73" s="680"/>
      <c r="I73" s="755"/>
      <c r="J73" s="682">
        <f t="shared" si="0"/>
        <v>0</v>
      </c>
      <c r="K73" s="683"/>
      <c r="L73" s="684"/>
      <c r="M73" s="753"/>
      <c r="N73" s="683">
        <v>0</v>
      </c>
      <c r="O73" s="686"/>
      <c r="P73" s="683">
        <v>0</v>
      </c>
      <c r="Q73" s="687">
        <f t="shared" si="1"/>
        <v>0</v>
      </c>
      <c r="R73" s="687"/>
      <c r="S73" s="687"/>
      <c r="T73" s="688">
        <v>0</v>
      </c>
      <c r="U73" s="689"/>
      <c r="V73" s="690">
        <f t="shared" si="13"/>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4"/>
        <v>0</v>
      </c>
      <c r="AM73" s="123" t="s">
        <v>172</v>
      </c>
    </row>
    <row r="74" spans="1:39" s="232" customFormat="1" hidden="1">
      <c r="A74" s="283" t="s">
        <v>211</v>
      </c>
      <c r="B74" s="283" t="s">
        <v>110</v>
      </c>
      <c r="C74" s="667" t="s">
        <v>538</v>
      </c>
      <c r="D74" s="123" t="s">
        <v>173</v>
      </c>
      <c r="E74" s="679"/>
      <c r="F74" s="529">
        <f>VLOOKUP(D74,'Feb14 Revenue'!D:V,19,FALSE)</f>
        <v>0</v>
      </c>
      <c r="G74" s="680"/>
      <c r="H74" s="680"/>
      <c r="I74" s="755"/>
      <c r="J74" s="682">
        <f t="shared" si="0"/>
        <v>0</v>
      </c>
      <c r="K74" s="683"/>
      <c r="L74" s="684"/>
      <c r="M74" s="753"/>
      <c r="N74" s="683">
        <v>0</v>
      </c>
      <c r="O74" s="686"/>
      <c r="P74" s="683">
        <v>0</v>
      </c>
      <c r="Q74" s="687">
        <f t="shared" si="1"/>
        <v>0</v>
      </c>
      <c r="R74" s="687"/>
      <c r="S74" s="687"/>
      <c r="T74" s="688">
        <v>0</v>
      </c>
      <c r="U74" s="689"/>
      <c r="V74" s="690">
        <f t="shared" si="13"/>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4"/>
        <v>0</v>
      </c>
      <c r="AM74" s="123" t="s">
        <v>173</v>
      </c>
    </row>
    <row r="75" spans="1:39" s="232" customFormat="1" hidden="1">
      <c r="A75" s="283" t="s">
        <v>211</v>
      </c>
      <c r="B75" s="283" t="s">
        <v>110</v>
      </c>
      <c r="C75" s="667" t="s">
        <v>538</v>
      </c>
      <c r="D75" s="123" t="s">
        <v>174</v>
      </c>
      <c r="E75" s="679"/>
      <c r="F75" s="529">
        <f>VLOOKUP(D75,'Feb14 Revenue'!D:V,19,FALSE)</f>
        <v>0</v>
      </c>
      <c r="G75" s="680"/>
      <c r="H75" s="680"/>
      <c r="I75" s="755"/>
      <c r="J75" s="682">
        <f t="shared" si="0"/>
        <v>0</v>
      </c>
      <c r="K75" s="683"/>
      <c r="L75" s="684"/>
      <c r="M75" s="753"/>
      <c r="N75" s="683">
        <v>0</v>
      </c>
      <c r="O75" s="686"/>
      <c r="P75" s="683">
        <v>0</v>
      </c>
      <c r="Q75" s="687">
        <f t="shared" si="1"/>
        <v>0</v>
      </c>
      <c r="R75" s="687"/>
      <c r="S75" s="687"/>
      <c r="T75" s="688">
        <v>0</v>
      </c>
      <c r="U75" s="689"/>
      <c r="V75" s="690">
        <f t="shared" si="13"/>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4"/>
        <v>0</v>
      </c>
      <c r="AM75" s="123" t="s">
        <v>174</v>
      </c>
    </row>
    <row r="76" spans="1:39" s="232" customFormat="1">
      <c r="A76" s="283"/>
      <c r="B76" s="283" t="s">
        <v>109</v>
      </c>
      <c r="C76" s="794"/>
      <c r="D76" s="351" t="s">
        <v>14</v>
      </c>
      <c r="E76" s="679"/>
      <c r="F76" s="529">
        <f>VLOOKUP(D76,'Feb14 Revenue'!D:V,19,FALSE)</f>
        <v>0</v>
      </c>
      <c r="G76" s="680"/>
      <c r="H76" s="680"/>
      <c r="I76" s="755"/>
      <c r="J76" s="682">
        <f t="shared" si="0"/>
        <v>0</v>
      </c>
      <c r="K76" s="683"/>
      <c r="L76" s="684"/>
      <c r="M76" s="753"/>
      <c r="N76" s="683">
        <v>0</v>
      </c>
      <c r="O76" s="686"/>
      <c r="P76" s="683">
        <v>0</v>
      </c>
      <c r="Q76" s="687">
        <f t="shared" si="1"/>
        <v>0</v>
      </c>
      <c r="R76" s="687"/>
      <c r="S76" s="687"/>
      <c r="T76" s="688">
        <v>0</v>
      </c>
      <c r="U76" s="689"/>
      <c r="V76" s="690">
        <f t="shared" si="13"/>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4"/>
        <v>0</v>
      </c>
      <c r="AM76" s="351" t="s">
        <v>14</v>
      </c>
    </row>
    <row r="77" spans="1:39" hidden="1">
      <c r="A77" s="20"/>
      <c r="B77" s="20" t="s">
        <v>110</v>
      </c>
      <c r="C77" s="667"/>
      <c r="D77" s="68" t="s">
        <v>15</v>
      </c>
      <c r="E77" s="679"/>
      <c r="F77" s="529">
        <f>VLOOKUP(D77,'Feb14 Revenue'!D:V,19,FALSE)</f>
        <v>0</v>
      </c>
      <c r="G77" s="680"/>
      <c r="H77" s="680"/>
      <c r="I77" s="755"/>
      <c r="J77" s="682">
        <f t="shared" si="0"/>
        <v>0</v>
      </c>
      <c r="K77" s="683"/>
      <c r="L77" s="684"/>
      <c r="M77" s="753"/>
      <c r="N77" s="683">
        <v>0</v>
      </c>
      <c r="O77" s="686"/>
      <c r="P77" s="683">
        <v>0</v>
      </c>
      <c r="Q77" s="687">
        <f t="shared" si="1"/>
        <v>0</v>
      </c>
      <c r="R77" s="687"/>
      <c r="S77" s="687"/>
      <c r="T77" s="688">
        <v>0</v>
      </c>
      <c r="U77" s="689"/>
      <c r="V77" s="690">
        <f t="shared" si="13"/>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4"/>
        <v>0</v>
      </c>
      <c r="AM77" s="68" t="s">
        <v>15</v>
      </c>
    </row>
    <row r="78" spans="1:39">
      <c r="A78" s="20"/>
      <c r="B78" s="20" t="s">
        <v>110</v>
      </c>
      <c r="C78" s="667"/>
      <c r="D78" s="68" t="s">
        <v>646</v>
      </c>
      <c r="E78" s="679"/>
      <c r="F78" s="529">
        <f>VLOOKUP(D78,'Feb14 Revenue'!D:V,19,FALSE)</f>
        <v>0</v>
      </c>
      <c r="G78" s="680"/>
      <c r="H78" s="680"/>
      <c r="I78" s="770">
        <v>360.86</v>
      </c>
      <c r="J78" s="682">
        <f t="shared" si="0"/>
        <v>360.86</v>
      </c>
      <c r="K78" s="683"/>
      <c r="L78" s="684"/>
      <c r="M78" s="753"/>
      <c r="N78" s="683">
        <v>0</v>
      </c>
      <c r="O78" s="686"/>
      <c r="P78" s="683">
        <v>0</v>
      </c>
      <c r="Q78" s="687">
        <f t="shared" si="1"/>
        <v>0</v>
      </c>
      <c r="R78" s="687"/>
      <c r="S78" s="687"/>
      <c r="T78" s="688">
        <v>0</v>
      </c>
      <c r="U78" s="689"/>
      <c r="V78" s="690">
        <f t="shared" si="13"/>
        <v>0</v>
      </c>
      <c r="W78" s="683"/>
      <c r="X78" s="474">
        <f t="shared" si="3"/>
        <v>0</v>
      </c>
      <c r="Y78" s="474">
        <f t="shared" si="4"/>
        <v>0</v>
      </c>
      <c r="Z78" s="475">
        <f t="shared" si="5"/>
        <v>0</v>
      </c>
      <c r="AA78" s="475">
        <v>0</v>
      </c>
      <c r="AB78" s="476">
        <v>0</v>
      </c>
      <c r="AC78" s="38">
        <f t="shared" si="6"/>
        <v>0</v>
      </c>
      <c r="AD78" s="692">
        <f t="shared" si="7"/>
        <v>360.86</v>
      </c>
      <c r="AE78" s="692">
        <f t="shared" si="8"/>
        <v>0</v>
      </c>
      <c r="AF78" s="692">
        <f t="shared" si="9"/>
        <v>0</v>
      </c>
      <c r="AG78" s="38"/>
      <c r="AH78" s="692">
        <f t="shared" si="10"/>
        <v>0</v>
      </c>
      <c r="AI78" s="692">
        <f t="shared" si="11"/>
        <v>0</v>
      </c>
      <c r="AJ78" s="692">
        <f t="shared" si="12"/>
        <v>0</v>
      </c>
      <c r="AL78" s="38">
        <f t="shared" si="14"/>
        <v>360.86</v>
      </c>
      <c r="AM78" s="68" t="s">
        <v>646</v>
      </c>
    </row>
    <row r="79" spans="1:39">
      <c r="A79" s="20"/>
      <c r="B79" s="20" t="s">
        <v>110</v>
      </c>
      <c r="C79" s="676" t="s">
        <v>1078</v>
      </c>
      <c r="D79" s="68" t="s">
        <v>988</v>
      </c>
      <c r="E79" s="679">
        <v>4871</v>
      </c>
      <c r="F79" s="529">
        <f>VLOOKUP(D79,'Feb14 Revenue'!D:V,19,FALSE)</f>
        <v>22661</v>
      </c>
      <c r="G79" s="680"/>
      <c r="H79" s="680"/>
      <c r="I79" s="755"/>
      <c r="J79" s="682">
        <f t="shared" si="0"/>
        <v>27532</v>
      </c>
      <c r="K79" s="683"/>
      <c r="L79" s="684"/>
      <c r="M79" s="753"/>
      <c r="N79" s="683">
        <v>0</v>
      </c>
      <c r="O79" s="686"/>
      <c r="P79" s="683">
        <v>0</v>
      </c>
      <c r="Q79" s="687">
        <f t="shared" si="1"/>
        <v>0</v>
      </c>
      <c r="R79" s="687"/>
      <c r="S79" s="687"/>
      <c r="T79" s="688">
        <v>0</v>
      </c>
      <c r="U79" s="689"/>
      <c r="V79" s="690">
        <f t="shared" si="13"/>
        <v>0</v>
      </c>
      <c r="W79" s="683"/>
      <c r="X79" s="474">
        <f t="shared" si="3"/>
        <v>0</v>
      </c>
      <c r="Y79" s="474">
        <f t="shared" si="4"/>
        <v>0</v>
      </c>
      <c r="Z79" s="475">
        <f t="shared" si="5"/>
        <v>0</v>
      </c>
      <c r="AA79" s="475">
        <v>0</v>
      </c>
      <c r="AB79" s="476">
        <v>0</v>
      </c>
      <c r="AC79" s="38">
        <f t="shared" si="6"/>
        <v>0</v>
      </c>
      <c r="AD79" s="692">
        <f t="shared" si="7"/>
        <v>27532</v>
      </c>
      <c r="AE79" s="692">
        <f t="shared" si="8"/>
        <v>0</v>
      </c>
      <c r="AF79" s="692">
        <f t="shared" si="9"/>
        <v>0</v>
      </c>
      <c r="AG79" s="38"/>
      <c r="AH79" s="692">
        <f t="shared" si="10"/>
        <v>0</v>
      </c>
      <c r="AI79" s="692">
        <f t="shared" si="11"/>
        <v>0</v>
      </c>
      <c r="AJ79" s="692">
        <f t="shared" si="12"/>
        <v>0</v>
      </c>
      <c r="AL79" s="38">
        <f t="shared" si="14"/>
        <v>27532</v>
      </c>
      <c r="AM79" s="68" t="s">
        <v>988</v>
      </c>
    </row>
    <row r="80" spans="1:39">
      <c r="A80" s="20" t="s">
        <v>109</v>
      </c>
      <c r="B80" s="20" t="s">
        <v>109</v>
      </c>
      <c r="C80" s="667" t="s">
        <v>539</v>
      </c>
      <c r="D80" s="68" t="s">
        <v>510</v>
      </c>
      <c r="E80" s="679"/>
      <c r="F80" s="529">
        <f>VLOOKUP(D80,'Feb14 Revenue'!D:V,19,FALSE)</f>
        <v>0</v>
      </c>
      <c r="G80" s="680"/>
      <c r="H80" s="680"/>
      <c r="I80" s="755"/>
      <c r="J80" s="682">
        <f t="shared" si="0"/>
        <v>0</v>
      </c>
      <c r="K80" s="683"/>
      <c r="L80" s="684"/>
      <c r="M80" s="753"/>
      <c r="N80" s="683">
        <v>0</v>
      </c>
      <c r="O80" s="686"/>
      <c r="P80" s="683">
        <v>0</v>
      </c>
      <c r="Q80" s="687">
        <f t="shared" si="1"/>
        <v>0</v>
      </c>
      <c r="R80" s="687"/>
      <c r="S80" s="687"/>
      <c r="T80" s="688">
        <v>0</v>
      </c>
      <c r="U80" s="689"/>
      <c r="V80" s="690">
        <f t="shared" si="13"/>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4"/>
        <v>0</v>
      </c>
      <c r="AM80" s="68" t="s">
        <v>510</v>
      </c>
    </row>
    <row r="81" spans="1:39">
      <c r="A81" s="20"/>
      <c r="B81" s="20" t="s">
        <v>109</v>
      </c>
      <c r="C81" s="667"/>
      <c r="D81" s="68" t="s">
        <v>16</v>
      </c>
      <c r="E81" s="679"/>
      <c r="F81" s="529">
        <f>VLOOKUP(D81,'Feb14 Revenue'!D:V,19,FALSE)</f>
        <v>0</v>
      </c>
      <c r="G81" s="680"/>
      <c r="H81" s="680"/>
      <c r="I81" s="755"/>
      <c r="J81" s="682">
        <f t="shared" si="0"/>
        <v>0</v>
      </c>
      <c r="K81" s="683"/>
      <c r="L81" s="684"/>
      <c r="M81" s="753"/>
      <c r="N81" s="683">
        <v>0</v>
      </c>
      <c r="O81" s="686"/>
      <c r="P81" s="683">
        <v>0</v>
      </c>
      <c r="Q81" s="687">
        <f t="shared" si="1"/>
        <v>0</v>
      </c>
      <c r="R81" s="687"/>
      <c r="S81" s="687"/>
      <c r="T81" s="688">
        <v>0</v>
      </c>
      <c r="U81" s="689"/>
      <c r="V81" s="690">
        <f t="shared" ref="V81:V145" si="15">IF(T81="","",T81-Q81)</f>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4"/>
        <v>0</v>
      </c>
      <c r="AM81" s="68" t="s">
        <v>16</v>
      </c>
    </row>
    <row r="82" spans="1:39">
      <c r="A82" s="20"/>
      <c r="B82" s="20" t="s">
        <v>110</v>
      </c>
      <c r="C82" s="667"/>
      <c r="D82" s="68" t="s">
        <v>597</v>
      </c>
      <c r="E82" s="679"/>
      <c r="F82" s="529">
        <f>VLOOKUP(D82,'Feb14 Revenue'!D:V,19,FALSE)</f>
        <v>-50907.760000000009</v>
      </c>
      <c r="G82" s="680"/>
      <c r="H82" s="680"/>
      <c r="I82" s="755"/>
      <c r="J82" s="682">
        <f t="shared" si="0"/>
        <v>-50907.760000000009</v>
      </c>
      <c r="K82" s="683"/>
      <c r="L82" s="684"/>
      <c r="M82" s="753">
        <v>800000</v>
      </c>
      <c r="N82" s="683">
        <v>0</v>
      </c>
      <c r="O82" s="686"/>
      <c r="P82" s="683">
        <v>0</v>
      </c>
      <c r="Q82" s="687">
        <f t="shared" si="1"/>
        <v>800000</v>
      </c>
      <c r="R82" s="687"/>
      <c r="S82" s="687"/>
      <c r="T82" s="688">
        <f>22311.31+3355.37+6944.57+232641.94+57873.21+68160.33+49863.09+46150.31+3602.95+2870.5+7833.59+312+323287.12+3888.7+479.01</f>
        <v>829574</v>
      </c>
      <c r="U82" s="689"/>
      <c r="V82" s="690">
        <f t="shared" si="15"/>
        <v>29574</v>
      </c>
      <c r="W82" s="683"/>
      <c r="X82" s="474">
        <f t="shared" si="3"/>
        <v>800000</v>
      </c>
      <c r="Y82" s="474">
        <f t="shared" si="4"/>
        <v>0</v>
      </c>
      <c r="Z82" s="475">
        <f t="shared" si="5"/>
        <v>0</v>
      </c>
      <c r="AA82" s="475">
        <v>0</v>
      </c>
      <c r="AB82" s="476">
        <v>0</v>
      </c>
      <c r="AC82" s="38">
        <f t="shared" si="6"/>
        <v>0</v>
      </c>
      <c r="AD82" s="692">
        <f t="shared" si="7"/>
        <v>-50907.760000000009</v>
      </c>
      <c r="AE82" s="692">
        <f t="shared" si="8"/>
        <v>0</v>
      </c>
      <c r="AF82" s="692">
        <f t="shared" si="9"/>
        <v>0</v>
      </c>
      <c r="AG82" s="38"/>
      <c r="AH82" s="692">
        <f t="shared" si="10"/>
        <v>800000</v>
      </c>
      <c r="AI82" s="692">
        <f t="shared" si="11"/>
        <v>0</v>
      </c>
      <c r="AJ82" s="692">
        <f t="shared" si="12"/>
        <v>0</v>
      </c>
      <c r="AL82" s="38">
        <f t="shared" si="14"/>
        <v>749092.24</v>
      </c>
      <c r="AM82" s="68" t="s">
        <v>597</v>
      </c>
    </row>
    <row r="83" spans="1:39" s="232" customFormat="1">
      <c r="A83" s="283"/>
      <c r="B83" s="283" t="s">
        <v>109</v>
      </c>
      <c r="C83" s="667" t="s">
        <v>540</v>
      </c>
      <c r="D83" s="373" t="s">
        <v>410</v>
      </c>
      <c r="E83" s="679">
        <f>2263.1+2128.7</f>
        <v>4391.7999999999993</v>
      </c>
      <c r="F83" s="529">
        <f>VLOOKUP(D83,'Feb14 Revenue'!D:V,19,FALSE)</f>
        <v>2336.6</v>
      </c>
      <c r="G83" s="680"/>
      <c r="H83" s="680"/>
      <c r="I83" s="755"/>
      <c r="J83" s="682">
        <f t="shared" si="0"/>
        <v>6728.4</v>
      </c>
      <c r="K83" s="683"/>
      <c r="L83" s="684"/>
      <c r="M83" s="753"/>
      <c r="N83" s="683">
        <v>0</v>
      </c>
      <c r="O83" s="686"/>
      <c r="P83" s="683">
        <v>0</v>
      </c>
      <c r="Q83" s="687">
        <f t="shared" si="1"/>
        <v>0</v>
      </c>
      <c r="R83" s="687"/>
      <c r="S83" s="687"/>
      <c r="T83" s="688">
        <v>0</v>
      </c>
      <c r="U83" s="689"/>
      <c r="V83" s="690">
        <f t="shared" si="15"/>
        <v>0</v>
      </c>
      <c r="W83" s="683"/>
      <c r="X83" s="474">
        <f t="shared" si="3"/>
        <v>0</v>
      </c>
      <c r="Y83" s="474">
        <f t="shared" si="4"/>
        <v>0</v>
      </c>
      <c r="Z83" s="475">
        <f t="shared" si="5"/>
        <v>0</v>
      </c>
      <c r="AA83" s="475">
        <v>0</v>
      </c>
      <c r="AB83" s="476">
        <v>0</v>
      </c>
      <c r="AC83" s="38">
        <f t="shared" si="6"/>
        <v>0</v>
      </c>
      <c r="AD83" s="692">
        <f t="shared" si="7"/>
        <v>0</v>
      </c>
      <c r="AE83" s="692">
        <f t="shared" si="8"/>
        <v>6728.4</v>
      </c>
      <c r="AF83" s="692">
        <f t="shared" si="9"/>
        <v>0</v>
      </c>
      <c r="AG83" s="38"/>
      <c r="AH83" s="692">
        <f t="shared" si="10"/>
        <v>0</v>
      </c>
      <c r="AI83" s="692">
        <f t="shared" si="11"/>
        <v>0</v>
      </c>
      <c r="AJ83" s="692">
        <f t="shared" si="12"/>
        <v>0</v>
      </c>
      <c r="AL83" s="38">
        <f t="shared" si="14"/>
        <v>6728.4</v>
      </c>
      <c r="AM83" s="373" t="s">
        <v>410</v>
      </c>
    </row>
    <row r="84" spans="1:39" s="232" customFormat="1">
      <c r="A84" s="283"/>
      <c r="B84" s="283" t="s">
        <v>109</v>
      </c>
      <c r="C84" s="667" t="s">
        <v>540</v>
      </c>
      <c r="D84" s="373" t="s">
        <v>879</v>
      </c>
      <c r="E84" s="679"/>
      <c r="F84" s="529">
        <f>VLOOKUP(D84,'Feb14 Revenue'!D:V,19,FALSE)</f>
        <v>0</v>
      </c>
      <c r="G84" s="680"/>
      <c r="H84" s="680"/>
      <c r="I84" s="755"/>
      <c r="J84" s="682">
        <f t="shared" si="0"/>
        <v>0</v>
      </c>
      <c r="K84" s="683"/>
      <c r="L84" s="684"/>
      <c r="M84" s="753"/>
      <c r="N84" s="683">
        <v>0</v>
      </c>
      <c r="O84" s="686"/>
      <c r="P84" s="683">
        <v>0</v>
      </c>
      <c r="Q84" s="687">
        <f t="shared" si="1"/>
        <v>0</v>
      </c>
      <c r="R84" s="687"/>
      <c r="S84" s="687"/>
      <c r="T84" s="688">
        <v>0</v>
      </c>
      <c r="U84" s="689"/>
      <c r="V84" s="690">
        <f t="shared" si="15"/>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4"/>
        <v>0</v>
      </c>
      <c r="AM84" s="373" t="s">
        <v>879</v>
      </c>
    </row>
    <row r="85" spans="1:39" s="232" customFormat="1">
      <c r="A85" s="283"/>
      <c r="B85" s="283" t="s">
        <v>109</v>
      </c>
      <c r="C85" s="667" t="s">
        <v>540</v>
      </c>
      <c r="D85" s="373" t="s">
        <v>620</v>
      </c>
      <c r="E85" s="679"/>
      <c r="F85" s="529">
        <f>VLOOKUP(D85,'Feb14 Revenue'!D:V,19,FALSE)</f>
        <v>0</v>
      </c>
      <c r="G85" s="680"/>
      <c r="H85" s="680"/>
      <c r="I85" s="755"/>
      <c r="J85" s="682">
        <f t="shared" si="0"/>
        <v>0</v>
      </c>
      <c r="K85" s="683"/>
      <c r="L85" s="684"/>
      <c r="M85" s="753"/>
      <c r="N85" s="683">
        <v>0</v>
      </c>
      <c r="O85" s="686"/>
      <c r="P85" s="683">
        <v>0</v>
      </c>
      <c r="Q85" s="687">
        <f t="shared" si="1"/>
        <v>0</v>
      </c>
      <c r="R85" s="687"/>
      <c r="S85" s="687"/>
      <c r="T85" s="688">
        <v>0</v>
      </c>
      <c r="U85" s="689"/>
      <c r="V85" s="690">
        <f t="shared" si="15"/>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4"/>
        <v>0</v>
      </c>
      <c r="AM85" s="373" t="s">
        <v>620</v>
      </c>
    </row>
    <row r="86" spans="1:39">
      <c r="A86" s="20"/>
      <c r="B86" s="20" t="s">
        <v>110</v>
      </c>
      <c r="C86" s="667" t="s">
        <v>541</v>
      </c>
      <c r="D86" s="351" t="s">
        <v>507</v>
      </c>
      <c r="E86" s="679"/>
      <c r="F86" s="529">
        <f>VLOOKUP(D86,'Feb14 Revenue'!D:V,19,FALSE)</f>
        <v>0</v>
      </c>
      <c r="G86" s="680"/>
      <c r="H86" s="680"/>
      <c r="I86" s="755"/>
      <c r="J86" s="682">
        <f t="shared" si="0"/>
        <v>0</v>
      </c>
      <c r="K86" s="683"/>
      <c r="L86" s="684"/>
      <c r="M86" s="753"/>
      <c r="N86" s="683">
        <v>0</v>
      </c>
      <c r="O86" s="686"/>
      <c r="P86" s="683">
        <v>0</v>
      </c>
      <c r="Q86" s="687">
        <f t="shared" si="1"/>
        <v>0</v>
      </c>
      <c r="R86" s="687"/>
      <c r="S86" s="687"/>
      <c r="T86" s="688">
        <v>0</v>
      </c>
      <c r="U86" s="689"/>
      <c r="V86" s="690">
        <f t="shared" si="15"/>
        <v>0</v>
      </c>
      <c r="W86" s="683"/>
      <c r="X86" s="474">
        <f t="shared" si="3"/>
        <v>0</v>
      </c>
      <c r="Y86" s="474">
        <f t="shared" si="4"/>
        <v>0</v>
      </c>
      <c r="Z86" s="475">
        <f t="shared" si="5"/>
        <v>0</v>
      </c>
      <c r="AA86" s="475">
        <v>0</v>
      </c>
      <c r="AB86" s="476">
        <v>0</v>
      </c>
      <c r="AC86" s="38">
        <f t="shared" si="6"/>
        <v>0</v>
      </c>
      <c r="AD86" s="692">
        <f t="shared" si="7"/>
        <v>0</v>
      </c>
      <c r="AE86" s="692">
        <f t="shared" si="8"/>
        <v>0</v>
      </c>
      <c r="AF86" s="692">
        <f t="shared" si="9"/>
        <v>0</v>
      </c>
      <c r="AG86" s="38"/>
      <c r="AH86" s="692">
        <f t="shared" si="10"/>
        <v>0</v>
      </c>
      <c r="AI86" s="692">
        <f t="shared" si="11"/>
        <v>0</v>
      </c>
      <c r="AJ86" s="692">
        <f t="shared" si="12"/>
        <v>0</v>
      </c>
      <c r="AL86" s="38">
        <f t="shared" si="14"/>
        <v>0</v>
      </c>
      <c r="AM86" s="351" t="s">
        <v>507</v>
      </c>
    </row>
    <row r="87" spans="1:39">
      <c r="A87" s="20"/>
      <c r="B87" s="20" t="s">
        <v>110</v>
      </c>
      <c r="C87" s="667" t="s">
        <v>541</v>
      </c>
      <c r="D87" s="351" t="s">
        <v>506</v>
      </c>
      <c r="E87" s="679"/>
      <c r="F87" s="529">
        <f>VLOOKUP(D87,'Feb14 Revenue'!D:V,19,FALSE)</f>
        <v>0</v>
      </c>
      <c r="G87" s="680"/>
      <c r="H87" s="680"/>
      <c r="I87" s="755"/>
      <c r="J87" s="682">
        <f t="shared" ref="J87:J156" si="16">SUM(E87:I87)</f>
        <v>0</v>
      </c>
      <c r="K87" s="683"/>
      <c r="L87" s="684"/>
      <c r="M87" s="753"/>
      <c r="N87" s="683">
        <v>0</v>
      </c>
      <c r="O87" s="686"/>
      <c r="P87" s="683">
        <v>0</v>
      </c>
      <c r="Q87" s="687">
        <f t="shared" si="1"/>
        <v>0</v>
      </c>
      <c r="R87" s="687"/>
      <c r="S87" s="687"/>
      <c r="T87" s="688">
        <v>0</v>
      </c>
      <c r="U87" s="689"/>
      <c r="V87" s="690">
        <f t="shared" si="15"/>
        <v>0</v>
      </c>
      <c r="W87" s="683"/>
      <c r="X87" s="474">
        <f t="shared" si="3"/>
        <v>0</v>
      </c>
      <c r="Y87" s="474">
        <f t="shared" si="4"/>
        <v>0</v>
      </c>
      <c r="Z87" s="475">
        <f t="shared" si="5"/>
        <v>0</v>
      </c>
      <c r="AA87" s="475">
        <v>0</v>
      </c>
      <c r="AB87" s="476">
        <v>0</v>
      </c>
      <c r="AC87" s="38">
        <f t="shared" si="6"/>
        <v>0</v>
      </c>
      <c r="AD87" s="692">
        <f t="shared" ref="AD87:AD156" si="17">IF(B87="D",J87,0)</f>
        <v>0</v>
      </c>
      <c r="AE87" s="692">
        <f t="shared" ref="AE87:AE156" si="18">IF(B87="M",J87,0)</f>
        <v>0</v>
      </c>
      <c r="AF87" s="692">
        <f t="shared" ref="AF87:AF156" si="19">IF(B87="V",J87,0)</f>
        <v>0</v>
      </c>
      <c r="AG87" s="38"/>
      <c r="AH87" s="692">
        <f t="shared" si="10"/>
        <v>0</v>
      </c>
      <c r="AI87" s="692">
        <f t="shared" si="11"/>
        <v>0</v>
      </c>
      <c r="AJ87" s="692">
        <f t="shared" si="12"/>
        <v>0</v>
      </c>
      <c r="AL87" s="38">
        <f t="shared" si="14"/>
        <v>0</v>
      </c>
      <c r="AM87" s="351" t="s">
        <v>506</v>
      </c>
    </row>
    <row r="88" spans="1:39">
      <c r="A88" s="20"/>
      <c r="B88" s="20" t="s">
        <v>110</v>
      </c>
      <c r="C88" s="667" t="s">
        <v>542</v>
      </c>
      <c r="D88" s="68" t="s">
        <v>305</v>
      </c>
      <c r="E88" s="679"/>
      <c r="F88" s="529">
        <f>VLOOKUP(D88,'Feb14 Revenue'!D:V,19,FALSE)</f>
        <v>-3001.55</v>
      </c>
      <c r="G88" s="680"/>
      <c r="H88" s="680"/>
      <c r="I88" s="755"/>
      <c r="J88" s="682">
        <f t="shared" si="16"/>
        <v>-3001.55</v>
      </c>
      <c r="K88" s="683"/>
      <c r="L88" s="684"/>
      <c r="M88" s="753">
        <v>7000</v>
      </c>
      <c r="N88" s="683">
        <v>0</v>
      </c>
      <c r="O88" s="686"/>
      <c r="P88" s="683">
        <v>0</v>
      </c>
      <c r="Q88" s="687">
        <f t="shared" si="1"/>
        <v>7000</v>
      </c>
      <c r="R88" s="687"/>
      <c r="S88" s="687"/>
      <c r="T88" s="688">
        <v>5337.39</v>
      </c>
      <c r="U88" s="689"/>
      <c r="V88" s="690">
        <f t="shared" si="15"/>
        <v>-1662.6099999999997</v>
      </c>
      <c r="W88" s="683"/>
      <c r="X88" s="474">
        <f t="shared" ref="X88:X158" si="20">IF(B88="D",Q88,0)</f>
        <v>7000</v>
      </c>
      <c r="Y88" s="474">
        <f t="shared" ref="Y88:Y158" si="21">IF(B88="M",Q88,0)</f>
        <v>0</v>
      </c>
      <c r="Z88" s="475">
        <f t="shared" ref="Z88:Z158" si="22">IF(B88="V",Q88,0)</f>
        <v>0</v>
      </c>
      <c r="AA88" s="475">
        <v>0</v>
      </c>
      <c r="AB88" s="476">
        <v>0</v>
      </c>
      <c r="AC88" s="38">
        <f t="shared" ref="AC88:AC158" si="23">(L88+M88)-(X88+Y88+Z88+AA88+AB88)</f>
        <v>0</v>
      </c>
      <c r="AD88" s="692">
        <f t="shared" si="17"/>
        <v>-3001.55</v>
      </c>
      <c r="AE88" s="692">
        <f t="shared" si="18"/>
        <v>0</v>
      </c>
      <c r="AF88" s="692">
        <f t="shared" si="19"/>
        <v>0</v>
      </c>
      <c r="AG88" s="38"/>
      <c r="AH88" s="692">
        <f t="shared" ref="AH88:AH157" si="24">IF(B88="D",Q88,0)</f>
        <v>7000</v>
      </c>
      <c r="AI88" s="692">
        <f t="shared" ref="AI88:AI157" si="25">IF(B88="M",Q88,0)</f>
        <v>0</v>
      </c>
      <c r="AJ88" s="692">
        <f t="shared" ref="AJ88:AJ157" si="26">IF(B88="V",Q88,0)</f>
        <v>0</v>
      </c>
      <c r="AL88" s="38">
        <f t="shared" si="14"/>
        <v>3998.45</v>
      </c>
      <c r="AM88" s="68" t="s">
        <v>305</v>
      </c>
    </row>
    <row r="89" spans="1:39">
      <c r="A89" s="20"/>
      <c r="B89" s="20" t="s">
        <v>110</v>
      </c>
      <c r="C89" s="667" t="s">
        <v>543</v>
      </c>
      <c r="D89" s="68" t="s">
        <v>199</v>
      </c>
      <c r="E89" s="679"/>
      <c r="F89" s="529">
        <f>VLOOKUP(D89,'Feb14 Revenue'!D:V,19,FALSE)</f>
        <v>0</v>
      </c>
      <c r="G89" s="680"/>
      <c r="H89" s="680"/>
      <c r="I89" s="755"/>
      <c r="J89" s="682">
        <f t="shared" si="16"/>
        <v>0</v>
      </c>
      <c r="K89" s="683"/>
      <c r="L89" s="684"/>
      <c r="M89" s="753"/>
      <c r="N89" s="683">
        <v>0</v>
      </c>
      <c r="O89" s="686"/>
      <c r="P89" s="683">
        <v>0</v>
      </c>
      <c r="Q89" s="687">
        <f t="shared" si="1"/>
        <v>0</v>
      </c>
      <c r="R89" s="687"/>
      <c r="S89" s="687"/>
      <c r="T89" s="688">
        <v>0</v>
      </c>
      <c r="U89" s="689"/>
      <c r="V89" s="690">
        <f t="shared" si="15"/>
        <v>0</v>
      </c>
      <c r="W89" s="683"/>
      <c r="X89" s="474">
        <f t="shared" si="20"/>
        <v>0</v>
      </c>
      <c r="Y89" s="474">
        <f t="shared" si="21"/>
        <v>0</v>
      </c>
      <c r="Z89" s="475">
        <f t="shared" si="22"/>
        <v>0</v>
      </c>
      <c r="AA89" s="475">
        <v>0</v>
      </c>
      <c r="AB89" s="476">
        <v>0</v>
      </c>
      <c r="AC89" s="38">
        <f t="shared" si="23"/>
        <v>0</v>
      </c>
      <c r="AD89" s="692">
        <f t="shared" si="17"/>
        <v>0</v>
      </c>
      <c r="AE89" s="692">
        <f t="shared" si="18"/>
        <v>0</v>
      </c>
      <c r="AF89" s="692">
        <f t="shared" si="19"/>
        <v>0</v>
      </c>
      <c r="AG89" s="38"/>
      <c r="AH89" s="692">
        <f t="shared" si="24"/>
        <v>0</v>
      </c>
      <c r="AI89" s="692">
        <f t="shared" si="25"/>
        <v>0</v>
      </c>
      <c r="AJ89" s="692">
        <f t="shared" si="26"/>
        <v>0</v>
      </c>
      <c r="AL89" s="38">
        <f t="shared" ref="AL89:AL156" si="27">SUM(AD89:AJ89)</f>
        <v>0</v>
      </c>
      <c r="AM89" s="68" t="s">
        <v>199</v>
      </c>
    </row>
    <row r="90" spans="1:39">
      <c r="A90" s="20"/>
      <c r="B90" s="20" t="s">
        <v>110</v>
      </c>
      <c r="C90" s="667" t="s">
        <v>543</v>
      </c>
      <c r="D90" s="68" t="s">
        <v>200</v>
      </c>
      <c r="E90" s="679"/>
      <c r="F90" s="529">
        <f>VLOOKUP(D90,'Feb14 Revenue'!D:V,19,FALSE)</f>
        <v>0</v>
      </c>
      <c r="G90" s="680"/>
      <c r="H90" s="680"/>
      <c r="I90" s="755"/>
      <c r="J90" s="682">
        <f t="shared" si="16"/>
        <v>0</v>
      </c>
      <c r="K90" s="683"/>
      <c r="L90" s="684"/>
      <c r="M90" s="753"/>
      <c r="N90" s="683">
        <v>0</v>
      </c>
      <c r="O90" s="686"/>
      <c r="P90" s="683">
        <v>0</v>
      </c>
      <c r="Q90" s="687">
        <f t="shared" si="1"/>
        <v>0</v>
      </c>
      <c r="R90" s="687"/>
      <c r="S90" s="687"/>
      <c r="T90" s="688">
        <v>0</v>
      </c>
      <c r="U90" s="689"/>
      <c r="V90" s="690">
        <f t="shared" si="15"/>
        <v>0</v>
      </c>
      <c r="W90" s="683"/>
      <c r="X90" s="474">
        <f t="shared" si="20"/>
        <v>0</v>
      </c>
      <c r="Y90" s="474">
        <f t="shared" si="21"/>
        <v>0</v>
      </c>
      <c r="Z90" s="475">
        <f t="shared" si="22"/>
        <v>0</v>
      </c>
      <c r="AA90" s="475">
        <v>0</v>
      </c>
      <c r="AB90" s="476">
        <v>0</v>
      </c>
      <c r="AC90" s="38">
        <f t="shared" si="23"/>
        <v>0</v>
      </c>
      <c r="AD90" s="692">
        <f t="shared" si="17"/>
        <v>0</v>
      </c>
      <c r="AE90" s="692">
        <f t="shared" si="18"/>
        <v>0</v>
      </c>
      <c r="AF90" s="692">
        <f t="shared" si="19"/>
        <v>0</v>
      </c>
      <c r="AG90" s="38"/>
      <c r="AH90" s="692">
        <f t="shared" si="24"/>
        <v>0</v>
      </c>
      <c r="AI90" s="692">
        <f t="shared" si="25"/>
        <v>0</v>
      </c>
      <c r="AJ90" s="692">
        <f t="shared" si="26"/>
        <v>0</v>
      </c>
      <c r="AL90" s="38">
        <f t="shared" si="27"/>
        <v>0</v>
      </c>
      <c r="AM90" s="68" t="s">
        <v>200</v>
      </c>
    </row>
    <row r="91" spans="1:39">
      <c r="A91" s="20"/>
      <c r="B91" s="20" t="s">
        <v>110</v>
      </c>
      <c r="C91" s="667" t="s">
        <v>543</v>
      </c>
      <c r="D91" s="68" t="s">
        <v>201</v>
      </c>
      <c r="E91" s="679"/>
      <c r="F91" s="529">
        <f>VLOOKUP(D91,'Feb14 Revenue'!D:V,19,FALSE)</f>
        <v>0</v>
      </c>
      <c r="G91" s="680"/>
      <c r="H91" s="680"/>
      <c r="I91" s="755"/>
      <c r="J91" s="682">
        <f t="shared" si="16"/>
        <v>0</v>
      </c>
      <c r="K91" s="683"/>
      <c r="L91" s="684"/>
      <c r="M91" s="753"/>
      <c r="N91" s="683">
        <v>0</v>
      </c>
      <c r="O91" s="686"/>
      <c r="P91" s="683">
        <v>0</v>
      </c>
      <c r="Q91" s="687">
        <f t="shared" si="1"/>
        <v>0</v>
      </c>
      <c r="R91" s="687"/>
      <c r="S91" s="687"/>
      <c r="T91" s="688">
        <v>0</v>
      </c>
      <c r="U91" s="689"/>
      <c r="V91" s="690">
        <f t="shared" si="15"/>
        <v>0</v>
      </c>
      <c r="W91" s="683"/>
      <c r="X91" s="474">
        <f t="shared" si="20"/>
        <v>0</v>
      </c>
      <c r="Y91" s="474">
        <f t="shared" si="21"/>
        <v>0</v>
      </c>
      <c r="Z91" s="475">
        <f t="shared" si="22"/>
        <v>0</v>
      </c>
      <c r="AA91" s="475">
        <v>0</v>
      </c>
      <c r="AB91" s="476">
        <v>0</v>
      </c>
      <c r="AC91" s="38">
        <f t="shared" si="23"/>
        <v>0</v>
      </c>
      <c r="AD91" s="692">
        <f t="shared" si="17"/>
        <v>0</v>
      </c>
      <c r="AE91" s="692">
        <f t="shared" si="18"/>
        <v>0</v>
      </c>
      <c r="AF91" s="692">
        <f t="shared" si="19"/>
        <v>0</v>
      </c>
      <c r="AG91" s="38"/>
      <c r="AH91" s="692">
        <f t="shared" si="24"/>
        <v>0</v>
      </c>
      <c r="AI91" s="692">
        <f t="shared" si="25"/>
        <v>0</v>
      </c>
      <c r="AJ91" s="692">
        <f t="shared" si="26"/>
        <v>0</v>
      </c>
      <c r="AL91" s="38">
        <f t="shared" si="27"/>
        <v>0</v>
      </c>
      <c r="AM91" s="68" t="s">
        <v>201</v>
      </c>
    </row>
    <row r="92" spans="1:39">
      <c r="A92" s="21"/>
      <c r="B92" s="21" t="s">
        <v>110</v>
      </c>
      <c r="C92" s="666"/>
      <c r="D92" s="68" t="s">
        <v>1033</v>
      </c>
      <c r="E92" s="679"/>
      <c r="F92" s="529">
        <f>VLOOKUP(D92,'Feb14 Revenue'!D:V,19,FALSE)</f>
        <v>0</v>
      </c>
      <c r="G92" s="680"/>
      <c r="H92" s="680"/>
      <c r="I92" s="755"/>
      <c r="J92" s="682">
        <f t="shared" si="16"/>
        <v>0</v>
      </c>
      <c r="K92" s="683"/>
      <c r="L92" s="684"/>
      <c r="M92" s="753"/>
      <c r="N92" s="683">
        <v>0</v>
      </c>
      <c r="O92" s="686"/>
      <c r="P92" s="683">
        <v>0</v>
      </c>
      <c r="Q92" s="687">
        <f t="shared" si="1"/>
        <v>0</v>
      </c>
      <c r="R92" s="687"/>
      <c r="S92" s="687"/>
      <c r="T92" s="688">
        <v>0</v>
      </c>
      <c r="U92" s="689"/>
      <c r="V92" s="690">
        <f t="shared" si="15"/>
        <v>0</v>
      </c>
      <c r="W92" s="697"/>
      <c r="X92" s="474">
        <f t="shared" si="20"/>
        <v>0</v>
      </c>
      <c r="Y92" s="474">
        <f t="shared" si="21"/>
        <v>0</v>
      </c>
      <c r="Z92" s="475">
        <f t="shared" si="22"/>
        <v>0</v>
      </c>
      <c r="AA92" s="475">
        <v>0</v>
      </c>
      <c r="AB92" s="476">
        <v>0</v>
      </c>
      <c r="AC92" s="38">
        <f t="shared" si="23"/>
        <v>0</v>
      </c>
      <c r="AD92" s="692">
        <f t="shared" si="17"/>
        <v>0</v>
      </c>
      <c r="AE92" s="692">
        <f t="shared" si="18"/>
        <v>0</v>
      </c>
      <c r="AF92" s="692">
        <f t="shared" si="19"/>
        <v>0</v>
      </c>
      <c r="AG92" s="38"/>
      <c r="AH92" s="692">
        <f t="shared" si="24"/>
        <v>0</v>
      </c>
      <c r="AI92" s="692">
        <f t="shared" si="25"/>
        <v>0</v>
      </c>
      <c r="AJ92" s="692">
        <f t="shared" si="26"/>
        <v>0</v>
      </c>
      <c r="AL92" s="38">
        <f t="shared" si="27"/>
        <v>0</v>
      </c>
      <c r="AM92" s="68" t="s">
        <v>628</v>
      </c>
    </row>
    <row r="93" spans="1:39">
      <c r="A93" s="20" t="s">
        <v>97</v>
      </c>
      <c r="B93" s="20" t="s">
        <v>114</v>
      </c>
      <c r="C93" s="667"/>
      <c r="D93" s="68" t="s">
        <v>387</v>
      </c>
      <c r="E93" s="679"/>
      <c r="F93" s="529">
        <f>VLOOKUP(D93,'Feb14 Revenue'!D:V,19,FALSE)</f>
        <v>2979.1899999999987</v>
      </c>
      <c r="G93" s="680"/>
      <c r="H93" s="680"/>
      <c r="I93" s="755"/>
      <c r="J93" s="682">
        <f t="shared" si="16"/>
        <v>2979.1899999999987</v>
      </c>
      <c r="K93" s="683"/>
      <c r="L93" s="684"/>
      <c r="M93" s="753">
        <v>25000</v>
      </c>
      <c r="N93" s="683">
        <v>0</v>
      </c>
      <c r="O93" s="686"/>
      <c r="P93" s="683">
        <v>0</v>
      </c>
      <c r="Q93" s="687">
        <f t="shared" si="1"/>
        <v>25000</v>
      </c>
      <c r="R93" s="687"/>
      <c r="S93" s="687"/>
      <c r="T93" s="688">
        <v>26255.599999999999</v>
      </c>
      <c r="U93" s="689"/>
      <c r="V93" s="690">
        <f t="shared" si="15"/>
        <v>1255.5999999999985</v>
      </c>
      <c r="W93" s="683"/>
      <c r="X93" s="474">
        <f t="shared" si="20"/>
        <v>0</v>
      </c>
      <c r="Y93" s="474">
        <f t="shared" si="21"/>
        <v>0</v>
      </c>
      <c r="Z93" s="475">
        <f t="shared" si="22"/>
        <v>25000</v>
      </c>
      <c r="AA93" s="475">
        <v>0</v>
      </c>
      <c r="AB93" s="476">
        <v>0</v>
      </c>
      <c r="AC93" s="38">
        <f t="shared" si="23"/>
        <v>0</v>
      </c>
      <c r="AD93" s="692">
        <f t="shared" si="17"/>
        <v>0</v>
      </c>
      <c r="AE93" s="692">
        <f t="shared" si="18"/>
        <v>0</v>
      </c>
      <c r="AF93" s="692">
        <f t="shared" si="19"/>
        <v>2979.1899999999987</v>
      </c>
      <c r="AG93" s="38"/>
      <c r="AH93" s="692">
        <f t="shared" si="24"/>
        <v>0</v>
      </c>
      <c r="AI93" s="692">
        <f t="shared" si="25"/>
        <v>0</v>
      </c>
      <c r="AJ93" s="692">
        <f t="shared" si="26"/>
        <v>25000</v>
      </c>
      <c r="AL93" s="38">
        <f t="shared" si="27"/>
        <v>27979.19</v>
      </c>
      <c r="AM93" s="68" t="s">
        <v>387</v>
      </c>
    </row>
    <row r="94" spans="1:39" hidden="1">
      <c r="A94" s="20" t="s">
        <v>97</v>
      </c>
      <c r="B94" s="20" t="s">
        <v>114</v>
      </c>
      <c r="C94" s="667"/>
      <c r="D94" s="68" t="s">
        <v>482</v>
      </c>
      <c r="E94" s="679"/>
      <c r="F94" s="529">
        <f>VLOOKUP(D94,'Feb14 Revenue'!D:V,19,FALSE)</f>
        <v>0</v>
      </c>
      <c r="G94" s="680"/>
      <c r="H94" s="680"/>
      <c r="I94" s="755"/>
      <c r="J94" s="682">
        <f t="shared" si="16"/>
        <v>0</v>
      </c>
      <c r="K94" s="683"/>
      <c r="L94" s="684"/>
      <c r="M94" s="753"/>
      <c r="N94" s="683"/>
      <c r="O94" s="686"/>
      <c r="P94" s="683"/>
      <c r="Q94" s="687">
        <f t="shared" si="1"/>
        <v>0</v>
      </c>
      <c r="R94" s="687"/>
      <c r="S94" s="687"/>
      <c r="T94" s="688">
        <v>0</v>
      </c>
      <c r="U94" s="689"/>
      <c r="V94" s="690">
        <f t="shared" si="15"/>
        <v>0</v>
      </c>
      <c r="W94" s="683"/>
      <c r="X94" s="474">
        <f t="shared" si="20"/>
        <v>0</v>
      </c>
      <c r="Y94" s="474">
        <f t="shared" si="21"/>
        <v>0</v>
      </c>
      <c r="Z94" s="475">
        <f t="shared" si="22"/>
        <v>0</v>
      </c>
      <c r="AA94" s="475">
        <v>0</v>
      </c>
      <c r="AB94" s="476">
        <v>0</v>
      </c>
      <c r="AC94" s="38">
        <f t="shared" si="23"/>
        <v>0</v>
      </c>
      <c r="AD94" s="692">
        <f t="shared" si="17"/>
        <v>0</v>
      </c>
      <c r="AE94" s="692">
        <f t="shared" si="18"/>
        <v>0</v>
      </c>
      <c r="AF94" s="692">
        <f t="shared" si="19"/>
        <v>0</v>
      </c>
      <c r="AG94" s="38"/>
      <c r="AH94" s="692">
        <f t="shared" si="24"/>
        <v>0</v>
      </c>
      <c r="AI94" s="692">
        <f t="shared" si="25"/>
        <v>0</v>
      </c>
      <c r="AJ94" s="692">
        <f t="shared" si="26"/>
        <v>0</v>
      </c>
      <c r="AL94" s="38">
        <f t="shared" si="27"/>
        <v>0</v>
      </c>
      <c r="AM94" s="68" t="s">
        <v>482</v>
      </c>
    </row>
    <row r="95" spans="1:39" hidden="1">
      <c r="A95" s="20" t="s">
        <v>109</v>
      </c>
      <c r="B95" s="20" t="s">
        <v>109</v>
      </c>
      <c r="C95" s="667" t="s">
        <v>544</v>
      </c>
      <c r="D95" s="68" t="s">
        <v>383</v>
      </c>
      <c r="E95" s="679"/>
      <c r="F95" s="529">
        <f>VLOOKUP(D95,'Feb14 Revenue'!D:V,19,FALSE)</f>
        <v>0</v>
      </c>
      <c r="G95" s="680"/>
      <c r="H95" s="680"/>
      <c r="I95" s="755"/>
      <c r="J95" s="682">
        <f t="shared" si="16"/>
        <v>0</v>
      </c>
      <c r="K95" s="683"/>
      <c r="L95" s="684"/>
      <c r="M95" s="753"/>
      <c r="N95" s="683">
        <v>0</v>
      </c>
      <c r="O95" s="686"/>
      <c r="P95" s="683">
        <v>0</v>
      </c>
      <c r="Q95" s="687">
        <f t="shared" si="1"/>
        <v>0</v>
      </c>
      <c r="R95" s="687"/>
      <c r="S95" s="687"/>
      <c r="T95" s="688">
        <v>0</v>
      </c>
      <c r="U95" s="689"/>
      <c r="V95" s="690">
        <f t="shared" si="15"/>
        <v>0</v>
      </c>
      <c r="W95" s="683"/>
      <c r="X95" s="474">
        <f t="shared" si="20"/>
        <v>0</v>
      </c>
      <c r="Y95" s="474">
        <f t="shared" si="21"/>
        <v>0</v>
      </c>
      <c r="Z95" s="475">
        <f t="shared" si="22"/>
        <v>0</v>
      </c>
      <c r="AA95" s="475">
        <v>0</v>
      </c>
      <c r="AB95" s="476">
        <v>0</v>
      </c>
      <c r="AC95" s="38">
        <f t="shared" si="23"/>
        <v>0</v>
      </c>
      <c r="AD95" s="692">
        <f t="shared" si="17"/>
        <v>0</v>
      </c>
      <c r="AE95" s="692">
        <f t="shared" si="18"/>
        <v>0</v>
      </c>
      <c r="AF95" s="692">
        <f t="shared" si="19"/>
        <v>0</v>
      </c>
      <c r="AG95" s="38"/>
      <c r="AH95" s="692">
        <f t="shared" si="24"/>
        <v>0</v>
      </c>
      <c r="AI95" s="692">
        <f t="shared" si="25"/>
        <v>0</v>
      </c>
      <c r="AJ95" s="692">
        <f t="shared" si="26"/>
        <v>0</v>
      </c>
      <c r="AL95" s="38">
        <f t="shared" si="27"/>
        <v>0</v>
      </c>
      <c r="AM95" s="68" t="s">
        <v>383</v>
      </c>
    </row>
    <row r="96" spans="1:39" hidden="1">
      <c r="A96" s="21" t="s">
        <v>211</v>
      </c>
      <c r="B96" s="21" t="s">
        <v>109</v>
      </c>
      <c r="C96" s="666" t="s">
        <v>545</v>
      </c>
      <c r="D96" s="68" t="s">
        <v>181</v>
      </c>
      <c r="E96" s="679"/>
      <c r="F96" s="529">
        <f>VLOOKUP(D96,'Feb14 Revenue'!D:V,19,FALSE)</f>
        <v>0</v>
      </c>
      <c r="G96" s="680"/>
      <c r="H96" s="680"/>
      <c r="I96" s="755"/>
      <c r="J96" s="682">
        <f t="shared" si="16"/>
        <v>0</v>
      </c>
      <c r="K96" s="683"/>
      <c r="L96" s="684"/>
      <c r="M96" s="753"/>
      <c r="N96" s="683">
        <v>0</v>
      </c>
      <c r="O96" s="686"/>
      <c r="P96" s="683">
        <v>0</v>
      </c>
      <c r="Q96" s="687">
        <f t="shared" si="1"/>
        <v>0</v>
      </c>
      <c r="R96" s="687"/>
      <c r="S96" s="687"/>
      <c r="T96" s="688">
        <v>0</v>
      </c>
      <c r="U96" s="689"/>
      <c r="V96" s="690">
        <f t="shared" si="15"/>
        <v>0</v>
      </c>
      <c r="W96" s="683"/>
      <c r="X96" s="474">
        <f t="shared" si="20"/>
        <v>0</v>
      </c>
      <c r="Y96" s="474">
        <f t="shared" si="21"/>
        <v>0</v>
      </c>
      <c r="Z96" s="475">
        <f t="shared" si="22"/>
        <v>0</v>
      </c>
      <c r="AA96" s="475">
        <v>0</v>
      </c>
      <c r="AB96" s="476">
        <v>0</v>
      </c>
      <c r="AC96" s="38">
        <f t="shared" si="23"/>
        <v>0</v>
      </c>
      <c r="AD96" s="692">
        <f t="shared" si="17"/>
        <v>0</v>
      </c>
      <c r="AE96" s="692">
        <f t="shared" si="18"/>
        <v>0</v>
      </c>
      <c r="AF96" s="692">
        <f t="shared" si="19"/>
        <v>0</v>
      </c>
      <c r="AG96" s="38"/>
      <c r="AH96" s="692">
        <f t="shared" si="24"/>
        <v>0</v>
      </c>
      <c r="AI96" s="692">
        <f t="shared" si="25"/>
        <v>0</v>
      </c>
      <c r="AJ96" s="692">
        <f t="shared" si="26"/>
        <v>0</v>
      </c>
      <c r="AL96" s="38">
        <f t="shared" si="27"/>
        <v>0</v>
      </c>
      <c r="AM96" s="68" t="s">
        <v>181</v>
      </c>
    </row>
    <row r="97" spans="1:39" hidden="1">
      <c r="A97" s="21" t="s">
        <v>211</v>
      </c>
      <c r="B97" s="21" t="s">
        <v>110</v>
      </c>
      <c r="C97" s="666"/>
      <c r="D97" s="68" t="s">
        <v>504</v>
      </c>
      <c r="E97" s="679"/>
      <c r="F97" s="529">
        <f>VLOOKUP(D97,'Feb14 Revenue'!D:V,19,FALSE)</f>
        <v>0</v>
      </c>
      <c r="G97" s="680"/>
      <c r="H97" s="680"/>
      <c r="I97" s="755"/>
      <c r="J97" s="682">
        <f t="shared" si="16"/>
        <v>0</v>
      </c>
      <c r="K97" s="683"/>
      <c r="L97" s="684"/>
      <c r="M97" s="753"/>
      <c r="N97" s="683">
        <v>0</v>
      </c>
      <c r="O97" s="686"/>
      <c r="P97" s="683">
        <v>0</v>
      </c>
      <c r="Q97" s="687">
        <f t="shared" si="1"/>
        <v>0</v>
      </c>
      <c r="R97" s="687"/>
      <c r="S97" s="687"/>
      <c r="T97" s="688">
        <v>0</v>
      </c>
      <c r="U97" s="689"/>
      <c r="V97" s="690">
        <f t="shared" si="15"/>
        <v>0</v>
      </c>
      <c r="W97" s="683"/>
      <c r="X97" s="474">
        <f t="shared" si="20"/>
        <v>0</v>
      </c>
      <c r="Y97" s="474">
        <f t="shared" si="21"/>
        <v>0</v>
      </c>
      <c r="Z97" s="475">
        <f t="shared" si="22"/>
        <v>0</v>
      </c>
      <c r="AA97" s="475">
        <v>0</v>
      </c>
      <c r="AB97" s="476">
        <v>0</v>
      </c>
      <c r="AC97" s="38">
        <f t="shared" si="23"/>
        <v>0</v>
      </c>
      <c r="AD97" s="692">
        <f t="shared" si="17"/>
        <v>0</v>
      </c>
      <c r="AE97" s="692">
        <f t="shared" si="18"/>
        <v>0</v>
      </c>
      <c r="AF97" s="692">
        <f t="shared" si="19"/>
        <v>0</v>
      </c>
      <c r="AG97" s="38"/>
      <c r="AH97" s="692">
        <f t="shared" si="24"/>
        <v>0</v>
      </c>
      <c r="AI97" s="692">
        <f t="shared" si="25"/>
        <v>0</v>
      </c>
      <c r="AJ97" s="692">
        <f t="shared" si="26"/>
        <v>0</v>
      </c>
      <c r="AL97" s="38">
        <f t="shared" si="27"/>
        <v>0</v>
      </c>
      <c r="AM97" s="68" t="s">
        <v>504</v>
      </c>
    </row>
    <row r="98" spans="1:39">
      <c r="A98" s="20" t="s">
        <v>211</v>
      </c>
      <c r="B98" s="20" t="s">
        <v>109</v>
      </c>
      <c r="C98" s="667" t="s">
        <v>546</v>
      </c>
      <c r="D98" s="68" t="s">
        <v>142</v>
      </c>
      <c r="E98" s="679"/>
      <c r="F98" s="529">
        <f>VLOOKUP(D98,'Feb14 Revenue'!D:V,19,FALSE)</f>
        <v>0</v>
      </c>
      <c r="G98" s="680"/>
      <c r="H98" s="680"/>
      <c r="I98" s="755"/>
      <c r="J98" s="682">
        <f t="shared" si="16"/>
        <v>0</v>
      </c>
      <c r="K98" s="683"/>
      <c r="L98" s="684"/>
      <c r="M98" s="753"/>
      <c r="N98" s="683">
        <v>0</v>
      </c>
      <c r="O98" s="686"/>
      <c r="P98" s="683">
        <v>0</v>
      </c>
      <c r="Q98" s="687">
        <f t="shared" si="1"/>
        <v>0</v>
      </c>
      <c r="R98" s="687"/>
      <c r="S98" s="687"/>
      <c r="T98" s="688">
        <v>0</v>
      </c>
      <c r="U98" s="689"/>
      <c r="V98" s="690">
        <f t="shared" si="15"/>
        <v>0</v>
      </c>
      <c r="W98" s="697"/>
      <c r="X98" s="474">
        <f t="shared" si="20"/>
        <v>0</v>
      </c>
      <c r="Y98" s="474">
        <f t="shared" si="21"/>
        <v>0</v>
      </c>
      <c r="Z98" s="475">
        <f t="shared" si="22"/>
        <v>0</v>
      </c>
      <c r="AA98" s="475">
        <v>0</v>
      </c>
      <c r="AB98" s="476">
        <v>0</v>
      </c>
      <c r="AC98" s="38">
        <f t="shared" si="23"/>
        <v>0</v>
      </c>
      <c r="AD98" s="692">
        <f t="shared" si="17"/>
        <v>0</v>
      </c>
      <c r="AE98" s="692">
        <f t="shared" si="18"/>
        <v>0</v>
      </c>
      <c r="AF98" s="692">
        <f t="shared" si="19"/>
        <v>0</v>
      </c>
      <c r="AG98" s="38"/>
      <c r="AH98" s="692">
        <f t="shared" si="24"/>
        <v>0</v>
      </c>
      <c r="AI98" s="692">
        <f t="shared" si="25"/>
        <v>0</v>
      </c>
      <c r="AJ98" s="692">
        <f t="shared" si="26"/>
        <v>0</v>
      </c>
      <c r="AL98" s="38">
        <f t="shared" si="27"/>
        <v>0</v>
      </c>
      <c r="AM98" s="68" t="s">
        <v>142</v>
      </c>
    </row>
    <row r="99" spans="1:39">
      <c r="A99" s="20" t="s">
        <v>211</v>
      </c>
      <c r="B99" s="20" t="s">
        <v>109</v>
      </c>
      <c r="C99" s="667" t="s">
        <v>546</v>
      </c>
      <c r="D99" s="68" t="s">
        <v>143</v>
      </c>
      <c r="E99" s="679"/>
      <c r="F99" s="529">
        <f>VLOOKUP(D99,'Feb14 Revenue'!D:V,19,FALSE)</f>
        <v>0</v>
      </c>
      <c r="G99" s="680"/>
      <c r="H99" s="680"/>
      <c r="I99" s="755"/>
      <c r="J99" s="682">
        <f t="shared" si="16"/>
        <v>0</v>
      </c>
      <c r="K99" s="683"/>
      <c r="L99" s="684"/>
      <c r="M99" s="753"/>
      <c r="N99" s="683">
        <v>0</v>
      </c>
      <c r="O99" s="686"/>
      <c r="P99" s="683">
        <v>0</v>
      </c>
      <c r="Q99" s="687">
        <f t="shared" si="1"/>
        <v>0</v>
      </c>
      <c r="R99" s="687"/>
      <c r="S99" s="687"/>
      <c r="T99" s="688">
        <v>0</v>
      </c>
      <c r="U99" s="689"/>
      <c r="V99" s="690">
        <f t="shared" si="15"/>
        <v>0</v>
      </c>
      <c r="W99" s="697"/>
      <c r="X99" s="474">
        <f t="shared" si="20"/>
        <v>0</v>
      </c>
      <c r="Y99" s="474">
        <f t="shared" si="21"/>
        <v>0</v>
      </c>
      <c r="Z99" s="475">
        <f t="shared" si="22"/>
        <v>0</v>
      </c>
      <c r="AA99" s="475">
        <v>0</v>
      </c>
      <c r="AB99" s="476">
        <v>0</v>
      </c>
      <c r="AC99" s="38">
        <f t="shared" si="23"/>
        <v>0</v>
      </c>
      <c r="AD99" s="692">
        <f t="shared" si="17"/>
        <v>0</v>
      </c>
      <c r="AE99" s="692">
        <f t="shared" si="18"/>
        <v>0</v>
      </c>
      <c r="AF99" s="692">
        <f t="shared" si="19"/>
        <v>0</v>
      </c>
      <c r="AG99" s="38"/>
      <c r="AH99" s="692">
        <f t="shared" si="24"/>
        <v>0</v>
      </c>
      <c r="AI99" s="692">
        <f t="shared" si="25"/>
        <v>0</v>
      </c>
      <c r="AJ99" s="692">
        <f t="shared" si="26"/>
        <v>0</v>
      </c>
      <c r="AL99" s="38">
        <f t="shared" si="27"/>
        <v>0</v>
      </c>
      <c r="AM99" s="68" t="s">
        <v>143</v>
      </c>
    </row>
    <row r="100" spans="1:39">
      <c r="A100" s="20"/>
      <c r="B100" s="20" t="s">
        <v>109</v>
      </c>
      <c r="C100" s="667"/>
      <c r="D100" s="68" t="s">
        <v>1014</v>
      </c>
      <c r="E100" s="679"/>
      <c r="F100" s="529">
        <f>VLOOKUP(D100,'Feb14 Revenue'!D:V,19,FALSE)</f>
        <v>0</v>
      </c>
      <c r="G100" s="680"/>
      <c r="H100" s="680"/>
      <c r="I100" s="755"/>
      <c r="J100" s="682">
        <f t="shared" si="16"/>
        <v>0</v>
      </c>
      <c r="K100" s="683"/>
      <c r="L100" s="684"/>
      <c r="M100" s="753"/>
      <c r="N100" s="683">
        <v>0</v>
      </c>
      <c r="O100" s="686"/>
      <c r="P100" s="683">
        <v>0</v>
      </c>
      <c r="Q100" s="687">
        <f t="shared" si="1"/>
        <v>0</v>
      </c>
      <c r="R100" s="687"/>
      <c r="S100" s="687"/>
      <c r="T100" s="688">
        <v>0</v>
      </c>
      <c r="U100" s="689"/>
      <c r="V100" s="690">
        <f t="shared" si="15"/>
        <v>0</v>
      </c>
      <c r="W100" s="683"/>
      <c r="X100" s="474">
        <f t="shared" si="20"/>
        <v>0</v>
      </c>
      <c r="Y100" s="474">
        <f t="shared" si="21"/>
        <v>0</v>
      </c>
      <c r="Z100" s="475">
        <f t="shared" si="22"/>
        <v>0</v>
      </c>
      <c r="AA100" s="475">
        <v>0</v>
      </c>
      <c r="AB100" s="476">
        <v>0</v>
      </c>
      <c r="AC100" s="38">
        <f t="shared" si="23"/>
        <v>0</v>
      </c>
      <c r="AD100" s="692">
        <f t="shared" si="17"/>
        <v>0</v>
      </c>
      <c r="AE100" s="692">
        <f t="shared" si="18"/>
        <v>0</v>
      </c>
      <c r="AF100" s="692">
        <f t="shared" si="19"/>
        <v>0</v>
      </c>
      <c r="AG100" s="38"/>
      <c r="AH100" s="692">
        <f t="shared" si="24"/>
        <v>0</v>
      </c>
      <c r="AI100" s="692">
        <f t="shared" si="25"/>
        <v>0</v>
      </c>
      <c r="AJ100" s="692">
        <f t="shared" si="26"/>
        <v>0</v>
      </c>
      <c r="AL100" s="38">
        <f t="shared" si="27"/>
        <v>0</v>
      </c>
      <c r="AM100" s="68" t="s">
        <v>1014</v>
      </c>
    </row>
    <row r="101" spans="1:39">
      <c r="A101" s="20" t="s">
        <v>109</v>
      </c>
      <c r="B101" s="20" t="s">
        <v>109</v>
      </c>
      <c r="C101" s="667"/>
      <c r="D101" s="68" t="s">
        <v>498</v>
      </c>
      <c r="E101" s="679"/>
      <c r="F101" s="529">
        <f>VLOOKUP(D101,'Feb14 Revenue'!D:V,19,FALSE)</f>
        <v>0</v>
      </c>
      <c r="G101" s="680"/>
      <c r="H101" s="680"/>
      <c r="I101" s="755"/>
      <c r="J101" s="682">
        <f t="shared" si="16"/>
        <v>0</v>
      </c>
      <c r="K101" s="683"/>
      <c r="L101" s="684"/>
      <c r="M101" s="753"/>
      <c r="N101" s="683">
        <v>0</v>
      </c>
      <c r="O101" s="686"/>
      <c r="P101" s="683">
        <v>0</v>
      </c>
      <c r="Q101" s="687">
        <f t="shared" si="1"/>
        <v>0</v>
      </c>
      <c r="R101" s="687"/>
      <c r="S101" s="687"/>
      <c r="T101" s="688">
        <v>0</v>
      </c>
      <c r="U101" s="689"/>
      <c r="V101" s="690">
        <f t="shared" si="15"/>
        <v>0</v>
      </c>
      <c r="W101" s="683"/>
      <c r="X101" s="474">
        <f t="shared" si="20"/>
        <v>0</v>
      </c>
      <c r="Y101" s="474">
        <f t="shared" si="21"/>
        <v>0</v>
      </c>
      <c r="Z101" s="475">
        <f t="shared" si="22"/>
        <v>0</v>
      </c>
      <c r="AA101" s="475">
        <v>0</v>
      </c>
      <c r="AB101" s="476">
        <v>0</v>
      </c>
      <c r="AC101" s="38">
        <f t="shared" si="23"/>
        <v>0</v>
      </c>
      <c r="AD101" s="692">
        <f t="shared" si="17"/>
        <v>0</v>
      </c>
      <c r="AE101" s="692">
        <f t="shared" si="18"/>
        <v>0</v>
      </c>
      <c r="AF101" s="692">
        <f t="shared" si="19"/>
        <v>0</v>
      </c>
      <c r="AG101" s="38"/>
      <c r="AH101" s="692">
        <f t="shared" si="24"/>
        <v>0</v>
      </c>
      <c r="AI101" s="692">
        <f t="shared" si="25"/>
        <v>0</v>
      </c>
      <c r="AJ101" s="692">
        <f t="shared" si="26"/>
        <v>0</v>
      </c>
      <c r="AL101" s="38">
        <f t="shared" si="27"/>
        <v>0</v>
      </c>
      <c r="AM101" s="68" t="s">
        <v>498</v>
      </c>
    </row>
    <row r="102" spans="1:39">
      <c r="A102" s="21"/>
      <c r="B102" s="21" t="s">
        <v>110</v>
      </c>
      <c r="C102" s="666"/>
      <c r="D102" s="68" t="s">
        <v>20</v>
      </c>
      <c r="E102" s="679"/>
      <c r="F102" s="529">
        <f>VLOOKUP(D102,'Feb14 Revenue'!D:V,19,FALSE)</f>
        <v>0</v>
      </c>
      <c r="G102" s="680"/>
      <c r="H102" s="680"/>
      <c r="I102" s="770">
        <v>110.56</v>
      </c>
      <c r="J102" s="682">
        <f t="shared" si="16"/>
        <v>110.56</v>
      </c>
      <c r="K102" s="683"/>
      <c r="L102" s="684"/>
      <c r="M102" s="753"/>
      <c r="N102" s="683">
        <v>0</v>
      </c>
      <c r="O102" s="686"/>
      <c r="P102" s="683">
        <v>0</v>
      </c>
      <c r="Q102" s="687">
        <f t="shared" si="1"/>
        <v>0</v>
      </c>
      <c r="R102" s="687"/>
      <c r="S102" s="687"/>
      <c r="T102" s="688">
        <v>0</v>
      </c>
      <c r="U102" s="689"/>
      <c r="V102" s="690">
        <f t="shared" si="15"/>
        <v>0</v>
      </c>
      <c r="W102" s="683"/>
      <c r="X102" s="474">
        <f t="shared" si="20"/>
        <v>0</v>
      </c>
      <c r="Y102" s="474">
        <f t="shared" si="21"/>
        <v>0</v>
      </c>
      <c r="Z102" s="475">
        <f t="shared" si="22"/>
        <v>0</v>
      </c>
      <c r="AA102" s="475">
        <v>0</v>
      </c>
      <c r="AB102" s="476">
        <v>0</v>
      </c>
      <c r="AC102" s="38">
        <f t="shared" si="23"/>
        <v>0</v>
      </c>
      <c r="AD102" s="692">
        <f t="shared" si="17"/>
        <v>110.56</v>
      </c>
      <c r="AE102" s="692">
        <f t="shared" si="18"/>
        <v>0</v>
      </c>
      <c r="AF102" s="692">
        <f t="shared" si="19"/>
        <v>0</v>
      </c>
      <c r="AG102" s="38"/>
      <c r="AH102" s="692">
        <f t="shared" si="24"/>
        <v>0</v>
      </c>
      <c r="AI102" s="692">
        <f t="shared" si="25"/>
        <v>0</v>
      </c>
      <c r="AJ102" s="692">
        <f t="shared" si="26"/>
        <v>0</v>
      </c>
      <c r="AL102" s="38">
        <f t="shared" si="27"/>
        <v>110.56</v>
      </c>
      <c r="AM102" s="68" t="s">
        <v>20</v>
      </c>
    </row>
    <row r="103" spans="1:39">
      <c r="A103" s="21"/>
      <c r="B103" s="21" t="s">
        <v>114</v>
      </c>
      <c r="C103" s="666"/>
      <c r="D103" s="68" t="s">
        <v>1083</v>
      </c>
      <c r="E103" s="679">
        <v>21849.27</v>
      </c>
      <c r="F103" s="529">
        <f>VLOOKUP(D103,'Feb14 Revenue'!D:V,19,FALSE)</f>
        <v>0</v>
      </c>
      <c r="G103" s="680"/>
      <c r="H103" s="680"/>
      <c r="I103" s="755"/>
      <c r="J103" s="682">
        <f t="shared" si="16"/>
        <v>21849.27</v>
      </c>
      <c r="K103" s="683"/>
      <c r="L103" s="684"/>
      <c r="M103" s="753">
        <v>10000</v>
      </c>
      <c r="N103" s="683">
        <v>0</v>
      </c>
      <c r="O103" s="686"/>
      <c r="P103" s="683">
        <v>0</v>
      </c>
      <c r="Q103" s="687">
        <f t="shared" si="1"/>
        <v>10000</v>
      </c>
      <c r="R103" s="687"/>
      <c r="S103" s="687"/>
      <c r="T103" s="688">
        <v>3736.55</v>
      </c>
      <c r="U103" s="689"/>
      <c r="V103" s="690">
        <f t="shared" si="15"/>
        <v>-6263.45</v>
      </c>
      <c r="W103" s="683"/>
      <c r="X103" s="474">
        <f t="shared" si="20"/>
        <v>0</v>
      </c>
      <c r="Y103" s="474">
        <f t="shared" si="21"/>
        <v>0</v>
      </c>
      <c r="Z103" s="475">
        <f t="shared" si="22"/>
        <v>10000</v>
      </c>
      <c r="AA103" s="475">
        <v>0</v>
      </c>
      <c r="AB103" s="476">
        <v>0</v>
      </c>
      <c r="AC103" s="38">
        <f t="shared" si="23"/>
        <v>0</v>
      </c>
      <c r="AD103" s="692">
        <f t="shared" si="17"/>
        <v>0</v>
      </c>
      <c r="AE103" s="692">
        <f t="shared" si="18"/>
        <v>0</v>
      </c>
      <c r="AF103" s="692">
        <f t="shared" si="19"/>
        <v>21849.27</v>
      </c>
      <c r="AG103" s="38"/>
      <c r="AH103" s="692">
        <f t="shared" si="24"/>
        <v>0</v>
      </c>
      <c r="AI103" s="692">
        <f t="shared" si="25"/>
        <v>0</v>
      </c>
      <c r="AJ103" s="692">
        <f t="shared" si="26"/>
        <v>10000</v>
      </c>
      <c r="AL103" s="38">
        <f t="shared" si="27"/>
        <v>31849.27</v>
      </c>
      <c r="AM103" s="68" t="s">
        <v>203</v>
      </c>
    </row>
    <row r="104" spans="1:39">
      <c r="A104" s="21"/>
      <c r="B104" s="21" t="s">
        <v>110</v>
      </c>
      <c r="C104" s="666" t="s">
        <v>547</v>
      </c>
      <c r="D104" s="68" t="s">
        <v>202</v>
      </c>
      <c r="E104" s="679"/>
      <c r="F104" s="529">
        <f>VLOOKUP(D104,'Feb14 Revenue'!D:V,19,FALSE)</f>
        <v>0</v>
      </c>
      <c r="G104" s="680"/>
      <c r="H104" s="680"/>
      <c r="I104" s="755"/>
      <c r="J104" s="682">
        <f t="shared" si="16"/>
        <v>0</v>
      </c>
      <c r="K104" s="683"/>
      <c r="L104" s="684"/>
      <c r="M104" s="753"/>
      <c r="N104" s="683">
        <v>0</v>
      </c>
      <c r="O104" s="686"/>
      <c r="P104" s="683">
        <v>0</v>
      </c>
      <c r="Q104" s="687">
        <f t="shared" si="1"/>
        <v>0</v>
      </c>
      <c r="R104" s="687"/>
      <c r="S104" s="687"/>
      <c r="T104" s="688">
        <v>0</v>
      </c>
      <c r="U104" s="689"/>
      <c r="V104" s="690">
        <f t="shared" si="15"/>
        <v>0</v>
      </c>
      <c r="W104" s="683"/>
      <c r="X104" s="474">
        <f t="shared" si="20"/>
        <v>0</v>
      </c>
      <c r="Y104" s="474">
        <f t="shared" si="21"/>
        <v>0</v>
      </c>
      <c r="Z104" s="475">
        <f t="shared" si="22"/>
        <v>0</v>
      </c>
      <c r="AA104" s="475">
        <v>0</v>
      </c>
      <c r="AB104" s="476">
        <v>0</v>
      </c>
      <c r="AC104" s="38">
        <f t="shared" si="23"/>
        <v>0</v>
      </c>
      <c r="AD104" s="692">
        <f t="shared" si="17"/>
        <v>0</v>
      </c>
      <c r="AE104" s="692">
        <f t="shared" si="18"/>
        <v>0</v>
      </c>
      <c r="AF104" s="692">
        <f t="shared" si="19"/>
        <v>0</v>
      </c>
      <c r="AG104" s="38"/>
      <c r="AH104" s="692">
        <f t="shared" si="24"/>
        <v>0</v>
      </c>
      <c r="AI104" s="692">
        <f t="shared" si="25"/>
        <v>0</v>
      </c>
      <c r="AJ104" s="692">
        <f t="shared" si="26"/>
        <v>0</v>
      </c>
      <c r="AL104" s="38">
        <f t="shared" si="27"/>
        <v>0</v>
      </c>
      <c r="AM104" s="68" t="s">
        <v>202</v>
      </c>
    </row>
    <row r="105" spans="1:39">
      <c r="A105" s="20" t="s">
        <v>211</v>
      </c>
      <c r="B105" s="20" t="s">
        <v>110</v>
      </c>
      <c r="C105" s="676" t="s">
        <v>1031</v>
      </c>
      <c r="D105" s="373" t="s">
        <v>466</v>
      </c>
      <c r="E105" s="679"/>
      <c r="F105" s="529">
        <f>VLOOKUP(D105,'Feb14 Revenue'!D:V,19,FALSE)</f>
        <v>0</v>
      </c>
      <c r="G105" s="680"/>
      <c r="H105" s="680"/>
      <c r="I105" s="755"/>
      <c r="J105" s="682">
        <f t="shared" si="16"/>
        <v>0</v>
      </c>
      <c r="K105" s="683"/>
      <c r="L105" s="684"/>
      <c r="M105" s="753"/>
      <c r="N105" s="683">
        <v>0</v>
      </c>
      <c r="O105" s="686"/>
      <c r="P105" s="683">
        <v>0</v>
      </c>
      <c r="Q105" s="687">
        <v>0</v>
      </c>
      <c r="R105" s="687"/>
      <c r="S105" s="687"/>
      <c r="T105" s="688">
        <f>851.47+850.3</f>
        <v>1701.77</v>
      </c>
      <c r="U105" s="689"/>
      <c r="V105" s="690">
        <f t="shared" si="15"/>
        <v>1701.77</v>
      </c>
      <c r="W105" s="683"/>
      <c r="X105" s="474">
        <f t="shared" si="20"/>
        <v>0</v>
      </c>
      <c r="Y105" s="474">
        <f t="shared" si="21"/>
        <v>0</v>
      </c>
      <c r="Z105" s="475">
        <f t="shared" si="22"/>
        <v>0</v>
      </c>
      <c r="AA105" s="475">
        <v>0</v>
      </c>
      <c r="AB105" s="476">
        <v>0</v>
      </c>
      <c r="AC105" s="38">
        <f t="shared" si="23"/>
        <v>0</v>
      </c>
      <c r="AD105" s="692">
        <f t="shared" si="17"/>
        <v>0</v>
      </c>
      <c r="AE105" s="692">
        <f t="shared" si="18"/>
        <v>0</v>
      </c>
      <c r="AF105" s="692">
        <f t="shared" si="19"/>
        <v>0</v>
      </c>
      <c r="AG105" s="38"/>
      <c r="AH105" s="692">
        <f t="shared" si="24"/>
        <v>0</v>
      </c>
      <c r="AI105" s="692">
        <f t="shared" si="25"/>
        <v>0</v>
      </c>
      <c r="AJ105" s="692">
        <f t="shared" si="26"/>
        <v>0</v>
      </c>
      <c r="AL105" s="38">
        <f t="shared" si="27"/>
        <v>0</v>
      </c>
      <c r="AM105" s="373" t="s">
        <v>466</v>
      </c>
    </row>
    <row r="106" spans="1:39">
      <c r="A106" s="20"/>
      <c r="B106" s="20" t="s">
        <v>110</v>
      </c>
      <c r="C106" s="667"/>
      <c r="D106" s="373" t="s">
        <v>627</v>
      </c>
      <c r="E106" s="679"/>
      <c r="F106" s="529">
        <f>VLOOKUP(D106,'Feb14 Revenue'!D:V,19,FALSE)</f>
        <v>0</v>
      </c>
      <c r="G106" s="680"/>
      <c r="H106" s="680"/>
      <c r="I106" s="755"/>
      <c r="J106" s="682">
        <f t="shared" si="16"/>
        <v>0</v>
      </c>
      <c r="K106" s="683"/>
      <c r="L106" s="684"/>
      <c r="M106" s="753"/>
      <c r="N106" s="683">
        <v>0</v>
      </c>
      <c r="O106" s="686"/>
      <c r="P106" s="683">
        <v>0</v>
      </c>
      <c r="Q106" s="687">
        <f t="shared" si="1"/>
        <v>0</v>
      </c>
      <c r="R106" s="687"/>
      <c r="S106" s="687"/>
      <c r="T106" s="688">
        <v>0</v>
      </c>
      <c r="U106" s="689"/>
      <c r="V106" s="690">
        <f t="shared" si="15"/>
        <v>0</v>
      </c>
      <c r="W106" s="683"/>
      <c r="X106" s="474">
        <f t="shared" si="20"/>
        <v>0</v>
      </c>
      <c r="Y106" s="474">
        <f t="shared" si="21"/>
        <v>0</v>
      </c>
      <c r="Z106" s="475">
        <f t="shared" si="22"/>
        <v>0</v>
      </c>
      <c r="AA106" s="475">
        <v>0</v>
      </c>
      <c r="AB106" s="476">
        <v>0</v>
      </c>
      <c r="AC106" s="38">
        <f t="shared" si="23"/>
        <v>0</v>
      </c>
      <c r="AD106" s="692">
        <f t="shared" si="17"/>
        <v>0</v>
      </c>
      <c r="AE106" s="692">
        <f t="shared" si="18"/>
        <v>0</v>
      </c>
      <c r="AF106" s="692">
        <f t="shared" si="19"/>
        <v>0</v>
      </c>
      <c r="AG106" s="38"/>
      <c r="AH106" s="692">
        <f t="shared" si="24"/>
        <v>0</v>
      </c>
      <c r="AI106" s="692">
        <f t="shared" si="25"/>
        <v>0</v>
      </c>
      <c r="AJ106" s="692">
        <f t="shared" si="26"/>
        <v>0</v>
      </c>
      <c r="AL106" s="38">
        <f t="shared" si="27"/>
        <v>0</v>
      </c>
      <c r="AM106" s="373" t="s">
        <v>627</v>
      </c>
    </row>
    <row r="107" spans="1:39" s="232" customFormat="1" ht="12.75" customHeight="1">
      <c r="A107" s="283"/>
      <c r="B107" s="283" t="s">
        <v>110</v>
      </c>
      <c r="C107" s="667"/>
      <c r="D107" s="123" t="s">
        <v>994</v>
      </c>
      <c r="E107" s="679"/>
      <c r="F107" s="529">
        <f>VLOOKUP(D107,'Feb14 Revenue'!D:V,19,FALSE)</f>
        <v>0</v>
      </c>
      <c r="G107" s="680"/>
      <c r="H107" s="680"/>
      <c r="I107" s="770">
        <v>5614980.9500000002</v>
      </c>
      <c r="J107" s="682">
        <f t="shared" si="16"/>
        <v>5614980.9500000002</v>
      </c>
      <c r="K107" s="683"/>
      <c r="L107" s="684"/>
      <c r="M107" s="753"/>
      <c r="N107" s="683">
        <v>0</v>
      </c>
      <c r="O107" s="686"/>
      <c r="P107" s="683">
        <v>0</v>
      </c>
      <c r="Q107" s="687">
        <f t="shared" si="1"/>
        <v>0</v>
      </c>
      <c r="R107" s="687"/>
      <c r="S107" s="687"/>
      <c r="T107" s="688">
        <v>0</v>
      </c>
      <c r="U107" s="689"/>
      <c r="V107" s="690">
        <f t="shared" si="15"/>
        <v>0</v>
      </c>
      <c r="W107" s="683"/>
      <c r="X107" s="474">
        <f t="shared" si="20"/>
        <v>0</v>
      </c>
      <c r="Y107" s="474">
        <f t="shared" si="21"/>
        <v>0</v>
      </c>
      <c r="Z107" s="475">
        <f t="shared" si="22"/>
        <v>0</v>
      </c>
      <c r="AA107" s="475">
        <v>0</v>
      </c>
      <c r="AB107" s="476">
        <v>0</v>
      </c>
      <c r="AC107" s="38">
        <f t="shared" si="23"/>
        <v>0</v>
      </c>
      <c r="AD107" s="692">
        <f t="shared" si="17"/>
        <v>5614980.9500000002</v>
      </c>
      <c r="AE107" s="692">
        <f t="shared" si="18"/>
        <v>0</v>
      </c>
      <c r="AF107" s="692">
        <f t="shared" si="19"/>
        <v>0</v>
      </c>
      <c r="AG107" s="38"/>
      <c r="AH107" s="692">
        <f t="shared" si="24"/>
        <v>0</v>
      </c>
      <c r="AI107" s="692">
        <f t="shared" si="25"/>
        <v>0</v>
      </c>
      <c r="AJ107" s="692">
        <f t="shared" si="26"/>
        <v>0</v>
      </c>
      <c r="AL107" s="38">
        <f t="shared" si="27"/>
        <v>5614980.9500000002</v>
      </c>
      <c r="AM107" s="123" t="s">
        <v>994</v>
      </c>
    </row>
    <row r="108" spans="1:39" s="232" customFormat="1" ht="12.75" customHeight="1">
      <c r="A108" s="283"/>
      <c r="B108" s="283" t="s">
        <v>110</v>
      </c>
      <c r="C108" s="667"/>
      <c r="D108" s="123" t="s">
        <v>993</v>
      </c>
      <c r="E108" s="679"/>
      <c r="F108" s="529">
        <f>VLOOKUP(D108,'Feb14 Revenue'!D:V,19,FALSE)</f>
        <v>0</v>
      </c>
      <c r="G108" s="680"/>
      <c r="H108" s="680"/>
      <c r="I108" s="770">
        <v>2968652.1</v>
      </c>
      <c r="J108" s="682">
        <f t="shared" si="16"/>
        <v>2968652.1</v>
      </c>
      <c r="K108" s="683"/>
      <c r="L108" s="684"/>
      <c r="M108" s="753"/>
      <c r="N108" s="683">
        <v>0</v>
      </c>
      <c r="O108" s="686"/>
      <c r="P108" s="683">
        <v>0</v>
      </c>
      <c r="Q108" s="687">
        <f t="shared" si="1"/>
        <v>0</v>
      </c>
      <c r="R108" s="687"/>
      <c r="S108" s="687"/>
      <c r="T108" s="688">
        <v>0</v>
      </c>
      <c r="U108" s="689"/>
      <c r="V108" s="690">
        <f t="shared" si="15"/>
        <v>0</v>
      </c>
      <c r="W108" s="683"/>
      <c r="X108" s="474">
        <f t="shared" si="20"/>
        <v>0</v>
      </c>
      <c r="Y108" s="474">
        <f t="shared" si="21"/>
        <v>0</v>
      </c>
      <c r="Z108" s="475">
        <f t="shared" si="22"/>
        <v>0</v>
      </c>
      <c r="AA108" s="475">
        <v>0</v>
      </c>
      <c r="AB108" s="476">
        <v>0</v>
      </c>
      <c r="AC108" s="38">
        <f t="shared" si="23"/>
        <v>0</v>
      </c>
      <c r="AD108" s="692">
        <f t="shared" si="17"/>
        <v>2968652.1</v>
      </c>
      <c r="AE108" s="692">
        <f t="shared" si="18"/>
        <v>0</v>
      </c>
      <c r="AF108" s="692">
        <f t="shared" si="19"/>
        <v>0</v>
      </c>
      <c r="AG108" s="38"/>
      <c r="AH108" s="692">
        <f t="shared" si="24"/>
        <v>0</v>
      </c>
      <c r="AI108" s="692">
        <f t="shared" si="25"/>
        <v>0</v>
      </c>
      <c r="AJ108" s="692">
        <f t="shared" si="26"/>
        <v>0</v>
      </c>
      <c r="AL108" s="38">
        <f t="shared" si="27"/>
        <v>2968652.1</v>
      </c>
      <c r="AM108" s="123" t="s">
        <v>993</v>
      </c>
    </row>
    <row r="109" spans="1:39" s="232" customFormat="1" ht="12.75" customHeight="1">
      <c r="A109" s="283"/>
      <c r="B109" s="283" t="s">
        <v>110</v>
      </c>
      <c r="C109" s="667"/>
      <c r="D109" s="123" t="s">
        <v>996</v>
      </c>
      <c r="E109" s="679"/>
      <c r="F109" s="529">
        <f>VLOOKUP(D109,'Feb14 Revenue'!D:V,19,FALSE)</f>
        <v>0</v>
      </c>
      <c r="G109" s="680"/>
      <c r="H109" s="680"/>
      <c r="I109" s="770">
        <v>164345.73000000001</v>
      </c>
      <c r="J109" s="682">
        <f t="shared" si="16"/>
        <v>164345.73000000001</v>
      </c>
      <c r="K109" s="683"/>
      <c r="L109" s="684"/>
      <c r="M109" s="753"/>
      <c r="N109" s="683">
        <v>0</v>
      </c>
      <c r="O109" s="686"/>
      <c r="P109" s="683">
        <v>0</v>
      </c>
      <c r="Q109" s="687">
        <f t="shared" si="1"/>
        <v>0</v>
      </c>
      <c r="R109" s="687"/>
      <c r="S109" s="687"/>
      <c r="T109" s="688">
        <v>0</v>
      </c>
      <c r="U109" s="689"/>
      <c r="V109" s="690">
        <f t="shared" si="15"/>
        <v>0</v>
      </c>
      <c r="W109" s="683"/>
      <c r="X109" s="474">
        <f t="shared" si="20"/>
        <v>0</v>
      </c>
      <c r="Y109" s="474">
        <f t="shared" si="21"/>
        <v>0</v>
      </c>
      <c r="Z109" s="475">
        <f t="shared" si="22"/>
        <v>0</v>
      </c>
      <c r="AA109" s="475">
        <v>0</v>
      </c>
      <c r="AB109" s="476">
        <v>0</v>
      </c>
      <c r="AC109" s="38">
        <f t="shared" si="23"/>
        <v>0</v>
      </c>
      <c r="AD109" s="692">
        <f t="shared" si="17"/>
        <v>164345.73000000001</v>
      </c>
      <c r="AE109" s="692">
        <f t="shared" si="18"/>
        <v>0</v>
      </c>
      <c r="AF109" s="692">
        <f t="shared" si="19"/>
        <v>0</v>
      </c>
      <c r="AG109" s="38"/>
      <c r="AH109" s="692">
        <f t="shared" si="24"/>
        <v>0</v>
      </c>
      <c r="AI109" s="692">
        <f t="shared" si="25"/>
        <v>0</v>
      </c>
      <c r="AJ109" s="692">
        <f t="shared" si="26"/>
        <v>0</v>
      </c>
      <c r="AL109" s="38">
        <f t="shared" si="27"/>
        <v>164345.73000000001</v>
      </c>
      <c r="AM109" s="123" t="s">
        <v>996</v>
      </c>
    </row>
    <row r="110" spans="1:39" s="232" customFormat="1" ht="12.75" customHeight="1">
      <c r="A110" s="283"/>
      <c r="B110" s="283" t="s">
        <v>110</v>
      </c>
      <c r="C110" s="667"/>
      <c r="D110" s="123" t="s">
        <v>995</v>
      </c>
      <c r="E110" s="679"/>
      <c r="F110" s="529">
        <f>VLOOKUP(D110,'Feb14 Revenue'!D:V,19,FALSE)</f>
        <v>0</v>
      </c>
      <c r="G110" s="680"/>
      <c r="H110" s="680"/>
      <c r="I110" s="770">
        <v>14538.23</v>
      </c>
      <c r="J110" s="682">
        <f>SUM(E110:I110)</f>
        <v>14538.23</v>
      </c>
      <c r="K110" s="683"/>
      <c r="L110" s="684"/>
      <c r="M110" s="753"/>
      <c r="N110" s="683">
        <v>0</v>
      </c>
      <c r="O110" s="686"/>
      <c r="P110" s="683">
        <v>0</v>
      </c>
      <c r="Q110" s="687">
        <f>L110+M110</f>
        <v>0</v>
      </c>
      <c r="R110" s="687"/>
      <c r="S110" s="687"/>
      <c r="T110" s="688">
        <v>0</v>
      </c>
      <c r="U110" s="689"/>
      <c r="V110" s="690">
        <f t="shared" si="15"/>
        <v>0</v>
      </c>
      <c r="W110" s="683"/>
      <c r="X110" s="474">
        <f>IF(B110="D",Q110,0)</f>
        <v>0</v>
      </c>
      <c r="Y110" s="474">
        <f>IF(B110="M",Q110,0)</f>
        <v>0</v>
      </c>
      <c r="Z110" s="475">
        <f>IF(B110="V",Q110,0)</f>
        <v>0</v>
      </c>
      <c r="AA110" s="475">
        <v>0</v>
      </c>
      <c r="AB110" s="476">
        <v>0</v>
      </c>
      <c r="AC110" s="38">
        <f>(L110+M110)-(X110+Y110+Z110+AA110+AB110)</f>
        <v>0</v>
      </c>
      <c r="AD110" s="692">
        <f>IF(B110="D",J110,0)</f>
        <v>14538.23</v>
      </c>
      <c r="AE110" s="692">
        <f>IF(B110="M",J110,0)</f>
        <v>0</v>
      </c>
      <c r="AF110" s="692">
        <f>IF(B110="V",J110,0)</f>
        <v>0</v>
      </c>
      <c r="AG110" s="38"/>
      <c r="AH110" s="692">
        <f>IF(B110="D",Q110,0)</f>
        <v>0</v>
      </c>
      <c r="AI110" s="692">
        <f>IF(B110="M",Q110,0)</f>
        <v>0</v>
      </c>
      <c r="AJ110" s="692">
        <f>IF(B110="V",Q110,0)</f>
        <v>0</v>
      </c>
      <c r="AL110" s="38">
        <f>SUM(AD110:AJ110)</f>
        <v>14538.23</v>
      </c>
      <c r="AM110" s="123" t="s">
        <v>995</v>
      </c>
    </row>
    <row r="111" spans="1:39" s="232" customFormat="1" ht="12.75" customHeight="1">
      <c r="A111" s="283"/>
      <c r="B111" s="283" t="s">
        <v>110</v>
      </c>
      <c r="C111" s="667"/>
      <c r="D111" s="123" t="s">
        <v>997</v>
      </c>
      <c r="E111" s="679"/>
      <c r="F111" s="529">
        <f>VLOOKUP(D111,'Feb14 Revenue'!D:V,19,FALSE)</f>
        <v>0</v>
      </c>
      <c r="G111" s="680"/>
      <c r="H111" s="680"/>
      <c r="I111" s="770">
        <v>16283.67</v>
      </c>
      <c r="J111" s="682">
        <f t="shared" si="16"/>
        <v>16283.67</v>
      </c>
      <c r="K111" s="683"/>
      <c r="L111" s="684"/>
      <c r="M111" s="753"/>
      <c r="N111" s="683">
        <v>0</v>
      </c>
      <c r="O111" s="686"/>
      <c r="P111" s="683">
        <v>0</v>
      </c>
      <c r="Q111" s="687">
        <f t="shared" si="1"/>
        <v>0</v>
      </c>
      <c r="R111" s="687"/>
      <c r="S111" s="687"/>
      <c r="T111" s="688">
        <v>0</v>
      </c>
      <c r="U111" s="689"/>
      <c r="V111" s="690">
        <f t="shared" si="15"/>
        <v>0</v>
      </c>
      <c r="W111" s="683"/>
      <c r="X111" s="474">
        <f t="shared" si="20"/>
        <v>0</v>
      </c>
      <c r="Y111" s="474">
        <f t="shared" si="21"/>
        <v>0</v>
      </c>
      <c r="Z111" s="475">
        <f t="shared" si="22"/>
        <v>0</v>
      </c>
      <c r="AA111" s="475">
        <v>0</v>
      </c>
      <c r="AB111" s="476">
        <v>0</v>
      </c>
      <c r="AC111" s="38">
        <f t="shared" si="23"/>
        <v>0</v>
      </c>
      <c r="AD111" s="692">
        <f t="shared" si="17"/>
        <v>16283.67</v>
      </c>
      <c r="AE111" s="692">
        <f t="shared" si="18"/>
        <v>0</v>
      </c>
      <c r="AF111" s="692">
        <f t="shared" si="19"/>
        <v>0</v>
      </c>
      <c r="AG111" s="38"/>
      <c r="AH111" s="692">
        <f t="shared" si="24"/>
        <v>0</v>
      </c>
      <c r="AI111" s="692">
        <f t="shared" si="25"/>
        <v>0</v>
      </c>
      <c r="AJ111" s="692">
        <f t="shared" si="26"/>
        <v>0</v>
      </c>
      <c r="AL111" s="38">
        <f t="shared" si="27"/>
        <v>16283.67</v>
      </c>
      <c r="AM111" s="123" t="s">
        <v>997</v>
      </c>
    </row>
    <row r="112" spans="1:39" s="232" customFormat="1" ht="12.75" customHeight="1">
      <c r="A112" s="283"/>
      <c r="B112" s="283" t="s">
        <v>110</v>
      </c>
      <c r="C112" s="667"/>
      <c r="D112" s="123" t="s">
        <v>998</v>
      </c>
      <c r="E112" s="679"/>
      <c r="F112" s="529">
        <f>VLOOKUP(D112,'Feb14 Revenue'!D:V,19,FALSE)</f>
        <v>0</v>
      </c>
      <c r="G112" s="680"/>
      <c r="H112" s="680"/>
      <c r="I112" s="770">
        <v>24666.84</v>
      </c>
      <c r="J112" s="682">
        <f t="shared" si="16"/>
        <v>24666.84</v>
      </c>
      <c r="K112" s="683"/>
      <c r="L112" s="684"/>
      <c r="M112" s="753"/>
      <c r="N112" s="683">
        <v>0</v>
      </c>
      <c r="O112" s="686"/>
      <c r="P112" s="683">
        <v>0</v>
      </c>
      <c r="Q112" s="687">
        <f t="shared" si="1"/>
        <v>0</v>
      </c>
      <c r="R112" s="687"/>
      <c r="S112" s="687"/>
      <c r="T112" s="688">
        <v>0</v>
      </c>
      <c r="U112" s="689"/>
      <c r="V112" s="690">
        <f t="shared" si="15"/>
        <v>0</v>
      </c>
      <c r="W112" s="683"/>
      <c r="X112" s="474">
        <f t="shared" si="20"/>
        <v>0</v>
      </c>
      <c r="Y112" s="474">
        <f t="shared" si="21"/>
        <v>0</v>
      </c>
      <c r="Z112" s="475">
        <f t="shared" si="22"/>
        <v>0</v>
      </c>
      <c r="AA112" s="475">
        <v>0</v>
      </c>
      <c r="AB112" s="476">
        <v>0</v>
      </c>
      <c r="AC112" s="38">
        <f t="shared" si="23"/>
        <v>0</v>
      </c>
      <c r="AD112" s="692">
        <f t="shared" si="17"/>
        <v>24666.84</v>
      </c>
      <c r="AE112" s="692">
        <f t="shared" si="18"/>
        <v>0</v>
      </c>
      <c r="AF112" s="692">
        <f t="shared" si="19"/>
        <v>0</v>
      </c>
      <c r="AG112" s="38"/>
      <c r="AH112" s="692">
        <f t="shared" si="24"/>
        <v>0</v>
      </c>
      <c r="AI112" s="692">
        <f t="shared" si="25"/>
        <v>0</v>
      </c>
      <c r="AJ112" s="692">
        <f t="shared" si="26"/>
        <v>0</v>
      </c>
      <c r="AL112" s="38">
        <f t="shared" si="27"/>
        <v>24666.84</v>
      </c>
      <c r="AM112" s="123" t="s">
        <v>998</v>
      </c>
    </row>
    <row r="113" spans="1:39" s="232" customFormat="1" ht="12" customHeight="1">
      <c r="A113" s="283"/>
      <c r="B113" s="283" t="s">
        <v>110</v>
      </c>
      <c r="C113" s="667"/>
      <c r="D113" s="123" t="s">
        <v>999</v>
      </c>
      <c r="E113" s="679"/>
      <c r="F113" s="529">
        <f>VLOOKUP(D113,'Feb14 Revenue'!D:V,19,FALSE)</f>
        <v>0</v>
      </c>
      <c r="G113" s="680"/>
      <c r="H113" s="680"/>
      <c r="I113" s="770">
        <v>9893.5400000000009</v>
      </c>
      <c r="J113" s="682">
        <f t="shared" si="16"/>
        <v>9893.5400000000009</v>
      </c>
      <c r="K113" s="683"/>
      <c r="L113" s="684"/>
      <c r="M113" s="753"/>
      <c r="N113" s="683">
        <v>0</v>
      </c>
      <c r="O113" s="686"/>
      <c r="P113" s="683">
        <v>0</v>
      </c>
      <c r="Q113" s="687">
        <f t="shared" si="1"/>
        <v>0</v>
      </c>
      <c r="R113" s="687"/>
      <c r="S113" s="687"/>
      <c r="T113" s="688">
        <v>0</v>
      </c>
      <c r="U113" s="689"/>
      <c r="V113" s="690">
        <f t="shared" si="15"/>
        <v>0</v>
      </c>
      <c r="W113" s="683"/>
      <c r="X113" s="474">
        <f t="shared" si="20"/>
        <v>0</v>
      </c>
      <c r="Y113" s="474">
        <f t="shared" si="21"/>
        <v>0</v>
      </c>
      <c r="Z113" s="475">
        <f t="shared" si="22"/>
        <v>0</v>
      </c>
      <c r="AA113" s="475">
        <v>0</v>
      </c>
      <c r="AB113" s="476">
        <v>0</v>
      </c>
      <c r="AC113" s="38">
        <f t="shared" si="23"/>
        <v>0</v>
      </c>
      <c r="AD113" s="692">
        <f t="shared" si="17"/>
        <v>9893.5400000000009</v>
      </c>
      <c r="AE113" s="692">
        <f t="shared" si="18"/>
        <v>0</v>
      </c>
      <c r="AF113" s="692">
        <f t="shared" si="19"/>
        <v>0</v>
      </c>
      <c r="AG113" s="38"/>
      <c r="AH113" s="692">
        <f t="shared" si="24"/>
        <v>0</v>
      </c>
      <c r="AI113" s="692">
        <f t="shared" si="25"/>
        <v>0</v>
      </c>
      <c r="AJ113" s="692">
        <f t="shared" si="26"/>
        <v>0</v>
      </c>
      <c r="AL113" s="38">
        <f t="shared" si="27"/>
        <v>9893.5400000000009</v>
      </c>
      <c r="AM113" s="123" t="s">
        <v>999</v>
      </c>
    </row>
    <row r="114" spans="1:39" s="232" customFormat="1" ht="12" customHeight="1">
      <c r="A114" s="283"/>
      <c r="B114" s="283" t="s">
        <v>110</v>
      </c>
      <c r="C114" s="667"/>
      <c r="D114" s="123" t="s">
        <v>1000</v>
      </c>
      <c r="E114" s="679"/>
      <c r="F114" s="529">
        <f>VLOOKUP(D114,'Feb14 Revenue'!D:V,19,FALSE)</f>
        <v>0</v>
      </c>
      <c r="G114" s="680"/>
      <c r="H114" s="680"/>
      <c r="I114" s="770">
        <f>8560.31+4796.96</f>
        <v>13357.27</v>
      </c>
      <c r="J114" s="682">
        <f t="shared" si="16"/>
        <v>13357.27</v>
      </c>
      <c r="K114" s="683"/>
      <c r="L114" s="684"/>
      <c r="M114" s="753"/>
      <c r="N114" s="683">
        <v>0</v>
      </c>
      <c r="O114" s="686"/>
      <c r="P114" s="683">
        <v>0</v>
      </c>
      <c r="Q114" s="687">
        <f t="shared" si="1"/>
        <v>0</v>
      </c>
      <c r="R114" s="687"/>
      <c r="S114" s="687"/>
      <c r="T114" s="688">
        <v>0</v>
      </c>
      <c r="U114" s="689"/>
      <c r="V114" s="690">
        <f t="shared" si="15"/>
        <v>0</v>
      </c>
      <c r="W114" s="683"/>
      <c r="X114" s="474">
        <f t="shared" si="20"/>
        <v>0</v>
      </c>
      <c r="Y114" s="474">
        <f t="shared" si="21"/>
        <v>0</v>
      </c>
      <c r="Z114" s="475">
        <f t="shared" si="22"/>
        <v>0</v>
      </c>
      <c r="AA114" s="475">
        <v>0</v>
      </c>
      <c r="AB114" s="476">
        <v>0</v>
      </c>
      <c r="AC114" s="38">
        <f t="shared" si="23"/>
        <v>0</v>
      </c>
      <c r="AD114" s="692">
        <f t="shared" si="17"/>
        <v>13357.27</v>
      </c>
      <c r="AE114" s="692">
        <f t="shared" si="18"/>
        <v>0</v>
      </c>
      <c r="AF114" s="692">
        <f t="shared" si="19"/>
        <v>0</v>
      </c>
      <c r="AG114" s="38"/>
      <c r="AH114" s="692">
        <f t="shared" si="24"/>
        <v>0</v>
      </c>
      <c r="AI114" s="692">
        <f t="shared" si="25"/>
        <v>0</v>
      </c>
      <c r="AJ114" s="692">
        <f t="shared" si="26"/>
        <v>0</v>
      </c>
      <c r="AL114" s="38">
        <f t="shared" si="27"/>
        <v>13357.27</v>
      </c>
      <c r="AM114" s="123" t="s">
        <v>1000</v>
      </c>
    </row>
    <row r="115" spans="1:39" s="232" customFormat="1" ht="12" customHeight="1">
      <c r="A115" s="283"/>
      <c r="B115" s="283" t="s">
        <v>110</v>
      </c>
      <c r="C115" s="667"/>
      <c r="D115" s="123" t="s">
        <v>1001</v>
      </c>
      <c r="E115" s="679"/>
      <c r="F115" s="529">
        <f>VLOOKUP(D115,'Feb14 Revenue'!D:V,19,FALSE)</f>
        <v>0</v>
      </c>
      <c r="G115" s="680"/>
      <c r="H115" s="680"/>
      <c r="I115" s="755"/>
      <c r="J115" s="682">
        <f t="shared" si="16"/>
        <v>0</v>
      </c>
      <c r="K115" s="683"/>
      <c r="L115" s="684"/>
      <c r="M115" s="753"/>
      <c r="N115" s="683">
        <v>0</v>
      </c>
      <c r="O115" s="686"/>
      <c r="P115" s="683">
        <v>0</v>
      </c>
      <c r="Q115" s="687">
        <f t="shared" si="1"/>
        <v>0</v>
      </c>
      <c r="R115" s="687"/>
      <c r="S115" s="687"/>
      <c r="T115" s="688">
        <v>0</v>
      </c>
      <c r="U115" s="689"/>
      <c r="V115" s="690">
        <f t="shared" si="15"/>
        <v>0</v>
      </c>
      <c r="W115" s="683"/>
      <c r="X115" s="474">
        <f t="shared" si="20"/>
        <v>0</v>
      </c>
      <c r="Y115" s="474">
        <f t="shared" si="21"/>
        <v>0</v>
      </c>
      <c r="Z115" s="475">
        <f t="shared" si="22"/>
        <v>0</v>
      </c>
      <c r="AA115" s="475">
        <v>0</v>
      </c>
      <c r="AB115" s="476">
        <v>0</v>
      </c>
      <c r="AC115" s="38">
        <f t="shared" si="23"/>
        <v>0</v>
      </c>
      <c r="AD115" s="692">
        <f t="shared" si="17"/>
        <v>0</v>
      </c>
      <c r="AE115" s="692">
        <f t="shared" si="18"/>
        <v>0</v>
      </c>
      <c r="AF115" s="692">
        <f t="shared" si="19"/>
        <v>0</v>
      </c>
      <c r="AG115" s="38"/>
      <c r="AH115" s="692">
        <f t="shared" si="24"/>
        <v>0</v>
      </c>
      <c r="AI115" s="692">
        <f t="shared" si="25"/>
        <v>0</v>
      </c>
      <c r="AJ115" s="692">
        <f t="shared" si="26"/>
        <v>0</v>
      </c>
      <c r="AL115" s="38">
        <f t="shared" si="27"/>
        <v>0</v>
      </c>
      <c r="AM115" s="123" t="s">
        <v>1001</v>
      </c>
    </row>
    <row r="116" spans="1:39" s="24" customFormat="1" ht="12" customHeight="1">
      <c r="A116" s="32"/>
      <c r="B116" s="32" t="s">
        <v>110</v>
      </c>
      <c r="C116" s="667"/>
      <c r="D116" s="68" t="s">
        <v>588</v>
      </c>
      <c r="E116" s="679"/>
      <c r="F116" s="529">
        <f>VLOOKUP(D116,'Feb14 Revenue'!D:V,19,FALSE)</f>
        <v>0</v>
      </c>
      <c r="G116" s="680"/>
      <c r="H116" s="680"/>
      <c r="I116" s="755"/>
      <c r="J116" s="682">
        <f t="shared" si="16"/>
        <v>0</v>
      </c>
      <c r="K116" s="683"/>
      <c r="L116" s="684"/>
      <c r="M116" s="753"/>
      <c r="N116" s="698"/>
      <c r="O116" s="699"/>
      <c r="P116" s="698"/>
      <c r="Q116" s="687">
        <f t="shared" si="1"/>
        <v>0</v>
      </c>
      <c r="R116" s="687"/>
      <c r="S116" s="687"/>
      <c r="T116" s="688">
        <v>0</v>
      </c>
      <c r="U116" s="689"/>
      <c r="V116" s="690">
        <f t="shared" si="15"/>
        <v>0</v>
      </c>
      <c r="W116" s="683"/>
      <c r="X116" s="474">
        <f t="shared" si="20"/>
        <v>0</v>
      </c>
      <c r="Y116" s="474">
        <f t="shared" si="21"/>
        <v>0</v>
      </c>
      <c r="Z116" s="475">
        <f t="shared" si="22"/>
        <v>0</v>
      </c>
      <c r="AA116" s="475">
        <v>0</v>
      </c>
      <c r="AB116" s="476">
        <v>0</v>
      </c>
      <c r="AC116" s="38">
        <f t="shared" si="23"/>
        <v>0</v>
      </c>
      <c r="AD116" s="692">
        <f t="shared" si="17"/>
        <v>0</v>
      </c>
      <c r="AE116" s="692">
        <f t="shared" si="18"/>
        <v>0</v>
      </c>
      <c r="AF116" s="692">
        <f t="shared" si="19"/>
        <v>0</v>
      </c>
      <c r="AG116" s="38"/>
      <c r="AH116" s="692">
        <f t="shared" si="24"/>
        <v>0</v>
      </c>
      <c r="AI116" s="692">
        <f t="shared" si="25"/>
        <v>0</v>
      </c>
      <c r="AJ116" s="692">
        <f t="shared" si="26"/>
        <v>0</v>
      </c>
      <c r="AL116" s="38">
        <f t="shared" si="27"/>
        <v>0</v>
      </c>
      <c r="AM116" s="68" t="s">
        <v>588</v>
      </c>
    </row>
    <row r="117" spans="1:39" s="24" customFormat="1" ht="12" customHeight="1">
      <c r="A117" s="32"/>
      <c r="B117" s="32" t="s">
        <v>110</v>
      </c>
      <c r="C117" s="667"/>
      <c r="D117" s="68" t="s">
        <v>935</v>
      </c>
      <c r="E117" s="679"/>
      <c r="F117" s="529">
        <f>VLOOKUP(D117,'Feb14 Revenue'!D:V,19,FALSE)</f>
        <v>-5000</v>
      </c>
      <c r="G117" s="680"/>
      <c r="H117" s="680"/>
      <c r="I117" s="755"/>
      <c r="J117" s="682">
        <f t="shared" si="16"/>
        <v>-5000</v>
      </c>
      <c r="K117" s="683"/>
      <c r="L117" s="684"/>
      <c r="M117" s="753">
        <v>10000</v>
      </c>
      <c r="N117" s="698"/>
      <c r="O117" s="699"/>
      <c r="P117" s="698"/>
      <c r="Q117" s="687">
        <f t="shared" si="1"/>
        <v>10000</v>
      </c>
      <c r="R117" s="687"/>
      <c r="S117" s="687"/>
      <c r="T117" s="688">
        <v>0</v>
      </c>
      <c r="U117" s="689"/>
      <c r="V117" s="690">
        <f t="shared" si="15"/>
        <v>-10000</v>
      </c>
      <c r="W117" s="683"/>
      <c r="X117" s="474">
        <f t="shared" si="20"/>
        <v>10000</v>
      </c>
      <c r="Y117" s="474">
        <f t="shared" si="21"/>
        <v>0</v>
      </c>
      <c r="Z117" s="475">
        <f t="shared" si="22"/>
        <v>0</v>
      </c>
      <c r="AA117" s="475">
        <v>0</v>
      </c>
      <c r="AB117" s="476">
        <v>0</v>
      </c>
      <c r="AC117" s="38">
        <f t="shared" si="23"/>
        <v>0</v>
      </c>
      <c r="AD117" s="692">
        <f t="shared" si="17"/>
        <v>-5000</v>
      </c>
      <c r="AE117" s="692">
        <f t="shared" si="18"/>
        <v>0</v>
      </c>
      <c r="AF117" s="692">
        <f t="shared" si="19"/>
        <v>0</v>
      </c>
      <c r="AG117" s="38"/>
      <c r="AH117" s="692">
        <f t="shared" si="24"/>
        <v>10000</v>
      </c>
      <c r="AI117" s="692">
        <f t="shared" si="25"/>
        <v>0</v>
      </c>
      <c r="AJ117" s="692">
        <f t="shared" si="26"/>
        <v>0</v>
      </c>
      <c r="AL117" s="38">
        <f t="shared" si="27"/>
        <v>5000</v>
      </c>
      <c r="AM117" s="68" t="s">
        <v>935</v>
      </c>
    </row>
    <row r="118" spans="1:39" ht="12" customHeight="1">
      <c r="A118" s="21"/>
      <c r="B118" s="21" t="s">
        <v>109</v>
      </c>
      <c r="C118" s="666" t="s">
        <v>548</v>
      </c>
      <c r="D118" s="68" t="s">
        <v>461</v>
      </c>
      <c r="E118" s="679">
        <v>549.42999999999995</v>
      </c>
      <c r="F118" s="529">
        <f>VLOOKUP(D118,'Feb14 Revenue'!D:V,19,FALSE)</f>
        <v>347.87</v>
      </c>
      <c r="G118" s="680"/>
      <c r="H118" s="680"/>
      <c r="I118" s="755"/>
      <c r="J118" s="682">
        <f t="shared" si="16"/>
        <v>897.3</v>
      </c>
      <c r="K118" s="683"/>
      <c r="L118" s="684"/>
      <c r="M118" s="753"/>
      <c r="N118" s="683">
        <v>0</v>
      </c>
      <c r="O118" s="686"/>
      <c r="P118" s="683">
        <v>0</v>
      </c>
      <c r="Q118" s="687">
        <f t="shared" si="1"/>
        <v>0</v>
      </c>
      <c r="R118" s="687"/>
      <c r="S118" s="687"/>
      <c r="T118" s="688">
        <v>413.19</v>
      </c>
      <c r="U118" s="689"/>
      <c r="V118" s="690">
        <f t="shared" si="15"/>
        <v>413.19</v>
      </c>
      <c r="W118" s="683"/>
      <c r="X118" s="474">
        <f t="shared" si="20"/>
        <v>0</v>
      </c>
      <c r="Y118" s="474">
        <f t="shared" si="21"/>
        <v>0</v>
      </c>
      <c r="Z118" s="475">
        <f t="shared" si="22"/>
        <v>0</v>
      </c>
      <c r="AA118" s="475">
        <v>0</v>
      </c>
      <c r="AB118" s="476">
        <v>0</v>
      </c>
      <c r="AC118" s="38">
        <f t="shared" si="23"/>
        <v>0</v>
      </c>
      <c r="AD118" s="692">
        <f t="shared" si="17"/>
        <v>0</v>
      </c>
      <c r="AE118" s="692">
        <f t="shared" si="18"/>
        <v>897.3</v>
      </c>
      <c r="AF118" s="692">
        <f t="shared" si="19"/>
        <v>0</v>
      </c>
      <c r="AG118" s="38"/>
      <c r="AH118" s="692">
        <f t="shared" si="24"/>
        <v>0</v>
      </c>
      <c r="AI118" s="692">
        <f t="shared" si="25"/>
        <v>0</v>
      </c>
      <c r="AJ118" s="692">
        <f t="shared" si="26"/>
        <v>0</v>
      </c>
      <c r="AL118" s="38">
        <f t="shared" si="27"/>
        <v>897.3</v>
      </c>
      <c r="AM118" s="68" t="s">
        <v>461</v>
      </c>
    </row>
    <row r="119" spans="1:39">
      <c r="A119" s="20"/>
      <c r="B119" s="20" t="s">
        <v>109</v>
      </c>
      <c r="C119" s="667" t="s">
        <v>549</v>
      </c>
      <c r="D119" s="68" t="s">
        <v>22</v>
      </c>
      <c r="E119" s="679"/>
      <c r="F119" s="529">
        <f>VLOOKUP(D119,'Feb14 Revenue'!D:V,19,FALSE)</f>
        <v>0</v>
      </c>
      <c r="G119" s="680"/>
      <c r="H119" s="680"/>
      <c r="I119" s="755"/>
      <c r="J119" s="682">
        <f t="shared" si="16"/>
        <v>0</v>
      </c>
      <c r="K119" s="683"/>
      <c r="L119" s="684"/>
      <c r="M119" s="753"/>
      <c r="N119" s="683">
        <v>0</v>
      </c>
      <c r="O119" s="686"/>
      <c r="P119" s="683">
        <v>0</v>
      </c>
      <c r="Q119" s="687">
        <f t="shared" si="1"/>
        <v>0</v>
      </c>
      <c r="R119" s="687"/>
      <c r="S119" s="687"/>
      <c r="T119" s="688">
        <v>0</v>
      </c>
      <c r="U119" s="689"/>
      <c r="V119" s="690">
        <f t="shared" si="15"/>
        <v>0</v>
      </c>
      <c r="W119" s="683"/>
      <c r="X119" s="474">
        <f t="shared" si="20"/>
        <v>0</v>
      </c>
      <c r="Y119" s="474">
        <f t="shared" si="21"/>
        <v>0</v>
      </c>
      <c r="Z119" s="475">
        <f t="shared" si="22"/>
        <v>0</v>
      </c>
      <c r="AA119" s="475">
        <v>0</v>
      </c>
      <c r="AB119" s="476">
        <v>0</v>
      </c>
      <c r="AC119" s="38">
        <f t="shared" si="23"/>
        <v>0</v>
      </c>
      <c r="AD119" s="692">
        <f t="shared" si="17"/>
        <v>0</v>
      </c>
      <c r="AE119" s="692">
        <f t="shared" si="18"/>
        <v>0</v>
      </c>
      <c r="AF119" s="692">
        <f t="shared" si="19"/>
        <v>0</v>
      </c>
      <c r="AG119" s="38"/>
      <c r="AH119" s="692">
        <f t="shared" si="24"/>
        <v>0</v>
      </c>
      <c r="AI119" s="692">
        <f t="shared" si="25"/>
        <v>0</v>
      </c>
      <c r="AJ119" s="692">
        <f t="shared" si="26"/>
        <v>0</v>
      </c>
      <c r="AL119" s="38">
        <f t="shared" si="27"/>
        <v>0</v>
      </c>
      <c r="AM119" s="68" t="s">
        <v>22</v>
      </c>
    </row>
    <row r="120" spans="1:39">
      <c r="A120" s="20"/>
      <c r="B120" s="20" t="s">
        <v>110</v>
      </c>
      <c r="C120" s="667"/>
      <c r="D120" s="68" t="s">
        <v>24</v>
      </c>
      <c r="E120" s="679"/>
      <c r="F120" s="529">
        <f>VLOOKUP(D120,'Feb14 Revenue'!D:V,19,FALSE)</f>
        <v>-659.90999999999985</v>
      </c>
      <c r="G120" s="680"/>
      <c r="H120" s="680"/>
      <c r="I120" s="755"/>
      <c r="J120" s="682">
        <f t="shared" si="16"/>
        <v>-659.90999999999985</v>
      </c>
      <c r="K120" s="683"/>
      <c r="L120" s="684"/>
      <c r="M120" s="753">
        <v>10000</v>
      </c>
      <c r="N120" s="683">
        <v>0</v>
      </c>
      <c r="O120" s="686"/>
      <c r="P120" s="683">
        <v>0</v>
      </c>
      <c r="Q120" s="687">
        <f t="shared" si="1"/>
        <v>10000</v>
      </c>
      <c r="R120" s="687"/>
      <c r="S120" s="687"/>
      <c r="T120" s="688">
        <v>9826.69</v>
      </c>
      <c r="U120" s="689"/>
      <c r="V120" s="690">
        <f t="shared" si="15"/>
        <v>-173.30999999999949</v>
      </c>
      <c r="W120" s="683"/>
      <c r="X120" s="474">
        <f t="shared" si="20"/>
        <v>10000</v>
      </c>
      <c r="Y120" s="474">
        <f t="shared" si="21"/>
        <v>0</v>
      </c>
      <c r="Z120" s="475">
        <f t="shared" si="22"/>
        <v>0</v>
      </c>
      <c r="AA120" s="475">
        <v>0</v>
      </c>
      <c r="AB120" s="476">
        <v>0</v>
      </c>
      <c r="AC120" s="38">
        <f t="shared" si="23"/>
        <v>0</v>
      </c>
      <c r="AD120" s="692">
        <f t="shared" si="17"/>
        <v>-659.90999999999985</v>
      </c>
      <c r="AE120" s="692">
        <f t="shared" si="18"/>
        <v>0</v>
      </c>
      <c r="AF120" s="692">
        <f t="shared" si="19"/>
        <v>0</v>
      </c>
      <c r="AG120" s="38"/>
      <c r="AH120" s="692">
        <f t="shared" si="24"/>
        <v>10000</v>
      </c>
      <c r="AI120" s="692">
        <f t="shared" si="25"/>
        <v>0</v>
      </c>
      <c r="AJ120" s="692">
        <f t="shared" si="26"/>
        <v>0</v>
      </c>
      <c r="AL120" s="38">
        <f t="shared" si="27"/>
        <v>9340.09</v>
      </c>
      <c r="AM120" s="68" t="s">
        <v>24</v>
      </c>
    </row>
    <row r="121" spans="1:39">
      <c r="A121" s="21"/>
      <c r="B121" s="21" t="s">
        <v>110</v>
      </c>
      <c r="C121" s="666"/>
      <c r="D121" s="68" t="s">
        <v>1019</v>
      </c>
      <c r="E121" s="679"/>
      <c r="F121" s="529">
        <f>VLOOKUP(D121,'Feb14 Revenue'!D:V,19,FALSE)</f>
        <v>0</v>
      </c>
      <c r="G121" s="680"/>
      <c r="H121" s="680"/>
      <c r="I121" s="755"/>
      <c r="J121" s="682">
        <f t="shared" si="16"/>
        <v>0</v>
      </c>
      <c r="K121" s="683"/>
      <c r="L121" s="684"/>
      <c r="M121" s="753"/>
      <c r="N121" s="683">
        <v>0</v>
      </c>
      <c r="O121" s="686"/>
      <c r="P121" s="683">
        <v>0</v>
      </c>
      <c r="Q121" s="687">
        <f t="shared" si="1"/>
        <v>0</v>
      </c>
      <c r="R121" s="687"/>
      <c r="S121" s="687"/>
      <c r="T121" s="688">
        <v>0</v>
      </c>
      <c r="U121" s="689"/>
      <c r="V121" s="690">
        <f t="shared" si="15"/>
        <v>0</v>
      </c>
      <c r="W121" s="683"/>
      <c r="X121" s="474">
        <f t="shared" si="20"/>
        <v>0</v>
      </c>
      <c r="Y121" s="474">
        <f t="shared" si="21"/>
        <v>0</v>
      </c>
      <c r="Z121" s="475">
        <f t="shared" si="22"/>
        <v>0</v>
      </c>
      <c r="AA121" s="475">
        <v>0</v>
      </c>
      <c r="AB121" s="476">
        <v>0</v>
      </c>
      <c r="AC121" s="38">
        <f t="shared" si="23"/>
        <v>0</v>
      </c>
      <c r="AD121" s="692">
        <f t="shared" si="17"/>
        <v>0</v>
      </c>
      <c r="AE121" s="692">
        <f t="shared" si="18"/>
        <v>0</v>
      </c>
      <c r="AF121" s="692">
        <f t="shared" si="19"/>
        <v>0</v>
      </c>
      <c r="AG121" s="38"/>
      <c r="AH121" s="692">
        <f t="shared" si="24"/>
        <v>0</v>
      </c>
      <c r="AI121" s="692">
        <f t="shared" si="25"/>
        <v>0</v>
      </c>
      <c r="AJ121" s="692">
        <f t="shared" si="26"/>
        <v>0</v>
      </c>
      <c r="AL121" s="38">
        <f t="shared" si="27"/>
        <v>0</v>
      </c>
      <c r="AM121" s="68" t="s">
        <v>1019</v>
      </c>
    </row>
    <row r="122" spans="1:39">
      <c r="A122" s="21"/>
      <c r="B122" s="21" t="s">
        <v>110</v>
      </c>
      <c r="C122" s="666"/>
      <c r="D122" s="68" t="s">
        <v>937</v>
      </c>
      <c r="E122" s="679"/>
      <c r="F122" s="529">
        <f>VLOOKUP(D122,'Feb14 Revenue'!D:V,19,FALSE)</f>
        <v>-20000</v>
      </c>
      <c r="G122" s="680"/>
      <c r="H122" s="680"/>
      <c r="I122" s="770">
        <v>11343.61</v>
      </c>
      <c r="J122" s="682">
        <f t="shared" si="16"/>
        <v>-8656.39</v>
      </c>
      <c r="K122" s="683"/>
      <c r="L122" s="684"/>
      <c r="M122" s="753"/>
      <c r="N122" s="683">
        <v>0</v>
      </c>
      <c r="O122" s="686"/>
      <c r="P122" s="683">
        <v>0</v>
      </c>
      <c r="Q122" s="687">
        <f t="shared" si="1"/>
        <v>0</v>
      </c>
      <c r="R122" s="687"/>
      <c r="S122" s="687"/>
      <c r="T122" s="688">
        <v>0</v>
      </c>
      <c r="U122" s="689"/>
      <c r="V122" s="690">
        <f t="shared" si="15"/>
        <v>0</v>
      </c>
      <c r="W122" s="683"/>
      <c r="X122" s="474">
        <f t="shared" si="20"/>
        <v>0</v>
      </c>
      <c r="Y122" s="474">
        <f t="shared" si="21"/>
        <v>0</v>
      </c>
      <c r="Z122" s="475">
        <f t="shared" si="22"/>
        <v>0</v>
      </c>
      <c r="AA122" s="475">
        <v>0</v>
      </c>
      <c r="AB122" s="476">
        <v>0</v>
      </c>
      <c r="AC122" s="38">
        <f t="shared" si="23"/>
        <v>0</v>
      </c>
      <c r="AD122" s="692">
        <f t="shared" si="17"/>
        <v>-8656.39</v>
      </c>
      <c r="AE122" s="692">
        <f t="shared" si="18"/>
        <v>0</v>
      </c>
      <c r="AF122" s="692">
        <f t="shared" si="19"/>
        <v>0</v>
      </c>
      <c r="AG122" s="38"/>
      <c r="AH122" s="692">
        <f t="shared" si="24"/>
        <v>0</v>
      </c>
      <c r="AI122" s="692">
        <f t="shared" si="25"/>
        <v>0</v>
      </c>
      <c r="AJ122" s="692">
        <f t="shared" si="26"/>
        <v>0</v>
      </c>
      <c r="AL122" s="38">
        <f t="shared" si="27"/>
        <v>-8656.39</v>
      </c>
      <c r="AM122" s="68" t="s">
        <v>937</v>
      </c>
    </row>
    <row r="123" spans="1:39">
      <c r="A123" s="21"/>
      <c r="B123" s="21" t="s">
        <v>110</v>
      </c>
      <c r="C123" s="666"/>
      <c r="D123" s="68" t="s">
        <v>967</v>
      </c>
      <c r="E123" s="679"/>
      <c r="F123" s="529">
        <f>VLOOKUP(D123,'Feb14 Revenue'!D:V,19,FALSE)</f>
        <v>-140000</v>
      </c>
      <c r="G123" s="680"/>
      <c r="H123" s="680"/>
      <c r="I123" s="770">
        <v>259413.63</v>
      </c>
      <c r="J123" s="682">
        <f t="shared" si="16"/>
        <v>119413.63</v>
      </c>
      <c r="K123" s="683"/>
      <c r="L123" s="684"/>
      <c r="M123" s="753"/>
      <c r="N123" s="683">
        <v>0</v>
      </c>
      <c r="O123" s="686"/>
      <c r="P123" s="683">
        <v>0</v>
      </c>
      <c r="Q123" s="687">
        <f t="shared" si="1"/>
        <v>0</v>
      </c>
      <c r="R123" s="687"/>
      <c r="S123" s="687"/>
      <c r="T123" s="688">
        <v>0</v>
      </c>
      <c r="U123" s="689"/>
      <c r="V123" s="690">
        <f t="shared" si="15"/>
        <v>0</v>
      </c>
      <c r="W123" s="683"/>
      <c r="X123" s="474">
        <f t="shared" si="20"/>
        <v>0</v>
      </c>
      <c r="Y123" s="474">
        <f t="shared" si="21"/>
        <v>0</v>
      </c>
      <c r="Z123" s="475">
        <f t="shared" si="22"/>
        <v>0</v>
      </c>
      <c r="AA123" s="475">
        <v>0</v>
      </c>
      <c r="AB123" s="476">
        <v>0</v>
      </c>
      <c r="AC123" s="38">
        <f t="shared" si="23"/>
        <v>0</v>
      </c>
      <c r="AD123" s="692">
        <f t="shared" si="17"/>
        <v>119413.63</v>
      </c>
      <c r="AE123" s="692">
        <f t="shared" si="18"/>
        <v>0</v>
      </c>
      <c r="AF123" s="692">
        <f t="shared" si="19"/>
        <v>0</v>
      </c>
      <c r="AG123" s="38"/>
      <c r="AH123" s="692">
        <f t="shared" si="24"/>
        <v>0</v>
      </c>
      <c r="AI123" s="692">
        <f t="shared" si="25"/>
        <v>0</v>
      </c>
      <c r="AJ123" s="692">
        <f t="shared" si="26"/>
        <v>0</v>
      </c>
      <c r="AL123" s="38">
        <f t="shared" si="27"/>
        <v>119413.63</v>
      </c>
      <c r="AM123" s="68" t="s">
        <v>967</v>
      </c>
    </row>
    <row r="124" spans="1:39">
      <c r="A124" s="21"/>
      <c r="B124" s="21" t="s">
        <v>110</v>
      </c>
      <c r="C124" s="666"/>
      <c r="D124" s="68" t="s">
        <v>1002</v>
      </c>
      <c r="E124" s="679"/>
      <c r="F124" s="529">
        <f>VLOOKUP(D124,'Feb14 Revenue'!D:V,19,FALSE)</f>
        <v>0</v>
      </c>
      <c r="G124" s="680"/>
      <c r="H124" s="680"/>
      <c r="I124" s="755"/>
      <c r="J124" s="682">
        <f t="shared" si="16"/>
        <v>0</v>
      </c>
      <c r="K124" s="683"/>
      <c r="L124" s="684"/>
      <c r="M124" s="753"/>
      <c r="N124" s="683">
        <v>0</v>
      </c>
      <c r="O124" s="686"/>
      <c r="P124" s="683">
        <v>0</v>
      </c>
      <c r="Q124" s="687">
        <f t="shared" si="1"/>
        <v>0</v>
      </c>
      <c r="R124" s="687"/>
      <c r="S124" s="687"/>
      <c r="T124" s="688">
        <v>0</v>
      </c>
      <c r="U124" s="689"/>
      <c r="V124" s="690">
        <f t="shared" si="15"/>
        <v>0</v>
      </c>
      <c r="W124" s="683"/>
      <c r="X124" s="474">
        <f t="shared" si="20"/>
        <v>0</v>
      </c>
      <c r="Y124" s="474">
        <f t="shared" si="21"/>
        <v>0</v>
      </c>
      <c r="Z124" s="475">
        <f t="shared" si="22"/>
        <v>0</v>
      </c>
      <c r="AA124" s="475">
        <v>0</v>
      </c>
      <c r="AB124" s="476">
        <v>0</v>
      </c>
      <c r="AC124" s="38">
        <f t="shared" si="23"/>
        <v>0</v>
      </c>
      <c r="AD124" s="692">
        <f t="shared" si="17"/>
        <v>0</v>
      </c>
      <c r="AE124" s="692">
        <f t="shared" si="18"/>
        <v>0</v>
      </c>
      <c r="AF124" s="692">
        <f t="shared" si="19"/>
        <v>0</v>
      </c>
      <c r="AG124" s="38"/>
      <c r="AH124" s="692">
        <f t="shared" si="24"/>
        <v>0</v>
      </c>
      <c r="AI124" s="692">
        <f t="shared" si="25"/>
        <v>0</v>
      </c>
      <c r="AJ124" s="692">
        <f t="shared" si="26"/>
        <v>0</v>
      </c>
      <c r="AL124" s="38">
        <f t="shared" si="27"/>
        <v>0</v>
      </c>
      <c r="AM124" s="68" t="s">
        <v>1002</v>
      </c>
    </row>
    <row r="125" spans="1:39">
      <c r="A125" s="20"/>
      <c r="B125" s="20" t="s">
        <v>110</v>
      </c>
      <c r="C125" s="667"/>
      <c r="D125" s="68" t="s">
        <v>1013</v>
      </c>
      <c r="E125" s="679"/>
      <c r="F125" s="529">
        <f>VLOOKUP(D125,'Feb14 Revenue'!D:V,19,FALSE)</f>
        <v>379.51</v>
      </c>
      <c r="G125" s="680"/>
      <c r="H125" s="680"/>
      <c r="I125" s="755"/>
      <c r="J125" s="682">
        <f t="shared" si="16"/>
        <v>379.51</v>
      </c>
      <c r="K125" s="683"/>
      <c r="L125" s="684"/>
      <c r="M125" s="753"/>
      <c r="N125" s="683">
        <v>0</v>
      </c>
      <c r="O125" s="686"/>
      <c r="P125" s="683">
        <v>0</v>
      </c>
      <c r="Q125" s="687">
        <f t="shared" si="1"/>
        <v>0</v>
      </c>
      <c r="R125" s="687"/>
      <c r="S125" s="687"/>
      <c r="T125" s="688">
        <v>0</v>
      </c>
      <c r="U125" s="689"/>
      <c r="V125" s="690">
        <f t="shared" si="15"/>
        <v>0</v>
      </c>
      <c r="W125" s="683"/>
      <c r="X125" s="474">
        <f t="shared" si="20"/>
        <v>0</v>
      </c>
      <c r="Y125" s="474">
        <f t="shared" si="21"/>
        <v>0</v>
      </c>
      <c r="Z125" s="475">
        <f t="shared" si="22"/>
        <v>0</v>
      </c>
      <c r="AA125" s="475">
        <v>0</v>
      </c>
      <c r="AB125" s="476">
        <v>0</v>
      </c>
      <c r="AC125" s="38">
        <f t="shared" si="23"/>
        <v>0</v>
      </c>
      <c r="AD125" s="692">
        <f t="shared" si="17"/>
        <v>379.51</v>
      </c>
      <c r="AE125" s="692">
        <f t="shared" si="18"/>
        <v>0</v>
      </c>
      <c r="AF125" s="692">
        <f t="shared" si="19"/>
        <v>0</v>
      </c>
      <c r="AG125" s="38"/>
      <c r="AH125" s="692">
        <f t="shared" si="24"/>
        <v>0</v>
      </c>
      <c r="AI125" s="692">
        <f t="shared" si="25"/>
        <v>0</v>
      </c>
      <c r="AJ125" s="692">
        <f t="shared" si="26"/>
        <v>0</v>
      </c>
      <c r="AL125" s="38">
        <f t="shared" si="27"/>
        <v>379.51</v>
      </c>
      <c r="AM125" s="68" t="s">
        <v>1013</v>
      </c>
    </row>
    <row r="126" spans="1:39">
      <c r="A126" s="20"/>
      <c r="B126" s="20" t="s">
        <v>110</v>
      </c>
      <c r="C126" s="667"/>
      <c r="D126" s="68" t="s">
        <v>1088</v>
      </c>
      <c r="E126" s="679"/>
      <c r="F126" s="529">
        <v>0</v>
      </c>
      <c r="G126" s="680"/>
      <c r="H126" s="680"/>
      <c r="I126" s="755"/>
      <c r="J126" s="682">
        <f t="shared" ref="J126" si="28">SUM(E126:I126)</f>
        <v>0</v>
      </c>
      <c r="K126" s="683"/>
      <c r="L126" s="684"/>
      <c r="M126" s="753"/>
      <c r="N126" s="683">
        <v>0</v>
      </c>
      <c r="O126" s="686"/>
      <c r="P126" s="683">
        <v>0</v>
      </c>
      <c r="Q126" s="687">
        <f t="shared" ref="Q126" si="29">L126+M126</f>
        <v>0</v>
      </c>
      <c r="R126" s="687"/>
      <c r="S126" s="687"/>
      <c r="T126" s="688">
        <v>86.07</v>
      </c>
      <c r="U126" s="689"/>
      <c r="V126" s="690">
        <f t="shared" ref="V126" si="30">IF(T126="","",T126-Q126)</f>
        <v>86.07</v>
      </c>
      <c r="W126" s="683"/>
      <c r="X126" s="474">
        <f t="shared" ref="X126" si="31">IF(B126="D",Q126,0)</f>
        <v>0</v>
      </c>
      <c r="Y126" s="474">
        <f t="shared" ref="Y126" si="32">IF(B126="M",Q126,0)</f>
        <v>0</v>
      </c>
      <c r="Z126" s="475">
        <f t="shared" ref="Z126" si="33">IF(B126="V",Q126,0)</f>
        <v>0</v>
      </c>
      <c r="AA126" s="475">
        <v>0</v>
      </c>
      <c r="AB126" s="476">
        <v>0</v>
      </c>
      <c r="AC126" s="38">
        <f t="shared" ref="AC126" si="34">(L126+M126)-(X126+Y126+Z126+AA126+AB126)</f>
        <v>0</v>
      </c>
      <c r="AD126" s="692">
        <f t="shared" ref="AD126" si="35">IF(B126="D",J126,0)</f>
        <v>0</v>
      </c>
      <c r="AE126" s="692">
        <f t="shared" ref="AE126" si="36">IF(B126="M",J126,0)</f>
        <v>0</v>
      </c>
      <c r="AF126" s="692">
        <f t="shared" ref="AF126" si="37">IF(B126="V",J126,0)</f>
        <v>0</v>
      </c>
      <c r="AG126" s="38"/>
      <c r="AH126" s="692">
        <f t="shared" ref="AH126" si="38">IF(B126="D",Q126,0)</f>
        <v>0</v>
      </c>
      <c r="AI126" s="692">
        <f t="shared" ref="AI126" si="39">IF(B126="M",Q126,0)</f>
        <v>0</v>
      </c>
      <c r="AJ126" s="692">
        <f t="shared" ref="AJ126" si="40">IF(B126="V",Q126,0)</f>
        <v>0</v>
      </c>
      <c r="AL126" s="38">
        <f t="shared" ref="AL126" si="41">SUM(AD126:AJ126)</f>
        <v>0</v>
      </c>
      <c r="AM126" s="68" t="s">
        <v>1013</v>
      </c>
    </row>
    <row r="127" spans="1:39">
      <c r="A127" s="21"/>
      <c r="B127" s="21" t="s">
        <v>110</v>
      </c>
      <c r="C127" s="666" t="s">
        <v>550</v>
      </c>
      <c r="D127" s="68" t="s">
        <v>282</v>
      </c>
      <c r="E127" s="679"/>
      <c r="F127" s="529">
        <f>VLOOKUP(D127,'Feb14 Revenue'!D:V,19,FALSE)</f>
        <v>-55000</v>
      </c>
      <c r="G127" s="680"/>
      <c r="H127" s="680"/>
      <c r="I127" s="755"/>
      <c r="J127" s="682">
        <f t="shared" si="16"/>
        <v>-55000</v>
      </c>
      <c r="K127" s="683"/>
      <c r="L127" s="684"/>
      <c r="M127" s="753">
        <v>110000</v>
      </c>
      <c r="N127" s="683">
        <v>0</v>
      </c>
      <c r="O127" s="686"/>
      <c r="P127" s="683">
        <v>0</v>
      </c>
      <c r="Q127" s="687">
        <f t="shared" si="1"/>
        <v>110000</v>
      </c>
      <c r="R127" s="687"/>
      <c r="S127" s="687"/>
      <c r="T127" s="688">
        <v>62159.77</v>
      </c>
      <c r="U127" s="689"/>
      <c r="V127" s="690">
        <f t="shared" si="15"/>
        <v>-47840.23</v>
      </c>
      <c r="W127" s="683"/>
      <c r="X127" s="474">
        <f t="shared" si="20"/>
        <v>110000</v>
      </c>
      <c r="Y127" s="474">
        <f t="shared" si="21"/>
        <v>0</v>
      </c>
      <c r="Z127" s="475">
        <f t="shared" si="22"/>
        <v>0</v>
      </c>
      <c r="AA127" s="475">
        <v>0</v>
      </c>
      <c r="AB127" s="476">
        <v>0</v>
      </c>
      <c r="AC127" s="38">
        <f t="shared" si="23"/>
        <v>0</v>
      </c>
      <c r="AD127" s="692">
        <f t="shared" si="17"/>
        <v>-55000</v>
      </c>
      <c r="AE127" s="692">
        <f t="shared" si="18"/>
        <v>0</v>
      </c>
      <c r="AF127" s="692">
        <f t="shared" si="19"/>
        <v>0</v>
      </c>
      <c r="AG127" s="38"/>
      <c r="AH127" s="692">
        <f t="shared" si="24"/>
        <v>110000</v>
      </c>
      <c r="AI127" s="692">
        <f t="shared" si="25"/>
        <v>0</v>
      </c>
      <c r="AJ127" s="692">
        <f t="shared" si="26"/>
        <v>0</v>
      </c>
      <c r="AL127" s="38">
        <f t="shared" si="27"/>
        <v>55000</v>
      </c>
      <c r="AM127" s="68" t="s">
        <v>282</v>
      </c>
    </row>
    <row r="128" spans="1:39">
      <c r="A128" s="21"/>
      <c r="B128" s="21" t="s">
        <v>109</v>
      </c>
      <c r="C128" s="666" t="s">
        <v>551</v>
      </c>
      <c r="D128" s="68" t="s">
        <v>499</v>
      </c>
      <c r="E128" s="679"/>
      <c r="F128" s="529">
        <f>VLOOKUP(D128,'Feb14 Revenue'!D:V,19,FALSE)</f>
        <v>0</v>
      </c>
      <c r="G128" s="680"/>
      <c r="H128" s="680"/>
      <c r="I128" s="755"/>
      <c r="J128" s="682">
        <f t="shared" si="16"/>
        <v>0</v>
      </c>
      <c r="K128" s="683"/>
      <c r="L128" s="684"/>
      <c r="M128" s="753"/>
      <c r="N128" s="683">
        <v>0</v>
      </c>
      <c r="O128" s="686"/>
      <c r="P128" s="683">
        <v>0</v>
      </c>
      <c r="Q128" s="687">
        <f t="shared" si="1"/>
        <v>0</v>
      </c>
      <c r="R128" s="687"/>
      <c r="S128" s="687"/>
      <c r="T128" s="688">
        <v>0</v>
      </c>
      <c r="U128" s="689"/>
      <c r="V128" s="690">
        <f t="shared" si="15"/>
        <v>0</v>
      </c>
      <c r="W128" s="683"/>
      <c r="X128" s="474">
        <f t="shared" si="20"/>
        <v>0</v>
      </c>
      <c r="Y128" s="474">
        <f t="shared" si="21"/>
        <v>0</v>
      </c>
      <c r="Z128" s="475">
        <f t="shared" si="22"/>
        <v>0</v>
      </c>
      <c r="AA128" s="475">
        <v>0</v>
      </c>
      <c r="AB128" s="476">
        <v>0</v>
      </c>
      <c r="AC128" s="38">
        <f t="shared" si="23"/>
        <v>0</v>
      </c>
      <c r="AD128" s="692">
        <f t="shared" si="17"/>
        <v>0</v>
      </c>
      <c r="AE128" s="692">
        <f t="shared" si="18"/>
        <v>0</v>
      </c>
      <c r="AF128" s="692">
        <f t="shared" si="19"/>
        <v>0</v>
      </c>
      <c r="AG128" s="38"/>
      <c r="AH128" s="692">
        <f t="shared" si="24"/>
        <v>0</v>
      </c>
      <c r="AI128" s="692">
        <f t="shared" si="25"/>
        <v>0</v>
      </c>
      <c r="AJ128" s="692">
        <f t="shared" si="26"/>
        <v>0</v>
      </c>
      <c r="AL128" s="38">
        <f t="shared" si="27"/>
        <v>0</v>
      </c>
      <c r="AM128" s="68" t="s">
        <v>499</v>
      </c>
    </row>
    <row r="129" spans="1:39">
      <c r="A129" s="21"/>
      <c r="B129" s="21" t="s">
        <v>110</v>
      </c>
      <c r="C129" s="666"/>
      <c r="D129" s="68" t="s">
        <v>1040</v>
      </c>
      <c r="E129" s="679"/>
      <c r="F129" s="529">
        <f>VLOOKUP(D129,'Feb14 Revenue'!D:V,19,FALSE)</f>
        <v>0</v>
      </c>
      <c r="G129" s="680"/>
      <c r="H129" s="680"/>
      <c r="I129" s="755"/>
      <c r="J129" s="682">
        <f t="shared" si="16"/>
        <v>0</v>
      </c>
      <c r="K129" s="683"/>
      <c r="L129" s="684"/>
      <c r="M129" s="753"/>
      <c r="N129" s="683">
        <v>0</v>
      </c>
      <c r="O129" s="686"/>
      <c r="P129" s="683">
        <v>0</v>
      </c>
      <c r="Q129" s="687">
        <f t="shared" si="1"/>
        <v>0</v>
      </c>
      <c r="R129" s="687"/>
      <c r="S129" s="687"/>
      <c r="T129" s="688">
        <v>0</v>
      </c>
      <c r="U129" s="689"/>
      <c r="V129" s="690">
        <f t="shared" si="15"/>
        <v>0</v>
      </c>
      <c r="W129" s="683"/>
      <c r="X129" s="474">
        <f t="shared" si="20"/>
        <v>0</v>
      </c>
      <c r="Y129" s="474">
        <f t="shared" si="21"/>
        <v>0</v>
      </c>
      <c r="Z129" s="475">
        <f t="shared" si="22"/>
        <v>0</v>
      </c>
      <c r="AA129" s="475">
        <v>0</v>
      </c>
      <c r="AB129" s="476">
        <v>0</v>
      </c>
      <c r="AC129" s="38">
        <f t="shared" si="23"/>
        <v>0</v>
      </c>
      <c r="AD129" s="692">
        <f t="shared" si="17"/>
        <v>0</v>
      </c>
      <c r="AE129" s="692">
        <f t="shared" si="18"/>
        <v>0</v>
      </c>
      <c r="AF129" s="692">
        <f t="shared" si="19"/>
        <v>0</v>
      </c>
      <c r="AG129" s="38"/>
      <c r="AH129" s="692">
        <f t="shared" si="24"/>
        <v>0</v>
      </c>
      <c r="AI129" s="692">
        <f t="shared" si="25"/>
        <v>0</v>
      </c>
      <c r="AJ129" s="692">
        <f t="shared" si="26"/>
        <v>0</v>
      </c>
      <c r="AL129" s="38">
        <f t="shared" si="27"/>
        <v>0</v>
      </c>
      <c r="AM129" s="68" t="s">
        <v>1019</v>
      </c>
    </row>
    <row r="130" spans="1:39">
      <c r="A130" s="21"/>
      <c r="B130" s="21" t="s">
        <v>110</v>
      </c>
      <c r="C130" s="666"/>
      <c r="D130" s="68" t="s">
        <v>28</v>
      </c>
      <c r="E130" s="679"/>
      <c r="F130" s="529">
        <f>VLOOKUP(D130,'Feb14 Revenue'!D:V,19,FALSE)</f>
        <v>14881.3</v>
      </c>
      <c r="G130" s="680"/>
      <c r="H130" s="680"/>
      <c r="I130" s="770">
        <v>17030.3</v>
      </c>
      <c r="J130" s="682">
        <f t="shared" si="16"/>
        <v>31911.599999999999</v>
      </c>
      <c r="K130" s="683"/>
      <c r="L130" s="684"/>
      <c r="M130" s="753"/>
      <c r="N130" s="683">
        <v>0</v>
      </c>
      <c r="O130" s="686"/>
      <c r="P130" s="683">
        <v>0</v>
      </c>
      <c r="Q130" s="687">
        <f t="shared" si="1"/>
        <v>0</v>
      </c>
      <c r="R130" s="687"/>
      <c r="S130" s="687"/>
      <c r="T130" s="688">
        <v>0</v>
      </c>
      <c r="U130" s="689"/>
      <c r="V130" s="690">
        <f t="shared" si="15"/>
        <v>0</v>
      </c>
      <c r="W130" s="683"/>
      <c r="X130" s="474">
        <f t="shared" si="20"/>
        <v>0</v>
      </c>
      <c r="Y130" s="474">
        <f t="shared" si="21"/>
        <v>0</v>
      </c>
      <c r="Z130" s="475">
        <f t="shared" si="22"/>
        <v>0</v>
      </c>
      <c r="AA130" s="475">
        <v>0</v>
      </c>
      <c r="AB130" s="476">
        <v>0</v>
      </c>
      <c r="AC130" s="38">
        <f t="shared" si="23"/>
        <v>0</v>
      </c>
      <c r="AD130" s="692">
        <f t="shared" si="17"/>
        <v>31911.599999999999</v>
      </c>
      <c r="AE130" s="692">
        <f t="shared" si="18"/>
        <v>0</v>
      </c>
      <c r="AF130" s="692">
        <f t="shared" si="19"/>
        <v>0</v>
      </c>
      <c r="AG130" s="38"/>
      <c r="AH130" s="692">
        <f t="shared" si="24"/>
        <v>0</v>
      </c>
      <c r="AI130" s="692">
        <f t="shared" si="25"/>
        <v>0</v>
      </c>
      <c r="AJ130" s="692">
        <f t="shared" si="26"/>
        <v>0</v>
      </c>
      <c r="AL130" s="38">
        <f t="shared" si="27"/>
        <v>31911.599999999999</v>
      </c>
      <c r="AM130" s="68" t="s">
        <v>28</v>
      </c>
    </row>
    <row r="131" spans="1:39">
      <c r="A131" s="21"/>
      <c r="B131" s="21" t="s">
        <v>114</v>
      </c>
      <c r="C131" s="666" t="s">
        <v>552</v>
      </c>
      <c r="D131" s="68" t="s">
        <v>513</v>
      </c>
      <c r="E131" s="679"/>
      <c r="F131" s="529">
        <f>VLOOKUP(D131,'Feb14 Revenue'!D:V,19,FALSE)</f>
        <v>-5000</v>
      </c>
      <c r="G131" s="680"/>
      <c r="H131" s="680"/>
      <c r="I131" s="755"/>
      <c r="J131" s="682">
        <f t="shared" si="16"/>
        <v>-5000</v>
      </c>
      <c r="K131" s="683"/>
      <c r="L131" s="684"/>
      <c r="M131" s="753">
        <v>6000</v>
      </c>
      <c r="N131" s="683">
        <v>0</v>
      </c>
      <c r="O131" s="686"/>
      <c r="P131" s="683">
        <v>0</v>
      </c>
      <c r="Q131" s="687">
        <f>L131+M131</f>
        <v>6000</v>
      </c>
      <c r="R131" s="687"/>
      <c r="S131" s="687"/>
      <c r="T131" s="688">
        <v>0</v>
      </c>
      <c r="U131" s="689"/>
      <c r="V131" s="690">
        <f t="shared" si="15"/>
        <v>-6000</v>
      </c>
      <c r="W131" s="683"/>
      <c r="X131" s="474">
        <f t="shared" si="20"/>
        <v>0</v>
      </c>
      <c r="Y131" s="474">
        <f t="shared" si="21"/>
        <v>0</v>
      </c>
      <c r="Z131" s="475">
        <f t="shared" si="22"/>
        <v>6000</v>
      </c>
      <c r="AA131" s="475">
        <v>0</v>
      </c>
      <c r="AB131" s="476">
        <v>0</v>
      </c>
      <c r="AC131" s="38">
        <f t="shared" si="23"/>
        <v>0</v>
      </c>
      <c r="AD131" s="692">
        <f t="shared" si="17"/>
        <v>0</v>
      </c>
      <c r="AE131" s="692">
        <f t="shared" si="18"/>
        <v>0</v>
      </c>
      <c r="AF131" s="692">
        <f t="shared" si="19"/>
        <v>-5000</v>
      </c>
      <c r="AG131" s="38"/>
      <c r="AH131" s="692">
        <f t="shared" si="24"/>
        <v>0</v>
      </c>
      <c r="AI131" s="692">
        <f t="shared" si="25"/>
        <v>0</v>
      </c>
      <c r="AJ131" s="692">
        <f t="shared" si="26"/>
        <v>6000</v>
      </c>
      <c r="AL131" s="38">
        <f t="shared" si="27"/>
        <v>1000</v>
      </c>
      <c r="AM131" s="68" t="s">
        <v>513</v>
      </c>
    </row>
    <row r="132" spans="1:39">
      <c r="A132" s="21"/>
      <c r="B132" s="21" t="s">
        <v>109</v>
      </c>
      <c r="C132" s="666" t="s">
        <v>553</v>
      </c>
      <c r="D132" s="68" t="s">
        <v>308</v>
      </c>
      <c r="E132" s="679">
        <v>85.01</v>
      </c>
      <c r="F132" s="529">
        <f>VLOOKUP(D132,'Feb14 Revenue'!D:V,19,FALSE)</f>
        <v>787.16</v>
      </c>
      <c r="G132" s="680"/>
      <c r="H132" s="680"/>
      <c r="I132" s="755"/>
      <c r="J132" s="682">
        <f t="shared" si="16"/>
        <v>872.17</v>
      </c>
      <c r="K132" s="683"/>
      <c r="L132" s="684"/>
      <c r="M132" s="753"/>
      <c r="N132" s="683">
        <v>0</v>
      </c>
      <c r="O132" s="686"/>
      <c r="P132" s="683">
        <v>0</v>
      </c>
      <c r="Q132" s="687">
        <f t="shared" si="1"/>
        <v>0</v>
      </c>
      <c r="R132" s="687"/>
      <c r="S132" s="687"/>
      <c r="T132" s="688">
        <v>0</v>
      </c>
      <c r="U132" s="689"/>
      <c r="V132" s="690">
        <f t="shared" si="15"/>
        <v>0</v>
      </c>
      <c r="W132" s="683"/>
      <c r="X132" s="474">
        <f t="shared" si="20"/>
        <v>0</v>
      </c>
      <c r="Y132" s="474">
        <f t="shared" si="21"/>
        <v>0</v>
      </c>
      <c r="Z132" s="475">
        <f t="shared" si="22"/>
        <v>0</v>
      </c>
      <c r="AA132" s="475">
        <v>0</v>
      </c>
      <c r="AB132" s="476">
        <v>0</v>
      </c>
      <c r="AC132" s="38">
        <f t="shared" si="23"/>
        <v>0</v>
      </c>
      <c r="AD132" s="692">
        <f t="shared" si="17"/>
        <v>0</v>
      </c>
      <c r="AE132" s="692">
        <f t="shared" si="18"/>
        <v>872.17</v>
      </c>
      <c r="AF132" s="692">
        <f t="shared" si="19"/>
        <v>0</v>
      </c>
      <c r="AG132" s="38"/>
      <c r="AH132" s="692">
        <f t="shared" si="24"/>
        <v>0</v>
      </c>
      <c r="AI132" s="692">
        <f t="shared" si="25"/>
        <v>0</v>
      </c>
      <c r="AJ132" s="692">
        <f t="shared" si="26"/>
        <v>0</v>
      </c>
      <c r="AL132" s="38">
        <f t="shared" si="27"/>
        <v>872.17</v>
      </c>
      <c r="AM132" s="68" t="s">
        <v>308</v>
      </c>
    </row>
    <row r="133" spans="1:39" s="232" customFormat="1">
      <c r="A133" s="283" t="s">
        <v>211</v>
      </c>
      <c r="B133" s="283" t="s">
        <v>109</v>
      </c>
      <c r="C133" s="667" t="s">
        <v>554</v>
      </c>
      <c r="D133" s="123" t="s">
        <v>389</v>
      </c>
      <c r="E133" s="679"/>
      <c r="F133" s="529">
        <f>VLOOKUP(D133,'Feb14 Revenue'!D:V,19,FALSE)</f>
        <v>0</v>
      </c>
      <c r="G133" s="680"/>
      <c r="H133" s="680"/>
      <c r="I133" s="755"/>
      <c r="J133" s="682">
        <f t="shared" si="16"/>
        <v>0</v>
      </c>
      <c r="K133" s="683"/>
      <c r="L133" s="684"/>
      <c r="M133" s="753"/>
      <c r="N133" s="683">
        <v>0</v>
      </c>
      <c r="O133" s="686"/>
      <c r="P133" s="683">
        <v>0</v>
      </c>
      <c r="Q133" s="687">
        <f t="shared" si="1"/>
        <v>0</v>
      </c>
      <c r="R133" s="687"/>
      <c r="S133" s="687"/>
      <c r="T133" s="688">
        <v>0</v>
      </c>
      <c r="U133" s="689"/>
      <c r="V133" s="690">
        <f t="shared" si="15"/>
        <v>0</v>
      </c>
      <c r="W133" s="683"/>
      <c r="X133" s="474">
        <f t="shared" si="20"/>
        <v>0</v>
      </c>
      <c r="Y133" s="474">
        <f t="shared" si="21"/>
        <v>0</v>
      </c>
      <c r="Z133" s="475">
        <f t="shared" si="22"/>
        <v>0</v>
      </c>
      <c r="AA133" s="475">
        <v>0</v>
      </c>
      <c r="AB133" s="476">
        <v>0</v>
      </c>
      <c r="AC133" s="38">
        <f t="shared" si="23"/>
        <v>0</v>
      </c>
      <c r="AD133" s="692">
        <f t="shared" si="17"/>
        <v>0</v>
      </c>
      <c r="AE133" s="692">
        <f t="shared" si="18"/>
        <v>0</v>
      </c>
      <c r="AF133" s="692">
        <f t="shared" si="19"/>
        <v>0</v>
      </c>
      <c r="AG133" s="38"/>
      <c r="AH133" s="692">
        <f t="shared" si="24"/>
        <v>0</v>
      </c>
      <c r="AI133" s="692">
        <f t="shared" si="25"/>
        <v>0</v>
      </c>
      <c r="AJ133" s="692">
        <f t="shared" si="26"/>
        <v>0</v>
      </c>
      <c r="AL133" s="38">
        <f t="shared" si="27"/>
        <v>0</v>
      </c>
      <c r="AM133" s="123" t="s">
        <v>389</v>
      </c>
    </row>
    <row r="134" spans="1:39" s="232" customFormat="1">
      <c r="A134" s="283"/>
      <c r="B134" s="283" t="s">
        <v>110</v>
      </c>
      <c r="C134" s="667"/>
      <c r="D134" s="123" t="s">
        <v>807</v>
      </c>
      <c r="E134" s="679"/>
      <c r="F134" s="529">
        <f>VLOOKUP(D134,'Feb14 Revenue'!D:V,19,FALSE)</f>
        <v>-2661.26</v>
      </c>
      <c r="G134" s="680"/>
      <c r="H134" s="680"/>
      <c r="I134" s="755"/>
      <c r="J134" s="682">
        <f t="shared" si="16"/>
        <v>-2661.26</v>
      </c>
      <c r="K134" s="683"/>
      <c r="L134" s="684"/>
      <c r="M134" s="753">
        <v>5000</v>
      </c>
      <c r="N134" s="683">
        <v>0</v>
      </c>
      <c r="O134" s="686"/>
      <c r="P134" s="683">
        <v>0</v>
      </c>
      <c r="Q134" s="687">
        <f t="shared" si="1"/>
        <v>5000</v>
      </c>
      <c r="R134" s="687"/>
      <c r="S134" s="687"/>
      <c r="T134" s="688">
        <v>2211.4</v>
      </c>
      <c r="U134" s="689"/>
      <c r="V134" s="690">
        <f t="shared" si="15"/>
        <v>-2788.6</v>
      </c>
      <c r="W134" s="683"/>
      <c r="X134" s="474">
        <f t="shared" si="20"/>
        <v>5000</v>
      </c>
      <c r="Y134" s="474">
        <f t="shared" si="21"/>
        <v>0</v>
      </c>
      <c r="Z134" s="475">
        <f t="shared" si="22"/>
        <v>0</v>
      </c>
      <c r="AA134" s="475">
        <v>0</v>
      </c>
      <c r="AB134" s="476">
        <v>0</v>
      </c>
      <c r="AC134" s="38">
        <f t="shared" si="23"/>
        <v>0</v>
      </c>
      <c r="AD134" s="692">
        <f t="shared" si="17"/>
        <v>-2661.26</v>
      </c>
      <c r="AE134" s="692">
        <f t="shared" si="18"/>
        <v>0</v>
      </c>
      <c r="AF134" s="692">
        <f t="shared" si="19"/>
        <v>0</v>
      </c>
      <c r="AG134" s="38"/>
      <c r="AH134" s="692">
        <f t="shared" si="24"/>
        <v>5000</v>
      </c>
      <c r="AI134" s="692">
        <f t="shared" si="25"/>
        <v>0</v>
      </c>
      <c r="AJ134" s="692">
        <f t="shared" si="26"/>
        <v>0</v>
      </c>
      <c r="AL134" s="38">
        <f t="shared" si="27"/>
        <v>2338.7399999999998</v>
      </c>
      <c r="AM134" s="123" t="s">
        <v>807</v>
      </c>
    </row>
    <row r="135" spans="1:39" s="232" customFormat="1">
      <c r="A135" s="283"/>
      <c r="B135" s="283" t="s">
        <v>109</v>
      </c>
      <c r="C135" s="667"/>
      <c r="D135" s="123" t="s">
        <v>808</v>
      </c>
      <c r="E135" s="679"/>
      <c r="F135" s="529">
        <f>VLOOKUP(D135,'Feb14 Revenue'!D:V,19,FALSE)</f>
        <v>-631.66000000000349</v>
      </c>
      <c r="G135" s="680"/>
      <c r="H135" s="680"/>
      <c r="I135" s="755"/>
      <c r="J135" s="682">
        <f t="shared" si="16"/>
        <v>-631.66000000000349</v>
      </c>
      <c r="K135" s="683"/>
      <c r="L135" s="684"/>
      <c r="M135" s="753">
        <v>40000</v>
      </c>
      <c r="N135" s="683">
        <v>0</v>
      </c>
      <c r="O135" s="686"/>
      <c r="P135" s="683">
        <v>0</v>
      </c>
      <c r="Q135" s="687">
        <f t="shared" si="1"/>
        <v>40000</v>
      </c>
      <c r="R135" s="687"/>
      <c r="S135" s="687"/>
      <c r="T135" s="749">
        <f>27093.71+493.03+10286.28</f>
        <v>37873.019999999997</v>
      </c>
      <c r="U135" s="689"/>
      <c r="V135" s="690">
        <f t="shared" si="15"/>
        <v>-2126.9800000000032</v>
      </c>
      <c r="W135" s="683"/>
      <c r="X135" s="474">
        <f t="shared" si="20"/>
        <v>0</v>
      </c>
      <c r="Y135" s="474">
        <f t="shared" si="21"/>
        <v>40000</v>
      </c>
      <c r="Z135" s="475">
        <f t="shared" si="22"/>
        <v>0</v>
      </c>
      <c r="AA135" s="475">
        <v>0</v>
      </c>
      <c r="AB135" s="476">
        <v>0</v>
      </c>
      <c r="AC135" s="38">
        <f t="shared" si="23"/>
        <v>0</v>
      </c>
      <c r="AD135" s="692">
        <f t="shared" si="17"/>
        <v>0</v>
      </c>
      <c r="AE135" s="692">
        <f t="shared" si="18"/>
        <v>-631.66000000000349</v>
      </c>
      <c r="AF135" s="692">
        <f t="shared" si="19"/>
        <v>0</v>
      </c>
      <c r="AG135" s="38"/>
      <c r="AH135" s="692">
        <f t="shared" si="24"/>
        <v>0</v>
      </c>
      <c r="AI135" s="692">
        <f t="shared" si="25"/>
        <v>40000</v>
      </c>
      <c r="AJ135" s="692">
        <f t="shared" si="26"/>
        <v>0</v>
      </c>
      <c r="AL135" s="38">
        <f t="shared" si="27"/>
        <v>39368.339999999997</v>
      </c>
      <c r="AM135" s="123" t="s">
        <v>808</v>
      </c>
    </row>
    <row r="136" spans="1:39" s="232" customFormat="1">
      <c r="A136" s="403"/>
      <c r="B136" s="403" t="s">
        <v>110</v>
      </c>
      <c r="C136" s="666" t="s">
        <v>563</v>
      </c>
      <c r="D136" s="123" t="s">
        <v>867</v>
      </c>
      <c r="E136" s="679"/>
      <c r="F136" s="529">
        <f>VLOOKUP(D136,'Feb14 Revenue'!D:V,19,FALSE)</f>
        <v>0</v>
      </c>
      <c r="G136" s="680"/>
      <c r="H136" s="680"/>
      <c r="I136" s="755"/>
      <c r="J136" s="682">
        <f t="shared" si="16"/>
        <v>0</v>
      </c>
      <c r="K136" s="683"/>
      <c r="L136" s="684"/>
      <c r="M136" s="753"/>
      <c r="N136" s="683">
        <v>0</v>
      </c>
      <c r="O136" s="686"/>
      <c r="P136" s="683">
        <v>0</v>
      </c>
      <c r="Q136" s="687">
        <f t="shared" si="1"/>
        <v>0</v>
      </c>
      <c r="R136" s="687"/>
      <c r="S136" s="687"/>
      <c r="T136" s="688">
        <v>0</v>
      </c>
      <c r="U136" s="689"/>
      <c r="V136" s="690">
        <f t="shared" si="15"/>
        <v>0</v>
      </c>
      <c r="W136" s="683"/>
      <c r="X136" s="474">
        <f t="shared" si="20"/>
        <v>0</v>
      </c>
      <c r="Y136" s="474">
        <f t="shared" si="21"/>
        <v>0</v>
      </c>
      <c r="Z136" s="475">
        <f t="shared" si="22"/>
        <v>0</v>
      </c>
      <c r="AA136" s="475">
        <v>0</v>
      </c>
      <c r="AB136" s="476">
        <v>0</v>
      </c>
      <c r="AC136" s="38">
        <f t="shared" si="23"/>
        <v>0</v>
      </c>
      <c r="AD136" s="692">
        <f t="shared" si="17"/>
        <v>0</v>
      </c>
      <c r="AE136" s="692">
        <f t="shared" si="18"/>
        <v>0</v>
      </c>
      <c r="AF136" s="692">
        <f t="shared" si="19"/>
        <v>0</v>
      </c>
      <c r="AG136" s="38"/>
      <c r="AH136" s="692">
        <f t="shared" si="24"/>
        <v>0</v>
      </c>
      <c r="AI136" s="692">
        <f t="shared" si="25"/>
        <v>0</v>
      </c>
      <c r="AJ136" s="692">
        <f t="shared" si="26"/>
        <v>0</v>
      </c>
      <c r="AL136" s="38">
        <f t="shared" si="27"/>
        <v>0</v>
      </c>
      <c r="AM136" s="123" t="s">
        <v>867</v>
      </c>
    </row>
    <row r="137" spans="1:39" s="232" customFormat="1">
      <c r="A137" s="283"/>
      <c r="B137" s="283" t="s">
        <v>110</v>
      </c>
      <c r="C137" s="667"/>
      <c r="D137" s="68" t="s">
        <v>488</v>
      </c>
      <c r="E137" s="679"/>
      <c r="F137" s="529">
        <f>VLOOKUP(D137,'Feb14 Revenue'!D:V,19,FALSE)</f>
        <v>0</v>
      </c>
      <c r="G137" s="680"/>
      <c r="H137" s="680"/>
      <c r="I137" s="755"/>
      <c r="J137" s="682">
        <f t="shared" si="16"/>
        <v>0</v>
      </c>
      <c r="K137" s="683"/>
      <c r="L137" s="684"/>
      <c r="M137" s="753"/>
      <c r="N137" s="683">
        <v>0</v>
      </c>
      <c r="O137" s="686"/>
      <c r="P137" s="683">
        <v>0</v>
      </c>
      <c r="Q137" s="687">
        <f t="shared" si="1"/>
        <v>0</v>
      </c>
      <c r="R137" s="687"/>
      <c r="S137" s="687"/>
      <c r="T137" s="688">
        <v>0</v>
      </c>
      <c r="U137" s="689"/>
      <c r="V137" s="690">
        <f t="shared" si="15"/>
        <v>0</v>
      </c>
      <c r="W137" s="683"/>
      <c r="X137" s="474">
        <f t="shared" si="20"/>
        <v>0</v>
      </c>
      <c r="Y137" s="474">
        <f t="shared" si="21"/>
        <v>0</v>
      </c>
      <c r="Z137" s="475">
        <f t="shared" si="22"/>
        <v>0</v>
      </c>
      <c r="AA137" s="475">
        <v>0</v>
      </c>
      <c r="AB137" s="476">
        <v>0</v>
      </c>
      <c r="AC137" s="38">
        <f t="shared" si="23"/>
        <v>0</v>
      </c>
      <c r="AD137" s="692">
        <f t="shared" si="17"/>
        <v>0</v>
      </c>
      <c r="AE137" s="692">
        <f t="shared" si="18"/>
        <v>0</v>
      </c>
      <c r="AF137" s="692">
        <f t="shared" si="19"/>
        <v>0</v>
      </c>
      <c r="AG137" s="38"/>
      <c r="AH137" s="692">
        <f t="shared" si="24"/>
        <v>0</v>
      </c>
      <c r="AI137" s="692">
        <f t="shared" si="25"/>
        <v>0</v>
      </c>
      <c r="AJ137" s="692">
        <f t="shared" si="26"/>
        <v>0</v>
      </c>
      <c r="AL137" s="38">
        <f t="shared" si="27"/>
        <v>0</v>
      </c>
      <c r="AM137" s="68" t="s">
        <v>488</v>
      </c>
    </row>
    <row r="138" spans="1:39" s="232" customFormat="1">
      <c r="A138" s="283"/>
      <c r="B138" s="283" t="s">
        <v>110</v>
      </c>
      <c r="C138" s="667" t="s">
        <v>555</v>
      </c>
      <c r="D138" s="123" t="s">
        <v>192</v>
      </c>
      <c r="E138" s="679"/>
      <c r="F138" s="529">
        <f>VLOOKUP(D138,'Feb14 Revenue'!D:V,19,FALSE)</f>
        <v>0</v>
      </c>
      <c r="G138" s="680"/>
      <c r="H138" s="680"/>
      <c r="I138" s="755"/>
      <c r="J138" s="682">
        <f t="shared" si="16"/>
        <v>0</v>
      </c>
      <c r="K138" s="683"/>
      <c r="L138" s="684"/>
      <c r="M138" s="753"/>
      <c r="N138" s="683">
        <v>0</v>
      </c>
      <c r="O138" s="686"/>
      <c r="P138" s="683">
        <v>0</v>
      </c>
      <c r="Q138" s="687">
        <f t="shared" si="1"/>
        <v>0</v>
      </c>
      <c r="R138" s="687"/>
      <c r="S138" s="687"/>
      <c r="T138" s="688">
        <v>0</v>
      </c>
      <c r="U138" s="689"/>
      <c r="V138" s="690">
        <f t="shared" si="15"/>
        <v>0</v>
      </c>
      <c r="W138" s="683"/>
      <c r="X138" s="474">
        <f t="shared" si="20"/>
        <v>0</v>
      </c>
      <c r="Y138" s="474">
        <f t="shared" si="21"/>
        <v>0</v>
      </c>
      <c r="Z138" s="475">
        <f t="shared" si="22"/>
        <v>0</v>
      </c>
      <c r="AA138" s="475">
        <v>0</v>
      </c>
      <c r="AB138" s="476">
        <v>0</v>
      </c>
      <c r="AC138" s="38">
        <f t="shared" si="23"/>
        <v>0</v>
      </c>
      <c r="AD138" s="692">
        <f t="shared" si="17"/>
        <v>0</v>
      </c>
      <c r="AE138" s="692">
        <f t="shared" si="18"/>
        <v>0</v>
      </c>
      <c r="AF138" s="692">
        <f t="shared" si="19"/>
        <v>0</v>
      </c>
      <c r="AG138" s="38"/>
      <c r="AH138" s="692">
        <f t="shared" si="24"/>
        <v>0</v>
      </c>
      <c r="AI138" s="692">
        <f t="shared" si="25"/>
        <v>0</v>
      </c>
      <c r="AJ138" s="692">
        <f t="shared" si="26"/>
        <v>0</v>
      </c>
      <c r="AL138" s="38">
        <f t="shared" si="27"/>
        <v>0</v>
      </c>
      <c r="AM138" s="123" t="s">
        <v>192</v>
      </c>
    </row>
    <row r="139" spans="1:39" s="232" customFormat="1" hidden="1">
      <c r="A139" s="283"/>
      <c r="B139" s="283" t="s">
        <v>110</v>
      </c>
      <c r="C139" s="667" t="s">
        <v>555</v>
      </c>
      <c r="D139" s="123" t="s">
        <v>193</v>
      </c>
      <c r="E139" s="679"/>
      <c r="F139" s="529">
        <f>VLOOKUP(D139,'Feb14 Revenue'!D:V,19,FALSE)</f>
        <v>0</v>
      </c>
      <c r="G139" s="680"/>
      <c r="H139" s="680"/>
      <c r="I139" s="755"/>
      <c r="J139" s="682">
        <f t="shared" si="16"/>
        <v>0</v>
      </c>
      <c r="K139" s="683"/>
      <c r="L139" s="684"/>
      <c r="M139" s="753"/>
      <c r="N139" s="683">
        <v>0</v>
      </c>
      <c r="O139" s="686"/>
      <c r="P139" s="683">
        <v>0</v>
      </c>
      <c r="Q139" s="687">
        <f t="shared" si="1"/>
        <v>0</v>
      </c>
      <c r="R139" s="687"/>
      <c r="S139" s="687"/>
      <c r="T139" s="688">
        <v>0</v>
      </c>
      <c r="U139" s="689"/>
      <c r="V139" s="690">
        <f t="shared" si="15"/>
        <v>0</v>
      </c>
      <c r="W139" s="683"/>
      <c r="X139" s="474">
        <f t="shared" si="20"/>
        <v>0</v>
      </c>
      <c r="Y139" s="474">
        <f t="shared" si="21"/>
        <v>0</v>
      </c>
      <c r="Z139" s="475">
        <f t="shared" si="22"/>
        <v>0</v>
      </c>
      <c r="AA139" s="475">
        <v>0</v>
      </c>
      <c r="AB139" s="476">
        <v>0</v>
      </c>
      <c r="AC139" s="38">
        <f t="shared" si="23"/>
        <v>0</v>
      </c>
      <c r="AD139" s="692">
        <f t="shared" si="17"/>
        <v>0</v>
      </c>
      <c r="AE139" s="692">
        <f t="shared" si="18"/>
        <v>0</v>
      </c>
      <c r="AF139" s="692">
        <f t="shared" si="19"/>
        <v>0</v>
      </c>
      <c r="AG139" s="38"/>
      <c r="AH139" s="692">
        <f t="shared" si="24"/>
        <v>0</v>
      </c>
      <c r="AI139" s="692">
        <f t="shared" si="25"/>
        <v>0</v>
      </c>
      <c r="AJ139" s="692">
        <f t="shared" si="26"/>
        <v>0</v>
      </c>
      <c r="AL139" s="38">
        <f t="shared" si="27"/>
        <v>0</v>
      </c>
      <c r="AM139" s="123" t="s">
        <v>193</v>
      </c>
    </row>
    <row r="140" spans="1:39" s="232" customFormat="1" hidden="1">
      <c r="A140" s="283"/>
      <c r="B140" s="283" t="s">
        <v>110</v>
      </c>
      <c r="C140" s="667" t="s">
        <v>555</v>
      </c>
      <c r="D140" s="123" t="s">
        <v>194</v>
      </c>
      <c r="E140" s="679"/>
      <c r="F140" s="529">
        <f>VLOOKUP(D140,'Feb14 Revenue'!D:V,19,FALSE)</f>
        <v>0</v>
      </c>
      <c r="G140" s="680"/>
      <c r="H140" s="680"/>
      <c r="I140" s="755"/>
      <c r="J140" s="682">
        <f t="shared" si="16"/>
        <v>0</v>
      </c>
      <c r="K140" s="683"/>
      <c r="L140" s="684"/>
      <c r="M140" s="753"/>
      <c r="N140" s="683">
        <v>0</v>
      </c>
      <c r="O140" s="686"/>
      <c r="P140" s="683">
        <v>0</v>
      </c>
      <c r="Q140" s="687">
        <f t="shared" si="1"/>
        <v>0</v>
      </c>
      <c r="R140" s="687"/>
      <c r="S140" s="687"/>
      <c r="T140" s="688">
        <v>0</v>
      </c>
      <c r="U140" s="689"/>
      <c r="V140" s="690">
        <f t="shared" si="15"/>
        <v>0</v>
      </c>
      <c r="W140" s="683"/>
      <c r="X140" s="474">
        <f t="shared" si="20"/>
        <v>0</v>
      </c>
      <c r="Y140" s="474">
        <f t="shared" si="21"/>
        <v>0</v>
      </c>
      <c r="Z140" s="475">
        <f t="shared" si="22"/>
        <v>0</v>
      </c>
      <c r="AA140" s="475">
        <v>0</v>
      </c>
      <c r="AB140" s="476">
        <v>0</v>
      </c>
      <c r="AC140" s="38">
        <f t="shared" si="23"/>
        <v>0</v>
      </c>
      <c r="AD140" s="692">
        <f t="shared" si="17"/>
        <v>0</v>
      </c>
      <c r="AE140" s="692">
        <f t="shared" si="18"/>
        <v>0</v>
      </c>
      <c r="AF140" s="692">
        <f t="shared" si="19"/>
        <v>0</v>
      </c>
      <c r="AG140" s="38"/>
      <c r="AH140" s="692">
        <f t="shared" si="24"/>
        <v>0</v>
      </c>
      <c r="AI140" s="692">
        <f t="shared" si="25"/>
        <v>0</v>
      </c>
      <c r="AJ140" s="692">
        <f t="shared" si="26"/>
        <v>0</v>
      </c>
      <c r="AL140" s="38">
        <f t="shared" si="27"/>
        <v>0</v>
      </c>
      <c r="AM140" s="123" t="s">
        <v>194</v>
      </c>
    </row>
    <row r="141" spans="1:39" s="232" customFormat="1" hidden="1">
      <c r="A141" s="283"/>
      <c r="B141" s="283" t="s">
        <v>110</v>
      </c>
      <c r="C141" s="667" t="s">
        <v>555</v>
      </c>
      <c r="D141" s="123" t="s">
        <v>195</v>
      </c>
      <c r="E141" s="679"/>
      <c r="F141" s="529">
        <f>VLOOKUP(D141,'Feb14 Revenue'!D:V,19,FALSE)</f>
        <v>0</v>
      </c>
      <c r="G141" s="680"/>
      <c r="H141" s="680"/>
      <c r="I141" s="755"/>
      <c r="J141" s="682">
        <f t="shared" si="16"/>
        <v>0</v>
      </c>
      <c r="K141" s="683"/>
      <c r="L141" s="684"/>
      <c r="M141" s="753"/>
      <c r="N141" s="683">
        <v>0</v>
      </c>
      <c r="O141" s="686"/>
      <c r="P141" s="683">
        <v>0</v>
      </c>
      <c r="Q141" s="687">
        <f t="shared" si="1"/>
        <v>0</v>
      </c>
      <c r="R141" s="687"/>
      <c r="S141" s="687"/>
      <c r="T141" s="688">
        <v>0</v>
      </c>
      <c r="U141" s="689"/>
      <c r="V141" s="690">
        <f t="shared" si="15"/>
        <v>0</v>
      </c>
      <c r="W141" s="683"/>
      <c r="X141" s="474">
        <f t="shared" si="20"/>
        <v>0</v>
      </c>
      <c r="Y141" s="474">
        <f t="shared" si="21"/>
        <v>0</v>
      </c>
      <c r="Z141" s="475">
        <f t="shared" si="22"/>
        <v>0</v>
      </c>
      <c r="AA141" s="475">
        <v>0</v>
      </c>
      <c r="AB141" s="476">
        <v>0</v>
      </c>
      <c r="AC141" s="38">
        <f t="shared" si="23"/>
        <v>0</v>
      </c>
      <c r="AD141" s="692">
        <f t="shared" si="17"/>
        <v>0</v>
      </c>
      <c r="AE141" s="692">
        <f t="shared" si="18"/>
        <v>0</v>
      </c>
      <c r="AF141" s="692">
        <f t="shared" si="19"/>
        <v>0</v>
      </c>
      <c r="AG141" s="38"/>
      <c r="AH141" s="692">
        <f t="shared" si="24"/>
        <v>0</v>
      </c>
      <c r="AI141" s="692">
        <f t="shared" si="25"/>
        <v>0</v>
      </c>
      <c r="AJ141" s="692">
        <f t="shared" si="26"/>
        <v>0</v>
      </c>
      <c r="AL141" s="38">
        <f t="shared" si="27"/>
        <v>0</v>
      </c>
      <c r="AM141" s="123" t="s">
        <v>195</v>
      </c>
    </row>
    <row r="142" spans="1:39" s="232" customFormat="1" hidden="1">
      <c r="A142" s="283"/>
      <c r="B142" s="283" t="s">
        <v>110</v>
      </c>
      <c r="C142" s="667" t="s">
        <v>555</v>
      </c>
      <c r="D142" s="123" t="s">
        <v>196</v>
      </c>
      <c r="E142" s="679"/>
      <c r="F142" s="529">
        <f>VLOOKUP(D142,'Feb14 Revenue'!D:V,19,FALSE)</f>
        <v>0</v>
      </c>
      <c r="G142" s="680"/>
      <c r="H142" s="680"/>
      <c r="I142" s="755"/>
      <c r="J142" s="682">
        <f t="shared" si="16"/>
        <v>0</v>
      </c>
      <c r="K142" s="683"/>
      <c r="L142" s="684"/>
      <c r="M142" s="753"/>
      <c r="N142" s="683">
        <v>0</v>
      </c>
      <c r="O142" s="686"/>
      <c r="P142" s="683">
        <v>0</v>
      </c>
      <c r="Q142" s="687">
        <f t="shared" si="1"/>
        <v>0</v>
      </c>
      <c r="R142" s="687"/>
      <c r="S142" s="687"/>
      <c r="T142" s="688">
        <v>0</v>
      </c>
      <c r="U142" s="689"/>
      <c r="V142" s="690">
        <f t="shared" si="15"/>
        <v>0</v>
      </c>
      <c r="W142" s="683"/>
      <c r="X142" s="474">
        <f t="shared" si="20"/>
        <v>0</v>
      </c>
      <c r="Y142" s="474">
        <f t="shared" si="21"/>
        <v>0</v>
      </c>
      <c r="Z142" s="475">
        <f t="shared" si="22"/>
        <v>0</v>
      </c>
      <c r="AA142" s="475">
        <v>0</v>
      </c>
      <c r="AB142" s="476">
        <v>0</v>
      </c>
      <c r="AC142" s="38">
        <f t="shared" si="23"/>
        <v>0</v>
      </c>
      <c r="AD142" s="692">
        <f t="shared" si="17"/>
        <v>0</v>
      </c>
      <c r="AE142" s="692">
        <f t="shared" si="18"/>
        <v>0</v>
      </c>
      <c r="AF142" s="692">
        <f t="shared" si="19"/>
        <v>0</v>
      </c>
      <c r="AG142" s="38"/>
      <c r="AH142" s="692">
        <f t="shared" si="24"/>
        <v>0</v>
      </c>
      <c r="AI142" s="692">
        <f t="shared" si="25"/>
        <v>0</v>
      </c>
      <c r="AJ142" s="692">
        <f t="shared" si="26"/>
        <v>0</v>
      </c>
      <c r="AL142" s="38">
        <f t="shared" si="27"/>
        <v>0</v>
      </c>
      <c r="AM142" s="123" t="s">
        <v>196</v>
      </c>
    </row>
    <row r="143" spans="1:39" s="232" customFormat="1" hidden="1">
      <c r="A143" s="283"/>
      <c r="B143" s="283" t="s">
        <v>110</v>
      </c>
      <c r="C143" s="667" t="s">
        <v>555</v>
      </c>
      <c r="D143" s="123" t="s">
        <v>197</v>
      </c>
      <c r="E143" s="679"/>
      <c r="F143" s="529">
        <f>VLOOKUP(D143,'Feb14 Revenue'!D:V,19,FALSE)</f>
        <v>0</v>
      </c>
      <c r="G143" s="680"/>
      <c r="H143" s="680"/>
      <c r="I143" s="755"/>
      <c r="J143" s="682">
        <f t="shared" si="16"/>
        <v>0</v>
      </c>
      <c r="K143" s="683"/>
      <c r="L143" s="684"/>
      <c r="M143" s="753"/>
      <c r="N143" s="683">
        <v>0</v>
      </c>
      <c r="O143" s="686"/>
      <c r="P143" s="683">
        <v>0</v>
      </c>
      <c r="Q143" s="687">
        <f t="shared" si="1"/>
        <v>0</v>
      </c>
      <c r="R143" s="687"/>
      <c r="S143" s="687"/>
      <c r="T143" s="688">
        <v>0</v>
      </c>
      <c r="U143" s="689"/>
      <c r="V143" s="690">
        <f t="shared" si="15"/>
        <v>0</v>
      </c>
      <c r="W143" s="683"/>
      <c r="X143" s="474">
        <f t="shared" si="20"/>
        <v>0</v>
      </c>
      <c r="Y143" s="474">
        <f t="shared" si="21"/>
        <v>0</v>
      </c>
      <c r="Z143" s="475">
        <f t="shared" si="22"/>
        <v>0</v>
      </c>
      <c r="AA143" s="475">
        <v>0</v>
      </c>
      <c r="AB143" s="476">
        <v>0</v>
      </c>
      <c r="AC143" s="38">
        <f t="shared" si="23"/>
        <v>0</v>
      </c>
      <c r="AD143" s="692">
        <f t="shared" si="17"/>
        <v>0</v>
      </c>
      <c r="AE143" s="692">
        <f t="shared" si="18"/>
        <v>0</v>
      </c>
      <c r="AF143" s="692">
        <f t="shared" si="19"/>
        <v>0</v>
      </c>
      <c r="AG143" s="38"/>
      <c r="AH143" s="692">
        <f t="shared" si="24"/>
        <v>0</v>
      </c>
      <c r="AI143" s="692">
        <f t="shared" si="25"/>
        <v>0</v>
      </c>
      <c r="AJ143" s="692">
        <f t="shared" si="26"/>
        <v>0</v>
      </c>
      <c r="AL143" s="38">
        <f t="shared" si="27"/>
        <v>0</v>
      </c>
      <c r="AM143" s="123" t="s">
        <v>197</v>
      </c>
    </row>
    <row r="144" spans="1:39" s="232" customFormat="1" hidden="1">
      <c r="A144" s="283"/>
      <c r="B144" s="283" t="s">
        <v>110</v>
      </c>
      <c r="C144" s="667" t="s">
        <v>555</v>
      </c>
      <c r="D144" s="123" t="s">
        <v>440</v>
      </c>
      <c r="E144" s="679"/>
      <c r="F144" s="529">
        <f>VLOOKUP(D144,'Feb14 Revenue'!D:V,19,FALSE)</f>
        <v>0</v>
      </c>
      <c r="G144" s="680"/>
      <c r="H144" s="680"/>
      <c r="I144" s="755"/>
      <c r="J144" s="682">
        <f t="shared" si="16"/>
        <v>0</v>
      </c>
      <c r="K144" s="683"/>
      <c r="L144" s="684"/>
      <c r="M144" s="753"/>
      <c r="N144" s="683">
        <v>0</v>
      </c>
      <c r="O144" s="686"/>
      <c r="P144" s="683">
        <v>0</v>
      </c>
      <c r="Q144" s="687">
        <f t="shared" si="1"/>
        <v>0</v>
      </c>
      <c r="R144" s="687"/>
      <c r="S144" s="687"/>
      <c r="T144" s="688">
        <v>0</v>
      </c>
      <c r="U144" s="689"/>
      <c r="V144" s="690">
        <f t="shared" si="15"/>
        <v>0</v>
      </c>
      <c r="W144" s="683"/>
      <c r="X144" s="474">
        <f t="shared" si="20"/>
        <v>0</v>
      </c>
      <c r="Y144" s="474">
        <f t="shared" si="21"/>
        <v>0</v>
      </c>
      <c r="Z144" s="475">
        <f t="shared" si="22"/>
        <v>0</v>
      </c>
      <c r="AA144" s="475">
        <v>0</v>
      </c>
      <c r="AB144" s="476">
        <v>0</v>
      </c>
      <c r="AC144" s="38">
        <f t="shared" si="23"/>
        <v>0</v>
      </c>
      <c r="AD144" s="692">
        <f t="shared" si="17"/>
        <v>0</v>
      </c>
      <c r="AE144" s="692">
        <f t="shared" si="18"/>
        <v>0</v>
      </c>
      <c r="AF144" s="692">
        <f t="shared" si="19"/>
        <v>0</v>
      </c>
      <c r="AG144" s="38"/>
      <c r="AH144" s="692">
        <f t="shared" si="24"/>
        <v>0</v>
      </c>
      <c r="AI144" s="692">
        <f t="shared" si="25"/>
        <v>0</v>
      </c>
      <c r="AJ144" s="692">
        <f t="shared" si="26"/>
        <v>0</v>
      </c>
      <c r="AL144" s="38">
        <f t="shared" si="27"/>
        <v>0</v>
      </c>
      <c r="AM144" s="123" t="s">
        <v>440</v>
      </c>
    </row>
    <row r="145" spans="1:39" s="232" customFormat="1">
      <c r="A145" s="283"/>
      <c r="B145" s="283" t="s">
        <v>110</v>
      </c>
      <c r="C145" s="667" t="s">
        <v>555</v>
      </c>
      <c r="D145" s="123" t="s">
        <v>481</v>
      </c>
      <c r="E145" s="679"/>
      <c r="F145" s="529">
        <f>VLOOKUP(D145,'Feb14 Revenue'!D:V,19,FALSE)</f>
        <v>0</v>
      </c>
      <c r="G145" s="680"/>
      <c r="H145" s="680"/>
      <c r="I145" s="755"/>
      <c r="J145" s="682">
        <f t="shared" si="16"/>
        <v>0</v>
      </c>
      <c r="K145" s="683"/>
      <c r="L145" s="684"/>
      <c r="M145" s="753"/>
      <c r="N145" s="683">
        <v>0</v>
      </c>
      <c r="O145" s="686"/>
      <c r="P145" s="683">
        <v>0</v>
      </c>
      <c r="Q145" s="687">
        <f t="shared" si="1"/>
        <v>0</v>
      </c>
      <c r="R145" s="687"/>
      <c r="S145" s="687"/>
      <c r="T145" s="688">
        <v>0</v>
      </c>
      <c r="U145" s="689"/>
      <c r="V145" s="690">
        <f t="shared" si="15"/>
        <v>0</v>
      </c>
      <c r="W145" s="683"/>
      <c r="X145" s="474">
        <f t="shared" si="20"/>
        <v>0</v>
      </c>
      <c r="Y145" s="474">
        <f t="shared" si="21"/>
        <v>0</v>
      </c>
      <c r="Z145" s="475">
        <f t="shared" si="22"/>
        <v>0</v>
      </c>
      <c r="AA145" s="475">
        <v>0</v>
      </c>
      <c r="AB145" s="476">
        <v>0</v>
      </c>
      <c r="AC145" s="38">
        <f t="shared" si="23"/>
        <v>0</v>
      </c>
      <c r="AD145" s="692">
        <f t="shared" si="17"/>
        <v>0</v>
      </c>
      <c r="AE145" s="692">
        <f t="shared" si="18"/>
        <v>0</v>
      </c>
      <c r="AF145" s="692">
        <f t="shared" si="19"/>
        <v>0</v>
      </c>
      <c r="AG145" s="38"/>
      <c r="AH145" s="692">
        <f t="shared" si="24"/>
        <v>0</v>
      </c>
      <c r="AI145" s="692">
        <f t="shared" si="25"/>
        <v>0</v>
      </c>
      <c r="AJ145" s="692">
        <f t="shared" si="26"/>
        <v>0</v>
      </c>
      <c r="AL145" s="38">
        <f t="shared" si="27"/>
        <v>0</v>
      </c>
      <c r="AM145" s="123" t="s">
        <v>481</v>
      </c>
    </row>
    <row r="146" spans="1:39" s="232" customFormat="1">
      <c r="A146" s="283"/>
      <c r="B146" s="283" t="s">
        <v>109</v>
      </c>
      <c r="C146" s="667" t="s">
        <v>555</v>
      </c>
      <c r="D146" s="123" t="s">
        <v>248</v>
      </c>
      <c r="E146" s="679"/>
      <c r="F146" s="529">
        <f>VLOOKUP(D146,'Feb14 Revenue'!D:V,19,FALSE)</f>
        <v>0</v>
      </c>
      <c r="G146" s="680"/>
      <c r="H146" s="680"/>
      <c r="I146" s="755"/>
      <c r="J146" s="682">
        <f>SUM(E146:I146)</f>
        <v>0</v>
      </c>
      <c r="K146" s="683"/>
      <c r="L146" s="684"/>
      <c r="M146" s="753"/>
      <c r="N146" s="683">
        <v>0</v>
      </c>
      <c r="O146" s="686"/>
      <c r="P146" s="683">
        <v>0</v>
      </c>
      <c r="Q146" s="687">
        <f t="shared" si="1"/>
        <v>0</v>
      </c>
      <c r="R146" s="687"/>
      <c r="S146" s="687"/>
      <c r="T146" s="688">
        <v>0</v>
      </c>
      <c r="U146" s="689"/>
      <c r="V146" s="690">
        <f t="shared" ref="V146:V210" si="42">IF(T146="","",T146-Q146)</f>
        <v>0</v>
      </c>
      <c r="W146" s="683"/>
      <c r="X146" s="474">
        <f t="shared" si="20"/>
        <v>0</v>
      </c>
      <c r="Y146" s="474">
        <f t="shared" si="21"/>
        <v>0</v>
      </c>
      <c r="Z146" s="475">
        <f t="shared" si="22"/>
        <v>0</v>
      </c>
      <c r="AA146" s="475">
        <v>0</v>
      </c>
      <c r="AB146" s="476">
        <v>0</v>
      </c>
      <c r="AC146" s="38">
        <f t="shared" si="23"/>
        <v>0</v>
      </c>
      <c r="AD146" s="692">
        <f t="shared" si="17"/>
        <v>0</v>
      </c>
      <c r="AE146" s="692">
        <f t="shared" si="18"/>
        <v>0</v>
      </c>
      <c r="AF146" s="692">
        <f t="shared" si="19"/>
        <v>0</v>
      </c>
      <c r="AG146" s="38"/>
      <c r="AH146" s="692">
        <f t="shared" si="24"/>
        <v>0</v>
      </c>
      <c r="AI146" s="692">
        <f t="shared" si="25"/>
        <v>0</v>
      </c>
      <c r="AJ146" s="692">
        <f t="shared" si="26"/>
        <v>0</v>
      </c>
      <c r="AL146" s="38">
        <f t="shared" si="27"/>
        <v>0</v>
      </c>
      <c r="AM146" s="123" t="s">
        <v>248</v>
      </c>
    </row>
    <row r="147" spans="1:39" s="232" customFormat="1">
      <c r="A147" s="283"/>
      <c r="B147" s="20" t="s">
        <v>109</v>
      </c>
      <c r="C147" s="667"/>
      <c r="D147" s="68" t="s">
        <v>465</v>
      </c>
      <c r="E147" s="679">
        <f>22098.57+15244.39</f>
        <v>37342.959999999999</v>
      </c>
      <c r="F147" s="529">
        <f>VLOOKUP(D147,'Feb14 Revenue'!D:V,19,FALSE)</f>
        <v>-35000</v>
      </c>
      <c r="G147" s="680"/>
      <c r="H147" s="680"/>
      <c r="I147" s="755"/>
      <c r="J147" s="682">
        <f t="shared" si="16"/>
        <v>2342.9599999999991</v>
      </c>
      <c r="K147" s="683"/>
      <c r="L147" s="684"/>
      <c r="M147" s="753">
        <v>10000</v>
      </c>
      <c r="N147" s="683">
        <v>0</v>
      </c>
      <c r="O147" s="686"/>
      <c r="P147" s="683">
        <v>0</v>
      </c>
      <c r="Q147" s="687">
        <f t="shared" si="1"/>
        <v>10000</v>
      </c>
      <c r="R147" s="687"/>
      <c r="S147" s="687"/>
      <c r="T147" s="688">
        <v>0</v>
      </c>
      <c r="U147" s="689"/>
      <c r="V147" s="690">
        <f t="shared" si="42"/>
        <v>-10000</v>
      </c>
      <c r="W147" s="683"/>
      <c r="X147" s="474">
        <f t="shared" si="20"/>
        <v>0</v>
      </c>
      <c r="Y147" s="474">
        <f t="shared" si="21"/>
        <v>10000</v>
      </c>
      <c r="Z147" s="475">
        <f t="shared" si="22"/>
        <v>0</v>
      </c>
      <c r="AA147" s="475">
        <v>0</v>
      </c>
      <c r="AB147" s="476">
        <v>0</v>
      </c>
      <c r="AC147" s="38">
        <f t="shared" si="23"/>
        <v>0</v>
      </c>
      <c r="AD147" s="692">
        <f t="shared" si="17"/>
        <v>0</v>
      </c>
      <c r="AE147" s="692">
        <f t="shared" si="18"/>
        <v>2342.9599999999991</v>
      </c>
      <c r="AF147" s="692">
        <f t="shared" si="19"/>
        <v>0</v>
      </c>
      <c r="AG147" s="38"/>
      <c r="AH147" s="692">
        <f t="shared" si="24"/>
        <v>0</v>
      </c>
      <c r="AI147" s="692">
        <f t="shared" si="25"/>
        <v>10000</v>
      </c>
      <c r="AJ147" s="692">
        <f t="shared" si="26"/>
        <v>0</v>
      </c>
      <c r="AL147" s="38">
        <f t="shared" si="27"/>
        <v>12342.96</v>
      </c>
      <c r="AM147" s="68" t="s">
        <v>465</v>
      </c>
    </row>
    <row r="148" spans="1:39">
      <c r="A148" s="21"/>
      <c r="B148" s="21" t="s">
        <v>110</v>
      </c>
      <c r="C148" s="666" t="s">
        <v>556</v>
      </c>
      <c r="D148" s="68" t="s">
        <v>261</v>
      </c>
      <c r="E148" s="679"/>
      <c r="F148" s="529">
        <f>VLOOKUP(D148,'Feb14 Revenue'!D:V,19,FALSE)</f>
        <v>11892.429999999993</v>
      </c>
      <c r="G148" s="680"/>
      <c r="H148" s="680"/>
      <c r="I148" s="755"/>
      <c r="J148" s="682">
        <f t="shared" si="16"/>
        <v>11892.429999999993</v>
      </c>
      <c r="K148" s="683"/>
      <c r="L148" s="684"/>
      <c r="M148" s="753">
        <v>330000</v>
      </c>
      <c r="N148" s="683">
        <v>0</v>
      </c>
      <c r="O148" s="686"/>
      <c r="P148" s="683">
        <v>0</v>
      </c>
      <c r="Q148" s="687">
        <f t="shared" si="1"/>
        <v>330000</v>
      </c>
      <c r="R148" s="687"/>
      <c r="S148" s="687"/>
      <c r="T148" s="688">
        <f>333709.75-T149</f>
        <v>317816.34000000003</v>
      </c>
      <c r="U148" s="689"/>
      <c r="V148" s="690">
        <f t="shared" si="42"/>
        <v>-12183.659999999974</v>
      </c>
      <c r="W148" s="683"/>
      <c r="X148" s="474">
        <f t="shared" si="20"/>
        <v>330000</v>
      </c>
      <c r="Y148" s="474">
        <f t="shared" si="21"/>
        <v>0</v>
      </c>
      <c r="Z148" s="475">
        <f t="shared" si="22"/>
        <v>0</v>
      </c>
      <c r="AA148" s="475">
        <v>0</v>
      </c>
      <c r="AB148" s="476">
        <v>0</v>
      </c>
      <c r="AC148" s="38">
        <f t="shared" si="23"/>
        <v>0</v>
      </c>
      <c r="AD148" s="692">
        <f t="shared" si="17"/>
        <v>11892.429999999993</v>
      </c>
      <c r="AE148" s="692">
        <f t="shared" si="18"/>
        <v>0</v>
      </c>
      <c r="AF148" s="692">
        <f t="shared" si="19"/>
        <v>0</v>
      </c>
      <c r="AG148" s="38"/>
      <c r="AH148" s="692">
        <f t="shared" si="24"/>
        <v>330000</v>
      </c>
      <c r="AI148" s="692">
        <f t="shared" si="25"/>
        <v>0</v>
      </c>
      <c r="AJ148" s="692">
        <f t="shared" si="26"/>
        <v>0</v>
      </c>
      <c r="AL148" s="38">
        <f t="shared" si="27"/>
        <v>341892.43</v>
      </c>
      <c r="AM148" s="68" t="s">
        <v>261</v>
      </c>
    </row>
    <row r="149" spans="1:39" s="269" customFormat="1">
      <c r="A149" s="21"/>
      <c r="B149" s="21" t="s">
        <v>110</v>
      </c>
      <c r="C149" s="666" t="s">
        <v>556</v>
      </c>
      <c r="D149" s="68" t="s">
        <v>262</v>
      </c>
      <c r="E149" s="679"/>
      <c r="F149" s="529">
        <f>VLOOKUP(D149,'Feb14 Revenue'!D:V,19,FALSE)</f>
        <v>2096.09</v>
      </c>
      <c r="G149" s="680"/>
      <c r="H149" s="680"/>
      <c r="I149" s="755"/>
      <c r="J149" s="682">
        <f t="shared" si="16"/>
        <v>2096.09</v>
      </c>
      <c r="K149" s="683"/>
      <c r="L149" s="684"/>
      <c r="M149" s="753">
        <v>15000</v>
      </c>
      <c r="N149" s="683">
        <v>0</v>
      </c>
      <c r="O149" s="686"/>
      <c r="P149" s="683">
        <v>0</v>
      </c>
      <c r="Q149" s="687">
        <f t="shared" si="1"/>
        <v>15000</v>
      </c>
      <c r="R149" s="687"/>
      <c r="S149" s="687"/>
      <c r="T149" s="688">
        <v>15893.41</v>
      </c>
      <c r="U149" s="689"/>
      <c r="V149" s="690">
        <f t="shared" si="42"/>
        <v>893.40999999999985</v>
      </c>
      <c r="W149" s="683"/>
      <c r="X149" s="474">
        <f t="shared" si="20"/>
        <v>15000</v>
      </c>
      <c r="Y149" s="474">
        <f t="shared" si="21"/>
        <v>0</v>
      </c>
      <c r="Z149" s="475">
        <f t="shared" si="22"/>
        <v>0</v>
      </c>
      <c r="AA149" s="475">
        <v>0</v>
      </c>
      <c r="AB149" s="476">
        <v>0</v>
      </c>
      <c r="AC149" s="38">
        <f t="shared" si="23"/>
        <v>0</v>
      </c>
      <c r="AD149" s="692">
        <f t="shared" si="17"/>
        <v>2096.09</v>
      </c>
      <c r="AE149" s="692">
        <f t="shared" si="18"/>
        <v>0</v>
      </c>
      <c r="AF149" s="692">
        <f t="shared" si="19"/>
        <v>0</v>
      </c>
      <c r="AG149" s="38"/>
      <c r="AH149" s="692">
        <f t="shared" si="24"/>
        <v>15000</v>
      </c>
      <c r="AI149" s="692">
        <f t="shared" si="25"/>
        <v>0</v>
      </c>
      <c r="AJ149" s="692">
        <f t="shared" si="26"/>
        <v>0</v>
      </c>
      <c r="AL149" s="38">
        <f t="shared" si="27"/>
        <v>17096.09</v>
      </c>
      <c r="AM149" s="68" t="s">
        <v>262</v>
      </c>
    </row>
    <row r="150" spans="1:39" s="269" customFormat="1">
      <c r="A150" s="21"/>
      <c r="B150" s="21" t="s">
        <v>114</v>
      </c>
      <c r="C150" s="675" t="s">
        <v>619</v>
      </c>
      <c r="D150" s="68" t="s">
        <v>626</v>
      </c>
      <c r="E150" s="679"/>
      <c r="F150" s="529">
        <f>VLOOKUP(D150,'Feb14 Revenue'!D:V,19,FALSE)</f>
        <v>0</v>
      </c>
      <c r="G150" s="680"/>
      <c r="H150" s="680"/>
      <c r="I150" s="755"/>
      <c r="J150" s="682">
        <f t="shared" si="16"/>
        <v>0</v>
      </c>
      <c r="K150" s="683"/>
      <c r="L150" s="684"/>
      <c r="M150" s="753"/>
      <c r="N150" s="683">
        <v>0</v>
      </c>
      <c r="O150" s="686"/>
      <c r="P150" s="683">
        <v>0</v>
      </c>
      <c r="Q150" s="687">
        <f t="shared" ref="Q150:Q223" si="43">L150+M150</f>
        <v>0</v>
      </c>
      <c r="R150" s="687"/>
      <c r="S150" s="687"/>
      <c r="T150" s="688">
        <v>0</v>
      </c>
      <c r="U150" s="689"/>
      <c r="V150" s="690">
        <f t="shared" si="42"/>
        <v>0</v>
      </c>
      <c r="W150" s="683"/>
      <c r="X150" s="474">
        <f t="shared" si="20"/>
        <v>0</v>
      </c>
      <c r="Y150" s="474">
        <f t="shared" si="21"/>
        <v>0</v>
      </c>
      <c r="Z150" s="475">
        <f t="shared" si="22"/>
        <v>0</v>
      </c>
      <c r="AA150" s="475">
        <v>0</v>
      </c>
      <c r="AB150" s="476">
        <v>0</v>
      </c>
      <c r="AC150" s="38">
        <f t="shared" si="23"/>
        <v>0</v>
      </c>
      <c r="AD150" s="692">
        <f t="shared" si="17"/>
        <v>0</v>
      </c>
      <c r="AE150" s="692">
        <f t="shared" si="18"/>
        <v>0</v>
      </c>
      <c r="AF150" s="692">
        <f t="shared" si="19"/>
        <v>0</v>
      </c>
      <c r="AG150" s="38"/>
      <c r="AH150" s="692">
        <f t="shared" si="24"/>
        <v>0</v>
      </c>
      <c r="AI150" s="692">
        <f t="shared" si="25"/>
        <v>0</v>
      </c>
      <c r="AJ150" s="692">
        <f t="shared" si="26"/>
        <v>0</v>
      </c>
      <c r="AL150" s="38">
        <f t="shared" si="27"/>
        <v>0</v>
      </c>
      <c r="AM150" s="68" t="s">
        <v>626</v>
      </c>
    </row>
    <row r="151" spans="1:39">
      <c r="A151" s="21"/>
      <c r="B151" s="21" t="s">
        <v>109</v>
      </c>
      <c r="C151" s="666"/>
      <c r="D151" s="68" t="s">
        <v>396</v>
      </c>
      <c r="E151" s="679"/>
      <c r="F151" s="529">
        <f>VLOOKUP(D151,'Feb14 Revenue'!D:V,19,FALSE)</f>
        <v>0</v>
      </c>
      <c r="G151" s="680"/>
      <c r="H151" s="680"/>
      <c r="I151" s="755"/>
      <c r="J151" s="682">
        <f t="shared" si="16"/>
        <v>0</v>
      </c>
      <c r="K151" s="683"/>
      <c r="L151" s="684"/>
      <c r="M151" s="753"/>
      <c r="N151" s="683">
        <v>0</v>
      </c>
      <c r="O151" s="686"/>
      <c r="P151" s="683">
        <v>0</v>
      </c>
      <c r="Q151" s="687">
        <f t="shared" si="43"/>
        <v>0</v>
      </c>
      <c r="R151" s="687"/>
      <c r="S151" s="687"/>
      <c r="T151" s="688">
        <v>0</v>
      </c>
      <c r="U151" s="689"/>
      <c r="V151" s="690">
        <f t="shared" si="42"/>
        <v>0</v>
      </c>
      <c r="W151" s="683"/>
      <c r="X151" s="474">
        <f t="shared" si="20"/>
        <v>0</v>
      </c>
      <c r="Y151" s="474">
        <f t="shared" si="21"/>
        <v>0</v>
      </c>
      <c r="Z151" s="475">
        <f t="shared" si="22"/>
        <v>0</v>
      </c>
      <c r="AA151" s="475">
        <v>0</v>
      </c>
      <c r="AB151" s="476">
        <v>0</v>
      </c>
      <c r="AC151" s="38">
        <f t="shared" si="23"/>
        <v>0</v>
      </c>
      <c r="AD151" s="692">
        <f t="shared" si="17"/>
        <v>0</v>
      </c>
      <c r="AE151" s="692">
        <f t="shared" si="18"/>
        <v>0</v>
      </c>
      <c r="AF151" s="692">
        <f t="shared" si="19"/>
        <v>0</v>
      </c>
      <c r="AG151" s="38"/>
      <c r="AH151" s="692">
        <f t="shared" si="24"/>
        <v>0</v>
      </c>
      <c r="AI151" s="692">
        <f t="shared" si="25"/>
        <v>0</v>
      </c>
      <c r="AJ151" s="692">
        <f t="shared" si="26"/>
        <v>0</v>
      </c>
      <c r="AL151" s="38">
        <f t="shared" si="27"/>
        <v>0</v>
      </c>
      <c r="AM151" s="68" t="s">
        <v>396</v>
      </c>
    </row>
    <row r="152" spans="1:39">
      <c r="A152" s="20"/>
      <c r="B152" s="20" t="s">
        <v>109</v>
      </c>
      <c r="C152" s="667" t="s">
        <v>557</v>
      </c>
      <c r="D152" s="68" t="s">
        <v>32</v>
      </c>
      <c r="E152" s="679"/>
      <c r="F152" s="529">
        <f>VLOOKUP(D152,'Feb14 Revenue'!D:V,19,FALSE)</f>
        <v>13.98</v>
      </c>
      <c r="G152" s="680"/>
      <c r="H152" s="680"/>
      <c r="I152" s="755"/>
      <c r="J152" s="682">
        <f t="shared" si="16"/>
        <v>13.98</v>
      </c>
      <c r="K152" s="683"/>
      <c r="L152" s="684"/>
      <c r="M152" s="753"/>
      <c r="N152" s="683">
        <v>0</v>
      </c>
      <c r="O152" s="686"/>
      <c r="P152" s="683">
        <v>0</v>
      </c>
      <c r="Q152" s="687">
        <f t="shared" si="43"/>
        <v>0</v>
      </c>
      <c r="R152" s="687"/>
      <c r="S152" s="687"/>
      <c r="T152" s="688">
        <v>0</v>
      </c>
      <c r="U152" s="689"/>
      <c r="V152" s="690">
        <f t="shared" si="42"/>
        <v>0</v>
      </c>
      <c r="W152" s="683"/>
      <c r="X152" s="474">
        <f t="shared" si="20"/>
        <v>0</v>
      </c>
      <c r="Y152" s="474">
        <f t="shared" si="21"/>
        <v>0</v>
      </c>
      <c r="Z152" s="475">
        <f t="shared" si="22"/>
        <v>0</v>
      </c>
      <c r="AA152" s="475">
        <v>0</v>
      </c>
      <c r="AB152" s="476">
        <v>0</v>
      </c>
      <c r="AC152" s="38">
        <f t="shared" si="23"/>
        <v>0</v>
      </c>
      <c r="AD152" s="692">
        <f t="shared" si="17"/>
        <v>0</v>
      </c>
      <c r="AE152" s="692">
        <f t="shared" si="18"/>
        <v>13.98</v>
      </c>
      <c r="AF152" s="692">
        <f t="shared" si="19"/>
        <v>0</v>
      </c>
      <c r="AG152" s="38"/>
      <c r="AH152" s="692">
        <f t="shared" si="24"/>
        <v>0</v>
      </c>
      <c r="AI152" s="692">
        <f t="shared" si="25"/>
        <v>0</v>
      </c>
      <c r="AJ152" s="692">
        <f t="shared" si="26"/>
        <v>0</v>
      </c>
      <c r="AL152" s="38">
        <f t="shared" si="27"/>
        <v>13.98</v>
      </c>
      <c r="AM152" s="68" t="s">
        <v>32</v>
      </c>
    </row>
    <row r="153" spans="1:39">
      <c r="A153" s="21"/>
      <c r="B153" s="21" t="s">
        <v>110</v>
      </c>
      <c r="C153" s="666"/>
      <c r="D153" s="68" t="s">
        <v>448</v>
      </c>
      <c r="E153" s="679"/>
      <c r="F153" s="529">
        <f>VLOOKUP(D153,'Feb14 Revenue'!D:V,19,FALSE)</f>
        <v>0</v>
      </c>
      <c r="G153" s="680"/>
      <c r="H153" s="680"/>
      <c r="I153" s="755"/>
      <c r="J153" s="682">
        <f t="shared" si="16"/>
        <v>0</v>
      </c>
      <c r="K153" s="683"/>
      <c r="L153" s="684"/>
      <c r="M153" s="753"/>
      <c r="N153" s="683">
        <v>0</v>
      </c>
      <c r="O153" s="686"/>
      <c r="P153" s="683">
        <v>0</v>
      </c>
      <c r="Q153" s="687">
        <f t="shared" si="43"/>
        <v>0</v>
      </c>
      <c r="R153" s="687"/>
      <c r="S153" s="687"/>
      <c r="T153" s="688">
        <v>2019.11</v>
      </c>
      <c r="U153" s="689"/>
      <c r="V153" s="690">
        <f t="shared" si="42"/>
        <v>2019.11</v>
      </c>
      <c r="W153" s="683"/>
      <c r="X153" s="474">
        <f t="shared" si="20"/>
        <v>0</v>
      </c>
      <c r="Y153" s="474">
        <f t="shared" si="21"/>
        <v>0</v>
      </c>
      <c r="Z153" s="475">
        <f t="shared" si="22"/>
        <v>0</v>
      </c>
      <c r="AA153" s="475">
        <v>0</v>
      </c>
      <c r="AB153" s="476">
        <v>0</v>
      </c>
      <c r="AC153" s="38">
        <f t="shared" si="23"/>
        <v>0</v>
      </c>
      <c r="AD153" s="692">
        <f t="shared" si="17"/>
        <v>0</v>
      </c>
      <c r="AE153" s="692">
        <f t="shared" si="18"/>
        <v>0</v>
      </c>
      <c r="AF153" s="692">
        <f t="shared" si="19"/>
        <v>0</v>
      </c>
      <c r="AG153" s="38"/>
      <c r="AH153" s="692">
        <f t="shared" si="24"/>
        <v>0</v>
      </c>
      <c r="AI153" s="692">
        <f t="shared" si="25"/>
        <v>0</v>
      </c>
      <c r="AJ153" s="692">
        <f t="shared" si="26"/>
        <v>0</v>
      </c>
      <c r="AL153" s="38">
        <f t="shared" si="27"/>
        <v>0</v>
      </c>
      <c r="AM153" s="68" t="s">
        <v>448</v>
      </c>
    </row>
    <row r="154" spans="1:39">
      <c r="A154" s="21"/>
      <c r="B154" s="21" t="s">
        <v>114</v>
      </c>
      <c r="C154" s="666"/>
      <c r="D154" s="68" t="s">
        <v>936</v>
      </c>
      <c r="E154" s="679"/>
      <c r="F154" s="529">
        <f>VLOOKUP(D154,'Feb14 Revenue'!D:V,19,FALSE)</f>
        <v>2180.75</v>
      </c>
      <c r="G154" s="680"/>
      <c r="H154" s="680"/>
      <c r="I154" s="755"/>
      <c r="J154" s="682">
        <f t="shared" si="16"/>
        <v>2180.75</v>
      </c>
      <c r="K154" s="683"/>
      <c r="L154" s="684"/>
      <c r="M154" s="753"/>
      <c r="N154" s="683">
        <v>0</v>
      </c>
      <c r="O154" s="686"/>
      <c r="P154" s="683">
        <v>0</v>
      </c>
      <c r="Q154" s="687">
        <f t="shared" si="43"/>
        <v>0</v>
      </c>
      <c r="R154" s="687"/>
      <c r="S154" s="687"/>
      <c r="T154" s="688">
        <v>591</v>
      </c>
      <c r="U154" s="689"/>
      <c r="V154" s="690">
        <f t="shared" si="42"/>
        <v>591</v>
      </c>
      <c r="W154" s="683"/>
      <c r="X154" s="474">
        <f t="shared" si="20"/>
        <v>0</v>
      </c>
      <c r="Y154" s="474">
        <f t="shared" si="21"/>
        <v>0</v>
      </c>
      <c r="Z154" s="475">
        <f t="shared" si="22"/>
        <v>0</v>
      </c>
      <c r="AA154" s="475">
        <v>0</v>
      </c>
      <c r="AB154" s="476">
        <v>0</v>
      </c>
      <c r="AC154" s="38">
        <f t="shared" si="23"/>
        <v>0</v>
      </c>
      <c r="AD154" s="692">
        <f t="shared" si="17"/>
        <v>0</v>
      </c>
      <c r="AE154" s="692">
        <f t="shared" si="18"/>
        <v>0</v>
      </c>
      <c r="AF154" s="692">
        <f t="shared" si="19"/>
        <v>2180.75</v>
      </c>
      <c r="AG154" s="38"/>
      <c r="AH154" s="692">
        <f t="shared" si="24"/>
        <v>0</v>
      </c>
      <c r="AI154" s="692">
        <f t="shared" si="25"/>
        <v>0</v>
      </c>
      <c r="AJ154" s="692">
        <f t="shared" si="26"/>
        <v>0</v>
      </c>
      <c r="AL154" s="38">
        <f t="shared" si="27"/>
        <v>2180.75</v>
      </c>
      <c r="AM154" s="68" t="s">
        <v>936</v>
      </c>
    </row>
    <row r="155" spans="1:39">
      <c r="A155" s="21"/>
      <c r="B155" s="21" t="s">
        <v>110</v>
      </c>
      <c r="C155" s="666"/>
      <c r="D155" s="68" t="s">
        <v>877</v>
      </c>
      <c r="E155" s="679"/>
      <c r="F155" s="529">
        <f>VLOOKUP(D155,'Feb14 Revenue'!D:V,19,FALSE)</f>
        <v>0</v>
      </c>
      <c r="G155" s="680"/>
      <c r="H155" s="680"/>
      <c r="I155" s="755"/>
      <c r="J155" s="682">
        <f t="shared" si="16"/>
        <v>0</v>
      </c>
      <c r="K155" s="683"/>
      <c r="L155" s="684"/>
      <c r="M155" s="753"/>
      <c r="N155" s="683">
        <v>0</v>
      </c>
      <c r="O155" s="686"/>
      <c r="P155" s="683">
        <v>0</v>
      </c>
      <c r="Q155" s="687">
        <f t="shared" si="43"/>
        <v>0</v>
      </c>
      <c r="R155" s="687"/>
      <c r="S155" s="687"/>
      <c r="T155" s="688">
        <v>0</v>
      </c>
      <c r="U155" s="689"/>
      <c r="V155" s="690">
        <f t="shared" si="42"/>
        <v>0</v>
      </c>
      <c r="W155" s="683"/>
      <c r="X155" s="474">
        <f t="shared" si="20"/>
        <v>0</v>
      </c>
      <c r="Y155" s="474">
        <f t="shared" si="21"/>
        <v>0</v>
      </c>
      <c r="Z155" s="475">
        <f t="shared" si="22"/>
        <v>0</v>
      </c>
      <c r="AA155" s="475">
        <v>0</v>
      </c>
      <c r="AB155" s="476">
        <v>0</v>
      </c>
      <c r="AC155" s="38">
        <f t="shared" si="23"/>
        <v>0</v>
      </c>
      <c r="AD155" s="692">
        <f t="shared" si="17"/>
        <v>0</v>
      </c>
      <c r="AE155" s="692">
        <f t="shared" si="18"/>
        <v>0</v>
      </c>
      <c r="AF155" s="692">
        <f t="shared" si="19"/>
        <v>0</v>
      </c>
      <c r="AG155" s="38"/>
      <c r="AH155" s="692">
        <f t="shared" si="24"/>
        <v>0</v>
      </c>
      <c r="AI155" s="692">
        <f t="shared" si="25"/>
        <v>0</v>
      </c>
      <c r="AJ155" s="692">
        <f t="shared" si="26"/>
        <v>0</v>
      </c>
      <c r="AL155" s="38">
        <f t="shared" si="27"/>
        <v>0</v>
      </c>
      <c r="AM155" s="68" t="s">
        <v>877</v>
      </c>
    </row>
    <row r="156" spans="1:39">
      <c r="A156" s="21"/>
      <c r="B156" s="21" t="s">
        <v>110</v>
      </c>
      <c r="C156" s="666" t="s">
        <v>558</v>
      </c>
      <c r="D156" s="68" t="s">
        <v>122</v>
      </c>
      <c r="E156" s="679">
        <v>537.28</v>
      </c>
      <c r="F156" s="529">
        <f>VLOOKUP(D156,'Feb14 Revenue'!D:V,19,FALSE)</f>
        <v>0</v>
      </c>
      <c r="G156" s="680"/>
      <c r="H156" s="680"/>
      <c r="I156" s="755"/>
      <c r="J156" s="682">
        <f t="shared" si="16"/>
        <v>537.28</v>
      </c>
      <c r="K156" s="683"/>
      <c r="L156" s="684"/>
      <c r="M156" s="753"/>
      <c r="N156" s="683">
        <v>0</v>
      </c>
      <c r="O156" s="686"/>
      <c r="P156" s="683">
        <v>0</v>
      </c>
      <c r="Q156" s="687">
        <f t="shared" si="43"/>
        <v>0</v>
      </c>
      <c r="R156" s="687"/>
      <c r="S156" s="687"/>
      <c r="T156" s="688">
        <v>0</v>
      </c>
      <c r="U156" s="689"/>
      <c r="V156" s="690">
        <f t="shared" si="42"/>
        <v>0</v>
      </c>
      <c r="W156" s="683"/>
      <c r="X156" s="474">
        <f t="shared" si="20"/>
        <v>0</v>
      </c>
      <c r="Y156" s="474">
        <f t="shared" si="21"/>
        <v>0</v>
      </c>
      <c r="Z156" s="475">
        <f t="shared" si="22"/>
        <v>0</v>
      </c>
      <c r="AA156" s="475">
        <v>0</v>
      </c>
      <c r="AB156" s="476">
        <v>0</v>
      </c>
      <c r="AC156" s="38">
        <f t="shared" si="23"/>
        <v>0</v>
      </c>
      <c r="AD156" s="692">
        <f t="shared" si="17"/>
        <v>537.28</v>
      </c>
      <c r="AE156" s="692">
        <f t="shared" si="18"/>
        <v>0</v>
      </c>
      <c r="AF156" s="692">
        <f t="shared" si="19"/>
        <v>0</v>
      </c>
      <c r="AG156" s="38"/>
      <c r="AH156" s="692">
        <f t="shared" si="24"/>
        <v>0</v>
      </c>
      <c r="AI156" s="692">
        <f t="shared" si="25"/>
        <v>0</v>
      </c>
      <c r="AJ156" s="692">
        <f t="shared" si="26"/>
        <v>0</v>
      </c>
      <c r="AL156" s="38">
        <f t="shared" si="27"/>
        <v>537.28</v>
      </c>
      <c r="AM156" s="68" t="s">
        <v>122</v>
      </c>
    </row>
    <row r="157" spans="1:39">
      <c r="A157" s="21"/>
      <c r="B157" s="21" t="s">
        <v>114</v>
      </c>
      <c r="C157" s="666" t="s">
        <v>558</v>
      </c>
      <c r="D157" s="68" t="s">
        <v>629</v>
      </c>
      <c r="E157" s="679">
        <v>0.39</v>
      </c>
      <c r="F157" s="529">
        <f>VLOOKUP(D157,'Feb14 Revenue'!D:V,19,FALSE)</f>
        <v>0</v>
      </c>
      <c r="G157" s="680"/>
      <c r="H157" s="680"/>
      <c r="I157" s="755"/>
      <c r="J157" s="682">
        <f t="shared" ref="J157:J227" si="44">SUM(E157:I157)</f>
        <v>0.39</v>
      </c>
      <c r="K157" s="683"/>
      <c r="L157" s="684"/>
      <c r="M157" s="753"/>
      <c r="N157" s="683">
        <v>0</v>
      </c>
      <c r="O157" s="686"/>
      <c r="P157" s="683">
        <v>0</v>
      </c>
      <c r="Q157" s="687">
        <f t="shared" si="43"/>
        <v>0</v>
      </c>
      <c r="R157" s="687"/>
      <c r="S157" s="687"/>
      <c r="T157" s="688">
        <v>0</v>
      </c>
      <c r="U157" s="689"/>
      <c r="V157" s="690">
        <f t="shared" si="42"/>
        <v>0</v>
      </c>
      <c r="W157" s="683"/>
      <c r="X157" s="474">
        <f t="shared" si="20"/>
        <v>0</v>
      </c>
      <c r="Y157" s="474">
        <f t="shared" si="21"/>
        <v>0</v>
      </c>
      <c r="Z157" s="475">
        <f t="shared" si="22"/>
        <v>0</v>
      </c>
      <c r="AA157" s="475">
        <v>0</v>
      </c>
      <c r="AB157" s="476">
        <v>0</v>
      </c>
      <c r="AC157" s="38">
        <f t="shared" si="23"/>
        <v>0</v>
      </c>
      <c r="AD157" s="692">
        <f t="shared" ref="AD157:AD227" si="45">IF(B157="D",J157,0)</f>
        <v>0</v>
      </c>
      <c r="AE157" s="692">
        <f t="shared" ref="AE157:AE227" si="46">IF(B157="M",J157,0)</f>
        <v>0</v>
      </c>
      <c r="AF157" s="692">
        <f t="shared" ref="AF157:AF227" si="47">IF(B157="V",J157,0)</f>
        <v>0.39</v>
      </c>
      <c r="AG157" s="38"/>
      <c r="AH157" s="692">
        <f t="shared" si="24"/>
        <v>0</v>
      </c>
      <c r="AI157" s="692">
        <f t="shared" si="25"/>
        <v>0</v>
      </c>
      <c r="AJ157" s="692">
        <f t="shared" si="26"/>
        <v>0</v>
      </c>
      <c r="AL157" s="38">
        <f t="shared" ref="AL157:AL227" si="48">SUM(AD157:AJ157)</f>
        <v>0.39</v>
      </c>
      <c r="AM157" s="68" t="s">
        <v>629</v>
      </c>
    </row>
    <row r="158" spans="1:39">
      <c r="A158" s="21"/>
      <c r="B158" s="21" t="s">
        <v>109</v>
      </c>
      <c r="C158" s="666" t="s">
        <v>559</v>
      </c>
      <c r="D158" s="68" t="s">
        <v>33</v>
      </c>
      <c r="E158" s="679"/>
      <c r="F158" s="529">
        <f>VLOOKUP(D158,'Feb14 Revenue'!D:V,19,FALSE)</f>
        <v>0</v>
      </c>
      <c r="G158" s="680"/>
      <c r="H158" s="680"/>
      <c r="I158" s="755"/>
      <c r="J158" s="682">
        <f t="shared" si="44"/>
        <v>0</v>
      </c>
      <c r="K158" s="683"/>
      <c r="L158" s="684"/>
      <c r="M158" s="753"/>
      <c r="N158" s="683">
        <v>0</v>
      </c>
      <c r="O158" s="686"/>
      <c r="P158" s="683">
        <v>0</v>
      </c>
      <c r="Q158" s="687">
        <f t="shared" si="43"/>
        <v>0</v>
      </c>
      <c r="R158" s="687"/>
      <c r="S158" s="687"/>
      <c r="T158" s="688">
        <v>0</v>
      </c>
      <c r="U158" s="689"/>
      <c r="V158" s="690">
        <f t="shared" si="42"/>
        <v>0</v>
      </c>
      <c r="W158" s="683"/>
      <c r="X158" s="474">
        <f t="shared" si="20"/>
        <v>0</v>
      </c>
      <c r="Y158" s="474">
        <f t="shared" si="21"/>
        <v>0</v>
      </c>
      <c r="Z158" s="475">
        <f t="shared" si="22"/>
        <v>0</v>
      </c>
      <c r="AA158" s="475">
        <v>0</v>
      </c>
      <c r="AB158" s="476">
        <v>0</v>
      </c>
      <c r="AC158" s="38">
        <f t="shared" si="23"/>
        <v>0</v>
      </c>
      <c r="AD158" s="692">
        <f t="shared" si="45"/>
        <v>0</v>
      </c>
      <c r="AE158" s="692">
        <f t="shared" si="46"/>
        <v>0</v>
      </c>
      <c r="AF158" s="692">
        <f t="shared" si="47"/>
        <v>0</v>
      </c>
      <c r="AG158" s="38"/>
      <c r="AH158" s="692">
        <f t="shared" ref="AH158:AH228" si="49">IF(B158="D",Q158,0)</f>
        <v>0</v>
      </c>
      <c r="AI158" s="692">
        <f t="shared" ref="AI158:AI228" si="50">IF(B158="M",Q158,0)</f>
        <v>0</v>
      </c>
      <c r="AJ158" s="692">
        <f t="shared" ref="AJ158:AJ228" si="51">IF(B158="V",Q158,0)</f>
        <v>0</v>
      </c>
      <c r="AL158" s="38">
        <f t="shared" si="48"/>
        <v>0</v>
      </c>
      <c r="AM158" s="68" t="s">
        <v>33</v>
      </c>
    </row>
    <row r="159" spans="1:39">
      <c r="A159" s="21"/>
      <c r="B159" s="21" t="s">
        <v>109</v>
      </c>
      <c r="C159" s="666" t="s">
        <v>560</v>
      </c>
      <c r="D159" s="68" t="s">
        <v>379</v>
      </c>
      <c r="E159" s="679"/>
      <c r="F159" s="529">
        <f>VLOOKUP(D159,'Feb14 Revenue'!D:V,19,FALSE)</f>
        <v>85.76</v>
      </c>
      <c r="G159" s="680"/>
      <c r="H159" s="680"/>
      <c r="I159" s="755"/>
      <c r="J159" s="682">
        <f t="shared" si="44"/>
        <v>85.76</v>
      </c>
      <c r="K159" s="683"/>
      <c r="L159" s="684"/>
      <c r="M159" s="753"/>
      <c r="N159" s="683">
        <v>0</v>
      </c>
      <c r="O159" s="686"/>
      <c r="P159" s="683">
        <v>0</v>
      </c>
      <c r="Q159" s="687">
        <f t="shared" si="43"/>
        <v>0</v>
      </c>
      <c r="R159" s="687"/>
      <c r="S159" s="687"/>
      <c r="T159" s="688">
        <v>86.82</v>
      </c>
      <c r="U159" s="689"/>
      <c r="V159" s="690">
        <f t="shared" si="42"/>
        <v>86.82</v>
      </c>
      <c r="W159" s="683"/>
      <c r="X159" s="474">
        <f t="shared" ref="X159:X229" si="52">IF(B159="D",Q159,0)</f>
        <v>0</v>
      </c>
      <c r="Y159" s="474">
        <f t="shared" ref="Y159:Y229" si="53">IF(B159="M",Q159,0)</f>
        <v>0</v>
      </c>
      <c r="Z159" s="475">
        <f t="shared" ref="Z159:Z229" si="54">IF(B159="V",Q159,0)</f>
        <v>0</v>
      </c>
      <c r="AA159" s="475">
        <v>0</v>
      </c>
      <c r="AB159" s="476">
        <v>0</v>
      </c>
      <c r="AC159" s="38">
        <f t="shared" ref="AC159:AC229" si="55">(L159+M159)-(X159+Y159+Z159+AA159+AB159)</f>
        <v>0</v>
      </c>
      <c r="AD159" s="692">
        <f t="shared" si="45"/>
        <v>0</v>
      </c>
      <c r="AE159" s="692">
        <f t="shared" si="46"/>
        <v>85.76</v>
      </c>
      <c r="AF159" s="692">
        <f t="shared" si="47"/>
        <v>0</v>
      </c>
      <c r="AG159" s="38"/>
      <c r="AH159" s="692">
        <f t="shared" si="49"/>
        <v>0</v>
      </c>
      <c r="AI159" s="692">
        <f t="shared" si="50"/>
        <v>0</v>
      </c>
      <c r="AJ159" s="692">
        <f t="shared" si="51"/>
        <v>0</v>
      </c>
      <c r="AL159" s="38">
        <f t="shared" si="48"/>
        <v>85.76</v>
      </c>
      <c r="AM159" s="68" t="s">
        <v>379</v>
      </c>
    </row>
    <row r="160" spans="1:39" s="232" customFormat="1">
      <c r="A160" s="283"/>
      <c r="B160" s="283" t="s">
        <v>114</v>
      </c>
      <c r="C160" s="667"/>
      <c r="D160" s="567" t="s">
        <v>408</v>
      </c>
      <c r="E160" s="679"/>
      <c r="F160" s="529">
        <f>VLOOKUP(D160,'Feb14 Revenue'!D:V,19,FALSE)</f>
        <v>0</v>
      </c>
      <c r="G160" s="680"/>
      <c r="H160" s="680"/>
      <c r="I160" s="770">
        <v>17400</v>
      </c>
      <c r="J160" s="682">
        <f t="shared" si="44"/>
        <v>17400</v>
      </c>
      <c r="K160" s="683"/>
      <c r="L160" s="684"/>
      <c r="M160" s="753"/>
      <c r="N160" s="683">
        <v>0</v>
      </c>
      <c r="O160" s="686"/>
      <c r="P160" s="683">
        <v>0</v>
      </c>
      <c r="Q160" s="687">
        <f t="shared" si="43"/>
        <v>0</v>
      </c>
      <c r="R160" s="687"/>
      <c r="S160" s="687"/>
      <c r="T160" s="688">
        <v>0</v>
      </c>
      <c r="U160" s="689"/>
      <c r="V160" s="690">
        <f t="shared" si="42"/>
        <v>0</v>
      </c>
      <c r="W160" s="683"/>
      <c r="X160" s="474">
        <f t="shared" si="52"/>
        <v>0</v>
      </c>
      <c r="Y160" s="474">
        <f t="shared" si="53"/>
        <v>0</v>
      </c>
      <c r="Z160" s="475">
        <f t="shared" si="54"/>
        <v>0</v>
      </c>
      <c r="AA160" s="475">
        <v>0</v>
      </c>
      <c r="AB160" s="476">
        <v>0</v>
      </c>
      <c r="AC160" s="38">
        <f t="shared" si="55"/>
        <v>0</v>
      </c>
      <c r="AD160" s="692">
        <f t="shared" si="45"/>
        <v>0</v>
      </c>
      <c r="AE160" s="692">
        <f t="shared" si="46"/>
        <v>0</v>
      </c>
      <c r="AF160" s="692">
        <f t="shared" si="47"/>
        <v>17400</v>
      </c>
      <c r="AG160" s="38"/>
      <c r="AH160" s="692">
        <f t="shared" si="49"/>
        <v>0</v>
      </c>
      <c r="AI160" s="692">
        <f t="shared" si="50"/>
        <v>0</v>
      </c>
      <c r="AJ160" s="692">
        <f t="shared" si="51"/>
        <v>0</v>
      </c>
      <c r="AL160" s="38">
        <f t="shared" si="48"/>
        <v>17400</v>
      </c>
      <c r="AM160" s="567" t="s">
        <v>408</v>
      </c>
    </row>
    <row r="161" spans="1:39" s="232" customFormat="1">
      <c r="A161" s="283"/>
      <c r="B161" s="283" t="s">
        <v>110</v>
      </c>
      <c r="C161" s="667"/>
      <c r="D161" s="567" t="s">
        <v>1053</v>
      </c>
      <c r="E161" s="679"/>
      <c r="F161" s="529">
        <f>VLOOKUP(D161,'Feb14 Revenue'!D:V,19,FALSE)</f>
        <v>6633.0999999999985</v>
      </c>
      <c r="G161" s="680"/>
      <c r="H161" s="680"/>
      <c r="I161" s="770">
        <v>38606.400000000001</v>
      </c>
      <c r="J161" s="682">
        <f t="shared" si="44"/>
        <v>45239.5</v>
      </c>
      <c r="K161" s="683"/>
      <c r="L161" s="684"/>
      <c r="M161" s="753"/>
      <c r="N161" s="683">
        <v>0</v>
      </c>
      <c r="O161" s="686"/>
      <c r="P161" s="683">
        <v>0</v>
      </c>
      <c r="Q161" s="687">
        <f t="shared" si="43"/>
        <v>0</v>
      </c>
      <c r="R161" s="687"/>
      <c r="S161" s="687"/>
      <c r="T161" s="688">
        <v>0</v>
      </c>
      <c r="U161" s="689"/>
      <c r="V161" s="690">
        <f t="shared" si="42"/>
        <v>0</v>
      </c>
      <c r="W161" s="683"/>
      <c r="X161" s="474">
        <f t="shared" si="52"/>
        <v>0</v>
      </c>
      <c r="Y161" s="474">
        <f t="shared" si="53"/>
        <v>0</v>
      </c>
      <c r="Z161" s="475">
        <f t="shared" si="54"/>
        <v>0</v>
      </c>
      <c r="AA161" s="475">
        <v>0</v>
      </c>
      <c r="AB161" s="476">
        <v>0</v>
      </c>
      <c r="AC161" s="38">
        <f t="shared" si="55"/>
        <v>0</v>
      </c>
      <c r="AD161" s="692">
        <f t="shared" si="45"/>
        <v>45239.5</v>
      </c>
      <c r="AE161" s="692">
        <f t="shared" si="46"/>
        <v>0</v>
      </c>
      <c r="AF161" s="692">
        <f t="shared" si="47"/>
        <v>0</v>
      </c>
      <c r="AG161" s="38"/>
      <c r="AH161" s="692">
        <f t="shared" si="49"/>
        <v>0</v>
      </c>
      <c r="AI161" s="692">
        <f t="shared" si="50"/>
        <v>0</v>
      </c>
      <c r="AJ161" s="692">
        <f t="shared" si="51"/>
        <v>0</v>
      </c>
      <c r="AL161" s="38">
        <f t="shared" si="48"/>
        <v>45239.5</v>
      </c>
      <c r="AM161" s="567" t="s">
        <v>445</v>
      </c>
    </row>
    <row r="162" spans="1:39" s="232" customFormat="1">
      <c r="A162" s="283"/>
      <c r="B162" s="283" t="s">
        <v>109</v>
      </c>
      <c r="C162" s="667" t="s">
        <v>562</v>
      </c>
      <c r="D162" s="567" t="s">
        <v>480</v>
      </c>
      <c r="E162" s="679"/>
      <c r="F162" s="529">
        <f>VLOOKUP(D162,'Feb14 Revenue'!D:V,19,FALSE)</f>
        <v>0</v>
      </c>
      <c r="G162" s="680"/>
      <c r="H162" s="680"/>
      <c r="I162" s="770">
        <v>11279.1</v>
      </c>
      <c r="J162" s="682">
        <f t="shared" si="44"/>
        <v>11279.1</v>
      </c>
      <c r="K162" s="683"/>
      <c r="L162" s="684"/>
      <c r="M162" s="753"/>
      <c r="N162" s="683">
        <v>0</v>
      </c>
      <c r="O162" s="686"/>
      <c r="P162" s="683">
        <v>0</v>
      </c>
      <c r="Q162" s="687">
        <f t="shared" si="43"/>
        <v>0</v>
      </c>
      <c r="R162" s="687"/>
      <c r="S162" s="687"/>
      <c r="T162" s="688">
        <v>0</v>
      </c>
      <c r="U162" s="689"/>
      <c r="V162" s="690">
        <f t="shared" si="42"/>
        <v>0</v>
      </c>
      <c r="W162" s="683"/>
      <c r="X162" s="474">
        <f t="shared" si="52"/>
        <v>0</v>
      </c>
      <c r="Y162" s="474">
        <f t="shared" si="53"/>
        <v>0</v>
      </c>
      <c r="Z162" s="475">
        <f t="shared" si="54"/>
        <v>0</v>
      </c>
      <c r="AA162" s="475">
        <v>0</v>
      </c>
      <c r="AB162" s="476">
        <v>0</v>
      </c>
      <c r="AC162" s="38">
        <f t="shared" si="55"/>
        <v>0</v>
      </c>
      <c r="AD162" s="692">
        <f t="shared" si="45"/>
        <v>0</v>
      </c>
      <c r="AE162" s="692">
        <f t="shared" si="46"/>
        <v>11279.1</v>
      </c>
      <c r="AF162" s="692">
        <f t="shared" si="47"/>
        <v>0</v>
      </c>
      <c r="AG162" s="38"/>
      <c r="AH162" s="692">
        <f t="shared" si="49"/>
        <v>0</v>
      </c>
      <c r="AI162" s="692">
        <f t="shared" si="50"/>
        <v>0</v>
      </c>
      <c r="AJ162" s="692">
        <f t="shared" si="51"/>
        <v>0</v>
      </c>
      <c r="AL162" s="38">
        <f t="shared" si="48"/>
        <v>11279.1</v>
      </c>
      <c r="AM162" s="567" t="s">
        <v>480</v>
      </c>
    </row>
    <row r="163" spans="1:39" s="232" customFormat="1">
      <c r="A163" s="403"/>
      <c r="B163" s="403" t="s">
        <v>109</v>
      </c>
      <c r="C163" s="666" t="s">
        <v>563</v>
      </c>
      <c r="D163" s="807" t="s">
        <v>327</v>
      </c>
      <c r="E163" s="679">
        <v>35082.22</v>
      </c>
      <c r="F163" s="529">
        <f>VLOOKUP(D163,'Feb14 Revenue'!D:V,19,FALSE)</f>
        <v>-52395.1</v>
      </c>
      <c r="G163" s="680"/>
      <c r="H163" s="680"/>
      <c r="I163" s="755"/>
      <c r="J163" s="682">
        <f t="shared" si="44"/>
        <v>-17312.879999999997</v>
      </c>
      <c r="K163" s="683"/>
      <c r="L163" s="684"/>
      <c r="M163" s="753">
        <v>35000</v>
      </c>
      <c r="N163" s="683">
        <v>0</v>
      </c>
      <c r="O163" s="686"/>
      <c r="P163" s="683">
        <v>0</v>
      </c>
      <c r="Q163" s="687">
        <f t="shared" si="43"/>
        <v>35000</v>
      </c>
      <c r="R163" s="687"/>
      <c r="S163" s="687"/>
      <c r="T163" s="688">
        <v>39586.199999999997</v>
      </c>
      <c r="U163" s="689"/>
      <c r="V163" s="690">
        <f t="shared" si="42"/>
        <v>4586.1999999999971</v>
      </c>
      <c r="W163" s="683"/>
      <c r="X163" s="474">
        <f t="shared" si="52"/>
        <v>0</v>
      </c>
      <c r="Y163" s="474">
        <f t="shared" si="53"/>
        <v>35000</v>
      </c>
      <c r="Z163" s="475">
        <f t="shared" si="54"/>
        <v>0</v>
      </c>
      <c r="AA163" s="475">
        <v>0</v>
      </c>
      <c r="AB163" s="476">
        <v>0</v>
      </c>
      <c r="AC163" s="38">
        <f t="shared" si="55"/>
        <v>0</v>
      </c>
      <c r="AD163" s="692">
        <f t="shared" si="45"/>
        <v>0</v>
      </c>
      <c r="AE163" s="692">
        <f t="shared" si="46"/>
        <v>-17312.879999999997</v>
      </c>
      <c r="AF163" s="692">
        <f t="shared" si="47"/>
        <v>0</v>
      </c>
      <c r="AG163" s="38"/>
      <c r="AH163" s="692">
        <f t="shared" si="49"/>
        <v>0</v>
      </c>
      <c r="AI163" s="692">
        <f t="shared" si="50"/>
        <v>35000</v>
      </c>
      <c r="AJ163" s="692">
        <f t="shared" si="51"/>
        <v>0</v>
      </c>
      <c r="AL163" s="38">
        <f t="shared" si="48"/>
        <v>17687.120000000003</v>
      </c>
      <c r="AM163" s="807" t="s">
        <v>327</v>
      </c>
    </row>
    <row r="164" spans="1:39" s="232" customFormat="1">
      <c r="A164" s="403"/>
      <c r="B164" s="403" t="s">
        <v>110</v>
      </c>
      <c r="C164" s="666" t="s">
        <v>563</v>
      </c>
      <c r="D164" s="123" t="s">
        <v>637</v>
      </c>
      <c r="E164" s="679"/>
      <c r="F164" s="529">
        <f>VLOOKUP(D164,'Feb14 Revenue'!D:V,19,FALSE)</f>
        <v>0</v>
      </c>
      <c r="G164" s="680"/>
      <c r="H164" s="680"/>
      <c r="I164" s="755"/>
      <c r="J164" s="682">
        <f t="shared" si="44"/>
        <v>0</v>
      </c>
      <c r="K164" s="683"/>
      <c r="L164" s="684"/>
      <c r="M164" s="753"/>
      <c r="N164" s="683">
        <v>0</v>
      </c>
      <c r="O164" s="686"/>
      <c r="P164" s="683">
        <v>0</v>
      </c>
      <c r="Q164" s="687">
        <f t="shared" si="43"/>
        <v>0</v>
      </c>
      <c r="R164" s="687"/>
      <c r="S164" s="687"/>
      <c r="T164" s="688">
        <v>0</v>
      </c>
      <c r="U164" s="689"/>
      <c r="V164" s="690">
        <f t="shared" si="42"/>
        <v>0</v>
      </c>
      <c r="W164" s="683"/>
      <c r="X164" s="474">
        <f t="shared" si="52"/>
        <v>0</v>
      </c>
      <c r="Y164" s="474">
        <f t="shared" si="53"/>
        <v>0</v>
      </c>
      <c r="Z164" s="475">
        <f t="shared" si="54"/>
        <v>0</v>
      </c>
      <c r="AA164" s="475">
        <v>0</v>
      </c>
      <c r="AB164" s="476">
        <v>0</v>
      </c>
      <c r="AC164" s="38">
        <f t="shared" si="55"/>
        <v>0</v>
      </c>
      <c r="AD164" s="692">
        <f t="shared" si="45"/>
        <v>0</v>
      </c>
      <c r="AE164" s="692">
        <f t="shared" si="46"/>
        <v>0</v>
      </c>
      <c r="AF164" s="692">
        <f t="shared" si="47"/>
        <v>0</v>
      </c>
      <c r="AG164" s="38"/>
      <c r="AH164" s="692">
        <f t="shared" si="49"/>
        <v>0</v>
      </c>
      <c r="AI164" s="692">
        <f t="shared" si="50"/>
        <v>0</v>
      </c>
      <c r="AJ164" s="692">
        <f t="shared" si="51"/>
        <v>0</v>
      </c>
      <c r="AL164" s="38">
        <f t="shared" si="48"/>
        <v>0</v>
      </c>
      <c r="AM164" s="123" t="s">
        <v>637</v>
      </c>
    </row>
    <row r="165" spans="1:39">
      <c r="A165" s="21"/>
      <c r="B165" s="21" t="s">
        <v>110</v>
      </c>
      <c r="C165" s="666"/>
      <c r="D165" s="68" t="s">
        <v>232</v>
      </c>
      <c r="E165" s="679">
        <v>9440.83</v>
      </c>
      <c r="F165" s="529">
        <f>VLOOKUP(D165,'Feb14 Revenue'!D:V,19,FALSE)</f>
        <v>-30000</v>
      </c>
      <c r="G165" s="680"/>
      <c r="H165" s="680"/>
      <c r="I165" s="755"/>
      <c r="J165" s="682">
        <f t="shared" si="44"/>
        <v>-20559.169999999998</v>
      </c>
      <c r="K165" s="683"/>
      <c r="L165" s="684"/>
      <c r="M165" s="753">
        <v>20000</v>
      </c>
      <c r="N165" s="683">
        <v>0</v>
      </c>
      <c r="O165" s="686"/>
      <c r="P165" s="683">
        <v>0</v>
      </c>
      <c r="Q165" s="687">
        <f t="shared" si="43"/>
        <v>20000</v>
      </c>
      <c r="R165" s="687"/>
      <c r="S165" s="687"/>
      <c r="T165" s="688">
        <v>0</v>
      </c>
      <c r="U165" s="689"/>
      <c r="V165" s="690">
        <f t="shared" si="42"/>
        <v>-20000</v>
      </c>
      <c r="W165" s="683"/>
      <c r="X165" s="474">
        <f t="shared" si="52"/>
        <v>20000</v>
      </c>
      <c r="Y165" s="474">
        <f t="shared" si="53"/>
        <v>0</v>
      </c>
      <c r="Z165" s="475">
        <f t="shared" si="54"/>
        <v>0</v>
      </c>
      <c r="AA165" s="475">
        <v>0</v>
      </c>
      <c r="AB165" s="476">
        <v>0</v>
      </c>
      <c r="AC165" s="38">
        <f t="shared" si="55"/>
        <v>0</v>
      </c>
      <c r="AD165" s="692">
        <f t="shared" si="45"/>
        <v>-20559.169999999998</v>
      </c>
      <c r="AE165" s="692">
        <f t="shared" si="46"/>
        <v>0</v>
      </c>
      <c r="AF165" s="692">
        <f t="shared" si="47"/>
        <v>0</v>
      </c>
      <c r="AG165" s="38"/>
      <c r="AH165" s="692">
        <f t="shared" si="49"/>
        <v>20000</v>
      </c>
      <c r="AI165" s="692">
        <f t="shared" si="50"/>
        <v>0</v>
      </c>
      <c r="AJ165" s="692">
        <f t="shared" si="51"/>
        <v>0</v>
      </c>
      <c r="AL165" s="38">
        <f t="shared" si="48"/>
        <v>-559.16999999999825</v>
      </c>
      <c r="AM165" s="68" t="s">
        <v>232</v>
      </c>
    </row>
    <row r="166" spans="1:39" hidden="1">
      <c r="A166" s="21"/>
      <c r="B166" s="21" t="s">
        <v>109</v>
      </c>
      <c r="C166" s="666" t="s">
        <v>564</v>
      </c>
      <c r="D166" s="68" t="s">
        <v>876</v>
      </c>
      <c r="E166" s="679"/>
      <c r="F166" s="529">
        <f>VLOOKUP(D166,'Feb14 Revenue'!D:V,19,FALSE)</f>
        <v>-100000</v>
      </c>
      <c r="G166" s="680"/>
      <c r="H166" s="680"/>
      <c r="I166" s="755"/>
      <c r="J166" s="682">
        <f t="shared" si="44"/>
        <v>-100000</v>
      </c>
      <c r="K166" s="683"/>
      <c r="L166" s="684"/>
      <c r="M166" s="753"/>
      <c r="N166" s="683">
        <v>0</v>
      </c>
      <c r="O166" s="686"/>
      <c r="P166" s="683">
        <v>0</v>
      </c>
      <c r="Q166" s="687">
        <f t="shared" si="43"/>
        <v>0</v>
      </c>
      <c r="R166" s="687"/>
      <c r="S166" s="687"/>
      <c r="T166" s="688">
        <v>0</v>
      </c>
      <c r="U166" s="689"/>
      <c r="V166" s="690">
        <f t="shared" si="42"/>
        <v>0</v>
      </c>
      <c r="W166" s="683"/>
      <c r="X166" s="474">
        <f t="shared" si="52"/>
        <v>0</v>
      </c>
      <c r="Y166" s="474">
        <f t="shared" si="53"/>
        <v>0</v>
      </c>
      <c r="Z166" s="475">
        <f t="shared" si="54"/>
        <v>0</v>
      </c>
      <c r="AA166" s="475">
        <v>0</v>
      </c>
      <c r="AB166" s="476">
        <v>0</v>
      </c>
      <c r="AC166" s="38">
        <f t="shared" si="55"/>
        <v>0</v>
      </c>
      <c r="AD166" s="692">
        <f t="shared" si="45"/>
        <v>0</v>
      </c>
      <c r="AE166" s="692">
        <f t="shared" si="46"/>
        <v>-100000</v>
      </c>
      <c r="AF166" s="692">
        <f t="shared" si="47"/>
        <v>0</v>
      </c>
      <c r="AG166" s="38"/>
      <c r="AH166" s="692">
        <f t="shared" si="49"/>
        <v>0</v>
      </c>
      <c r="AI166" s="692">
        <f t="shared" si="50"/>
        <v>0</v>
      </c>
      <c r="AJ166" s="692">
        <f t="shared" si="51"/>
        <v>0</v>
      </c>
      <c r="AL166" s="38">
        <f t="shared" si="48"/>
        <v>-100000</v>
      </c>
      <c r="AM166" s="68" t="s">
        <v>876</v>
      </c>
    </row>
    <row r="167" spans="1:39" hidden="1">
      <c r="A167" s="21"/>
      <c r="B167" s="21" t="s">
        <v>109</v>
      </c>
      <c r="C167" s="666" t="s">
        <v>564</v>
      </c>
      <c r="D167" s="68" t="s">
        <v>307</v>
      </c>
      <c r="E167" s="679"/>
      <c r="F167" s="529">
        <f>VLOOKUP(D167,'Feb14 Revenue'!D:V,19,FALSE)</f>
        <v>0</v>
      </c>
      <c r="G167" s="680"/>
      <c r="H167" s="680"/>
      <c r="I167" s="755"/>
      <c r="J167" s="682">
        <f t="shared" si="44"/>
        <v>0</v>
      </c>
      <c r="K167" s="683"/>
      <c r="L167" s="684"/>
      <c r="M167" s="753"/>
      <c r="N167" s="683">
        <v>0</v>
      </c>
      <c r="O167" s="686"/>
      <c r="P167" s="683">
        <v>0</v>
      </c>
      <c r="Q167" s="687">
        <f t="shared" si="43"/>
        <v>0</v>
      </c>
      <c r="R167" s="687"/>
      <c r="S167" s="687"/>
      <c r="T167" s="688">
        <v>0</v>
      </c>
      <c r="U167" s="689"/>
      <c r="V167" s="690">
        <f t="shared" si="42"/>
        <v>0</v>
      </c>
      <c r="W167" s="683"/>
      <c r="X167" s="474">
        <f t="shared" si="52"/>
        <v>0</v>
      </c>
      <c r="Y167" s="474">
        <f t="shared" si="53"/>
        <v>0</v>
      </c>
      <c r="Z167" s="475">
        <f t="shared" si="54"/>
        <v>0</v>
      </c>
      <c r="AA167" s="475">
        <v>0</v>
      </c>
      <c r="AB167" s="476">
        <v>0</v>
      </c>
      <c r="AC167" s="38">
        <f t="shared" si="55"/>
        <v>0</v>
      </c>
      <c r="AD167" s="692">
        <f t="shared" si="45"/>
        <v>0</v>
      </c>
      <c r="AE167" s="692">
        <f t="shared" si="46"/>
        <v>0</v>
      </c>
      <c r="AF167" s="692">
        <f t="shared" si="47"/>
        <v>0</v>
      </c>
      <c r="AG167" s="38"/>
      <c r="AH167" s="692">
        <f t="shared" si="49"/>
        <v>0</v>
      </c>
      <c r="AI167" s="692">
        <f t="shared" si="50"/>
        <v>0</v>
      </c>
      <c r="AJ167" s="692">
        <f t="shared" si="51"/>
        <v>0</v>
      </c>
      <c r="AL167" s="38">
        <f t="shared" si="48"/>
        <v>0</v>
      </c>
      <c r="AM167" s="68" t="s">
        <v>307</v>
      </c>
    </row>
    <row r="168" spans="1:39">
      <c r="A168" s="21"/>
      <c r="B168" s="21" t="s">
        <v>109</v>
      </c>
      <c r="C168" s="666" t="s">
        <v>565</v>
      </c>
      <c r="D168" s="68" t="s">
        <v>485</v>
      </c>
      <c r="E168" s="679"/>
      <c r="F168" s="529">
        <f>VLOOKUP(D168,'Feb14 Revenue'!D:V,19,FALSE)</f>
        <v>34177.860000000015</v>
      </c>
      <c r="G168" s="680"/>
      <c r="H168" s="680"/>
      <c r="I168" s="755"/>
      <c r="J168" s="682">
        <f t="shared" si="44"/>
        <v>34177.860000000015</v>
      </c>
      <c r="K168" s="683"/>
      <c r="L168" s="684"/>
      <c r="M168" s="753">
        <v>135000</v>
      </c>
      <c r="N168" s="683"/>
      <c r="O168" s="686"/>
      <c r="P168" s="683"/>
      <c r="Q168" s="687">
        <f t="shared" si="43"/>
        <v>135000</v>
      </c>
      <c r="R168" s="687"/>
      <c r="S168" s="687"/>
      <c r="T168" s="688">
        <f>3683.57+2206.39+7932.56+2000.13+13785.47+20545.48+14743.42+1398.2+558.93+1541.99+67361.25</f>
        <v>135757.39000000001</v>
      </c>
      <c r="U168" s="689"/>
      <c r="V168" s="690">
        <f t="shared" si="42"/>
        <v>757.39000000001397</v>
      </c>
      <c r="W168" s="683"/>
      <c r="X168" s="474">
        <f t="shared" si="52"/>
        <v>0</v>
      </c>
      <c r="Y168" s="474">
        <f t="shared" si="53"/>
        <v>135000</v>
      </c>
      <c r="Z168" s="475">
        <f t="shared" si="54"/>
        <v>0</v>
      </c>
      <c r="AA168" s="475">
        <v>0</v>
      </c>
      <c r="AB168" s="476">
        <v>0</v>
      </c>
      <c r="AC168" s="38">
        <f t="shared" si="55"/>
        <v>0</v>
      </c>
      <c r="AD168" s="692">
        <f t="shared" si="45"/>
        <v>0</v>
      </c>
      <c r="AE168" s="692">
        <f t="shared" si="46"/>
        <v>34177.860000000015</v>
      </c>
      <c r="AF168" s="692">
        <f t="shared" si="47"/>
        <v>0</v>
      </c>
      <c r="AG168" s="38"/>
      <c r="AH168" s="692">
        <f t="shared" si="49"/>
        <v>0</v>
      </c>
      <c r="AI168" s="692">
        <f t="shared" si="50"/>
        <v>135000</v>
      </c>
      <c r="AJ168" s="692">
        <f t="shared" si="51"/>
        <v>0</v>
      </c>
      <c r="AL168" s="38">
        <f t="shared" si="48"/>
        <v>169177.86000000002</v>
      </c>
      <c r="AM168" s="68" t="s">
        <v>485</v>
      </c>
    </row>
    <row r="169" spans="1:39" s="232" customFormat="1">
      <c r="A169" s="403"/>
      <c r="B169" s="403" t="s">
        <v>109</v>
      </c>
      <c r="C169" s="666"/>
      <c r="D169" s="123" t="s">
        <v>220</v>
      </c>
      <c r="E169" s="679"/>
      <c r="F169" s="529">
        <f>VLOOKUP(D169,'Feb14 Revenue'!D:V,19,FALSE)</f>
        <v>0</v>
      </c>
      <c r="G169" s="680"/>
      <c r="H169" s="680"/>
      <c r="I169" s="755"/>
      <c r="J169" s="682">
        <f t="shared" si="44"/>
        <v>0</v>
      </c>
      <c r="K169" s="683"/>
      <c r="L169" s="684"/>
      <c r="M169" s="753"/>
      <c r="N169" s="683">
        <v>0</v>
      </c>
      <c r="O169" s="686"/>
      <c r="P169" s="683">
        <v>0</v>
      </c>
      <c r="Q169" s="687">
        <f t="shared" si="43"/>
        <v>0</v>
      </c>
      <c r="R169" s="687"/>
      <c r="S169" s="687"/>
      <c r="T169" s="688">
        <v>0</v>
      </c>
      <c r="U169" s="689"/>
      <c r="V169" s="690">
        <f t="shared" si="42"/>
        <v>0</v>
      </c>
      <c r="W169" s="683"/>
      <c r="X169" s="474">
        <f t="shared" si="52"/>
        <v>0</v>
      </c>
      <c r="Y169" s="474">
        <f t="shared" si="53"/>
        <v>0</v>
      </c>
      <c r="Z169" s="475">
        <f t="shared" si="54"/>
        <v>0</v>
      </c>
      <c r="AA169" s="475">
        <v>0</v>
      </c>
      <c r="AB169" s="476">
        <v>0</v>
      </c>
      <c r="AC169" s="38">
        <f t="shared" si="55"/>
        <v>0</v>
      </c>
      <c r="AD169" s="692">
        <f t="shared" si="45"/>
        <v>0</v>
      </c>
      <c r="AE169" s="692">
        <f t="shared" si="46"/>
        <v>0</v>
      </c>
      <c r="AF169" s="692">
        <f t="shared" si="47"/>
        <v>0</v>
      </c>
      <c r="AG169" s="38"/>
      <c r="AH169" s="692">
        <f t="shared" si="49"/>
        <v>0</v>
      </c>
      <c r="AI169" s="692">
        <f t="shared" si="50"/>
        <v>0</v>
      </c>
      <c r="AJ169" s="692">
        <f t="shared" si="51"/>
        <v>0</v>
      </c>
      <c r="AL169" s="38">
        <f t="shared" si="48"/>
        <v>0</v>
      </c>
      <c r="AM169" s="123" t="s">
        <v>220</v>
      </c>
    </row>
    <row r="170" spans="1:39" s="24" customFormat="1">
      <c r="A170" s="472"/>
      <c r="B170" s="21" t="s">
        <v>110</v>
      </c>
      <c r="C170" s="666"/>
      <c r="D170" s="68" t="s">
        <v>1065</v>
      </c>
      <c r="E170" s="679"/>
      <c r="F170" s="529">
        <f>VLOOKUP(D170,'Feb14 Revenue'!D:V,19,FALSE)</f>
        <v>0</v>
      </c>
      <c r="G170" s="680"/>
      <c r="H170" s="680"/>
      <c r="I170" s="755"/>
      <c r="J170" s="682">
        <f t="shared" si="44"/>
        <v>0</v>
      </c>
      <c r="K170" s="698"/>
      <c r="L170" s="684"/>
      <c r="M170" s="753"/>
      <c r="N170" s="698">
        <v>0</v>
      </c>
      <c r="O170" s="686"/>
      <c r="P170" s="698">
        <v>0</v>
      </c>
      <c r="Q170" s="700">
        <f t="shared" si="43"/>
        <v>0</v>
      </c>
      <c r="R170" s="700"/>
      <c r="S170" s="700"/>
      <c r="T170" s="688">
        <v>0</v>
      </c>
      <c r="U170" s="689"/>
      <c r="V170" s="690">
        <f t="shared" si="42"/>
        <v>0</v>
      </c>
      <c r="W170" s="698"/>
      <c r="X170" s="474">
        <f t="shared" si="52"/>
        <v>0</v>
      </c>
      <c r="Y170" s="474">
        <f t="shared" si="53"/>
        <v>0</v>
      </c>
      <c r="Z170" s="475">
        <f t="shared" si="54"/>
        <v>0</v>
      </c>
      <c r="AA170" s="475">
        <v>0</v>
      </c>
      <c r="AB170" s="476">
        <v>0</v>
      </c>
      <c r="AC170" s="38">
        <f t="shared" si="55"/>
        <v>0</v>
      </c>
      <c r="AD170" s="692">
        <f t="shared" si="45"/>
        <v>0</v>
      </c>
      <c r="AE170" s="692">
        <f t="shared" si="46"/>
        <v>0</v>
      </c>
      <c r="AF170" s="692">
        <f t="shared" si="47"/>
        <v>0</v>
      </c>
      <c r="AG170" s="38"/>
      <c r="AH170" s="692">
        <f t="shared" si="49"/>
        <v>0</v>
      </c>
      <c r="AI170" s="692">
        <f t="shared" si="50"/>
        <v>0</v>
      </c>
      <c r="AJ170" s="692">
        <f t="shared" si="51"/>
        <v>0</v>
      </c>
      <c r="AL170" s="38">
        <f t="shared" si="48"/>
        <v>0</v>
      </c>
      <c r="AM170" s="68" t="s">
        <v>505</v>
      </c>
    </row>
    <row r="171" spans="1:39">
      <c r="A171" s="21"/>
      <c r="B171" s="21" t="s">
        <v>110</v>
      </c>
      <c r="C171" s="666"/>
      <c r="D171" s="68" t="s">
        <v>185</v>
      </c>
      <c r="E171" s="679"/>
      <c r="F171" s="529">
        <f>VLOOKUP(D171,'Feb14 Revenue'!D:V,19,FALSE)</f>
        <v>0</v>
      </c>
      <c r="G171" s="680"/>
      <c r="H171" s="680"/>
      <c r="I171" s="755"/>
      <c r="J171" s="682">
        <f t="shared" si="44"/>
        <v>0</v>
      </c>
      <c r="K171" s="683"/>
      <c r="L171" s="684"/>
      <c r="M171" s="753"/>
      <c r="N171" s="683">
        <v>0</v>
      </c>
      <c r="O171" s="686"/>
      <c r="P171" s="683">
        <v>0</v>
      </c>
      <c r="Q171" s="687">
        <f t="shared" si="43"/>
        <v>0</v>
      </c>
      <c r="R171" s="687"/>
      <c r="S171" s="687"/>
      <c r="T171" s="688">
        <v>0</v>
      </c>
      <c r="U171" s="689"/>
      <c r="V171" s="690">
        <f t="shared" si="42"/>
        <v>0</v>
      </c>
      <c r="W171" s="683"/>
      <c r="X171" s="474">
        <f t="shared" si="52"/>
        <v>0</v>
      </c>
      <c r="Y171" s="474">
        <f t="shared" si="53"/>
        <v>0</v>
      </c>
      <c r="Z171" s="475">
        <f t="shared" si="54"/>
        <v>0</v>
      </c>
      <c r="AA171" s="475">
        <v>0</v>
      </c>
      <c r="AB171" s="476">
        <v>0</v>
      </c>
      <c r="AC171" s="38">
        <f t="shared" si="55"/>
        <v>0</v>
      </c>
      <c r="AD171" s="692">
        <f t="shared" si="45"/>
        <v>0</v>
      </c>
      <c r="AE171" s="692">
        <f t="shared" si="46"/>
        <v>0</v>
      </c>
      <c r="AF171" s="692">
        <f t="shared" si="47"/>
        <v>0</v>
      </c>
      <c r="AG171" s="38"/>
      <c r="AH171" s="692">
        <f t="shared" si="49"/>
        <v>0</v>
      </c>
      <c r="AI171" s="692">
        <f t="shared" si="50"/>
        <v>0</v>
      </c>
      <c r="AJ171" s="692">
        <f t="shared" si="51"/>
        <v>0</v>
      </c>
      <c r="AL171" s="38">
        <f t="shared" si="48"/>
        <v>0</v>
      </c>
      <c r="AM171" s="68" t="s">
        <v>185</v>
      </c>
    </row>
    <row r="172" spans="1:39">
      <c r="A172" s="21"/>
      <c r="B172" s="21" t="s">
        <v>110</v>
      </c>
      <c r="C172" s="21"/>
      <c r="D172" s="68" t="s">
        <v>186</v>
      </c>
      <c r="E172" s="679"/>
      <c r="F172" s="529">
        <f>VLOOKUP(D172,'Feb14 Revenue'!D:V,19,FALSE)</f>
        <v>0</v>
      </c>
      <c r="G172" s="680"/>
      <c r="H172" s="680"/>
      <c r="I172" s="755"/>
      <c r="J172" s="682">
        <f t="shared" si="44"/>
        <v>0</v>
      </c>
      <c r="K172" s="683"/>
      <c r="L172" s="684"/>
      <c r="M172" s="753"/>
      <c r="N172" s="683">
        <v>0</v>
      </c>
      <c r="O172" s="686"/>
      <c r="P172" s="683">
        <v>0</v>
      </c>
      <c r="Q172" s="687">
        <f t="shared" si="43"/>
        <v>0</v>
      </c>
      <c r="R172" s="687"/>
      <c r="S172" s="687"/>
      <c r="T172" s="688">
        <v>0</v>
      </c>
      <c r="U172" s="689"/>
      <c r="V172" s="690">
        <f t="shared" si="42"/>
        <v>0</v>
      </c>
      <c r="W172" s="683"/>
      <c r="X172" s="474">
        <f t="shared" si="52"/>
        <v>0</v>
      </c>
      <c r="Y172" s="474">
        <f t="shared" si="53"/>
        <v>0</v>
      </c>
      <c r="Z172" s="475">
        <f t="shared" si="54"/>
        <v>0</v>
      </c>
      <c r="AA172" s="475">
        <v>0</v>
      </c>
      <c r="AB172" s="476">
        <v>0</v>
      </c>
      <c r="AC172" s="38">
        <f t="shared" si="55"/>
        <v>0</v>
      </c>
      <c r="AD172" s="692">
        <f t="shared" si="45"/>
        <v>0</v>
      </c>
      <c r="AE172" s="692">
        <f t="shared" si="46"/>
        <v>0</v>
      </c>
      <c r="AF172" s="692">
        <f t="shared" si="47"/>
        <v>0</v>
      </c>
      <c r="AG172" s="38"/>
      <c r="AH172" s="692">
        <f t="shared" si="49"/>
        <v>0</v>
      </c>
      <c r="AI172" s="692">
        <f t="shared" si="50"/>
        <v>0</v>
      </c>
      <c r="AJ172" s="692">
        <f t="shared" si="51"/>
        <v>0</v>
      </c>
      <c r="AL172" s="38">
        <f t="shared" si="48"/>
        <v>0</v>
      </c>
      <c r="AM172" s="68" t="s">
        <v>186</v>
      </c>
    </row>
    <row r="173" spans="1:39">
      <c r="A173" s="21"/>
      <c r="B173" s="21" t="s">
        <v>110</v>
      </c>
      <c r="C173" s="666"/>
      <c r="D173" s="68" t="s">
        <v>449</v>
      </c>
      <c r="E173" s="679"/>
      <c r="F173" s="529">
        <f>VLOOKUP(D173,'Feb14 Revenue'!D:V,19,FALSE)</f>
        <v>0</v>
      </c>
      <c r="G173" s="680"/>
      <c r="H173" s="680"/>
      <c r="I173" s="755"/>
      <c r="J173" s="682">
        <f t="shared" si="44"/>
        <v>0</v>
      </c>
      <c r="K173" s="683"/>
      <c r="L173" s="684"/>
      <c r="M173" s="753"/>
      <c r="N173" s="683">
        <v>0</v>
      </c>
      <c r="O173" s="686"/>
      <c r="P173" s="683">
        <v>0</v>
      </c>
      <c r="Q173" s="687">
        <f t="shared" si="43"/>
        <v>0</v>
      </c>
      <c r="R173" s="687"/>
      <c r="S173" s="687"/>
      <c r="T173" s="688">
        <v>0</v>
      </c>
      <c r="U173" s="689"/>
      <c r="V173" s="690">
        <f t="shared" si="42"/>
        <v>0</v>
      </c>
      <c r="W173" s="683"/>
      <c r="X173" s="474">
        <f t="shared" si="52"/>
        <v>0</v>
      </c>
      <c r="Y173" s="474">
        <f t="shared" si="53"/>
        <v>0</v>
      </c>
      <c r="Z173" s="475">
        <f t="shared" si="54"/>
        <v>0</v>
      </c>
      <c r="AA173" s="475">
        <v>0</v>
      </c>
      <c r="AB173" s="476">
        <v>0</v>
      </c>
      <c r="AC173" s="38">
        <f t="shared" si="55"/>
        <v>0</v>
      </c>
      <c r="AD173" s="692">
        <f t="shared" si="45"/>
        <v>0</v>
      </c>
      <c r="AE173" s="692">
        <f t="shared" si="46"/>
        <v>0</v>
      </c>
      <c r="AF173" s="692">
        <f t="shared" si="47"/>
        <v>0</v>
      </c>
      <c r="AG173" s="38"/>
      <c r="AH173" s="692">
        <f t="shared" si="49"/>
        <v>0</v>
      </c>
      <c r="AI173" s="692">
        <f t="shared" si="50"/>
        <v>0</v>
      </c>
      <c r="AJ173" s="692">
        <f t="shared" si="51"/>
        <v>0</v>
      </c>
      <c r="AL173" s="38">
        <f t="shared" si="48"/>
        <v>0</v>
      </c>
      <c r="AM173" s="68" t="s">
        <v>449</v>
      </c>
    </row>
    <row r="174" spans="1:39">
      <c r="A174" s="21"/>
      <c r="B174" s="21" t="s">
        <v>110</v>
      </c>
      <c r="C174" s="666" t="s">
        <v>566</v>
      </c>
      <c r="D174" s="68" t="s">
        <v>39</v>
      </c>
      <c r="E174" s="679"/>
      <c r="F174" s="529">
        <f>VLOOKUP(D174,'Feb14 Revenue'!D:V,19,FALSE)</f>
        <v>-204.72000000000025</v>
      </c>
      <c r="G174" s="680"/>
      <c r="H174" s="680"/>
      <c r="I174" s="755"/>
      <c r="J174" s="682">
        <f t="shared" si="44"/>
        <v>-204.72000000000025</v>
      </c>
      <c r="K174" s="683"/>
      <c r="L174" s="684"/>
      <c r="M174" s="753"/>
      <c r="N174" s="683">
        <v>0</v>
      </c>
      <c r="O174" s="686"/>
      <c r="P174" s="683">
        <v>0</v>
      </c>
      <c r="Q174" s="687">
        <f t="shared" si="43"/>
        <v>0</v>
      </c>
      <c r="R174" s="687"/>
      <c r="S174" s="687"/>
      <c r="T174" s="688">
        <v>9346.58</v>
      </c>
      <c r="U174" s="689"/>
      <c r="V174" s="690">
        <f t="shared" si="42"/>
        <v>9346.58</v>
      </c>
      <c r="W174" s="683"/>
      <c r="X174" s="474">
        <f t="shared" si="52"/>
        <v>0</v>
      </c>
      <c r="Y174" s="474">
        <f t="shared" si="53"/>
        <v>0</v>
      </c>
      <c r="Z174" s="475">
        <f t="shared" si="54"/>
        <v>0</v>
      </c>
      <c r="AA174" s="475">
        <v>0</v>
      </c>
      <c r="AB174" s="476">
        <v>0</v>
      </c>
      <c r="AC174" s="38">
        <f t="shared" si="55"/>
        <v>0</v>
      </c>
      <c r="AD174" s="692">
        <f t="shared" si="45"/>
        <v>-204.72000000000025</v>
      </c>
      <c r="AE174" s="692">
        <f t="shared" si="46"/>
        <v>0</v>
      </c>
      <c r="AF174" s="692">
        <f t="shared" si="47"/>
        <v>0</v>
      </c>
      <c r="AG174" s="38"/>
      <c r="AH174" s="692">
        <f t="shared" si="49"/>
        <v>0</v>
      </c>
      <c r="AI174" s="692">
        <f t="shared" si="50"/>
        <v>0</v>
      </c>
      <c r="AJ174" s="692">
        <f t="shared" si="51"/>
        <v>0</v>
      </c>
      <c r="AL174" s="38">
        <f t="shared" si="48"/>
        <v>-204.72000000000025</v>
      </c>
      <c r="AM174" s="68" t="s">
        <v>39</v>
      </c>
    </row>
    <row r="175" spans="1:39" s="232" customFormat="1">
      <c r="A175" s="403"/>
      <c r="B175" s="403" t="s">
        <v>109</v>
      </c>
      <c r="C175" s="666"/>
      <c r="D175" s="68" t="s">
        <v>1039</v>
      </c>
      <c r="E175" s="679"/>
      <c r="F175" s="529">
        <f>VLOOKUP(D175,'Feb14 Revenue'!D:V,19,FALSE)</f>
        <v>0</v>
      </c>
      <c r="G175" s="680"/>
      <c r="H175" s="680"/>
      <c r="I175" s="755"/>
      <c r="J175" s="682">
        <f t="shared" si="44"/>
        <v>0</v>
      </c>
      <c r="K175" s="683"/>
      <c r="L175" s="684"/>
      <c r="M175" s="753">
        <v>15000</v>
      </c>
      <c r="N175" s="683">
        <v>0</v>
      </c>
      <c r="O175" s="686"/>
      <c r="P175" s="683">
        <v>0</v>
      </c>
      <c r="Q175" s="687">
        <f t="shared" si="43"/>
        <v>15000</v>
      </c>
      <c r="R175" s="687"/>
      <c r="S175" s="687"/>
      <c r="T175" s="688">
        <v>0</v>
      </c>
      <c r="U175" s="689"/>
      <c r="V175" s="690">
        <f t="shared" si="42"/>
        <v>-15000</v>
      </c>
      <c r="W175" s="683"/>
      <c r="X175" s="474">
        <f t="shared" si="52"/>
        <v>0</v>
      </c>
      <c r="Y175" s="474">
        <f t="shared" si="53"/>
        <v>15000</v>
      </c>
      <c r="Z175" s="475">
        <f t="shared" si="54"/>
        <v>0</v>
      </c>
      <c r="AA175" s="475">
        <v>0</v>
      </c>
      <c r="AB175" s="476">
        <v>0</v>
      </c>
      <c r="AC175" s="38">
        <f t="shared" si="55"/>
        <v>0</v>
      </c>
      <c r="AD175" s="692">
        <f t="shared" si="45"/>
        <v>0</v>
      </c>
      <c r="AE175" s="692">
        <f t="shared" si="46"/>
        <v>0</v>
      </c>
      <c r="AF175" s="692">
        <f t="shared" si="47"/>
        <v>0</v>
      </c>
      <c r="AG175" s="38"/>
      <c r="AH175" s="692">
        <f t="shared" si="49"/>
        <v>0</v>
      </c>
      <c r="AI175" s="692">
        <f t="shared" si="50"/>
        <v>15000</v>
      </c>
      <c r="AJ175" s="692">
        <f t="shared" si="51"/>
        <v>0</v>
      </c>
      <c r="AL175" s="38">
        <f t="shared" si="48"/>
        <v>15000</v>
      </c>
      <c r="AM175" s="123" t="s">
        <v>220</v>
      </c>
    </row>
    <row r="176" spans="1:39">
      <c r="A176" s="21"/>
      <c r="B176" s="21" t="s">
        <v>110</v>
      </c>
      <c r="C176" s="666" t="s">
        <v>567</v>
      </c>
      <c r="D176" s="68" t="s">
        <v>435</v>
      </c>
      <c r="E176" s="679">
        <v>117163.27</v>
      </c>
      <c r="F176" s="529">
        <f>VLOOKUP(D176,'Feb14 Revenue'!D:V,19,FALSE)</f>
        <v>-120000</v>
      </c>
      <c r="G176" s="680"/>
      <c r="H176" s="680"/>
      <c r="I176" s="770">
        <v>121760.86</v>
      </c>
      <c r="J176" s="682">
        <f t="shared" si="44"/>
        <v>118924.13</v>
      </c>
      <c r="K176" s="683"/>
      <c r="L176" s="684"/>
      <c r="M176" s="753"/>
      <c r="N176" s="683">
        <v>0</v>
      </c>
      <c r="O176" s="686"/>
      <c r="P176" s="683">
        <v>0</v>
      </c>
      <c r="Q176" s="687">
        <f t="shared" si="43"/>
        <v>0</v>
      </c>
      <c r="R176" s="687"/>
      <c r="S176" s="687"/>
      <c r="T176" s="688">
        <v>0</v>
      </c>
      <c r="U176" s="689"/>
      <c r="V176" s="690">
        <f t="shared" si="42"/>
        <v>0</v>
      </c>
      <c r="W176" s="683"/>
      <c r="X176" s="474">
        <f t="shared" si="52"/>
        <v>0</v>
      </c>
      <c r="Y176" s="474">
        <f t="shared" si="53"/>
        <v>0</v>
      </c>
      <c r="Z176" s="475">
        <f t="shared" si="54"/>
        <v>0</v>
      </c>
      <c r="AA176" s="475">
        <v>0</v>
      </c>
      <c r="AB176" s="476">
        <v>0</v>
      </c>
      <c r="AC176" s="38">
        <f t="shared" si="55"/>
        <v>0</v>
      </c>
      <c r="AD176" s="692">
        <f t="shared" si="45"/>
        <v>118924.13</v>
      </c>
      <c r="AE176" s="692">
        <f t="shared" si="46"/>
        <v>0</v>
      </c>
      <c r="AF176" s="692">
        <f t="shared" si="47"/>
        <v>0</v>
      </c>
      <c r="AG176" s="38"/>
      <c r="AH176" s="692">
        <f t="shared" si="49"/>
        <v>0</v>
      </c>
      <c r="AI176" s="692">
        <f t="shared" si="50"/>
        <v>0</v>
      </c>
      <c r="AJ176" s="692">
        <f t="shared" si="51"/>
        <v>0</v>
      </c>
      <c r="AL176" s="38">
        <f t="shared" si="48"/>
        <v>118924.13</v>
      </c>
      <c r="AM176" s="68" t="s">
        <v>435</v>
      </c>
    </row>
    <row r="177" spans="1:39">
      <c r="A177" s="21"/>
      <c r="B177" s="21" t="s">
        <v>110</v>
      </c>
      <c r="C177" s="675" t="s">
        <v>584</v>
      </c>
      <c r="D177" s="806" t="s">
        <v>99</v>
      </c>
      <c r="E177" s="679">
        <v>9574.5</v>
      </c>
      <c r="F177" s="529">
        <f>VLOOKUP(D177,'Feb14 Revenue'!D:V,19,FALSE)</f>
        <v>-12301.55</v>
      </c>
      <c r="G177" s="680"/>
      <c r="H177" s="680"/>
      <c r="I177" s="755"/>
      <c r="J177" s="682">
        <f t="shared" si="44"/>
        <v>-2727.0499999999993</v>
      </c>
      <c r="K177" s="683"/>
      <c r="L177" s="684"/>
      <c r="M177" s="753">
        <v>10000</v>
      </c>
      <c r="N177" s="683">
        <v>0</v>
      </c>
      <c r="O177" s="686"/>
      <c r="P177" s="683">
        <v>0</v>
      </c>
      <c r="Q177" s="687">
        <f t="shared" si="43"/>
        <v>10000</v>
      </c>
      <c r="R177" s="687"/>
      <c r="S177" s="687"/>
      <c r="T177" s="688">
        <v>8465.84</v>
      </c>
      <c r="U177" s="689"/>
      <c r="V177" s="690">
        <f t="shared" si="42"/>
        <v>-1534.1599999999999</v>
      </c>
      <c r="W177" s="683"/>
      <c r="X177" s="474">
        <f t="shared" si="52"/>
        <v>10000</v>
      </c>
      <c r="Y177" s="474">
        <f t="shared" si="53"/>
        <v>0</v>
      </c>
      <c r="Z177" s="475">
        <f t="shared" si="54"/>
        <v>0</v>
      </c>
      <c r="AA177" s="475">
        <v>0</v>
      </c>
      <c r="AB177" s="476">
        <v>0</v>
      </c>
      <c r="AC177" s="38">
        <f t="shared" si="55"/>
        <v>0</v>
      </c>
      <c r="AD177" s="692">
        <f t="shared" si="45"/>
        <v>-2727.0499999999993</v>
      </c>
      <c r="AE177" s="692">
        <f>IF(B177="M",J177,0)</f>
        <v>0</v>
      </c>
      <c r="AF177" s="692">
        <f t="shared" si="47"/>
        <v>0</v>
      </c>
      <c r="AG177" s="38"/>
      <c r="AH177" s="692">
        <f t="shared" si="49"/>
        <v>10000</v>
      </c>
      <c r="AI177" s="692">
        <f t="shared" si="50"/>
        <v>0</v>
      </c>
      <c r="AJ177" s="692">
        <f t="shared" si="51"/>
        <v>0</v>
      </c>
      <c r="AL177" s="38">
        <f t="shared" si="48"/>
        <v>7272.9500000000007</v>
      </c>
      <c r="AM177" s="806" t="s">
        <v>99</v>
      </c>
    </row>
    <row r="178" spans="1:39" s="232" customFormat="1">
      <c r="A178" s="403"/>
      <c r="B178" s="403" t="s">
        <v>110</v>
      </c>
      <c r="C178" s="666"/>
      <c r="D178" s="838" t="s">
        <v>966</v>
      </c>
      <c r="E178" s="679"/>
      <c r="F178" s="529">
        <f>VLOOKUP(D178,'Feb14 Revenue'!D:V,19,FALSE)</f>
        <v>0</v>
      </c>
      <c r="G178" s="680"/>
      <c r="H178" s="680"/>
      <c r="I178" s="755"/>
      <c r="J178" s="682">
        <f t="shared" si="44"/>
        <v>0</v>
      </c>
      <c r="K178" s="683"/>
      <c r="L178" s="684"/>
      <c r="M178" s="839">
        <v>80000</v>
      </c>
      <c r="N178" s="683">
        <v>0</v>
      </c>
      <c r="O178" s="686"/>
      <c r="P178" s="683">
        <v>0</v>
      </c>
      <c r="Q178" s="687">
        <f t="shared" si="43"/>
        <v>80000</v>
      </c>
      <c r="R178" s="687"/>
      <c r="S178" s="687"/>
      <c r="T178" s="688">
        <v>0</v>
      </c>
      <c r="U178" s="689"/>
      <c r="V178" s="690">
        <f t="shared" si="42"/>
        <v>-80000</v>
      </c>
      <c r="W178" s="683"/>
      <c r="X178" s="474">
        <f t="shared" si="52"/>
        <v>80000</v>
      </c>
      <c r="Y178" s="474">
        <f t="shared" si="53"/>
        <v>0</v>
      </c>
      <c r="Z178" s="475">
        <f t="shared" si="54"/>
        <v>0</v>
      </c>
      <c r="AA178" s="475">
        <v>0</v>
      </c>
      <c r="AB178" s="476">
        <v>0</v>
      </c>
      <c r="AC178" s="38">
        <f t="shared" si="55"/>
        <v>0</v>
      </c>
      <c r="AD178" s="692">
        <f t="shared" si="45"/>
        <v>0</v>
      </c>
      <c r="AE178" s="692">
        <f t="shared" si="46"/>
        <v>0</v>
      </c>
      <c r="AF178" s="692">
        <f t="shared" si="47"/>
        <v>0</v>
      </c>
      <c r="AG178" s="38"/>
      <c r="AH178" s="692">
        <f t="shared" si="49"/>
        <v>80000</v>
      </c>
      <c r="AI178" s="692">
        <f t="shared" si="50"/>
        <v>0</v>
      </c>
      <c r="AJ178" s="692">
        <f t="shared" si="51"/>
        <v>0</v>
      </c>
      <c r="AL178" s="38">
        <f t="shared" si="48"/>
        <v>80000</v>
      </c>
      <c r="AM178" s="813" t="s">
        <v>966</v>
      </c>
    </row>
    <row r="179" spans="1:39" s="232" customFormat="1">
      <c r="A179" s="403"/>
      <c r="B179" s="403" t="s">
        <v>110</v>
      </c>
      <c r="C179" s="666" t="s">
        <v>568</v>
      </c>
      <c r="D179" s="807" t="s">
        <v>303</v>
      </c>
      <c r="E179" s="679">
        <v>304555.07</v>
      </c>
      <c r="F179" s="529">
        <f>VLOOKUP(D179,'Feb14 Revenue'!D:V,19,FALSE)</f>
        <v>-100000</v>
      </c>
      <c r="G179" s="680"/>
      <c r="H179" s="680"/>
      <c r="I179" s="755"/>
      <c r="J179" s="682">
        <f t="shared" si="44"/>
        <v>204555.07</v>
      </c>
      <c r="K179" s="683"/>
      <c r="L179" s="684"/>
      <c r="M179" s="831">
        <f>600000-500000</f>
        <v>100000</v>
      </c>
      <c r="N179" s="683">
        <v>0</v>
      </c>
      <c r="O179" s="686"/>
      <c r="P179" s="683">
        <v>0</v>
      </c>
      <c r="Q179" s="687">
        <f t="shared" si="43"/>
        <v>100000</v>
      </c>
      <c r="R179" s="687"/>
      <c r="S179" s="687"/>
      <c r="T179" s="688">
        <v>0</v>
      </c>
      <c r="U179" s="689"/>
      <c r="V179" s="690">
        <f t="shared" si="42"/>
        <v>-100000</v>
      </c>
      <c r="W179" s="683"/>
      <c r="X179" s="474">
        <f t="shared" si="52"/>
        <v>100000</v>
      </c>
      <c r="Y179" s="474">
        <f t="shared" si="53"/>
        <v>0</v>
      </c>
      <c r="Z179" s="475">
        <f t="shared" si="54"/>
        <v>0</v>
      </c>
      <c r="AA179" s="475">
        <v>0</v>
      </c>
      <c r="AB179" s="476">
        <v>0</v>
      </c>
      <c r="AC179" s="38">
        <f t="shared" si="55"/>
        <v>0</v>
      </c>
      <c r="AD179" s="692">
        <f t="shared" si="45"/>
        <v>204555.07</v>
      </c>
      <c r="AE179" s="692">
        <f t="shared" si="46"/>
        <v>0</v>
      </c>
      <c r="AF179" s="692">
        <f t="shared" si="47"/>
        <v>0</v>
      </c>
      <c r="AG179" s="38"/>
      <c r="AH179" s="692">
        <f t="shared" si="49"/>
        <v>100000</v>
      </c>
      <c r="AI179" s="692">
        <f t="shared" si="50"/>
        <v>0</v>
      </c>
      <c r="AJ179" s="692">
        <f t="shared" si="51"/>
        <v>0</v>
      </c>
      <c r="AL179" s="38">
        <f t="shared" si="48"/>
        <v>304555.07</v>
      </c>
      <c r="AM179" s="807" t="s">
        <v>303</v>
      </c>
    </row>
    <row r="180" spans="1:39" s="232" customFormat="1">
      <c r="A180" s="403"/>
      <c r="B180" s="403" t="s">
        <v>110</v>
      </c>
      <c r="C180" s="666"/>
      <c r="D180" s="807" t="s">
        <v>856</v>
      </c>
      <c r="E180" s="679"/>
      <c r="F180" s="529">
        <f>VLOOKUP(D180,'Feb14 Revenue'!D:V,19,FALSE)</f>
        <v>0</v>
      </c>
      <c r="G180" s="680"/>
      <c r="H180" s="680"/>
      <c r="I180" s="755"/>
      <c r="J180" s="682">
        <f t="shared" si="44"/>
        <v>0</v>
      </c>
      <c r="K180" s="683"/>
      <c r="L180" s="684"/>
      <c r="M180" s="753"/>
      <c r="N180" s="683">
        <v>0</v>
      </c>
      <c r="O180" s="686"/>
      <c r="P180" s="683">
        <v>0</v>
      </c>
      <c r="Q180" s="687">
        <f t="shared" si="43"/>
        <v>0</v>
      </c>
      <c r="R180" s="687"/>
      <c r="S180" s="687"/>
      <c r="T180" s="688">
        <v>0</v>
      </c>
      <c r="U180" s="689"/>
      <c r="V180" s="690">
        <f t="shared" si="42"/>
        <v>0</v>
      </c>
      <c r="W180" s="683"/>
      <c r="X180" s="474">
        <f t="shared" si="52"/>
        <v>0</v>
      </c>
      <c r="Y180" s="474">
        <f t="shared" si="53"/>
        <v>0</v>
      </c>
      <c r="Z180" s="475">
        <f t="shared" si="54"/>
        <v>0</v>
      </c>
      <c r="AA180" s="475">
        <v>0</v>
      </c>
      <c r="AB180" s="476">
        <v>0</v>
      </c>
      <c r="AC180" s="38">
        <f t="shared" si="55"/>
        <v>0</v>
      </c>
      <c r="AD180" s="692">
        <f t="shared" si="45"/>
        <v>0</v>
      </c>
      <c r="AE180" s="692">
        <f t="shared" si="46"/>
        <v>0</v>
      </c>
      <c r="AF180" s="692">
        <f t="shared" si="47"/>
        <v>0</v>
      </c>
      <c r="AG180" s="38"/>
      <c r="AH180" s="692">
        <f t="shared" si="49"/>
        <v>0</v>
      </c>
      <c r="AI180" s="692">
        <f t="shared" si="50"/>
        <v>0</v>
      </c>
      <c r="AJ180" s="692">
        <f t="shared" si="51"/>
        <v>0</v>
      </c>
      <c r="AL180" s="38">
        <f t="shared" si="48"/>
        <v>0</v>
      </c>
      <c r="AM180" s="807" t="s">
        <v>856</v>
      </c>
    </row>
    <row r="181" spans="1:39" s="232" customFormat="1">
      <c r="A181" s="403"/>
      <c r="B181" s="403" t="s">
        <v>109</v>
      </c>
      <c r="C181" s="666" t="s">
        <v>569</v>
      </c>
      <c r="D181" s="123" t="s">
        <v>468</v>
      </c>
      <c r="E181" s="679"/>
      <c r="F181" s="529">
        <f>VLOOKUP(D181,'Feb14 Revenue'!D:V,19,FALSE)</f>
        <v>0</v>
      </c>
      <c r="G181" s="680"/>
      <c r="H181" s="680"/>
      <c r="I181" s="755"/>
      <c r="J181" s="682">
        <f t="shared" si="44"/>
        <v>0</v>
      </c>
      <c r="K181" s="683"/>
      <c r="L181" s="684"/>
      <c r="M181" s="753"/>
      <c r="N181" s="683">
        <v>0</v>
      </c>
      <c r="O181" s="686"/>
      <c r="P181" s="683">
        <v>0</v>
      </c>
      <c r="Q181" s="687">
        <f t="shared" si="43"/>
        <v>0</v>
      </c>
      <c r="R181" s="687"/>
      <c r="S181" s="687"/>
      <c r="T181" s="688">
        <v>0</v>
      </c>
      <c r="U181" s="689"/>
      <c r="V181" s="690">
        <f t="shared" si="42"/>
        <v>0</v>
      </c>
      <c r="W181" s="683"/>
      <c r="X181" s="474">
        <f t="shared" si="52"/>
        <v>0</v>
      </c>
      <c r="Y181" s="474">
        <f t="shared" si="53"/>
        <v>0</v>
      </c>
      <c r="Z181" s="475">
        <f t="shared" si="54"/>
        <v>0</v>
      </c>
      <c r="AA181" s="475">
        <v>0</v>
      </c>
      <c r="AB181" s="476">
        <v>0</v>
      </c>
      <c r="AC181" s="38">
        <f t="shared" si="55"/>
        <v>0</v>
      </c>
      <c r="AD181" s="692">
        <f t="shared" si="45"/>
        <v>0</v>
      </c>
      <c r="AE181" s="692">
        <f t="shared" si="46"/>
        <v>0</v>
      </c>
      <c r="AF181" s="692">
        <f t="shared" si="47"/>
        <v>0</v>
      </c>
      <c r="AG181" s="38"/>
      <c r="AH181" s="692">
        <f t="shared" si="49"/>
        <v>0</v>
      </c>
      <c r="AI181" s="692">
        <f t="shared" si="50"/>
        <v>0</v>
      </c>
      <c r="AJ181" s="692">
        <f t="shared" si="51"/>
        <v>0</v>
      </c>
      <c r="AL181" s="38">
        <f t="shared" si="48"/>
        <v>0</v>
      </c>
      <c r="AM181" s="123" t="s">
        <v>468</v>
      </c>
    </row>
    <row r="182" spans="1:39">
      <c r="A182" s="20"/>
      <c r="B182" s="20" t="s">
        <v>110</v>
      </c>
      <c r="C182" s="676" t="s">
        <v>844</v>
      </c>
      <c r="D182" s="68" t="s">
        <v>1089</v>
      </c>
      <c r="E182" s="679"/>
      <c r="F182" s="529">
        <v>0</v>
      </c>
      <c r="G182" s="680"/>
      <c r="H182" s="680"/>
      <c r="I182" s="755"/>
      <c r="J182" s="682">
        <f t="shared" ref="J182" si="56">SUM(E182:I182)</f>
        <v>0</v>
      </c>
      <c r="K182" s="683"/>
      <c r="L182" s="684"/>
      <c r="M182" s="753"/>
      <c r="N182" s="683">
        <v>0</v>
      </c>
      <c r="O182" s="686"/>
      <c r="P182" s="683">
        <v>0</v>
      </c>
      <c r="Q182" s="687">
        <f t="shared" ref="Q182" si="57">L182+M182</f>
        <v>0</v>
      </c>
      <c r="R182" s="687"/>
      <c r="S182" s="687"/>
      <c r="T182" s="688">
        <v>41.72</v>
      </c>
      <c r="U182" s="689"/>
      <c r="V182" s="690">
        <f t="shared" ref="V182" si="58">IF(T182="","",T182-Q182)</f>
        <v>41.72</v>
      </c>
      <c r="W182" s="683"/>
      <c r="X182" s="474">
        <f t="shared" ref="X182" si="59">IF(B182="D",Q182,0)</f>
        <v>0</v>
      </c>
      <c r="Y182" s="474">
        <f t="shared" ref="Y182" si="60">IF(B182="M",Q182,0)</f>
        <v>0</v>
      </c>
      <c r="Z182" s="475">
        <f t="shared" ref="Z182" si="61">IF(B182="V",Q182,0)</f>
        <v>0</v>
      </c>
      <c r="AA182" s="475">
        <v>0</v>
      </c>
      <c r="AB182" s="476">
        <v>0</v>
      </c>
      <c r="AC182" s="38">
        <f t="shared" ref="AC182" si="62">(L182+M182)-(X182+Y182+Z182+AA182+AB182)</f>
        <v>0</v>
      </c>
      <c r="AD182" s="692">
        <f t="shared" ref="AD182" si="63">IF(B182="D",J182,0)</f>
        <v>0</v>
      </c>
      <c r="AE182" s="692">
        <f t="shared" ref="AE182" si="64">IF(B182="M",J182,0)</f>
        <v>0</v>
      </c>
      <c r="AF182" s="692">
        <f t="shared" ref="AF182" si="65">IF(B182="V",J182,0)</f>
        <v>0</v>
      </c>
      <c r="AG182" s="38"/>
      <c r="AH182" s="692">
        <f t="shared" ref="AH182" si="66">IF(B182="D",Q182,0)</f>
        <v>0</v>
      </c>
      <c r="AI182" s="692">
        <f t="shared" ref="AI182" si="67">IF(B182="M",Q182,0)</f>
        <v>0</v>
      </c>
      <c r="AJ182" s="692">
        <f t="shared" ref="AJ182" si="68">IF(B182="V",Q182,0)</f>
        <v>0</v>
      </c>
      <c r="AL182" s="38">
        <f t="shared" ref="AL182" si="69">SUM(AD182:AJ182)</f>
        <v>0</v>
      </c>
      <c r="AM182" s="68" t="s">
        <v>845</v>
      </c>
    </row>
    <row r="183" spans="1:39">
      <c r="A183" s="20"/>
      <c r="B183" s="20" t="s">
        <v>110</v>
      </c>
      <c r="C183" s="676" t="s">
        <v>844</v>
      </c>
      <c r="D183" s="68" t="s">
        <v>845</v>
      </c>
      <c r="E183" s="679"/>
      <c r="F183" s="529">
        <f>VLOOKUP(D183,'Feb14 Revenue'!D:V,19,FALSE)</f>
        <v>0</v>
      </c>
      <c r="G183" s="680"/>
      <c r="H183" s="680"/>
      <c r="I183" s="755"/>
      <c r="J183" s="682">
        <f t="shared" si="44"/>
        <v>0</v>
      </c>
      <c r="K183" s="683"/>
      <c r="L183" s="684"/>
      <c r="M183" s="753"/>
      <c r="N183" s="683">
        <v>0</v>
      </c>
      <c r="O183" s="686"/>
      <c r="P183" s="683">
        <v>0</v>
      </c>
      <c r="Q183" s="687">
        <f t="shared" si="43"/>
        <v>0</v>
      </c>
      <c r="R183" s="687"/>
      <c r="S183" s="687"/>
      <c r="T183" s="688">
        <v>0</v>
      </c>
      <c r="U183" s="689"/>
      <c r="V183" s="690">
        <f t="shared" si="42"/>
        <v>0</v>
      </c>
      <c r="W183" s="683"/>
      <c r="X183" s="474">
        <f t="shared" si="52"/>
        <v>0</v>
      </c>
      <c r="Y183" s="474">
        <f t="shared" si="53"/>
        <v>0</v>
      </c>
      <c r="Z183" s="475">
        <f t="shared" si="54"/>
        <v>0</v>
      </c>
      <c r="AA183" s="475">
        <v>0</v>
      </c>
      <c r="AB183" s="476">
        <v>0</v>
      </c>
      <c r="AC183" s="38">
        <f t="shared" si="55"/>
        <v>0</v>
      </c>
      <c r="AD183" s="692">
        <f t="shared" si="45"/>
        <v>0</v>
      </c>
      <c r="AE183" s="692">
        <f t="shared" si="46"/>
        <v>0</v>
      </c>
      <c r="AF183" s="692">
        <f t="shared" si="47"/>
        <v>0</v>
      </c>
      <c r="AG183" s="38"/>
      <c r="AH183" s="692">
        <f t="shared" si="49"/>
        <v>0</v>
      </c>
      <c r="AI183" s="692">
        <f t="shared" si="50"/>
        <v>0</v>
      </c>
      <c r="AJ183" s="692">
        <f t="shared" si="51"/>
        <v>0</v>
      </c>
      <c r="AL183" s="38">
        <f t="shared" si="48"/>
        <v>0</v>
      </c>
      <c r="AM183" s="68" t="s">
        <v>845</v>
      </c>
    </row>
    <row r="184" spans="1:39">
      <c r="A184" s="20"/>
      <c r="B184" s="20" t="s">
        <v>110</v>
      </c>
      <c r="C184" s="676" t="s">
        <v>977</v>
      </c>
      <c r="D184" s="68" t="s">
        <v>978</v>
      </c>
      <c r="E184" s="679">
        <v>2560.5</v>
      </c>
      <c r="F184" s="529">
        <f>VLOOKUP(D184,'Feb14 Revenue'!D:V,19,FALSE)</f>
        <v>-7380.6399999999994</v>
      </c>
      <c r="G184" s="680"/>
      <c r="H184" s="680"/>
      <c r="I184" s="755"/>
      <c r="J184" s="682">
        <f t="shared" si="44"/>
        <v>-4820.1399999999994</v>
      </c>
      <c r="K184" s="683"/>
      <c r="L184" s="684"/>
      <c r="M184" s="753">
        <v>3000</v>
      </c>
      <c r="N184" s="683">
        <v>0</v>
      </c>
      <c r="O184" s="686"/>
      <c r="P184" s="683">
        <v>0</v>
      </c>
      <c r="Q184" s="687">
        <f t="shared" si="43"/>
        <v>3000</v>
      </c>
      <c r="R184" s="687"/>
      <c r="S184" s="687"/>
      <c r="T184" s="688">
        <v>3159</v>
      </c>
      <c r="U184" s="689"/>
      <c r="V184" s="690">
        <f t="shared" si="42"/>
        <v>159</v>
      </c>
      <c r="W184" s="683"/>
      <c r="X184" s="474">
        <f t="shared" si="52"/>
        <v>3000</v>
      </c>
      <c r="Y184" s="474">
        <f t="shared" si="53"/>
        <v>0</v>
      </c>
      <c r="Z184" s="475">
        <f t="shared" si="54"/>
        <v>0</v>
      </c>
      <c r="AA184" s="475">
        <v>0</v>
      </c>
      <c r="AB184" s="476">
        <v>0</v>
      </c>
      <c r="AC184" s="38">
        <f t="shared" si="55"/>
        <v>0</v>
      </c>
      <c r="AD184" s="692">
        <f t="shared" si="45"/>
        <v>-4820.1399999999994</v>
      </c>
      <c r="AE184" s="692">
        <f t="shared" si="46"/>
        <v>0</v>
      </c>
      <c r="AF184" s="692">
        <f t="shared" si="47"/>
        <v>0</v>
      </c>
      <c r="AG184" s="38"/>
      <c r="AH184" s="692">
        <f t="shared" si="49"/>
        <v>3000</v>
      </c>
      <c r="AI184" s="692">
        <f t="shared" si="50"/>
        <v>0</v>
      </c>
      <c r="AJ184" s="692">
        <f t="shared" si="51"/>
        <v>0</v>
      </c>
      <c r="AL184" s="38">
        <f t="shared" si="48"/>
        <v>-1820.1399999999994</v>
      </c>
      <c r="AM184" s="68" t="s">
        <v>978</v>
      </c>
    </row>
    <row r="185" spans="1:39">
      <c r="A185" s="20"/>
      <c r="B185" s="20" t="s">
        <v>109</v>
      </c>
      <c r="C185" s="667" t="s">
        <v>570</v>
      </c>
      <c r="D185" s="68" t="s">
        <v>221</v>
      </c>
      <c r="E185" s="679"/>
      <c r="F185" s="529">
        <f>VLOOKUP(D185,'Feb14 Revenue'!D:V,19,FALSE)</f>
        <v>0</v>
      </c>
      <c r="G185" s="680"/>
      <c r="H185" s="680"/>
      <c r="I185" s="755"/>
      <c r="J185" s="682">
        <f t="shared" si="44"/>
        <v>0</v>
      </c>
      <c r="K185" s="683"/>
      <c r="L185" s="684"/>
      <c r="M185" s="753"/>
      <c r="N185" s="683">
        <v>0</v>
      </c>
      <c r="O185" s="686"/>
      <c r="P185" s="683">
        <v>0</v>
      </c>
      <c r="Q185" s="687">
        <f t="shared" si="43"/>
        <v>0</v>
      </c>
      <c r="R185" s="687"/>
      <c r="S185" s="687"/>
      <c r="T185" s="688">
        <v>0</v>
      </c>
      <c r="U185" s="689"/>
      <c r="V185" s="690">
        <f t="shared" si="42"/>
        <v>0</v>
      </c>
      <c r="W185" s="683"/>
      <c r="X185" s="474">
        <f t="shared" si="52"/>
        <v>0</v>
      </c>
      <c r="Y185" s="474">
        <f t="shared" si="53"/>
        <v>0</v>
      </c>
      <c r="Z185" s="475">
        <f t="shared" si="54"/>
        <v>0</v>
      </c>
      <c r="AA185" s="475">
        <v>0</v>
      </c>
      <c r="AB185" s="476">
        <v>0</v>
      </c>
      <c r="AC185" s="38">
        <f t="shared" si="55"/>
        <v>0</v>
      </c>
      <c r="AD185" s="692">
        <f t="shared" si="45"/>
        <v>0</v>
      </c>
      <c r="AE185" s="692">
        <f t="shared" si="46"/>
        <v>0</v>
      </c>
      <c r="AF185" s="692">
        <f t="shared" si="47"/>
        <v>0</v>
      </c>
      <c r="AG185" s="38"/>
      <c r="AH185" s="692">
        <f t="shared" si="49"/>
        <v>0</v>
      </c>
      <c r="AI185" s="692">
        <f t="shared" si="50"/>
        <v>0</v>
      </c>
      <c r="AJ185" s="692">
        <f t="shared" si="51"/>
        <v>0</v>
      </c>
      <c r="AL185" s="38">
        <f t="shared" si="48"/>
        <v>0</v>
      </c>
      <c r="AM185" s="68" t="s">
        <v>221</v>
      </c>
    </row>
    <row r="186" spans="1:39">
      <c r="A186" s="21"/>
      <c r="B186" s="21" t="s">
        <v>110</v>
      </c>
      <c r="C186" s="666"/>
      <c r="D186" s="68" t="s">
        <v>985</v>
      </c>
      <c r="E186" s="679"/>
      <c r="F186" s="529">
        <f>VLOOKUP(D186,'Feb14 Revenue'!D:V,19,FALSE)</f>
        <v>0</v>
      </c>
      <c r="G186" s="680"/>
      <c r="H186" s="680"/>
      <c r="I186" s="755"/>
      <c r="J186" s="682">
        <f t="shared" si="44"/>
        <v>0</v>
      </c>
      <c r="K186" s="683"/>
      <c r="L186" s="684"/>
      <c r="M186" s="753"/>
      <c r="N186" s="683">
        <v>0</v>
      </c>
      <c r="O186" s="686"/>
      <c r="P186" s="683">
        <v>0</v>
      </c>
      <c r="Q186" s="687">
        <f t="shared" si="43"/>
        <v>0</v>
      </c>
      <c r="R186" s="687"/>
      <c r="S186" s="687"/>
      <c r="T186" s="688">
        <v>0</v>
      </c>
      <c r="U186" s="689"/>
      <c r="V186" s="690">
        <f t="shared" si="42"/>
        <v>0</v>
      </c>
      <c r="W186" s="683"/>
      <c r="X186" s="474">
        <f t="shared" si="52"/>
        <v>0</v>
      </c>
      <c r="Y186" s="474">
        <f t="shared" si="53"/>
        <v>0</v>
      </c>
      <c r="Z186" s="475">
        <f t="shared" si="54"/>
        <v>0</v>
      </c>
      <c r="AA186" s="475">
        <v>0</v>
      </c>
      <c r="AB186" s="476">
        <v>0</v>
      </c>
      <c r="AC186" s="38">
        <f t="shared" si="55"/>
        <v>0</v>
      </c>
      <c r="AD186" s="692">
        <f t="shared" si="45"/>
        <v>0</v>
      </c>
      <c r="AE186" s="692">
        <f t="shared" si="46"/>
        <v>0</v>
      </c>
      <c r="AF186" s="692">
        <f t="shared" si="47"/>
        <v>0</v>
      </c>
      <c r="AG186" s="38"/>
      <c r="AH186" s="692">
        <f t="shared" si="49"/>
        <v>0</v>
      </c>
      <c r="AI186" s="692">
        <f t="shared" si="50"/>
        <v>0</v>
      </c>
      <c r="AJ186" s="692">
        <f t="shared" si="51"/>
        <v>0</v>
      </c>
      <c r="AL186" s="38">
        <f t="shared" si="48"/>
        <v>0</v>
      </c>
      <c r="AM186" s="68" t="s">
        <v>985</v>
      </c>
    </row>
    <row r="187" spans="1:39">
      <c r="A187" s="21"/>
      <c r="B187" s="21" t="s">
        <v>109</v>
      </c>
      <c r="C187" s="666" t="s">
        <v>571</v>
      </c>
      <c r="D187" s="68" t="s">
        <v>44</v>
      </c>
      <c r="E187" s="679"/>
      <c r="F187" s="529">
        <f>VLOOKUP(D187,'Feb14 Revenue'!D:V,19,FALSE)</f>
        <v>0</v>
      </c>
      <c r="G187" s="680"/>
      <c r="H187" s="680"/>
      <c r="I187" s="755"/>
      <c r="J187" s="682">
        <f t="shared" si="44"/>
        <v>0</v>
      </c>
      <c r="K187" s="683"/>
      <c r="L187" s="684"/>
      <c r="M187" s="753"/>
      <c r="N187" s="683">
        <v>0</v>
      </c>
      <c r="O187" s="686"/>
      <c r="P187" s="683">
        <v>0</v>
      </c>
      <c r="Q187" s="687">
        <f t="shared" si="43"/>
        <v>0</v>
      </c>
      <c r="R187" s="687"/>
      <c r="S187" s="687"/>
      <c r="T187" s="688">
        <v>0</v>
      </c>
      <c r="U187" s="689"/>
      <c r="V187" s="690">
        <f t="shared" si="42"/>
        <v>0</v>
      </c>
      <c r="W187" s="683"/>
      <c r="X187" s="474">
        <f t="shared" si="52"/>
        <v>0</v>
      </c>
      <c r="Y187" s="474">
        <f t="shared" si="53"/>
        <v>0</v>
      </c>
      <c r="Z187" s="475">
        <f t="shared" si="54"/>
        <v>0</v>
      </c>
      <c r="AA187" s="475">
        <v>0</v>
      </c>
      <c r="AB187" s="476">
        <v>0</v>
      </c>
      <c r="AC187" s="38">
        <f t="shared" si="55"/>
        <v>0</v>
      </c>
      <c r="AD187" s="692">
        <f t="shared" si="45"/>
        <v>0</v>
      </c>
      <c r="AE187" s="692">
        <f t="shared" si="46"/>
        <v>0</v>
      </c>
      <c r="AF187" s="692">
        <f t="shared" si="47"/>
        <v>0</v>
      </c>
      <c r="AG187" s="38"/>
      <c r="AH187" s="692">
        <f t="shared" si="49"/>
        <v>0</v>
      </c>
      <c r="AI187" s="692">
        <f t="shared" si="50"/>
        <v>0</v>
      </c>
      <c r="AJ187" s="692">
        <f t="shared" si="51"/>
        <v>0</v>
      </c>
      <c r="AL187" s="38">
        <f t="shared" si="48"/>
        <v>0</v>
      </c>
      <c r="AM187" s="68" t="s">
        <v>44</v>
      </c>
    </row>
    <row r="188" spans="1:39">
      <c r="A188" s="21"/>
      <c r="B188" s="21" t="s">
        <v>114</v>
      </c>
      <c r="C188" s="666" t="s">
        <v>571</v>
      </c>
      <c r="D188" s="68" t="s">
        <v>44</v>
      </c>
      <c r="E188" s="679"/>
      <c r="F188" s="529">
        <f>VLOOKUP(D188,'Feb14 Revenue'!D:V,19,FALSE)</f>
        <v>0</v>
      </c>
      <c r="G188" s="680"/>
      <c r="H188" s="680"/>
      <c r="I188" s="755"/>
      <c r="J188" s="682">
        <f t="shared" si="44"/>
        <v>0</v>
      </c>
      <c r="K188" s="683"/>
      <c r="L188" s="684"/>
      <c r="M188" s="753"/>
      <c r="N188" s="683">
        <v>0</v>
      </c>
      <c r="O188" s="686"/>
      <c r="P188" s="683">
        <v>0</v>
      </c>
      <c r="Q188" s="687">
        <f t="shared" si="43"/>
        <v>0</v>
      </c>
      <c r="R188" s="687"/>
      <c r="S188" s="687"/>
      <c r="T188" s="688">
        <v>0</v>
      </c>
      <c r="U188" s="689"/>
      <c r="V188" s="690">
        <f t="shared" si="42"/>
        <v>0</v>
      </c>
      <c r="W188" s="683"/>
      <c r="X188" s="474">
        <f t="shared" si="52"/>
        <v>0</v>
      </c>
      <c r="Y188" s="474">
        <f t="shared" si="53"/>
        <v>0</v>
      </c>
      <c r="Z188" s="475">
        <f t="shared" si="54"/>
        <v>0</v>
      </c>
      <c r="AA188" s="475">
        <v>0</v>
      </c>
      <c r="AB188" s="476">
        <v>0</v>
      </c>
      <c r="AC188" s="38">
        <f t="shared" si="55"/>
        <v>0</v>
      </c>
      <c r="AD188" s="692">
        <f t="shared" si="45"/>
        <v>0</v>
      </c>
      <c r="AE188" s="692">
        <f t="shared" si="46"/>
        <v>0</v>
      </c>
      <c r="AF188" s="692">
        <f t="shared" si="47"/>
        <v>0</v>
      </c>
      <c r="AG188" s="38"/>
      <c r="AH188" s="692">
        <f t="shared" si="49"/>
        <v>0</v>
      </c>
      <c r="AI188" s="692">
        <f t="shared" si="50"/>
        <v>0</v>
      </c>
      <c r="AJ188" s="692">
        <f t="shared" si="51"/>
        <v>0</v>
      </c>
      <c r="AL188" s="38">
        <f t="shared" si="48"/>
        <v>0</v>
      </c>
      <c r="AM188" s="68" t="s">
        <v>44</v>
      </c>
    </row>
    <row r="189" spans="1:39">
      <c r="A189" s="21"/>
      <c r="B189" s="21" t="s">
        <v>110</v>
      </c>
      <c r="C189" s="666" t="s">
        <v>572</v>
      </c>
      <c r="D189" s="806" t="s">
        <v>388</v>
      </c>
      <c r="E189" s="679"/>
      <c r="F189" s="529">
        <f>VLOOKUP(D189,'Feb14 Revenue'!D:V,19,FALSE)</f>
        <v>0</v>
      </c>
      <c r="G189" s="680"/>
      <c r="H189" s="680"/>
      <c r="I189" s="770">
        <f>994.89+17298.74</f>
        <v>18293.63</v>
      </c>
      <c r="J189" s="682">
        <f t="shared" si="44"/>
        <v>18293.63</v>
      </c>
      <c r="K189" s="683"/>
      <c r="L189" s="684"/>
      <c r="M189" s="753"/>
      <c r="N189" s="683">
        <v>0</v>
      </c>
      <c r="O189" s="686"/>
      <c r="P189" s="683">
        <v>0</v>
      </c>
      <c r="Q189" s="687">
        <f t="shared" si="43"/>
        <v>0</v>
      </c>
      <c r="R189" s="687"/>
      <c r="S189" s="687"/>
      <c r="T189" s="688">
        <v>0</v>
      </c>
      <c r="U189" s="689"/>
      <c r="V189" s="690">
        <f t="shared" si="42"/>
        <v>0</v>
      </c>
      <c r="W189" s="683"/>
      <c r="X189" s="474">
        <f t="shared" si="52"/>
        <v>0</v>
      </c>
      <c r="Y189" s="474">
        <f t="shared" si="53"/>
        <v>0</v>
      </c>
      <c r="Z189" s="475">
        <f t="shared" si="54"/>
        <v>0</v>
      </c>
      <c r="AA189" s="475">
        <v>0</v>
      </c>
      <c r="AB189" s="476">
        <v>0</v>
      </c>
      <c r="AC189" s="38">
        <f t="shared" si="55"/>
        <v>0</v>
      </c>
      <c r="AD189" s="692">
        <f t="shared" si="45"/>
        <v>18293.63</v>
      </c>
      <c r="AE189" s="692">
        <f t="shared" si="46"/>
        <v>0</v>
      </c>
      <c r="AF189" s="692">
        <f t="shared" si="47"/>
        <v>0</v>
      </c>
      <c r="AG189" s="38"/>
      <c r="AH189" s="692">
        <f t="shared" si="49"/>
        <v>0</v>
      </c>
      <c r="AI189" s="692">
        <f t="shared" si="50"/>
        <v>0</v>
      </c>
      <c r="AJ189" s="692">
        <f t="shared" si="51"/>
        <v>0</v>
      </c>
      <c r="AL189" s="38">
        <f t="shared" si="48"/>
        <v>18293.63</v>
      </c>
      <c r="AM189" s="806" t="s">
        <v>388</v>
      </c>
    </row>
    <row r="190" spans="1:39">
      <c r="A190" s="20"/>
      <c r="B190" s="20" t="s">
        <v>109</v>
      </c>
      <c r="C190" s="667"/>
      <c r="D190" s="806" t="s">
        <v>842</v>
      </c>
      <c r="E190" s="679"/>
      <c r="F190" s="529">
        <f>VLOOKUP(D190,'Feb14 Revenue'!D:V,19,FALSE)</f>
        <v>-140000</v>
      </c>
      <c r="G190" s="680"/>
      <c r="H190" s="680"/>
      <c r="I190" s="755"/>
      <c r="J190" s="682">
        <f t="shared" si="44"/>
        <v>-140000</v>
      </c>
      <c r="K190" s="683"/>
      <c r="L190" s="684"/>
      <c r="M190" s="753">
        <v>150000</v>
      </c>
      <c r="N190" s="683">
        <v>0</v>
      </c>
      <c r="O190" s="686"/>
      <c r="P190" s="683">
        <v>0</v>
      </c>
      <c r="Q190" s="687">
        <f t="shared" si="43"/>
        <v>150000</v>
      </c>
      <c r="R190" s="687"/>
      <c r="S190" s="687"/>
      <c r="T190" s="688">
        <v>0</v>
      </c>
      <c r="U190" s="689"/>
      <c r="V190" s="690">
        <f t="shared" si="42"/>
        <v>-150000</v>
      </c>
      <c r="W190" s="683"/>
      <c r="X190" s="474">
        <f t="shared" si="52"/>
        <v>0</v>
      </c>
      <c r="Y190" s="474">
        <f t="shared" si="53"/>
        <v>150000</v>
      </c>
      <c r="Z190" s="475">
        <f t="shared" si="54"/>
        <v>0</v>
      </c>
      <c r="AA190" s="475">
        <v>0</v>
      </c>
      <c r="AB190" s="476">
        <v>0</v>
      </c>
      <c r="AC190" s="38">
        <f t="shared" si="55"/>
        <v>0</v>
      </c>
      <c r="AD190" s="692">
        <f t="shared" si="45"/>
        <v>0</v>
      </c>
      <c r="AE190" s="692">
        <f t="shared" si="46"/>
        <v>-140000</v>
      </c>
      <c r="AF190" s="692">
        <f t="shared" si="47"/>
        <v>0</v>
      </c>
      <c r="AG190" s="38"/>
      <c r="AH190" s="692">
        <f t="shared" si="49"/>
        <v>0</v>
      </c>
      <c r="AI190" s="692">
        <f t="shared" si="50"/>
        <v>150000</v>
      </c>
      <c r="AJ190" s="692">
        <f t="shared" si="51"/>
        <v>0</v>
      </c>
      <c r="AL190" s="38">
        <f t="shared" si="48"/>
        <v>10000</v>
      </c>
      <c r="AM190" s="806" t="s">
        <v>842</v>
      </c>
    </row>
    <row r="191" spans="1:39">
      <c r="A191" s="21"/>
      <c r="B191" s="21" t="s">
        <v>110</v>
      </c>
      <c r="C191" s="666"/>
      <c r="D191" s="68" t="s">
        <v>45</v>
      </c>
      <c r="E191" s="679"/>
      <c r="F191" s="529">
        <f>VLOOKUP(D191,'Feb14 Revenue'!D:V,19,FALSE)</f>
        <v>-8108.4499999999971</v>
      </c>
      <c r="G191" s="680"/>
      <c r="H191" s="680"/>
      <c r="I191" s="755"/>
      <c r="J191" s="682">
        <f t="shared" si="44"/>
        <v>-8108.4499999999971</v>
      </c>
      <c r="K191" s="683"/>
      <c r="L191" s="684"/>
      <c r="M191" s="753">
        <v>70000</v>
      </c>
      <c r="N191" s="683">
        <v>0</v>
      </c>
      <c r="O191" s="686"/>
      <c r="P191" s="683">
        <v>0</v>
      </c>
      <c r="Q191" s="687">
        <f t="shared" si="43"/>
        <v>70000</v>
      </c>
      <c r="R191" s="687"/>
      <c r="S191" s="687"/>
      <c r="T191" s="688">
        <f>66093.19+3767.3</f>
        <v>69860.490000000005</v>
      </c>
      <c r="U191" s="689"/>
      <c r="V191" s="690">
        <f t="shared" si="42"/>
        <v>-139.50999999999476</v>
      </c>
      <c r="W191" s="683"/>
      <c r="X191" s="474">
        <f t="shared" si="52"/>
        <v>70000</v>
      </c>
      <c r="Y191" s="474">
        <f t="shared" si="53"/>
        <v>0</v>
      </c>
      <c r="Z191" s="475">
        <f t="shared" si="54"/>
        <v>0</v>
      </c>
      <c r="AA191" s="475">
        <v>0</v>
      </c>
      <c r="AB191" s="476">
        <v>0</v>
      </c>
      <c r="AC191" s="38">
        <f t="shared" si="55"/>
        <v>0</v>
      </c>
      <c r="AD191" s="692">
        <f t="shared" si="45"/>
        <v>-8108.4499999999971</v>
      </c>
      <c r="AE191" s="692">
        <f t="shared" si="46"/>
        <v>0</v>
      </c>
      <c r="AF191" s="692">
        <f t="shared" si="47"/>
        <v>0</v>
      </c>
      <c r="AG191" s="38"/>
      <c r="AH191" s="692">
        <f t="shared" si="49"/>
        <v>70000</v>
      </c>
      <c r="AI191" s="692">
        <f t="shared" si="50"/>
        <v>0</v>
      </c>
      <c r="AJ191" s="692">
        <f t="shared" si="51"/>
        <v>0</v>
      </c>
      <c r="AL191" s="38">
        <f t="shared" si="48"/>
        <v>61891.55</v>
      </c>
      <c r="AM191" s="68" t="s">
        <v>45</v>
      </c>
    </row>
    <row r="192" spans="1:39">
      <c r="A192" s="20" t="s">
        <v>211</v>
      </c>
      <c r="B192" s="20" t="s">
        <v>109</v>
      </c>
      <c r="C192" s="667"/>
      <c r="D192" s="68" t="s">
        <v>923</v>
      </c>
      <c r="E192" s="679">
        <v>7085.41</v>
      </c>
      <c r="F192" s="529">
        <f>VLOOKUP(D192,'Feb14 Revenue'!D:V,19,FALSE)</f>
        <v>0</v>
      </c>
      <c r="G192" s="680"/>
      <c r="H192" s="680"/>
      <c r="I192" s="770">
        <v>9783</v>
      </c>
      <c r="J192" s="682">
        <f t="shared" si="44"/>
        <v>16868.41</v>
      </c>
      <c r="K192" s="683"/>
      <c r="L192" s="684"/>
      <c r="M192" s="753"/>
      <c r="N192" s="683">
        <v>0</v>
      </c>
      <c r="O192" s="686"/>
      <c r="P192" s="683">
        <v>0</v>
      </c>
      <c r="Q192" s="687">
        <f t="shared" si="43"/>
        <v>0</v>
      </c>
      <c r="R192" s="687"/>
      <c r="S192" s="687"/>
      <c r="T192" s="688">
        <v>26194.41</v>
      </c>
      <c r="U192" s="689"/>
      <c r="V192" s="690">
        <f t="shared" si="42"/>
        <v>26194.41</v>
      </c>
      <c r="W192" s="697"/>
      <c r="X192" s="474">
        <f t="shared" si="52"/>
        <v>0</v>
      </c>
      <c r="Y192" s="474">
        <f t="shared" si="53"/>
        <v>0</v>
      </c>
      <c r="Z192" s="475">
        <f t="shared" si="54"/>
        <v>0</v>
      </c>
      <c r="AA192" s="475">
        <v>0</v>
      </c>
      <c r="AB192" s="476">
        <v>0</v>
      </c>
      <c r="AC192" s="38">
        <f t="shared" si="55"/>
        <v>0</v>
      </c>
      <c r="AD192" s="692">
        <f t="shared" si="45"/>
        <v>0</v>
      </c>
      <c r="AE192" s="692">
        <f t="shared" si="46"/>
        <v>16868.41</v>
      </c>
      <c r="AF192" s="692">
        <f t="shared" si="47"/>
        <v>0</v>
      </c>
      <c r="AG192" s="38"/>
      <c r="AH192" s="692">
        <f t="shared" si="49"/>
        <v>0</v>
      </c>
      <c r="AI192" s="692">
        <f t="shared" si="50"/>
        <v>0</v>
      </c>
      <c r="AJ192" s="692">
        <f t="shared" si="51"/>
        <v>0</v>
      </c>
      <c r="AL192" s="38">
        <f t="shared" si="48"/>
        <v>16868.41</v>
      </c>
      <c r="AM192" s="68" t="s">
        <v>923</v>
      </c>
    </row>
    <row r="193" spans="1:39">
      <c r="A193" s="20"/>
      <c r="B193" s="20" t="s">
        <v>110</v>
      </c>
      <c r="C193" s="667" t="s">
        <v>573</v>
      </c>
      <c r="D193" s="68" t="s">
        <v>102</v>
      </c>
      <c r="E193" s="679"/>
      <c r="F193" s="529">
        <f>VLOOKUP(D193,'Feb14 Revenue'!D:V,19,FALSE)</f>
        <v>91619.100000000093</v>
      </c>
      <c r="G193" s="680"/>
      <c r="H193" s="680"/>
      <c r="I193" s="770">
        <v>3914724.68</v>
      </c>
      <c r="J193" s="682">
        <f t="shared" si="44"/>
        <v>4006343.7800000003</v>
      </c>
      <c r="K193" s="683"/>
      <c r="L193" s="684"/>
      <c r="M193" s="753"/>
      <c r="N193" s="683">
        <v>0</v>
      </c>
      <c r="O193" s="686"/>
      <c r="P193" s="683">
        <v>0</v>
      </c>
      <c r="Q193" s="687">
        <f t="shared" si="43"/>
        <v>0</v>
      </c>
      <c r="R193" s="687"/>
      <c r="S193" s="687"/>
      <c r="T193" s="688">
        <v>0</v>
      </c>
      <c r="U193" s="689"/>
      <c r="V193" s="690">
        <f t="shared" si="42"/>
        <v>0</v>
      </c>
      <c r="W193" s="697"/>
      <c r="X193" s="474">
        <f t="shared" si="52"/>
        <v>0</v>
      </c>
      <c r="Y193" s="474">
        <f t="shared" si="53"/>
        <v>0</v>
      </c>
      <c r="Z193" s="475">
        <f t="shared" si="54"/>
        <v>0</v>
      </c>
      <c r="AA193" s="475">
        <v>0</v>
      </c>
      <c r="AB193" s="476">
        <v>0</v>
      </c>
      <c r="AC193" s="38">
        <f t="shared" si="55"/>
        <v>0</v>
      </c>
      <c r="AD193" s="692">
        <f t="shared" si="45"/>
        <v>4006343.7800000003</v>
      </c>
      <c r="AE193" s="692">
        <f t="shared" si="46"/>
        <v>0</v>
      </c>
      <c r="AF193" s="692">
        <f t="shared" si="47"/>
        <v>0</v>
      </c>
      <c r="AG193" s="38"/>
      <c r="AH193" s="692">
        <f t="shared" si="49"/>
        <v>0</v>
      </c>
      <c r="AI193" s="692">
        <f t="shared" si="50"/>
        <v>0</v>
      </c>
      <c r="AJ193" s="692">
        <f t="shared" si="51"/>
        <v>0</v>
      </c>
      <c r="AL193" s="38">
        <f t="shared" si="48"/>
        <v>4006343.7800000003</v>
      </c>
      <c r="AM193" s="68" t="s">
        <v>102</v>
      </c>
    </row>
    <row r="194" spans="1:39">
      <c r="A194" s="20"/>
      <c r="B194" s="20" t="s">
        <v>110</v>
      </c>
      <c r="C194" s="667" t="s">
        <v>573</v>
      </c>
      <c r="D194" s="68" t="s">
        <v>1061</v>
      </c>
      <c r="E194" s="679"/>
      <c r="F194" s="529">
        <f>VLOOKUP(D194,'Feb14 Revenue'!D:V,19,FALSE)</f>
        <v>5069.0599999999977</v>
      </c>
      <c r="G194" s="680"/>
      <c r="H194" s="680"/>
      <c r="I194" s="770">
        <v>77178.09</v>
      </c>
      <c r="J194" s="682">
        <f t="shared" si="44"/>
        <v>82247.149999999994</v>
      </c>
      <c r="K194" s="683"/>
      <c r="L194" s="684"/>
      <c r="M194" s="753"/>
      <c r="N194" s="683">
        <v>0</v>
      </c>
      <c r="O194" s="686"/>
      <c r="P194" s="683">
        <v>0</v>
      </c>
      <c r="Q194" s="687">
        <f t="shared" si="43"/>
        <v>0</v>
      </c>
      <c r="R194" s="687"/>
      <c r="S194" s="687"/>
      <c r="T194" s="688">
        <v>0</v>
      </c>
      <c r="U194" s="689"/>
      <c r="V194" s="690">
        <f t="shared" si="42"/>
        <v>0</v>
      </c>
      <c r="W194" s="697"/>
      <c r="X194" s="474">
        <f t="shared" si="52"/>
        <v>0</v>
      </c>
      <c r="Y194" s="474">
        <f t="shared" si="53"/>
        <v>0</v>
      </c>
      <c r="Z194" s="475">
        <f t="shared" si="54"/>
        <v>0</v>
      </c>
      <c r="AA194" s="475">
        <v>0</v>
      </c>
      <c r="AB194" s="476">
        <v>0</v>
      </c>
      <c r="AC194" s="38">
        <f t="shared" si="55"/>
        <v>0</v>
      </c>
      <c r="AD194" s="692">
        <f t="shared" si="45"/>
        <v>82247.149999999994</v>
      </c>
      <c r="AE194" s="692">
        <f t="shared" si="46"/>
        <v>0</v>
      </c>
      <c r="AF194" s="692">
        <f t="shared" si="47"/>
        <v>0</v>
      </c>
      <c r="AG194" s="38"/>
      <c r="AH194" s="692">
        <f t="shared" si="49"/>
        <v>0</v>
      </c>
      <c r="AI194" s="692">
        <f t="shared" si="50"/>
        <v>0</v>
      </c>
      <c r="AJ194" s="692">
        <f t="shared" si="51"/>
        <v>0</v>
      </c>
      <c r="AL194" s="38">
        <f t="shared" si="48"/>
        <v>82247.149999999994</v>
      </c>
      <c r="AM194" s="68" t="s">
        <v>511</v>
      </c>
    </row>
    <row r="195" spans="1:39">
      <c r="A195" s="21"/>
      <c r="B195" s="21" t="s">
        <v>110</v>
      </c>
      <c r="C195" s="666"/>
      <c r="D195" s="68" t="s">
        <v>50</v>
      </c>
      <c r="E195" s="679"/>
      <c r="F195" s="529">
        <f>VLOOKUP(D195,'Feb14 Revenue'!D:V,19,FALSE)</f>
        <v>0</v>
      </c>
      <c r="G195" s="680"/>
      <c r="H195" s="680"/>
      <c r="I195" s="755"/>
      <c r="J195" s="682">
        <f t="shared" si="44"/>
        <v>0</v>
      </c>
      <c r="K195" s="683"/>
      <c r="L195" s="684"/>
      <c r="M195" s="753"/>
      <c r="N195" s="683">
        <v>0</v>
      </c>
      <c r="O195" s="686"/>
      <c r="P195" s="683">
        <v>0</v>
      </c>
      <c r="Q195" s="687">
        <f t="shared" si="43"/>
        <v>0</v>
      </c>
      <c r="R195" s="687"/>
      <c r="S195" s="687"/>
      <c r="T195" s="688">
        <v>0</v>
      </c>
      <c r="U195" s="689"/>
      <c r="V195" s="690">
        <f t="shared" si="42"/>
        <v>0</v>
      </c>
      <c r="W195" s="683"/>
      <c r="X195" s="474">
        <f t="shared" si="52"/>
        <v>0</v>
      </c>
      <c r="Y195" s="474">
        <f t="shared" si="53"/>
        <v>0</v>
      </c>
      <c r="Z195" s="475">
        <f t="shared" si="54"/>
        <v>0</v>
      </c>
      <c r="AA195" s="475">
        <v>0</v>
      </c>
      <c r="AB195" s="476">
        <v>0</v>
      </c>
      <c r="AC195" s="38">
        <f t="shared" si="55"/>
        <v>0</v>
      </c>
      <c r="AD195" s="692">
        <f t="shared" si="45"/>
        <v>0</v>
      </c>
      <c r="AE195" s="692">
        <f t="shared" si="46"/>
        <v>0</v>
      </c>
      <c r="AF195" s="692">
        <f t="shared" si="47"/>
        <v>0</v>
      </c>
      <c r="AG195" s="38"/>
      <c r="AH195" s="692">
        <f t="shared" si="49"/>
        <v>0</v>
      </c>
      <c r="AI195" s="692">
        <f t="shared" si="50"/>
        <v>0</v>
      </c>
      <c r="AJ195" s="692">
        <f t="shared" si="51"/>
        <v>0</v>
      </c>
      <c r="AL195" s="38">
        <f t="shared" si="48"/>
        <v>0</v>
      </c>
      <c r="AM195" s="68" t="s">
        <v>50</v>
      </c>
    </row>
    <row r="196" spans="1:39" hidden="1">
      <c r="A196" s="21"/>
      <c r="B196" s="21" t="s">
        <v>109</v>
      </c>
      <c r="C196" s="666"/>
      <c r="D196" s="68" t="s">
        <v>51</v>
      </c>
      <c r="E196" s="679"/>
      <c r="F196" s="529">
        <f>VLOOKUP(D196,'Feb14 Revenue'!D:V,19,FALSE)</f>
        <v>0</v>
      </c>
      <c r="G196" s="680"/>
      <c r="H196" s="680"/>
      <c r="I196" s="755"/>
      <c r="J196" s="682">
        <f t="shared" si="44"/>
        <v>0</v>
      </c>
      <c r="K196" s="683"/>
      <c r="L196" s="684"/>
      <c r="M196" s="753"/>
      <c r="N196" s="683">
        <v>0</v>
      </c>
      <c r="O196" s="686"/>
      <c r="P196" s="683">
        <v>0</v>
      </c>
      <c r="Q196" s="687">
        <f t="shared" si="43"/>
        <v>0</v>
      </c>
      <c r="R196" s="687"/>
      <c r="S196" s="687"/>
      <c r="T196" s="688">
        <v>0</v>
      </c>
      <c r="U196" s="689"/>
      <c r="V196" s="690">
        <f t="shared" si="42"/>
        <v>0</v>
      </c>
      <c r="W196" s="683"/>
      <c r="X196" s="474">
        <f t="shared" si="52"/>
        <v>0</v>
      </c>
      <c r="Y196" s="474">
        <f t="shared" si="53"/>
        <v>0</v>
      </c>
      <c r="Z196" s="475">
        <f t="shared" si="54"/>
        <v>0</v>
      </c>
      <c r="AA196" s="475">
        <v>0</v>
      </c>
      <c r="AB196" s="476">
        <v>0</v>
      </c>
      <c r="AC196" s="38">
        <f t="shared" si="55"/>
        <v>0</v>
      </c>
      <c r="AD196" s="692">
        <f t="shared" si="45"/>
        <v>0</v>
      </c>
      <c r="AE196" s="692">
        <f t="shared" si="46"/>
        <v>0</v>
      </c>
      <c r="AF196" s="692">
        <f t="shared" si="47"/>
        <v>0</v>
      </c>
      <c r="AG196" s="38"/>
      <c r="AH196" s="692">
        <f t="shared" si="49"/>
        <v>0</v>
      </c>
      <c r="AI196" s="692">
        <f t="shared" si="50"/>
        <v>0</v>
      </c>
      <c r="AJ196" s="692">
        <f t="shared" si="51"/>
        <v>0</v>
      </c>
      <c r="AL196" s="38">
        <f t="shared" si="48"/>
        <v>0</v>
      </c>
      <c r="AM196" s="68" t="s">
        <v>51</v>
      </c>
    </row>
    <row r="197" spans="1:39">
      <c r="A197" s="21"/>
      <c r="B197" s="21" t="s">
        <v>109</v>
      </c>
      <c r="C197" s="666"/>
      <c r="D197" s="68" t="s">
        <v>107</v>
      </c>
      <c r="E197" s="679"/>
      <c r="F197" s="529">
        <f>VLOOKUP(D197,'Feb14 Revenue'!D:V,19,FALSE)</f>
        <v>0</v>
      </c>
      <c r="G197" s="680"/>
      <c r="H197" s="680"/>
      <c r="I197" s="755"/>
      <c r="J197" s="682">
        <f t="shared" si="44"/>
        <v>0</v>
      </c>
      <c r="K197" s="683"/>
      <c r="L197" s="684"/>
      <c r="M197" s="753"/>
      <c r="N197" s="683">
        <v>0</v>
      </c>
      <c r="O197" s="686"/>
      <c r="P197" s="683">
        <v>0</v>
      </c>
      <c r="Q197" s="687">
        <f t="shared" si="43"/>
        <v>0</v>
      </c>
      <c r="R197" s="687"/>
      <c r="S197" s="687"/>
      <c r="T197" s="688">
        <v>0</v>
      </c>
      <c r="U197" s="689"/>
      <c r="V197" s="690">
        <f t="shared" si="42"/>
        <v>0</v>
      </c>
      <c r="W197" s="683"/>
      <c r="X197" s="474">
        <f t="shared" si="52"/>
        <v>0</v>
      </c>
      <c r="Y197" s="474">
        <f t="shared" si="53"/>
        <v>0</v>
      </c>
      <c r="Z197" s="475">
        <f t="shared" si="54"/>
        <v>0</v>
      </c>
      <c r="AA197" s="475">
        <v>0</v>
      </c>
      <c r="AB197" s="476">
        <v>0</v>
      </c>
      <c r="AC197" s="38">
        <f t="shared" si="55"/>
        <v>0</v>
      </c>
      <c r="AD197" s="692">
        <f t="shared" si="45"/>
        <v>0</v>
      </c>
      <c r="AE197" s="692">
        <f t="shared" si="46"/>
        <v>0</v>
      </c>
      <c r="AF197" s="692">
        <f t="shared" si="47"/>
        <v>0</v>
      </c>
      <c r="AG197" s="38"/>
      <c r="AH197" s="692">
        <f t="shared" si="49"/>
        <v>0</v>
      </c>
      <c r="AI197" s="692">
        <f t="shared" si="50"/>
        <v>0</v>
      </c>
      <c r="AJ197" s="692">
        <f t="shared" si="51"/>
        <v>0</v>
      </c>
      <c r="AL197" s="38">
        <f t="shared" si="48"/>
        <v>0</v>
      </c>
      <c r="AM197" s="68" t="s">
        <v>107</v>
      </c>
    </row>
    <row r="198" spans="1:39" hidden="1">
      <c r="A198" s="21"/>
      <c r="B198" s="21" t="s">
        <v>109</v>
      </c>
      <c r="C198" s="666"/>
      <c r="D198" s="68" t="s">
        <v>467</v>
      </c>
      <c r="E198" s="679"/>
      <c r="F198" s="529">
        <f>VLOOKUP(D198,'Feb14 Revenue'!D:V,19,FALSE)</f>
        <v>0</v>
      </c>
      <c r="G198" s="680"/>
      <c r="H198" s="680"/>
      <c r="I198" s="755"/>
      <c r="J198" s="682">
        <f t="shared" si="44"/>
        <v>0</v>
      </c>
      <c r="K198" s="683"/>
      <c r="L198" s="684"/>
      <c r="M198" s="753"/>
      <c r="N198" s="683">
        <v>0</v>
      </c>
      <c r="O198" s="686"/>
      <c r="P198" s="683">
        <v>0</v>
      </c>
      <c r="Q198" s="687">
        <f t="shared" si="43"/>
        <v>0</v>
      </c>
      <c r="R198" s="687"/>
      <c r="S198" s="687"/>
      <c r="T198" s="688">
        <v>0</v>
      </c>
      <c r="U198" s="689"/>
      <c r="V198" s="690">
        <f t="shared" si="42"/>
        <v>0</v>
      </c>
      <c r="W198" s="683"/>
      <c r="X198" s="474">
        <f t="shared" si="52"/>
        <v>0</v>
      </c>
      <c r="Y198" s="474">
        <f t="shared" si="53"/>
        <v>0</v>
      </c>
      <c r="Z198" s="475">
        <f t="shared" si="54"/>
        <v>0</v>
      </c>
      <c r="AA198" s="475">
        <v>0</v>
      </c>
      <c r="AB198" s="476">
        <v>0</v>
      </c>
      <c r="AC198" s="38">
        <f t="shared" si="55"/>
        <v>0</v>
      </c>
      <c r="AD198" s="692">
        <f t="shared" si="45"/>
        <v>0</v>
      </c>
      <c r="AE198" s="692">
        <f t="shared" si="46"/>
        <v>0</v>
      </c>
      <c r="AF198" s="692">
        <f t="shared" si="47"/>
        <v>0</v>
      </c>
      <c r="AG198" s="38"/>
      <c r="AH198" s="692">
        <f t="shared" si="49"/>
        <v>0</v>
      </c>
      <c r="AI198" s="692">
        <f t="shared" si="50"/>
        <v>0</v>
      </c>
      <c r="AJ198" s="692">
        <f t="shared" si="51"/>
        <v>0</v>
      </c>
      <c r="AL198" s="38">
        <f t="shared" si="48"/>
        <v>0</v>
      </c>
      <c r="AM198" s="68" t="s">
        <v>467</v>
      </c>
    </row>
    <row r="199" spans="1:39">
      <c r="A199" s="21"/>
      <c r="B199" s="21" t="s">
        <v>110</v>
      </c>
      <c r="C199" s="666"/>
      <c r="D199" s="68" t="s">
        <v>1012</v>
      </c>
      <c r="E199" s="679">
        <v>4817.8999999999996</v>
      </c>
      <c r="F199" s="529">
        <f>VLOOKUP(D199,'Feb14 Revenue'!D:V,19,FALSE)</f>
        <v>0</v>
      </c>
      <c r="G199" s="680"/>
      <c r="H199" s="680"/>
      <c r="I199" s="755"/>
      <c r="J199" s="682">
        <f t="shared" si="44"/>
        <v>4817.8999999999996</v>
      </c>
      <c r="K199" s="683"/>
      <c r="L199" s="684"/>
      <c r="M199" s="753"/>
      <c r="N199" s="683">
        <v>0</v>
      </c>
      <c r="O199" s="686"/>
      <c r="P199" s="683">
        <v>0</v>
      </c>
      <c r="Q199" s="687">
        <f t="shared" si="43"/>
        <v>0</v>
      </c>
      <c r="R199" s="687"/>
      <c r="S199" s="687"/>
      <c r="T199" s="688">
        <v>1948.63</v>
      </c>
      <c r="U199" s="689"/>
      <c r="V199" s="690">
        <f t="shared" si="42"/>
        <v>1948.63</v>
      </c>
      <c r="W199" s="683"/>
      <c r="X199" s="474">
        <f t="shared" si="52"/>
        <v>0</v>
      </c>
      <c r="Y199" s="474">
        <f t="shared" si="53"/>
        <v>0</v>
      </c>
      <c r="Z199" s="475">
        <f t="shared" si="54"/>
        <v>0</v>
      </c>
      <c r="AA199" s="475">
        <v>0</v>
      </c>
      <c r="AB199" s="476">
        <v>0</v>
      </c>
      <c r="AC199" s="38">
        <f t="shared" si="55"/>
        <v>0</v>
      </c>
      <c r="AD199" s="692">
        <f t="shared" si="45"/>
        <v>4817.8999999999996</v>
      </c>
      <c r="AE199" s="692">
        <f t="shared" si="46"/>
        <v>0</v>
      </c>
      <c r="AF199" s="692">
        <f t="shared" si="47"/>
        <v>0</v>
      </c>
      <c r="AG199" s="38"/>
      <c r="AH199" s="692">
        <f t="shared" si="49"/>
        <v>0</v>
      </c>
      <c r="AI199" s="692">
        <f t="shared" si="50"/>
        <v>0</v>
      </c>
      <c r="AJ199" s="692">
        <f t="shared" si="51"/>
        <v>0</v>
      </c>
      <c r="AL199" s="38">
        <f t="shared" si="48"/>
        <v>4817.8999999999996</v>
      </c>
      <c r="AM199" s="68" t="s">
        <v>1012</v>
      </c>
    </row>
    <row r="200" spans="1:39">
      <c r="A200" s="21"/>
      <c r="B200" s="21" t="s">
        <v>109</v>
      </c>
      <c r="C200" s="666"/>
      <c r="D200" s="68" t="s">
        <v>1085</v>
      </c>
      <c r="E200" s="679"/>
      <c r="F200" s="529">
        <v>0</v>
      </c>
      <c r="G200" s="680"/>
      <c r="H200" s="680"/>
      <c r="I200" s="755"/>
      <c r="J200" s="682">
        <f t="shared" si="44"/>
        <v>0</v>
      </c>
      <c r="K200" s="683"/>
      <c r="L200" s="684"/>
      <c r="M200" s="753">
        <v>40000</v>
      </c>
      <c r="N200" s="683">
        <v>0</v>
      </c>
      <c r="O200" s="686"/>
      <c r="P200" s="683">
        <v>0</v>
      </c>
      <c r="Q200" s="687">
        <f t="shared" si="43"/>
        <v>40000</v>
      </c>
      <c r="R200" s="687"/>
      <c r="S200" s="687"/>
      <c r="T200" s="688">
        <v>0</v>
      </c>
      <c r="U200" s="689"/>
      <c r="V200" s="690">
        <f t="shared" si="42"/>
        <v>-40000</v>
      </c>
      <c r="W200" s="683"/>
      <c r="X200" s="474">
        <f t="shared" si="52"/>
        <v>0</v>
      </c>
      <c r="Y200" s="474">
        <f t="shared" si="53"/>
        <v>40000</v>
      </c>
      <c r="Z200" s="475">
        <f t="shared" si="54"/>
        <v>0</v>
      </c>
      <c r="AA200" s="475">
        <v>0</v>
      </c>
      <c r="AB200" s="476">
        <v>0</v>
      </c>
      <c r="AC200" s="38">
        <f t="shared" si="55"/>
        <v>0</v>
      </c>
      <c r="AD200" s="692">
        <f t="shared" si="45"/>
        <v>0</v>
      </c>
      <c r="AE200" s="692">
        <f t="shared" si="46"/>
        <v>0</v>
      </c>
      <c r="AF200" s="692">
        <f t="shared" si="47"/>
        <v>0</v>
      </c>
      <c r="AG200" s="38"/>
      <c r="AH200" s="692">
        <f t="shared" si="49"/>
        <v>0</v>
      </c>
      <c r="AI200" s="692">
        <f t="shared" si="50"/>
        <v>40000</v>
      </c>
      <c r="AJ200" s="692">
        <f t="shared" si="51"/>
        <v>0</v>
      </c>
      <c r="AL200" s="38">
        <f t="shared" si="48"/>
        <v>40000</v>
      </c>
      <c r="AM200" s="68" t="s">
        <v>54</v>
      </c>
    </row>
    <row r="201" spans="1:39">
      <c r="A201" s="21"/>
      <c r="B201" s="21" t="s">
        <v>109</v>
      </c>
      <c r="C201" s="666" t="s">
        <v>575</v>
      </c>
      <c r="D201" s="68" t="s">
        <v>54</v>
      </c>
      <c r="E201" s="679"/>
      <c r="F201" s="529">
        <f>VLOOKUP(D201,'Feb14 Revenue'!D:V,19,FALSE)</f>
        <v>0</v>
      </c>
      <c r="G201" s="680"/>
      <c r="H201" s="680"/>
      <c r="I201" s="755"/>
      <c r="J201" s="682">
        <f t="shared" si="44"/>
        <v>0</v>
      </c>
      <c r="K201" s="683"/>
      <c r="L201" s="684"/>
      <c r="M201" s="753"/>
      <c r="N201" s="683">
        <v>0</v>
      </c>
      <c r="O201" s="686"/>
      <c r="P201" s="683">
        <v>0</v>
      </c>
      <c r="Q201" s="687">
        <f t="shared" si="43"/>
        <v>0</v>
      </c>
      <c r="R201" s="687"/>
      <c r="S201" s="687"/>
      <c r="T201" s="688">
        <v>0</v>
      </c>
      <c r="U201" s="689"/>
      <c r="V201" s="690">
        <f t="shared" si="42"/>
        <v>0</v>
      </c>
      <c r="W201" s="683"/>
      <c r="X201" s="474">
        <f t="shared" si="52"/>
        <v>0</v>
      </c>
      <c r="Y201" s="474">
        <f t="shared" si="53"/>
        <v>0</v>
      </c>
      <c r="Z201" s="475">
        <f t="shared" si="54"/>
        <v>0</v>
      </c>
      <c r="AA201" s="475">
        <v>0</v>
      </c>
      <c r="AB201" s="476">
        <v>0</v>
      </c>
      <c r="AC201" s="38">
        <f t="shared" si="55"/>
        <v>0</v>
      </c>
      <c r="AD201" s="692">
        <f t="shared" si="45"/>
        <v>0</v>
      </c>
      <c r="AE201" s="692">
        <f t="shared" si="46"/>
        <v>0</v>
      </c>
      <c r="AF201" s="692">
        <f t="shared" si="47"/>
        <v>0</v>
      </c>
      <c r="AG201" s="38"/>
      <c r="AH201" s="692">
        <f t="shared" si="49"/>
        <v>0</v>
      </c>
      <c r="AI201" s="692">
        <f t="shared" si="50"/>
        <v>0</v>
      </c>
      <c r="AJ201" s="692">
        <f t="shared" si="51"/>
        <v>0</v>
      </c>
      <c r="AL201" s="38">
        <f t="shared" si="48"/>
        <v>0</v>
      </c>
      <c r="AM201" s="68" t="s">
        <v>54</v>
      </c>
    </row>
    <row r="202" spans="1:39">
      <c r="A202" s="20"/>
      <c r="B202" s="20" t="s">
        <v>109</v>
      </c>
      <c r="C202" s="667"/>
      <c r="D202" s="68" t="s">
        <v>1084</v>
      </c>
      <c r="E202" s="679">
        <v>15355.5</v>
      </c>
      <c r="F202" s="529">
        <f>VLOOKUP(D202,'Feb14 Revenue'!D:V,19,FALSE)</f>
        <v>0</v>
      </c>
      <c r="G202" s="680"/>
      <c r="H202" s="680"/>
      <c r="I202" s="755"/>
      <c r="J202" s="682">
        <f t="shared" si="44"/>
        <v>15355.5</v>
      </c>
      <c r="K202" s="683"/>
      <c r="L202" s="684"/>
      <c r="M202" s="753">
        <v>30000</v>
      </c>
      <c r="N202" s="683">
        <v>0</v>
      </c>
      <c r="O202" s="686"/>
      <c r="P202" s="683">
        <v>0</v>
      </c>
      <c r="Q202" s="687">
        <f t="shared" si="43"/>
        <v>30000</v>
      </c>
      <c r="R202" s="687"/>
      <c r="S202" s="687"/>
      <c r="T202" s="688">
        <v>0</v>
      </c>
      <c r="U202" s="689"/>
      <c r="V202" s="690">
        <f t="shared" si="42"/>
        <v>-30000</v>
      </c>
      <c r="W202" s="683"/>
      <c r="X202" s="474">
        <f t="shared" si="52"/>
        <v>0</v>
      </c>
      <c r="Y202" s="474">
        <f t="shared" si="53"/>
        <v>30000</v>
      </c>
      <c r="Z202" s="475">
        <f t="shared" si="54"/>
        <v>0</v>
      </c>
      <c r="AA202" s="475">
        <v>0</v>
      </c>
      <c r="AB202" s="476">
        <v>0</v>
      </c>
      <c r="AC202" s="38">
        <f t="shared" si="55"/>
        <v>0</v>
      </c>
      <c r="AD202" s="692">
        <f t="shared" si="45"/>
        <v>0</v>
      </c>
      <c r="AE202" s="692">
        <f t="shared" si="46"/>
        <v>15355.5</v>
      </c>
      <c r="AF202" s="692">
        <f t="shared" si="47"/>
        <v>0</v>
      </c>
      <c r="AG202" s="38"/>
      <c r="AH202" s="692">
        <f t="shared" si="49"/>
        <v>0</v>
      </c>
      <c r="AI202" s="692">
        <f t="shared" si="50"/>
        <v>30000</v>
      </c>
      <c r="AJ202" s="692">
        <f t="shared" si="51"/>
        <v>0</v>
      </c>
      <c r="AL202" s="38">
        <f t="shared" si="48"/>
        <v>45355.5</v>
      </c>
      <c r="AM202" s="68" t="s">
        <v>394</v>
      </c>
    </row>
    <row r="203" spans="1:39">
      <c r="A203" s="20"/>
      <c r="B203" s="20" t="s">
        <v>110</v>
      </c>
      <c r="C203" s="667"/>
      <c r="D203" s="68" t="s">
        <v>55</v>
      </c>
      <c r="E203" s="679"/>
      <c r="F203" s="529">
        <f>VLOOKUP(D203,'Feb14 Revenue'!D:V,19,FALSE)</f>
        <v>341.91</v>
      </c>
      <c r="G203" s="680"/>
      <c r="H203" s="680"/>
      <c r="I203" s="755"/>
      <c r="J203" s="682">
        <f t="shared" si="44"/>
        <v>341.91</v>
      </c>
      <c r="K203" s="683"/>
      <c r="L203" s="684"/>
      <c r="M203" s="753"/>
      <c r="N203" s="683">
        <v>0</v>
      </c>
      <c r="O203" s="686"/>
      <c r="P203" s="683">
        <v>0</v>
      </c>
      <c r="Q203" s="687">
        <f t="shared" si="43"/>
        <v>0</v>
      </c>
      <c r="R203" s="687"/>
      <c r="S203" s="687"/>
      <c r="T203" s="688">
        <v>0</v>
      </c>
      <c r="U203" s="689"/>
      <c r="V203" s="690">
        <f t="shared" si="42"/>
        <v>0</v>
      </c>
      <c r="W203" s="683"/>
      <c r="X203" s="474">
        <f t="shared" si="52"/>
        <v>0</v>
      </c>
      <c r="Y203" s="474">
        <f t="shared" si="53"/>
        <v>0</v>
      </c>
      <c r="Z203" s="475">
        <f t="shared" si="54"/>
        <v>0</v>
      </c>
      <c r="AA203" s="475">
        <v>0</v>
      </c>
      <c r="AB203" s="476">
        <v>0</v>
      </c>
      <c r="AC203" s="38">
        <f t="shared" si="55"/>
        <v>0</v>
      </c>
      <c r="AD203" s="692">
        <f t="shared" si="45"/>
        <v>341.91</v>
      </c>
      <c r="AE203" s="692">
        <f t="shared" si="46"/>
        <v>0</v>
      </c>
      <c r="AF203" s="692">
        <f t="shared" si="47"/>
        <v>0</v>
      </c>
      <c r="AG203" s="38"/>
      <c r="AH203" s="692">
        <f t="shared" si="49"/>
        <v>0</v>
      </c>
      <c r="AI203" s="692">
        <f t="shared" si="50"/>
        <v>0</v>
      </c>
      <c r="AJ203" s="692">
        <f t="shared" si="51"/>
        <v>0</v>
      </c>
      <c r="AL203" s="38">
        <f t="shared" si="48"/>
        <v>341.91</v>
      </c>
      <c r="AM203" s="68" t="s">
        <v>55</v>
      </c>
    </row>
    <row r="204" spans="1:39">
      <c r="A204" s="21"/>
      <c r="B204" s="21" t="s">
        <v>110</v>
      </c>
      <c r="C204" s="666"/>
      <c r="D204" s="68" t="s">
        <v>1052</v>
      </c>
      <c r="E204" s="679">
        <f>296234.01*0.501</f>
        <v>148413.23901000002</v>
      </c>
      <c r="F204" s="529">
        <f>VLOOKUP(D204,'Feb14 Revenue'!D:V,19,FALSE)</f>
        <v>0</v>
      </c>
      <c r="G204" s="680"/>
      <c r="H204" s="680"/>
      <c r="I204" s="755"/>
      <c r="J204" s="682">
        <f t="shared" si="44"/>
        <v>148413.23901000002</v>
      </c>
      <c r="K204" s="683"/>
      <c r="L204" s="684"/>
      <c r="M204" s="753">
        <v>70000</v>
      </c>
      <c r="N204" s="683">
        <v>0</v>
      </c>
      <c r="O204" s="686"/>
      <c r="P204" s="683">
        <v>0</v>
      </c>
      <c r="Q204" s="687">
        <f t="shared" si="43"/>
        <v>70000</v>
      </c>
      <c r="R204" s="687"/>
      <c r="S204" s="687"/>
      <c r="T204" s="688">
        <v>0</v>
      </c>
      <c r="U204" s="689"/>
      <c r="V204" s="690">
        <f t="shared" si="42"/>
        <v>-70000</v>
      </c>
      <c r="W204" s="683"/>
      <c r="X204" s="474">
        <f t="shared" si="52"/>
        <v>70000</v>
      </c>
      <c r="Y204" s="474">
        <f t="shared" si="53"/>
        <v>0</v>
      </c>
      <c r="Z204" s="475">
        <f t="shared" si="54"/>
        <v>0</v>
      </c>
      <c r="AA204" s="475">
        <v>0</v>
      </c>
      <c r="AB204" s="476">
        <v>0</v>
      </c>
      <c r="AC204" s="38">
        <f t="shared" si="55"/>
        <v>0</v>
      </c>
      <c r="AD204" s="692">
        <f t="shared" si="45"/>
        <v>148413.23901000002</v>
      </c>
      <c r="AE204" s="692">
        <f t="shared" si="46"/>
        <v>0</v>
      </c>
      <c r="AF204" s="692">
        <f t="shared" si="47"/>
        <v>0</v>
      </c>
      <c r="AG204" s="38"/>
      <c r="AH204" s="692">
        <f t="shared" si="49"/>
        <v>70000</v>
      </c>
      <c r="AI204" s="692">
        <f t="shared" si="50"/>
        <v>0</v>
      </c>
      <c r="AJ204" s="692">
        <f t="shared" si="51"/>
        <v>0</v>
      </c>
      <c r="AL204" s="38">
        <f t="shared" si="48"/>
        <v>218413.23901000002</v>
      </c>
      <c r="AM204" s="68" t="s">
        <v>985</v>
      </c>
    </row>
    <row r="205" spans="1:39">
      <c r="A205" s="20"/>
      <c r="B205" s="20" t="s">
        <v>110</v>
      </c>
      <c r="C205" s="676" t="s">
        <v>854</v>
      </c>
      <c r="D205" s="68" t="s">
        <v>855</v>
      </c>
      <c r="E205" s="679"/>
      <c r="F205" s="529">
        <f>VLOOKUP(D205,'Feb14 Revenue'!D:V,19,FALSE)</f>
        <v>0</v>
      </c>
      <c r="G205" s="680"/>
      <c r="H205" s="680"/>
      <c r="I205" s="755"/>
      <c r="J205" s="682">
        <f t="shared" si="44"/>
        <v>0</v>
      </c>
      <c r="K205" s="683"/>
      <c r="L205" s="684"/>
      <c r="M205" s="753"/>
      <c r="N205" s="683">
        <v>0</v>
      </c>
      <c r="O205" s="686"/>
      <c r="P205" s="683">
        <v>0</v>
      </c>
      <c r="Q205" s="687">
        <f t="shared" si="43"/>
        <v>0</v>
      </c>
      <c r="R205" s="687"/>
      <c r="S205" s="687"/>
      <c r="T205" s="688">
        <v>0</v>
      </c>
      <c r="U205" s="689"/>
      <c r="V205" s="690">
        <f t="shared" si="42"/>
        <v>0</v>
      </c>
      <c r="W205" s="683"/>
      <c r="X205" s="474">
        <f t="shared" si="52"/>
        <v>0</v>
      </c>
      <c r="Y205" s="474">
        <f t="shared" si="53"/>
        <v>0</v>
      </c>
      <c r="Z205" s="475">
        <f t="shared" si="54"/>
        <v>0</v>
      </c>
      <c r="AA205" s="475">
        <v>0</v>
      </c>
      <c r="AB205" s="476">
        <v>0</v>
      </c>
      <c r="AC205" s="38">
        <f t="shared" si="55"/>
        <v>0</v>
      </c>
      <c r="AD205" s="692">
        <f t="shared" si="45"/>
        <v>0</v>
      </c>
      <c r="AE205" s="692">
        <f t="shared" si="46"/>
        <v>0</v>
      </c>
      <c r="AF205" s="692">
        <f t="shared" si="47"/>
        <v>0</v>
      </c>
      <c r="AG205" s="38"/>
      <c r="AH205" s="692">
        <f t="shared" si="49"/>
        <v>0</v>
      </c>
      <c r="AI205" s="692">
        <f t="shared" si="50"/>
        <v>0</v>
      </c>
      <c r="AJ205" s="692">
        <f t="shared" si="51"/>
        <v>0</v>
      </c>
      <c r="AL205" s="38">
        <f t="shared" si="48"/>
        <v>0</v>
      </c>
      <c r="AM205" s="68" t="s">
        <v>855</v>
      </c>
    </row>
    <row r="206" spans="1:39">
      <c r="A206" s="21"/>
      <c r="B206" s="21" t="s">
        <v>110</v>
      </c>
      <c r="C206" s="666"/>
      <c r="D206" s="806" t="s">
        <v>1051</v>
      </c>
      <c r="E206" s="679"/>
      <c r="F206" s="529">
        <f>VLOOKUP(D206,'Feb14 Revenue'!D:V,19,FALSE)</f>
        <v>0</v>
      </c>
      <c r="G206" s="680"/>
      <c r="H206" s="680"/>
      <c r="I206" s="755"/>
      <c r="J206" s="682">
        <f t="shared" si="44"/>
        <v>0</v>
      </c>
      <c r="K206" s="683"/>
      <c r="L206" s="684"/>
      <c r="M206" s="753"/>
      <c r="N206" s="683">
        <v>0</v>
      </c>
      <c r="O206" s="686"/>
      <c r="P206" s="683">
        <v>0</v>
      </c>
      <c r="Q206" s="687">
        <f t="shared" si="43"/>
        <v>0</v>
      </c>
      <c r="R206" s="687"/>
      <c r="S206" s="687"/>
      <c r="T206" s="688">
        <v>0</v>
      </c>
      <c r="U206" s="689"/>
      <c r="V206" s="690">
        <f t="shared" si="42"/>
        <v>0</v>
      </c>
      <c r="W206" s="683"/>
      <c r="X206" s="474">
        <f t="shared" si="52"/>
        <v>0</v>
      </c>
      <c r="Y206" s="474">
        <f t="shared" si="53"/>
        <v>0</v>
      </c>
      <c r="Z206" s="475">
        <f t="shared" si="54"/>
        <v>0</v>
      </c>
      <c r="AA206" s="475">
        <v>0</v>
      </c>
      <c r="AB206" s="476">
        <v>0</v>
      </c>
      <c r="AC206" s="38">
        <f t="shared" si="55"/>
        <v>0</v>
      </c>
      <c r="AD206" s="692">
        <f t="shared" si="45"/>
        <v>0</v>
      </c>
      <c r="AE206" s="692">
        <f t="shared" si="46"/>
        <v>0</v>
      </c>
      <c r="AF206" s="692">
        <f t="shared" si="47"/>
        <v>0</v>
      </c>
      <c r="AG206" s="38"/>
      <c r="AH206" s="692">
        <f t="shared" si="49"/>
        <v>0</v>
      </c>
      <c r="AI206" s="692">
        <f t="shared" si="50"/>
        <v>0</v>
      </c>
      <c r="AJ206" s="692">
        <f t="shared" si="51"/>
        <v>0</v>
      </c>
      <c r="AL206" s="38">
        <f t="shared" si="48"/>
        <v>0</v>
      </c>
      <c r="AM206" s="806" t="s">
        <v>388</v>
      </c>
    </row>
    <row r="207" spans="1:39">
      <c r="A207" s="20"/>
      <c r="B207" s="20" t="s">
        <v>109</v>
      </c>
      <c r="C207" s="667" t="s">
        <v>577</v>
      </c>
      <c r="D207" s="68" t="s">
        <v>159</v>
      </c>
      <c r="E207" s="679"/>
      <c r="F207" s="529">
        <f>VLOOKUP(D207,'Feb14 Revenue'!D:V,19,FALSE)</f>
        <v>0</v>
      </c>
      <c r="G207" s="680"/>
      <c r="H207" s="680"/>
      <c r="I207" s="770">
        <v>10929.67</v>
      </c>
      <c r="J207" s="682">
        <f t="shared" si="44"/>
        <v>10929.67</v>
      </c>
      <c r="K207" s="683"/>
      <c r="L207" s="684"/>
      <c r="M207" s="753"/>
      <c r="N207" s="683">
        <v>0</v>
      </c>
      <c r="O207" s="686"/>
      <c r="P207" s="683">
        <v>0</v>
      </c>
      <c r="Q207" s="687">
        <f t="shared" si="43"/>
        <v>0</v>
      </c>
      <c r="R207" s="687"/>
      <c r="S207" s="687"/>
      <c r="T207" s="688">
        <v>0</v>
      </c>
      <c r="U207" s="689"/>
      <c r="V207" s="690">
        <f t="shared" si="42"/>
        <v>0</v>
      </c>
      <c r="W207" s="683"/>
      <c r="X207" s="474">
        <f t="shared" si="52"/>
        <v>0</v>
      </c>
      <c r="Y207" s="474">
        <f t="shared" si="53"/>
        <v>0</v>
      </c>
      <c r="Z207" s="475">
        <f t="shared" si="54"/>
        <v>0</v>
      </c>
      <c r="AA207" s="475">
        <v>0</v>
      </c>
      <c r="AB207" s="476">
        <v>0</v>
      </c>
      <c r="AC207" s="38">
        <f t="shared" si="55"/>
        <v>0</v>
      </c>
      <c r="AD207" s="692">
        <f t="shared" si="45"/>
        <v>0</v>
      </c>
      <c r="AE207" s="692">
        <f t="shared" si="46"/>
        <v>10929.67</v>
      </c>
      <c r="AF207" s="692">
        <f t="shared" si="47"/>
        <v>0</v>
      </c>
      <c r="AG207" s="38"/>
      <c r="AH207" s="692">
        <f t="shared" si="49"/>
        <v>0</v>
      </c>
      <c r="AI207" s="692">
        <f t="shared" si="50"/>
        <v>0</v>
      </c>
      <c r="AJ207" s="692">
        <f t="shared" si="51"/>
        <v>0</v>
      </c>
      <c r="AL207" s="38">
        <f t="shared" si="48"/>
        <v>10929.67</v>
      </c>
      <c r="AM207" s="68" t="s">
        <v>159</v>
      </c>
    </row>
    <row r="208" spans="1:39">
      <c r="A208" s="20"/>
      <c r="B208" s="20" t="s">
        <v>109</v>
      </c>
      <c r="C208" s="667" t="s">
        <v>577</v>
      </c>
      <c r="D208" s="68" t="s">
        <v>160</v>
      </c>
      <c r="E208" s="679"/>
      <c r="F208" s="529">
        <f>VLOOKUP(D208,'Feb14 Revenue'!D:V,19,FALSE)</f>
        <v>0</v>
      </c>
      <c r="G208" s="680"/>
      <c r="H208" s="680"/>
      <c r="I208" s="770">
        <v>8545.5400000000009</v>
      </c>
      <c r="J208" s="682">
        <f t="shared" si="44"/>
        <v>8545.5400000000009</v>
      </c>
      <c r="K208" s="683"/>
      <c r="L208" s="684"/>
      <c r="M208" s="753"/>
      <c r="N208" s="683">
        <v>0</v>
      </c>
      <c r="O208" s="686"/>
      <c r="P208" s="683">
        <v>0</v>
      </c>
      <c r="Q208" s="687">
        <f t="shared" si="43"/>
        <v>0</v>
      </c>
      <c r="R208" s="687"/>
      <c r="S208" s="687"/>
      <c r="T208" s="688">
        <v>0</v>
      </c>
      <c r="U208" s="689"/>
      <c r="V208" s="690">
        <f t="shared" si="42"/>
        <v>0</v>
      </c>
      <c r="W208" s="683"/>
      <c r="X208" s="474">
        <f t="shared" si="52"/>
        <v>0</v>
      </c>
      <c r="Y208" s="474">
        <f t="shared" si="53"/>
        <v>0</v>
      </c>
      <c r="Z208" s="475">
        <f t="shared" si="54"/>
        <v>0</v>
      </c>
      <c r="AA208" s="475">
        <v>0</v>
      </c>
      <c r="AB208" s="476">
        <v>0</v>
      </c>
      <c r="AC208" s="38">
        <f t="shared" si="55"/>
        <v>0</v>
      </c>
      <c r="AD208" s="692">
        <f t="shared" si="45"/>
        <v>0</v>
      </c>
      <c r="AE208" s="692">
        <f t="shared" si="46"/>
        <v>8545.5400000000009</v>
      </c>
      <c r="AF208" s="692">
        <f t="shared" si="47"/>
        <v>0</v>
      </c>
      <c r="AG208" s="38"/>
      <c r="AH208" s="692">
        <f t="shared" si="49"/>
        <v>0</v>
      </c>
      <c r="AI208" s="692">
        <f t="shared" si="50"/>
        <v>0</v>
      </c>
      <c r="AJ208" s="692">
        <f t="shared" si="51"/>
        <v>0</v>
      </c>
      <c r="AL208" s="38">
        <f t="shared" si="48"/>
        <v>8545.5400000000009</v>
      </c>
      <c r="AM208" s="68" t="s">
        <v>160</v>
      </c>
    </row>
    <row r="209" spans="1:39" hidden="1">
      <c r="A209" s="21"/>
      <c r="B209" s="21" t="s">
        <v>109</v>
      </c>
      <c r="C209" s="667" t="s">
        <v>577</v>
      </c>
      <c r="D209" s="68" t="s">
        <v>161</v>
      </c>
      <c r="E209" s="679"/>
      <c r="F209" s="529">
        <f>VLOOKUP(D209,'Feb14 Revenue'!D:V,19,FALSE)</f>
        <v>0</v>
      </c>
      <c r="G209" s="680"/>
      <c r="H209" s="680"/>
      <c r="I209" s="770"/>
      <c r="J209" s="682">
        <f t="shared" si="44"/>
        <v>0</v>
      </c>
      <c r="K209" s="683"/>
      <c r="L209" s="684"/>
      <c r="M209" s="753"/>
      <c r="N209" s="683">
        <v>0</v>
      </c>
      <c r="O209" s="686"/>
      <c r="P209" s="683">
        <v>0</v>
      </c>
      <c r="Q209" s="687">
        <f t="shared" si="43"/>
        <v>0</v>
      </c>
      <c r="R209" s="687"/>
      <c r="S209" s="687"/>
      <c r="T209" s="688">
        <v>0</v>
      </c>
      <c r="U209" s="689"/>
      <c r="V209" s="690">
        <f t="shared" si="42"/>
        <v>0</v>
      </c>
      <c r="W209" s="683"/>
      <c r="X209" s="474">
        <f t="shared" si="52"/>
        <v>0</v>
      </c>
      <c r="Y209" s="474">
        <f t="shared" si="53"/>
        <v>0</v>
      </c>
      <c r="Z209" s="475">
        <f t="shared" si="54"/>
        <v>0</v>
      </c>
      <c r="AA209" s="475">
        <v>0</v>
      </c>
      <c r="AB209" s="476">
        <v>0</v>
      </c>
      <c r="AC209" s="38">
        <f t="shared" si="55"/>
        <v>0</v>
      </c>
      <c r="AD209" s="692">
        <f t="shared" si="45"/>
        <v>0</v>
      </c>
      <c r="AE209" s="692">
        <f t="shared" si="46"/>
        <v>0</v>
      </c>
      <c r="AF209" s="692">
        <f t="shared" si="47"/>
        <v>0</v>
      </c>
      <c r="AG209" s="38"/>
      <c r="AH209" s="692">
        <f t="shared" si="49"/>
        <v>0</v>
      </c>
      <c r="AI209" s="692">
        <f t="shared" si="50"/>
        <v>0</v>
      </c>
      <c r="AJ209" s="692">
        <f t="shared" si="51"/>
        <v>0</v>
      </c>
      <c r="AL209" s="38">
        <f t="shared" si="48"/>
        <v>0</v>
      </c>
      <c r="AM209" s="68" t="s">
        <v>161</v>
      </c>
    </row>
    <row r="210" spans="1:39" hidden="1">
      <c r="A210" s="21"/>
      <c r="B210" s="21" t="s">
        <v>109</v>
      </c>
      <c r="C210" s="667" t="s">
        <v>577</v>
      </c>
      <c r="D210" s="68" t="s">
        <v>162</v>
      </c>
      <c r="E210" s="679"/>
      <c r="F210" s="529">
        <f>VLOOKUP(D210,'Feb14 Revenue'!D:V,19,FALSE)</f>
        <v>0</v>
      </c>
      <c r="G210" s="680"/>
      <c r="H210" s="680"/>
      <c r="I210" s="770"/>
      <c r="J210" s="682">
        <f t="shared" si="44"/>
        <v>0</v>
      </c>
      <c r="K210" s="683"/>
      <c r="L210" s="684"/>
      <c r="M210" s="753"/>
      <c r="N210" s="683">
        <v>0</v>
      </c>
      <c r="O210" s="686"/>
      <c r="P210" s="683">
        <v>0</v>
      </c>
      <c r="Q210" s="687">
        <f t="shared" si="43"/>
        <v>0</v>
      </c>
      <c r="R210" s="687"/>
      <c r="S210" s="687"/>
      <c r="T210" s="688">
        <v>0</v>
      </c>
      <c r="U210" s="689"/>
      <c r="V210" s="690">
        <f t="shared" si="42"/>
        <v>0</v>
      </c>
      <c r="W210" s="683"/>
      <c r="X210" s="474">
        <f t="shared" si="52"/>
        <v>0</v>
      </c>
      <c r="Y210" s="474">
        <f t="shared" si="53"/>
        <v>0</v>
      </c>
      <c r="Z210" s="475">
        <f t="shared" si="54"/>
        <v>0</v>
      </c>
      <c r="AA210" s="475">
        <v>0</v>
      </c>
      <c r="AB210" s="476">
        <v>0</v>
      </c>
      <c r="AC210" s="38">
        <f t="shared" si="55"/>
        <v>0</v>
      </c>
      <c r="AD210" s="692">
        <f t="shared" si="45"/>
        <v>0</v>
      </c>
      <c r="AE210" s="692">
        <f t="shared" si="46"/>
        <v>0</v>
      </c>
      <c r="AF210" s="692">
        <f t="shared" si="47"/>
        <v>0</v>
      </c>
      <c r="AG210" s="38"/>
      <c r="AH210" s="692">
        <f t="shared" si="49"/>
        <v>0</v>
      </c>
      <c r="AI210" s="692">
        <f t="shared" si="50"/>
        <v>0</v>
      </c>
      <c r="AJ210" s="692">
        <f t="shared" si="51"/>
        <v>0</v>
      </c>
      <c r="AL210" s="38">
        <f t="shared" si="48"/>
        <v>0</v>
      </c>
      <c r="AM210" s="68" t="s">
        <v>162</v>
      </c>
    </row>
    <row r="211" spans="1:39">
      <c r="A211" s="21"/>
      <c r="B211" s="21" t="s">
        <v>109</v>
      </c>
      <c r="C211" s="666"/>
      <c r="D211" s="68" t="s">
        <v>163</v>
      </c>
      <c r="E211" s="679"/>
      <c r="F211" s="529">
        <f>VLOOKUP(D211,'Feb14 Revenue'!D:V,19,FALSE)</f>
        <v>0</v>
      </c>
      <c r="G211" s="680"/>
      <c r="H211" s="680"/>
      <c r="I211" s="770">
        <v>2951.46</v>
      </c>
      <c r="J211" s="682">
        <f t="shared" si="44"/>
        <v>2951.46</v>
      </c>
      <c r="K211" s="683"/>
      <c r="L211" s="684"/>
      <c r="M211" s="753"/>
      <c r="N211" s="683">
        <v>0</v>
      </c>
      <c r="O211" s="686"/>
      <c r="P211" s="683">
        <v>0</v>
      </c>
      <c r="Q211" s="687">
        <f t="shared" si="43"/>
        <v>0</v>
      </c>
      <c r="R211" s="687"/>
      <c r="S211" s="687"/>
      <c r="T211" s="688">
        <v>0</v>
      </c>
      <c r="U211" s="689"/>
      <c r="V211" s="690">
        <f t="shared" ref="V211:V238" si="70">IF(T211="","",T211-Q211)</f>
        <v>0</v>
      </c>
      <c r="W211" s="705"/>
      <c r="X211" s="474">
        <f t="shared" si="52"/>
        <v>0</v>
      </c>
      <c r="Y211" s="474">
        <f t="shared" si="53"/>
        <v>0</v>
      </c>
      <c r="Z211" s="475">
        <f t="shared" si="54"/>
        <v>0</v>
      </c>
      <c r="AA211" s="475">
        <v>0</v>
      </c>
      <c r="AB211" s="476">
        <v>0</v>
      </c>
      <c r="AC211" s="38">
        <f t="shared" si="55"/>
        <v>0</v>
      </c>
      <c r="AD211" s="692">
        <f t="shared" si="45"/>
        <v>0</v>
      </c>
      <c r="AE211" s="692">
        <f t="shared" si="46"/>
        <v>2951.46</v>
      </c>
      <c r="AF211" s="692">
        <f t="shared" si="47"/>
        <v>0</v>
      </c>
      <c r="AG211" s="38"/>
      <c r="AH211" s="692">
        <f t="shared" si="49"/>
        <v>0</v>
      </c>
      <c r="AI211" s="692">
        <f t="shared" si="50"/>
        <v>0</v>
      </c>
      <c r="AJ211" s="692">
        <f t="shared" si="51"/>
        <v>0</v>
      </c>
      <c r="AL211" s="38">
        <f t="shared" si="48"/>
        <v>2951.46</v>
      </c>
      <c r="AM211" s="68" t="s">
        <v>163</v>
      </c>
    </row>
    <row r="212" spans="1:39">
      <c r="A212" s="21"/>
      <c r="B212" s="21" t="s">
        <v>109</v>
      </c>
      <c r="C212" s="666"/>
      <c r="D212" s="412" t="s">
        <v>164</v>
      </c>
      <c r="E212" s="679"/>
      <c r="F212" s="529">
        <f>VLOOKUP(D212,'Feb14 Revenue'!D:V,19,FALSE)</f>
        <v>0</v>
      </c>
      <c r="G212" s="680"/>
      <c r="H212" s="680"/>
      <c r="I212" s="755"/>
      <c r="J212" s="682">
        <f t="shared" si="44"/>
        <v>0</v>
      </c>
      <c r="K212" s="683"/>
      <c r="L212" s="684"/>
      <c r="M212" s="753"/>
      <c r="N212" s="683">
        <v>0</v>
      </c>
      <c r="O212" s="686"/>
      <c r="P212" s="683">
        <v>0</v>
      </c>
      <c r="Q212" s="687">
        <f t="shared" si="43"/>
        <v>0</v>
      </c>
      <c r="R212" s="687"/>
      <c r="S212" s="687"/>
      <c r="T212" s="688">
        <v>0</v>
      </c>
      <c r="U212" s="689"/>
      <c r="V212" s="690">
        <f t="shared" si="70"/>
        <v>0</v>
      </c>
      <c r="W212" s="705"/>
      <c r="X212" s="474">
        <f t="shared" si="52"/>
        <v>0</v>
      </c>
      <c r="Y212" s="474">
        <f t="shared" si="53"/>
        <v>0</v>
      </c>
      <c r="Z212" s="475">
        <f t="shared" si="54"/>
        <v>0</v>
      </c>
      <c r="AA212" s="475">
        <v>0</v>
      </c>
      <c r="AB212" s="476">
        <v>0</v>
      </c>
      <c r="AC212" s="38">
        <f t="shared" si="55"/>
        <v>0</v>
      </c>
      <c r="AD212" s="692">
        <f t="shared" si="45"/>
        <v>0</v>
      </c>
      <c r="AE212" s="692">
        <f t="shared" si="46"/>
        <v>0</v>
      </c>
      <c r="AF212" s="692">
        <f t="shared" si="47"/>
        <v>0</v>
      </c>
      <c r="AG212" s="38"/>
      <c r="AH212" s="692">
        <f t="shared" si="49"/>
        <v>0</v>
      </c>
      <c r="AI212" s="692">
        <f t="shared" si="50"/>
        <v>0</v>
      </c>
      <c r="AJ212" s="692">
        <f t="shared" si="51"/>
        <v>0</v>
      </c>
      <c r="AL212" s="38">
        <f t="shared" si="48"/>
        <v>0</v>
      </c>
      <c r="AM212" s="412" t="s">
        <v>164</v>
      </c>
    </row>
    <row r="213" spans="1:39">
      <c r="A213" s="21" t="s">
        <v>109</v>
      </c>
      <c r="B213" s="21" t="s">
        <v>114</v>
      </c>
      <c r="C213" s="666" t="s">
        <v>578</v>
      </c>
      <c r="D213" s="412" t="s">
        <v>318</v>
      </c>
      <c r="E213" s="679"/>
      <c r="F213" s="529">
        <f>VLOOKUP(D213,'Feb14 Revenue'!D:V,19,FALSE)</f>
        <v>-16977.800000000003</v>
      </c>
      <c r="G213" s="680"/>
      <c r="H213" s="680"/>
      <c r="I213" s="755"/>
      <c r="J213" s="682">
        <f t="shared" si="44"/>
        <v>-16977.800000000003</v>
      </c>
      <c r="K213" s="683"/>
      <c r="L213" s="684"/>
      <c r="M213" s="753">
        <v>45000</v>
      </c>
      <c r="N213" s="683">
        <v>0</v>
      </c>
      <c r="O213" s="686"/>
      <c r="P213" s="683">
        <v>0</v>
      </c>
      <c r="Q213" s="687">
        <f t="shared" si="43"/>
        <v>45000</v>
      </c>
      <c r="R213" s="687"/>
      <c r="S213" s="687"/>
      <c r="T213" s="688">
        <v>43151.37</v>
      </c>
      <c r="U213" s="689"/>
      <c r="V213" s="690">
        <f t="shared" si="70"/>
        <v>-1848.6299999999974</v>
      </c>
      <c r="W213" s="683"/>
      <c r="X213" s="474">
        <f t="shared" si="52"/>
        <v>0</v>
      </c>
      <c r="Y213" s="474">
        <f t="shared" si="53"/>
        <v>0</v>
      </c>
      <c r="Z213" s="475">
        <f t="shared" si="54"/>
        <v>45000</v>
      </c>
      <c r="AA213" s="475">
        <v>0</v>
      </c>
      <c r="AB213" s="476">
        <v>0</v>
      </c>
      <c r="AC213" s="38">
        <f t="shared" si="55"/>
        <v>0</v>
      </c>
      <c r="AD213" s="692">
        <f t="shared" si="45"/>
        <v>0</v>
      </c>
      <c r="AE213" s="692">
        <f t="shared" si="46"/>
        <v>0</v>
      </c>
      <c r="AF213" s="692">
        <f t="shared" si="47"/>
        <v>-16977.800000000003</v>
      </c>
      <c r="AG213" s="38"/>
      <c r="AH213" s="692">
        <f t="shared" si="49"/>
        <v>0</v>
      </c>
      <c r="AI213" s="692">
        <f t="shared" si="50"/>
        <v>0</v>
      </c>
      <c r="AJ213" s="692">
        <f t="shared" si="51"/>
        <v>45000</v>
      </c>
      <c r="AL213" s="38">
        <f t="shared" si="48"/>
        <v>28022.199999999997</v>
      </c>
      <c r="AM213" s="412" t="s">
        <v>318</v>
      </c>
    </row>
    <row r="214" spans="1:39">
      <c r="A214" s="20" t="s">
        <v>211</v>
      </c>
      <c r="B214" s="20" t="s">
        <v>109</v>
      </c>
      <c r="C214" s="667"/>
      <c r="D214" s="68" t="s">
        <v>57</v>
      </c>
      <c r="E214" s="679"/>
      <c r="F214" s="529">
        <f>VLOOKUP(D214,'Feb14 Revenue'!D:V,19,FALSE)</f>
        <v>0</v>
      </c>
      <c r="G214" s="680"/>
      <c r="H214" s="680"/>
      <c r="I214" s="755"/>
      <c r="J214" s="682">
        <f t="shared" si="44"/>
        <v>0</v>
      </c>
      <c r="K214" s="683"/>
      <c r="L214" s="684"/>
      <c r="M214" s="753"/>
      <c r="N214" s="683">
        <v>0</v>
      </c>
      <c r="O214" s="686"/>
      <c r="P214" s="683">
        <v>0</v>
      </c>
      <c r="Q214" s="687">
        <f t="shared" si="43"/>
        <v>0</v>
      </c>
      <c r="R214" s="687"/>
      <c r="S214" s="687"/>
      <c r="T214" s="688">
        <v>0</v>
      </c>
      <c r="U214" s="689"/>
      <c r="V214" s="690">
        <f t="shared" si="70"/>
        <v>0</v>
      </c>
      <c r="W214" s="683"/>
      <c r="X214" s="474">
        <f t="shared" si="52"/>
        <v>0</v>
      </c>
      <c r="Y214" s="474">
        <f t="shared" si="53"/>
        <v>0</v>
      </c>
      <c r="Z214" s="475">
        <f t="shared" si="54"/>
        <v>0</v>
      </c>
      <c r="AA214" s="475">
        <v>0</v>
      </c>
      <c r="AB214" s="476">
        <v>0</v>
      </c>
      <c r="AC214" s="38">
        <f t="shared" si="55"/>
        <v>0</v>
      </c>
      <c r="AD214" s="692">
        <f t="shared" si="45"/>
        <v>0</v>
      </c>
      <c r="AE214" s="692">
        <f t="shared" si="46"/>
        <v>0</v>
      </c>
      <c r="AF214" s="692">
        <f t="shared" si="47"/>
        <v>0</v>
      </c>
      <c r="AG214" s="38"/>
      <c r="AH214" s="692">
        <f t="shared" si="49"/>
        <v>0</v>
      </c>
      <c r="AI214" s="692">
        <f t="shared" si="50"/>
        <v>0</v>
      </c>
      <c r="AJ214" s="692">
        <f t="shared" si="51"/>
        <v>0</v>
      </c>
      <c r="AL214" s="38">
        <f t="shared" si="48"/>
        <v>0</v>
      </c>
      <c r="AM214" s="68" t="s">
        <v>57</v>
      </c>
    </row>
    <row r="215" spans="1:39">
      <c r="A215" s="21"/>
      <c r="B215" s="21" t="s">
        <v>110</v>
      </c>
      <c r="C215" s="666"/>
      <c r="D215" s="806" t="s">
        <v>1050</v>
      </c>
      <c r="E215" s="679"/>
      <c r="F215" s="529">
        <f>VLOOKUP(D215,'Feb14 Revenue'!D:V,19,FALSE)</f>
        <v>0</v>
      </c>
      <c r="G215" s="680"/>
      <c r="H215" s="680"/>
      <c r="I215" s="755"/>
      <c r="J215" s="682">
        <f t="shared" si="44"/>
        <v>0</v>
      </c>
      <c r="K215" s="683"/>
      <c r="L215" s="684"/>
      <c r="M215" s="753"/>
      <c r="N215" s="683">
        <v>0</v>
      </c>
      <c r="O215" s="686"/>
      <c r="P215" s="683">
        <v>0</v>
      </c>
      <c r="Q215" s="687">
        <f t="shared" si="43"/>
        <v>0</v>
      </c>
      <c r="R215" s="687"/>
      <c r="S215" s="687"/>
      <c r="T215" s="688">
        <v>4713.9399999999996</v>
      </c>
      <c r="U215" s="689"/>
      <c r="V215" s="690">
        <f t="shared" si="70"/>
        <v>4713.9399999999996</v>
      </c>
      <c r="W215" s="683"/>
      <c r="X215" s="474">
        <f t="shared" si="52"/>
        <v>0</v>
      </c>
      <c r="Y215" s="474">
        <f t="shared" si="53"/>
        <v>0</v>
      </c>
      <c r="Z215" s="475">
        <f t="shared" si="54"/>
        <v>0</v>
      </c>
      <c r="AA215" s="475">
        <v>0</v>
      </c>
      <c r="AB215" s="476">
        <v>0</v>
      </c>
      <c r="AC215" s="38">
        <f t="shared" si="55"/>
        <v>0</v>
      </c>
      <c r="AD215" s="692">
        <f t="shared" si="45"/>
        <v>0</v>
      </c>
      <c r="AE215" s="692">
        <f t="shared" si="46"/>
        <v>0</v>
      </c>
      <c r="AF215" s="692">
        <f t="shared" si="47"/>
        <v>0</v>
      </c>
      <c r="AG215" s="38"/>
      <c r="AH215" s="692">
        <f t="shared" si="49"/>
        <v>0</v>
      </c>
      <c r="AI215" s="692">
        <f t="shared" si="50"/>
        <v>0</v>
      </c>
      <c r="AJ215" s="692">
        <f t="shared" si="51"/>
        <v>0</v>
      </c>
      <c r="AL215" s="38">
        <f t="shared" si="48"/>
        <v>0</v>
      </c>
      <c r="AM215" s="806" t="s">
        <v>388</v>
      </c>
    </row>
    <row r="216" spans="1:39">
      <c r="A216" s="20"/>
      <c r="B216" s="20" t="s">
        <v>114</v>
      </c>
      <c r="C216" s="676" t="s">
        <v>621</v>
      </c>
      <c r="D216" s="68" t="s">
        <v>622</v>
      </c>
      <c r="E216" s="679">
        <v>12597.1</v>
      </c>
      <c r="F216" s="529">
        <f>VLOOKUP(D216,'Feb14 Revenue'!D:V,19,FALSE)</f>
        <v>0</v>
      </c>
      <c r="G216" s="680"/>
      <c r="H216" s="680"/>
      <c r="I216" s="755"/>
      <c r="J216" s="682">
        <f t="shared" si="44"/>
        <v>12597.1</v>
      </c>
      <c r="K216" s="683"/>
      <c r="L216" s="684"/>
      <c r="M216" s="753"/>
      <c r="N216" s="683">
        <v>0</v>
      </c>
      <c r="O216" s="686"/>
      <c r="P216" s="683">
        <v>0</v>
      </c>
      <c r="Q216" s="687">
        <f t="shared" si="43"/>
        <v>0</v>
      </c>
      <c r="R216" s="687"/>
      <c r="S216" s="687"/>
      <c r="T216" s="688">
        <v>0</v>
      </c>
      <c r="U216" s="689"/>
      <c r="V216" s="690">
        <f t="shared" si="70"/>
        <v>0</v>
      </c>
      <c r="W216" s="683"/>
      <c r="X216" s="474">
        <f t="shared" si="52"/>
        <v>0</v>
      </c>
      <c r="Y216" s="474">
        <f t="shared" si="53"/>
        <v>0</v>
      </c>
      <c r="Z216" s="475">
        <f t="shared" si="54"/>
        <v>0</v>
      </c>
      <c r="AA216" s="475">
        <v>0</v>
      </c>
      <c r="AB216" s="476">
        <v>0</v>
      </c>
      <c r="AC216" s="38">
        <f t="shared" si="55"/>
        <v>0</v>
      </c>
      <c r="AD216" s="692">
        <f t="shared" si="45"/>
        <v>0</v>
      </c>
      <c r="AE216" s="692">
        <f t="shared" si="46"/>
        <v>0</v>
      </c>
      <c r="AF216" s="692">
        <f t="shared" si="47"/>
        <v>12597.1</v>
      </c>
      <c r="AG216" s="38"/>
      <c r="AH216" s="692">
        <f t="shared" si="49"/>
        <v>0</v>
      </c>
      <c r="AI216" s="692">
        <f t="shared" si="50"/>
        <v>0</v>
      </c>
      <c r="AJ216" s="692">
        <f t="shared" si="51"/>
        <v>0</v>
      </c>
      <c r="AL216" s="38">
        <f t="shared" si="48"/>
        <v>12597.1</v>
      </c>
      <c r="AM216" s="68" t="s">
        <v>622</v>
      </c>
    </row>
    <row r="217" spans="1:39">
      <c r="A217" s="20"/>
      <c r="B217" s="20" t="s">
        <v>110</v>
      </c>
      <c r="C217" s="667"/>
      <c r="D217" s="68" t="s">
        <v>497</v>
      </c>
      <c r="E217" s="679"/>
      <c r="F217" s="529">
        <f>VLOOKUP(D217,'Feb14 Revenue'!D:V,19,FALSE)</f>
        <v>0</v>
      </c>
      <c r="G217" s="680"/>
      <c r="H217" s="680"/>
      <c r="I217" s="755"/>
      <c r="J217" s="682">
        <f t="shared" si="44"/>
        <v>0</v>
      </c>
      <c r="K217" s="683"/>
      <c r="L217" s="684"/>
      <c r="M217" s="753"/>
      <c r="N217" s="683">
        <v>0</v>
      </c>
      <c r="O217" s="686"/>
      <c r="P217" s="683">
        <v>0</v>
      </c>
      <c r="Q217" s="687">
        <f t="shared" si="43"/>
        <v>0</v>
      </c>
      <c r="R217" s="687"/>
      <c r="S217" s="687"/>
      <c r="T217" s="688">
        <v>0</v>
      </c>
      <c r="U217" s="689"/>
      <c r="V217" s="690">
        <f t="shared" si="70"/>
        <v>0</v>
      </c>
      <c r="W217" s="683"/>
      <c r="X217" s="474">
        <f t="shared" si="52"/>
        <v>0</v>
      </c>
      <c r="Y217" s="474">
        <f t="shared" si="53"/>
        <v>0</v>
      </c>
      <c r="Z217" s="475">
        <f t="shared" si="54"/>
        <v>0</v>
      </c>
      <c r="AA217" s="475">
        <v>0</v>
      </c>
      <c r="AB217" s="476">
        <v>0</v>
      </c>
      <c r="AC217" s="38">
        <f t="shared" si="55"/>
        <v>0</v>
      </c>
      <c r="AD217" s="692">
        <f t="shared" si="45"/>
        <v>0</v>
      </c>
      <c r="AE217" s="692">
        <f t="shared" si="46"/>
        <v>0</v>
      </c>
      <c r="AF217" s="692">
        <f t="shared" si="47"/>
        <v>0</v>
      </c>
      <c r="AG217" s="38"/>
      <c r="AH217" s="692">
        <f t="shared" si="49"/>
        <v>0</v>
      </c>
      <c r="AI217" s="692">
        <f t="shared" si="50"/>
        <v>0</v>
      </c>
      <c r="AJ217" s="692">
        <f t="shared" si="51"/>
        <v>0</v>
      </c>
      <c r="AL217" s="38">
        <f t="shared" si="48"/>
        <v>0</v>
      </c>
      <c r="AM217" s="68" t="s">
        <v>497</v>
      </c>
    </row>
    <row r="218" spans="1:39">
      <c r="A218" s="20"/>
      <c r="B218" s="20" t="s">
        <v>110</v>
      </c>
      <c r="C218" s="667"/>
      <c r="D218" s="68" t="s">
        <v>509</v>
      </c>
      <c r="E218" s="679"/>
      <c r="F218" s="529">
        <f>VLOOKUP(D218,'Feb14 Revenue'!D:V,19,FALSE)</f>
        <v>-30000</v>
      </c>
      <c r="G218" s="680"/>
      <c r="H218" s="680"/>
      <c r="I218" s="770">
        <v>13500</v>
      </c>
      <c r="J218" s="682">
        <f t="shared" si="44"/>
        <v>-16500</v>
      </c>
      <c r="K218" s="683"/>
      <c r="L218" s="684"/>
      <c r="M218" s="753">
        <v>120000</v>
      </c>
      <c r="N218" s="683"/>
      <c r="O218" s="686"/>
      <c r="P218" s="683"/>
      <c r="Q218" s="687">
        <f t="shared" si="43"/>
        <v>120000</v>
      </c>
      <c r="R218" s="687"/>
      <c r="S218" s="687"/>
      <c r="T218" s="688">
        <v>0</v>
      </c>
      <c r="U218" s="689"/>
      <c r="V218" s="690">
        <f t="shared" si="70"/>
        <v>-120000</v>
      </c>
      <c r="W218" s="683"/>
      <c r="X218" s="474">
        <f t="shared" si="52"/>
        <v>120000</v>
      </c>
      <c r="Y218" s="474">
        <f t="shared" si="53"/>
        <v>0</v>
      </c>
      <c r="Z218" s="475">
        <f t="shared" si="54"/>
        <v>0</v>
      </c>
      <c r="AA218" s="475">
        <v>0</v>
      </c>
      <c r="AB218" s="476">
        <v>0</v>
      </c>
      <c r="AC218" s="38">
        <f t="shared" si="55"/>
        <v>0</v>
      </c>
      <c r="AD218" s="692">
        <f t="shared" si="45"/>
        <v>-16500</v>
      </c>
      <c r="AE218" s="692">
        <f t="shared" si="46"/>
        <v>0</v>
      </c>
      <c r="AF218" s="692">
        <f t="shared" si="47"/>
        <v>0</v>
      </c>
      <c r="AG218" s="38"/>
      <c r="AH218" s="692">
        <f t="shared" si="49"/>
        <v>120000</v>
      </c>
      <c r="AI218" s="692">
        <f t="shared" si="50"/>
        <v>0</v>
      </c>
      <c r="AJ218" s="692">
        <f t="shared" si="51"/>
        <v>0</v>
      </c>
      <c r="AL218" s="38">
        <f t="shared" si="48"/>
        <v>103500</v>
      </c>
      <c r="AM218" s="68" t="s">
        <v>509</v>
      </c>
    </row>
    <row r="219" spans="1:39" s="627" customFormat="1">
      <c r="A219" s="610"/>
      <c r="B219" s="610" t="s">
        <v>110</v>
      </c>
      <c r="C219" s="667" t="s">
        <v>580</v>
      </c>
      <c r="D219" s="612" t="s">
        <v>476</v>
      </c>
      <c r="E219" s="679"/>
      <c r="F219" s="529">
        <f>VLOOKUP(D219,'Feb14 Revenue'!D:V,19,FALSE)</f>
        <v>0</v>
      </c>
      <c r="G219" s="680"/>
      <c r="H219" s="680"/>
      <c r="I219" s="755"/>
      <c r="J219" s="682">
        <f t="shared" si="44"/>
        <v>0</v>
      </c>
      <c r="K219" s="683"/>
      <c r="L219" s="684"/>
      <c r="M219" s="753"/>
      <c r="N219" s="683">
        <v>0</v>
      </c>
      <c r="O219" s="686"/>
      <c r="P219" s="683">
        <v>0</v>
      </c>
      <c r="Q219" s="687">
        <f t="shared" si="43"/>
        <v>0</v>
      </c>
      <c r="R219" s="687"/>
      <c r="S219" s="687"/>
      <c r="T219" s="688">
        <v>0</v>
      </c>
      <c r="U219" s="689"/>
      <c r="V219" s="690">
        <f t="shared" si="70"/>
        <v>0</v>
      </c>
      <c r="W219" s="707"/>
      <c r="X219" s="474">
        <f t="shared" si="52"/>
        <v>0</v>
      </c>
      <c r="Y219" s="474">
        <f t="shared" si="53"/>
        <v>0</v>
      </c>
      <c r="Z219" s="475">
        <f t="shared" si="54"/>
        <v>0</v>
      </c>
      <c r="AA219" s="475">
        <v>0</v>
      </c>
      <c r="AB219" s="476">
        <v>0</v>
      </c>
      <c r="AC219" s="38">
        <f t="shared" si="55"/>
        <v>0</v>
      </c>
      <c r="AD219" s="692">
        <f t="shared" si="45"/>
        <v>0</v>
      </c>
      <c r="AE219" s="692">
        <f t="shared" si="46"/>
        <v>0</v>
      </c>
      <c r="AF219" s="692">
        <f t="shared" si="47"/>
        <v>0</v>
      </c>
      <c r="AG219" s="38"/>
      <c r="AH219" s="692">
        <f t="shared" si="49"/>
        <v>0</v>
      </c>
      <c r="AI219" s="692">
        <f t="shared" si="50"/>
        <v>0</v>
      </c>
      <c r="AJ219" s="692">
        <f t="shared" si="51"/>
        <v>0</v>
      </c>
      <c r="AL219" s="38">
        <f t="shared" si="48"/>
        <v>0</v>
      </c>
      <c r="AM219" s="612" t="s">
        <v>476</v>
      </c>
    </row>
    <row r="220" spans="1:39" s="232" customFormat="1">
      <c r="A220" s="283"/>
      <c r="B220" s="283" t="s">
        <v>114</v>
      </c>
      <c r="C220" s="667" t="s">
        <v>580</v>
      </c>
      <c r="D220" s="123" t="s">
        <v>371</v>
      </c>
      <c r="E220" s="679"/>
      <c r="F220" s="529">
        <f>VLOOKUP(D220,'Feb14 Revenue'!D:V,19,FALSE)</f>
        <v>11451.169999999998</v>
      </c>
      <c r="G220" s="680"/>
      <c r="H220" s="680"/>
      <c r="I220" s="755"/>
      <c r="J220" s="682">
        <f t="shared" si="44"/>
        <v>11451.169999999998</v>
      </c>
      <c r="K220" s="683"/>
      <c r="L220" s="684"/>
      <c r="M220" s="753">
        <v>35600</v>
      </c>
      <c r="N220" s="683">
        <v>0</v>
      </c>
      <c r="O220" s="686"/>
      <c r="P220" s="683">
        <v>0</v>
      </c>
      <c r="Q220" s="687">
        <f>L220+M220</f>
        <v>35600</v>
      </c>
      <c r="R220" s="687"/>
      <c r="S220" s="687"/>
      <c r="T220" s="688">
        <v>0</v>
      </c>
      <c r="U220" s="689"/>
      <c r="V220" s="690">
        <f t="shared" si="70"/>
        <v>-35600</v>
      </c>
      <c r="W220" s="683"/>
      <c r="X220" s="474">
        <f t="shared" si="52"/>
        <v>0</v>
      </c>
      <c r="Y220" s="474">
        <f t="shared" si="53"/>
        <v>0</v>
      </c>
      <c r="Z220" s="475">
        <f t="shared" si="54"/>
        <v>35600</v>
      </c>
      <c r="AA220" s="475">
        <v>0</v>
      </c>
      <c r="AB220" s="476">
        <v>0</v>
      </c>
      <c r="AC220" s="38">
        <f>(L220+M220)-(X220+Y220+Z220+AA220+AB220)</f>
        <v>0</v>
      </c>
      <c r="AD220" s="692">
        <f t="shared" si="45"/>
        <v>0</v>
      </c>
      <c r="AE220" s="692">
        <f t="shared" si="46"/>
        <v>0</v>
      </c>
      <c r="AF220" s="692">
        <f t="shared" si="47"/>
        <v>11451.169999999998</v>
      </c>
      <c r="AG220" s="38"/>
      <c r="AH220" s="692">
        <f t="shared" si="49"/>
        <v>0</v>
      </c>
      <c r="AI220" s="692">
        <f t="shared" si="50"/>
        <v>0</v>
      </c>
      <c r="AJ220" s="692">
        <f t="shared" si="51"/>
        <v>35600</v>
      </c>
      <c r="AL220" s="38">
        <f t="shared" si="48"/>
        <v>47051.17</v>
      </c>
      <c r="AM220" s="123" t="s">
        <v>371</v>
      </c>
    </row>
    <row r="221" spans="1:39" s="232" customFormat="1">
      <c r="A221" s="283"/>
      <c r="B221" s="283" t="s">
        <v>110</v>
      </c>
      <c r="C221" s="667" t="s">
        <v>580</v>
      </c>
      <c r="D221" s="123" t="s">
        <v>422</v>
      </c>
      <c r="E221" s="679"/>
      <c r="F221" s="529">
        <f>VLOOKUP(D221,'Feb14 Revenue'!D:V,19,FALSE)</f>
        <v>0</v>
      </c>
      <c r="G221" s="680"/>
      <c r="H221" s="680"/>
      <c r="I221" s="755"/>
      <c r="J221" s="682">
        <f t="shared" si="44"/>
        <v>0</v>
      </c>
      <c r="K221" s="683"/>
      <c r="L221" s="684"/>
      <c r="M221" s="753"/>
      <c r="N221" s="683">
        <v>0</v>
      </c>
      <c r="O221" s="686"/>
      <c r="P221" s="683">
        <v>0</v>
      </c>
      <c r="Q221" s="687">
        <f t="shared" si="43"/>
        <v>0</v>
      </c>
      <c r="R221" s="687"/>
      <c r="S221" s="687"/>
      <c r="T221" s="688">
        <v>0</v>
      </c>
      <c r="U221" s="689"/>
      <c r="V221" s="690">
        <f t="shared" si="70"/>
        <v>0</v>
      </c>
      <c r="W221" s="683"/>
      <c r="X221" s="474">
        <f t="shared" si="52"/>
        <v>0</v>
      </c>
      <c r="Y221" s="474">
        <f t="shared" si="53"/>
        <v>0</v>
      </c>
      <c r="Z221" s="475">
        <f t="shared" si="54"/>
        <v>0</v>
      </c>
      <c r="AA221" s="475">
        <v>0</v>
      </c>
      <c r="AB221" s="476">
        <v>0</v>
      </c>
      <c r="AC221" s="38">
        <f t="shared" si="55"/>
        <v>0</v>
      </c>
      <c r="AD221" s="692">
        <f t="shared" si="45"/>
        <v>0</v>
      </c>
      <c r="AE221" s="692">
        <f t="shared" si="46"/>
        <v>0</v>
      </c>
      <c r="AF221" s="692">
        <f t="shared" si="47"/>
        <v>0</v>
      </c>
      <c r="AG221" s="38"/>
      <c r="AH221" s="692">
        <f t="shared" si="49"/>
        <v>0</v>
      </c>
      <c r="AI221" s="692">
        <f t="shared" si="50"/>
        <v>0</v>
      </c>
      <c r="AJ221" s="692">
        <f t="shared" si="51"/>
        <v>0</v>
      </c>
      <c r="AL221" s="38">
        <f t="shared" si="48"/>
        <v>0</v>
      </c>
      <c r="AM221" s="123" t="s">
        <v>422</v>
      </c>
    </row>
    <row r="222" spans="1:39" s="232" customFormat="1">
      <c r="A222" s="283"/>
      <c r="B222" s="283" t="s">
        <v>110</v>
      </c>
      <c r="C222" s="667" t="s">
        <v>580</v>
      </c>
      <c r="D222" s="123" t="s">
        <v>442</v>
      </c>
      <c r="E222" s="679"/>
      <c r="F222" s="529">
        <f>VLOOKUP(D222,'Feb14 Revenue'!D:V,19,FALSE)</f>
        <v>-22.790000000037253</v>
      </c>
      <c r="G222" s="680"/>
      <c r="H222" s="680"/>
      <c r="I222" s="755"/>
      <c r="J222" s="682">
        <f t="shared" si="44"/>
        <v>-22.790000000037253</v>
      </c>
      <c r="K222" s="683"/>
      <c r="L222" s="684">
        <v>601000</v>
      </c>
      <c r="M222" s="753">
        <v>1091400</v>
      </c>
      <c r="N222" s="683">
        <v>0</v>
      </c>
      <c r="O222" s="686"/>
      <c r="P222" s="683">
        <v>0</v>
      </c>
      <c r="Q222" s="687">
        <f>L222+M222</f>
        <v>1692400</v>
      </c>
      <c r="R222" s="687"/>
      <c r="S222" s="687"/>
      <c r="T222" s="688">
        <f>1091395.57+601051.04+50637.94</f>
        <v>1743084.55</v>
      </c>
      <c r="U222" s="689"/>
      <c r="V222" s="690">
        <f t="shared" si="70"/>
        <v>50684.550000000047</v>
      </c>
      <c r="W222" s="683"/>
      <c r="X222" s="474">
        <f t="shared" si="52"/>
        <v>1692400</v>
      </c>
      <c r="Y222" s="474">
        <f t="shared" si="53"/>
        <v>0</v>
      </c>
      <c r="Z222" s="475">
        <f t="shared" si="54"/>
        <v>0</v>
      </c>
      <c r="AA222" s="475">
        <v>0</v>
      </c>
      <c r="AB222" s="476">
        <v>0</v>
      </c>
      <c r="AC222" s="38">
        <f>(L222+M222)-(X222+Y222+Z222+AA222+AB222)</f>
        <v>0</v>
      </c>
      <c r="AD222" s="692">
        <f t="shared" si="45"/>
        <v>-22.790000000037253</v>
      </c>
      <c r="AE222" s="692">
        <f t="shared" si="46"/>
        <v>0</v>
      </c>
      <c r="AF222" s="692">
        <f t="shared" si="47"/>
        <v>0</v>
      </c>
      <c r="AG222" s="38"/>
      <c r="AH222" s="692">
        <f t="shared" si="49"/>
        <v>1692400</v>
      </c>
      <c r="AI222" s="692">
        <f t="shared" si="50"/>
        <v>0</v>
      </c>
      <c r="AJ222" s="692">
        <f t="shared" si="51"/>
        <v>0</v>
      </c>
      <c r="AL222" s="38">
        <f t="shared" si="48"/>
        <v>1692377.21</v>
      </c>
      <c r="AM222" s="123" t="s">
        <v>442</v>
      </c>
    </row>
    <row r="223" spans="1:39" hidden="1">
      <c r="A223" s="21" t="s">
        <v>97</v>
      </c>
      <c r="B223" s="21" t="s">
        <v>109</v>
      </c>
      <c r="C223" s="666"/>
      <c r="D223" s="68" t="s">
        <v>381</v>
      </c>
      <c r="E223" s="679"/>
      <c r="F223" s="529">
        <f>VLOOKUP(D223,'Feb14 Revenue'!D:V,19,FALSE)</f>
        <v>0</v>
      </c>
      <c r="G223" s="680"/>
      <c r="H223" s="680"/>
      <c r="I223" s="755"/>
      <c r="J223" s="682">
        <f t="shared" si="44"/>
        <v>0</v>
      </c>
      <c r="K223" s="683"/>
      <c r="L223" s="684"/>
      <c r="M223" s="753"/>
      <c r="N223" s="683">
        <v>0</v>
      </c>
      <c r="O223" s="686"/>
      <c r="P223" s="683">
        <v>0</v>
      </c>
      <c r="Q223" s="687">
        <f t="shared" si="43"/>
        <v>0</v>
      </c>
      <c r="R223" s="687"/>
      <c r="S223" s="687"/>
      <c r="T223" s="688">
        <v>0</v>
      </c>
      <c r="U223" s="689"/>
      <c r="V223" s="690">
        <f t="shared" si="70"/>
        <v>0</v>
      </c>
      <c r="W223" s="683"/>
      <c r="X223" s="474">
        <f t="shared" si="52"/>
        <v>0</v>
      </c>
      <c r="Y223" s="474">
        <f t="shared" si="53"/>
        <v>0</v>
      </c>
      <c r="Z223" s="475">
        <f t="shared" si="54"/>
        <v>0</v>
      </c>
      <c r="AA223" s="475">
        <v>0</v>
      </c>
      <c r="AB223" s="476">
        <v>0</v>
      </c>
      <c r="AC223" s="38">
        <f t="shared" si="55"/>
        <v>0</v>
      </c>
      <c r="AD223" s="692">
        <f t="shared" si="45"/>
        <v>0</v>
      </c>
      <c r="AE223" s="692">
        <f t="shared" si="46"/>
        <v>0</v>
      </c>
      <c r="AF223" s="692">
        <f t="shared" si="47"/>
        <v>0</v>
      </c>
      <c r="AG223" s="38"/>
      <c r="AH223" s="692">
        <f t="shared" si="49"/>
        <v>0</v>
      </c>
      <c r="AI223" s="692">
        <f t="shared" si="50"/>
        <v>0</v>
      </c>
      <c r="AJ223" s="692">
        <f t="shared" si="51"/>
        <v>0</v>
      </c>
      <c r="AL223" s="38">
        <f t="shared" si="48"/>
        <v>0</v>
      </c>
      <c r="AM223" s="68" t="s">
        <v>381</v>
      </c>
    </row>
    <row r="224" spans="1:39" hidden="1">
      <c r="A224" s="21" t="s">
        <v>97</v>
      </c>
      <c r="B224" s="21" t="s">
        <v>114</v>
      </c>
      <c r="C224" s="666"/>
      <c r="D224" s="68" t="s">
        <v>376</v>
      </c>
      <c r="E224" s="679"/>
      <c r="F224" s="529">
        <f>VLOOKUP(D224,'Feb14 Revenue'!D:V,19,FALSE)</f>
        <v>0</v>
      </c>
      <c r="G224" s="680"/>
      <c r="H224" s="680"/>
      <c r="I224" s="755"/>
      <c r="J224" s="682">
        <f t="shared" si="44"/>
        <v>0</v>
      </c>
      <c r="K224" s="683"/>
      <c r="L224" s="684"/>
      <c r="M224" s="753"/>
      <c r="N224" s="683">
        <v>0</v>
      </c>
      <c r="O224" s="686"/>
      <c r="P224" s="683">
        <v>0</v>
      </c>
      <c r="Q224" s="687">
        <f t="shared" ref="Q224:Q238" si="71">L224+M224</f>
        <v>0</v>
      </c>
      <c r="R224" s="687"/>
      <c r="S224" s="687"/>
      <c r="T224" s="688">
        <v>0</v>
      </c>
      <c r="U224" s="689"/>
      <c r="V224" s="690">
        <f t="shared" si="70"/>
        <v>0</v>
      </c>
      <c r="W224" s="683"/>
      <c r="X224" s="474">
        <f t="shared" si="52"/>
        <v>0</v>
      </c>
      <c r="Y224" s="474">
        <f t="shared" si="53"/>
        <v>0</v>
      </c>
      <c r="Z224" s="475">
        <f t="shared" si="54"/>
        <v>0</v>
      </c>
      <c r="AA224" s="475">
        <v>0</v>
      </c>
      <c r="AB224" s="476">
        <v>0</v>
      </c>
      <c r="AC224" s="38">
        <f t="shared" si="55"/>
        <v>0</v>
      </c>
      <c r="AD224" s="692">
        <f t="shared" si="45"/>
        <v>0</v>
      </c>
      <c r="AE224" s="692">
        <f t="shared" si="46"/>
        <v>0</v>
      </c>
      <c r="AF224" s="692">
        <f t="shared" si="47"/>
        <v>0</v>
      </c>
      <c r="AG224" s="38"/>
      <c r="AH224" s="692">
        <f t="shared" si="49"/>
        <v>0</v>
      </c>
      <c r="AI224" s="692">
        <f t="shared" si="50"/>
        <v>0</v>
      </c>
      <c r="AJ224" s="692">
        <f t="shared" si="51"/>
        <v>0</v>
      </c>
      <c r="AL224" s="38">
        <f t="shared" si="48"/>
        <v>0</v>
      </c>
      <c r="AM224" s="68" t="s">
        <v>376</v>
      </c>
    </row>
    <row r="225" spans="1:39">
      <c r="A225" s="20"/>
      <c r="B225" s="20" t="s">
        <v>110</v>
      </c>
      <c r="C225" s="667"/>
      <c r="D225" s="68" t="s">
        <v>1032</v>
      </c>
      <c r="E225" s="679"/>
      <c r="F225" s="529">
        <f>VLOOKUP(D225,'Feb14 Revenue'!D:V,19,FALSE)</f>
        <v>0</v>
      </c>
      <c r="G225" s="680"/>
      <c r="H225" s="680"/>
      <c r="I225" s="755"/>
      <c r="J225" s="682">
        <f t="shared" si="44"/>
        <v>0</v>
      </c>
      <c r="K225" s="683"/>
      <c r="L225" s="684"/>
      <c r="M225" s="753"/>
      <c r="N225" s="683">
        <v>0</v>
      </c>
      <c r="O225" s="686"/>
      <c r="P225" s="683">
        <v>0</v>
      </c>
      <c r="Q225" s="687">
        <f>L225+M225</f>
        <v>0</v>
      </c>
      <c r="R225" s="687"/>
      <c r="S225" s="687"/>
      <c r="T225" s="688">
        <v>0</v>
      </c>
      <c r="U225" s="689"/>
      <c r="V225" s="690">
        <f t="shared" si="70"/>
        <v>0</v>
      </c>
      <c r="W225" s="683"/>
      <c r="X225" s="474">
        <f t="shared" si="52"/>
        <v>0</v>
      </c>
      <c r="Y225" s="474">
        <f t="shared" si="53"/>
        <v>0</v>
      </c>
      <c r="Z225" s="475">
        <f t="shared" si="54"/>
        <v>0</v>
      </c>
      <c r="AA225" s="475">
        <v>0</v>
      </c>
      <c r="AB225" s="476">
        <v>0</v>
      </c>
      <c r="AC225" s="38">
        <f>(L225+M225)-(X225+Y225+Z225+AA225+AB225)</f>
        <v>0</v>
      </c>
      <c r="AD225" s="692">
        <f t="shared" si="45"/>
        <v>0</v>
      </c>
      <c r="AE225" s="692">
        <f t="shared" si="46"/>
        <v>0</v>
      </c>
      <c r="AF225" s="692">
        <f t="shared" si="47"/>
        <v>0</v>
      </c>
      <c r="AG225" s="38"/>
      <c r="AH225" s="692">
        <f t="shared" si="49"/>
        <v>0</v>
      </c>
      <c r="AI225" s="692">
        <f t="shared" si="50"/>
        <v>0</v>
      </c>
      <c r="AJ225" s="692">
        <f t="shared" si="51"/>
        <v>0</v>
      </c>
      <c r="AL225" s="38">
        <f t="shared" si="48"/>
        <v>0</v>
      </c>
      <c r="AM225" s="68" t="s">
        <v>390</v>
      </c>
    </row>
    <row r="226" spans="1:39">
      <c r="A226" s="20"/>
      <c r="B226" s="20" t="s">
        <v>110</v>
      </c>
      <c r="C226" s="667" t="s">
        <v>581</v>
      </c>
      <c r="D226" s="123" t="s">
        <v>166</v>
      </c>
      <c r="E226" s="679">
        <f>7151.4+5786.33</f>
        <v>12937.73</v>
      </c>
      <c r="F226" s="529">
        <f>VLOOKUP(D226,'Feb14 Revenue'!D:V,19,FALSE)</f>
        <v>5508.63</v>
      </c>
      <c r="G226" s="680"/>
      <c r="H226" s="680"/>
      <c r="I226" s="755"/>
      <c r="J226" s="682">
        <f t="shared" si="44"/>
        <v>18446.36</v>
      </c>
      <c r="K226" s="683"/>
      <c r="L226" s="684"/>
      <c r="M226" s="753">
        <v>5000</v>
      </c>
      <c r="N226" s="683">
        <v>0</v>
      </c>
      <c r="O226" s="686"/>
      <c r="P226" s="683">
        <v>0</v>
      </c>
      <c r="Q226" s="687">
        <f t="shared" si="71"/>
        <v>5000</v>
      </c>
      <c r="R226" s="687"/>
      <c r="S226" s="687"/>
      <c r="T226" s="688">
        <v>4512.5</v>
      </c>
      <c r="U226" s="689"/>
      <c r="V226" s="690">
        <f t="shared" si="70"/>
        <v>-487.5</v>
      </c>
      <c r="W226" s="683"/>
      <c r="X226" s="474">
        <f t="shared" si="52"/>
        <v>5000</v>
      </c>
      <c r="Y226" s="474">
        <f t="shared" si="53"/>
        <v>0</v>
      </c>
      <c r="Z226" s="475">
        <f t="shared" si="54"/>
        <v>0</v>
      </c>
      <c r="AA226" s="475">
        <v>0</v>
      </c>
      <c r="AB226" s="476">
        <v>0</v>
      </c>
      <c r="AC226" s="38">
        <f t="shared" si="55"/>
        <v>0</v>
      </c>
      <c r="AD226" s="692">
        <f t="shared" si="45"/>
        <v>18446.36</v>
      </c>
      <c r="AE226" s="692">
        <f t="shared" si="46"/>
        <v>0</v>
      </c>
      <c r="AF226" s="692">
        <f t="shared" si="47"/>
        <v>0</v>
      </c>
      <c r="AG226" s="38"/>
      <c r="AH226" s="692">
        <f t="shared" si="49"/>
        <v>5000</v>
      </c>
      <c r="AI226" s="692">
        <f t="shared" si="50"/>
        <v>0</v>
      </c>
      <c r="AJ226" s="692">
        <f t="shared" si="51"/>
        <v>0</v>
      </c>
      <c r="AL226" s="38">
        <f t="shared" si="48"/>
        <v>23446.36</v>
      </c>
      <c r="AM226" s="123" t="s">
        <v>166</v>
      </c>
    </row>
    <row r="227" spans="1:39">
      <c r="A227" s="20"/>
      <c r="B227" s="20" t="s">
        <v>109</v>
      </c>
      <c r="C227" s="667" t="s">
        <v>581</v>
      </c>
      <c r="D227" s="123" t="s">
        <v>165</v>
      </c>
      <c r="E227" s="679"/>
      <c r="F227" s="529">
        <f>VLOOKUP(D227,'Feb14 Revenue'!D:V,19,FALSE)</f>
        <v>0</v>
      </c>
      <c r="G227" s="680"/>
      <c r="H227" s="680"/>
      <c r="I227" s="755"/>
      <c r="J227" s="682">
        <f t="shared" si="44"/>
        <v>0</v>
      </c>
      <c r="K227" s="683"/>
      <c r="L227" s="684"/>
      <c r="M227" s="753"/>
      <c r="N227" s="683">
        <v>0</v>
      </c>
      <c r="O227" s="686"/>
      <c r="P227" s="683">
        <v>0</v>
      </c>
      <c r="Q227" s="687">
        <f t="shared" si="71"/>
        <v>0</v>
      </c>
      <c r="R227" s="687"/>
      <c r="S227" s="687"/>
      <c r="T227" s="688">
        <v>0</v>
      </c>
      <c r="U227" s="689"/>
      <c r="V227" s="690">
        <f t="shared" si="70"/>
        <v>0</v>
      </c>
      <c r="W227" s="683"/>
      <c r="X227" s="474">
        <f t="shared" si="52"/>
        <v>0</v>
      </c>
      <c r="Y227" s="474">
        <f t="shared" si="53"/>
        <v>0</v>
      </c>
      <c r="Z227" s="475">
        <f t="shared" si="54"/>
        <v>0</v>
      </c>
      <c r="AA227" s="475">
        <v>0</v>
      </c>
      <c r="AB227" s="476">
        <v>0</v>
      </c>
      <c r="AC227" s="38">
        <f t="shared" si="55"/>
        <v>0</v>
      </c>
      <c r="AD227" s="692">
        <f t="shared" si="45"/>
        <v>0</v>
      </c>
      <c r="AE227" s="692">
        <f t="shared" si="46"/>
        <v>0</v>
      </c>
      <c r="AF227" s="692">
        <f t="shared" si="47"/>
        <v>0</v>
      </c>
      <c r="AG227" s="38"/>
      <c r="AH227" s="692">
        <f t="shared" si="49"/>
        <v>0</v>
      </c>
      <c r="AI227" s="692">
        <f t="shared" si="50"/>
        <v>0</v>
      </c>
      <c r="AJ227" s="692">
        <f t="shared" si="51"/>
        <v>0</v>
      </c>
      <c r="AL227" s="38">
        <f t="shared" si="48"/>
        <v>0</v>
      </c>
      <c r="AM227" s="123" t="s">
        <v>165</v>
      </c>
    </row>
    <row r="228" spans="1:39" hidden="1">
      <c r="A228" s="20"/>
      <c r="B228" s="20" t="s">
        <v>109</v>
      </c>
      <c r="C228" s="667"/>
      <c r="D228" s="123" t="s">
        <v>310</v>
      </c>
      <c r="E228" s="679"/>
      <c r="F228" s="529">
        <f>VLOOKUP(D228,'Feb14 Revenue'!D:V,19,FALSE)</f>
        <v>0</v>
      </c>
      <c r="G228" s="680"/>
      <c r="H228" s="680"/>
      <c r="I228" s="755"/>
      <c r="J228" s="682">
        <f t="shared" ref="J228:J238" si="72">SUM(E228:I228)</f>
        <v>0</v>
      </c>
      <c r="K228" s="683"/>
      <c r="L228" s="684"/>
      <c r="M228" s="753"/>
      <c r="N228" s="683">
        <v>0</v>
      </c>
      <c r="O228" s="686"/>
      <c r="P228" s="683">
        <v>0</v>
      </c>
      <c r="Q228" s="687">
        <f t="shared" si="71"/>
        <v>0</v>
      </c>
      <c r="R228" s="687"/>
      <c r="S228" s="687"/>
      <c r="T228" s="688">
        <v>0</v>
      </c>
      <c r="U228" s="689"/>
      <c r="V228" s="690">
        <f t="shared" si="70"/>
        <v>0</v>
      </c>
      <c r="W228" s="683"/>
      <c r="X228" s="474">
        <f t="shared" si="52"/>
        <v>0</v>
      </c>
      <c r="Y228" s="474">
        <f t="shared" si="53"/>
        <v>0</v>
      </c>
      <c r="Z228" s="475">
        <f t="shared" si="54"/>
        <v>0</v>
      </c>
      <c r="AA228" s="475">
        <v>0</v>
      </c>
      <c r="AB228" s="476">
        <v>0</v>
      </c>
      <c r="AC228" s="38">
        <f t="shared" si="55"/>
        <v>0</v>
      </c>
      <c r="AD228" s="692">
        <f t="shared" ref="AD228:AD238" si="73">IF(B228="D",J228,0)</f>
        <v>0</v>
      </c>
      <c r="AE228" s="692">
        <f t="shared" ref="AE228:AE238" si="74">IF(B228="M",J228,0)</f>
        <v>0</v>
      </c>
      <c r="AF228" s="692">
        <f t="shared" ref="AF228:AF238" si="75">IF(B228="V",J228,0)</f>
        <v>0</v>
      </c>
      <c r="AG228" s="38"/>
      <c r="AH228" s="692">
        <f t="shared" si="49"/>
        <v>0</v>
      </c>
      <c r="AI228" s="692">
        <f t="shared" si="50"/>
        <v>0</v>
      </c>
      <c r="AJ228" s="692">
        <f t="shared" si="51"/>
        <v>0</v>
      </c>
      <c r="AL228" s="38">
        <f t="shared" ref="AL228:AL238" si="76">SUM(AD228:AJ228)</f>
        <v>0</v>
      </c>
      <c r="AM228" s="123" t="s">
        <v>310</v>
      </c>
    </row>
    <row r="229" spans="1:39" hidden="1">
      <c r="A229" s="20"/>
      <c r="B229" s="20" t="s">
        <v>109</v>
      </c>
      <c r="C229" s="667"/>
      <c r="D229" s="123" t="s">
        <v>441</v>
      </c>
      <c r="E229" s="679"/>
      <c r="F229" s="529">
        <f>VLOOKUP(D229,'Feb14 Revenue'!D:V,19,FALSE)</f>
        <v>0</v>
      </c>
      <c r="G229" s="680"/>
      <c r="H229" s="680"/>
      <c r="I229" s="755"/>
      <c r="J229" s="682">
        <f t="shared" si="72"/>
        <v>0</v>
      </c>
      <c r="K229" s="683"/>
      <c r="L229" s="684"/>
      <c r="M229" s="753"/>
      <c r="N229" s="683">
        <v>0</v>
      </c>
      <c r="O229" s="686"/>
      <c r="P229" s="683">
        <v>0</v>
      </c>
      <c r="Q229" s="687">
        <f t="shared" si="71"/>
        <v>0</v>
      </c>
      <c r="R229" s="687"/>
      <c r="S229" s="687"/>
      <c r="T229" s="688">
        <v>0</v>
      </c>
      <c r="U229" s="689"/>
      <c r="V229" s="690">
        <f t="shared" si="70"/>
        <v>0</v>
      </c>
      <c r="W229" s="683"/>
      <c r="X229" s="474">
        <f t="shared" si="52"/>
        <v>0</v>
      </c>
      <c r="Y229" s="474">
        <f t="shared" si="53"/>
        <v>0</v>
      </c>
      <c r="Z229" s="475">
        <f t="shared" si="54"/>
        <v>0</v>
      </c>
      <c r="AA229" s="475">
        <v>0</v>
      </c>
      <c r="AB229" s="476">
        <v>0</v>
      </c>
      <c r="AC229" s="38">
        <f t="shared" si="55"/>
        <v>0</v>
      </c>
      <c r="AD229" s="692">
        <f t="shared" si="73"/>
        <v>0</v>
      </c>
      <c r="AE229" s="692">
        <f t="shared" si="74"/>
        <v>0</v>
      </c>
      <c r="AF229" s="692">
        <f t="shared" si="75"/>
        <v>0</v>
      </c>
      <c r="AG229" s="38"/>
      <c r="AH229" s="692">
        <f t="shared" ref="AH229:AH238" si="77">IF(B229="D",Q229,0)</f>
        <v>0</v>
      </c>
      <c r="AI229" s="692">
        <f t="shared" ref="AI229:AI238" si="78">IF(B229="M",Q229,0)</f>
        <v>0</v>
      </c>
      <c r="AJ229" s="692">
        <f t="shared" ref="AJ229:AJ238" si="79">IF(B229="V",Q229,0)</f>
        <v>0</v>
      </c>
      <c r="AL229" s="38">
        <f t="shared" si="76"/>
        <v>0</v>
      </c>
      <c r="AM229" s="123" t="s">
        <v>441</v>
      </c>
    </row>
    <row r="230" spans="1:39">
      <c r="A230" s="20"/>
      <c r="B230" s="20" t="s">
        <v>109</v>
      </c>
      <c r="C230" s="667"/>
      <c r="D230" s="68" t="s">
        <v>121</v>
      </c>
      <c r="E230" s="679"/>
      <c r="F230" s="529">
        <f>VLOOKUP(D230,'Feb14 Revenue'!D:V,19,FALSE)</f>
        <v>0</v>
      </c>
      <c r="G230" s="680"/>
      <c r="H230" s="680"/>
      <c r="I230" s="755"/>
      <c r="J230" s="682">
        <f t="shared" si="72"/>
        <v>0</v>
      </c>
      <c r="K230" s="683"/>
      <c r="L230" s="684"/>
      <c r="M230" s="753"/>
      <c r="N230" s="683">
        <v>0</v>
      </c>
      <c r="O230" s="686"/>
      <c r="P230" s="683">
        <v>0</v>
      </c>
      <c r="Q230" s="687">
        <f t="shared" si="71"/>
        <v>0</v>
      </c>
      <c r="R230" s="687"/>
      <c r="S230" s="687"/>
      <c r="T230" s="688">
        <v>0</v>
      </c>
      <c r="U230" s="689"/>
      <c r="V230" s="690">
        <f t="shared" si="70"/>
        <v>0</v>
      </c>
      <c r="W230" s="683"/>
      <c r="X230" s="474">
        <f t="shared" ref="X230:X238" si="80">IF(B230="D",Q230,0)</f>
        <v>0</v>
      </c>
      <c r="Y230" s="474">
        <f t="shared" ref="Y230:Y238" si="81">IF(B230="M",Q230,0)</f>
        <v>0</v>
      </c>
      <c r="Z230" s="475">
        <f t="shared" ref="Z230:Z238" si="82">IF(B230="V",Q230,0)</f>
        <v>0</v>
      </c>
      <c r="AA230" s="475">
        <v>0</v>
      </c>
      <c r="AB230" s="476">
        <v>0</v>
      </c>
      <c r="AC230" s="38">
        <f t="shared" ref="AC230:AC238" si="83">(L230+M230)-(X230+Y230+Z230+AA230+AB230)</f>
        <v>0</v>
      </c>
      <c r="AD230" s="692">
        <f t="shared" si="73"/>
        <v>0</v>
      </c>
      <c r="AE230" s="692">
        <f t="shared" si="74"/>
        <v>0</v>
      </c>
      <c r="AF230" s="692">
        <f t="shared" si="75"/>
        <v>0</v>
      </c>
      <c r="AG230" s="38"/>
      <c r="AH230" s="692">
        <f t="shared" si="77"/>
        <v>0</v>
      </c>
      <c r="AI230" s="692">
        <f t="shared" si="78"/>
        <v>0</v>
      </c>
      <c r="AJ230" s="692">
        <f t="shared" si="79"/>
        <v>0</v>
      </c>
      <c r="AL230" s="38">
        <f t="shared" si="76"/>
        <v>0</v>
      </c>
      <c r="AM230" s="68" t="s">
        <v>121</v>
      </c>
    </row>
    <row r="231" spans="1:39">
      <c r="A231" s="20"/>
      <c r="B231" s="20" t="s">
        <v>110</v>
      </c>
      <c r="C231" s="667"/>
      <c r="D231" s="68" t="s">
        <v>168</v>
      </c>
      <c r="E231" s="679"/>
      <c r="F231" s="529">
        <f>VLOOKUP(D231,'Feb14 Revenue'!D:V,19,FALSE)</f>
        <v>0</v>
      </c>
      <c r="G231" s="680"/>
      <c r="H231" s="680"/>
      <c r="I231" s="755"/>
      <c r="J231" s="682">
        <f t="shared" si="72"/>
        <v>0</v>
      </c>
      <c r="K231" s="683"/>
      <c r="L231" s="684"/>
      <c r="M231" s="753"/>
      <c r="N231" s="683">
        <v>0</v>
      </c>
      <c r="O231" s="686"/>
      <c r="P231" s="683">
        <v>0</v>
      </c>
      <c r="Q231" s="687">
        <f t="shared" si="71"/>
        <v>0</v>
      </c>
      <c r="R231" s="687"/>
      <c r="S231" s="687"/>
      <c r="T231" s="688">
        <v>0</v>
      </c>
      <c r="U231" s="689"/>
      <c r="V231" s="690">
        <f t="shared" si="70"/>
        <v>0</v>
      </c>
      <c r="W231" s="683"/>
      <c r="X231" s="474">
        <f t="shared" si="80"/>
        <v>0</v>
      </c>
      <c r="Y231" s="474">
        <f t="shared" si="81"/>
        <v>0</v>
      </c>
      <c r="Z231" s="475">
        <f t="shared" si="82"/>
        <v>0</v>
      </c>
      <c r="AA231" s="475">
        <v>0</v>
      </c>
      <c r="AB231" s="476">
        <v>0</v>
      </c>
      <c r="AC231" s="38">
        <f t="shared" si="83"/>
        <v>0</v>
      </c>
      <c r="AD231" s="692">
        <f t="shared" si="73"/>
        <v>0</v>
      </c>
      <c r="AE231" s="692">
        <f t="shared" si="74"/>
        <v>0</v>
      </c>
      <c r="AF231" s="692">
        <f t="shared" si="75"/>
        <v>0</v>
      </c>
      <c r="AG231" s="38"/>
      <c r="AH231" s="692">
        <f t="shared" si="77"/>
        <v>0</v>
      </c>
      <c r="AI231" s="692">
        <f t="shared" si="78"/>
        <v>0</v>
      </c>
      <c r="AJ231" s="692">
        <f t="shared" si="79"/>
        <v>0</v>
      </c>
      <c r="AL231" s="38">
        <f t="shared" si="76"/>
        <v>0</v>
      </c>
      <c r="AM231" s="68" t="s">
        <v>168</v>
      </c>
    </row>
    <row r="232" spans="1:39">
      <c r="A232" s="20"/>
      <c r="B232" s="20" t="s">
        <v>109</v>
      </c>
      <c r="C232" s="667" t="s">
        <v>582</v>
      </c>
      <c r="D232" s="68" t="s">
        <v>167</v>
      </c>
      <c r="E232" s="679"/>
      <c r="F232" s="529">
        <f>VLOOKUP(D232,'Feb14 Revenue'!D:V,19,FALSE)</f>
        <v>0</v>
      </c>
      <c r="G232" s="680"/>
      <c r="H232" s="680"/>
      <c r="I232" s="755"/>
      <c r="J232" s="682">
        <f t="shared" si="72"/>
        <v>0</v>
      </c>
      <c r="K232" s="683"/>
      <c r="L232" s="684"/>
      <c r="M232" s="753"/>
      <c r="N232" s="683">
        <v>0</v>
      </c>
      <c r="O232" s="686"/>
      <c r="P232" s="683">
        <v>0</v>
      </c>
      <c r="Q232" s="687">
        <f t="shared" si="71"/>
        <v>0</v>
      </c>
      <c r="R232" s="687"/>
      <c r="S232" s="687"/>
      <c r="T232" s="688">
        <v>0</v>
      </c>
      <c r="U232" s="689"/>
      <c r="V232" s="690">
        <f t="shared" si="70"/>
        <v>0</v>
      </c>
      <c r="W232" s="683"/>
      <c r="X232" s="474">
        <f t="shared" si="80"/>
        <v>0</v>
      </c>
      <c r="Y232" s="474">
        <f t="shared" si="81"/>
        <v>0</v>
      </c>
      <c r="Z232" s="475">
        <f t="shared" si="82"/>
        <v>0</v>
      </c>
      <c r="AA232" s="475">
        <v>0</v>
      </c>
      <c r="AB232" s="476">
        <v>0</v>
      </c>
      <c r="AC232" s="38">
        <f t="shared" si="83"/>
        <v>0</v>
      </c>
      <c r="AD232" s="692">
        <f t="shared" si="73"/>
        <v>0</v>
      </c>
      <c r="AE232" s="692">
        <f t="shared" si="74"/>
        <v>0</v>
      </c>
      <c r="AF232" s="692">
        <f t="shared" si="75"/>
        <v>0</v>
      </c>
      <c r="AG232" s="38"/>
      <c r="AH232" s="692">
        <f t="shared" si="77"/>
        <v>0</v>
      </c>
      <c r="AI232" s="692">
        <f t="shared" si="78"/>
        <v>0</v>
      </c>
      <c r="AJ232" s="692">
        <f t="shared" si="79"/>
        <v>0</v>
      </c>
      <c r="AL232" s="38">
        <f t="shared" si="76"/>
        <v>0</v>
      </c>
      <c r="AM232" s="68" t="s">
        <v>167</v>
      </c>
    </row>
    <row r="233" spans="1:39">
      <c r="A233" s="20" t="s">
        <v>218</v>
      </c>
      <c r="B233" s="20" t="s">
        <v>110</v>
      </c>
      <c r="C233" s="667"/>
      <c r="D233" s="68" t="s">
        <v>60</v>
      </c>
      <c r="E233" s="679"/>
      <c r="F233" s="529">
        <f>VLOOKUP(D233,'Feb14 Revenue'!D:V,19,FALSE)</f>
        <v>-12000</v>
      </c>
      <c r="G233" s="680"/>
      <c r="H233" s="680"/>
      <c r="I233" s="755"/>
      <c r="J233" s="682">
        <f t="shared" si="72"/>
        <v>-12000</v>
      </c>
      <c r="K233" s="683"/>
      <c r="L233" s="684"/>
      <c r="M233" s="753">
        <v>18000</v>
      </c>
      <c r="N233" s="683">
        <v>0</v>
      </c>
      <c r="O233" s="686"/>
      <c r="P233" s="683">
        <v>0</v>
      </c>
      <c r="Q233" s="687">
        <f t="shared" si="71"/>
        <v>18000</v>
      </c>
      <c r="R233" s="687"/>
      <c r="S233" s="687"/>
      <c r="T233" s="688">
        <v>0</v>
      </c>
      <c r="U233" s="689"/>
      <c r="V233" s="690">
        <f t="shared" si="70"/>
        <v>-18000</v>
      </c>
      <c r="W233" s="697"/>
      <c r="X233" s="474">
        <f t="shared" si="80"/>
        <v>18000</v>
      </c>
      <c r="Y233" s="474">
        <f t="shared" si="81"/>
        <v>0</v>
      </c>
      <c r="Z233" s="475">
        <f t="shared" si="82"/>
        <v>0</v>
      </c>
      <c r="AA233" s="475">
        <v>0</v>
      </c>
      <c r="AB233" s="476">
        <v>0</v>
      </c>
      <c r="AC233" s="38">
        <f t="shared" si="83"/>
        <v>0</v>
      </c>
      <c r="AD233" s="692">
        <f t="shared" si="73"/>
        <v>-12000</v>
      </c>
      <c r="AE233" s="692">
        <f t="shared" si="74"/>
        <v>0</v>
      </c>
      <c r="AF233" s="692">
        <f t="shared" si="75"/>
        <v>0</v>
      </c>
      <c r="AG233" s="38"/>
      <c r="AH233" s="692">
        <f t="shared" si="77"/>
        <v>18000</v>
      </c>
      <c r="AI233" s="692">
        <f t="shared" si="78"/>
        <v>0</v>
      </c>
      <c r="AJ233" s="692">
        <f t="shared" si="79"/>
        <v>0</v>
      </c>
      <c r="AL233" s="38">
        <f t="shared" si="76"/>
        <v>6000</v>
      </c>
      <c r="AM233" s="68" t="s">
        <v>60</v>
      </c>
    </row>
    <row r="234" spans="1:39">
      <c r="A234" s="20"/>
      <c r="B234" s="20" t="s">
        <v>110</v>
      </c>
      <c r="C234" s="667" t="s">
        <v>583</v>
      </c>
      <c r="D234" s="68" t="s">
        <v>169</v>
      </c>
      <c r="E234" s="679"/>
      <c r="F234" s="529">
        <f>VLOOKUP(D234,'Feb14 Revenue'!D:V,19,FALSE)</f>
        <v>0</v>
      </c>
      <c r="G234" s="680"/>
      <c r="H234" s="680"/>
      <c r="I234" s="755"/>
      <c r="J234" s="682">
        <f t="shared" si="72"/>
        <v>0</v>
      </c>
      <c r="K234" s="683"/>
      <c r="L234" s="684"/>
      <c r="M234" s="753"/>
      <c r="N234" s="683">
        <v>0</v>
      </c>
      <c r="O234" s="686"/>
      <c r="P234" s="683">
        <v>0</v>
      </c>
      <c r="Q234" s="687">
        <f t="shared" si="71"/>
        <v>0</v>
      </c>
      <c r="R234" s="687"/>
      <c r="S234" s="687"/>
      <c r="T234" s="688">
        <v>0</v>
      </c>
      <c r="U234" s="689"/>
      <c r="V234" s="690">
        <f t="shared" si="70"/>
        <v>0</v>
      </c>
      <c r="W234" s="683"/>
      <c r="X234" s="474">
        <f t="shared" si="80"/>
        <v>0</v>
      </c>
      <c r="Y234" s="474">
        <f t="shared" si="81"/>
        <v>0</v>
      </c>
      <c r="Z234" s="475">
        <f t="shared" si="82"/>
        <v>0</v>
      </c>
      <c r="AA234" s="475">
        <v>0</v>
      </c>
      <c r="AB234" s="476">
        <v>0</v>
      </c>
      <c r="AC234" s="38">
        <f t="shared" si="83"/>
        <v>0</v>
      </c>
      <c r="AD234" s="692">
        <f t="shared" si="73"/>
        <v>0</v>
      </c>
      <c r="AE234" s="692">
        <f t="shared" si="74"/>
        <v>0</v>
      </c>
      <c r="AF234" s="692">
        <f t="shared" si="75"/>
        <v>0</v>
      </c>
      <c r="AG234" s="38"/>
      <c r="AH234" s="692">
        <f t="shared" si="77"/>
        <v>0</v>
      </c>
      <c r="AI234" s="692">
        <f t="shared" si="78"/>
        <v>0</v>
      </c>
      <c r="AJ234" s="692">
        <f t="shared" si="79"/>
        <v>0</v>
      </c>
      <c r="AL234" s="38">
        <f t="shared" si="76"/>
        <v>0</v>
      </c>
      <c r="AM234" s="68" t="s">
        <v>169</v>
      </c>
    </row>
    <row r="235" spans="1:39">
      <c r="A235" s="21"/>
      <c r="B235" s="21" t="s">
        <v>110</v>
      </c>
      <c r="C235" s="666"/>
      <c r="D235" s="821" t="s">
        <v>981</v>
      </c>
      <c r="E235" s="679"/>
      <c r="F235" s="529">
        <f>VLOOKUP(D235,'Feb14 Revenue'!D:V,19,FALSE)</f>
        <v>0</v>
      </c>
      <c r="G235" s="680"/>
      <c r="H235" s="680"/>
      <c r="I235" s="770">
        <v>4728.4399999999996</v>
      </c>
      <c r="J235" s="682">
        <f t="shared" si="72"/>
        <v>4728.4399999999996</v>
      </c>
      <c r="K235" s="683"/>
      <c r="L235" s="684"/>
      <c r="M235" s="753"/>
      <c r="N235" s="683">
        <v>0</v>
      </c>
      <c r="O235" s="686"/>
      <c r="P235" s="683">
        <v>0</v>
      </c>
      <c r="Q235" s="687">
        <f t="shared" si="71"/>
        <v>0</v>
      </c>
      <c r="R235" s="687"/>
      <c r="S235" s="687"/>
      <c r="T235" s="688">
        <v>0</v>
      </c>
      <c r="U235" s="689"/>
      <c r="V235" s="690">
        <f t="shared" si="70"/>
        <v>0</v>
      </c>
      <c r="W235" s="683"/>
      <c r="X235" s="474">
        <f t="shared" si="80"/>
        <v>0</v>
      </c>
      <c r="Y235" s="474">
        <f t="shared" si="81"/>
        <v>0</v>
      </c>
      <c r="Z235" s="475">
        <f t="shared" si="82"/>
        <v>0</v>
      </c>
      <c r="AA235" s="475">
        <v>0</v>
      </c>
      <c r="AB235" s="476">
        <v>0</v>
      </c>
      <c r="AC235" s="38">
        <f t="shared" si="83"/>
        <v>0</v>
      </c>
      <c r="AD235" s="692">
        <f t="shared" si="73"/>
        <v>4728.4399999999996</v>
      </c>
      <c r="AE235" s="692">
        <f t="shared" si="74"/>
        <v>0</v>
      </c>
      <c r="AF235" s="692">
        <f t="shared" si="75"/>
        <v>0</v>
      </c>
      <c r="AG235" s="38"/>
      <c r="AH235" s="692">
        <f t="shared" si="77"/>
        <v>0</v>
      </c>
      <c r="AI235" s="692">
        <f t="shared" si="78"/>
        <v>0</v>
      </c>
      <c r="AJ235" s="692">
        <f t="shared" si="79"/>
        <v>0</v>
      </c>
      <c r="AL235" s="38">
        <f t="shared" si="76"/>
        <v>4728.4399999999996</v>
      </c>
      <c r="AM235" s="821" t="s">
        <v>981</v>
      </c>
    </row>
    <row r="236" spans="1:39">
      <c r="A236" s="21"/>
      <c r="B236" s="21" t="s">
        <v>114</v>
      </c>
      <c r="C236" s="666"/>
      <c r="D236" s="68" t="s">
        <v>591</v>
      </c>
      <c r="E236" s="679"/>
      <c r="F236" s="529">
        <f>VLOOKUP(D236,'Feb14 Revenue'!D:V,19,FALSE)</f>
        <v>3069.9</v>
      </c>
      <c r="G236" s="680"/>
      <c r="H236" s="680"/>
      <c r="I236" s="755"/>
      <c r="J236" s="682">
        <f t="shared" si="72"/>
        <v>3069.9</v>
      </c>
      <c r="K236" s="683"/>
      <c r="L236" s="684"/>
      <c r="M236" s="753"/>
      <c r="N236" s="683">
        <v>0</v>
      </c>
      <c r="O236" s="686"/>
      <c r="P236" s="683">
        <v>0</v>
      </c>
      <c r="Q236" s="687">
        <v>0</v>
      </c>
      <c r="R236" s="687"/>
      <c r="S236" s="687"/>
      <c r="T236" s="688">
        <f>803.83+613.52+662.44+2548.62</f>
        <v>4628.41</v>
      </c>
      <c r="U236" s="689"/>
      <c r="V236" s="690">
        <f t="shared" si="70"/>
        <v>4628.41</v>
      </c>
      <c r="W236" s="683"/>
      <c r="X236" s="474">
        <f t="shared" si="80"/>
        <v>0</v>
      </c>
      <c r="Y236" s="474">
        <f t="shared" si="81"/>
        <v>0</v>
      </c>
      <c r="Z236" s="475">
        <f t="shared" si="82"/>
        <v>0</v>
      </c>
      <c r="AA236" s="475">
        <v>0</v>
      </c>
      <c r="AB236" s="476">
        <v>0</v>
      </c>
      <c r="AC236" s="38">
        <f t="shared" si="83"/>
        <v>0</v>
      </c>
      <c r="AD236" s="692">
        <f t="shared" si="73"/>
        <v>0</v>
      </c>
      <c r="AE236" s="692">
        <f t="shared" si="74"/>
        <v>0</v>
      </c>
      <c r="AF236" s="692">
        <f t="shared" si="75"/>
        <v>3069.9</v>
      </c>
      <c r="AG236" s="38"/>
      <c r="AH236" s="692">
        <f t="shared" si="77"/>
        <v>0</v>
      </c>
      <c r="AI236" s="692">
        <f t="shared" si="78"/>
        <v>0</v>
      </c>
      <c r="AJ236" s="692">
        <f t="shared" si="79"/>
        <v>0</v>
      </c>
      <c r="AL236" s="38">
        <f t="shared" si="76"/>
        <v>3069.9</v>
      </c>
      <c r="AM236" s="68" t="s">
        <v>591</v>
      </c>
    </row>
    <row r="237" spans="1:39">
      <c r="A237" s="21"/>
      <c r="B237" s="21" t="s">
        <v>114</v>
      </c>
      <c r="C237" s="672"/>
      <c r="D237" s="519" t="s">
        <v>433</v>
      </c>
      <c r="E237" s="679"/>
      <c r="F237" s="529">
        <f>VLOOKUP(D237,'Feb14 Revenue'!D:V,19,FALSE)</f>
        <v>0</v>
      </c>
      <c r="G237" s="680"/>
      <c r="H237" s="680"/>
      <c r="I237" s="755"/>
      <c r="J237" s="682">
        <f t="shared" si="72"/>
        <v>0</v>
      </c>
      <c r="K237" s="683"/>
      <c r="L237" s="684"/>
      <c r="M237" s="753"/>
      <c r="N237" s="683">
        <v>0</v>
      </c>
      <c r="O237" s="686"/>
      <c r="P237" s="683">
        <v>0</v>
      </c>
      <c r="Q237" s="687">
        <f t="shared" si="71"/>
        <v>0</v>
      </c>
      <c r="R237" s="687"/>
      <c r="S237" s="687"/>
      <c r="T237" s="688">
        <v>0</v>
      </c>
      <c r="U237" s="689"/>
      <c r="V237" s="690">
        <f t="shared" si="70"/>
        <v>0</v>
      </c>
      <c r="W237" s="683"/>
      <c r="X237" s="474">
        <f t="shared" si="80"/>
        <v>0</v>
      </c>
      <c r="Y237" s="474">
        <f t="shared" si="81"/>
        <v>0</v>
      </c>
      <c r="Z237" s="475">
        <f t="shared" si="82"/>
        <v>0</v>
      </c>
      <c r="AA237" s="475">
        <v>0</v>
      </c>
      <c r="AB237" s="476">
        <v>0</v>
      </c>
      <c r="AC237" s="38">
        <f t="shared" si="83"/>
        <v>0</v>
      </c>
      <c r="AD237" s="692">
        <f t="shared" si="73"/>
        <v>0</v>
      </c>
      <c r="AE237" s="692">
        <f t="shared" si="74"/>
        <v>0</v>
      </c>
      <c r="AF237" s="692">
        <f t="shared" si="75"/>
        <v>0</v>
      </c>
      <c r="AG237" s="38"/>
      <c r="AH237" s="692">
        <f t="shared" si="77"/>
        <v>0</v>
      </c>
      <c r="AI237" s="692">
        <f t="shared" si="78"/>
        <v>0</v>
      </c>
      <c r="AJ237" s="692">
        <f t="shared" si="79"/>
        <v>0</v>
      </c>
      <c r="AL237" s="38">
        <f t="shared" si="76"/>
        <v>0</v>
      </c>
      <c r="AM237" s="519" t="s">
        <v>433</v>
      </c>
    </row>
    <row r="238" spans="1:39" s="146" customFormat="1" ht="13" thickBot="1">
      <c r="A238" s="21"/>
      <c r="B238" s="21" t="s">
        <v>110</v>
      </c>
      <c r="C238" s="666"/>
      <c r="D238" s="68" t="s">
        <v>1020</v>
      </c>
      <c r="E238" s="679"/>
      <c r="F238" s="529">
        <f>VLOOKUP(D238,'Feb14 Revenue'!D:V,19,FALSE)</f>
        <v>0</v>
      </c>
      <c r="G238" s="680"/>
      <c r="H238" s="680"/>
      <c r="I238" s="755">
        <v>-192506</v>
      </c>
      <c r="J238" s="682">
        <f t="shared" si="72"/>
        <v>-192506</v>
      </c>
      <c r="K238" s="683"/>
      <c r="L238" s="684"/>
      <c r="M238" s="753"/>
      <c r="N238" s="683">
        <v>0</v>
      </c>
      <c r="O238" s="686"/>
      <c r="P238" s="683">
        <v>0</v>
      </c>
      <c r="Q238" s="687">
        <f t="shared" si="71"/>
        <v>0</v>
      </c>
      <c r="R238" s="687"/>
      <c r="S238" s="687"/>
      <c r="T238" s="688">
        <v>0</v>
      </c>
      <c r="U238" s="689"/>
      <c r="V238" s="690">
        <f t="shared" si="70"/>
        <v>0</v>
      </c>
      <c r="W238" s="683"/>
      <c r="X238" s="474">
        <f t="shared" si="80"/>
        <v>0</v>
      </c>
      <c r="Y238" s="474">
        <f t="shared" si="81"/>
        <v>0</v>
      </c>
      <c r="Z238" s="475">
        <f t="shared" si="82"/>
        <v>0</v>
      </c>
      <c r="AA238" s="475">
        <v>0</v>
      </c>
      <c r="AB238" s="476">
        <v>0</v>
      </c>
      <c r="AC238" s="38">
        <f t="shared" si="83"/>
        <v>0</v>
      </c>
      <c r="AD238" s="692">
        <f t="shared" si="73"/>
        <v>-192506</v>
      </c>
      <c r="AE238" s="692">
        <f t="shared" si="74"/>
        <v>0</v>
      </c>
      <c r="AF238" s="692">
        <f t="shared" si="75"/>
        <v>0</v>
      </c>
      <c r="AG238" s="38"/>
      <c r="AH238" s="692">
        <f t="shared" si="77"/>
        <v>0</v>
      </c>
      <c r="AI238" s="692">
        <f t="shared" si="78"/>
        <v>0</v>
      </c>
      <c r="AJ238" s="692">
        <f t="shared" si="79"/>
        <v>0</v>
      </c>
      <c r="AL238" s="38">
        <f t="shared" si="76"/>
        <v>-192506</v>
      </c>
      <c r="AM238" s="68" t="s">
        <v>593</v>
      </c>
    </row>
    <row r="239" spans="1:39" ht="13" thickBot="1">
      <c r="A239" s="107"/>
      <c r="B239" s="108"/>
      <c r="C239" s="673"/>
      <c r="D239" s="71" t="s">
        <v>86</v>
      </c>
      <c r="E239" s="454">
        <f t="shared" ref="E239:J239" si="84">SUM(E16:E238)</f>
        <v>906270.18901000009</v>
      </c>
      <c r="F239" s="454">
        <f t="shared" si="84"/>
        <v>-1502252.8600000003</v>
      </c>
      <c r="G239" s="454">
        <f t="shared" si="84"/>
        <v>0</v>
      </c>
      <c r="H239" s="454">
        <f t="shared" si="84"/>
        <v>0</v>
      </c>
      <c r="I239" s="454">
        <f t="shared" si="84"/>
        <v>13970404.77</v>
      </c>
      <c r="J239" s="454">
        <f t="shared" si="84"/>
        <v>13374422.099010002</v>
      </c>
      <c r="K239" s="454"/>
      <c r="L239" s="454">
        <f>SUM(L16:L238)</f>
        <v>601000</v>
      </c>
      <c r="M239" s="454">
        <f>SUM(M16:M238)</f>
        <v>6461000</v>
      </c>
      <c r="N239" s="454">
        <f>SUM(N16:N238)</f>
        <v>0</v>
      </c>
      <c r="O239" s="100">
        <f>SUM(O16:O238)</f>
        <v>0</v>
      </c>
      <c r="P239" s="157">
        <f>SUM(P17:P238)</f>
        <v>0</v>
      </c>
      <c r="Q239" s="100">
        <f>SUM(Q16:Q238)</f>
        <v>7062000</v>
      </c>
      <c r="R239" s="100"/>
      <c r="S239" s="100"/>
      <c r="T239" s="100">
        <f>SUM(T16:T238)</f>
        <v>6305167.2400000002</v>
      </c>
      <c r="U239" s="708"/>
      <c r="V239" s="100">
        <f>SUM(V16:V238)</f>
        <v>-756832.76</v>
      </c>
      <c r="W239" s="683"/>
      <c r="X239" s="314">
        <f>SUM(X16:X238)</f>
        <v>6240400</v>
      </c>
      <c r="Y239" s="314">
        <f>SUM(Y16:Y238)</f>
        <v>665000</v>
      </c>
      <c r="Z239" s="314">
        <f>SUM(Z16:Z238)</f>
        <v>156600</v>
      </c>
      <c r="AA239" s="314">
        <f>SUM(AA16:AA238)</f>
        <v>0</v>
      </c>
      <c r="AB239" s="314">
        <f>SUM(AB16:AB238)</f>
        <v>0</v>
      </c>
      <c r="AC239" s="38"/>
      <c r="AD239" s="314">
        <f>SUM(AD16:AD238)</f>
        <v>12740976.679010002</v>
      </c>
      <c r="AE239" s="314">
        <f>SUM(AE16:AE238)</f>
        <v>592939.26</v>
      </c>
      <c r="AF239" s="314">
        <f>SUM(AF16:AF238)</f>
        <v>40506.159999999996</v>
      </c>
      <c r="AG239" s="38"/>
      <c r="AH239" s="314">
        <f>SUM(AH16:AH238)</f>
        <v>6240400</v>
      </c>
      <c r="AI239" s="314">
        <f>SUM(AI16:AI238)</f>
        <v>665000</v>
      </c>
      <c r="AJ239" s="314">
        <f>SUM(AJ16:AJ238)</f>
        <v>156600</v>
      </c>
    </row>
    <row r="240" spans="1:39" ht="13" thickBot="1">
      <c r="A240" s="65"/>
      <c r="B240" s="65"/>
      <c r="C240" s="674"/>
      <c r="D240" s="141"/>
      <c r="E240" s="709" t="s">
        <v>293</v>
      </c>
      <c r="F240" s="160">
        <f>F239+E239</f>
        <v>-595982.67099000025</v>
      </c>
      <c r="G240" s="153"/>
      <c r="H240" s="153" t="s">
        <v>225</v>
      </c>
      <c r="I240" s="153">
        <f>I239+H239+G239</f>
        <v>13970404.77</v>
      </c>
      <c r="J240" s="323"/>
      <c r="K240" s="153"/>
      <c r="L240" s="153" t="s">
        <v>296</v>
      </c>
      <c r="M240" s="100">
        <f>M239+L239</f>
        <v>7062000</v>
      </c>
      <c r="N240" s="153"/>
      <c r="O240" s="641"/>
      <c r="P240" s="153"/>
      <c r="Q240" s="153"/>
      <c r="R240" s="153"/>
      <c r="S240" s="153"/>
      <c r="T240" s="153"/>
      <c r="U240" s="153"/>
      <c r="V240" s="153"/>
      <c r="W240" s="153"/>
      <c r="X240" s="139"/>
      <c r="Y240" s="139"/>
      <c r="Z240" s="139"/>
      <c r="AA240" s="139"/>
      <c r="AB240" s="104"/>
      <c r="AC240" s="38"/>
      <c r="AD240" s="711"/>
      <c r="AE240" s="711"/>
      <c r="AF240" s="711"/>
      <c r="AG240" s="38"/>
      <c r="AH240" s="38"/>
      <c r="AI240" s="38"/>
      <c r="AJ240" s="38"/>
    </row>
    <row r="241" spans="1:38" ht="13" thickBot="1">
      <c r="A241" s="65"/>
      <c r="B241" s="65"/>
      <c r="C241" s="674"/>
      <c r="E241" s="159"/>
      <c r="F241" s="153"/>
      <c r="G241" s="153"/>
      <c r="H241" s="153"/>
      <c r="I241" s="153"/>
      <c r="J241" s="153"/>
      <c r="K241" s="153"/>
      <c r="L241" s="153"/>
      <c r="M241" s="710"/>
      <c r="N241" s="153"/>
      <c r="O241" s="153"/>
      <c r="P241" s="153"/>
      <c r="Q241" s="153"/>
      <c r="R241" s="153"/>
      <c r="S241" s="153"/>
      <c r="T241" s="153"/>
      <c r="U241" s="153"/>
      <c r="V241" s="153"/>
      <c r="W241" s="153"/>
      <c r="X241" s="331" t="s">
        <v>345</v>
      </c>
      <c r="Y241" s="139"/>
      <c r="Z241" s="139"/>
      <c r="AA241" s="139"/>
      <c r="AB241" s="104"/>
      <c r="AC241" s="164" t="s">
        <v>633</v>
      </c>
      <c r="AD241" s="798"/>
      <c r="AE241" s="798"/>
      <c r="AF241" s="798"/>
      <c r="AG241" s="38"/>
      <c r="AH241" s="711"/>
      <c r="AI241" s="711"/>
      <c r="AJ241" s="711"/>
    </row>
    <row r="242" spans="1:38" ht="17" thickTop="1" thickBot="1">
      <c r="E242" s="712"/>
      <c r="F242" s="713"/>
      <c r="G242" s="714"/>
      <c r="H242" s="715"/>
      <c r="I242" s="715"/>
      <c r="J242" s="164"/>
      <c r="K242" s="169"/>
      <c r="L242" s="233"/>
      <c r="M242" s="233"/>
      <c r="N242" s="38"/>
      <c r="O242" s="642"/>
      <c r="P242" s="139"/>
      <c r="Q242" s="139"/>
      <c r="R242" s="139"/>
      <c r="S242" s="139"/>
      <c r="T242" s="33"/>
      <c r="U242" s="33"/>
      <c r="V242" s="33"/>
      <c r="W242" s="169"/>
      <c r="X242" s="332"/>
      <c r="Y242" s="333"/>
      <c r="Z242" s="491"/>
      <c r="AA242" s="491"/>
      <c r="AB242" s="334"/>
      <c r="AC242" s="164" t="s">
        <v>634</v>
      </c>
      <c r="AD242" s="798"/>
      <c r="AE242" s="798"/>
      <c r="AF242" s="802"/>
      <c r="AG242" s="38"/>
      <c r="AH242" s="38"/>
      <c r="AI242" s="38"/>
      <c r="AJ242" s="38"/>
    </row>
    <row r="243" spans="1:38" ht="17" thickBot="1">
      <c r="E243" s="712"/>
      <c r="F243" s="713"/>
      <c r="G243" s="714"/>
      <c r="H243" s="715"/>
      <c r="J243" s="79">
        <f>J239</f>
        <v>13374422.099010002</v>
      </c>
      <c r="K243" s="715" t="s">
        <v>1073</v>
      </c>
      <c r="L243" s="169"/>
      <c r="M243" s="493"/>
      <c r="N243" s="38"/>
      <c r="O243" s="80"/>
      <c r="P243" s="104"/>
      <c r="Q243" s="139"/>
      <c r="R243" s="139"/>
      <c r="S243" s="139"/>
      <c r="T243" s="33"/>
      <c r="U243" s="33"/>
      <c r="V243" s="33"/>
      <c r="W243" s="169"/>
      <c r="X243" s="487"/>
      <c r="Y243" s="488"/>
      <c r="Z243" s="492" t="s">
        <v>399</v>
      </c>
      <c r="AA243" s="492" t="s">
        <v>400</v>
      </c>
      <c r="AB243" s="488"/>
      <c r="AC243" s="717" t="s">
        <v>475</v>
      </c>
      <c r="AD243" s="718">
        <f>SUM(AD239:AD242)</f>
        <v>12740976.679010002</v>
      </c>
      <c r="AE243" s="718">
        <f>AE239</f>
        <v>592939.26</v>
      </c>
      <c r="AF243" s="718">
        <f>SUM(AF239:AF242)</f>
        <v>40506.159999999996</v>
      </c>
      <c r="AG243" s="718"/>
      <c r="AH243" s="718">
        <f>AH239</f>
        <v>6240400</v>
      </c>
      <c r="AI243" s="718">
        <f>AI239</f>
        <v>665000</v>
      </c>
      <c r="AJ243" s="719">
        <f>AJ239</f>
        <v>156600</v>
      </c>
      <c r="AL243" s="38">
        <f>SUM(AL17:AL242)</f>
        <v>20436422.099009998</v>
      </c>
    </row>
    <row r="244" spans="1:38" ht="15" thickBot="1">
      <c r="D244" s="143"/>
      <c r="E244" s="759"/>
      <c r="F244" s="713"/>
      <c r="G244" s="714"/>
      <c r="H244" s="720"/>
      <c r="J244" s="653">
        <f>-J243</f>
        <v>-13374422.099010002</v>
      </c>
      <c r="K244" s="757" t="s">
        <v>251</v>
      </c>
      <c r="L244" s="722"/>
      <c r="M244" s="642"/>
      <c r="N244" s="33"/>
      <c r="O244" s="80"/>
      <c r="P244" s="104"/>
      <c r="Q244" s="139"/>
      <c r="R244" s="139"/>
      <c r="S244" s="139"/>
      <c r="T244" s="33"/>
      <c r="U244" s="33"/>
      <c r="V244" s="33"/>
      <c r="W244" s="169"/>
      <c r="X244" s="158" t="s">
        <v>609</v>
      </c>
      <c r="Y244" s="104" t="s">
        <v>352</v>
      </c>
      <c r="Z244" s="104">
        <f>X239+Y239+Z239</f>
        <v>7062000</v>
      </c>
      <c r="AA244" s="104"/>
      <c r="AB244" s="136"/>
      <c r="AC244" s="723"/>
      <c r="AD244" s="38"/>
      <c r="AE244" s="38"/>
      <c r="AF244" s="38"/>
      <c r="AG244" s="38"/>
      <c r="AH244" s="38"/>
      <c r="AI244" s="38"/>
      <c r="AJ244" s="38"/>
    </row>
    <row r="245" spans="1:38" ht="15" thickTop="1">
      <c r="D245" s="143"/>
      <c r="E245" s="712"/>
      <c r="F245" s="713"/>
      <c r="G245" s="714"/>
      <c r="H245" s="714" t="s">
        <v>249</v>
      </c>
      <c r="I245" s="35"/>
      <c r="J245" s="824">
        <f>J244+J243</f>
        <v>0</v>
      </c>
      <c r="K245" s="714" t="s">
        <v>454</v>
      </c>
      <c r="L245" s="722"/>
      <c r="M245" s="80"/>
      <c r="N245" s="104"/>
      <c r="O245" s="824"/>
      <c r="P245" s="104"/>
      <c r="Q245" s="826"/>
      <c r="R245" s="139"/>
      <c r="S245" s="139"/>
      <c r="T245" s="139"/>
      <c r="U245" s="139"/>
      <c r="V245" s="139"/>
      <c r="W245" s="169"/>
      <c r="X245" s="158"/>
      <c r="Y245" s="104"/>
      <c r="Z245" s="104"/>
      <c r="AA245" s="104"/>
      <c r="AB245" s="136"/>
      <c r="AC245" s="723"/>
      <c r="AD245" s="38"/>
      <c r="AE245" s="38"/>
      <c r="AF245" s="38" t="s">
        <v>86</v>
      </c>
      <c r="AG245" s="38"/>
      <c r="AH245" s="233">
        <f>SUM(AD243+AH243)</f>
        <v>18981376.679010004</v>
      </c>
      <c r="AI245" s="233">
        <f t="shared" ref="AI245:AJ245" si="85">SUM(AE243+AI243)</f>
        <v>1257939.26</v>
      </c>
      <c r="AJ245" s="233">
        <f t="shared" si="85"/>
        <v>197106.16</v>
      </c>
    </row>
    <row r="246" spans="1:38" ht="14">
      <c r="D246" s="143"/>
      <c r="E246" s="712"/>
      <c r="F246" s="713"/>
      <c r="G246" s="714"/>
      <c r="H246" s="714"/>
      <c r="J246" s="80"/>
      <c r="K246" s="714"/>
      <c r="L246" s="722"/>
      <c r="M246" s="104"/>
      <c r="N246" s="38"/>
      <c r="O246" s="139"/>
      <c r="P246" s="104"/>
      <c r="Q246" s="139"/>
      <c r="R246" s="139"/>
      <c r="S246" s="139"/>
      <c r="T246" s="139"/>
      <c r="U246" s="139"/>
      <c r="V246" s="139"/>
      <c r="W246" s="169"/>
      <c r="X246" s="158" t="s">
        <v>600</v>
      </c>
      <c r="Y246" s="104" t="s">
        <v>355</v>
      </c>
      <c r="Z246" s="104"/>
      <c r="AA246" s="104">
        <f>X239</f>
        <v>6240400</v>
      </c>
      <c r="AB246" s="136"/>
      <c r="AC246" s="38"/>
      <c r="AD246" s="797" t="s">
        <v>882</v>
      </c>
      <c r="AE246" s="38"/>
      <c r="AF246" s="38"/>
      <c r="AG246" s="38"/>
      <c r="AH246" s="233"/>
      <c r="AI246" s="233"/>
      <c r="AJ246" s="233"/>
    </row>
    <row r="247" spans="1:38" ht="15" thickBot="1">
      <c r="D247" s="143" t="s">
        <v>823</v>
      </c>
      <c r="E247" s="712"/>
      <c r="F247" s="713"/>
      <c r="G247" s="714"/>
      <c r="H247" s="714"/>
      <c r="J247" s="661">
        <f>M240</f>
        <v>7062000</v>
      </c>
      <c r="K247" s="714" t="s">
        <v>1074</v>
      </c>
      <c r="L247" s="645"/>
      <c r="M247" s="173"/>
      <c r="N247" s="38"/>
      <c r="O247" s="139"/>
      <c r="P247" s="104"/>
      <c r="Q247" s="139"/>
      <c r="R247" s="139"/>
      <c r="S247" s="139"/>
      <c r="T247" s="726"/>
      <c r="U247" s="139"/>
      <c r="V247" s="727"/>
      <c r="W247" s="169"/>
      <c r="X247" s="158"/>
      <c r="Y247" s="104" t="s">
        <v>356</v>
      </c>
      <c r="Z247" s="104"/>
      <c r="AA247" s="104">
        <f>AA239</f>
        <v>0</v>
      </c>
      <c r="AB247" s="136"/>
      <c r="AC247" s="38"/>
      <c r="AD247" s="38"/>
      <c r="AE247" s="38"/>
      <c r="AF247" s="38"/>
      <c r="AG247" s="38"/>
      <c r="AH247" s="799" t="s">
        <v>897</v>
      </c>
      <c r="AI247" s="801">
        <f>SUM(AH245:AJ245)</f>
        <v>20436422.099010006</v>
      </c>
      <c r="AJ247" s="800"/>
    </row>
    <row r="248" spans="1:38" ht="16" thickTop="1" thickBot="1">
      <c r="D248" s="143"/>
      <c r="E248" s="712"/>
      <c r="F248" s="713"/>
      <c r="G248" s="714"/>
      <c r="H248" s="714"/>
      <c r="J248" s="824">
        <f>SUM(J245:J247)</f>
        <v>7062000</v>
      </c>
      <c r="K248" s="714"/>
      <c r="L248" s="722"/>
      <c r="M248" s="173"/>
      <c r="N248" s="38"/>
      <c r="O248" s="33"/>
      <c r="P248" s="38"/>
      <c r="Q248" s="139"/>
      <c r="R248" s="139"/>
      <c r="S248" s="139"/>
      <c r="T248" s="139"/>
      <c r="U248" s="139"/>
      <c r="V248" s="139"/>
      <c r="W248" s="169"/>
      <c r="X248" s="158"/>
      <c r="Y248" s="104"/>
      <c r="Z248" s="104"/>
      <c r="AA248" s="104"/>
      <c r="AB248" s="136"/>
      <c r="AC248" s="38"/>
      <c r="AD248" s="38"/>
      <c r="AE248" s="38"/>
      <c r="AF248" s="38"/>
      <c r="AG248" s="38"/>
    </row>
    <row r="249" spans="1:38" ht="15" thickBot="1">
      <c r="E249" s="712"/>
      <c r="F249" s="713"/>
      <c r="G249" s="714"/>
      <c r="H249" s="714"/>
      <c r="J249" s="754">
        <f>J243+J247</f>
        <v>20436422.099010002</v>
      </c>
      <c r="K249" s="714" t="s">
        <v>1075</v>
      </c>
      <c r="L249" s="722"/>
      <c r="M249" s="173"/>
      <c r="N249" s="38"/>
      <c r="O249" s="33"/>
      <c r="P249" s="38"/>
      <c r="Q249" s="139"/>
      <c r="R249" s="139"/>
      <c r="S249" s="139"/>
      <c r="T249" s="139"/>
      <c r="U249" s="139"/>
      <c r="V249" s="139"/>
      <c r="W249" s="169"/>
      <c r="X249" s="158" t="s">
        <v>601</v>
      </c>
      <c r="Y249" s="104" t="s">
        <v>357</v>
      </c>
      <c r="Z249" s="104"/>
      <c r="AA249" s="104">
        <f>Y239</f>
        <v>665000</v>
      </c>
      <c r="AB249" s="136"/>
      <c r="AC249" s="38"/>
      <c r="AD249" s="38"/>
      <c r="AE249" s="38"/>
      <c r="AF249" s="38"/>
      <c r="AG249" s="38"/>
      <c r="AH249" s="796" t="s">
        <v>857</v>
      </c>
      <c r="AI249" s="38">
        <f>AI247-AJ245</f>
        <v>20239315.939010005</v>
      </c>
      <c r="AJ249" s="38"/>
    </row>
    <row r="250" spans="1:38">
      <c r="D250" s="161"/>
      <c r="E250" s="712"/>
      <c r="F250" s="713"/>
      <c r="G250" s="714"/>
      <c r="H250" s="714"/>
      <c r="J250" s="637"/>
      <c r="K250" s="714"/>
      <c r="L250" s="173"/>
      <c r="M250" s="731"/>
      <c r="N250" s="38"/>
      <c r="O250" s="33"/>
      <c r="P250" s="38"/>
      <c r="Q250" s="139"/>
      <c r="R250" s="139"/>
      <c r="S250" s="139"/>
      <c r="T250" s="139"/>
      <c r="U250" s="139"/>
      <c r="V250" s="139"/>
      <c r="W250" s="169"/>
      <c r="X250" s="415"/>
      <c r="Y250" s="104" t="s">
        <v>358</v>
      </c>
      <c r="Z250" s="104"/>
      <c r="AA250" s="104">
        <f>AB239</f>
        <v>0</v>
      </c>
      <c r="AB250" s="136"/>
      <c r="AC250" s="38"/>
      <c r="AD250" s="38"/>
      <c r="AE250" s="38"/>
      <c r="AF250" s="38"/>
      <c r="AG250" s="38"/>
      <c r="AH250" s="38"/>
      <c r="AI250" s="38"/>
      <c r="AJ250" s="38"/>
    </row>
    <row r="251" spans="1:38">
      <c r="E251" s="712"/>
      <c r="F251" s="713"/>
      <c r="G251" s="714"/>
      <c r="H251" s="714"/>
      <c r="J251" s="658">
        <f>SUM(AD243:AJ243)</f>
        <v>20436422.099010002</v>
      </c>
      <c r="K251" s="714" t="s">
        <v>518</v>
      </c>
      <c r="L251" s="732"/>
      <c r="M251" s="637"/>
      <c r="N251" s="38"/>
      <c r="O251" s="33"/>
      <c r="P251" s="38"/>
      <c r="Q251" s="139"/>
      <c r="R251" s="139"/>
      <c r="S251" s="139"/>
      <c r="T251" s="139"/>
      <c r="U251" s="139"/>
      <c r="V251" s="139"/>
      <c r="W251" s="169"/>
      <c r="X251" s="415"/>
      <c r="Y251" s="104"/>
      <c r="Z251" s="104"/>
      <c r="AA251" s="104"/>
      <c r="AB251" s="136"/>
      <c r="AC251" s="38"/>
      <c r="AD251" s="38"/>
      <c r="AE251" s="38"/>
      <c r="AF251" s="38"/>
      <c r="AG251" s="38"/>
      <c r="AH251" s="38"/>
      <c r="AI251" s="38"/>
      <c r="AJ251" s="38"/>
    </row>
    <row r="252" spans="1:38" ht="13" thickBot="1">
      <c r="E252" s="712"/>
      <c r="F252" s="713"/>
      <c r="G252" s="714"/>
      <c r="H252" s="714"/>
      <c r="J252" s="169"/>
      <c r="K252" s="714" t="s">
        <v>454</v>
      </c>
      <c r="L252" s="733"/>
      <c r="M252" s="795"/>
      <c r="N252" s="38"/>
      <c r="O252" s="33"/>
      <c r="P252" s="38"/>
      <c r="Q252" s="139"/>
      <c r="R252" s="139"/>
      <c r="S252" s="139"/>
      <c r="T252" s="139"/>
      <c r="U252" s="139"/>
      <c r="V252" s="139"/>
      <c r="W252" s="169"/>
      <c r="X252" s="158" t="s">
        <v>602</v>
      </c>
      <c r="Y252" s="488" t="s">
        <v>359</v>
      </c>
      <c r="Z252" s="488"/>
      <c r="AA252" s="488">
        <f>Z239</f>
        <v>156600</v>
      </c>
      <c r="AB252" s="414"/>
      <c r="AC252" s="38"/>
      <c r="AD252" s="38"/>
      <c r="AE252" s="38"/>
      <c r="AF252" s="38"/>
      <c r="AG252" s="38"/>
      <c r="AH252" s="38"/>
      <c r="AI252" s="38"/>
      <c r="AJ252" s="38"/>
    </row>
    <row r="253" spans="1:38" ht="15" thickBot="1">
      <c r="E253" s="712"/>
      <c r="F253" s="713"/>
      <c r="G253" s="714"/>
      <c r="H253" s="714"/>
      <c r="J253" s="736"/>
      <c r="K253" s="714" t="s">
        <v>519</v>
      </c>
      <c r="L253" s="169"/>
      <c r="M253" s="169"/>
      <c r="N253" s="38"/>
      <c r="O253" s="33"/>
      <c r="P253" s="38"/>
      <c r="Q253" s="33"/>
      <c r="R253" s="33"/>
      <c r="S253" s="33"/>
      <c r="T253" s="33"/>
      <c r="U253" s="33"/>
      <c r="V253" s="33"/>
      <c r="W253" s="169"/>
      <c r="X253" s="416"/>
      <c r="Y253" s="104"/>
      <c r="Z253" s="80">
        <f>SUM(Z244:Z252)</f>
        <v>7062000</v>
      </c>
      <c r="AA253" s="80">
        <f>SUM(AA244:AA252)</f>
        <v>7062000</v>
      </c>
      <c r="AB253" s="136"/>
      <c r="AC253" s="38"/>
      <c r="AD253" s="38"/>
      <c r="AE253" s="38"/>
      <c r="AF253" s="38"/>
      <c r="AG253" s="38"/>
      <c r="AH253" s="38"/>
      <c r="AI253" s="822">
        <f>SUM(AI245/AI249)</f>
        <v>6.2153249832688336E-2</v>
      </c>
      <c r="AJ253" s="38"/>
    </row>
    <row r="254" spans="1:38">
      <c r="E254" s="712"/>
      <c r="F254" s="713"/>
      <c r="G254" s="714"/>
      <c r="H254" s="714"/>
      <c r="I254" s="714"/>
      <c r="J254" s="169"/>
      <c r="K254" s="169"/>
      <c r="L254" s="169"/>
      <c r="M254" s="169"/>
      <c r="N254" s="38"/>
      <c r="O254" s="33"/>
      <c r="P254" s="38"/>
      <c r="Q254" s="33"/>
      <c r="R254" s="33"/>
      <c r="S254" s="33"/>
      <c r="T254" s="33"/>
      <c r="U254" s="33"/>
      <c r="V254" s="33"/>
      <c r="W254" s="169"/>
      <c r="X254" s="416"/>
      <c r="Y254" s="104"/>
      <c r="Z254" s="104"/>
      <c r="AA254" s="104"/>
      <c r="AB254" s="136"/>
      <c r="AC254" s="38"/>
      <c r="AD254" s="38"/>
      <c r="AE254" s="38"/>
      <c r="AF254" s="38"/>
      <c r="AG254" s="38"/>
      <c r="AH254" s="38"/>
      <c r="AI254" s="38"/>
      <c r="AJ254" s="38"/>
    </row>
    <row r="255" spans="1:38" ht="13" thickBot="1">
      <c r="E255" s="712"/>
      <c r="F255" s="713"/>
      <c r="G255" s="714"/>
      <c r="H255" s="714"/>
      <c r="I255" s="714"/>
      <c r="J255" s="169"/>
      <c r="K255" s="169"/>
      <c r="L255" s="169"/>
      <c r="M255" s="169"/>
      <c r="N255" s="38"/>
      <c r="O255" s="33"/>
      <c r="P255" s="38"/>
      <c r="Q255" s="33"/>
      <c r="R255" s="33"/>
      <c r="S255" s="33"/>
      <c r="T255" s="33"/>
      <c r="U255" s="33"/>
      <c r="V255" s="33"/>
      <c r="W255" s="169"/>
      <c r="X255" s="330"/>
      <c r="Y255" s="279"/>
      <c r="Z255" s="279"/>
      <c r="AA255" s="279"/>
      <c r="AB255" s="280"/>
      <c r="AC255" s="38"/>
      <c r="AD255" s="38"/>
      <c r="AE255" s="38"/>
      <c r="AF255" s="38"/>
      <c r="AG255" s="38"/>
      <c r="AH255" s="38"/>
      <c r="AI255" s="38"/>
      <c r="AJ255" s="38"/>
    </row>
    <row r="256" spans="1:38">
      <c r="E256" s="712"/>
      <c r="F256" s="713"/>
      <c r="G256" s="714"/>
      <c r="H256" s="714"/>
      <c r="I256" s="714"/>
      <c r="J256" s="169"/>
      <c r="K256" s="169"/>
      <c r="L256" s="169"/>
      <c r="M256" s="169"/>
      <c r="N256" s="38"/>
      <c r="O256" s="33"/>
      <c r="P256" s="38"/>
      <c r="Q256" s="33"/>
      <c r="R256" s="33"/>
      <c r="S256" s="33"/>
      <c r="T256" s="33"/>
      <c r="U256" s="33"/>
      <c r="V256" s="33"/>
      <c r="W256" s="169"/>
      <c r="X256" s="104"/>
      <c r="Y256" s="104"/>
      <c r="Z256" s="104"/>
      <c r="AA256" s="104"/>
      <c r="AB256" s="104"/>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row r="260" spans="5:36">
      <c r="E260" s="712"/>
      <c r="F260" s="713"/>
      <c r="G260" s="714"/>
      <c r="H260" s="714"/>
      <c r="I260" s="714"/>
      <c r="J260" s="169"/>
      <c r="K260" s="169"/>
      <c r="L260" s="169"/>
      <c r="M260" s="169"/>
      <c r="N260" s="38"/>
      <c r="O260" s="33"/>
      <c r="P260" s="38"/>
      <c r="Q260" s="33"/>
      <c r="R260" s="33"/>
      <c r="S260" s="33"/>
      <c r="T260" s="33"/>
      <c r="U260" s="33"/>
      <c r="V260" s="33"/>
      <c r="W260" s="169"/>
      <c r="AC260" s="38"/>
      <c r="AD260" s="38"/>
      <c r="AE260" s="38"/>
      <c r="AF260" s="38"/>
      <c r="AG260" s="38"/>
      <c r="AH260" s="38"/>
      <c r="AI260" s="38"/>
      <c r="AJ260" s="38"/>
    </row>
    <row r="261" spans="5:36">
      <c r="E261" s="712"/>
      <c r="F261" s="713"/>
      <c r="G261" s="714"/>
      <c r="H261" s="714"/>
      <c r="I261" s="714"/>
      <c r="J261" s="169"/>
      <c r="K261" s="169"/>
      <c r="L261" s="169"/>
      <c r="M261" s="169"/>
      <c r="N261" s="38"/>
      <c r="O261" s="33"/>
      <c r="P261" s="38"/>
      <c r="Q261" s="33"/>
      <c r="R261" s="33"/>
      <c r="S261" s="33"/>
      <c r="T261" s="33"/>
      <c r="U261" s="33"/>
      <c r="V261" s="33"/>
      <c r="W261" s="169"/>
      <c r="AC261" s="38"/>
      <c r="AD261" s="38"/>
      <c r="AE261" s="38"/>
      <c r="AF261" s="38"/>
      <c r="AG261" s="38"/>
      <c r="AH261" s="38"/>
      <c r="AI261" s="38"/>
      <c r="AJ261" s="38"/>
    </row>
    <row r="262" spans="5:36">
      <c r="E262" s="712"/>
      <c r="F262" s="713"/>
      <c r="G262" s="714"/>
      <c r="H262" s="714"/>
      <c r="I262" s="714"/>
      <c r="J262" s="169"/>
      <c r="K262" s="169"/>
      <c r="L262" s="169"/>
      <c r="M262" s="169"/>
      <c r="N262" s="38"/>
      <c r="O262" s="33"/>
      <c r="P262" s="38"/>
      <c r="Q262" s="33"/>
      <c r="R262" s="33"/>
      <c r="S262" s="33"/>
      <c r="T262" s="33"/>
      <c r="U262" s="33"/>
      <c r="V262" s="33"/>
      <c r="W262" s="169"/>
      <c r="AC262" s="38"/>
      <c r="AD262" s="38"/>
      <c r="AE262" s="38"/>
      <c r="AF262" s="38"/>
      <c r="AG262" s="38"/>
      <c r="AH262" s="38"/>
      <c r="AI262" s="38"/>
      <c r="AJ262"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260"/>
  <sheetViews>
    <sheetView topLeftCell="A223" workbookViewId="0">
      <selection activeCell="T211" sqref="T211"/>
    </sheetView>
  </sheetViews>
  <sheetFormatPr baseColWidth="10" defaultColWidth="9.3984375" defaultRowHeight="12" outlineLevelCol="1" x14ac:dyDescent="0"/>
  <cols>
    <col min="1" max="1" width="9.796875" style="18" customWidth="1" outlineLevel="1"/>
    <col min="2" max="2" width="8.3984375" style="18" bestFit="1" customWidth="1" outlineLevel="1"/>
    <col min="3" max="3" width="11.3984375" style="131" bestFit="1" customWidth="1" outlineLevel="1"/>
    <col min="4" max="4" width="32.3984375" style="147" customWidth="1"/>
    <col min="5" max="5" width="17.3984375" style="35" bestFit="1" customWidth="1"/>
    <col min="6" max="6" width="17" style="152" bestFit="1" customWidth="1"/>
    <col min="7" max="8" width="15.3984375" style="17" hidden="1" customWidth="1"/>
    <col min="9" max="9" width="15.3984375" style="17" customWidth="1"/>
    <col min="10" max="10" width="17" style="24" bestFit="1" customWidth="1"/>
    <col min="11" max="11" width="3" style="24" customWidth="1"/>
    <col min="12" max="12" width="15.3984375" style="24" customWidth="1"/>
    <col min="13" max="13" width="16.3984375" style="24" bestFit="1" customWidth="1"/>
    <col min="14" max="14" width="1.796875" style="16" customWidth="1"/>
    <col min="15" max="15" width="13.3984375" style="146" bestFit="1" customWidth="1"/>
    <col min="16" max="16" width="1.796875" style="16" customWidth="1"/>
    <col min="17" max="17" width="15.3984375" style="146" customWidth="1"/>
    <col min="18" max="18" width="15.3984375" style="146" hidden="1" customWidth="1"/>
    <col min="19" max="19" width="12" style="146" hidden="1" customWidth="1"/>
    <col min="20" max="20" width="22.3984375" style="146" bestFit="1"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6.3984375" style="559" bestFit="1" customWidth="1"/>
    <col min="36" max="36" width="14.19921875" style="559" customWidth="1"/>
    <col min="37" max="37" width="9.3984375" style="16"/>
    <col min="38" max="38" width="14.796875" style="16" bestFit="1" customWidth="1"/>
    <col min="39" max="39" width="38.3984375" style="16" bestFit="1" customWidth="1"/>
    <col min="40" max="16384" width="9.398437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1058</v>
      </c>
      <c r="F3" s="29"/>
      <c r="G3" s="18"/>
      <c r="H3" s="168"/>
      <c r="I3" s="168"/>
      <c r="J3" s="169"/>
      <c r="K3" s="169"/>
      <c r="L3" s="169"/>
      <c r="M3" s="169"/>
      <c r="N3" s="169"/>
    </row>
    <row r="4" spans="1:39">
      <c r="D4" s="148"/>
      <c r="G4" s="164"/>
      <c r="H4" s="168"/>
      <c r="I4" s="168"/>
      <c r="J4" s="169"/>
      <c r="K4" s="169"/>
      <c r="L4" s="169"/>
      <c r="M4" s="169"/>
      <c r="N4" s="169"/>
    </row>
    <row r="5" spans="1:39" ht="13"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3" thickBot="1">
      <c r="B12" s="469"/>
      <c r="C12" s="670"/>
      <c r="D12" s="470" t="s">
        <v>103</v>
      </c>
      <c r="E12" s="471" t="s">
        <v>101</v>
      </c>
      <c r="F12" s="29"/>
      <c r="G12" s="166"/>
      <c r="H12" s="150"/>
      <c r="I12" s="150"/>
      <c r="J12" s="76"/>
    </row>
    <row r="13" spans="1:39" ht="13" thickBot="1">
      <c r="A13" s="152"/>
      <c r="B13" s="152"/>
      <c r="C13" s="67"/>
      <c r="D13" s="54"/>
      <c r="E13" s="34"/>
      <c r="G13" s="167"/>
      <c r="H13" s="49"/>
      <c r="I13" s="49"/>
      <c r="J13" s="50"/>
      <c r="K13" s="50"/>
      <c r="L13" s="50"/>
      <c r="M13" s="745"/>
      <c r="N13" s="146"/>
      <c r="P13" s="146"/>
      <c r="W13" s="50"/>
      <c r="X13" s="33"/>
      <c r="Y13" s="33"/>
      <c r="Z13" s="33"/>
      <c r="AA13" s="33"/>
    </row>
    <row r="14" spans="1:39" ht="13" thickBot="1">
      <c r="D14" s="526"/>
      <c r="E14" s="582" t="s">
        <v>1059</v>
      </c>
      <c r="F14" s="583" t="s">
        <v>222</v>
      </c>
      <c r="G14" s="96"/>
      <c r="H14" s="96"/>
      <c r="I14" s="96"/>
      <c r="J14" s="583" t="s">
        <v>255</v>
      </c>
      <c r="K14" s="581"/>
      <c r="L14" s="583" t="s">
        <v>255</v>
      </c>
      <c r="M14" s="583" t="s">
        <v>255</v>
      </c>
      <c r="N14" s="93"/>
      <c r="O14" s="96"/>
      <c r="P14" s="93"/>
      <c r="Q14" s="13"/>
      <c r="R14" s="13"/>
      <c r="S14" s="13"/>
      <c r="T14" s="96"/>
      <c r="U14" s="101"/>
      <c r="V14" s="96"/>
      <c r="W14" s="93"/>
      <c r="X14" s="96"/>
      <c r="Y14" s="96"/>
      <c r="Z14" s="304"/>
      <c r="AA14" s="304"/>
      <c r="AB14" s="304"/>
      <c r="AE14" s="560" t="s">
        <v>266</v>
      </c>
      <c r="AI14" s="561" t="s">
        <v>267</v>
      </c>
    </row>
    <row r="15" spans="1:39" ht="13" thickBot="1">
      <c r="A15" s="22" t="s">
        <v>95</v>
      </c>
      <c r="B15" s="22" t="s">
        <v>100</v>
      </c>
      <c r="C15" s="36" t="s">
        <v>522</v>
      </c>
      <c r="D15" s="36" t="s">
        <v>67</v>
      </c>
      <c r="E15" s="450" t="s">
        <v>230</v>
      </c>
      <c r="F15" s="528" t="s">
        <v>229</v>
      </c>
      <c r="G15" s="176" t="s">
        <v>288</v>
      </c>
      <c r="H15" s="545" t="s">
        <v>289</v>
      </c>
      <c r="I15" s="758" t="s">
        <v>255</v>
      </c>
      <c r="J15" s="313" t="s">
        <v>105</v>
      </c>
      <c r="K15" s="93"/>
      <c r="L15" s="94" t="s">
        <v>104</v>
      </c>
      <c r="M15" s="95" t="s">
        <v>106</v>
      </c>
      <c r="N15" s="102"/>
      <c r="O15" s="427" t="s">
        <v>839</v>
      </c>
      <c r="P15" s="102"/>
      <c r="Q15" s="313" t="s">
        <v>267</v>
      </c>
      <c r="R15" s="313" t="s">
        <v>946</v>
      </c>
      <c r="S15" s="313" t="s">
        <v>947</v>
      </c>
      <c r="T15" s="156" t="s">
        <v>1060</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1027</v>
      </c>
      <c r="E16" s="679"/>
      <c r="F16" s="529">
        <f>VLOOKUP(D16,'Jan14 Revenue'!D:V,19,FALSE)</f>
        <v>0</v>
      </c>
      <c r="G16" s="680"/>
      <c r="H16" s="680"/>
      <c r="I16" s="755"/>
      <c r="J16" s="682">
        <f t="shared" ref="J16:J86" si="0">SUM(E16:I16)</f>
        <v>0</v>
      </c>
      <c r="K16" s="683"/>
      <c r="L16" s="684"/>
      <c r="M16" s="753"/>
      <c r="N16" s="683">
        <v>0</v>
      </c>
      <c r="O16" s="686"/>
      <c r="P16" s="683">
        <v>0</v>
      </c>
      <c r="Q16" s="687">
        <f t="shared" ref="Q16:Q148" si="1">L16+M16</f>
        <v>0</v>
      </c>
      <c r="R16" s="687"/>
      <c r="S16" s="687"/>
      <c r="T16" s="688">
        <v>0</v>
      </c>
      <c r="U16" s="689"/>
      <c r="V16" s="690">
        <f t="shared" ref="V16:V79" si="2">IF(T16="","",T16-Q16)</f>
        <v>0</v>
      </c>
      <c r="W16" s="691"/>
      <c r="X16" s="474">
        <f t="shared" ref="X16:X87" si="3">IF(B16="D",Q16,0)</f>
        <v>0</v>
      </c>
      <c r="Y16" s="474">
        <f t="shared" ref="Y16:Y87" si="4">IF(B16="M",Q16,0)</f>
        <v>0</v>
      </c>
      <c r="Z16" s="475">
        <f t="shared" ref="Z16:Z87" si="5">IF(B16="V",Q16,0)</f>
        <v>0</v>
      </c>
      <c r="AA16" s="475">
        <v>0</v>
      </c>
      <c r="AB16" s="476">
        <v>0</v>
      </c>
      <c r="AC16" s="38">
        <f t="shared" ref="AC16:AC87" si="6">(L16+M16)-(X16+Y16+Z16+AA16+AB16)</f>
        <v>0</v>
      </c>
      <c r="AD16" s="692">
        <f t="shared" ref="AD16:AD86" si="7">IF(B16="D",J16,0)</f>
        <v>0</v>
      </c>
      <c r="AE16" s="692">
        <f t="shared" ref="AE16:AE86" si="8">IF(B16="M",J16,0)</f>
        <v>0</v>
      </c>
      <c r="AF16" s="692">
        <f t="shared" ref="AF16:AF86" si="9">IF(B16="V",J16,0)</f>
        <v>0</v>
      </c>
      <c r="AG16" s="38"/>
      <c r="AH16" s="692">
        <f t="shared" ref="AH16:AH87" si="10">IF(B16="D",Q16,0)</f>
        <v>0</v>
      </c>
      <c r="AI16" s="692">
        <f t="shared" ref="AI16:AI87" si="11">IF(B16="M",Q16,0)</f>
        <v>0</v>
      </c>
      <c r="AJ16" s="692">
        <f t="shared" ref="AJ16:AJ87" si="12">IF(B16="V",Q16,0)</f>
        <v>0</v>
      </c>
      <c r="AM16" s="373" t="s">
        <v>382</v>
      </c>
    </row>
    <row r="17" spans="1:39">
      <c r="A17" s="20" t="s">
        <v>109</v>
      </c>
      <c r="B17" s="20" t="s">
        <v>110</v>
      </c>
      <c r="C17" s="671" t="s">
        <v>523</v>
      </c>
      <c r="D17" s="123" t="s">
        <v>317</v>
      </c>
      <c r="E17" s="679"/>
      <c r="F17" s="529">
        <f>VLOOKUP(D17,'Jan14 Revenue'!D:V,19,FALSE)</f>
        <v>-20000</v>
      </c>
      <c r="G17" s="680"/>
      <c r="H17" s="680"/>
      <c r="I17" s="755"/>
      <c r="J17" s="682">
        <f t="shared" si="0"/>
        <v>-20000</v>
      </c>
      <c r="K17" s="683"/>
      <c r="L17" s="684"/>
      <c r="M17" s="753">
        <v>30000</v>
      </c>
      <c r="N17" s="683">
        <v>0</v>
      </c>
      <c r="O17" s="686"/>
      <c r="P17" s="683">
        <v>0</v>
      </c>
      <c r="Q17" s="687">
        <f t="shared" si="1"/>
        <v>30000</v>
      </c>
      <c r="R17" s="687"/>
      <c r="S17" s="687"/>
      <c r="T17" s="688">
        <f>8067.79+808.6</f>
        <v>8876.39</v>
      </c>
      <c r="U17" s="693"/>
      <c r="V17" s="690">
        <f t="shared" si="2"/>
        <v>-21123.61</v>
      </c>
      <c r="W17" s="683"/>
      <c r="X17" s="474">
        <f t="shared" si="3"/>
        <v>30000</v>
      </c>
      <c r="Y17" s="474">
        <f t="shared" si="4"/>
        <v>0</v>
      </c>
      <c r="Z17" s="475">
        <f t="shared" si="5"/>
        <v>0</v>
      </c>
      <c r="AA17" s="475">
        <v>0</v>
      </c>
      <c r="AB17" s="476">
        <v>0</v>
      </c>
      <c r="AC17" s="38">
        <f t="shared" si="6"/>
        <v>0</v>
      </c>
      <c r="AD17" s="692">
        <f t="shared" si="7"/>
        <v>-20000</v>
      </c>
      <c r="AE17" s="692">
        <f t="shared" si="8"/>
        <v>0</v>
      </c>
      <c r="AF17" s="692">
        <f t="shared" si="9"/>
        <v>0</v>
      </c>
      <c r="AG17" s="38"/>
      <c r="AH17" s="692">
        <f t="shared" si="10"/>
        <v>30000</v>
      </c>
      <c r="AI17" s="692">
        <f t="shared" si="11"/>
        <v>0</v>
      </c>
      <c r="AJ17" s="692">
        <f t="shared" si="12"/>
        <v>0</v>
      </c>
      <c r="AL17" s="38">
        <f>SUM(AD17:AJ17)</f>
        <v>10000</v>
      </c>
      <c r="AM17" s="123" t="s">
        <v>317</v>
      </c>
    </row>
    <row r="18" spans="1:39">
      <c r="A18" s="20" t="s">
        <v>109</v>
      </c>
      <c r="B18" s="20" t="s">
        <v>109</v>
      </c>
      <c r="C18" s="671" t="s">
        <v>523</v>
      </c>
      <c r="D18" s="68" t="s">
        <v>393</v>
      </c>
      <c r="E18" s="679"/>
      <c r="F18" s="529">
        <f>VLOOKUP(D18,'Jan14 Revenue'!D:V,19,FALSE)</f>
        <v>-90000</v>
      </c>
      <c r="G18" s="680"/>
      <c r="H18" s="680"/>
      <c r="I18" s="755"/>
      <c r="J18" s="682">
        <f t="shared" si="0"/>
        <v>-90000</v>
      </c>
      <c r="K18" s="683"/>
      <c r="L18" s="684"/>
      <c r="M18" s="753">
        <v>135000</v>
      </c>
      <c r="N18" s="683">
        <v>0</v>
      </c>
      <c r="O18" s="686"/>
      <c r="P18" s="683">
        <v>0</v>
      </c>
      <c r="Q18" s="687">
        <f t="shared" si="1"/>
        <v>135000</v>
      </c>
      <c r="R18" s="687"/>
      <c r="S18" s="687"/>
      <c r="T18" s="688">
        <v>69915.42</v>
      </c>
      <c r="U18" s="693"/>
      <c r="V18" s="690">
        <f t="shared" si="2"/>
        <v>-65084.58</v>
      </c>
      <c r="W18" s="683"/>
      <c r="X18" s="474">
        <f t="shared" si="3"/>
        <v>0</v>
      </c>
      <c r="Y18" s="474">
        <f t="shared" si="4"/>
        <v>135000</v>
      </c>
      <c r="Z18" s="475">
        <f t="shared" si="5"/>
        <v>0</v>
      </c>
      <c r="AA18" s="475">
        <v>0</v>
      </c>
      <c r="AB18" s="476">
        <v>0</v>
      </c>
      <c r="AC18" s="38">
        <f t="shared" si="6"/>
        <v>0</v>
      </c>
      <c r="AD18" s="692">
        <f t="shared" si="7"/>
        <v>0</v>
      </c>
      <c r="AE18" s="692">
        <f t="shared" si="8"/>
        <v>-90000</v>
      </c>
      <c r="AF18" s="692">
        <f t="shared" si="9"/>
        <v>0</v>
      </c>
      <c r="AG18" s="38"/>
      <c r="AH18" s="692">
        <f t="shared" si="10"/>
        <v>0</v>
      </c>
      <c r="AI18" s="692">
        <f t="shared" si="11"/>
        <v>135000</v>
      </c>
      <c r="AJ18" s="692">
        <f t="shared" si="12"/>
        <v>0</v>
      </c>
      <c r="AL18" s="38">
        <f t="shared" ref="AL18:AL88" si="13">SUM(AD18:AJ18)</f>
        <v>45000</v>
      </c>
      <c r="AM18" s="68" t="s">
        <v>393</v>
      </c>
    </row>
    <row r="19" spans="1:39">
      <c r="A19" s="20" t="s">
        <v>109</v>
      </c>
      <c r="B19" s="20" t="s">
        <v>109</v>
      </c>
      <c r="C19" s="671" t="s">
        <v>523</v>
      </c>
      <c r="D19" s="68" t="s">
        <v>129</v>
      </c>
      <c r="E19" s="679"/>
      <c r="F19" s="529">
        <f>VLOOKUP(D19,'Jan14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VLOOKUP(D20,'Jan14 Revenue'!D:V,19,FALSE)</f>
        <v>0</v>
      </c>
      <c r="G20" s="680"/>
      <c r="H20" s="680"/>
      <c r="I20" s="755"/>
      <c r="J20" s="682">
        <f t="shared" si="0"/>
        <v>0</v>
      </c>
      <c r="K20" s="683"/>
      <c r="L20" s="684"/>
      <c r="M20" s="753">
        <v>60000</v>
      </c>
      <c r="N20" s="683">
        <v>0</v>
      </c>
      <c r="O20" s="686"/>
      <c r="P20" s="683">
        <v>0</v>
      </c>
      <c r="Q20" s="687">
        <f t="shared" si="1"/>
        <v>60000</v>
      </c>
      <c r="R20" s="687"/>
      <c r="S20" s="687"/>
      <c r="T20" s="679">
        <v>58465.47</v>
      </c>
      <c r="U20" s="693"/>
      <c r="V20" s="690">
        <f t="shared" si="2"/>
        <v>-1534.5299999999988</v>
      </c>
      <c r="W20" s="683"/>
      <c r="X20" s="474">
        <f t="shared" si="3"/>
        <v>0</v>
      </c>
      <c r="Y20" s="474">
        <f t="shared" si="4"/>
        <v>60000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60000</v>
      </c>
      <c r="AJ20" s="692">
        <f t="shared" si="12"/>
        <v>0</v>
      </c>
      <c r="AL20" s="38">
        <f t="shared" si="13"/>
        <v>60000</v>
      </c>
      <c r="AM20" s="351" t="s">
        <v>878</v>
      </c>
    </row>
    <row r="21" spans="1:39">
      <c r="A21" s="20"/>
      <c r="B21" s="20" t="s">
        <v>110</v>
      </c>
      <c r="C21" s="667" t="s">
        <v>524</v>
      </c>
      <c r="D21" s="123" t="s">
        <v>380</v>
      </c>
      <c r="E21" s="679"/>
      <c r="F21" s="529">
        <f>VLOOKUP(D21,'Jan14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c r="AM21" s="123" t="s">
        <v>380</v>
      </c>
    </row>
    <row r="22" spans="1:39">
      <c r="A22" s="20"/>
      <c r="B22" s="20" t="s">
        <v>110</v>
      </c>
      <c r="C22" s="667" t="s">
        <v>524</v>
      </c>
      <c r="D22" s="123" t="s">
        <v>132</v>
      </c>
      <c r="E22" s="679"/>
      <c r="F22" s="529">
        <f>VLOOKUP(D22,'Jan14 Revenue'!D:V,19,FALSE)</f>
        <v>3788.2799999999988</v>
      </c>
      <c r="G22" s="680"/>
      <c r="H22" s="680"/>
      <c r="I22" s="755"/>
      <c r="J22" s="682">
        <f t="shared" si="0"/>
        <v>3788.2799999999988</v>
      </c>
      <c r="K22" s="683"/>
      <c r="L22" s="684"/>
      <c r="M22" s="753">
        <v>30000</v>
      </c>
      <c r="N22" s="683">
        <v>0</v>
      </c>
      <c r="O22" s="686"/>
      <c r="P22" s="683">
        <v>0</v>
      </c>
      <c r="Q22" s="687">
        <f t="shared" si="1"/>
        <v>30000</v>
      </c>
      <c r="R22" s="687"/>
      <c r="S22" s="687"/>
      <c r="T22" s="688">
        <v>26573.63</v>
      </c>
      <c r="U22" s="693"/>
      <c r="V22" s="690">
        <f t="shared" si="2"/>
        <v>-3426.369999999999</v>
      </c>
      <c r="W22" s="683"/>
      <c r="X22" s="474">
        <f t="shared" si="3"/>
        <v>30000</v>
      </c>
      <c r="Y22" s="474">
        <f t="shared" si="4"/>
        <v>0</v>
      </c>
      <c r="Z22" s="475">
        <f t="shared" si="5"/>
        <v>0</v>
      </c>
      <c r="AA22" s="475">
        <v>0</v>
      </c>
      <c r="AB22" s="476">
        <v>0</v>
      </c>
      <c r="AC22" s="38">
        <f t="shared" si="6"/>
        <v>0</v>
      </c>
      <c r="AD22" s="692">
        <f t="shared" si="7"/>
        <v>3788.2799999999988</v>
      </c>
      <c r="AE22" s="692">
        <f t="shared" si="8"/>
        <v>0</v>
      </c>
      <c r="AF22" s="692">
        <f t="shared" si="9"/>
        <v>0</v>
      </c>
      <c r="AG22" s="38"/>
      <c r="AH22" s="692">
        <f t="shared" si="10"/>
        <v>30000</v>
      </c>
      <c r="AI22" s="692">
        <f t="shared" si="11"/>
        <v>0</v>
      </c>
      <c r="AJ22" s="692">
        <f t="shared" si="12"/>
        <v>0</v>
      </c>
      <c r="AL22" s="38">
        <f t="shared" si="13"/>
        <v>33788.28</v>
      </c>
      <c r="AM22" s="123" t="s">
        <v>132</v>
      </c>
    </row>
    <row r="23" spans="1:39">
      <c r="A23" s="20"/>
      <c r="B23" s="20" t="s">
        <v>110</v>
      </c>
      <c r="C23" s="667" t="s">
        <v>524</v>
      </c>
      <c r="D23" s="123" t="s">
        <v>133</v>
      </c>
      <c r="E23" s="679"/>
      <c r="F23" s="529">
        <f>VLOOKUP(D23,'Jan14 Revenue'!D:V,19,FALSE)</f>
        <v>0</v>
      </c>
      <c r="G23" s="680"/>
      <c r="H23" s="680"/>
      <c r="I23" s="755"/>
      <c r="J23" s="682">
        <f t="shared" si="0"/>
        <v>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3"/>
        <v>0</v>
      </c>
      <c r="AM23" s="123" t="s">
        <v>133</v>
      </c>
    </row>
    <row r="24" spans="1:39">
      <c r="A24" s="20"/>
      <c r="B24" s="20" t="s">
        <v>110</v>
      </c>
      <c r="C24" s="667"/>
      <c r="D24" s="123" t="s">
        <v>1015</v>
      </c>
      <c r="E24" s="679"/>
      <c r="F24" s="529">
        <f>VLOOKUP(D24,'Jan14 Revenue'!D:V,19,FALSE)</f>
        <v>0</v>
      </c>
      <c r="G24" s="680"/>
      <c r="H24" s="680"/>
      <c r="I24" s="755"/>
      <c r="J24" s="682">
        <f t="shared" si="0"/>
        <v>0</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3"/>
        <v>0</v>
      </c>
      <c r="AM24" s="123" t="s">
        <v>1015</v>
      </c>
    </row>
    <row r="25" spans="1:39" s="232" customFormat="1">
      <c r="A25" s="283" t="s">
        <v>211</v>
      </c>
      <c r="B25" s="283" t="s">
        <v>109</v>
      </c>
      <c r="C25" s="667" t="s">
        <v>525</v>
      </c>
      <c r="D25" s="123" t="s">
        <v>419</v>
      </c>
      <c r="E25" s="679">
        <f>12040.87-28869.68</f>
        <v>-16828.809999999998</v>
      </c>
      <c r="F25" s="529">
        <f>VLOOKUP(D25,'Jan14 Revenue'!D:V,19,FALSE)</f>
        <v>-40000</v>
      </c>
      <c r="G25" s="680"/>
      <c r="H25" s="680"/>
      <c r="I25" s="755"/>
      <c r="J25" s="682">
        <f t="shared" si="0"/>
        <v>-56828.81</v>
      </c>
      <c r="K25" s="683"/>
      <c r="L25" s="684"/>
      <c r="M25" s="753">
        <v>50000</v>
      </c>
      <c r="N25" s="683">
        <v>0</v>
      </c>
      <c r="O25" s="686"/>
      <c r="P25" s="683">
        <v>0</v>
      </c>
      <c r="Q25" s="687">
        <f t="shared" si="1"/>
        <v>50000</v>
      </c>
      <c r="R25" s="687"/>
      <c r="S25" s="687"/>
      <c r="T25" s="688">
        <v>0</v>
      </c>
      <c r="U25" s="693"/>
      <c r="V25" s="690">
        <f t="shared" si="2"/>
        <v>-50000</v>
      </c>
      <c r="W25" s="683"/>
      <c r="X25" s="474">
        <f t="shared" si="3"/>
        <v>0</v>
      </c>
      <c r="Y25" s="474">
        <f t="shared" si="4"/>
        <v>50000</v>
      </c>
      <c r="Z25" s="475">
        <f t="shared" si="5"/>
        <v>0</v>
      </c>
      <c r="AA25" s="475">
        <v>0</v>
      </c>
      <c r="AB25" s="476">
        <v>0</v>
      </c>
      <c r="AC25" s="38">
        <f t="shared" si="6"/>
        <v>0</v>
      </c>
      <c r="AD25" s="692">
        <f t="shared" si="7"/>
        <v>0</v>
      </c>
      <c r="AE25" s="692">
        <f t="shared" si="8"/>
        <v>-56828.81</v>
      </c>
      <c r="AF25" s="692">
        <f t="shared" si="9"/>
        <v>0</v>
      </c>
      <c r="AG25" s="38"/>
      <c r="AH25" s="692">
        <f t="shared" si="10"/>
        <v>0</v>
      </c>
      <c r="AI25" s="692">
        <f t="shared" si="11"/>
        <v>50000</v>
      </c>
      <c r="AJ25" s="692">
        <f t="shared" si="12"/>
        <v>0</v>
      </c>
      <c r="AL25" s="38">
        <f t="shared" si="13"/>
        <v>-6828.8099999999977</v>
      </c>
      <c r="AM25" s="123" t="s">
        <v>419</v>
      </c>
    </row>
    <row r="26" spans="1:39">
      <c r="A26" s="20"/>
      <c r="B26" s="20" t="s">
        <v>110</v>
      </c>
      <c r="C26" s="667"/>
      <c r="D26" s="68" t="s">
        <v>922</v>
      </c>
      <c r="E26" s="679"/>
      <c r="F26" s="529">
        <f>VLOOKUP(D26,'Jan14 Revenue'!D:V,19,FALSE)</f>
        <v>0</v>
      </c>
      <c r="G26" s="680"/>
      <c r="H26" s="680"/>
      <c r="I26" s="770">
        <v>505.15</v>
      </c>
      <c r="J26" s="682">
        <f t="shared" si="0"/>
        <v>505.15</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505.15</v>
      </c>
      <c r="AE26" s="692">
        <f t="shared" si="8"/>
        <v>0</v>
      </c>
      <c r="AF26" s="692">
        <f t="shared" si="9"/>
        <v>0</v>
      </c>
      <c r="AG26" s="38"/>
      <c r="AH26" s="692">
        <f t="shared" si="10"/>
        <v>0</v>
      </c>
      <c r="AI26" s="692">
        <f t="shared" si="11"/>
        <v>0</v>
      </c>
      <c r="AJ26" s="692">
        <f t="shared" si="12"/>
        <v>0</v>
      </c>
      <c r="AL26" s="38">
        <f t="shared" si="13"/>
        <v>505.15</v>
      </c>
      <c r="AM26" s="68" t="s">
        <v>922</v>
      </c>
    </row>
    <row r="27" spans="1:39">
      <c r="A27" s="20"/>
      <c r="B27" s="20" t="s">
        <v>110</v>
      </c>
      <c r="C27" s="667"/>
      <c r="D27" s="68" t="s">
        <v>589</v>
      </c>
      <c r="E27" s="679"/>
      <c r="F27" s="529">
        <f>VLOOKUP(D27,'Jan14 Revenue'!D:V,19,FALSE)</f>
        <v>0</v>
      </c>
      <c r="G27" s="680"/>
      <c r="H27" s="680"/>
      <c r="I27" s="755"/>
      <c r="J27" s="682">
        <f t="shared" si="0"/>
        <v>0</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0</v>
      </c>
      <c r="AE27" s="692">
        <f t="shared" si="8"/>
        <v>0</v>
      </c>
      <c r="AF27" s="692">
        <f t="shared" si="9"/>
        <v>0</v>
      </c>
      <c r="AG27" s="38"/>
      <c r="AH27" s="692">
        <f t="shared" si="10"/>
        <v>0</v>
      </c>
      <c r="AI27" s="692">
        <f t="shared" si="11"/>
        <v>0</v>
      </c>
      <c r="AJ27" s="692">
        <f t="shared" si="12"/>
        <v>0</v>
      </c>
      <c r="AL27" s="38">
        <f t="shared" si="13"/>
        <v>0</v>
      </c>
      <c r="AM27" s="68" t="s">
        <v>589</v>
      </c>
    </row>
    <row r="28" spans="1:39">
      <c r="A28" s="20"/>
      <c r="B28" s="20" t="s">
        <v>110</v>
      </c>
      <c r="C28" s="667"/>
      <c r="D28" s="68" t="s">
        <v>829</v>
      </c>
      <c r="E28" s="679"/>
      <c r="F28" s="529">
        <f>VLOOKUP(D28,'Jan14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c r="F29" s="529">
        <f>VLOOKUP(D29,'Jan14 Revenue'!D:V,19,FALSE)</f>
        <v>0</v>
      </c>
      <c r="G29" s="680"/>
      <c r="H29" s="680"/>
      <c r="I29" s="755"/>
      <c r="J29" s="682">
        <f t="shared" si="0"/>
        <v>0</v>
      </c>
      <c r="K29" s="683"/>
      <c r="L29" s="684"/>
      <c r="M29" s="753"/>
      <c r="N29" s="683">
        <v>0</v>
      </c>
      <c r="O29" s="686"/>
      <c r="P29" s="683">
        <v>0</v>
      </c>
      <c r="Q29" s="687">
        <f t="shared" si="1"/>
        <v>0</v>
      </c>
      <c r="R29" s="687"/>
      <c r="S29" s="687"/>
      <c r="T29" s="688">
        <f>1217.25+1260.6</f>
        <v>2477.85</v>
      </c>
      <c r="U29" s="693"/>
      <c r="V29" s="690">
        <f t="shared" si="2"/>
        <v>2477.85</v>
      </c>
      <c r="W29" s="691"/>
      <c r="X29" s="474">
        <f t="shared" si="3"/>
        <v>0</v>
      </c>
      <c r="Y29" s="474">
        <f t="shared" si="4"/>
        <v>0</v>
      </c>
      <c r="Z29" s="475">
        <f t="shared" si="5"/>
        <v>0</v>
      </c>
      <c r="AA29" s="475">
        <v>0</v>
      </c>
      <c r="AB29" s="476">
        <v>0</v>
      </c>
      <c r="AC29" s="38">
        <f t="shared" si="6"/>
        <v>0</v>
      </c>
      <c r="AD29" s="692">
        <f t="shared" si="7"/>
        <v>0</v>
      </c>
      <c r="AE29" s="692">
        <f t="shared" si="8"/>
        <v>0</v>
      </c>
      <c r="AF29" s="692">
        <f t="shared" si="9"/>
        <v>0</v>
      </c>
      <c r="AG29" s="38"/>
      <c r="AH29" s="692">
        <f t="shared" si="10"/>
        <v>0</v>
      </c>
      <c r="AI29" s="692">
        <f t="shared" si="11"/>
        <v>0</v>
      </c>
      <c r="AJ29" s="692">
        <f t="shared" si="12"/>
        <v>0</v>
      </c>
      <c r="AL29" s="38">
        <f t="shared" si="13"/>
        <v>0</v>
      </c>
      <c r="AM29" s="68" t="s">
        <v>385</v>
      </c>
    </row>
    <row r="30" spans="1:39" s="232" customFormat="1">
      <c r="A30" s="283"/>
      <c r="B30" s="283" t="s">
        <v>110</v>
      </c>
      <c r="C30" s="667" t="s">
        <v>527</v>
      </c>
      <c r="D30" s="123" t="s">
        <v>401</v>
      </c>
      <c r="E30" s="679"/>
      <c r="F30" s="529">
        <f>VLOOKUP(D30,'Jan14 Revenue'!D:V,19,FALSE)</f>
        <v>108559.19999999995</v>
      </c>
      <c r="G30" s="680"/>
      <c r="H30" s="680"/>
      <c r="I30" s="755"/>
      <c r="J30" s="682">
        <f t="shared" si="0"/>
        <v>108559.19999999995</v>
      </c>
      <c r="K30" s="683"/>
      <c r="L30" s="684"/>
      <c r="M30" s="753">
        <v>1050000</v>
      </c>
      <c r="N30" s="683">
        <v>0</v>
      </c>
      <c r="O30" s="686"/>
      <c r="P30" s="683">
        <v>0</v>
      </c>
      <c r="Q30" s="687">
        <f t="shared" si="1"/>
        <v>1050000</v>
      </c>
      <c r="R30" s="687"/>
      <c r="S30" s="687"/>
      <c r="T30" s="688">
        <v>910753.31</v>
      </c>
      <c r="U30" s="693"/>
      <c r="V30" s="690">
        <f t="shared" si="2"/>
        <v>-139246.68999999994</v>
      </c>
      <c r="W30" s="683"/>
      <c r="X30" s="474">
        <f t="shared" si="3"/>
        <v>1050000</v>
      </c>
      <c r="Y30" s="474">
        <f t="shared" si="4"/>
        <v>0</v>
      </c>
      <c r="Z30" s="475">
        <f t="shared" si="5"/>
        <v>0</v>
      </c>
      <c r="AA30" s="475">
        <v>0</v>
      </c>
      <c r="AB30" s="476">
        <v>0</v>
      </c>
      <c r="AC30" s="38">
        <f t="shared" si="6"/>
        <v>0</v>
      </c>
      <c r="AD30" s="692">
        <f t="shared" si="7"/>
        <v>108559.19999999995</v>
      </c>
      <c r="AE30" s="692">
        <f t="shared" si="8"/>
        <v>0</v>
      </c>
      <c r="AF30" s="692">
        <f t="shared" si="9"/>
        <v>0</v>
      </c>
      <c r="AG30" s="38"/>
      <c r="AH30" s="692">
        <f t="shared" si="10"/>
        <v>1050000</v>
      </c>
      <c r="AI30" s="692">
        <f t="shared" si="11"/>
        <v>0</v>
      </c>
      <c r="AJ30" s="692">
        <f t="shared" si="12"/>
        <v>0</v>
      </c>
      <c r="AL30" s="38">
        <f t="shared" si="13"/>
        <v>1158559.2</v>
      </c>
      <c r="AM30" s="123" t="s">
        <v>401</v>
      </c>
    </row>
    <row r="31" spans="1:39" s="232" customFormat="1">
      <c r="A31" s="283"/>
      <c r="B31" s="283" t="s">
        <v>110</v>
      </c>
      <c r="C31" s="667" t="s">
        <v>528</v>
      </c>
      <c r="D31" s="123" t="s">
        <v>403</v>
      </c>
      <c r="E31" s="679"/>
      <c r="F31" s="529">
        <f>VLOOKUP(D31,'Jan14 Revenue'!D:V,19,FALSE)</f>
        <v>22062.170000000013</v>
      </c>
      <c r="G31" s="680"/>
      <c r="H31" s="680"/>
      <c r="I31" s="755"/>
      <c r="J31" s="682">
        <f t="shared" si="0"/>
        <v>22062.170000000013</v>
      </c>
      <c r="K31" s="683"/>
      <c r="L31" s="684"/>
      <c r="M31" s="753">
        <v>185000</v>
      </c>
      <c r="N31" s="683">
        <v>0</v>
      </c>
      <c r="O31" s="686"/>
      <c r="P31" s="683">
        <v>0</v>
      </c>
      <c r="Q31" s="687">
        <f t="shared" si="1"/>
        <v>185000</v>
      </c>
      <c r="R31" s="687"/>
      <c r="S31" s="687"/>
      <c r="T31" s="688">
        <v>182385.6</v>
      </c>
      <c r="U31" s="693"/>
      <c r="V31" s="690">
        <f t="shared" si="2"/>
        <v>-2614.3999999999942</v>
      </c>
      <c r="W31" s="683"/>
      <c r="X31" s="474">
        <f t="shared" si="3"/>
        <v>185000</v>
      </c>
      <c r="Y31" s="474">
        <f t="shared" si="4"/>
        <v>0</v>
      </c>
      <c r="Z31" s="475">
        <f t="shared" si="5"/>
        <v>0</v>
      </c>
      <c r="AA31" s="475">
        <v>0</v>
      </c>
      <c r="AB31" s="476">
        <v>0</v>
      </c>
      <c r="AC31" s="38">
        <f t="shared" si="6"/>
        <v>0</v>
      </c>
      <c r="AD31" s="692">
        <f t="shared" si="7"/>
        <v>22062.170000000013</v>
      </c>
      <c r="AE31" s="692">
        <f t="shared" si="8"/>
        <v>0</v>
      </c>
      <c r="AF31" s="692">
        <f t="shared" si="9"/>
        <v>0</v>
      </c>
      <c r="AG31" s="38"/>
      <c r="AH31" s="692">
        <f t="shared" si="10"/>
        <v>185000</v>
      </c>
      <c r="AI31" s="692">
        <f t="shared" si="11"/>
        <v>0</v>
      </c>
      <c r="AJ31" s="692">
        <f t="shared" si="12"/>
        <v>0</v>
      </c>
      <c r="AL31" s="38">
        <f t="shared" si="13"/>
        <v>207062.17</v>
      </c>
      <c r="AM31" s="123" t="s">
        <v>403</v>
      </c>
    </row>
    <row r="32" spans="1:39" s="232" customFormat="1">
      <c r="A32" s="283"/>
      <c r="B32" s="283" t="s">
        <v>110</v>
      </c>
      <c r="C32" s="667" t="s">
        <v>528</v>
      </c>
      <c r="D32" s="123" t="s">
        <v>404</v>
      </c>
      <c r="E32" s="679"/>
      <c r="F32" s="529">
        <f>VLOOKUP(D32,'Jan14 Revenue'!D:V,19,FALSE)</f>
        <v>20572.600000000006</v>
      </c>
      <c r="G32" s="680"/>
      <c r="H32" s="680"/>
      <c r="I32" s="755"/>
      <c r="J32" s="682">
        <f t="shared" si="0"/>
        <v>20572.600000000006</v>
      </c>
      <c r="K32" s="683"/>
      <c r="L32" s="684"/>
      <c r="M32" s="753">
        <v>185000</v>
      </c>
      <c r="N32" s="683">
        <v>0</v>
      </c>
      <c r="O32" s="686"/>
      <c r="P32" s="683">
        <v>0</v>
      </c>
      <c r="Q32" s="687">
        <f t="shared" si="1"/>
        <v>185000</v>
      </c>
      <c r="R32" s="687"/>
      <c r="S32" s="687"/>
      <c r="T32" s="688">
        <v>165032.64000000001</v>
      </c>
      <c r="U32" s="693"/>
      <c r="V32" s="690">
        <f t="shared" si="2"/>
        <v>-19967.359999999986</v>
      </c>
      <c r="W32" s="683"/>
      <c r="X32" s="474">
        <f t="shared" si="3"/>
        <v>185000</v>
      </c>
      <c r="Y32" s="474">
        <f t="shared" si="4"/>
        <v>0</v>
      </c>
      <c r="Z32" s="475">
        <f t="shared" si="5"/>
        <v>0</v>
      </c>
      <c r="AA32" s="475">
        <v>0</v>
      </c>
      <c r="AB32" s="476">
        <v>0</v>
      </c>
      <c r="AC32" s="38">
        <f t="shared" si="6"/>
        <v>0</v>
      </c>
      <c r="AD32" s="692">
        <f t="shared" si="7"/>
        <v>20572.600000000006</v>
      </c>
      <c r="AE32" s="692">
        <f t="shared" si="8"/>
        <v>0</v>
      </c>
      <c r="AF32" s="692">
        <f t="shared" si="9"/>
        <v>0</v>
      </c>
      <c r="AG32" s="38"/>
      <c r="AH32" s="692">
        <f t="shared" si="10"/>
        <v>185000</v>
      </c>
      <c r="AI32" s="692">
        <f t="shared" si="11"/>
        <v>0</v>
      </c>
      <c r="AJ32" s="692">
        <f t="shared" si="12"/>
        <v>0</v>
      </c>
      <c r="AL32" s="38">
        <f t="shared" si="13"/>
        <v>205572.6</v>
      </c>
      <c r="AM32" s="123" t="s">
        <v>404</v>
      </c>
    </row>
    <row r="33" spans="1:39" s="232" customFormat="1">
      <c r="A33" s="283"/>
      <c r="B33" s="283" t="s">
        <v>110</v>
      </c>
      <c r="C33" s="667" t="s">
        <v>528</v>
      </c>
      <c r="D33" s="123" t="s">
        <v>405</v>
      </c>
      <c r="E33" s="679"/>
      <c r="F33" s="529">
        <f>VLOOKUP(D33,'Jan14 Revenue'!D:V,19,FALSE)</f>
        <v>1773.8300000000017</v>
      </c>
      <c r="G33" s="680"/>
      <c r="H33" s="680"/>
      <c r="I33" s="755"/>
      <c r="J33" s="682">
        <f t="shared" si="0"/>
        <v>1773.8300000000017</v>
      </c>
      <c r="K33" s="683"/>
      <c r="L33" s="684"/>
      <c r="M33" s="753">
        <v>30000</v>
      </c>
      <c r="N33" s="683">
        <v>0</v>
      </c>
      <c r="O33" s="686"/>
      <c r="P33" s="683">
        <v>0</v>
      </c>
      <c r="Q33" s="687">
        <f t="shared" si="1"/>
        <v>30000</v>
      </c>
      <c r="R33" s="687"/>
      <c r="S33" s="687"/>
      <c r="T33" s="688">
        <v>30506.37</v>
      </c>
      <c r="U33" s="693"/>
      <c r="V33" s="690">
        <f t="shared" si="2"/>
        <v>506.36999999999898</v>
      </c>
      <c r="W33" s="683"/>
      <c r="X33" s="474">
        <f t="shared" si="3"/>
        <v>30000</v>
      </c>
      <c r="Y33" s="474">
        <f t="shared" si="4"/>
        <v>0</v>
      </c>
      <c r="Z33" s="475">
        <f t="shared" si="5"/>
        <v>0</v>
      </c>
      <c r="AA33" s="475">
        <v>0</v>
      </c>
      <c r="AB33" s="476">
        <v>0</v>
      </c>
      <c r="AC33" s="38">
        <f t="shared" si="6"/>
        <v>0</v>
      </c>
      <c r="AD33" s="692">
        <f t="shared" si="7"/>
        <v>1773.8300000000017</v>
      </c>
      <c r="AE33" s="692">
        <f t="shared" si="8"/>
        <v>0</v>
      </c>
      <c r="AF33" s="692">
        <f t="shared" si="9"/>
        <v>0</v>
      </c>
      <c r="AG33" s="38"/>
      <c r="AH33" s="692">
        <f t="shared" si="10"/>
        <v>30000</v>
      </c>
      <c r="AI33" s="692">
        <f t="shared" si="11"/>
        <v>0</v>
      </c>
      <c r="AJ33" s="692">
        <f t="shared" si="12"/>
        <v>0</v>
      </c>
      <c r="AL33" s="38">
        <f t="shared" si="13"/>
        <v>31773.83</v>
      </c>
      <c r="AM33" s="123" t="s">
        <v>405</v>
      </c>
    </row>
    <row r="34" spans="1:39" s="232" customFormat="1">
      <c r="A34" s="283"/>
      <c r="B34" s="283" t="s">
        <v>110</v>
      </c>
      <c r="C34" s="667" t="s">
        <v>528</v>
      </c>
      <c r="D34" s="123" t="s">
        <v>406</v>
      </c>
      <c r="E34" s="679"/>
      <c r="F34" s="529">
        <f>VLOOKUP(D34,'Jan14 Revenue'!D:V,19,FALSE)</f>
        <v>807.44000000000051</v>
      </c>
      <c r="G34" s="680"/>
      <c r="H34" s="680"/>
      <c r="I34" s="755"/>
      <c r="J34" s="682">
        <f t="shared" si="0"/>
        <v>807.44000000000051</v>
      </c>
      <c r="K34" s="683"/>
      <c r="L34" s="684"/>
      <c r="M34" s="753">
        <v>15000</v>
      </c>
      <c r="N34" s="683">
        <v>0</v>
      </c>
      <c r="O34" s="686"/>
      <c r="P34" s="683">
        <v>0</v>
      </c>
      <c r="Q34" s="687">
        <f t="shared" si="1"/>
        <v>15000</v>
      </c>
      <c r="R34" s="687"/>
      <c r="S34" s="687"/>
      <c r="T34" s="688">
        <v>14267.3</v>
      </c>
      <c r="U34" s="693"/>
      <c r="V34" s="690">
        <f t="shared" si="2"/>
        <v>-732.70000000000073</v>
      </c>
      <c r="W34" s="683"/>
      <c r="X34" s="474">
        <f t="shared" si="3"/>
        <v>15000</v>
      </c>
      <c r="Y34" s="474">
        <f t="shared" si="4"/>
        <v>0</v>
      </c>
      <c r="Z34" s="475">
        <f t="shared" si="5"/>
        <v>0</v>
      </c>
      <c r="AA34" s="475">
        <v>0</v>
      </c>
      <c r="AB34" s="476">
        <v>0</v>
      </c>
      <c r="AC34" s="38">
        <f t="shared" si="6"/>
        <v>0</v>
      </c>
      <c r="AD34" s="692">
        <f t="shared" si="7"/>
        <v>807.44000000000051</v>
      </c>
      <c r="AE34" s="692">
        <f t="shared" si="8"/>
        <v>0</v>
      </c>
      <c r="AF34" s="692">
        <f t="shared" si="9"/>
        <v>0</v>
      </c>
      <c r="AG34" s="38"/>
      <c r="AH34" s="692">
        <f t="shared" si="10"/>
        <v>15000</v>
      </c>
      <c r="AI34" s="692">
        <f t="shared" si="11"/>
        <v>0</v>
      </c>
      <c r="AJ34" s="692">
        <f t="shared" si="12"/>
        <v>0</v>
      </c>
      <c r="AL34" s="38">
        <f t="shared" si="13"/>
        <v>15807.44</v>
      </c>
      <c r="AM34" s="123" t="s">
        <v>406</v>
      </c>
    </row>
    <row r="35" spans="1:39" s="232" customFormat="1">
      <c r="A35" s="283"/>
      <c r="B35" s="283" t="s">
        <v>110</v>
      </c>
      <c r="C35" s="667" t="s">
        <v>528</v>
      </c>
      <c r="D35" s="123" t="s">
        <v>407</v>
      </c>
      <c r="E35" s="679"/>
      <c r="F35" s="529">
        <f>VLOOKUP(D35,'Jan14 Revenue'!D:V,19,FALSE)</f>
        <v>1492.8900000000003</v>
      </c>
      <c r="G35" s="680"/>
      <c r="H35" s="680"/>
      <c r="I35" s="755"/>
      <c r="J35" s="682">
        <f t="shared" si="0"/>
        <v>1492.8900000000003</v>
      </c>
      <c r="K35" s="683"/>
      <c r="L35" s="684"/>
      <c r="M35" s="753">
        <v>5000</v>
      </c>
      <c r="N35" s="683">
        <v>0</v>
      </c>
      <c r="O35" s="686"/>
      <c r="P35" s="683">
        <v>0</v>
      </c>
      <c r="Q35" s="687">
        <f t="shared" si="1"/>
        <v>5000</v>
      </c>
      <c r="R35" s="687"/>
      <c r="S35" s="687"/>
      <c r="T35" s="688">
        <v>4989.01</v>
      </c>
      <c r="U35" s="693"/>
      <c r="V35" s="690">
        <f t="shared" si="2"/>
        <v>-10.989999999999782</v>
      </c>
      <c r="W35" s="683"/>
      <c r="X35" s="474">
        <f t="shared" si="3"/>
        <v>5000</v>
      </c>
      <c r="Y35" s="474">
        <f t="shared" si="4"/>
        <v>0</v>
      </c>
      <c r="Z35" s="475">
        <f t="shared" si="5"/>
        <v>0</v>
      </c>
      <c r="AA35" s="475">
        <v>0</v>
      </c>
      <c r="AB35" s="476">
        <v>0</v>
      </c>
      <c r="AC35" s="38">
        <f t="shared" si="6"/>
        <v>0</v>
      </c>
      <c r="AD35" s="692">
        <f t="shared" si="7"/>
        <v>1492.8900000000003</v>
      </c>
      <c r="AE35" s="692">
        <f t="shared" si="8"/>
        <v>0</v>
      </c>
      <c r="AF35" s="692">
        <f t="shared" si="9"/>
        <v>0</v>
      </c>
      <c r="AG35" s="38"/>
      <c r="AH35" s="692">
        <f t="shared" si="10"/>
        <v>5000</v>
      </c>
      <c r="AI35" s="692">
        <f t="shared" si="11"/>
        <v>0</v>
      </c>
      <c r="AJ35" s="692">
        <f t="shared" si="12"/>
        <v>0</v>
      </c>
      <c r="AL35" s="38">
        <f t="shared" si="13"/>
        <v>6492.89</v>
      </c>
      <c r="AM35" s="123" t="s">
        <v>407</v>
      </c>
    </row>
    <row r="36" spans="1:39" s="232" customFormat="1">
      <c r="A36" s="283"/>
      <c r="B36" s="283" t="s">
        <v>110</v>
      </c>
      <c r="C36" s="667" t="s">
        <v>528</v>
      </c>
      <c r="D36" s="123" t="s">
        <v>880</v>
      </c>
      <c r="E36" s="679"/>
      <c r="F36" s="529">
        <f>VLOOKUP(D36,'Jan14 Revenue'!D:V,19,FALSE)</f>
        <v>2494.8500000000004</v>
      </c>
      <c r="G36" s="680"/>
      <c r="H36" s="680"/>
      <c r="I36" s="755"/>
      <c r="J36" s="682">
        <f t="shared" si="0"/>
        <v>2494.8500000000004</v>
      </c>
      <c r="K36" s="683"/>
      <c r="L36" s="684"/>
      <c r="M36" s="753">
        <v>5000</v>
      </c>
      <c r="N36" s="683">
        <v>0</v>
      </c>
      <c r="O36" s="686"/>
      <c r="P36" s="683">
        <v>0</v>
      </c>
      <c r="Q36" s="687">
        <f t="shared" si="1"/>
        <v>5000</v>
      </c>
      <c r="R36" s="687"/>
      <c r="S36" s="687"/>
      <c r="T36" s="688">
        <v>6608.77</v>
      </c>
      <c r="U36" s="693"/>
      <c r="V36" s="690">
        <f t="shared" si="2"/>
        <v>1608.7700000000004</v>
      </c>
      <c r="W36" s="683"/>
      <c r="X36" s="474">
        <f t="shared" si="3"/>
        <v>5000</v>
      </c>
      <c r="Y36" s="474">
        <f t="shared" si="4"/>
        <v>0</v>
      </c>
      <c r="Z36" s="475">
        <f t="shared" si="5"/>
        <v>0</v>
      </c>
      <c r="AA36" s="475">
        <v>0</v>
      </c>
      <c r="AB36" s="476">
        <v>0</v>
      </c>
      <c r="AC36" s="38">
        <f t="shared" si="6"/>
        <v>0</v>
      </c>
      <c r="AD36" s="692">
        <f t="shared" si="7"/>
        <v>2494.8500000000004</v>
      </c>
      <c r="AE36" s="692">
        <f t="shared" si="8"/>
        <v>0</v>
      </c>
      <c r="AF36" s="692">
        <f t="shared" si="9"/>
        <v>0</v>
      </c>
      <c r="AG36" s="38"/>
      <c r="AH36" s="692">
        <f t="shared" si="10"/>
        <v>5000</v>
      </c>
      <c r="AI36" s="692">
        <f t="shared" si="11"/>
        <v>0</v>
      </c>
      <c r="AJ36" s="692">
        <f t="shared" si="12"/>
        <v>0</v>
      </c>
      <c r="AL36" s="38">
        <f t="shared" si="13"/>
        <v>7494.85</v>
      </c>
      <c r="AM36" s="123" t="s">
        <v>880</v>
      </c>
    </row>
    <row r="37" spans="1:39" s="232" customFormat="1">
      <c r="A37" s="283"/>
      <c r="B37" s="283" t="s">
        <v>110</v>
      </c>
      <c r="C37" s="667" t="s">
        <v>528</v>
      </c>
      <c r="D37" s="123" t="s">
        <v>881</v>
      </c>
      <c r="E37" s="679"/>
      <c r="F37" s="529">
        <f>VLOOKUP(D37,'Jan14 Revenue'!D:V,19,FALSE)</f>
        <v>-657.61999999999989</v>
      </c>
      <c r="G37" s="680"/>
      <c r="H37" s="680"/>
      <c r="I37" s="755"/>
      <c r="J37" s="682">
        <f t="shared" si="0"/>
        <v>-657.61999999999989</v>
      </c>
      <c r="K37" s="683"/>
      <c r="L37" s="684"/>
      <c r="M37" s="753">
        <v>5000</v>
      </c>
      <c r="N37" s="683">
        <v>0</v>
      </c>
      <c r="O37" s="686"/>
      <c r="P37" s="683">
        <v>0</v>
      </c>
      <c r="Q37" s="687">
        <f t="shared" si="1"/>
        <v>5000</v>
      </c>
      <c r="R37" s="687"/>
      <c r="S37" s="687"/>
      <c r="T37" s="688">
        <v>4994.66</v>
      </c>
      <c r="U37" s="693"/>
      <c r="V37" s="690">
        <f t="shared" si="2"/>
        <v>-5.3400000000001455</v>
      </c>
      <c r="W37" s="683"/>
      <c r="X37" s="474">
        <f t="shared" si="3"/>
        <v>5000</v>
      </c>
      <c r="Y37" s="474">
        <f t="shared" si="4"/>
        <v>0</v>
      </c>
      <c r="Z37" s="475">
        <f t="shared" si="5"/>
        <v>0</v>
      </c>
      <c r="AA37" s="475">
        <v>0</v>
      </c>
      <c r="AB37" s="476">
        <v>0</v>
      </c>
      <c r="AC37" s="38">
        <f t="shared" si="6"/>
        <v>0</v>
      </c>
      <c r="AD37" s="692">
        <f t="shared" si="7"/>
        <v>-657.61999999999989</v>
      </c>
      <c r="AE37" s="692">
        <f t="shared" si="8"/>
        <v>0</v>
      </c>
      <c r="AF37" s="692">
        <f t="shared" si="9"/>
        <v>0</v>
      </c>
      <c r="AG37" s="38"/>
      <c r="AH37" s="692">
        <f t="shared" si="10"/>
        <v>5000</v>
      </c>
      <c r="AI37" s="692">
        <f t="shared" si="11"/>
        <v>0</v>
      </c>
      <c r="AJ37" s="692">
        <f t="shared" si="12"/>
        <v>0</v>
      </c>
      <c r="AL37" s="38">
        <f t="shared" si="13"/>
        <v>4342.38</v>
      </c>
      <c r="AM37" s="123" t="s">
        <v>881</v>
      </c>
    </row>
    <row r="38" spans="1:39" s="232" customFormat="1">
      <c r="A38" s="283"/>
      <c r="B38" s="283" t="s">
        <v>110</v>
      </c>
      <c r="C38" s="667" t="s">
        <v>528</v>
      </c>
      <c r="D38" s="123" t="s">
        <v>820</v>
      </c>
      <c r="E38" s="679"/>
      <c r="F38" s="529">
        <f>VLOOKUP(D38,'Jan14 Revenue'!D:V,19,FALSE)</f>
        <v>-832.16999999999825</v>
      </c>
      <c r="G38" s="680"/>
      <c r="H38" s="680"/>
      <c r="I38" s="755"/>
      <c r="J38" s="682">
        <f t="shared" si="0"/>
        <v>-832.16999999999825</v>
      </c>
      <c r="K38" s="683"/>
      <c r="L38" s="684"/>
      <c r="M38" s="753">
        <v>30000</v>
      </c>
      <c r="N38" s="683">
        <v>0</v>
      </c>
      <c r="O38" s="686"/>
      <c r="P38" s="683">
        <v>0</v>
      </c>
      <c r="Q38" s="687">
        <f t="shared" si="1"/>
        <v>30000</v>
      </c>
      <c r="R38" s="687"/>
      <c r="S38" s="687"/>
      <c r="T38" s="688">
        <v>27886.42</v>
      </c>
      <c r="U38" s="693"/>
      <c r="V38" s="690">
        <f t="shared" si="2"/>
        <v>-2113.5800000000017</v>
      </c>
      <c r="W38" s="683"/>
      <c r="X38" s="474">
        <f t="shared" si="3"/>
        <v>30000</v>
      </c>
      <c r="Y38" s="474">
        <f t="shared" si="4"/>
        <v>0</v>
      </c>
      <c r="Z38" s="475">
        <f t="shared" si="5"/>
        <v>0</v>
      </c>
      <c r="AA38" s="475">
        <v>0</v>
      </c>
      <c r="AB38" s="476">
        <v>0</v>
      </c>
      <c r="AC38" s="38">
        <f t="shared" si="6"/>
        <v>0</v>
      </c>
      <c r="AD38" s="692">
        <f t="shared" si="7"/>
        <v>-832.16999999999825</v>
      </c>
      <c r="AE38" s="692">
        <f t="shared" si="8"/>
        <v>0</v>
      </c>
      <c r="AF38" s="692">
        <f t="shared" si="9"/>
        <v>0</v>
      </c>
      <c r="AG38" s="38"/>
      <c r="AH38" s="692">
        <f t="shared" si="10"/>
        <v>30000</v>
      </c>
      <c r="AI38" s="692">
        <f t="shared" si="11"/>
        <v>0</v>
      </c>
      <c r="AJ38" s="692">
        <f t="shared" si="12"/>
        <v>0</v>
      </c>
      <c r="AL38" s="38">
        <f t="shared" si="13"/>
        <v>29167.83</v>
      </c>
      <c r="AM38" s="123" t="s">
        <v>820</v>
      </c>
    </row>
    <row r="39" spans="1:39" s="232" customFormat="1">
      <c r="A39" s="283"/>
      <c r="B39" s="283" t="s">
        <v>110</v>
      </c>
      <c r="C39" s="667" t="s">
        <v>527</v>
      </c>
      <c r="D39" s="123" t="s">
        <v>460</v>
      </c>
      <c r="E39" s="679"/>
      <c r="F39" s="529">
        <f>VLOOKUP(D39,'Jan14 Revenue'!D:V,19,FALSE)</f>
        <v>0</v>
      </c>
      <c r="G39" s="680"/>
      <c r="H39" s="680"/>
      <c r="I39" s="770">
        <v>42147.69</v>
      </c>
      <c r="J39" s="682">
        <f t="shared" si="0"/>
        <v>42147.69</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42147.69</v>
      </c>
      <c r="AE39" s="692">
        <f t="shared" si="8"/>
        <v>0</v>
      </c>
      <c r="AF39" s="692">
        <f t="shared" si="9"/>
        <v>0</v>
      </c>
      <c r="AG39" s="38"/>
      <c r="AH39" s="692">
        <f t="shared" si="10"/>
        <v>0</v>
      </c>
      <c r="AI39" s="692">
        <f t="shared" si="11"/>
        <v>0</v>
      </c>
      <c r="AJ39" s="692">
        <f t="shared" si="12"/>
        <v>0</v>
      </c>
      <c r="AL39" s="38">
        <f t="shared" si="13"/>
        <v>42147.69</v>
      </c>
      <c r="AM39" s="123" t="s">
        <v>460</v>
      </c>
    </row>
    <row r="40" spans="1:39" s="232" customFormat="1">
      <c r="A40" s="283"/>
      <c r="B40" s="283" t="s">
        <v>110</v>
      </c>
      <c r="C40" s="676" t="s">
        <v>528</v>
      </c>
      <c r="D40" s="123" t="s">
        <v>623</v>
      </c>
      <c r="E40" s="679"/>
      <c r="F40" s="529">
        <f>VLOOKUP(D40,'Jan14 Revenue'!D:V,19,FALSE)</f>
        <v>0</v>
      </c>
      <c r="G40" s="680"/>
      <c r="H40" s="680"/>
      <c r="I40" s="770">
        <v>5547.31</v>
      </c>
      <c r="J40" s="682">
        <f t="shared" si="0"/>
        <v>5547.31</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5547.31</v>
      </c>
      <c r="AE40" s="692">
        <f t="shared" si="8"/>
        <v>0</v>
      </c>
      <c r="AF40" s="692">
        <f t="shared" si="9"/>
        <v>0</v>
      </c>
      <c r="AG40" s="38"/>
      <c r="AH40" s="692">
        <f t="shared" si="10"/>
        <v>0</v>
      </c>
      <c r="AI40" s="692">
        <f t="shared" si="11"/>
        <v>0</v>
      </c>
      <c r="AJ40" s="692">
        <f t="shared" si="12"/>
        <v>0</v>
      </c>
      <c r="AL40" s="38">
        <f t="shared" si="13"/>
        <v>5547.31</v>
      </c>
      <c r="AM40" s="123" t="s">
        <v>623</v>
      </c>
    </row>
    <row r="41" spans="1:39" s="232" customFormat="1">
      <c r="A41" s="403"/>
      <c r="B41" s="403" t="s">
        <v>114</v>
      </c>
      <c r="C41" s="675" t="s">
        <v>527</v>
      </c>
      <c r="D41" s="123" t="s">
        <v>1054</v>
      </c>
      <c r="E41" s="679"/>
      <c r="F41" s="529">
        <f>VLOOKUP(D41,'Jan14 Revenue'!D:V,19,FALSE)</f>
        <v>-15000</v>
      </c>
      <c r="G41" s="680"/>
      <c r="H41" s="680"/>
      <c r="I41" s="755"/>
      <c r="J41" s="682">
        <f t="shared" si="0"/>
        <v>-15000</v>
      </c>
      <c r="K41" s="683"/>
      <c r="L41" s="684"/>
      <c r="M41" s="753">
        <v>30000</v>
      </c>
      <c r="N41" s="683">
        <v>0</v>
      </c>
      <c r="O41" s="686"/>
      <c r="P41" s="683">
        <v>0</v>
      </c>
      <c r="Q41" s="687">
        <f t="shared" si="1"/>
        <v>30000</v>
      </c>
      <c r="R41" s="687"/>
      <c r="S41" s="687"/>
      <c r="T41" s="688">
        <v>15520</v>
      </c>
      <c r="U41" s="693"/>
      <c r="V41" s="690">
        <f t="shared" si="2"/>
        <v>-14480</v>
      </c>
      <c r="W41" s="683"/>
      <c r="X41" s="474">
        <f t="shared" si="3"/>
        <v>0</v>
      </c>
      <c r="Y41" s="474">
        <f t="shared" si="4"/>
        <v>0</v>
      </c>
      <c r="Z41" s="475">
        <f t="shared" si="5"/>
        <v>30000</v>
      </c>
      <c r="AA41" s="475">
        <v>0</v>
      </c>
      <c r="AB41" s="476">
        <v>0</v>
      </c>
      <c r="AC41" s="38">
        <f t="shared" si="6"/>
        <v>0</v>
      </c>
      <c r="AD41" s="692">
        <f t="shared" si="7"/>
        <v>0</v>
      </c>
      <c r="AE41" s="692">
        <f t="shared" si="8"/>
        <v>0</v>
      </c>
      <c r="AF41" s="692">
        <f t="shared" si="9"/>
        <v>-15000</v>
      </c>
      <c r="AG41" s="38"/>
      <c r="AH41" s="692">
        <f t="shared" si="10"/>
        <v>0</v>
      </c>
      <c r="AI41" s="692">
        <f t="shared" si="11"/>
        <v>0</v>
      </c>
      <c r="AJ41" s="692">
        <f t="shared" si="12"/>
        <v>30000</v>
      </c>
      <c r="AL41" s="38">
        <f t="shared" ref="AL41" si="14">SUM(AD41:AJ41)</f>
        <v>15000</v>
      </c>
      <c r="AM41" s="123" t="s">
        <v>108</v>
      </c>
    </row>
    <row r="42" spans="1:39" s="232" customFormat="1">
      <c r="A42" s="403"/>
      <c r="B42" s="403" t="s">
        <v>114</v>
      </c>
      <c r="C42" s="666" t="s">
        <v>529</v>
      </c>
      <c r="D42" s="123" t="s">
        <v>108</v>
      </c>
      <c r="E42" s="679"/>
      <c r="F42" s="529">
        <f>VLOOKUP(D42,'Jan14 Revenue'!D:V,19,FALSE)</f>
        <v>14733.949999999997</v>
      </c>
      <c r="G42" s="680"/>
      <c r="H42" s="680"/>
      <c r="I42" s="755"/>
      <c r="J42" s="682">
        <f t="shared" si="0"/>
        <v>14733.949999999997</v>
      </c>
      <c r="K42" s="683"/>
      <c r="L42" s="684"/>
      <c r="M42" s="753">
        <v>30000</v>
      </c>
      <c r="N42" s="683">
        <v>0</v>
      </c>
      <c r="O42" s="686"/>
      <c r="P42" s="683">
        <v>0</v>
      </c>
      <c r="Q42" s="687">
        <f t="shared" si="1"/>
        <v>30000</v>
      </c>
      <c r="R42" s="687"/>
      <c r="S42" s="687"/>
      <c r="T42" s="688">
        <v>35436.19</v>
      </c>
      <c r="U42" s="693"/>
      <c r="V42" s="690">
        <f t="shared" si="2"/>
        <v>5436.1900000000023</v>
      </c>
      <c r="W42" s="683"/>
      <c r="X42" s="474">
        <f t="shared" si="3"/>
        <v>0</v>
      </c>
      <c r="Y42" s="474">
        <f t="shared" si="4"/>
        <v>0</v>
      </c>
      <c r="Z42" s="475">
        <f t="shared" si="5"/>
        <v>30000</v>
      </c>
      <c r="AA42" s="475">
        <v>0</v>
      </c>
      <c r="AB42" s="476">
        <v>0</v>
      </c>
      <c r="AC42" s="38">
        <f t="shared" si="6"/>
        <v>0</v>
      </c>
      <c r="AD42" s="692">
        <f t="shared" si="7"/>
        <v>0</v>
      </c>
      <c r="AE42" s="692">
        <f t="shared" si="8"/>
        <v>0</v>
      </c>
      <c r="AF42" s="692">
        <f t="shared" si="9"/>
        <v>14733.949999999997</v>
      </c>
      <c r="AG42" s="38"/>
      <c r="AH42" s="692">
        <f t="shared" si="10"/>
        <v>0</v>
      </c>
      <c r="AI42" s="692">
        <f t="shared" si="11"/>
        <v>0</v>
      </c>
      <c r="AJ42" s="692">
        <f t="shared" si="12"/>
        <v>30000</v>
      </c>
      <c r="AL42" s="38">
        <f t="shared" si="13"/>
        <v>44733.95</v>
      </c>
      <c r="AM42" s="123" t="s">
        <v>108</v>
      </c>
    </row>
    <row r="43" spans="1:39" s="232" customFormat="1">
      <c r="A43" s="403"/>
      <c r="B43" s="403" t="s">
        <v>110</v>
      </c>
      <c r="C43" s="666"/>
      <c r="D43" s="123" t="s">
        <v>911</v>
      </c>
      <c r="E43" s="679"/>
      <c r="F43" s="529">
        <f>VLOOKUP(D43,'Jan14 Revenue'!D:V,19,FALSE)</f>
        <v>159.88999999999942</v>
      </c>
      <c r="G43" s="680"/>
      <c r="H43" s="680"/>
      <c r="I43" s="755"/>
      <c r="J43" s="682">
        <f t="shared" si="0"/>
        <v>159.88999999999942</v>
      </c>
      <c r="K43" s="683"/>
      <c r="L43" s="684"/>
      <c r="M43" s="753">
        <v>15000</v>
      </c>
      <c r="N43" s="683">
        <v>0</v>
      </c>
      <c r="O43" s="686"/>
      <c r="P43" s="683">
        <v>0</v>
      </c>
      <c r="Q43" s="687">
        <f t="shared" si="1"/>
        <v>15000</v>
      </c>
      <c r="R43" s="687"/>
      <c r="S43" s="687"/>
      <c r="T43" s="688">
        <v>15763.13</v>
      </c>
      <c r="U43" s="693"/>
      <c r="V43" s="690">
        <f t="shared" si="2"/>
        <v>763.1299999999992</v>
      </c>
      <c r="W43" s="683"/>
      <c r="X43" s="474">
        <f t="shared" si="3"/>
        <v>15000</v>
      </c>
      <c r="Y43" s="474">
        <f t="shared" si="4"/>
        <v>0</v>
      </c>
      <c r="Z43" s="475">
        <f t="shared" si="5"/>
        <v>0</v>
      </c>
      <c r="AA43" s="475">
        <v>0</v>
      </c>
      <c r="AB43" s="476">
        <v>0</v>
      </c>
      <c r="AC43" s="38">
        <f t="shared" si="6"/>
        <v>0</v>
      </c>
      <c r="AD43" s="692">
        <f t="shared" si="7"/>
        <v>159.88999999999942</v>
      </c>
      <c r="AE43" s="692">
        <f t="shared" si="8"/>
        <v>0</v>
      </c>
      <c r="AF43" s="692">
        <f t="shared" si="9"/>
        <v>0</v>
      </c>
      <c r="AG43" s="38"/>
      <c r="AH43" s="692">
        <f t="shared" si="10"/>
        <v>15000</v>
      </c>
      <c r="AI43" s="692">
        <f t="shared" si="11"/>
        <v>0</v>
      </c>
      <c r="AJ43" s="692">
        <f t="shared" si="12"/>
        <v>0</v>
      </c>
      <c r="AL43" s="38">
        <f t="shared" si="13"/>
        <v>15159.89</v>
      </c>
      <c r="AM43" s="123" t="s">
        <v>911</v>
      </c>
    </row>
    <row r="44" spans="1:39">
      <c r="A44" s="21"/>
      <c r="B44" s="21" t="s">
        <v>110</v>
      </c>
      <c r="C44" s="666"/>
      <c r="D44" s="68" t="s">
        <v>234</v>
      </c>
      <c r="E44" s="679">
        <v>14145.68</v>
      </c>
      <c r="F44" s="529">
        <f>VLOOKUP(D44,'Jan14 Revenue'!D:V,19,FALSE)</f>
        <v>-20000</v>
      </c>
      <c r="G44" s="680"/>
      <c r="H44" s="680"/>
      <c r="I44" s="755"/>
      <c r="J44" s="682">
        <f t="shared" si="0"/>
        <v>-5854.32</v>
      </c>
      <c r="K44" s="683"/>
      <c r="L44" s="684"/>
      <c r="M44" s="753">
        <v>10000</v>
      </c>
      <c r="N44" s="683">
        <v>0</v>
      </c>
      <c r="O44" s="686"/>
      <c r="P44" s="683">
        <v>0</v>
      </c>
      <c r="Q44" s="687">
        <f t="shared" si="1"/>
        <v>10000</v>
      </c>
      <c r="R44" s="687"/>
      <c r="S44" s="687"/>
      <c r="T44" s="688">
        <v>0</v>
      </c>
      <c r="U44" s="693"/>
      <c r="V44" s="690">
        <f t="shared" si="2"/>
        <v>-10000</v>
      </c>
      <c r="W44" s="683"/>
      <c r="X44" s="474">
        <f t="shared" si="3"/>
        <v>10000</v>
      </c>
      <c r="Y44" s="474">
        <f t="shared" si="4"/>
        <v>0</v>
      </c>
      <c r="Z44" s="475">
        <f t="shared" si="5"/>
        <v>0</v>
      </c>
      <c r="AA44" s="475">
        <v>0</v>
      </c>
      <c r="AB44" s="476">
        <v>0</v>
      </c>
      <c r="AC44" s="38">
        <f t="shared" si="6"/>
        <v>0</v>
      </c>
      <c r="AD44" s="692">
        <f t="shared" si="7"/>
        <v>-5854.32</v>
      </c>
      <c r="AE44" s="692">
        <f t="shared" si="8"/>
        <v>0</v>
      </c>
      <c r="AF44" s="692">
        <f t="shared" si="9"/>
        <v>0</v>
      </c>
      <c r="AG44" s="38"/>
      <c r="AH44" s="692">
        <f t="shared" si="10"/>
        <v>10000</v>
      </c>
      <c r="AI44" s="692">
        <f t="shared" si="11"/>
        <v>0</v>
      </c>
      <c r="AJ44" s="692">
        <f t="shared" si="12"/>
        <v>0</v>
      </c>
      <c r="AL44" s="38">
        <f t="shared" si="13"/>
        <v>4145.68</v>
      </c>
      <c r="AM44" s="68" t="s">
        <v>234</v>
      </c>
    </row>
    <row r="45" spans="1:39">
      <c r="A45" s="20"/>
      <c r="B45" s="20" t="s">
        <v>109</v>
      </c>
      <c r="C45" s="667"/>
      <c r="D45" s="68" t="s">
        <v>598</v>
      </c>
      <c r="E45" s="679"/>
      <c r="F45" s="529">
        <f>VLOOKUP(D45,'Jan14 Revenue'!D:V,19,FALSE)</f>
        <v>0</v>
      </c>
      <c r="G45" s="680"/>
      <c r="H45" s="680"/>
      <c r="I45" s="755"/>
      <c r="J45" s="682">
        <f t="shared" si="0"/>
        <v>0</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0</v>
      </c>
      <c r="AF45" s="692">
        <f t="shared" si="9"/>
        <v>0</v>
      </c>
      <c r="AG45" s="38"/>
      <c r="AH45" s="692">
        <f t="shared" si="10"/>
        <v>0</v>
      </c>
      <c r="AI45" s="692">
        <f t="shared" si="11"/>
        <v>0</v>
      </c>
      <c r="AJ45" s="692">
        <f t="shared" si="12"/>
        <v>0</v>
      </c>
      <c r="AL45" s="38">
        <f t="shared" si="13"/>
        <v>0</v>
      </c>
      <c r="AM45" s="68" t="s">
        <v>598</v>
      </c>
    </row>
    <row r="46" spans="1:39">
      <c r="A46" s="20"/>
      <c r="B46" s="20" t="s">
        <v>110</v>
      </c>
      <c r="C46" s="667"/>
      <c r="D46" s="68" t="s">
        <v>311</v>
      </c>
      <c r="E46" s="679"/>
      <c r="F46" s="529">
        <f>VLOOKUP(D46,'Jan14 Revenue'!D:V,19,FALSE)</f>
        <v>0</v>
      </c>
      <c r="G46" s="680"/>
      <c r="H46" s="680"/>
      <c r="I46" s="755"/>
      <c r="J46" s="682">
        <f t="shared" si="0"/>
        <v>0</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c r="AM46" s="68" t="s">
        <v>311</v>
      </c>
    </row>
    <row r="47" spans="1:39">
      <c r="A47" s="20"/>
      <c r="B47" s="20" t="s">
        <v>110</v>
      </c>
      <c r="C47" s="667"/>
      <c r="D47" s="68" t="s">
        <v>451</v>
      </c>
      <c r="E47" s="679"/>
      <c r="F47" s="529">
        <f>VLOOKUP(D47,'Jan14 Revenue'!D:V,19,FALSE)</f>
        <v>11533.570000000007</v>
      </c>
      <c r="G47" s="680"/>
      <c r="H47" s="680"/>
      <c r="I47" s="755"/>
      <c r="J47" s="682">
        <f t="shared" si="0"/>
        <v>11533.570000000007</v>
      </c>
      <c r="K47" s="683"/>
      <c r="L47" s="684"/>
      <c r="M47" s="753">
        <v>85000</v>
      </c>
      <c r="N47" s="683">
        <v>0</v>
      </c>
      <c r="O47" s="686"/>
      <c r="P47" s="683">
        <v>0</v>
      </c>
      <c r="Q47" s="687">
        <f t="shared" si="1"/>
        <v>85000</v>
      </c>
      <c r="R47" s="687"/>
      <c r="S47" s="687"/>
      <c r="T47" s="688">
        <v>96118.68</v>
      </c>
      <c r="U47" s="693"/>
      <c r="V47" s="690">
        <f t="shared" si="2"/>
        <v>11118.679999999993</v>
      </c>
      <c r="W47" s="683"/>
      <c r="X47" s="474">
        <f t="shared" si="3"/>
        <v>85000</v>
      </c>
      <c r="Y47" s="474">
        <f t="shared" si="4"/>
        <v>0</v>
      </c>
      <c r="Z47" s="475">
        <f t="shared" si="5"/>
        <v>0</v>
      </c>
      <c r="AA47" s="475">
        <v>0</v>
      </c>
      <c r="AB47" s="476">
        <v>0</v>
      </c>
      <c r="AC47" s="38">
        <f t="shared" si="6"/>
        <v>0</v>
      </c>
      <c r="AD47" s="692">
        <f t="shared" si="7"/>
        <v>11533.570000000007</v>
      </c>
      <c r="AE47" s="692">
        <f t="shared" si="8"/>
        <v>0</v>
      </c>
      <c r="AF47" s="692">
        <f t="shared" si="9"/>
        <v>0</v>
      </c>
      <c r="AG47" s="38"/>
      <c r="AH47" s="692">
        <f t="shared" si="10"/>
        <v>85000</v>
      </c>
      <c r="AI47" s="692">
        <f t="shared" si="11"/>
        <v>0</v>
      </c>
      <c r="AJ47" s="692">
        <f t="shared" si="12"/>
        <v>0</v>
      </c>
      <c r="AL47" s="38">
        <f t="shared" si="13"/>
        <v>96533.57</v>
      </c>
      <c r="AM47" s="68" t="s">
        <v>451</v>
      </c>
    </row>
    <row r="48" spans="1:39">
      <c r="A48" s="20"/>
      <c r="B48" s="20" t="s">
        <v>109</v>
      </c>
      <c r="C48" s="667"/>
      <c r="D48" s="68" t="s">
        <v>469</v>
      </c>
      <c r="E48" s="679"/>
      <c r="F48" s="529">
        <f>VLOOKUP(D48,'Jan14 Revenue'!D:V,19,FALSE)</f>
        <v>4842.43</v>
      </c>
      <c r="G48" s="680"/>
      <c r="H48" s="680"/>
      <c r="I48" s="770">
        <v>4040.13</v>
      </c>
      <c r="J48" s="682">
        <f t="shared" si="0"/>
        <v>8882.5600000000013</v>
      </c>
      <c r="K48" s="683"/>
      <c r="L48" s="684"/>
      <c r="M48" s="753"/>
      <c r="N48" s="683">
        <v>0</v>
      </c>
      <c r="O48" s="686"/>
      <c r="P48" s="683">
        <v>0</v>
      </c>
      <c r="Q48" s="687">
        <f t="shared" si="1"/>
        <v>0</v>
      </c>
      <c r="R48" s="687"/>
      <c r="S48" s="687"/>
      <c r="T48" s="688">
        <v>0</v>
      </c>
      <c r="U48" s="693"/>
      <c r="V48" s="690">
        <f t="shared" si="2"/>
        <v>0</v>
      </c>
      <c r="W48" s="683"/>
      <c r="X48" s="474">
        <f t="shared" si="3"/>
        <v>0</v>
      </c>
      <c r="Y48" s="474">
        <f t="shared" si="4"/>
        <v>0</v>
      </c>
      <c r="Z48" s="475">
        <f t="shared" si="5"/>
        <v>0</v>
      </c>
      <c r="AA48" s="475">
        <v>0</v>
      </c>
      <c r="AB48" s="476">
        <v>0</v>
      </c>
      <c r="AC48" s="38">
        <f t="shared" si="6"/>
        <v>0</v>
      </c>
      <c r="AD48" s="692">
        <f t="shared" si="7"/>
        <v>0</v>
      </c>
      <c r="AE48" s="692">
        <f t="shared" si="8"/>
        <v>8882.5600000000013</v>
      </c>
      <c r="AF48" s="692">
        <f t="shared" si="9"/>
        <v>0</v>
      </c>
      <c r="AG48" s="38"/>
      <c r="AH48" s="692">
        <f t="shared" si="10"/>
        <v>0</v>
      </c>
      <c r="AI48" s="692">
        <f t="shared" si="11"/>
        <v>0</v>
      </c>
      <c r="AJ48" s="692">
        <f t="shared" si="12"/>
        <v>0</v>
      </c>
      <c r="AL48" s="38">
        <f t="shared" si="13"/>
        <v>8882.5600000000013</v>
      </c>
      <c r="AM48" s="68" t="s">
        <v>469</v>
      </c>
    </row>
    <row r="49" spans="1:39">
      <c r="A49" s="20"/>
      <c r="B49" s="20" t="s">
        <v>110</v>
      </c>
      <c r="C49" s="667" t="s">
        <v>530</v>
      </c>
      <c r="D49" s="68" t="s">
        <v>69</v>
      </c>
      <c r="E49" s="679"/>
      <c r="F49" s="529">
        <f>VLOOKUP(D49,'Jan14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69</v>
      </c>
    </row>
    <row r="50" spans="1:39" hidden="1">
      <c r="A50" s="20"/>
      <c r="B50" s="20" t="s">
        <v>110</v>
      </c>
      <c r="C50" s="667" t="s">
        <v>531</v>
      </c>
      <c r="D50" s="68" t="s">
        <v>237</v>
      </c>
      <c r="E50" s="679"/>
      <c r="F50" s="529">
        <f>VLOOKUP(D50,'Jan14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c r="AM50" s="68" t="s">
        <v>237</v>
      </c>
    </row>
    <row r="51" spans="1:39">
      <c r="A51" s="20" t="s">
        <v>211</v>
      </c>
      <c r="B51" s="20" t="s">
        <v>110</v>
      </c>
      <c r="C51" s="667" t="s">
        <v>532</v>
      </c>
      <c r="D51" s="68" t="s">
        <v>7</v>
      </c>
      <c r="E51" s="679">
        <v>93628.08</v>
      </c>
      <c r="F51" s="529">
        <f>VLOOKUP(D51,'Jan14 Revenue'!D:V,19,FALSE)</f>
        <v>-120000</v>
      </c>
      <c r="G51" s="680"/>
      <c r="H51" s="680"/>
      <c r="I51" s="755"/>
      <c r="J51" s="682">
        <f t="shared" si="0"/>
        <v>-26371.919999999998</v>
      </c>
      <c r="K51" s="683"/>
      <c r="L51" s="684"/>
      <c r="M51" s="753">
        <v>60000</v>
      </c>
      <c r="N51" s="683">
        <v>0</v>
      </c>
      <c r="O51" s="686"/>
      <c r="P51" s="683">
        <v>0</v>
      </c>
      <c r="Q51" s="687">
        <f t="shared" si="1"/>
        <v>60000</v>
      </c>
      <c r="R51" s="687"/>
      <c r="S51" s="687"/>
      <c r="T51" s="688">
        <v>0</v>
      </c>
      <c r="U51" s="693"/>
      <c r="V51" s="690">
        <f t="shared" si="2"/>
        <v>-60000</v>
      </c>
      <c r="W51" s="697"/>
      <c r="X51" s="474">
        <f t="shared" si="3"/>
        <v>60000</v>
      </c>
      <c r="Y51" s="474">
        <f t="shared" si="4"/>
        <v>0</v>
      </c>
      <c r="Z51" s="475">
        <f t="shared" si="5"/>
        <v>0</v>
      </c>
      <c r="AA51" s="475">
        <v>0</v>
      </c>
      <c r="AB51" s="476">
        <v>0</v>
      </c>
      <c r="AC51" s="38">
        <f t="shared" si="6"/>
        <v>0</v>
      </c>
      <c r="AD51" s="692">
        <f t="shared" si="7"/>
        <v>-26371.919999999998</v>
      </c>
      <c r="AE51" s="692">
        <f t="shared" si="8"/>
        <v>0</v>
      </c>
      <c r="AF51" s="692">
        <f t="shared" si="9"/>
        <v>0</v>
      </c>
      <c r="AG51" s="38"/>
      <c r="AH51" s="692">
        <f t="shared" si="10"/>
        <v>60000</v>
      </c>
      <c r="AI51" s="692">
        <f t="shared" si="11"/>
        <v>0</v>
      </c>
      <c r="AJ51" s="692">
        <f t="shared" si="12"/>
        <v>0</v>
      </c>
      <c r="AL51" s="38">
        <f t="shared" si="13"/>
        <v>33628.080000000002</v>
      </c>
      <c r="AM51" s="68" t="s">
        <v>7</v>
      </c>
    </row>
    <row r="52" spans="1:39" s="24" customFormat="1">
      <c r="A52" s="32"/>
      <c r="B52" s="32" t="s">
        <v>109</v>
      </c>
      <c r="C52" s="667"/>
      <c r="D52" s="351" t="s">
        <v>1071</v>
      </c>
      <c r="E52" s="832"/>
      <c r="F52" s="677">
        <f>VLOOKUP(D52,'Jan14 Revenue'!D:V,19,FALSE)</f>
        <v>0</v>
      </c>
      <c r="G52" s="680"/>
      <c r="H52" s="680"/>
      <c r="I52" s="755"/>
      <c r="J52" s="703">
        <f t="shared" si="0"/>
        <v>0</v>
      </c>
      <c r="K52" s="698"/>
      <c r="L52" s="833"/>
      <c r="M52" s="834">
        <v>20000</v>
      </c>
      <c r="N52" s="698">
        <v>0</v>
      </c>
      <c r="O52" s="699"/>
      <c r="P52" s="698">
        <v>0</v>
      </c>
      <c r="Q52" s="700">
        <f t="shared" si="1"/>
        <v>20000</v>
      </c>
      <c r="R52" s="700"/>
      <c r="S52" s="700"/>
      <c r="T52" s="688">
        <v>3979.92</v>
      </c>
      <c r="U52" s="701"/>
      <c r="V52" s="690">
        <f t="shared" si="2"/>
        <v>-16020.08</v>
      </c>
      <c r="W52" s="698"/>
      <c r="X52" s="474">
        <f t="shared" si="3"/>
        <v>0</v>
      </c>
      <c r="Y52" s="474">
        <f t="shared" si="4"/>
        <v>20000</v>
      </c>
      <c r="Z52" s="475">
        <f t="shared" si="5"/>
        <v>0</v>
      </c>
      <c r="AA52" s="475">
        <v>0</v>
      </c>
      <c r="AB52" s="476">
        <v>0</v>
      </c>
      <c r="AC52" s="169">
        <f t="shared" si="6"/>
        <v>0</v>
      </c>
      <c r="AD52" s="692">
        <f t="shared" si="7"/>
        <v>0</v>
      </c>
      <c r="AE52" s="692">
        <f t="shared" si="8"/>
        <v>0</v>
      </c>
      <c r="AF52" s="692">
        <f t="shared" si="9"/>
        <v>0</v>
      </c>
      <c r="AG52" s="169"/>
      <c r="AH52" s="692">
        <f t="shared" si="10"/>
        <v>0</v>
      </c>
      <c r="AI52" s="692">
        <f t="shared" si="11"/>
        <v>20000</v>
      </c>
      <c r="AJ52" s="692">
        <f t="shared" si="12"/>
        <v>0</v>
      </c>
      <c r="AL52" s="169">
        <f t="shared" si="13"/>
        <v>20000</v>
      </c>
      <c r="AM52" s="68" t="s">
        <v>1070</v>
      </c>
    </row>
    <row r="53" spans="1:39" s="232" customFormat="1" hidden="1">
      <c r="A53" s="283"/>
      <c r="B53" s="283" t="s">
        <v>109</v>
      </c>
      <c r="C53" s="667" t="s">
        <v>533</v>
      </c>
      <c r="D53" s="123" t="s">
        <v>416</v>
      </c>
      <c r="E53" s="679"/>
      <c r="F53" s="529">
        <f>VLOOKUP(D53,'Jan14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416</v>
      </c>
    </row>
    <row r="54" spans="1:39" s="232" customFormat="1" hidden="1">
      <c r="A54" s="283"/>
      <c r="B54" s="283" t="s">
        <v>109</v>
      </c>
      <c r="C54" s="667" t="s">
        <v>533</v>
      </c>
      <c r="D54" s="123" t="s">
        <v>417</v>
      </c>
      <c r="E54" s="679"/>
      <c r="F54" s="529">
        <f>VLOOKUP(D54,'Jan14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417</v>
      </c>
    </row>
    <row r="55" spans="1:39" s="232" customFormat="1" hidden="1">
      <c r="A55" s="283"/>
      <c r="B55" s="283" t="s">
        <v>109</v>
      </c>
      <c r="C55" s="667" t="s">
        <v>533</v>
      </c>
      <c r="D55" s="123" t="s">
        <v>418</v>
      </c>
      <c r="E55" s="679"/>
      <c r="F55" s="529">
        <f>VLOOKUP(D55,'Jan14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c r="AM55" s="123" t="s">
        <v>418</v>
      </c>
    </row>
    <row r="56" spans="1:39">
      <c r="A56" s="20"/>
      <c r="B56" s="20" t="s">
        <v>110</v>
      </c>
      <c r="C56" s="667"/>
      <c r="D56" s="68" t="s">
        <v>992</v>
      </c>
      <c r="E56" s="679"/>
      <c r="F56" s="529">
        <f>VLOOKUP(D56,'Jan14 Revenue'!D:V,19,FALSE)</f>
        <v>3014.45</v>
      </c>
      <c r="G56" s="680"/>
      <c r="H56" s="680"/>
      <c r="I56" s="755"/>
      <c r="J56" s="682">
        <f t="shared" si="0"/>
        <v>3014.45</v>
      </c>
      <c r="K56" s="683"/>
      <c r="L56" s="684"/>
      <c r="M56" s="753"/>
      <c r="N56" s="683">
        <v>0</v>
      </c>
      <c r="O56" s="686"/>
      <c r="P56" s="683">
        <v>0</v>
      </c>
      <c r="Q56" s="687">
        <f t="shared" si="1"/>
        <v>0</v>
      </c>
      <c r="R56" s="687"/>
      <c r="S56" s="687"/>
      <c r="T56" s="688">
        <v>0</v>
      </c>
      <c r="U56" s="693"/>
      <c r="V56" s="690">
        <f t="shared" si="2"/>
        <v>0</v>
      </c>
      <c r="W56" s="683"/>
      <c r="X56" s="474">
        <f t="shared" si="3"/>
        <v>0</v>
      </c>
      <c r="Y56" s="474">
        <f t="shared" si="4"/>
        <v>0</v>
      </c>
      <c r="Z56" s="475">
        <f t="shared" si="5"/>
        <v>0</v>
      </c>
      <c r="AA56" s="475">
        <v>0</v>
      </c>
      <c r="AB56" s="476">
        <v>0</v>
      </c>
      <c r="AC56" s="38">
        <f t="shared" si="6"/>
        <v>0</v>
      </c>
      <c r="AD56" s="692">
        <f t="shared" si="7"/>
        <v>3014.45</v>
      </c>
      <c r="AE56" s="692">
        <f t="shared" si="8"/>
        <v>0</v>
      </c>
      <c r="AF56" s="692">
        <f t="shared" si="9"/>
        <v>0</v>
      </c>
      <c r="AG56" s="38"/>
      <c r="AH56" s="692">
        <f t="shared" si="10"/>
        <v>0</v>
      </c>
      <c r="AI56" s="692">
        <f t="shared" si="11"/>
        <v>0</v>
      </c>
      <c r="AJ56" s="692">
        <f t="shared" si="12"/>
        <v>0</v>
      </c>
      <c r="AL56" s="38">
        <f t="shared" si="13"/>
        <v>3014.45</v>
      </c>
      <c r="AM56" s="68" t="s">
        <v>992</v>
      </c>
    </row>
    <row r="57" spans="1:39" s="232" customFormat="1">
      <c r="A57" s="283"/>
      <c r="B57" s="283" t="s">
        <v>110</v>
      </c>
      <c r="C57" s="676" t="s">
        <v>986</v>
      </c>
      <c r="D57" s="68" t="s">
        <v>987</v>
      </c>
      <c r="E57" s="679"/>
      <c r="F57" s="529">
        <f>VLOOKUP(D57,'Jan14 Revenue'!D:V,19,FALSE)</f>
        <v>4769.7299999999996</v>
      </c>
      <c r="G57" s="680"/>
      <c r="H57" s="680"/>
      <c r="I57" s="755"/>
      <c r="J57" s="682">
        <f t="shared" si="0"/>
        <v>4769.7299999999996</v>
      </c>
      <c r="K57" s="683"/>
      <c r="L57" s="684"/>
      <c r="M57" s="753"/>
      <c r="N57" s="683">
        <v>0</v>
      </c>
      <c r="O57" s="686"/>
      <c r="P57" s="683">
        <v>0</v>
      </c>
      <c r="Q57" s="687">
        <f t="shared" si="1"/>
        <v>0</v>
      </c>
      <c r="R57" s="687"/>
      <c r="S57" s="687"/>
      <c r="T57" s="688">
        <v>4158.1400000000003</v>
      </c>
      <c r="U57" s="693"/>
      <c r="V57" s="690">
        <f t="shared" si="2"/>
        <v>4158.1400000000003</v>
      </c>
      <c r="W57" s="683"/>
      <c r="X57" s="474">
        <f t="shared" si="3"/>
        <v>0</v>
      </c>
      <c r="Y57" s="474">
        <f t="shared" si="4"/>
        <v>0</v>
      </c>
      <c r="Z57" s="475">
        <f t="shared" si="5"/>
        <v>0</v>
      </c>
      <c r="AA57" s="475">
        <v>0</v>
      </c>
      <c r="AB57" s="476">
        <v>0</v>
      </c>
      <c r="AC57" s="38">
        <f t="shared" si="6"/>
        <v>0</v>
      </c>
      <c r="AD57" s="692">
        <f t="shared" si="7"/>
        <v>4769.7299999999996</v>
      </c>
      <c r="AE57" s="692">
        <f t="shared" si="8"/>
        <v>0</v>
      </c>
      <c r="AF57" s="692">
        <f t="shared" si="9"/>
        <v>0</v>
      </c>
      <c r="AG57" s="38"/>
      <c r="AH57" s="692">
        <f t="shared" si="10"/>
        <v>0</v>
      </c>
      <c r="AI57" s="692">
        <f t="shared" si="11"/>
        <v>0</v>
      </c>
      <c r="AJ57" s="692">
        <f t="shared" si="12"/>
        <v>0</v>
      </c>
      <c r="AK57" s="16"/>
      <c r="AL57" s="38">
        <f t="shared" si="13"/>
        <v>4769.7299999999996</v>
      </c>
      <c r="AM57" s="68" t="s">
        <v>987</v>
      </c>
    </row>
    <row r="58" spans="1:39">
      <c r="A58" s="20" t="s">
        <v>211</v>
      </c>
      <c r="B58" s="20" t="s">
        <v>109</v>
      </c>
      <c r="C58" s="667" t="s">
        <v>534</v>
      </c>
      <c r="D58" s="68" t="s">
        <v>9</v>
      </c>
      <c r="E58" s="679">
        <v>8.3699999999999992</v>
      </c>
      <c r="F58" s="529">
        <f>VLOOKUP(D58,'Jan14 Revenue'!D:V,19,FALSE)</f>
        <v>0</v>
      </c>
      <c r="G58" s="680"/>
      <c r="H58" s="680"/>
      <c r="I58" s="755"/>
      <c r="J58" s="682">
        <f>SUM(E58:I58)</f>
        <v>8.3699999999999992</v>
      </c>
      <c r="K58" s="683"/>
      <c r="L58" s="684"/>
      <c r="M58" s="753"/>
      <c r="N58" s="683">
        <v>0</v>
      </c>
      <c r="O58" s="686"/>
      <c r="P58" s="683">
        <v>0</v>
      </c>
      <c r="Q58" s="687">
        <f t="shared" si="1"/>
        <v>0</v>
      </c>
      <c r="R58" s="687"/>
      <c r="S58" s="687"/>
      <c r="T58" s="688">
        <v>0</v>
      </c>
      <c r="U58" s="693"/>
      <c r="V58" s="690">
        <f t="shared" si="2"/>
        <v>0</v>
      </c>
      <c r="W58" s="697"/>
      <c r="X58" s="474">
        <f t="shared" si="3"/>
        <v>0</v>
      </c>
      <c r="Y58" s="474">
        <f t="shared" si="4"/>
        <v>0</v>
      </c>
      <c r="Z58" s="475">
        <f t="shared" si="5"/>
        <v>0</v>
      </c>
      <c r="AA58" s="475">
        <v>0</v>
      </c>
      <c r="AB58" s="476">
        <v>0</v>
      </c>
      <c r="AC58" s="38">
        <f t="shared" si="6"/>
        <v>0</v>
      </c>
      <c r="AD58" s="692">
        <f t="shared" si="7"/>
        <v>0</v>
      </c>
      <c r="AE58" s="692">
        <f t="shared" si="8"/>
        <v>8.3699999999999992</v>
      </c>
      <c r="AF58" s="692">
        <f t="shared" si="9"/>
        <v>0</v>
      </c>
      <c r="AG58" s="38"/>
      <c r="AH58" s="692">
        <f t="shared" si="10"/>
        <v>0</v>
      </c>
      <c r="AI58" s="692">
        <f t="shared" si="11"/>
        <v>0</v>
      </c>
      <c r="AJ58" s="692">
        <f t="shared" si="12"/>
        <v>0</v>
      </c>
      <c r="AL58" s="38">
        <f t="shared" si="13"/>
        <v>8.3699999999999992</v>
      </c>
      <c r="AM58" s="68" t="s">
        <v>9</v>
      </c>
    </row>
    <row r="59" spans="1:39">
      <c r="A59" s="20" t="s">
        <v>211</v>
      </c>
      <c r="B59" s="20" t="s">
        <v>110</v>
      </c>
      <c r="C59" s="667"/>
      <c r="D59" s="68" t="s">
        <v>1041</v>
      </c>
      <c r="E59" s="679"/>
      <c r="F59" s="529">
        <f>VLOOKUP(D59,'Jan14 Revenue'!D:V,19,FALSE)</f>
        <v>917.27</v>
      </c>
      <c r="G59" s="680"/>
      <c r="H59" s="680"/>
      <c r="I59" s="770">
        <v>942.55</v>
      </c>
      <c r="J59" s="682">
        <f t="shared" si="0"/>
        <v>1859.82</v>
      </c>
      <c r="K59" s="683"/>
      <c r="L59" s="684"/>
      <c r="M59" s="753"/>
      <c r="N59" s="683">
        <v>0</v>
      </c>
      <c r="O59" s="686"/>
      <c r="P59" s="683">
        <v>0</v>
      </c>
      <c r="Q59" s="687">
        <f t="shared" si="1"/>
        <v>0</v>
      </c>
      <c r="R59" s="687"/>
      <c r="S59" s="687"/>
      <c r="T59" s="688">
        <v>0</v>
      </c>
      <c r="U59" s="693"/>
      <c r="V59" s="690">
        <f t="shared" si="2"/>
        <v>0</v>
      </c>
      <c r="W59" s="683"/>
      <c r="X59" s="474">
        <f t="shared" si="3"/>
        <v>0</v>
      </c>
      <c r="Y59" s="474">
        <f t="shared" si="4"/>
        <v>0</v>
      </c>
      <c r="Z59" s="475">
        <f t="shared" si="5"/>
        <v>0</v>
      </c>
      <c r="AA59" s="475">
        <v>0</v>
      </c>
      <c r="AB59" s="476">
        <v>0</v>
      </c>
      <c r="AC59" s="38">
        <f t="shared" si="6"/>
        <v>0</v>
      </c>
      <c r="AD59" s="692">
        <f t="shared" si="7"/>
        <v>1859.82</v>
      </c>
      <c r="AE59" s="692">
        <f t="shared" si="8"/>
        <v>0</v>
      </c>
      <c r="AF59" s="692">
        <f t="shared" si="9"/>
        <v>0</v>
      </c>
      <c r="AG59" s="38"/>
      <c r="AH59" s="692">
        <f t="shared" si="10"/>
        <v>0</v>
      </c>
      <c r="AI59" s="692">
        <f t="shared" si="11"/>
        <v>0</v>
      </c>
      <c r="AJ59" s="692">
        <f t="shared" si="12"/>
        <v>0</v>
      </c>
      <c r="AL59" s="38">
        <f t="shared" si="13"/>
        <v>1859.82</v>
      </c>
      <c r="AM59" s="68" t="s">
        <v>487</v>
      </c>
    </row>
    <row r="60" spans="1:39">
      <c r="A60" s="20"/>
      <c r="B60" s="20" t="s">
        <v>109</v>
      </c>
      <c r="C60" s="676" t="s">
        <v>906</v>
      </c>
      <c r="D60" s="68" t="s">
        <v>830</v>
      </c>
      <c r="E60" s="679">
        <f>7889.63+15040.23</f>
        <v>22929.86</v>
      </c>
      <c r="F60" s="529">
        <f>VLOOKUP(D60,'Jan14 Revenue'!D:V,19,FALSE)</f>
        <v>0</v>
      </c>
      <c r="G60" s="680"/>
      <c r="H60" s="680"/>
      <c r="I60" s="770">
        <v>711425.12</v>
      </c>
      <c r="J60" s="682">
        <f t="shared" si="0"/>
        <v>734354.98</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734354.98</v>
      </c>
      <c r="AF60" s="692">
        <f t="shared" si="9"/>
        <v>0</v>
      </c>
      <c r="AG60" s="38"/>
      <c r="AH60" s="692">
        <f t="shared" si="10"/>
        <v>0</v>
      </c>
      <c r="AI60" s="692">
        <f t="shared" si="11"/>
        <v>0</v>
      </c>
      <c r="AJ60" s="692">
        <f t="shared" si="12"/>
        <v>0</v>
      </c>
      <c r="AL60" s="38">
        <f t="shared" si="13"/>
        <v>734354.98</v>
      </c>
      <c r="AM60" s="68" t="s">
        <v>830</v>
      </c>
    </row>
    <row r="61" spans="1:39">
      <c r="A61" s="20"/>
      <c r="B61" s="20" t="s">
        <v>109</v>
      </c>
      <c r="C61" s="667"/>
      <c r="D61" s="68" t="s">
        <v>374</v>
      </c>
      <c r="E61" s="679"/>
      <c r="F61" s="529">
        <f>VLOOKUP(D61,'Jan14 Revenue'!D:V,19,FALSE)</f>
        <v>-5000</v>
      </c>
      <c r="G61" s="680"/>
      <c r="H61" s="680"/>
      <c r="I61" s="755"/>
      <c r="J61" s="682">
        <f t="shared" si="0"/>
        <v>-5000</v>
      </c>
      <c r="K61" s="683"/>
      <c r="L61" s="684"/>
      <c r="M61" s="753">
        <v>10000</v>
      </c>
      <c r="N61" s="683">
        <v>0</v>
      </c>
      <c r="O61" s="686"/>
      <c r="P61" s="683">
        <v>0</v>
      </c>
      <c r="Q61" s="687">
        <f t="shared" si="1"/>
        <v>10000</v>
      </c>
      <c r="R61" s="687"/>
      <c r="S61" s="687"/>
      <c r="T61" s="688">
        <v>0</v>
      </c>
      <c r="U61" s="693"/>
      <c r="V61" s="690">
        <f t="shared" si="2"/>
        <v>-10000</v>
      </c>
      <c r="W61" s="683"/>
      <c r="X61" s="474">
        <f t="shared" si="3"/>
        <v>0</v>
      </c>
      <c r="Y61" s="474">
        <f t="shared" si="4"/>
        <v>10000</v>
      </c>
      <c r="Z61" s="475">
        <f t="shared" si="5"/>
        <v>0</v>
      </c>
      <c r="AA61" s="475">
        <v>0</v>
      </c>
      <c r="AB61" s="476">
        <v>0</v>
      </c>
      <c r="AC61" s="38">
        <f t="shared" si="6"/>
        <v>0</v>
      </c>
      <c r="AD61" s="692">
        <f t="shared" si="7"/>
        <v>0</v>
      </c>
      <c r="AE61" s="692">
        <f t="shared" si="8"/>
        <v>-5000</v>
      </c>
      <c r="AF61" s="692">
        <f t="shared" si="9"/>
        <v>0</v>
      </c>
      <c r="AG61" s="38"/>
      <c r="AH61" s="692">
        <f t="shared" si="10"/>
        <v>0</v>
      </c>
      <c r="AI61" s="692">
        <f t="shared" si="11"/>
        <v>10000</v>
      </c>
      <c r="AJ61" s="692">
        <f t="shared" si="12"/>
        <v>0</v>
      </c>
      <c r="AL61" s="38">
        <f t="shared" si="13"/>
        <v>5000</v>
      </c>
      <c r="AM61" s="68" t="s">
        <v>374</v>
      </c>
    </row>
    <row r="62" spans="1:39">
      <c r="A62" s="20"/>
      <c r="B62" s="20" t="s">
        <v>114</v>
      </c>
      <c r="C62" s="667"/>
      <c r="D62" s="68" t="s">
        <v>502</v>
      </c>
      <c r="E62" s="679"/>
      <c r="F62" s="529">
        <f>VLOOKUP(D62,'Jan14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c r="AM62" s="68" t="s">
        <v>502</v>
      </c>
    </row>
    <row r="63" spans="1:39">
      <c r="A63" s="21"/>
      <c r="B63" s="21" t="s">
        <v>110</v>
      </c>
      <c r="C63" s="666" t="s">
        <v>535</v>
      </c>
      <c r="D63" s="123" t="s">
        <v>517</v>
      </c>
      <c r="E63" s="679"/>
      <c r="F63" s="529">
        <f>VLOOKUP(D63,'Jan14 Revenue'!D:V,19,FALSE)</f>
        <v>-20888.780000000028</v>
      </c>
      <c r="G63" s="680"/>
      <c r="H63" s="680"/>
      <c r="I63" s="755"/>
      <c r="J63" s="682">
        <f t="shared" si="0"/>
        <v>-20888.780000000028</v>
      </c>
      <c r="K63" s="683"/>
      <c r="L63" s="684"/>
      <c r="M63" s="753">
        <v>475000</v>
      </c>
      <c r="N63" s="683">
        <v>0</v>
      </c>
      <c r="O63" s="686"/>
      <c r="P63" s="683">
        <v>0</v>
      </c>
      <c r="Q63" s="687">
        <f t="shared" si="1"/>
        <v>475000</v>
      </c>
      <c r="R63" s="687"/>
      <c r="S63" s="687"/>
      <c r="T63" s="688">
        <v>491779.06</v>
      </c>
      <c r="U63" s="693"/>
      <c r="V63" s="690">
        <f t="shared" si="2"/>
        <v>16779.059999999998</v>
      </c>
      <c r="W63" s="697"/>
      <c r="X63" s="474">
        <f t="shared" si="3"/>
        <v>475000</v>
      </c>
      <c r="Y63" s="474">
        <f t="shared" si="4"/>
        <v>0</v>
      </c>
      <c r="Z63" s="475">
        <f t="shared" si="5"/>
        <v>0</v>
      </c>
      <c r="AA63" s="475">
        <v>0</v>
      </c>
      <c r="AB63" s="476">
        <v>0</v>
      </c>
      <c r="AC63" s="38">
        <f t="shared" si="6"/>
        <v>0</v>
      </c>
      <c r="AD63" s="692">
        <f t="shared" si="7"/>
        <v>-20888.780000000028</v>
      </c>
      <c r="AE63" s="692">
        <f t="shared" si="8"/>
        <v>0</v>
      </c>
      <c r="AF63" s="692">
        <f t="shared" si="9"/>
        <v>0</v>
      </c>
      <c r="AG63" s="38"/>
      <c r="AH63" s="692">
        <f t="shared" si="10"/>
        <v>475000</v>
      </c>
      <c r="AI63" s="692">
        <f t="shared" si="11"/>
        <v>0</v>
      </c>
      <c r="AJ63" s="692">
        <f t="shared" si="12"/>
        <v>0</v>
      </c>
      <c r="AL63" s="38">
        <f t="shared" si="13"/>
        <v>454111.22</v>
      </c>
      <c r="AM63" s="123" t="s">
        <v>517</v>
      </c>
    </row>
    <row r="64" spans="1:39">
      <c r="A64" s="20"/>
      <c r="B64" s="20" t="s">
        <v>110</v>
      </c>
      <c r="C64" s="667" t="s">
        <v>536</v>
      </c>
      <c r="D64" s="68" t="s">
        <v>450</v>
      </c>
      <c r="E64" s="679"/>
      <c r="F64" s="529">
        <f>VLOOKUP(D64,'Jan14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c r="AM64" s="68" t="s">
        <v>450</v>
      </c>
    </row>
    <row r="65" spans="1:39">
      <c r="A65" s="20"/>
      <c r="B65" s="20" t="s">
        <v>110</v>
      </c>
      <c r="C65" s="676"/>
      <c r="D65" s="68" t="s">
        <v>991</v>
      </c>
      <c r="E65" s="679">
        <v>3132.23</v>
      </c>
      <c r="F65" s="529">
        <f>VLOOKUP(D65,'Jan14 Revenue'!D:V,19,FALSE)</f>
        <v>0</v>
      </c>
      <c r="G65" s="680"/>
      <c r="H65" s="680"/>
      <c r="I65" s="755"/>
      <c r="J65" s="682">
        <f t="shared" si="0"/>
        <v>3132.23</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3132.23</v>
      </c>
      <c r="AE65" s="692">
        <f t="shared" si="8"/>
        <v>0</v>
      </c>
      <c r="AF65" s="692">
        <f t="shared" si="9"/>
        <v>0</v>
      </c>
      <c r="AG65" s="38"/>
      <c r="AH65" s="692">
        <f t="shared" si="10"/>
        <v>0</v>
      </c>
      <c r="AI65" s="692">
        <f t="shared" si="11"/>
        <v>0</v>
      </c>
      <c r="AJ65" s="692">
        <f t="shared" si="12"/>
        <v>0</v>
      </c>
      <c r="AL65" s="38">
        <f t="shared" si="13"/>
        <v>3132.23</v>
      </c>
      <c r="AM65" s="68" t="s">
        <v>991</v>
      </c>
    </row>
    <row r="66" spans="1:39">
      <c r="A66" s="20"/>
      <c r="B66" s="20" t="s">
        <v>110</v>
      </c>
      <c r="C66" s="676" t="s">
        <v>975</v>
      </c>
      <c r="D66" s="68" t="s">
        <v>976</v>
      </c>
      <c r="E66" s="679"/>
      <c r="F66" s="529">
        <f>VLOOKUP(D66,'Jan14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c r="AM66" s="68" t="s">
        <v>976</v>
      </c>
    </row>
    <row r="67" spans="1:39">
      <c r="A67" s="21" t="s">
        <v>109</v>
      </c>
      <c r="B67" s="21" t="s">
        <v>110</v>
      </c>
      <c r="C67" s="666"/>
      <c r="D67" s="68" t="s">
        <v>438</v>
      </c>
      <c r="E67" s="679"/>
      <c r="F67" s="529">
        <f>VLOOKUP(D67,'Jan14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438</v>
      </c>
    </row>
    <row r="68" spans="1:39">
      <c r="A68" s="21"/>
      <c r="B68" s="21" t="s">
        <v>110</v>
      </c>
      <c r="C68" s="666"/>
      <c r="D68" s="68" t="s">
        <v>628</v>
      </c>
      <c r="E68" s="679">
        <v>500.85</v>
      </c>
      <c r="F68" s="529">
        <f>VLOOKUP(D68,'Jan14 Revenue'!D:V,19,FALSE)</f>
        <v>0</v>
      </c>
      <c r="G68" s="680"/>
      <c r="H68" s="680"/>
      <c r="I68" s="755"/>
      <c r="J68" s="682">
        <f t="shared" si="0"/>
        <v>500.85</v>
      </c>
      <c r="K68" s="683"/>
      <c r="L68" s="684"/>
      <c r="M68" s="753"/>
      <c r="N68" s="683">
        <v>0</v>
      </c>
      <c r="O68" s="686"/>
      <c r="P68" s="683">
        <v>0</v>
      </c>
      <c r="Q68" s="687">
        <f t="shared" si="1"/>
        <v>0</v>
      </c>
      <c r="R68" s="687"/>
      <c r="S68" s="687"/>
      <c r="T68" s="688">
        <v>0</v>
      </c>
      <c r="U68" s="693"/>
      <c r="V68" s="690">
        <f t="shared" si="2"/>
        <v>0</v>
      </c>
      <c r="W68" s="697"/>
      <c r="X68" s="474">
        <f t="shared" si="3"/>
        <v>0</v>
      </c>
      <c r="Y68" s="474">
        <f t="shared" si="4"/>
        <v>0</v>
      </c>
      <c r="Z68" s="475">
        <f t="shared" si="5"/>
        <v>0</v>
      </c>
      <c r="AA68" s="475">
        <v>0</v>
      </c>
      <c r="AB68" s="476">
        <v>0</v>
      </c>
      <c r="AC68" s="38">
        <f t="shared" si="6"/>
        <v>0</v>
      </c>
      <c r="AD68" s="692">
        <f t="shared" si="7"/>
        <v>500.85</v>
      </c>
      <c r="AE68" s="692">
        <f t="shared" si="8"/>
        <v>0</v>
      </c>
      <c r="AF68" s="692">
        <f t="shared" si="9"/>
        <v>0</v>
      </c>
      <c r="AG68" s="38"/>
      <c r="AH68" s="692">
        <f t="shared" si="10"/>
        <v>0</v>
      </c>
      <c r="AI68" s="692">
        <f t="shared" si="11"/>
        <v>0</v>
      </c>
      <c r="AJ68" s="692">
        <f t="shared" si="12"/>
        <v>0</v>
      </c>
      <c r="AL68" s="38">
        <f t="shared" si="13"/>
        <v>500.85</v>
      </c>
      <c r="AM68" s="68" t="s">
        <v>628</v>
      </c>
    </row>
    <row r="69" spans="1:39">
      <c r="A69" s="21"/>
      <c r="B69" s="21" t="s">
        <v>110</v>
      </c>
      <c r="C69" s="666"/>
      <c r="D69" s="68" t="s">
        <v>956</v>
      </c>
      <c r="E69" s="679"/>
      <c r="F69" s="529">
        <f>VLOOKUP(D69,'Jan14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956</v>
      </c>
    </row>
    <row r="70" spans="1:39" s="232" customFormat="1">
      <c r="A70" s="283" t="s">
        <v>211</v>
      </c>
      <c r="B70" s="283" t="s">
        <v>110</v>
      </c>
      <c r="C70" s="667" t="s">
        <v>538</v>
      </c>
      <c r="D70" s="123" t="s">
        <v>170</v>
      </c>
      <c r="E70" s="679"/>
      <c r="F70" s="529">
        <f>VLOOKUP(D70,'Jan14 Revenue'!D:V,19,FALSE)</f>
        <v>-200000</v>
      </c>
      <c r="G70" s="680"/>
      <c r="H70" s="680"/>
      <c r="I70" s="755"/>
      <c r="J70" s="682">
        <f t="shared" si="0"/>
        <v>-200000</v>
      </c>
      <c r="K70" s="683"/>
      <c r="L70" s="684"/>
      <c r="M70" s="753">
        <v>400000</v>
      </c>
      <c r="N70" s="683">
        <v>0</v>
      </c>
      <c r="O70" s="686"/>
      <c r="P70" s="683">
        <v>0</v>
      </c>
      <c r="Q70" s="687">
        <f t="shared" si="1"/>
        <v>400000</v>
      </c>
      <c r="R70" s="687"/>
      <c r="S70" s="687"/>
      <c r="T70" s="688">
        <v>0</v>
      </c>
      <c r="U70" s="693"/>
      <c r="V70" s="690">
        <f t="shared" si="2"/>
        <v>-400000</v>
      </c>
      <c r="W70" s="683"/>
      <c r="X70" s="474">
        <f t="shared" si="3"/>
        <v>400000</v>
      </c>
      <c r="Y70" s="474">
        <f t="shared" si="4"/>
        <v>0</v>
      </c>
      <c r="Z70" s="475">
        <f t="shared" si="5"/>
        <v>0</v>
      </c>
      <c r="AA70" s="475">
        <v>0</v>
      </c>
      <c r="AB70" s="476">
        <v>0</v>
      </c>
      <c r="AC70" s="38">
        <f t="shared" si="6"/>
        <v>0</v>
      </c>
      <c r="AD70" s="692">
        <f t="shared" si="7"/>
        <v>-200000</v>
      </c>
      <c r="AE70" s="692">
        <f t="shared" si="8"/>
        <v>0</v>
      </c>
      <c r="AF70" s="692">
        <f t="shared" si="9"/>
        <v>0</v>
      </c>
      <c r="AG70" s="38"/>
      <c r="AH70" s="692">
        <f t="shared" si="10"/>
        <v>400000</v>
      </c>
      <c r="AI70" s="692">
        <f t="shared" si="11"/>
        <v>0</v>
      </c>
      <c r="AJ70" s="692">
        <f t="shared" si="12"/>
        <v>0</v>
      </c>
      <c r="AL70" s="38">
        <f t="shared" si="13"/>
        <v>200000</v>
      </c>
      <c r="AM70" s="123" t="s">
        <v>170</v>
      </c>
    </row>
    <row r="71" spans="1:39" s="232" customFormat="1">
      <c r="A71" s="283" t="s">
        <v>211</v>
      </c>
      <c r="B71" s="283" t="s">
        <v>110</v>
      </c>
      <c r="C71" s="667" t="s">
        <v>538</v>
      </c>
      <c r="D71" s="123" t="s">
        <v>171</v>
      </c>
      <c r="E71" s="679"/>
      <c r="F71" s="529">
        <f>VLOOKUP(D71,'Jan14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171</v>
      </c>
    </row>
    <row r="72" spans="1:39" s="232" customFormat="1" hidden="1">
      <c r="A72" s="283" t="s">
        <v>211</v>
      </c>
      <c r="B72" s="283" t="s">
        <v>110</v>
      </c>
      <c r="C72" s="667" t="s">
        <v>538</v>
      </c>
      <c r="D72" s="123" t="s">
        <v>13</v>
      </c>
      <c r="E72" s="679"/>
      <c r="F72" s="529">
        <f>VLOOKUP(D72,'Jan14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13</v>
      </c>
    </row>
    <row r="73" spans="1:39" s="232" customFormat="1" hidden="1">
      <c r="A73" s="283" t="s">
        <v>211</v>
      </c>
      <c r="B73" s="283" t="s">
        <v>110</v>
      </c>
      <c r="C73" s="667" t="s">
        <v>538</v>
      </c>
      <c r="D73" s="123" t="s">
        <v>172</v>
      </c>
      <c r="E73" s="679"/>
      <c r="F73" s="529">
        <f>VLOOKUP(D73,'Jan14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172</v>
      </c>
    </row>
    <row r="74" spans="1:39" s="232" customFormat="1" hidden="1">
      <c r="A74" s="283" t="s">
        <v>211</v>
      </c>
      <c r="B74" s="283" t="s">
        <v>110</v>
      </c>
      <c r="C74" s="667" t="s">
        <v>538</v>
      </c>
      <c r="D74" s="123" t="s">
        <v>173</v>
      </c>
      <c r="E74" s="679"/>
      <c r="F74" s="529">
        <f>VLOOKUP(D74,'Jan14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173</v>
      </c>
    </row>
    <row r="75" spans="1:39" s="232" customFormat="1" hidden="1">
      <c r="A75" s="283" t="s">
        <v>211</v>
      </c>
      <c r="B75" s="283" t="s">
        <v>110</v>
      </c>
      <c r="C75" s="667" t="s">
        <v>538</v>
      </c>
      <c r="D75" s="123" t="s">
        <v>174</v>
      </c>
      <c r="E75" s="679"/>
      <c r="F75" s="529">
        <f>VLOOKUP(D75,'Jan14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174</v>
      </c>
    </row>
    <row r="76" spans="1:39" s="232" customFormat="1">
      <c r="A76" s="283"/>
      <c r="B76" s="283" t="s">
        <v>109</v>
      </c>
      <c r="C76" s="794"/>
      <c r="D76" s="351" t="s">
        <v>14</v>
      </c>
      <c r="E76" s="679"/>
      <c r="F76" s="529">
        <f>VLOOKUP(D76,'Jan14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351" t="s">
        <v>14</v>
      </c>
    </row>
    <row r="77" spans="1:39" hidden="1">
      <c r="A77" s="20"/>
      <c r="B77" s="20" t="s">
        <v>110</v>
      </c>
      <c r="C77" s="667"/>
      <c r="D77" s="68" t="s">
        <v>15</v>
      </c>
      <c r="E77" s="679"/>
      <c r="F77" s="529">
        <f>VLOOKUP(D77,'Jan14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68" t="s">
        <v>15</v>
      </c>
    </row>
    <row r="78" spans="1:39">
      <c r="A78" s="20"/>
      <c r="B78" s="20" t="s">
        <v>110</v>
      </c>
      <c r="C78" s="667"/>
      <c r="D78" s="68" t="s">
        <v>646</v>
      </c>
      <c r="E78" s="679"/>
      <c r="F78" s="529">
        <f>VLOOKUP(D78,'Jan14 Revenue'!D:V,19,FALSE)</f>
        <v>0</v>
      </c>
      <c r="G78" s="680"/>
      <c r="H78" s="680"/>
      <c r="I78" s="770">
        <v>214.43</v>
      </c>
      <c r="J78" s="682">
        <f t="shared" si="0"/>
        <v>214.43</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214.43</v>
      </c>
      <c r="AE78" s="692">
        <f t="shared" si="8"/>
        <v>0</v>
      </c>
      <c r="AF78" s="692">
        <f t="shared" si="9"/>
        <v>0</v>
      </c>
      <c r="AG78" s="38"/>
      <c r="AH78" s="692">
        <f t="shared" si="10"/>
        <v>0</v>
      </c>
      <c r="AI78" s="692">
        <f t="shared" si="11"/>
        <v>0</v>
      </c>
      <c r="AJ78" s="692">
        <f t="shared" si="12"/>
        <v>0</v>
      </c>
      <c r="AL78" s="38">
        <f t="shared" si="13"/>
        <v>214.43</v>
      </c>
      <c r="AM78" s="68" t="s">
        <v>646</v>
      </c>
    </row>
    <row r="79" spans="1:39">
      <c r="A79" s="20"/>
      <c r="B79" s="20" t="s">
        <v>110</v>
      </c>
      <c r="C79" s="676" t="s">
        <v>1077</v>
      </c>
      <c r="D79" s="68" t="s">
        <v>988</v>
      </c>
      <c r="E79" s="679"/>
      <c r="F79" s="529">
        <f>VLOOKUP(D79,'Jan14 Revenue'!D:V,19,FALSE)</f>
        <v>0</v>
      </c>
      <c r="G79" s="680"/>
      <c r="H79" s="680"/>
      <c r="I79" s="755"/>
      <c r="J79" s="682">
        <f t="shared" si="0"/>
        <v>0</v>
      </c>
      <c r="K79" s="683"/>
      <c r="L79" s="684"/>
      <c r="M79" s="753"/>
      <c r="N79" s="683">
        <v>0</v>
      </c>
      <c r="O79" s="686"/>
      <c r="P79" s="683">
        <v>0</v>
      </c>
      <c r="Q79" s="687">
        <f t="shared" si="1"/>
        <v>0</v>
      </c>
      <c r="R79" s="687"/>
      <c r="S79" s="687"/>
      <c r="T79" s="688">
        <v>22661</v>
      </c>
      <c r="U79" s="693"/>
      <c r="V79" s="690">
        <f t="shared" si="2"/>
        <v>22661</v>
      </c>
      <c r="W79" s="683"/>
      <c r="X79" s="474">
        <f t="shared" si="3"/>
        <v>0</v>
      </c>
      <c r="Y79" s="474">
        <f t="shared" si="4"/>
        <v>0</v>
      </c>
      <c r="Z79" s="475">
        <f t="shared" si="5"/>
        <v>0</v>
      </c>
      <c r="AA79" s="475">
        <v>0</v>
      </c>
      <c r="AB79" s="476">
        <v>0</v>
      </c>
      <c r="AC79" s="38">
        <f t="shared" si="6"/>
        <v>0</v>
      </c>
      <c r="AD79" s="692">
        <f t="shared" si="7"/>
        <v>0</v>
      </c>
      <c r="AE79" s="692">
        <f t="shared" si="8"/>
        <v>0</v>
      </c>
      <c r="AF79" s="692">
        <f t="shared" si="9"/>
        <v>0</v>
      </c>
      <c r="AG79" s="38"/>
      <c r="AH79" s="692">
        <f t="shared" si="10"/>
        <v>0</v>
      </c>
      <c r="AI79" s="692">
        <f t="shared" si="11"/>
        <v>0</v>
      </c>
      <c r="AJ79" s="692">
        <f t="shared" si="12"/>
        <v>0</v>
      </c>
      <c r="AL79" s="38">
        <f t="shared" si="13"/>
        <v>0</v>
      </c>
      <c r="AM79" s="68" t="s">
        <v>988</v>
      </c>
    </row>
    <row r="80" spans="1:39">
      <c r="A80" s="20" t="s">
        <v>109</v>
      </c>
      <c r="B80" s="20" t="s">
        <v>109</v>
      </c>
      <c r="C80" s="667" t="s">
        <v>539</v>
      </c>
      <c r="D80" s="68" t="s">
        <v>510</v>
      </c>
      <c r="E80" s="679"/>
      <c r="F80" s="529">
        <f>VLOOKUP(D80,'Jan14 Revenue'!D:V,19,FALSE)</f>
        <v>0</v>
      </c>
      <c r="G80" s="680"/>
      <c r="H80" s="680"/>
      <c r="I80" s="755"/>
      <c r="J80" s="682">
        <f t="shared" si="0"/>
        <v>0</v>
      </c>
      <c r="K80" s="683"/>
      <c r="L80" s="684"/>
      <c r="M80" s="753"/>
      <c r="N80" s="683">
        <v>0</v>
      </c>
      <c r="O80" s="686"/>
      <c r="P80" s="683">
        <v>0</v>
      </c>
      <c r="Q80" s="687">
        <f t="shared" si="1"/>
        <v>0</v>
      </c>
      <c r="R80" s="687"/>
      <c r="S80" s="687"/>
      <c r="T80" s="688">
        <v>0</v>
      </c>
      <c r="U80" s="693"/>
      <c r="V80" s="690">
        <f t="shared" ref="V80:V143" si="15">IF(T80="","",T80-Q80)</f>
        <v>0</v>
      </c>
      <c r="W80" s="683"/>
      <c r="X80" s="474">
        <f t="shared" si="3"/>
        <v>0</v>
      </c>
      <c r="Y80" s="474">
        <f t="shared" si="4"/>
        <v>0</v>
      </c>
      <c r="Z80" s="475">
        <f t="shared" si="5"/>
        <v>0</v>
      </c>
      <c r="AA80" s="475">
        <v>0</v>
      </c>
      <c r="AB80" s="476">
        <v>0</v>
      </c>
      <c r="AC80" s="38">
        <f t="shared" si="6"/>
        <v>0</v>
      </c>
      <c r="AD80" s="692">
        <f t="shared" si="7"/>
        <v>0</v>
      </c>
      <c r="AE80" s="692">
        <f t="shared" si="8"/>
        <v>0</v>
      </c>
      <c r="AF80" s="692">
        <f t="shared" si="9"/>
        <v>0</v>
      </c>
      <c r="AG80" s="38"/>
      <c r="AH80" s="692">
        <f t="shared" si="10"/>
        <v>0</v>
      </c>
      <c r="AI80" s="692">
        <f t="shared" si="11"/>
        <v>0</v>
      </c>
      <c r="AJ80" s="692">
        <f t="shared" si="12"/>
        <v>0</v>
      </c>
      <c r="AL80" s="38">
        <f t="shared" si="13"/>
        <v>0</v>
      </c>
      <c r="AM80" s="68" t="s">
        <v>510</v>
      </c>
    </row>
    <row r="81" spans="1:39">
      <c r="A81" s="20"/>
      <c r="B81" s="20" t="s">
        <v>109</v>
      </c>
      <c r="C81" s="667"/>
      <c r="D81" s="68" t="s">
        <v>16</v>
      </c>
      <c r="E81" s="679"/>
      <c r="F81" s="529">
        <f>VLOOKUP(D81,'Jan14 Revenue'!D:V,19,FALSE)</f>
        <v>0</v>
      </c>
      <c r="G81" s="680"/>
      <c r="H81" s="680"/>
      <c r="I81" s="755"/>
      <c r="J81" s="682">
        <f t="shared" si="0"/>
        <v>0</v>
      </c>
      <c r="K81" s="683"/>
      <c r="L81" s="684"/>
      <c r="M81" s="753"/>
      <c r="N81" s="683">
        <v>0</v>
      </c>
      <c r="O81" s="686"/>
      <c r="P81" s="683">
        <v>0</v>
      </c>
      <c r="Q81" s="687">
        <f t="shared" si="1"/>
        <v>0</v>
      </c>
      <c r="R81" s="687"/>
      <c r="S81" s="687"/>
      <c r="T81" s="688">
        <v>0</v>
      </c>
      <c r="U81" s="693"/>
      <c r="V81" s="690">
        <f t="shared" si="15"/>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3"/>
        <v>0</v>
      </c>
      <c r="AM81" s="68" t="s">
        <v>16</v>
      </c>
    </row>
    <row r="82" spans="1:39">
      <c r="A82" s="20"/>
      <c r="B82" s="20" t="s">
        <v>110</v>
      </c>
      <c r="C82" s="667"/>
      <c r="D82" s="68" t="s">
        <v>597</v>
      </c>
      <c r="E82" s="679"/>
      <c r="F82" s="529">
        <f>VLOOKUP(D82,'Jan14 Revenue'!D:V,19,FALSE)</f>
        <v>88876.489999999991</v>
      </c>
      <c r="G82" s="680"/>
      <c r="H82" s="680"/>
      <c r="I82" s="755"/>
      <c r="J82" s="682">
        <f t="shared" si="0"/>
        <v>88876.489999999991</v>
      </c>
      <c r="K82" s="683"/>
      <c r="L82" s="684"/>
      <c r="M82" s="753">
        <v>825000</v>
      </c>
      <c r="N82" s="683">
        <v>0</v>
      </c>
      <c r="O82" s="686"/>
      <c r="P82" s="683">
        <v>0</v>
      </c>
      <c r="Q82" s="687">
        <f t="shared" si="1"/>
        <v>825000</v>
      </c>
      <c r="R82" s="687"/>
      <c r="S82" s="687"/>
      <c r="T82" s="688">
        <f>59921.64+21431.29+3218.69+223734.23+63293.98+42069.18+45111.56+3105.31+3395.36+7206.55+301604.45</f>
        <v>774092.24</v>
      </c>
      <c r="U82" s="693"/>
      <c r="V82" s="690">
        <f t="shared" si="15"/>
        <v>-50907.760000000009</v>
      </c>
      <c r="W82" s="683"/>
      <c r="X82" s="474">
        <f t="shared" si="3"/>
        <v>825000</v>
      </c>
      <c r="Y82" s="474">
        <f t="shared" si="4"/>
        <v>0</v>
      </c>
      <c r="Z82" s="475">
        <f t="shared" si="5"/>
        <v>0</v>
      </c>
      <c r="AA82" s="475">
        <v>0</v>
      </c>
      <c r="AB82" s="476">
        <v>0</v>
      </c>
      <c r="AC82" s="38">
        <f t="shared" si="6"/>
        <v>0</v>
      </c>
      <c r="AD82" s="692">
        <f t="shared" si="7"/>
        <v>88876.489999999991</v>
      </c>
      <c r="AE82" s="692">
        <f t="shared" si="8"/>
        <v>0</v>
      </c>
      <c r="AF82" s="692">
        <f t="shared" si="9"/>
        <v>0</v>
      </c>
      <c r="AG82" s="38"/>
      <c r="AH82" s="692">
        <f t="shared" si="10"/>
        <v>825000</v>
      </c>
      <c r="AI82" s="692">
        <f t="shared" si="11"/>
        <v>0</v>
      </c>
      <c r="AJ82" s="692">
        <f t="shared" si="12"/>
        <v>0</v>
      </c>
      <c r="AL82" s="38">
        <f t="shared" si="13"/>
        <v>913876.49</v>
      </c>
      <c r="AM82" s="68" t="s">
        <v>597</v>
      </c>
    </row>
    <row r="83" spans="1:39" s="232" customFormat="1">
      <c r="A83" s="283"/>
      <c r="B83" s="283" t="s">
        <v>109</v>
      </c>
      <c r="C83" s="667" t="s">
        <v>540</v>
      </c>
      <c r="D83" s="373" t="s">
        <v>410</v>
      </c>
      <c r="E83" s="679"/>
      <c r="F83" s="529">
        <f>VLOOKUP(D83,'Jan14 Revenue'!D:V,19,FALSE)</f>
        <v>-30000</v>
      </c>
      <c r="G83" s="680"/>
      <c r="H83" s="680"/>
      <c r="I83" s="755"/>
      <c r="J83" s="682">
        <f t="shared" si="0"/>
        <v>-30000</v>
      </c>
      <c r="K83" s="683"/>
      <c r="L83" s="684"/>
      <c r="M83" s="753"/>
      <c r="N83" s="683">
        <v>0</v>
      </c>
      <c r="O83" s="686"/>
      <c r="P83" s="683">
        <v>0</v>
      </c>
      <c r="Q83" s="687">
        <f t="shared" si="1"/>
        <v>0</v>
      </c>
      <c r="R83" s="687"/>
      <c r="S83" s="687"/>
      <c r="T83" s="688">
        <v>2336.6</v>
      </c>
      <c r="U83" s="693"/>
      <c r="V83" s="690">
        <f t="shared" si="15"/>
        <v>2336.6</v>
      </c>
      <c r="W83" s="683"/>
      <c r="X83" s="474">
        <f t="shared" si="3"/>
        <v>0</v>
      </c>
      <c r="Y83" s="474">
        <f t="shared" si="4"/>
        <v>0</v>
      </c>
      <c r="Z83" s="475">
        <f t="shared" si="5"/>
        <v>0</v>
      </c>
      <c r="AA83" s="475">
        <v>0</v>
      </c>
      <c r="AB83" s="476">
        <v>0</v>
      </c>
      <c r="AC83" s="38">
        <f t="shared" si="6"/>
        <v>0</v>
      </c>
      <c r="AD83" s="692">
        <f t="shared" si="7"/>
        <v>0</v>
      </c>
      <c r="AE83" s="692">
        <f t="shared" si="8"/>
        <v>-30000</v>
      </c>
      <c r="AF83" s="692">
        <f t="shared" si="9"/>
        <v>0</v>
      </c>
      <c r="AG83" s="38"/>
      <c r="AH83" s="692">
        <f t="shared" si="10"/>
        <v>0</v>
      </c>
      <c r="AI83" s="692">
        <f t="shared" si="11"/>
        <v>0</v>
      </c>
      <c r="AJ83" s="692">
        <f t="shared" si="12"/>
        <v>0</v>
      </c>
      <c r="AL83" s="38">
        <f t="shared" si="13"/>
        <v>-30000</v>
      </c>
      <c r="AM83" s="373" t="s">
        <v>410</v>
      </c>
    </row>
    <row r="84" spans="1:39" s="232" customFormat="1">
      <c r="A84" s="283"/>
      <c r="B84" s="283" t="s">
        <v>109</v>
      </c>
      <c r="C84" s="667" t="s">
        <v>540</v>
      </c>
      <c r="D84" s="373" t="s">
        <v>879</v>
      </c>
      <c r="E84" s="679"/>
      <c r="F84" s="529">
        <f>VLOOKUP(D84,'Jan14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15"/>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879</v>
      </c>
    </row>
    <row r="85" spans="1:39" s="232" customFormat="1">
      <c r="A85" s="283"/>
      <c r="B85" s="283" t="s">
        <v>109</v>
      </c>
      <c r="C85" s="667" t="s">
        <v>540</v>
      </c>
      <c r="D85" s="373" t="s">
        <v>620</v>
      </c>
      <c r="E85" s="679"/>
      <c r="F85" s="529">
        <f>VLOOKUP(D85,'Jan14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15"/>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73" t="s">
        <v>620</v>
      </c>
    </row>
    <row r="86" spans="1:39">
      <c r="A86" s="20"/>
      <c r="B86" s="20" t="s">
        <v>110</v>
      </c>
      <c r="C86" s="667" t="s">
        <v>541</v>
      </c>
      <c r="D86" s="351" t="s">
        <v>507</v>
      </c>
      <c r="E86" s="679"/>
      <c r="F86" s="529">
        <f>VLOOKUP(D86,'Jan14 Revenue'!D:V,19,FALSE)</f>
        <v>0</v>
      </c>
      <c r="G86" s="680"/>
      <c r="H86" s="680"/>
      <c r="I86" s="755"/>
      <c r="J86" s="682">
        <f t="shared" si="0"/>
        <v>0</v>
      </c>
      <c r="K86" s="683"/>
      <c r="L86" s="684"/>
      <c r="M86" s="753"/>
      <c r="N86" s="683">
        <v>0</v>
      </c>
      <c r="O86" s="686"/>
      <c r="P86" s="683">
        <v>0</v>
      </c>
      <c r="Q86" s="687">
        <f t="shared" si="1"/>
        <v>0</v>
      </c>
      <c r="R86" s="687"/>
      <c r="S86" s="687"/>
      <c r="T86" s="688">
        <v>0</v>
      </c>
      <c r="U86" s="693"/>
      <c r="V86" s="690">
        <f t="shared" si="15"/>
        <v>0</v>
      </c>
      <c r="W86" s="683"/>
      <c r="X86" s="474">
        <f t="shared" si="3"/>
        <v>0</v>
      </c>
      <c r="Y86" s="474">
        <f t="shared" si="4"/>
        <v>0</v>
      </c>
      <c r="Z86" s="475">
        <f t="shared" si="5"/>
        <v>0</v>
      </c>
      <c r="AA86" s="475">
        <v>0</v>
      </c>
      <c r="AB86" s="476">
        <v>0</v>
      </c>
      <c r="AC86" s="38">
        <f t="shared" si="6"/>
        <v>0</v>
      </c>
      <c r="AD86" s="692">
        <f t="shared" si="7"/>
        <v>0</v>
      </c>
      <c r="AE86" s="692">
        <f t="shared" si="8"/>
        <v>0</v>
      </c>
      <c r="AF86" s="692">
        <f t="shared" si="9"/>
        <v>0</v>
      </c>
      <c r="AG86" s="38"/>
      <c r="AH86" s="692">
        <f t="shared" si="10"/>
        <v>0</v>
      </c>
      <c r="AI86" s="692">
        <f t="shared" si="11"/>
        <v>0</v>
      </c>
      <c r="AJ86" s="692">
        <f t="shared" si="12"/>
        <v>0</v>
      </c>
      <c r="AL86" s="38">
        <f t="shared" si="13"/>
        <v>0</v>
      </c>
      <c r="AM86" s="351" t="s">
        <v>507</v>
      </c>
    </row>
    <row r="87" spans="1:39">
      <c r="A87" s="20"/>
      <c r="B87" s="20" t="s">
        <v>110</v>
      </c>
      <c r="C87" s="667" t="s">
        <v>541</v>
      </c>
      <c r="D87" s="351" t="s">
        <v>506</v>
      </c>
      <c r="E87" s="679"/>
      <c r="F87" s="529">
        <f>VLOOKUP(D87,'Jan14 Revenue'!D:V,19,FALSE)</f>
        <v>0</v>
      </c>
      <c r="G87" s="680"/>
      <c r="H87" s="680"/>
      <c r="I87" s="755"/>
      <c r="J87" s="682">
        <f t="shared" ref="J87:J155" si="16">SUM(E87:I87)</f>
        <v>0</v>
      </c>
      <c r="K87" s="683"/>
      <c r="L87" s="684"/>
      <c r="M87" s="753"/>
      <c r="N87" s="683">
        <v>0</v>
      </c>
      <c r="O87" s="686"/>
      <c r="P87" s="683">
        <v>0</v>
      </c>
      <c r="Q87" s="687">
        <f t="shared" si="1"/>
        <v>0</v>
      </c>
      <c r="R87" s="687"/>
      <c r="S87" s="687"/>
      <c r="T87" s="688">
        <v>0</v>
      </c>
      <c r="U87" s="693"/>
      <c r="V87" s="690">
        <f t="shared" si="15"/>
        <v>0</v>
      </c>
      <c r="W87" s="683"/>
      <c r="X87" s="474">
        <f t="shared" si="3"/>
        <v>0</v>
      </c>
      <c r="Y87" s="474">
        <f t="shared" si="4"/>
        <v>0</v>
      </c>
      <c r="Z87" s="475">
        <f t="shared" si="5"/>
        <v>0</v>
      </c>
      <c r="AA87" s="475">
        <v>0</v>
      </c>
      <c r="AB87" s="476">
        <v>0</v>
      </c>
      <c r="AC87" s="38">
        <f t="shared" si="6"/>
        <v>0</v>
      </c>
      <c r="AD87" s="692">
        <f t="shared" ref="AD87:AD155" si="17">IF(B87="D",J87,0)</f>
        <v>0</v>
      </c>
      <c r="AE87" s="692">
        <f t="shared" ref="AE87:AE155" si="18">IF(B87="M",J87,0)</f>
        <v>0</v>
      </c>
      <c r="AF87" s="692">
        <f t="shared" ref="AF87:AF155" si="19">IF(B87="V",J87,0)</f>
        <v>0</v>
      </c>
      <c r="AG87" s="38"/>
      <c r="AH87" s="692">
        <f t="shared" si="10"/>
        <v>0</v>
      </c>
      <c r="AI87" s="692">
        <f t="shared" si="11"/>
        <v>0</v>
      </c>
      <c r="AJ87" s="692">
        <f t="shared" si="12"/>
        <v>0</v>
      </c>
      <c r="AL87" s="38">
        <f t="shared" si="13"/>
        <v>0</v>
      </c>
      <c r="AM87" s="351" t="s">
        <v>506</v>
      </c>
    </row>
    <row r="88" spans="1:39">
      <c r="A88" s="20"/>
      <c r="B88" s="20" t="s">
        <v>110</v>
      </c>
      <c r="C88" s="667" t="s">
        <v>542</v>
      </c>
      <c r="D88" s="68" t="s">
        <v>305</v>
      </c>
      <c r="E88" s="679"/>
      <c r="F88" s="529">
        <f>VLOOKUP(D88,'Jan14 Revenue'!D:V,19,FALSE)</f>
        <v>10225.34</v>
      </c>
      <c r="G88" s="680"/>
      <c r="H88" s="680"/>
      <c r="I88" s="755"/>
      <c r="J88" s="682">
        <f t="shared" si="16"/>
        <v>10225.34</v>
      </c>
      <c r="K88" s="683"/>
      <c r="L88" s="684"/>
      <c r="M88" s="753">
        <v>10000</v>
      </c>
      <c r="N88" s="683">
        <v>0</v>
      </c>
      <c r="O88" s="686"/>
      <c r="P88" s="683">
        <v>0</v>
      </c>
      <c r="Q88" s="687">
        <f t="shared" si="1"/>
        <v>10000</v>
      </c>
      <c r="R88" s="687"/>
      <c r="S88" s="687"/>
      <c r="T88" s="688">
        <v>6998.45</v>
      </c>
      <c r="U88" s="693"/>
      <c r="V88" s="690">
        <f t="shared" si="15"/>
        <v>-3001.55</v>
      </c>
      <c r="W88" s="683"/>
      <c r="X88" s="474">
        <f t="shared" ref="X88:X157" si="20">IF(B88="D",Q88,0)</f>
        <v>10000</v>
      </c>
      <c r="Y88" s="474">
        <f t="shared" ref="Y88:Y157" si="21">IF(B88="M",Q88,0)</f>
        <v>0</v>
      </c>
      <c r="Z88" s="475">
        <f t="shared" ref="Z88:Z157" si="22">IF(B88="V",Q88,0)</f>
        <v>0</v>
      </c>
      <c r="AA88" s="475">
        <v>0</v>
      </c>
      <c r="AB88" s="476">
        <v>0</v>
      </c>
      <c r="AC88" s="38">
        <f t="shared" ref="AC88:AC157" si="23">(L88+M88)-(X88+Y88+Z88+AA88+AB88)</f>
        <v>0</v>
      </c>
      <c r="AD88" s="692">
        <f t="shared" si="17"/>
        <v>10225.34</v>
      </c>
      <c r="AE88" s="692">
        <f t="shared" si="18"/>
        <v>0</v>
      </c>
      <c r="AF88" s="692">
        <f t="shared" si="19"/>
        <v>0</v>
      </c>
      <c r="AG88" s="38"/>
      <c r="AH88" s="692">
        <f t="shared" ref="AH88:AH156" si="24">IF(B88="D",Q88,0)</f>
        <v>10000</v>
      </c>
      <c r="AI88" s="692">
        <f t="shared" ref="AI88:AI156" si="25">IF(B88="M",Q88,0)</f>
        <v>0</v>
      </c>
      <c r="AJ88" s="692">
        <f t="shared" ref="AJ88:AJ156" si="26">IF(B88="V",Q88,0)</f>
        <v>0</v>
      </c>
      <c r="AL88" s="38">
        <f t="shared" si="13"/>
        <v>20225.34</v>
      </c>
      <c r="AM88" s="68" t="s">
        <v>305</v>
      </c>
    </row>
    <row r="89" spans="1:39">
      <c r="A89" s="20"/>
      <c r="B89" s="20" t="s">
        <v>110</v>
      </c>
      <c r="C89" s="667" t="s">
        <v>543</v>
      </c>
      <c r="D89" s="68" t="s">
        <v>199</v>
      </c>
      <c r="E89" s="679"/>
      <c r="F89" s="529">
        <f>VLOOKUP(D89,'Jan14 Revenue'!D:V,19,FALSE)</f>
        <v>0</v>
      </c>
      <c r="G89" s="680"/>
      <c r="H89" s="680"/>
      <c r="I89" s="755"/>
      <c r="J89" s="682">
        <f t="shared" si="16"/>
        <v>0</v>
      </c>
      <c r="K89" s="683"/>
      <c r="L89" s="684"/>
      <c r="M89" s="753"/>
      <c r="N89" s="683">
        <v>0</v>
      </c>
      <c r="O89" s="686"/>
      <c r="P89" s="683">
        <v>0</v>
      </c>
      <c r="Q89" s="687">
        <f t="shared" si="1"/>
        <v>0</v>
      </c>
      <c r="R89" s="687"/>
      <c r="S89" s="687"/>
      <c r="T89" s="688">
        <v>0</v>
      </c>
      <c r="U89" s="693"/>
      <c r="V89" s="690">
        <f t="shared" si="15"/>
        <v>0</v>
      </c>
      <c r="W89" s="683"/>
      <c r="X89" s="474">
        <f t="shared" si="20"/>
        <v>0</v>
      </c>
      <c r="Y89" s="474">
        <f t="shared" si="21"/>
        <v>0</v>
      </c>
      <c r="Z89" s="475">
        <f t="shared" si="22"/>
        <v>0</v>
      </c>
      <c r="AA89" s="475">
        <v>0</v>
      </c>
      <c r="AB89" s="476">
        <v>0</v>
      </c>
      <c r="AC89" s="38">
        <f t="shared" si="23"/>
        <v>0</v>
      </c>
      <c r="AD89" s="692">
        <f t="shared" si="17"/>
        <v>0</v>
      </c>
      <c r="AE89" s="692">
        <f t="shared" si="18"/>
        <v>0</v>
      </c>
      <c r="AF89" s="692">
        <f t="shared" si="19"/>
        <v>0</v>
      </c>
      <c r="AG89" s="38"/>
      <c r="AH89" s="692">
        <f t="shared" si="24"/>
        <v>0</v>
      </c>
      <c r="AI89" s="692">
        <f t="shared" si="25"/>
        <v>0</v>
      </c>
      <c r="AJ89" s="692">
        <f t="shared" si="26"/>
        <v>0</v>
      </c>
      <c r="AL89" s="38">
        <f t="shared" ref="AL89:AL155" si="27">SUM(AD89:AJ89)</f>
        <v>0</v>
      </c>
      <c r="AM89" s="68" t="s">
        <v>199</v>
      </c>
    </row>
    <row r="90" spans="1:39">
      <c r="A90" s="20"/>
      <c r="B90" s="20" t="s">
        <v>110</v>
      </c>
      <c r="C90" s="667" t="s">
        <v>543</v>
      </c>
      <c r="D90" s="68" t="s">
        <v>200</v>
      </c>
      <c r="E90" s="679"/>
      <c r="F90" s="529">
        <f>VLOOKUP(D90,'Jan14 Revenue'!D:V,19,FALSE)</f>
        <v>0</v>
      </c>
      <c r="G90" s="680"/>
      <c r="H90" s="680"/>
      <c r="I90" s="755"/>
      <c r="J90" s="682">
        <f t="shared" si="16"/>
        <v>0</v>
      </c>
      <c r="K90" s="683"/>
      <c r="L90" s="684"/>
      <c r="M90" s="753"/>
      <c r="N90" s="683">
        <v>0</v>
      </c>
      <c r="O90" s="686"/>
      <c r="P90" s="683">
        <v>0</v>
      </c>
      <c r="Q90" s="687">
        <f t="shared" si="1"/>
        <v>0</v>
      </c>
      <c r="R90" s="687"/>
      <c r="S90" s="687"/>
      <c r="T90" s="688">
        <v>0</v>
      </c>
      <c r="U90" s="693"/>
      <c r="V90" s="690">
        <f t="shared" si="15"/>
        <v>0</v>
      </c>
      <c r="W90" s="683"/>
      <c r="X90" s="474">
        <f t="shared" si="20"/>
        <v>0</v>
      </c>
      <c r="Y90" s="474">
        <f t="shared" si="21"/>
        <v>0</v>
      </c>
      <c r="Z90" s="475">
        <f t="shared" si="22"/>
        <v>0</v>
      </c>
      <c r="AA90" s="475">
        <v>0</v>
      </c>
      <c r="AB90" s="476">
        <v>0</v>
      </c>
      <c r="AC90" s="38">
        <f t="shared" si="23"/>
        <v>0</v>
      </c>
      <c r="AD90" s="692">
        <f t="shared" si="17"/>
        <v>0</v>
      </c>
      <c r="AE90" s="692">
        <f t="shared" si="18"/>
        <v>0</v>
      </c>
      <c r="AF90" s="692">
        <f t="shared" si="19"/>
        <v>0</v>
      </c>
      <c r="AG90" s="38"/>
      <c r="AH90" s="692">
        <f t="shared" si="24"/>
        <v>0</v>
      </c>
      <c r="AI90" s="692">
        <f t="shared" si="25"/>
        <v>0</v>
      </c>
      <c r="AJ90" s="692">
        <f t="shared" si="26"/>
        <v>0</v>
      </c>
      <c r="AL90" s="38">
        <f t="shared" si="27"/>
        <v>0</v>
      </c>
      <c r="AM90" s="68" t="s">
        <v>200</v>
      </c>
    </row>
    <row r="91" spans="1:39">
      <c r="A91" s="20"/>
      <c r="B91" s="20" t="s">
        <v>110</v>
      </c>
      <c r="C91" s="667" t="s">
        <v>543</v>
      </c>
      <c r="D91" s="68" t="s">
        <v>201</v>
      </c>
      <c r="E91" s="679"/>
      <c r="F91" s="529">
        <f>VLOOKUP(D91,'Jan14 Revenue'!D:V,19,FALSE)</f>
        <v>0</v>
      </c>
      <c r="G91" s="680"/>
      <c r="H91" s="680"/>
      <c r="I91" s="755"/>
      <c r="J91" s="682">
        <f t="shared" si="16"/>
        <v>0</v>
      </c>
      <c r="K91" s="683"/>
      <c r="L91" s="684"/>
      <c r="M91" s="753"/>
      <c r="N91" s="683">
        <v>0</v>
      </c>
      <c r="O91" s="686"/>
      <c r="P91" s="683">
        <v>0</v>
      </c>
      <c r="Q91" s="687">
        <f t="shared" si="1"/>
        <v>0</v>
      </c>
      <c r="R91" s="687"/>
      <c r="S91" s="687"/>
      <c r="T91" s="688">
        <v>0</v>
      </c>
      <c r="U91" s="693"/>
      <c r="V91" s="690">
        <f t="shared" si="15"/>
        <v>0</v>
      </c>
      <c r="W91" s="683"/>
      <c r="X91" s="474">
        <f t="shared" si="20"/>
        <v>0</v>
      </c>
      <c r="Y91" s="474">
        <f t="shared" si="21"/>
        <v>0</v>
      </c>
      <c r="Z91" s="475">
        <f t="shared" si="22"/>
        <v>0</v>
      </c>
      <c r="AA91" s="475">
        <v>0</v>
      </c>
      <c r="AB91" s="476">
        <v>0</v>
      </c>
      <c r="AC91" s="38">
        <f t="shared" si="23"/>
        <v>0</v>
      </c>
      <c r="AD91" s="692">
        <f t="shared" si="17"/>
        <v>0</v>
      </c>
      <c r="AE91" s="692">
        <f t="shared" si="18"/>
        <v>0</v>
      </c>
      <c r="AF91" s="692">
        <f t="shared" si="19"/>
        <v>0</v>
      </c>
      <c r="AG91" s="38"/>
      <c r="AH91" s="692">
        <f t="shared" si="24"/>
        <v>0</v>
      </c>
      <c r="AI91" s="692">
        <f t="shared" si="25"/>
        <v>0</v>
      </c>
      <c r="AJ91" s="692">
        <f t="shared" si="26"/>
        <v>0</v>
      </c>
      <c r="AL91" s="38">
        <f t="shared" si="27"/>
        <v>0</v>
      </c>
      <c r="AM91" s="68" t="s">
        <v>201</v>
      </c>
    </row>
    <row r="92" spans="1:39">
      <c r="A92" s="21"/>
      <c r="B92" s="21" t="s">
        <v>110</v>
      </c>
      <c r="C92" s="666"/>
      <c r="D92" s="68" t="s">
        <v>1033</v>
      </c>
      <c r="E92" s="679"/>
      <c r="F92" s="529">
        <f>VLOOKUP(D92,'Jan14 Revenue'!D:V,19,FALSE)</f>
        <v>0</v>
      </c>
      <c r="G92" s="680"/>
      <c r="H92" s="680"/>
      <c r="I92" s="755"/>
      <c r="J92" s="682">
        <f t="shared" si="16"/>
        <v>0</v>
      </c>
      <c r="K92" s="683"/>
      <c r="L92" s="684"/>
      <c r="M92" s="753"/>
      <c r="N92" s="683">
        <v>0</v>
      </c>
      <c r="O92" s="686"/>
      <c r="P92" s="683">
        <v>0</v>
      </c>
      <c r="Q92" s="687">
        <f t="shared" si="1"/>
        <v>0</v>
      </c>
      <c r="R92" s="687"/>
      <c r="S92" s="687"/>
      <c r="T92" s="688">
        <v>0</v>
      </c>
      <c r="U92" s="693"/>
      <c r="V92" s="690">
        <f t="shared" si="15"/>
        <v>0</v>
      </c>
      <c r="W92" s="697"/>
      <c r="X92" s="474">
        <f t="shared" si="20"/>
        <v>0</v>
      </c>
      <c r="Y92" s="474">
        <f t="shared" si="21"/>
        <v>0</v>
      </c>
      <c r="Z92" s="475">
        <f t="shared" si="22"/>
        <v>0</v>
      </c>
      <c r="AA92" s="475">
        <v>0</v>
      </c>
      <c r="AB92" s="476">
        <v>0</v>
      </c>
      <c r="AC92" s="38">
        <f t="shared" si="23"/>
        <v>0</v>
      </c>
      <c r="AD92" s="692">
        <f t="shared" si="17"/>
        <v>0</v>
      </c>
      <c r="AE92" s="692">
        <f t="shared" si="18"/>
        <v>0</v>
      </c>
      <c r="AF92" s="692">
        <f t="shared" si="19"/>
        <v>0</v>
      </c>
      <c r="AG92" s="38"/>
      <c r="AH92" s="692">
        <f t="shared" si="24"/>
        <v>0</v>
      </c>
      <c r="AI92" s="692">
        <f t="shared" si="25"/>
        <v>0</v>
      </c>
      <c r="AJ92" s="692">
        <f t="shared" si="26"/>
        <v>0</v>
      </c>
      <c r="AL92" s="38">
        <f t="shared" si="27"/>
        <v>0</v>
      </c>
      <c r="AM92" s="68" t="s">
        <v>628</v>
      </c>
    </row>
    <row r="93" spans="1:39">
      <c r="A93" s="20" t="s">
        <v>97</v>
      </c>
      <c r="B93" s="20" t="s">
        <v>114</v>
      </c>
      <c r="C93" s="667"/>
      <c r="D93" s="68" t="s">
        <v>387</v>
      </c>
      <c r="E93" s="679"/>
      <c r="F93" s="529">
        <f>VLOOKUP(D93,'Jan14 Revenue'!D:V,19,FALSE)</f>
        <v>-6803</v>
      </c>
      <c r="G93" s="680"/>
      <c r="H93" s="680"/>
      <c r="I93" s="755"/>
      <c r="J93" s="682">
        <f t="shared" si="16"/>
        <v>-6803</v>
      </c>
      <c r="K93" s="683"/>
      <c r="L93" s="684"/>
      <c r="M93" s="753">
        <v>25000</v>
      </c>
      <c r="N93" s="683">
        <v>0</v>
      </c>
      <c r="O93" s="686"/>
      <c r="P93" s="683">
        <v>0</v>
      </c>
      <c r="Q93" s="687">
        <f t="shared" si="1"/>
        <v>25000</v>
      </c>
      <c r="R93" s="687"/>
      <c r="S93" s="687"/>
      <c r="T93" s="688">
        <v>27979.19</v>
      </c>
      <c r="U93" s="693"/>
      <c r="V93" s="690">
        <f t="shared" si="15"/>
        <v>2979.1899999999987</v>
      </c>
      <c r="W93" s="683"/>
      <c r="X93" s="474">
        <f t="shared" si="20"/>
        <v>0</v>
      </c>
      <c r="Y93" s="474">
        <f t="shared" si="21"/>
        <v>0</v>
      </c>
      <c r="Z93" s="475">
        <f t="shared" si="22"/>
        <v>25000</v>
      </c>
      <c r="AA93" s="475">
        <v>0</v>
      </c>
      <c r="AB93" s="476">
        <v>0</v>
      </c>
      <c r="AC93" s="38">
        <f t="shared" si="23"/>
        <v>0</v>
      </c>
      <c r="AD93" s="692">
        <f t="shared" si="17"/>
        <v>0</v>
      </c>
      <c r="AE93" s="692">
        <f t="shared" si="18"/>
        <v>0</v>
      </c>
      <c r="AF93" s="692">
        <f t="shared" si="19"/>
        <v>-6803</v>
      </c>
      <c r="AG93" s="38"/>
      <c r="AH93" s="692">
        <f t="shared" si="24"/>
        <v>0</v>
      </c>
      <c r="AI93" s="692">
        <f t="shared" si="25"/>
        <v>0</v>
      </c>
      <c r="AJ93" s="692">
        <f t="shared" si="26"/>
        <v>25000</v>
      </c>
      <c r="AL93" s="38">
        <f t="shared" si="27"/>
        <v>18197</v>
      </c>
      <c r="AM93" s="68" t="s">
        <v>387</v>
      </c>
    </row>
    <row r="94" spans="1:39" hidden="1">
      <c r="A94" s="20" t="s">
        <v>97</v>
      </c>
      <c r="B94" s="20" t="s">
        <v>114</v>
      </c>
      <c r="C94" s="667"/>
      <c r="D94" s="68" t="s">
        <v>482</v>
      </c>
      <c r="E94" s="679"/>
      <c r="F94" s="529">
        <f>VLOOKUP(D94,'Jan14 Revenue'!D:V,19,FALSE)</f>
        <v>0</v>
      </c>
      <c r="G94" s="680"/>
      <c r="H94" s="680"/>
      <c r="I94" s="755"/>
      <c r="J94" s="682">
        <f t="shared" si="16"/>
        <v>0</v>
      </c>
      <c r="K94" s="683"/>
      <c r="L94" s="684"/>
      <c r="M94" s="753"/>
      <c r="N94" s="683"/>
      <c r="O94" s="686"/>
      <c r="P94" s="683"/>
      <c r="Q94" s="687">
        <f t="shared" si="1"/>
        <v>0</v>
      </c>
      <c r="R94" s="687"/>
      <c r="S94" s="687"/>
      <c r="T94" s="688">
        <v>0</v>
      </c>
      <c r="U94" s="693"/>
      <c r="V94" s="690">
        <f t="shared" si="15"/>
        <v>0</v>
      </c>
      <c r="W94" s="683"/>
      <c r="X94" s="474">
        <f t="shared" si="20"/>
        <v>0</v>
      </c>
      <c r="Y94" s="474">
        <f t="shared" si="21"/>
        <v>0</v>
      </c>
      <c r="Z94" s="475">
        <f t="shared" si="22"/>
        <v>0</v>
      </c>
      <c r="AA94" s="475">
        <v>0</v>
      </c>
      <c r="AB94" s="476">
        <v>0</v>
      </c>
      <c r="AC94" s="38">
        <f t="shared" si="23"/>
        <v>0</v>
      </c>
      <c r="AD94" s="692">
        <f t="shared" si="17"/>
        <v>0</v>
      </c>
      <c r="AE94" s="692">
        <f t="shared" si="18"/>
        <v>0</v>
      </c>
      <c r="AF94" s="692">
        <f t="shared" si="19"/>
        <v>0</v>
      </c>
      <c r="AG94" s="38"/>
      <c r="AH94" s="692">
        <f t="shared" si="24"/>
        <v>0</v>
      </c>
      <c r="AI94" s="692">
        <f t="shared" si="25"/>
        <v>0</v>
      </c>
      <c r="AJ94" s="692">
        <f t="shared" si="26"/>
        <v>0</v>
      </c>
      <c r="AL94" s="38">
        <f t="shared" si="27"/>
        <v>0</v>
      </c>
      <c r="AM94" s="68" t="s">
        <v>482</v>
      </c>
    </row>
    <row r="95" spans="1:39" hidden="1">
      <c r="A95" s="20" t="s">
        <v>109</v>
      </c>
      <c r="B95" s="20" t="s">
        <v>109</v>
      </c>
      <c r="C95" s="667" t="s">
        <v>544</v>
      </c>
      <c r="D95" s="68" t="s">
        <v>383</v>
      </c>
      <c r="E95" s="679"/>
      <c r="F95" s="529">
        <f>VLOOKUP(D95,'Jan14 Revenue'!D:V,19,FALSE)</f>
        <v>0</v>
      </c>
      <c r="G95" s="680"/>
      <c r="H95" s="680"/>
      <c r="I95" s="755"/>
      <c r="J95" s="682">
        <f t="shared" si="16"/>
        <v>0</v>
      </c>
      <c r="K95" s="683"/>
      <c r="L95" s="684"/>
      <c r="M95" s="753"/>
      <c r="N95" s="683">
        <v>0</v>
      </c>
      <c r="O95" s="686"/>
      <c r="P95" s="683">
        <v>0</v>
      </c>
      <c r="Q95" s="687">
        <f t="shared" si="1"/>
        <v>0</v>
      </c>
      <c r="R95" s="687"/>
      <c r="S95" s="687"/>
      <c r="T95" s="688">
        <v>0</v>
      </c>
      <c r="U95" s="693"/>
      <c r="V95" s="690">
        <f t="shared" si="15"/>
        <v>0</v>
      </c>
      <c r="W95" s="683"/>
      <c r="X95" s="474">
        <f t="shared" si="20"/>
        <v>0</v>
      </c>
      <c r="Y95" s="474">
        <f t="shared" si="21"/>
        <v>0</v>
      </c>
      <c r="Z95" s="475">
        <f t="shared" si="22"/>
        <v>0</v>
      </c>
      <c r="AA95" s="475">
        <v>0</v>
      </c>
      <c r="AB95" s="476">
        <v>0</v>
      </c>
      <c r="AC95" s="38">
        <f t="shared" si="23"/>
        <v>0</v>
      </c>
      <c r="AD95" s="692">
        <f t="shared" si="17"/>
        <v>0</v>
      </c>
      <c r="AE95" s="692">
        <f t="shared" si="18"/>
        <v>0</v>
      </c>
      <c r="AF95" s="692">
        <f t="shared" si="19"/>
        <v>0</v>
      </c>
      <c r="AG95" s="38"/>
      <c r="AH95" s="692">
        <f t="shared" si="24"/>
        <v>0</v>
      </c>
      <c r="AI95" s="692">
        <f t="shared" si="25"/>
        <v>0</v>
      </c>
      <c r="AJ95" s="692">
        <f t="shared" si="26"/>
        <v>0</v>
      </c>
      <c r="AL95" s="38">
        <f t="shared" si="27"/>
        <v>0</v>
      </c>
      <c r="AM95" s="68" t="s">
        <v>383</v>
      </c>
    </row>
    <row r="96" spans="1:39" hidden="1">
      <c r="A96" s="21" t="s">
        <v>211</v>
      </c>
      <c r="B96" s="21" t="s">
        <v>109</v>
      </c>
      <c r="C96" s="666" t="s">
        <v>545</v>
      </c>
      <c r="D96" s="68" t="s">
        <v>181</v>
      </c>
      <c r="E96" s="679"/>
      <c r="F96" s="529">
        <f>VLOOKUP(D96,'Jan14 Revenue'!D:V,19,FALSE)</f>
        <v>0</v>
      </c>
      <c r="G96" s="680"/>
      <c r="H96" s="680"/>
      <c r="I96" s="755"/>
      <c r="J96" s="682">
        <f t="shared" si="16"/>
        <v>0</v>
      </c>
      <c r="K96" s="683"/>
      <c r="L96" s="684"/>
      <c r="M96" s="753"/>
      <c r="N96" s="683">
        <v>0</v>
      </c>
      <c r="O96" s="686"/>
      <c r="P96" s="683">
        <v>0</v>
      </c>
      <c r="Q96" s="687">
        <f t="shared" si="1"/>
        <v>0</v>
      </c>
      <c r="R96" s="687"/>
      <c r="S96" s="687"/>
      <c r="T96" s="688">
        <v>0</v>
      </c>
      <c r="U96" s="693"/>
      <c r="V96" s="690">
        <f t="shared" si="15"/>
        <v>0</v>
      </c>
      <c r="W96" s="683"/>
      <c r="X96" s="474">
        <f t="shared" si="20"/>
        <v>0</v>
      </c>
      <c r="Y96" s="474">
        <f t="shared" si="21"/>
        <v>0</v>
      </c>
      <c r="Z96" s="475">
        <f t="shared" si="22"/>
        <v>0</v>
      </c>
      <c r="AA96" s="475">
        <v>0</v>
      </c>
      <c r="AB96" s="476">
        <v>0</v>
      </c>
      <c r="AC96" s="38">
        <f t="shared" si="23"/>
        <v>0</v>
      </c>
      <c r="AD96" s="692">
        <f t="shared" si="17"/>
        <v>0</v>
      </c>
      <c r="AE96" s="692">
        <f t="shared" si="18"/>
        <v>0</v>
      </c>
      <c r="AF96" s="692">
        <f t="shared" si="19"/>
        <v>0</v>
      </c>
      <c r="AG96" s="38"/>
      <c r="AH96" s="692">
        <f t="shared" si="24"/>
        <v>0</v>
      </c>
      <c r="AI96" s="692">
        <f t="shared" si="25"/>
        <v>0</v>
      </c>
      <c r="AJ96" s="692">
        <f t="shared" si="26"/>
        <v>0</v>
      </c>
      <c r="AL96" s="38">
        <f t="shared" si="27"/>
        <v>0</v>
      </c>
      <c r="AM96" s="68" t="s">
        <v>181</v>
      </c>
    </row>
    <row r="97" spans="1:39" hidden="1">
      <c r="A97" s="21" t="s">
        <v>211</v>
      </c>
      <c r="B97" s="21" t="s">
        <v>110</v>
      </c>
      <c r="C97" s="666"/>
      <c r="D97" s="68" t="s">
        <v>504</v>
      </c>
      <c r="E97" s="679"/>
      <c r="F97" s="529">
        <f>VLOOKUP(D97,'Jan14 Revenue'!D:V,19,FALSE)</f>
        <v>0</v>
      </c>
      <c r="G97" s="680"/>
      <c r="H97" s="680"/>
      <c r="I97" s="755"/>
      <c r="J97" s="682">
        <f t="shared" si="16"/>
        <v>0</v>
      </c>
      <c r="K97" s="683"/>
      <c r="L97" s="684"/>
      <c r="M97" s="753"/>
      <c r="N97" s="683">
        <v>0</v>
      </c>
      <c r="O97" s="686"/>
      <c r="P97" s="683">
        <v>0</v>
      </c>
      <c r="Q97" s="687">
        <f t="shared" si="1"/>
        <v>0</v>
      </c>
      <c r="R97" s="687"/>
      <c r="S97" s="687"/>
      <c r="T97" s="688">
        <v>0</v>
      </c>
      <c r="U97" s="693"/>
      <c r="V97" s="690">
        <f t="shared" si="15"/>
        <v>0</v>
      </c>
      <c r="W97" s="683"/>
      <c r="X97" s="474">
        <f t="shared" si="20"/>
        <v>0</v>
      </c>
      <c r="Y97" s="474">
        <f t="shared" si="21"/>
        <v>0</v>
      </c>
      <c r="Z97" s="475">
        <f t="shared" si="22"/>
        <v>0</v>
      </c>
      <c r="AA97" s="475">
        <v>0</v>
      </c>
      <c r="AB97" s="476">
        <v>0</v>
      </c>
      <c r="AC97" s="38">
        <f t="shared" si="23"/>
        <v>0</v>
      </c>
      <c r="AD97" s="692">
        <f t="shared" si="17"/>
        <v>0</v>
      </c>
      <c r="AE97" s="692">
        <f t="shared" si="18"/>
        <v>0</v>
      </c>
      <c r="AF97" s="692">
        <f t="shared" si="19"/>
        <v>0</v>
      </c>
      <c r="AG97" s="38"/>
      <c r="AH97" s="692">
        <f t="shared" si="24"/>
        <v>0</v>
      </c>
      <c r="AI97" s="692">
        <f t="shared" si="25"/>
        <v>0</v>
      </c>
      <c r="AJ97" s="692">
        <f t="shared" si="26"/>
        <v>0</v>
      </c>
      <c r="AL97" s="38">
        <f t="shared" si="27"/>
        <v>0</v>
      </c>
      <c r="AM97" s="68" t="s">
        <v>504</v>
      </c>
    </row>
    <row r="98" spans="1:39">
      <c r="A98" s="20" t="s">
        <v>211</v>
      </c>
      <c r="B98" s="20" t="s">
        <v>109</v>
      </c>
      <c r="C98" s="667" t="s">
        <v>546</v>
      </c>
      <c r="D98" s="68" t="s">
        <v>142</v>
      </c>
      <c r="E98" s="679"/>
      <c r="F98" s="529">
        <f>VLOOKUP(D98,'Jan14 Revenue'!D:V,19,FALSE)</f>
        <v>0</v>
      </c>
      <c r="G98" s="680"/>
      <c r="H98" s="680"/>
      <c r="I98" s="755"/>
      <c r="J98" s="682">
        <f t="shared" si="16"/>
        <v>0</v>
      </c>
      <c r="K98" s="683"/>
      <c r="L98" s="684"/>
      <c r="M98" s="753"/>
      <c r="N98" s="683">
        <v>0</v>
      </c>
      <c r="O98" s="686"/>
      <c r="P98" s="683">
        <v>0</v>
      </c>
      <c r="Q98" s="687">
        <f t="shared" si="1"/>
        <v>0</v>
      </c>
      <c r="R98" s="687"/>
      <c r="S98" s="687"/>
      <c r="T98" s="688">
        <v>0</v>
      </c>
      <c r="U98" s="693"/>
      <c r="V98" s="690">
        <f t="shared" si="15"/>
        <v>0</v>
      </c>
      <c r="W98" s="697"/>
      <c r="X98" s="474">
        <f t="shared" si="20"/>
        <v>0</v>
      </c>
      <c r="Y98" s="474">
        <f t="shared" si="21"/>
        <v>0</v>
      </c>
      <c r="Z98" s="475">
        <f t="shared" si="22"/>
        <v>0</v>
      </c>
      <c r="AA98" s="475">
        <v>0</v>
      </c>
      <c r="AB98" s="476">
        <v>0</v>
      </c>
      <c r="AC98" s="38">
        <f t="shared" si="23"/>
        <v>0</v>
      </c>
      <c r="AD98" s="692">
        <f t="shared" si="17"/>
        <v>0</v>
      </c>
      <c r="AE98" s="692">
        <f t="shared" si="18"/>
        <v>0</v>
      </c>
      <c r="AF98" s="692">
        <f t="shared" si="19"/>
        <v>0</v>
      </c>
      <c r="AG98" s="38"/>
      <c r="AH98" s="692">
        <f t="shared" si="24"/>
        <v>0</v>
      </c>
      <c r="AI98" s="692">
        <f t="shared" si="25"/>
        <v>0</v>
      </c>
      <c r="AJ98" s="692">
        <f t="shared" si="26"/>
        <v>0</v>
      </c>
      <c r="AL98" s="38">
        <f t="shared" si="27"/>
        <v>0</v>
      </c>
      <c r="AM98" s="68" t="s">
        <v>142</v>
      </c>
    </row>
    <row r="99" spans="1:39">
      <c r="A99" s="20" t="s">
        <v>211</v>
      </c>
      <c r="B99" s="20" t="s">
        <v>109</v>
      </c>
      <c r="C99" s="667" t="s">
        <v>546</v>
      </c>
      <c r="D99" s="68" t="s">
        <v>143</v>
      </c>
      <c r="E99" s="679"/>
      <c r="F99" s="529">
        <f>VLOOKUP(D99,'Jan14 Revenue'!D:V,19,FALSE)</f>
        <v>0</v>
      </c>
      <c r="G99" s="680"/>
      <c r="H99" s="680"/>
      <c r="I99" s="755"/>
      <c r="J99" s="682">
        <f t="shared" si="16"/>
        <v>0</v>
      </c>
      <c r="K99" s="683"/>
      <c r="L99" s="684"/>
      <c r="M99" s="753"/>
      <c r="N99" s="683">
        <v>0</v>
      </c>
      <c r="O99" s="686"/>
      <c r="P99" s="683">
        <v>0</v>
      </c>
      <c r="Q99" s="687">
        <f t="shared" si="1"/>
        <v>0</v>
      </c>
      <c r="R99" s="687"/>
      <c r="S99" s="687"/>
      <c r="T99" s="688">
        <v>0</v>
      </c>
      <c r="U99" s="693"/>
      <c r="V99" s="690">
        <f t="shared" si="15"/>
        <v>0</v>
      </c>
      <c r="W99" s="697"/>
      <c r="X99" s="474">
        <f t="shared" si="20"/>
        <v>0</v>
      </c>
      <c r="Y99" s="474">
        <f t="shared" si="21"/>
        <v>0</v>
      </c>
      <c r="Z99" s="475">
        <f t="shared" si="22"/>
        <v>0</v>
      </c>
      <c r="AA99" s="475">
        <v>0</v>
      </c>
      <c r="AB99" s="476">
        <v>0</v>
      </c>
      <c r="AC99" s="38">
        <f t="shared" si="23"/>
        <v>0</v>
      </c>
      <c r="AD99" s="692">
        <f t="shared" si="17"/>
        <v>0</v>
      </c>
      <c r="AE99" s="692">
        <f t="shared" si="18"/>
        <v>0</v>
      </c>
      <c r="AF99" s="692">
        <f t="shared" si="19"/>
        <v>0</v>
      </c>
      <c r="AG99" s="38"/>
      <c r="AH99" s="692">
        <f t="shared" si="24"/>
        <v>0</v>
      </c>
      <c r="AI99" s="692">
        <f t="shared" si="25"/>
        <v>0</v>
      </c>
      <c r="AJ99" s="692">
        <f t="shared" si="26"/>
        <v>0</v>
      </c>
      <c r="AL99" s="38">
        <f t="shared" si="27"/>
        <v>0</v>
      </c>
      <c r="AM99" s="68" t="s">
        <v>143</v>
      </c>
    </row>
    <row r="100" spans="1:39">
      <c r="A100" s="20"/>
      <c r="B100" s="20" t="s">
        <v>109</v>
      </c>
      <c r="C100" s="667"/>
      <c r="D100" s="68" t="s">
        <v>1014</v>
      </c>
      <c r="E100" s="679"/>
      <c r="F100" s="529">
        <f>VLOOKUP(D100,'Jan14 Revenue'!D:V,19,FALSE)</f>
        <v>0</v>
      </c>
      <c r="G100" s="680"/>
      <c r="H100" s="680"/>
      <c r="I100" s="755"/>
      <c r="J100" s="682">
        <f t="shared" si="16"/>
        <v>0</v>
      </c>
      <c r="K100" s="683"/>
      <c r="L100" s="684"/>
      <c r="M100" s="753"/>
      <c r="N100" s="683">
        <v>0</v>
      </c>
      <c r="O100" s="686"/>
      <c r="P100" s="683">
        <v>0</v>
      </c>
      <c r="Q100" s="687">
        <f t="shared" si="1"/>
        <v>0</v>
      </c>
      <c r="R100" s="687"/>
      <c r="S100" s="687"/>
      <c r="T100" s="688">
        <v>0</v>
      </c>
      <c r="U100" s="693"/>
      <c r="V100" s="690">
        <f t="shared" si="15"/>
        <v>0</v>
      </c>
      <c r="W100" s="683"/>
      <c r="X100" s="474">
        <f t="shared" si="20"/>
        <v>0</v>
      </c>
      <c r="Y100" s="474">
        <f t="shared" si="21"/>
        <v>0</v>
      </c>
      <c r="Z100" s="475">
        <f t="shared" si="22"/>
        <v>0</v>
      </c>
      <c r="AA100" s="475">
        <v>0</v>
      </c>
      <c r="AB100" s="476">
        <v>0</v>
      </c>
      <c r="AC100" s="38">
        <f t="shared" si="23"/>
        <v>0</v>
      </c>
      <c r="AD100" s="692">
        <f t="shared" si="17"/>
        <v>0</v>
      </c>
      <c r="AE100" s="692">
        <f t="shared" si="18"/>
        <v>0</v>
      </c>
      <c r="AF100" s="692">
        <f t="shared" si="19"/>
        <v>0</v>
      </c>
      <c r="AG100" s="38"/>
      <c r="AH100" s="692">
        <f t="shared" si="24"/>
        <v>0</v>
      </c>
      <c r="AI100" s="692">
        <f t="shared" si="25"/>
        <v>0</v>
      </c>
      <c r="AJ100" s="692">
        <f t="shared" si="26"/>
        <v>0</v>
      </c>
      <c r="AL100" s="38">
        <f t="shared" si="27"/>
        <v>0</v>
      </c>
      <c r="AM100" s="68" t="s">
        <v>1014</v>
      </c>
    </row>
    <row r="101" spans="1:39">
      <c r="A101" s="20" t="s">
        <v>109</v>
      </c>
      <c r="B101" s="20" t="s">
        <v>109</v>
      </c>
      <c r="C101" s="667"/>
      <c r="D101" s="68" t="s">
        <v>498</v>
      </c>
      <c r="E101" s="679"/>
      <c r="F101" s="529">
        <f>VLOOKUP(D101,'Jan14 Revenue'!D:V,19,FALSE)</f>
        <v>0</v>
      </c>
      <c r="G101" s="680"/>
      <c r="H101" s="680"/>
      <c r="I101" s="755"/>
      <c r="J101" s="682">
        <f t="shared" si="16"/>
        <v>0</v>
      </c>
      <c r="K101" s="683"/>
      <c r="L101" s="684"/>
      <c r="M101" s="753"/>
      <c r="N101" s="683">
        <v>0</v>
      </c>
      <c r="O101" s="686"/>
      <c r="P101" s="683">
        <v>0</v>
      </c>
      <c r="Q101" s="687">
        <f t="shared" si="1"/>
        <v>0</v>
      </c>
      <c r="R101" s="687"/>
      <c r="S101" s="687"/>
      <c r="T101" s="688">
        <v>0</v>
      </c>
      <c r="U101" s="693"/>
      <c r="V101" s="690">
        <f t="shared" si="15"/>
        <v>0</v>
      </c>
      <c r="W101" s="683"/>
      <c r="X101" s="474">
        <f t="shared" si="20"/>
        <v>0</v>
      </c>
      <c r="Y101" s="474">
        <f t="shared" si="21"/>
        <v>0</v>
      </c>
      <c r="Z101" s="475">
        <f t="shared" si="22"/>
        <v>0</v>
      </c>
      <c r="AA101" s="475">
        <v>0</v>
      </c>
      <c r="AB101" s="476">
        <v>0</v>
      </c>
      <c r="AC101" s="38">
        <f t="shared" si="23"/>
        <v>0</v>
      </c>
      <c r="AD101" s="692">
        <f t="shared" si="17"/>
        <v>0</v>
      </c>
      <c r="AE101" s="692">
        <f t="shared" si="18"/>
        <v>0</v>
      </c>
      <c r="AF101" s="692">
        <f t="shared" si="19"/>
        <v>0</v>
      </c>
      <c r="AG101" s="38"/>
      <c r="AH101" s="692">
        <f t="shared" si="24"/>
        <v>0</v>
      </c>
      <c r="AI101" s="692">
        <f t="shared" si="25"/>
        <v>0</v>
      </c>
      <c r="AJ101" s="692">
        <f t="shared" si="26"/>
        <v>0</v>
      </c>
      <c r="AL101" s="38">
        <f t="shared" si="27"/>
        <v>0</v>
      </c>
      <c r="AM101" s="68" t="s">
        <v>498</v>
      </c>
    </row>
    <row r="102" spans="1:39">
      <c r="A102" s="21"/>
      <c r="B102" s="21" t="s">
        <v>110</v>
      </c>
      <c r="C102" s="666"/>
      <c r="D102" s="68" t="s">
        <v>20</v>
      </c>
      <c r="E102" s="679"/>
      <c r="F102" s="529">
        <f>VLOOKUP(D102,'Jan14 Revenue'!D:V,19,FALSE)</f>
        <v>0</v>
      </c>
      <c r="G102" s="680"/>
      <c r="H102" s="680"/>
      <c r="I102" s="770">
        <v>132.08000000000001</v>
      </c>
      <c r="J102" s="682">
        <f t="shared" si="16"/>
        <v>132.08000000000001</v>
      </c>
      <c r="K102" s="683"/>
      <c r="L102" s="684"/>
      <c r="M102" s="753"/>
      <c r="N102" s="683">
        <v>0</v>
      </c>
      <c r="O102" s="686"/>
      <c r="P102" s="683">
        <v>0</v>
      </c>
      <c r="Q102" s="687">
        <f t="shared" si="1"/>
        <v>0</v>
      </c>
      <c r="R102" s="687"/>
      <c r="S102" s="687"/>
      <c r="T102" s="688">
        <v>0</v>
      </c>
      <c r="U102" s="693"/>
      <c r="V102" s="690">
        <f t="shared" si="15"/>
        <v>0</v>
      </c>
      <c r="W102" s="683"/>
      <c r="X102" s="474">
        <f t="shared" si="20"/>
        <v>0</v>
      </c>
      <c r="Y102" s="474">
        <f t="shared" si="21"/>
        <v>0</v>
      </c>
      <c r="Z102" s="475">
        <f t="shared" si="22"/>
        <v>0</v>
      </c>
      <c r="AA102" s="475">
        <v>0</v>
      </c>
      <c r="AB102" s="476">
        <v>0</v>
      </c>
      <c r="AC102" s="38">
        <f t="shared" si="23"/>
        <v>0</v>
      </c>
      <c r="AD102" s="692">
        <f t="shared" si="17"/>
        <v>132.08000000000001</v>
      </c>
      <c r="AE102" s="692">
        <f t="shared" si="18"/>
        <v>0</v>
      </c>
      <c r="AF102" s="692">
        <f t="shared" si="19"/>
        <v>0</v>
      </c>
      <c r="AG102" s="38"/>
      <c r="AH102" s="692">
        <f t="shared" si="24"/>
        <v>0</v>
      </c>
      <c r="AI102" s="692">
        <f t="shared" si="25"/>
        <v>0</v>
      </c>
      <c r="AJ102" s="692">
        <f t="shared" si="26"/>
        <v>0</v>
      </c>
      <c r="AL102" s="38">
        <f t="shared" si="27"/>
        <v>132.08000000000001</v>
      </c>
      <c r="AM102" s="68" t="s">
        <v>20</v>
      </c>
    </row>
    <row r="103" spans="1:39">
      <c r="A103" s="21"/>
      <c r="B103" s="21" t="s">
        <v>114</v>
      </c>
      <c r="C103" s="666"/>
      <c r="D103" s="68" t="s">
        <v>1083</v>
      </c>
      <c r="E103" s="679"/>
      <c r="F103" s="529">
        <v>0</v>
      </c>
      <c r="G103" s="680"/>
      <c r="H103" s="680"/>
      <c r="I103" s="755"/>
      <c r="J103" s="682">
        <f t="shared" si="16"/>
        <v>0</v>
      </c>
      <c r="K103" s="683"/>
      <c r="L103" s="684"/>
      <c r="M103" s="753"/>
      <c r="N103" s="683">
        <v>0</v>
      </c>
      <c r="O103" s="686"/>
      <c r="P103" s="683">
        <v>0</v>
      </c>
      <c r="Q103" s="687">
        <f t="shared" si="1"/>
        <v>0</v>
      </c>
      <c r="R103" s="687"/>
      <c r="S103" s="687"/>
      <c r="T103" s="688">
        <v>0</v>
      </c>
      <c r="U103" s="693"/>
      <c r="V103" s="690">
        <f t="shared" si="15"/>
        <v>0</v>
      </c>
      <c r="W103" s="683"/>
      <c r="X103" s="474">
        <f t="shared" si="20"/>
        <v>0</v>
      </c>
      <c r="Y103" s="474">
        <f t="shared" si="21"/>
        <v>0</v>
      </c>
      <c r="Z103" s="475">
        <f t="shared" si="22"/>
        <v>0</v>
      </c>
      <c r="AA103" s="475">
        <v>0</v>
      </c>
      <c r="AB103" s="476">
        <v>0</v>
      </c>
      <c r="AC103" s="38">
        <f t="shared" si="23"/>
        <v>0</v>
      </c>
      <c r="AD103" s="692">
        <f t="shared" si="17"/>
        <v>0</v>
      </c>
      <c r="AE103" s="692">
        <f t="shared" si="18"/>
        <v>0</v>
      </c>
      <c r="AF103" s="692">
        <f t="shared" si="19"/>
        <v>0</v>
      </c>
      <c r="AG103" s="38"/>
      <c r="AH103" s="692">
        <f t="shared" si="24"/>
        <v>0</v>
      </c>
      <c r="AI103" s="692">
        <f t="shared" si="25"/>
        <v>0</v>
      </c>
      <c r="AJ103" s="692">
        <f t="shared" si="26"/>
        <v>0</v>
      </c>
      <c r="AL103" s="38">
        <f t="shared" si="27"/>
        <v>0</v>
      </c>
      <c r="AM103" s="68" t="s">
        <v>203</v>
      </c>
    </row>
    <row r="104" spans="1:39">
      <c r="A104" s="21"/>
      <c r="B104" s="21" t="s">
        <v>110</v>
      </c>
      <c r="C104" s="666" t="s">
        <v>547</v>
      </c>
      <c r="D104" s="68" t="s">
        <v>202</v>
      </c>
      <c r="E104" s="679"/>
      <c r="F104" s="529">
        <f>VLOOKUP(D104,'Jan14 Revenue'!D:V,19,FALSE)</f>
        <v>0</v>
      </c>
      <c r="G104" s="680"/>
      <c r="H104" s="680"/>
      <c r="I104" s="755"/>
      <c r="J104" s="682">
        <f t="shared" si="16"/>
        <v>0</v>
      </c>
      <c r="K104" s="683"/>
      <c r="L104" s="684"/>
      <c r="M104" s="753"/>
      <c r="N104" s="683">
        <v>0</v>
      </c>
      <c r="O104" s="686"/>
      <c r="P104" s="683">
        <v>0</v>
      </c>
      <c r="Q104" s="687">
        <f t="shared" si="1"/>
        <v>0</v>
      </c>
      <c r="R104" s="687"/>
      <c r="S104" s="687"/>
      <c r="T104" s="688">
        <v>0</v>
      </c>
      <c r="U104" s="693"/>
      <c r="V104" s="690">
        <f t="shared" si="15"/>
        <v>0</v>
      </c>
      <c r="W104" s="683"/>
      <c r="X104" s="474">
        <f t="shared" si="20"/>
        <v>0</v>
      </c>
      <c r="Y104" s="474">
        <f t="shared" si="21"/>
        <v>0</v>
      </c>
      <c r="Z104" s="475">
        <f t="shared" si="22"/>
        <v>0</v>
      </c>
      <c r="AA104" s="475">
        <v>0</v>
      </c>
      <c r="AB104" s="476">
        <v>0</v>
      </c>
      <c r="AC104" s="38">
        <f t="shared" si="23"/>
        <v>0</v>
      </c>
      <c r="AD104" s="692">
        <f t="shared" si="17"/>
        <v>0</v>
      </c>
      <c r="AE104" s="692">
        <f t="shared" si="18"/>
        <v>0</v>
      </c>
      <c r="AF104" s="692">
        <f t="shared" si="19"/>
        <v>0</v>
      </c>
      <c r="AG104" s="38"/>
      <c r="AH104" s="692">
        <f t="shared" si="24"/>
        <v>0</v>
      </c>
      <c r="AI104" s="692">
        <f t="shared" si="25"/>
        <v>0</v>
      </c>
      <c r="AJ104" s="692">
        <f t="shared" si="26"/>
        <v>0</v>
      </c>
      <c r="AL104" s="38">
        <f t="shared" si="27"/>
        <v>0</v>
      </c>
      <c r="AM104" s="68" t="s">
        <v>202</v>
      </c>
    </row>
    <row r="105" spans="1:39">
      <c r="A105" s="20" t="s">
        <v>211</v>
      </c>
      <c r="B105" s="20" t="s">
        <v>110</v>
      </c>
      <c r="C105" s="676" t="s">
        <v>1031</v>
      </c>
      <c r="D105" s="373" t="s">
        <v>466</v>
      </c>
      <c r="E105" s="679"/>
      <c r="F105" s="529">
        <f>VLOOKUP(D105,'Jan14 Revenue'!D:V,19,FALSE)</f>
        <v>863.51</v>
      </c>
      <c r="G105" s="680"/>
      <c r="H105" s="680"/>
      <c r="I105" s="770">
        <v>1044.19</v>
      </c>
      <c r="J105" s="682">
        <f t="shared" si="16"/>
        <v>1907.7</v>
      </c>
      <c r="K105" s="683"/>
      <c r="L105" s="684"/>
      <c r="M105" s="753"/>
      <c r="N105" s="683">
        <v>0</v>
      </c>
      <c r="O105" s="686"/>
      <c r="P105" s="683">
        <v>0</v>
      </c>
      <c r="Q105" s="687">
        <f t="shared" si="1"/>
        <v>0</v>
      </c>
      <c r="R105" s="687"/>
      <c r="S105" s="687"/>
      <c r="T105" s="688">
        <v>0</v>
      </c>
      <c r="U105" s="693"/>
      <c r="V105" s="690">
        <f t="shared" si="15"/>
        <v>0</v>
      </c>
      <c r="W105" s="683"/>
      <c r="X105" s="474">
        <f t="shared" si="20"/>
        <v>0</v>
      </c>
      <c r="Y105" s="474">
        <f t="shared" si="21"/>
        <v>0</v>
      </c>
      <c r="Z105" s="475">
        <f t="shared" si="22"/>
        <v>0</v>
      </c>
      <c r="AA105" s="475">
        <v>0</v>
      </c>
      <c r="AB105" s="476">
        <v>0</v>
      </c>
      <c r="AC105" s="38">
        <f t="shared" si="23"/>
        <v>0</v>
      </c>
      <c r="AD105" s="692">
        <f t="shared" si="17"/>
        <v>1907.7</v>
      </c>
      <c r="AE105" s="692">
        <f t="shared" si="18"/>
        <v>0</v>
      </c>
      <c r="AF105" s="692">
        <f t="shared" si="19"/>
        <v>0</v>
      </c>
      <c r="AG105" s="38"/>
      <c r="AH105" s="692">
        <f t="shared" si="24"/>
        <v>0</v>
      </c>
      <c r="AI105" s="692">
        <f t="shared" si="25"/>
        <v>0</v>
      </c>
      <c r="AJ105" s="692">
        <f t="shared" si="26"/>
        <v>0</v>
      </c>
      <c r="AL105" s="38">
        <f t="shared" si="27"/>
        <v>1907.7</v>
      </c>
      <c r="AM105" s="373" t="s">
        <v>466</v>
      </c>
    </row>
    <row r="106" spans="1:39">
      <c r="A106" s="20"/>
      <c r="B106" s="20" t="s">
        <v>110</v>
      </c>
      <c r="C106" s="667"/>
      <c r="D106" s="373" t="s">
        <v>627</v>
      </c>
      <c r="E106" s="679"/>
      <c r="F106" s="529">
        <f>VLOOKUP(D106,'Jan14 Revenue'!D:V,19,FALSE)</f>
        <v>0</v>
      </c>
      <c r="G106" s="680"/>
      <c r="H106" s="680"/>
      <c r="I106" s="755"/>
      <c r="J106" s="682">
        <f t="shared" si="16"/>
        <v>0</v>
      </c>
      <c r="K106" s="683"/>
      <c r="L106" s="684"/>
      <c r="M106" s="753"/>
      <c r="N106" s="683">
        <v>0</v>
      </c>
      <c r="O106" s="686"/>
      <c r="P106" s="683">
        <v>0</v>
      </c>
      <c r="Q106" s="687">
        <f t="shared" si="1"/>
        <v>0</v>
      </c>
      <c r="R106" s="687"/>
      <c r="S106" s="687"/>
      <c r="T106" s="688">
        <v>0</v>
      </c>
      <c r="U106" s="693"/>
      <c r="V106" s="690">
        <f t="shared" si="15"/>
        <v>0</v>
      </c>
      <c r="W106" s="683"/>
      <c r="X106" s="474">
        <f t="shared" si="20"/>
        <v>0</v>
      </c>
      <c r="Y106" s="474">
        <f t="shared" si="21"/>
        <v>0</v>
      </c>
      <c r="Z106" s="475">
        <f t="shared" si="22"/>
        <v>0</v>
      </c>
      <c r="AA106" s="475">
        <v>0</v>
      </c>
      <c r="AB106" s="476">
        <v>0</v>
      </c>
      <c r="AC106" s="38">
        <f t="shared" si="23"/>
        <v>0</v>
      </c>
      <c r="AD106" s="692">
        <f t="shared" si="17"/>
        <v>0</v>
      </c>
      <c r="AE106" s="692">
        <f t="shared" si="18"/>
        <v>0</v>
      </c>
      <c r="AF106" s="692">
        <f t="shared" si="19"/>
        <v>0</v>
      </c>
      <c r="AG106" s="38"/>
      <c r="AH106" s="692">
        <f t="shared" si="24"/>
        <v>0</v>
      </c>
      <c r="AI106" s="692">
        <f t="shared" si="25"/>
        <v>0</v>
      </c>
      <c r="AJ106" s="692">
        <f t="shared" si="26"/>
        <v>0</v>
      </c>
      <c r="AL106" s="38">
        <f t="shared" si="27"/>
        <v>0</v>
      </c>
      <c r="AM106" s="373" t="s">
        <v>627</v>
      </c>
    </row>
    <row r="107" spans="1:39" s="232" customFormat="1" ht="12.75" customHeight="1">
      <c r="A107" s="283"/>
      <c r="B107" s="283" t="s">
        <v>110</v>
      </c>
      <c r="C107" s="667"/>
      <c r="D107" s="123" t="s">
        <v>994</v>
      </c>
      <c r="E107" s="679"/>
      <c r="F107" s="529">
        <f>VLOOKUP(D107,'Jan14 Revenue'!D:V,19,FALSE)</f>
        <v>0</v>
      </c>
      <c r="G107" s="680"/>
      <c r="H107" s="680"/>
      <c r="I107" s="770">
        <v>5738893.9540799987</v>
      </c>
      <c r="J107" s="682">
        <f t="shared" si="16"/>
        <v>5738893.9540799987</v>
      </c>
      <c r="K107" s="683"/>
      <c r="L107" s="684"/>
      <c r="M107" s="753"/>
      <c r="N107" s="683">
        <v>0</v>
      </c>
      <c r="O107" s="686"/>
      <c r="P107" s="683">
        <v>0</v>
      </c>
      <c r="Q107" s="687">
        <f t="shared" si="1"/>
        <v>0</v>
      </c>
      <c r="R107" s="687"/>
      <c r="S107" s="687"/>
      <c r="T107" s="688">
        <v>0</v>
      </c>
      <c r="U107" s="693"/>
      <c r="V107" s="690">
        <f t="shared" si="15"/>
        <v>0</v>
      </c>
      <c r="W107" s="683"/>
      <c r="X107" s="474">
        <f t="shared" si="20"/>
        <v>0</v>
      </c>
      <c r="Y107" s="474">
        <f t="shared" si="21"/>
        <v>0</v>
      </c>
      <c r="Z107" s="475">
        <f t="shared" si="22"/>
        <v>0</v>
      </c>
      <c r="AA107" s="475">
        <v>0</v>
      </c>
      <c r="AB107" s="476">
        <v>0</v>
      </c>
      <c r="AC107" s="38">
        <f t="shared" si="23"/>
        <v>0</v>
      </c>
      <c r="AD107" s="692">
        <f t="shared" si="17"/>
        <v>5738893.9540799987</v>
      </c>
      <c r="AE107" s="692">
        <f t="shared" si="18"/>
        <v>0</v>
      </c>
      <c r="AF107" s="692">
        <f t="shared" si="19"/>
        <v>0</v>
      </c>
      <c r="AG107" s="38"/>
      <c r="AH107" s="692">
        <f t="shared" si="24"/>
        <v>0</v>
      </c>
      <c r="AI107" s="692">
        <f t="shared" si="25"/>
        <v>0</v>
      </c>
      <c r="AJ107" s="692">
        <f t="shared" si="26"/>
        <v>0</v>
      </c>
      <c r="AL107" s="38">
        <f t="shared" si="27"/>
        <v>5738893.9540799987</v>
      </c>
      <c r="AM107" s="123" t="s">
        <v>994</v>
      </c>
    </row>
    <row r="108" spans="1:39" s="232" customFormat="1" ht="12.75" customHeight="1">
      <c r="A108" s="283"/>
      <c r="B108" s="283" t="s">
        <v>110</v>
      </c>
      <c r="C108" s="667"/>
      <c r="D108" s="123" t="s">
        <v>993</v>
      </c>
      <c r="E108" s="679"/>
      <c r="F108" s="529">
        <f>VLOOKUP(D108,'Jan14 Revenue'!D:V,19,FALSE)</f>
        <v>0</v>
      </c>
      <c r="G108" s="680"/>
      <c r="H108" s="680"/>
      <c r="I108" s="770">
        <v>3219480.8605559999</v>
      </c>
      <c r="J108" s="682">
        <f t="shared" si="16"/>
        <v>3219480.8605559999</v>
      </c>
      <c r="K108" s="683"/>
      <c r="L108" s="684"/>
      <c r="M108" s="753"/>
      <c r="N108" s="683">
        <v>0</v>
      </c>
      <c r="O108" s="686"/>
      <c r="P108" s="683">
        <v>0</v>
      </c>
      <c r="Q108" s="687">
        <f t="shared" si="1"/>
        <v>0</v>
      </c>
      <c r="R108" s="687"/>
      <c r="S108" s="687"/>
      <c r="T108" s="688">
        <v>0</v>
      </c>
      <c r="U108" s="693"/>
      <c r="V108" s="690">
        <f t="shared" si="15"/>
        <v>0</v>
      </c>
      <c r="W108" s="683"/>
      <c r="X108" s="474">
        <f t="shared" si="20"/>
        <v>0</v>
      </c>
      <c r="Y108" s="474">
        <f t="shared" si="21"/>
        <v>0</v>
      </c>
      <c r="Z108" s="475">
        <f t="shared" si="22"/>
        <v>0</v>
      </c>
      <c r="AA108" s="475">
        <v>0</v>
      </c>
      <c r="AB108" s="476">
        <v>0</v>
      </c>
      <c r="AC108" s="38">
        <f t="shared" si="23"/>
        <v>0</v>
      </c>
      <c r="AD108" s="692">
        <f t="shared" si="17"/>
        <v>3219480.8605559999</v>
      </c>
      <c r="AE108" s="692">
        <f t="shared" si="18"/>
        <v>0</v>
      </c>
      <c r="AF108" s="692">
        <f t="shared" si="19"/>
        <v>0</v>
      </c>
      <c r="AG108" s="38"/>
      <c r="AH108" s="692">
        <f t="shared" si="24"/>
        <v>0</v>
      </c>
      <c r="AI108" s="692">
        <f t="shared" si="25"/>
        <v>0</v>
      </c>
      <c r="AJ108" s="692">
        <f t="shared" si="26"/>
        <v>0</v>
      </c>
      <c r="AL108" s="38">
        <f t="shared" si="27"/>
        <v>3219480.8605559999</v>
      </c>
      <c r="AM108" s="123" t="s">
        <v>993</v>
      </c>
    </row>
    <row r="109" spans="1:39" s="232" customFormat="1" ht="12.75" customHeight="1">
      <c r="A109" s="283"/>
      <c r="B109" s="283" t="s">
        <v>110</v>
      </c>
      <c r="C109" s="667"/>
      <c r="D109" s="123" t="s">
        <v>996</v>
      </c>
      <c r="E109" s="679"/>
      <c r="F109" s="529">
        <f>VLOOKUP(D109,'Jan14 Revenue'!D:V,19,FALSE)</f>
        <v>0</v>
      </c>
      <c r="G109" s="680"/>
      <c r="H109" s="680"/>
      <c r="I109" s="770">
        <v>171813.95</v>
      </c>
      <c r="J109" s="682">
        <f t="shared" si="16"/>
        <v>171813.95</v>
      </c>
      <c r="K109" s="683"/>
      <c r="L109" s="684"/>
      <c r="M109" s="753"/>
      <c r="N109" s="683">
        <v>0</v>
      </c>
      <c r="O109" s="686"/>
      <c r="P109" s="683">
        <v>0</v>
      </c>
      <c r="Q109" s="687">
        <f t="shared" si="1"/>
        <v>0</v>
      </c>
      <c r="R109" s="687"/>
      <c r="S109" s="687"/>
      <c r="T109" s="688">
        <v>0</v>
      </c>
      <c r="U109" s="693"/>
      <c r="V109" s="690">
        <f t="shared" si="15"/>
        <v>0</v>
      </c>
      <c r="W109" s="683"/>
      <c r="X109" s="474">
        <f t="shared" si="20"/>
        <v>0</v>
      </c>
      <c r="Y109" s="474">
        <f t="shared" si="21"/>
        <v>0</v>
      </c>
      <c r="Z109" s="475">
        <f t="shared" si="22"/>
        <v>0</v>
      </c>
      <c r="AA109" s="475">
        <v>0</v>
      </c>
      <c r="AB109" s="476">
        <v>0</v>
      </c>
      <c r="AC109" s="38">
        <f t="shared" si="23"/>
        <v>0</v>
      </c>
      <c r="AD109" s="692">
        <f t="shared" si="17"/>
        <v>171813.95</v>
      </c>
      <c r="AE109" s="692">
        <f t="shared" si="18"/>
        <v>0</v>
      </c>
      <c r="AF109" s="692">
        <f t="shared" si="19"/>
        <v>0</v>
      </c>
      <c r="AG109" s="38"/>
      <c r="AH109" s="692">
        <f t="shared" si="24"/>
        <v>0</v>
      </c>
      <c r="AI109" s="692">
        <f t="shared" si="25"/>
        <v>0</v>
      </c>
      <c r="AJ109" s="692">
        <f t="shared" si="26"/>
        <v>0</v>
      </c>
      <c r="AL109" s="38">
        <f t="shared" si="27"/>
        <v>171813.95</v>
      </c>
      <c r="AM109" s="123" t="s">
        <v>996</v>
      </c>
    </row>
    <row r="110" spans="1:39" s="232" customFormat="1" ht="12.75" customHeight="1">
      <c r="A110" s="283"/>
      <c r="B110" s="283" t="s">
        <v>110</v>
      </c>
      <c r="C110" s="667"/>
      <c r="D110" s="123" t="s">
        <v>995</v>
      </c>
      <c r="E110" s="679"/>
      <c r="F110" s="529">
        <f>VLOOKUP(D110,'Jan14 Revenue'!D:V,19,FALSE)</f>
        <v>0</v>
      </c>
      <c r="G110" s="680"/>
      <c r="H110" s="680"/>
      <c r="I110" s="770">
        <v>15177.99</v>
      </c>
      <c r="J110" s="682">
        <f>SUM(E110:I110)</f>
        <v>15177.99</v>
      </c>
      <c r="K110" s="683"/>
      <c r="L110" s="684"/>
      <c r="M110" s="753"/>
      <c r="N110" s="683">
        <v>0</v>
      </c>
      <c r="O110" s="686"/>
      <c r="P110" s="683">
        <v>0</v>
      </c>
      <c r="Q110" s="687">
        <f>L110+M110</f>
        <v>0</v>
      </c>
      <c r="R110" s="687"/>
      <c r="S110" s="687"/>
      <c r="T110" s="688">
        <v>0</v>
      </c>
      <c r="U110" s="693"/>
      <c r="V110" s="690">
        <f t="shared" si="15"/>
        <v>0</v>
      </c>
      <c r="W110" s="683"/>
      <c r="X110" s="474">
        <f>IF(B110="D",Q110,0)</f>
        <v>0</v>
      </c>
      <c r="Y110" s="474">
        <f>IF(B110="M",Q110,0)</f>
        <v>0</v>
      </c>
      <c r="Z110" s="475">
        <f>IF(B110="V",Q110,0)</f>
        <v>0</v>
      </c>
      <c r="AA110" s="475">
        <v>0</v>
      </c>
      <c r="AB110" s="476">
        <v>0</v>
      </c>
      <c r="AC110" s="38">
        <f>(L110+M110)-(X110+Y110+Z110+AA110+AB110)</f>
        <v>0</v>
      </c>
      <c r="AD110" s="692">
        <f>IF(B110="D",J110,0)</f>
        <v>15177.99</v>
      </c>
      <c r="AE110" s="692">
        <f>IF(B110="M",J110,0)</f>
        <v>0</v>
      </c>
      <c r="AF110" s="692">
        <f>IF(B110="V",J110,0)</f>
        <v>0</v>
      </c>
      <c r="AG110" s="38"/>
      <c r="AH110" s="692">
        <f>IF(B110="D",Q110,0)</f>
        <v>0</v>
      </c>
      <c r="AI110" s="692">
        <f>IF(B110="M",Q110,0)</f>
        <v>0</v>
      </c>
      <c r="AJ110" s="692">
        <f>IF(B110="V",Q110,0)</f>
        <v>0</v>
      </c>
      <c r="AL110" s="38">
        <f>SUM(AD110:AJ110)</f>
        <v>15177.99</v>
      </c>
      <c r="AM110" s="123" t="s">
        <v>995</v>
      </c>
    </row>
    <row r="111" spans="1:39" s="232" customFormat="1" ht="12.75" customHeight="1">
      <c r="A111" s="283"/>
      <c r="B111" s="283" t="s">
        <v>110</v>
      </c>
      <c r="C111" s="667"/>
      <c r="D111" s="123" t="s">
        <v>997</v>
      </c>
      <c r="E111" s="679"/>
      <c r="F111" s="529">
        <f>VLOOKUP(D111,'Jan14 Revenue'!D:V,19,FALSE)</f>
        <v>0</v>
      </c>
      <c r="G111" s="680"/>
      <c r="H111" s="680"/>
      <c r="I111" s="770">
        <v>17001.599999999999</v>
      </c>
      <c r="J111" s="682">
        <f t="shared" si="16"/>
        <v>17001.599999999999</v>
      </c>
      <c r="K111" s="683"/>
      <c r="L111" s="684"/>
      <c r="M111" s="753"/>
      <c r="N111" s="683">
        <v>0</v>
      </c>
      <c r="O111" s="686"/>
      <c r="P111" s="683">
        <v>0</v>
      </c>
      <c r="Q111" s="687">
        <f t="shared" si="1"/>
        <v>0</v>
      </c>
      <c r="R111" s="687"/>
      <c r="S111" s="687"/>
      <c r="T111" s="688">
        <v>0</v>
      </c>
      <c r="U111" s="693"/>
      <c r="V111" s="690">
        <f t="shared" si="15"/>
        <v>0</v>
      </c>
      <c r="W111" s="683"/>
      <c r="X111" s="474">
        <f t="shared" si="20"/>
        <v>0</v>
      </c>
      <c r="Y111" s="474">
        <f t="shared" si="21"/>
        <v>0</v>
      </c>
      <c r="Z111" s="475">
        <f t="shared" si="22"/>
        <v>0</v>
      </c>
      <c r="AA111" s="475">
        <v>0</v>
      </c>
      <c r="AB111" s="476">
        <v>0</v>
      </c>
      <c r="AC111" s="38">
        <f t="shared" si="23"/>
        <v>0</v>
      </c>
      <c r="AD111" s="692">
        <f t="shared" si="17"/>
        <v>17001.599999999999</v>
      </c>
      <c r="AE111" s="692">
        <f t="shared" si="18"/>
        <v>0</v>
      </c>
      <c r="AF111" s="692">
        <f t="shared" si="19"/>
        <v>0</v>
      </c>
      <c r="AG111" s="38"/>
      <c r="AH111" s="692">
        <f t="shared" si="24"/>
        <v>0</v>
      </c>
      <c r="AI111" s="692">
        <f t="shared" si="25"/>
        <v>0</v>
      </c>
      <c r="AJ111" s="692">
        <f t="shared" si="26"/>
        <v>0</v>
      </c>
      <c r="AL111" s="38">
        <f t="shared" si="27"/>
        <v>17001.599999999999</v>
      </c>
      <c r="AM111" s="123" t="s">
        <v>997</v>
      </c>
    </row>
    <row r="112" spans="1:39" s="232" customFormat="1" ht="12.75" customHeight="1">
      <c r="A112" s="283"/>
      <c r="B112" s="283" t="s">
        <v>110</v>
      </c>
      <c r="C112" s="667"/>
      <c r="D112" s="123" t="s">
        <v>998</v>
      </c>
      <c r="E112" s="679"/>
      <c r="F112" s="529">
        <f>VLOOKUP(D112,'Jan14 Revenue'!D:V,19,FALSE)</f>
        <v>0</v>
      </c>
      <c r="G112" s="680"/>
      <c r="H112" s="680"/>
      <c r="I112" s="770">
        <v>27843.97</v>
      </c>
      <c r="J112" s="682">
        <f t="shared" si="16"/>
        <v>27843.97</v>
      </c>
      <c r="K112" s="683"/>
      <c r="L112" s="684"/>
      <c r="M112" s="753"/>
      <c r="N112" s="683">
        <v>0</v>
      </c>
      <c r="O112" s="686"/>
      <c r="P112" s="683">
        <v>0</v>
      </c>
      <c r="Q112" s="687">
        <f t="shared" si="1"/>
        <v>0</v>
      </c>
      <c r="R112" s="687"/>
      <c r="S112" s="687"/>
      <c r="T112" s="688">
        <v>0</v>
      </c>
      <c r="U112" s="693"/>
      <c r="V112" s="690">
        <f t="shared" si="15"/>
        <v>0</v>
      </c>
      <c r="W112" s="683"/>
      <c r="X112" s="474">
        <f t="shared" si="20"/>
        <v>0</v>
      </c>
      <c r="Y112" s="474">
        <f t="shared" si="21"/>
        <v>0</v>
      </c>
      <c r="Z112" s="475">
        <f t="shared" si="22"/>
        <v>0</v>
      </c>
      <c r="AA112" s="475">
        <v>0</v>
      </c>
      <c r="AB112" s="476">
        <v>0</v>
      </c>
      <c r="AC112" s="38">
        <f t="shared" si="23"/>
        <v>0</v>
      </c>
      <c r="AD112" s="692">
        <f t="shared" si="17"/>
        <v>27843.97</v>
      </c>
      <c r="AE112" s="692">
        <f t="shared" si="18"/>
        <v>0</v>
      </c>
      <c r="AF112" s="692">
        <f t="shared" si="19"/>
        <v>0</v>
      </c>
      <c r="AG112" s="38"/>
      <c r="AH112" s="692">
        <f t="shared" si="24"/>
        <v>0</v>
      </c>
      <c r="AI112" s="692">
        <f t="shared" si="25"/>
        <v>0</v>
      </c>
      <c r="AJ112" s="692">
        <f t="shared" si="26"/>
        <v>0</v>
      </c>
      <c r="AL112" s="38">
        <f t="shared" si="27"/>
        <v>27843.97</v>
      </c>
      <c r="AM112" s="123" t="s">
        <v>998</v>
      </c>
    </row>
    <row r="113" spans="1:39" s="232" customFormat="1" ht="12" customHeight="1">
      <c r="A113" s="283"/>
      <c r="B113" s="283" t="s">
        <v>110</v>
      </c>
      <c r="C113" s="667"/>
      <c r="D113" s="123" t="s">
        <v>999</v>
      </c>
      <c r="E113" s="679"/>
      <c r="F113" s="529">
        <f>VLOOKUP(D113,'Jan14 Revenue'!D:V,19,FALSE)</f>
        <v>0</v>
      </c>
      <c r="G113" s="680"/>
      <c r="H113" s="680"/>
      <c r="I113" s="770">
        <v>11639.71</v>
      </c>
      <c r="J113" s="682">
        <f t="shared" si="16"/>
        <v>11639.71</v>
      </c>
      <c r="K113" s="683"/>
      <c r="L113" s="684"/>
      <c r="M113" s="753"/>
      <c r="N113" s="683">
        <v>0</v>
      </c>
      <c r="O113" s="686"/>
      <c r="P113" s="683">
        <v>0</v>
      </c>
      <c r="Q113" s="687">
        <f t="shared" si="1"/>
        <v>0</v>
      </c>
      <c r="R113" s="687"/>
      <c r="S113" s="687"/>
      <c r="T113" s="688">
        <v>0</v>
      </c>
      <c r="U113" s="693"/>
      <c r="V113" s="690">
        <f t="shared" si="15"/>
        <v>0</v>
      </c>
      <c r="W113" s="683"/>
      <c r="X113" s="474">
        <f t="shared" si="20"/>
        <v>0</v>
      </c>
      <c r="Y113" s="474">
        <f t="shared" si="21"/>
        <v>0</v>
      </c>
      <c r="Z113" s="475">
        <f t="shared" si="22"/>
        <v>0</v>
      </c>
      <c r="AA113" s="475">
        <v>0</v>
      </c>
      <c r="AB113" s="476">
        <v>0</v>
      </c>
      <c r="AC113" s="38">
        <f t="shared" si="23"/>
        <v>0</v>
      </c>
      <c r="AD113" s="692">
        <f t="shared" si="17"/>
        <v>11639.71</v>
      </c>
      <c r="AE113" s="692">
        <f t="shared" si="18"/>
        <v>0</v>
      </c>
      <c r="AF113" s="692">
        <f t="shared" si="19"/>
        <v>0</v>
      </c>
      <c r="AG113" s="38"/>
      <c r="AH113" s="692">
        <f t="shared" si="24"/>
        <v>0</v>
      </c>
      <c r="AI113" s="692">
        <f t="shared" si="25"/>
        <v>0</v>
      </c>
      <c r="AJ113" s="692">
        <f t="shared" si="26"/>
        <v>0</v>
      </c>
      <c r="AL113" s="38">
        <f t="shared" si="27"/>
        <v>11639.71</v>
      </c>
      <c r="AM113" s="123" t="s">
        <v>999</v>
      </c>
    </row>
    <row r="114" spans="1:39" s="232" customFormat="1" ht="12" customHeight="1">
      <c r="A114" s="283"/>
      <c r="B114" s="283" t="s">
        <v>110</v>
      </c>
      <c r="C114" s="667"/>
      <c r="D114" s="123" t="s">
        <v>1000</v>
      </c>
      <c r="E114" s="679"/>
      <c r="F114" s="529">
        <f>VLOOKUP(D114,'Jan14 Revenue'!D:V,19,FALSE)</f>
        <v>0</v>
      </c>
      <c r="G114" s="680"/>
      <c r="H114" s="680"/>
      <c r="I114" s="770">
        <v>13776.79</v>
      </c>
      <c r="J114" s="682">
        <f t="shared" si="16"/>
        <v>13776.79</v>
      </c>
      <c r="K114" s="683"/>
      <c r="L114" s="684"/>
      <c r="M114" s="753"/>
      <c r="N114" s="683">
        <v>0</v>
      </c>
      <c r="O114" s="686"/>
      <c r="P114" s="683">
        <v>0</v>
      </c>
      <c r="Q114" s="687">
        <f t="shared" si="1"/>
        <v>0</v>
      </c>
      <c r="R114" s="687"/>
      <c r="S114" s="687"/>
      <c r="T114" s="688">
        <v>0</v>
      </c>
      <c r="U114" s="693"/>
      <c r="V114" s="690">
        <f t="shared" si="15"/>
        <v>0</v>
      </c>
      <c r="W114" s="683"/>
      <c r="X114" s="474">
        <f t="shared" si="20"/>
        <v>0</v>
      </c>
      <c r="Y114" s="474">
        <f t="shared" si="21"/>
        <v>0</v>
      </c>
      <c r="Z114" s="475">
        <f t="shared" si="22"/>
        <v>0</v>
      </c>
      <c r="AA114" s="475">
        <v>0</v>
      </c>
      <c r="AB114" s="476">
        <v>0</v>
      </c>
      <c r="AC114" s="38">
        <f t="shared" si="23"/>
        <v>0</v>
      </c>
      <c r="AD114" s="692">
        <f t="shared" si="17"/>
        <v>13776.79</v>
      </c>
      <c r="AE114" s="692">
        <f t="shared" si="18"/>
        <v>0</v>
      </c>
      <c r="AF114" s="692">
        <f t="shared" si="19"/>
        <v>0</v>
      </c>
      <c r="AG114" s="38"/>
      <c r="AH114" s="692">
        <f t="shared" si="24"/>
        <v>0</v>
      </c>
      <c r="AI114" s="692">
        <f t="shared" si="25"/>
        <v>0</v>
      </c>
      <c r="AJ114" s="692">
        <f t="shared" si="26"/>
        <v>0</v>
      </c>
      <c r="AL114" s="38">
        <f t="shared" si="27"/>
        <v>13776.79</v>
      </c>
      <c r="AM114" s="123" t="s">
        <v>1000</v>
      </c>
    </row>
    <row r="115" spans="1:39" s="232" customFormat="1" ht="12" customHeight="1">
      <c r="A115" s="283"/>
      <c r="B115" s="283" t="s">
        <v>110</v>
      </c>
      <c r="C115" s="667"/>
      <c r="D115" s="123" t="s">
        <v>1001</v>
      </c>
      <c r="E115" s="679"/>
      <c r="F115" s="529">
        <f>VLOOKUP(D115,'Jan14 Revenue'!D:V,19,FALSE)</f>
        <v>0</v>
      </c>
      <c r="G115" s="680"/>
      <c r="H115" s="680"/>
      <c r="I115" s="755"/>
      <c r="J115" s="682">
        <f t="shared" si="16"/>
        <v>0</v>
      </c>
      <c r="K115" s="683"/>
      <c r="L115" s="684"/>
      <c r="M115" s="753"/>
      <c r="N115" s="683">
        <v>0</v>
      </c>
      <c r="O115" s="686"/>
      <c r="P115" s="683">
        <v>0</v>
      </c>
      <c r="Q115" s="687">
        <f t="shared" si="1"/>
        <v>0</v>
      </c>
      <c r="R115" s="687"/>
      <c r="S115" s="687"/>
      <c r="T115" s="688">
        <v>0</v>
      </c>
      <c r="U115" s="693"/>
      <c r="V115" s="690">
        <f t="shared" si="15"/>
        <v>0</v>
      </c>
      <c r="W115" s="683"/>
      <c r="X115" s="474">
        <f t="shared" si="20"/>
        <v>0</v>
      </c>
      <c r="Y115" s="474">
        <f t="shared" si="21"/>
        <v>0</v>
      </c>
      <c r="Z115" s="475">
        <f t="shared" si="22"/>
        <v>0</v>
      </c>
      <c r="AA115" s="475">
        <v>0</v>
      </c>
      <c r="AB115" s="476">
        <v>0</v>
      </c>
      <c r="AC115" s="38">
        <f t="shared" si="23"/>
        <v>0</v>
      </c>
      <c r="AD115" s="692">
        <f t="shared" si="17"/>
        <v>0</v>
      </c>
      <c r="AE115" s="692">
        <f t="shared" si="18"/>
        <v>0</v>
      </c>
      <c r="AF115" s="692">
        <f t="shared" si="19"/>
        <v>0</v>
      </c>
      <c r="AG115" s="38"/>
      <c r="AH115" s="692">
        <f t="shared" si="24"/>
        <v>0</v>
      </c>
      <c r="AI115" s="692">
        <f t="shared" si="25"/>
        <v>0</v>
      </c>
      <c r="AJ115" s="692">
        <f t="shared" si="26"/>
        <v>0</v>
      </c>
      <c r="AL115" s="38">
        <f t="shared" si="27"/>
        <v>0</v>
      </c>
      <c r="AM115" s="123" t="s">
        <v>1001</v>
      </c>
    </row>
    <row r="116" spans="1:39" s="24" customFormat="1" ht="12" customHeight="1">
      <c r="A116" s="32"/>
      <c r="B116" s="32" t="s">
        <v>110</v>
      </c>
      <c r="C116" s="667"/>
      <c r="D116" s="68" t="s">
        <v>588</v>
      </c>
      <c r="E116" s="679"/>
      <c r="F116" s="529">
        <f>VLOOKUP(D116,'Jan14 Revenue'!D:V,19,FALSE)</f>
        <v>0</v>
      </c>
      <c r="G116" s="680"/>
      <c r="H116" s="680"/>
      <c r="I116" s="755"/>
      <c r="J116" s="682">
        <f t="shared" si="16"/>
        <v>0</v>
      </c>
      <c r="K116" s="683"/>
      <c r="L116" s="684"/>
      <c r="M116" s="753"/>
      <c r="N116" s="698"/>
      <c r="O116" s="699"/>
      <c r="P116" s="698"/>
      <c r="Q116" s="687">
        <f t="shared" si="1"/>
        <v>0</v>
      </c>
      <c r="R116" s="687"/>
      <c r="S116" s="687"/>
      <c r="T116" s="688">
        <v>0</v>
      </c>
      <c r="U116" s="693"/>
      <c r="V116" s="690">
        <f t="shared" si="15"/>
        <v>0</v>
      </c>
      <c r="W116" s="683"/>
      <c r="X116" s="474">
        <f t="shared" si="20"/>
        <v>0</v>
      </c>
      <c r="Y116" s="474">
        <f t="shared" si="21"/>
        <v>0</v>
      </c>
      <c r="Z116" s="475">
        <f t="shared" si="22"/>
        <v>0</v>
      </c>
      <c r="AA116" s="475">
        <v>0</v>
      </c>
      <c r="AB116" s="476">
        <v>0</v>
      </c>
      <c r="AC116" s="38">
        <f t="shared" si="23"/>
        <v>0</v>
      </c>
      <c r="AD116" s="692">
        <f t="shared" si="17"/>
        <v>0</v>
      </c>
      <c r="AE116" s="692">
        <f t="shared" si="18"/>
        <v>0</v>
      </c>
      <c r="AF116" s="692">
        <f t="shared" si="19"/>
        <v>0</v>
      </c>
      <c r="AG116" s="38"/>
      <c r="AH116" s="692">
        <f t="shared" si="24"/>
        <v>0</v>
      </c>
      <c r="AI116" s="692">
        <f t="shared" si="25"/>
        <v>0</v>
      </c>
      <c r="AJ116" s="692">
        <f t="shared" si="26"/>
        <v>0</v>
      </c>
      <c r="AL116" s="38">
        <f t="shared" si="27"/>
        <v>0</v>
      </c>
      <c r="AM116" s="68" t="s">
        <v>588</v>
      </c>
    </row>
    <row r="117" spans="1:39" s="24" customFormat="1" ht="12" customHeight="1">
      <c r="A117" s="32"/>
      <c r="B117" s="32" t="s">
        <v>110</v>
      </c>
      <c r="C117" s="667"/>
      <c r="D117" s="68" t="s">
        <v>935</v>
      </c>
      <c r="E117" s="679"/>
      <c r="F117" s="529">
        <f>VLOOKUP(D117,'Jan14 Revenue'!D:V,19,FALSE)</f>
        <v>-832.80000000000018</v>
      </c>
      <c r="G117" s="680"/>
      <c r="H117" s="680"/>
      <c r="I117" s="755"/>
      <c r="J117" s="682">
        <f t="shared" si="16"/>
        <v>-832.80000000000018</v>
      </c>
      <c r="K117" s="683"/>
      <c r="L117" s="684"/>
      <c r="M117" s="753">
        <v>5000</v>
      </c>
      <c r="N117" s="698"/>
      <c r="O117" s="699"/>
      <c r="P117" s="698"/>
      <c r="Q117" s="687">
        <f t="shared" si="1"/>
        <v>5000</v>
      </c>
      <c r="R117" s="687"/>
      <c r="S117" s="687"/>
      <c r="T117" s="688">
        <v>0</v>
      </c>
      <c r="U117" s="693"/>
      <c r="V117" s="690">
        <f t="shared" si="15"/>
        <v>-5000</v>
      </c>
      <c r="W117" s="683"/>
      <c r="X117" s="474">
        <f t="shared" si="20"/>
        <v>5000</v>
      </c>
      <c r="Y117" s="474">
        <f t="shared" si="21"/>
        <v>0</v>
      </c>
      <c r="Z117" s="475">
        <f t="shared" si="22"/>
        <v>0</v>
      </c>
      <c r="AA117" s="475">
        <v>0</v>
      </c>
      <c r="AB117" s="476">
        <v>0</v>
      </c>
      <c r="AC117" s="38">
        <f t="shared" si="23"/>
        <v>0</v>
      </c>
      <c r="AD117" s="692">
        <f t="shared" si="17"/>
        <v>-832.80000000000018</v>
      </c>
      <c r="AE117" s="692">
        <f t="shared" si="18"/>
        <v>0</v>
      </c>
      <c r="AF117" s="692">
        <f t="shared" si="19"/>
        <v>0</v>
      </c>
      <c r="AG117" s="38"/>
      <c r="AH117" s="692">
        <f t="shared" si="24"/>
        <v>5000</v>
      </c>
      <c r="AI117" s="692">
        <f t="shared" si="25"/>
        <v>0</v>
      </c>
      <c r="AJ117" s="692">
        <f t="shared" si="26"/>
        <v>0</v>
      </c>
      <c r="AL117" s="38">
        <f t="shared" si="27"/>
        <v>4167.2</v>
      </c>
      <c r="AM117" s="68" t="s">
        <v>935</v>
      </c>
    </row>
    <row r="118" spans="1:39" ht="12" customHeight="1">
      <c r="A118" s="21"/>
      <c r="B118" s="21" t="s">
        <v>109</v>
      </c>
      <c r="C118" s="666" t="s">
        <v>548</v>
      </c>
      <c r="D118" s="68" t="s">
        <v>461</v>
      </c>
      <c r="E118" s="679"/>
      <c r="F118" s="529">
        <f>VLOOKUP(D118,'Jan14 Revenue'!D:V,19,FALSE)</f>
        <v>0</v>
      </c>
      <c r="G118" s="680"/>
      <c r="H118" s="680"/>
      <c r="I118" s="755"/>
      <c r="J118" s="682">
        <f t="shared" si="16"/>
        <v>0</v>
      </c>
      <c r="K118" s="683"/>
      <c r="L118" s="684"/>
      <c r="M118" s="753"/>
      <c r="N118" s="683">
        <v>0</v>
      </c>
      <c r="O118" s="686"/>
      <c r="P118" s="683">
        <v>0</v>
      </c>
      <c r="Q118" s="687">
        <f t="shared" si="1"/>
        <v>0</v>
      </c>
      <c r="R118" s="687"/>
      <c r="S118" s="687"/>
      <c r="T118" s="688">
        <v>347.87</v>
      </c>
      <c r="U118" s="693"/>
      <c r="V118" s="690">
        <f t="shared" si="15"/>
        <v>347.87</v>
      </c>
      <c r="W118" s="683"/>
      <c r="X118" s="474">
        <f t="shared" si="20"/>
        <v>0</v>
      </c>
      <c r="Y118" s="474">
        <f t="shared" si="21"/>
        <v>0</v>
      </c>
      <c r="Z118" s="475">
        <f t="shared" si="22"/>
        <v>0</v>
      </c>
      <c r="AA118" s="475">
        <v>0</v>
      </c>
      <c r="AB118" s="476">
        <v>0</v>
      </c>
      <c r="AC118" s="38">
        <f t="shared" si="23"/>
        <v>0</v>
      </c>
      <c r="AD118" s="692">
        <f t="shared" si="17"/>
        <v>0</v>
      </c>
      <c r="AE118" s="692">
        <f t="shared" si="18"/>
        <v>0</v>
      </c>
      <c r="AF118" s="692">
        <f t="shared" si="19"/>
        <v>0</v>
      </c>
      <c r="AG118" s="38"/>
      <c r="AH118" s="692">
        <f t="shared" si="24"/>
        <v>0</v>
      </c>
      <c r="AI118" s="692">
        <f t="shared" si="25"/>
        <v>0</v>
      </c>
      <c r="AJ118" s="692">
        <f t="shared" si="26"/>
        <v>0</v>
      </c>
      <c r="AL118" s="38">
        <f t="shared" si="27"/>
        <v>0</v>
      </c>
      <c r="AM118" s="68" t="s">
        <v>461</v>
      </c>
    </row>
    <row r="119" spans="1:39">
      <c r="A119" s="20"/>
      <c r="B119" s="20" t="s">
        <v>109</v>
      </c>
      <c r="C119" s="667" t="s">
        <v>549</v>
      </c>
      <c r="D119" s="68" t="s">
        <v>22</v>
      </c>
      <c r="E119" s="679"/>
      <c r="F119" s="529">
        <f>VLOOKUP(D119,'Jan14 Revenue'!D:V,19,FALSE)</f>
        <v>0</v>
      </c>
      <c r="G119" s="680"/>
      <c r="H119" s="680"/>
      <c r="I119" s="755"/>
      <c r="J119" s="682">
        <f t="shared" si="16"/>
        <v>0</v>
      </c>
      <c r="K119" s="683"/>
      <c r="L119" s="684"/>
      <c r="M119" s="753"/>
      <c r="N119" s="683">
        <v>0</v>
      </c>
      <c r="O119" s="686"/>
      <c r="P119" s="683">
        <v>0</v>
      </c>
      <c r="Q119" s="687">
        <f t="shared" si="1"/>
        <v>0</v>
      </c>
      <c r="R119" s="687"/>
      <c r="S119" s="687"/>
      <c r="T119" s="688">
        <v>0</v>
      </c>
      <c r="U119" s="693"/>
      <c r="V119" s="690">
        <f t="shared" si="15"/>
        <v>0</v>
      </c>
      <c r="W119" s="683"/>
      <c r="X119" s="474">
        <f t="shared" si="20"/>
        <v>0</v>
      </c>
      <c r="Y119" s="474">
        <f t="shared" si="21"/>
        <v>0</v>
      </c>
      <c r="Z119" s="475">
        <f t="shared" si="22"/>
        <v>0</v>
      </c>
      <c r="AA119" s="475">
        <v>0</v>
      </c>
      <c r="AB119" s="476">
        <v>0</v>
      </c>
      <c r="AC119" s="38">
        <f t="shared" si="23"/>
        <v>0</v>
      </c>
      <c r="AD119" s="692">
        <f t="shared" si="17"/>
        <v>0</v>
      </c>
      <c r="AE119" s="692">
        <f t="shared" si="18"/>
        <v>0</v>
      </c>
      <c r="AF119" s="692">
        <f t="shared" si="19"/>
        <v>0</v>
      </c>
      <c r="AG119" s="38"/>
      <c r="AH119" s="692">
        <f t="shared" si="24"/>
        <v>0</v>
      </c>
      <c r="AI119" s="692">
        <f t="shared" si="25"/>
        <v>0</v>
      </c>
      <c r="AJ119" s="692">
        <f t="shared" si="26"/>
        <v>0</v>
      </c>
      <c r="AL119" s="38">
        <f t="shared" si="27"/>
        <v>0</v>
      </c>
      <c r="AM119" s="68" t="s">
        <v>22</v>
      </c>
    </row>
    <row r="120" spans="1:39">
      <c r="A120" s="20"/>
      <c r="B120" s="20" t="s">
        <v>110</v>
      </c>
      <c r="C120" s="667"/>
      <c r="D120" s="68" t="s">
        <v>24</v>
      </c>
      <c r="E120" s="679"/>
      <c r="F120" s="529">
        <f>VLOOKUP(D120,'Jan14 Revenue'!D:V,19,FALSE)</f>
        <v>-781.04999999999927</v>
      </c>
      <c r="G120" s="680"/>
      <c r="H120" s="680"/>
      <c r="I120" s="755"/>
      <c r="J120" s="682">
        <f t="shared" si="16"/>
        <v>-781.04999999999927</v>
      </c>
      <c r="K120" s="683"/>
      <c r="L120" s="684"/>
      <c r="M120" s="753">
        <v>10000</v>
      </c>
      <c r="N120" s="683">
        <v>0</v>
      </c>
      <c r="O120" s="686"/>
      <c r="P120" s="683">
        <v>0</v>
      </c>
      <c r="Q120" s="687">
        <f t="shared" si="1"/>
        <v>10000</v>
      </c>
      <c r="R120" s="687"/>
      <c r="S120" s="687"/>
      <c r="T120" s="688">
        <v>9340.09</v>
      </c>
      <c r="U120" s="693"/>
      <c r="V120" s="690">
        <f t="shared" si="15"/>
        <v>-659.90999999999985</v>
      </c>
      <c r="W120" s="683"/>
      <c r="X120" s="474">
        <f t="shared" si="20"/>
        <v>10000</v>
      </c>
      <c r="Y120" s="474">
        <f t="shared" si="21"/>
        <v>0</v>
      </c>
      <c r="Z120" s="475">
        <f t="shared" si="22"/>
        <v>0</v>
      </c>
      <c r="AA120" s="475">
        <v>0</v>
      </c>
      <c r="AB120" s="476">
        <v>0</v>
      </c>
      <c r="AC120" s="38">
        <f t="shared" si="23"/>
        <v>0</v>
      </c>
      <c r="AD120" s="692">
        <f t="shared" si="17"/>
        <v>-781.04999999999927</v>
      </c>
      <c r="AE120" s="692">
        <f t="shared" si="18"/>
        <v>0</v>
      </c>
      <c r="AF120" s="692">
        <f t="shared" si="19"/>
        <v>0</v>
      </c>
      <c r="AG120" s="38"/>
      <c r="AH120" s="692">
        <f t="shared" si="24"/>
        <v>10000</v>
      </c>
      <c r="AI120" s="692">
        <f t="shared" si="25"/>
        <v>0</v>
      </c>
      <c r="AJ120" s="692">
        <f t="shared" si="26"/>
        <v>0</v>
      </c>
      <c r="AL120" s="38">
        <f t="shared" si="27"/>
        <v>9218.9500000000007</v>
      </c>
      <c r="AM120" s="68" t="s">
        <v>24</v>
      </c>
    </row>
    <row r="121" spans="1:39">
      <c r="A121" s="21"/>
      <c r="B121" s="21" t="s">
        <v>110</v>
      </c>
      <c r="C121" s="666"/>
      <c r="D121" s="68" t="s">
        <v>1019</v>
      </c>
      <c r="E121" s="679"/>
      <c r="F121" s="529">
        <f>VLOOKUP(D121,'Jan14 Revenue'!D:V,19,FALSE)</f>
        <v>0</v>
      </c>
      <c r="G121" s="680"/>
      <c r="H121" s="680"/>
      <c r="I121" s="755"/>
      <c r="J121" s="682">
        <f t="shared" si="16"/>
        <v>0</v>
      </c>
      <c r="K121" s="683"/>
      <c r="L121" s="684"/>
      <c r="M121" s="753"/>
      <c r="N121" s="683">
        <v>0</v>
      </c>
      <c r="O121" s="686"/>
      <c r="P121" s="683">
        <v>0</v>
      </c>
      <c r="Q121" s="687">
        <f t="shared" si="1"/>
        <v>0</v>
      </c>
      <c r="R121" s="687"/>
      <c r="S121" s="687"/>
      <c r="T121" s="688">
        <v>0</v>
      </c>
      <c r="U121" s="693"/>
      <c r="V121" s="690">
        <f t="shared" si="15"/>
        <v>0</v>
      </c>
      <c r="W121" s="683"/>
      <c r="X121" s="474">
        <f t="shared" si="20"/>
        <v>0</v>
      </c>
      <c r="Y121" s="474">
        <f t="shared" si="21"/>
        <v>0</v>
      </c>
      <c r="Z121" s="475">
        <f t="shared" si="22"/>
        <v>0</v>
      </c>
      <c r="AA121" s="475">
        <v>0</v>
      </c>
      <c r="AB121" s="476">
        <v>0</v>
      </c>
      <c r="AC121" s="38">
        <f t="shared" si="23"/>
        <v>0</v>
      </c>
      <c r="AD121" s="692">
        <f t="shared" si="17"/>
        <v>0</v>
      </c>
      <c r="AE121" s="692">
        <f t="shared" si="18"/>
        <v>0</v>
      </c>
      <c r="AF121" s="692">
        <f t="shared" si="19"/>
        <v>0</v>
      </c>
      <c r="AG121" s="38"/>
      <c r="AH121" s="692">
        <f t="shared" si="24"/>
        <v>0</v>
      </c>
      <c r="AI121" s="692">
        <f t="shared" si="25"/>
        <v>0</v>
      </c>
      <c r="AJ121" s="692">
        <f t="shared" si="26"/>
        <v>0</v>
      </c>
      <c r="AL121" s="38">
        <f t="shared" si="27"/>
        <v>0</v>
      </c>
      <c r="AM121" s="68" t="s">
        <v>1019</v>
      </c>
    </row>
    <row r="122" spans="1:39">
      <c r="A122" s="21"/>
      <c r="B122" s="21" t="s">
        <v>110</v>
      </c>
      <c r="C122" s="666"/>
      <c r="D122" s="68" t="s">
        <v>937</v>
      </c>
      <c r="E122" s="679"/>
      <c r="F122" s="529">
        <f>VLOOKUP(D122,'Jan14 Revenue'!D:V,19,FALSE)</f>
        <v>-10000</v>
      </c>
      <c r="G122" s="680"/>
      <c r="H122" s="680"/>
      <c r="I122" s="755"/>
      <c r="J122" s="682">
        <f t="shared" si="16"/>
        <v>-10000</v>
      </c>
      <c r="K122" s="683"/>
      <c r="L122" s="684"/>
      <c r="M122" s="753">
        <v>20000</v>
      </c>
      <c r="N122" s="683">
        <v>0</v>
      </c>
      <c r="O122" s="686"/>
      <c r="P122" s="683">
        <v>0</v>
      </c>
      <c r="Q122" s="687">
        <f t="shared" si="1"/>
        <v>20000</v>
      </c>
      <c r="R122" s="687"/>
      <c r="S122" s="687"/>
      <c r="T122" s="688">
        <v>0</v>
      </c>
      <c r="U122" s="693"/>
      <c r="V122" s="690">
        <f t="shared" si="15"/>
        <v>-20000</v>
      </c>
      <c r="W122" s="683"/>
      <c r="X122" s="474">
        <f t="shared" si="20"/>
        <v>20000</v>
      </c>
      <c r="Y122" s="474">
        <f t="shared" si="21"/>
        <v>0</v>
      </c>
      <c r="Z122" s="475">
        <f t="shared" si="22"/>
        <v>0</v>
      </c>
      <c r="AA122" s="475">
        <v>0</v>
      </c>
      <c r="AB122" s="476">
        <v>0</v>
      </c>
      <c r="AC122" s="38">
        <f t="shared" si="23"/>
        <v>0</v>
      </c>
      <c r="AD122" s="692">
        <f t="shared" si="17"/>
        <v>-10000</v>
      </c>
      <c r="AE122" s="692">
        <f t="shared" si="18"/>
        <v>0</v>
      </c>
      <c r="AF122" s="692">
        <f t="shared" si="19"/>
        <v>0</v>
      </c>
      <c r="AG122" s="38"/>
      <c r="AH122" s="692">
        <f t="shared" si="24"/>
        <v>20000</v>
      </c>
      <c r="AI122" s="692">
        <f t="shared" si="25"/>
        <v>0</v>
      </c>
      <c r="AJ122" s="692">
        <f t="shared" si="26"/>
        <v>0</v>
      </c>
      <c r="AL122" s="38">
        <f t="shared" si="27"/>
        <v>10000</v>
      </c>
      <c r="AM122" s="68" t="s">
        <v>937</v>
      </c>
    </row>
    <row r="123" spans="1:39">
      <c r="A123" s="21"/>
      <c r="B123" s="21" t="s">
        <v>110</v>
      </c>
      <c r="C123" s="666"/>
      <c r="D123" s="68" t="s">
        <v>967</v>
      </c>
      <c r="E123" s="679"/>
      <c r="F123" s="529">
        <f>VLOOKUP(D123,'Jan14 Revenue'!D:V,19,FALSE)</f>
        <v>-70000</v>
      </c>
      <c r="G123" s="680"/>
      <c r="H123" s="680"/>
      <c r="I123" s="755"/>
      <c r="J123" s="682">
        <f t="shared" si="16"/>
        <v>-70000</v>
      </c>
      <c r="K123" s="683"/>
      <c r="L123" s="684"/>
      <c r="M123" s="753">
        <v>140000</v>
      </c>
      <c r="N123" s="683">
        <v>0</v>
      </c>
      <c r="O123" s="686"/>
      <c r="P123" s="683">
        <v>0</v>
      </c>
      <c r="Q123" s="687">
        <f t="shared" si="1"/>
        <v>140000</v>
      </c>
      <c r="R123" s="687"/>
      <c r="S123" s="687"/>
      <c r="T123" s="688">
        <v>0</v>
      </c>
      <c r="U123" s="693"/>
      <c r="V123" s="690">
        <f t="shared" si="15"/>
        <v>-140000</v>
      </c>
      <c r="W123" s="683"/>
      <c r="X123" s="474">
        <f t="shared" si="20"/>
        <v>140000</v>
      </c>
      <c r="Y123" s="474">
        <f t="shared" si="21"/>
        <v>0</v>
      </c>
      <c r="Z123" s="475">
        <f t="shared" si="22"/>
        <v>0</v>
      </c>
      <c r="AA123" s="475">
        <v>0</v>
      </c>
      <c r="AB123" s="476">
        <v>0</v>
      </c>
      <c r="AC123" s="38">
        <f t="shared" si="23"/>
        <v>0</v>
      </c>
      <c r="AD123" s="692">
        <f t="shared" si="17"/>
        <v>-70000</v>
      </c>
      <c r="AE123" s="692">
        <f t="shared" si="18"/>
        <v>0</v>
      </c>
      <c r="AF123" s="692">
        <f t="shared" si="19"/>
        <v>0</v>
      </c>
      <c r="AG123" s="38"/>
      <c r="AH123" s="692">
        <f t="shared" si="24"/>
        <v>140000</v>
      </c>
      <c r="AI123" s="692">
        <f t="shared" si="25"/>
        <v>0</v>
      </c>
      <c r="AJ123" s="692">
        <f t="shared" si="26"/>
        <v>0</v>
      </c>
      <c r="AL123" s="38">
        <f t="shared" si="27"/>
        <v>70000</v>
      </c>
      <c r="AM123" s="68" t="s">
        <v>967</v>
      </c>
    </row>
    <row r="124" spans="1:39">
      <c r="A124" s="21"/>
      <c r="B124" s="21" t="s">
        <v>110</v>
      </c>
      <c r="C124" s="666"/>
      <c r="D124" s="68" t="s">
        <v>1002</v>
      </c>
      <c r="E124" s="679"/>
      <c r="F124" s="529">
        <f>VLOOKUP(D124,'Jan14 Revenue'!D:V,19,FALSE)</f>
        <v>0</v>
      </c>
      <c r="G124" s="680"/>
      <c r="H124" s="680"/>
      <c r="I124" s="755"/>
      <c r="J124" s="682">
        <f t="shared" si="16"/>
        <v>0</v>
      </c>
      <c r="K124" s="683"/>
      <c r="L124" s="684"/>
      <c r="M124" s="753"/>
      <c r="N124" s="683">
        <v>0</v>
      </c>
      <c r="O124" s="686"/>
      <c r="P124" s="683">
        <v>0</v>
      </c>
      <c r="Q124" s="687">
        <f t="shared" si="1"/>
        <v>0</v>
      </c>
      <c r="R124" s="687"/>
      <c r="S124" s="687"/>
      <c r="T124" s="688">
        <v>0</v>
      </c>
      <c r="U124" s="693"/>
      <c r="V124" s="690">
        <f t="shared" si="15"/>
        <v>0</v>
      </c>
      <c r="W124" s="683"/>
      <c r="X124" s="474">
        <f t="shared" si="20"/>
        <v>0</v>
      </c>
      <c r="Y124" s="474">
        <f t="shared" si="21"/>
        <v>0</v>
      </c>
      <c r="Z124" s="475">
        <f t="shared" si="22"/>
        <v>0</v>
      </c>
      <c r="AA124" s="475">
        <v>0</v>
      </c>
      <c r="AB124" s="476">
        <v>0</v>
      </c>
      <c r="AC124" s="38">
        <f t="shared" si="23"/>
        <v>0</v>
      </c>
      <c r="AD124" s="692">
        <f t="shared" si="17"/>
        <v>0</v>
      </c>
      <c r="AE124" s="692">
        <f t="shared" si="18"/>
        <v>0</v>
      </c>
      <c r="AF124" s="692">
        <f t="shared" si="19"/>
        <v>0</v>
      </c>
      <c r="AG124" s="38"/>
      <c r="AH124" s="692">
        <f t="shared" si="24"/>
        <v>0</v>
      </c>
      <c r="AI124" s="692">
        <f t="shared" si="25"/>
        <v>0</v>
      </c>
      <c r="AJ124" s="692">
        <f t="shared" si="26"/>
        <v>0</v>
      </c>
      <c r="AL124" s="38">
        <f t="shared" si="27"/>
        <v>0</v>
      </c>
      <c r="AM124" s="68" t="s">
        <v>1002</v>
      </c>
    </row>
    <row r="125" spans="1:39">
      <c r="A125" s="20"/>
      <c r="B125" s="20" t="s">
        <v>110</v>
      </c>
      <c r="C125" s="667"/>
      <c r="D125" s="68" t="s">
        <v>1013</v>
      </c>
      <c r="E125" s="679"/>
      <c r="F125" s="529">
        <f>VLOOKUP(D125,'Jan14 Revenue'!D:V,19,FALSE)</f>
        <v>0</v>
      </c>
      <c r="G125" s="680"/>
      <c r="H125" s="680"/>
      <c r="I125" s="770">
        <v>267.93</v>
      </c>
      <c r="J125" s="682">
        <f t="shared" si="16"/>
        <v>267.93</v>
      </c>
      <c r="K125" s="683"/>
      <c r="L125" s="684"/>
      <c r="M125" s="753"/>
      <c r="N125" s="683">
        <v>0</v>
      </c>
      <c r="O125" s="686"/>
      <c r="P125" s="683">
        <v>0</v>
      </c>
      <c r="Q125" s="687">
        <f t="shared" si="1"/>
        <v>0</v>
      </c>
      <c r="R125" s="687"/>
      <c r="S125" s="687"/>
      <c r="T125" s="688">
        <v>379.51</v>
      </c>
      <c r="U125" s="693"/>
      <c r="V125" s="690">
        <f t="shared" si="15"/>
        <v>379.51</v>
      </c>
      <c r="W125" s="683"/>
      <c r="X125" s="474">
        <f t="shared" si="20"/>
        <v>0</v>
      </c>
      <c r="Y125" s="474">
        <f t="shared" si="21"/>
        <v>0</v>
      </c>
      <c r="Z125" s="475">
        <f t="shared" si="22"/>
        <v>0</v>
      </c>
      <c r="AA125" s="475">
        <v>0</v>
      </c>
      <c r="AB125" s="476">
        <v>0</v>
      </c>
      <c r="AC125" s="38">
        <f t="shared" si="23"/>
        <v>0</v>
      </c>
      <c r="AD125" s="692">
        <f t="shared" si="17"/>
        <v>267.93</v>
      </c>
      <c r="AE125" s="692">
        <f t="shared" si="18"/>
        <v>0</v>
      </c>
      <c r="AF125" s="692">
        <f t="shared" si="19"/>
        <v>0</v>
      </c>
      <c r="AG125" s="38"/>
      <c r="AH125" s="692">
        <f t="shared" si="24"/>
        <v>0</v>
      </c>
      <c r="AI125" s="692">
        <f t="shared" si="25"/>
        <v>0</v>
      </c>
      <c r="AJ125" s="692">
        <f t="shared" si="26"/>
        <v>0</v>
      </c>
      <c r="AL125" s="38">
        <f t="shared" si="27"/>
        <v>267.93</v>
      </c>
      <c r="AM125" s="68" t="s">
        <v>1013</v>
      </c>
    </row>
    <row r="126" spans="1:39">
      <c r="A126" s="21"/>
      <c r="B126" s="21" t="s">
        <v>110</v>
      </c>
      <c r="C126" s="666" t="s">
        <v>550</v>
      </c>
      <c r="D126" s="68" t="s">
        <v>282</v>
      </c>
      <c r="E126" s="679"/>
      <c r="F126" s="529">
        <f>VLOOKUP(D126,'Jan14 Revenue'!D:V,19,FALSE)</f>
        <v>5908.5999999999985</v>
      </c>
      <c r="G126" s="680"/>
      <c r="H126" s="680"/>
      <c r="I126" s="755"/>
      <c r="J126" s="682">
        <f t="shared" si="16"/>
        <v>5908.5999999999985</v>
      </c>
      <c r="K126" s="683"/>
      <c r="L126" s="684"/>
      <c r="M126" s="753">
        <v>55000</v>
      </c>
      <c r="N126" s="683">
        <v>0</v>
      </c>
      <c r="O126" s="686"/>
      <c r="P126" s="683">
        <v>0</v>
      </c>
      <c r="Q126" s="687">
        <f t="shared" si="1"/>
        <v>55000</v>
      </c>
      <c r="R126" s="687"/>
      <c r="S126" s="687"/>
      <c r="T126" s="688">
        <v>0</v>
      </c>
      <c r="U126" s="693"/>
      <c r="V126" s="690">
        <f t="shared" si="15"/>
        <v>-55000</v>
      </c>
      <c r="W126" s="683"/>
      <c r="X126" s="474">
        <f t="shared" si="20"/>
        <v>55000</v>
      </c>
      <c r="Y126" s="474">
        <f t="shared" si="21"/>
        <v>0</v>
      </c>
      <c r="Z126" s="475">
        <f t="shared" si="22"/>
        <v>0</v>
      </c>
      <c r="AA126" s="475">
        <v>0</v>
      </c>
      <c r="AB126" s="476">
        <v>0</v>
      </c>
      <c r="AC126" s="38">
        <f t="shared" si="23"/>
        <v>0</v>
      </c>
      <c r="AD126" s="692">
        <f t="shared" si="17"/>
        <v>5908.5999999999985</v>
      </c>
      <c r="AE126" s="692">
        <f t="shared" si="18"/>
        <v>0</v>
      </c>
      <c r="AF126" s="692">
        <f t="shared" si="19"/>
        <v>0</v>
      </c>
      <c r="AG126" s="38"/>
      <c r="AH126" s="692">
        <f t="shared" si="24"/>
        <v>55000</v>
      </c>
      <c r="AI126" s="692">
        <f t="shared" si="25"/>
        <v>0</v>
      </c>
      <c r="AJ126" s="692">
        <f t="shared" si="26"/>
        <v>0</v>
      </c>
      <c r="AL126" s="38">
        <f t="shared" si="27"/>
        <v>60908.6</v>
      </c>
      <c r="AM126" s="68" t="s">
        <v>282</v>
      </c>
    </row>
    <row r="127" spans="1:39">
      <c r="A127" s="21"/>
      <c r="B127" s="21" t="s">
        <v>109</v>
      </c>
      <c r="C127" s="666" t="s">
        <v>551</v>
      </c>
      <c r="D127" s="68" t="s">
        <v>499</v>
      </c>
      <c r="E127" s="679"/>
      <c r="F127" s="529">
        <f>VLOOKUP(D127,'Jan14 Revenue'!D:V,19,FALSE)</f>
        <v>0</v>
      </c>
      <c r="G127" s="680"/>
      <c r="H127" s="680"/>
      <c r="I127" s="755"/>
      <c r="J127" s="682">
        <f t="shared" si="16"/>
        <v>0</v>
      </c>
      <c r="K127" s="683"/>
      <c r="L127" s="684"/>
      <c r="M127" s="753"/>
      <c r="N127" s="683">
        <v>0</v>
      </c>
      <c r="O127" s="686"/>
      <c r="P127" s="683">
        <v>0</v>
      </c>
      <c r="Q127" s="687">
        <f t="shared" si="1"/>
        <v>0</v>
      </c>
      <c r="R127" s="687"/>
      <c r="S127" s="687"/>
      <c r="T127" s="688">
        <v>0</v>
      </c>
      <c r="U127" s="693"/>
      <c r="V127" s="690">
        <f t="shared" si="15"/>
        <v>0</v>
      </c>
      <c r="W127" s="683"/>
      <c r="X127" s="474">
        <f t="shared" si="20"/>
        <v>0</v>
      </c>
      <c r="Y127" s="474">
        <f t="shared" si="21"/>
        <v>0</v>
      </c>
      <c r="Z127" s="475">
        <f t="shared" si="22"/>
        <v>0</v>
      </c>
      <c r="AA127" s="475">
        <v>0</v>
      </c>
      <c r="AB127" s="476">
        <v>0</v>
      </c>
      <c r="AC127" s="38">
        <f t="shared" si="23"/>
        <v>0</v>
      </c>
      <c r="AD127" s="692">
        <f t="shared" si="17"/>
        <v>0</v>
      </c>
      <c r="AE127" s="692">
        <f t="shared" si="18"/>
        <v>0</v>
      </c>
      <c r="AF127" s="692">
        <f t="shared" si="19"/>
        <v>0</v>
      </c>
      <c r="AG127" s="38"/>
      <c r="AH127" s="692">
        <f t="shared" si="24"/>
        <v>0</v>
      </c>
      <c r="AI127" s="692">
        <f t="shared" si="25"/>
        <v>0</v>
      </c>
      <c r="AJ127" s="692">
        <f t="shared" si="26"/>
        <v>0</v>
      </c>
      <c r="AL127" s="38">
        <f t="shared" si="27"/>
        <v>0</v>
      </c>
      <c r="AM127" s="68" t="s">
        <v>499</v>
      </c>
    </row>
    <row r="128" spans="1:39">
      <c r="A128" s="21"/>
      <c r="B128" s="21" t="s">
        <v>110</v>
      </c>
      <c r="C128" s="666"/>
      <c r="D128" s="68" t="s">
        <v>1040</v>
      </c>
      <c r="E128" s="679"/>
      <c r="F128" s="529">
        <f>VLOOKUP(D128,'Jan14 Revenue'!D:V,19,FALSE)</f>
        <v>0</v>
      </c>
      <c r="G128" s="680"/>
      <c r="H128" s="680"/>
      <c r="I128" s="755"/>
      <c r="J128" s="682">
        <f t="shared" si="16"/>
        <v>0</v>
      </c>
      <c r="K128" s="683"/>
      <c r="L128" s="684"/>
      <c r="M128" s="753"/>
      <c r="N128" s="683">
        <v>0</v>
      </c>
      <c r="O128" s="686"/>
      <c r="P128" s="683">
        <v>0</v>
      </c>
      <c r="Q128" s="687">
        <f t="shared" si="1"/>
        <v>0</v>
      </c>
      <c r="R128" s="687"/>
      <c r="S128" s="687"/>
      <c r="T128" s="688">
        <v>0</v>
      </c>
      <c r="U128" s="693"/>
      <c r="V128" s="690">
        <f t="shared" si="15"/>
        <v>0</v>
      </c>
      <c r="W128" s="683"/>
      <c r="X128" s="474">
        <f t="shared" si="20"/>
        <v>0</v>
      </c>
      <c r="Y128" s="474">
        <f t="shared" si="21"/>
        <v>0</v>
      </c>
      <c r="Z128" s="475">
        <f t="shared" si="22"/>
        <v>0</v>
      </c>
      <c r="AA128" s="475">
        <v>0</v>
      </c>
      <c r="AB128" s="476">
        <v>0</v>
      </c>
      <c r="AC128" s="38">
        <f t="shared" si="23"/>
        <v>0</v>
      </c>
      <c r="AD128" s="692">
        <f t="shared" si="17"/>
        <v>0</v>
      </c>
      <c r="AE128" s="692">
        <f t="shared" si="18"/>
        <v>0</v>
      </c>
      <c r="AF128" s="692">
        <f t="shared" si="19"/>
        <v>0</v>
      </c>
      <c r="AG128" s="38"/>
      <c r="AH128" s="692">
        <f t="shared" si="24"/>
        <v>0</v>
      </c>
      <c r="AI128" s="692">
        <f t="shared" si="25"/>
        <v>0</v>
      </c>
      <c r="AJ128" s="692">
        <f t="shared" si="26"/>
        <v>0</v>
      </c>
      <c r="AL128" s="38">
        <f t="shared" si="27"/>
        <v>0</v>
      </c>
      <c r="AM128" s="68" t="s">
        <v>1019</v>
      </c>
    </row>
    <row r="129" spans="1:39">
      <c r="A129" s="21"/>
      <c r="B129" s="21" t="s">
        <v>110</v>
      </c>
      <c r="C129" s="666"/>
      <c r="D129" s="68" t="s">
        <v>28</v>
      </c>
      <c r="E129" s="679"/>
      <c r="F129" s="529">
        <f>VLOOKUP(D129,'Jan14 Revenue'!D:V,19,FALSE)</f>
        <v>0</v>
      </c>
      <c r="G129" s="680"/>
      <c r="H129" s="680"/>
      <c r="I129" s="755"/>
      <c r="J129" s="682">
        <f t="shared" si="16"/>
        <v>0</v>
      </c>
      <c r="K129" s="683"/>
      <c r="L129" s="684"/>
      <c r="M129" s="753"/>
      <c r="N129" s="683">
        <v>0</v>
      </c>
      <c r="O129" s="686"/>
      <c r="P129" s="683">
        <v>0</v>
      </c>
      <c r="Q129" s="687">
        <f t="shared" si="1"/>
        <v>0</v>
      </c>
      <c r="R129" s="687"/>
      <c r="S129" s="687"/>
      <c r="T129" s="688">
        <v>14881.3</v>
      </c>
      <c r="U129" s="693"/>
      <c r="V129" s="690">
        <f t="shared" si="15"/>
        <v>14881.3</v>
      </c>
      <c r="W129" s="683"/>
      <c r="X129" s="474">
        <f t="shared" si="20"/>
        <v>0</v>
      </c>
      <c r="Y129" s="474">
        <f t="shared" si="21"/>
        <v>0</v>
      </c>
      <c r="Z129" s="475">
        <f t="shared" si="22"/>
        <v>0</v>
      </c>
      <c r="AA129" s="475">
        <v>0</v>
      </c>
      <c r="AB129" s="476">
        <v>0</v>
      </c>
      <c r="AC129" s="38">
        <f t="shared" si="23"/>
        <v>0</v>
      </c>
      <c r="AD129" s="692">
        <f t="shared" si="17"/>
        <v>0</v>
      </c>
      <c r="AE129" s="692">
        <f t="shared" si="18"/>
        <v>0</v>
      </c>
      <c r="AF129" s="692">
        <f t="shared" si="19"/>
        <v>0</v>
      </c>
      <c r="AG129" s="38"/>
      <c r="AH129" s="692">
        <f t="shared" si="24"/>
        <v>0</v>
      </c>
      <c r="AI129" s="692">
        <f t="shared" si="25"/>
        <v>0</v>
      </c>
      <c r="AJ129" s="692">
        <f t="shared" si="26"/>
        <v>0</v>
      </c>
      <c r="AL129" s="38">
        <f t="shared" si="27"/>
        <v>0</v>
      </c>
      <c r="AM129" s="68" t="s">
        <v>28</v>
      </c>
    </row>
    <row r="130" spans="1:39">
      <c r="A130" s="21"/>
      <c r="B130" s="21" t="s">
        <v>114</v>
      </c>
      <c r="C130" s="666" t="s">
        <v>552</v>
      </c>
      <c r="D130" s="68" t="s">
        <v>513</v>
      </c>
      <c r="E130" s="679">
        <f>2651+2739.2</f>
        <v>5390.2</v>
      </c>
      <c r="F130" s="529">
        <f>VLOOKUP(D130,'Jan14 Revenue'!D:V,19,FALSE)</f>
        <v>-10000</v>
      </c>
      <c r="G130" s="680"/>
      <c r="H130" s="680"/>
      <c r="I130" s="755"/>
      <c r="J130" s="682">
        <f t="shared" si="16"/>
        <v>-4609.8</v>
      </c>
      <c r="K130" s="683"/>
      <c r="L130" s="684"/>
      <c r="M130" s="753">
        <v>5000</v>
      </c>
      <c r="N130" s="683">
        <v>0</v>
      </c>
      <c r="O130" s="686"/>
      <c r="P130" s="683">
        <v>0</v>
      </c>
      <c r="Q130" s="687">
        <f>L130+M130</f>
        <v>5000</v>
      </c>
      <c r="R130" s="687"/>
      <c r="S130" s="687"/>
      <c r="T130" s="688">
        <v>0</v>
      </c>
      <c r="U130" s="693"/>
      <c r="V130" s="690">
        <f t="shared" si="15"/>
        <v>-5000</v>
      </c>
      <c r="W130" s="683"/>
      <c r="X130" s="474">
        <f t="shared" si="20"/>
        <v>0</v>
      </c>
      <c r="Y130" s="474">
        <f t="shared" si="21"/>
        <v>0</v>
      </c>
      <c r="Z130" s="475">
        <f t="shared" si="22"/>
        <v>5000</v>
      </c>
      <c r="AA130" s="475">
        <v>0</v>
      </c>
      <c r="AB130" s="476">
        <v>0</v>
      </c>
      <c r="AC130" s="38">
        <f t="shared" si="23"/>
        <v>0</v>
      </c>
      <c r="AD130" s="692">
        <f t="shared" si="17"/>
        <v>0</v>
      </c>
      <c r="AE130" s="692">
        <f t="shared" si="18"/>
        <v>0</v>
      </c>
      <c r="AF130" s="692">
        <f t="shared" si="19"/>
        <v>-4609.8</v>
      </c>
      <c r="AG130" s="38"/>
      <c r="AH130" s="692">
        <f t="shared" si="24"/>
        <v>0</v>
      </c>
      <c r="AI130" s="692">
        <f t="shared" si="25"/>
        <v>0</v>
      </c>
      <c r="AJ130" s="692">
        <f t="shared" si="26"/>
        <v>5000</v>
      </c>
      <c r="AL130" s="38">
        <f t="shared" si="27"/>
        <v>390.19999999999982</v>
      </c>
      <c r="AM130" s="68" t="s">
        <v>513</v>
      </c>
    </row>
    <row r="131" spans="1:39">
      <c r="A131" s="21"/>
      <c r="B131" s="21" t="s">
        <v>109</v>
      </c>
      <c r="C131" s="666" t="s">
        <v>553</v>
      </c>
      <c r="D131" s="68" t="s">
        <v>308</v>
      </c>
      <c r="E131" s="679"/>
      <c r="F131" s="529">
        <f>VLOOKUP(D131,'Jan14 Revenue'!D:V,19,FALSE)</f>
        <v>850.09</v>
      </c>
      <c r="G131" s="680"/>
      <c r="H131" s="680"/>
      <c r="I131" s="755"/>
      <c r="J131" s="682">
        <f t="shared" si="16"/>
        <v>850.09</v>
      </c>
      <c r="K131" s="683"/>
      <c r="L131" s="684"/>
      <c r="M131" s="753"/>
      <c r="N131" s="683">
        <v>0</v>
      </c>
      <c r="O131" s="686"/>
      <c r="P131" s="683">
        <v>0</v>
      </c>
      <c r="Q131" s="687">
        <f t="shared" si="1"/>
        <v>0</v>
      </c>
      <c r="R131" s="687"/>
      <c r="S131" s="687"/>
      <c r="T131" s="688">
        <v>787.16</v>
      </c>
      <c r="U131" s="693"/>
      <c r="V131" s="690">
        <f t="shared" si="15"/>
        <v>787.16</v>
      </c>
      <c r="W131" s="683"/>
      <c r="X131" s="474">
        <f t="shared" si="20"/>
        <v>0</v>
      </c>
      <c r="Y131" s="474">
        <f t="shared" si="21"/>
        <v>0</v>
      </c>
      <c r="Z131" s="475">
        <f t="shared" si="22"/>
        <v>0</v>
      </c>
      <c r="AA131" s="475">
        <v>0</v>
      </c>
      <c r="AB131" s="476">
        <v>0</v>
      </c>
      <c r="AC131" s="38">
        <f t="shared" si="23"/>
        <v>0</v>
      </c>
      <c r="AD131" s="692">
        <f t="shared" si="17"/>
        <v>0</v>
      </c>
      <c r="AE131" s="692">
        <f t="shared" si="18"/>
        <v>850.09</v>
      </c>
      <c r="AF131" s="692">
        <f t="shared" si="19"/>
        <v>0</v>
      </c>
      <c r="AG131" s="38"/>
      <c r="AH131" s="692">
        <f t="shared" si="24"/>
        <v>0</v>
      </c>
      <c r="AI131" s="692">
        <f t="shared" si="25"/>
        <v>0</v>
      </c>
      <c r="AJ131" s="692">
        <f t="shared" si="26"/>
        <v>0</v>
      </c>
      <c r="AL131" s="38">
        <f t="shared" si="27"/>
        <v>850.09</v>
      </c>
      <c r="AM131" s="68" t="s">
        <v>308</v>
      </c>
    </row>
    <row r="132" spans="1:39" s="232" customFormat="1">
      <c r="A132" s="283" t="s">
        <v>211</v>
      </c>
      <c r="B132" s="283" t="s">
        <v>109</v>
      </c>
      <c r="C132" s="667" t="s">
        <v>554</v>
      </c>
      <c r="D132" s="123" t="s">
        <v>389</v>
      </c>
      <c r="E132" s="679"/>
      <c r="F132" s="529">
        <f>VLOOKUP(D132,'Jan14 Revenue'!D:V,19,FALSE)</f>
        <v>0</v>
      </c>
      <c r="G132" s="680"/>
      <c r="H132" s="680"/>
      <c r="I132" s="755"/>
      <c r="J132" s="682">
        <f t="shared" si="16"/>
        <v>0</v>
      </c>
      <c r="K132" s="683"/>
      <c r="L132" s="684"/>
      <c r="M132" s="753"/>
      <c r="N132" s="683">
        <v>0</v>
      </c>
      <c r="O132" s="686"/>
      <c r="P132" s="683">
        <v>0</v>
      </c>
      <c r="Q132" s="687">
        <f t="shared" si="1"/>
        <v>0</v>
      </c>
      <c r="R132" s="687"/>
      <c r="S132" s="687"/>
      <c r="T132" s="688">
        <v>0</v>
      </c>
      <c r="U132" s="693"/>
      <c r="V132" s="690">
        <f t="shared" si="15"/>
        <v>0</v>
      </c>
      <c r="W132" s="683"/>
      <c r="X132" s="474">
        <f t="shared" si="20"/>
        <v>0</v>
      </c>
      <c r="Y132" s="474">
        <f t="shared" si="21"/>
        <v>0</v>
      </c>
      <c r="Z132" s="475">
        <f t="shared" si="22"/>
        <v>0</v>
      </c>
      <c r="AA132" s="475">
        <v>0</v>
      </c>
      <c r="AB132" s="476">
        <v>0</v>
      </c>
      <c r="AC132" s="38">
        <f t="shared" si="23"/>
        <v>0</v>
      </c>
      <c r="AD132" s="692">
        <f t="shared" si="17"/>
        <v>0</v>
      </c>
      <c r="AE132" s="692">
        <f t="shared" si="18"/>
        <v>0</v>
      </c>
      <c r="AF132" s="692">
        <f t="shared" si="19"/>
        <v>0</v>
      </c>
      <c r="AG132" s="38"/>
      <c r="AH132" s="692">
        <f t="shared" si="24"/>
        <v>0</v>
      </c>
      <c r="AI132" s="692">
        <f t="shared" si="25"/>
        <v>0</v>
      </c>
      <c r="AJ132" s="692">
        <f t="shared" si="26"/>
        <v>0</v>
      </c>
      <c r="AL132" s="38">
        <f t="shared" si="27"/>
        <v>0</v>
      </c>
      <c r="AM132" s="123" t="s">
        <v>389</v>
      </c>
    </row>
    <row r="133" spans="1:39" s="232" customFormat="1">
      <c r="A133" s="283"/>
      <c r="B133" s="283" t="s">
        <v>110</v>
      </c>
      <c r="C133" s="667"/>
      <c r="D133" s="123" t="s">
        <v>807</v>
      </c>
      <c r="E133" s="679"/>
      <c r="F133" s="529">
        <f>VLOOKUP(D133,'Jan14 Revenue'!D:V,19,FALSE)</f>
        <v>-2379.9</v>
      </c>
      <c r="G133" s="680"/>
      <c r="H133" s="680"/>
      <c r="I133" s="755"/>
      <c r="J133" s="682">
        <f t="shared" si="16"/>
        <v>-2379.9</v>
      </c>
      <c r="K133" s="683"/>
      <c r="L133" s="684"/>
      <c r="M133" s="753">
        <v>5000</v>
      </c>
      <c r="N133" s="683">
        <v>0</v>
      </c>
      <c r="O133" s="686"/>
      <c r="P133" s="683">
        <v>0</v>
      </c>
      <c r="Q133" s="687">
        <f t="shared" si="1"/>
        <v>5000</v>
      </c>
      <c r="R133" s="687"/>
      <c r="S133" s="687"/>
      <c r="T133" s="688">
        <v>2338.7399999999998</v>
      </c>
      <c r="U133" s="693"/>
      <c r="V133" s="690">
        <f t="shared" si="15"/>
        <v>-2661.26</v>
      </c>
      <c r="W133" s="683"/>
      <c r="X133" s="474">
        <f t="shared" si="20"/>
        <v>5000</v>
      </c>
      <c r="Y133" s="474">
        <f t="shared" si="21"/>
        <v>0</v>
      </c>
      <c r="Z133" s="475">
        <f t="shared" si="22"/>
        <v>0</v>
      </c>
      <c r="AA133" s="475">
        <v>0</v>
      </c>
      <c r="AB133" s="476">
        <v>0</v>
      </c>
      <c r="AC133" s="38">
        <f t="shared" si="23"/>
        <v>0</v>
      </c>
      <c r="AD133" s="692">
        <f t="shared" si="17"/>
        <v>-2379.9</v>
      </c>
      <c r="AE133" s="692">
        <f t="shared" si="18"/>
        <v>0</v>
      </c>
      <c r="AF133" s="692">
        <f t="shared" si="19"/>
        <v>0</v>
      </c>
      <c r="AG133" s="38"/>
      <c r="AH133" s="692">
        <f t="shared" si="24"/>
        <v>5000</v>
      </c>
      <c r="AI133" s="692">
        <f t="shared" si="25"/>
        <v>0</v>
      </c>
      <c r="AJ133" s="692">
        <f t="shared" si="26"/>
        <v>0</v>
      </c>
      <c r="AL133" s="38">
        <f t="shared" si="27"/>
        <v>2620.1</v>
      </c>
      <c r="AM133" s="123" t="s">
        <v>807</v>
      </c>
    </row>
    <row r="134" spans="1:39" s="232" customFormat="1">
      <c r="A134" s="283"/>
      <c r="B134" s="283" t="s">
        <v>109</v>
      </c>
      <c r="C134" s="667"/>
      <c r="D134" s="123" t="s">
        <v>808</v>
      </c>
      <c r="E134" s="679"/>
      <c r="F134" s="529">
        <f>VLOOKUP(D134,'Jan14 Revenue'!D:V,19,FALSE)</f>
        <v>-2195.0800000000017</v>
      </c>
      <c r="G134" s="680"/>
      <c r="H134" s="680"/>
      <c r="I134" s="755"/>
      <c r="J134" s="682">
        <f t="shared" si="16"/>
        <v>-2195.0800000000017</v>
      </c>
      <c r="K134" s="683"/>
      <c r="L134" s="684"/>
      <c r="M134" s="753">
        <v>40000</v>
      </c>
      <c r="N134" s="683">
        <v>0</v>
      </c>
      <c r="O134" s="686"/>
      <c r="P134" s="683">
        <v>0</v>
      </c>
      <c r="Q134" s="687">
        <f t="shared" si="1"/>
        <v>40000</v>
      </c>
      <c r="R134" s="687"/>
      <c r="S134" s="687"/>
      <c r="T134" s="688">
        <f>10004.21+28897.68+466.45</f>
        <v>39368.339999999997</v>
      </c>
      <c r="U134" s="693"/>
      <c r="V134" s="690">
        <f t="shared" si="15"/>
        <v>-631.66000000000349</v>
      </c>
      <c r="W134" s="683"/>
      <c r="X134" s="474">
        <f t="shared" si="20"/>
        <v>0</v>
      </c>
      <c r="Y134" s="474">
        <f t="shared" si="21"/>
        <v>40000</v>
      </c>
      <c r="Z134" s="475">
        <f t="shared" si="22"/>
        <v>0</v>
      </c>
      <c r="AA134" s="475">
        <v>0</v>
      </c>
      <c r="AB134" s="476">
        <v>0</v>
      </c>
      <c r="AC134" s="38">
        <f t="shared" si="23"/>
        <v>0</v>
      </c>
      <c r="AD134" s="692">
        <f t="shared" si="17"/>
        <v>0</v>
      </c>
      <c r="AE134" s="692">
        <f t="shared" si="18"/>
        <v>-2195.0800000000017</v>
      </c>
      <c r="AF134" s="692">
        <f t="shared" si="19"/>
        <v>0</v>
      </c>
      <c r="AG134" s="38"/>
      <c r="AH134" s="692">
        <f t="shared" si="24"/>
        <v>0</v>
      </c>
      <c r="AI134" s="692">
        <f t="shared" si="25"/>
        <v>40000</v>
      </c>
      <c r="AJ134" s="692">
        <f t="shared" si="26"/>
        <v>0</v>
      </c>
      <c r="AL134" s="38">
        <f t="shared" si="27"/>
        <v>37804.92</v>
      </c>
      <c r="AM134" s="123" t="s">
        <v>808</v>
      </c>
    </row>
    <row r="135" spans="1:39" s="232" customFormat="1">
      <c r="A135" s="403"/>
      <c r="B135" s="403" t="s">
        <v>110</v>
      </c>
      <c r="C135" s="666" t="s">
        <v>563</v>
      </c>
      <c r="D135" s="123" t="s">
        <v>867</v>
      </c>
      <c r="E135" s="679"/>
      <c r="F135" s="529">
        <f>VLOOKUP(D135,'Jan14 Revenue'!D:V,19,FALSE)</f>
        <v>1037.78</v>
      </c>
      <c r="G135" s="680"/>
      <c r="H135" s="680"/>
      <c r="I135" s="770">
        <v>862.45</v>
      </c>
      <c r="J135" s="682">
        <f t="shared" si="16"/>
        <v>1900.23</v>
      </c>
      <c r="K135" s="683"/>
      <c r="L135" s="684"/>
      <c r="M135" s="753"/>
      <c r="N135" s="683">
        <v>0</v>
      </c>
      <c r="O135" s="686"/>
      <c r="P135" s="683">
        <v>0</v>
      </c>
      <c r="Q135" s="687">
        <f t="shared" si="1"/>
        <v>0</v>
      </c>
      <c r="R135" s="687"/>
      <c r="S135" s="687"/>
      <c r="T135" s="688">
        <v>0</v>
      </c>
      <c r="U135" s="693"/>
      <c r="V135" s="690">
        <f t="shared" si="15"/>
        <v>0</v>
      </c>
      <c r="W135" s="683"/>
      <c r="X135" s="474">
        <f t="shared" si="20"/>
        <v>0</v>
      </c>
      <c r="Y135" s="474">
        <f t="shared" si="21"/>
        <v>0</v>
      </c>
      <c r="Z135" s="475">
        <f t="shared" si="22"/>
        <v>0</v>
      </c>
      <c r="AA135" s="475">
        <v>0</v>
      </c>
      <c r="AB135" s="476">
        <v>0</v>
      </c>
      <c r="AC135" s="38">
        <f t="shared" si="23"/>
        <v>0</v>
      </c>
      <c r="AD135" s="692">
        <f t="shared" si="17"/>
        <v>1900.23</v>
      </c>
      <c r="AE135" s="692">
        <f t="shared" si="18"/>
        <v>0</v>
      </c>
      <c r="AF135" s="692">
        <f t="shared" si="19"/>
        <v>0</v>
      </c>
      <c r="AG135" s="38"/>
      <c r="AH135" s="692">
        <f t="shared" si="24"/>
        <v>0</v>
      </c>
      <c r="AI135" s="692">
        <f t="shared" si="25"/>
        <v>0</v>
      </c>
      <c r="AJ135" s="692">
        <f t="shared" si="26"/>
        <v>0</v>
      </c>
      <c r="AL135" s="38">
        <f t="shared" si="27"/>
        <v>1900.23</v>
      </c>
      <c r="AM135" s="123" t="s">
        <v>867</v>
      </c>
    </row>
    <row r="136" spans="1:39" s="232" customFormat="1">
      <c r="A136" s="283"/>
      <c r="B136" s="283" t="s">
        <v>110</v>
      </c>
      <c r="C136" s="667"/>
      <c r="D136" s="68" t="s">
        <v>488</v>
      </c>
      <c r="E136" s="679"/>
      <c r="F136" s="529">
        <f>VLOOKUP(D136,'Jan14 Revenue'!D:V,19,FALSE)</f>
        <v>0</v>
      </c>
      <c r="G136" s="680"/>
      <c r="H136" s="680"/>
      <c r="I136" s="755"/>
      <c r="J136" s="682">
        <f t="shared" si="16"/>
        <v>0</v>
      </c>
      <c r="K136" s="683"/>
      <c r="L136" s="684"/>
      <c r="M136" s="753"/>
      <c r="N136" s="683">
        <v>0</v>
      </c>
      <c r="O136" s="686"/>
      <c r="P136" s="683">
        <v>0</v>
      </c>
      <c r="Q136" s="687">
        <f t="shared" si="1"/>
        <v>0</v>
      </c>
      <c r="R136" s="687"/>
      <c r="S136" s="687"/>
      <c r="T136" s="688">
        <v>0</v>
      </c>
      <c r="U136" s="693"/>
      <c r="V136" s="690">
        <f t="shared" si="15"/>
        <v>0</v>
      </c>
      <c r="W136" s="683"/>
      <c r="X136" s="474">
        <f t="shared" si="20"/>
        <v>0</v>
      </c>
      <c r="Y136" s="474">
        <f t="shared" si="21"/>
        <v>0</v>
      </c>
      <c r="Z136" s="475">
        <f t="shared" si="22"/>
        <v>0</v>
      </c>
      <c r="AA136" s="475">
        <v>0</v>
      </c>
      <c r="AB136" s="476">
        <v>0</v>
      </c>
      <c r="AC136" s="38">
        <f t="shared" si="23"/>
        <v>0</v>
      </c>
      <c r="AD136" s="692">
        <f t="shared" si="17"/>
        <v>0</v>
      </c>
      <c r="AE136" s="692">
        <f t="shared" si="18"/>
        <v>0</v>
      </c>
      <c r="AF136" s="692">
        <f t="shared" si="19"/>
        <v>0</v>
      </c>
      <c r="AG136" s="38"/>
      <c r="AH136" s="692">
        <f t="shared" si="24"/>
        <v>0</v>
      </c>
      <c r="AI136" s="692">
        <f t="shared" si="25"/>
        <v>0</v>
      </c>
      <c r="AJ136" s="692">
        <f t="shared" si="26"/>
        <v>0</v>
      </c>
      <c r="AL136" s="38">
        <f t="shared" si="27"/>
        <v>0</v>
      </c>
      <c r="AM136" s="68" t="s">
        <v>488</v>
      </c>
    </row>
    <row r="137" spans="1:39" s="232" customFormat="1">
      <c r="A137" s="283"/>
      <c r="B137" s="283" t="s">
        <v>110</v>
      </c>
      <c r="C137" s="667" t="s">
        <v>555</v>
      </c>
      <c r="D137" s="123" t="s">
        <v>192</v>
      </c>
      <c r="E137" s="679"/>
      <c r="F137" s="529">
        <f>VLOOKUP(D137,'Jan14 Revenue'!D:V,19,FALSE)</f>
        <v>3035.9599999999991</v>
      </c>
      <c r="G137" s="680"/>
      <c r="H137" s="680"/>
      <c r="I137" s="755"/>
      <c r="J137" s="682">
        <f t="shared" si="16"/>
        <v>3035.9599999999991</v>
      </c>
      <c r="K137" s="683"/>
      <c r="L137" s="684"/>
      <c r="M137" s="753"/>
      <c r="N137" s="683">
        <v>0</v>
      </c>
      <c r="O137" s="686"/>
      <c r="P137" s="683">
        <v>0</v>
      </c>
      <c r="Q137" s="687">
        <f t="shared" si="1"/>
        <v>0</v>
      </c>
      <c r="R137" s="687"/>
      <c r="S137" s="687"/>
      <c r="T137" s="688">
        <v>0</v>
      </c>
      <c r="U137" s="693"/>
      <c r="V137" s="690">
        <f t="shared" si="15"/>
        <v>0</v>
      </c>
      <c r="W137" s="683"/>
      <c r="X137" s="474">
        <f t="shared" si="20"/>
        <v>0</v>
      </c>
      <c r="Y137" s="474">
        <f t="shared" si="21"/>
        <v>0</v>
      </c>
      <c r="Z137" s="475">
        <f t="shared" si="22"/>
        <v>0</v>
      </c>
      <c r="AA137" s="475">
        <v>0</v>
      </c>
      <c r="AB137" s="476">
        <v>0</v>
      </c>
      <c r="AC137" s="38">
        <f t="shared" si="23"/>
        <v>0</v>
      </c>
      <c r="AD137" s="692">
        <f t="shared" si="17"/>
        <v>3035.9599999999991</v>
      </c>
      <c r="AE137" s="692">
        <f t="shared" si="18"/>
        <v>0</v>
      </c>
      <c r="AF137" s="692">
        <f t="shared" si="19"/>
        <v>0</v>
      </c>
      <c r="AG137" s="38"/>
      <c r="AH137" s="692">
        <f t="shared" si="24"/>
        <v>0</v>
      </c>
      <c r="AI137" s="692">
        <f t="shared" si="25"/>
        <v>0</v>
      </c>
      <c r="AJ137" s="692">
        <f t="shared" si="26"/>
        <v>0</v>
      </c>
      <c r="AL137" s="38">
        <f t="shared" si="27"/>
        <v>3035.9599999999991</v>
      </c>
      <c r="AM137" s="123" t="s">
        <v>192</v>
      </c>
    </row>
    <row r="138" spans="1:39" s="232" customFormat="1" hidden="1">
      <c r="A138" s="283"/>
      <c r="B138" s="283" t="s">
        <v>110</v>
      </c>
      <c r="C138" s="667" t="s">
        <v>555</v>
      </c>
      <c r="D138" s="123" t="s">
        <v>193</v>
      </c>
      <c r="E138" s="679"/>
      <c r="F138" s="529">
        <f>VLOOKUP(D138,'Jan14 Revenue'!D:V,19,FALSE)</f>
        <v>0</v>
      </c>
      <c r="G138" s="680"/>
      <c r="H138" s="680"/>
      <c r="I138" s="755"/>
      <c r="J138" s="682">
        <f t="shared" si="16"/>
        <v>0</v>
      </c>
      <c r="K138" s="683"/>
      <c r="L138" s="684"/>
      <c r="M138" s="753"/>
      <c r="N138" s="683">
        <v>0</v>
      </c>
      <c r="O138" s="686"/>
      <c r="P138" s="683">
        <v>0</v>
      </c>
      <c r="Q138" s="687">
        <f t="shared" si="1"/>
        <v>0</v>
      </c>
      <c r="R138" s="687"/>
      <c r="S138" s="687"/>
      <c r="T138" s="688">
        <v>0</v>
      </c>
      <c r="U138" s="693"/>
      <c r="V138" s="690">
        <f t="shared" si="15"/>
        <v>0</v>
      </c>
      <c r="W138" s="683"/>
      <c r="X138" s="474">
        <f t="shared" si="20"/>
        <v>0</v>
      </c>
      <c r="Y138" s="474">
        <f t="shared" si="21"/>
        <v>0</v>
      </c>
      <c r="Z138" s="475">
        <f t="shared" si="22"/>
        <v>0</v>
      </c>
      <c r="AA138" s="475">
        <v>0</v>
      </c>
      <c r="AB138" s="476">
        <v>0</v>
      </c>
      <c r="AC138" s="38">
        <f t="shared" si="23"/>
        <v>0</v>
      </c>
      <c r="AD138" s="692">
        <f t="shared" si="17"/>
        <v>0</v>
      </c>
      <c r="AE138" s="692">
        <f t="shared" si="18"/>
        <v>0</v>
      </c>
      <c r="AF138" s="692">
        <f t="shared" si="19"/>
        <v>0</v>
      </c>
      <c r="AG138" s="38"/>
      <c r="AH138" s="692">
        <f t="shared" si="24"/>
        <v>0</v>
      </c>
      <c r="AI138" s="692">
        <f t="shared" si="25"/>
        <v>0</v>
      </c>
      <c r="AJ138" s="692">
        <f t="shared" si="26"/>
        <v>0</v>
      </c>
      <c r="AL138" s="38">
        <f t="shared" si="27"/>
        <v>0</v>
      </c>
      <c r="AM138" s="123" t="s">
        <v>193</v>
      </c>
    </row>
    <row r="139" spans="1:39" s="232" customFormat="1" hidden="1">
      <c r="A139" s="283"/>
      <c r="B139" s="283" t="s">
        <v>110</v>
      </c>
      <c r="C139" s="667" t="s">
        <v>555</v>
      </c>
      <c r="D139" s="123" t="s">
        <v>194</v>
      </c>
      <c r="E139" s="679"/>
      <c r="F139" s="529">
        <f>VLOOKUP(D139,'Jan14 Revenue'!D:V,19,FALSE)</f>
        <v>0</v>
      </c>
      <c r="G139" s="680"/>
      <c r="H139" s="680"/>
      <c r="I139" s="755"/>
      <c r="J139" s="682">
        <f t="shared" si="16"/>
        <v>0</v>
      </c>
      <c r="K139" s="683"/>
      <c r="L139" s="684"/>
      <c r="M139" s="753"/>
      <c r="N139" s="683">
        <v>0</v>
      </c>
      <c r="O139" s="686"/>
      <c r="P139" s="683">
        <v>0</v>
      </c>
      <c r="Q139" s="687">
        <f t="shared" si="1"/>
        <v>0</v>
      </c>
      <c r="R139" s="687"/>
      <c r="S139" s="687"/>
      <c r="T139" s="688">
        <v>0</v>
      </c>
      <c r="U139" s="693"/>
      <c r="V139" s="690">
        <f t="shared" si="15"/>
        <v>0</v>
      </c>
      <c r="W139" s="683"/>
      <c r="X139" s="474">
        <f t="shared" si="20"/>
        <v>0</v>
      </c>
      <c r="Y139" s="474">
        <f t="shared" si="21"/>
        <v>0</v>
      </c>
      <c r="Z139" s="475">
        <f t="shared" si="22"/>
        <v>0</v>
      </c>
      <c r="AA139" s="475">
        <v>0</v>
      </c>
      <c r="AB139" s="476">
        <v>0</v>
      </c>
      <c r="AC139" s="38">
        <f t="shared" si="23"/>
        <v>0</v>
      </c>
      <c r="AD139" s="692">
        <f t="shared" si="17"/>
        <v>0</v>
      </c>
      <c r="AE139" s="692">
        <f t="shared" si="18"/>
        <v>0</v>
      </c>
      <c r="AF139" s="692">
        <f t="shared" si="19"/>
        <v>0</v>
      </c>
      <c r="AG139" s="38"/>
      <c r="AH139" s="692">
        <f t="shared" si="24"/>
        <v>0</v>
      </c>
      <c r="AI139" s="692">
        <f t="shared" si="25"/>
        <v>0</v>
      </c>
      <c r="AJ139" s="692">
        <f t="shared" si="26"/>
        <v>0</v>
      </c>
      <c r="AL139" s="38">
        <f t="shared" si="27"/>
        <v>0</v>
      </c>
      <c r="AM139" s="123" t="s">
        <v>194</v>
      </c>
    </row>
    <row r="140" spans="1:39" s="232" customFormat="1" hidden="1">
      <c r="A140" s="283"/>
      <c r="B140" s="283" t="s">
        <v>110</v>
      </c>
      <c r="C140" s="667" t="s">
        <v>555</v>
      </c>
      <c r="D140" s="123" t="s">
        <v>195</v>
      </c>
      <c r="E140" s="679"/>
      <c r="F140" s="529">
        <f>VLOOKUP(D140,'Jan14 Revenue'!D:V,19,FALSE)</f>
        <v>0</v>
      </c>
      <c r="G140" s="680"/>
      <c r="H140" s="680"/>
      <c r="I140" s="755"/>
      <c r="J140" s="682">
        <f t="shared" si="16"/>
        <v>0</v>
      </c>
      <c r="K140" s="683"/>
      <c r="L140" s="684"/>
      <c r="M140" s="753"/>
      <c r="N140" s="683">
        <v>0</v>
      </c>
      <c r="O140" s="686"/>
      <c r="P140" s="683">
        <v>0</v>
      </c>
      <c r="Q140" s="687">
        <f t="shared" si="1"/>
        <v>0</v>
      </c>
      <c r="R140" s="687"/>
      <c r="S140" s="687"/>
      <c r="T140" s="688">
        <v>0</v>
      </c>
      <c r="U140" s="693"/>
      <c r="V140" s="690">
        <f t="shared" si="15"/>
        <v>0</v>
      </c>
      <c r="W140" s="683"/>
      <c r="X140" s="474">
        <f t="shared" si="20"/>
        <v>0</v>
      </c>
      <c r="Y140" s="474">
        <f t="shared" si="21"/>
        <v>0</v>
      </c>
      <c r="Z140" s="475">
        <f t="shared" si="22"/>
        <v>0</v>
      </c>
      <c r="AA140" s="475">
        <v>0</v>
      </c>
      <c r="AB140" s="476">
        <v>0</v>
      </c>
      <c r="AC140" s="38">
        <f t="shared" si="23"/>
        <v>0</v>
      </c>
      <c r="AD140" s="692">
        <f t="shared" si="17"/>
        <v>0</v>
      </c>
      <c r="AE140" s="692">
        <f t="shared" si="18"/>
        <v>0</v>
      </c>
      <c r="AF140" s="692">
        <f t="shared" si="19"/>
        <v>0</v>
      </c>
      <c r="AG140" s="38"/>
      <c r="AH140" s="692">
        <f t="shared" si="24"/>
        <v>0</v>
      </c>
      <c r="AI140" s="692">
        <f t="shared" si="25"/>
        <v>0</v>
      </c>
      <c r="AJ140" s="692">
        <f t="shared" si="26"/>
        <v>0</v>
      </c>
      <c r="AL140" s="38">
        <f t="shared" si="27"/>
        <v>0</v>
      </c>
      <c r="AM140" s="123" t="s">
        <v>195</v>
      </c>
    </row>
    <row r="141" spans="1:39" s="232" customFormat="1" hidden="1">
      <c r="A141" s="283"/>
      <c r="B141" s="283" t="s">
        <v>110</v>
      </c>
      <c r="C141" s="667" t="s">
        <v>555</v>
      </c>
      <c r="D141" s="123" t="s">
        <v>196</v>
      </c>
      <c r="E141" s="679"/>
      <c r="F141" s="529">
        <f>VLOOKUP(D141,'Jan14 Revenue'!D:V,19,FALSE)</f>
        <v>0</v>
      </c>
      <c r="G141" s="680"/>
      <c r="H141" s="680"/>
      <c r="I141" s="755"/>
      <c r="J141" s="682">
        <f t="shared" si="16"/>
        <v>0</v>
      </c>
      <c r="K141" s="683"/>
      <c r="L141" s="684"/>
      <c r="M141" s="753"/>
      <c r="N141" s="683">
        <v>0</v>
      </c>
      <c r="O141" s="686"/>
      <c r="P141" s="683">
        <v>0</v>
      </c>
      <c r="Q141" s="687">
        <f t="shared" si="1"/>
        <v>0</v>
      </c>
      <c r="R141" s="687"/>
      <c r="S141" s="687"/>
      <c r="T141" s="688">
        <v>0</v>
      </c>
      <c r="U141" s="693"/>
      <c r="V141" s="690">
        <f t="shared" si="15"/>
        <v>0</v>
      </c>
      <c r="W141" s="683"/>
      <c r="X141" s="474">
        <f t="shared" si="20"/>
        <v>0</v>
      </c>
      <c r="Y141" s="474">
        <f t="shared" si="21"/>
        <v>0</v>
      </c>
      <c r="Z141" s="475">
        <f t="shared" si="22"/>
        <v>0</v>
      </c>
      <c r="AA141" s="475">
        <v>0</v>
      </c>
      <c r="AB141" s="476">
        <v>0</v>
      </c>
      <c r="AC141" s="38">
        <f t="shared" si="23"/>
        <v>0</v>
      </c>
      <c r="AD141" s="692">
        <f t="shared" si="17"/>
        <v>0</v>
      </c>
      <c r="AE141" s="692">
        <f t="shared" si="18"/>
        <v>0</v>
      </c>
      <c r="AF141" s="692">
        <f t="shared" si="19"/>
        <v>0</v>
      </c>
      <c r="AG141" s="38"/>
      <c r="AH141" s="692">
        <f t="shared" si="24"/>
        <v>0</v>
      </c>
      <c r="AI141" s="692">
        <f t="shared" si="25"/>
        <v>0</v>
      </c>
      <c r="AJ141" s="692">
        <f t="shared" si="26"/>
        <v>0</v>
      </c>
      <c r="AL141" s="38">
        <f t="shared" si="27"/>
        <v>0</v>
      </c>
      <c r="AM141" s="123" t="s">
        <v>196</v>
      </c>
    </row>
    <row r="142" spans="1:39" s="232" customFormat="1" hidden="1">
      <c r="A142" s="283"/>
      <c r="B142" s="283" t="s">
        <v>110</v>
      </c>
      <c r="C142" s="667" t="s">
        <v>555</v>
      </c>
      <c r="D142" s="123" t="s">
        <v>197</v>
      </c>
      <c r="E142" s="679"/>
      <c r="F142" s="529">
        <f>VLOOKUP(D142,'Jan14 Revenue'!D:V,19,FALSE)</f>
        <v>0</v>
      </c>
      <c r="G142" s="680"/>
      <c r="H142" s="680"/>
      <c r="I142" s="755"/>
      <c r="J142" s="682">
        <f t="shared" si="16"/>
        <v>0</v>
      </c>
      <c r="K142" s="683"/>
      <c r="L142" s="684"/>
      <c r="M142" s="753"/>
      <c r="N142" s="683">
        <v>0</v>
      </c>
      <c r="O142" s="686"/>
      <c r="P142" s="683">
        <v>0</v>
      </c>
      <c r="Q142" s="687">
        <f t="shared" si="1"/>
        <v>0</v>
      </c>
      <c r="R142" s="687"/>
      <c r="S142" s="687"/>
      <c r="T142" s="688">
        <v>0</v>
      </c>
      <c r="U142" s="693"/>
      <c r="V142" s="690">
        <f t="shared" si="15"/>
        <v>0</v>
      </c>
      <c r="W142" s="683"/>
      <c r="X142" s="474">
        <f t="shared" si="20"/>
        <v>0</v>
      </c>
      <c r="Y142" s="474">
        <f t="shared" si="21"/>
        <v>0</v>
      </c>
      <c r="Z142" s="475">
        <f t="shared" si="22"/>
        <v>0</v>
      </c>
      <c r="AA142" s="475">
        <v>0</v>
      </c>
      <c r="AB142" s="476">
        <v>0</v>
      </c>
      <c r="AC142" s="38">
        <f t="shared" si="23"/>
        <v>0</v>
      </c>
      <c r="AD142" s="692">
        <f t="shared" si="17"/>
        <v>0</v>
      </c>
      <c r="AE142" s="692">
        <f t="shared" si="18"/>
        <v>0</v>
      </c>
      <c r="AF142" s="692">
        <f t="shared" si="19"/>
        <v>0</v>
      </c>
      <c r="AG142" s="38"/>
      <c r="AH142" s="692">
        <f t="shared" si="24"/>
        <v>0</v>
      </c>
      <c r="AI142" s="692">
        <f t="shared" si="25"/>
        <v>0</v>
      </c>
      <c r="AJ142" s="692">
        <f t="shared" si="26"/>
        <v>0</v>
      </c>
      <c r="AL142" s="38">
        <f t="shared" si="27"/>
        <v>0</v>
      </c>
      <c r="AM142" s="123" t="s">
        <v>197</v>
      </c>
    </row>
    <row r="143" spans="1:39" s="232" customFormat="1" hidden="1">
      <c r="A143" s="283"/>
      <c r="B143" s="283" t="s">
        <v>110</v>
      </c>
      <c r="C143" s="667" t="s">
        <v>555</v>
      </c>
      <c r="D143" s="123" t="s">
        <v>440</v>
      </c>
      <c r="E143" s="679"/>
      <c r="F143" s="529">
        <f>VLOOKUP(D143,'Jan14 Revenue'!D:V,19,FALSE)</f>
        <v>0</v>
      </c>
      <c r="G143" s="680"/>
      <c r="H143" s="680"/>
      <c r="I143" s="755"/>
      <c r="J143" s="682">
        <f t="shared" si="16"/>
        <v>0</v>
      </c>
      <c r="K143" s="683"/>
      <c r="L143" s="684"/>
      <c r="M143" s="753"/>
      <c r="N143" s="683">
        <v>0</v>
      </c>
      <c r="O143" s="686"/>
      <c r="P143" s="683">
        <v>0</v>
      </c>
      <c r="Q143" s="687">
        <f t="shared" si="1"/>
        <v>0</v>
      </c>
      <c r="R143" s="687"/>
      <c r="S143" s="687"/>
      <c r="T143" s="688">
        <v>0</v>
      </c>
      <c r="U143" s="693"/>
      <c r="V143" s="690">
        <f t="shared" si="15"/>
        <v>0</v>
      </c>
      <c r="W143" s="683"/>
      <c r="X143" s="474">
        <f t="shared" si="20"/>
        <v>0</v>
      </c>
      <c r="Y143" s="474">
        <f t="shared" si="21"/>
        <v>0</v>
      </c>
      <c r="Z143" s="475">
        <f t="shared" si="22"/>
        <v>0</v>
      </c>
      <c r="AA143" s="475">
        <v>0</v>
      </c>
      <c r="AB143" s="476">
        <v>0</v>
      </c>
      <c r="AC143" s="38">
        <f t="shared" si="23"/>
        <v>0</v>
      </c>
      <c r="AD143" s="692">
        <f t="shared" si="17"/>
        <v>0</v>
      </c>
      <c r="AE143" s="692">
        <f t="shared" si="18"/>
        <v>0</v>
      </c>
      <c r="AF143" s="692">
        <f t="shared" si="19"/>
        <v>0</v>
      </c>
      <c r="AG143" s="38"/>
      <c r="AH143" s="692">
        <f t="shared" si="24"/>
        <v>0</v>
      </c>
      <c r="AI143" s="692">
        <f t="shared" si="25"/>
        <v>0</v>
      </c>
      <c r="AJ143" s="692">
        <f t="shared" si="26"/>
        <v>0</v>
      </c>
      <c r="AL143" s="38">
        <f t="shared" si="27"/>
        <v>0</v>
      </c>
      <c r="AM143" s="123" t="s">
        <v>440</v>
      </c>
    </row>
    <row r="144" spans="1:39" s="232" customFormat="1">
      <c r="A144" s="283"/>
      <c r="B144" s="283" t="s">
        <v>110</v>
      </c>
      <c r="C144" s="667" t="s">
        <v>555</v>
      </c>
      <c r="D144" s="123" t="s">
        <v>481</v>
      </c>
      <c r="E144" s="679"/>
      <c r="F144" s="529">
        <f>VLOOKUP(D144,'Jan14 Revenue'!D:V,19,FALSE)</f>
        <v>0</v>
      </c>
      <c r="G144" s="680"/>
      <c r="H144" s="680"/>
      <c r="I144" s="755"/>
      <c r="J144" s="682">
        <f t="shared" si="16"/>
        <v>0</v>
      </c>
      <c r="K144" s="683"/>
      <c r="L144" s="684"/>
      <c r="M144" s="753"/>
      <c r="N144" s="683">
        <v>0</v>
      </c>
      <c r="O144" s="686"/>
      <c r="P144" s="683">
        <v>0</v>
      </c>
      <c r="Q144" s="687">
        <f t="shared" si="1"/>
        <v>0</v>
      </c>
      <c r="R144" s="687"/>
      <c r="S144" s="687"/>
      <c r="T144" s="688">
        <v>0</v>
      </c>
      <c r="U144" s="693"/>
      <c r="V144" s="690">
        <f t="shared" ref="V144" si="28">IF(T144="","",T144-Q144)</f>
        <v>0</v>
      </c>
      <c r="W144" s="683"/>
      <c r="X144" s="474">
        <f t="shared" si="20"/>
        <v>0</v>
      </c>
      <c r="Y144" s="474">
        <f t="shared" si="21"/>
        <v>0</v>
      </c>
      <c r="Z144" s="475">
        <f t="shared" si="22"/>
        <v>0</v>
      </c>
      <c r="AA144" s="475">
        <v>0</v>
      </c>
      <c r="AB144" s="476">
        <v>0</v>
      </c>
      <c r="AC144" s="38">
        <f t="shared" si="23"/>
        <v>0</v>
      </c>
      <c r="AD144" s="692">
        <f t="shared" si="17"/>
        <v>0</v>
      </c>
      <c r="AE144" s="692">
        <f t="shared" si="18"/>
        <v>0</v>
      </c>
      <c r="AF144" s="692">
        <f t="shared" si="19"/>
        <v>0</v>
      </c>
      <c r="AG144" s="38"/>
      <c r="AH144" s="692">
        <f t="shared" si="24"/>
        <v>0</v>
      </c>
      <c r="AI144" s="692">
        <f t="shared" si="25"/>
        <v>0</v>
      </c>
      <c r="AJ144" s="692">
        <f t="shared" si="26"/>
        <v>0</v>
      </c>
      <c r="AL144" s="38">
        <f t="shared" si="27"/>
        <v>0</v>
      </c>
      <c r="AM144" s="123" t="s">
        <v>481</v>
      </c>
    </row>
    <row r="145" spans="1:39" s="232" customFormat="1">
      <c r="A145" s="283"/>
      <c r="B145" s="283" t="s">
        <v>109</v>
      </c>
      <c r="C145" s="667" t="s">
        <v>555</v>
      </c>
      <c r="D145" s="123" t="s">
        <v>248</v>
      </c>
      <c r="E145" s="679"/>
      <c r="F145" s="529">
        <f>VLOOKUP(D145,'Jan14 Revenue'!D:V,19,FALSE)</f>
        <v>0</v>
      </c>
      <c r="G145" s="680"/>
      <c r="H145" s="680"/>
      <c r="I145" s="755"/>
      <c r="J145" s="682">
        <f>SUM(E145:I145)</f>
        <v>0</v>
      </c>
      <c r="K145" s="683"/>
      <c r="L145" s="684"/>
      <c r="M145" s="753"/>
      <c r="N145" s="683">
        <v>0</v>
      </c>
      <c r="O145" s="686"/>
      <c r="P145" s="683">
        <v>0</v>
      </c>
      <c r="Q145" s="687">
        <f t="shared" si="1"/>
        <v>0</v>
      </c>
      <c r="R145" s="687"/>
      <c r="S145" s="687"/>
      <c r="T145" s="688">
        <v>0</v>
      </c>
      <c r="U145" s="693"/>
      <c r="V145" s="690">
        <f t="shared" ref="V145:V157" si="29">IF(T145="","",T145-Q145)</f>
        <v>0</v>
      </c>
      <c r="W145" s="683"/>
      <c r="X145" s="474">
        <f t="shared" si="20"/>
        <v>0</v>
      </c>
      <c r="Y145" s="474">
        <f t="shared" si="21"/>
        <v>0</v>
      </c>
      <c r="Z145" s="475">
        <f t="shared" si="22"/>
        <v>0</v>
      </c>
      <c r="AA145" s="475">
        <v>0</v>
      </c>
      <c r="AB145" s="476">
        <v>0</v>
      </c>
      <c r="AC145" s="38">
        <f t="shared" si="23"/>
        <v>0</v>
      </c>
      <c r="AD145" s="692">
        <f t="shared" si="17"/>
        <v>0</v>
      </c>
      <c r="AE145" s="692">
        <f t="shared" si="18"/>
        <v>0</v>
      </c>
      <c r="AF145" s="692">
        <f t="shared" si="19"/>
        <v>0</v>
      </c>
      <c r="AG145" s="38"/>
      <c r="AH145" s="692">
        <f t="shared" si="24"/>
        <v>0</v>
      </c>
      <c r="AI145" s="692">
        <f t="shared" si="25"/>
        <v>0</v>
      </c>
      <c r="AJ145" s="692">
        <f t="shared" si="26"/>
        <v>0</v>
      </c>
      <c r="AL145" s="38">
        <f t="shared" si="27"/>
        <v>0</v>
      </c>
      <c r="AM145" s="123" t="s">
        <v>248</v>
      </c>
    </row>
    <row r="146" spans="1:39" s="232" customFormat="1">
      <c r="A146" s="283"/>
      <c r="B146" s="20" t="s">
        <v>109</v>
      </c>
      <c r="C146" s="667"/>
      <c r="D146" s="68" t="s">
        <v>465</v>
      </c>
      <c r="E146" s="679"/>
      <c r="F146" s="529">
        <f>VLOOKUP(D146,'Jan14 Revenue'!D:V,19,FALSE)</f>
        <v>-30000</v>
      </c>
      <c r="G146" s="680"/>
      <c r="H146" s="680"/>
      <c r="I146" s="755"/>
      <c r="J146" s="682">
        <f t="shared" si="16"/>
        <v>-30000</v>
      </c>
      <c r="K146" s="683"/>
      <c r="L146" s="684"/>
      <c r="M146" s="753">
        <v>35000</v>
      </c>
      <c r="N146" s="683">
        <v>0</v>
      </c>
      <c r="O146" s="686"/>
      <c r="P146" s="683">
        <v>0</v>
      </c>
      <c r="Q146" s="687">
        <f t="shared" si="1"/>
        <v>35000</v>
      </c>
      <c r="R146" s="687"/>
      <c r="S146" s="687"/>
      <c r="T146" s="688">
        <v>0</v>
      </c>
      <c r="U146" s="693"/>
      <c r="V146" s="690">
        <f t="shared" si="29"/>
        <v>-35000</v>
      </c>
      <c r="W146" s="683"/>
      <c r="X146" s="474">
        <f t="shared" si="20"/>
        <v>0</v>
      </c>
      <c r="Y146" s="474">
        <f t="shared" si="21"/>
        <v>35000</v>
      </c>
      <c r="Z146" s="475">
        <f t="shared" si="22"/>
        <v>0</v>
      </c>
      <c r="AA146" s="475">
        <v>0</v>
      </c>
      <c r="AB146" s="476">
        <v>0</v>
      </c>
      <c r="AC146" s="38">
        <f t="shared" si="23"/>
        <v>0</v>
      </c>
      <c r="AD146" s="692">
        <f t="shared" si="17"/>
        <v>0</v>
      </c>
      <c r="AE146" s="692">
        <f t="shared" si="18"/>
        <v>-30000</v>
      </c>
      <c r="AF146" s="692">
        <f t="shared" si="19"/>
        <v>0</v>
      </c>
      <c r="AG146" s="38"/>
      <c r="AH146" s="692">
        <f t="shared" si="24"/>
        <v>0</v>
      </c>
      <c r="AI146" s="692">
        <f t="shared" si="25"/>
        <v>35000</v>
      </c>
      <c r="AJ146" s="692">
        <f t="shared" si="26"/>
        <v>0</v>
      </c>
      <c r="AL146" s="38">
        <f t="shared" si="27"/>
        <v>5000</v>
      </c>
      <c r="AM146" s="68" t="s">
        <v>465</v>
      </c>
    </row>
    <row r="147" spans="1:39">
      <c r="A147" s="21"/>
      <c r="B147" s="21" t="s">
        <v>110</v>
      </c>
      <c r="C147" s="666" t="s">
        <v>556</v>
      </c>
      <c r="D147" s="68" t="s">
        <v>261</v>
      </c>
      <c r="E147" s="679"/>
      <c r="F147" s="529">
        <f>VLOOKUP(D147,'Jan14 Revenue'!D:V,19,FALSE)</f>
        <v>31587.140000000014</v>
      </c>
      <c r="G147" s="680"/>
      <c r="H147" s="680"/>
      <c r="I147" s="755"/>
      <c r="J147" s="682">
        <f t="shared" si="16"/>
        <v>31587.140000000014</v>
      </c>
      <c r="K147" s="683"/>
      <c r="L147" s="684"/>
      <c r="M147" s="753">
        <v>315000</v>
      </c>
      <c r="N147" s="683">
        <v>0</v>
      </c>
      <c r="O147" s="686"/>
      <c r="P147" s="683">
        <v>0</v>
      </c>
      <c r="Q147" s="687">
        <f t="shared" si="1"/>
        <v>315000</v>
      </c>
      <c r="R147" s="687"/>
      <c r="S147" s="687"/>
      <c r="T147" s="688">
        <f>SUM(343988.52-T148)</f>
        <v>326892.43</v>
      </c>
      <c r="U147" s="693"/>
      <c r="V147" s="690">
        <f t="shared" si="29"/>
        <v>11892.429999999993</v>
      </c>
      <c r="W147" s="683"/>
      <c r="X147" s="474">
        <f t="shared" si="20"/>
        <v>315000</v>
      </c>
      <c r="Y147" s="474">
        <f t="shared" si="21"/>
        <v>0</v>
      </c>
      <c r="Z147" s="475">
        <f t="shared" si="22"/>
        <v>0</v>
      </c>
      <c r="AA147" s="475">
        <v>0</v>
      </c>
      <c r="AB147" s="476">
        <v>0</v>
      </c>
      <c r="AC147" s="38">
        <f t="shared" si="23"/>
        <v>0</v>
      </c>
      <c r="AD147" s="692">
        <f t="shared" si="17"/>
        <v>31587.140000000014</v>
      </c>
      <c r="AE147" s="692">
        <f t="shared" si="18"/>
        <v>0</v>
      </c>
      <c r="AF147" s="692">
        <f t="shared" si="19"/>
        <v>0</v>
      </c>
      <c r="AG147" s="38"/>
      <c r="AH147" s="692">
        <f t="shared" si="24"/>
        <v>315000</v>
      </c>
      <c r="AI147" s="692">
        <f t="shared" si="25"/>
        <v>0</v>
      </c>
      <c r="AJ147" s="692">
        <f t="shared" si="26"/>
        <v>0</v>
      </c>
      <c r="AL147" s="38">
        <f t="shared" si="27"/>
        <v>346587.14</v>
      </c>
      <c r="AM147" s="68" t="s">
        <v>261</v>
      </c>
    </row>
    <row r="148" spans="1:39" s="269" customFormat="1">
      <c r="A148" s="21"/>
      <c r="B148" s="21" t="s">
        <v>110</v>
      </c>
      <c r="C148" s="666" t="s">
        <v>556</v>
      </c>
      <c r="D148" s="68" t="s">
        <v>262</v>
      </c>
      <c r="E148" s="679"/>
      <c r="F148" s="529">
        <f>VLOOKUP(D148,'Jan14 Revenue'!D:V,19,FALSE)</f>
        <v>1700.9700000000012</v>
      </c>
      <c r="G148" s="680"/>
      <c r="H148" s="680"/>
      <c r="I148" s="755"/>
      <c r="J148" s="682">
        <f t="shared" si="16"/>
        <v>1700.9700000000012</v>
      </c>
      <c r="K148" s="683"/>
      <c r="L148" s="684"/>
      <c r="M148" s="753">
        <v>15000</v>
      </c>
      <c r="N148" s="683">
        <v>0</v>
      </c>
      <c r="O148" s="686"/>
      <c r="P148" s="683">
        <v>0</v>
      </c>
      <c r="Q148" s="687">
        <f t="shared" si="1"/>
        <v>15000</v>
      </c>
      <c r="R148" s="687"/>
      <c r="S148" s="687"/>
      <c r="T148" s="688">
        <v>17096.09</v>
      </c>
      <c r="U148" s="693"/>
      <c r="V148" s="690">
        <f t="shared" si="29"/>
        <v>2096.09</v>
      </c>
      <c r="W148" s="683"/>
      <c r="X148" s="474">
        <f t="shared" si="20"/>
        <v>15000</v>
      </c>
      <c r="Y148" s="474">
        <f t="shared" si="21"/>
        <v>0</v>
      </c>
      <c r="Z148" s="475">
        <f t="shared" si="22"/>
        <v>0</v>
      </c>
      <c r="AA148" s="475">
        <v>0</v>
      </c>
      <c r="AB148" s="476">
        <v>0</v>
      </c>
      <c r="AC148" s="38">
        <f t="shared" si="23"/>
        <v>0</v>
      </c>
      <c r="AD148" s="692">
        <f t="shared" si="17"/>
        <v>1700.9700000000012</v>
      </c>
      <c r="AE148" s="692">
        <f t="shared" si="18"/>
        <v>0</v>
      </c>
      <c r="AF148" s="692">
        <f t="shared" si="19"/>
        <v>0</v>
      </c>
      <c r="AG148" s="38"/>
      <c r="AH148" s="692">
        <f t="shared" si="24"/>
        <v>15000</v>
      </c>
      <c r="AI148" s="692">
        <f t="shared" si="25"/>
        <v>0</v>
      </c>
      <c r="AJ148" s="692">
        <f t="shared" si="26"/>
        <v>0</v>
      </c>
      <c r="AL148" s="38">
        <f t="shared" si="27"/>
        <v>16700.97</v>
      </c>
      <c r="AM148" s="68" t="s">
        <v>262</v>
      </c>
    </row>
    <row r="149" spans="1:39" s="269" customFormat="1">
      <c r="A149" s="21"/>
      <c r="B149" s="21" t="s">
        <v>114</v>
      </c>
      <c r="C149" s="675" t="s">
        <v>619</v>
      </c>
      <c r="D149" s="68" t="s">
        <v>626</v>
      </c>
      <c r="E149" s="679"/>
      <c r="F149" s="529">
        <f>VLOOKUP(D149,'Jan14 Revenue'!D:V,19,FALSE)</f>
        <v>0</v>
      </c>
      <c r="G149" s="680"/>
      <c r="H149" s="680"/>
      <c r="I149" s="755"/>
      <c r="J149" s="682">
        <f t="shared" si="16"/>
        <v>0</v>
      </c>
      <c r="K149" s="683"/>
      <c r="L149" s="684"/>
      <c r="M149" s="753"/>
      <c r="N149" s="683">
        <v>0</v>
      </c>
      <c r="O149" s="686"/>
      <c r="P149" s="683">
        <v>0</v>
      </c>
      <c r="Q149" s="687">
        <f t="shared" ref="Q149:Q221" si="30">L149+M149</f>
        <v>0</v>
      </c>
      <c r="R149" s="687"/>
      <c r="S149" s="687"/>
      <c r="T149" s="688">
        <v>0</v>
      </c>
      <c r="U149" s="693"/>
      <c r="V149" s="690">
        <f t="shared" si="29"/>
        <v>0</v>
      </c>
      <c r="W149" s="683"/>
      <c r="X149" s="474">
        <f t="shared" si="20"/>
        <v>0</v>
      </c>
      <c r="Y149" s="474">
        <f t="shared" si="21"/>
        <v>0</v>
      </c>
      <c r="Z149" s="475">
        <f t="shared" si="22"/>
        <v>0</v>
      </c>
      <c r="AA149" s="475">
        <v>0</v>
      </c>
      <c r="AB149" s="476">
        <v>0</v>
      </c>
      <c r="AC149" s="38">
        <f t="shared" si="23"/>
        <v>0</v>
      </c>
      <c r="AD149" s="692">
        <f t="shared" si="17"/>
        <v>0</v>
      </c>
      <c r="AE149" s="692">
        <f t="shared" si="18"/>
        <v>0</v>
      </c>
      <c r="AF149" s="692">
        <f t="shared" si="19"/>
        <v>0</v>
      </c>
      <c r="AG149" s="38"/>
      <c r="AH149" s="692">
        <f t="shared" si="24"/>
        <v>0</v>
      </c>
      <c r="AI149" s="692">
        <f t="shared" si="25"/>
        <v>0</v>
      </c>
      <c r="AJ149" s="692">
        <f t="shared" si="26"/>
        <v>0</v>
      </c>
      <c r="AL149" s="38">
        <f t="shared" si="27"/>
        <v>0</v>
      </c>
      <c r="AM149" s="68" t="s">
        <v>626</v>
      </c>
    </row>
    <row r="150" spans="1:39">
      <c r="A150" s="21"/>
      <c r="B150" s="21" t="s">
        <v>109</v>
      </c>
      <c r="C150" s="666"/>
      <c r="D150" s="68" t="s">
        <v>396</v>
      </c>
      <c r="E150" s="679"/>
      <c r="F150" s="529">
        <f>VLOOKUP(D150,'Jan14 Revenue'!D:V,19,FALSE)</f>
        <v>0</v>
      </c>
      <c r="G150" s="680"/>
      <c r="H150" s="680"/>
      <c r="I150" s="755"/>
      <c r="J150" s="682">
        <f t="shared" si="16"/>
        <v>0</v>
      </c>
      <c r="K150" s="683"/>
      <c r="L150" s="684"/>
      <c r="M150" s="753"/>
      <c r="N150" s="683">
        <v>0</v>
      </c>
      <c r="O150" s="686"/>
      <c r="P150" s="683">
        <v>0</v>
      </c>
      <c r="Q150" s="687">
        <f t="shared" si="30"/>
        <v>0</v>
      </c>
      <c r="R150" s="687"/>
      <c r="S150" s="687"/>
      <c r="T150" s="688">
        <v>0</v>
      </c>
      <c r="U150" s="693"/>
      <c r="V150" s="690">
        <f t="shared" si="29"/>
        <v>0</v>
      </c>
      <c r="W150" s="683"/>
      <c r="X150" s="474">
        <f t="shared" si="20"/>
        <v>0</v>
      </c>
      <c r="Y150" s="474">
        <f t="shared" si="21"/>
        <v>0</v>
      </c>
      <c r="Z150" s="475">
        <f t="shared" si="22"/>
        <v>0</v>
      </c>
      <c r="AA150" s="475">
        <v>0</v>
      </c>
      <c r="AB150" s="476">
        <v>0</v>
      </c>
      <c r="AC150" s="38">
        <f t="shared" si="23"/>
        <v>0</v>
      </c>
      <c r="AD150" s="692">
        <f t="shared" si="17"/>
        <v>0</v>
      </c>
      <c r="AE150" s="692">
        <f t="shared" si="18"/>
        <v>0</v>
      </c>
      <c r="AF150" s="692">
        <f t="shared" si="19"/>
        <v>0</v>
      </c>
      <c r="AG150" s="38"/>
      <c r="AH150" s="692">
        <f t="shared" si="24"/>
        <v>0</v>
      </c>
      <c r="AI150" s="692">
        <f t="shared" si="25"/>
        <v>0</v>
      </c>
      <c r="AJ150" s="692">
        <f t="shared" si="26"/>
        <v>0</v>
      </c>
      <c r="AL150" s="38">
        <f t="shared" si="27"/>
        <v>0</v>
      </c>
      <c r="AM150" s="68" t="s">
        <v>396</v>
      </c>
    </row>
    <row r="151" spans="1:39">
      <c r="A151" s="20"/>
      <c r="B151" s="20" t="s">
        <v>109</v>
      </c>
      <c r="C151" s="667" t="s">
        <v>557</v>
      </c>
      <c r="D151" s="68" t="s">
        <v>32</v>
      </c>
      <c r="E151" s="679"/>
      <c r="F151" s="529">
        <f>VLOOKUP(D151,'Jan14 Revenue'!D:V,19,FALSE)</f>
        <v>0</v>
      </c>
      <c r="G151" s="680"/>
      <c r="H151" s="680"/>
      <c r="I151" s="755"/>
      <c r="J151" s="682">
        <f t="shared" si="16"/>
        <v>0</v>
      </c>
      <c r="K151" s="683"/>
      <c r="L151" s="684"/>
      <c r="M151" s="753"/>
      <c r="N151" s="683">
        <v>0</v>
      </c>
      <c r="O151" s="686"/>
      <c r="P151" s="683">
        <v>0</v>
      </c>
      <c r="Q151" s="687">
        <f t="shared" si="30"/>
        <v>0</v>
      </c>
      <c r="R151" s="687"/>
      <c r="S151" s="687"/>
      <c r="T151" s="688">
        <f>1.56+12.42</f>
        <v>13.98</v>
      </c>
      <c r="U151" s="693"/>
      <c r="V151" s="690">
        <f t="shared" si="29"/>
        <v>13.98</v>
      </c>
      <c r="W151" s="683"/>
      <c r="X151" s="474">
        <f t="shared" si="20"/>
        <v>0</v>
      </c>
      <c r="Y151" s="474">
        <f t="shared" si="21"/>
        <v>0</v>
      </c>
      <c r="Z151" s="475">
        <f t="shared" si="22"/>
        <v>0</v>
      </c>
      <c r="AA151" s="475">
        <v>0</v>
      </c>
      <c r="AB151" s="476">
        <v>0</v>
      </c>
      <c r="AC151" s="38">
        <f t="shared" si="23"/>
        <v>0</v>
      </c>
      <c r="AD151" s="692">
        <f t="shared" si="17"/>
        <v>0</v>
      </c>
      <c r="AE151" s="692">
        <f t="shared" si="18"/>
        <v>0</v>
      </c>
      <c r="AF151" s="692">
        <f t="shared" si="19"/>
        <v>0</v>
      </c>
      <c r="AG151" s="38"/>
      <c r="AH151" s="692">
        <f t="shared" si="24"/>
        <v>0</v>
      </c>
      <c r="AI151" s="692">
        <f t="shared" si="25"/>
        <v>0</v>
      </c>
      <c r="AJ151" s="692">
        <f t="shared" si="26"/>
        <v>0</v>
      </c>
      <c r="AL151" s="38">
        <f t="shared" si="27"/>
        <v>0</v>
      </c>
      <c r="AM151" s="68" t="s">
        <v>32</v>
      </c>
    </row>
    <row r="152" spans="1:39">
      <c r="A152" s="21"/>
      <c r="B152" s="21" t="s">
        <v>110</v>
      </c>
      <c r="C152" s="666"/>
      <c r="D152" s="68" t="s">
        <v>448</v>
      </c>
      <c r="E152" s="679"/>
      <c r="F152" s="529">
        <f>VLOOKUP(D152,'Jan14 Revenue'!D:V,19,FALSE)</f>
        <v>0</v>
      </c>
      <c r="G152" s="680"/>
      <c r="H152" s="680"/>
      <c r="I152" s="755"/>
      <c r="J152" s="682">
        <f t="shared" si="16"/>
        <v>0</v>
      </c>
      <c r="K152" s="683"/>
      <c r="L152" s="684"/>
      <c r="M152" s="753"/>
      <c r="N152" s="683">
        <v>0</v>
      </c>
      <c r="O152" s="686"/>
      <c r="P152" s="683">
        <v>0</v>
      </c>
      <c r="Q152" s="687">
        <f t="shared" si="30"/>
        <v>0</v>
      </c>
      <c r="R152" s="687"/>
      <c r="S152" s="687"/>
      <c r="T152" s="688">
        <v>0</v>
      </c>
      <c r="U152" s="693"/>
      <c r="V152" s="690">
        <f t="shared" si="29"/>
        <v>0</v>
      </c>
      <c r="W152" s="683"/>
      <c r="X152" s="474">
        <f t="shared" si="20"/>
        <v>0</v>
      </c>
      <c r="Y152" s="474">
        <f t="shared" si="21"/>
        <v>0</v>
      </c>
      <c r="Z152" s="475">
        <f t="shared" si="22"/>
        <v>0</v>
      </c>
      <c r="AA152" s="475">
        <v>0</v>
      </c>
      <c r="AB152" s="476">
        <v>0</v>
      </c>
      <c r="AC152" s="38">
        <f t="shared" si="23"/>
        <v>0</v>
      </c>
      <c r="AD152" s="692">
        <f t="shared" si="17"/>
        <v>0</v>
      </c>
      <c r="AE152" s="692">
        <f t="shared" si="18"/>
        <v>0</v>
      </c>
      <c r="AF152" s="692">
        <f t="shared" si="19"/>
        <v>0</v>
      </c>
      <c r="AG152" s="38"/>
      <c r="AH152" s="692">
        <f t="shared" si="24"/>
        <v>0</v>
      </c>
      <c r="AI152" s="692">
        <f t="shared" si="25"/>
        <v>0</v>
      </c>
      <c r="AJ152" s="692">
        <f t="shared" si="26"/>
        <v>0</v>
      </c>
      <c r="AL152" s="38">
        <f t="shared" si="27"/>
        <v>0</v>
      </c>
      <c r="AM152" s="68" t="s">
        <v>448</v>
      </c>
    </row>
    <row r="153" spans="1:39">
      <c r="A153" s="21"/>
      <c r="B153" s="21" t="s">
        <v>114</v>
      </c>
      <c r="C153" s="666"/>
      <c r="D153" s="68" t="s">
        <v>936</v>
      </c>
      <c r="E153" s="679"/>
      <c r="F153" s="529">
        <f>VLOOKUP(D153,'Jan14 Revenue'!D:V,19,FALSE)</f>
        <v>0</v>
      </c>
      <c r="G153" s="680"/>
      <c r="H153" s="680"/>
      <c r="I153" s="755"/>
      <c r="J153" s="682">
        <f t="shared" si="16"/>
        <v>0</v>
      </c>
      <c r="K153" s="683"/>
      <c r="L153" s="684"/>
      <c r="M153" s="753"/>
      <c r="N153" s="683">
        <v>0</v>
      </c>
      <c r="O153" s="686"/>
      <c r="P153" s="683">
        <v>0</v>
      </c>
      <c r="Q153" s="687">
        <f t="shared" si="30"/>
        <v>0</v>
      </c>
      <c r="R153" s="687"/>
      <c r="S153" s="687"/>
      <c r="T153" s="688">
        <v>2180.75</v>
      </c>
      <c r="U153" s="693"/>
      <c r="V153" s="690">
        <f t="shared" si="29"/>
        <v>2180.75</v>
      </c>
      <c r="W153" s="683"/>
      <c r="X153" s="474">
        <f t="shared" si="20"/>
        <v>0</v>
      </c>
      <c r="Y153" s="474">
        <f t="shared" si="21"/>
        <v>0</v>
      </c>
      <c r="Z153" s="475">
        <f t="shared" si="22"/>
        <v>0</v>
      </c>
      <c r="AA153" s="475">
        <v>0</v>
      </c>
      <c r="AB153" s="476">
        <v>0</v>
      </c>
      <c r="AC153" s="38">
        <f t="shared" si="23"/>
        <v>0</v>
      </c>
      <c r="AD153" s="692">
        <f t="shared" si="17"/>
        <v>0</v>
      </c>
      <c r="AE153" s="692">
        <f t="shared" si="18"/>
        <v>0</v>
      </c>
      <c r="AF153" s="692">
        <f t="shared" si="19"/>
        <v>0</v>
      </c>
      <c r="AG153" s="38"/>
      <c r="AH153" s="692">
        <f t="shared" si="24"/>
        <v>0</v>
      </c>
      <c r="AI153" s="692">
        <f t="shared" si="25"/>
        <v>0</v>
      </c>
      <c r="AJ153" s="692">
        <f t="shared" si="26"/>
        <v>0</v>
      </c>
      <c r="AL153" s="38">
        <f t="shared" si="27"/>
        <v>0</v>
      </c>
      <c r="AM153" s="68" t="s">
        <v>936</v>
      </c>
    </row>
    <row r="154" spans="1:39">
      <c r="A154" s="21"/>
      <c r="B154" s="21" t="s">
        <v>110</v>
      </c>
      <c r="C154" s="666"/>
      <c r="D154" s="68" t="s">
        <v>877</v>
      </c>
      <c r="E154" s="679"/>
      <c r="F154" s="529">
        <f>VLOOKUP(D154,'Jan14 Revenue'!D:V,19,FALSE)</f>
        <v>0</v>
      </c>
      <c r="G154" s="680"/>
      <c r="H154" s="680"/>
      <c r="I154" s="755"/>
      <c r="J154" s="682">
        <f t="shared" si="16"/>
        <v>0</v>
      </c>
      <c r="K154" s="683"/>
      <c r="L154" s="684"/>
      <c r="M154" s="753"/>
      <c r="N154" s="683">
        <v>0</v>
      </c>
      <c r="O154" s="686"/>
      <c r="P154" s="683">
        <v>0</v>
      </c>
      <c r="Q154" s="687">
        <f t="shared" si="30"/>
        <v>0</v>
      </c>
      <c r="R154" s="687"/>
      <c r="S154" s="687"/>
      <c r="T154" s="688">
        <v>0</v>
      </c>
      <c r="U154" s="693"/>
      <c r="V154" s="690">
        <f t="shared" si="29"/>
        <v>0</v>
      </c>
      <c r="W154" s="683"/>
      <c r="X154" s="474">
        <f t="shared" si="20"/>
        <v>0</v>
      </c>
      <c r="Y154" s="474">
        <f t="shared" si="21"/>
        <v>0</v>
      </c>
      <c r="Z154" s="475">
        <f t="shared" si="22"/>
        <v>0</v>
      </c>
      <c r="AA154" s="475">
        <v>0</v>
      </c>
      <c r="AB154" s="476">
        <v>0</v>
      </c>
      <c r="AC154" s="38">
        <f t="shared" si="23"/>
        <v>0</v>
      </c>
      <c r="AD154" s="692">
        <f t="shared" si="17"/>
        <v>0</v>
      </c>
      <c r="AE154" s="692">
        <f t="shared" si="18"/>
        <v>0</v>
      </c>
      <c r="AF154" s="692">
        <f t="shared" si="19"/>
        <v>0</v>
      </c>
      <c r="AG154" s="38"/>
      <c r="AH154" s="692">
        <f t="shared" si="24"/>
        <v>0</v>
      </c>
      <c r="AI154" s="692">
        <f t="shared" si="25"/>
        <v>0</v>
      </c>
      <c r="AJ154" s="692">
        <f t="shared" si="26"/>
        <v>0</v>
      </c>
      <c r="AL154" s="38">
        <f t="shared" si="27"/>
        <v>0</v>
      </c>
      <c r="AM154" s="68" t="s">
        <v>877</v>
      </c>
    </row>
    <row r="155" spans="1:39">
      <c r="A155" s="21"/>
      <c r="B155" s="21" t="s">
        <v>110</v>
      </c>
      <c r="C155" s="666" t="s">
        <v>558</v>
      </c>
      <c r="D155" s="68" t="s">
        <v>122</v>
      </c>
      <c r="E155" s="679"/>
      <c r="F155" s="529">
        <f>VLOOKUP(D155,'Jan14 Revenue'!D:V,19,FALSE)</f>
        <v>0</v>
      </c>
      <c r="G155" s="680"/>
      <c r="H155" s="680"/>
      <c r="I155" s="755"/>
      <c r="J155" s="682">
        <f t="shared" si="16"/>
        <v>0</v>
      </c>
      <c r="K155" s="683"/>
      <c r="L155" s="684"/>
      <c r="M155" s="753"/>
      <c r="N155" s="683">
        <v>0</v>
      </c>
      <c r="O155" s="686"/>
      <c r="P155" s="683">
        <v>0</v>
      </c>
      <c r="Q155" s="687">
        <f t="shared" si="30"/>
        <v>0</v>
      </c>
      <c r="R155" s="687"/>
      <c r="S155" s="687"/>
      <c r="T155" s="688">
        <v>0</v>
      </c>
      <c r="U155" s="693"/>
      <c r="V155" s="690">
        <f t="shared" si="29"/>
        <v>0</v>
      </c>
      <c r="W155" s="683"/>
      <c r="X155" s="474">
        <f t="shared" si="20"/>
        <v>0</v>
      </c>
      <c r="Y155" s="474">
        <f t="shared" si="21"/>
        <v>0</v>
      </c>
      <c r="Z155" s="475">
        <f t="shared" si="22"/>
        <v>0</v>
      </c>
      <c r="AA155" s="475">
        <v>0</v>
      </c>
      <c r="AB155" s="476">
        <v>0</v>
      </c>
      <c r="AC155" s="38">
        <f t="shared" si="23"/>
        <v>0</v>
      </c>
      <c r="AD155" s="692">
        <f t="shared" si="17"/>
        <v>0</v>
      </c>
      <c r="AE155" s="692">
        <f t="shared" si="18"/>
        <v>0</v>
      </c>
      <c r="AF155" s="692">
        <f t="shared" si="19"/>
        <v>0</v>
      </c>
      <c r="AG155" s="38"/>
      <c r="AH155" s="692">
        <f t="shared" si="24"/>
        <v>0</v>
      </c>
      <c r="AI155" s="692">
        <f t="shared" si="25"/>
        <v>0</v>
      </c>
      <c r="AJ155" s="692">
        <f t="shared" si="26"/>
        <v>0</v>
      </c>
      <c r="AL155" s="38">
        <f t="shared" si="27"/>
        <v>0</v>
      </c>
      <c r="AM155" s="68" t="s">
        <v>122</v>
      </c>
    </row>
    <row r="156" spans="1:39">
      <c r="A156" s="21"/>
      <c r="B156" s="21" t="s">
        <v>114</v>
      </c>
      <c r="C156" s="666" t="s">
        <v>558</v>
      </c>
      <c r="D156" s="68" t="s">
        <v>629</v>
      </c>
      <c r="E156" s="679"/>
      <c r="F156" s="529">
        <f>VLOOKUP(D156,'Jan14 Revenue'!D:V,19,FALSE)</f>
        <v>0</v>
      </c>
      <c r="G156" s="680"/>
      <c r="H156" s="680"/>
      <c r="I156" s="755"/>
      <c r="J156" s="682">
        <f t="shared" ref="J156:J225" si="31">SUM(E156:I156)</f>
        <v>0</v>
      </c>
      <c r="K156" s="683"/>
      <c r="L156" s="684"/>
      <c r="M156" s="753"/>
      <c r="N156" s="683">
        <v>0</v>
      </c>
      <c r="O156" s="686"/>
      <c r="P156" s="683">
        <v>0</v>
      </c>
      <c r="Q156" s="687">
        <f t="shared" si="30"/>
        <v>0</v>
      </c>
      <c r="R156" s="687"/>
      <c r="S156" s="687"/>
      <c r="T156" s="688">
        <v>0</v>
      </c>
      <c r="U156" s="693"/>
      <c r="V156" s="690">
        <f t="shared" si="29"/>
        <v>0</v>
      </c>
      <c r="W156" s="683"/>
      <c r="X156" s="474">
        <f t="shared" si="20"/>
        <v>0</v>
      </c>
      <c r="Y156" s="474">
        <f t="shared" si="21"/>
        <v>0</v>
      </c>
      <c r="Z156" s="475">
        <f t="shared" si="22"/>
        <v>0</v>
      </c>
      <c r="AA156" s="475">
        <v>0</v>
      </c>
      <c r="AB156" s="476">
        <v>0</v>
      </c>
      <c r="AC156" s="38">
        <f t="shared" si="23"/>
        <v>0</v>
      </c>
      <c r="AD156" s="692">
        <f t="shared" ref="AD156:AD225" si="32">IF(B156="D",J156,0)</f>
        <v>0</v>
      </c>
      <c r="AE156" s="692">
        <f t="shared" ref="AE156:AE225" si="33">IF(B156="M",J156,0)</f>
        <v>0</v>
      </c>
      <c r="AF156" s="692">
        <f t="shared" ref="AF156:AF225" si="34">IF(B156="V",J156,0)</f>
        <v>0</v>
      </c>
      <c r="AG156" s="38"/>
      <c r="AH156" s="692">
        <f t="shared" si="24"/>
        <v>0</v>
      </c>
      <c r="AI156" s="692">
        <f t="shared" si="25"/>
        <v>0</v>
      </c>
      <c r="AJ156" s="692">
        <f t="shared" si="26"/>
        <v>0</v>
      </c>
      <c r="AL156" s="38">
        <f t="shared" ref="AL156:AL225" si="35">SUM(AD156:AJ156)</f>
        <v>0</v>
      </c>
      <c r="AM156" s="68" t="s">
        <v>629</v>
      </c>
    </row>
    <row r="157" spans="1:39">
      <c r="A157" s="21"/>
      <c r="B157" s="21" t="s">
        <v>109</v>
      </c>
      <c r="C157" s="666" t="s">
        <v>559</v>
      </c>
      <c r="D157" s="68" t="s">
        <v>33</v>
      </c>
      <c r="E157" s="679"/>
      <c r="F157" s="529">
        <f>VLOOKUP(D157,'Jan14 Revenue'!D:V,19,FALSE)</f>
        <v>0</v>
      </c>
      <c r="G157" s="680"/>
      <c r="H157" s="680"/>
      <c r="I157" s="755"/>
      <c r="J157" s="682">
        <f t="shared" si="31"/>
        <v>0</v>
      </c>
      <c r="K157" s="683"/>
      <c r="L157" s="684"/>
      <c r="M157" s="753"/>
      <c r="N157" s="683">
        <v>0</v>
      </c>
      <c r="O157" s="686"/>
      <c r="P157" s="683">
        <v>0</v>
      </c>
      <c r="Q157" s="687">
        <f t="shared" si="30"/>
        <v>0</v>
      </c>
      <c r="R157" s="687"/>
      <c r="S157" s="687"/>
      <c r="T157" s="688">
        <v>0</v>
      </c>
      <c r="U157" s="693"/>
      <c r="V157" s="690">
        <f t="shared" si="29"/>
        <v>0</v>
      </c>
      <c r="W157" s="683"/>
      <c r="X157" s="474">
        <f t="shared" si="20"/>
        <v>0</v>
      </c>
      <c r="Y157" s="474">
        <f t="shared" si="21"/>
        <v>0</v>
      </c>
      <c r="Z157" s="475">
        <f t="shared" si="22"/>
        <v>0</v>
      </c>
      <c r="AA157" s="475">
        <v>0</v>
      </c>
      <c r="AB157" s="476">
        <v>0</v>
      </c>
      <c r="AC157" s="38">
        <f t="shared" si="23"/>
        <v>0</v>
      </c>
      <c r="AD157" s="692">
        <f t="shared" si="32"/>
        <v>0</v>
      </c>
      <c r="AE157" s="692">
        <f t="shared" si="33"/>
        <v>0</v>
      </c>
      <c r="AF157" s="692">
        <f t="shared" si="34"/>
        <v>0</v>
      </c>
      <c r="AG157" s="38"/>
      <c r="AH157" s="692">
        <f t="shared" ref="AH157:AH226" si="36">IF(B157="D",Q157,0)</f>
        <v>0</v>
      </c>
      <c r="AI157" s="692">
        <f t="shared" ref="AI157:AI226" si="37">IF(B157="M",Q157,0)</f>
        <v>0</v>
      </c>
      <c r="AJ157" s="692">
        <f t="shared" ref="AJ157:AJ226" si="38">IF(B157="V",Q157,0)</f>
        <v>0</v>
      </c>
      <c r="AL157" s="38">
        <f t="shared" si="35"/>
        <v>0</v>
      </c>
      <c r="AM157" s="68" t="s">
        <v>33</v>
      </c>
    </row>
    <row r="158" spans="1:39">
      <c r="A158" s="21"/>
      <c r="B158" s="21" t="s">
        <v>109</v>
      </c>
      <c r="C158" s="666" t="s">
        <v>560</v>
      </c>
      <c r="D158" s="68" t="s">
        <v>379</v>
      </c>
      <c r="E158" s="679"/>
      <c r="F158" s="529">
        <f>VLOOKUP(D158,'Jan14 Revenue'!D:V,19,FALSE)</f>
        <v>103.4</v>
      </c>
      <c r="G158" s="680"/>
      <c r="H158" s="680"/>
      <c r="I158" s="755"/>
      <c r="J158" s="682">
        <f t="shared" si="31"/>
        <v>103.4</v>
      </c>
      <c r="K158" s="683"/>
      <c r="L158" s="684"/>
      <c r="M158" s="753"/>
      <c r="N158" s="683">
        <v>0</v>
      </c>
      <c r="O158" s="686"/>
      <c r="P158" s="683">
        <v>0</v>
      </c>
      <c r="Q158" s="687">
        <f t="shared" si="30"/>
        <v>0</v>
      </c>
      <c r="R158" s="687"/>
      <c r="S158" s="687"/>
      <c r="T158" s="688">
        <v>85.76</v>
      </c>
      <c r="U158" s="693"/>
      <c r="V158" s="690">
        <f t="shared" ref="V158:V227" si="39">IF(T158="","",T158-Q158)</f>
        <v>85.76</v>
      </c>
      <c r="W158" s="683"/>
      <c r="X158" s="474">
        <f t="shared" ref="X158:X227" si="40">IF(B158="D",Q158,0)</f>
        <v>0</v>
      </c>
      <c r="Y158" s="474">
        <f t="shared" ref="Y158:Y227" si="41">IF(B158="M",Q158,0)</f>
        <v>0</v>
      </c>
      <c r="Z158" s="475">
        <f t="shared" ref="Z158:Z227" si="42">IF(B158="V",Q158,0)</f>
        <v>0</v>
      </c>
      <c r="AA158" s="475">
        <v>0</v>
      </c>
      <c r="AB158" s="476">
        <v>0</v>
      </c>
      <c r="AC158" s="38">
        <f t="shared" ref="AC158:AC227" si="43">(L158+M158)-(X158+Y158+Z158+AA158+AB158)</f>
        <v>0</v>
      </c>
      <c r="AD158" s="692">
        <f t="shared" si="32"/>
        <v>0</v>
      </c>
      <c r="AE158" s="692">
        <f t="shared" si="33"/>
        <v>103.4</v>
      </c>
      <c r="AF158" s="692">
        <f t="shared" si="34"/>
        <v>0</v>
      </c>
      <c r="AG158" s="38"/>
      <c r="AH158" s="692">
        <f t="shared" si="36"/>
        <v>0</v>
      </c>
      <c r="AI158" s="692">
        <f t="shared" si="37"/>
        <v>0</v>
      </c>
      <c r="AJ158" s="692">
        <f t="shared" si="38"/>
        <v>0</v>
      </c>
      <c r="AL158" s="38">
        <f t="shared" si="35"/>
        <v>103.4</v>
      </c>
      <c r="AM158" s="68" t="s">
        <v>379</v>
      </c>
    </row>
    <row r="159" spans="1:39" s="232" customFormat="1">
      <c r="A159" s="283"/>
      <c r="B159" s="283" t="s">
        <v>114</v>
      </c>
      <c r="C159" s="667"/>
      <c r="D159" s="567" t="s">
        <v>408</v>
      </c>
      <c r="E159" s="679"/>
      <c r="F159" s="529">
        <f>VLOOKUP(D159,'Jan14 Revenue'!D:V,19,FALSE)</f>
        <v>0</v>
      </c>
      <c r="G159" s="680"/>
      <c r="H159" s="680"/>
      <c r="I159" s="770">
        <v>17400</v>
      </c>
      <c r="J159" s="682">
        <f t="shared" si="31"/>
        <v>17400</v>
      </c>
      <c r="K159" s="683"/>
      <c r="L159" s="684"/>
      <c r="M159" s="753"/>
      <c r="N159" s="683">
        <v>0</v>
      </c>
      <c r="O159" s="686"/>
      <c r="P159" s="683">
        <v>0</v>
      </c>
      <c r="Q159" s="687">
        <f t="shared" si="30"/>
        <v>0</v>
      </c>
      <c r="R159" s="687"/>
      <c r="S159" s="687"/>
      <c r="T159" s="688">
        <v>0</v>
      </c>
      <c r="U159" s="693"/>
      <c r="V159" s="690">
        <f t="shared" si="39"/>
        <v>0</v>
      </c>
      <c r="W159" s="683"/>
      <c r="X159" s="474">
        <f t="shared" si="40"/>
        <v>0</v>
      </c>
      <c r="Y159" s="474">
        <f t="shared" si="41"/>
        <v>0</v>
      </c>
      <c r="Z159" s="475">
        <f t="shared" si="42"/>
        <v>0</v>
      </c>
      <c r="AA159" s="475">
        <v>0</v>
      </c>
      <c r="AB159" s="476">
        <v>0</v>
      </c>
      <c r="AC159" s="38">
        <f t="shared" si="43"/>
        <v>0</v>
      </c>
      <c r="AD159" s="692">
        <f t="shared" si="32"/>
        <v>0</v>
      </c>
      <c r="AE159" s="692">
        <f t="shared" si="33"/>
        <v>0</v>
      </c>
      <c r="AF159" s="692">
        <f t="shared" si="34"/>
        <v>17400</v>
      </c>
      <c r="AG159" s="38"/>
      <c r="AH159" s="692">
        <f t="shared" si="36"/>
        <v>0</v>
      </c>
      <c r="AI159" s="692">
        <f t="shared" si="37"/>
        <v>0</v>
      </c>
      <c r="AJ159" s="692">
        <f t="shared" si="38"/>
        <v>0</v>
      </c>
      <c r="AL159" s="38">
        <f t="shared" si="35"/>
        <v>17400</v>
      </c>
      <c r="AM159" s="567" t="s">
        <v>408</v>
      </c>
    </row>
    <row r="160" spans="1:39" s="232" customFormat="1">
      <c r="A160" s="283"/>
      <c r="B160" s="283" t="s">
        <v>110</v>
      </c>
      <c r="C160" s="667"/>
      <c r="D160" s="567" t="s">
        <v>1053</v>
      </c>
      <c r="E160" s="679"/>
      <c r="F160" s="529">
        <f>VLOOKUP(D160,'Jan14 Revenue'!D:V,19,FALSE)</f>
        <v>0</v>
      </c>
      <c r="G160" s="680"/>
      <c r="H160" s="680"/>
      <c r="I160" s="755"/>
      <c r="J160" s="682">
        <f t="shared" si="31"/>
        <v>0</v>
      </c>
      <c r="K160" s="683"/>
      <c r="L160" s="684"/>
      <c r="M160" s="753">
        <v>30000</v>
      </c>
      <c r="N160" s="683">
        <v>0</v>
      </c>
      <c r="O160" s="686"/>
      <c r="P160" s="683">
        <v>0</v>
      </c>
      <c r="Q160" s="687">
        <f t="shared" si="30"/>
        <v>30000</v>
      </c>
      <c r="R160" s="687"/>
      <c r="S160" s="687"/>
      <c r="T160" s="688">
        <v>36633.1</v>
      </c>
      <c r="U160" s="693"/>
      <c r="V160" s="690">
        <f t="shared" si="39"/>
        <v>6633.0999999999985</v>
      </c>
      <c r="W160" s="683"/>
      <c r="X160" s="474">
        <f t="shared" si="40"/>
        <v>30000</v>
      </c>
      <c r="Y160" s="474">
        <f t="shared" si="41"/>
        <v>0</v>
      </c>
      <c r="Z160" s="475">
        <f t="shared" si="42"/>
        <v>0</v>
      </c>
      <c r="AA160" s="475">
        <v>0</v>
      </c>
      <c r="AB160" s="476">
        <v>0</v>
      </c>
      <c r="AC160" s="38">
        <f t="shared" si="43"/>
        <v>0</v>
      </c>
      <c r="AD160" s="692">
        <f t="shared" si="32"/>
        <v>0</v>
      </c>
      <c r="AE160" s="692">
        <f t="shared" si="33"/>
        <v>0</v>
      </c>
      <c r="AF160" s="692">
        <f t="shared" si="34"/>
        <v>0</v>
      </c>
      <c r="AG160" s="38"/>
      <c r="AH160" s="692">
        <f t="shared" si="36"/>
        <v>30000</v>
      </c>
      <c r="AI160" s="692">
        <f t="shared" si="37"/>
        <v>0</v>
      </c>
      <c r="AJ160" s="692">
        <f t="shared" si="38"/>
        <v>0</v>
      </c>
      <c r="AL160" s="38">
        <f t="shared" si="35"/>
        <v>30000</v>
      </c>
      <c r="AM160" s="567" t="s">
        <v>445</v>
      </c>
    </row>
    <row r="161" spans="1:39" s="232" customFormat="1">
      <c r="A161" s="283"/>
      <c r="B161" s="283" t="s">
        <v>109</v>
      </c>
      <c r="C161" s="667" t="s">
        <v>562</v>
      </c>
      <c r="D161" s="567" t="s">
        <v>480</v>
      </c>
      <c r="E161" s="679"/>
      <c r="F161" s="529">
        <f>VLOOKUP(D161,'Jan14 Revenue'!D:V,19,FALSE)</f>
        <v>0</v>
      </c>
      <c r="G161" s="680"/>
      <c r="H161" s="680"/>
      <c r="I161" s="770">
        <v>11487.73</v>
      </c>
      <c r="J161" s="682">
        <f t="shared" si="31"/>
        <v>11487.73</v>
      </c>
      <c r="K161" s="683"/>
      <c r="L161" s="684"/>
      <c r="M161" s="753"/>
      <c r="N161" s="683">
        <v>0</v>
      </c>
      <c r="O161" s="686"/>
      <c r="P161" s="683">
        <v>0</v>
      </c>
      <c r="Q161" s="687">
        <f t="shared" si="30"/>
        <v>0</v>
      </c>
      <c r="R161" s="687"/>
      <c r="S161" s="687"/>
      <c r="T161" s="688">
        <v>0</v>
      </c>
      <c r="U161" s="693"/>
      <c r="V161" s="690">
        <f t="shared" si="39"/>
        <v>0</v>
      </c>
      <c r="W161" s="683"/>
      <c r="X161" s="474">
        <f t="shared" si="40"/>
        <v>0</v>
      </c>
      <c r="Y161" s="474">
        <f t="shared" si="41"/>
        <v>0</v>
      </c>
      <c r="Z161" s="475">
        <f t="shared" si="42"/>
        <v>0</v>
      </c>
      <c r="AA161" s="475">
        <v>0</v>
      </c>
      <c r="AB161" s="476">
        <v>0</v>
      </c>
      <c r="AC161" s="38">
        <f t="shared" si="43"/>
        <v>0</v>
      </c>
      <c r="AD161" s="692">
        <f t="shared" si="32"/>
        <v>0</v>
      </c>
      <c r="AE161" s="692">
        <f t="shared" si="33"/>
        <v>11487.73</v>
      </c>
      <c r="AF161" s="692">
        <f t="shared" si="34"/>
        <v>0</v>
      </c>
      <c r="AG161" s="38"/>
      <c r="AH161" s="692">
        <f t="shared" si="36"/>
        <v>0</v>
      </c>
      <c r="AI161" s="692">
        <f t="shared" si="37"/>
        <v>0</v>
      </c>
      <c r="AJ161" s="692">
        <f t="shared" si="38"/>
        <v>0</v>
      </c>
      <c r="AL161" s="38">
        <f t="shared" si="35"/>
        <v>11487.73</v>
      </c>
      <c r="AM161" s="567" t="s">
        <v>480</v>
      </c>
    </row>
    <row r="162" spans="1:39" s="232" customFormat="1">
      <c r="A162" s="403"/>
      <c r="B162" s="403" t="s">
        <v>109</v>
      </c>
      <c r="C162" s="666" t="s">
        <v>563</v>
      </c>
      <c r="D162" s="807" t="s">
        <v>327</v>
      </c>
      <c r="E162" s="679"/>
      <c r="F162" s="529">
        <f>VLOOKUP(D162,'Jan14 Revenue'!D:V,19,FALSE)</f>
        <v>-45000</v>
      </c>
      <c r="G162" s="680"/>
      <c r="H162" s="680"/>
      <c r="I162" s="755"/>
      <c r="J162" s="682">
        <f t="shared" si="31"/>
        <v>-45000</v>
      </c>
      <c r="K162" s="683"/>
      <c r="L162" s="684"/>
      <c r="M162" s="753">
        <v>90000</v>
      </c>
      <c r="N162" s="683">
        <v>0</v>
      </c>
      <c r="O162" s="686"/>
      <c r="P162" s="683">
        <v>0</v>
      </c>
      <c r="Q162" s="687">
        <f t="shared" si="30"/>
        <v>90000</v>
      </c>
      <c r="R162" s="687"/>
      <c r="S162" s="687"/>
      <c r="T162" s="688">
        <v>37604.9</v>
      </c>
      <c r="U162" s="693"/>
      <c r="V162" s="690">
        <f t="shared" si="39"/>
        <v>-52395.1</v>
      </c>
      <c r="W162" s="683"/>
      <c r="X162" s="474">
        <f t="shared" si="40"/>
        <v>0</v>
      </c>
      <c r="Y162" s="474">
        <f t="shared" si="41"/>
        <v>90000</v>
      </c>
      <c r="Z162" s="475">
        <f t="shared" si="42"/>
        <v>0</v>
      </c>
      <c r="AA162" s="475">
        <v>0</v>
      </c>
      <c r="AB162" s="476">
        <v>0</v>
      </c>
      <c r="AC162" s="38">
        <f t="shared" si="43"/>
        <v>0</v>
      </c>
      <c r="AD162" s="692">
        <f t="shared" si="32"/>
        <v>0</v>
      </c>
      <c r="AE162" s="692">
        <f t="shared" si="33"/>
        <v>-45000</v>
      </c>
      <c r="AF162" s="692">
        <f t="shared" si="34"/>
        <v>0</v>
      </c>
      <c r="AG162" s="38"/>
      <c r="AH162" s="692">
        <f t="shared" si="36"/>
        <v>0</v>
      </c>
      <c r="AI162" s="692">
        <f t="shared" si="37"/>
        <v>90000</v>
      </c>
      <c r="AJ162" s="692">
        <f t="shared" si="38"/>
        <v>0</v>
      </c>
      <c r="AL162" s="38">
        <f t="shared" si="35"/>
        <v>45000</v>
      </c>
      <c r="AM162" s="807" t="s">
        <v>327</v>
      </c>
    </row>
    <row r="163" spans="1:39" s="232" customFormat="1">
      <c r="A163" s="403"/>
      <c r="B163" s="403" t="s">
        <v>110</v>
      </c>
      <c r="C163" s="666" t="s">
        <v>563</v>
      </c>
      <c r="D163" s="123" t="s">
        <v>637</v>
      </c>
      <c r="E163" s="679"/>
      <c r="F163" s="529">
        <f>VLOOKUP(D163,'Jan14 Revenue'!D:V,19,FALSE)</f>
        <v>0</v>
      </c>
      <c r="G163" s="680"/>
      <c r="H163" s="680"/>
      <c r="I163" s="755"/>
      <c r="J163" s="682">
        <f t="shared" si="31"/>
        <v>0</v>
      </c>
      <c r="K163" s="683"/>
      <c r="L163" s="684"/>
      <c r="M163" s="753"/>
      <c r="N163" s="683">
        <v>0</v>
      </c>
      <c r="O163" s="686"/>
      <c r="P163" s="683">
        <v>0</v>
      </c>
      <c r="Q163" s="687">
        <f t="shared" si="30"/>
        <v>0</v>
      </c>
      <c r="R163" s="687"/>
      <c r="S163" s="687"/>
      <c r="T163" s="688">
        <v>0</v>
      </c>
      <c r="U163" s="693"/>
      <c r="V163" s="690">
        <f t="shared" si="39"/>
        <v>0</v>
      </c>
      <c r="W163" s="683"/>
      <c r="X163" s="474">
        <f t="shared" si="40"/>
        <v>0</v>
      </c>
      <c r="Y163" s="474">
        <f t="shared" si="41"/>
        <v>0</v>
      </c>
      <c r="Z163" s="475">
        <f t="shared" si="42"/>
        <v>0</v>
      </c>
      <c r="AA163" s="475">
        <v>0</v>
      </c>
      <c r="AB163" s="476">
        <v>0</v>
      </c>
      <c r="AC163" s="38">
        <f t="shared" si="43"/>
        <v>0</v>
      </c>
      <c r="AD163" s="692">
        <f t="shared" si="32"/>
        <v>0</v>
      </c>
      <c r="AE163" s="692">
        <f t="shared" si="33"/>
        <v>0</v>
      </c>
      <c r="AF163" s="692">
        <f t="shared" si="34"/>
        <v>0</v>
      </c>
      <c r="AG163" s="38"/>
      <c r="AH163" s="692">
        <f t="shared" si="36"/>
        <v>0</v>
      </c>
      <c r="AI163" s="692">
        <f t="shared" si="37"/>
        <v>0</v>
      </c>
      <c r="AJ163" s="692">
        <f t="shared" si="38"/>
        <v>0</v>
      </c>
      <c r="AL163" s="38">
        <f t="shared" si="35"/>
        <v>0</v>
      </c>
      <c r="AM163" s="123" t="s">
        <v>637</v>
      </c>
    </row>
    <row r="164" spans="1:39">
      <c r="A164" s="21" t="s">
        <v>212</v>
      </c>
      <c r="B164" s="21" t="s">
        <v>110</v>
      </c>
      <c r="C164" s="666"/>
      <c r="D164" s="68" t="s">
        <v>232</v>
      </c>
      <c r="E164" s="679"/>
      <c r="F164" s="529">
        <f>VLOOKUP(D164,'Jan14 Revenue'!D:V,19,FALSE)</f>
        <v>-20000</v>
      </c>
      <c r="G164" s="680"/>
      <c r="H164" s="680"/>
      <c r="I164" s="755"/>
      <c r="J164" s="682">
        <f t="shared" si="31"/>
        <v>-20000</v>
      </c>
      <c r="K164" s="683"/>
      <c r="L164" s="684"/>
      <c r="M164" s="753">
        <v>30000</v>
      </c>
      <c r="N164" s="683">
        <v>0</v>
      </c>
      <c r="O164" s="686"/>
      <c r="P164" s="683">
        <v>0</v>
      </c>
      <c r="Q164" s="687">
        <f t="shared" si="30"/>
        <v>30000</v>
      </c>
      <c r="R164" s="687"/>
      <c r="S164" s="687"/>
      <c r="T164" s="688">
        <v>0</v>
      </c>
      <c r="U164" s="693"/>
      <c r="V164" s="690">
        <f t="shared" si="39"/>
        <v>-30000</v>
      </c>
      <c r="W164" s="683"/>
      <c r="X164" s="474">
        <f t="shared" si="40"/>
        <v>30000</v>
      </c>
      <c r="Y164" s="474">
        <f t="shared" si="41"/>
        <v>0</v>
      </c>
      <c r="Z164" s="475">
        <f t="shared" si="42"/>
        <v>0</v>
      </c>
      <c r="AA164" s="475">
        <v>0</v>
      </c>
      <c r="AB164" s="476">
        <v>0</v>
      </c>
      <c r="AC164" s="38">
        <f t="shared" si="43"/>
        <v>0</v>
      </c>
      <c r="AD164" s="692">
        <f t="shared" si="32"/>
        <v>-20000</v>
      </c>
      <c r="AE164" s="692">
        <f t="shared" si="33"/>
        <v>0</v>
      </c>
      <c r="AF164" s="692">
        <f t="shared" si="34"/>
        <v>0</v>
      </c>
      <c r="AG164" s="38"/>
      <c r="AH164" s="692">
        <f t="shared" si="36"/>
        <v>30000</v>
      </c>
      <c r="AI164" s="692">
        <f t="shared" si="37"/>
        <v>0</v>
      </c>
      <c r="AJ164" s="692">
        <f t="shared" si="38"/>
        <v>0</v>
      </c>
      <c r="AL164" s="38">
        <f t="shared" si="35"/>
        <v>10000</v>
      </c>
      <c r="AM164" s="68" t="s">
        <v>232</v>
      </c>
    </row>
    <row r="165" spans="1:39" hidden="1">
      <c r="A165" s="21"/>
      <c r="B165" s="21" t="s">
        <v>109</v>
      </c>
      <c r="C165" s="666" t="s">
        <v>564</v>
      </c>
      <c r="D165" s="68" t="s">
        <v>876</v>
      </c>
      <c r="E165" s="679"/>
      <c r="F165" s="529">
        <f>VLOOKUP(D165,'Jan14 Revenue'!D:V,19,FALSE)</f>
        <v>0</v>
      </c>
      <c r="G165" s="680"/>
      <c r="H165" s="680"/>
      <c r="I165" s="755"/>
      <c r="J165" s="682">
        <f t="shared" si="31"/>
        <v>0</v>
      </c>
      <c r="K165" s="683"/>
      <c r="L165" s="684"/>
      <c r="M165" s="753">
        <v>100000</v>
      </c>
      <c r="N165" s="683">
        <v>0</v>
      </c>
      <c r="O165" s="686"/>
      <c r="P165" s="683">
        <v>0</v>
      </c>
      <c r="Q165" s="687">
        <f t="shared" si="30"/>
        <v>100000</v>
      </c>
      <c r="R165" s="687"/>
      <c r="S165" s="687"/>
      <c r="T165" s="688">
        <v>0</v>
      </c>
      <c r="U165" s="693"/>
      <c r="V165" s="690">
        <f t="shared" si="39"/>
        <v>-100000</v>
      </c>
      <c r="W165" s="683"/>
      <c r="X165" s="474">
        <f t="shared" si="40"/>
        <v>0</v>
      </c>
      <c r="Y165" s="474">
        <f t="shared" si="41"/>
        <v>100000</v>
      </c>
      <c r="Z165" s="475">
        <f t="shared" si="42"/>
        <v>0</v>
      </c>
      <c r="AA165" s="475">
        <v>0</v>
      </c>
      <c r="AB165" s="476">
        <v>0</v>
      </c>
      <c r="AC165" s="38">
        <f t="shared" si="43"/>
        <v>0</v>
      </c>
      <c r="AD165" s="692">
        <f t="shared" si="32"/>
        <v>0</v>
      </c>
      <c r="AE165" s="692">
        <f t="shared" si="33"/>
        <v>0</v>
      </c>
      <c r="AF165" s="692">
        <f t="shared" si="34"/>
        <v>0</v>
      </c>
      <c r="AG165" s="38"/>
      <c r="AH165" s="692">
        <f t="shared" si="36"/>
        <v>0</v>
      </c>
      <c r="AI165" s="692">
        <f t="shared" si="37"/>
        <v>100000</v>
      </c>
      <c r="AJ165" s="692">
        <f t="shared" si="38"/>
        <v>0</v>
      </c>
      <c r="AL165" s="38">
        <f t="shared" si="35"/>
        <v>100000</v>
      </c>
      <c r="AM165" s="68" t="s">
        <v>876</v>
      </c>
    </row>
    <row r="166" spans="1:39" hidden="1">
      <c r="A166" s="21"/>
      <c r="B166" s="21" t="s">
        <v>109</v>
      </c>
      <c r="C166" s="666" t="s">
        <v>564</v>
      </c>
      <c r="D166" s="68" t="s">
        <v>307</v>
      </c>
      <c r="E166" s="679"/>
      <c r="F166" s="529">
        <f>VLOOKUP(D166,'Jan14 Revenue'!D:V,19,FALSE)</f>
        <v>0</v>
      </c>
      <c r="G166" s="680"/>
      <c r="H166" s="680"/>
      <c r="I166" s="755"/>
      <c r="J166" s="682">
        <f t="shared" si="31"/>
        <v>0</v>
      </c>
      <c r="K166" s="683"/>
      <c r="L166" s="684"/>
      <c r="M166" s="753"/>
      <c r="N166" s="683">
        <v>0</v>
      </c>
      <c r="O166" s="686"/>
      <c r="P166" s="683">
        <v>0</v>
      </c>
      <c r="Q166" s="687">
        <f t="shared" si="30"/>
        <v>0</v>
      </c>
      <c r="R166" s="687"/>
      <c r="S166" s="687"/>
      <c r="T166" s="688">
        <v>0</v>
      </c>
      <c r="U166" s="693"/>
      <c r="V166" s="690">
        <f t="shared" si="39"/>
        <v>0</v>
      </c>
      <c r="W166" s="683"/>
      <c r="X166" s="474">
        <f t="shared" si="40"/>
        <v>0</v>
      </c>
      <c r="Y166" s="474">
        <f t="shared" si="41"/>
        <v>0</v>
      </c>
      <c r="Z166" s="475">
        <f t="shared" si="42"/>
        <v>0</v>
      </c>
      <c r="AA166" s="475">
        <v>0</v>
      </c>
      <c r="AB166" s="476">
        <v>0</v>
      </c>
      <c r="AC166" s="38">
        <f t="shared" si="43"/>
        <v>0</v>
      </c>
      <c r="AD166" s="692">
        <f t="shared" si="32"/>
        <v>0</v>
      </c>
      <c r="AE166" s="692">
        <f t="shared" si="33"/>
        <v>0</v>
      </c>
      <c r="AF166" s="692">
        <f t="shared" si="34"/>
        <v>0</v>
      </c>
      <c r="AG166" s="38"/>
      <c r="AH166" s="692">
        <f t="shared" si="36"/>
        <v>0</v>
      </c>
      <c r="AI166" s="692">
        <f t="shared" si="37"/>
        <v>0</v>
      </c>
      <c r="AJ166" s="692">
        <f t="shared" si="38"/>
        <v>0</v>
      </c>
      <c r="AL166" s="38">
        <f t="shared" si="35"/>
        <v>0</v>
      </c>
      <c r="AM166" s="68" t="s">
        <v>307</v>
      </c>
    </row>
    <row r="167" spans="1:39">
      <c r="A167" s="21"/>
      <c r="B167" s="21" t="s">
        <v>109</v>
      </c>
      <c r="C167" s="666" t="s">
        <v>565</v>
      </c>
      <c r="D167" s="68" t="s">
        <v>485</v>
      </c>
      <c r="E167" s="679"/>
      <c r="F167" s="529">
        <f>VLOOKUP(D167,'Jan14 Revenue'!D:V,19,FALSE)</f>
        <v>50443.049999999988</v>
      </c>
      <c r="G167" s="680"/>
      <c r="H167" s="680"/>
      <c r="I167" s="755"/>
      <c r="J167" s="682">
        <f t="shared" si="31"/>
        <v>50443.049999999988</v>
      </c>
      <c r="K167" s="683"/>
      <c r="L167" s="684"/>
      <c r="M167" s="753">
        <v>80000</v>
      </c>
      <c r="N167" s="683"/>
      <c r="O167" s="686"/>
      <c r="P167" s="683"/>
      <c r="Q167" s="687">
        <f t="shared" si="30"/>
        <v>80000</v>
      </c>
      <c r="R167" s="687"/>
      <c r="S167" s="687"/>
      <c r="T167" s="688">
        <f>3376.93+2096.51+7618.94+1824.13+12832.21+11166.04+10119.44+1078.73+472.13+1316.07+62276.73</f>
        <v>114177.86000000002</v>
      </c>
      <c r="U167" s="693"/>
      <c r="V167" s="690">
        <f t="shared" si="39"/>
        <v>34177.860000000015</v>
      </c>
      <c r="W167" s="683"/>
      <c r="X167" s="474">
        <f t="shared" si="40"/>
        <v>0</v>
      </c>
      <c r="Y167" s="474">
        <f t="shared" si="41"/>
        <v>80000</v>
      </c>
      <c r="Z167" s="475">
        <f t="shared" si="42"/>
        <v>0</v>
      </c>
      <c r="AA167" s="475">
        <v>0</v>
      </c>
      <c r="AB167" s="476">
        <v>0</v>
      </c>
      <c r="AC167" s="38">
        <f t="shared" si="43"/>
        <v>0</v>
      </c>
      <c r="AD167" s="692">
        <f t="shared" si="32"/>
        <v>0</v>
      </c>
      <c r="AE167" s="692">
        <f t="shared" si="33"/>
        <v>50443.049999999988</v>
      </c>
      <c r="AF167" s="692">
        <f t="shared" si="34"/>
        <v>0</v>
      </c>
      <c r="AG167" s="38"/>
      <c r="AH167" s="692">
        <f t="shared" si="36"/>
        <v>0</v>
      </c>
      <c r="AI167" s="692">
        <f t="shared" si="37"/>
        <v>80000</v>
      </c>
      <c r="AJ167" s="692">
        <f t="shared" si="38"/>
        <v>0</v>
      </c>
      <c r="AL167" s="38">
        <f t="shared" si="35"/>
        <v>130443.04999999999</v>
      </c>
      <c r="AM167" s="68" t="s">
        <v>485</v>
      </c>
    </row>
    <row r="168" spans="1:39" s="232" customFormat="1">
      <c r="A168" s="403"/>
      <c r="B168" s="403" t="s">
        <v>109</v>
      </c>
      <c r="C168" s="666"/>
      <c r="D168" s="123" t="s">
        <v>220</v>
      </c>
      <c r="E168" s="679"/>
      <c r="F168" s="529">
        <f>VLOOKUP(D168,'Jan14 Revenue'!D:V,19,FALSE)</f>
        <v>0</v>
      </c>
      <c r="G168" s="680"/>
      <c r="H168" s="680"/>
      <c r="I168" s="755"/>
      <c r="J168" s="682">
        <f t="shared" si="31"/>
        <v>0</v>
      </c>
      <c r="K168" s="683"/>
      <c r="L168" s="684"/>
      <c r="M168" s="753"/>
      <c r="N168" s="683">
        <v>0</v>
      </c>
      <c r="O168" s="686"/>
      <c r="P168" s="683">
        <v>0</v>
      </c>
      <c r="Q168" s="687">
        <f t="shared" si="30"/>
        <v>0</v>
      </c>
      <c r="R168" s="687"/>
      <c r="S168" s="687"/>
      <c r="T168" s="688">
        <v>0</v>
      </c>
      <c r="U168" s="693"/>
      <c r="V168" s="690">
        <f t="shared" si="39"/>
        <v>0</v>
      </c>
      <c r="W168" s="683"/>
      <c r="X168" s="474">
        <f t="shared" si="40"/>
        <v>0</v>
      </c>
      <c r="Y168" s="474">
        <f t="shared" si="41"/>
        <v>0</v>
      </c>
      <c r="Z168" s="475">
        <f t="shared" si="42"/>
        <v>0</v>
      </c>
      <c r="AA168" s="475">
        <v>0</v>
      </c>
      <c r="AB168" s="476">
        <v>0</v>
      </c>
      <c r="AC168" s="38">
        <f t="shared" si="43"/>
        <v>0</v>
      </c>
      <c r="AD168" s="692">
        <f t="shared" si="32"/>
        <v>0</v>
      </c>
      <c r="AE168" s="692">
        <f t="shared" si="33"/>
        <v>0</v>
      </c>
      <c r="AF168" s="692">
        <f t="shared" si="34"/>
        <v>0</v>
      </c>
      <c r="AG168" s="38"/>
      <c r="AH168" s="692">
        <f t="shared" si="36"/>
        <v>0</v>
      </c>
      <c r="AI168" s="692">
        <f t="shared" si="37"/>
        <v>0</v>
      </c>
      <c r="AJ168" s="692">
        <f t="shared" si="38"/>
        <v>0</v>
      </c>
      <c r="AL168" s="38">
        <f t="shared" si="35"/>
        <v>0</v>
      </c>
      <c r="AM168" s="123" t="s">
        <v>220</v>
      </c>
    </row>
    <row r="169" spans="1:39" s="24" customFormat="1">
      <c r="A169" s="472"/>
      <c r="B169" s="21" t="s">
        <v>110</v>
      </c>
      <c r="C169" s="666"/>
      <c r="D169" s="68" t="s">
        <v>1065</v>
      </c>
      <c r="E169" s="679"/>
      <c r="F169" s="529">
        <f>VLOOKUP(D169,'Jan14 Revenue'!D:V,19,FALSE)</f>
        <v>53.6</v>
      </c>
      <c r="G169" s="680"/>
      <c r="H169" s="680"/>
      <c r="I169" s="755"/>
      <c r="J169" s="682">
        <f t="shared" si="31"/>
        <v>53.6</v>
      </c>
      <c r="K169" s="698"/>
      <c r="L169" s="684"/>
      <c r="M169" s="753"/>
      <c r="N169" s="698">
        <v>0</v>
      </c>
      <c r="O169" s="686"/>
      <c r="P169" s="698">
        <v>0</v>
      </c>
      <c r="Q169" s="700">
        <f t="shared" si="30"/>
        <v>0</v>
      </c>
      <c r="R169" s="700"/>
      <c r="S169" s="700"/>
      <c r="T169" s="688">
        <v>0</v>
      </c>
      <c r="U169" s="701"/>
      <c r="V169" s="702">
        <f t="shared" si="39"/>
        <v>0</v>
      </c>
      <c r="W169" s="698"/>
      <c r="X169" s="474">
        <f t="shared" si="40"/>
        <v>0</v>
      </c>
      <c r="Y169" s="474">
        <f t="shared" si="41"/>
        <v>0</v>
      </c>
      <c r="Z169" s="475">
        <f t="shared" si="42"/>
        <v>0</v>
      </c>
      <c r="AA169" s="475">
        <v>0</v>
      </c>
      <c r="AB169" s="476">
        <v>0</v>
      </c>
      <c r="AC169" s="38">
        <f t="shared" si="43"/>
        <v>0</v>
      </c>
      <c r="AD169" s="692">
        <f t="shared" si="32"/>
        <v>53.6</v>
      </c>
      <c r="AE169" s="692">
        <f t="shared" si="33"/>
        <v>0</v>
      </c>
      <c r="AF169" s="692">
        <f t="shared" si="34"/>
        <v>0</v>
      </c>
      <c r="AG169" s="38"/>
      <c r="AH169" s="692">
        <f t="shared" si="36"/>
        <v>0</v>
      </c>
      <c r="AI169" s="692">
        <f t="shared" si="37"/>
        <v>0</v>
      </c>
      <c r="AJ169" s="692">
        <f t="shared" si="38"/>
        <v>0</v>
      </c>
      <c r="AL169" s="38">
        <f t="shared" si="35"/>
        <v>53.6</v>
      </c>
      <c r="AM169" s="68" t="s">
        <v>505</v>
      </c>
    </row>
    <row r="170" spans="1:39">
      <c r="A170" s="21"/>
      <c r="B170" s="21" t="s">
        <v>110</v>
      </c>
      <c r="C170" s="666"/>
      <c r="D170" s="68" t="s">
        <v>185</v>
      </c>
      <c r="E170" s="679"/>
      <c r="F170" s="529">
        <f>VLOOKUP(D170,'Jan14 Revenue'!D:V,19,FALSE)</f>
        <v>0</v>
      </c>
      <c r="G170" s="680"/>
      <c r="H170" s="680"/>
      <c r="I170" s="755"/>
      <c r="J170" s="682">
        <f t="shared" si="31"/>
        <v>0</v>
      </c>
      <c r="K170" s="683"/>
      <c r="L170" s="684"/>
      <c r="M170" s="753"/>
      <c r="N170" s="683">
        <v>0</v>
      </c>
      <c r="O170" s="686"/>
      <c r="P170" s="683">
        <v>0</v>
      </c>
      <c r="Q170" s="687">
        <f t="shared" si="30"/>
        <v>0</v>
      </c>
      <c r="R170" s="687"/>
      <c r="S170" s="687"/>
      <c r="T170" s="688">
        <v>0</v>
      </c>
      <c r="U170" s="693"/>
      <c r="V170" s="690">
        <f t="shared" si="39"/>
        <v>0</v>
      </c>
      <c r="W170" s="683"/>
      <c r="X170" s="474">
        <f t="shared" si="40"/>
        <v>0</v>
      </c>
      <c r="Y170" s="474">
        <f t="shared" si="41"/>
        <v>0</v>
      </c>
      <c r="Z170" s="475">
        <f t="shared" si="42"/>
        <v>0</v>
      </c>
      <c r="AA170" s="475">
        <v>0</v>
      </c>
      <c r="AB170" s="476">
        <v>0</v>
      </c>
      <c r="AC170" s="38">
        <f t="shared" si="43"/>
        <v>0</v>
      </c>
      <c r="AD170" s="692">
        <f t="shared" si="32"/>
        <v>0</v>
      </c>
      <c r="AE170" s="692">
        <f t="shared" si="33"/>
        <v>0</v>
      </c>
      <c r="AF170" s="692">
        <f t="shared" si="34"/>
        <v>0</v>
      </c>
      <c r="AG170" s="38"/>
      <c r="AH170" s="692">
        <f t="shared" si="36"/>
        <v>0</v>
      </c>
      <c r="AI170" s="692">
        <f t="shared" si="37"/>
        <v>0</v>
      </c>
      <c r="AJ170" s="692">
        <f t="shared" si="38"/>
        <v>0</v>
      </c>
      <c r="AL170" s="38">
        <f t="shared" si="35"/>
        <v>0</v>
      </c>
      <c r="AM170" s="68" t="s">
        <v>185</v>
      </c>
    </row>
    <row r="171" spans="1:39">
      <c r="A171" s="21"/>
      <c r="B171" s="21" t="s">
        <v>110</v>
      </c>
      <c r="C171" s="21"/>
      <c r="D171" s="68" t="s">
        <v>186</v>
      </c>
      <c r="E171" s="679"/>
      <c r="F171" s="529">
        <f>VLOOKUP(D171,'Jan14 Revenue'!D:V,19,FALSE)</f>
        <v>0</v>
      </c>
      <c r="G171" s="680"/>
      <c r="H171" s="680"/>
      <c r="I171" s="755"/>
      <c r="J171" s="682">
        <f t="shared" si="31"/>
        <v>0</v>
      </c>
      <c r="K171" s="683"/>
      <c r="L171" s="684"/>
      <c r="M171" s="753"/>
      <c r="N171" s="683">
        <v>0</v>
      </c>
      <c r="O171" s="686"/>
      <c r="P171" s="683">
        <v>0</v>
      </c>
      <c r="Q171" s="687">
        <f t="shared" si="30"/>
        <v>0</v>
      </c>
      <c r="R171" s="687"/>
      <c r="S171" s="687"/>
      <c r="T171" s="688">
        <v>0</v>
      </c>
      <c r="U171" s="693"/>
      <c r="V171" s="690">
        <f t="shared" si="39"/>
        <v>0</v>
      </c>
      <c r="W171" s="683"/>
      <c r="X171" s="474">
        <f t="shared" si="40"/>
        <v>0</v>
      </c>
      <c r="Y171" s="474">
        <f t="shared" si="41"/>
        <v>0</v>
      </c>
      <c r="Z171" s="475">
        <f t="shared" si="42"/>
        <v>0</v>
      </c>
      <c r="AA171" s="475">
        <v>0</v>
      </c>
      <c r="AB171" s="476">
        <v>0</v>
      </c>
      <c r="AC171" s="38">
        <f t="shared" si="43"/>
        <v>0</v>
      </c>
      <c r="AD171" s="692">
        <f t="shared" si="32"/>
        <v>0</v>
      </c>
      <c r="AE171" s="692">
        <f t="shared" si="33"/>
        <v>0</v>
      </c>
      <c r="AF171" s="692">
        <f t="shared" si="34"/>
        <v>0</v>
      </c>
      <c r="AG171" s="38"/>
      <c r="AH171" s="692">
        <f t="shared" si="36"/>
        <v>0</v>
      </c>
      <c r="AI171" s="692">
        <f t="shared" si="37"/>
        <v>0</v>
      </c>
      <c r="AJ171" s="692">
        <f t="shared" si="38"/>
        <v>0</v>
      </c>
      <c r="AL171" s="38">
        <f t="shared" si="35"/>
        <v>0</v>
      </c>
      <c r="AM171" s="68" t="s">
        <v>186</v>
      </c>
    </row>
    <row r="172" spans="1:39">
      <c r="A172" s="21"/>
      <c r="B172" s="21" t="s">
        <v>110</v>
      </c>
      <c r="C172" s="666"/>
      <c r="D172" s="68" t="s">
        <v>449</v>
      </c>
      <c r="E172" s="679"/>
      <c r="F172" s="529">
        <f>VLOOKUP(D172,'Jan14 Revenue'!D:V,19,FALSE)</f>
        <v>0</v>
      </c>
      <c r="G172" s="680"/>
      <c r="H172" s="680"/>
      <c r="I172" s="755"/>
      <c r="J172" s="682">
        <f t="shared" si="31"/>
        <v>0</v>
      </c>
      <c r="K172" s="683"/>
      <c r="L172" s="684"/>
      <c r="M172" s="753"/>
      <c r="N172" s="683">
        <v>0</v>
      </c>
      <c r="O172" s="686"/>
      <c r="P172" s="683">
        <v>0</v>
      </c>
      <c r="Q172" s="687">
        <f t="shared" si="30"/>
        <v>0</v>
      </c>
      <c r="R172" s="687"/>
      <c r="S172" s="687"/>
      <c r="T172" s="688">
        <v>0</v>
      </c>
      <c r="U172" s="693"/>
      <c r="V172" s="690">
        <f t="shared" si="39"/>
        <v>0</v>
      </c>
      <c r="W172" s="683"/>
      <c r="X172" s="474">
        <f t="shared" si="40"/>
        <v>0</v>
      </c>
      <c r="Y172" s="474">
        <f t="shared" si="41"/>
        <v>0</v>
      </c>
      <c r="Z172" s="475">
        <f t="shared" si="42"/>
        <v>0</v>
      </c>
      <c r="AA172" s="475">
        <v>0</v>
      </c>
      <c r="AB172" s="476">
        <v>0</v>
      </c>
      <c r="AC172" s="38">
        <f t="shared" si="43"/>
        <v>0</v>
      </c>
      <c r="AD172" s="692">
        <f t="shared" si="32"/>
        <v>0</v>
      </c>
      <c r="AE172" s="692">
        <f t="shared" si="33"/>
        <v>0</v>
      </c>
      <c r="AF172" s="692">
        <f t="shared" si="34"/>
        <v>0</v>
      </c>
      <c r="AG172" s="38"/>
      <c r="AH172" s="692">
        <f t="shared" si="36"/>
        <v>0</v>
      </c>
      <c r="AI172" s="692">
        <f t="shared" si="37"/>
        <v>0</v>
      </c>
      <c r="AJ172" s="692">
        <f t="shared" si="38"/>
        <v>0</v>
      </c>
      <c r="AL172" s="38">
        <f t="shared" si="35"/>
        <v>0</v>
      </c>
      <c r="AM172" s="68" t="s">
        <v>449</v>
      </c>
    </row>
    <row r="173" spans="1:39">
      <c r="A173" s="21"/>
      <c r="B173" s="21" t="s">
        <v>110</v>
      </c>
      <c r="C173" s="666" t="s">
        <v>566</v>
      </c>
      <c r="D173" s="68" t="s">
        <v>39</v>
      </c>
      <c r="E173" s="679"/>
      <c r="F173" s="529">
        <f>VLOOKUP(D173,'Jan14 Revenue'!D:V,19,FALSE)</f>
        <v>3206.8500000000004</v>
      </c>
      <c r="G173" s="680"/>
      <c r="H173" s="680"/>
      <c r="I173" s="755"/>
      <c r="J173" s="682">
        <f t="shared" si="31"/>
        <v>3206.8500000000004</v>
      </c>
      <c r="K173" s="683"/>
      <c r="L173" s="684"/>
      <c r="M173" s="753">
        <v>8000</v>
      </c>
      <c r="N173" s="683">
        <v>0</v>
      </c>
      <c r="O173" s="686"/>
      <c r="P173" s="683">
        <v>0</v>
      </c>
      <c r="Q173" s="687">
        <f t="shared" si="30"/>
        <v>8000</v>
      </c>
      <c r="R173" s="687"/>
      <c r="S173" s="687"/>
      <c r="T173" s="688">
        <v>7795.28</v>
      </c>
      <c r="U173" s="693"/>
      <c r="V173" s="690">
        <f t="shared" si="39"/>
        <v>-204.72000000000025</v>
      </c>
      <c r="W173" s="683"/>
      <c r="X173" s="474">
        <f t="shared" si="40"/>
        <v>8000</v>
      </c>
      <c r="Y173" s="474">
        <f t="shared" si="41"/>
        <v>0</v>
      </c>
      <c r="Z173" s="475">
        <f t="shared" si="42"/>
        <v>0</v>
      </c>
      <c r="AA173" s="475">
        <v>0</v>
      </c>
      <c r="AB173" s="476">
        <v>0</v>
      </c>
      <c r="AC173" s="38">
        <f t="shared" si="43"/>
        <v>0</v>
      </c>
      <c r="AD173" s="692">
        <f t="shared" si="32"/>
        <v>3206.8500000000004</v>
      </c>
      <c r="AE173" s="692">
        <f t="shared" si="33"/>
        <v>0</v>
      </c>
      <c r="AF173" s="692">
        <f t="shared" si="34"/>
        <v>0</v>
      </c>
      <c r="AG173" s="38"/>
      <c r="AH173" s="692">
        <f t="shared" si="36"/>
        <v>8000</v>
      </c>
      <c r="AI173" s="692">
        <f t="shared" si="37"/>
        <v>0</v>
      </c>
      <c r="AJ173" s="692">
        <f t="shared" si="38"/>
        <v>0</v>
      </c>
      <c r="AL173" s="38">
        <f t="shared" si="35"/>
        <v>11206.85</v>
      </c>
      <c r="AM173" s="68" t="s">
        <v>39</v>
      </c>
    </row>
    <row r="174" spans="1:39" s="232" customFormat="1">
      <c r="A174" s="403"/>
      <c r="B174" s="403" t="s">
        <v>109</v>
      </c>
      <c r="C174" s="666"/>
      <c r="D174" s="68" t="s">
        <v>1039</v>
      </c>
      <c r="E174" s="679"/>
      <c r="F174" s="529">
        <f>VLOOKUP(D174,'Jan14 Revenue'!D:V,19,FALSE)</f>
        <v>0</v>
      </c>
      <c r="G174" s="680"/>
      <c r="H174" s="680"/>
      <c r="I174" s="755"/>
      <c r="J174" s="682">
        <f t="shared" si="31"/>
        <v>0</v>
      </c>
      <c r="K174" s="683"/>
      <c r="L174" s="684"/>
      <c r="M174" s="753"/>
      <c r="N174" s="683">
        <v>0</v>
      </c>
      <c r="O174" s="686"/>
      <c r="P174" s="683">
        <v>0</v>
      </c>
      <c r="Q174" s="687">
        <f t="shared" si="30"/>
        <v>0</v>
      </c>
      <c r="R174" s="687"/>
      <c r="S174" s="687"/>
      <c r="T174" s="688">
        <v>0</v>
      </c>
      <c r="U174" s="693"/>
      <c r="V174" s="690">
        <f t="shared" si="39"/>
        <v>0</v>
      </c>
      <c r="W174" s="683"/>
      <c r="X174" s="474">
        <f t="shared" si="40"/>
        <v>0</v>
      </c>
      <c r="Y174" s="474">
        <f t="shared" si="41"/>
        <v>0</v>
      </c>
      <c r="Z174" s="475">
        <f t="shared" si="42"/>
        <v>0</v>
      </c>
      <c r="AA174" s="475">
        <v>0</v>
      </c>
      <c r="AB174" s="476">
        <v>0</v>
      </c>
      <c r="AC174" s="38">
        <f t="shared" si="43"/>
        <v>0</v>
      </c>
      <c r="AD174" s="692">
        <f t="shared" si="32"/>
        <v>0</v>
      </c>
      <c r="AE174" s="692">
        <f t="shared" si="33"/>
        <v>0</v>
      </c>
      <c r="AF174" s="692">
        <f t="shared" si="34"/>
        <v>0</v>
      </c>
      <c r="AG174" s="38"/>
      <c r="AH174" s="692">
        <f t="shared" si="36"/>
        <v>0</v>
      </c>
      <c r="AI174" s="692">
        <f t="shared" si="37"/>
        <v>0</v>
      </c>
      <c r="AJ174" s="692">
        <f t="shared" si="38"/>
        <v>0</v>
      </c>
      <c r="AL174" s="38">
        <f t="shared" si="35"/>
        <v>0</v>
      </c>
      <c r="AM174" s="123" t="s">
        <v>220</v>
      </c>
    </row>
    <row r="175" spans="1:39">
      <c r="A175" s="21"/>
      <c r="B175" s="21" t="s">
        <v>110</v>
      </c>
      <c r="C175" s="666" t="s">
        <v>567</v>
      </c>
      <c r="D175" s="68" t="s">
        <v>435</v>
      </c>
      <c r="E175" s="679"/>
      <c r="F175" s="529">
        <f>VLOOKUP(D175,'Jan14 Revenue'!D:V,19,FALSE)</f>
        <v>-2422.7799999999988</v>
      </c>
      <c r="G175" s="680"/>
      <c r="H175" s="680"/>
      <c r="I175" s="755"/>
      <c r="J175" s="682">
        <f t="shared" si="31"/>
        <v>-2422.7799999999988</v>
      </c>
      <c r="K175" s="683"/>
      <c r="L175" s="684"/>
      <c r="M175" s="753">
        <v>120000</v>
      </c>
      <c r="N175" s="683">
        <v>0</v>
      </c>
      <c r="O175" s="686"/>
      <c r="P175" s="683">
        <v>0</v>
      </c>
      <c r="Q175" s="687">
        <f t="shared" si="30"/>
        <v>120000</v>
      </c>
      <c r="R175" s="687"/>
      <c r="S175" s="687"/>
      <c r="T175" s="688">
        <v>0</v>
      </c>
      <c r="U175" s="693"/>
      <c r="V175" s="690">
        <f t="shared" si="39"/>
        <v>-120000</v>
      </c>
      <c r="W175" s="683"/>
      <c r="X175" s="474">
        <f t="shared" si="40"/>
        <v>120000</v>
      </c>
      <c r="Y175" s="474">
        <f t="shared" si="41"/>
        <v>0</v>
      </c>
      <c r="Z175" s="475">
        <f t="shared" si="42"/>
        <v>0</v>
      </c>
      <c r="AA175" s="475">
        <v>0</v>
      </c>
      <c r="AB175" s="476">
        <v>0</v>
      </c>
      <c r="AC175" s="38">
        <f t="shared" si="43"/>
        <v>0</v>
      </c>
      <c r="AD175" s="692">
        <f t="shared" si="32"/>
        <v>-2422.7799999999988</v>
      </c>
      <c r="AE175" s="692">
        <f t="shared" si="33"/>
        <v>0</v>
      </c>
      <c r="AF175" s="692">
        <f t="shared" si="34"/>
        <v>0</v>
      </c>
      <c r="AG175" s="38"/>
      <c r="AH175" s="692">
        <f t="shared" si="36"/>
        <v>120000</v>
      </c>
      <c r="AI175" s="692">
        <f t="shared" si="37"/>
        <v>0</v>
      </c>
      <c r="AJ175" s="692">
        <f t="shared" si="38"/>
        <v>0</v>
      </c>
      <c r="AL175" s="38">
        <f t="shared" si="35"/>
        <v>117577.22</v>
      </c>
      <c r="AM175" s="68" t="s">
        <v>435</v>
      </c>
    </row>
    <row r="176" spans="1:39">
      <c r="A176" s="21"/>
      <c r="B176" s="21" t="s">
        <v>110</v>
      </c>
      <c r="C176" s="675" t="s">
        <v>584</v>
      </c>
      <c r="D176" s="806" t="s">
        <v>99</v>
      </c>
      <c r="E176" s="679"/>
      <c r="F176" s="529">
        <f>VLOOKUP(D176,'Jan14 Revenue'!D:V,19,FALSE)</f>
        <v>-10000</v>
      </c>
      <c r="G176" s="680"/>
      <c r="H176" s="680"/>
      <c r="I176" s="755"/>
      <c r="J176" s="682">
        <f t="shared" si="31"/>
        <v>-10000</v>
      </c>
      <c r="K176" s="683"/>
      <c r="L176" s="684"/>
      <c r="M176" s="753">
        <v>20000</v>
      </c>
      <c r="N176" s="683">
        <v>0</v>
      </c>
      <c r="O176" s="686"/>
      <c r="P176" s="683">
        <v>0</v>
      </c>
      <c r="Q176" s="687">
        <f t="shared" si="30"/>
        <v>20000</v>
      </c>
      <c r="R176" s="687"/>
      <c r="S176" s="687"/>
      <c r="T176" s="688">
        <v>7698.45</v>
      </c>
      <c r="U176" s="693"/>
      <c r="V176" s="690">
        <f t="shared" si="39"/>
        <v>-12301.55</v>
      </c>
      <c r="W176" s="683"/>
      <c r="X176" s="474">
        <f t="shared" si="40"/>
        <v>20000</v>
      </c>
      <c r="Y176" s="474">
        <f t="shared" si="41"/>
        <v>0</v>
      </c>
      <c r="Z176" s="475">
        <f t="shared" si="42"/>
        <v>0</v>
      </c>
      <c r="AA176" s="475">
        <v>0</v>
      </c>
      <c r="AB176" s="476">
        <v>0</v>
      </c>
      <c r="AC176" s="38">
        <f t="shared" si="43"/>
        <v>0</v>
      </c>
      <c r="AD176" s="692">
        <f t="shared" si="32"/>
        <v>-10000</v>
      </c>
      <c r="AE176" s="692">
        <f>IF(B176="M",J176,0)</f>
        <v>0</v>
      </c>
      <c r="AF176" s="692">
        <f t="shared" si="34"/>
        <v>0</v>
      </c>
      <c r="AG176" s="38"/>
      <c r="AH176" s="692">
        <f t="shared" si="36"/>
        <v>20000</v>
      </c>
      <c r="AI176" s="692">
        <f t="shared" si="37"/>
        <v>0</v>
      </c>
      <c r="AJ176" s="692">
        <f t="shared" si="38"/>
        <v>0</v>
      </c>
      <c r="AL176" s="38">
        <f t="shared" si="35"/>
        <v>10000</v>
      </c>
      <c r="AM176" s="806" t="s">
        <v>99</v>
      </c>
    </row>
    <row r="177" spans="1:39" s="232" customFormat="1">
      <c r="A177" s="403"/>
      <c r="B177" s="403" t="s">
        <v>110</v>
      </c>
      <c r="C177" s="666"/>
      <c r="D177" s="828" t="s">
        <v>966</v>
      </c>
      <c r="E177" s="679"/>
      <c r="F177" s="529">
        <f>VLOOKUP(D177,'Jan14 Revenue'!D:V,19,FALSE)</f>
        <v>0</v>
      </c>
      <c r="G177" s="680"/>
      <c r="H177" s="680"/>
      <c r="I177" s="755"/>
      <c r="J177" s="682">
        <f t="shared" si="31"/>
        <v>0</v>
      </c>
      <c r="K177" s="683"/>
      <c r="L177" s="684"/>
      <c r="M177" s="753"/>
      <c r="N177" s="683">
        <v>0</v>
      </c>
      <c r="O177" s="686"/>
      <c r="P177" s="683">
        <v>0</v>
      </c>
      <c r="Q177" s="687">
        <f t="shared" si="30"/>
        <v>0</v>
      </c>
      <c r="R177" s="687"/>
      <c r="S177" s="687"/>
      <c r="T177" s="688">
        <v>0</v>
      </c>
      <c r="U177" s="693"/>
      <c r="V177" s="690">
        <f t="shared" si="39"/>
        <v>0</v>
      </c>
      <c r="W177" s="683"/>
      <c r="X177" s="474">
        <f t="shared" si="40"/>
        <v>0</v>
      </c>
      <c r="Y177" s="474">
        <f t="shared" si="41"/>
        <v>0</v>
      </c>
      <c r="Z177" s="475">
        <f t="shared" si="42"/>
        <v>0</v>
      </c>
      <c r="AA177" s="475">
        <v>0</v>
      </c>
      <c r="AB177" s="476">
        <v>0</v>
      </c>
      <c r="AC177" s="38">
        <f t="shared" si="43"/>
        <v>0</v>
      </c>
      <c r="AD177" s="692">
        <f t="shared" si="32"/>
        <v>0</v>
      </c>
      <c r="AE177" s="692">
        <f t="shared" si="33"/>
        <v>0</v>
      </c>
      <c r="AF177" s="692">
        <f t="shared" si="34"/>
        <v>0</v>
      </c>
      <c r="AG177" s="38"/>
      <c r="AH177" s="692">
        <f t="shared" si="36"/>
        <v>0</v>
      </c>
      <c r="AI177" s="692">
        <f t="shared" si="37"/>
        <v>0</v>
      </c>
      <c r="AJ177" s="692">
        <f t="shared" si="38"/>
        <v>0</v>
      </c>
      <c r="AL177" s="38">
        <f t="shared" si="35"/>
        <v>0</v>
      </c>
      <c r="AM177" s="813" t="s">
        <v>966</v>
      </c>
    </row>
    <row r="178" spans="1:39" s="232" customFormat="1">
      <c r="A178" s="403"/>
      <c r="B178" s="403" t="s">
        <v>110</v>
      </c>
      <c r="C178" s="666" t="s">
        <v>568</v>
      </c>
      <c r="D178" s="807" t="s">
        <v>303</v>
      </c>
      <c r="E178" s="679"/>
      <c r="F178" s="529">
        <f>VLOOKUP(D178,'Jan14 Revenue'!D:V,19,FALSE)</f>
        <v>-300000</v>
      </c>
      <c r="G178" s="680"/>
      <c r="H178" s="680"/>
      <c r="I178" s="755"/>
      <c r="J178" s="682">
        <f t="shared" si="31"/>
        <v>-300000</v>
      </c>
      <c r="K178" s="683"/>
      <c r="L178" s="684"/>
      <c r="M178" s="831">
        <v>100000</v>
      </c>
      <c r="N178" s="683">
        <v>0</v>
      </c>
      <c r="O178" s="686"/>
      <c r="P178" s="683">
        <v>0</v>
      </c>
      <c r="Q178" s="687">
        <f t="shared" si="30"/>
        <v>100000</v>
      </c>
      <c r="R178" s="687"/>
      <c r="S178" s="687"/>
      <c r="T178" s="688">
        <v>0</v>
      </c>
      <c r="U178" s="693"/>
      <c r="V178" s="690">
        <f t="shared" si="39"/>
        <v>-100000</v>
      </c>
      <c r="W178" s="683"/>
      <c r="X178" s="474">
        <f t="shared" si="40"/>
        <v>100000</v>
      </c>
      <c r="Y178" s="474">
        <f t="shared" si="41"/>
        <v>0</v>
      </c>
      <c r="Z178" s="475">
        <f t="shared" si="42"/>
        <v>0</v>
      </c>
      <c r="AA178" s="475">
        <v>0</v>
      </c>
      <c r="AB178" s="476">
        <v>0</v>
      </c>
      <c r="AC178" s="38">
        <f t="shared" si="43"/>
        <v>0</v>
      </c>
      <c r="AD178" s="692">
        <f t="shared" si="32"/>
        <v>-300000</v>
      </c>
      <c r="AE178" s="692">
        <f t="shared" si="33"/>
        <v>0</v>
      </c>
      <c r="AF178" s="692">
        <f t="shared" si="34"/>
        <v>0</v>
      </c>
      <c r="AG178" s="38"/>
      <c r="AH178" s="692">
        <f t="shared" si="36"/>
        <v>100000</v>
      </c>
      <c r="AI178" s="692">
        <f t="shared" si="37"/>
        <v>0</v>
      </c>
      <c r="AJ178" s="692">
        <f t="shared" si="38"/>
        <v>0</v>
      </c>
      <c r="AL178" s="38">
        <f t="shared" si="35"/>
        <v>-200000</v>
      </c>
      <c r="AM178" s="807" t="s">
        <v>303</v>
      </c>
    </row>
    <row r="179" spans="1:39" s="232" customFormat="1">
      <c r="A179" s="403"/>
      <c r="B179" s="403" t="s">
        <v>110</v>
      </c>
      <c r="C179" s="666"/>
      <c r="D179" s="807" t="s">
        <v>856</v>
      </c>
      <c r="E179" s="679"/>
      <c r="F179" s="529">
        <f>VLOOKUP(D179,'Jan14 Revenue'!D:V,19,FALSE)</f>
        <v>0</v>
      </c>
      <c r="G179" s="680"/>
      <c r="H179" s="680"/>
      <c r="I179" s="755"/>
      <c r="J179" s="682">
        <f t="shared" si="31"/>
        <v>0</v>
      </c>
      <c r="K179" s="683"/>
      <c r="L179" s="684"/>
      <c r="M179" s="753"/>
      <c r="N179" s="683">
        <v>0</v>
      </c>
      <c r="O179" s="686"/>
      <c r="P179" s="683">
        <v>0</v>
      </c>
      <c r="Q179" s="687">
        <f t="shared" si="30"/>
        <v>0</v>
      </c>
      <c r="R179" s="687"/>
      <c r="S179" s="687"/>
      <c r="T179" s="688">
        <v>0</v>
      </c>
      <c r="U179" s="693"/>
      <c r="V179" s="690">
        <f t="shared" si="39"/>
        <v>0</v>
      </c>
      <c r="W179" s="683"/>
      <c r="X179" s="474">
        <f t="shared" si="40"/>
        <v>0</v>
      </c>
      <c r="Y179" s="474">
        <f t="shared" si="41"/>
        <v>0</v>
      </c>
      <c r="Z179" s="475">
        <f t="shared" si="42"/>
        <v>0</v>
      </c>
      <c r="AA179" s="475">
        <v>0</v>
      </c>
      <c r="AB179" s="476">
        <v>0</v>
      </c>
      <c r="AC179" s="38">
        <f t="shared" si="43"/>
        <v>0</v>
      </c>
      <c r="AD179" s="692">
        <f t="shared" si="32"/>
        <v>0</v>
      </c>
      <c r="AE179" s="692">
        <f t="shared" si="33"/>
        <v>0</v>
      </c>
      <c r="AF179" s="692">
        <f t="shared" si="34"/>
        <v>0</v>
      </c>
      <c r="AG179" s="38"/>
      <c r="AH179" s="692">
        <f t="shared" si="36"/>
        <v>0</v>
      </c>
      <c r="AI179" s="692">
        <f t="shared" si="37"/>
        <v>0</v>
      </c>
      <c r="AJ179" s="692">
        <f t="shared" si="38"/>
        <v>0</v>
      </c>
      <c r="AL179" s="38">
        <f t="shared" si="35"/>
        <v>0</v>
      </c>
      <c r="AM179" s="807" t="s">
        <v>856</v>
      </c>
    </row>
    <row r="180" spans="1:39" s="232" customFormat="1">
      <c r="A180" s="403"/>
      <c r="B180" s="403" t="s">
        <v>109</v>
      </c>
      <c r="C180" s="666" t="s">
        <v>569</v>
      </c>
      <c r="D180" s="123" t="s">
        <v>468</v>
      </c>
      <c r="E180" s="679"/>
      <c r="F180" s="529">
        <f>VLOOKUP(D180,'Jan14 Revenue'!D:V,19,FALSE)</f>
        <v>0</v>
      </c>
      <c r="G180" s="680"/>
      <c r="H180" s="680"/>
      <c r="I180" s="755"/>
      <c r="J180" s="682">
        <f t="shared" si="31"/>
        <v>0</v>
      </c>
      <c r="K180" s="683"/>
      <c r="L180" s="684"/>
      <c r="M180" s="753"/>
      <c r="N180" s="683">
        <v>0</v>
      </c>
      <c r="O180" s="686"/>
      <c r="P180" s="683">
        <v>0</v>
      </c>
      <c r="Q180" s="687">
        <f t="shared" si="30"/>
        <v>0</v>
      </c>
      <c r="R180" s="687"/>
      <c r="S180" s="687"/>
      <c r="T180" s="688">
        <v>0</v>
      </c>
      <c r="U180" s="693"/>
      <c r="V180" s="690">
        <f t="shared" si="39"/>
        <v>0</v>
      </c>
      <c r="W180" s="683"/>
      <c r="X180" s="474">
        <f t="shared" si="40"/>
        <v>0</v>
      </c>
      <c r="Y180" s="474">
        <f t="shared" si="41"/>
        <v>0</v>
      </c>
      <c r="Z180" s="475">
        <f t="shared" si="42"/>
        <v>0</v>
      </c>
      <c r="AA180" s="475">
        <v>0</v>
      </c>
      <c r="AB180" s="476">
        <v>0</v>
      </c>
      <c r="AC180" s="38">
        <f t="shared" si="43"/>
        <v>0</v>
      </c>
      <c r="AD180" s="692">
        <f t="shared" si="32"/>
        <v>0</v>
      </c>
      <c r="AE180" s="692">
        <f t="shared" si="33"/>
        <v>0</v>
      </c>
      <c r="AF180" s="692">
        <f t="shared" si="34"/>
        <v>0</v>
      </c>
      <c r="AG180" s="38"/>
      <c r="AH180" s="692">
        <f t="shared" si="36"/>
        <v>0</v>
      </c>
      <c r="AI180" s="692">
        <f t="shared" si="37"/>
        <v>0</v>
      </c>
      <c r="AJ180" s="692">
        <f t="shared" si="38"/>
        <v>0</v>
      </c>
      <c r="AL180" s="38">
        <f t="shared" si="35"/>
        <v>0</v>
      </c>
      <c r="AM180" s="123" t="s">
        <v>468</v>
      </c>
    </row>
    <row r="181" spans="1:39">
      <c r="A181" s="20"/>
      <c r="B181" s="20" t="s">
        <v>110</v>
      </c>
      <c r="C181" s="676" t="s">
        <v>844</v>
      </c>
      <c r="D181" s="68" t="s">
        <v>845</v>
      </c>
      <c r="E181" s="679">
        <v>1118.6300000000001</v>
      </c>
      <c r="F181" s="529">
        <f>VLOOKUP(D181,'Jan14 Revenue'!D:V,19,FALSE)</f>
        <v>0</v>
      </c>
      <c r="G181" s="680"/>
      <c r="H181" s="680"/>
      <c r="I181" s="755"/>
      <c r="J181" s="682">
        <f t="shared" si="31"/>
        <v>1118.6300000000001</v>
      </c>
      <c r="K181" s="683"/>
      <c r="L181" s="684"/>
      <c r="M181" s="753"/>
      <c r="N181" s="683">
        <v>0</v>
      </c>
      <c r="O181" s="686"/>
      <c r="P181" s="683">
        <v>0</v>
      </c>
      <c r="Q181" s="687">
        <f t="shared" si="30"/>
        <v>0</v>
      </c>
      <c r="R181" s="687"/>
      <c r="S181" s="687"/>
      <c r="T181" s="688">
        <v>0</v>
      </c>
      <c r="U181" s="693"/>
      <c r="V181" s="690">
        <f t="shared" si="39"/>
        <v>0</v>
      </c>
      <c r="W181" s="683"/>
      <c r="X181" s="474">
        <f t="shared" si="40"/>
        <v>0</v>
      </c>
      <c r="Y181" s="474">
        <f t="shared" si="41"/>
        <v>0</v>
      </c>
      <c r="Z181" s="475">
        <f t="shared" si="42"/>
        <v>0</v>
      </c>
      <c r="AA181" s="475">
        <v>0</v>
      </c>
      <c r="AB181" s="476">
        <v>0</v>
      </c>
      <c r="AC181" s="38">
        <f t="shared" si="43"/>
        <v>0</v>
      </c>
      <c r="AD181" s="692">
        <f t="shared" si="32"/>
        <v>1118.6300000000001</v>
      </c>
      <c r="AE181" s="692">
        <f t="shared" si="33"/>
        <v>0</v>
      </c>
      <c r="AF181" s="692">
        <f t="shared" si="34"/>
        <v>0</v>
      </c>
      <c r="AG181" s="38"/>
      <c r="AH181" s="692">
        <f t="shared" si="36"/>
        <v>0</v>
      </c>
      <c r="AI181" s="692">
        <f t="shared" si="37"/>
        <v>0</v>
      </c>
      <c r="AJ181" s="692">
        <f t="shared" si="38"/>
        <v>0</v>
      </c>
      <c r="AL181" s="38">
        <f t="shared" si="35"/>
        <v>1118.6300000000001</v>
      </c>
      <c r="AM181" s="68" t="s">
        <v>845</v>
      </c>
    </row>
    <row r="182" spans="1:39">
      <c r="A182" s="20"/>
      <c r="B182" s="20" t="s">
        <v>110</v>
      </c>
      <c r="C182" s="676" t="s">
        <v>977</v>
      </c>
      <c r="D182" s="68" t="s">
        <v>978</v>
      </c>
      <c r="E182" s="679"/>
      <c r="F182" s="529">
        <f>VLOOKUP(D182,'Jan14 Revenue'!D:V,19,FALSE)</f>
        <v>-5000</v>
      </c>
      <c r="G182" s="680"/>
      <c r="H182" s="680"/>
      <c r="I182" s="755"/>
      <c r="J182" s="682">
        <f t="shared" si="31"/>
        <v>-5000</v>
      </c>
      <c r="K182" s="683"/>
      <c r="L182" s="684"/>
      <c r="M182" s="753">
        <v>10000</v>
      </c>
      <c r="N182" s="683">
        <v>0</v>
      </c>
      <c r="O182" s="686"/>
      <c r="P182" s="683">
        <v>0</v>
      </c>
      <c r="Q182" s="687">
        <f t="shared" si="30"/>
        <v>10000</v>
      </c>
      <c r="R182" s="687"/>
      <c r="S182" s="687"/>
      <c r="T182" s="688">
        <v>2619.36</v>
      </c>
      <c r="U182" s="693"/>
      <c r="V182" s="690">
        <f t="shared" si="39"/>
        <v>-7380.6399999999994</v>
      </c>
      <c r="W182" s="683"/>
      <c r="X182" s="474">
        <f t="shared" si="40"/>
        <v>10000</v>
      </c>
      <c r="Y182" s="474">
        <f t="shared" si="41"/>
        <v>0</v>
      </c>
      <c r="Z182" s="475">
        <f t="shared" si="42"/>
        <v>0</v>
      </c>
      <c r="AA182" s="475">
        <v>0</v>
      </c>
      <c r="AB182" s="476">
        <v>0</v>
      </c>
      <c r="AC182" s="38">
        <f t="shared" si="43"/>
        <v>0</v>
      </c>
      <c r="AD182" s="692">
        <f t="shared" si="32"/>
        <v>-5000</v>
      </c>
      <c r="AE182" s="692">
        <f t="shared" si="33"/>
        <v>0</v>
      </c>
      <c r="AF182" s="692">
        <f t="shared" si="34"/>
        <v>0</v>
      </c>
      <c r="AG182" s="38"/>
      <c r="AH182" s="692">
        <f t="shared" si="36"/>
        <v>10000</v>
      </c>
      <c r="AI182" s="692">
        <f t="shared" si="37"/>
        <v>0</v>
      </c>
      <c r="AJ182" s="692">
        <f t="shared" si="38"/>
        <v>0</v>
      </c>
      <c r="AL182" s="38">
        <f t="shared" si="35"/>
        <v>5000</v>
      </c>
      <c r="AM182" s="68" t="s">
        <v>978</v>
      </c>
    </row>
    <row r="183" spans="1:39">
      <c r="A183" s="20"/>
      <c r="B183" s="20" t="s">
        <v>109</v>
      </c>
      <c r="C183" s="667" t="s">
        <v>570</v>
      </c>
      <c r="D183" s="68" t="s">
        <v>221</v>
      </c>
      <c r="E183" s="679"/>
      <c r="F183" s="529">
        <f>VLOOKUP(D183,'Jan14 Revenue'!D:V,19,FALSE)</f>
        <v>0</v>
      </c>
      <c r="G183" s="680"/>
      <c r="H183" s="680"/>
      <c r="I183" s="755"/>
      <c r="J183" s="682">
        <f t="shared" si="31"/>
        <v>0</v>
      </c>
      <c r="K183" s="683"/>
      <c r="L183" s="684"/>
      <c r="M183" s="753"/>
      <c r="N183" s="683">
        <v>0</v>
      </c>
      <c r="O183" s="686"/>
      <c r="P183" s="683">
        <v>0</v>
      </c>
      <c r="Q183" s="687">
        <f t="shared" si="30"/>
        <v>0</v>
      </c>
      <c r="R183" s="687"/>
      <c r="S183" s="687"/>
      <c r="T183" s="688">
        <v>0</v>
      </c>
      <c r="U183" s="693"/>
      <c r="V183" s="690">
        <f t="shared" si="39"/>
        <v>0</v>
      </c>
      <c r="W183" s="683"/>
      <c r="X183" s="474">
        <f t="shared" si="40"/>
        <v>0</v>
      </c>
      <c r="Y183" s="474">
        <f t="shared" si="41"/>
        <v>0</v>
      </c>
      <c r="Z183" s="475">
        <f t="shared" si="42"/>
        <v>0</v>
      </c>
      <c r="AA183" s="475">
        <v>0</v>
      </c>
      <c r="AB183" s="476">
        <v>0</v>
      </c>
      <c r="AC183" s="38">
        <f t="shared" si="43"/>
        <v>0</v>
      </c>
      <c r="AD183" s="692">
        <f t="shared" si="32"/>
        <v>0</v>
      </c>
      <c r="AE183" s="692">
        <f t="shared" si="33"/>
        <v>0</v>
      </c>
      <c r="AF183" s="692">
        <f t="shared" si="34"/>
        <v>0</v>
      </c>
      <c r="AG183" s="38"/>
      <c r="AH183" s="692">
        <f t="shared" si="36"/>
        <v>0</v>
      </c>
      <c r="AI183" s="692">
        <f t="shared" si="37"/>
        <v>0</v>
      </c>
      <c r="AJ183" s="692">
        <f t="shared" si="38"/>
        <v>0</v>
      </c>
      <c r="AL183" s="38">
        <f t="shared" si="35"/>
        <v>0</v>
      </c>
      <c r="AM183" s="68" t="s">
        <v>221</v>
      </c>
    </row>
    <row r="184" spans="1:39">
      <c r="A184" s="21"/>
      <c r="B184" s="21" t="s">
        <v>110</v>
      </c>
      <c r="C184" s="666"/>
      <c r="D184" s="68" t="s">
        <v>985</v>
      </c>
      <c r="E184" s="679"/>
      <c r="F184" s="529">
        <f>VLOOKUP(D184,'Jan14 Revenue'!D:V,19,FALSE)</f>
        <v>0</v>
      </c>
      <c r="G184" s="680"/>
      <c r="H184" s="680"/>
      <c r="I184" s="755"/>
      <c r="J184" s="682">
        <f t="shared" si="31"/>
        <v>0</v>
      </c>
      <c r="K184" s="683"/>
      <c r="L184" s="684"/>
      <c r="M184" s="753"/>
      <c r="N184" s="683">
        <v>0</v>
      </c>
      <c r="O184" s="686"/>
      <c r="P184" s="683">
        <v>0</v>
      </c>
      <c r="Q184" s="687">
        <f t="shared" si="30"/>
        <v>0</v>
      </c>
      <c r="R184" s="687"/>
      <c r="S184" s="687"/>
      <c r="T184" s="688">
        <v>0</v>
      </c>
      <c r="U184" s="693"/>
      <c r="V184" s="690">
        <f t="shared" si="39"/>
        <v>0</v>
      </c>
      <c r="W184" s="683"/>
      <c r="X184" s="474">
        <f t="shared" si="40"/>
        <v>0</v>
      </c>
      <c r="Y184" s="474">
        <f t="shared" si="41"/>
        <v>0</v>
      </c>
      <c r="Z184" s="475">
        <f t="shared" si="42"/>
        <v>0</v>
      </c>
      <c r="AA184" s="475">
        <v>0</v>
      </c>
      <c r="AB184" s="476">
        <v>0</v>
      </c>
      <c r="AC184" s="38">
        <f t="shared" si="43"/>
        <v>0</v>
      </c>
      <c r="AD184" s="692">
        <f t="shared" si="32"/>
        <v>0</v>
      </c>
      <c r="AE184" s="692">
        <f t="shared" si="33"/>
        <v>0</v>
      </c>
      <c r="AF184" s="692">
        <f t="shared" si="34"/>
        <v>0</v>
      </c>
      <c r="AG184" s="38"/>
      <c r="AH184" s="692">
        <f t="shared" si="36"/>
        <v>0</v>
      </c>
      <c r="AI184" s="692">
        <f t="shared" si="37"/>
        <v>0</v>
      </c>
      <c r="AJ184" s="692">
        <f t="shared" si="38"/>
        <v>0</v>
      </c>
      <c r="AL184" s="38">
        <f t="shared" si="35"/>
        <v>0</v>
      </c>
      <c r="AM184" s="68" t="s">
        <v>985</v>
      </c>
    </row>
    <row r="185" spans="1:39">
      <c r="A185" s="21"/>
      <c r="B185" s="21" t="s">
        <v>109</v>
      </c>
      <c r="C185" s="666" t="s">
        <v>571</v>
      </c>
      <c r="D185" s="68" t="s">
        <v>44</v>
      </c>
      <c r="E185" s="679"/>
      <c r="F185" s="529">
        <f>VLOOKUP(D185,'Jan14 Revenue'!D:V,19,FALSE)</f>
        <v>0</v>
      </c>
      <c r="G185" s="680"/>
      <c r="H185" s="680"/>
      <c r="I185" s="755"/>
      <c r="J185" s="682">
        <f t="shared" si="31"/>
        <v>0</v>
      </c>
      <c r="K185" s="683"/>
      <c r="L185" s="684"/>
      <c r="M185" s="753"/>
      <c r="N185" s="683">
        <v>0</v>
      </c>
      <c r="O185" s="686"/>
      <c r="P185" s="683">
        <v>0</v>
      </c>
      <c r="Q185" s="687">
        <f t="shared" si="30"/>
        <v>0</v>
      </c>
      <c r="R185" s="687"/>
      <c r="S185" s="687"/>
      <c r="T185" s="688">
        <v>0</v>
      </c>
      <c r="U185" s="693"/>
      <c r="V185" s="690">
        <f t="shared" si="39"/>
        <v>0</v>
      </c>
      <c r="W185" s="683"/>
      <c r="X185" s="474">
        <f t="shared" si="40"/>
        <v>0</v>
      </c>
      <c r="Y185" s="474">
        <f t="shared" si="41"/>
        <v>0</v>
      </c>
      <c r="Z185" s="475">
        <f t="shared" si="42"/>
        <v>0</v>
      </c>
      <c r="AA185" s="475">
        <v>0</v>
      </c>
      <c r="AB185" s="476">
        <v>0</v>
      </c>
      <c r="AC185" s="38">
        <f t="shared" si="43"/>
        <v>0</v>
      </c>
      <c r="AD185" s="692">
        <f t="shared" si="32"/>
        <v>0</v>
      </c>
      <c r="AE185" s="692">
        <f t="shared" si="33"/>
        <v>0</v>
      </c>
      <c r="AF185" s="692">
        <f t="shared" si="34"/>
        <v>0</v>
      </c>
      <c r="AG185" s="38"/>
      <c r="AH185" s="692">
        <f t="shared" si="36"/>
        <v>0</v>
      </c>
      <c r="AI185" s="692">
        <f t="shared" si="37"/>
        <v>0</v>
      </c>
      <c r="AJ185" s="692">
        <f t="shared" si="38"/>
        <v>0</v>
      </c>
      <c r="AL185" s="38">
        <f t="shared" si="35"/>
        <v>0</v>
      </c>
      <c r="AM185" s="68" t="s">
        <v>44</v>
      </c>
    </row>
    <row r="186" spans="1:39">
      <c r="A186" s="21"/>
      <c r="B186" s="21" t="s">
        <v>114</v>
      </c>
      <c r="C186" s="666" t="s">
        <v>571</v>
      </c>
      <c r="D186" s="68" t="s">
        <v>44</v>
      </c>
      <c r="E186" s="679"/>
      <c r="F186" s="529">
        <f>VLOOKUP(D186,'Jan14 Revenue'!D:V,19,FALSE)</f>
        <v>0</v>
      </c>
      <c r="G186" s="680"/>
      <c r="H186" s="680"/>
      <c r="I186" s="755"/>
      <c r="J186" s="682">
        <f t="shared" si="31"/>
        <v>0</v>
      </c>
      <c r="K186" s="683"/>
      <c r="L186" s="684"/>
      <c r="M186" s="753"/>
      <c r="N186" s="683">
        <v>0</v>
      </c>
      <c r="O186" s="686"/>
      <c r="P186" s="683">
        <v>0</v>
      </c>
      <c r="Q186" s="687">
        <f t="shared" si="30"/>
        <v>0</v>
      </c>
      <c r="R186" s="687"/>
      <c r="S186" s="687"/>
      <c r="T186" s="688">
        <v>0</v>
      </c>
      <c r="U186" s="693"/>
      <c r="V186" s="690">
        <f t="shared" si="39"/>
        <v>0</v>
      </c>
      <c r="W186" s="683"/>
      <c r="X186" s="474">
        <f t="shared" si="40"/>
        <v>0</v>
      </c>
      <c r="Y186" s="474">
        <f t="shared" si="41"/>
        <v>0</v>
      </c>
      <c r="Z186" s="475">
        <f t="shared" si="42"/>
        <v>0</v>
      </c>
      <c r="AA186" s="475">
        <v>0</v>
      </c>
      <c r="AB186" s="476">
        <v>0</v>
      </c>
      <c r="AC186" s="38">
        <f t="shared" si="43"/>
        <v>0</v>
      </c>
      <c r="AD186" s="692">
        <f t="shared" si="32"/>
        <v>0</v>
      </c>
      <c r="AE186" s="692">
        <f t="shared" si="33"/>
        <v>0</v>
      </c>
      <c r="AF186" s="692">
        <f t="shared" si="34"/>
        <v>0</v>
      </c>
      <c r="AG186" s="38"/>
      <c r="AH186" s="692">
        <f t="shared" si="36"/>
        <v>0</v>
      </c>
      <c r="AI186" s="692">
        <f t="shared" si="37"/>
        <v>0</v>
      </c>
      <c r="AJ186" s="692">
        <f t="shared" si="38"/>
        <v>0</v>
      </c>
      <c r="AL186" s="38">
        <f t="shared" si="35"/>
        <v>0</v>
      </c>
      <c r="AM186" s="68" t="s">
        <v>44</v>
      </c>
    </row>
    <row r="187" spans="1:39">
      <c r="A187" s="21"/>
      <c r="B187" s="21" t="s">
        <v>110</v>
      </c>
      <c r="C187" s="666" t="s">
        <v>572</v>
      </c>
      <c r="D187" s="806" t="s">
        <v>388</v>
      </c>
      <c r="E187" s="679">
        <f>36746.63-18493.3</f>
        <v>18253.329999999998</v>
      </c>
      <c r="F187" s="529">
        <f>VLOOKUP(D187,'Jan14 Revenue'!D:V,19,FALSE)</f>
        <v>0</v>
      </c>
      <c r="G187" s="680"/>
      <c r="H187" s="680"/>
      <c r="I187" s="770">
        <f>17198.81+1018.67</f>
        <v>18217.48</v>
      </c>
      <c r="J187" s="682">
        <f t="shared" si="31"/>
        <v>36470.81</v>
      </c>
      <c r="K187" s="683"/>
      <c r="L187" s="684"/>
      <c r="M187" s="753"/>
      <c r="N187" s="683">
        <v>0</v>
      </c>
      <c r="O187" s="686"/>
      <c r="P187" s="683">
        <v>0</v>
      </c>
      <c r="Q187" s="687">
        <f t="shared" si="30"/>
        <v>0</v>
      </c>
      <c r="R187" s="687"/>
      <c r="S187" s="687"/>
      <c r="T187" s="688">
        <v>0</v>
      </c>
      <c r="U187" s="693"/>
      <c r="V187" s="690">
        <f t="shared" si="39"/>
        <v>0</v>
      </c>
      <c r="W187" s="683"/>
      <c r="X187" s="474">
        <f t="shared" si="40"/>
        <v>0</v>
      </c>
      <c r="Y187" s="474">
        <f t="shared" si="41"/>
        <v>0</v>
      </c>
      <c r="Z187" s="475">
        <f t="shared" si="42"/>
        <v>0</v>
      </c>
      <c r="AA187" s="475">
        <v>0</v>
      </c>
      <c r="AB187" s="476">
        <v>0</v>
      </c>
      <c r="AC187" s="38">
        <f t="shared" si="43"/>
        <v>0</v>
      </c>
      <c r="AD187" s="692">
        <f t="shared" si="32"/>
        <v>36470.81</v>
      </c>
      <c r="AE187" s="692">
        <f t="shared" si="33"/>
        <v>0</v>
      </c>
      <c r="AF187" s="692">
        <f t="shared" si="34"/>
        <v>0</v>
      </c>
      <c r="AG187" s="38"/>
      <c r="AH187" s="692">
        <f t="shared" si="36"/>
        <v>0</v>
      </c>
      <c r="AI187" s="692">
        <f t="shared" si="37"/>
        <v>0</v>
      </c>
      <c r="AJ187" s="692">
        <f t="shared" si="38"/>
        <v>0</v>
      </c>
      <c r="AL187" s="38">
        <f t="shared" si="35"/>
        <v>36470.81</v>
      </c>
      <c r="AM187" s="806" t="s">
        <v>388</v>
      </c>
    </row>
    <row r="188" spans="1:39">
      <c r="A188" s="20"/>
      <c r="B188" s="20" t="s">
        <v>109</v>
      </c>
      <c r="C188" s="667"/>
      <c r="D188" s="806" t="s">
        <v>842</v>
      </c>
      <c r="E188" s="679"/>
      <c r="F188" s="529">
        <f>VLOOKUP(D188,'Jan14 Revenue'!D:V,19,FALSE)</f>
        <v>-135000</v>
      </c>
      <c r="G188" s="680"/>
      <c r="H188" s="680"/>
      <c r="I188" s="755"/>
      <c r="J188" s="682">
        <f t="shared" si="31"/>
        <v>-135000</v>
      </c>
      <c r="K188" s="683"/>
      <c r="L188" s="684"/>
      <c r="M188" s="753">
        <v>140000</v>
      </c>
      <c r="N188" s="683">
        <v>0</v>
      </c>
      <c r="O188" s="686"/>
      <c r="P188" s="683">
        <v>0</v>
      </c>
      <c r="Q188" s="687">
        <f t="shared" si="30"/>
        <v>140000</v>
      </c>
      <c r="R188" s="687"/>
      <c r="S188" s="687"/>
      <c r="T188" s="688">
        <v>0</v>
      </c>
      <c r="U188" s="693"/>
      <c r="V188" s="690">
        <f t="shared" si="39"/>
        <v>-140000</v>
      </c>
      <c r="W188" s="683"/>
      <c r="X188" s="474">
        <f t="shared" si="40"/>
        <v>0</v>
      </c>
      <c r="Y188" s="474">
        <f t="shared" si="41"/>
        <v>140000</v>
      </c>
      <c r="Z188" s="475">
        <f t="shared" si="42"/>
        <v>0</v>
      </c>
      <c r="AA188" s="475">
        <v>0</v>
      </c>
      <c r="AB188" s="476">
        <v>0</v>
      </c>
      <c r="AC188" s="38">
        <f t="shared" si="43"/>
        <v>0</v>
      </c>
      <c r="AD188" s="692">
        <f t="shared" si="32"/>
        <v>0</v>
      </c>
      <c r="AE188" s="692">
        <f t="shared" si="33"/>
        <v>-135000</v>
      </c>
      <c r="AF188" s="692">
        <f t="shared" si="34"/>
        <v>0</v>
      </c>
      <c r="AG188" s="38"/>
      <c r="AH188" s="692">
        <f t="shared" si="36"/>
        <v>0</v>
      </c>
      <c r="AI188" s="692">
        <f t="shared" si="37"/>
        <v>140000</v>
      </c>
      <c r="AJ188" s="692">
        <f t="shared" si="38"/>
        <v>0</v>
      </c>
      <c r="AL188" s="38">
        <f t="shared" si="35"/>
        <v>5000</v>
      </c>
      <c r="AM188" s="806" t="s">
        <v>842</v>
      </c>
    </row>
    <row r="189" spans="1:39">
      <c r="A189" s="21"/>
      <c r="B189" s="21" t="s">
        <v>110</v>
      </c>
      <c r="C189" s="666"/>
      <c r="D189" s="68" t="s">
        <v>45</v>
      </c>
      <c r="E189" s="679"/>
      <c r="F189" s="529">
        <f>VLOOKUP(D189,'Jan14 Revenue'!D:V,19,FALSE)</f>
        <v>-6002.0500000000029</v>
      </c>
      <c r="G189" s="680"/>
      <c r="H189" s="680"/>
      <c r="I189" s="755"/>
      <c r="J189" s="682">
        <f t="shared" si="31"/>
        <v>-6002.0500000000029</v>
      </c>
      <c r="K189" s="683"/>
      <c r="L189" s="684"/>
      <c r="M189" s="753">
        <v>75000</v>
      </c>
      <c r="N189" s="683">
        <v>0</v>
      </c>
      <c r="O189" s="686"/>
      <c r="P189" s="683">
        <v>0</v>
      </c>
      <c r="Q189" s="687">
        <f t="shared" si="30"/>
        <v>75000</v>
      </c>
      <c r="R189" s="687"/>
      <c r="S189" s="687"/>
      <c r="T189" s="688">
        <f>63349.35+3542.2</f>
        <v>66891.55</v>
      </c>
      <c r="U189" s="693"/>
      <c r="V189" s="690">
        <f t="shared" si="39"/>
        <v>-8108.4499999999971</v>
      </c>
      <c r="W189" s="683"/>
      <c r="X189" s="474">
        <f t="shared" si="40"/>
        <v>75000</v>
      </c>
      <c r="Y189" s="474">
        <f t="shared" si="41"/>
        <v>0</v>
      </c>
      <c r="Z189" s="475">
        <f t="shared" si="42"/>
        <v>0</v>
      </c>
      <c r="AA189" s="475">
        <v>0</v>
      </c>
      <c r="AB189" s="476">
        <v>0</v>
      </c>
      <c r="AC189" s="38">
        <f t="shared" si="43"/>
        <v>0</v>
      </c>
      <c r="AD189" s="692">
        <f t="shared" si="32"/>
        <v>-6002.0500000000029</v>
      </c>
      <c r="AE189" s="692">
        <f t="shared" si="33"/>
        <v>0</v>
      </c>
      <c r="AF189" s="692">
        <f t="shared" si="34"/>
        <v>0</v>
      </c>
      <c r="AG189" s="38"/>
      <c r="AH189" s="692">
        <f t="shared" si="36"/>
        <v>75000</v>
      </c>
      <c r="AI189" s="692">
        <f t="shared" si="37"/>
        <v>0</v>
      </c>
      <c r="AJ189" s="692">
        <f t="shared" si="38"/>
        <v>0</v>
      </c>
      <c r="AL189" s="38">
        <f t="shared" si="35"/>
        <v>68997.95</v>
      </c>
      <c r="AM189" s="68" t="s">
        <v>45</v>
      </c>
    </row>
    <row r="190" spans="1:39">
      <c r="A190" s="20" t="s">
        <v>211</v>
      </c>
      <c r="B190" s="20" t="s">
        <v>109</v>
      </c>
      <c r="C190" s="667"/>
      <c r="D190" s="68" t="s">
        <v>923</v>
      </c>
      <c r="E190" s="679"/>
      <c r="F190" s="529">
        <f>VLOOKUP(D190,'Jan14 Revenue'!D:V,19,FALSE)</f>
        <v>0</v>
      </c>
      <c r="G190" s="680"/>
      <c r="H190" s="680"/>
      <c r="I190" s="770">
        <v>7611.98</v>
      </c>
      <c r="J190" s="682">
        <f t="shared" si="31"/>
        <v>7611.98</v>
      </c>
      <c r="K190" s="683"/>
      <c r="L190" s="684"/>
      <c r="M190" s="753"/>
      <c r="N190" s="683">
        <v>0</v>
      </c>
      <c r="O190" s="686"/>
      <c r="P190" s="683">
        <v>0</v>
      </c>
      <c r="Q190" s="687">
        <f t="shared" si="30"/>
        <v>0</v>
      </c>
      <c r="R190" s="687"/>
      <c r="S190" s="687"/>
      <c r="T190" s="688">
        <v>0</v>
      </c>
      <c r="U190" s="693"/>
      <c r="V190" s="690">
        <f t="shared" si="39"/>
        <v>0</v>
      </c>
      <c r="W190" s="697"/>
      <c r="X190" s="474">
        <f t="shared" si="40"/>
        <v>0</v>
      </c>
      <c r="Y190" s="474">
        <f t="shared" si="41"/>
        <v>0</v>
      </c>
      <c r="Z190" s="475">
        <f t="shared" si="42"/>
        <v>0</v>
      </c>
      <c r="AA190" s="475">
        <v>0</v>
      </c>
      <c r="AB190" s="476">
        <v>0</v>
      </c>
      <c r="AC190" s="38">
        <f t="shared" si="43"/>
        <v>0</v>
      </c>
      <c r="AD190" s="692">
        <f t="shared" si="32"/>
        <v>0</v>
      </c>
      <c r="AE190" s="692">
        <f t="shared" si="33"/>
        <v>7611.98</v>
      </c>
      <c r="AF190" s="692">
        <f t="shared" si="34"/>
        <v>0</v>
      </c>
      <c r="AG190" s="38"/>
      <c r="AH190" s="692">
        <f t="shared" si="36"/>
        <v>0</v>
      </c>
      <c r="AI190" s="692">
        <f t="shared" si="37"/>
        <v>0</v>
      </c>
      <c r="AJ190" s="692">
        <f t="shared" si="38"/>
        <v>0</v>
      </c>
      <c r="AL190" s="38">
        <f t="shared" si="35"/>
        <v>7611.98</v>
      </c>
      <c r="AM190" s="68" t="s">
        <v>923</v>
      </c>
    </row>
    <row r="191" spans="1:39">
      <c r="A191" s="20"/>
      <c r="B191" s="20" t="s">
        <v>110</v>
      </c>
      <c r="C191" s="667" t="s">
        <v>573</v>
      </c>
      <c r="D191" s="68" t="s">
        <v>102</v>
      </c>
      <c r="E191" s="679"/>
      <c r="F191" s="529">
        <f>VLOOKUP(D191,'Jan14 Revenue'!D:V,19,FALSE)</f>
        <v>0</v>
      </c>
      <c r="G191" s="680"/>
      <c r="H191" s="680"/>
      <c r="I191" s="755"/>
      <c r="J191" s="682">
        <f t="shared" si="31"/>
        <v>0</v>
      </c>
      <c r="K191" s="683"/>
      <c r="L191" s="684"/>
      <c r="M191" s="753">
        <v>3650000</v>
      </c>
      <c r="N191" s="683">
        <v>0</v>
      </c>
      <c r="O191" s="686"/>
      <c r="P191" s="683">
        <v>0</v>
      </c>
      <c r="Q191" s="687">
        <f t="shared" si="30"/>
        <v>3650000</v>
      </c>
      <c r="R191" s="687"/>
      <c r="S191" s="687"/>
      <c r="T191" s="688">
        <v>3741619.1</v>
      </c>
      <c r="U191" s="693"/>
      <c r="V191" s="690">
        <f t="shared" si="39"/>
        <v>91619.100000000093</v>
      </c>
      <c r="W191" s="697"/>
      <c r="X191" s="474">
        <f t="shared" si="40"/>
        <v>3650000</v>
      </c>
      <c r="Y191" s="474">
        <f t="shared" si="41"/>
        <v>0</v>
      </c>
      <c r="Z191" s="475">
        <f t="shared" si="42"/>
        <v>0</v>
      </c>
      <c r="AA191" s="475">
        <v>0</v>
      </c>
      <c r="AB191" s="476">
        <v>0</v>
      </c>
      <c r="AC191" s="38">
        <f t="shared" si="43"/>
        <v>0</v>
      </c>
      <c r="AD191" s="692">
        <f t="shared" si="32"/>
        <v>0</v>
      </c>
      <c r="AE191" s="692">
        <f t="shared" si="33"/>
        <v>0</v>
      </c>
      <c r="AF191" s="692">
        <f t="shared" si="34"/>
        <v>0</v>
      </c>
      <c r="AG191" s="38"/>
      <c r="AH191" s="692">
        <f t="shared" si="36"/>
        <v>3650000</v>
      </c>
      <c r="AI191" s="692">
        <f t="shared" si="37"/>
        <v>0</v>
      </c>
      <c r="AJ191" s="692">
        <f t="shared" si="38"/>
        <v>0</v>
      </c>
      <c r="AL191" s="38">
        <f t="shared" si="35"/>
        <v>3650000</v>
      </c>
      <c r="AM191" s="68" t="s">
        <v>102</v>
      </c>
    </row>
    <row r="192" spans="1:39">
      <c r="A192" s="20"/>
      <c r="B192" s="20" t="s">
        <v>110</v>
      </c>
      <c r="C192" s="667" t="s">
        <v>573</v>
      </c>
      <c r="D192" s="68" t="s">
        <v>1061</v>
      </c>
      <c r="E192" s="679"/>
      <c r="F192" s="529">
        <f>VLOOKUP(D192,'Jan14 Revenue'!D:V,19,FALSE)</f>
        <v>0</v>
      </c>
      <c r="G192" s="680"/>
      <c r="H192" s="680"/>
      <c r="I192" s="755"/>
      <c r="J192" s="682">
        <f t="shared" si="31"/>
        <v>0</v>
      </c>
      <c r="K192" s="683"/>
      <c r="L192" s="684"/>
      <c r="M192" s="753">
        <v>80000</v>
      </c>
      <c r="N192" s="683">
        <v>0</v>
      </c>
      <c r="O192" s="686"/>
      <c r="P192" s="683">
        <v>0</v>
      </c>
      <c r="Q192" s="687">
        <f t="shared" si="30"/>
        <v>80000</v>
      </c>
      <c r="R192" s="687"/>
      <c r="S192" s="687"/>
      <c r="T192" s="688">
        <v>85069.06</v>
      </c>
      <c r="U192" s="693"/>
      <c r="V192" s="690">
        <f t="shared" si="39"/>
        <v>5069.0599999999977</v>
      </c>
      <c r="W192" s="697"/>
      <c r="X192" s="474">
        <f t="shared" si="40"/>
        <v>80000</v>
      </c>
      <c r="Y192" s="474">
        <f t="shared" si="41"/>
        <v>0</v>
      </c>
      <c r="Z192" s="475">
        <f t="shared" si="42"/>
        <v>0</v>
      </c>
      <c r="AA192" s="475">
        <v>0</v>
      </c>
      <c r="AB192" s="476">
        <v>0</v>
      </c>
      <c r="AC192" s="38">
        <f t="shared" si="43"/>
        <v>0</v>
      </c>
      <c r="AD192" s="692">
        <f t="shared" si="32"/>
        <v>0</v>
      </c>
      <c r="AE192" s="692">
        <f t="shared" si="33"/>
        <v>0</v>
      </c>
      <c r="AF192" s="692">
        <f t="shared" si="34"/>
        <v>0</v>
      </c>
      <c r="AG192" s="38"/>
      <c r="AH192" s="692">
        <f t="shared" si="36"/>
        <v>80000</v>
      </c>
      <c r="AI192" s="692">
        <f t="shared" si="37"/>
        <v>0</v>
      </c>
      <c r="AJ192" s="692">
        <f t="shared" si="38"/>
        <v>0</v>
      </c>
      <c r="AL192" s="38">
        <f t="shared" si="35"/>
        <v>80000</v>
      </c>
      <c r="AM192" s="68" t="s">
        <v>511</v>
      </c>
    </row>
    <row r="193" spans="1:39">
      <c r="A193" s="21"/>
      <c r="B193" s="21" t="s">
        <v>110</v>
      </c>
      <c r="C193" s="666"/>
      <c r="D193" s="68" t="s">
        <v>50</v>
      </c>
      <c r="E193" s="679"/>
      <c r="F193" s="529">
        <f>VLOOKUP(D193,'Jan14 Revenue'!D:V,19,FALSE)</f>
        <v>0</v>
      </c>
      <c r="G193" s="680"/>
      <c r="H193" s="680"/>
      <c r="I193" s="755"/>
      <c r="J193" s="682">
        <f t="shared" si="31"/>
        <v>0</v>
      </c>
      <c r="K193" s="683"/>
      <c r="L193" s="684"/>
      <c r="M193" s="753"/>
      <c r="N193" s="683">
        <v>0</v>
      </c>
      <c r="O193" s="686"/>
      <c r="P193" s="683">
        <v>0</v>
      </c>
      <c r="Q193" s="687">
        <f t="shared" si="30"/>
        <v>0</v>
      </c>
      <c r="R193" s="687"/>
      <c r="S193" s="687"/>
      <c r="T193" s="688">
        <v>0</v>
      </c>
      <c r="U193" s="693"/>
      <c r="V193" s="690">
        <f t="shared" si="39"/>
        <v>0</v>
      </c>
      <c r="W193" s="683"/>
      <c r="X193" s="474">
        <f t="shared" si="40"/>
        <v>0</v>
      </c>
      <c r="Y193" s="474">
        <f t="shared" si="41"/>
        <v>0</v>
      </c>
      <c r="Z193" s="475">
        <f t="shared" si="42"/>
        <v>0</v>
      </c>
      <c r="AA193" s="475">
        <v>0</v>
      </c>
      <c r="AB193" s="476">
        <v>0</v>
      </c>
      <c r="AC193" s="38">
        <f t="shared" si="43"/>
        <v>0</v>
      </c>
      <c r="AD193" s="692">
        <f t="shared" si="32"/>
        <v>0</v>
      </c>
      <c r="AE193" s="692">
        <f t="shared" si="33"/>
        <v>0</v>
      </c>
      <c r="AF193" s="692">
        <f t="shared" si="34"/>
        <v>0</v>
      </c>
      <c r="AG193" s="38"/>
      <c r="AH193" s="692">
        <f t="shared" si="36"/>
        <v>0</v>
      </c>
      <c r="AI193" s="692">
        <f t="shared" si="37"/>
        <v>0</v>
      </c>
      <c r="AJ193" s="692">
        <f t="shared" si="38"/>
        <v>0</v>
      </c>
      <c r="AL193" s="38">
        <f t="shared" si="35"/>
        <v>0</v>
      </c>
      <c r="AM193" s="68" t="s">
        <v>50</v>
      </c>
    </row>
    <row r="194" spans="1:39" hidden="1">
      <c r="A194" s="21"/>
      <c r="B194" s="21" t="s">
        <v>109</v>
      </c>
      <c r="C194" s="666"/>
      <c r="D194" s="68" t="s">
        <v>51</v>
      </c>
      <c r="E194" s="679"/>
      <c r="F194" s="529">
        <f>VLOOKUP(D194,'Jan14 Revenue'!D:V,19,FALSE)</f>
        <v>0</v>
      </c>
      <c r="G194" s="680"/>
      <c r="H194" s="680"/>
      <c r="I194" s="755"/>
      <c r="J194" s="682">
        <f t="shared" si="31"/>
        <v>0</v>
      </c>
      <c r="K194" s="683"/>
      <c r="L194" s="684"/>
      <c r="M194" s="753"/>
      <c r="N194" s="683">
        <v>0</v>
      </c>
      <c r="O194" s="686"/>
      <c r="P194" s="683">
        <v>0</v>
      </c>
      <c r="Q194" s="687">
        <f t="shared" si="30"/>
        <v>0</v>
      </c>
      <c r="R194" s="687"/>
      <c r="S194" s="687"/>
      <c r="T194" s="688">
        <v>0</v>
      </c>
      <c r="U194" s="693"/>
      <c r="V194" s="690">
        <f t="shared" si="39"/>
        <v>0</v>
      </c>
      <c r="W194" s="683"/>
      <c r="X194" s="474">
        <f t="shared" si="40"/>
        <v>0</v>
      </c>
      <c r="Y194" s="474">
        <f t="shared" si="41"/>
        <v>0</v>
      </c>
      <c r="Z194" s="475">
        <f t="shared" si="42"/>
        <v>0</v>
      </c>
      <c r="AA194" s="475">
        <v>0</v>
      </c>
      <c r="AB194" s="476">
        <v>0</v>
      </c>
      <c r="AC194" s="38">
        <f t="shared" si="43"/>
        <v>0</v>
      </c>
      <c r="AD194" s="692">
        <f t="shared" si="32"/>
        <v>0</v>
      </c>
      <c r="AE194" s="692">
        <f t="shared" si="33"/>
        <v>0</v>
      </c>
      <c r="AF194" s="692">
        <f t="shared" si="34"/>
        <v>0</v>
      </c>
      <c r="AG194" s="38"/>
      <c r="AH194" s="692">
        <f t="shared" si="36"/>
        <v>0</v>
      </c>
      <c r="AI194" s="692">
        <f t="shared" si="37"/>
        <v>0</v>
      </c>
      <c r="AJ194" s="692">
        <f t="shared" si="38"/>
        <v>0</v>
      </c>
      <c r="AL194" s="38">
        <f t="shared" si="35"/>
        <v>0</v>
      </c>
      <c r="AM194" s="68" t="s">
        <v>51</v>
      </c>
    </row>
    <row r="195" spans="1:39">
      <c r="A195" s="21"/>
      <c r="B195" s="21" t="s">
        <v>109</v>
      </c>
      <c r="C195" s="666"/>
      <c r="D195" s="68" t="s">
        <v>107</v>
      </c>
      <c r="E195" s="679"/>
      <c r="F195" s="529">
        <f>VLOOKUP(D195,'Jan14 Revenue'!D:V,19,FALSE)</f>
        <v>0</v>
      </c>
      <c r="G195" s="680"/>
      <c r="H195" s="680"/>
      <c r="I195" s="755"/>
      <c r="J195" s="682">
        <f t="shared" si="31"/>
        <v>0</v>
      </c>
      <c r="K195" s="683"/>
      <c r="L195" s="684"/>
      <c r="M195" s="753"/>
      <c r="N195" s="683">
        <v>0</v>
      </c>
      <c r="O195" s="686"/>
      <c r="P195" s="683">
        <v>0</v>
      </c>
      <c r="Q195" s="687">
        <f t="shared" si="30"/>
        <v>0</v>
      </c>
      <c r="R195" s="687"/>
      <c r="S195" s="687"/>
      <c r="T195" s="688">
        <v>0</v>
      </c>
      <c r="U195" s="693"/>
      <c r="V195" s="690">
        <f t="shared" si="39"/>
        <v>0</v>
      </c>
      <c r="W195" s="683"/>
      <c r="X195" s="474">
        <f t="shared" si="40"/>
        <v>0</v>
      </c>
      <c r="Y195" s="474">
        <f t="shared" si="41"/>
        <v>0</v>
      </c>
      <c r="Z195" s="475">
        <f t="shared" si="42"/>
        <v>0</v>
      </c>
      <c r="AA195" s="475">
        <v>0</v>
      </c>
      <c r="AB195" s="476">
        <v>0</v>
      </c>
      <c r="AC195" s="38">
        <f t="shared" si="43"/>
        <v>0</v>
      </c>
      <c r="AD195" s="692">
        <f t="shared" si="32"/>
        <v>0</v>
      </c>
      <c r="AE195" s="692">
        <f t="shared" si="33"/>
        <v>0</v>
      </c>
      <c r="AF195" s="692">
        <f t="shared" si="34"/>
        <v>0</v>
      </c>
      <c r="AG195" s="38"/>
      <c r="AH195" s="692">
        <f t="shared" si="36"/>
        <v>0</v>
      </c>
      <c r="AI195" s="692">
        <f t="shared" si="37"/>
        <v>0</v>
      </c>
      <c r="AJ195" s="692">
        <f t="shared" si="38"/>
        <v>0</v>
      </c>
      <c r="AL195" s="38">
        <f t="shared" si="35"/>
        <v>0</v>
      </c>
      <c r="AM195" s="68" t="s">
        <v>107</v>
      </c>
    </row>
    <row r="196" spans="1:39" hidden="1">
      <c r="A196" s="21"/>
      <c r="B196" s="21" t="s">
        <v>109</v>
      </c>
      <c r="C196" s="666"/>
      <c r="D196" s="68" t="s">
        <v>467</v>
      </c>
      <c r="E196" s="679"/>
      <c r="F196" s="529">
        <f>VLOOKUP(D196,'Jan14 Revenue'!D:V,19,FALSE)</f>
        <v>0</v>
      </c>
      <c r="G196" s="680"/>
      <c r="H196" s="680"/>
      <c r="I196" s="755"/>
      <c r="J196" s="682">
        <f t="shared" si="31"/>
        <v>0</v>
      </c>
      <c r="K196" s="683"/>
      <c r="L196" s="684"/>
      <c r="M196" s="753"/>
      <c r="N196" s="683">
        <v>0</v>
      </c>
      <c r="O196" s="686"/>
      <c r="P196" s="683">
        <v>0</v>
      </c>
      <c r="Q196" s="687">
        <f t="shared" si="30"/>
        <v>0</v>
      </c>
      <c r="R196" s="687"/>
      <c r="S196" s="687"/>
      <c r="T196" s="688">
        <v>0</v>
      </c>
      <c r="U196" s="693"/>
      <c r="V196" s="690">
        <f t="shared" si="39"/>
        <v>0</v>
      </c>
      <c r="W196" s="683"/>
      <c r="X196" s="474">
        <f t="shared" si="40"/>
        <v>0</v>
      </c>
      <c r="Y196" s="474">
        <f t="shared" si="41"/>
        <v>0</v>
      </c>
      <c r="Z196" s="475">
        <f t="shared" si="42"/>
        <v>0</v>
      </c>
      <c r="AA196" s="475">
        <v>0</v>
      </c>
      <c r="AB196" s="476">
        <v>0</v>
      </c>
      <c r="AC196" s="38">
        <f t="shared" si="43"/>
        <v>0</v>
      </c>
      <c r="AD196" s="692">
        <f t="shared" si="32"/>
        <v>0</v>
      </c>
      <c r="AE196" s="692">
        <f t="shared" si="33"/>
        <v>0</v>
      </c>
      <c r="AF196" s="692">
        <f t="shared" si="34"/>
        <v>0</v>
      </c>
      <c r="AG196" s="38"/>
      <c r="AH196" s="692">
        <f t="shared" si="36"/>
        <v>0</v>
      </c>
      <c r="AI196" s="692">
        <f t="shared" si="37"/>
        <v>0</v>
      </c>
      <c r="AJ196" s="692">
        <f t="shared" si="38"/>
        <v>0</v>
      </c>
      <c r="AL196" s="38">
        <f t="shared" si="35"/>
        <v>0</v>
      </c>
      <c r="AM196" s="68" t="s">
        <v>467</v>
      </c>
    </row>
    <row r="197" spans="1:39">
      <c r="A197" s="21"/>
      <c r="B197" s="21" t="s">
        <v>110</v>
      </c>
      <c r="C197" s="666"/>
      <c r="D197" s="68" t="s">
        <v>1012</v>
      </c>
      <c r="E197" s="679"/>
      <c r="F197" s="529">
        <f>VLOOKUP(D197,'Jan14 Revenue'!D:V,19,FALSE)</f>
        <v>1885.12</v>
      </c>
      <c r="G197" s="680"/>
      <c r="H197" s="680"/>
      <c r="I197" s="755"/>
      <c r="J197" s="682">
        <f t="shared" si="31"/>
        <v>1885.12</v>
      </c>
      <c r="K197" s="683"/>
      <c r="L197" s="684"/>
      <c r="M197" s="753"/>
      <c r="N197" s="683">
        <v>0</v>
      </c>
      <c r="O197" s="686"/>
      <c r="P197" s="683">
        <v>0</v>
      </c>
      <c r="Q197" s="687">
        <f t="shared" si="30"/>
        <v>0</v>
      </c>
      <c r="R197" s="687"/>
      <c r="S197" s="687"/>
      <c r="T197" s="688">
        <v>0</v>
      </c>
      <c r="U197" s="693"/>
      <c r="V197" s="690">
        <f t="shared" si="39"/>
        <v>0</v>
      </c>
      <c r="W197" s="683"/>
      <c r="X197" s="474">
        <f t="shared" si="40"/>
        <v>0</v>
      </c>
      <c r="Y197" s="474">
        <f t="shared" si="41"/>
        <v>0</v>
      </c>
      <c r="Z197" s="475">
        <f t="shared" si="42"/>
        <v>0</v>
      </c>
      <c r="AA197" s="475">
        <v>0</v>
      </c>
      <c r="AB197" s="476">
        <v>0</v>
      </c>
      <c r="AC197" s="38">
        <f t="shared" si="43"/>
        <v>0</v>
      </c>
      <c r="AD197" s="692">
        <f t="shared" si="32"/>
        <v>1885.12</v>
      </c>
      <c r="AE197" s="692">
        <f t="shared" si="33"/>
        <v>0</v>
      </c>
      <c r="AF197" s="692">
        <f t="shared" si="34"/>
        <v>0</v>
      </c>
      <c r="AG197" s="38"/>
      <c r="AH197" s="692">
        <f t="shared" si="36"/>
        <v>0</v>
      </c>
      <c r="AI197" s="692">
        <f t="shared" si="37"/>
        <v>0</v>
      </c>
      <c r="AJ197" s="692">
        <f t="shared" si="38"/>
        <v>0</v>
      </c>
      <c r="AL197" s="38">
        <f t="shared" si="35"/>
        <v>1885.12</v>
      </c>
      <c r="AM197" s="68" t="s">
        <v>1012</v>
      </c>
    </row>
    <row r="198" spans="1:39">
      <c r="A198" s="21"/>
      <c r="B198" s="21" t="s">
        <v>109</v>
      </c>
      <c r="C198" s="666"/>
      <c r="D198" s="68" t="s">
        <v>1085</v>
      </c>
      <c r="E198" s="679"/>
      <c r="F198" s="529">
        <v>0</v>
      </c>
      <c r="G198" s="680"/>
      <c r="H198" s="680"/>
      <c r="I198" s="755"/>
      <c r="J198" s="682">
        <f t="shared" ref="J198" si="44">SUM(E198:I198)</f>
        <v>0</v>
      </c>
      <c r="K198" s="683"/>
      <c r="L198" s="684"/>
      <c r="M198" s="753"/>
      <c r="N198" s="683">
        <v>0</v>
      </c>
      <c r="O198" s="686"/>
      <c r="P198" s="683">
        <v>0</v>
      </c>
      <c r="Q198" s="687">
        <f t="shared" ref="Q198" si="45">L198+M198</f>
        <v>0</v>
      </c>
      <c r="R198" s="687"/>
      <c r="S198" s="687"/>
      <c r="T198" s="688">
        <v>0</v>
      </c>
      <c r="U198" s="693"/>
      <c r="V198" s="690">
        <f t="shared" ref="V198" si="46">IF(T198="","",T198-Q198)</f>
        <v>0</v>
      </c>
      <c r="W198" s="683"/>
      <c r="X198" s="474">
        <f t="shared" ref="X198" si="47">IF(B198="D",Q198,0)</f>
        <v>0</v>
      </c>
      <c r="Y198" s="474">
        <f t="shared" ref="Y198" si="48">IF(B198="M",Q198,0)</f>
        <v>0</v>
      </c>
      <c r="Z198" s="475">
        <f t="shared" ref="Z198" si="49">IF(B198="V",Q198,0)</f>
        <v>0</v>
      </c>
      <c r="AA198" s="475">
        <v>0</v>
      </c>
      <c r="AB198" s="476">
        <v>0</v>
      </c>
      <c r="AC198" s="38">
        <f t="shared" ref="AC198" si="50">(L198+M198)-(X198+Y198+Z198+AA198+AB198)</f>
        <v>0</v>
      </c>
      <c r="AD198" s="692">
        <f t="shared" ref="AD198" si="51">IF(B198="D",J198,0)</f>
        <v>0</v>
      </c>
      <c r="AE198" s="692">
        <f t="shared" ref="AE198" si="52">IF(B198="M",J198,0)</f>
        <v>0</v>
      </c>
      <c r="AF198" s="692">
        <f t="shared" ref="AF198" si="53">IF(B198="V",J198,0)</f>
        <v>0</v>
      </c>
      <c r="AG198" s="38"/>
      <c r="AH198" s="692">
        <f t="shared" ref="AH198" si="54">IF(B198="D",Q198,0)</f>
        <v>0</v>
      </c>
      <c r="AI198" s="692">
        <f t="shared" ref="AI198" si="55">IF(B198="M",Q198,0)</f>
        <v>0</v>
      </c>
      <c r="AJ198" s="692">
        <f t="shared" ref="AJ198" si="56">IF(B198="V",Q198,0)</f>
        <v>0</v>
      </c>
      <c r="AL198" s="38">
        <f t="shared" ref="AL198" si="57">SUM(AD198:AJ198)</f>
        <v>0</v>
      </c>
      <c r="AM198" s="68" t="s">
        <v>54</v>
      </c>
    </row>
    <row r="199" spans="1:39">
      <c r="A199" s="21"/>
      <c r="B199" s="21" t="s">
        <v>109</v>
      </c>
      <c r="C199" s="666" t="s">
        <v>575</v>
      </c>
      <c r="D199" s="68" t="s">
        <v>54</v>
      </c>
      <c r="E199" s="679"/>
      <c r="F199" s="529">
        <f>VLOOKUP(D199,'Jan14 Revenue'!D:V,19,FALSE)</f>
        <v>0</v>
      </c>
      <c r="G199" s="680"/>
      <c r="H199" s="680"/>
      <c r="I199" s="755"/>
      <c r="J199" s="682">
        <f t="shared" si="31"/>
        <v>0</v>
      </c>
      <c r="K199" s="683"/>
      <c r="L199" s="684"/>
      <c r="M199" s="753"/>
      <c r="N199" s="683">
        <v>0</v>
      </c>
      <c r="O199" s="686"/>
      <c r="P199" s="683">
        <v>0</v>
      </c>
      <c r="Q199" s="687">
        <f t="shared" si="30"/>
        <v>0</v>
      </c>
      <c r="R199" s="687"/>
      <c r="S199" s="687"/>
      <c r="T199" s="688">
        <v>0</v>
      </c>
      <c r="U199" s="693"/>
      <c r="V199" s="690">
        <f t="shared" si="39"/>
        <v>0</v>
      </c>
      <c r="W199" s="683"/>
      <c r="X199" s="474">
        <f t="shared" si="40"/>
        <v>0</v>
      </c>
      <c r="Y199" s="474">
        <f t="shared" si="41"/>
        <v>0</v>
      </c>
      <c r="Z199" s="475">
        <f t="shared" si="42"/>
        <v>0</v>
      </c>
      <c r="AA199" s="475">
        <v>0</v>
      </c>
      <c r="AB199" s="476">
        <v>0</v>
      </c>
      <c r="AC199" s="38">
        <f t="shared" si="43"/>
        <v>0</v>
      </c>
      <c r="AD199" s="692">
        <f t="shared" si="32"/>
        <v>0</v>
      </c>
      <c r="AE199" s="692">
        <f t="shared" si="33"/>
        <v>0</v>
      </c>
      <c r="AF199" s="692">
        <f t="shared" si="34"/>
        <v>0</v>
      </c>
      <c r="AG199" s="38"/>
      <c r="AH199" s="692">
        <f t="shared" si="36"/>
        <v>0</v>
      </c>
      <c r="AI199" s="692">
        <f t="shared" si="37"/>
        <v>0</v>
      </c>
      <c r="AJ199" s="692">
        <f t="shared" si="38"/>
        <v>0</v>
      </c>
      <c r="AL199" s="38">
        <f t="shared" si="35"/>
        <v>0</v>
      </c>
      <c r="AM199" s="68" t="s">
        <v>54</v>
      </c>
    </row>
    <row r="200" spans="1:39">
      <c r="A200" s="20"/>
      <c r="B200" s="20" t="s">
        <v>109</v>
      </c>
      <c r="C200" s="667"/>
      <c r="D200" s="68" t="s">
        <v>1084</v>
      </c>
      <c r="E200" s="679"/>
      <c r="F200" s="529">
        <v>0</v>
      </c>
      <c r="G200" s="680"/>
      <c r="H200" s="680"/>
      <c r="I200" s="755"/>
      <c r="J200" s="682">
        <f t="shared" si="31"/>
        <v>0</v>
      </c>
      <c r="K200" s="683"/>
      <c r="L200" s="684"/>
      <c r="M200" s="753"/>
      <c r="N200" s="683">
        <v>0</v>
      </c>
      <c r="O200" s="686"/>
      <c r="P200" s="683">
        <v>0</v>
      </c>
      <c r="Q200" s="687">
        <f t="shared" si="30"/>
        <v>0</v>
      </c>
      <c r="R200" s="687"/>
      <c r="S200" s="687"/>
      <c r="T200" s="688">
        <v>0</v>
      </c>
      <c r="U200" s="693"/>
      <c r="V200" s="690">
        <f t="shared" si="39"/>
        <v>0</v>
      </c>
      <c r="W200" s="683"/>
      <c r="X200" s="474">
        <f t="shared" si="40"/>
        <v>0</v>
      </c>
      <c r="Y200" s="474">
        <f t="shared" si="41"/>
        <v>0</v>
      </c>
      <c r="Z200" s="475">
        <f t="shared" si="42"/>
        <v>0</v>
      </c>
      <c r="AA200" s="475">
        <v>0</v>
      </c>
      <c r="AB200" s="476">
        <v>0</v>
      </c>
      <c r="AC200" s="38">
        <f t="shared" si="43"/>
        <v>0</v>
      </c>
      <c r="AD200" s="692">
        <f t="shared" si="32"/>
        <v>0</v>
      </c>
      <c r="AE200" s="692">
        <f t="shared" si="33"/>
        <v>0</v>
      </c>
      <c r="AF200" s="692">
        <f t="shared" si="34"/>
        <v>0</v>
      </c>
      <c r="AG200" s="38"/>
      <c r="AH200" s="692">
        <f t="shared" si="36"/>
        <v>0</v>
      </c>
      <c r="AI200" s="692">
        <f t="shared" si="37"/>
        <v>0</v>
      </c>
      <c r="AJ200" s="692">
        <f t="shared" si="38"/>
        <v>0</v>
      </c>
      <c r="AL200" s="38">
        <f t="shared" si="35"/>
        <v>0</v>
      </c>
      <c r="AM200" s="68" t="s">
        <v>394</v>
      </c>
    </row>
    <row r="201" spans="1:39">
      <c r="A201" s="20"/>
      <c r="B201" s="20" t="s">
        <v>110</v>
      </c>
      <c r="C201" s="667"/>
      <c r="D201" s="68" t="s">
        <v>55</v>
      </c>
      <c r="E201" s="679"/>
      <c r="F201" s="529">
        <f>VLOOKUP(D201,'Jan14 Revenue'!D:V,19,FALSE)</f>
        <v>0</v>
      </c>
      <c r="G201" s="680"/>
      <c r="H201" s="680"/>
      <c r="I201" s="755"/>
      <c r="J201" s="682">
        <f t="shared" si="31"/>
        <v>0</v>
      </c>
      <c r="K201" s="683"/>
      <c r="L201" s="684"/>
      <c r="M201" s="753"/>
      <c r="N201" s="683">
        <v>0</v>
      </c>
      <c r="O201" s="686"/>
      <c r="P201" s="683">
        <v>0</v>
      </c>
      <c r="Q201" s="687">
        <f t="shared" si="30"/>
        <v>0</v>
      </c>
      <c r="R201" s="687"/>
      <c r="S201" s="687"/>
      <c r="T201" s="688">
        <v>341.91</v>
      </c>
      <c r="U201" s="693"/>
      <c r="V201" s="690">
        <f t="shared" si="39"/>
        <v>341.91</v>
      </c>
      <c r="W201" s="683"/>
      <c r="X201" s="474">
        <f t="shared" si="40"/>
        <v>0</v>
      </c>
      <c r="Y201" s="474">
        <f t="shared" si="41"/>
        <v>0</v>
      </c>
      <c r="Z201" s="475">
        <f t="shared" si="42"/>
        <v>0</v>
      </c>
      <c r="AA201" s="475">
        <v>0</v>
      </c>
      <c r="AB201" s="476">
        <v>0</v>
      </c>
      <c r="AC201" s="38">
        <f t="shared" si="43"/>
        <v>0</v>
      </c>
      <c r="AD201" s="692">
        <f t="shared" si="32"/>
        <v>0</v>
      </c>
      <c r="AE201" s="692">
        <f t="shared" si="33"/>
        <v>0</v>
      </c>
      <c r="AF201" s="692">
        <f t="shared" si="34"/>
        <v>0</v>
      </c>
      <c r="AG201" s="38"/>
      <c r="AH201" s="692">
        <f t="shared" si="36"/>
        <v>0</v>
      </c>
      <c r="AI201" s="692">
        <f t="shared" si="37"/>
        <v>0</v>
      </c>
      <c r="AJ201" s="692">
        <f t="shared" si="38"/>
        <v>0</v>
      </c>
      <c r="AL201" s="38">
        <f t="shared" si="35"/>
        <v>0</v>
      </c>
      <c r="AM201" s="68" t="s">
        <v>55</v>
      </c>
    </row>
    <row r="202" spans="1:39">
      <c r="A202" s="21"/>
      <c r="B202" s="21" t="s">
        <v>110</v>
      </c>
      <c r="C202" s="666"/>
      <c r="D202" s="68" t="s">
        <v>1052</v>
      </c>
      <c r="E202" s="679"/>
      <c r="F202" s="529">
        <f>VLOOKUP(D202,'Jan14 Revenue'!D:V,19,FALSE)</f>
        <v>0</v>
      </c>
      <c r="G202" s="680"/>
      <c r="H202" s="680"/>
      <c r="I202" s="755"/>
      <c r="J202" s="682">
        <f t="shared" si="31"/>
        <v>0</v>
      </c>
      <c r="K202" s="683"/>
      <c r="L202" s="684"/>
      <c r="M202" s="753"/>
      <c r="N202" s="683">
        <v>0</v>
      </c>
      <c r="O202" s="686"/>
      <c r="P202" s="683">
        <v>0</v>
      </c>
      <c r="Q202" s="687">
        <f t="shared" si="30"/>
        <v>0</v>
      </c>
      <c r="R202" s="687"/>
      <c r="S202" s="687"/>
      <c r="T202" s="688">
        <v>0</v>
      </c>
      <c r="U202" s="693"/>
      <c r="V202" s="690">
        <f t="shared" si="39"/>
        <v>0</v>
      </c>
      <c r="W202" s="683"/>
      <c r="X202" s="474">
        <f t="shared" si="40"/>
        <v>0</v>
      </c>
      <c r="Y202" s="474">
        <f t="shared" si="41"/>
        <v>0</v>
      </c>
      <c r="Z202" s="475">
        <f t="shared" si="42"/>
        <v>0</v>
      </c>
      <c r="AA202" s="475">
        <v>0</v>
      </c>
      <c r="AB202" s="476">
        <v>0</v>
      </c>
      <c r="AC202" s="38">
        <f t="shared" si="43"/>
        <v>0</v>
      </c>
      <c r="AD202" s="692">
        <f t="shared" si="32"/>
        <v>0</v>
      </c>
      <c r="AE202" s="692">
        <f t="shared" si="33"/>
        <v>0</v>
      </c>
      <c r="AF202" s="692">
        <f t="shared" si="34"/>
        <v>0</v>
      </c>
      <c r="AG202" s="38"/>
      <c r="AH202" s="692">
        <f t="shared" si="36"/>
        <v>0</v>
      </c>
      <c r="AI202" s="692">
        <f t="shared" si="37"/>
        <v>0</v>
      </c>
      <c r="AJ202" s="692">
        <f t="shared" si="38"/>
        <v>0</v>
      </c>
      <c r="AL202" s="38">
        <f t="shared" si="35"/>
        <v>0</v>
      </c>
      <c r="AM202" s="68" t="s">
        <v>985</v>
      </c>
    </row>
    <row r="203" spans="1:39">
      <c r="A203" s="20"/>
      <c r="B203" s="20" t="s">
        <v>110</v>
      </c>
      <c r="C203" s="676" t="s">
        <v>854</v>
      </c>
      <c r="D203" s="68" t="s">
        <v>855</v>
      </c>
      <c r="E203" s="679"/>
      <c r="F203" s="529">
        <f>VLOOKUP(D203,'Jan14 Revenue'!D:V,19,FALSE)</f>
        <v>0</v>
      </c>
      <c r="G203" s="680"/>
      <c r="H203" s="680"/>
      <c r="I203" s="755"/>
      <c r="J203" s="682">
        <f t="shared" si="31"/>
        <v>0</v>
      </c>
      <c r="K203" s="683"/>
      <c r="L203" s="684"/>
      <c r="M203" s="753"/>
      <c r="N203" s="683">
        <v>0</v>
      </c>
      <c r="O203" s="686"/>
      <c r="P203" s="683">
        <v>0</v>
      </c>
      <c r="Q203" s="687">
        <f t="shared" si="30"/>
        <v>0</v>
      </c>
      <c r="R203" s="687"/>
      <c r="S203" s="687"/>
      <c r="T203" s="688">
        <v>0</v>
      </c>
      <c r="U203" s="693"/>
      <c r="V203" s="690">
        <f t="shared" si="39"/>
        <v>0</v>
      </c>
      <c r="W203" s="683"/>
      <c r="X203" s="474">
        <f t="shared" si="40"/>
        <v>0</v>
      </c>
      <c r="Y203" s="474">
        <f t="shared" si="41"/>
        <v>0</v>
      </c>
      <c r="Z203" s="475">
        <f t="shared" si="42"/>
        <v>0</v>
      </c>
      <c r="AA203" s="475">
        <v>0</v>
      </c>
      <c r="AB203" s="476">
        <v>0</v>
      </c>
      <c r="AC203" s="38">
        <f t="shared" si="43"/>
        <v>0</v>
      </c>
      <c r="AD203" s="692">
        <f t="shared" si="32"/>
        <v>0</v>
      </c>
      <c r="AE203" s="692">
        <f t="shared" si="33"/>
        <v>0</v>
      </c>
      <c r="AF203" s="692">
        <f t="shared" si="34"/>
        <v>0</v>
      </c>
      <c r="AG203" s="38"/>
      <c r="AH203" s="692">
        <f t="shared" si="36"/>
        <v>0</v>
      </c>
      <c r="AI203" s="692">
        <f t="shared" si="37"/>
        <v>0</v>
      </c>
      <c r="AJ203" s="692">
        <f t="shared" si="38"/>
        <v>0</v>
      </c>
      <c r="AL203" s="38">
        <f t="shared" si="35"/>
        <v>0</v>
      </c>
      <c r="AM203" s="68" t="s">
        <v>855</v>
      </c>
    </row>
    <row r="204" spans="1:39">
      <c r="A204" s="21"/>
      <c r="B204" s="21" t="s">
        <v>110</v>
      </c>
      <c r="C204" s="666"/>
      <c r="D204" s="806" t="s">
        <v>1051</v>
      </c>
      <c r="E204" s="679"/>
      <c r="F204" s="529">
        <f>VLOOKUP(D204,'Jan14 Revenue'!D:V,19,FALSE)</f>
        <v>796.3</v>
      </c>
      <c r="G204" s="680"/>
      <c r="H204" s="680"/>
      <c r="I204" s="755"/>
      <c r="J204" s="682">
        <f t="shared" si="31"/>
        <v>796.3</v>
      </c>
      <c r="K204" s="683"/>
      <c r="L204" s="684"/>
      <c r="M204" s="753"/>
      <c r="N204" s="683">
        <v>0</v>
      </c>
      <c r="O204" s="686"/>
      <c r="P204" s="683">
        <v>0</v>
      </c>
      <c r="Q204" s="687">
        <f t="shared" si="30"/>
        <v>0</v>
      </c>
      <c r="R204" s="687"/>
      <c r="S204" s="687"/>
      <c r="T204" s="688">
        <v>0</v>
      </c>
      <c r="U204" s="693"/>
      <c r="V204" s="690">
        <f t="shared" si="39"/>
        <v>0</v>
      </c>
      <c r="W204" s="683"/>
      <c r="X204" s="474">
        <f t="shared" si="40"/>
        <v>0</v>
      </c>
      <c r="Y204" s="474">
        <f t="shared" si="41"/>
        <v>0</v>
      </c>
      <c r="Z204" s="475">
        <f t="shared" si="42"/>
        <v>0</v>
      </c>
      <c r="AA204" s="475">
        <v>0</v>
      </c>
      <c r="AB204" s="476">
        <v>0</v>
      </c>
      <c r="AC204" s="38">
        <f t="shared" si="43"/>
        <v>0</v>
      </c>
      <c r="AD204" s="692">
        <f t="shared" si="32"/>
        <v>796.3</v>
      </c>
      <c r="AE204" s="692">
        <f t="shared" si="33"/>
        <v>0</v>
      </c>
      <c r="AF204" s="692">
        <f t="shared" si="34"/>
        <v>0</v>
      </c>
      <c r="AG204" s="38"/>
      <c r="AH204" s="692">
        <f t="shared" si="36"/>
        <v>0</v>
      </c>
      <c r="AI204" s="692">
        <f t="shared" si="37"/>
        <v>0</v>
      </c>
      <c r="AJ204" s="692">
        <f t="shared" si="38"/>
        <v>0</v>
      </c>
      <c r="AL204" s="38">
        <f t="shared" si="35"/>
        <v>796.3</v>
      </c>
      <c r="AM204" s="806" t="s">
        <v>388</v>
      </c>
    </row>
    <row r="205" spans="1:39">
      <c r="A205" s="20"/>
      <c r="B205" s="20" t="s">
        <v>109</v>
      </c>
      <c r="C205" s="667" t="s">
        <v>577</v>
      </c>
      <c r="D205" s="68" t="s">
        <v>159</v>
      </c>
      <c r="E205" s="679"/>
      <c r="F205" s="529">
        <f>VLOOKUP(D205,'Jan14 Revenue'!D:V,19,FALSE)</f>
        <v>0</v>
      </c>
      <c r="G205" s="680"/>
      <c r="H205" s="680"/>
      <c r="I205" s="770">
        <v>10369.15</v>
      </c>
      <c r="J205" s="682">
        <f t="shared" si="31"/>
        <v>10369.15</v>
      </c>
      <c r="K205" s="683"/>
      <c r="L205" s="684"/>
      <c r="M205" s="753"/>
      <c r="N205" s="683">
        <v>0</v>
      </c>
      <c r="O205" s="686"/>
      <c r="P205" s="683">
        <v>0</v>
      </c>
      <c r="Q205" s="687">
        <f t="shared" si="30"/>
        <v>0</v>
      </c>
      <c r="R205" s="687"/>
      <c r="S205" s="687"/>
      <c r="T205" s="688">
        <v>0</v>
      </c>
      <c r="U205" s="693"/>
      <c r="V205" s="690">
        <f t="shared" si="39"/>
        <v>0</v>
      </c>
      <c r="W205" s="683"/>
      <c r="X205" s="474">
        <f t="shared" si="40"/>
        <v>0</v>
      </c>
      <c r="Y205" s="474">
        <f t="shared" si="41"/>
        <v>0</v>
      </c>
      <c r="Z205" s="475">
        <f t="shared" si="42"/>
        <v>0</v>
      </c>
      <c r="AA205" s="475">
        <v>0</v>
      </c>
      <c r="AB205" s="476">
        <v>0</v>
      </c>
      <c r="AC205" s="38">
        <f t="shared" si="43"/>
        <v>0</v>
      </c>
      <c r="AD205" s="692">
        <f t="shared" si="32"/>
        <v>0</v>
      </c>
      <c r="AE205" s="692">
        <f t="shared" si="33"/>
        <v>10369.15</v>
      </c>
      <c r="AF205" s="692">
        <f t="shared" si="34"/>
        <v>0</v>
      </c>
      <c r="AG205" s="38"/>
      <c r="AH205" s="692">
        <f t="shared" si="36"/>
        <v>0</v>
      </c>
      <c r="AI205" s="692">
        <f t="shared" si="37"/>
        <v>0</v>
      </c>
      <c r="AJ205" s="692">
        <f t="shared" si="38"/>
        <v>0</v>
      </c>
      <c r="AL205" s="38">
        <f t="shared" si="35"/>
        <v>10369.15</v>
      </c>
      <c r="AM205" s="68" t="s">
        <v>159</v>
      </c>
    </row>
    <row r="206" spans="1:39">
      <c r="A206" s="20"/>
      <c r="B206" s="20" t="s">
        <v>109</v>
      </c>
      <c r="C206" s="667" t="s">
        <v>577</v>
      </c>
      <c r="D206" s="68" t="s">
        <v>160</v>
      </c>
      <c r="E206" s="679"/>
      <c r="F206" s="529">
        <f>VLOOKUP(D206,'Jan14 Revenue'!D:V,19,FALSE)</f>
        <v>0</v>
      </c>
      <c r="G206" s="680"/>
      <c r="H206" s="680"/>
      <c r="I206" s="770">
        <v>7645.14</v>
      </c>
      <c r="J206" s="682">
        <f t="shared" si="31"/>
        <v>7645.14</v>
      </c>
      <c r="K206" s="683"/>
      <c r="L206" s="684"/>
      <c r="M206" s="753"/>
      <c r="N206" s="683">
        <v>0</v>
      </c>
      <c r="O206" s="686"/>
      <c r="P206" s="683">
        <v>0</v>
      </c>
      <c r="Q206" s="687">
        <f t="shared" si="30"/>
        <v>0</v>
      </c>
      <c r="R206" s="687"/>
      <c r="S206" s="687"/>
      <c r="T206" s="688">
        <v>0</v>
      </c>
      <c r="U206" s="693"/>
      <c r="V206" s="690">
        <f t="shared" si="39"/>
        <v>0</v>
      </c>
      <c r="W206" s="683"/>
      <c r="X206" s="474">
        <f t="shared" si="40"/>
        <v>0</v>
      </c>
      <c r="Y206" s="474">
        <f t="shared" si="41"/>
        <v>0</v>
      </c>
      <c r="Z206" s="475">
        <f t="shared" si="42"/>
        <v>0</v>
      </c>
      <c r="AA206" s="475">
        <v>0</v>
      </c>
      <c r="AB206" s="476">
        <v>0</v>
      </c>
      <c r="AC206" s="38">
        <f t="shared" si="43"/>
        <v>0</v>
      </c>
      <c r="AD206" s="692">
        <f t="shared" si="32"/>
        <v>0</v>
      </c>
      <c r="AE206" s="692">
        <f t="shared" si="33"/>
        <v>7645.14</v>
      </c>
      <c r="AF206" s="692">
        <f t="shared" si="34"/>
        <v>0</v>
      </c>
      <c r="AG206" s="38"/>
      <c r="AH206" s="692">
        <f t="shared" si="36"/>
        <v>0</v>
      </c>
      <c r="AI206" s="692">
        <f t="shared" si="37"/>
        <v>0</v>
      </c>
      <c r="AJ206" s="692">
        <f t="shared" si="38"/>
        <v>0</v>
      </c>
      <c r="AL206" s="38">
        <f t="shared" si="35"/>
        <v>7645.14</v>
      </c>
      <c r="AM206" s="68" t="s">
        <v>160</v>
      </c>
    </row>
    <row r="207" spans="1:39" hidden="1">
      <c r="A207" s="21"/>
      <c r="B207" s="21" t="s">
        <v>109</v>
      </c>
      <c r="C207" s="667" t="s">
        <v>577</v>
      </c>
      <c r="D207" s="68" t="s">
        <v>161</v>
      </c>
      <c r="E207" s="679"/>
      <c r="F207" s="529">
        <f>VLOOKUP(D207,'Jan14 Revenue'!D:V,19,FALSE)</f>
        <v>0</v>
      </c>
      <c r="G207" s="680"/>
      <c r="H207" s="680"/>
      <c r="I207" s="755"/>
      <c r="J207" s="682">
        <f t="shared" si="31"/>
        <v>0</v>
      </c>
      <c r="K207" s="683"/>
      <c r="L207" s="684"/>
      <c r="M207" s="753"/>
      <c r="N207" s="683">
        <v>0</v>
      </c>
      <c r="O207" s="686"/>
      <c r="P207" s="683">
        <v>0</v>
      </c>
      <c r="Q207" s="687">
        <f t="shared" si="30"/>
        <v>0</v>
      </c>
      <c r="R207" s="687"/>
      <c r="S207" s="687"/>
      <c r="T207" s="688">
        <v>0</v>
      </c>
      <c r="U207" s="693"/>
      <c r="V207" s="690">
        <f t="shared" si="39"/>
        <v>0</v>
      </c>
      <c r="W207" s="683"/>
      <c r="X207" s="474">
        <f t="shared" si="40"/>
        <v>0</v>
      </c>
      <c r="Y207" s="474">
        <f t="shared" si="41"/>
        <v>0</v>
      </c>
      <c r="Z207" s="475">
        <f t="shared" si="42"/>
        <v>0</v>
      </c>
      <c r="AA207" s="475">
        <v>0</v>
      </c>
      <c r="AB207" s="476">
        <v>0</v>
      </c>
      <c r="AC207" s="38">
        <f t="shared" si="43"/>
        <v>0</v>
      </c>
      <c r="AD207" s="692">
        <f t="shared" si="32"/>
        <v>0</v>
      </c>
      <c r="AE207" s="692">
        <f t="shared" si="33"/>
        <v>0</v>
      </c>
      <c r="AF207" s="692">
        <f t="shared" si="34"/>
        <v>0</v>
      </c>
      <c r="AG207" s="38"/>
      <c r="AH207" s="692">
        <f t="shared" si="36"/>
        <v>0</v>
      </c>
      <c r="AI207" s="692">
        <f t="shared" si="37"/>
        <v>0</v>
      </c>
      <c r="AJ207" s="692">
        <f t="shared" si="38"/>
        <v>0</v>
      </c>
      <c r="AL207" s="38">
        <f t="shared" si="35"/>
        <v>0</v>
      </c>
      <c r="AM207" s="68" t="s">
        <v>161</v>
      </c>
    </row>
    <row r="208" spans="1:39" hidden="1">
      <c r="A208" s="21"/>
      <c r="B208" s="21" t="s">
        <v>109</v>
      </c>
      <c r="C208" s="667" t="s">
        <v>577</v>
      </c>
      <c r="D208" s="68" t="s">
        <v>162</v>
      </c>
      <c r="E208" s="679"/>
      <c r="F208" s="529">
        <f>VLOOKUP(D208,'Jan14 Revenue'!D:V,19,FALSE)</f>
        <v>0</v>
      </c>
      <c r="G208" s="680"/>
      <c r="H208" s="680"/>
      <c r="I208" s="755"/>
      <c r="J208" s="682">
        <f t="shared" si="31"/>
        <v>0</v>
      </c>
      <c r="K208" s="683"/>
      <c r="L208" s="684"/>
      <c r="M208" s="753"/>
      <c r="N208" s="683">
        <v>0</v>
      </c>
      <c r="O208" s="686"/>
      <c r="P208" s="683">
        <v>0</v>
      </c>
      <c r="Q208" s="687">
        <f t="shared" si="30"/>
        <v>0</v>
      </c>
      <c r="R208" s="687"/>
      <c r="S208" s="687"/>
      <c r="T208" s="688">
        <v>0</v>
      </c>
      <c r="U208" s="693"/>
      <c r="V208" s="690">
        <f t="shared" si="39"/>
        <v>0</v>
      </c>
      <c r="W208" s="683"/>
      <c r="X208" s="474">
        <f t="shared" si="40"/>
        <v>0</v>
      </c>
      <c r="Y208" s="474">
        <f t="shared" si="41"/>
        <v>0</v>
      </c>
      <c r="Z208" s="475">
        <f t="shared" si="42"/>
        <v>0</v>
      </c>
      <c r="AA208" s="475">
        <v>0</v>
      </c>
      <c r="AB208" s="476">
        <v>0</v>
      </c>
      <c r="AC208" s="38">
        <f t="shared" si="43"/>
        <v>0</v>
      </c>
      <c r="AD208" s="692">
        <f t="shared" si="32"/>
        <v>0</v>
      </c>
      <c r="AE208" s="692">
        <f t="shared" si="33"/>
        <v>0</v>
      </c>
      <c r="AF208" s="692">
        <f t="shared" si="34"/>
        <v>0</v>
      </c>
      <c r="AG208" s="38"/>
      <c r="AH208" s="692">
        <f t="shared" si="36"/>
        <v>0</v>
      </c>
      <c r="AI208" s="692">
        <f t="shared" si="37"/>
        <v>0</v>
      </c>
      <c r="AJ208" s="692">
        <f t="shared" si="38"/>
        <v>0</v>
      </c>
      <c r="AL208" s="38">
        <f t="shared" si="35"/>
        <v>0</v>
      </c>
      <c r="AM208" s="68" t="s">
        <v>162</v>
      </c>
    </row>
    <row r="209" spans="1:39">
      <c r="A209" s="21"/>
      <c r="B209" s="21" t="s">
        <v>109</v>
      </c>
      <c r="C209" s="666"/>
      <c r="D209" s="68" t="s">
        <v>163</v>
      </c>
      <c r="E209" s="679"/>
      <c r="F209" s="529">
        <f>VLOOKUP(D209,'Jan14 Revenue'!D:V,19,FALSE)</f>
        <v>3071.51</v>
      </c>
      <c r="G209" s="680"/>
      <c r="H209" s="680"/>
      <c r="I209" s="755"/>
      <c r="J209" s="682">
        <f t="shared" si="31"/>
        <v>3071.51</v>
      </c>
      <c r="K209" s="683"/>
      <c r="L209" s="684"/>
      <c r="M209" s="753"/>
      <c r="N209" s="683">
        <v>0</v>
      </c>
      <c r="O209" s="686"/>
      <c r="P209" s="683">
        <v>0</v>
      </c>
      <c r="Q209" s="687">
        <f t="shared" si="30"/>
        <v>0</v>
      </c>
      <c r="R209" s="687"/>
      <c r="S209" s="687"/>
      <c r="T209" s="688">
        <v>0</v>
      </c>
      <c r="U209" s="704"/>
      <c r="V209" s="690">
        <f t="shared" si="39"/>
        <v>0</v>
      </c>
      <c r="W209" s="705"/>
      <c r="X209" s="474">
        <f t="shared" si="40"/>
        <v>0</v>
      </c>
      <c r="Y209" s="474">
        <f t="shared" si="41"/>
        <v>0</v>
      </c>
      <c r="Z209" s="475">
        <f t="shared" si="42"/>
        <v>0</v>
      </c>
      <c r="AA209" s="475">
        <v>0</v>
      </c>
      <c r="AB209" s="476">
        <v>0</v>
      </c>
      <c r="AC209" s="38">
        <f t="shared" si="43"/>
        <v>0</v>
      </c>
      <c r="AD209" s="692">
        <f t="shared" si="32"/>
        <v>0</v>
      </c>
      <c r="AE209" s="692">
        <f t="shared" si="33"/>
        <v>3071.51</v>
      </c>
      <c r="AF209" s="692">
        <f t="shared" si="34"/>
        <v>0</v>
      </c>
      <c r="AG209" s="38"/>
      <c r="AH209" s="692">
        <f t="shared" si="36"/>
        <v>0</v>
      </c>
      <c r="AI209" s="692">
        <f t="shared" si="37"/>
        <v>0</v>
      </c>
      <c r="AJ209" s="692">
        <f t="shared" si="38"/>
        <v>0</v>
      </c>
      <c r="AL209" s="38">
        <f t="shared" si="35"/>
        <v>3071.51</v>
      </c>
      <c r="AM209" s="68" t="s">
        <v>163</v>
      </c>
    </row>
    <row r="210" spans="1:39">
      <c r="A210" s="21"/>
      <c r="B210" s="21" t="s">
        <v>109</v>
      </c>
      <c r="C210" s="666"/>
      <c r="D210" s="412" t="s">
        <v>164</v>
      </c>
      <c r="E210" s="679"/>
      <c r="F210" s="529">
        <f>VLOOKUP(D210,'Jan14 Revenue'!D:V,19,FALSE)</f>
        <v>0</v>
      </c>
      <c r="G210" s="680"/>
      <c r="H210" s="680"/>
      <c r="I210" s="755"/>
      <c r="J210" s="682">
        <f t="shared" si="31"/>
        <v>0</v>
      </c>
      <c r="K210" s="683"/>
      <c r="L210" s="684"/>
      <c r="M210" s="753"/>
      <c r="N210" s="683">
        <v>0</v>
      </c>
      <c r="O210" s="686"/>
      <c r="P210" s="683">
        <v>0</v>
      </c>
      <c r="Q210" s="687">
        <f t="shared" si="30"/>
        <v>0</v>
      </c>
      <c r="R210" s="687"/>
      <c r="S210" s="687"/>
      <c r="T210" s="688">
        <v>0</v>
      </c>
      <c r="U210" s="704"/>
      <c r="V210" s="690">
        <f t="shared" si="39"/>
        <v>0</v>
      </c>
      <c r="W210" s="705"/>
      <c r="X210" s="474">
        <f t="shared" si="40"/>
        <v>0</v>
      </c>
      <c r="Y210" s="474">
        <f t="shared" si="41"/>
        <v>0</v>
      </c>
      <c r="Z210" s="475">
        <f t="shared" si="42"/>
        <v>0</v>
      </c>
      <c r="AA210" s="475">
        <v>0</v>
      </c>
      <c r="AB210" s="476">
        <v>0</v>
      </c>
      <c r="AC210" s="38">
        <f t="shared" si="43"/>
        <v>0</v>
      </c>
      <c r="AD210" s="692">
        <f t="shared" si="32"/>
        <v>0</v>
      </c>
      <c r="AE210" s="692">
        <f t="shared" si="33"/>
        <v>0</v>
      </c>
      <c r="AF210" s="692">
        <f t="shared" si="34"/>
        <v>0</v>
      </c>
      <c r="AG210" s="38"/>
      <c r="AH210" s="692">
        <f t="shared" si="36"/>
        <v>0</v>
      </c>
      <c r="AI210" s="692">
        <f t="shared" si="37"/>
        <v>0</v>
      </c>
      <c r="AJ210" s="692">
        <f t="shared" si="38"/>
        <v>0</v>
      </c>
      <c r="AL210" s="38">
        <f t="shared" si="35"/>
        <v>0</v>
      </c>
      <c r="AM210" s="412" t="s">
        <v>164</v>
      </c>
    </row>
    <row r="211" spans="1:39">
      <c r="A211" s="21" t="s">
        <v>109</v>
      </c>
      <c r="B211" s="21" t="s">
        <v>114</v>
      </c>
      <c r="C211" s="666" t="s">
        <v>578</v>
      </c>
      <c r="D211" s="412" t="s">
        <v>318</v>
      </c>
      <c r="E211" s="679">
        <v>83003.179999999993</v>
      </c>
      <c r="F211" s="529">
        <f>VLOOKUP(D211,'Jan14 Revenue'!D:V,19,FALSE)</f>
        <v>-89708.15</v>
      </c>
      <c r="G211" s="680"/>
      <c r="H211" s="680"/>
      <c r="I211" s="755"/>
      <c r="J211" s="682">
        <f t="shared" si="31"/>
        <v>-6704.9700000000012</v>
      </c>
      <c r="K211" s="683"/>
      <c r="L211" s="684"/>
      <c r="M211" s="753">
        <v>60000</v>
      </c>
      <c r="N211" s="683">
        <v>0</v>
      </c>
      <c r="O211" s="686"/>
      <c r="P211" s="683">
        <v>0</v>
      </c>
      <c r="Q211" s="687">
        <f t="shared" si="30"/>
        <v>60000</v>
      </c>
      <c r="R211" s="687"/>
      <c r="S211" s="687"/>
      <c r="T211" s="688">
        <v>43022.2</v>
      </c>
      <c r="U211" s="704"/>
      <c r="V211" s="690">
        <f t="shared" si="39"/>
        <v>-16977.800000000003</v>
      </c>
      <c r="W211" s="683"/>
      <c r="X211" s="474">
        <f t="shared" si="40"/>
        <v>0</v>
      </c>
      <c r="Y211" s="474">
        <f t="shared" si="41"/>
        <v>0</v>
      </c>
      <c r="Z211" s="475">
        <f t="shared" si="42"/>
        <v>60000</v>
      </c>
      <c r="AA211" s="475">
        <v>0</v>
      </c>
      <c r="AB211" s="476">
        <v>0</v>
      </c>
      <c r="AC211" s="38">
        <f t="shared" si="43"/>
        <v>0</v>
      </c>
      <c r="AD211" s="692">
        <f t="shared" si="32"/>
        <v>0</v>
      </c>
      <c r="AE211" s="692">
        <f t="shared" si="33"/>
        <v>0</v>
      </c>
      <c r="AF211" s="692">
        <f t="shared" si="34"/>
        <v>-6704.9700000000012</v>
      </c>
      <c r="AG211" s="38"/>
      <c r="AH211" s="692">
        <f t="shared" si="36"/>
        <v>0</v>
      </c>
      <c r="AI211" s="692">
        <f t="shared" si="37"/>
        <v>0</v>
      </c>
      <c r="AJ211" s="692">
        <f t="shared" si="38"/>
        <v>60000</v>
      </c>
      <c r="AL211" s="38">
        <f t="shared" si="35"/>
        <v>53295.03</v>
      </c>
      <c r="AM211" s="412" t="s">
        <v>318</v>
      </c>
    </row>
    <row r="212" spans="1:39">
      <c r="A212" s="20" t="s">
        <v>211</v>
      </c>
      <c r="B212" s="20" t="s">
        <v>109</v>
      </c>
      <c r="C212" s="667"/>
      <c r="D212" s="68" t="s">
        <v>57</v>
      </c>
      <c r="E212" s="679"/>
      <c r="F212" s="529">
        <f>VLOOKUP(D212,'Jan14 Revenue'!D:V,19,FALSE)</f>
        <v>0</v>
      </c>
      <c r="G212" s="680"/>
      <c r="H212" s="680"/>
      <c r="I212" s="755"/>
      <c r="J212" s="682">
        <f t="shared" si="31"/>
        <v>0</v>
      </c>
      <c r="K212" s="683"/>
      <c r="L212" s="684"/>
      <c r="M212" s="753"/>
      <c r="N212" s="683">
        <v>0</v>
      </c>
      <c r="O212" s="686"/>
      <c r="P212" s="683">
        <v>0</v>
      </c>
      <c r="Q212" s="687">
        <f t="shared" si="30"/>
        <v>0</v>
      </c>
      <c r="R212" s="687"/>
      <c r="S212" s="687"/>
      <c r="T212" s="688">
        <v>0</v>
      </c>
      <c r="U212" s="693"/>
      <c r="V212" s="690">
        <f t="shared" si="39"/>
        <v>0</v>
      </c>
      <c r="W212" s="683"/>
      <c r="X212" s="474">
        <f t="shared" si="40"/>
        <v>0</v>
      </c>
      <c r="Y212" s="474">
        <f t="shared" si="41"/>
        <v>0</v>
      </c>
      <c r="Z212" s="475">
        <f t="shared" si="42"/>
        <v>0</v>
      </c>
      <c r="AA212" s="475">
        <v>0</v>
      </c>
      <c r="AB212" s="476">
        <v>0</v>
      </c>
      <c r="AC212" s="38">
        <f t="shared" si="43"/>
        <v>0</v>
      </c>
      <c r="AD212" s="692">
        <f t="shared" si="32"/>
        <v>0</v>
      </c>
      <c r="AE212" s="692">
        <f t="shared" si="33"/>
        <v>0</v>
      </c>
      <c r="AF212" s="692">
        <f t="shared" si="34"/>
        <v>0</v>
      </c>
      <c r="AG212" s="38"/>
      <c r="AH212" s="692">
        <f t="shared" si="36"/>
        <v>0</v>
      </c>
      <c r="AI212" s="692">
        <f t="shared" si="37"/>
        <v>0</v>
      </c>
      <c r="AJ212" s="692">
        <f t="shared" si="38"/>
        <v>0</v>
      </c>
      <c r="AL212" s="38">
        <f t="shared" si="35"/>
        <v>0</v>
      </c>
      <c r="AM212" s="68" t="s">
        <v>57</v>
      </c>
    </row>
    <row r="213" spans="1:39">
      <c r="A213" s="21"/>
      <c r="B213" s="21" t="s">
        <v>110</v>
      </c>
      <c r="C213" s="666"/>
      <c r="D213" s="806" t="s">
        <v>1050</v>
      </c>
      <c r="E213" s="679"/>
      <c r="F213" s="529">
        <f>VLOOKUP(D213,'Jan14 Revenue'!D:V,19,FALSE)</f>
        <v>0</v>
      </c>
      <c r="G213" s="680"/>
      <c r="H213" s="680"/>
      <c r="I213" s="755"/>
      <c r="J213" s="682">
        <f t="shared" si="31"/>
        <v>0</v>
      </c>
      <c r="K213" s="683"/>
      <c r="L213" s="684"/>
      <c r="M213" s="753"/>
      <c r="N213" s="683">
        <v>0</v>
      </c>
      <c r="O213" s="686"/>
      <c r="P213" s="683">
        <v>0</v>
      </c>
      <c r="Q213" s="687">
        <f t="shared" si="30"/>
        <v>0</v>
      </c>
      <c r="R213" s="687"/>
      <c r="S213" s="687"/>
      <c r="T213" s="688">
        <v>0</v>
      </c>
      <c r="U213" s="693"/>
      <c r="V213" s="690">
        <f t="shared" si="39"/>
        <v>0</v>
      </c>
      <c r="W213" s="683"/>
      <c r="X213" s="474">
        <f t="shared" si="40"/>
        <v>0</v>
      </c>
      <c r="Y213" s="474">
        <f t="shared" si="41"/>
        <v>0</v>
      </c>
      <c r="Z213" s="475">
        <f t="shared" si="42"/>
        <v>0</v>
      </c>
      <c r="AA213" s="475">
        <v>0</v>
      </c>
      <c r="AB213" s="476">
        <v>0</v>
      </c>
      <c r="AC213" s="38">
        <f t="shared" si="43"/>
        <v>0</v>
      </c>
      <c r="AD213" s="692">
        <f t="shared" si="32"/>
        <v>0</v>
      </c>
      <c r="AE213" s="692">
        <f t="shared" si="33"/>
        <v>0</v>
      </c>
      <c r="AF213" s="692">
        <f t="shared" si="34"/>
        <v>0</v>
      </c>
      <c r="AG213" s="38"/>
      <c r="AH213" s="692">
        <f t="shared" si="36"/>
        <v>0</v>
      </c>
      <c r="AI213" s="692">
        <f t="shared" si="37"/>
        <v>0</v>
      </c>
      <c r="AJ213" s="692">
        <f t="shared" si="38"/>
        <v>0</v>
      </c>
      <c r="AL213" s="38">
        <f t="shared" si="35"/>
        <v>0</v>
      </c>
      <c r="AM213" s="806" t="s">
        <v>388</v>
      </c>
    </row>
    <row r="214" spans="1:39">
      <c r="A214" s="20"/>
      <c r="B214" s="20" t="s">
        <v>114</v>
      </c>
      <c r="C214" s="676" t="s">
        <v>621</v>
      </c>
      <c r="D214" s="68" t="s">
        <v>622</v>
      </c>
      <c r="E214" s="679">
        <v>24082.12</v>
      </c>
      <c r="F214" s="529">
        <f>VLOOKUP(D214,'Jan14 Revenue'!D:V,19,FALSE)</f>
        <v>0</v>
      </c>
      <c r="G214" s="680"/>
      <c r="H214" s="680"/>
      <c r="I214" s="755"/>
      <c r="J214" s="682">
        <f t="shared" si="31"/>
        <v>24082.12</v>
      </c>
      <c r="K214" s="683"/>
      <c r="L214" s="684"/>
      <c r="M214" s="753"/>
      <c r="N214" s="683">
        <v>0</v>
      </c>
      <c r="O214" s="686"/>
      <c r="P214" s="683">
        <v>0</v>
      </c>
      <c r="Q214" s="687">
        <f t="shared" si="30"/>
        <v>0</v>
      </c>
      <c r="R214" s="687"/>
      <c r="S214" s="687"/>
      <c r="T214" s="688">
        <v>0</v>
      </c>
      <c r="U214" s="704"/>
      <c r="V214" s="690">
        <f t="shared" si="39"/>
        <v>0</v>
      </c>
      <c r="W214" s="683"/>
      <c r="X214" s="474">
        <f t="shared" si="40"/>
        <v>0</v>
      </c>
      <c r="Y214" s="474">
        <f t="shared" si="41"/>
        <v>0</v>
      </c>
      <c r="Z214" s="475">
        <f t="shared" si="42"/>
        <v>0</v>
      </c>
      <c r="AA214" s="475">
        <v>0</v>
      </c>
      <c r="AB214" s="476">
        <v>0</v>
      </c>
      <c r="AC214" s="38">
        <f t="shared" si="43"/>
        <v>0</v>
      </c>
      <c r="AD214" s="692">
        <f t="shared" si="32"/>
        <v>0</v>
      </c>
      <c r="AE214" s="692">
        <f t="shared" si="33"/>
        <v>0</v>
      </c>
      <c r="AF214" s="692">
        <f t="shared" si="34"/>
        <v>24082.12</v>
      </c>
      <c r="AG214" s="38"/>
      <c r="AH214" s="692">
        <f t="shared" si="36"/>
        <v>0</v>
      </c>
      <c r="AI214" s="692">
        <f t="shared" si="37"/>
        <v>0</v>
      </c>
      <c r="AJ214" s="692">
        <f t="shared" si="38"/>
        <v>0</v>
      </c>
      <c r="AL214" s="38">
        <f t="shared" si="35"/>
        <v>24082.12</v>
      </c>
      <c r="AM214" s="68" t="s">
        <v>622</v>
      </c>
    </row>
    <row r="215" spans="1:39">
      <c r="A215" s="20"/>
      <c r="B215" s="20" t="s">
        <v>110</v>
      </c>
      <c r="C215" s="667"/>
      <c r="D215" s="68" t="s">
        <v>497</v>
      </c>
      <c r="E215" s="679"/>
      <c r="F215" s="529">
        <f>VLOOKUP(D215,'Jan14 Revenue'!D:V,19,FALSE)</f>
        <v>0</v>
      </c>
      <c r="G215" s="680"/>
      <c r="H215" s="680"/>
      <c r="I215" s="755"/>
      <c r="J215" s="682">
        <f t="shared" si="31"/>
        <v>0</v>
      </c>
      <c r="K215" s="683"/>
      <c r="L215" s="684"/>
      <c r="M215" s="753"/>
      <c r="N215" s="683">
        <v>0</v>
      </c>
      <c r="O215" s="686"/>
      <c r="P215" s="683">
        <v>0</v>
      </c>
      <c r="Q215" s="687">
        <f t="shared" si="30"/>
        <v>0</v>
      </c>
      <c r="R215" s="687"/>
      <c r="S215" s="687"/>
      <c r="T215" s="688">
        <v>0</v>
      </c>
      <c r="U215" s="693"/>
      <c r="V215" s="690">
        <f t="shared" si="39"/>
        <v>0</v>
      </c>
      <c r="W215" s="683"/>
      <c r="X215" s="474">
        <f t="shared" si="40"/>
        <v>0</v>
      </c>
      <c r="Y215" s="474">
        <f t="shared" si="41"/>
        <v>0</v>
      </c>
      <c r="Z215" s="475">
        <f t="shared" si="42"/>
        <v>0</v>
      </c>
      <c r="AA215" s="475">
        <v>0</v>
      </c>
      <c r="AB215" s="476">
        <v>0</v>
      </c>
      <c r="AC215" s="38">
        <f t="shared" si="43"/>
        <v>0</v>
      </c>
      <c r="AD215" s="692">
        <f t="shared" si="32"/>
        <v>0</v>
      </c>
      <c r="AE215" s="692">
        <f t="shared" si="33"/>
        <v>0</v>
      </c>
      <c r="AF215" s="692">
        <f t="shared" si="34"/>
        <v>0</v>
      </c>
      <c r="AG215" s="38"/>
      <c r="AH215" s="692">
        <f t="shared" si="36"/>
        <v>0</v>
      </c>
      <c r="AI215" s="692">
        <f t="shared" si="37"/>
        <v>0</v>
      </c>
      <c r="AJ215" s="692">
        <f t="shared" si="38"/>
        <v>0</v>
      </c>
      <c r="AL215" s="38">
        <f t="shared" si="35"/>
        <v>0</v>
      </c>
      <c r="AM215" s="68" t="s">
        <v>497</v>
      </c>
    </row>
    <row r="216" spans="1:39">
      <c r="A216" s="20"/>
      <c r="B216" s="20" t="s">
        <v>110</v>
      </c>
      <c r="C216" s="667"/>
      <c r="D216" s="68" t="s">
        <v>509</v>
      </c>
      <c r="E216" s="679"/>
      <c r="F216" s="529">
        <f>VLOOKUP(D216,'Jan14 Revenue'!D:V,19,FALSE)</f>
        <v>-30000</v>
      </c>
      <c r="G216" s="680"/>
      <c r="H216" s="680"/>
      <c r="I216" s="755"/>
      <c r="J216" s="682">
        <f t="shared" si="31"/>
        <v>-30000</v>
      </c>
      <c r="K216" s="683"/>
      <c r="L216" s="684"/>
      <c r="M216" s="753">
        <v>30000</v>
      </c>
      <c r="N216" s="683"/>
      <c r="O216" s="686"/>
      <c r="P216" s="683"/>
      <c r="Q216" s="687">
        <f t="shared" si="30"/>
        <v>30000</v>
      </c>
      <c r="R216" s="687"/>
      <c r="S216" s="687"/>
      <c r="T216" s="688">
        <v>0</v>
      </c>
      <c r="U216" s="693"/>
      <c r="V216" s="690">
        <f t="shared" si="39"/>
        <v>-30000</v>
      </c>
      <c r="W216" s="683"/>
      <c r="X216" s="474">
        <f t="shared" si="40"/>
        <v>30000</v>
      </c>
      <c r="Y216" s="474">
        <f t="shared" si="41"/>
        <v>0</v>
      </c>
      <c r="Z216" s="475">
        <f t="shared" si="42"/>
        <v>0</v>
      </c>
      <c r="AA216" s="475">
        <v>0</v>
      </c>
      <c r="AB216" s="476">
        <v>0</v>
      </c>
      <c r="AC216" s="38">
        <f t="shared" si="43"/>
        <v>0</v>
      </c>
      <c r="AD216" s="692">
        <f t="shared" si="32"/>
        <v>-30000</v>
      </c>
      <c r="AE216" s="692">
        <f t="shared" si="33"/>
        <v>0</v>
      </c>
      <c r="AF216" s="692">
        <f t="shared" si="34"/>
        <v>0</v>
      </c>
      <c r="AG216" s="38"/>
      <c r="AH216" s="692">
        <f t="shared" si="36"/>
        <v>30000</v>
      </c>
      <c r="AI216" s="692">
        <f t="shared" si="37"/>
        <v>0</v>
      </c>
      <c r="AJ216" s="692">
        <f t="shared" si="38"/>
        <v>0</v>
      </c>
      <c r="AL216" s="38">
        <f t="shared" si="35"/>
        <v>0</v>
      </c>
      <c r="AM216" s="68" t="s">
        <v>509</v>
      </c>
    </row>
    <row r="217" spans="1:39" s="627" customFormat="1">
      <c r="A217" s="610"/>
      <c r="B217" s="610" t="s">
        <v>110</v>
      </c>
      <c r="C217" s="667" t="s">
        <v>580</v>
      </c>
      <c r="D217" s="612" t="s">
        <v>476</v>
      </c>
      <c r="E217" s="679"/>
      <c r="F217" s="529">
        <f>VLOOKUP(D217,'Jan14 Revenue'!D:V,19,FALSE)</f>
        <v>0</v>
      </c>
      <c r="G217" s="680"/>
      <c r="H217" s="680"/>
      <c r="I217" s="755"/>
      <c r="J217" s="682">
        <f t="shared" si="31"/>
        <v>0</v>
      </c>
      <c r="K217" s="683"/>
      <c r="L217" s="684"/>
      <c r="M217" s="753"/>
      <c r="N217" s="683">
        <v>0</v>
      </c>
      <c r="O217" s="686"/>
      <c r="P217" s="683">
        <v>0</v>
      </c>
      <c r="Q217" s="687">
        <f t="shared" si="30"/>
        <v>0</v>
      </c>
      <c r="R217" s="687"/>
      <c r="S217" s="687"/>
      <c r="T217" s="688">
        <v>0</v>
      </c>
      <c r="U217" s="706"/>
      <c r="V217" s="690">
        <f t="shared" si="39"/>
        <v>0</v>
      </c>
      <c r="W217" s="707"/>
      <c r="X217" s="474">
        <f t="shared" si="40"/>
        <v>0</v>
      </c>
      <c r="Y217" s="474">
        <f t="shared" si="41"/>
        <v>0</v>
      </c>
      <c r="Z217" s="475">
        <f t="shared" si="42"/>
        <v>0</v>
      </c>
      <c r="AA217" s="475">
        <v>0</v>
      </c>
      <c r="AB217" s="476">
        <v>0</v>
      </c>
      <c r="AC217" s="38">
        <f t="shared" si="43"/>
        <v>0</v>
      </c>
      <c r="AD217" s="692">
        <f t="shared" si="32"/>
        <v>0</v>
      </c>
      <c r="AE217" s="692">
        <f t="shared" si="33"/>
        <v>0</v>
      </c>
      <c r="AF217" s="692">
        <f t="shared" si="34"/>
        <v>0</v>
      </c>
      <c r="AG217" s="38"/>
      <c r="AH217" s="692">
        <f t="shared" si="36"/>
        <v>0</v>
      </c>
      <c r="AI217" s="692">
        <f t="shared" si="37"/>
        <v>0</v>
      </c>
      <c r="AJ217" s="692">
        <f t="shared" si="38"/>
        <v>0</v>
      </c>
      <c r="AL217" s="38">
        <f t="shared" si="35"/>
        <v>0</v>
      </c>
      <c r="AM217" s="612" t="s">
        <v>476</v>
      </c>
    </row>
    <row r="218" spans="1:39" s="232" customFormat="1">
      <c r="A218" s="283"/>
      <c r="B218" s="283" t="s">
        <v>114</v>
      </c>
      <c r="C218" s="667" t="s">
        <v>580</v>
      </c>
      <c r="D218" s="123" t="s">
        <v>371</v>
      </c>
      <c r="E218" s="679"/>
      <c r="F218" s="529">
        <f>VLOOKUP(D218,'Jan14 Revenue'!D:V,19,FALSE)</f>
        <v>14327.8</v>
      </c>
      <c r="G218" s="680"/>
      <c r="H218" s="680"/>
      <c r="I218" s="755"/>
      <c r="J218" s="682">
        <f t="shared" si="31"/>
        <v>14327.8</v>
      </c>
      <c r="K218" s="683"/>
      <c r="L218" s="684"/>
      <c r="M218" s="753">
        <v>22800</v>
      </c>
      <c r="N218" s="683">
        <v>0</v>
      </c>
      <c r="O218" s="686"/>
      <c r="P218" s="683">
        <v>0</v>
      </c>
      <c r="Q218" s="687">
        <f>L218+M218</f>
        <v>22800</v>
      </c>
      <c r="R218" s="687"/>
      <c r="S218" s="687"/>
      <c r="T218" s="688">
        <v>34251.17</v>
      </c>
      <c r="U218" s="693"/>
      <c r="V218" s="690">
        <f t="shared" si="39"/>
        <v>11451.169999999998</v>
      </c>
      <c r="W218" s="683"/>
      <c r="X218" s="474">
        <f t="shared" si="40"/>
        <v>0</v>
      </c>
      <c r="Y218" s="474">
        <f t="shared" si="41"/>
        <v>0</v>
      </c>
      <c r="Z218" s="475">
        <f t="shared" si="42"/>
        <v>22800</v>
      </c>
      <c r="AA218" s="475">
        <v>0</v>
      </c>
      <c r="AB218" s="476">
        <v>0</v>
      </c>
      <c r="AC218" s="38">
        <f>(L218+M218)-(X218+Y218+Z218+AA218+AB218)</f>
        <v>0</v>
      </c>
      <c r="AD218" s="692">
        <f t="shared" si="32"/>
        <v>0</v>
      </c>
      <c r="AE218" s="692">
        <f t="shared" si="33"/>
        <v>0</v>
      </c>
      <c r="AF218" s="692">
        <f t="shared" si="34"/>
        <v>14327.8</v>
      </c>
      <c r="AG218" s="38"/>
      <c r="AH218" s="692">
        <f t="shared" si="36"/>
        <v>0</v>
      </c>
      <c r="AI218" s="692">
        <f t="shared" si="37"/>
        <v>0</v>
      </c>
      <c r="AJ218" s="692">
        <f t="shared" si="38"/>
        <v>22800</v>
      </c>
      <c r="AL218" s="38">
        <f t="shared" si="35"/>
        <v>37127.800000000003</v>
      </c>
      <c r="AM218" s="123" t="s">
        <v>371</v>
      </c>
    </row>
    <row r="219" spans="1:39" s="232" customFormat="1">
      <c r="A219" s="283"/>
      <c r="B219" s="283" t="s">
        <v>110</v>
      </c>
      <c r="C219" s="667" t="s">
        <v>580</v>
      </c>
      <c r="D219" s="123" t="s">
        <v>422</v>
      </c>
      <c r="E219" s="679"/>
      <c r="F219" s="529">
        <f>VLOOKUP(D219,'Jan14 Revenue'!D:V,19,FALSE)</f>
        <v>0</v>
      </c>
      <c r="G219" s="680"/>
      <c r="H219" s="680"/>
      <c r="I219" s="755"/>
      <c r="J219" s="682">
        <f t="shared" si="31"/>
        <v>0</v>
      </c>
      <c r="K219" s="683"/>
      <c r="L219" s="684"/>
      <c r="M219" s="753"/>
      <c r="N219" s="683">
        <v>0</v>
      </c>
      <c r="O219" s="686"/>
      <c r="P219" s="683">
        <v>0</v>
      </c>
      <c r="Q219" s="687">
        <f t="shared" si="30"/>
        <v>0</v>
      </c>
      <c r="R219" s="687"/>
      <c r="S219" s="687"/>
      <c r="T219" s="688">
        <v>0</v>
      </c>
      <c r="U219" s="693"/>
      <c r="V219" s="690">
        <f t="shared" si="39"/>
        <v>0</v>
      </c>
      <c r="W219" s="683"/>
      <c r="X219" s="474">
        <f t="shared" si="40"/>
        <v>0</v>
      </c>
      <c r="Y219" s="474">
        <f t="shared" si="41"/>
        <v>0</v>
      </c>
      <c r="Z219" s="475">
        <f t="shared" si="42"/>
        <v>0</v>
      </c>
      <c r="AA219" s="475">
        <v>0</v>
      </c>
      <c r="AB219" s="476">
        <v>0</v>
      </c>
      <c r="AC219" s="38">
        <f t="shared" si="43"/>
        <v>0</v>
      </c>
      <c r="AD219" s="692">
        <f t="shared" si="32"/>
        <v>0</v>
      </c>
      <c r="AE219" s="692">
        <f t="shared" si="33"/>
        <v>0</v>
      </c>
      <c r="AF219" s="692">
        <f t="shared" si="34"/>
        <v>0</v>
      </c>
      <c r="AG219" s="38"/>
      <c r="AH219" s="692">
        <f t="shared" si="36"/>
        <v>0</v>
      </c>
      <c r="AI219" s="692">
        <f t="shared" si="37"/>
        <v>0</v>
      </c>
      <c r="AJ219" s="692">
        <f t="shared" si="38"/>
        <v>0</v>
      </c>
      <c r="AL219" s="38">
        <f t="shared" si="35"/>
        <v>0</v>
      </c>
      <c r="AM219" s="123" t="s">
        <v>422</v>
      </c>
    </row>
    <row r="220" spans="1:39" s="232" customFormat="1">
      <c r="A220" s="283"/>
      <c r="B220" s="283" t="s">
        <v>110</v>
      </c>
      <c r="C220" s="667" t="s">
        <v>580</v>
      </c>
      <c r="D220" s="123" t="s">
        <v>442</v>
      </c>
      <c r="E220" s="679"/>
      <c r="F220" s="529">
        <f>VLOOKUP(D220,'Jan14 Revenue'!D:V,19,FALSE)</f>
        <v>-31.680000000167638</v>
      </c>
      <c r="G220" s="680"/>
      <c r="H220" s="680"/>
      <c r="I220" s="755"/>
      <c r="J220" s="682">
        <f t="shared" si="31"/>
        <v>-31.680000000167638</v>
      </c>
      <c r="K220" s="683"/>
      <c r="L220" s="684">
        <v>561500</v>
      </c>
      <c r="M220" s="753">
        <v>956400</v>
      </c>
      <c r="N220" s="683">
        <v>0</v>
      </c>
      <c r="O220" s="686"/>
      <c r="P220" s="683">
        <v>0</v>
      </c>
      <c r="Q220" s="687">
        <f>L220+M220</f>
        <v>1517900</v>
      </c>
      <c r="R220" s="687"/>
      <c r="S220" s="687"/>
      <c r="T220" s="688">
        <f>956423.09+561454.12</f>
        <v>1517877.21</v>
      </c>
      <c r="U220" s="693"/>
      <c r="V220" s="690">
        <f t="shared" si="39"/>
        <v>-22.790000000037253</v>
      </c>
      <c r="W220" s="683"/>
      <c r="X220" s="474">
        <f t="shared" si="40"/>
        <v>1517900</v>
      </c>
      <c r="Y220" s="474">
        <f t="shared" si="41"/>
        <v>0</v>
      </c>
      <c r="Z220" s="475">
        <f t="shared" si="42"/>
        <v>0</v>
      </c>
      <c r="AA220" s="475">
        <v>0</v>
      </c>
      <c r="AB220" s="476">
        <v>0</v>
      </c>
      <c r="AC220" s="38">
        <f>(L220+M220)-(X220+Y220+Z220+AA220+AB220)</f>
        <v>0</v>
      </c>
      <c r="AD220" s="692">
        <f t="shared" si="32"/>
        <v>-31.680000000167638</v>
      </c>
      <c r="AE220" s="692">
        <f t="shared" si="33"/>
        <v>0</v>
      </c>
      <c r="AF220" s="692">
        <f t="shared" si="34"/>
        <v>0</v>
      </c>
      <c r="AG220" s="38"/>
      <c r="AH220" s="692">
        <f t="shared" si="36"/>
        <v>1517900</v>
      </c>
      <c r="AI220" s="692">
        <f t="shared" si="37"/>
        <v>0</v>
      </c>
      <c r="AJ220" s="692">
        <f t="shared" si="38"/>
        <v>0</v>
      </c>
      <c r="AL220" s="38">
        <f t="shared" si="35"/>
        <v>1517868.3199999998</v>
      </c>
      <c r="AM220" s="123" t="s">
        <v>442</v>
      </c>
    </row>
    <row r="221" spans="1:39" hidden="1">
      <c r="A221" s="21" t="s">
        <v>97</v>
      </c>
      <c r="B221" s="21" t="s">
        <v>109</v>
      </c>
      <c r="C221" s="666"/>
      <c r="D221" s="68" t="s">
        <v>381</v>
      </c>
      <c r="E221" s="679"/>
      <c r="F221" s="529">
        <f>VLOOKUP(D221,'Jan14 Revenue'!D:V,19,FALSE)</f>
        <v>0</v>
      </c>
      <c r="G221" s="680"/>
      <c r="H221" s="680"/>
      <c r="I221" s="755"/>
      <c r="J221" s="682">
        <f t="shared" si="31"/>
        <v>0</v>
      </c>
      <c r="K221" s="683"/>
      <c r="L221" s="684"/>
      <c r="M221" s="753"/>
      <c r="N221" s="683">
        <v>0</v>
      </c>
      <c r="O221" s="686"/>
      <c r="P221" s="683">
        <v>0</v>
      </c>
      <c r="Q221" s="687">
        <f t="shared" si="30"/>
        <v>0</v>
      </c>
      <c r="R221" s="687"/>
      <c r="S221" s="687"/>
      <c r="T221" s="688">
        <v>0</v>
      </c>
      <c r="U221" s="693"/>
      <c r="V221" s="690">
        <f t="shared" si="39"/>
        <v>0</v>
      </c>
      <c r="W221" s="683"/>
      <c r="X221" s="474">
        <f t="shared" si="40"/>
        <v>0</v>
      </c>
      <c r="Y221" s="474">
        <f t="shared" si="41"/>
        <v>0</v>
      </c>
      <c r="Z221" s="475">
        <f t="shared" si="42"/>
        <v>0</v>
      </c>
      <c r="AA221" s="475">
        <v>0</v>
      </c>
      <c r="AB221" s="476">
        <v>0</v>
      </c>
      <c r="AC221" s="38">
        <f t="shared" si="43"/>
        <v>0</v>
      </c>
      <c r="AD221" s="692">
        <f t="shared" si="32"/>
        <v>0</v>
      </c>
      <c r="AE221" s="692">
        <f t="shared" si="33"/>
        <v>0</v>
      </c>
      <c r="AF221" s="692">
        <f t="shared" si="34"/>
        <v>0</v>
      </c>
      <c r="AG221" s="38"/>
      <c r="AH221" s="692">
        <f t="shared" si="36"/>
        <v>0</v>
      </c>
      <c r="AI221" s="692">
        <f t="shared" si="37"/>
        <v>0</v>
      </c>
      <c r="AJ221" s="692">
        <f t="shared" si="38"/>
        <v>0</v>
      </c>
      <c r="AL221" s="38">
        <f t="shared" si="35"/>
        <v>0</v>
      </c>
      <c r="AM221" s="68" t="s">
        <v>381</v>
      </c>
    </row>
    <row r="222" spans="1:39" hidden="1">
      <c r="A222" s="21" t="s">
        <v>97</v>
      </c>
      <c r="B222" s="21" t="s">
        <v>114</v>
      </c>
      <c r="C222" s="666"/>
      <c r="D222" s="68" t="s">
        <v>376</v>
      </c>
      <c r="E222" s="679"/>
      <c r="F222" s="529">
        <f>VLOOKUP(D222,'Jan14 Revenue'!D:V,19,FALSE)</f>
        <v>0</v>
      </c>
      <c r="G222" s="680"/>
      <c r="H222" s="680"/>
      <c r="I222" s="755"/>
      <c r="J222" s="682">
        <f t="shared" si="31"/>
        <v>0</v>
      </c>
      <c r="K222" s="683"/>
      <c r="L222" s="684"/>
      <c r="M222" s="753"/>
      <c r="N222" s="683">
        <v>0</v>
      </c>
      <c r="O222" s="686"/>
      <c r="P222" s="683">
        <v>0</v>
      </c>
      <c r="Q222" s="687">
        <f t="shared" ref="Q222:Q236" si="58">L222+M222</f>
        <v>0</v>
      </c>
      <c r="R222" s="687"/>
      <c r="S222" s="687"/>
      <c r="T222" s="688">
        <v>0</v>
      </c>
      <c r="U222" s="693"/>
      <c r="V222" s="690">
        <f t="shared" si="39"/>
        <v>0</v>
      </c>
      <c r="W222" s="683"/>
      <c r="X222" s="474">
        <f t="shared" si="40"/>
        <v>0</v>
      </c>
      <c r="Y222" s="474">
        <f t="shared" si="41"/>
        <v>0</v>
      </c>
      <c r="Z222" s="475">
        <f t="shared" si="42"/>
        <v>0</v>
      </c>
      <c r="AA222" s="475">
        <v>0</v>
      </c>
      <c r="AB222" s="476">
        <v>0</v>
      </c>
      <c r="AC222" s="38">
        <f t="shared" si="43"/>
        <v>0</v>
      </c>
      <c r="AD222" s="692">
        <f t="shared" si="32"/>
        <v>0</v>
      </c>
      <c r="AE222" s="692">
        <f t="shared" si="33"/>
        <v>0</v>
      </c>
      <c r="AF222" s="692">
        <f t="shared" si="34"/>
        <v>0</v>
      </c>
      <c r="AG222" s="38"/>
      <c r="AH222" s="692">
        <f t="shared" si="36"/>
        <v>0</v>
      </c>
      <c r="AI222" s="692">
        <f t="shared" si="37"/>
        <v>0</v>
      </c>
      <c r="AJ222" s="692">
        <f t="shared" si="38"/>
        <v>0</v>
      </c>
      <c r="AL222" s="38">
        <f t="shared" si="35"/>
        <v>0</v>
      </c>
      <c r="AM222" s="68" t="s">
        <v>376</v>
      </c>
    </row>
    <row r="223" spans="1:39">
      <c r="A223" s="20"/>
      <c r="B223" s="20" t="s">
        <v>110</v>
      </c>
      <c r="C223" s="667"/>
      <c r="D223" s="68" t="s">
        <v>1032</v>
      </c>
      <c r="E223" s="679"/>
      <c r="F223" s="529">
        <f>VLOOKUP(D223,'Jan14 Revenue'!D:V,19,FALSE)</f>
        <v>1010.01</v>
      </c>
      <c r="G223" s="680"/>
      <c r="H223" s="680"/>
      <c r="I223" s="770">
        <v>783.18</v>
      </c>
      <c r="J223" s="682">
        <f t="shared" si="31"/>
        <v>1793.19</v>
      </c>
      <c r="K223" s="683"/>
      <c r="L223" s="684"/>
      <c r="M223" s="753"/>
      <c r="N223" s="683">
        <v>0</v>
      </c>
      <c r="O223" s="686"/>
      <c r="P223" s="683">
        <v>0</v>
      </c>
      <c r="Q223" s="687">
        <f>L223+M223</f>
        <v>0</v>
      </c>
      <c r="R223" s="687"/>
      <c r="S223" s="687"/>
      <c r="T223" s="688">
        <v>0</v>
      </c>
      <c r="U223" s="693"/>
      <c r="V223" s="690">
        <f t="shared" si="39"/>
        <v>0</v>
      </c>
      <c r="W223" s="683"/>
      <c r="X223" s="474">
        <f t="shared" si="40"/>
        <v>0</v>
      </c>
      <c r="Y223" s="474">
        <f t="shared" si="41"/>
        <v>0</v>
      </c>
      <c r="Z223" s="475">
        <f t="shared" si="42"/>
        <v>0</v>
      </c>
      <c r="AA223" s="475">
        <v>0</v>
      </c>
      <c r="AB223" s="476">
        <v>0</v>
      </c>
      <c r="AC223" s="38">
        <f>(L223+M223)-(X223+Y223+Z223+AA223+AB223)</f>
        <v>0</v>
      </c>
      <c r="AD223" s="692">
        <f t="shared" si="32"/>
        <v>1793.19</v>
      </c>
      <c r="AE223" s="692">
        <f t="shared" si="33"/>
        <v>0</v>
      </c>
      <c r="AF223" s="692">
        <f t="shared" si="34"/>
        <v>0</v>
      </c>
      <c r="AG223" s="38"/>
      <c r="AH223" s="692">
        <f t="shared" si="36"/>
        <v>0</v>
      </c>
      <c r="AI223" s="692">
        <f t="shared" si="37"/>
        <v>0</v>
      </c>
      <c r="AJ223" s="692">
        <f t="shared" si="38"/>
        <v>0</v>
      </c>
      <c r="AL223" s="38">
        <f t="shared" si="35"/>
        <v>1793.19</v>
      </c>
      <c r="AM223" s="68" t="s">
        <v>390</v>
      </c>
    </row>
    <row r="224" spans="1:39">
      <c r="A224" s="20"/>
      <c r="B224" s="20" t="s">
        <v>110</v>
      </c>
      <c r="C224" s="667" t="s">
        <v>581</v>
      </c>
      <c r="D224" s="123" t="s">
        <v>166</v>
      </c>
      <c r="E224" s="679">
        <v>141145.97</v>
      </c>
      <c r="F224" s="529">
        <f>VLOOKUP(D224,'Jan14 Revenue'!D:V,19,FALSE)</f>
        <v>0</v>
      </c>
      <c r="G224" s="680"/>
      <c r="H224" s="680"/>
      <c r="I224" s="755"/>
      <c r="J224" s="682">
        <f t="shared" si="31"/>
        <v>141145.97</v>
      </c>
      <c r="K224" s="683"/>
      <c r="L224" s="684"/>
      <c r="M224" s="753"/>
      <c r="N224" s="683">
        <v>0</v>
      </c>
      <c r="O224" s="686"/>
      <c r="P224" s="683">
        <v>0</v>
      </c>
      <c r="Q224" s="687">
        <f t="shared" si="58"/>
        <v>0</v>
      </c>
      <c r="R224" s="687"/>
      <c r="S224" s="687"/>
      <c r="T224" s="688">
        <v>5508.63</v>
      </c>
      <c r="U224" s="693"/>
      <c r="V224" s="690">
        <f t="shared" si="39"/>
        <v>5508.63</v>
      </c>
      <c r="W224" s="683"/>
      <c r="X224" s="474">
        <f t="shared" si="40"/>
        <v>0</v>
      </c>
      <c r="Y224" s="474">
        <f t="shared" si="41"/>
        <v>0</v>
      </c>
      <c r="Z224" s="475">
        <f t="shared" si="42"/>
        <v>0</v>
      </c>
      <c r="AA224" s="475">
        <v>0</v>
      </c>
      <c r="AB224" s="476">
        <v>0</v>
      </c>
      <c r="AC224" s="38">
        <f t="shared" si="43"/>
        <v>0</v>
      </c>
      <c r="AD224" s="692">
        <f t="shared" si="32"/>
        <v>141145.97</v>
      </c>
      <c r="AE224" s="692">
        <f t="shared" si="33"/>
        <v>0</v>
      </c>
      <c r="AF224" s="692">
        <f t="shared" si="34"/>
        <v>0</v>
      </c>
      <c r="AG224" s="38"/>
      <c r="AH224" s="692">
        <f t="shared" si="36"/>
        <v>0</v>
      </c>
      <c r="AI224" s="692">
        <f t="shared" si="37"/>
        <v>0</v>
      </c>
      <c r="AJ224" s="692">
        <f t="shared" si="38"/>
        <v>0</v>
      </c>
      <c r="AL224" s="38">
        <f t="shared" si="35"/>
        <v>141145.97</v>
      </c>
      <c r="AM224" s="123" t="s">
        <v>166</v>
      </c>
    </row>
    <row r="225" spans="1:39">
      <c r="A225" s="20"/>
      <c r="B225" s="20" t="s">
        <v>109</v>
      </c>
      <c r="C225" s="667" t="s">
        <v>581</v>
      </c>
      <c r="D225" s="123" t="s">
        <v>165</v>
      </c>
      <c r="E225" s="679"/>
      <c r="F225" s="529">
        <f>VLOOKUP(D225,'Jan14 Revenue'!D:V,19,FALSE)</f>
        <v>0</v>
      </c>
      <c r="G225" s="680"/>
      <c r="H225" s="680"/>
      <c r="I225" s="755"/>
      <c r="J225" s="682">
        <f t="shared" si="31"/>
        <v>0</v>
      </c>
      <c r="K225" s="683"/>
      <c r="L225" s="684"/>
      <c r="M225" s="753"/>
      <c r="N225" s="683">
        <v>0</v>
      </c>
      <c r="O225" s="686"/>
      <c r="P225" s="683">
        <v>0</v>
      </c>
      <c r="Q225" s="687">
        <f t="shared" si="58"/>
        <v>0</v>
      </c>
      <c r="R225" s="687"/>
      <c r="S225" s="687"/>
      <c r="T225" s="688">
        <v>0</v>
      </c>
      <c r="U225" s="693"/>
      <c r="V225" s="690">
        <f t="shared" si="39"/>
        <v>0</v>
      </c>
      <c r="W225" s="683"/>
      <c r="X225" s="474">
        <f t="shared" si="40"/>
        <v>0</v>
      </c>
      <c r="Y225" s="474">
        <f t="shared" si="41"/>
        <v>0</v>
      </c>
      <c r="Z225" s="475">
        <f t="shared" si="42"/>
        <v>0</v>
      </c>
      <c r="AA225" s="475">
        <v>0</v>
      </c>
      <c r="AB225" s="476">
        <v>0</v>
      </c>
      <c r="AC225" s="38">
        <f t="shared" si="43"/>
        <v>0</v>
      </c>
      <c r="AD225" s="692">
        <f t="shared" si="32"/>
        <v>0</v>
      </c>
      <c r="AE225" s="692">
        <f t="shared" si="33"/>
        <v>0</v>
      </c>
      <c r="AF225" s="692">
        <f t="shared" si="34"/>
        <v>0</v>
      </c>
      <c r="AG225" s="38"/>
      <c r="AH225" s="692">
        <f t="shared" si="36"/>
        <v>0</v>
      </c>
      <c r="AI225" s="692">
        <f t="shared" si="37"/>
        <v>0</v>
      </c>
      <c r="AJ225" s="692">
        <f t="shared" si="38"/>
        <v>0</v>
      </c>
      <c r="AL225" s="38">
        <f t="shared" si="35"/>
        <v>0</v>
      </c>
      <c r="AM225" s="123" t="s">
        <v>165</v>
      </c>
    </row>
    <row r="226" spans="1:39" hidden="1">
      <c r="A226" s="20"/>
      <c r="B226" s="20" t="s">
        <v>109</v>
      </c>
      <c r="C226" s="667"/>
      <c r="D226" s="123" t="s">
        <v>310</v>
      </c>
      <c r="E226" s="679"/>
      <c r="F226" s="529">
        <f>VLOOKUP(D226,'Jan14 Revenue'!D:V,19,FALSE)</f>
        <v>0</v>
      </c>
      <c r="G226" s="680"/>
      <c r="H226" s="680"/>
      <c r="I226" s="755"/>
      <c r="J226" s="682">
        <f t="shared" ref="J226:J236" si="59">SUM(E226:I226)</f>
        <v>0</v>
      </c>
      <c r="K226" s="683"/>
      <c r="L226" s="684"/>
      <c r="M226" s="753"/>
      <c r="N226" s="683">
        <v>0</v>
      </c>
      <c r="O226" s="686"/>
      <c r="P226" s="683">
        <v>0</v>
      </c>
      <c r="Q226" s="687">
        <f t="shared" si="58"/>
        <v>0</v>
      </c>
      <c r="R226" s="687"/>
      <c r="S226" s="687"/>
      <c r="T226" s="688">
        <v>0</v>
      </c>
      <c r="U226" s="693"/>
      <c r="V226" s="690">
        <f t="shared" si="39"/>
        <v>0</v>
      </c>
      <c r="W226" s="683"/>
      <c r="X226" s="474">
        <f t="shared" si="40"/>
        <v>0</v>
      </c>
      <c r="Y226" s="474">
        <f t="shared" si="41"/>
        <v>0</v>
      </c>
      <c r="Z226" s="475">
        <f t="shared" si="42"/>
        <v>0</v>
      </c>
      <c r="AA226" s="475">
        <v>0</v>
      </c>
      <c r="AB226" s="476">
        <v>0</v>
      </c>
      <c r="AC226" s="38">
        <f t="shared" si="43"/>
        <v>0</v>
      </c>
      <c r="AD226" s="692">
        <f t="shared" ref="AD226:AD236" si="60">IF(B226="D",J226,0)</f>
        <v>0</v>
      </c>
      <c r="AE226" s="692">
        <f t="shared" ref="AE226:AE236" si="61">IF(B226="M",J226,0)</f>
        <v>0</v>
      </c>
      <c r="AF226" s="692">
        <f t="shared" ref="AF226:AF236" si="62">IF(B226="V",J226,0)</f>
        <v>0</v>
      </c>
      <c r="AG226" s="38"/>
      <c r="AH226" s="692">
        <f t="shared" si="36"/>
        <v>0</v>
      </c>
      <c r="AI226" s="692">
        <f t="shared" si="37"/>
        <v>0</v>
      </c>
      <c r="AJ226" s="692">
        <f t="shared" si="38"/>
        <v>0</v>
      </c>
      <c r="AL226" s="38">
        <f t="shared" ref="AL226:AL236" si="63">SUM(AD226:AJ226)</f>
        <v>0</v>
      </c>
      <c r="AM226" s="123" t="s">
        <v>310</v>
      </c>
    </row>
    <row r="227" spans="1:39" hidden="1">
      <c r="A227" s="20"/>
      <c r="B227" s="20" t="s">
        <v>109</v>
      </c>
      <c r="C227" s="667"/>
      <c r="D227" s="123" t="s">
        <v>441</v>
      </c>
      <c r="E227" s="679"/>
      <c r="F227" s="529">
        <f>VLOOKUP(D227,'Jan14 Revenue'!D:V,19,FALSE)</f>
        <v>0</v>
      </c>
      <c r="G227" s="680"/>
      <c r="H227" s="680"/>
      <c r="I227" s="755"/>
      <c r="J227" s="682">
        <f t="shared" si="59"/>
        <v>0</v>
      </c>
      <c r="K227" s="683"/>
      <c r="L227" s="684"/>
      <c r="M227" s="753"/>
      <c r="N227" s="683">
        <v>0</v>
      </c>
      <c r="O227" s="686"/>
      <c r="P227" s="683">
        <v>0</v>
      </c>
      <c r="Q227" s="687">
        <f t="shared" si="58"/>
        <v>0</v>
      </c>
      <c r="R227" s="687"/>
      <c r="S227" s="687"/>
      <c r="T227" s="688">
        <v>0</v>
      </c>
      <c r="U227" s="693"/>
      <c r="V227" s="690">
        <f t="shared" si="39"/>
        <v>0</v>
      </c>
      <c r="W227" s="683"/>
      <c r="X227" s="474">
        <f t="shared" si="40"/>
        <v>0</v>
      </c>
      <c r="Y227" s="474">
        <f t="shared" si="41"/>
        <v>0</v>
      </c>
      <c r="Z227" s="475">
        <f t="shared" si="42"/>
        <v>0</v>
      </c>
      <c r="AA227" s="475">
        <v>0</v>
      </c>
      <c r="AB227" s="476">
        <v>0</v>
      </c>
      <c r="AC227" s="38">
        <f t="shared" si="43"/>
        <v>0</v>
      </c>
      <c r="AD227" s="692">
        <f t="shared" si="60"/>
        <v>0</v>
      </c>
      <c r="AE227" s="692">
        <f t="shared" si="61"/>
        <v>0</v>
      </c>
      <c r="AF227" s="692">
        <f t="shared" si="62"/>
        <v>0</v>
      </c>
      <c r="AG227" s="38"/>
      <c r="AH227" s="692">
        <f t="shared" ref="AH227:AH236" si="64">IF(B227="D",Q227,0)</f>
        <v>0</v>
      </c>
      <c r="AI227" s="692">
        <f t="shared" ref="AI227:AI236" si="65">IF(B227="M",Q227,0)</f>
        <v>0</v>
      </c>
      <c r="AJ227" s="692">
        <f t="shared" ref="AJ227:AJ236" si="66">IF(B227="V",Q227,0)</f>
        <v>0</v>
      </c>
      <c r="AL227" s="38">
        <f t="shared" si="63"/>
        <v>0</v>
      </c>
      <c r="AM227" s="123" t="s">
        <v>441</v>
      </c>
    </row>
    <row r="228" spans="1:39">
      <c r="A228" s="20"/>
      <c r="B228" s="20" t="s">
        <v>109</v>
      </c>
      <c r="C228" s="667"/>
      <c r="D228" s="68" t="s">
        <v>121</v>
      </c>
      <c r="E228" s="679"/>
      <c r="F228" s="529">
        <f>VLOOKUP(D228,'Jan14 Revenue'!D:V,19,FALSE)</f>
        <v>0</v>
      </c>
      <c r="G228" s="680"/>
      <c r="H228" s="680"/>
      <c r="I228" s="755"/>
      <c r="J228" s="682">
        <f t="shared" si="59"/>
        <v>0</v>
      </c>
      <c r="K228" s="683"/>
      <c r="L228" s="684"/>
      <c r="M228" s="753"/>
      <c r="N228" s="683">
        <v>0</v>
      </c>
      <c r="O228" s="686"/>
      <c r="P228" s="683">
        <v>0</v>
      </c>
      <c r="Q228" s="687">
        <f t="shared" si="58"/>
        <v>0</v>
      </c>
      <c r="R228" s="687"/>
      <c r="S228" s="687"/>
      <c r="T228" s="688">
        <v>0</v>
      </c>
      <c r="U228" s="693"/>
      <c r="V228" s="690">
        <f t="shared" ref="V228:V236" si="67">IF(T228="","",T228-Q228)</f>
        <v>0</v>
      </c>
      <c r="W228" s="683"/>
      <c r="X228" s="474">
        <f t="shared" ref="X228:X236" si="68">IF(B228="D",Q228,0)</f>
        <v>0</v>
      </c>
      <c r="Y228" s="474">
        <f t="shared" ref="Y228:Y236" si="69">IF(B228="M",Q228,0)</f>
        <v>0</v>
      </c>
      <c r="Z228" s="475">
        <f t="shared" ref="Z228:Z236" si="70">IF(B228="V",Q228,0)</f>
        <v>0</v>
      </c>
      <c r="AA228" s="475">
        <v>0</v>
      </c>
      <c r="AB228" s="476">
        <v>0</v>
      </c>
      <c r="AC228" s="38">
        <f t="shared" ref="AC228:AC236" si="71">(L228+M228)-(X228+Y228+Z228+AA228+AB228)</f>
        <v>0</v>
      </c>
      <c r="AD228" s="692">
        <f t="shared" si="60"/>
        <v>0</v>
      </c>
      <c r="AE228" s="692">
        <f t="shared" si="61"/>
        <v>0</v>
      </c>
      <c r="AF228" s="692">
        <f t="shared" si="62"/>
        <v>0</v>
      </c>
      <c r="AG228" s="38"/>
      <c r="AH228" s="692">
        <f t="shared" si="64"/>
        <v>0</v>
      </c>
      <c r="AI228" s="692">
        <f t="shared" si="65"/>
        <v>0</v>
      </c>
      <c r="AJ228" s="692">
        <f t="shared" si="66"/>
        <v>0</v>
      </c>
      <c r="AL228" s="38">
        <f t="shared" si="63"/>
        <v>0</v>
      </c>
      <c r="AM228" s="68" t="s">
        <v>121</v>
      </c>
    </row>
    <row r="229" spans="1:39">
      <c r="A229" s="20"/>
      <c r="B229" s="20" t="s">
        <v>110</v>
      </c>
      <c r="C229" s="667"/>
      <c r="D229" s="68" t="s">
        <v>168</v>
      </c>
      <c r="E229" s="679"/>
      <c r="F229" s="529">
        <f>VLOOKUP(D229,'Jan14 Revenue'!D:V,19,FALSE)</f>
        <v>0</v>
      </c>
      <c r="G229" s="680"/>
      <c r="H229" s="680"/>
      <c r="I229" s="755"/>
      <c r="J229" s="682">
        <f t="shared" si="59"/>
        <v>0</v>
      </c>
      <c r="K229" s="683"/>
      <c r="L229" s="684"/>
      <c r="M229" s="753"/>
      <c r="N229" s="683">
        <v>0</v>
      </c>
      <c r="O229" s="686"/>
      <c r="P229" s="683">
        <v>0</v>
      </c>
      <c r="Q229" s="687">
        <f t="shared" si="58"/>
        <v>0</v>
      </c>
      <c r="R229" s="687"/>
      <c r="S229" s="687"/>
      <c r="T229" s="688">
        <v>0</v>
      </c>
      <c r="U229" s="693"/>
      <c r="V229" s="690">
        <f t="shared" si="67"/>
        <v>0</v>
      </c>
      <c r="W229" s="683"/>
      <c r="X229" s="474">
        <f t="shared" si="68"/>
        <v>0</v>
      </c>
      <c r="Y229" s="474">
        <f t="shared" si="69"/>
        <v>0</v>
      </c>
      <c r="Z229" s="475">
        <f t="shared" si="70"/>
        <v>0</v>
      </c>
      <c r="AA229" s="475">
        <v>0</v>
      </c>
      <c r="AB229" s="476">
        <v>0</v>
      </c>
      <c r="AC229" s="38">
        <f t="shared" si="71"/>
        <v>0</v>
      </c>
      <c r="AD229" s="692">
        <f t="shared" si="60"/>
        <v>0</v>
      </c>
      <c r="AE229" s="692">
        <f t="shared" si="61"/>
        <v>0</v>
      </c>
      <c r="AF229" s="692">
        <f t="shared" si="62"/>
        <v>0</v>
      </c>
      <c r="AG229" s="38"/>
      <c r="AH229" s="692">
        <f t="shared" si="64"/>
        <v>0</v>
      </c>
      <c r="AI229" s="692">
        <f t="shared" si="65"/>
        <v>0</v>
      </c>
      <c r="AJ229" s="692">
        <f t="shared" si="66"/>
        <v>0</v>
      </c>
      <c r="AL229" s="38">
        <f t="shared" si="63"/>
        <v>0</v>
      </c>
      <c r="AM229" s="68" t="s">
        <v>168</v>
      </c>
    </row>
    <row r="230" spans="1:39">
      <c r="A230" s="20"/>
      <c r="B230" s="20" t="s">
        <v>109</v>
      </c>
      <c r="C230" s="667" t="s">
        <v>582</v>
      </c>
      <c r="D230" s="68" t="s">
        <v>167</v>
      </c>
      <c r="E230" s="679"/>
      <c r="F230" s="529">
        <f>VLOOKUP(D230,'Jan14 Revenue'!D:V,19,FALSE)</f>
        <v>0</v>
      </c>
      <c r="G230" s="680"/>
      <c r="H230" s="680"/>
      <c r="I230" s="755"/>
      <c r="J230" s="682">
        <f t="shared" si="59"/>
        <v>0</v>
      </c>
      <c r="K230" s="683"/>
      <c r="L230" s="684"/>
      <c r="M230" s="753"/>
      <c r="N230" s="683">
        <v>0</v>
      </c>
      <c r="O230" s="686"/>
      <c r="P230" s="683">
        <v>0</v>
      </c>
      <c r="Q230" s="687">
        <f t="shared" si="58"/>
        <v>0</v>
      </c>
      <c r="R230" s="687"/>
      <c r="S230" s="687"/>
      <c r="T230" s="688">
        <v>0</v>
      </c>
      <c r="U230" s="693"/>
      <c r="V230" s="690">
        <f t="shared" si="67"/>
        <v>0</v>
      </c>
      <c r="W230" s="683"/>
      <c r="X230" s="474">
        <f t="shared" si="68"/>
        <v>0</v>
      </c>
      <c r="Y230" s="474">
        <f t="shared" si="69"/>
        <v>0</v>
      </c>
      <c r="Z230" s="475">
        <f t="shared" si="70"/>
        <v>0</v>
      </c>
      <c r="AA230" s="475">
        <v>0</v>
      </c>
      <c r="AB230" s="476">
        <v>0</v>
      </c>
      <c r="AC230" s="38">
        <f t="shared" si="71"/>
        <v>0</v>
      </c>
      <c r="AD230" s="692">
        <f t="shared" si="60"/>
        <v>0</v>
      </c>
      <c r="AE230" s="692">
        <f t="shared" si="61"/>
        <v>0</v>
      </c>
      <c r="AF230" s="692">
        <f t="shared" si="62"/>
        <v>0</v>
      </c>
      <c r="AG230" s="38"/>
      <c r="AH230" s="692">
        <f t="shared" si="64"/>
        <v>0</v>
      </c>
      <c r="AI230" s="692">
        <f t="shared" si="65"/>
        <v>0</v>
      </c>
      <c r="AJ230" s="692">
        <f t="shared" si="66"/>
        <v>0</v>
      </c>
      <c r="AL230" s="38">
        <f t="shared" si="63"/>
        <v>0</v>
      </c>
      <c r="AM230" s="68" t="s">
        <v>167</v>
      </c>
    </row>
    <row r="231" spans="1:39">
      <c r="A231" s="20" t="s">
        <v>218</v>
      </c>
      <c r="B231" s="20" t="s">
        <v>110</v>
      </c>
      <c r="C231" s="667"/>
      <c r="D231" s="68" t="s">
        <v>60</v>
      </c>
      <c r="E231" s="679">
        <v>21588.6</v>
      </c>
      <c r="F231" s="529">
        <f>VLOOKUP(D231,'Jan14 Revenue'!D:V,19,FALSE)</f>
        <v>-24000</v>
      </c>
      <c r="G231" s="680"/>
      <c r="H231" s="680"/>
      <c r="I231" s="755"/>
      <c r="J231" s="682">
        <f t="shared" si="59"/>
        <v>-2411.4000000000015</v>
      </c>
      <c r="K231" s="683"/>
      <c r="L231" s="684"/>
      <c r="M231" s="753">
        <v>12000</v>
      </c>
      <c r="N231" s="683">
        <v>0</v>
      </c>
      <c r="O231" s="686"/>
      <c r="P231" s="683">
        <v>0</v>
      </c>
      <c r="Q231" s="687">
        <f t="shared" si="58"/>
        <v>12000</v>
      </c>
      <c r="R231" s="687"/>
      <c r="S231" s="687"/>
      <c r="T231" s="688">
        <v>0</v>
      </c>
      <c r="U231" s="693"/>
      <c r="V231" s="690">
        <f t="shared" si="67"/>
        <v>-12000</v>
      </c>
      <c r="W231" s="697"/>
      <c r="X231" s="474">
        <f t="shared" si="68"/>
        <v>12000</v>
      </c>
      <c r="Y231" s="474">
        <f t="shared" si="69"/>
        <v>0</v>
      </c>
      <c r="Z231" s="475">
        <f t="shared" si="70"/>
        <v>0</v>
      </c>
      <c r="AA231" s="475">
        <v>0</v>
      </c>
      <c r="AB231" s="476">
        <v>0</v>
      </c>
      <c r="AC231" s="38">
        <f t="shared" si="71"/>
        <v>0</v>
      </c>
      <c r="AD231" s="692">
        <f t="shared" si="60"/>
        <v>-2411.4000000000015</v>
      </c>
      <c r="AE231" s="692">
        <f t="shared" si="61"/>
        <v>0</v>
      </c>
      <c r="AF231" s="692">
        <f t="shared" si="62"/>
        <v>0</v>
      </c>
      <c r="AG231" s="38"/>
      <c r="AH231" s="692">
        <f t="shared" si="64"/>
        <v>12000</v>
      </c>
      <c r="AI231" s="692">
        <f t="shared" si="65"/>
        <v>0</v>
      </c>
      <c r="AJ231" s="692">
        <f t="shared" si="66"/>
        <v>0</v>
      </c>
      <c r="AL231" s="38">
        <f t="shared" si="63"/>
        <v>9588.5999999999985</v>
      </c>
      <c r="AM231" s="68" t="s">
        <v>60</v>
      </c>
    </row>
    <row r="232" spans="1:39">
      <c r="A232" s="20"/>
      <c r="B232" s="20" t="s">
        <v>110</v>
      </c>
      <c r="C232" s="667" t="s">
        <v>583</v>
      </c>
      <c r="D232" s="68" t="s">
        <v>169</v>
      </c>
      <c r="E232" s="679"/>
      <c r="F232" s="529">
        <f>VLOOKUP(D232,'Jan14 Revenue'!D:V,19,FALSE)</f>
        <v>0</v>
      </c>
      <c r="G232" s="680"/>
      <c r="H232" s="680"/>
      <c r="I232" s="770">
        <v>4.07</v>
      </c>
      <c r="J232" s="682">
        <f t="shared" si="59"/>
        <v>4.07</v>
      </c>
      <c r="K232" s="683"/>
      <c r="L232" s="684"/>
      <c r="M232" s="753"/>
      <c r="N232" s="683">
        <v>0</v>
      </c>
      <c r="O232" s="686"/>
      <c r="P232" s="683">
        <v>0</v>
      </c>
      <c r="Q232" s="687">
        <f t="shared" si="58"/>
        <v>0</v>
      </c>
      <c r="R232" s="687"/>
      <c r="S232" s="687"/>
      <c r="T232" s="688">
        <v>0</v>
      </c>
      <c r="U232" s="693"/>
      <c r="V232" s="690">
        <f t="shared" si="67"/>
        <v>0</v>
      </c>
      <c r="W232" s="683"/>
      <c r="X232" s="474">
        <f t="shared" si="68"/>
        <v>0</v>
      </c>
      <c r="Y232" s="474">
        <f t="shared" si="69"/>
        <v>0</v>
      </c>
      <c r="Z232" s="475">
        <f t="shared" si="70"/>
        <v>0</v>
      </c>
      <c r="AA232" s="475">
        <v>0</v>
      </c>
      <c r="AB232" s="476">
        <v>0</v>
      </c>
      <c r="AC232" s="38">
        <f t="shared" si="71"/>
        <v>0</v>
      </c>
      <c r="AD232" s="692">
        <f t="shared" si="60"/>
        <v>4.07</v>
      </c>
      <c r="AE232" s="692">
        <f t="shared" si="61"/>
        <v>0</v>
      </c>
      <c r="AF232" s="692">
        <f t="shared" si="62"/>
        <v>0</v>
      </c>
      <c r="AG232" s="38"/>
      <c r="AH232" s="692">
        <f t="shared" si="64"/>
        <v>0</v>
      </c>
      <c r="AI232" s="692">
        <f t="shared" si="65"/>
        <v>0</v>
      </c>
      <c r="AJ232" s="692">
        <f t="shared" si="66"/>
        <v>0</v>
      </c>
      <c r="AL232" s="38">
        <f t="shared" si="63"/>
        <v>4.07</v>
      </c>
      <c r="AM232" s="68" t="s">
        <v>169</v>
      </c>
    </row>
    <row r="233" spans="1:39">
      <c r="A233" s="21"/>
      <c r="B233" s="21" t="s">
        <v>110</v>
      </c>
      <c r="C233" s="666"/>
      <c r="D233" s="821" t="s">
        <v>981</v>
      </c>
      <c r="E233" s="679"/>
      <c r="F233" s="529">
        <f>VLOOKUP(D233,'Jan14 Revenue'!D:V,19,FALSE)</f>
        <v>0</v>
      </c>
      <c r="G233" s="680"/>
      <c r="H233" s="680"/>
      <c r="I233" s="755"/>
      <c r="J233" s="682">
        <f t="shared" si="59"/>
        <v>0</v>
      </c>
      <c r="K233" s="683"/>
      <c r="L233" s="684"/>
      <c r="M233" s="753"/>
      <c r="N233" s="683">
        <v>0</v>
      </c>
      <c r="O233" s="686"/>
      <c r="P233" s="683">
        <v>0</v>
      </c>
      <c r="Q233" s="687">
        <f t="shared" si="58"/>
        <v>0</v>
      </c>
      <c r="R233" s="687"/>
      <c r="S233" s="687"/>
      <c r="T233" s="688">
        <v>0</v>
      </c>
      <c r="U233" s="693"/>
      <c r="V233" s="690">
        <f t="shared" si="67"/>
        <v>0</v>
      </c>
      <c r="W233" s="683"/>
      <c r="X233" s="474">
        <f t="shared" si="68"/>
        <v>0</v>
      </c>
      <c r="Y233" s="474">
        <f t="shared" si="69"/>
        <v>0</v>
      </c>
      <c r="Z233" s="475">
        <f t="shared" si="70"/>
        <v>0</v>
      </c>
      <c r="AA233" s="475">
        <v>0</v>
      </c>
      <c r="AB233" s="476">
        <v>0</v>
      </c>
      <c r="AC233" s="38">
        <f t="shared" si="71"/>
        <v>0</v>
      </c>
      <c r="AD233" s="692">
        <f t="shared" si="60"/>
        <v>0</v>
      </c>
      <c r="AE233" s="692">
        <f t="shared" si="61"/>
        <v>0</v>
      </c>
      <c r="AF233" s="692">
        <f t="shared" si="62"/>
        <v>0</v>
      </c>
      <c r="AG233" s="38"/>
      <c r="AH233" s="692">
        <f t="shared" si="64"/>
        <v>0</v>
      </c>
      <c r="AI233" s="692">
        <f t="shared" si="65"/>
        <v>0</v>
      </c>
      <c r="AJ233" s="692">
        <f t="shared" si="66"/>
        <v>0</v>
      </c>
      <c r="AL233" s="38">
        <f t="shared" si="63"/>
        <v>0</v>
      </c>
      <c r="AM233" s="821" t="s">
        <v>981</v>
      </c>
    </row>
    <row r="234" spans="1:39">
      <c r="A234" s="21"/>
      <c r="B234" s="21" t="s">
        <v>114</v>
      </c>
      <c r="C234" s="666"/>
      <c r="D234" s="68" t="s">
        <v>591</v>
      </c>
      <c r="E234" s="679"/>
      <c r="F234" s="529">
        <f>VLOOKUP(D234,'Jan14 Revenue'!D:V,19,FALSE)</f>
        <v>3376.18</v>
      </c>
      <c r="G234" s="680"/>
      <c r="H234" s="680"/>
      <c r="I234" s="755"/>
      <c r="J234" s="682">
        <f t="shared" si="59"/>
        <v>3376.18</v>
      </c>
      <c r="K234" s="683"/>
      <c r="L234" s="684"/>
      <c r="M234" s="753"/>
      <c r="N234" s="683">
        <v>0</v>
      </c>
      <c r="O234" s="686"/>
      <c r="P234" s="683">
        <v>0</v>
      </c>
      <c r="Q234" s="687">
        <f t="shared" si="58"/>
        <v>0</v>
      </c>
      <c r="R234" s="687"/>
      <c r="S234" s="687"/>
      <c r="T234" s="688">
        <f>2113.96+568.79+387.15</f>
        <v>3069.9</v>
      </c>
      <c r="U234" s="693"/>
      <c r="V234" s="690">
        <f t="shared" si="67"/>
        <v>3069.9</v>
      </c>
      <c r="W234" s="683"/>
      <c r="X234" s="474">
        <f t="shared" si="68"/>
        <v>0</v>
      </c>
      <c r="Y234" s="474">
        <f t="shared" si="69"/>
        <v>0</v>
      </c>
      <c r="Z234" s="475">
        <f t="shared" si="70"/>
        <v>0</v>
      </c>
      <c r="AA234" s="475">
        <v>0</v>
      </c>
      <c r="AB234" s="476">
        <v>0</v>
      </c>
      <c r="AC234" s="38">
        <f t="shared" si="71"/>
        <v>0</v>
      </c>
      <c r="AD234" s="692">
        <f t="shared" si="60"/>
        <v>0</v>
      </c>
      <c r="AE234" s="692">
        <f t="shared" si="61"/>
        <v>0</v>
      </c>
      <c r="AF234" s="692">
        <f t="shared" si="62"/>
        <v>3376.18</v>
      </c>
      <c r="AG234" s="38"/>
      <c r="AH234" s="692">
        <f t="shared" si="64"/>
        <v>0</v>
      </c>
      <c r="AI234" s="692">
        <f t="shared" si="65"/>
        <v>0</v>
      </c>
      <c r="AJ234" s="692">
        <f t="shared" si="66"/>
        <v>0</v>
      </c>
      <c r="AL234" s="38">
        <f t="shared" si="63"/>
        <v>3376.18</v>
      </c>
      <c r="AM234" s="68" t="s">
        <v>591</v>
      </c>
    </row>
    <row r="235" spans="1:39">
      <c r="A235" s="21"/>
      <c r="B235" s="21" t="s">
        <v>114</v>
      </c>
      <c r="C235" s="672"/>
      <c r="D235" s="519" t="s">
        <v>433</v>
      </c>
      <c r="E235" s="679"/>
      <c r="F235" s="529">
        <f>VLOOKUP(D235,'Jan14 Revenue'!D:V,19,FALSE)</f>
        <v>0</v>
      </c>
      <c r="G235" s="680"/>
      <c r="H235" s="680"/>
      <c r="I235" s="755"/>
      <c r="J235" s="682">
        <f t="shared" si="59"/>
        <v>0</v>
      </c>
      <c r="K235" s="683"/>
      <c r="L235" s="684"/>
      <c r="M235" s="753"/>
      <c r="N235" s="683">
        <v>0</v>
      </c>
      <c r="O235" s="686"/>
      <c r="P235" s="683">
        <v>0</v>
      </c>
      <c r="Q235" s="687">
        <f t="shared" si="58"/>
        <v>0</v>
      </c>
      <c r="R235" s="687"/>
      <c r="S235" s="687"/>
      <c r="T235" s="688">
        <v>0</v>
      </c>
      <c r="U235" s="693"/>
      <c r="V235" s="690">
        <f t="shared" si="67"/>
        <v>0</v>
      </c>
      <c r="W235" s="683"/>
      <c r="X235" s="474">
        <f t="shared" si="68"/>
        <v>0</v>
      </c>
      <c r="Y235" s="474">
        <f t="shared" si="69"/>
        <v>0</v>
      </c>
      <c r="Z235" s="475">
        <f t="shared" si="70"/>
        <v>0</v>
      </c>
      <c r="AA235" s="475">
        <v>0</v>
      </c>
      <c r="AB235" s="476">
        <v>0</v>
      </c>
      <c r="AC235" s="38">
        <f t="shared" si="71"/>
        <v>0</v>
      </c>
      <c r="AD235" s="692">
        <f t="shared" si="60"/>
        <v>0</v>
      </c>
      <c r="AE235" s="692">
        <f t="shared" si="61"/>
        <v>0</v>
      </c>
      <c r="AF235" s="692">
        <f t="shared" si="62"/>
        <v>0</v>
      </c>
      <c r="AG235" s="38"/>
      <c r="AH235" s="692">
        <f t="shared" si="64"/>
        <v>0</v>
      </c>
      <c r="AI235" s="692">
        <f t="shared" si="65"/>
        <v>0</v>
      </c>
      <c r="AJ235" s="692">
        <f t="shared" si="66"/>
        <v>0</v>
      </c>
      <c r="AL235" s="38">
        <f t="shared" si="63"/>
        <v>0</v>
      </c>
      <c r="AM235" s="519" t="s">
        <v>433</v>
      </c>
    </row>
    <row r="236" spans="1:39" s="146" customFormat="1" ht="13" thickBot="1">
      <c r="A236" s="21"/>
      <c r="B236" s="21" t="s">
        <v>110</v>
      </c>
      <c r="C236" s="666"/>
      <c r="D236" s="68" t="s">
        <v>1020</v>
      </c>
      <c r="E236" s="679"/>
      <c r="F236" s="529">
        <f>VLOOKUP(D236,'Jan14 Revenue'!D:V,19,FALSE)</f>
        <v>0</v>
      </c>
      <c r="G236" s="680"/>
      <c r="H236" s="680"/>
      <c r="I236" s="755"/>
      <c r="J236" s="682">
        <f t="shared" si="59"/>
        <v>0</v>
      </c>
      <c r="K236" s="683"/>
      <c r="L236" s="684"/>
      <c r="M236" s="753"/>
      <c r="N236" s="683">
        <v>0</v>
      </c>
      <c r="O236" s="686"/>
      <c r="P236" s="683">
        <v>0</v>
      </c>
      <c r="Q236" s="687">
        <f t="shared" si="58"/>
        <v>0</v>
      </c>
      <c r="R236" s="687"/>
      <c r="S236" s="687"/>
      <c r="T236" s="688">
        <v>0</v>
      </c>
      <c r="U236" s="693"/>
      <c r="V236" s="690">
        <f t="shared" si="67"/>
        <v>0</v>
      </c>
      <c r="W236" s="683"/>
      <c r="X236" s="474">
        <f t="shared" si="68"/>
        <v>0</v>
      </c>
      <c r="Y236" s="474">
        <f t="shared" si="69"/>
        <v>0</v>
      </c>
      <c r="Z236" s="475">
        <f t="shared" si="70"/>
        <v>0</v>
      </c>
      <c r="AA236" s="475">
        <v>0</v>
      </c>
      <c r="AB236" s="476">
        <v>0</v>
      </c>
      <c r="AC236" s="38">
        <f t="shared" si="71"/>
        <v>0</v>
      </c>
      <c r="AD236" s="692">
        <f t="shared" si="60"/>
        <v>0</v>
      </c>
      <c r="AE236" s="692">
        <f t="shared" si="61"/>
        <v>0</v>
      </c>
      <c r="AF236" s="692">
        <f t="shared" si="62"/>
        <v>0</v>
      </c>
      <c r="AG236" s="38"/>
      <c r="AH236" s="692">
        <f t="shared" si="64"/>
        <v>0</v>
      </c>
      <c r="AI236" s="692">
        <f t="shared" si="65"/>
        <v>0</v>
      </c>
      <c r="AJ236" s="692">
        <f t="shared" si="66"/>
        <v>0</v>
      </c>
      <c r="AL236" s="38">
        <f t="shared" si="63"/>
        <v>0</v>
      </c>
      <c r="AM236" s="68" t="s">
        <v>593</v>
      </c>
    </row>
    <row r="237" spans="1:39" ht="13" thickBot="1">
      <c r="A237" s="107"/>
      <c r="B237" s="108"/>
      <c r="C237" s="673"/>
      <c r="D237" s="71" t="s">
        <v>86</v>
      </c>
      <c r="E237" s="454">
        <f t="shared" ref="E237:J237" si="72">SUM(E16:E236)</f>
        <v>412098.29</v>
      </c>
      <c r="F237" s="454">
        <f t="shared" si="72"/>
        <v>-938652.81</v>
      </c>
      <c r="G237" s="454">
        <f t="shared" si="72"/>
        <v>0</v>
      </c>
      <c r="H237" s="454">
        <f t="shared" si="72"/>
        <v>0</v>
      </c>
      <c r="I237" s="454">
        <f t="shared" si="72"/>
        <v>10056276.584635999</v>
      </c>
      <c r="J237" s="454">
        <f t="shared" si="72"/>
        <v>9529722.0646359995</v>
      </c>
      <c r="K237" s="454"/>
      <c r="L237" s="454">
        <f>SUM(L16:L236)</f>
        <v>561500</v>
      </c>
      <c r="M237" s="454">
        <f>SUM(M16:M236)</f>
        <v>10069200</v>
      </c>
      <c r="N237" s="454">
        <f>SUM(N16:N236)</f>
        <v>0</v>
      </c>
      <c r="O237" s="100">
        <f>SUM(O16:O236)</f>
        <v>0</v>
      </c>
      <c r="P237" s="157">
        <f>SUM(P17:P236)</f>
        <v>0</v>
      </c>
      <c r="Q237" s="100">
        <f>SUM(Q16:Q236)</f>
        <v>10630700</v>
      </c>
      <c r="R237" s="100"/>
      <c r="S237" s="100"/>
      <c r="T237" s="100">
        <f>SUM(T16:T236)</f>
        <v>9128447.1400000006</v>
      </c>
      <c r="U237" s="708"/>
      <c r="V237" s="100">
        <f>SUM(V16:V236)</f>
        <v>-1502252.8600000003</v>
      </c>
      <c r="W237" s="683"/>
      <c r="X237" s="314">
        <f>SUM(X16:X236)</f>
        <v>9697900</v>
      </c>
      <c r="Y237" s="314">
        <f>SUM(Y16:Y236)</f>
        <v>760000</v>
      </c>
      <c r="Z237" s="314">
        <f>SUM(Z16:Z236)</f>
        <v>172800</v>
      </c>
      <c r="AA237" s="314">
        <f>SUM(AA16:AA236)</f>
        <v>0</v>
      </c>
      <c r="AB237" s="314">
        <f>SUM(AB16:AB236)</f>
        <v>0</v>
      </c>
      <c r="AC237" s="38"/>
      <c r="AD237" s="314">
        <f>SUM(AD16:AD236)</f>
        <v>9048115.7146359999</v>
      </c>
      <c r="AE237" s="314">
        <f>SUM(AE16:AE236)</f>
        <v>440804.07000000007</v>
      </c>
      <c r="AF237" s="314">
        <f>SUM(AF16:AF236)</f>
        <v>40802.279999999992</v>
      </c>
      <c r="AG237" s="38"/>
      <c r="AH237" s="314">
        <f>SUM(AH16:AH236)</f>
        <v>9697900</v>
      </c>
      <c r="AI237" s="314">
        <f>SUM(AI16:AI236)</f>
        <v>760000</v>
      </c>
      <c r="AJ237" s="314">
        <f>SUM(AJ16:AJ236)</f>
        <v>172800</v>
      </c>
    </row>
    <row r="238" spans="1:39" ht="13" thickBot="1">
      <c r="A238" s="65"/>
      <c r="B238" s="65"/>
      <c r="C238" s="674"/>
      <c r="D238" s="141"/>
      <c r="E238" s="709" t="s">
        <v>293</v>
      </c>
      <c r="F238" s="160">
        <f>F237+E237</f>
        <v>-526554.52</v>
      </c>
      <c r="G238" s="153"/>
      <c r="H238" s="153" t="s">
        <v>225</v>
      </c>
      <c r="I238" s="153">
        <f>I237+H237+G237</f>
        <v>10056276.584635999</v>
      </c>
      <c r="J238" s="323"/>
      <c r="K238" s="153"/>
      <c r="L238" s="153" t="s">
        <v>296</v>
      </c>
      <c r="M238" s="100">
        <f>M237+L237</f>
        <v>10630700</v>
      </c>
      <c r="N238" s="153"/>
      <c r="O238" s="641"/>
      <c r="P238" s="153"/>
      <c r="Q238" s="153"/>
      <c r="R238" s="153"/>
      <c r="S238" s="153"/>
      <c r="T238" s="153"/>
      <c r="U238" s="153"/>
      <c r="V238" s="153"/>
      <c r="W238" s="153"/>
      <c r="X238" s="139"/>
      <c r="Y238" s="139"/>
      <c r="Z238" s="139"/>
      <c r="AA238" s="139"/>
      <c r="AB238" s="104"/>
      <c r="AC238" s="38"/>
      <c r="AD238" s="711"/>
      <c r="AE238" s="711"/>
      <c r="AF238" s="711"/>
      <c r="AG238" s="38"/>
      <c r="AH238" s="38"/>
      <c r="AI238" s="38"/>
      <c r="AJ238" s="38"/>
    </row>
    <row r="239" spans="1:39" ht="13" thickBot="1">
      <c r="A239" s="65"/>
      <c r="B239" s="65"/>
      <c r="C239" s="674"/>
      <c r="E239" s="159"/>
      <c r="F239" s="153"/>
      <c r="G239" s="153"/>
      <c r="H239" s="153"/>
      <c r="I239" s="153"/>
      <c r="J239" s="153"/>
      <c r="K239" s="153"/>
      <c r="L239" s="153"/>
      <c r="M239" s="710"/>
      <c r="N239" s="153"/>
      <c r="O239" s="153"/>
      <c r="P239" s="153"/>
      <c r="Q239" s="153"/>
      <c r="R239" s="153"/>
      <c r="S239" s="153"/>
      <c r="T239" s="153"/>
      <c r="U239" s="153"/>
      <c r="V239" s="153"/>
      <c r="W239" s="153"/>
      <c r="X239" s="331" t="s">
        <v>345</v>
      </c>
      <c r="Y239" s="139"/>
      <c r="Z239" s="139"/>
      <c r="AA239" s="139"/>
      <c r="AB239" s="104"/>
      <c r="AC239" s="164" t="s">
        <v>633</v>
      </c>
      <c r="AD239" s="798"/>
      <c r="AE239" s="798"/>
      <c r="AF239" s="798"/>
      <c r="AG239" s="38"/>
      <c r="AH239" s="711"/>
      <c r="AI239" s="711"/>
      <c r="AJ239" s="711"/>
    </row>
    <row r="240" spans="1:39" ht="17" thickTop="1" thickBot="1">
      <c r="E240" s="712"/>
      <c r="F240" s="713"/>
      <c r="G240" s="714"/>
      <c r="H240" s="715"/>
      <c r="I240" s="715"/>
      <c r="J240" s="164"/>
      <c r="K240" s="169"/>
      <c r="L240" s="233"/>
      <c r="M240" s="233"/>
      <c r="N240" s="38"/>
      <c r="O240" s="642"/>
      <c r="P240" s="139"/>
      <c r="Q240" s="139"/>
      <c r="R240" s="139"/>
      <c r="S240" s="139"/>
      <c r="T240" s="33"/>
      <c r="U240" s="33"/>
      <c r="V240" s="33"/>
      <c r="W240" s="169"/>
      <c r="X240" s="332"/>
      <c r="Y240" s="333"/>
      <c r="Z240" s="491"/>
      <c r="AA240" s="491"/>
      <c r="AB240" s="334"/>
      <c r="AC240" s="164" t="s">
        <v>634</v>
      </c>
      <c r="AD240" s="798"/>
      <c r="AE240" s="798"/>
      <c r="AF240" s="802"/>
      <c r="AG240" s="38"/>
      <c r="AH240" s="38"/>
      <c r="AI240" s="38"/>
      <c r="AJ240" s="38"/>
    </row>
    <row r="241" spans="4:38" ht="17" thickBot="1">
      <c r="E241" s="712"/>
      <c r="F241" s="713"/>
      <c r="G241" s="714"/>
      <c r="H241" s="715"/>
      <c r="J241" s="79">
        <f>J237</f>
        <v>9529722.0646359995</v>
      </c>
      <c r="K241" s="715" t="s">
        <v>1062</v>
      </c>
      <c r="L241" s="169"/>
      <c r="M241" s="493"/>
      <c r="N241" s="38"/>
      <c r="O241" s="80"/>
      <c r="P241" s="104"/>
      <c r="Q241" s="139"/>
      <c r="R241" s="139"/>
      <c r="S241" s="139"/>
      <c r="T241" s="33"/>
      <c r="U241" s="33"/>
      <c r="V241" s="33"/>
      <c r="W241" s="169"/>
      <c r="X241" s="487"/>
      <c r="Y241" s="488"/>
      <c r="Z241" s="492" t="s">
        <v>399</v>
      </c>
      <c r="AA241" s="492" t="s">
        <v>400</v>
      </c>
      <c r="AB241" s="488"/>
      <c r="AC241" s="717" t="s">
        <v>475</v>
      </c>
      <c r="AD241" s="718">
        <f>SUM(AD237:AD240)</f>
        <v>9048115.7146359999</v>
      </c>
      <c r="AE241" s="718">
        <f>AE237</f>
        <v>440804.07000000007</v>
      </c>
      <c r="AF241" s="718">
        <f>SUM(AF237:AF240)</f>
        <v>40802.279999999992</v>
      </c>
      <c r="AG241" s="718"/>
      <c r="AH241" s="718">
        <f>AH237</f>
        <v>9697900</v>
      </c>
      <c r="AI241" s="718">
        <f>AI237</f>
        <v>760000</v>
      </c>
      <c r="AJ241" s="719">
        <f>AJ237</f>
        <v>172800</v>
      </c>
      <c r="AL241" s="38">
        <f>SUM(AL17:AL240)</f>
        <v>20160422.064636007</v>
      </c>
    </row>
    <row r="242" spans="4:38" ht="15" thickBot="1">
      <c r="D242" s="143"/>
      <c r="E242" s="759"/>
      <c r="F242" s="713"/>
      <c r="G242" s="714"/>
      <c r="H242" s="720"/>
      <c r="J242" s="750" t="e">
        <f>SUM('June GL'!#REF!)</f>
        <v>#REF!</v>
      </c>
      <c r="K242" s="757" t="s">
        <v>251</v>
      </c>
      <c r="L242" s="722"/>
      <c r="M242" s="642"/>
      <c r="N242" s="33"/>
      <c r="O242" s="80"/>
      <c r="P242" s="104"/>
      <c r="Q242" s="139"/>
      <c r="R242" s="139"/>
      <c r="S242" s="139"/>
      <c r="T242" s="33"/>
      <c r="U242" s="33"/>
      <c r="V242" s="33"/>
      <c r="W242" s="169"/>
      <c r="X242" s="158" t="s">
        <v>609</v>
      </c>
      <c r="Y242" s="104" t="s">
        <v>352</v>
      </c>
      <c r="Z242" s="104">
        <f>X237+Y237+Z237</f>
        <v>10630700</v>
      </c>
      <c r="AA242" s="104"/>
      <c r="AB242" s="136"/>
      <c r="AC242" s="723"/>
      <c r="AD242" s="38"/>
      <c r="AE242" s="38"/>
      <c r="AF242" s="38"/>
      <c r="AG242" s="38"/>
      <c r="AH242" s="38"/>
      <c r="AI242" s="38"/>
      <c r="AJ242" s="38"/>
    </row>
    <row r="243" spans="4:38" ht="15" thickTop="1">
      <c r="D243" s="143"/>
      <c r="E243" s="712"/>
      <c r="F243" s="713"/>
      <c r="G243" s="714"/>
      <c r="H243" s="714" t="s">
        <v>249</v>
      </c>
      <c r="I243" s="35"/>
      <c r="J243" s="824" t="e">
        <f>J242+J241</f>
        <v>#REF!</v>
      </c>
      <c r="K243" s="714" t="s">
        <v>454</v>
      </c>
      <c r="L243" s="722"/>
      <c r="M243" s="80"/>
      <c r="N243" s="104"/>
      <c r="O243" s="824"/>
      <c r="P243" s="104"/>
      <c r="Q243" s="826"/>
      <c r="R243" s="139"/>
      <c r="S243" s="139"/>
      <c r="T243" s="139"/>
      <c r="U243" s="139"/>
      <c r="V243" s="139"/>
      <c r="W243" s="169"/>
      <c r="X243" s="158"/>
      <c r="Y243" s="104"/>
      <c r="Z243" s="104"/>
      <c r="AA243" s="104"/>
      <c r="AB243" s="136"/>
      <c r="AC243" s="723"/>
      <c r="AD243" s="38"/>
      <c r="AE243" s="38"/>
      <c r="AF243" s="38" t="s">
        <v>86</v>
      </c>
      <c r="AG243" s="38"/>
      <c r="AH243" s="233">
        <f>SUM(AD241+AH241)</f>
        <v>18746015.714635998</v>
      </c>
      <c r="AI243" s="233">
        <f t="shared" ref="AI243:AJ243" si="73">SUM(AE241+AI241)</f>
        <v>1200804.07</v>
      </c>
      <c r="AJ243" s="233">
        <f t="shared" si="73"/>
        <v>213602.28</v>
      </c>
    </row>
    <row r="244" spans="4:38" ht="14">
      <c r="D244" s="143"/>
      <c r="E244" s="712"/>
      <c r="F244" s="713"/>
      <c r="G244" s="714"/>
      <c r="H244" s="714"/>
      <c r="J244" s="80"/>
      <c r="K244" s="714"/>
      <c r="L244" s="722"/>
      <c r="M244" s="104"/>
      <c r="N244" s="38"/>
      <c r="O244" s="139"/>
      <c r="P244" s="104"/>
      <c r="Q244" s="139"/>
      <c r="R244" s="139"/>
      <c r="S244" s="139"/>
      <c r="T244" s="139"/>
      <c r="U244" s="139"/>
      <c r="V244" s="139"/>
      <c r="W244" s="169"/>
      <c r="X244" s="158" t="s">
        <v>600</v>
      </c>
      <c r="Y244" s="104" t="s">
        <v>355</v>
      </c>
      <c r="Z244" s="104"/>
      <c r="AA244" s="104">
        <f>X237</f>
        <v>9697900</v>
      </c>
      <c r="AB244" s="136"/>
      <c r="AC244" s="38"/>
      <c r="AD244" s="797" t="s">
        <v>882</v>
      </c>
      <c r="AE244" s="38"/>
      <c r="AF244" s="38"/>
      <c r="AG244" s="38"/>
      <c r="AH244" s="233"/>
      <c r="AI244" s="233"/>
      <c r="AJ244" s="233"/>
    </row>
    <row r="245" spans="4:38" ht="15" thickBot="1">
      <c r="D245" s="143" t="s">
        <v>823</v>
      </c>
      <c r="E245" s="712"/>
      <c r="F245" s="713"/>
      <c r="G245" s="714"/>
      <c r="H245" s="714"/>
      <c r="J245" s="661">
        <f>M238</f>
        <v>10630700</v>
      </c>
      <c r="K245" s="714" t="s">
        <v>1063</v>
      </c>
      <c r="L245" s="645"/>
      <c r="M245" s="173"/>
      <c r="N245" s="38"/>
      <c r="O245" s="139"/>
      <c r="P245" s="104"/>
      <c r="Q245" s="139"/>
      <c r="R245" s="139"/>
      <c r="S245" s="139"/>
      <c r="T245" s="726"/>
      <c r="U245" s="139"/>
      <c r="V245" s="727"/>
      <c r="W245" s="169"/>
      <c r="X245" s="158"/>
      <c r="Y245" s="104" t="s">
        <v>356</v>
      </c>
      <c r="Z245" s="104"/>
      <c r="AA245" s="104">
        <f>AA237</f>
        <v>0</v>
      </c>
      <c r="AB245" s="136"/>
      <c r="AC245" s="38"/>
      <c r="AD245" s="38"/>
      <c r="AE245" s="38"/>
      <c r="AF245" s="38"/>
      <c r="AG245" s="38"/>
      <c r="AH245" s="799" t="s">
        <v>897</v>
      </c>
      <c r="AI245" s="801">
        <f>SUM(AH243:AJ243)</f>
        <v>20160422.064636</v>
      </c>
      <c r="AJ245" s="800"/>
    </row>
    <row r="246" spans="4:38" ht="16" thickTop="1" thickBot="1">
      <c r="D246" s="143"/>
      <c r="E246" s="712"/>
      <c r="F246" s="713"/>
      <c r="G246" s="714"/>
      <c r="H246" s="714"/>
      <c r="J246" s="824" t="e">
        <f>SUM(J243:J245)</f>
        <v>#REF!</v>
      </c>
      <c r="K246" s="714"/>
      <c r="L246" s="722"/>
      <c r="M246" s="173"/>
      <c r="N246" s="38"/>
      <c r="O246" s="33"/>
      <c r="P246" s="38"/>
      <c r="Q246" s="139"/>
      <c r="R246" s="139"/>
      <c r="S246" s="139"/>
      <c r="T246" s="139"/>
      <c r="U246" s="139"/>
      <c r="V246" s="139"/>
      <c r="W246" s="169"/>
      <c r="X246" s="158"/>
      <c r="Y246" s="104"/>
      <c r="Z246" s="104"/>
      <c r="AA246" s="104"/>
      <c r="AB246" s="136"/>
      <c r="AC246" s="38"/>
      <c r="AD246" s="38"/>
      <c r="AE246" s="38"/>
      <c r="AF246" s="38"/>
      <c r="AG246" s="38"/>
    </row>
    <row r="247" spans="4:38" ht="15" thickBot="1">
      <c r="E247" s="712"/>
      <c r="F247" s="713"/>
      <c r="G247" s="714"/>
      <c r="H247" s="714"/>
      <c r="J247" s="754">
        <f>J241+J245</f>
        <v>20160422.064636</v>
      </c>
      <c r="K247" s="714" t="s">
        <v>1064</v>
      </c>
      <c r="L247" s="722"/>
      <c r="M247" s="173"/>
      <c r="N247" s="38"/>
      <c r="O247" s="33"/>
      <c r="P247" s="38"/>
      <c r="Q247" s="139"/>
      <c r="R247" s="139"/>
      <c r="S247" s="139"/>
      <c r="T247" s="139"/>
      <c r="U247" s="139"/>
      <c r="V247" s="139"/>
      <c r="W247" s="169"/>
      <c r="X247" s="158" t="s">
        <v>601</v>
      </c>
      <c r="Y247" s="104" t="s">
        <v>357</v>
      </c>
      <c r="Z247" s="104"/>
      <c r="AA247" s="104">
        <f>Y237</f>
        <v>760000</v>
      </c>
      <c r="AB247" s="136"/>
      <c r="AC247" s="38"/>
      <c r="AD247" s="38"/>
      <c r="AE247" s="38"/>
      <c r="AF247" s="38"/>
      <c r="AG247" s="38"/>
      <c r="AH247" s="796" t="s">
        <v>857</v>
      </c>
      <c r="AI247" s="38">
        <f>AI245-AJ243</f>
        <v>19946819.784635998</v>
      </c>
      <c r="AJ247" s="38"/>
    </row>
    <row r="248" spans="4:38">
      <c r="D248" s="161"/>
      <c r="E248" s="712"/>
      <c r="F248" s="713"/>
      <c r="G248" s="714"/>
      <c r="H248" s="714"/>
      <c r="J248" s="637"/>
      <c r="K248" s="714"/>
      <c r="L248" s="173"/>
      <c r="M248" s="731"/>
      <c r="N248" s="38"/>
      <c r="O248" s="33"/>
      <c r="P248" s="38"/>
      <c r="Q248" s="139"/>
      <c r="R248" s="139"/>
      <c r="S248" s="139"/>
      <c r="T248" s="139"/>
      <c r="U248" s="139"/>
      <c r="V248" s="139"/>
      <c r="W248" s="169"/>
      <c r="X248" s="415"/>
      <c r="Y248" s="104" t="s">
        <v>358</v>
      </c>
      <c r="Z248" s="104"/>
      <c r="AA248" s="104">
        <f>AB237</f>
        <v>0</v>
      </c>
      <c r="AB248" s="136"/>
      <c r="AC248" s="38"/>
      <c r="AD248" s="38"/>
      <c r="AE248" s="38"/>
      <c r="AF248" s="38"/>
      <c r="AG248" s="38"/>
      <c r="AH248" s="38"/>
      <c r="AI248" s="38"/>
      <c r="AJ248" s="38"/>
    </row>
    <row r="249" spans="4:38">
      <c r="E249" s="712"/>
      <c r="F249" s="713"/>
      <c r="G249" s="714"/>
      <c r="H249" s="714"/>
      <c r="J249" s="658">
        <f>SUM(AD241:AJ241)</f>
        <v>20160422.064636</v>
      </c>
      <c r="K249" s="714" t="s">
        <v>518</v>
      </c>
      <c r="L249" s="732"/>
      <c r="M249" s="637"/>
      <c r="N249" s="38"/>
      <c r="O249" s="33"/>
      <c r="P249" s="38"/>
      <c r="Q249" s="139"/>
      <c r="R249" s="139"/>
      <c r="S249" s="139"/>
      <c r="T249" s="139"/>
      <c r="U249" s="139"/>
      <c r="V249" s="139"/>
      <c r="W249" s="169"/>
      <c r="X249" s="415"/>
      <c r="Y249" s="104"/>
      <c r="Z249" s="104"/>
      <c r="AA249" s="104"/>
      <c r="AB249" s="136"/>
      <c r="AC249" s="38"/>
      <c r="AD249" s="38"/>
      <c r="AE249" s="38"/>
      <c r="AF249" s="38"/>
      <c r="AG249" s="38"/>
      <c r="AH249" s="38"/>
      <c r="AI249" s="38"/>
      <c r="AJ249" s="38"/>
    </row>
    <row r="250" spans="4:38" ht="13" thickBot="1">
      <c r="E250" s="712"/>
      <c r="F250" s="713"/>
      <c r="G250" s="714"/>
      <c r="H250" s="714"/>
      <c r="J250" s="169"/>
      <c r="K250" s="714" t="s">
        <v>454</v>
      </c>
      <c r="L250" s="733"/>
      <c r="M250" s="795"/>
      <c r="N250" s="38"/>
      <c r="O250" s="33"/>
      <c r="P250" s="38"/>
      <c r="Q250" s="139"/>
      <c r="R250" s="139"/>
      <c r="S250" s="139"/>
      <c r="T250" s="139"/>
      <c r="U250" s="139"/>
      <c r="V250" s="139"/>
      <c r="W250" s="169"/>
      <c r="X250" s="158" t="s">
        <v>602</v>
      </c>
      <c r="Y250" s="488" t="s">
        <v>359</v>
      </c>
      <c r="Z250" s="488"/>
      <c r="AA250" s="488">
        <f>Z237</f>
        <v>172800</v>
      </c>
      <c r="AB250" s="414"/>
      <c r="AC250" s="38"/>
      <c r="AD250" s="38"/>
      <c r="AE250" s="38"/>
      <c r="AF250" s="38"/>
      <c r="AG250" s="38"/>
      <c r="AH250" s="38"/>
      <c r="AI250" s="38"/>
      <c r="AJ250" s="38"/>
    </row>
    <row r="251" spans="4:38" ht="15" thickBot="1">
      <c r="E251" s="712"/>
      <c r="F251" s="713"/>
      <c r="G251" s="714"/>
      <c r="H251" s="714"/>
      <c r="J251" s="736"/>
      <c r="K251" s="714" t="s">
        <v>519</v>
      </c>
      <c r="L251" s="169"/>
      <c r="M251" s="169"/>
      <c r="N251" s="38"/>
      <c r="O251" s="33"/>
      <c r="P251" s="38"/>
      <c r="Q251" s="33"/>
      <c r="R251" s="33"/>
      <c r="S251" s="33"/>
      <c r="T251" s="33"/>
      <c r="U251" s="33"/>
      <c r="V251" s="33"/>
      <c r="W251" s="169"/>
      <c r="X251" s="416"/>
      <c r="Y251" s="104"/>
      <c r="Z251" s="80">
        <f>SUM(Z242:Z250)</f>
        <v>10630700</v>
      </c>
      <c r="AA251" s="80">
        <f>SUM(AA242:AA250)</f>
        <v>10630700</v>
      </c>
      <c r="AB251" s="136"/>
      <c r="AC251" s="38"/>
      <c r="AD251" s="38"/>
      <c r="AE251" s="38"/>
      <c r="AF251" s="38"/>
      <c r="AG251" s="38"/>
      <c r="AH251" s="38"/>
      <c r="AI251" s="822">
        <f>SUM(AI243/AI247)</f>
        <v>6.0200276683951254E-2</v>
      </c>
      <c r="AJ251" s="38"/>
    </row>
    <row r="252" spans="4:38">
      <c r="E252" s="712"/>
      <c r="F252" s="713"/>
      <c r="G252" s="714"/>
      <c r="H252" s="714"/>
      <c r="I252" s="714"/>
      <c r="J252" s="169"/>
      <c r="K252" s="169"/>
      <c r="L252" s="169"/>
      <c r="M252" s="169"/>
      <c r="N252" s="38"/>
      <c r="O252" s="33"/>
      <c r="P252" s="38"/>
      <c r="Q252" s="33"/>
      <c r="R252" s="33"/>
      <c r="S252" s="33"/>
      <c r="T252" s="33"/>
      <c r="U252" s="33"/>
      <c r="V252" s="33"/>
      <c r="W252" s="169"/>
      <c r="X252" s="416"/>
      <c r="Y252" s="104"/>
      <c r="Z252" s="104"/>
      <c r="AA252" s="104"/>
      <c r="AB252" s="136"/>
      <c r="AC252" s="38"/>
      <c r="AD252" s="38"/>
      <c r="AE252" s="38"/>
      <c r="AF252" s="38"/>
      <c r="AG252" s="38"/>
      <c r="AH252" s="38"/>
      <c r="AI252" s="38"/>
      <c r="AJ252" s="38"/>
    </row>
    <row r="253" spans="4:38" ht="13" thickBot="1">
      <c r="E253" s="712"/>
      <c r="F253" s="713"/>
      <c r="G253" s="714"/>
      <c r="H253" s="714"/>
      <c r="I253" s="714"/>
      <c r="J253" s="169"/>
      <c r="K253" s="169"/>
      <c r="L253" s="169"/>
      <c r="M253" s="169"/>
      <c r="N253" s="38"/>
      <c r="O253" s="33"/>
      <c r="P253" s="38"/>
      <c r="Q253" s="33"/>
      <c r="R253" s="33"/>
      <c r="S253" s="33"/>
      <c r="T253" s="33"/>
      <c r="U253" s="33"/>
      <c r="V253" s="33"/>
      <c r="W253" s="169"/>
      <c r="X253" s="330"/>
      <c r="Y253" s="279"/>
      <c r="Z253" s="279"/>
      <c r="AA253" s="279"/>
      <c r="AB253" s="280"/>
      <c r="AC253" s="38"/>
      <c r="AD253" s="38"/>
      <c r="AE253" s="38"/>
      <c r="AF253" s="38"/>
      <c r="AG253" s="38"/>
      <c r="AH253" s="38"/>
      <c r="AI253" s="38"/>
      <c r="AJ253" s="38"/>
    </row>
    <row r="254" spans="4:38">
      <c r="E254" s="712"/>
      <c r="F254" s="713"/>
      <c r="G254" s="714"/>
      <c r="H254" s="714"/>
      <c r="I254" s="714"/>
      <c r="J254" s="169"/>
      <c r="K254" s="169"/>
      <c r="L254" s="169"/>
      <c r="M254" s="169"/>
      <c r="N254" s="38"/>
      <c r="O254" s="33"/>
      <c r="P254" s="38"/>
      <c r="Q254" s="33"/>
      <c r="R254" s="33"/>
      <c r="S254" s="33"/>
      <c r="T254" s="33"/>
      <c r="U254" s="33"/>
      <c r="V254" s="33"/>
      <c r="W254" s="169"/>
      <c r="X254" s="104"/>
      <c r="Y254" s="104"/>
      <c r="Z254" s="104"/>
      <c r="AA254" s="104"/>
      <c r="AB254" s="104"/>
      <c r="AC254" s="38"/>
      <c r="AD254" s="38"/>
      <c r="AE254" s="38"/>
      <c r="AF254" s="38"/>
      <c r="AG254" s="38"/>
      <c r="AH254" s="38"/>
      <c r="AI254" s="38"/>
      <c r="AJ254" s="38"/>
    </row>
    <row r="255" spans="4:38">
      <c r="E255" s="712"/>
      <c r="F255" s="713"/>
      <c r="G255" s="714"/>
      <c r="H255" s="714"/>
      <c r="I255" s="714"/>
      <c r="J255" s="169"/>
      <c r="K255" s="169"/>
      <c r="L255" s="169"/>
      <c r="M255" s="169"/>
      <c r="N255" s="38"/>
      <c r="O255" s="33"/>
      <c r="P255" s="38"/>
      <c r="Q255" s="33"/>
      <c r="R255" s="33"/>
      <c r="S255" s="33"/>
      <c r="T255" s="33"/>
      <c r="U255" s="33"/>
      <c r="V255" s="33"/>
      <c r="W255" s="169"/>
      <c r="AC255" s="38"/>
      <c r="AD255" s="38"/>
      <c r="AE255" s="38"/>
      <c r="AF255" s="38"/>
      <c r="AG255" s="38"/>
      <c r="AH255" s="38"/>
      <c r="AI255" s="38"/>
      <c r="AJ255" s="38"/>
    </row>
    <row r="256" spans="4:38">
      <c r="E256" s="712"/>
      <c r="F256" s="713"/>
      <c r="G256" s="714"/>
      <c r="H256" s="714"/>
      <c r="I256" s="714"/>
      <c r="J256" s="169"/>
      <c r="K256" s="169"/>
      <c r="L256" s="169"/>
      <c r="M256" s="169"/>
      <c r="N256" s="38"/>
      <c r="O256" s="33"/>
      <c r="P256" s="38"/>
      <c r="Q256" s="33"/>
      <c r="R256" s="33"/>
      <c r="S256" s="33"/>
      <c r="T256" s="33"/>
      <c r="U256" s="33"/>
      <c r="V256" s="33"/>
      <c r="W256" s="169"/>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row r="260" spans="5:36">
      <c r="E260" s="712"/>
      <c r="F260" s="713"/>
      <c r="G260" s="714"/>
      <c r="H260" s="714"/>
      <c r="I260" s="714"/>
      <c r="J260" s="169"/>
      <c r="K260" s="169"/>
      <c r="L260" s="169"/>
      <c r="M260" s="169"/>
      <c r="N260" s="38"/>
      <c r="O260" s="33"/>
      <c r="P260" s="38"/>
      <c r="Q260" s="33"/>
      <c r="R260" s="33"/>
      <c r="S260" s="33"/>
      <c r="T260" s="33"/>
      <c r="U260" s="33"/>
      <c r="V260" s="33"/>
      <c r="W260" s="169"/>
      <c r="AC260" s="38"/>
      <c r="AD260" s="38"/>
      <c r="AE260" s="38"/>
      <c r="AF260" s="38"/>
      <c r="AG260" s="38"/>
      <c r="AH260" s="38"/>
      <c r="AI260" s="38"/>
      <c r="AJ260"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259"/>
  <sheetViews>
    <sheetView topLeftCell="A232" workbookViewId="0">
      <selection activeCell="I176" sqref="I176"/>
    </sheetView>
  </sheetViews>
  <sheetFormatPr baseColWidth="10" defaultColWidth="9.3984375" defaultRowHeight="12" outlineLevelCol="1" x14ac:dyDescent="0"/>
  <cols>
    <col min="1" max="1" width="9.796875" style="18" customWidth="1" outlineLevel="1"/>
    <col min="2" max="2" width="8.3984375" style="18" bestFit="1" customWidth="1" outlineLevel="1"/>
    <col min="3" max="3" width="11.3984375" style="131" bestFit="1" customWidth="1" outlineLevel="1"/>
    <col min="4" max="4" width="32.3984375" style="147" customWidth="1"/>
    <col min="5" max="5" width="17.3984375" style="35" bestFit="1" customWidth="1"/>
    <col min="6" max="6" width="17" style="152" bestFit="1" customWidth="1"/>
    <col min="7" max="8" width="15.3984375" style="17" hidden="1" customWidth="1"/>
    <col min="9" max="9" width="15.3984375" style="17" customWidth="1"/>
    <col min="10" max="10" width="17" style="24" bestFit="1" customWidth="1"/>
    <col min="11" max="11" width="3" style="24" customWidth="1"/>
    <col min="12" max="12" width="15.3984375" style="24" customWidth="1"/>
    <col min="13" max="13" width="16.3984375" style="24" bestFit="1" customWidth="1"/>
    <col min="14" max="14" width="1.796875" style="16" customWidth="1"/>
    <col min="15" max="15" width="13.3984375" style="146" bestFit="1" customWidth="1"/>
    <col min="16" max="16" width="1.796875" style="16" customWidth="1"/>
    <col min="17" max="17" width="15.3984375" style="146" customWidth="1"/>
    <col min="18" max="18" width="15.3984375" style="146" hidden="1" customWidth="1"/>
    <col min="19" max="19" width="12" style="146" hidden="1" customWidth="1"/>
    <col min="20" max="20" width="22.3984375" style="146" bestFit="1" customWidth="1"/>
    <col min="21" max="21" width="1.796875" style="146" customWidth="1"/>
    <col min="22" max="22" width="15.3984375" style="146" customWidth="1"/>
    <col min="23" max="23" width="1.796875" style="24" customWidth="1"/>
    <col min="24" max="28" width="15.3984375" style="38" customWidth="1"/>
    <col min="29" max="29" width="15.3984375" style="16" customWidth="1"/>
    <col min="30" max="31" width="15.3984375" style="559" customWidth="1"/>
    <col min="32" max="32" width="15.796875" style="559" customWidth="1"/>
    <col min="33" max="33" width="2.3984375" style="559" customWidth="1"/>
    <col min="34" max="35" width="16.3984375" style="559" bestFit="1" customWidth="1"/>
    <col min="36" max="36" width="14.19921875" style="559" customWidth="1"/>
    <col min="37" max="37" width="9.3984375" style="16"/>
    <col min="38" max="38" width="14.796875" style="16" bestFit="1" customWidth="1"/>
    <col min="39" max="39" width="38.3984375" style="16" bestFit="1" customWidth="1"/>
    <col min="40" max="16384" width="9.3984375" style="16"/>
  </cols>
  <sheetData>
    <row r="1" spans="1:39">
      <c r="D1" s="147" t="s">
        <v>71</v>
      </c>
      <c r="F1" s="29"/>
      <c r="G1" s="162"/>
      <c r="H1" s="163"/>
      <c r="I1" s="163"/>
      <c r="J1" s="169"/>
      <c r="K1" s="169"/>
      <c r="L1" s="169"/>
      <c r="M1" s="169"/>
      <c r="N1" s="169"/>
      <c r="W1" s="40"/>
    </row>
    <row r="2" spans="1:39">
      <c r="D2" s="147" t="s">
        <v>858</v>
      </c>
      <c r="F2" s="29"/>
      <c r="G2" s="162"/>
      <c r="H2" s="163"/>
      <c r="I2" s="163"/>
      <c r="J2" s="169"/>
      <c r="K2" s="169"/>
      <c r="L2" s="169"/>
      <c r="M2" s="169"/>
      <c r="N2" s="169"/>
      <c r="W2" s="40"/>
    </row>
    <row r="3" spans="1:39">
      <c r="D3" s="147" t="s">
        <v>1042</v>
      </c>
      <c r="F3" s="29"/>
      <c r="G3" s="18"/>
      <c r="H3" s="168"/>
      <c r="I3" s="168"/>
      <c r="J3" s="169"/>
      <c r="K3" s="169"/>
      <c r="L3" s="169"/>
      <c r="M3" s="169"/>
      <c r="N3" s="169"/>
    </row>
    <row r="4" spans="1:39">
      <c r="D4" s="148"/>
      <c r="G4" s="164"/>
      <c r="H4" s="168"/>
      <c r="I4" s="168"/>
      <c r="J4" s="169"/>
      <c r="K4" s="169"/>
      <c r="L4" s="169"/>
      <c r="M4" s="169"/>
      <c r="N4" s="169"/>
    </row>
    <row r="5" spans="1:39" ht="13" thickBot="1">
      <c r="D5" s="148"/>
      <c r="G5" s="161"/>
      <c r="H5" s="630"/>
      <c r="I5" s="630"/>
      <c r="J5" s="169"/>
      <c r="K5" s="169"/>
      <c r="L5" s="169"/>
      <c r="M5" s="169"/>
      <c r="N5" s="169"/>
    </row>
    <row r="6" spans="1:39">
      <c r="B6" s="460"/>
      <c r="C6" s="668"/>
      <c r="D6" s="461" t="s">
        <v>84</v>
      </c>
      <c r="E6" s="462" t="s">
        <v>85</v>
      </c>
      <c r="G6" s="161"/>
      <c r="H6" s="630"/>
      <c r="I6" s="630"/>
      <c r="J6" s="169"/>
      <c r="K6" s="169"/>
      <c r="L6" s="169"/>
      <c r="M6" s="169"/>
      <c r="N6" s="169"/>
      <c r="O6" s="152"/>
      <c r="P6" s="18"/>
      <c r="Q6" s="152"/>
      <c r="R6" s="152"/>
      <c r="S6" s="152"/>
      <c r="T6" s="152"/>
      <c r="U6" s="152"/>
      <c r="V6" s="152"/>
    </row>
    <row r="7" spans="1:39">
      <c r="B7" s="459"/>
      <c r="C7" s="113"/>
      <c r="D7" s="458" t="s">
        <v>75</v>
      </c>
      <c r="E7" s="287" t="s">
        <v>115</v>
      </c>
      <c r="F7" s="29"/>
      <c r="G7" s="161"/>
      <c r="H7" s="630"/>
      <c r="I7" s="630"/>
      <c r="J7" s="172"/>
      <c r="K7" s="41"/>
      <c r="L7" s="37"/>
      <c r="M7" s="37"/>
      <c r="W7" s="41"/>
    </row>
    <row r="8" spans="1:39">
      <c r="B8" s="459"/>
      <c r="C8" s="669"/>
      <c r="D8" s="568" t="s">
        <v>73</v>
      </c>
      <c r="E8" s="572" t="s">
        <v>446</v>
      </c>
      <c r="F8" s="29"/>
      <c r="G8" s="164"/>
      <c r="H8" s="630"/>
      <c r="I8" s="630"/>
      <c r="J8" s="75"/>
      <c r="K8" s="41"/>
      <c r="L8" s="77"/>
      <c r="M8" s="77"/>
      <c r="N8" s="27"/>
      <c r="O8" s="151"/>
      <c r="P8" s="27"/>
      <c r="Q8" s="151"/>
      <c r="R8" s="151"/>
      <c r="S8" s="151"/>
      <c r="T8" s="151"/>
      <c r="U8" s="151"/>
      <c r="V8" s="151"/>
      <c r="W8" s="41"/>
    </row>
    <row r="9" spans="1:39">
      <c r="B9" s="459"/>
      <c r="C9" s="113"/>
      <c r="D9" s="458" t="s">
        <v>76</v>
      </c>
      <c r="E9" s="465" t="s">
        <v>79</v>
      </c>
      <c r="F9" s="29"/>
      <c r="G9" s="161"/>
      <c r="H9" s="134"/>
      <c r="I9" s="134"/>
      <c r="J9" s="78"/>
      <c r="L9" s="79"/>
      <c r="M9" s="79"/>
      <c r="N9" s="27"/>
      <c r="O9" s="151"/>
      <c r="P9" s="27"/>
      <c r="Q9" s="151"/>
      <c r="R9" s="151"/>
      <c r="S9" s="151"/>
      <c r="T9" s="151"/>
      <c r="U9" s="151"/>
      <c r="V9" s="151"/>
    </row>
    <row r="10" spans="1:39">
      <c r="B10" s="459"/>
      <c r="C10" s="113"/>
      <c r="D10" s="458" t="s">
        <v>88</v>
      </c>
      <c r="E10" s="468" t="s">
        <v>89</v>
      </c>
      <c r="F10" s="29"/>
      <c r="J10" s="76"/>
      <c r="L10" s="174"/>
      <c r="M10" s="76"/>
      <c r="N10" s="27"/>
      <c r="O10" s="151"/>
      <c r="P10" s="27"/>
      <c r="Q10" s="151"/>
      <c r="R10" s="151"/>
      <c r="S10" s="151"/>
      <c r="T10" s="151"/>
      <c r="U10" s="151"/>
      <c r="V10" s="151"/>
    </row>
    <row r="11" spans="1:39">
      <c r="B11" s="459"/>
      <c r="C11" s="113"/>
      <c r="D11" s="458" t="s">
        <v>116</v>
      </c>
      <c r="E11" s="99" t="s">
        <v>117</v>
      </c>
      <c r="F11" s="29"/>
      <c r="G11" s="166"/>
      <c r="H11" s="145"/>
      <c r="I11" s="145"/>
      <c r="J11" s="76"/>
      <c r="L11" s="173"/>
      <c r="M11" s="173"/>
      <c r="N11" s="27"/>
      <c r="O11" s="151"/>
      <c r="P11" s="27"/>
      <c r="Q11" s="151"/>
      <c r="R11" s="151"/>
      <c r="S11" s="151"/>
      <c r="T11" s="151"/>
      <c r="U11" s="151"/>
      <c r="V11" s="151"/>
    </row>
    <row r="12" spans="1:39" ht="13" thickBot="1">
      <c r="B12" s="469"/>
      <c r="C12" s="670"/>
      <c r="D12" s="470" t="s">
        <v>103</v>
      </c>
      <c r="E12" s="471" t="s">
        <v>101</v>
      </c>
      <c r="F12" s="29"/>
      <c r="G12" s="166"/>
      <c r="H12" s="150"/>
      <c r="I12" s="150"/>
      <c r="J12" s="76"/>
    </row>
    <row r="13" spans="1:39" ht="13" thickBot="1">
      <c r="A13" s="152"/>
      <c r="B13" s="152"/>
      <c r="C13" s="67"/>
      <c r="D13" s="54"/>
      <c r="E13" s="34"/>
      <c r="G13" s="167"/>
      <c r="H13" s="49"/>
      <c r="I13" s="49"/>
      <c r="J13" s="50"/>
      <c r="K13" s="50"/>
      <c r="L13" s="50"/>
      <c r="M13" s="745"/>
      <c r="N13" s="146"/>
      <c r="P13" s="146"/>
      <c r="W13" s="50"/>
      <c r="X13" s="33"/>
      <c r="Y13" s="33"/>
      <c r="Z13" s="33"/>
      <c r="AA13" s="33"/>
    </row>
    <row r="14" spans="1:39" ht="13" thickBot="1">
      <c r="D14" s="526"/>
      <c r="E14" s="582" t="s">
        <v>1043</v>
      </c>
      <c r="F14" s="583" t="s">
        <v>429</v>
      </c>
      <c r="G14" s="96"/>
      <c r="H14" s="96"/>
      <c r="I14" s="96"/>
      <c r="J14" s="583" t="s">
        <v>222</v>
      </c>
      <c r="K14" s="581"/>
      <c r="L14" s="583" t="s">
        <v>222</v>
      </c>
      <c r="M14" s="583" t="s">
        <v>222</v>
      </c>
      <c r="N14" s="93"/>
      <c r="O14" s="96"/>
      <c r="P14" s="93"/>
      <c r="Q14" s="13"/>
      <c r="R14" s="13"/>
      <c r="S14" s="13"/>
      <c r="T14" s="96"/>
      <c r="U14" s="101"/>
      <c r="V14" s="96"/>
      <c r="W14" s="93"/>
      <c r="X14" s="96"/>
      <c r="Y14" s="96"/>
      <c r="Z14" s="304"/>
      <c r="AA14" s="304"/>
      <c r="AB14" s="304"/>
      <c r="AE14" s="560" t="s">
        <v>266</v>
      </c>
      <c r="AI14" s="561" t="s">
        <v>267</v>
      </c>
    </row>
    <row r="15" spans="1:39" ht="13" thickBot="1">
      <c r="A15" s="22" t="s">
        <v>95</v>
      </c>
      <c r="B15" s="22" t="s">
        <v>100</v>
      </c>
      <c r="C15" s="36" t="s">
        <v>522</v>
      </c>
      <c r="D15" s="36" t="s">
        <v>67</v>
      </c>
      <c r="E15" s="450" t="s">
        <v>230</v>
      </c>
      <c r="F15" s="528" t="s">
        <v>229</v>
      </c>
      <c r="G15" s="176" t="s">
        <v>288</v>
      </c>
      <c r="H15" s="545" t="s">
        <v>289</v>
      </c>
      <c r="I15" s="758" t="s">
        <v>222</v>
      </c>
      <c r="J15" s="313" t="s">
        <v>105</v>
      </c>
      <c r="K15" s="93"/>
      <c r="L15" s="94" t="s">
        <v>104</v>
      </c>
      <c r="M15" s="95" t="s">
        <v>106</v>
      </c>
      <c r="N15" s="102"/>
      <c r="O15" s="427" t="s">
        <v>839</v>
      </c>
      <c r="P15" s="102"/>
      <c r="Q15" s="313" t="s">
        <v>267</v>
      </c>
      <c r="R15" s="313" t="s">
        <v>946</v>
      </c>
      <c r="S15" s="313" t="s">
        <v>947</v>
      </c>
      <c r="T15" s="156" t="s">
        <v>1044</v>
      </c>
      <c r="U15" s="149"/>
      <c r="V15" s="327" t="s">
        <v>872</v>
      </c>
      <c r="W15" s="93"/>
      <c r="X15" s="103" t="s">
        <v>111</v>
      </c>
      <c r="Y15" s="74" t="s">
        <v>112</v>
      </c>
      <c r="Z15" s="103" t="s">
        <v>113</v>
      </c>
      <c r="AA15" s="103" t="s">
        <v>223</v>
      </c>
      <c r="AB15" s="307" t="s">
        <v>224</v>
      </c>
      <c r="AD15" s="562" t="s">
        <v>263</v>
      </c>
      <c r="AE15" s="563" t="s">
        <v>264</v>
      </c>
      <c r="AF15" s="563" t="s">
        <v>265</v>
      </c>
      <c r="AH15" s="562" t="s">
        <v>263</v>
      </c>
      <c r="AI15" s="563" t="s">
        <v>264</v>
      </c>
      <c r="AJ15" s="563" t="s">
        <v>265</v>
      </c>
    </row>
    <row r="16" spans="1:39">
      <c r="A16" s="372" t="s">
        <v>109</v>
      </c>
      <c r="B16" s="472" t="s">
        <v>109</v>
      </c>
      <c r="C16" s="666"/>
      <c r="D16" s="373" t="s">
        <v>1027</v>
      </c>
      <c r="E16" s="679"/>
      <c r="F16" s="529">
        <f>VLOOKUP(D16,'Dec13 Revenue'!D:V,19,FALSE)</f>
        <v>649.58000000000004</v>
      </c>
      <c r="G16" s="680"/>
      <c r="H16" s="680"/>
      <c r="I16" s="755"/>
      <c r="J16" s="682">
        <f t="shared" ref="J16:J86" si="0">SUM(E16:I16)</f>
        <v>649.58000000000004</v>
      </c>
      <c r="K16" s="683"/>
      <c r="L16" s="684"/>
      <c r="M16" s="753"/>
      <c r="N16" s="683">
        <v>0</v>
      </c>
      <c r="O16" s="686"/>
      <c r="P16" s="683">
        <v>0</v>
      </c>
      <c r="Q16" s="687">
        <f t="shared" ref="Q16:Q148" si="1">L16+M16</f>
        <v>0</v>
      </c>
      <c r="R16" s="687"/>
      <c r="S16" s="687"/>
      <c r="T16" s="688">
        <v>0</v>
      </c>
      <c r="U16" s="689"/>
      <c r="V16" s="690">
        <f t="shared" ref="V16:V87" si="2">IF(T16="","",T16-Q16)</f>
        <v>0</v>
      </c>
      <c r="W16" s="691"/>
      <c r="X16" s="474">
        <f t="shared" ref="X16:X87" si="3">IF(B16="D",Q16,0)</f>
        <v>0</v>
      </c>
      <c r="Y16" s="474">
        <f t="shared" ref="Y16:Y87" si="4">IF(B16="M",Q16,0)</f>
        <v>0</v>
      </c>
      <c r="Z16" s="475">
        <f t="shared" ref="Z16:Z87" si="5">IF(B16="V",Q16,0)</f>
        <v>0</v>
      </c>
      <c r="AA16" s="475">
        <v>0</v>
      </c>
      <c r="AB16" s="476">
        <v>0</v>
      </c>
      <c r="AC16" s="38">
        <f t="shared" ref="AC16:AC87" si="6">(L16+M16)-(X16+Y16+Z16+AA16+AB16)</f>
        <v>0</v>
      </c>
      <c r="AD16" s="692">
        <f t="shared" ref="AD16:AD86" si="7">IF(B16="D",J16,0)</f>
        <v>0</v>
      </c>
      <c r="AE16" s="692">
        <f t="shared" ref="AE16:AE86" si="8">IF(B16="M",J16,0)</f>
        <v>649.58000000000004</v>
      </c>
      <c r="AF16" s="692">
        <f t="shared" ref="AF16:AF86" si="9">IF(B16="V",J16,0)</f>
        <v>0</v>
      </c>
      <c r="AG16" s="38"/>
      <c r="AH16" s="692">
        <f t="shared" ref="AH16:AH87" si="10">IF(B16="D",Q16,0)</f>
        <v>0</v>
      </c>
      <c r="AI16" s="692">
        <f t="shared" ref="AI16:AI87" si="11">IF(B16="M",Q16,0)</f>
        <v>0</v>
      </c>
      <c r="AJ16" s="692">
        <f t="shared" ref="AJ16:AJ87" si="12">IF(B16="V",Q16,0)</f>
        <v>0</v>
      </c>
      <c r="AM16" s="373" t="s">
        <v>382</v>
      </c>
    </row>
    <row r="17" spans="1:39">
      <c r="A17" s="20" t="s">
        <v>109</v>
      </c>
      <c r="B17" s="20" t="s">
        <v>110</v>
      </c>
      <c r="C17" s="671" t="s">
        <v>523</v>
      </c>
      <c r="D17" s="123" t="s">
        <v>317</v>
      </c>
      <c r="E17" s="679">
        <f>7614.87+1432.97+7517.88+469.59</f>
        <v>17035.310000000001</v>
      </c>
      <c r="F17" s="529">
        <f>VLOOKUP(D17,'Dec13 Revenue'!D:V,19,FALSE)</f>
        <v>-30000</v>
      </c>
      <c r="G17" s="680"/>
      <c r="H17" s="680"/>
      <c r="I17" s="755"/>
      <c r="J17" s="682">
        <f t="shared" si="0"/>
        <v>-12964.689999999999</v>
      </c>
      <c r="K17" s="683"/>
      <c r="L17" s="684"/>
      <c r="M17" s="753">
        <v>20000</v>
      </c>
      <c r="N17" s="683">
        <v>0</v>
      </c>
      <c r="O17" s="686"/>
      <c r="P17" s="683">
        <v>0</v>
      </c>
      <c r="Q17" s="687">
        <f t="shared" si="1"/>
        <v>20000</v>
      </c>
      <c r="R17" s="687"/>
      <c r="S17" s="687"/>
      <c r="T17" s="688">
        <v>0</v>
      </c>
      <c r="U17" s="693"/>
      <c r="V17" s="690">
        <f t="shared" si="2"/>
        <v>-20000</v>
      </c>
      <c r="W17" s="683"/>
      <c r="X17" s="474">
        <f t="shared" si="3"/>
        <v>20000</v>
      </c>
      <c r="Y17" s="474">
        <f t="shared" si="4"/>
        <v>0</v>
      </c>
      <c r="Z17" s="475">
        <f t="shared" si="5"/>
        <v>0</v>
      </c>
      <c r="AA17" s="475">
        <v>0</v>
      </c>
      <c r="AB17" s="476">
        <v>0</v>
      </c>
      <c r="AC17" s="38">
        <f t="shared" si="6"/>
        <v>0</v>
      </c>
      <c r="AD17" s="692">
        <f t="shared" si="7"/>
        <v>-12964.689999999999</v>
      </c>
      <c r="AE17" s="692">
        <f t="shared" si="8"/>
        <v>0</v>
      </c>
      <c r="AF17" s="692">
        <f t="shared" si="9"/>
        <v>0</v>
      </c>
      <c r="AG17" s="38"/>
      <c r="AH17" s="692">
        <f t="shared" si="10"/>
        <v>20000</v>
      </c>
      <c r="AI17" s="692">
        <f t="shared" si="11"/>
        <v>0</v>
      </c>
      <c r="AJ17" s="692">
        <f t="shared" si="12"/>
        <v>0</v>
      </c>
      <c r="AL17" s="38">
        <f>SUM(AD17:AJ17)</f>
        <v>7035.3100000000013</v>
      </c>
      <c r="AM17" s="123" t="s">
        <v>317</v>
      </c>
    </row>
    <row r="18" spans="1:39">
      <c r="A18" s="20" t="s">
        <v>109</v>
      </c>
      <c r="B18" s="20" t="s">
        <v>109</v>
      </c>
      <c r="C18" s="671" t="s">
        <v>523</v>
      </c>
      <c r="D18" s="68" t="s">
        <v>393</v>
      </c>
      <c r="E18" s="679">
        <f>46476.59+41997.8</f>
        <v>88474.39</v>
      </c>
      <c r="F18" s="529">
        <f>VLOOKUP(D18,'Dec13 Revenue'!D:V,19,FALSE)</f>
        <v>-135000</v>
      </c>
      <c r="G18" s="680"/>
      <c r="H18" s="680"/>
      <c r="I18" s="755"/>
      <c r="J18" s="682">
        <f t="shared" si="0"/>
        <v>-46525.61</v>
      </c>
      <c r="K18" s="683"/>
      <c r="L18" s="684"/>
      <c r="M18" s="753">
        <v>90000</v>
      </c>
      <c r="N18" s="683">
        <v>0</v>
      </c>
      <c r="O18" s="686"/>
      <c r="P18" s="683">
        <v>0</v>
      </c>
      <c r="Q18" s="687">
        <f t="shared" si="1"/>
        <v>90000</v>
      </c>
      <c r="R18" s="687"/>
      <c r="S18" s="687"/>
      <c r="T18" s="688">
        <v>0</v>
      </c>
      <c r="U18" s="693"/>
      <c r="V18" s="690">
        <f t="shared" si="2"/>
        <v>-90000</v>
      </c>
      <c r="W18" s="683"/>
      <c r="X18" s="474">
        <f t="shared" si="3"/>
        <v>0</v>
      </c>
      <c r="Y18" s="474">
        <f t="shared" si="4"/>
        <v>90000</v>
      </c>
      <c r="Z18" s="475">
        <f t="shared" si="5"/>
        <v>0</v>
      </c>
      <c r="AA18" s="475">
        <v>0</v>
      </c>
      <c r="AB18" s="476">
        <v>0</v>
      </c>
      <c r="AC18" s="38">
        <f t="shared" si="6"/>
        <v>0</v>
      </c>
      <c r="AD18" s="692">
        <f t="shared" si="7"/>
        <v>0</v>
      </c>
      <c r="AE18" s="692">
        <f t="shared" si="8"/>
        <v>-46525.61</v>
      </c>
      <c r="AF18" s="692">
        <f t="shared" si="9"/>
        <v>0</v>
      </c>
      <c r="AG18" s="38"/>
      <c r="AH18" s="692">
        <f t="shared" si="10"/>
        <v>0</v>
      </c>
      <c r="AI18" s="692">
        <f t="shared" si="11"/>
        <v>90000</v>
      </c>
      <c r="AJ18" s="692">
        <f t="shared" si="12"/>
        <v>0</v>
      </c>
      <c r="AL18" s="38">
        <f t="shared" ref="AL18:AL88" si="13">SUM(AD18:AJ18)</f>
        <v>43474.39</v>
      </c>
      <c r="AM18" s="68" t="s">
        <v>393</v>
      </c>
    </row>
    <row r="19" spans="1:39">
      <c r="A19" s="20" t="s">
        <v>109</v>
      </c>
      <c r="B19" s="20" t="s">
        <v>109</v>
      </c>
      <c r="C19" s="671" t="s">
        <v>523</v>
      </c>
      <c r="D19" s="68" t="s">
        <v>129</v>
      </c>
      <c r="E19" s="679"/>
      <c r="F19" s="529">
        <f>VLOOKUP(D19,'Dec13 Revenue'!D:V,19,FALSE)</f>
        <v>0</v>
      </c>
      <c r="G19" s="680"/>
      <c r="H19" s="680"/>
      <c r="I19" s="755"/>
      <c r="J19" s="682">
        <f t="shared" si="0"/>
        <v>0</v>
      </c>
      <c r="K19" s="683"/>
      <c r="L19" s="684"/>
      <c r="M19" s="753"/>
      <c r="N19" s="683">
        <v>0</v>
      </c>
      <c r="O19" s="686"/>
      <c r="P19" s="683">
        <v>0</v>
      </c>
      <c r="Q19" s="687">
        <f t="shared" si="1"/>
        <v>0</v>
      </c>
      <c r="R19" s="687"/>
      <c r="S19" s="687"/>
      <c r="T19" s="688">
        <v>0</v>
      </c>
      <c r="U19" s="693"/>
      <c r="V19" s="690">
        <f t="shared" si="2"/>
        <v>0</v>
      </c>
      <c r="W19" s="683"/>
      <c r="X19" s="474">
        <f t="shared" si="3"/>
        <v>0</v>
      </c>
      <c r="Y19" s="474">
        <f t="shared" si="4"/>
        <v>0</v>
      </c>
      <c r="Z19" s="475">
        <f t="shared" si="5"/>
        <v>0</v>
      </c>
      <c r="AA19" s="475">
        <v>0</v>
      </c>
      <c r="AB19" s="476">
        <v>0</v>
      </c>
      <c r="AC19" s="38">
        <f t="shared" si="6"/>
        <v>0</v>
      </c>
      <c r="AD19" s="692">
        <f t="shared" si="7"/>
        <v>0</v>
      </c>
      <c r="AE19" s="692">
        <f t="shared" si="8"/>
        <v>0</v>
      </c>
      <c r="AF19" s="692">
        <f t="shared" si="9"/>
        <v>0</v>
      </c>
      <c r="AG19" s="38"/>
      <c r="AH19" s="692">
        <f t="shared" si="10"/>
        <v>0</v>
      </c>
      <c r="AI19" s="692">
        <f t="shared" si="11"/>
        <v>0</v>
      </c>
      <c r="AJ19" s="692">
        <f t="shared" si="12"/>
        <v>0</v>
      </c>
      <c r="AL19" s="38">
        <f t="shared" si="13"/>
        <v>0</v>
      </c>
      <c r="AM19" s="68" t="s">
        <v>129</v>
      </c>
    </row>
    <row r="20" spans="1:39">
      <c r="A20" s="20" t="s">
        <v>109</v>
      </c>
      <c r="B20" s="20" t="s">
        <v>109</v>
      </c>
      <c r="C20" s="671" t="s">
        <v>523</v>
      </c>
      <c r="D20" s="351" t="s">
        <v>878</v>
      </c>
      <c r="E20" s="679"/>
      <c r="F20" s="529">
        <f>VLOOKUP(D20,'Dec13 Revenue'!D:V,19,FALSE)</f>
        <v>0</v>
      </c>
      <c r="G20" s="680"/>
      <c r="H20" s="680"/>
      <c r="I20" s="755"/>
      <c r="J20" s="682">
        <f t="shared" si="0"/>
        <v>0</v>
      </c>
      <c r="K20" s="683"/>
      <c r="L20" s="684"/>
      <c r="M20" s="753"/>
      <c r="N20" s="683">
        <v>0</v>
      </c>
      <c r="O20" s="686"/>
      <c r="P20" s="683">
        <v>0</v>
      </c>
      <c r="Q20" s="687">
        <f t="shared" si="1"/>
        <v>0</v>
      </c>
      <c r="R20" s="687"/>
      <c r="S20" s="687"/>
      <c r="T20" s="688">
        <v>0</v>
      </c>
      <c r="U20" s="693"/>
      <c r="V20" s="690">
        <f t="shared" si="2"/>
        <v>0</v>
      </c>
      <c r="W20" s="683"/>
      <c r="X20" s="474">
        <f t="shared" si="3"/>
        <v>0</v>
      </c>
      <c r="Y20" s="474">
        <f t="shared" si="4"/>
        <v>0</v>
      </c>
      <c r="Z20" s="475">
        <f t="shared" si="5"/>
        <v>0</v>
      </c>
      <c r="AA20" s="475">
        <v>0</v>
      </c>
      <c r="AB20" s="476">
        <v>0</v>
      </c>
      <c r="AC20" s="38">
        <f t="shared" si="6"/>
        <v>0</v>
      </c>
      <c r="AD20" s="692">
        <f t="shared" si="7"/>
        <v>0</v>
      </c>
      <c r="AE20" s="692">
        <f t="shared" si="8"/>
        <v>0</v>
      </c>
      <c r="AF20" s="692">
        <f t="shared" si="9"/>
        <v>0</v>
      </c>
      <c r="AG20" s="38"/>
      <c r="AH20" s="692">
        <f t="shared" si="10"/>
        <v>0</v>
      </c>
      <c r="AI20" s="692">
        <f t="shared" si="11"/>
        <v>0</v>
      </c>
      <c r="AJ20" s="692">
        <f t="shared" si="12"/>
        <v>0</v>
      </c>
      <c r="AL20" s="38">
        <f t="shared" si="13"/>
        <v>0</v>
      </c>
      <c r="AM20" s="351" t="s">
        <v>878</v>
      </c>
    </row>
    <row r="21" spans="1:39">
      <c r="A21" s="20"/>
      <c r="B21" s="20" t="s">
        <v>110</v>
      </c>
      <c r="C21" s="667" t="s">
        <v>524</v>
      </c>
      <c r="D21" s="123" t="s">
        <v>380</v>
      </c>
      <c r="E21" s="679"/>
      <c r="F21" s="529">
        <f>VLOOKUP(D21,'Dec13 Revenue'!D:V,19,FALSE)</f>
        <v>0</v>
      </c>
      <c r="G21" s="680"/>
      <c r="H21" s="680"/>
      <c r="I21" s="755"/>
      <c r="J21" s="682">
        <f t="shared" si="0"/>
        <v>0</v>
      </c>
      <c r="K21" s="683"/>
      <c r="L21" s="684"/>
      <c r="M21" s="753"/>
      <c r="N21" s="683">
        <v>0</v>
      </c>
      <c r="O21" s="686"/>
      <c r="P21" s="683">
        <v>0</v>
      </c>
      <c r="Q21" s="687">
        <f t="shared" si="1"/>
        <v>0</v>
      </c>
      <c r="R21" s="687"/>
      <c r="S21" s="687"/>
      <c r="T21" s="688">
        <v>0</v>
      </c>
      <c r="U21" s="693"/>
      <c r="V21" s="690">
        <f t="shared" si="2"/>
        <v>0</v>
      </c>
      <c r="W21" s="683"/>
      <c r="X21" s="474">
        <f t="shared" si="3"/>
        <v>0</v>
      </c>
      <c r="Y21" s="474">
        <f t="shared" si="4"/>
        <v>0</v>
      </c>
      <c r="Z21" s="475">
        <f t="shared" si="5"/>
        <v>0</v>
      </c>
      <c r="AA21" s="475">
        <v>0</v>
      </c>
      <c r="AB21" s="476">
        <v>0</v>
      </c>
      <c r="AC21" s="38">
        <f t="shared" si="6"/>
        <v>0</v>
      </c>
      <c r="AD21" s="692">
        <f t="shared" si="7"/>
        <v>0</v>
      </c>
      <c r="AE21" s="692">
        <f t="shared" si="8"/>
        <v>0</v>
      </c>
      <c r="AF21" s="692">
        <f t="shared" si="9"/>
        <v>0</v>
      </c>
      <c r="AG21" s="38"/>
      <c r="AH21" s="692">
        <f t="shared" si="10"/>
        <v>0</v>
      </c>
      <c r="AI21" s="692">
        <f t="shared" si="11"/>
        <v>0</v>
      </c>
      <c r="AJ21" s="692">
        <f t="shared" si="12"/>
        <v>0</v>
      </c>
      <c r="AL21" s="38">
        <f t="shared" si="13"/>
        <v>0</v>
      </c>
      <c r="AM21" s="123" t="s">
        <v>380</v>
      </c>
    </row>
    <row r="22" spans="1:39">
      <c r="A22" s="20"/>
      <c r="B22" s="20" t="s">
        <v>110</v>
      </c>
      <c r="C22" s="667" t="s">
        <v>524</v>
      </c>
      <c r="D22" s="123" t="s">
        <v>132</v>
      </c>
      <c r="E22" s="679"/>
      <c r="F22" s="529">
        <f>VLOOKUP(D22,'Dec13 Revenue'!D:V,19,FALSE)</f>
        <v>1759.06</v>
      </c>
      <c r="G22" s="680"/>
      <c r="H22" s="680"/>
      <c r="I22" s="755"/>
      <c r="J22" s="682">
        <f t="shared" si="0"/>
        <v>1759.06</v>
      </c>
      <c r="K22" s="683"/>
      <c r="L22" s="684"/>
      <c r="M22" s="753">
        <v>35000</v>
      </c>
      <c r="N22" s="683">
        <v>0</v>
      </c>
      <c r="O22" s="686"/>
      <c r="P22" s="683">
        <v>0</v>
      </c>
      <c r="Q22" s="687">
        <f t="shared" si="1"/>
        <v>35000</v>
      </c>
      <c r="R22" s="687"/>
      <c r="S22" s="687"/>
      <c r="T22" s="688">
        <v>38788.28</v>
      </c>
      <c r="U22" s="693"/>
      <c r="V22" s="690">
        <f t="shared" si="2"/>
        <v>3788.2799999999988</v>
      </c>
      <c r="W22" s="683"/>
      <c r="X22" s="474">
        <f t="shared" si="3"/>
        <v>35000</v>
      </c>
      <c r="Y22" s="474">
        <f t="shared" si="4"/>
        <v>0</v>
      </c>
      <c r="Z22" s="475">
        <f t="shared" si="5"/>
        <v>0</v>
      </c>
      <c r="AA22" s="475">
        <v>0</v>
      </c>
      <c r="AB22" s="476">
        <v>0</v>
      </c>
      <c r="AC22" s="38">
        <f t="shared" si="6"/>
        <v>0</v>
      </c>
      <c r="AD22" s="692">
        <f t="shared" si="7"/>
        <v>1759.06</v>
      </c>
      <c r="AE22" s="692">
        <f t="shared" si="8"/>
        <v>0</v>
      </c>
      <c r="AF22" s="692">
        <f t="shared" si="9"/>
        <v>0</v>
      </c>
      <c r="AG22" s="38"/>
      <c r="AH22" s="692">
        <f t="shared" si="10"/>
        <v>35000</v>
      </c>
      <c r="AI22" s="692">
        <f t="shared" si="11"/>
        <v>0</v>
      </c>
      <c r="AJ22" s="692">
        <f t="shared" si="12"/>
        <v>0</v>
      </c>
      <c r="AL22" s="38">
        <f t="shared" si="13"/>
        <v>36759.06</v>
      </c>
      <c r="AM22" s="123" t="s">
        <v>132</v>
      </c>
    </row>
    <row r="23" spans="1:39">
      <c r="A23" s="20"/>
      <c r="B23" s="20" t="s">
        <v>110</v>
      </c>
      <c r="C23" s="667" t="s">
        <v>524</v>
      </c>
      <c r="D23" s="123" t="s">
        <v>133</v>
      </c>
      <c r="E23" s="679"/>
      <c r="F23" s="529">
        <f>VLOOKUP(D23,'Dec13 Revenue'!D:V,19,FALSE)</f>
        <v>0</v>
      </c>
      <c r="G23" s="680"/>
      <c r="H23" s="680"/>
      <c r="I23" s="755"/>
      <c r="J23" s="682">
        <f t="shared" si="0"/>
        <v>0</v>
      </c>
      <c r="K23" s="683"/>
      <c r="L23" s="684"/>
      <c r="M23" s="753"/>
      <c r="N23" s="683">
        <v>0</v>
      </c>
      <c r="O23" s="686"/>
      <c r="P23" s="683">
        <v>0</v>
      </c>
      <c r="Q23" s="687">
        <f t="shared" si="1"/>
        <v>0</v>
      </c>
      <c r="R23" s="687"/>
      <c r="S23" s="687"/>
      <c r="T23" s="688">
        <v>0</v>
      </c>
      <c r="U23" s="693"/>
      <c r="V23" s="690">
        <f t="shared" si="2"/>
        <v>0</v>
      </c>
      <c r="W23" s="683"/>
      <c r="X23" s="474">
        <f t="shared" si="3"/>
        <v>0</v>
      </c>
      <c r="Y23" s="474">
        <f t="shared" si="4"/>
        <v>0</v>
      </c>
      <c r="Z23" s="475">
        <f t="shared" si="5"/>
        <v>0</v>
      </c>
      <c r="AA23" s="475">
        <v>0</v>
      </c>
      <c r="AB23" s="476">
        <v>0</v>
      </c>
      <c r="AC23" s="38">
        <f t="shared" si="6"/>
        <v>0</v>
      </c>
      <c r="AD23" s="692">
        <f t="shared" si="7"/>
        <v>0</v>
      </c>
      <c r="AE23" s="692">
        <f t="shared" si="8"/>
        <v>0</v>
      </c>
      <c r="AF23" s="692">
        <f t="shared" si="9"/>
        <v>0</v>
      </c>
      <c r="AG23" s="38"/>
      <c r="AH23" s="692">
        <f t="shared" si="10"/>
        <v>0</v>
      </c>
      <c r="AI23" s="692">
        <f t="shared" si="11"/>
        <v>0</v>
      </c>
      <c r="AJ23" s="692">
        <f t="shared" si="12"/>
        <v>0</v>
      </c>
      <c r="AL23" s="38">
        <f t="shared" si="13"/>
        <v>0</v>
      </c>
      <c r="AM23" s="123" t="s">
        <v>133</v>
      </c>
    </row>
    <row r="24" spans="1:39">
      <c r="A24" s="20"/>
      <c r="B24" s="20" t="s">
        <v>110</v>
      </c>
      <c r="C24" s="667"/>
      <c r="D24" s="123" t="s">
        <v>1015</v>
      </c>
      <c r="E24" s="679"/>
      <c r="F24" s="529">
        <f>VLOOKUP(D24,'Dec13 Revenue'!D:V,19,FALSE)</f>
        <v>0</v>
      </c>
      <c r="G24" s="680"/>
      <c r="H24" s="680"/>
      <c r="I24" s="755"/>
      <c r="J24" s="682">
        <f t="shared" si="0"/>
        <v>0</v>
      </c>
      <c r="K24" s="683"/>
      <c r="L24" s="684"/>
      <c r="M24" s="753"/>
      <c r="N24" s="683">
        <v>0</v>
      </c>
      <c r="O24" s="686"/>
      <c r="P24" s="683">
        <v>0</v>
      </c>
      <c r="Q24" s="687">
        <f t="shared" si="1"/>
        <v>0</v>
      </c>
      <c r="R24" s="687"/>
      <c r="S24" s="687"/>
      <c r="T24" s="688">
        <v>0</v>
      </c>
      <c r="U24" s="693"/>
      <c r="V24" s="690">
        <f t="shared" si="2"/>
        <v>0</v>
      </c>
      <c r="W24" s="683"/>
      <c r="X24" s="474">
        <f t="shared" si="3"/>
        <v>0</v>
      </c>
      <c r="Y24" s="474">
        <f t="shared" si="4"/>
        <v>0</v>
      </c>
      <c r="Z24" s="475">
        <f t="shared" si="5"/>
        <v>0</v>
      </c>
      <c r="AA24" s="475">
        <v>0</v>
      </c>
      <c r="AB24" s="476">
        <v>0</v>
      </c>
      <c r="AC24" s="38">
        <f t="shared" si="6"/>
        <v>0</v>
      </c>
      <c r="AD24" s="692">
        <f t="shared" si="7"/>
        <v>0</v>
      </c>
      <c r="AE24" s="692">
        <f t="shared" si="8"/>
        <v>0</v>
      </c>
      <c r="AF24" s="692">
        <f t="shared" si="9"/>
        <v>0</v>
      </c>
      <c r="AG24" s="38"/>
      <c r="AH24" s="692">
        <f t="shared" si="10"/>
        <v>0</v>
      </c>
      <c r="AI24" s="692">
        <f t="shared" si="11"/>
        <v>0</v>
      </c>
      <c r="AJ24" s="692">
        <f t="shared" si="12"/>
        <v>0</v>
      </c>
      <c r="AL24" s="38">
        <f t="shared" si="13"/>
        <v>0</v>
      </c>
      <c r="AM24" s="123" t="s">
        <v>1015</v>
      </c>
    </row>
    <row r="25" spans="1:39" s="232" customFormat="1">
      <c r="A25" s="283" t="s">
        <v>211</v>
      </c>
      <c r="B25" s="283" t="s">
        <v>109</v>
      </c>
      <c r="C25" s="667" t="s">
        <v>525</v>
      </c>
      <c r="D25" s="123" t="s">
        <v>419</v>
      </c>
      <c r="E25" s="679"/>
      <c r="F25" s="529">
        <f>VLOOKUP(D25,'Dec13 Revenue'!D:V,19,FALSE)</f>
        <v>-30000</v>
      </c>
      <c r="G25" s="680"/>
      <c r="H25" s="680"/>
      <c r="I25" s="755"/>
      <c r="J25" s="682">
        <f t="shared" si="0"/>
        <v>-30000</v>
      </c>
      <c r="K25" s="683"/>
      <c r="L25" s="684"/>
      <c r="M25" s="753">
        <v>40000</v>
      </c>
      <c r="N25" s="683">
        <v>0</v>
      </c>
      <c r="O25" s="686"/>
      <c r="P25" s="683">
        <v>0</v>
      </c>
      <c r="Q25" s="687">
        <f t="shared" si="1"/>
        <v>40000</v>
      </c>
      <c r="R25" s="687"/>
      <c r="S25" s="687"/>
      <c r="T25" s="688">
        <v>0</v>
      </c>
      <c r="U25" s="693"/>
      <c r="V25" s="690">
        <f t="shared" si="2"/>
        <v>-40000</v>
      </c>
      <c r="W25" s="683"/>
      <c r="X25" s="474">
        <f t="shared" si="3"/>
        <v>0</v>
      </c>
      <c r="Y25" s="474">
        <f t="shared" si="4"/>
        <v>40000</v>
      </c>
      <c r="Z25" s="475">
        <f t="shared" si="5"/>
        <v>0</v>
      </c>
      <c r="AA25" s="475">
        <v>0</v>
      </c>
      <c r="AB25" s="476">
        <v>0</v>
      </c>
      <c r="AC25" s="38">
        <f t="shared" si="6"/>
        <v>0</v>
      </c>
      <c r="AD25" s="692">
        <f t="shared" si="7"/>
        <v>0</v>
      </c>
      <c r="AE25" s="692">
        <f t="shared" si="8"/>
        <v>-30000</v>
      </c>
      <c r="AF25" s="692">
        <f t="shared" si="9"/>
        <v>0</v>
      </c>
      <c r="AG25" s="38"/>
      <c r="AH25" s="692">
        <f t="shared" si="10"/>
        <v>0</v>
      </c>
      <c r="AI25" s="692">
        <f t="shared" si="11"/>
        <v>40000</v>
      </c>
      <c r="AJ25" s="692">
        <f t="shared" si="12"/>
        <v>0</v>
      </c>
      <c r="AL25" s="38">
        <f t="shared" si="13"/>
        <v>10000</v>
      </c>
      <c r="AM25" s="123" t="s">
        <v>419</v>
      </c>
    </row>
    <row r="26" spans="1:39">
      <c r="A26" s="20"/>
      <c r="B26" s="20" t="s">
        <v>110</v>
      </c>
      <c r="C26" s="667"/>
      <c r="D26" s="68" t="s">
        <v>922</v>
      </c>
      <c r="E26" s="679"/>
      <c r="F26" s="529">
        <f>VLOOKUP(D26,'Dec13 Revenue'!D:V,19,FALSE)</f>
        <v>0</v>
      </c>
      <c r="G26" s="680"/>
      <c r="H26" s="680"/>
      <c r="I26" s="770">
        <v>299.83</v>
      </c>
      <c r="J26" s="682">
        <f t="shared" si="0"/>
        <v>299.83</v>
      </c>
      <c r="K26" s="683"/>
      <c r="L26" s="684"/>
      <c r="M26" s="753"/>
      <c r="N26" s="683">
        <v>0</v>
      </c>
      <c r="O26" s="686"/>
      <c r="P26" s="683">
        <v>0</v>
      </c>
      <c r="Q26" s="687">
        <f t="shared" si="1"/>
        <v>0</v>
      </c>
      <c r="R26" s="687"/>
      <c r="S26" s="687"/>
      <c r="T26" s="688">
        <v>0</v>
      </c>
      <c r="U26" s="693"/>
      <c r="V26" s="690">
        <f t="shared" si="2"/>
        <v>0</v>
      </c>
      <c r="W26" s="683"/>
      <c r="X26" s="474">
        <f t="shared" si="3"/>
        <v>0</v>
      </c>
      <c r="Y26" s="474">
        <f t="shared" si="4"/>
        <v>0</v>
      </c>
      <c r="Z26" s="475">
        <f t="shared" si="5"/>
        <v>0</v>
      </c>
      <c r="AA26" s="475">
        <v>0</v>
      </c>
      <c r="AB26" s="476">
        <v>0</v>
      </c>
      <c r="AC26" s="38">
        <f t="shared" si="6"/>
        <v>0</v>
      </c>
      <c r="AD26" s="692">
        <f t="shared" si="7"/>
        <v>299.83</v>
      </c>
      <c r="AE26" s="692">
        <f t="shared" si="8"/>
        <v>0</v>
      </c>
      <c r="AF26" s="692">
        <f t="shared" si="9"/>
        <v>0</v>
      </c>
      <c r="AG26" s="38"/>
      <c r="AH26" s="692">
        <f t="shared" si="10"/>
        <v>0</v>
      </c>
      <c r="AI26" s="692">
        <f t="shared" si="11"/>
        <v>0</v>
      </c>
      <c r="AJ26" s="692">
        <f t="shared" si="12"/>
        <v>0</v>
      </c>
      <c r="AL26" s="38">
        <f t="shared" si="13"/>
        <v>299.83</v>
      </c>
      <c r="AM26" s="68" t="s">
        <v>922</v>
      </c>
    </row>
    <row r="27" spans="1:39">
      <c r="A27" s="20"/>
      <c r="B27" s="20" t="s">
        <v>110</v>
      </c>
      <c r="C27" s="667"/>
      <c r="D27" s="68" t="s">
        <v>589</v>
      </c>
      <c r="E27" s="679"/>
      <c r="F27" s="529">
        <f>VLOOKUP(D27,'Dec13 Revenue'!D:V,19,FALSE)</f>
        <v>1432.369999999999</v>
      </c>
      <c r="G27" s="680"/>
      <c r="H27" s="680"/>
      <c r="I27" s="755"/>
      <c r="J27" s="682">
        <f t="shared" si="0"/>
        <v>1432.369999999999</v>
      </c>
      <c r="K27" s="683"/>
      <c r="L27" s="684"/>
      <c r="M27" s="753"/>
      <c r="N27" s="683">
        <v>0</v>
      </c>
      <c r="O27" s="686"/>
      <c r="P27" s="683">
        <v>0</v>
      </c>
      <c r="Q27" s="687">
        <f t="shared" si="1"/>
        <v>0</v>
      </c>
      <c r="R27" s="687"/>
      <c r="S27" s="687"/>
      <c r="T27" s="688">
        <v>0</v>
      </c>
      <c r="U27" s="693"/>
      <c r="V27" s="690">
        <f t="shared" si="2"/>
        <v>0</v>
      </c>
      <c r="W27" s="683"/>
      <c r="X27" s="474">
        <f t="shared" si="3"/>
        <v>0</v>
      </c>
      <c r="Y27" s="474">
        <f t="shared" si="4"/>
        <v>0</v>
      </c>
      <c r="Z27" s="475">
        <f t="shared" si="5"/>
        <v>0</v>
      </c>
      <c r="AA27" s="475">
        <v>0</v>
      </c>
      <c r="AB27" s="476">
        <v>0</v>
      </c>
      <c r="AC27" s="38">
        <f t="shared" si="6"/>
        <v>0</v>
      </c>
      <c r="AD27" s="692">
        <f t="shared" si="7"/>
        <v>1432.369999999999</v>
      </c>
      <c r="AE27" s="692">
        <f t="shared" si="8"/>
        <v>0</v>
      </c>
      <c r="AF27" s="692">
        <f t="shared" si="9"/>
        <v>0</v>
      </c>
      <c r="AG27" s="38"/>
      <c r="AH27" s="692">
        <f t="shared" si="10"/>
        <v>0</v>
      </c>
      <c r="AI27" s="692">
        <f t="shared" si="11"/>
        <v>0</v>
      </c>
      <c r="AJ27" s="692">
        <f t="shared" si="12"/>
        <v>0</v>
      </c>
      <c r="AL27" s="38">
        <f t="shared" si="13"/>
        <v>1432.369999999999</v>
      </c>
      <c r="AM27" s="68" t="s">
        <v>589</v>
      </c>
    </row>
    <row r="28" spans="1:39">
      <c r="A28" s="20"/>
      <c r="B28" s="20" t="s">
        <v>110</v>
      </c>
      <c r="C28" s="667"/>
      <c r="D28" s="68" t="s">
        <v>829</v>
      </c>
      <c r="E28" s="679"/>
      <c r="F28" s="529">
        <f>VLOOKUP(D28,'Dec13 Revenue'!D:V,19,FALSE)</f>
        <v>0</v>
      </c>
      <c r="G28" s="680"/>
      <c r="H28" s="680"/>
      <c r="I28" s="755"/>
      <c r="J28" s="682">
        <f t="shared" si="0"/>
        <v>0</v>
      </c>
      <c r="K28" s="683"/>
      <c r="L28" s="684"/>
      <c r="M28" s="753"/>
      <c r="N28" s="683">
        <v>0</v>
      </c>
      <c r="O28" s="686"/>
      <c r="P28" s="683">
        <v>0</v>
      </c>
      <c r="Q28" s="687">
        <f t="shared" si="1"/>
        <v>0</v>
      </c>
      <c r="R28" s="687"/>
      <c r="S28" s="687"/>
      <c r="T28" s="688">
        <v>0</v>
      </c>
      <c r="U28" s="693"/>
      <c r="V28" s="690">
        <f t="shared" si="2"/>
        <v>0</v>
      </c>
      <c r="W28" s="683"/>
      <c r="X28" s="474">
        <f t="shared" si="3"/>
        <v>0</v>
      </c>
      <c r="Y28" s="474">
        <f t="shared" si="4"/>
        <v>0</v>
      </c>
      <c r="Z28" s="475">
        <f t="shared" si="5"/>
        <v>0</v>
      </c>
      <c r="AA28" s="475">
        <v>0</v>
      </c>
      <c r="AB28" s="476">
        <v>0</v>
      </c>
      <c r="AC28" s="38">
        <f t="shared" si="6"/>
        <v>0</v>
      </c>
      <c r="AD28" s="692">
        <f t="shared" si="7"/>
        <v>0</v>
      </c>
      <c r="AE28" s="692">
        <f t="shared" si="8"/>
        <v>0</v>
      </c>
      <c r="AF28" s="692">
        <f t="shared" si="9"/>
        <v>0</v>
      </c>
      <c r="AG28" s="38"/>
      <c r="AH28" s="692">
        <f t="shared" si="10"/>
        <v>0</v>
      </c>
      <c r="AI28" s="692">
        <f t="shared" si="11"/>
        <v>0</v>
      </c>
      <c r="AJ28" s="692">
        <f t="shared" si="12"/>
        <v>0</v>
      </c>
      <c r="AL28" s="38">
        <f t="shared" si="13"/>
        <v>0</v>
      </c>
      <c r="AM28" s="68" t="s">
        <v>829</v>
      </c>
    </row>
    <row r="29" spans="1:39">
      <c r="A29" s="20"/>
      <c r="B29" s="20" t="s">
        <v>109</v>
      </c>
      <c r="C29" s="667" t="s">
        <v>526</v>
      </c>
      <c r="D29" s="68" t="s">
        <v>385</v>
      </c>
      <c r="E29" s="679"/>
      <c r="F29" s="529">
        <f>VLOOKUP(D29,'Dec13 Revenue'!D:V,19,FALSE)</f>
        <v>0</v>
      </c>
      <c r="G29" s="680"/>
      <c r="H29" s="680"/>
      <c r="I29" s="755"/>
      <c r="J29" s="682">
        <f t="shared" si="0"/>
        <v>0</v>
      </c>
      <c r="K29" s="683"/>
      <c r="L29" s="684"/>
      <c r="M29" s="753"/>
      <c r="N29" s="683">
        <v>0</v>
      </c>
      <c r="O29" s="686"/>
      <c r="P29" s="683">
        <v>0</v>
      </c>
      <c r="Q29" s="687">
        <f t="shared" si="1"/>
        <v>0</v>
      </c>
      <c r="R29" s="687"/>
      <c r="S29" s="687"/>
      <c r="T29" s="688">
        <v>0</v>
      </c>
      <c r="U29" s="693"/>
      <c r="V29" s="690">
        <f t="shared" si="2"/>
        <v>0</v>
      </c>
      <c r="W29" s="691"/>
      <c r="X29" s="474">
        <f t="shared" si="3"/>
        <v>0</v>
      </c>
      <c r="Y29" s="474">
        <f t="shared" si="4"/>
        <v>0</v>
      </c>
      <c r="Z29" s="475">
        <f t="shared" si="5"/>
        <v>0</v>
      </c>
      <c r="AA29" s="475">
        <v>0</v>
      </c>
      <c r="AB29" s="476">
        <v>0</v>
      </c>
      <c r="AC29" s="38">
        <f t="shared" si="6"/>
        <v>0</v>
      </c>
      <c r="AD29" s="692">
        <f t="shared" si="7"/>
        <v>0</v>
      </c>
      <c r="AE29" s="692">
        <f t="shared" si="8"/>
        <v>0</v>
      </c>
      <c r="AF29" s="692">
        <f t="shared" si="9"/>
        <v>0</v>
      </c>
      <c r="AG29" s="38"/>
      <c r="AH29" s="692">
        <f t="shared" si="10"/>
        <v>0</v>
      </c>
      <c r="AI29" s="692">
        <f t="shared" si="11"/>
        <v>0</v>
      </c>
      <c r="AJ29" s="692">
        <f t="shared" si="12"/>
        <v>0</v>
      </c>
      <c r="AL29" s="38">
        <f t="shared" si="13"/>
        <v>0</v>
      </c>
      <c r="AM29" s="68" t="s">
        <v>385</v>
      </c>
    </row>
    <row r="30" spans="1:39" s="232" customFormat="1">
      <c r="A30" s="283"/>
      <c r="B30" s="283" t="s">
        <v>110</v>
      </c>
      <c r="C30" s="667" t="s">
        <v>527</v>
      </c>
      <c r="D30" s="123" t="s">
        <v>401</v>
      </c>
      <c r="E30" s="679"/>
      <c r="F30" s="529">
        <f>VLOOKUP(D30,'Dec13 Revenue'!D:V,19,FALSE)</f>
        <v>140585.14999999991</v>
      </c>
      <c r="G30" s="680"/>
      <c r="H30" s="680"/>
      <c r="I30" s="755"/>
      <c r="J30" s="682">
        <f t="shared" si="0"/>
        <v>140585.14999999991</v>
      </c>
      <c r="K30" s="683"/>
      <c r="L30" s="684"/>
      <c r="M30" s="753">
        <v>950000</v>
      </c>
      <c r="N30" s="683">
        <v>0</v>
      </c>
      <c r="O30" s="686"/>
      <c r="P30" s="683">
        <v>0</v>
      </c>
      <c r="Q30" s="687">
        <f t="shared" si="1"/>
        <v>950000</v>
      </c>
      <c r="R30" s="687"/>
      <c r="S30" s="687"/>
      <c r="T30" s="688">
        <v>1058559.2</v>
      </c>
      <c r="U30" s="693"/>
      <c r="V30" s="690">
        <f t="shared" si="2"/>
        <v>108559.19999999995</v>
      </c>
      <c r="W30" s="683"/>
      <c r="X30" s="474">
        <f t="shared" si="3"/>
        <v>950000</v>
      </c>
      <c r="Y30" s="474">
        <f t="shared" si="4"/>
        <v>0</v>
      </c>
      <c r="Z30" s="475">
        <f t="shared" si="5"/>
        <v>0</v>
      </c>
      <c r="AA30" s="475">
        <v>0</v>
      </c>
      <c r="AB30" s="476">
        <v>0</v>
      </c>
      <c r="AC30" s="38">
        <f t="shared" si="6"/>
        <v>0</v>
      </c>
      <c r="AD30" s="692">
        <f t="shared" si="7"/>
        <v>140585.14999999991</v>
      </c>
      <c r="AE30" s="692">
        <f t="shared" si="8"/>
        <v>0</v>
      </c>
      <c r="AF30" s="692">
        <f t="shared" si="9"/>
        <v>0</v>
      </c>
      <c r="AG30" s="38"/>
      <c r="AH30" s="692">
        <f t="shared" si="10"/>
        <v>950000</v>
      </c>
      <c r="AI30" s="692">
        <f t="shared" si="11"/>
        <v>0</v>
      </c>
      <c r="AJ30" s="692">
        <f t="shared" si="12"/>
        <v>0</v>
      </c>
      <c r="AL30" s="38">
        <f t="shared" si="13"/>
        <v>1090585.1499999999</v>
      </c>
      <c r="AM30" s="123" t="s">
        <v>401</v>
      </c>
    </row>
    <row r="31" spans="1:39" s="232" customFormat="1">
      <c r="A31" s="283"/>
      <c r="B31" s="283" t="s">
        <v>110</v>
      </c>
      <c r="C31" s="667" t="s">
        <v>528</v>
      </c>
      <c r="D31" s="123" t="s">
        <v>403</v>
      </c>
      <c r="E31" s="679"/>
      <c r="F31" s="529">
        <f>VLOOKUP(D31,'Dec13 Revenue'!D:V,19,FALSE)</f>
        <v>66188.09</v>
      </c>
      <c r="G31" s="680"/>
      <c r="H31" s="680"/>
      <c r="I31" s="755"/>
      <c r="J31" s="682">
        <f t="shared" si="0"/>
        <v>66188.09</v>
      </c>
      <c r="K31" s="683"/>
      <c r="L31" s="684"/>
      <c r="M31" s="753">
        <v>165000</v>
      </c>
      <c r="N31" s="683">
        <v>0</v>
      </c>
      <c r="O31" s="686"/>
      <c r="P31" s="683">
        <v>0</v>
      </c>
      <c r="Q31" s="687">
        <f t="shared" si="1"/>
        <v>165000</v>
      </c>
      <c r="R31" s="687"/>
      <c r="S31" s="687"/>
      <c r="T31" s="688">
        <v>187062.17</v>
      </c>
      <c r="U31" s="693"/>
      <c r="V31" s="690">
        <f t="shared" si="2"/>
        <v>22062.170000000013</v>
      </c>
      <c r="W31" s="683"/>
      <c r="X31" s="474">
        <f t="shared" si="3"/>
        <v>165000</v>
      </c>
      <c r="Y31" s="474">
        <f t="shared" si="4"/>
        <v>0</v>
      </c>
      <c r="Z31" s="475">
        <f t="shared" si="5"/>
        <v>0</v>
      </c>
      <c r="AA31" s="475">
        <v>0</v>
      </c>
      <c r="AB31" s="476">
        <v>0</v>
      </c>
      <c r="AC31" s="38">
        <f t="shared" si="6"/>
        <v>0</v>
      </c>
      <c r="AD31" s="692">
        <f t="shared" si="7"/>
        <v>66188.09</v>
      </c>
      <c r="AE31" s="692">
        <f t="shared" si="8"/>
        <v>0</v>
      </c>
      <c r="AF31" s="692">
        <f t="shared" si="9"/>
        <v>0</v>
      </c>
      <c r="AG31" s="38"/>
      <c r="AH31" s="692">
        <f t="shared" si="10"/>
        <v>165000</v>
      </c>
      <c r="AI31" s="692">
        <f t="shared" si="11"/>
        <v>0</v>
      </c>
      <c r="AJ31" s="692">
        <f t="shared" si="12"/>
        <v>0</v>
      </c>
      <c r="AL31" s="38">
        <f t="shared" si="13"/>
        <v>231188.09</v>
      </c>
      <c r="AM31" s="123" t="s">
        <v>403</v>
      </c>
    </row>
    <row r="32" spans="1:39" s="232" customFormat="1">
      <c r="A32" s="283"/>
      <c r="B32" s="283" t="s">
        <v>110</v>
      </c>
      <c r="C32" s="667" t="s">
        <v>528</v>
      </c>
      <c r="D32" s="123" t="s">
        <v>404</v>
      </c>
      <c r="E32" s="679"/>
      <c r="F32" s="529">
        <f>VLOOKUP(D32,'Dec13 Revenue'!D:V,19,FALSE)</f>
        <v>32110.820000000007</v>
      </c>
      <c r="G32" s="680"/>
      <c r="H32" s="680"/>
      <c r="I32" s="755"/>
      <c r="J32" s="682">
        <f t="shared" si="0"/>
        <v>32110.820000000007</v>
      </c>
      <c r="K32" s="683"/>
      <c r="L32" s="684"/>
      <c r="M32" s="753">
        <v>165000</v>
      </c>
      <c r="N32" s="683">
        <v>0</v>
      </c>
      <c r="O32" s="686"/>
      <c r="P32" s="683">
        <v>0</v>
      </c>
      <c r="Q32" s="687">
        <f t="shared" si="1"/>
        <v>165000</v>
      </c>
      <c r="R32" s="687"/>
      <c r="S32" s="687"/>
      <c r="T32" s="688">
        <v>185572.6</v>
      </c>
      <c r="U32" s="693"/>
      <c r="V32" s="690">
        <f t="shared" si="2"/>
        <v>20572.600000000006</v>
      </c>
      <c r="W32" s="683"/>
      <c r="X32" s="474">
        <f t="shared" si="3"/>
        <v>165000</v>
      </c>
      <c r="Y32" s="474">
        <f t="shared" si="4"/>
        <v>0</v>
      </c>
      <c r="Z32" s="475">
        <f t="shared" si="5"/>
        <v>0</v>
      </c>
      <c r="AA32" s="475">
        <v>0</v>
      </c>
      <c r="AB32" s="476">
        <v>0</v>
      </c>
      <c r="AC32" s="38">
        <f t="shared" si="6"/>
        <v>0</v>
      </c>
      <c r="AD32" s="692">
        <f t="shared" si="7"/>
        <v>32110.820000000007</v>
      </c>
      <c r="AE32" s="692">
        <f t="shared" si="8"/>
        <v>0</v>
      </c>
      <c r="AF32" s="692">
        <f t="shared" si="9"/>
        <v>0</v>
      </c>
      <c r="AG32" s="38"/>
      <c r="AH32" s="692">
        <f t="shared" si="10"/>
        <v>165000</v>
      </c>
      <c r="AI32" s="692">
        <f t="shared" si="11"/>
        <v>0</v>
      </c>
      <c r="AJ32" s="692">
        <f t="shared" si="12"/>
        <v>0</v>
      </c>
      <c r="AL32" s="38">
        <f t="shared" si="13"/>
        <v>197110.82</v>
      </c>
      <c r="AM32" s="123" t="s">
        <v>404</v>
      </c>
    </row>
    <row r="33" spans="1:39" s="232" customFormat="1">
      <c r="A33" s="283"/>
      <c r="B33" s="283" t="s">
        <v>110</v>
      </c>
      <c r="C33" s="667" t="s">
        <v>528</v>
      </c>
      <c r="D33" s="123" t="s">
        <v>405</v>
      </c>
      <c r="E33" s="679"/>
      <c r="F33" s="529">
        <f>VLOOKUP(D33,'Dec13 Revenue'!D:V,19,FALSE)</f>
        <v>6639.7799999999988</v>
      </c>
      <c r="G33" s="680"/>
      <c r="H33" s="680"/>
      <c r="I33" s="755"/>
      <c r="J33" s="682">
        <f t="shared" si="0"/>
        <v>6639.7799999999988</v>
      </c>
      <c r="K33" s="683"/>
      <c r="L33" s="684"/>
      <c r="M33" s="753">
        <v>30000</v>
      </c>
      <c r="N33" s="683">
        <v>0</v>
      </c>
      <c r="O33" s="686"/>
      <c r="P33" s="683">
        <v>0</v>
      </c>
      <c r="Q33" s="687">
        <f t="shared" si="1"/>
        <v>30000</v>
      </c>
      <c r="R33" s="687"/>
      <c r="S33" s="687"/>
      <c r="T33" s="688">
        <v>31773.83</v>
      </c>
      <c r="U33" s="693"/>
      <c r="V33" s="690">
        <f t="shared" si="2"/>
        <v>1773.8300000000017</v>
      </c>
      <c r="W33" s="683"/>
      <c r="X33" s="474">
        <f t="shared" si="3"/>
        <v>30000</v>
      </c>
      <c r="Y33" s="474">
        <f t="shared" si="4"/>
        <v>0</v>
      </c>
      <c r="Z33" s="475">
        <f t="shared" si="5"/>
        <v>0</v>
      </c>
      <c r="AA33" s="475">
        <v>0</v>
      </c>
      <c r="AB33" s="476">
        <v>0</v>
      </c>
      <c r="AC33" s="38">
        <f t="shared" si="6"/>
        <v>0</v>
      </c>
      <c r="AD33" s="692">
        <f t="shared" si="7"/>
        <v>6639.7799999999988</v>
      </c>
      <c r="AE33" s="692">
        <f t="shared" si="8"/>
        <v>0</v>
      </c>
      <c r="AF33" s="692">
        <f t="shared" si="9"/>
        <v>0</v>
      </c>
      <c r="AG33" s="38"/>
      <c r="AH33" s="692">
        <f t="shared" si="10"/>
        <v>30000</v>
      </c>
      <c r="AI33" s="692">
        <f t="shared" si="11"/>
        <v>0</v>
      </c>
      <c r="AJ33" s="692">
        <f t="shared" si="12"/>
        <v>0</v>
      </c>
      <c r="AL33" s="38">
        <f t="shared" si="13"/>
        <v>36639.78</v>
      </c>
      <c r="AM33" s="123" t="s">
        <v>405</v>
      </c>
    </row>
    <row r="34" spans="1:39" s="232" customFormat="1">
      <c r="A34" s="283"/>
      <c r="B34" s="283" t="s">
        <v>110</v>
      </c>
      <c r="C34" s="667" t="s">
        <v>528</v>
      </c>
      <c r="D34" s="123" t="s">
        <v>406</v>
      </c>
      <c r="E34" s="679"/>
      <c r="F34" s="529">
        <f>VLOOKUP(D34,'Dec13 Revenue'!D:V,19,FALSE)</f>
        <v>1775.1699999999983</v>
      </c>
      <c r="G34" s="680"/>
      <c r="H34" s="680"/>
      <c r="I34" s="755"/>
      <c r="J34" s="682">
        <f t="shared" si="0"/>
        <v>1775.1699999999983</v>
      </c>
      <c r="K34" s="683"/>
      <c r="L34" s="684"/>
      <c r="M34" s="753">
        <v>15000</v>
      </c>
      <c r="N34" s="683">
        <v>0</v>
      </c>
      <c r="O34" s="686"/>
      <c r="P34" s="683">
        <v>0</v>
      </c>
      <c r="Q34" s="687">
        <f t="shared" si="1"/>
        <v>15000</v>
      </c>
      <c r="R34" s="687"/>
      <c r="S34" s="687"/>
      <c r="T34" s="688">
        <v>15807.44</v>
      </c>
      <c r="U34" s="693"/>
      <c r="V34" s="690">
        <f t="shared" si="2"/>
        <v>807.44000000000051</v>
      </c>
      <c r="W34" s="683"/>
      <c r="X34" s="474">
        <f t="shared" si="3"/>
        <v>15000</v>
      </c>
      <c r="Y34" s="474">
        <f t="shared" si="4"/>
        <v>0</v>
      </c>
      <c r="Z34" s="475">
        <f t="shared" si="5"/>
        <v>0</v>
      </c>
      <c r="AA34" s="475">
        <v>0</v>
      </c>
      <c r="AB34" s="476">
        <v>0</v>
      </c>
      <c r="AC34" s="38">
        <f t="shared" si="6"/>
        <v>0</v>
      </c>
      <c r="AD34" s="692">
        <f t="shared" si="7"/>
        <v>1775.1699999999983</v>
      </c>
      <c r="AE34" s="692">
        <f t="shared" si="8"/>
        <v>0</v>
      </c>
      <c r="AF34" s="692">
        <f t="shared" si="9"/>
        <v>0</v>
      </c>
      <c r="AG34" s="38"/>
      <c r="AH34" s="692">
        <f t="shared" si="10"/>
        <v>15000</v>
      </c>
      <c r="AI34" s="692">
        <f t="shared" si="11"/>
        <v>0</v>
      </c>
      <c r="AJ34" s="692">
        <f t="shared" si="12"/>
        <v>0</v>
      </c>
      <c r="AL34" s="38">
        <f t="shared" si="13"/>
        <v>16775.169999999998</v>
      </c>
      <c r="AM34" s="123" t="s">
        <v>406</v>
      </c>
    </row>
    <row r="35" spans="1:39" s="232" customFormat="1">
      <c r="A35" s="283"/>
      <c r="B35" s="283" t="s">
        <v>110</v>
      </c>
      <c r="C35" s="667" t="s">
        <v>528</v>
      </c>
      <c r="D35" s="123" t="s">
        <v>407</v>
      </c>
      <c r="E35" s="679"/>
      <c r="F35" s="529">
        <f>VLOOKUP(D35,'Dec13 Revenue'!D:V,19,FALSE)</f>
        <v>1670.6499999999996</v>
      </c>
      <c r="G35" s="680"/>
      <c r="H35" s="680"/>
      <c r="I35" s="755"/>
      <c r="J35" s="682">
        <f t="shared" si="0"/>
        <v>1670.6499999999996</v>
      </c>
      <c r="K35" s="683"/>
      <c r="L35" s="684"/>
      <c r="M35" s="753">
        <v>5000</v>
      </c>
      <c r="N35" s="683">
        <v>0</v>
      </c>
      <c r="O35" s="686"/>
      <c r="P35" s="683">
        <v>0</v>
      </c>
      <c r="Q35" s="687">
        <f t="shared" si="1"/>
        <v>5000</v>
      </c>
      <c r="R35" s="687"/>
      <c r="S35" s="687"/>
      <c r="T35" s="688">
        <v>6492.89</v>
      </c>
      <c r="U35" s="693"/>
      <c r="V35" s="690">
        <f t="shared" si="2"/>
        <v>1492.8900000000003</v>
      </c>
      <c r="W35" s="683"/>
      <c r="X35" s="474">
        <f t="shared" si="3"/>
        <v>5000</v>
      </c>
      <c r="Y35" s="474">
        <f t="shared" si="4"/>
        <v>0</v>
      </c>
      <c r="Z35" s="475">
        <f t="shared" si="5"/>
        <v>0</v>
      </c>
      <c r="AA35" s="475">
        <v>0</v>
      </c>
      <c r="AB35" s="476">
        <v>0</v>
      </c>
      <c r="AC35" s="38">
        <f t="shared" si="6"/>
        <v>0</v>
      </c>
      <c r="AD35" s="692">
        <f t="shared" si="7"/>
        <v>1670.6499999999996</v>
      </c>
      <c r="AE35" s="692">
        <f t="shared" si="8"/>
        <v>0</v>
      </c>
      <c r="AF35" s="692">
        <f t="shared" si="9"/>
        <v>0</v>
      </c>
      <c r="AG35" s="38"/>
      <c r="AH35" s="692">
        <f t="shared" si="10"/>
        <v>5000</v>
      </c>
      <c r="AI35" s="692">
        <f t="shared" si="11"/>
        <v>0</v>
      </c>
      <c r="AJ35" s="692">
        <f t="shared" si="12"/>
        <v>0</v>
      </c>
      <c r="AL35" s="38">
        <f t="shared" si="13"/>
        <v>6670.65</v>
      </c>
      <c r="AM35" s="123" t="s">
        <v>407</v>
      </c>
    </row>
    <row r="36" spans="1:39" s="232" customFormat="1">
      <c r="A36" s="283"/>
      <c r="B36" s="283" t="s">
        <v>110</v>
      </c>
      <c r="C36" s="667" t="s">
        <v>528</v>
      </c>
      <c r="D36" s="123" t="s">
        <v>880</v>
      </c>
      <c r="E36" s="679"/>
      <c r="F36" s="529">
        <f>VLOOKUP(D36,'Dec13 Revenue'!D:V,19,FALSE)</f>
        <v>2935.2200000000003</v>
      </c>
      <c r="G36" s="680"/>
      <c r="H36" s="680"/>
      <c r="I36" s="755"/>
      <c r="J36" s="682">
        <f t="shared" si="0"/>
        <v>2935.2200000000003</v>
      </c>
      <c r="K36" s="683"/>
      <c r="L36" s="684"/>
      <c r="M36" s="753">
        <v>5000</v>
      </c>
      <c r="N36" s="683">
        <v>0</v>
      </c>
      <c r="O36" s="686"/>
      <c r="P36" s="683">
        <v>0</v>
      </c>
      <c r="Q36" s="687">
        <f t="shared" si="1"/>
        <v>5000</v>
      </c>
      <c r="R36" s="687"/>
      <c r="S36" s="687"/>
      <c r="T36" s="688">
        <v>7494.85</v>
      </c>
      <c r="U36" s="693"/>
      <c r="V36" s="690">
        <f t="shared" si="2"/>
        <v>2494.8500000000004</v>
      </c>
      <c r="W36" s="683"/>
      <c r="X36" s="474">
        <f t="shared" si="3"/>
        <v>5000</v>
      </c>
      <c r="Y36" s="474">
        <f t="shared" si="4"/>
        <v>0</v>
      </c>
      <c r="Z36" s="475">
        <f t="shared" si="5"/>
        <v>0</v>
      </c>
      <c r="AA36" s="475">
        <v>0</v>
      </c>
      <c r="AB36" s="476">
        <v>0</v>
      </c>
      <c r="AC36" s="38">
        <f t="shared" si="6"/>
        <v>0</v>
      </c>
      <c r="AD36" s="692">
        <f t="shared" si="7"/>
        <v>2935.2200000000003</v>
      </c>
      <c r="AE36" s="692">
        <f t="shared" si="8"/>
        <v>0</v>
      </c>
      <c r="AF36" s="692">
        <f t="shared" si="9"/>
        <v>0</v>
      </c>
      <c r="AG36" s="38"/>
      <c r="AH36" s="692">
        <f t="shared" si="10"/>
        <v>5000</v>
      </c>
      <c r="AI36" s="692">
        <f t="shared" si="11"/>
        <v>0</v>
      </c>
      <c r="AJ36" s="692">
        <f t="shared" si="12"/>
        <v>0</v>
      </c>
      <c r="AL36" s="38">
        <f t="shared" si="13"/>
        <v>7935.22</v>
      </c>
      <c r="AM36" s="123" t="s">
        <v>880</v>
      </c>
    </row>
    <row r="37" spans="1:39" s="232" customFormat="1">
      <c r="A37" s="283"/>
      <c r="B37" s="283" t="s">
        <v>110</v>
      </c>
      <c r="C37" s="667" t="s">
        <v>528</v>
      </c>
      <c r="D37" s="123" t="s">
        <v>881</v>
      </c>
      <c r="E37" s="679"/>
      <c r="F37" s="529">
        <f>VLOOKUP(D37,'Dec13 Revenue'!D:V,19,FALSE)</f>
        <v>704.06999999999971</v>
      </c>
      <c r="G37" s="680"/>
      <c r="H37" s="680"/>
      <c r="I37" s="755"/>
      <c r="J37" s="682">
        <f t="shared" si="0"/>
        <v>704.06999999999971</v>
      </c>
      <c r="K37" s="683"/>
      <c r="L37" s="684"/>
      <c r="M37" s="753">
        <v>5000</v>
      </c>
      <c r="N37" s="683">
        <v>0</v>
      </c>
      <c r="O37" s="686"/>
      <c r="P37" s="683">
        <v>0</v>
      </c>
      <c r="Q37" s="687">
        <f t="shared" si="1"/>
        <v>5000</v>
      </c>
      <c r="R37" s="687"/>
      <c r="S37" s="687"/>
      <c r="T37" s="688">
        <v>4342.38</v>
      </c>
      <c r="U37" s="693"/>
      <c r="V37" s="690">
        <f t="shared" si="2"/>
        <v>-657.61999999999989</v>
      </c>
      <c r="W37" s="683"/>
      <c r="X37" s="474">
        <f t="shared" si="3"/>
        <v>5000</v>
      </c>
      <c r="Y37" s="474">
        <f t="shared" si="4"/>
        <v>0</v>
      </c>
      <c r="Z37" s="475">
        <f t="shared" si="5"/>
        <v>0</v>
      </c>
      <c r="AA37" s="475">
        <v>0</v>
      </c>
      <c r="AB37" s="476">
        <v>0</v>
      </c>
      <c r="AC37" s="38">
        <f t="shared" si="6"/>
        <v>0</v>
      </c>
      <c r="AD37" s="692">
        <f t="shared" si="7"/>
        <v>704.06999999999971</v>
      </c>
      <c r="AE37" s="692">
        <f t="shared" si="8"/>
        <v>0</v>
      </c>
      <c r="AF37" s="692">
        <f t="shared" si="9"/>
        <v>0</v>
      </c>
      <c r="AG37" s="38"/>
      <c r="AH37" s="692">
        <f t="shared" si="10"/>
        <v>5000</v>
      </c>
      <c r="AI37" s="692">
        <f t="shared" si="11"/>
        <v>0</v>
      </c>
      <c r="AJ37" s="692">
        <f t="shared" si="12"/>
        <v>0</v>
      </c>
      <c r="AL37" s="38">
        <f t="shared" si="13"/>
        <v>5704.07</v>
      </c>
      <c r="AM37" s="123" t="s">
        <v>881</v>
      </c>
    </row>
    <row r="38" spans="1:39" s="232" customFormat="1">
      <c r="A38" s="283"/>
      <c r="B38" s="283" t="s">
        <v>110</v>
      </c>
      <c r="C38" s="667" t="s">
        <v>528</v>
      </c>
      <c r="D38" s="123" t="s">
        <v>820</v>
      </c>
      <c r="E38" s="679"/>
      <c r="F38" s="529">
        <f>VLOOKUP(D38,'Dec13 Revenue'!D:V,19,FALSE)</f>
        <v>-12249.23</v>
      </c>
      <c r="G38" s="680"/>
      <c r="H38" s="680"/>
      <c r="I38" s="755"/>
      <c r="J38" s="682">
        <f t="shared" si="0"/>
        <v>-12249.23</v>
      </c>
      <c r="K38" s="683"/>
      <c r="L38" s="684"/>
      <c r="M38" s="753">
        <v>30000</v>
      </c>
      <c r="N38" s="683">
        <v>0</v>
      </c>
      <c r="O38" s="686"/>
      <c r="P38" s="683">
        <v>0</v>
      </c>
      <c r="Q38" s="687">
        <f t="shared" si="1"/>
        <v>30000</v>
      </c>
      <c r="R38" s="687"/>
      <c r="S38" s="687"/>
      <c r="T38" s="688">
        <v>29167.83</v>
      </c>
      <c r="U38" s="693"/>
      <c r="V38" s="690">
        <f t="shared" si="2"/>
        <v>-832.16999999999825</v>
      </c>
      <c r="W38" s="683"/>
      <c r="X38" s="474">
        <f t="shared" si="3"/>
        <v>30000</v>
      </c>
      <c r="Y38" s="474">
        <f t="shared" si="4"/>
        <v>0</v>
      </c>
      <c r="Z38" s="475">
        <f t="shared" si="5"/>
        <v>0</v>
      </c>
      <c r="AA38" s="475">
        <v>0</v>
      </c>
      <c r="AB38" s="476">
        <v>0</v>
      </c>
      <c r="AC38" s="38">
        <f t="shared" si="6"/>
        <v>0</v>
      </c>
      <c r="AD38" s="692">
        <f t="shared" si="7"/>
        <v>-12249.23</v>
      </c>
      <c r="AE38" s="692">
        <f t="shared" si="8"/>
        <v>0</v>
      </c>
      <c r="AF38" s="692">
        <f t="shared" si="9"/>
        <v>0</v>
      </c>
      <c r="AG38" s="38"/>
      <c r="AH38" s="692">
        <f t="shared" si="10"/>
        <v>30000</v>
      </c>
      <c r="AI38" s="692">
        <f t="shared" si="11"/>
        <v>0</v>
      </c>
      <c r="AJ38" s="692">
        <f t="shared" si="12"/>
        <v>0</v>
      </c>
      <c r="AL38" s="38">
        <f t="shared" si="13"/>
        <v>17750.77</v>
      </c>
      <c r="AM38" s="123" t="s">
        <v>820</v>
      </c>
    </row>
    <row r="39" spans="1:39" s="232" customFormat="1">
      <c r="A39" s="283"/>
      <c r="B39" s="283" t="s">
        <v>110</v>
      </c>
      <c r="C39" s="667" t="s">
        <v>527</v>
      </c>
      <c r="D39" s="123" t="s">
        <v>460</v>
      </c>
      <c r="E39" s="679"/>
      <c r="F39" s="529">
        <f>VLOOKUP(D39,'Dec13 Revenue'!D:V,19,FALSE)</f>
        <v>0</v>
      </c>
      <c r="G39" s="680"/>
      <c r="H39" s="680"/>
      <c r="I39" s="770">
        <v>44271.25</v>
      </c>
      <c r="J39" s="682">
        <f t="shared" si="0"/>
        <v>44271.25</v>
      </c>
      <c r="K39" s="683"/>
      <c r="L39" s="684"/>
      <c r="M39" s="753"/>
      <c r="N39" s="683">
        <v>0</v>
      </c>
      <c r="O39" s="686"/>
      <c r="P39" s="683">
        <v>0</v>
      </c>
      <c r="Q39" s="687">
        <f t="shared" si="1"/>
        <v>0</v>
      </c>
      <c r="R39" s="687"/>
      <c r="S39" s="687"/>
      <c r="T39" s="688">
        <v>0</v>
      </c>
      <c r="U39" s="693"/>
      <c r="V39" s="690">
        <f t="shared" si="2"/>
        <v>0</v>
      </c>
      <c r="W39" s="683"/>
      <c r="X39" s="474">
        <f t="shared" si="3"/>
        <v>0</v>
      </c>
      <c r="Y39" s="474">
        <f t="shared" si="4"/>
        <v>0</v>
      </c>
      <c r="Z39" s="475">
        <f t="shared" si="5"/>
        <v>0</v>
      </c>
      <c r="AA39" s="475">
        <v>0</v>
      </c>
      <c r="AB39" s="476">
        <v>0</v>
      </c>
      <c r="AC39" s="38">
        <f t="shared" si="6"/>
        <v>0</v>
      </c>
      <c r="AD39" s="692">
        <f t="shared" si="7"/>
        <v>44271.25</v>
      </c>
      <c r="AE39" s="692">
        <f t="shared" si="8"/>
        <v>0</v>
      </c>
      <c r="AF39" s="692">
        <f t="shared" si="9"/>
        <v>0</v>
      </c>
      <c r="AG39" s="38"/>
      <c r="AH39" s="692">
        <f t="shared" si="10"/>
        <v>0</v>
      </c>
      <c r="AI39" s="692">
        <f t="shared" si="11"/>
        <v>0</v>
      </c>
      <c r="AJ39" s="692">
        <f t="shared" si="12"/>
        <v>0</v>
      </c>
      <c r="AL39" s="38">
        <f t="shared" si="13"/>
        <v>44271.25</v>
      </c>
      <c r="AM39" s="123" t="s">
        <v>460</v>
      </c>
    </row>
    <row r="40" spans="1:39" s="232" customFormat="1">
      <c r="A40" s="283"/>
      <c r="B40" s="283" t="s">
        <v>110</v>
      </c>
      <c r="C40" s="676" t="s">
        <v>528</v>
      </c>
      <c r="D40" s="123" t="s">
        <v>623</v>
      </c>
      <c r="E40" s="679"/>
      <c r="F40" s="529">
        <f>VLOOKUP(D40,'Dec13 Revenue'!D:V,19,FALSE)</f>
        <v>0</v>
      </c>
      <c r="G40" s="680"/>
      <c r="H40" s="680"/>
      <c r="I40" s="770">
        <v>6395.21</v>
      </c>
      <c r="J40" s="682">
        <f t="shared" si="0"/>
        <v>6395.21</v>
      </c>
      <c r="K40" s="683"/>
      <c r="L40" s="684"/>
      <c r="M40" s="753"/>
      <c r="N40" s="683">
        <v>0</v>
      </c>
      <c r="O40" s="686"/>
      <c r="P40" s="683">
        <v>0</v>
      </c>
      <c r="Q40" s="687">
        <f t="shared" si="1"/>
        <v>0</v>
      </c>
      <c r="R40" s="687"/>
      <c r="S40" s="687"/>
      <c r="T40" s="688">
        <v>0</v>
      </c>
      <c r="U40" s="693"/>
      <c r="V40" s="690">
        <f t="shared" si="2"/>
        <v>0</v>
      </c>
      <c r="W40" s="683"/>
      <c r="X40" s="474">
        <f t="shared" si="3"/>
        <v>0</v>
      </c>
      <c r="Y40" s="474">
        <f t="shared" si="4"/>
        <v>0</v>
      </c>
      <c r="Z40" s="475">
        <f t="shared" si="5"/>
        <v>0</v>
      </c>
      <c r="AA40" s="475">
        <v>0</v>
      </c>
      <c r="AB40" s="476">
        <v>0</v>
      </c>
      <c r="AC40" s="38">
        <f t="shared" si="6"/>
        <v>0</v>
      </c>
      <c r="AD40" s="692">
        <f t="shared" si="7"/>
        <v>6395.21</v>
      </c>
      <c r="AE40" s="692">
        <f t="shared" si="8"/>
        <v>0</v>
      </c>
      <c r="AF40" s="692">
        <f t="shared" si="9"/>
        <v>0</v>
      </c>
      <c r="AG40" s="38"/>
      <c r="AH40" s="692">
        <f t="shared" si="10"/>
        <v>0</v>
      </c>
      <c r="AI40" s="692">
        <f t="shared" si="11"/>
        <v>0</v>
      </c>
      <c r="AJ40" s="692">
        <f t="shared" si="12"/>
        <v>0</v>
      </c>
      <c r="AL40" s="38">
        <f t="shared" si="13"/>
        <v>6395.21</v>
      </c>
      <c r="AM40" s="123" t="s">
        <v>623</v>
      </c>
    </row>
    <row r="41" spans="1:39" s="232" customFormat="1">
      <c r="A41" s="403"/>
      <c r="B41" s="403" t="s">
        <v>114</v>
      </c>
      <c r="C41" s="675" t="s">
        <v>527</v>
      </c>
      <c r="D41" s="123" t="s">
        <v>1054</v>
      </c>
      <c r="E41" s="679"/>
      <c r="F41" s="529">
        <f>VLOOKUP(D41,'Dec13 Revenue'!D:V,19,FALSE)</f>
        <v>46607.4</v>
      </c>
      <c r="G41" s="680"/>
      <c r="H41" s="680"/>
      <c r="I41" s="755"/>
      <c r="J41" s="682">
        <f t="shared" ref="J41" si="14">SUM(E41:I41)</f>
        <v>46607.4</v>
      </c>
      <c r="K41" s="683"/>
      <c r="L41" s="684"/>
      <c r="M41" s="753">
        <v>15000</v>
      </c>
      <c r="N41" s="683">
        <v>0</v>
      </c>
      <c r="O41" s="686"/>
      <c r="P41" s="683">
        <v>0</v>
      </c>
      <c r="Q41" s="687">
        <f t="shared" ref="Q41" si="15">L41+M41</f>
        <v>15000</v>
      </c>
      <c r="R41" s="687"/>
      <c r="S41" s="687"/>
      <c r="T41" s="688">
        <v>0</v>
      </c>
      <c r="U41" s="693"/>
      <c r="V41" s="690">
        <f t="shared" si="2"/>
        <v>-15000</v>
      </c>
      <c r="W41" s="683"/>
      <c r="X41" s="474">
        <f t="shared" ref="X41" si="16">IF(B41="D",Q41,0)</f>
        <v>0</v>
      </c>
      <c r="Y41" s="474">
        <f t="shared" ref="Y41" si="17">IF(B41="M",Q41,0)</f>
        <v>0</v>
      </c>
      <c r="Z41" s="475">
        <f t="shared" ref="Z41" si="18">IF(B41="V",Q41,0)</f>
        <v>15000</v>
      </c>
      <c r="AA41" s="475">
        <v>0</v>
      </c>
      <c r="AB41" s="476">
        <v>0</v>
      </c>
      <c r="AC41" s="38">
        <f t="shared" ref="AC41" si="19">(L41+M41)-(X41+Y41+Z41+AA41+AB41)</f>
        <v>0</v>
      </c>
      <c r="AD41" s="692">
        <f t="shared" ref="AD41" si="20">IF(B41="D",J41,0)</f>
        <v>0</v>
      </c>
      <c r="AE41" s="692">
        <f t="shared" ref="AE41" si="21">IF(B41="M",J41,0)</f>
        <v>0</v>
      </c>
      <c r="AF41" s="692">
        <f t="shared" ref="AF41" si="22">IF(B41="V",J41,0)</f>
        <v>46607.4</v>
      </c>
      <c r="AG41" s="38"/>
      <c r="AH41" s="692">
        <f t="shared" ref="AH41" si="23">IF(B41="D",Q41,0)</f>
        <v>0</v>
      </c>
      <c r="AI41" s="692">
        <f t="shared" ref="AI41" si="24">IF(B41="M",Q41,0)</f>
        <v>0</v>
      </c>
      <c r="AJ41" s="692">
        <f t="shared" ref="AJ41" si="25">IF(B41="V",Q41,0)</f>
        <v>15000</v>
      </c>
      <c r="AL41" s="38">
        <f t="shared" ref="AL41" si="26">SUM(AD41:AJ41)</f>
        <v>61607.4</v>
      </c>
      <c r="AM41" s="123" t="s">
        <v>108</v>
      </c>
    </row>
    <row r="42" spans="1:39" s="232" customFormat="1">
      <c r="A42" s="403"/>
      <c r="B42" s="403" t="s">
        <v>114</v>
      </c>
      <c r="C42" s="666" t="s">
        <v>529</v>
      </c>
      <c r="D42" s="123" t="s">
        <v>108</v>
      </c>
      <c r="E42" s="679"/>
      <c r="F42" s="529">
        <f>VLOOKUP(D42,'Dec13 Revenue'!D:V,19,FALSE)</f>
        <v>14220.599999999999</v>
      </c>
      <c r="G42" s="680"/>
      <c r="H42" s="680"/>
      <c r="I42" s="755"/>
      <c r="J42" s="682">
        <f t="shared" si="0"/>
        <v>14220.599999999999</v>
      </c>
      <c r="K42" s="683"/>
      <c r="L42" s="684"/>
      <c r="M42" s="753">
        <v>20000</v>
      </c>
      <c r="N42" s="683">
        <v>0</v>
      </c>
      <c r="O42" s="686"/>
      <c r="P42" s="683">
        <v>0</v>
      </c>
      <c r="Q42" s="687">
        <f t="shared" si="1"/>
        <v>20000</v>
      </c>
      <c r="R42" s="687"/>
      <c r="S42" s="687"/>
      <c r="T42" s="688">
        <v>34733.949999999997</v>
      </c>
      <c r="U42" s="693"/>
      <c r="V42" s="690">
        <f t="shared" si="2"/>
        <v>14733.949999999997</v>
      </c>
      <c r="W42" s="683"/>
      <c r="X42" s="474">
        <f t="shared" si="3"/>
        <v>0</v>
      </c>
      <c r="Y42" s="474">
        <f t="shared" si="4"/>
        <v>0</v>
      </c>
      <c r="Z42" s="475">
        <f t="shared" si="5"/>
        <v>20000</v>
      </c>
      <c r="AA42" s="475">
        <v>0</v>
      </c>
      <c r="AB42" s="476">
        <v>0</v>
      </c>
      <c r="AC42" s="38">
        <f t="shared" si="6"/>
        <v>0</v>
      </c>
      <c r="AD42" s="692">
        <f t="shared" si="7"/>
        <v>0</v>
      </c>
      <c r="AE42" s="692">
        <f t="shared" si="8"/>
        <v>0</v>
      </c>
      <c r="AF42" s="692">
        <f t="shared" si="9"/>
        <v>14220.599999999999</v>
      </c>
      <c r="AG42" s="38"/>
      <c r="AH42" s="692">
        <f t="shared" si="10"/>
        <v>0</v>
      </c>
      <c r="AI42" s="692">
        <f t="shared" si="11"/>
        <v>0</v>
      </c>
      <c r="AJ42" s="692">
        <f t="shared" si="12"/>
        <v>20000</v>
      </c>
      <c r="AL42" s="38">
        <f t="shared" si="13"/>
        <v>34220.6</v>
      </c>
      <c r="AM42" s="123" t="s">
        <v>108</v>
      </c>
    </row>
    <row r="43" spans="1:39" s="232" customFormat="1">
      <c r="A43" s="403"/>
      <c r="B43" s="403" t="s">
        <v>110</v>
      </c>
      <c r="C43" s="666"/>
      <c r="D43" s="123" t="s">
        <v>911</v>
      </c>
      <c r="E43" s="679"/>
      <c r="F43" s="529">
        <f>VLOOKUP(D43,'Dec13 Revenue'!D:V,19,FALSE)</f>
        <v>-672.55999999999949</v>
      </c>
      <c r="G43" s="680"/>
      <c r="H43" s="680"/>
      <c r="I43" s="755"/>
      <c r="J43" s="682">
        <f t="shared" si="0"/>
        <v>-672.55999999999949</v>
      </c>
      <c r="K43" s="683"/>
      <c r="L43" s="684"/>
      <c r="M43" s="753">
        <v>15000</v>
      </c>
      <c r="N43" s="683">
        <v>0</v>
      </c>
      <c r="O43" s="686"/>
      <c r="P43" s="683">
        <v>0</v>
      </c>
      <c r="Q43" s="687">
        <f t="shared" si="1"/>
        <v>15000</v>
      </c>
      <c r="R43" s="687"/>
      <c r="S43" s="687"/>
      <c r="T43" s="688">
        <v>15159.89</v>
      </c>
      <c r="U43" s="693"/>
      <c r="V43" s="690">
        <f t="shared" si="2"/>
        <v>159.88999999999942</v>
      </c>
      <c r="W43" s="683"/>
      <c r="X43" s="474">
        <f t="shared" si="3"/>
        <v>15000</v>
      </c>
      <c r="Y43" s="474">
        <f t="shared" si="4"/>
        <v>0</v>
      </c>
      <c r="Z43" s="475">
        <f t="shared" si="5"/>
        <v>0</v>
      </c>
      <c r="AA43" s="475">
        <v>0</v>
      </c>
      <c r="AB43" s="476">
        <v>0</v>
      </c>
      <c r="AC43" s="38">
        <f t="shared" si="6"/>
        <v>0</v>
      </c>
      <c r="AD43" s="692">
        <f t="shared" si="7"/>
        <v>-672.55999999999949</v>
      </c>
      <c r="AE43" s="692">
        <f t="shared" si="8"/>
        <v>0</v>
      </c>
      <c r="AF43" s="692">
        <f t="shared" si="9"/>
        <v>0</v>
      </c>
      <c r="AG43" s="38"/>
      <c r="AH43" s="692">
        <f t="shared" si="10"/>
        <v>15000</v>
      </c>
      <c r="AI43" s="692">
        <f t="shared" si="11"/>
        <v>0</v>
      </c>
      <c r="AJ43" s="692">
        <f t="shared" si="12"/>
        <v>0</v>
      </c>
      <c r="AL43" s="38">
        <f t="shared" si="13"/>
        <v>14327.44</v>
      </c>
      <c r="AM43" s="123" t="s">
        <v>911</v>
      </c>
    </row>
    <row r="44" spans="1:39">
      <c r="A44" s="21"/>
      <c r="B44" s="21" t="s">
        <v>110</v>
      </c>
      <c r="C44" s="666"/>
      <c r="D44" s="68" t="s">
        <v>234</v>
      </c>
      <c r="E44" s="679"/>
      <c r="F44" s="529">
        <f>VLOOKUP(D44,'Dec13 Revenue'!D:V,19,FALSE)</f>
        <v>-15000</v>
      </c>
      <c r="G44" s="680"/>
      <c r="H44" s="680"/>
      <c r="I44" s="755"/>
      <c r="J44" s="682">
        <f t="shared" si="0"/>
        <v>-15000</v>
      </c>
      <c r="K44" s="683"/>
      <c r="L44" s="684"/>
      <c r="M44" s="753">
        <v>20000</v>
      </c>
      <c r="N44" s="683">
        <v>0</v>
      </c>
      <c r="O44" s="686"/>
      <c r="P44" s="683">
        <v>0</v>
      </c>
      <c r="Q44" s="687">
        <f t="shared" si="1"/>
        <v>20000</v>
      </c>
      <c r="R44" s="687"/>
      <c r="S44" s="687"/>
      <c r="T44" s="688">
        <v>0</v>
      </c>
      <c r="U44" s="693"/>
      <c r="V44" s="690">
        <f t="shared" si="2"/>
        <v>-20000</v>
      </c>
      <c r="W44" s="683"/>
      <c r="X44" s="474">
        <f t="shared" si="3"/>
        <v>20000</v>
      </c>
      <c r="Y44" s="474">
        <f t="shared" si="4"/>
        <v>0</v>
      </c>
      <c r="Z44" s="475">
        <f t="shared" si="5"/>
        <v>0</v>
      </c>
      <c r="AA44" s="475">
        <v>0</v>
      </c>
      <c r="AB44" s="476">
        <v>0</v>
      </c>
      <c r="AC44" s="38">
        <f t="shared" si="6"/>
        <v>0</v>
      </c>
      <c r="AD44" s="692">
        <f t="shared" si="7"/>
        <v>-15000</v>
      </c>
      <c r="AE44" s="692">
        <f t="shared" si="8"/>
        <v>0</v>
      </c>
      <c r="AF44" s="692">
        <f t="shared" si="9"/>
        <v>0</v>
      </c>
      <c r="AG44" s="38"/>
      <c r="AH44" s="692">
        <f t="shared" si="10"/>
        <v>20000</v>
      </c>
      <c r="AI44" s="692">
        <f t="shared" si="11"/>
        <v>0</v>
      </c>
      <c r="AJ44" s="692">
        <f t="shared" si="12"/>
        <v>0</v>
      </c>
      <c r="AL44" s="38">
        <f t="shared" si="13"/>
        <v>5000</v>
      </c>
      <c r="AM44" s="68" t="s">
        <v>234</v>
      </c>
    </row>
    <row r="45" spans="1:39">
      <c r="A45" s="20"/>
      <c r="B45" s="20" t="s">
        <v>109</v>
      </c>
      <c r="C45" s="667"/>
      <c r="D45" s="68" t="s">
        <v>598</v>
      </c>
      <c r="E45" s="679">
        <v>645.77</v>
      </c>
      <c r="F45" s="529">
        <f>VLOOKUP(D45,'Dec13 Revenue'!D:V,19,FALSE)</f>
        <v>0</v>
      </c>
      <c r="G45" s="680"/>
      <c r="H45" s="680"/>
      <c r="I45" s="755"/>
      <c r="J45" s="682">
        <f t="shared" si="0"/>
        <v>645.77</v>
      </c>
      <c r="K45" s="683"/>
      <c r="L45" s="684"/>
      <c r="M45" s="753"/>
      <c r="N45" s="683">
        <v>0</v>
      </c>
      <c r="O45" s="686"/>
      <c r="P45" s="683">
        <v>0</v>
      </c>
      <c r="Q45" s="687">
        <f t="shared" si="1"/>
        <v>0</v>
      </c>
      <c r="R45" s="687"/>
      <c r="S45" s="687"/>
      <c r="T45" s="688">
        <v>0</v>
      </c>
      <c r="U45" s="693"/>
      <c r="V45" s="690">
        <f t="shared" si="2"/>
        <v>0</v>
      </c>
      <c r="W45" s="683"/>
      <c r="X45" s="474">
        <f t="shared" si="3"/>
        <v>0</v>
      </c>
      <c r="Y45" s="474">
        <f t="shared" si="4"/>
        <v>0</v>
      </c>
      <c r="Z45" s="475">
        <f t="shared" si="5"/>
        <v>0</v>
      </c>
      <c r="AA45" s="475">
        <v>0</v>
      </c>
      <c r="AB45" s="476">
        <v>0</v>
      </c>
      <c r="AC45" s="38">
        <f t="shared" si="6"/>
        <v>0</v>
      </c>
      <c r="AD45" s="692">
        <f t="shared" si="7"/>
        <v>0</v>
      </c>
      <c r="AE45" s="692">
        <f t="shared" si="8"/>
        <v>645.77</v>
      </c>
      <c r="AF45" s="692">
        <f t="shared" si="9"/>
        <v>0</v>
      </c>
      <c r="AG45" s="38"/>
      <c r="AH45" s="692">
        <f t="shared" si="10"/>
        <v>0</v>
      </c>
      <c r="AI45" s="692">
        <f t="shared" si="11"/>
        <v>0</v>
      </c>
      <c r="AJ45" s="692">
        <f t="shared" si="12"/>
        <v>0</v>
      </c>
      <c r="AL45" s="38">
        <f t="shared" si="13"/>
        <v>645.77</v>
      </c>
      <c r="AM45" s="68" t="s">
        <v>598</v>
      </c>
    </row>
    <row r="46" spans="1:39">
      <c r="A46" s="20"/>
      <c r="B46" s="20" t="s">
        <v>110</v>
      </c>
      <c r="C46" s="667"/>
      <c r="D46" s="68" t="s">
        <v>311</v>
      </c>
      <c r="E46" s="679"/>
      <c r="F46" s="529">
        <f>VLOOKUP(D46,'Dec13 Revenue'!D:V,19,FALSE)</f>
        <v>0</v>
      </c>
      <c r="G46" s="680"/>
      <c r="H46" s="680"/>
      <c r="I46" s="755"/>
      <c r="J46" s="682">
        <f t="shared" si="0"/>
        <v>0</v>
      </c>
      <c r="K46" s="683"/>
      <c r="L46" s="684"/>
      <c r="M46" s="753"/>
      <c r="N46" s="683">
        <v>0</v>
      </c>
      <c r="O46" s="686"/>
      <c r="P46" s="683">
        <v>0</v>
      </c>
      <c r="Q46" s="687">
        <f t="shared" si="1"/>
        <v>0</v>
      </c>
      <c r="R46" s="687"/>
      <c r="S46" s="687"/>
      <c r="T46" s="688">
        <v>0</v>
      </c>
      <c r="U46" s="693"/>
      <c r="V46" s="690">
        <f t="shared" si="2"/>
        <v>0</v>
      </c>
      <c r="W46" s="683"/>
      <c r="X46" s="474">
        <f t="shared" si="3"/>
        <v>0</v>
      </c>
      <c r="Y46" s="474">
        <f t="shared" si="4"/>
        <v>0</v>
      </c>
      <c r="Z46" s="475">
        <f t="shared" si="5"/>
        <v>0</v>
      </c>
      <c r="AA46" s="475">
        <v>0</v>
      </c>
      <c r="AB46" s="476">
        <v>0</v>
      </c>
      <c r="AC46" s="38">
        <f t="shared" si="6"/>
        <v>0</v>
      </c>
      <c r="AD46" s="692">
        <f t="shared" si="7"/>
        <v>0</v>
      </c>
      <c r="AE46" s="692">
        <f t="shared" si="8"/>
        <v>0</v>
      </c>
      <c r="AF46" s="692">
        <f t="shared" si="9"/>
        <v>0</v>
      </c>
      <c r="AG46" s="38"/>
      <c r="AH46" s="692">
        <f t="shared" si="10"/>
        <v>0</v>
      </c>
      <c r="AI46" s="692">
        <f t="shared" si="11"/>
        <v>0</v>
      </c>
      <c r="AJ46" s="692">
        <f t="shared" si="12"/>
        <v>0</v>
      </c>
      <c r="AL46" s="38">
        <f t="shared" si="13"/>
        <v>0</v>
      </c>
      <c r="AM46" s="68" t="s">
        <v>311</v>
      </c>
    </row>
    <row r="47" spans="1:39">
      <c r="A47" s="20"/>
      <c r="B47" s="20" t="s">
        <v>110</v>
      </c>
      <c r="C47" s="667"/>
      <c r="D47" s="68" t="s">
        <v>451</v>
      </c>
      <c r="E47" s="679">
        <v>79092.23</v>
      </c>
      <c r="F47" s="529">
        <f>VLOOKUP(D47,'Dec13 Revenue'!D:V,19,FALSE)</f>
        <v>-22611.690000000002</v>
      </c>
      <c r="G47" s="680"/>
      <c r="H47" s="680"/>
      <c r="I47" s="755"/>
      <c r="J47" s="682">
        <f t="shared" si="0"/>
        <v>56480.539999999994</v>
      </c>
      <c r="K47" s="683"/>
      <c r="L47" s="684"/>
      <c r="M47" s="753">
        <v>75000</v>
      </c>
      <c r="N47" s="683">
        <v>0</v>
      </c>
      <c r="O47" s="686"/>
      <c r="P47" s="683">
        <v>0</v>
      </c>
      <c r="Q47" s="687">
        <f t="shared" si="1"/>
        <v>75000</v>
      </c>
      <c r="R47" s="687"/>
      <c r="S47" s="687"/>
      <c r="T47" s="688">
        <v>86533.57</v>
      </c>
      <c r="U47" s="693"/>
      <c r="V47" s="690">
        <f t="shared" si="2"/>
        <v>11533.570000000007</v>
      </c>
      <c r="W47" s="683"/>
      <c r="X47" s="474">
        <f t="shared" si="3"/>
        <v>75000</v>
      </c>
      <c r="Y47" s="474">
        <f t="shared" si="4"/>
        <v>0</v>
      </c>
      <c r="Z47" s="475">
        <f t="shared" si="5"/>
        <v>0</v>
      </c>
      <c r="AA47" s="475">
        <v>0</v>
      </c>
      <c r="AB47" s="476">
        <v>0</v>
      </c>
      <c r="AC47" s="38">
        <f t="shared" si="6"/>
        <v>0</v>
      </c>
      <c r="AD47" s="692">
        <f t="shared" si="7"/>
        <v>56480.539999999994</v>
      </c>
      <c r="AE47" s="692">
        <f t="shared" si="8"/>
        <v>0</v>
      </c>
      <c r="AF47" s="692">
        <f t="shared" si="9"/>
        <v>0</v>
      </c>
      <c r="AG47" s="38"/>
      <c r="AH47" s="692">
        <f t="shared" si="10"/>
        <v>75000</v>
      </c>
      <c r="AI47" s="692">
        <f t="shared" si="11"/>
        <v>0</v>
      </c>
      <c r="AJ47" s="692">
        <f t="shared" si="12"/>
        <v>0</v>
      </c>
      <c r="AL47" s="38">
        <f t="shared" si="13"/>
        <v>131480.53999999998</v>
      </c>
      <c r="AM47" s="68" t="s">
        <v>451</v>
      </c>
    </row>
    <row r="48" spans="1:39">
      <c r="A48" s="20"/>
      <c r="B48" s="20" t="s">
        <v>109</v>
      </c>
      <c r="C48" s="667"/>
      <c r="D48" s="68" t="s">
        <v>469</v>
      </c>
      <c r="E48" s="679"/>
      <c r="F48" s="529">
        <f>VLOOKUP(D48,'Dec13 Revenue'!D:V,19,FALSE)</f>
        <v>0</v>
      </c>
      <c r="G48" s="680"/>
      <c r="H48" s="680"/>
      <c r="I48" s="755"/>
      <c r="J48" s="682">
        <f t="shared" si="0"/>
        <v>0</v>
      </c>
      <c r="K48" s="683"/>
      <c r="L48" s="684"/>
      <c r="M48" s="753"/>
      <c r="N48" s="683">
        <v>0</v>
      </c>
      <c r="O48" s="686"/>
      <c r="P48" s="683">
        <v>0</v>
      </c>
      <c r="Q48" s="687">
        <f t="shared" si="1"/>
        <v>0</v>
      </c>
      <c r="R48" s="687"/>
      <c r="S48" s="687"/>
      <c r="T48" s="688">
        <v>4842.43</v>
      </c>
      <c r="U48" s="693"/>
      <c r="V48" s="690">
        <f t="shared" si="2"/>
        <v>4842.43</v>
      </c>
      <c r="W48" s="683"/>
      <c r="X48" s="474">
        <f t="shared" si="3"/>
        <v>0</v>
      </c>
      <c r="Y48" s="474">
        <f t="shared" si="4"/>
        <v>0</v>
      </c>
      <c r="Z48" s="475">
        <f t="shared" si="5"/>
        <v>0</v>
      </c>
      <c r="AA48" s="475">
        <v>0</v>
      </c>
      <c r="AB48" s="476">
        <v>0</v>
      </c>
      <c r="AC48" s="38">
        <f t="shared" si="6"/>
        <v>0</v>
      </c>
      <c r="AD48" s="692">
        <f t="shared" si="7"/>
        <v>0</v>
      </c>
      <c r="AE48" s="692">
        <f t="shared" si="8"/>
        <v>0</v>
      </c>
      <c r="AF48" s="692">
        <f t="shared" si="9"/>
        <v>0</v>
      </c>
      <c r="AG48" s="38"/>
      <c r="AH48" s="692">
        <f t="shared" si="10"/>
        <v>0</v>
      </c>
      <c r="AI48" s="692">
        <f t="shared" si="11"/>
        <v>0</v>
      </c>
      <c r="AJ48" s="692">
        <f t="shared" si="12"/>
        <v>0</v>
      </c>
      <c r="AL48" s="38">
        <f t="shared" si="13"/>
        <v>0</v>
      </c>
      <c r="AM48" s="68" t="s">
        <v>469</v>
      </c>
    </row>
    <row r="49" spans="1:39">
      <c r="A49" s="20"/>
      <c r="B49" s="20" t="s">
        <v>110</v>
      </c>
      <c r="C49" s="667" t="s">
        <v>530</v>
      </c>
      <c r="D49" s="68" t="s">
        <v>69</v>
      </c>
      <c r="E49" s="679"/>
      <c r="F49" s="529">
        <f>VLOOKUP(D49,'Dec13 Revenue'!D:V,19,FALSE)</f>
        <v>0</v>
      </c>
      <c r="G49" s="680"/>
      <c r="H49" s="680"/>
      <c r="I49" s="755"/>
      <c r="J49" s="682">
        <f t="shared" si="0"/>
        <v>0</v>
      </c>
      <c r="K49" s="683"/>
      <c r="L49" s="684"/>
      <c r="M49" s="753"/>
      <c r="N49" s="683">
        <v>0</v>
      </c>
      <c r="O49" s="686"/>
      <c r="P49" s="683">
        <v>0</v>
      </c>
      <c r="Q49" s="687">
        <f t="shared" si="1"/>
        <v>0</v>
      </c>
      <c r="R49" s="687"/>
      <c r="S49" s="687"/>
      <c r="T49" s="688">
        <v>0</v>
      </c>
      <c r="U49" s="693"/>
      <c r="V49" s="690">
        <f t="shared" si="2"/>
        <v>0</v>
      </c>
      <c r="W49" s="683"/>
      <c r="X49" s="474">
        <f t="shared" si="3"/>
        <v>0</v>
      </c>
      <c r="Y49" s="474">
        <f t="shared" si="4"/>
        <v>0</v>
      </c>
      <c r="Z49" s="475">
        <f t="shared" si="5"/>
        <v>0</v>
      </c>
      <c r="AA49" s="475">
        <v>0</v>
      </c>
      <c r="AB49" s="476">
        <v>0</v>
      </c>
      <c r="AC49" s="38">
        <f t="shared" si="6"/>
        <v>0</v>
      </c>
      <c r="AD49" s="692">
        <f t="shared" si="7"/>
        <v>0</v>
      </c>
      <c r="AE49" s="692">
        <f t="shared" si="8"/>
        <v>0</v>
      </c>
      <c r="AF49" s="692">
        <f t="shared" si="9"/>
        <v>0</v>
      </c>
      <c r="AG49" s="38"/>
      <c r="AH49" s="692">
        <f t="shared" si="10"/>
        <v>0</v>
      </c>
      <c r="AI49" s="692">
        <f t="shared" si="11"/>
        <v>0</v>
      </c>
      <c r="AJ49" s="692">
        <f t="shared" si="12"/>
        <v>0</v>
      </c>
      <c r="AL49" s="38">
        <f t="shared" si="13"/>
        <v>0</v>
      </c>
      <c r="AM49" s="68" t="s">
        <v>69</v>
      </c>
    </row>
    <row r="50" spans="1:39" hidden="1">
      <c r="A50" s="20"/>
      <c r="B50" s="20" t="s">
        <v>110</v>
      </c>
      <c r="C50" s="667" t="s">
        <v>531</v>
      </c>
      <c r="D50" s="68" t="s">
        <v>237</v>
      </c>
      <c r="E50" s="679"/>
      <c r="F50" s="529">
        <f>VLOOKUP(D50,'Dec13 Revenue'!D:V,19,FALSE)</f>
        <v>0</v>
      </c>
      <c r="G50" s="680"/>
      <c r="H50" s="680"/>
      <c r="I50" s="755"/>
      <c r="J50" s="682">
        <f t="shared" si="0"/>
        <v>0</v>
      </c>
      <c r="K50" s="683"/>
      <c r="L50" s="684"/>
      <c r="M50" s="753"/>
      <c r="N50" s="683">
        <v>0</v>
      </c>
      <c r="O50" s="686"/>
      <c r="P50" s="683">
        <v>0</v>
      </c>
      <c r="Q50" s="687">
        <f t="shared" si="1"/>
        <v>0</v>
      </c>
      <c r="R50" s="687"/>
      <c r="S50" s="687"/>
      <c r="T50" s="688">
        <v>0</v>
      </c>
      <c r="U50" s="693"/>
      <c r="V50" s="690">
        <f t="shared" si="2"/>
        <v>0</v>
      </c>
      <c r="W50" s="683"/>
      <c r="X50" s="474">
        <f t="shared" si="3"/>
        <v>0</v>
      </c>
      <c r="Y50" s="474">
        <f t="shared" si="4"/>
        <v>0</v>
      </c>
      <c r="Z50" s="475">
        <f t="shared" si="5"/>
        <v>0</v>
      </c>
      <c r="AA50" s="475">
        <v>0</v>
      </c>
      <c r="AB50" s="476">
        <v>0</v>
      </c>
      <c r="AC50" s="38">
        <f t="shared" si="6"/>
        <v>0</v>
      </c>
      <c r="AD50" s="692">
        <f t="shared" si="7"/>
        <v>0</v>
      </c>
      <c r="AE50" s="692">
        <f t="shared" si="8"/>
        <v>0</v>
      </c>
      <c r="AF50" s="692">
        <f t="shared" si="9"/>
        <v>0</v>
      </c>
      <c r="AG50" s="38"/>
      <c r="AH50" s="692">
        <f t="shared" si="10"/>
        <v>0</v>
      </c>
      <c r="AI50" s="692">
        <f t="shared" si="11"/>
        <v>0</v>
      </c>
      <c r="AJ50" s="692">
        <f t="shared" si="12"/>
        <v>0</v>
      </c>
      <c r="AL50" s="38">
        <f t="shared" si="13"/>
        <v>0</v>
      </c>
      <c r="AM50" s="68" t="s">
        <v>237</v>
      </c>
    </row>
    <row r="51" spans="1:39">
      <c r="A51" s="20" t="s">
        <v>211</v>
      </c>
      <c r="B51" s="20" t="s">
        <v>110</v>
      </c>
      <c r="C51" s="667" t="s">
        <v>532</v>
      </c>
      <c r="D51" s="68" t="s">
        <v>7</v>
      </c>
      <c r="E51" s="679"/>
      <c r="F51" s="529">
        <f>VLOOKUP(D51,'Dec13 Revenue'!D:V,19,FALSE)</f>
        <v>-90000</v>
      </c>
      <c r="G51" s="680"/>
      <c r="H51" s="680"/>
      <c r="I51" s="755"/>
      <c r="J51" s="682">
        <f t="shared" si="0"/>
        <v>-90000</v>
      </c>
      <c r="K51" s="683"/>
      <c r="L51" s="684"/>
      <c r="M51" s="753">
        <v>120000</v>
      </c>
      <c r="N51" s="683">
        <v>0</v>
      </c>
      <c r="O51" s="686"/>
      <c r="P51" s="683">
        <v>0</v>
      </c>
      <c r="Q51" s="687">
        <f t="shared" si="1"/>
        <v>120000</v>
      </c>
      <c r="R51" s="687"/>
      <c r="S51" s="687"/>
      <c r="T51" s="688">
        <v>0</v>
      </c>
      <c r="U51" s="693"/>
      <c r="V51" s="690">
        <f t="shared" si="2"/>
        <v>-120000</v>
      </c>
      <c r="W51" s="697"/>
      <c r="X51" s="474">
        <f t="shared" si="3"/>
        <v>120000</v>
      </c>
      <c r="Y51" s="474">
        <f t="shared" si="4"/>
        <v>0</v>
      </c>
      <c r="Z51" s="475">
        <f t="shared" si="5"/>
        <v>0</v>
      </c>
      <c r="AA51" s="475">
        <v>0</v>
      </c>
      <c r="AB51" s="476">
        <v>0</v>
      </c>
      <c r="AC51" s="38">
        <f t="shared" si="6"/>
        <v>0</v>
      </c>
      <c r="AD51" s="692">
        <f t="shared" si="7"/>
        <v>-90000</v>
      </c>
      <c r="AE51" s="692">
        <f t="shared" si="8"/>
        <v>0</v>
      </c>
      <c r="AF51" s="692">
        <f t="shared" si="9"/>
        <v>0</v>
      </c>
      <c r="AG51" s="38"/>
      <c r="AH51" s="692">
        <f t="shared" si="10"/>
        <v>120000</v>
      </c>
      <c r="AI51" s="692">
        <f t="shared" si="11"/>
        <v>0</v>
      </c>
      <c r="AJ51" s="692">
        <f t="shared" si="12"/>
        <v>0</v>
      </c>
      <c r="AL51" s="38">
        <f t="shared" si="13"/>
        <v>30000</v>
      </c>
      <c r="AM51" s="68" t="s">
        <v>7</v>
      </c>
    </row>
    <row r="52" spans="1:39" s="24" customFormat="1">
      <c r="A52" s="32" t="s">
        <v>97</v>
      </c>
      <c r="B52" s="32" t="s">
        <v>109</v>
      </c>
      <c r="C52" s="667" t="s">
        <v>533</v>
      </c>
      <c r="D52" s="351" t="s">
        <v>1071</v>
      </c>
      <c r="E52" s="832"/>
      <c r="F52" s="677">
        <v>0</v>
      </c>
      <c r="G52" s="680"/>
      <c r="H52" s="680"/>
      <c r="I52" s="755"/>
      <c r="J52" s="703">
        <f t="shared" si="0"/>
        <v>0</v>
      </c>
      <c r="K52" s="698"/>
      <c r="L52" s="833"/>
      <c r="M52" s="834"/>
      <c r="N52" s="698">
        <v>0</v>
      </c>
      <c r="O52" s="699"/>
      <c r="P52" s="698">
        <v>0</v>
      </c>
      <c r="Q52" s="700">
        <f t="shared" si="1"/>
        <v>0</v>
      </c>
      <c r="R52" s="700"/>
      <c r="S52" s="700"/>
      <c r="T52" s="688">
        <v>0</v>
      </c>
      <c r="U52" s="701"/>
      <c r="V52" s="702">
        <f t="shared" si="2"/>
        <v>0</v>
      </c>
      <c r="W52" s="698"/>
      <c r="X52" s="474">
        <f t="shared" si="3"/>
        <v>0</v>
      </c>
      <c r="Y52" s="474">
        <f t="shared" si="4"/>
        <v>0</v>
      </c>
      <c r="Z52" s="475">
        <f t="shared" si="5"/>
        <v>0</v>
      </c>
      <c r="AA52" s="475">
        <v>0</v>
      </c>
      <c r="AB52" s="476">
        <v>0</v>
      </c>
      <c r="AC52" s="169">
        <f t="shared" si="6"/>
        <v>0</v>
      </c>
      <c r="AD52" s="692">
        <f t="shared" si="7"/>
        <v>0</v>
      </c>
      <c r="AE52" s="692">
        <f t="shared" si="8"/>
        <v>0</v>
      </c>
      <c r="AF52" s="692">
        <f t="shared" si="9"/>
        <v>0</v>
      </c>
      <c r="AG52" s="169"/>
      <c r="AH52" s="692">
        <f t="shared" si="10"/>
        <v>0</v>
      </c>
      <c r="AI52" s="692">
        <f t="shared" si="11"/>
        <v>0</v>
      </c>
      <c r="AJ52" s="692">
        <f t="shared" si="12"/>
        <v>0</v>
      </c>
      <c r="AL52" s="169">
        <f t="shared" si="13"/>
        <v>0</v>
      </c>
      <c r="AM52" s="68" t="s">
        <v>1070</v>
      </c>
    </row>
    <row r="53" spans="1:39" s="232" customFormat="1" hidden="1">
      <c r="A53" s="283"/>
      <c r="B53" s="283" t="s">
        <v>109</v>
      </c>
      <c r="C53" s="667" t="s">
        <v>533</v>
      </c>
      <c r="D53" s="123" t="s">
        <v>416</v>
      </c>
      <c r="E53" s="679"/>
      <c r="F53" s="529">
        <f>VLOOKUP(D53,'Dec13 Revenue'!D:V,19,FALSE)</f>
        <v>0</v>
      </c>
      <c r="G53" s="680"/>
      <c r="H53" s="680"/>
      <c r="I53" s="755"/>
      <c r="J53" s="682">
        <f t="shared" si="0"/>
        <v>0</v>
      </c>
      <c r="K53" s="683"/>
      <c r="L53" s="684"/>
      <c r="M53" s="753"/>
      <c r="N53" s="683">
        <v>0</v>
      </c>
      <c r="O53" s="686"/>
      <c r="P53" s="683">
        <v>0</v>
      </c>
      <c r="Q53" s="687">
        <f t="shared" si="1"/>
        <v>0</v>
      </c>
      <c r="R53" s="687"/>
      <c r="S53" s="687"/>
      <c r="T53" s="688">
        <v>0</v>
      </c>
      <c r="U53" s="693"/>
      <c r="V53" s="690">
        <f t="shared" si="2"/>
        <v>0</v>
      </c>
      <c r="W53" s="683"/>
      <c r="X53" s="474">
        <f t="shared" si="3"/>
        <v>0</v>
      </c>
      <c r="Y53" s="474">
        <f t="shared" si="4"/>
        <v>0</v>
      </c>
      <c r="Z53" s="475">
        <f t="shared" si="5"/>
        <v>0</v>
      </c>
      <c r="AA53" s="475">
        <v>0</v>
      </c>
      <c r="AB53" s="476">
        <v>0</v>
      </c>
      <c r="AC53" s="38">
        <f t="shared" si="6"/>
        <v>0</v>
      </c>
      <c r="AD53" s="692">
        <f t="shared" si="7"/>
        <v>0</v>
      </c>
      <c r="AE53" s="692">
        <f t="shared" si="8"/>
        <v>0</v>
      </c>
      <c r="AF53" s="692">
        <f t="shared" si="9"/>
        <v>0</v>
      </c>
      <c r="AG53" s="38"/>
      <c r="AH53" s="692">
        <f t="shared" si="10"/>
        <v>0</v>
      </c>
      <c r="AI53" s="692">
        <f t="shared" si="11"/>
        <v>0</v>
      </c>
      <c r="AJ53" s="692">
        <f t="shared" si="12"/>
        <v>0</v>
      </c>
      <c r="AL53" s="38">
        <f t="shared" si="13"/>
        <v>0</v>
      </c>
      <c r="AM53" s="123" t="s">
        <v>416</v>
      </c>
    </row>
    <row r="54" spans="1:39" s="232" customFormat="1" hidden="1">
      <c r="A54" s="283"/>
      <c r="B54" s="283" t="s">
        <v>109</v>
      </c>
      <c r="C54" s="667" t="s">
        <v>533</v>
      </c>
      <c r="D54" s="123" t="s">
        <v>417</v>
      </c>
      <c r="E54" s="679"/>
      <c r="F54" s="529">
        <f>VLOOKUP(D54,'Dec13 Revenue'!D:V,19,FALSE)</f>
        <v>0</v>
      </c>
      <c r="G54" s="680"/>
      <c r="H54" s="680"/>
      <c r="I54" s="755"/>
      <c r="J54" s="682">
        <f t="shared" si="0"/>
        <v>0</v>
      </c>
      <c r="K54" s="683"/>
      <c r="L54" s="684"/>
      <c r="M54" s="753"/>
      <c r="N54" s="683">
        <v>0</v>
      </c>
      <c r="O54" s="686"/>
      <c r="P54" s="683">
        <v>0</v>
      </c>
      <c r="Q54" s="687">
        <f t="shared" si="1"/>
        <v>0</v>
      </c>
      <c r="R54" s="687"/>
      <c r="S54" s="687"/>
      <c r="T54" s="688">
        <v>0</v>
      </c>
      <c r="U54" s="693"/>
      <c r="V54" s="690">
        <f t="shared" si="2"/>
        <v>0</v>
      </c>
      <c r="W54" s="683"/>
      <c r="X54" s="474">
        <f t="shared" si="3"/>
        <v>0</v>
      </c>
      <c r="Y54" s="474">
        <f t="shared" si="4"/>
        <v>0</v>
      </c>
      <c r="Z54" s="475">
        <f t="shared" si="5"/>
        <v>0</v>
      </c>
      <c r="AA54" s="475">
        <v>0</v>
      </c>
      <c r="AB54" s="476">
        <v>0</v>
      </c>
      <c r="AC54" s="38">
        <f t="shared" si="6"/>
        <v>0</v>
      </c>
      <c r="AD54" s="692">
        <f t="shared" si="7"/>
        <v>0</v>
      </c>
      <c r="AE54" s="692">
        <f t="shared" si="8"/>
        <v>0</v>
      </c>
      <c r="AF54" s="692">
        <f t="shared" si="9"/>
        <v>0</v>
      </c>
      <c r="AG54" s="38"/>
      <c r="AH54" s="692">
        <f t="shared" si="10"/>
        <v>0</v>
      </c>
      <c r="AI54" s="692">
        <f t="shared" si="11"/>
        <v>0</v>
      </c>
      <c r="AJ54" s="692">
        <f t="shared" si="12"/>
        <v>0</v>
      </c>
      <c r="AL54" s="38">
        <f t="shared" si="13"/>
        <v>0</v>
      </c>
      <c r="AM54" s="123" t="s">
        <v>417</v>
      </c>
    </row>
    <row r="55" spans="1:39" s="232" customFormat="1" hidden="1">
      <c r="A55" s="283"/>
      <c r="B55" s="283" t="s">
        <v>109</v>
      </c>
      <c r="C55" s="667" t="s">
        <v>533</v>
      </c>
      <c r="D55" s="123" t="s">
        <v>418</v>
      </c>
      <c r="E55" s="679"/>
      <c r="F55" s="529">
        <f>VLOOKUP(D55,'Dec13 Revenue'!D:V,19,FALSE)</f>
        <v>0</v>
      </c>
      <c r="G55" s="680"/>
      <c r="H55" s="680"/>
      <c r="I55" s="755"/>
      <c r="J55" s="682">
        <f t="shared" si="0"/>
        <v>0</v>
      </c>
      <c r="K55" s="683"/>
      <c r="L55" s="684"/>
      <c r="M55" s="753"/>
      <c r="N55" s="683">
        <v>0</v>
      </c>
      <c r="O55" s="686"/>
      <c r="P55" s="683">
        <v>0</v>
      </c>
      <c r="Q55" s="687">
        <f t="shared" si="1"/>
        <v>0</v>
      </c>
      <c r="R55" s="687"/>
      <c r="S55" s="687"/>
      <c r="T55" s="688">
        <v>0</v>
      </c>
      <c r="U55" s="693"/>
      <c r="V55" s="690">
        <f t="shared" si="2"/>
        <v>0</v>
      </c>
      <c r="W55" s="683"/>
      <c r="X55" s="474">
        <f t="shared" si="3"/>
        <v>0</v>
      </c>
      <c r="Y55" s="474">
        <f t="shared" si="4"/>
        <v>0</v>
      </c>
      <c r="Z55" s="475">
        <f t="shared" si="5"/>
        <v>0</v>
      </c>
      <c r="AA55" s="475">
        <v>0</v>
      </c>
      <c r="AB55" s="476">
        <v>0</v>
      </c>
      <c r="AC55" s="38">
        <f t="shared" si="6"/>
        <v>0</v>
      </c>
      <c r="AD55" s="692">
        <f t="shared" si="7"/>
        <v>0</v>
      </c>
      <c r="AE55" s="692">
        <f t="shared" si="8"/>
        <v>0</v>
      </c>
      <c r="AF55" s="692">
        <f t="shared" si="9"/>
        <v>0</v>
      </c>
      <c r="AG55" s="38"/>
      <c r="AH55" s="692">
        <f t="shared" si="10"/>
        <v>0</v>
      </c>
      <c r="AI55" s="692">
        <f t="shared" si="11"/>
        <v>0</v>
      </c>
      <c r="AJ55" s="692">
        <f t="shared" si="12"/>
        <v>0</v>
      </c>
      <c r="AL55" s="38">
        <f t="shared" si="13"/>
        <v>0</v>
      </c>
      <c r="AM55" s="123" t="s">
        <v>418</v>
      </c>
    </row>
    <row r="56" spans="1:39">
      <c r="A56" s="20"/>
      <c r="B56" s="20" t="s">
        <v>110</v>
      </c>
      <c r="C56" s="667"/>
      <c r="D56" s="68" t="s">
        <v>992</v>
      </c>
      <c r="E56" s="679"/>
      <c r="F56" s="529">
        <f>VLOOKUP(D56,'Dec13 Revenue'!D:V,19,FALSE)</f>
        <v>4158.12</v>
      </c>
      <c r="G56" s="680"/>
      <c r="H56" s="680"/>
      <c r="I56" s="755"/>
      <c r="J56" s="682">
        <f t="shared" si="0"/>
        <v>4158.12</v>
      </c>
      <c r="K56" s="683"/>
      <c r="L56" s="684"/>
      <c r="M56" s="753"/>
      <c r="N56" s="683">
        <v>0</v>
      </c>
      <c r="O56" s="686"/>
      <c r="P56" s="683">
        <v>0</v>
      </c>
      <c r="Q56" s="687">
        <f t="shared" si="1"/>
        <v>0</v>
      </c>
      <c r="R56" s="687"/>
      <c r="S56" s="687"/>
      <c r="T56" s="688">
        <v>3014.45</v>
      </c>
      <c r="U56" s="693"/>
      <c r="V56" s="690">
        <f t="shared" si="2"/>
        <v>3014.45</v>
      </c>
      <c r="W56" s="683"/>
      <c r="X56" s="474">
        <f t="shared" si="3"/>
        <v>0</v>
      </c>
      <c r="Y56" s="474">
        <f t="shared" si="4"/>
        <v>0</v>
      </c>
      <c r="Z56" s="475">
        <f t="shared" si="5"/>
        <v>0</v>
      </c>
      <c r="AA56" s="475">
        <v>0</v>
      </c>
      <c r="AB56" s="476">
        <v>0</v>
      </c>
      <c r="AC56" s="38">
        <f t="shared" si="6"/>
        <v>0</v>
      </c>
      <c r="AD56" s="692">
        <f t="shared" si="7"/>
        <v>4158.12</v>
      </c>
      <c r="AE56" s="692">
        <f t="shared" si="8"/>
        <v>0</v>
      </c>
      <c r="AF56" s="692">
        <f t="shared" si="9"/>
        <v>0</v>
      </c>
      <c r="AG56" s="38"/>
      <c r="AH56" s="692">
        <f t="shared" si="10"/>
        <v>0</v>
      </c>
      <c r="AI56" s="692">
        <f t="shared" si="11"/>
        <v>0</v>
      </c>
      <c r="AJ56" s="692">
        <f t="shared" si="12"/>
        <v>0</v>
      </c>
      <c r="AL56" s="38">
        <f t="shared" si="13"/>
        <v>4158.12</v>
      </c>
      <c r="AM56" s="68" t="s">
        <v>992</v>
      </c>
    </row>
    <row r="57" spans="1:39" s="232" customFormat="1">
      <c r="A57" s="283"/>
      <c r="B57" s="283" t="s">
        <v>110</v>
      </c>
      <c r="C57" s="676" t="s">
        <v>986</v>
      </c>
      <c r="D57" s="68" t="s">
        <v>987</v>
      </c>
      <c r="E57" s="679">
        <v>5491.21</v>
      </c>
      <c r="F57" s="529">
        <f>VLOOKUP(D57,'Dec13 Revenue'!D:V,19,FALSE)</f>
        <v>7231.31</v>
      </c>
      <c r="G57" s="680"/>
      <c r="H57" s="680"/>
      <c r="I57" s="755"/>
      <c r="J57" s="682">
        <f t="shared" si="0"/>
        <v>12722.52</v>
      </c>
      <c r="K57" s="683"/>
      <c r="L57" s="684"/>
      <c r="M57" s="753"/>
      <c r="N57" s="683">
        <v>0</v>
      </c>
      <c r="O57" s="686"/>
      <c r="P57" s="683">
        <v>0</v>
      </c>
      <c r="Q57" s="687">
        <f t="shared" si="1"/>
        <v>0</v>
      </c>
      <c r="R57" s="687"/>
      <c r="S57" s="687"/>
      <c r="T57" s="688">
        <v>4769.7299999999996</v>
      </c>
      <c r="U57" s="693"/>
      <c r="V57" s="690">
        <f t="shared" si="2"/>
        <v>4769.7299999999996</v>
      </c>
      <c r="W57" s="683"/>
      <c r="X57" s="474">
        <f t="shared" si="3"/>
        <v>0</v>
      </c>
      <c r="Y57" s="474">
        <f t="shared" si="4"/>
        <v>0</v>
      </c>
      <c r="Z57" s="475">
        <f t="shared" si="5"/>
        <v>0</v>
      </c>
      <c r="AA57" s="475">
        <v>0</v>
      </c>
      <c r="AB57" s="476">
        <v>0</v>
      </c>
      <c r="AC57" s="38">
        <f t="shared" si="6"/>
        <v>0</v>
      </c>
      <c r="AD57" s="692">
        <f t="shared" si="7"/>
        <v>12722.52</v>
      </c>
      <c r="AE57" s="692">
        <f t="shared" si="8"/>
        <v>0</v>
      </c>
      <c r="AF57" s="692">
        <f t="shared" si="9"/>
        <v>0</v>
      </c>
      <c r="AG57" s="38"/>
      <c r="AH57" s="692">
        <f t="shared" si="10"/>
        <v>0</v>
      </c>
      <c r="AI57" s="692">
        <f t="shared" si="11"/>
        <v>0</v>
      </c>
      <c r="AJ57" s="692">
        <f t="shared" si="12"/>
        <v>0</v>
      </c>
      <c r="AK57" s="16"/>
      <c r="AL57" s="38">
        <f t="shared" si="13"/>
        <v>12722.52</v>
      </c>
      <c r="AM57" s="68" t="s">
        <v>987</v>
      </c>
    </row>
    <row r="58" spans="1:39">
      <c r="A58" s="20" t="s">
        <v>211</v>
      </c>
      <c r="B58" s="20" t="s">
        <v>109</v>
      </c>
      <c r="C58" s="667" t="s">
        <v>534</v>
      </c>
      <c r="D58" s="68" t="s">
        <v>9</v>
      </c>
      <c r="E58" s="679">
        <v>895.05</v>
      </c>
      <c r="F58" s="529">
        <f>VLOOKUP(D58,'Dec13 Revenue'!D:V,19,FALSE)</f>
        <v>0</v>
      </c>
      <c r="G58" s="680"/>
      <c r="H58" s="680"/>
      <c r="I58" s="755"/>
      <c r="J58" s="682">
        <f>SUM(E58:I58)</f>
        <v>895.05</v>
      </c>
      <c r="K58" s="683"/>
      <c r="L58" s="684"/>
      <c r="M58" s="753"/>
      <c r="N58" s="683">
        <v>0</v>
      </c>
      <c r="O58" s="686"/>
      <c r="P58" s="683">
        <v>0</v>
      </c>
      <c r="Q58" s="687">
        <f t="shared" si="1"/>
        <v>0</v>
      </c>
      <c r="R58" s="687"/>
      <c r="S58" s="687"/>
      <c r="T58" s="688">
        <v>0</v>
      </c>
      <c r="U58" s="693"/>
      <c r="V58" s="690">
        <f t="shared" si="2"/>
        <v>0</v>
      </c>
      <c r="W58" s="697"/>
      <c r="X58" s="474">
        <f t="shared" si="3"/>
        <v>0</v>
      </c>
      <c r="Y58" s="474">
        <f t="shared" si="4"/>
        <v>0</v>
      </c>
      <c r="Z58" s="475">
        <f t="shared" si="5"/>
        <v>0</v>
      </c>
      <c r="AA58" s="475">
        <v>0</v>
      </c>
      <c r="AB58" s="476">
        <v>0</v>
      </c>
      <c r="AC58" s="38">
        <f t="shared" si="6"/>
        <v>0</v>
      </c>
      <c r="AD58" s="692">
        <f t="shared" si="7"/>
        <v>0</v>
      </c>
      <c r="AE58" s="692">
        <f t="shared" si="8"/>
        <v>895.05</v>
      </c>
      <c r="AF58" s="692">
        <f t="shared" si="9"/>
        <v>0</v>
      </c>
      <c r="AG58" s="38"/>
      <c r="AH58" s="692">
        <f t="shared" si="10"/>
        <v>0</v>
      </c>
      <c r="AI58" s="692">
        <f t="shared" si="11"/>
        <v>0</v>
      </c>
      <c r="AJ58" s="692">
        <f t="shared" si="12"/>
        <v>0</v>
      </c>
      <c r="AL58" s="38">
        <f t="shared" si="13"/>
        <v>895.05</v>
      </c>
      <c r="AM58" s="68" t="s">
        <v>9</v>
      </c>
    </row>
    <row r="59" spans="1:39">
      <c r="A59" s="20" t="s">
        <v>211</v>
      </c>
      <c r="B59" s="20" t="s">
        <v>110</v>
      </c>
      <c r="C59" s="667"/>
      <c r="D59" s="68" t="s">
        <v>1041</v>
      </c>
      <c r="E59" s="679">
        <v>985.39</v>
      </c>
      <c r="F59" s="529">
        <f>VLOOKUP(D59,'Dec13 Revenue'!D:V,19,FALSE)</f>
        <v>988.24</v>
      </c>
      <c r="G59" s="680"/>
      <c r="H59" s="680"/>
      <c r="I59" s="755"/>
      <c r="J59" s="682">
        <f t="shared" si="0"/>
        <v>1973.63</v>
      </c>
      <c r="K59" s="683"/>
      <c r="L59" s="684"/>
      <c r="M59" s="753"/>
      <c r="N59" s="683">
        <v>0</v>
      </c>
      <c r="O59" s="686"/>
      <c r="P59" s="683">
        <v>0</v>
      </c>
      <c r="Q59" s="687">
        <f t="shared" si="1"/>
        <v>0</v>
      </c>
      <c r="R59" s="687"/>
      <c r="S59" s="687"/>
      <c r="T59" s="688">
        <v>917.27</v>
      </c>
      <c r="U59" s="693"/>
      <c r="V59" s="690">
        <f t="shared" si="2"/>
        <v>917.27</v>
      </c>
      <c r="W59" s="683"/>
      <c r="X59" s="474">
        <f t="shared" si="3"/>
        <v>0</v>
      </c>
      <c r="Y59" s="474">
        <f t="shared" si="4"/>
        <v>0</v>
      </c>
      <c r="Z59" s="475">
        <f t="shared" si="5"/>
        <v>0</v>
      </c>
      <c r="AA59" s="475">
        <v>0</v>
      </c>
      <c r="AB59" s="476">
        <v>0</v>
      </c>
      <c r="AC59" s="38">
        <f t="shared" si="6"/>
        <v>0</v>
      </c>
      <c r="AD59" s="692">
        <f t="shared" si="7"/>
        <v>1973.63</v>
      </c>
      <c r="AE59" s="692">
        <f t="shared" si="8"/>
        <v>0</v>
      </c>
      <c r="AF59" s="692">
        <f t="shared" si="9"/>
        <v>0</v>
      </c>
      <c r="AG59" s="38"/>
      <c r="AH59" s="692">
        <f t="shared" si="10"/>
        <v>0</v>
      </c>
      <c r="AI59" s="692">
        <f t="shared" si="11"/>
        <v>0</v>
      </c>
      <c r="AJ59" s="692">
        <f t="shared" si="12"/>
        <v>0</v>
      </c>
      <c r="AL59" s="38">
        <f t="shared" si="13"/>
        <v>1973.63</v>
      </c>
      <c r="AM59" s="68" t="s">
        <v>487</v>
      </c>
    </row>
    <row r="60" spans="1:39">
      <c r="A60" s="20"/>
      <c r="B60" s="20" t="s">
        <v>109</v>
      </c>
      <c r="C60" s="676" t="s">
        <v>906</v>
      </c>
      <c r="D60" s="68" t="s">
        <v>830</v>
      </c>
      <c r="E60" s="679">
        <v>6524.15</v>
      </c>
      <c r="F60" s="529">
        <f>VLOOKUP(D60,'Dec13 Revenue'!D:V,19,FALSE)</f>
        <v>0</v>
      </c>
      <c r="G60" s="680"/>
      <c r="H60" s="680"/>
      <c r="I60" s="770">
        <v>654077.37</v>
      </c>
      <c r="J60" s="682">
        <f t="shared" si="0"/>
        <v>660601.52</v>
      </c>
      <c r="K60" s="683"/>
      <c r="L60" s="684"/>
      <c r="M60" s="753"/>
      <c r="N60" s="683">
        <v>0</v>
      </c>
      <c r="O60" s="686"/>
      <c r="P60" s="683">
        <v>0</v>
      </c>
      <c r="Q60" s="687">
        <f t="shared" si="1"/>
        <v>0</v>
      </c>
      <c r="R60" s="687"/>
      <c r="S60" s="687"/>
      <c r="T60" s="688">
        <v>0</v>
      </c>
      <c r="U60" s="693"/>
      <c r="V60" s="690">
        <f t="shared" si="2"/>
        <v>0</v>
      </c>
      <c r="W60" s="683"/>
      <c r="X60" s="474">
        <f t="shared" si="3"/>
        <v>0</v>
      </c>
      <c r="Y60" s="474">
        <f t="shared" si="4"/>
        <v>0</v>
      </c>
      <c r="Z60" s="475">
        <f t="shared" si="5"/>
        <v>0</v>
      </c>
      <c r="AA60" s="475">
        <v>0</v>
      </c>
      <c r="AB60" s="476">
        <v>0</v>
      </c>
      <c r="AC60" s="38">
        <f t="shared" si="6"/>
        <v>0</v>
      </c>
      <c r="AD60" s="692">
        <f t="shared" si="7"/>
        <v>0</v>
      </c>
      <c r="AE60" s="692">
        <f t="shared" si="8"/>
        <v>660601.52</v>
      </c>
      <c r="AF60" s="692">
        <f t="shared" si="9"/>
        <v>0</v>
      </c>
      <c r="AG60" s="38"/>
      <c r="AH60" s="692">
        <f t="shared" si="10"/>
        <v>0</v>
      </c>
      <c r="AI60" s="692">
        <f t="shared" si="11"/>
        <v>0</v>
      </c>
      <c r="AJ60" s="692">
        <f t="shared" si="12"/>
        <v>0</v>
      </c>
      <c r="AL60" s="38">
        <f t="shared" si="13"/>
        <v>660601.52</v>
      </c>
      <c r="AM60" s="68" t="s">
        <v>830</v>
      </c>
    </row>
    <row r="61" spans="1:39">
      <c r="A61" s="20"/>
      <c r="B61" s="20" t="s">
        <v>109</v>
      </c>
      <c r="C61" s="667"/>
      <c r="D61" s="68" t="s">
        <v>374</v>
      </c>
      <c r="E61" s="679"/>
      <c r="F61" s="529">
        <f>VLOOKUP(D61,'Dec13 Revenue'!D:V,19,FALSE)</f>
        <v>-1223.0800000000017</v>
      </c>
      <c r="G61" s="680"/>
      <c r="H61" s="680"/>
      <c r="I61" s="755"/>
      <c r="J61" s="682">
        <f t="shared" si="0"/>
        <v>-1223.0800000000017</v>
      </c>
      <c r="K61" s="683"/>
      <c r="L61" s="684"/>
      <c r="M61" s="753">
        <v>5000</v>
      </c>
      <c r="N61" s="683">
        <v>0</v>
      </c>
      <c r="O61" s="686"/>
      <c r="P61" s="683">
        <v>0</v>
      </c>
      <c r="Q61" s="687">
        <f t="shared" si="1"/>
        <v>5000</v>
      </c>
      <c r="R61" s="687"/>
      <c r="S61" s="687"/>
      <c r="T61" s="688">
        <v>0</v>
      </c>
      <c r="U61" s="693"/>
      <c r="V61" s="690">
        <f t="shared" si="2"/>
        <v>-5000</v>
      </c>
      <c r="W61" s="683"/>
      <c r="X61" s="474">
        <f t="shared" si="3"/>
        <v>0</v>
      </c>
      <c r="Y61" s="474">
        <f t="shared" si="4"/>
        <v>5000</v>
      </c>
      <c r="Z61" s="475">
        <f t="shared" si="5"/>
        <v>0</v>
      </c>
      <c r="AA61" s="475">
        <v>0</v>
      </c>
      <c r="AB61" s="476">
        <v>0</v>
      </c>
      <c r="AC61" s="38">
        <f t="shared" si="6"/>
        <v>0</v>
      </c>
      <c r="AD61" s="692">
        <f t="shared" si="7"/>
        <v>0</v>
      </c>
      <c r="AE61" s="692">
        <f t="shared" si="8"/>
        <v>-1223.0800000000017</v>
      </c>
      <c r="AF61" s="692">
        <f t="shared" si="9"/>
        <v>0</v>
      </c>
      <c r="AG61" s="38"/>
      <c r="AH61" s="692">
        <f t="shared" si="10"/>
        <v>0</v>
      </c>
      <c r="AI61" s="692">
        <f t="shared" si="11"/>
        <v>5000</v>
      </c>
      <c r="AJ61" s="692">
        <f t="shared" si="12"/>
        <v>0</v>
      </c>
      <c r="AL61" s="38">
        <f t="shared" si="13"/>
        <v>3776.9199999999983</v>
      </c>
      <c r="AM61" s="68" t="s">
        <v>374</v>
      </c>
    </row>
    <row r="62" spans="1:39">
      <c r="A62" s="20"/>
      <c r="B62" s="20" t="s">
        <v>114</v>
      </c>
      <c r="C62" s="667"/>
      <c r="D62" s="68" t="s">
        <v>502</v>
      </c>
      <c r="E62" s="679"/>
      <c r="F62" s="529">
        <f>VLOOKUP(D62,'Dec13 Revenue'!D:V,19,FALSE)</f>
        <v>0</v>
      </c>
      <c r="G62" s="680"/>
      <c r="H62" s="680"/>
      <c r="I62" s="755"/>
      <c r="J62" s="682">
        <f t="shared" si="0"/>
        <v>0</v>
      </c>
      <c r="K62" s="683"/>
      <c r="L62" s="684"/>
      <c r="M62" s="753"/>
      <c r="N62" s="683">
        <v>0</v>
      </c>
      <c r="O62" s="686"/>
      <c r="P62" s="683">
        <v>0</v>
      </c>
      <c r="Q62" s="687">
        <f t="shared" si="1"/>
        <v>0</v>
      </c>
      <c r="R62" s="687"/>
      <c r="S62" s="687"/>
      <c r="T62" s="688">
        <v>0</v>
      </c>
      <c r="U62" s="693"/>
      <c r="V62" s="690">
        <f t="shared" si="2"/>
        <v>0</v>
      </c>
      <c r="W62" s="683"/>
      <c r="X62" s="474">
        <f t="shared" si="3"/>
        <v>0</v>
      </c>
      <c r="Y62" s="474">
        <f t="shared" si="4"/>
        <v>0</v>
      </c>
      <c r="Z62" s="475">
        <f t="shared" si="5"/>
        <v>0</v>
      </c>
      <c r="AA62" s="475">
        <v>0</v>
      </c>
      <c r="AB62" s="476">
        <v>0</v>
      </c>
      <c r="AC62" s="38">
        <f t="shared" si="6"/>
        <v>0</v>
      </c>
      <c r="AD62" s="692">
        <f t="shared" si="7"/>
        <v>0</v>
      </c>
      <c r="AE62" s="692">
        <f t="shared" si="8"/>
        <v>0</v>
      </c>
      <c r="AF62" s="692">
        <f t="shared" si="9"/>
        <v>0</v>
      </c>
      <c r="AG62" s="38"/>
      <c r="AH62" s="692">
        <f t="shared" si="10"/>
        <v>0</v>
      </c>
      <c r="AI62" s="692">
        <f t="shared" si="11"/>
        <v>0</v>
      </c>
      <c r="AJ62" s="692">
        <f t="shared" si="12"/>
        <v>0</v>
      </c>
      <c r="AL62" s="38">
        <f t="shared" si="13"/>
        <v>0</v>
      </c>
      <c r="AM62" s="68" t="s">
        <v>502</v>
      </c>
    </row>
    <row r="63" spans="1:39">
      <c r="A63" s="21"/>
      <c r="B63" s="21" t="s">
        <v>110</v>
      </c>
      <c r="C63" s="666" t="s">
        <v>535</v>
      </c>
      <c r="D63" s="123" t="s">
        <v>517</v>
      </c>
      <c r="E63" s="679"/>
      <c r="F63" s="529">
        <f>VLOOKUP(D63,'Dec13 Revenue'!D:V,19,FALSE)</f>
        <v>47691.820000000007</v>
      </c>
      <c r="G63" s="680"/>
      <c r="H63" s="680"/>
      <c r="I63" s="755"/>
      <c r="J63" s="682">
        <f t="shared" si="0"/>
        <v>47691.820000000007</v>
      </c>
      <c r="K63" s="683"/>
      <c r="L63" s="684"/>
      <c r="M63" s="753">
        <v>475000</v>
      </c>
      <c r="N63" s="683">
        <v>0</v>
      </c>
      <c r="O63" s="686"/>
      <c r="P63" s="683">
        <v>0</v>
      </c>
      <c r="Q63" s="687">
        <f t="shared" si="1"/>
        <v>475000</v>
      </c>
      <c r="R63" s="687"/>
      <c r="S63" s="687"/>
      <c r="T63" s="688">
        <v>454111.22</v>
      </c>
      <c r="U63" s="693"/>
      <c r="V63" s="690">
        <f t="shared" si="2"/>
        <v>-20888.780000000028</v>
      </c>
      <c r="W63" s="697"/>
      <c r="X63" s="474">
        <f t="shared" si="3"/>
        <v>475000</v>
      </c>
      <c r="Y63" s="474">
        <f t="shared" si="4"/>
        <v>0</v>
      </c>
      <c r="Z63" s="475">
        <f t="shared" si="5"/>
        <v>0</v>
      </c>
      <c r="AA63" s="475">
        <v>0</v>
      </c>
      <c r="AB63" s="476">
        <v>0</v>
      </c>
      <c r="AC63" s="38">
        <f t="shared" si="6"/>
        <v>0</v>
      </c>
      <c r="AD63" s="692">
        <f t="shared" si="7"/>
        <v>47691.820000000007</v>
      </c>
      <c r="AE63" s="692">
        <f t="shared" si="8"/>
        <v>0</v>
      </c>
      <c r="AF63" s="692">
        <f t="shared" si="9"/>
        <v>0</v>
      </c>
      <c r="AG63" s="38"/>
      <c r="AH63" s="692">
        <f t="shared" si="10"/>
        <v>475000</v>
      </c>
      <c r="AI63" s="692">
        <f t="shared" si="11"/>
        <v>0</v>
      </c>
      <c r="AJ63" s="692">
        <f t="shared" si="12"/>
        <v>0</v>
      </c>
      <c r="AL63" s="38">
        <f t="shared" si="13"/>
        <v>522691.82</v>
      </c>
      <c r="AM63" s="123" t="s">
        <v>517</v>
      </c>
    </row>
    <row r="64" spans="1:39">
      <c r="A64" s="20"/>
      <c r="B64" s="20" t="s">
        <v>110</v>
      </c>
      <c r="C64" s="667" t="s">
        <v>536</v>
      </c>
      <c r="D64" s="68" t="s">
        <v>450</v>
      </c>
      <c r="E64" s="679"/>
      <c r="F64" s="529">
        <f>VLOOKUP(D64,'Dec13 Revenue'!D:V,19,FALSE)</f>
        <v>0</v>
      </c>
      <c r="G64" s="680"/>
      <c r="H64" s="680"/>
      <c r="I64" s="755"/>
      <c r="J64" s="682">
        <f t="shared" si="0"/>
        <v>0</v>
      </c>
      <c r="K64" s="683"/>
      <c r="L64" s="684"/>
      <c r="M64" s="753"/>
      <c r="N64" s="683">
        <v>0</v>
      </c>
      <c r="O64" s="686"/>
      <c r="P64" s="683">
        <v>0</v>
      </c>
      <c r="Q64" s="687">
        <f t="shared" si="1"/>
        <v>0</v>
      </c>
      <c r="R64" s="687"/>
      <c r="S64" s="687"/>
      <c r="T64" s="688">
        <v>0</v>
      </c>
      <c r="U64" s="693"/>
      <c r="V64" s="690">
        <f t="shared" si="2"/>
        <v>0</v>
      </c>
      <c r="W64" s="683"/>
      <c r="X64" s="474">
        <f t="shared" si="3"/>
        <v>0</v>
      </c>
      <c r="Y64" s="474">
        <f t="shared" si="4"/>
        <v>0</v>
      </c>
      <c r="Z64" s="475">
        <f t="shared" si="5"/>
        <v>0</v>
      </c>
      <c r="AA64" s="475">
        <v>0</v>
      </c>
      <c r="AB64" s="476">
        <v>0</v>
      </c>
      <c r="AC64" s="38">
        <f t="shared" si="6"/>
        <v>0</v>
      </c>
      <c r="AD64" s="692">
        <f t="shared" si="7"/>
        <v>0</v>
      </c>
      <c r="AE64" s="692">
        <f t="shared" si="8"/>
        <v>0</v>
      </c>
      <c r="AF64" s="692">
        <f t="shared" si="9"/>
        <v>0</v>
      </c>
      <c r="AG64" s="38"/>
      <c r="AH64" s="692">
        <f t="shared" si="10"/>
        <v>0</v>
      </c>
      <c r="AI64" s="692">
        <f t="shared" si="11"/>
        <v>0</v>
      </c>
      <c r="AJ64" s="692">
        <f t="shared" si="12"/>
        <v>0</v>
      </c>
      <c r="AL64" s="38">
        <f t="shared" si="13"/>
        <v>0</v>
      </c>
      <c r="AM64" s="68" t="s">
        <v>450</v>
      </c>
    </row>
    <row r="65" spans="1:39">
      <c r="A65" s="20"/>
      <c r="B65" s="20" t="s">
        <v>110</v>
      </c>
      <c r="C65" s="676"/>
      <c r="D65" s="68" t="s">
        <v>991</v>
      </c>
      <c r="E65" s="679"/>
      <c r="F65" s="529">
        <f>VLOOKUP(D65,'Dec13 Revenue'!D:V,19,FALSE)</f>
        <v>0</v>
      </c>
      <c r="G65" s="680"/>
      <c r="H65" s="680"/>
      <c r="I65" s="755"/>
      <c r="J65" s="682">
        <f t="shared" si="0"/>
        <v>0</v>
      </c>
      <c r="K65" s="683"/>
      <c r="L65" s="684"/>
      <c r="M65" s="753"/>
      <c r="N65" s="683">
        <v>0</v>
      </c>
      <c r="O65" s="686"/>
      <c r="P65" s="683">
        <v>0</v>
      </c>
      <c r="Q65" s="687">
        <f t="shared" si="1"/>
        <v>0</v>
      </c>
      <c r="R65" s="687"/>
      <c r="S65" s="687"/>
      <c r="T65" s="688">
        <v>0</v>
      </c>
      <c r="U65" s="693"/>
      <c r="V65" s="690">
        <f t="shared" si="2"/>
        <v>0</v>
      </c>
      <c r="W65" s="683"/>
      <c r="X65" s="474">
        <f t="shared" si="3"/>
        <v>0</v>
      </c>
      <c r="Y65" s="474">
        <f t="shared" si="4"/>
        <v>0</v>
      </c>
      <c r="Z65" s="475">
        <f t="shared" si="5"/>
        <v>0</v>
      </c>
      <c r="AA65" s="475">
        <v>0</v>
      </c>
      <c r="AB65" s="476">
        <v>0</v>
      </c>
      <c r="AC65" s="38">
        <f t="shared" si="6"/>
        <v>0</v>
      </c>
      <c r="AD65" s="692">
        <f t="shared" si="7"/>
        <v>0</v>
      </c>
      <c r="AE65" s="692">
        <f t="shared" si="8"/>
        <v>0</v>
      </c>
      <c r="AF65" s="692">
        <f t="shared" si="9"/>
        <v>0</v>
      </c>
      <c r="AG65" s="38"/>
      <c r="AH65" s="692">
        <f t="shared" si="10"/>
        <v>0</v>
      </c>
      <c r="AI65" s="692">
        <f t="shared" si="11"/>
        <v>0</v>
      </c>
      <c r="AJ65" s="692">
        <f t="shared" si="12"/>
        <v>0</v>
      </c>
      <c r="AL65" s="38">
        <f t="shared" si="13"/>
        <v>0</v>
      </c>
      <c r="AM65" s="68" t="s">
        <v>991</v>
      </c>
    </row>
    <row r="66" spans="1:39">
      <c r="A66" s="20"/>
      <c r="B66" s="20" t="s">
        <v>110</v>
      </c>
      <c r="C66" s="676" t="s">
        <v>975</v>
      </c>
      <c r="D66" s="68" t="s">
        <v>976</v>
      </c>
      <c r="E66" s="679"/>
      <c r="F66" s="529">
        <f>VLOOKUP(D66,'Dec13 Revenue'!D:V,19,FALSE)</f>
        <v>0</v>
      </c>
      <c r="G66" s="680"/>
      <c r="H66" s="680"/>
      <c r="I66" s="755"/>
      <c r="J66" s="682">
        <f t="shared" si="0"/>
        <v>0</v>
      </c>
      <c r="K66" s="683"/>
      <c r="L66" s="684"/>
      <c r="M66" s="753"/>
      <c r="N66" s="683">
        <v>0</v>
      </c>
      <c r="O66" s="686"/>
      <c r="P66" s="683">
        <v>0</v>
      </c>
      <c r="Q66" s="687">
        <f t="shared" si="1"/>
        <v>0</v>
      </c>
      <c r="R66" s="687"/>
      <c r="S66" s="687"/>
      <c r="T66" s="688">
        <v>0</v>
      </c>
      <c r="U66" s="693"/>
      <c r="V66" s="690">
        <f t="shared" si="2"/>
        <v>0</v>
      </c>
      <c r="W66" s="683"/>
      <c r="X66" s="474">
        <f t="shared" si="3"/>
        <v>0</v>
      </c>
      <c r="Y66" s="474">
        <f t="shared" si="4"/>
        <v>0</v>
      </c>
      <c r="Z66" s="475">
        <f t="shared" si="5"/>
        <v>0</v>
      </c>
      <c r="AA66" s="475">
        <v>0</v>
      </c>
      <c r="AB66" s="476">
        <v>0</v>
      </c>
      <c r="AC66" s="38">
        <f t="shared" si="6"/>
        <v>0</v>
      </c>
      <c r="AD66" s="692">
        <f t="shared" si="7"/>
        <v>0</v>
      </c>
      <c r="AE66" s="692">
        <f t="shared" si="8"/>
        <v>0</v>
      </c>
      <c r="AF66" s="692">
        <f t="shared" si="9"/>
        <v>0</v>
      </c>
      <c r="AG66" s="38"/>
      <c r="AH66" s="692">
        <f t="shared" si="10"/>
        <v>0</v>
      </c>
      <c r="AI66" s="692">
        <f t="shared" si="11"/>
        <v>0</v>
      </c>
      <c r="AJ66" s="692">
        <f t="shared" si="12"/>
        <v>0</v>
      </c>
      <c r="AL66" s="38">
        <f t="shared" si="13"/>
        <v>0</v>
      </c>
      <c r="AM66" s="68" t="s">
        <v>976</v>
      </c>
    </row>
    <row r="67" spans="1:39">
      <c r="A67" s="21" t="s">
        <v>109</v>
      </c>
      <c r="B67" s="21" t="s">
        <v>110</v>
      </c>
      <c r="C67" s="666"/>
      <c r="D67" s="68" t="s">
        <v>438</v>
      </c>
      <c r="E67" s="679"/>
      <c r="F67" s="529">
        <f>VLOOKUP(D67,'Dec13 Revenue'!D:V,19,FALSE)</f>
        <v>0</v>
      </c>
      <c r="G67" s="680"/>
      <c r="H67" s="680"/>
      <c r="I67" s="755"/>
      <c r="J67" s="682">
        <f t="shared" si="0"/>
        <v>0</v>
      </c>
      <c r="K67" s="683"/>
      <c r="L67" s="684"/>
      <c r="M67" s="753"/>
      <c r="N67" s="683">
        <v>0</v>
      </c>
      <c r="O67" s="686"/>
      <c r="P67" s="683">
        <v>0</v>
      </c>
      <c r="Q67" s="687">
        <f t="shared" si="1"/>
        <v>0</v>
      </c>
      <c r="R67" s="687"/>
      <c r="S67" s="687"/>
      <c r="T67" s="688">
        <v>0</v>
      </c>
      <c r="U67" s="693"/>
      <c r="V67" s="690">
        <f t="shared" si="2"/>
        <v>0</v>
      </c>
      <c r="W67" s="697"/>
      <c r="X67" s="474">
        <f t="shared" si="3"/>
        <v>0</v>
      </c>
      <c r="Y67" s="474">
        <f t="shared" si="4"/>
        <v>0</v>
      </c>
      <c r="Z67" s="475">
        <f t="shared" si="5"/>
        <v>0</v>
      </c>
      <c r="AA67" s="475">
        <v>0</v>
      </c>
      <c r="AB67" s="476">
        <v>0</v>
      </c>
      <c r="AC67" s="38">
        <f t="shared" si="6"/>
        <v>0</v>
      </c>
      <c r="AD67" s="692">
        <f t="shared" si="7"/>
        <v>0</v>
      </c>
      <c r="AE67" s="692">
        <f t="shared" si="8"/>
        <v>0</v>
      </c>
      <c r="AF67" s="692">
        <f t="shared" si="9"/>
        <v>0</v>
      </c>
      <c r="AG67" s="38"/>
      <c r="AH67" s="692">
        <f t="shared" si="10"/>
        <v>0</v>
      </c>
      <c r="AI67" s="692">
        <f t="shared" si="11"/>
        <v>0</v>
      </c>
      <c r="AJ67" s="692">
        <f t="shared" si="12"/>
        <v>0</v>
      </c>
      <c r="AL67" s="38">
        <f t="shared" si="13"/>
        <v>0</v>
      </c>
      <c r="AM67" s="68" t="s">
        <v>438</v>
      </c>
    </row>
    <row r="68" spans="1:39">
      <c r="A68" s="21"/>
      <c r="B68" s="21" t="s">
        <v>110</v>
      </c>
      <c r="C68" s="666"/>
      <c r="D68" s="68" t="s">
        <v>628</v>
      </c>
      <c r="E68" s="679"/>
      <c r="F68" s="529">
        <f>VLOOKUP(D68,'Dec13 Revenue'!D:V,19,FALSE)</f>
        <v>0</v>
      </c>
      <c r="G68" s="680"/>
      <c r="H68" s="680"/>
      <c r="I68" s="755"/>
      <c r="J68" s="682">
        <f t="shared" si="0"/>
        <v>0</v>
      </c>
      <c r="K68" s="683"/>
      <c r="L68" s="684"/>
      <c r="M68" s="753"/>
      <c r="N68" s="683">
        <v>0</v>
      </c>
      <c r="O68" s="686"/>
      <c r="P68" s="683">
        <v>0</v>
      </c>
      <c r="Q68" s="687">
        <f t="shared" si="1"/>
        <v>0</v>
      </c>
      <c r="R68" s="687"/>
      <c r="S68" s="687"/>
      <c r="T68" s="688">
        <v>0</v>
      </c>
      <c r="U68" s="693"/>
      <c r="V68" s="690">
        <f t="shared" si="2"/>
        <v>0</v>
      </c>
      <c r="W68" s="697"/>
      <c r="X68" s="474">
        <f t="shared" si="3"/>
        <v>0</v>
      </c>
      <c r="Y68" s="474">
        <f t="shared" si="4"/>
        <v>0</v>
      </c>
      <c r="Z68" s="475">
        <f t="shared" si="5"/>
        <v>0</v>
      </c>
      <c r="AA68" s="475">
        <v>0</v>
      </c>
      <c r="AB68" s="476">
        <v>0</v>
      </c>
      <c r="AC68" s="38">
        <f t="shared" si="6"/>
        <v>0</v>
      </c>
      <c r="AD68" s="692">
        <f t="shared" si="7"/>
        <v>0</v>
      </c>
      <c r="AE68" s="692">
        <f t="shared" si="8"/>
        <v>0</v>
      </c>
      <c r="AF68" s="692">
        <f t="shared" si="9"/>
        <v>0</v>
      </c>
      <c r="AG68" s="38"/>
      <c r="AH68" s="692">
        <f t="shared" si="10"/>
        <v>0</v>
      </c>
      <c r="AI68" s="692">
        <f t="shared" si="11"/>
        <v>0</v>
      </c>
      <c r="AJ68" s="692">
        <f t="shared" si="12"/>
        <v>0</v>
      </c>
      <c r="AL68" s="38">
        <f t="shared" si="13"/>
        <v>0</v>
      </c>
      <c r="AM68" s="68" t="s">
        <v>628</v>
      </c>
    </row>
    <row r="69" spans="1:39">
      <c r="A69" s="21"/>
      <c r="B69" s="21" t="s">
        <v>110</v>
      </c>
      <c r="C69" s="666"/>
      <c r="D69" s="68" t="s">
        <v>956</v>
      </c>
      <c r="E69" s="679"/>
      <c r="F69" s="529">
        <f>VLOOKUP(D69,'Dec13 Revenue'!D:V,19,FALSE)</f>
        <v>0</v>
      </c>
      <c r="G69" s="680"/>
      <c r="H69" s="680"/>
      <c r="I69" s="755"/>
      <c r="J69" s="682">
        <f t="shared" si="0"/>
        <v>0</v>
      </c>
      <c r="K69" s="683"/>
      <c r="L69" s="684"/>
      <c r="M69" s="753"/>
      <c r="N69" s="683">
        <v>0</v>
      </c>
      <c r="O69" s="686"/>
      <c r="P69" s="683">
        <v>0</v>
      </c>
      <c r="Q69" s="687">
        <f t="shared" si="1"/>
        <v>0</v>
      </c>
      <c r="R69" s="687"/>
      <c r="S69" s="687"/>
      <c r="T69" s="688">
        <v>0</v>
      </c>
      <c r="U69" s="693"/>
      <c r="V69" s="690">
        <f t="shared" si="2"/>
        <v>0</v>
      </c>
      <c r="W69" s="683"/>
      <c r="X69" s="474">
        <f t="shared" si="3"/>
        <v>0</v>
      </c>
      <c r="Y69" s="474">
        <f t="shared" si="4"/>
        <v>0</v>
      </c>
      <c r="Z69" s="475">
        <f t="shared" si="5"/>
        <v>0</v>
      </c>
      <c r="AA69" s="475">
        <v>0</v>
      </c>
      <c r="AB69" s="476">
        <v>0</v>
      </c>
      <c r="AC69" s="38">
        <f t="shared" si="6"/>
        <v>0</v>
      </c>
      <c r="AD69" s="692">
        <f t="shared" si="7"/>
        <v>0</v>
      </c>
      <c r="AE69" s="692">
        <f t="shared" si="8"/>
        <v>0</v>
      </c>
      <c r="AF69" s="692">
        <f t="shared" si="9"/>
        <v>0</v>
      </c>
      <c r="AG69" s="38"/>
      <c r="AH69" s="692">
        <f t="shared" si="10"/>
        <v>0</v>
      </c>
      <c r="AI69" s="692">
        <f t="shared" si="11"/>
        <v>0</v>
      </c>
      <c r="AJ69" s="692">
        <f t="shared" si="12"/>
        <v>0</v>
      </c>
      <c r="AL69" s="38">
        <f t="shared" si="13"/>
        <v>0</v>
      </c>
      <c r="AM69" s="68" t="s">
        <v>956</v>
      </c>
    </row>
    <row r="70" spans="1:39" s="232" customFormat="1">
      <c r="A70" s="283" t="s">
        <v>211</v>
      </c>
      <c r="B70" s="283" t="s">
        <v>110</v>
      </c>
      <c r="C70" s="667" t="s">
        <v>538</v>
      </c>
      <c r="D70" s="123" t="s">
        <v>170</v>
      </c>
      <c r="E70" s="679"/>
      <c r="F70" s="529">
        <f>VLOOKUP(D70,'Dec13 Revenue'!D:V,19,FALSE)</f>
        <v>-26031.489999999991</v>
      </c>
      <c r="G70" s="680"/>
      <c r="H70" s="680"/>
      <c r="I70" s="755"/>
      <c r="J70" s="682">
        <f t="shared" si="0"/>
        <v>-26031.489999999991</v>
      </c>
      <c r="K70" s="683"/>
      <c r="L70" s="684"/>
      <c r="M70" s="753">
        <v>200000</v>
      </c>
      <c r="N70" s="683">
        <v>0</v>
      </c>
      <c r="O70" s="686"/>
      <c r="P70" s="683">
        <v>0</v>
      </c>
      <c r="Q70" s="687">
        <f t="shared" si="1"/>
        <v>200000</v>
      </c>
      <c r="R70" s="687"/>
      <c r="S70" s="687"/>
      <c r="T70" s="688">
        <v>0</v>
      </c>
      <c r="U70" s="693"/>
      <c r="V70" s="690">
        <f t="shared" si="2"/>
        <v>-200000</v>
      </c>
      <c r="W70" s="683"/>
      <c r="X70" s="474">
        <f t="shared" si="3"/>
        <v>200000</v>
      </c>
      <c r="Y70" s="474">
        <f t="shared" si="4"/>
        <v>0</v>
      </c>
      <c r="Z70" s="475">
        <f t="shared" si="5"/>
        <v>0</v>
      </c>
      <c r="AA70" s="475">
        <v>0</v>
      </c>
      <c r="AB70" s="476">
        <v>0</v>
      </c>
      <c r="AC70" s="38">
        <f t="shared" si="6"/>
        <v>0</v>
      </c>
      <c r="AD70" s="692">
        <f t="shared" si="7"/>
        <v>-26031.489999999991</v>
      </c>
      <c r="AE70" s="692">
        <f t="shared" si="8"/>
        <v>0</v>
      </c>
      <c r="AF70" s="692">
        <f t="shared" si="9"/>
        <v>0</v>
      </c>
      <c r="AG70" s="38"/>
      <c r="AH70" s="692">
        <f t="shared" si="10"/>
        <v>200000</v>
      </c>
      <c r="AI70" s="692">
        <f t="shared" si="11"/>
        <v>0</v>
      </c>
      <c r="AJ70" s="692">
        <f t="shared" si="12"/>
        <v>0</v>
      </c>
      <c r="AL70" s="38">
        <f t="shared" si="13"/>
        <v>173968.51</v>
      </c>
      <c r="AM70" s="123" t="s">
        <v>170</v>
      </c>
    </row>
    <row r="71" spans="1:39" s="232" customFormat="1">
      <c r="A71" s="283" t="s">
        <v>211</v>
      </c>
      <c r="B71" s="283" t="s">
        <v>110</v>
      </c>
      <c r="C71" s="667" t="s">
        <v>538</v>
      </c>
      <c r="D71" s="123" t="s">
        <v>171</v>
      </c>
      <c r="E71" s="679"/>
      <c r="F71" s="529">
        <f>VLOOKUP(D71,'Dec13 Revenue'!D:V,19,FALSE)</f>
        <v>0</v>
      </c>
      <c r="G71" s="680"/>
      <c r="H71" s="680"/>
      <c r="I71" s="755"/>
      <c r="J71" s="682">
        <f t="shared" si="0"/>
        <v>0</v>
      </c>
      <c r="K71" s="683"/>
      <c r="L71" s="684"/>
      <c r="M71" s="753"/>
      <c r="N71" s="683">
        <v>0</v>
      </c>
      <c r="O71" s="686"/>
      <c r="P71" s="683">
        <v>0</v>
      </c>
      <c r="Q71" s="687">
        <f t="shared" si="1"/>
        <v>0</v>
      </c>
      <c r="R71" s="687"/>
      <c r="S71" s="687"/>
      <c r="T71" s="688">
        <v>0</v>
      </c>
      <c r="U71" s="693"/>
      <c r="V71" s="690">
        <f t="shared" si="2"/>
        <v>0</v>
      </c>
      <c r="W71" s="683"/>
      <c r="X71" s="474">
        <f t="shared" si="3"/>
        <v>0</v>
      </c>
      <c r="Y71" s="474">
        <f t="shared" si="4"/>
        <v>0</v>
      </c>
      <c r="Z71" s="475">
        <f t="shared" si="5"/>
        <v>0</v>
      </c>
      <c r="AA71" s="475">
        <v>0</v>
      </c>
      <c r="AB71" s="476">
        <v>0</v>
      </c>
      <c r="AC71" s="38">
        <f t="shared" si="6"/>
        <v>0</v>
      </c>
      <c r="AD71" s="692">
        <f t="shared" si="7"/>
        <v>0</v>
      </c>
      <c r="AE71" s="692">
        <f t="shared" si="8"/>
        <v>0</v>
      </c>
      <c r="AF71" s="692">
        <f t="shared" si="9"/>
        <v>0</v>
      </c>
      <c r="AG71" s="38"/>
      <c r="AH71" s="692">
        <f t="shared" si="10"/>
        <v>0</v>
      </c>
      <c r="AI71" s="692">
        <f t="shared" si="11"/>
        <v>0</v>
      </c>
      <c r="AJ71" s="692">
        <f t="shared" si="12"/>
        <v>0</v>
      </c>
      <c r="AL71" s="38">
        <f t="shared" si="13"/>
        <v>0</v>
      </c>
      <c r="AM71" s="123" t="s">
        <v>171</v>
      </c>
    </row>
    <row r="72" spans="1:39" s="232" customFormat="1" hidden="1">
      <c r="A72" s="283" t="s">
        <v>211</v>
      </c>
      <c r="B72" s="283" t="s">
        <v>110</v>
      </c>
      <c r="C72" s="667" t="s">
        <v>538</v>
      </c>
      <c r="D72" s="123" t="s">
        <v>13</v>
      </c>
      <c r="E72" s="679"/>
      <c r="F72" s="529">
        <f>VLOOKUP(D72,'Dec13 Revenue'!D:V,19,FALSE)</f>
        <v>0</v>
      </c>
      <c r="G72" s="680"/>
      <c r="H72" s="680"/>
      <c r="I72" s="755"/>
      <c r="J72" s="682">
        <f t="shared" si="0"/>
        <v>0</v>
      </c>
      <c r="K72" s="683"/>
      <c r="L72" s="684"/>
      <c r="M72" s="753"/>
      <c r="N72" s="683">
        <v>0</v>
      </c>
      <c r="O72" s="686"/>
      <c r="P72" s="683">
        <v>0</v>
      </c>
      <c r="Q72" s="687">
        <f t="shared" si="1"/>
        <v>0</v>
      </c>
      <c r="R72" s="687"/>
      <c r="S72" s="687"/>
      <c r="T72" s="688">
        <v>0</v>
      </c>
      <c r="U72" s="693"/>
      <c r="V72" s="690">
        <f t="shared" si="2"/>
        <v>0</v>
      </c>
      <c r="W72" s="683"/>
      <c r="X72" s="474">
        <f t="shared" si="3"/>
        <v>0</v>
      </c>
      <c r="Y72" s="474">
        <f t="shared" si="4"/>
        <v>0</v>
      </c>
      <c r="Z72" s="475">
        <f t="shared" si="5"/>
        <v>0</v>
      </c>
      <c r="AA72" s="475">
        <v>0</v>
      </c>
      <c r="AB72" s="476">
        <v>0</v>
      </c>
      <c r="AC72" s="38">
        <f t="shared" si="6"/>
        <v>0</v>
      </c>
      <c r="AD72" s="692">
        <f t="shared" si="7"/>
        <v>0</v>
      </c>
      <c r="AE72" s="692">
        <f t="shared" si="8"/>
        <v>0</v>
      </c>
      <c r="AF72" s="692">
        <f t="shared" si="9"/>
        <v>0</v>
      </c>
      <c r="AG72" s="38"/>
      <c r="AH72" s="692">
        <f t="shared" si="10"/>
        <v>0</v>
      </c>
      <c r="AI72" s="692">
        <f t="shared" si="11"/>
        <v>0</v>
      </c>
      <c r="AJ72" s="692">
        <f t="shared" si="12"/>
        <v>0</v>
      </c>
      <c r="AL72" s="38">
        <f t="shared" si="13"/>
        <v>0</v>
      </c>
      <c r="AM72" s="123" t="s">
        <v>13</v>
      </c>
    </row>
    <row r="73" spans="1:39" s="232" customFormat="1" hidden="1">
      <c r="A73" s="283" t="s">
        <v>211</v>
      </c>
      <c r="B73" s="283" t="s">
        <v>110</v>
      </c>
      <c r="C73" s="667" t="s">
        <v>538</v>
      </c>
      <c r="D73" s="123" t="s">
        <v>172</v>
      </c>
      <c r="E73" s="679"/>
      <c r="F73" s="529">
        <f>VLOOKUP(D73,'Dec13 Revenue'!D:V,19,FALSE)</f>
        <v>0</v>
      </c>
      <c r="G73" s="680"/>
      <c r="H73" s="680"/>
      <c r="I73" s="755"/>
      <c r="J73" s="682">
        <f t="shared" si="0"/>
        <v>0</v>
      </c>
      <c r="K73" s="683"/>
      <c r="L73" s="684"/>
      <c r="M73" s="753"/>
      <c r="N73" s="683">
        <v>0</v>
      </c>
      <c r="O73" s="686"/>
      <c r="P73" s="683">
        <v>0</v>
      </c>
      <c r="Q73" s="687">
        <f t="shared" si="1"/>
        <v>0</v>
      </c>
      <c r="R73" s="687"/>
      <c r="S73" s="687"/>
      <c r="T73" s="688">
        <v>0</v>
      </c>
      <c r="U73" s="693"/>
      <c r="V73" s="690">
        <f t="shared" si="2"/>
        <v>0</v>
      </c>
      <c r="W73" s="683"/>
      <c r="X73" s="474">
        <f t="shared" si="3"/>
        <v>0</v>
      </c>
      <c r="Y73" s="474">
        <f t="shared" si="4"/>
        <v>0</v>
      </c>
      <c r="Z73" s="475">
        <f t="shared" si="5"/>
        <v>0</v>
      </c>
      <c r="AA73" s="475">
        <v>0</v>
      </c>
      <c r="AB73" s="476">
        <v>0</v>
      </c>
      <c r="AC73" s="38">
        <f t="shared" si="6"/>
        <v>0</v>
      </c>
      <c r="AD73" s="692">
        <f t="shared" si="7"/>
        <v>0</v>
      </c>
      <c r="AE73" s="692">
        <f t="shared" si="8"/>
        <v>0</v>
      </c>
      <c r="AF73" s="692">
        <f t="shared" si="9"/>
        <v>0</v>
      </c>
      <c r="AG73" s="38"/>
      <c r="AH73" s="692">
        <f t="shared" si="10"/>
        <v>0</v>
      </c>
      <c r="AI73" s="692">
        <f t="shared" si="11"/>
        <v>0</v>
      </c>
      <c r="AJ73" s="692">
        <f t="shared" si="12"/>
        <v>0</v>
      </c>
      <c r="AL73" s="38">
        <f t="shared" si="13"/>
        <v>0</v>
      </c>
      <c r="AM73" s="123" t="s">
        <v>172</v>
      </c>
    </row>
    <row r="74" spans="1:39" s="232" customFormat="1" hidden="1">
      <c r="A74" s="283" t="s">
        <v>211</v>
      </c>
      <c r="B74" s="283" t="s">
        <v>110</v>
      </c>
      <c r="C74" s="667" t="s">
        <v>538</v>
      </c>
      <c r="D74" s="123" t="s">
        <v>173</v>
      </c>
      <c r="E74" s="679"/>
      <c r="F74" s="529">
        <f>VLOOKUP(D74,'Dec13 Revenue'!D:V,19,FALSE)</f>
        <v>0</v>
      </c>
      <c r="G74" s="680"/>
      <c r="H74" s="680"/>
      <c r="I74" s="755"/>
      <c r="J74" s="682">
        <f t="shared" si="0"/>
        <v>0</v>
      </c>
      <c r="K74" s="683"/>
      <c r="L74" s="684"/>
      <c r="M74" s="753"/>
      <c r="N74" s="683">
        <v>0</v>
      </c>
      <c r="O74" s="686"/>
      <c r="P74" s="683">
        <v>0</v>
      </c>
      <c r="Q74" s="687">
        <f t="shared" si="1"/>
        <v>0</v>
      </c>
      <c r="R74" s="687"/>
      <c r="S74" s="687"/>
      <c r="T74" s="688">
        <v>0</v>
      </c>
      <c r="U74" s="693"/>
      <c r="V74" s="690">
        <f t="shared" si="2"/>
        <v>0</v>
      </c>
      <c r="W74" s="683"/>
      <c r="X74" s="474">
        <f t="shared" si="3"/>
        <v>0</v>
      </c>
      <c r="Y74" s="474">
        <f t="shared" si="4"/>
        <v>0</v>
      </c>
      <c r="Z74" s="475">
        <f t="shared" si="5"/>
        <v>0</v>
      </c>
      <c r="AA74" s="475">
        <v>0</v>
      </c>
      <c r="AB74" s="476">
        <v>0</v>
      </c>
      <c r="AC74" s="38">
        <f t="shared" si="6"/>
        <v>0</v>
      </c>
      <c r="AD74" s="692">
        <f t="shared" si="7"/>
        <v>0</v>
      </c>
      <c r="AE74" s="692">
        <f t="shared" si="8"/>
        <v>0</v>
      </c>
      <c r="AF74" s="692">
        <f t="shared" si="9"/>
        <v>0</v>
      </c>
      <c r="AG74" s="38"/>
      <c r="AH74" s="692">
        <f t="shared" si="10"/>
        <v>0</v>
      </c>
      <c r="AI74" s="692">
        <f t="shared" si="11"/>
        <v>0</v>
      </c>
      <c r="AJ74" s="692">
        <f t="shared" si="12"/>
        <v>0</v>
      </c>
      <c r="AL74" s="38">
        <f t="shared" si="13"/>
        <v>0</v>
      </c>
      <c r="AM74" s="123" t="s">
        <v>173</v>
      </c>
    </row>
    <row r="75" spans="1:39" s="232" customFormat="1" hidden="1">
      <c r="A75" s="283" t="s">
        <v>211</v>
      </c>
      <c r="B75" s="283" t="s">
        <v>110</v>
      </c>
      <c r="C75" s="667" t="s">
        <v>538</v>
      </c>
      <c r="D75" s="123" t="s">
        <v>174</v>
      </c>
      <c r="E75" s="679"/>
      <c r="F75" s="529">
        <f>VLOOKUP(D75,'Dec13 Revenue'!D:V,19,FALSE)</f>
        <v>0</v>
      </c>
      <c r="G75" s="680"/>
      <c r="H75" s="680"/>
      <c r="I75" s="755"/>
      <c r="J75" s="682">
        <f t="shared" si="0"/>
        <v>0</v>
      </c>
      <c r="K75" s="683"/>
      <c r="L75" s="684"/>
      <c r="M75" s="753"/>
      <c r="N75" s="683">
        <v>0</v>
      </c>
      <c r="O75" s="686"/>
      <c r="P75" s="683">
        <v>0</v>
      </c>
      <c r="Q75" s="687">
        <f t="shared" si="1"/>
        <v>0</v>
      </c>
      <c r="R75" s="687"/>
      <c r="S75" s="687"/>
      <c r="T75" s="688">
        <v>0</v>
      </c>
      <c r="U75" s="693"/>
      <c r="V75" s="690">
        <f t="shared" si="2"/>
        <v>0</v>
      </c>
      <c r="W75" s="683"/>
      <c r="X75" s="474">
        <f t="shared" si="3"/>
        <v>0</v>
      </c>
      <c r="Y75" s="474">
        <f t="shared" si="4"/>
        <v>0</v>
      </c>
      <c r="Z75" s="475">
        <f t="shared" si="5"/>
        <v>0</v>
      </c>
      <c r="AA75" s="475">
        <v>0</v>
      </c>
      <c r="AB75" s="476">
        <v>0</v>
      </c>
      <c r="AC75" s="38">
        <f t="shared" si="6"/>
        <v>0</v>
      </c>
      <c r="AD75" s="692">
        <f t="shared" si="7"/>
        <v>0</v>
      </c>
      <c r="AE75" s="692">
        <f t="shared" si="8"/>
        <v>0</v>
      </c>
      <c r="AF75" s="692">
        <f t="shared" si="9"/>
        <v>0</v>
      </c>
      <c r="AG75" s="38"/>
      <c r="AH75" s="692">
        <f t="shared" si="10"/>
        <v>0</v>
      </c>
      <c r="AI75" s="692">
        <f t="shared" si="11"/>
        <v>0</v>
      </c>
      <c r="AJ75" s="692">
        <f t="shared" si="12"/>
        <v>0</v>
      </c>
      <c r="AL75" s="38">
        <f t="shared" si="13"/>
        <v>0</v>
      </c>
      <c r="AM75" s="123" t="s">
        <v>174</v>
      </c>
    </row>
    <row r="76" spans="1:39" s="232" customFormat="1">
      <c r="A76" s="283"/>
      <c r="B76" s="283" t="s">
        <v>109</v>
      </c>
      <c r="C76" s="794"/>
      <c r="D76" s="351" t="s">
        <v>14</v>
      </c>
      <c r="E76" s="679"/>
      <c r="F76" s="529">
        <f>VLOOKUP(D76,'Dec13 Revenue'!D:V,19,FALSE)</f>
        <v>0</v>
      </c>
      <c r="G76" s="680"/>
      <c r="H76" s="680"/>
      <c r="I76" s="755"/>
      <c r="J76" s="682">
        <f t="shared" si="0"/>
        <v>0</v>
      </c>
      <c r="K76" s="683"/>
      <c r="L76" s="684"/>
      <c r="M76" s="753"/>
      <c r="N76" s="683">
        <v>0</v>
      </c>
      <c r="O76" s="686"/>
      <c r="P76" s="683">
        <v>0</v>
      </c>
      <c r="Q76" s="687">
        <f t="shared" si="1"/>
        <v>0</v>
      </c>
      <c r="R76" s="687"/>
      <c r="S76" s="687"/>
      <c r="T76" s="688">
        <v>0</v>
      </c>
      <c r="U76" s="693"/>
      <c r="V76" s="690">
        <f t="shared" si="2"/>
        <v>0</v>
      </c>
      <c r="W76" s="683"/>
      <c r="X76" s="474">
        <f t="shared" si="3"/>
        <v>0</v>
      </c>
      <c r="Y76" s="474">
        <f t="shared" si="4"/>
        <v>0</v>
      </c>
      <c r="Z76" s="475">
        <f t="shared" si="5"/>
        <v>0</v>
      </c>
      <c r="AA76" s="475">
        <v>0</v>
      </c>
      <c r="AB76" s="476">
        <v>0</v>
      </c>
      <c r="AC76" s="38">
        <f t="shared" si="6"/>
        <v>0</v>
      </c>
      <c r="AD76" s="692">
        <f t="shared" si="7"/>
        <v>0</v>
      </c>
      <c r="AE76" s="692">
        <f t="shared" si="8"/>
        <v>0</v>
      </c>
      <c r="AF76" s="692">
        <f t="shared" si="9"/>
        <v>0</v>
      </c>
      <c r="AG76" s="38"/>
      <c r="AH76" s="692">
        <f t="shared" si="10"/>
        <v>0</v>
      </c>
      <c r="AI76" s="692">
        <f t="shared" si="11"/>
        <v>0</v>
      </c>
      <c r="AJ76" s="692">
        <f t="shared" si="12"/>
        <v>0</v>
      </c>
      <c r="AL76" s="38">
        <f t="shared" si="13"/>
        <v>0</v>
      </c>
      <c r="AM76" s="351" t="s">
        <v>14</v>
      </c>
    </row>
    <row r="77" spans="1:39" hidden="1">
      <c r="A77" s="20"/>
      <c r="B77" s="20" t="s">
        <v>110</v>
      </c>
      <c r="C77" s="667"/>
      <c r="D77" s="68" t="s">
        <v>15</v>
      </c>
      <c r="E77" s="679"/>
      <c r="F77" s="529">
        <f>VLOOKUP(D77,'Dec13 Revenue'!D:V,19,FALSE)</f>
        <v>0</v>
      </c>
      <c r="G77" s="680"/>
      <c r="H77" s="680"/>
      <c r="I77" s="755"/>
      <c r="J77" s="682">
        <f t="shared" si="0"/>
        <v>0</v>
      </c>
      <c r="K77" s="683"/>
      <c r="L77" s="684"/>
      <c r="M77" s="753"/>
      <c r="N77" s="683">
        <v>0</v>
      </c>
      <c r="O77" s="686"/>
      <c r="P77" s="683">
        <v>0</v>
      </c>
      <c r="Q77" s="687">
        <f t="shared" si="1"/>
        <v>0</v>
      </c>
      <c r="R77" s="687"/>
      <c r="S77" s="687"/>
      <c r="T77" s="688">
        <v>0</v>
      </c>
      <c r="U77" s="693"/>
      <c r="V77" s="690">
        <f t="shared" si="2"/>
        <v>0</v>
      </c>
      <c r="W77" s="683"/>
      <c r="X77" s="474">
        <f t="shared" si="3"/>
        <v>0</v>
      </c>
      <c r="Y77" s="474">
        <f t="shared" si="4"/>
        <v>0</v>
      </c>
      <c r="Z77" s="475">
        <f t="shared" si="5"/>
        <v>0</v>
      </c>
      <c r="AA77" s="475">
        <v>0</v>
      </c>
      <c r="AB77" s="476">
        <v>0</v>
      </c>
      <c r="AC77" s="38">
        <f t="shared" si="6"/>
        <v>0</v>
      </c>
      <c r="AD77" s="692">
        <f t="shared" si="7"/>
        <v>0</v>
      </c>
      <c r="AE77" s="692">
        <f t="shared" si="8"/>
        <v>0</v>
      </c>
      <c r="AF77" s="692">
        <f t="shared" si="9"/>
        <v>0</v>
      </c>
      <c r="AG77" s="38"/>
      <c r="AH77" s="692">
        <f t="shared" si="10"/>
        <v>0</v>
      </c>
      <c r="AI77" s="692">
        <f t="shared" si="11"/>
        <v>0</v>
      </c>
      <c r="AJ77" s="692">
        <f t="shared" si="12"/>
        <v>0</v>
      </c>
      <c r="AL77" s="38">
        <f t="shared" si="13"/>
        <v>0</v>
      </c>
      <c r="AM77" s="68" t="s">
        <v>15</v>
      </c>
    </row>
    <row r="78" spans="1:39">
      <c r="A78" s="20"/>
      <c r="B78" s="20" t="s">
        <v>110</v>
      </c>
      <c r="C78" s="667"/>
      <c r="D78" s="68" t="s">
        <v>646</v>
      </c>
      <c r="E78" s="679"/>
      <c r="F78" s="529">
        <f>VLOOKUP(D78,'Dec13 Revenue'!D:V,19,FALSE)</f>
        <v>0</v>
      </c>
      <c r="G78" s="680"/>
      <c r="H78" s="680"/>
      <c r="I78" s="755"/>
      <c r="J78" s="682">
        <f t="shared" si="0"/>
        <v>0</v>
      </c>
      <c r="K78" s="683"/>
      <c r="L78" s="684"/>
      <c r="M78" s="753"/>
      <c r="N78" s="683">
        <v>0</v>
      </c>
      <c r="O78" s="686"/>
      <c r="P78" s="683">
        <v>0</v>
      </c>
      <c r="Q78" s="687">
        <f t="shared" si="1"/>
        <v>0</v>
      </c>
      <c r="R78" s="687"/>
      <c r="S78" s="687"/>
      <c r="T78" s="688">
        <v>0</v>
      </c>
      <c r="U78" s="693"/>
      <c r="V78" s="690">
        <f t="shared" si="2"/>
        <v>0</v>
      </c>
      <c r="W78" s="683"/>
      <c r="X78" s="474">
        <f t="shared" si="3"/>
        <v>0</v>
      </c>
      <c r="Y78" s="474">
        <f t="shared" si="4"/>
        <v>0</v>
      </c>
      <c r="Z78" s="475">
        <f t="shared" si="5"/>
        <v>0</v>
      </c>
      <c r="AA78" s="475">
        <v>0</v>
      </c>
      <c r="AB78" s="476">
        <v>0</v>
      </c>
      <c r="AC78" s="38">
        <f t="shared" si="6"/>
        <v>0</v>
      </c>
      <c r="AD78" s="692">
        <f t="shared" si="7"/>
        <v>0</v>
      </c>
      <c r="AE78" s="692">
        <f t="shared" si="8"/>
        <v>0</v>
      </c>
      <c r="AF78" s="692">
        <f t="shared" si="9"/>
        <v>0</v>
      </c>
      <c r="AG78" s="38"/>
      <c r="AH78" s="692">
        <f t="shared" si="10"/>
        <v>0</v>
      </c>
      <c r="AI78" s="692">
        <f t="shared" si="11"/>
        <v>0</v>
      </c>
      <c r="AJ78" s="692">
        <f t="shared" si="12"/>
        <v>0</v>
      </c>
      <c r="AL78" s="38">
        <f t="shared" si="13"/>
        <v>0</v>
      </c>
      <c r="AM78" s="68" t="s">
        <v>646</v>
      </c>
    </row>
    <row r="79" spans="1:39">
      <c r="A79" s="20"/>
      <c r="B79" s="20" t="s">
        <v>110</v>
      </c>
      <c r="C79" s="667"/>
      <c r="D79" s="68" t="s">
        <v>988</v>
      </c>
      <c r="E79" s="679">
        <v>50639</v>
      </c>
      <c r="F79" s="529">
        <f>VLOOKUP(D79,'Dec13 Revenue'!D:V,19,FALSE)</f>
        <v>0</v>
      </c>
      <c r="G79" s="680"/>
      <c r="H79" s="680"/>
      <c r="I79" s="755"/>
      <c r="J79" s="682">
        <f t="shared" si="0"/>
        <v>50639</v>
      </c>
      <c r="K79" s="683"/>
      <c r="L79" s="684"/>
      <c r="M79" s="753"/>
      <c r="N79" s="683">
        <v>0</v>
      </c>
      <c r="O79" s="686"/>
      <c r="P79" s="683">
        <v>0</v>
      </c>
      <c r="Q79" s="687">
        <f t="shared" si="1"/>
        <v>0</v>
      </c>
      <c r="R79" s="687"/>
      <c r="S79" s="687"/>
      <c r="T79" s="688">
        <v>0</v>
      </c>
      <c r="U79" s="693"/>
      <c r="V79" s="690">
        <f t="shared" si="2"/>
        <v>0</v>
      </c>
      <c r="W79" s="683"/>
      <c r="X79" s="474">
        <f t="shared" si="3"/>
        <v>0</v>
      </c>
      <c r="Y79" s="474">
        <f t="shared" si="4"/>
        <v>0</v>
      </c>
      <c r="Z79" s="475">
        <f t="shared" si="5"/>
        <v>0</v>
      </c>
      <c r="AA79" s="475">
        <v>0</v>
      </c>
      <c r="AB79" s="476">
        <v>0</v>
      </c>
      <c r="AC79" s="38">
        <f t="shared" si="6"/>
        <v>0</v>
      </c>
      <c r="AD79" s="692">
        <f t="shared" si="7"/>
        <v>50639</v>
      </c>
      <c r="AE79" s="692">
        <f t="shared" si="8"/>
        <v>0</v>
      </c>
      <c r="AF79" s="692">
        <f t="shared" si="9"/>
        <v>0</v>
      </c>
      <c r="AG79" s="38"/>
      <c r="AH79" s="692">
        <f t="shared" si="10"/>
        <v>0</v>
      </c>
      <c r="AI79" s="692">
        <f t="shared" si="11"/>
        <v>0</v>
      </c>
      <c r="AJ79" s="692">
        <f t="shared" si="12"/>
        <v>0</v>
      </c>
      <c r="AL79" s="38">
        <f t="shared" si="13"/>
        <v>50639</v>
      </c>
      <c r="AM79" s="68" t="s">
        <v>988</v>
      </c>
    </row>
    <row r="80" spans="1:39">
      <c r="A80" s="20" t="s">
        <v>109</v>
      </c>
      <c r="B80" s="20" t="s">
        <v>109</v>
      </c>
      <c r="C80" s="667" t="s">
        <v>539</v>
      </c>
      <c r="D80" s="68" t="s">
        <v>510</v>
      </c>
      <c r="E80" s="679">
        <v>2220.3000000000002</v>
      </c>
      <c r="F80" s="529">
        <f>VLOOKUP(D80,'Dec13 Revenue'!D:V,19,FALSE)</f>
        <v>0</v>
      </c>
      <c r="G80" s="680"/>
      <c r="H80" s="680"/>
      <c r="I80" s="755"/>
      <c r="J80" s="682">
        <f t="shared" si="0"/>
        <v>2220.3000000000002</v>
      </c>
      <c r="K80" s="683"/>
      <c r="L80" s="684"/>
      <c r="M80" s="753"/>
      <c r="N80" s="683">
        <v>0</v>
      </c>
      <c r="O80" s="686"/>
      <c r="P80" s="683">
        <v>0</v>
      </c>
      <c r="Q80" s="687">
        <f t="shared" si="1"/>
        <v>0</v>
      </c>
      <c r="R80" s="687"/>
      <c r="S80" s="687"/>
      <c r="T80" s="688">
        <v>0</v>
      </c>
      <c r="U80" s="693"/>
      <c r="V80" s="690">
        <f t="shared" si="2"/>
        <v>0</v>
      </c>
      <c r="W80" s="683"/>
      <c r="X80" s="474">
        <f t="shared" si="3"/>
        <v>0</v>
      </c>
      <c r="Y80" s="474">
        <f t="shared" si="4"/>
        <v>0</v>
      </c>
      <c r="Z80" s="475">
        <f t="shared" si="5"/>
        <v>0</v>
      </c>
      <c r="AA80" s="475">
        <v>0</v>
      </c>
      <c r="AB80" s="476">
        <v>0</v>
      </c>
      <c r="AC80" s="38">
        <f t="shared" si="6"/>
        <v>0</v>
      </c>
      <c r="AD80" s="692">
        <f t="shared" si="7"/>
        <v>0</v>
      </c>
      <c r="AE80" s="692">
        <f t="shared" si="8"/>
        <v>2220.3000000000002</v>
      </c>
      <c r="AF80" s="692">
        <f t="shared" si="9"/>
        <v>0</v>
      </c>
      <c r="AG80" s="38"/>
      <c r="AH80" s="692">
        <f t="shared" si="10"/>
        <v>0</v>
      </c>
      <c r="AI80" s="692">
        <f t="shared" si="11"/>
        <v>0</v>
      </c>
      <c r="AJ80" s="692">
        <f t="shared" si="12"/>
        <v>0</v>
      </c>
      <c r="AL80" s="38">
        <f t="shared" si="13"/>
        <v>2220.3000000000002</v>
      </c>
      <c r="AM80" s="68" t="s">
        <v>510</v>
      </c>
    </row>
    <row r="81" spans="1:39">
      <c r="A81" s="20"/>
      <c r="B81" s="20" t="s">
        <v>109</v>
      </c>
      <c r="C81" s="667"/>
      <c r="D81" s="68" t="s">
        <v>16</v>
      </c>
      <c r="E81" s="679"/>
      <c r="F81" s="529">
        <f>VLOOKUP(D81,'Dec13 Revenue'!D:V,19,FALSE)</f>
        <v>0</v>
      </c>
      <c r="G81" s="680"/>
      <c r="H81" s="680"/>
      <c r="I81" s="755"/>
      <c r="J81" s="682">
        <f t="shared" si="0"/>
        <v>0</v>
      </c>
      <c r="K81" s="683"/>
      <c r="L81" s="684"/>
      <c r="M81" s="753"/>
      <c r="N81" s="683">
        <v>0</v>
      </c>
      <c r="O81" s="686"/>
      <c r="P81" s="683">
        <v>0</v>
      </c>
      <c r="Q81" s="687">
        <f t="shared" si="1"/>
        <v>0</v>
      </c>
      <c r="R81" s="687"/>
      <c r="S81" s="687"/>
      <c r="T81" s="688">
        <v>0</v>
      </c>
      <c r="U81" s="693"/>
      <c r="V81" s="690">
        <f t="shared" si="2"/>
        <v>0</v>
      </c>
      <c r="W81" s="683"/>
      <c r="X81" s="474">
        <f t="shared" si="3"/>
        <v>0</v>
      </c>
      <c r="Y81" s="474">
        <f t="shared" si="4"/>
        <v>0</v>
      </c>
      <c r="Z81" s="475">
        <f t="shared" si="5"/>
        <v>0</v>
      </c>
      <c r="AA81" s="475">
        <v>0</v>
      </c>
      <c r="AB81" s="476">
        <v>0</v>
      </c>
      <c r="AC81" s="38">
        <f t="shared" si="6"/>
        <v>0</v>
      </c>
      <c r="AD81" s="692">
        <f t="shared" si="7"/>
        <v>0</v>
      </c>
      <c r="AE81" s="692">
        <f t="shared" si="8"/>
        <v>0</v>
      </c>
      <c r="AF81" s="692">
        <f t="shared" si="9"/>
        <v>0</v>
      </c>
      <c r="AG81" s="38"/>
      <c r="AH81" s="692">
        <f t="shared" si="10"/>
        <v>0</v>
      </c>
      <c r="AI81" s="692">
        <f t="shared" si="11"/>
        <v>0</v>
      </c>
      <c r="AJ81" s="692">
        <f t="shared" si="12"/>
        <v>0</v>
      </c>
      <c r="AL81" s="38">
        <f t="shared" si="13"/>
        <v>0</v>
      </c>
      <c r="AM81" s="68" t="s">
        <v>16</v>
      </c>
    </row>
    <row r="82" spans="1:39">
      <c r="A82" s="20"/>
      <c r="B82" s="20" t="s">
        <v>110</v>
      </c>
      <c r="C82" s="667"/>
      <c r="D82" s="68" t="s">
        <v>597</v>
      </c>
      <c r="E82" s="829">
        <v>-123498.41</v>
      </c>
      <c r="F82" s="830">
        <f>VLOOKUP(D82,'Dec13 Revenue'!D:V,19,FALSE)</f>
        <v>123498.40999999992</v>
      </c>
      <c r="G82" s="680"/>
      <c r="H82" s="680"/>
      <c r="I82" s="755"/>
      <c r="J82" s="682">
        <f t="shared" si="0"/>
        <v>0</v>
      </c>
      <c r="K82" s="683"/>
      <c r="L82" s="684"/>
      <c r="M82" s="753">
        <v>725000</v>
      </c>
      <c r="N82" s="683">
        <v>0</v>
      </c>
      <c r="O82" s="686"/>
      <c r="P82" s="683">
        <v>0</v>
      </c>
      <c r="Q82" s="687">
        <f t="shared" si="1"/>
        <v>725000</v>
      </c>
      <c r="R82" s="687"/>
      <c r="S82" s="687"/>
      <c r="T82" s="688">
        <v>813876.49</v>
      </c>
      <c r="U82" s="693"/>
      <c r="V82" s="690">
        <f t="shared" si="2"/>
        <v>88876.489999999991</v>
      </c>
      <c r="W82" s="683"/>
      <c r="X82" s="474">
        <f t="shared" si="3"/>
        <v>725000</v>
      </c>
      <c r="Y82" s="474">
        <f t="shared" si="4"/>
        <v>0</v>
      </c>
      <c r="Z82" s="475">
        <f t="shared" si="5"/>
        <v>0</v>
      </c>
      <c r="AA82" s="475">
        <v>0</v>
      </c>
      <c r="AB82" s="476">
        <v>0</v>
      </c>
      <c r="AC82" s="38">
        <f t="shared" si="6"/>
        <v>0</v>
      </c>
      <c r="AD82" s="692">
        <f t="shared" si="7"/>
        <v>0</v>
      </c>
      <c r="AE82" s="692">
        <f t="shared" si="8"/>
        <v>0</v>
      </c>
      <c r="AF82" s="692">
        <f t="shared" si="9"/>
        <v>0</v>
      </c>
      <c r="AG82" s="38"/>
      <c r="AH82" s="692">
        <f t="shared" si="10"/>
        <v>725000</v>
      </c>
      <c r="AI82" s="692">
        <f t="shared" si="11"/>
        <v>0</v>
      </c>
      <c r="AJ82" s="692">
        <f t="shared" si="12"/>
        <v>0</v>
      </c>
      <c r="AL82" s="38">
        <f t="shared" si="13"/>
        <v>725000</v>
      </c>
      <c r="AM82" s="68" t="s">
        <v>597</v>
      </c>
    </row>
    <row r="83" spans="1:39" s="232" customFormat="1">
      <c r="A83" s="283"/>
      <c r="B83" s="283" t="s">
        <v>109</v>
      </c>
      <c r="C83" s="667" t="s">
        <v>540</v>
      </c>
      <c r="D83" s="373" t="s">
        <v>410</v>
      </c>
      <c r="E83" s="679"/>
      <c r="F83" s="529">
        <f>VLOOKUP(D83,'Dec13 Revenue'!D:V,19,FALSE)</f>
        <v>-30000</v>
      </c>
      <c r="G83" s="680"/>
      <c r="H83" s="680"/>
      <c r="I83" s="755"/>
      <c r="J83" s="682">
        <f t="shared" si="0"/>
        <v>-30000</v>
      </c>
      <c r="K83" s="683"/>
      <c r="L83" s="684"/>
      <c r="M83" s="753">
        <v>30000</v>
      </c>
      <c r="N83" s="683">
        <v>0</v>
      </c>
      <c r="O83" s="686"/>
      <c r="P83" s="683">
        <v>0</v>
      </c>
      <c r="Q83" s="687">
        <f t="shared" si="1"/>
        <v>30000</v>
      </c>
      <c r="R83" s="687"/>
      <c r="S83" s="687"/>
      <c r="T83" s="688">
        <v>0</v>
      </c>
      <c r="U83" s="693"/>
      <c r="V83" s="690">
        <f t="shared" si="2"/>
        <v>-30000</v>
      </c>
      <c r="W83" s="683"/>
      <c r="X83" s="474">
        <f t="shared" si="3"/>
        <v>0</v>
      </c>
      <c r="Y83" s="474">
        <f t="shared" si="4"/>
        <v>30000</v>
      </c>
      <c r="Z83" s="475">
        <f t="shared" si="5"/>
        <v>0</v>
      </c>
      <c r="AA83" s="475">
        <v>0</v>
      </c>
      <c r="AB83" s="476">
        <v>0</v>
      </c>
      <c r="AC83" s="38">
        <f t="shared" si="6"/>
        <v>0</v>
      </c>
      <c r="AD83" s="692">
        <f t="shared" si="7"/>
        <v>0</v>
      </c>
      <c r="AE83" s="692">
        <f t="shared" si="8"/>
        <v>-30000</v>
      </c>
      <c r="AF83" s="692">
        <f t="shared" si="9"/>
        <v>0</v>
      </c>
      <c r="AG83" s="38"/>
      <c r="AH83" s="692">
        <f t="shared" si="10"/>
        <v>0</v>
      </c>
      <c r="AI83" s="692">
        <f t="shared" si="11"/>
        <v>30000</v>
      </c>
      <c r="AJ83" s="692">
        <f t="shared" si="12"/>
        <v>0</v>
      </c>
      <c r="AL83" s="38">
        <f t="shared" si="13"/>
        <v>0</v>
      </c>
      <c r="AM83" s="373" t="s">
        <v>410</v>
      </c>
    </row>
    <row r="84" spans="1:39" s="232" customFormat="1">
      <c r="A84" s="283"/>
      <c r="B84" s="283" t="s">
        <v>109</v>
      </c>
      <c r="C84" s="667" t="s">
        <v>540</v>
      </c>
      <c r="D84" s="373" t="s">
        <v>879</v>
      </c>
      <c r="E84" s="679"/>
      <c r="F84" s="529">
        <f>VLOOKUP(D84,'Dec13 Revenue'!D:V,19,FALSE)</f>
        <v>0</v>
      </c>
      <c r="G84" s="680"/>
      <c r="H84" s="680"/>
      <c r="I84" s="755"/>
      <c r="J84" s="682">
        <f t="shared" si="0"/>
        <v>0</v>
      </c>
      <c r="K84" s="683"/>
      <c r="L84" s="684"/>
      <c r="M84" s="753"/>
      <c r="N84" s="683">
        <v>0</v>
      </c>
      <c r="O84" s="686"/>
      <c r="P84" s="683">
        <v>0</v>
      </c>
      <c r="Q84" s="687">
        <f t="shared" si="1"/>
        <v>0</v>
      </c>
      <c r="R84" s="687"/>
      <c r="S84" s="687"/>
      <c r="T84" s="688">
        <v>0</v>
      </c>
      <c r="U84" s="693"/>
      <c r="V84" s="690">
        <f t="shared" si="2"/>
        <v>0</v>
      </c>
      <c r="W84" s="683"/>
      <c r="X84" s="474">
        <f t="shared" si="3"/>
        <v>0</v>
      </c>
      <c r="Y84" s="474">
        <f t="shared" si="4"/>
        <v>0</v>
      </c>
      <c r="Z84" s="475">
        <f t="shared" si="5"/>
        <v>0</v>
      </c>
      <c r="AA84" s="475">
        <v>0</v>
      </c>
      <c r="AB84" s="476">
        <v>0</v>
      </c>
      <c r="AC84" s="38">
        <f t="shared" si="6"/>
        <v>0</v>
      </c>
      <c r="AD84" s="692">
        <f t="shared" si="7"/>
        <v>0</v>
      </c>
      <c r="AE84" s="692">
        <f t="shared" si="8"/>
        <v>0</v>
      </c>
      <c r="AF84" s="692">
        <f t="shared" si="9"/>
        <v>0</v>
      </c>
      <c r="AG84" s="38"/>
      <c r="AH84" s="692">
        <f t="shared" si="10"/>
        <v>0</v>
      </c>
      <c r="AI84" s="692">
        <f t="shared" si="11"/>
        <v>0</v>
      </c>
      <c r="AJ84" s="692">
        <f t="shared" si="12"/>
        <v>0</v>
      </c>
      <c r="AL84" s="38">
        <f t="shared" si="13"/>
        <v>0</v>
      </c>
      <c r="AM84" s="373" t="s">
        <v>879</v>
      </c>
    </row>
    <row r="85" spans="1:39" s="232" customFormat="1">
      <c r="A85" s="283"/>
      <c r="B85" s="283" t="s">
        <v>109</v>
      </c>
      <c r="C85" s="667" t="s">
        <v>540</v>
      </c>
      <c r="D85" s="373" t="s">
        <v>620</v>
      </c>
      <c r="E85" s="679"/>
      <c r="F85" s="529">
        <f>VLOOKUP(D85,'Dec13 Revenue'!D:V,19,FALSE)</f>
        <v>0</v>
      </c>
      <c r="G85" s="680"/>
      <c r="H85" s="680"/>
      <c r="I85" s="755"/>
      <c r="J85" s="682">
        <f t="shared" si="0"/>
        <v>0</v>
      </c>
      <c r="K85" s="683"/>
      <c r="L85" s="684"/>
      <c r="M85" s="753"/>
      <c r="N85" s="683">
        <v>0</v>
      </c>
      <c r="O85" s="686"/>
      <c r="P85" s="683">
        <v>0</v>
      </c>
      <c r="Q85" s="687">
        <f t="shared" si="1"/>
        <v>0</v>
      </c>
      <c r="R85" s="687"/>
      <c r="S85" s="687"/>
      <c r="T85" s="688">
        <v>0</v>
      </c>
      <c r="U85" s="693"/>
      <c r="V85" s="690">
        <f t="shared" si="2"/>
        <v>0</v>
      </c>
      <c r="W85" s="683"/>
      <c r="X85" s="474">
        <f t="shared" si="3"/>
        <v>0</v>
      </c>
      <c r="Y85" s="474">
        <f t="shared" si="4"/>
        <v>0</v>
      </c>
      <c r="Z85" s="475">
        <f t="shared" si="5"/>
        <v>0</v>
      </c>
      <c r="AA85" s="475">
        <v>0</v>
      </c>
      <c r="AB85" s="476">
        <v>0</v>
      </c>
      <c r="AC85" s="38">
        <f t="shared" si="6"/>
        <v>0</v>
      </c>
      <c r="AD85" s="692">
        <f t="shared" si="7"/>
        <v>0</v>
      </c>
      <c r="AE85" s="692">
        <f t="shared" si="8"/>
        <v>0</v>
      </c>
      <c r="AF85" s="692">
        <f t="shared" si="9"/>
        <v>0</v>
      </c>
      <c r="AG85" s="38"/>
      <c r="AH85" s="692">
        <f t="shared" si="10"/>
        <v>0</v>
      </c>
      <c r="AI85" s="692">
        <f t="shared" si="11"/>
        <v>0</v>
      </c>
      <c r="AJ85" s="692">
        <f t="shared" si="12"/>
        <v>0</v>
      </c>
      <c r="AL85" s="38">
        <f t="shared" si="13"/>
        <v>0</v>
      </c>
      <c r="AM85" s="373" t="s">
        <v>620</v>
      </c>
    </row>
    <row r="86" spans="1:39">
      <c r="A86" s="20"/>
      <c r="B86" s="20" t="s">
        <v>110</v>
      </c>
      <c r="C86" s="667" t="s">
        <v>541</v>
      </c>
      <c r="D86" s="351" t="s">
        <v>507</v>
      </c>
      <c r="E86" s="679">
        <v>50.61</v>
      </c>
      <c r="F86" s="529">
        <f>VLOOKUP(D86,'Dec13 Revenue'!D:V,19,FALSE)</f>
        <v>0</v>
      </c>
      <c r="G86" s="680"/>
      <c r="H86" s="680"/>
      <c r="I86" s="755"/>
      <c r="J86" s="682">
        <f t="shared" si="0"/>
        <v>50.61</v>
      </c>
      <c r="K86" s="683"/>
      <c r="L86" s="684"/>
      <c r="M86" s="753"/>
      <c r="N86" s="683">
        <v>0</v>
      </c>
      <c r="O86" s="686"/>
      <c r="P86" s="683">
        <v>0</v>
      </c>
      <c r="Q86" s="687">
        <f t="shared" si="1"/>
        <v>0</v>
      </c>
      <c r="R86" s="687"/>
      <c r="S86" s="687"/>
      <c r="T86" s="688">
        <v>0</v>
      </c>
      <c r="U86" s="693"/>
      <c r="V86" s="690">
        <f t="shared" si="2"/>
        <v>0</v>
      </c>
      <c r="W86" s="683"/>
      <c r="X86" s="474">
        <f t="shared" si="3"/>
        <v>0</v>
      </c>
      <c r="Y86" s="474">
        <f t="shared" si="4"/>
        <v>0</v>
      </c>
      <c r="Z86" s="475">
        <f t="shared" si="5"/>
        <v>0</v>
      </c>
      <c r="AA86" s="475">
        <v>0</v>
      </c>
      <c r="AB86" s="476">
        <v>0</v>
      </c>
      <c r="AC86" s="38">
        <f t="shared" si="6"/>
        <v>0</v>
      </c>
      <c r="AD86" s="692">
        <f t="shared" si="7"/>
        <v>50.61</v>
      </c>
      <c r="AE86" s="692">
        <f t="shared" si="8"/>
        <v>0</v>
      </c>
      <c r="AF86" s="692">
        <f t="shared" si="9"/>
        <v>0</v>
      </c>
      <c r="AG86" s="38"/>
      <c r="AH86" s="692">
        <f t="shared" si="10"/>
        <v>0</v>
      </c>
      <c r="AI86" s="692">
        <f t="shared" si="11"/>
        <v>0</v>
      </c>
      <c r="AJ86" s="692">
        <f t="shared" si="12"/>
        <v>0</v>
      </c>
      <c r="AL86" s="38">
        <f t="shared" si="13"/>
        <v>50.61</v>
      </c>
      <c r="AM86" s="351" t="s">
        <v>507</v>
      </c>
    </row>
    <row r="87" spans="1:39">
      <c r="A87" s="20"/>
      <c r="B87" s="20" t="s">
        <v>110</v>
      </c>
      <c r="C87" s="667" t="s">
        <v>541</v>
      </c>
      <c r="D87" s="351" t="s">
        <v>506</v>
      </c>
      <c r="E87" s="679">
        <v>14169.95</v>
      </c>
      <c r="F87" s="529">
        <f>VLOOKUP(D87,'Dec13 Revenue'!D:V,19,FALSE)</f>
        <v>0</v>
      </c>
      <c r="G87" s="680"/>
      <c r="H87" s="680"/>
      <c r="I87" s="755"/>
      <c r="J87" s="682">
        <f t="shared" ref="J87:J155" si="27">SUM(E87:I87)</f>
        <v>14169.95</v>
      </c>
      <c r="K87" s="683"/>
      <c r="L87" s="684"/>
      <c r="M87" s="753"/>
      <c r="N87" s="683">
        <v>0</v>
      </c>
      <c r="O87" s="686"/>
      <c r="P87" s="683">
        <v>0</v>
      </c>
      <c r="Q87" s="687">
        <f t="shared" si="1"/>
        <v>0</v>
      </c>
      <c r="R87" s="687"/>
      <c r="S87" s="687"/>
      <c r="T87" s="688">
        <v>0</v>
      </c>
      <c r="U87" s="693"/>
      <c r="V87" s="690">
        <f t="shared" si="2"/>
        <v>0</v>
      </c>
      <c r="W87" s="683"/>
      <c r="X87" s="474">
        <f t="shared" si="3"/>
        <v>0</v>
      </c>
      <c r="Y87" s="474">
        <f t="shared" si="4"/>
        <v>0</v>
      </c>
      <c r="Z87" s="475">
        <f t="shared" si="5"/>
        <v>0</v>
      </c>
      <c r="AA87" s="475">
        <v>0</v>
      </c>
      <c r="AB87" s="476">
        <v>0</v>
      </c>
      <c r="AC87" s="38">
        <f t="shared" si="6"/>
        <v>0</v>
      </c>
      <c r="AD87" s="692">
        <f t="shared" ref="AD87:AD155" si="28">IF(B87="D",J87,0)</f>
        <v>14169.95</v>
      </c>
      <c r="AE87" s="692">
        <f t="shared" ref="AE87:AE155" si="29">IF(B87="M",J87,0)</f>
        <v>0</v>
      </c>
      <c r="AF87" s="692">
        <f t="shared" ref="AF87:AF155" si="30">IF(B87="V",J87,0)</f>
        <v>0</v>
      </c>
      <c r="AG87" s="38"/>
      <c r="AH87" s="692">
        <f t="shared" si="10"/>
        <v>0</v>
      </c>
      <c r="AI87" s="692">
        <f t="shared" si="11"/>
        <v>0</v>
      </c>
      <c r="AJ87" s="692">
        <f t="shared" si="12"/>
        <v>0</v>
      </c>
      <c r="AL87" s="38">
        <f t="shared" si="13"/>
        <v>14169.95</v>
      </c>
      <c r="AM87" s="351" t="s">
        <v>506</v>
      </c>
    </row>
    <row r="88" spans="1:39">
      <c r="A88" s="20"/>
      <c r="B88" s="20" t="s">
        <v>110</v>
      </c>
      <c r="C88" s="667" t="s">
        <v>542</v>
      </c>
      <c r="D88" s="68" t="s">
        <v>305</v>
      </c>
      <c r="E88" s="679"/>
      <c r="F88" s="529">
        <f>VLOOKUP(D88,'Dec13 Revenue'!D:V,19,FALSE)</f>
        <v>-695.75</v>
      </c>
      <c r="G88" s="680"/>
      <c r="H88" s="680"/>
      <c r="I88" s="755"/>
      <c r="J88" s="682">
        <f t="shared" si="27"/>
        <v>-695.75</v>
      </c>
      <c r="K88" s="683"/>
      <c r="L88" s="684"/>
      <c r="M88" s="753"/>
      <c r="N88" s="683">
        <v>0</v>
      </c>
      <c r="O88" s="686"/>
      <c r="P88" s="683">
        <v>0</v>
      </c>
      <c r="Q88" s="687">
        <f t="shared" si="1"/>
        <v>0</v>
      </c>
      <c r="R88" s="687"/>
      <c r="S88" s="687"/>
      <c r="T88" s="688">
        <v>10225.34</v>
      </c>
      <c r="U88" s="693"/>
      <c r="V88" s="690">
        <f t="shared" ref="V88:V151" si="31">IF(T88="","",T88-Q88)</f>
        <v>10225.34</v>
      </c>
      <c r="W88" s="683"/>
      <c r="X88" s="474">
        <f t="shared" ref="X88:X157" si="32">IF(B88="D",Q88,0)</f>
        <v>0</v>
      </c>
      <c r="Y88" s="474">
        <f t="shared" ref="Y88:Y157" si="33">IF(B88="M",Q88,0)</f>
        <v>0</v>
      </c>
      <c r="Z88" s="475">
        <f t="shared" ref="Z88:Z157" si="34">IF(B88="V",Q88,0)</f>
        <v>0</v>
      </c>
      <c r="AA88" s="475">
        <v>0</v>
      </c>
      <c r="AB88" s="476">
        <v>0</v>
      </c>
      <c r="AC88" s="38">
        <f t="shared" ref="AC88:AC157" si="35">(L88+M88)-(X88+Y88+Z88+AA88+AB88)</f>
        <v>0</v>
      </c>
      <c r="AD88" s="692">
        <f t="shared" si="28"/>
        <v>-695.75</v>
      </c>
      <c r="AE88" s="692">
        <f t="shared" si="29"/>
        <v>0</v>
      </c>
      <c r="AF88" s="692">
        <f t="shared" si="30"/>
        <v>0</v>
      </c>
      <c r="AG88" s="38"/>
      <c r="AH88" s="692">
        <f t="shared" ref="AH88:AH156" si="36">IF(B88="D",Q88,0)</f>
        <v>0</v>
      </c>
      <c r="AI88" s="692">
        <f t="shared" ref="AI88:AI156" si="37">IF(B88="M",Q88,0)</f>
        <v>0</v>
      </c>
      <c r="AJ88" s="692">
        <f t="shared" ref="AJ88:AJ156" si="38">IF(B88="V",Q88,0)</f>
        <v>0</v>
      </c>
      <c r="AL88" s="38">
        <f t="shared" si="13"/>
        <v>-695.75</v>
      </c>
      <c r="AM88" s="68" t="s">
        <v>305</v>
      </c>
    </row>
    <row r="89" spans="1:39">
      <c r="A89" s="20"/>
      <c r="B89" s="20" t="s">
        <v>110</v>
      </c>
      <c r="C89" s="667" t="s">
        <v>543</v>
      </c>
      <c r="D89" s="68" t="s">
        <v>199</v>
      </c>
      <c r="E89" s="679">
        <v>321.48</v>
      </c>
      <c r="F89" s="529">
        <f>VLOOKUP(D89,'Dec13 Revenue'!D:V,19,FALSE)</f>
        <v>0</v>
      </c>
      <c r="G89" s="680"/>
      <c r="H89" s="680"/>
      <c r="I89" s="755"/>
      <c r="J89" s="682">
        <f t="shared" si="27"/>
        <v>321.48</v>
      </c>
      <c r="K89" s="683"/>
      <c r="L89" s="684"/>
      <c r="M89" s="753"/>
      <c r="N89" s="683">
        <v>0</v>
      </c>
      <c r="O89" s="686"/>
      <c r="P89" s="683">
        <v>0</v>
      </c>
      <c r="Q89" s="687">
        <f t="shared" si="1"/>
        <v>0</v>
      </c>
      <c r="R89" s="687"/>
      <c r="S89" s="687"/>
      <c r="T89" s="688">
        <v>0</v>
      </c>
      <c r="U89" s="693"/>
      <c r="V89" s="690">
        <f t="shared" si="31"/>
        <v>0</v>
      </c>
      <c r="W89" s="683"/>
      <c r="X89" s="474">
        <f t="shared" si="32"/>
        <v>0</v>
      </c>
      <c r="Y89" s="474">
        <f t="shared" si="33"/>
        <v>0</v>
      </c>
      <c r="Z89" s="475">
        <f t="shared" si="34"/>
        <v>0</v>
      </c>
      <c r="AA89" s="475">
        <v>0</v>
      </c>
      <c r="AB89" s="476">
        <v>0</v>
      </c>
      <c r="AC89" s="38">
        <f t="shared" si="35"/>
        <v>0</v>
      </c>
      <c r="AD89" s="692">
        <f t="shared" si="28"/>
        <v>321.48</v>
      </c>
      <c r="AE89" s="692">
        <f t="shared" si="29"/>
        <v>0</v>
      </c>
      <c r="AF89" s="692">
        <f t="shared" si="30"/>
        <v>0</v>
      </c>
      <c r="AG89" s="38"/>
      <c r="AH89" s="692">
        <f t="shared" si="36"/>
        <v>0</v>
      </c>
      <c r="AI89" s="692">
        <f t="shared" si="37"/>
        <v>0</v>
      </c>
      <c r="AJ89" s="692">
        <f t="shared" si="38"/>
        <v>0</v>
      </c>
      <c r="AL89" s="38">
        <f t="shared" ref="AL89:AL155" si="39">SUM(AD89:AJ89)</f>
        <v>321.48</v>
      </c>
      <c r="AM89" s="68" t="s">
        <v>199</v>
      </c>
    </row>
    <row r="90" spans="1:39">
      <c r="A90" s="20"/>
      <c r="B90" s="20" t="s">
        <v>110</v>
      </c>
      <c r="C90" s="667" t="s">
        <v>543</v>
      </c>
      <c r="D90" s="68" t="s">
        <v>200</v>
      </c>
      <c r="E90" s="679">
        <v>1540</v>
      </c>
      <c r="F90" s="529">
        <f>VLOOKUP(D90,'Dec13 Revenue'!D:V,19,FALSE)</f>
        <v>0</v>
      </c>
      <c r="G90" s="680"/>
      <c r="H90" s="680"/>
      <c r="I90" s="755"/>
      <c r="J90" s="682">
        <f t="shared" si="27"/>
        <v>1540</v>
      </c>
      <c r="K90" s="683"/>
      <c r="L90" s="684"/>
      <c r="M90" s="753"/>
      <c r="N90" s="683">
        <v>0</v>
      </c>
      <c r="O90" s="686"/>
      <c r="P90" s="683">
        <v>0</v>
      </c>
      <c r="Q90" s="687">
        <f t="shared" si="1"/>
        <v>0</v>
      </c>
      <c r="R90" s="687"/>
      <c r="S90" s="687"/>
      <c r="T90" s="688">
        <v>0</v>
      </c>
      <c r="U90" s="693"/>
      <c r="V90" s="690">
        <f t="shared" si="31"/>
        <v>0</v>
      </c>
      <c r="W90" s="683"/>
      <c r="X90" s="474">
        <f t="shared" si="32"/>
        <v>0</v>
      </c>
      <c r="Y90" s="474">
        <f t="shared" si="33"/>
        <v>0</v>
      </c>
      <c r="Z90" s="475">
        <f t="shared" si="34"/>
        <v>0</v>
      </c>
      <c r="AA90" s="475">
        <v>0</v>
      </c>
      <c r="AB90" s="476">
        <v>0</v>
      </c>
      <c r="AC90" s="38">
        <f t="shared" si="35"/>
        <v>0</v>
      </c>
      <c r="AD90" s="692">
        <f t="shared" si="28"/>
        <v>1540</v>
      </c>
      <c r="AE90" s="692">
        <f t="shared" si="29"/>
        <v>0</v>
      </c>
      <c r="AF90" s="692">
        <f t="shared" si="30"/>
        <v>0</v>
      </c>
      <c r="AG90" s="38"/>
      <c r="AH90" s="692">
        <f t="shared" si="36"/>
        <v>0</v>
      </c>
      <c r="AI90" s="692">
        <f t="shared" si="37"/>
        <v>0</v>
      </c>
      <c r="AJ90" s="692">
        <f t="shared" si="38"/>
        <v>0</v>
      </c>
      <c r="AL90" s="38">
        <f t="shared" si="39"/>
        <v>1540</v>
      </c>
      <c r="AM90" s="68" t="s">
        <v>200</v>
      </c>
    </row>
    <row r="91" spans="1:39">
      <c r="A91" s="20"/>
      <c r="B91" s="20" t="s">
        <v>110</v>
      </c>
      <c r="C91" s="667" t="s">
        <v>543</v>
      </c>
      <c r="D91" s="68" t="s">
        <v>201</v>
      </c>
      <c r="E91" s="679">
        <v>176.72</v>
      </c>
      <c r="F91" s="529">
        <f>VLOOKUP(D91,'Dec13 Revenue'!D:V,19,FALSE)</f>
        <v>0</v>
      </c>
      <c r="G91" s="680"/>
      <c r="H91" s="680"/>
      <c r="I91" s="755"/>
      <c r="J91" s="682">
        <f t="shared" si="27"/>
        <v>176.72</v>
      </c>
      <c r="K91" s="683"/>
      <c r="L91" s="684"/>
      <c r="M91" s="753"/>
      <c r="N91" s="683">
        <v>0</v>
      </c>
      <c r="O91" s="686"/>
      <c r="P91" s="683">
        <v>0</v>
      </c>
      <c r="Q91" s="687">
        <f t="shared" si="1"/>
        <v>0</v>
      </c>
      <c r="R91" s="687"/>
      <c r="S91" s="687"/>
      <c r="T91" s="688">
        <v>0</v>
      </c>
      <c r="U91" s="693"/>
      <c r="V91" s="690">
        <f t="shared" si="31"/>
        <v>0</v>
      </c>
      <c r="W91" s="683"/>
      <c r="X91" s="474">
        <f t="shared" si="32"/>
        <v>0</v>
      </c>
      <c r="Y91" s="474">
        <f t="shared" si="33"/>
        <v>0</v>
      </c>
      <c r="Z91" s="475">
        <f t="shared" si="34"/>
        <v>0</v>
      </c>
      <c r="AA91" s="475">
        <v>0</v>
      </c>
      <c r="AB91" s="476">
        <v>0</v>
      </c>
      <c r="AC91" s="38">
        <f t="shared" si="35"/>
        <v>0</v>
      </c>
      <c r="AD91" s="692">
        <f t="shared" si="28"/>
        <v>176.72</v>
      </c>
      <c r="AE91" s="692">
        <f t="shared" si="29"/>
        <v>0</v>
      </c>
      <c r="AF91" s="692">
        <f t="shared" si="30"/>
        <v>0</v>
      </c>
      <c r="AG91" s="38"/>
      <c r="AH91" s="692">
        <f t="shared" si="36"/>
        <v>0</v>
      </c>
      <c r="AI91" s="692">
        <f t="shared" si="37"/>
        <v>0</v>
      </c>
      <c r="AJ91" s="692">
        <f t="shared" si="38"/>
        <v>0</v>
      </c>
      <c r="AL91" s="38">
        <f t="shared" si="39"/>
        <v>176.72</v>
      </c>
      <c r="AM91" s="68" t="s">
        <v>201</v>
      </c>
    </row>
    <row r="92" spans="1:39">
      <c r="A92" s="21"/>
      <c r="B92" s="21" t="s">
        <v>110</v>
      </c>
      <c r="C92" s="666"/>
      <c r="D92" s="68" t="s">
        <v>1033</v>
      </c>
      <c r="E92" s="679"/>
      <c r="F92" s="529">
        <f>VLOOKUP(D92,'Dec13 Revenue'!D:V,19,FALSE)</f>
        <v>0</v>
      </c>
      <c r="G92" s="680"/>
      <c r="H92" s="680"/>
      <c r="I92" s="755"/>
      <c r="J92" s="682">
        <f t="shared" si="27"/>
        <v>0</v>
      </c>
      <c r="K92" s="683"/>
      <c r="L92" s="684"/>
      <c r="M92" s="753"/>
      <c r="N92" s="683">
        <v>0</v>
      </c>
      <c r="O92" s="686"/>
      <c r="P92" s="683">
        <v>0</v>
      </c>
      <c r="Q92" s="687">
        <f t="shared" si="1"/>
        <v>0</v>
      </c>
      <c r="R92" s="687"/>
      <c r="S92" s="687"/>
      <c r="T92" s="688">
        <v>0</v>
      </c>
      <c r="U92" s="693"/>
      <c r="V92" s="690">
        <f t="shared" si="31"/>
        <v>0</v>
      </c>
      <c r="W92" s="697"/>
      <c r="X92" s="474">
        <f t="shared" si="32"/>
        <v>0</v>
      </c>
      <c r="Y92" s="474">
        <f t="shared" si="33"/>
        <v>0</v>
      </c>
      <c r="Z92" s="475">
        <f t="shared" si="34"/>
        <v>0</v>
      </c>
      <c r="AA92" s="475">
        <v>0</v>
      </c>
      <c r="AB92" s="476">
        <v>0</v>
      </c>
      <c r="AC92" s="38">
        <f t="shared" si="35"/>
        <v>0</v>
      </c>
      <c r="AD92" s="692">
        <f t="shared" si="28"/>
        <v>0</v>
      </c>
      <c r="AE92" s="692">
        <f t="shared" si="29"/>
        <v>0</v>
      </c>
      <c r="AF92" s="692">
        <f t="shared" si="30"/>
        <v>0</v>
      </c>
      <c r="AG92" s="38"/>
      <c r="AH92" s="692">
        <f t="shared" si="36"/>
        <v>0</v>
      </c>
      <c r="AI92" s="692">
        <f t="shared" si="37"/>
        <v>0</v>
      </c>
      <c r="AJ92" s="692">
        <f t="shared" si="38"/>
        <v>0</v>
      </c>
      <c r="AL92" s="38">
        <f t="shared" si="39"/>
        <v>0</v>
      </c>
      <c r="AM92" s="68" t="s">
        <v>628</v>
      </c>
    </row>
    <row r="93" spans="1:39">
      <c r="A93" s="20" t="s">
        <v>97</v>
      </c>
      <c r="B93" s="20" t="s">
        <v>114</v>
      </c>
      <c r="C93" s="667"/>
      <c r="D93" s="68" t="s">
        <v>387</v>
      </c>
      <c r="E93" s="679"/>
      <c r="F93" s="529">
        <f>VLOOKUP(D93,'Dec13 Revenue'!D:V,19,FALSE)</f>
        <v>-4465.3499999999985</v>
      </c>
      <c r="G93" s="680"/>
      <c r="H93" s="680"/>
      <c r="I93" s="755"/>
      <c r="J93" s="682">
        <f t="shared" si="27"/>
        <v>-4465.3499999999985</v>
      </c>
      <c r="K93" s="683"/>
      <c r="L93" s="684"/>
      <c r="M93" s="753">
        <v>30000</v>
      </c>
      <c r="N93" s="683">
        <v>0</v>
      </c>
      <c r="O93" s="686"/>
      <c r="P93" s="683">
        <v>0</v>
      </c>
      <c r="Q93" s="687">
        <f t="shared" si="1"/>
        <v>30000</v>
      </c>
      <c r="R93" s="687"/>
      <c r="S93" s="687"/>
      <c r="T93" s="688">
        <v>23197</v>
      </c>
      <c r="U93" s="693"/>
      <c r="V93" s="690">
        <f t="shared" si="31"/>
        <v>-6803</v>
      </c>
      <c r="W93" s="683"/>
      <c r="X93" s="474">
        <f t="shared" si="32"/>
        <v>0</v>
      </c>
      <c r="Y93" s="474">
        <f t="shared" si="33"/>
        <v>0</v>
      </c>
      <c r="Z93" s="475">
        <f t="shared" si="34"/>
        <v>30000</v>
      </c>
      <c r="AA93" s="475">
        <v>0</v>
      </c>
      <c r="AB93" s="476">
        <v>0</v>
      </c>
      <c r="AC93" s="38">
        <f t="shared" si="35"/>
        <v>0</v>
      </c>
      <c r="AD93" s="692">
        <f t="shared" si="28"/>
        <v>0</v>
      </c>
      <c r="AE93" s="692">
        <f t="shared" si="29"/>
        <v>0</v>
      </c>
      <c r="AF93" s="692">
        <f t="shared" si="30"/>
        <v>-4465.3499999999985</v>
      </c>
      <c r="AG93" s="38"/>
      <c r="AH93" s="692">
        <f t="shared" si="36"/>
        <v>0</v>
      </c>
      <c r="AI93" s="692">
        <f t="shared" si="37"/>
        <v>0</v>
      </c>
      <c r="AJ93" s="692">
        <f t="shared" si="38"/>
        <v>30000</v>
      </c>
      <c r="AL93" s="38">
        <f t="shared" si="39"/>
        <v>25534.65</v>
      </c>
      <c r="AM93" s="68" t="s">
        <v>387</v>
      </c>
    </row>
    <row r="94" spans="1:39" hidden="1">
      <c r="A94" s="20" t="s">
        <v>97</v>
      </c>
      <c r="B94" s="20" t="s">
        <v>114</v>
      </c>
      <c r="C94" s="667"/>
      <c r="D94" s="68" t="s">
        <v>482</v>
      </c>
      <c r="E94" s="679"/>
      <c r="F94" s="529">
        <f>VLOOKUP(D94,'Dec13 Revenue'!D:V,19,FALSE)</f>
        <v>0</v>
      </c>
      <c r="G94" s="680"/>
      <c r="H94" s="680"/>
      <c r="I94" s="755"/>
      <c r="J94" s="682">
        <f t="shared" si="27"/>
        <v>0</v>
      </c>
      <c r="K94" s="683"/>
      <c r="L94" s="684"/>
      <c r="M94" s="753"/>
      <c r="N94" s="683"/>
      <c r="O94" s="686"/>
      <c r="P94" s="683"/>
      <c r="Q94" s="687">
        <f t="shared" si="1"/>
        <v>0</v>
      </c>
      <c r="R94" s="687"/>
      <c r="S94" s="687"/>
      <c r="T94" s="688">
        <v>0</v>
      </c>
      <c r="U94" s="693"/>
      <c r="V94" s="690">
        <f t="shared" si="31"/>
        <v>0</v>
      </c>
      <c r="W94" s="683"/>
      <c r="X94" s="474">
        <f t="shared" si="32"/>
        <v>0</v>
      </c>
      <c r="Y94" s="474">
        <f t="shared" si="33"/>
        <v>0</v>
      </c>
      <c r="Z94" s="475">
        <f t="shared" si="34"/>
        <v>0</v>
      </c>
      <c r="AA94" s="475">
        <v>0</v>
      </c>
      <c r="AB94" s="476">
        <v>0</v>
      </c>
      <c r="AC94" s="38">
        <f t="shared" si="35"/>
        <v>0</v>
      </c>
      <c r="AD94" s="692">
        <f t="shared" si="28"/>
        <v>0</v>
      </c>
      <c r="AE94" s="692">
        <f t="shared" si="29"/>
        <v>0</v>
      </c>
      <c r="AF94" s="692">
        <f t="shared" si="30"/>
        <v>0</v>
      </c>
      <c r="AG94" s="38"/>
      <c r="AH94" s="692">
        <f t="shared" si="36"/>
        <v>0</v>
      </c>
      <c r="AI94" s="692">
        <f t="shared" si="37"/>
        <v>0</v>
      </c>
      <c r="AJ94" s="692">
        <f t="shared" si="38"/>
        <v>0</v>
      </c>
      <c r="AL94" s="38">
        <f t="shared" si="39"/>
        <v>0</v>
      </c>
      <c r="AM94" s="68" t="s">
        <v>482</v>
      </c>
    </row>
    <row r="95" spans="1:39" hidden="1">
      <c r="A95" s="20" t="s">
        <v>109</v>
      </c>
      <c r="B95" s="20" t="s">
        <v>109</v>
      </c>
      <c r="C95" s="667" t="s">
        <v>544</v>
      </c>
      <c r="D95" s="68" t="s">
        <v>383</v>
      </c>
      <c r="E95" s="679"/>
      <c r="F95" s="529">
        <f>VLOOKUP(D95,'Dec13 Revenue'!D:V,19,FALSE)</f>
        <v>0</v>
      </c>
      <c r="G95" s="680"/>
      <c r="H95" s="680"/>
      <c r="I95" s="755"/>
      <c r="J95" s="682">
        <f t="shared" si="27"/>
        <v>0</v>
      </c>
      <c r="K95" s="683"/>
      <c r="L95" s="684"/>
      <c r="M95" s="753"/>
      <c r="N95" s="683">
        <v>0</v>
      </c>
      <c r="O95" s="686"/>
      <c r="P95" s="683">
        <v>0</v>
      </c>
      <c r="Q95" s="687">
        <f t="shared" si="1"/>
        <v>0</v>
      </c>
      <c r="R95" s="687"/>
      <c r="S95" s="687"/>
      <c r="T95" s="688">
        <v>0</v>
      </c>
      <c r="U95" s="693"/>
      <c r="V95" s="690">
        <f t="shared" si="31"/>
        <v>0</v>
      </c>
      <c r="W95" s="683"/>
      <c r="X95" s="474">
        <f t="shared" si="32"/>
        <v>0</v>
      </c>
      <c r="Y95" s="474">
        <f t="shared" si="33"/>
        <v>0</v>
      </c>
      <c r="Z95" s="475">
        <f t="shared" si="34"/>
        <v>0</v>
      </c>
      <c r="AA95" s="475">
        <v>0</v>
      </c>
      <c r="AB95" s="476">
        <v>0</v>
      </c>
      <c r="AC95" s="38">
        <f t="shared" si="35"/>
        <v>0</v>
      </c>
      <c r="AD95" s="692">
        <f t="shared" si="28"/>
        <v>0</v>
      </c>
      <c r="AE95" s="692">
        <f t="shared" si="29"/>
        <v>0</v>
      </c>
      <c r="AF95" s="692">
        <f t="shared" si="30"/>
        <v>0</v>
      </c>
      <c r="AG95" s="38"/>
      <c r="AH95" s="692">
        <f t="shared" si="36"/>
        <v>0</v>
      </c>
      <c r="AI95" s="692">
        <f t="shared" si="37"/>
        <v>0</v>
      </c>
      <c r="AJ95" s="692">
        <f t="shared" si="38"/>
        <v>0</v>
      </c>
      <c r="AL95" s="38">
        <f t="shared" si="39"/>
        <v>0</v>
      </c>
      <c r="AM95" s="68" t="s">
        <v>383</v>
      </c>
    </row>
    <row r="96" spans="1:39" hidden="1">
      <c r="A96" s="21" t="s">
        <v>211</v>
      </c>
      <c r="B96" s="21" t="s">
        <v>109</v>
      </c>
      <c r="C96" s="666" t="s">
        <v>545</v>
      </c>
      <c r="D96" s="68" t="s">
        <v>181</v>
      </c>
      <c r="E96" s="679"/>
      <c r="F96" s="529">
        <f>VLOOKUP(D96,'Dec13 Revenue'!D:V,19,FALSE)</f>
        <v>0</v>
      </c>
      <c r="G96" s="680"/>
      <c r="H96" s="680"/>
      <c r="I96" s="755"/>
      <c r="J96" s="682">
        <f t="shared" si="27"/>
        <v>0</v>
      </c>
      <c r="K96" s="683"/>
      <c r="L96" s="684"/>
      <c r="M96" s="753"/>
      <c r="N96" s="683">
        <v>0</v>
      </c>
      <c r="O96" s="686"/>
      <c r="P96" s="683">
        <v>0</v>
      </c>
      <c r="Q96" s="687">
        <f t="shared" si="1"/>
        <v>0</v>
      </c>
      <c r="R96" s="687"/>
      <c r="S96" s="687"/>
      <c r="T96" s="688">
        <v>0</v>
      </c>
      <c r="U96" s="693"/>
      <c r="V96" s="690">
        <f t="shared" si="31"/>
        <v>0</v>
      </c>
      <c r="W96" s="683"/>
      <c r="X96" s="474">
        <f t="shared" si="32"/>
        <v>0</v>
      </c>
      <c r="Y96" s="474">
        <f t="shared" si="33"/>
        <v>0</v>
      </c>
      <c r="Z96" s="475">
        <f t="shared" si="34"/>
        <v>0</v>
      </c>
      <c r="AA96" s="475">
        <v>0</v>
      </c>
      <c r="AB96" s="476">
        <v>0</v>
      </c>
      <c r="AC96" s="38">
        <f t="shared" si="35"/>
        <v>0</v>
      </c>
      <c r="AD96" s="692">
        <f t="shared" si="28"/>
        <v>0</v>
      </c>
      <c r="AE96" s="692">
        <f t="shared" si="29"/>
        <v>0</v>
      </c>
      <c r="AF96" s="692">
        <f t="shared" si="30"/>
        <v>0</v>
      </c>
      <c r="AG96" s="38"/>
      <c r="AH96" s="692">
        <f t="shared" si="36"/>
        <v>0</v>
      </c>
      <c r="AI96" s="692">
        <f t="shared" si="37"/>
        <v>0</v>
      </c>
      <c r="AJ96" s="692">
        <f t="shared" si="38"/>
        <v>0</v>
      </c>
      <c r="AL96" s="38">
        <f t="shared" si="39"/>
        <v>0</v>
      </c>
      <c r="AM96" s="68" t="s">
        <v>181</v>
      </c>
    </row>
    <row r="97" spans="1:39" hidden="1">
      <c r="A97" s="21" t="s">
        <v>211</v>
      </c>
      <c r="B97" s="21" t="s">
        <v>110</v>
      </c>
      <c r="C97" s="666"/>
      <c r="D97" s="68" t="s">
        <v>504</v>
      </c>
      <c r="E97" s="679"/>
      <c r="F97" s="529">
        <f>VLOOKUP(D97,'Dec13 Revenue'!D:V,19,FALSE)</f>
        <v>0</v>
      </c>
      <c r="G97" s="680"/>
      <c r="H97" s="680"/>
      <c r="I97" s="755"/>
      <c r="J97" s="682">
        <f t="shared" si="27"/>
        <v>0</v>
      </c>
      <c r="K97" s="683"/>
      <c r="L97" s="684"/>
      <c r="M97" s="753"/>
      <c r="N97" s="683">
        <v>0</v>
      </c>
      <c r="O97" s="686"/>
      <c r="P97" s="683">
        <v>0</v>
      </c>
      <c r="Q97" s="687">
        <f t="shared" si="1"/>
        <v>0</v>
      </c>
      <c r="R97" s="687"/>
      <c r="S97" s="687"/>
      <c r="T97" s="688">
        <v>0</v>
      </c>
      <c r="U97" s="693"/>
      <c r="V97" s="690">
        <f t="shared" si="31"/>
        <v>0</v>
      </c>
      <c r="W97" s="683"/>
      <c r="X97" s="474">
        <f t="shared" si="32"/>
        <v>0</v>
      </c>
      <c r="Y97" s="474">
        <f t="shared" si="33"/>
        <v>0</v>
      </c>
      <c r="Z97" s="475">
        <f t="shared" si="34"/>
        <v>0</v>
      </c>
      <c r="AA97" s="475">
        <v>0</v>
      </c>
      <c r="AB97" s="476">
        <v>0</v>
      </c>
      <c r="AC97" s="38">
        <f t="shared" si="35"/>
        <v>0</v>
      </c>
      <c r="AD97" s="692">
        <f t="shared" si="28"/>
        <v>0</v>
      </c>
      <c r="AE97" s="692">
        <f t="shared" si="29"/>
        <v>0</v>
      </c>
      <c r="AF97" s="692">
        <f t="shared" si="30"/>
        <v>0</v>
      </c>
      <c r="AG97" s="38"/>
      <c r="AH97" s="692">
        <f t="shared" si="36"/>
        <v>0</v>
      </c>
      <c r="AI97" s="692">
        <f t="shared" si="37"/>
        <v>0</v>
      </c>
      <c r="AJ97" s="692">
        <f t="shared" si="38"/>
        <v>0</v>
      </c>
      <c r="AL97" s="38">
        <f t="shared" si="39"/>
        <v>0</v>
      </c>
      <c r="AM97" s="68" t="s">
        <v>504</v>
      </c>
    </row>
    <row r="98" spans="1:39">
      <c r="A98" s="20" t="s">
        <v>211</v>
      </c>
      <c r="B98" s="20" t="s">
        <v>109</v>
      </c>
      <c r="C98" s="667" t="s">
        <v>546</v>
      </c>
      <c r="D98" s="68" t="s">
        <v>142</v>
      </c>
      <c r="E98" s="679"/>
      <c r="F98" s="529">
        <f>VLOOKUP(D98,'Dec13 Revenue'!D:V,19,FALSE)</f>
        <v>0</v>
      </c>
      <c r="G98" s="680"/>
      <c r="H98" s="680"/>
      <c r="I98" s="755"/>
      <c r="J98" s="682">
        <f t="shared" si="27"/>
        <v>0</v>
      </c>
      <c r="K98" s="683"/>
      <c r="L98" s="684"/>
      <c r="M98" s="753"/>
      <c r="N98" s="683">
        <v>0</v>
      </c>
      <c r="O98" s="686"/>
      <c r="P98" s="683">
        <v>0</v>
      </c>
      <c r="Q98" s="687">
        <f t="shared" si="1"/>
        <v>0</v>
      </c>
      <c r="R98" s="687"/>
      <c r="S98" s="687"/>
      <c r="T98" s="688">
        <v>0</v>
      </c>
      <c r="U98" s="693"/>
      <c r="V98" s="690">
        <f t="shared" si="31"/>
        <v>0</v>
      </c>
      <c r="W98" s="697"/>
      <c r="X98" s="474">
        <f t="shared" si="32"/>
        <v>0</v>
      </c>
      <c r="Y98" s="474">
        <f t="shared" si="33"/>
        <v>0</v>
      </c>
      <c r="Z98" s="475">
        <f t="shared" si="34"/>
        <v>0</v>
      </c>
      <c r="AA98" s="475">
        <v>0</v>
      </c>
      <c r="AB98" s="476">
        <v>0</v>
      </c>
      <c r="AC98" s="38">
        <f t="shared" si="35"/>
        <v>0</v>
      </c>
      <c r="AD98" s="692">
        <f t="shared" si="28"/>
        <v>0</v>
      </c>
      <c r="AE98" s="692">
        <f t="shared" si="29"/>
        <v>0</v>
      </c>
      <c r="AF98" s="692">
        <f t="shared" si="30"/>
        <v>0</v>
      </c>
      <c r="AG98" s="38"/>
      <c r="AH98" s="692">
        <f t="shared" si="36"/>
        <v>0</v>
      </c>
      <c r="AI98" s="692">
        <f t="shared" si="37"/>
        <v>0</v>
      </c>
      <c r="AJ98" s="692">
        <f t="shared" si="38"/>
        <v>0</v>
      </c>
      <c r="AL98" s="38">
        <f t="shared" si="39"/>
        <v>0</v>
      </c>
      <c r="AM98" s="68" t="s">
        <v>142</v>
      </c>
    </row>
    <row r="99" spans="1:39">
      <c r="A99" s="20" t="s">
        <v>211</v>
      </c>
      <c r="B99" s="20" t="s">
        <v>109</v>
      </c>
      <c r="C99" s="667" t="s">
        <v>546</v>
      </c>
      <c r="D99" s="68" t="s">
        <v>143</v>
      </c>
      <c r="E99" s="679"/>
      <c r="F99" s="529">
        <f>VLOOKUP(D99,'Dec13 Revenue'!D:V,19,FALSE)</f>
        <v>0</v>
      </c>
      <c r="G99" s="680"/>
      <c r="H99" s="680"/>
      <c r="I99" s="755"/>
      <c r="J99" s="682">
        <f t="shared" si="27"/>
        <v>0</v>
      </c>
      <c r="K99" s="683"/>
      <c r="L99" s="684"/>
      <c r="M99" s="753"/>
      <c r="N99" s="683">
        <v>0</v>
      </c>
      <c r="O99" s="686"/>
      <c r="P99" s="683">
        <v>0</v>
      </c>
      <c r="Q99" s="687">
        <f t="shared" si="1"/>
        <v>0</v>
      </c>
      <c r="R99" s="687"/>
      <c r="S99" s="687"/>
      <c r="T99" s="688">
        <v>0</v>
      </c>
      <c r="U99" s="693"/>
      <c r="V99" s="690">
        <f t="shared" si="31"/>
        <v>0</v>
      </c>
      <c r="W99" s="697"/>
      <c r="X99" s="474">
        <f t="shared" si="32"/>
        <v>0</v>
      </c>
      <c r="Y99" s="474">
        <f t="shared" si="33"/>
        <v>0</v>
      </c>
      <c r="Z99" s="475">
        <f t="shared" si="34"/>
        <v>0</v>
      </c>
      <c r="AA99" s="475">
        <v>0</v>
      </c>
      <c r="AB99" s="476">
        <v>0</v>
      </c>
      <c r="AC99" s="38">
        <f t="shared" si="35"/>
        <v>0</v>
      </c>
      <c r="AD99" s="692">
        <f t="shared" si="28"/>
        <v>0</v>
      </c>
      <c r="AE99" s="692">
        <f t="shared" si="29"/>
        <v>0</v>
      </c>
      <c r="AF99" s="692">
        <f t="shared" si="30"/>
        <v>0</v>
      </c>
      <c r="AG99" s="38"/>
      <c r="AH99" s="692">
        <f t="shared" si="36"/>
        <v>0</v>
      </c>
      <c r="AI99" s="692">
        <f t="shared" si="37"/>
        <v>0</v>
      </c>
      <c r="AJ99" s="692">
        <f t="shared" si="38"/>
        <v>0</v>
      </c>
      <c r="AL99" s="38">
        <f t="shared" si="39"/>
        <v>0</v>
      </c>
      <c r="AM99" s="68" t="s">
        <v>143</v>
      </c>
    </row>
    <row r="100" spans="1:39">
      <c r="A100" s="20"/>
      <c r="B100" s="20" t="s">
        <v>109</v>
      </c>
      <c r="C100" s="667"/>
      <c r="D100" s="68" t="s">
        <v>1014</v>
      </c>
      <c r="E100" s="679"/>
      <c r="F100" s="529">
        <f>VLOOKUP(D100,'Dec13 Revenue'!D:V,19,FALSE)</f>
        <v>0</v>
      </c>
      <c r="G100" s="680"/>
      <c r="H100" s="680"/>
      <c r="I100" s="755"/>
      <c r="J100" s="682">
        <f t="shared" si="27"/>
        <v>0</v>
      </c>
      <c r="K100" s="683"/>
      <c r="L100" s="684"/>
      <c r="M100" s="753"/>
      <c r="N100" s="683">
        <v>0</v>
      </c>
      <c r="O100" s="686"/>
      <c r="P100" s="683">
        <v>0</v>
      </c>
      <c r="Q100" s="687">
        <f t="shared" si="1"/>
        <v>0</v>
      </c>
      <c r="R100" s="687"/>
      <c r="S100" s="687"/>
      <c r="T100" s="688">
        <v>0</v>
      </c>
      <c r="U100" s="693"/>
      <c r="V100" s="690">
        <f t="shared" si="31"/>
        <v>0</v>
      </c>
      <c r="W100" s="683"/>
      <c r="X100" s="474">
        <f t="shared" si="32"/>
        <v>0</v>
      </c>
      <c r="Y100" s="474">
        <f t="shared" si="33"/>
        <v>0</v>
      </c>
      <c r="Z100" s="475">
        <f t="shared" si="34"/>
        <v>0</v>
      </c>
      <c r="AA100" s="475">
        <v>0</v>
      </c>
      <c r="AB100" s="476">
        <v>0</v>
      </c>
      <c r="AC100" s="38">
        <f t="shared" si="35"/>
        <v>0</v>
      </c>
      <c r="AD100" s="692">
        <f t="shared" si="28"/>
        <v>0</v>
      </c>
      <c r="AE100" s="692">
        <f t="shared" si="29"/>
        <v>0</v>
      </c>
      <c r="AF100" s="692">
        <f t="shared" si="30"/>
        <v>0</v>
      </c>
      <c r="AG100" s="38"/>
      <c r="AH100" s="692">
        <f t="shared" si="36"/>
        <v>0</v>
      </c>
      <c r="AI100" s="692">
        <f t="shared" si="37"/>
        <v>0</v>
      </c>
      <c r="AJ100" s="692">
        <f t="shared" si="38"/>
        <v>0</v>
      </c>
      <c r="AL100" s="38">
        <f t="shared" si="39"/>
        <v>0</v>
      </c>
      <c r="AM100" s="68" t="s">
        <v>1014</v>
      </c>
    </row>
    <row r="101" spans="1:39">
      <c r="A101" s="20" t="s">
        <v>109</v>
      </c>
      <c r="B101" s="20" t="s">
        <v>109</v>
      </c>
      <c r="C101" s="667"/>
      <c r="D101" s="68" t="s">
        <v>498</v>
      </c>
      <c r="E101" s="679"/>
      <c r="F101" s="529">
        <f>VLOOKUP(D101,'Dec13 Revenue'!D:V,19,FALSE)</f>
        <v>0</v>
      </c>
      <c r="G101" s="680"/>
      <c r="H101" s="680"/>
      <c r="I101" s="755"/>
      <c r="J101" s="682">
        <f t="shared" si="27"/>
        <v>0</v>
      </c>
      <c r="K101" s="683"/>
      <c r="L101" s="684"/>
      <c r="M101" s="753"/>
      <c r="N101" s="683">
        <v>0</v>
      </c>
      <c r="O101" s="686"/>
      <c r="P101" s="683">
        <v>0</v>
      </c>
      <c r="Q101" s="687">
        <f t="shared" si="1"/>
        <v>0</v>
      </c>
      <c r="R101" s="687"/>
      <c r="S101" s="687"/>
      <c r="T101" s="688">
        <v>0</v>
      </c>
      <c r="U101" s="693"/>
      <c r="V101" s="690">
        <f t="shared" si="31"/>
        <v>0</v>
      </c>
      <c r="W101" s="683"/>
      <c r="X101" s="474">
        <f t="shared" si="32"/>
        <v>0</v>
      </c>
      <c r="Y101" s="474">
        <f t="shared" si="33"/>
        <v>0</v>
      </c>
      <c r="Z101" s="475">
        <f t="shared" si="34"/>
        <v>0</v>
      </c>
      <c r="AA101" s="475">
        <v>0</v>
      </c>
      <c r="AB101" s="476">
        <v>0</v>
      </c>
      <c r="AC101" s="38">
        <f t="shared" si="35"/>
        <v>0</v>
      </c>
      <c r="AD101" s="692">
        <f t="shared" si="28"/>
        <v>0</v>
      </c>
      <c r="AE101" s="692">
        <f t="shared" si="29"/>
        <v>0</v>
      </c>
      <c r="AF101" s="692">
        <f t="shared" si="30"/>
        <v>0</v>
      </c>
      <c r="AG101" s="38"/>
      <c r="AH101" s="692">
        <f t="shared" si="36"/>
        <v>0</v>
      </c>
      <c r="AI101" s="692">
        <f t="shared" si="37"/>
        <v>0</v>
      </c>
      <c r="AJ101" s="692">
        <f t="shared" si="38"/>
        <v>0</v>
      </c>
      <c r="AL101" s="38">
        <f t="shared" si="39"/>
        <v>0</v>
      </c>
      <c r="AM101" s="68" t="s">
        <v>498</v>
      </c>
    </row>
    <row r="102" spans="1:39">
      <c r="A102" s="21"/>
      <c r="B102" s="21" t="s">
        <v>110</v>
      </c>
      <c r="C102" s="666"/>
      <c r="D102" s="68" t="s">
        <v>20</v>
      </c>
      <c r="E102" s="679"/>
      <c r="F102" s="529">
        <f>VLOOKUP(D102,'Dec13 Revenue'!D:V,19,FALSE)</f>
        <v>0</v>
      </c>
      <c r="G102" s="680"/>
      <c r="H102" s="680"/>
      <c r="I102" s="770">
        <v>129.33000000000001</v>
      </c>
      <c r="J102" s="682">
        <f t="shared" si="27"/>
        <v>129.33000000000001</v>
      </c>
      <c r="K102" s="683"/>
      <c r="L102" s="684"/>
      <c r="M102" s="753"/>
      <c r="N102" s="683">
        <v>0</v>
      </c>
      <c r="O102" s="686"/>
      <c r="P102" s="683">
        <v>0</v>
      </c>
      <c r="Q102" s="687">
        <f t="shared" si="1"/>
        <v>0</v>
      </c>
      <c r="R102" s="687"/>
      <c r="S102" s="687"/>
      <c r="T102" s="688">
        <v>0</v>
      </c>
      <c r="U102" s="693"/>
      <c r="V102" s="690">
        <f t="shared" si="31"/>
        <v>0</v>
      </c>
      <c r="W102" s="683"/>
      <c r="X102" s="474">
        <f t="shared" si="32"/>
        <v>0</v>
      </c>
      <c r="Y102" s="474">
        <f t="shared" si="33"/>
        <v>0</v>
      </c>
      <c r="Z102" s="475">
        <f t="shared" si="34"/>
        <v>0</v>
      </c>
      <c r="AA102" s="475">
        <v>0</v>
      </c>
      <c r="AB102" s="476">
        <v>0</v>
      </c>
      <c r="AC102" s="38">
        <f t="shared" si="35"/>
        <v>0</v>
      </c>
      <c r="AD102" s="692">
        <f t="shared" si="28"/>
        <v>129.33000000000001</v>
      </c>
      <c r="AE102" s="692">
        <f t="shared" si="29"/>
        <v>0</v>
      </c>
      <c r="AF102" s="692">
        <f t="shared" si="30"/>
        <v>0</v>
      </c>
      <c r="AG102" s="38"/>
      <c r="AH102" s="692">
        <f t="shared" si="36"/>
        <v>0</v>
      </c>
      <c r="AI102" s="692">
        <f t="shared" si="37"/>
        <v>0</v>
      </c>
      <c r="AJ102" s="692">
        <f t="shared" si="38"/>
        <v>0</v>
      </c>
      <c r="AL102" s="38">
        <f t="shared" si="39"/>
        <v>129.33000000000001</v>
      </c>
      <c r="AM102" s="68" t="s">
        <v>20</v>
      </c>
    </row>
    <row r="103" spans="1:39">
      <c r="A103" s="21"/>
      <c r="B103" s="21" t="s">
        <v>110</v>
      </c>
      <c r="C103" s="666" t="s">
        <v>547</v>
      </c>
      <c r="D103" s="68" t="s">
        <v>203</v>
      </c>
      <c r="E103" s="679"/>
      <c r="F103" s="529">
        <f>VLOOKUP(D103,'Dec13 Revenue'!D:V,19,FALSE)</f>
        <v>0</v>
      </c>
      <c r="G103" s="680"/>
      <c r="H103" s="680"/>
      <c r="I103" s="755"/>
      <c r="J103" s="682">
        <f t="shared" si="27"/>
        <v>0</v>
      </c>
      <c r="K103" s="683"/>
      <c r="L103" s="684"/>
      <c r="M103" s="753"/>
      <c r="N103" s="683">
        <v>0</v>
      </c>
      <c r="O103" s="686"/>
      <c r="P103" s="683">
        <v>0</v>
      </c>
      <c r="Q103" s="687">
        <f t="shared" si="1"/>
        <v>0</v>
      </c>
      <c r="R103" s="687"/>
      <c r="S103" s="687"/>
      <c r="T103" s="688">
        <v>0</v>
      </c>
      <c r="U103" s="693"/>
      <c r="V103" s="690">
        <f t="shared" si="31"/>
        <v>0</v>
      </c>
      <c r="W103" s="683"/>
      <c r="X103" s="474">
        <f t="shared" si="32"/>
        <v>0</v>
      </c>
      <c r="Y103" s="474">
        <f t="shared" si="33"/>
        <v>0</v>
      </c>
      <c r="Z103" s="475">
        <f t="shared" si="34"/>
        <v>0</v>
      </c>
      <c r="AA103" s="475">
        <v>0</v>
      </c>
      <c r="AB103" s="476">
        <v>0</v>
      </c>
      <c r="AC103" s="38">
        <f t="shared" si="35"/>
        <v>0</v>
      </c>
      <c r="AD103" s="692">
        <f t="shared" si="28"/>
        <v>0</v>
      </c>
      <c r="AE103" s="692">
        <f t="shared" si="29"/>
        <v>0</v>
      </c>
      <c r="AF103" s="692">
        <f t="shared" si="30"/>
        <v>0</v>
      </c>
      <c r="AG103" s="38"/>
      <c r="AH103" s="692">
        <f t="shared" si="36"/>
        <v>0</v>
      </c>
      <c r="AI103" s="692">
        <f t="shared" si="37"/>
        <v>0</v>
      </c>
      <c r="AJ103" s="692">
        <f t="shared" si="38"/>
        <v>0</v>
      </c>
      <c r="AL103" s="38">
        <f t="shared" si="39"/>
        <v>0</v>
      </c>
      <c r="AM103" s="68" t="s">
        <v>203</v>
      </c>
    </row>
    <row r="104" spans="1:39">
      <c r="A104" s="21"/>
      <c r="B104" s="21" t="s">
        <v>110</v>
      </c>
      <c r="C104" s="666" t="s">
        <v>547</v>
      </c>
      <c r="D104" s="68" t="s">
        <v>202</v>
      </c>
      <c r="E104" s="679"/>
      <c r="F104" s="529">
        <f>VLOOKUP(D104,'Dec13 Revenue'!D:V,19,FALSE)</f>
        <v>0</v>
      </c>
      <c r="G104" s="680"/>
      <c r="H104" s="680"/>
      <c r="I104" s="755"/>
      <c r="J104" s="682">
        <f t="shared" si="27"/>
        <v>0</v>
      </c>
      <c r="K104" s="683"/>
      <c r="L104" s="684"/>
      <c r="M104" s="753"/>
      <c r="N104" s="683">
        <v>0</v>
      </c>
      <c r="O104" s="686"/>
      <c r="P104" s="683">
        <v>0</v>
      </c>
      <c r="Q104" s="687">
        <f t="shared" si="1"/>
        <v>0</v>
      </c>
      <c r="R104" s="687"/>
      <c r="S104" s="687"/>
      <c r="T104" s="688">
        <v>0</v>
      </c>
      <c r="U104" s="693"/>
      <c r="V104" s="690">
        <f t="shared" si="31"/>
        <v>0</v>
      </c>
      <c r="W104" s="683"/>
      <c r="X104" s="474">
        <f t="shared" si="32"/>
        <v>0</v>
      </c>
      <c r="Y104" s="474">
        <f t="shared" si="33"/>
        <v>0</v>
      </c>
      <c r="Z104" s="475">
        <f t="shared" si="34"/>
        <v>0</v>
      </c>
      <c r="AA104" s="475">
        <v>0</v>
      </c>
      <c r="AB104" s="476">
        <v>0</v>
      </c>
      <c r="AC104" s="38">
        <f t="shared" si="35"/>
        <v>0</v>
      </c>
      <c r="AD104" s="692">
        <f t="shared" si="28"/>
        <v>0</v>
      </c>
      <c r="AE104" s="692">
        <f t="shared" si="29"/>
        <v>0</v>
      </c>
      <c r="AF104" s="692">
        <f t="shared" si="30"/>
        <v>0</v>
      </c>
      <c r="AG104" s="38"/>
      <c r="AH104" s="692">
        <f t="shared" si="36"/>
        <v>0</v>
      </c>
      <c r="AI104" s="692">
        <f t="shared" si="37"/>
        <v>0</v>
      </c>
      <c r="AJ104" s="692">
        <f t="shared" si="38"/>
        <v>0</v>
      </c>
      <c r="AL104" s="38">
        <f t="shared" si="39"/>
        <v>0</v>
      </c>
      <c r="AM104" s="68" t="s">
        <v>202</v>
      </c>
    </row>
    <row r="105" spans="1:39">
      <c r="A105" s="20" t="s">
        <v>211</v>
      </c>
      <c r="B105" s="20" t="s">
        <v>110</v>
      </c>
      <c r="C105" s="676" t="s">
        <v>1031</v>
      </c>
      <c r="D105" s="373" t="s">
        <v>466</v>
      </c>
      <c r="E105" s="679"/>
      <c r="F105" s="529">
        <f>VLOOKUP(D105,'Dec13 Revenue'!D:V,19,FALSE)</f>
        <v>0</v>
      </c>
      <c r="G105" s="680"/>
      <c r="H105" s="680"/>
      <c r="I105" s="755"/>
      <c r="J105" s="682">
        <f t="shared" si="27"/>
        <v>0</v>
      </c>
      <c r="K105" s="683"/>
      <c r="L105" s="684"/>
      <c r="M105" s="753"/>
      <c r="N105" s="683">
        <v>0</v>
      </c>
      <c r="O105" s="686"/>
      <c r="P105" s="683">
        <v>0</v>
      </c>
      <c r="Q105" s="687">
        <f t="shared" si="1"/>
        <v>0</v>
      </c>
      <c r="R105" s="687"/>
      <c r="S105" s="687"/>
      <c r="T105" s="688">
        <v>863.51</v>
      </c>
      <c r="U105" s="693"/>
      <c r="V105" s="690">
        <f t="shared" si="31"/>
        <v>863.51</v>
      </c>
      <c r="W105" s="683"/>
      <c r="X105" s="474">
        <f t="shared" si="32"/>
        <v>0</v>
      </c>
      <c r="Y105" s="474">
        <f t="shared" si="33"/>
        <v>0</v>
      </c>
      <c r="Z105" s="475">
        <f t="shared" si="34"/>
        <v>0</v>
      </c>
      <c r="AA105" s="475">
        <v>0</v>
      </c>
      <c r="AB105" s="476">
        <v>0</v>
      </c>
      <c r="AC105" s="38">
        <f t="shared" si="35"/>
        <v>0</v>
      </c>
      <c r="AD105" s="692">
        <f t="shared" si="28"/>
        <v>0</v>
      </c>
      <c r="AE105" s="692">
        <f t="shared" si="29"/>
        <v>0</v>
      </c>
      <c r="AF105" s="692">
        <f t="shared" si="30"/>
        <v>0</v>
      </c>
      <c r="AG105" s="38"/>
      <c r="AH105" s="692">
        <f t="shared" si="36"/>
        <v>0</v>
      </c>
      <c r="AI105" s="692">
        <f t="shared" si="37"/>
        <v>0</v>
      </c>
      <c r="AJ105" s="692">
        <f t="shared" si="38"/>
        <v>0</v>
      </c>
      <c r="AL105" s="38">
        <f t="shared" si="39"/>
        <v>0</v>
      </c>
      <c r="AM105" s="373" t="s">
        <v>466</v>
      </c>
    </row>
    <row r="106" spans="1:39">
      <c r="A106" s="20"/>
      <c r="B106" s="20" t="s">
        <v>110</v>
      </c>
      <c r="C106" s="667"/>
      <c r="D106" s="373" t="s">
        <v>627</v>
      </c>
      <c r="E106" s="679"/>
      <c r="F106" s="529">
        <f>VLOOKUP(D106,'Dec13 Revenue'!D:V,19,FALSE)</f>
        <v>0</v>
      </c>
      <c r="G106" s="680"/>
      <c r="H106" s="680"/>
      <c r="I106" s="755"/>
      <c r="J106" s="682">
        <f t="shared" si="27"/>
        <v>0</v>
      </c>
      <c r="K106" s="683"/>
      <c r="L106" s="684"/>
      <c r="M106" s="753"/>
      <c r="N106" s="683">
        <v>0</v>
      </c>
      <c r="O106" s="686"/>
      <c r="P106" s="683">
        <v>0</v>
      </c>
      <c r="Q106" s="687">
        <f t="shared" si="1"/>
        <v>0</v>
      </c>
      <c r="R106" s="687"/>
      <c r="S106" s="687"/>
      <c r="T106" s="688">
        <v>0</v>
      </c>
      <c r="U106" s="693"/>
      <c r="V106" s="690">
        <f t="shared" si="31"/>
        <v>0</v>
      </c>
      <c r="W106" s="683"/>
      <c r="X106" s="474">
        <f t="shared" si="32"/>
        <v>0</v>
      </c>
      <c r="Y106" s="474">
        <f t="shared" si="33"/>
        <v>0</v>
      </c>
      <c r="Z106" s="475">
        <f t="shared" si="34"/>
        <v>0</v>
      </c>
      <c r="AA106" s="475">
        <v>0</v>
      </c>
      <c r="AB106" s="476">
        <v>0</v>
      </c>
      <c r="AC106" s="38">
        <f t="shared" si="35"/>
        <v>0</v>
      </c>
      <c r="AD106" s="692">
        <f t="shared" si="28"/>
        <v>0</v>
      </c>
      <c r="AE106" s="692">
        <f t="shared" si="29"/>
        <v>0</v>
      </c>
      <c r="AF106" s="692">
        <f t="shared" si="30"/>
        <v>0</v>
      </c>
      <c r="AG106" s="38"/>
      <c r="AH106" s="692">
        <f t="shared" si="36"/>
        <v>0</v>
      </c>
      <c r="AI106" s="692">
        <f t="shared" si="37"/>
        <v>0</v>
      </c>
      <c r="AJ106" s="692">
        <f t="shared" si="38"/>
        <v>0</v>
      </c>
      <c r="AL106" s="38">
        <f t="shared" si="39"/>
        <v>0</v>
      </c>
      <c r="AM106" s="373" t="s">
        <v>627</v>
      </c>
    </row>
    <row r="107" spans="1:39" s="232" customFormat="1" ht="12.75" customHeight="1">
      <c r="A107" s="283"/>
      <c r="B107" s="283" t="s">
        <v>110</v>
      </c>
      <c r="C107" s="667"/>
      <c r="D107" s="123" t="s">
        <v>994</v>
      </c>
      <c r="E107" s="679"/>
      <c r="F107" s="529">
        <f>VLOOKUP(D107,'Dec13 Revenue'!D:V,19,FALSE)</f>
        <v>0</v>
      </c>
      <c r="G107" s="680"/>
      <c r="H107" s="680"/>
      <c r="I107" s="770">
        <v>7205915.1083249999</v>
      </c>
      <c r="J107" s="682">
        <f t="shared" si="27"/>
        <v>7205915.1083249999</v>
      </c>
      <c r="K107" s="683"/>
      <c r="L107" s="684"/>
      <c r="M107" s="753"/>
      <c r="N107" s="683">
        <v>0</v>
      </c>
      <c r="O107" s="686"/>
      <c r="P107" s="683">
        <v>0</v>
      </c>
      <c r="Q107" s="687">
        <f t="shared" si="1"/>
        <v>0</v>
      </c>
      <c r="R107" s="687"/>
      <c r="S107" s="687"/>
      <c r="T107" s="688">
        <v>0</v>
      </c>
      <c r="U107" s="693"/>
      <c r="V107" s="690">
        <f t="shared" si="31"/>
        <v>0</v>
      </c>
      <c r="W107" s="683"/>
      <c r="X107" s="474">
        <f t="shared" si="32"/>
        <v>0</v>
      </c>
      <c r="Y107" s="474">
        <f t="shared" si="33"/>
        <v>0</v>
      </c>
      <c r="Z107" s="475">
        <f t="shared" si="34"/>
        <v>0</v>
      </c>
      <c r="AA107" s="475">
        <v>0</v>
      </c>
      <c r="AB107" s="476">
        <v>0</v>
      </c>
      <c r="AC107" s="38">
        <f t="shared" si="35"/>
        <v>0</v>
      </c>
      <c r="AD107" s="692">
        <f t="shared" si="28"/>
        <v>7205915.1083249999</v>
      </c>
      <c r="AE107" s="692">
        <f t="shared" si="29"/>
        <v>0</v>
      </c>
      <c r="AF107" s="692">
        <f t="shared" si="30"/>
        <v>0</v>
      </c>
      <c r="AG107" s="38"/>
      <c r="AH107" s="692">
        <f t="shared" si="36"/>
        <v>0</v>
      </c>
      <c r="AI107" s="692">
        <f t="shared" si="37"/>
        <v>0</v>
      </c>
      <c r="AJ107" s="692">
        <f t="shared" si="38"/>
        <v>0</v>
      </c>
      <c r="AL107" s="38">
        <f t="shared" si="39"/>
        <v>7205915.1083249999</v>
      </c>
      <c r="AM107" s="123" t="s">
        <v>994</v>
      </c>
    </row>
    <row r="108" spans="1:39" s="232" customFormat="1" ht="12.75" customHeight="1">
      <c r="A108" s="283"/>
      <c r="B108" s="283" t="s">
        <v>110</v>
      </c>
      <c r="C108" s="667"/>
      <c r="D108" s="123" t="s">
        <v>993</v>
      </c>
      <c r="E108" s="679"/>
      <c r="F108" s="529">
        <f>VLOOKUP(D108,'Dec13 Revenue'!D:V,19,FALSE)</f>
        <v>0</v>
      </c>
      <c r="G108" s="680"/>
      <c r="H108" s="680"/>
      <c r="I108" s="770">
        <v>4497900.6144140009</v>
      </c>
      <c r="J108" s="682">
        <f t="shared" si="27"/>
        <v>4497900.6144140009</v>
      </c>
      <c r="K108" s="683"/>
      <c r="L108" s="684"/>
      <c r="M108" s="753"/>
      <c r="N108" s="683">
        <v>0</v>
      </c>
      <c r="O108" s="686"/>
      <c r="P108" s="683">
        <v>0</v>
      </c>
      <c r="Q108" s="687">
        <f t="shared" si="1"/>
        <v>0</v>
      </c>
      <c r="R108" s="687"/>
      <c r="S108" s="687"/>
      <c r="T108" s="688">
        <v>0</v>
      </c>
      <c r="U108" s="693"/>
      <c r="V108" s="690">
        <f t="shared" si="31"/>
        <v>0</v>
      </c>
      <c r="W108" s="683"/>
      <c r="X108" s="474">
        <f t="shared" si="32"/>
        <v>0</v>
      </c>
      <c r="Y108" s="474">
        <f t="shared" si="33"/>
        <v>0</v>
      </c>
      <c r="Z108" s="475">
        <f t="shared" si="34"/>
        <v>0</v>
      </c>
      <c r="AA108" s="475">
        <v>0</v>
      </c>
      <c r="AB108" s="476">
        <v>0</v>
      </c>
      <c r="AC108" s="38">
        <f t="shared" si="35"/>
        <v>0</v>
      </c>
      <c r="AD108" s="692">
        <f t="shared" si="28"/>
        <v>4497900.6144140009</v>
      </c>
      <c r="AE108" s="692">
        <f t="shared" si="29"/>
        <v>0</v>
      </c>
      <c r="AF108" s="692">
        <f t="shared" si="30"/>
        <v>0</v>
      </c>
      <c r="AG108" s="38"/>
      <c r="AH108" s="692">
        <f t="shared" si="36"/>
        <v>0</v>
      </c>
      <c r="AI108" s="692">
        <f t="shared" si="37"/>
        <v>0</v>
      </c>
      <c r="AJ108" s="692">
        <f t="shared" si="38"/>
        <v>0</v>
      </c>
      <c r="AL108" s="38">
        <f t="shared" si="39"/>
        <v>4497900.6144140009</v>
      </c>
      <c r="AM108" s="123" t="s">
        <v>993</v>
      </c>
    </row>
    <row r="109" spans="1:39" s="232" customFormat="1" ht="12.75" customHeight="1">
      <c r="A109" s="283"/>
      <c r="B109" s="283" t="s">
        <v>110</v>
      </c>
      <c r="C109" s="667"/>
      <c r="D109" s="123" t="s">
        <v>996</v>
      </c>
      <c r="E109" s="679"/>
      <c r="F109" s="529">
        <f>VLOOKUP(D109,'Dec13 Revenue'!D:V,19,FALSE)</f>
        <v>0</v>
      </c>
      <c r="G109" s="680"/>
      <c r="H109" s="680"/>
      <c r="I109" s="770">
        <v>228664.53</v>
      </c>
      <c r="J109" s="682">
        <f t="shared" si="27"/>
        <v>228664.53</v>
      </c>
      <c r="K109" s="683"/>
      <c r="L109" s="684"/>
      <c r="M109" s="753"/>
      <c r="N109" s="683">
        <v>0</v>
      </c>
      <c r="O109" s="686"/>
      <c r="P109" s="683">
        <v>0</v>
      </c>
      <c r="Q109" s="687">
        <f t="shared" si="1"/>
        <v>0</v>
      </c>
      <c r="R109" s="687"/>
      <c r="S109" s="687"/>
      <c r="T109" s="688">
        <v>0</v>
      </c>
      <c r="U109" s="693"/>
      <c r="V109" s="690">
        <f t="shared" si="31"/>
        <v>0</v>
      </c>
      <c r="W109" s="683"/>
      <c r="X109" s="474">
        <f t="shared" si="32"/>
        <v>0</v>
      </c>
      <c r="Y109" s="474">
        <f t="shared" si="33"/>
        <v>0</v>
      </c>
      <c r="Z109" s="475">
        <f t="shared" si="34"/>
        <v>0</v>
      </c>
      <c r="AA109" s="475">
        <v>0</v>
      </c>
      <c r="AB109" s="476">
        <v>0</v>
      </c>
      <c r="AC109" s="38">
        <f t="shared" si="35"/>
        <v>0</v>
      </c>
      <c r="AD109" s="692">
        <f t="shared" si="28"/>
        <v>228664.53</v>
      </c>
      <c r="AE109" s="692">
        <f t="shared" si="29"/>
        <v>0</v>
      </c>
      <c r="AF109" s="692">
        <f t="shared" si="30"/>
        <v>0</v>
      </c>
      <c r="AG109" s="38"/>
      <c r="AH109" s="692">
        <f t="shared" si="36"/>
        <v>0</v>
      </c>
      <c r="AI109" s="692">
        <f t="shared" si="37"/>
        <v>0</v>
      </c>
      <c r="AJ109" s="692">
        <f t="shared" si="38"/>
        <v>0</v>
      </c>
      <c r="AL109" s="38">
        <f t="shared" si="39"/>
        <v>228664.53</v>
      </c>
      <c r="AM109" s="123" t="s">
        <v>996</v>
      </c>
    </row>
    <row r="110" spans="1:39" s="232" customFormat="1" ht="12.75" customHeight="1">
      <c r="A110" s="283"/>
      <c r="B110" s="283" t="s">
        <v>110</v>
      </c>
      <c r="C110" s="667"/>
      <c r="D110" s="123" t="s">
        <v>995</v>
      </c>
      <c r="E110" s="679"/>
      <c r="F110" s="529">
        <f>VLOOKUP(D110,'Dec13 Revenue'!D:V,19,FALSE)</f>
        <v>0</v>
      </c>
      <c r="G110" s="680"/>
      <c r="H110" s="680"/>
      <c r="I110" s="770">
        <v>19119.080000000002</v>
      </c>
      <c r="J110" s="682">
        <f>SUM(E110:I110)</f>
        <v>19119.080000000002</v>
      </c>
      <c r="K110" s="683"/>
      <c r="L110" s="684"/>
      <c r="M110" s="753"/>
      <c r="N110" s="683">
        <v>0</v>
      </c>
      <c r="O110" s="686"/>
      <c r="P110" s="683">
        <v>0</v>
      </c>
      <c r="Q110" s="687">
        <f>L110+M110</f>
        <v>0</v>
      </c>
      <c r="R110" s="687"/>
      <c r="S110" s="687"/>
      <c r="T110" s="688">
        <v>0</v>
      </c>
      <c r="U110" s="693"/>
      <c r="V110" s="690">
        <f t="shared" si="31"/>
        <v>0</v>
      </c>
      <c r="W110" s="683"/>
      <c r="X110" s="474">
        <f>IF(B110="D",Q110,0)</f>
        <v>0</v>
      </c>
      <c r="Y110" s="474">
        <f>IF(B110="M",Q110,0)</f>
        <v>0</v>
      </c>
      <c r="Z110" s="475">
        <f>IF(B110="V",Q110,0)</f>
        <v>0</v>
      </c>
      <c r="AA110" s="475">
        <v>0</v>
      </c>
      <c r="AB110" s="476">
        <v>0</v>
      </c>
      <c r="AC110" s="38">
        <f>(L110+M110)-(X110+Y110+Z110+AA110+AB110)</f>
        <v>0</v>
      </c>
      <c r="AD110" s="692">
        <f>IF(B110="D",J110,0)</f>
        <v>19119.080000000002</v>
      </c>
      <c r="AE110" s="692">
        <f>IF(B110="M",J110,0)</f>
        <v>0</v>
      </c>
      <c r="AF110" s="692">
        <f>IF(B110="V",J110,0)</f>
        <v>0</v>
      </c>
      <c r="AG110" s="38"/>
      <c r="AH110" s="692">
        <f>IF(B110="D",Q110,0)</f>
        <v>0</v>
      </c>
      <c r="AI110" s="692">
        <f>IF(B110="M",Q110,0)</f>
        <v>0</v>
      </c>
      <c r="AJ110" s="692">
        <f>IF(B110="V",Q110,0)</f>
        <v>0</v>
      </c>
      <c r="AL110" s="38">
        <f>SUM(AD110:AJ110)</f>
        <v>19119.080000000002</v>
      </c>
      <c r="AM110" s="123" t="s">
        <v>995</v>
      </c>
    </row>
    <row r="111" spans="1:39" s="232" customFormat="1" ht="12.75" customHeight="1">
      <c r="A111" s="283"/>
      <c r="B111" s="283" t="s">
        <v>110</v>
      </c>
      <c r="C111" s="667"/>
      <c r="D111" s="123" t="s">
        <v>997</v>
      </c>
      <c r="E111" s="679"/>
      <c r="F111" s="529">
        <f>VLOOKUP(D111,'Dec13 Revenue'!D:V,19,FALSE)</f>
        <v>0</v>
      </c>
      <c r="G111" s="680"/>
      <c r="H111" s="680"/>
      <c r="I111" s="770">
        <v>19912.349999999999</v>
      </c>
      <c r="J111" s="682">
        <f t="shared" si="27"/>
        <v>19912.349999999999</v>
      </c>
      <c r="K111" s="683"/>
      <c r="L111" s="684"/>
      <c r="M111" s="753"/>
      <c r="N111" s="683">
        <v>0</v>
      </c>
      <c r="O111" s="686"/>
      <c r="P111" s="683">
        <v>0</v>
      </c>
      <c r="Q111" s="687">
        <f t="shared" si="1"/>
        <v>0</v>
      </c>
      <c r="R111" s="687"/>
      <c r="S111" s="687"/>
      <c r="T111" s="688">
        <v>0</v>
      </c>
      <c r="U111" s="693"/>
      <c r="V111" s="690">
        <f t="shared" si="31"/>
        <v>0</v>
      </c>
      <c r="W111" s="683"/>
      <c r="X111" s="474">
        <f t="shared" si="32"/>
        <v>0</v>
      </c>
      <c r="Y111" s="474">
        <f t="shared" si="33"/>
        <v>0</v>
      </c>
      <c r="Z111" s="475">
        <f t="shared" si="34"/>
        <v>0</v>
      </c>
      <c r="AA111" s="475">
        <v>0</v>
      </c>
      <c r="AB111" s="476">
        <v>0</v>
      </c>
      <c r="AC111" s="38">
        <f t="shared" si="35"/>
        <v>0</v>
      </c>
      <c r="AD111" s="692">
        <f t="shared" si="28"/>
        <v>19912.349999999999</v>
      </c>
      <c r="AE111" s="692">
        <f t="shared" si="29"/>
        <v>0</v>
      </c>
      <c r="AF111" s="692">
        <f t="shared" si="30"/>
        <v>0</v>
      </c>
      <c r="AG111" s="38"/>
      <c r="AH111" s="692">
        <f t="shared" si="36"/>
        <v>0</v>
      </c>
      <c r="AI111" s="692">
        <f t="shared" si="37"/>
        <v>0</v>
      </c>
      <c r="AJ111" s="692">
        <f t="shared" si="38"/>
        <v>0</v>
      </c>
      <c r="AL111" s="38">
        <f t="shared" si="39"/>
        <v>19912.349999999999</v>
      </c>
      <c r="AM111" s="123" t="s">
        <v>997</v>
      </c>
    </row>
    <row r="112" spans="1:39" s="232" customFormat="1" ht="12.75" customHeight="1">
      <c r="A112" s="283"/>
      <c r="B112" s="283" t="s">
        <v>110</v>
      </c>
      <c r="C112" s="667"/>
      <c r="D112" s="123" t="s">
        <v>998</v>
      </c>
      <c r="E112" s="679"/>
      <c r="F112" s="529">
        <f>VLOOKUP(D112,'Dec13 Revenue'!D:V,19,FALSE)</f>
        <v>0</v>
      </c>
      <c r="G112" s="680"/>
      <c r="H112" s="680"/>
      <c r="I112" s="770">
        <v>38619.85</v>
      </c>
      <c r="J112" s="682">
        <f t="shared" si="27"/>
        <v>38619.85</v>
      </c>
      <c r="K112" s="683"/>
      <c r="L112" s="684"/>
      <c r="M112" s="753"/>
      <c r="N112" s="683">
        <v>0</v>
      </c>
      <c r="O112" s="686"/>
      <c r="P112" s="683">
        <v>0</v>
      </c>
      <c r="Q112" s="687">
        <f t="shared" si="1"/>
        <v>0</v>
      </c>
      <c r="R112" s="687"/>
      <c r="S112" s="687"/>
      <c r="T112" s="688">
        <v>0</v>
      </c>
      <c r="U112" s="693"/>
      <c r="V112" s="690">
        <f t="shared" si="31"/>
        <v>0</v>
      </c>
      <c r="W112" s="683"/>
      <c r="X112" s="474">
        <f t="shared" si="32"/>
        <v>0</v>
      </c>
      <c r="Y112" s="474">
        <f t="shared" si="33"/>
        <v>0</v>
      </c>
      <c r="Z112" s="475">
        <f t="shared" si="34"/>
        <v>0</v>
      </c>
      <c r="AA112" s="475">
        <v>0</v>
      </c>
      <c r="AB112" s="476">
        <v>0</v>
      </c>
      <c r="AC112" s="38">
        <f t="shared" si="35"/>
        <v>0</v>
      </c>
      <c r="AD112" s="692">
        <f t="shared" si="28"/>
        <v>38619.85</v>
      </c>
      <c r="AE112" s="692">
        <f t="shared" si="29"/>
        <v>0</v>
      </c>
      <c r="AF112" s="692">
        <f t="shared" si="30"/>
        <v>0</v>
      </c>
      <c r="AG112" s="38"/>
      <c r="AH112" s="692">
        <f t="shared" si="36"/>
        <v>0</v>
      </c>
      <c r="AI112" s="692">
        <f t="shared" si="37"/>
        <v>0</v>
      </c>
      <c r="AJ112" s="692">
        <f t="shared" si="38"/>
        <v>0</v>
      </c>
      <c r="AL112" s="38">
        <f t="shared" si="39"/>
        <v>38619.85</v>
      </c>
      <c r="AM112" s="123" t="s">
        <v>998</v>
      </c>
    </row>
    <row r="113" spans="1:39" s="232" customFormat="1" ht="12" customHeight="1">
      <c r="A113" s="283"/>
      <c r="B113" s="283" t="s">
        <v>110</v>
      </c>
      <c r="C113" s="667"/>
      <c r="D113" s="123" t="s">
        <v>999</v>
      </c>
      <c r="E113" s="679"/>
      <c r="F113" s="529">
        <f>VLOOKUP(D113,'Dec13 Revenue'!D:V,19,FALSE)</f>
        <v>0</v>
      </c>
      <c r="G113" s="680"/>
      <c r="H113" s="680"/>
      <c r="I113" s="770">
        <v>15248.83</v>
      </c>
      <c r="J113" s="682">
        <f t="shared" si="27"/>
        <v>15248.83</v>
      </c>
      <c r="K113" s="683"/>
      <c r="L113" s="684"/>
      <c r="M113" s="753"/>
      <c r="N113" s="683">
        <v>0</v>
      </c>
      <c r="O113" s="686"/>
      <c r="P113" s="683">
        <v>0</v>
      </c>
      <c r="Q113" s="687">
        <f t="shared" si="1"/>
        <v>0</v>
      </c>
      <c r="R113" s="687"/>
      <c r="S113" s="687"/>
      <c r="T113" s="688">
        <v>0</v>
      </c>
      <c r="U113" s="693"/>
      <c r="V113" s="690">
        <f t="shared" si="31"/>
        <v>0</v>
      </c>
      <c r="W113" s="683"/>
      <c r="X113" s="474">
        <f t="shared" si="32"/>
        <v>0</v>
      </c>
      <c r="Y113" s="474">
        <f t="shared" si="33"/>
        <v>0</v>
      </c>
      <c r="Z113" s="475">
        <f t="shared" si="34"/>
        <v>0</v>
      </c>
      <c r="AA113" s="475">
        <v>0</v>
      </c>
      <c r="AB113" s="476">
        <v>0</v>
      </c>
      <c r="AC113" s="38">
        <f t="shared" si="35"/>
        <v>0</v>
      </c>
      <c r="AD113" s="692">
        <f t="shared" si="28"/>
        <v>15248.83</v>
      </c>
      <c r="AE113" s="692">
        <f t="shared" si="29"/>
        <v>0</v>
      </c>
      <c r="AF113" s="692">
        <f t="shared" si="30"/>
        <v>0</v>
      </c>
      <c r="AG113" s="38"/>
      <c r="AH113" s="692">
        <f t="shared" si="36"/>
        <v>0</v>
      </c>
      <c r="AI113" s="692">
        <f t="shared" si="37"/>
        <v>0</v>
      </c>
      <c r="AJ113" s="692">
        <f t="shared" si="38"/>
        <v>0</v>
      </c>
      <c r="AL113" s="38">
        <f t="shared" si="39"/>
        <v>15248.83</v>
      </c>
      <c r="AM113" s="123" t="s">
        <v>999</v>
      </c>
    </row>
    <row r="114" spans="1:39" s="232" customFormat="1" ht="12" customHeight="1">
      <c r="A114" s="283"/>
      <c r="B114" s="283" t="s">
        <v>110</v>
      </c>
      <c r="C114" s="667"/>
      <c r="D114" s="123" t="s">
        <v>1000</v>
      </c>
      <c r="E114" s="679"/>
      <c r="F114" s="529">
        <f>VLOOKUP(D114,'Dec13 Revenue'!D:V,19,FALSE)</f>
        <v>0</v>
      </c>
      <c r="G114" s="680"/>
      <c r="H114" s="680"/>
      <c r="I114" s="770">
        <v>16986.439999999999</v>
      </c>
      <c r="J114" s="682">
        <f t="shared" si="27"/>
        <v>16986.439999999999</v>
      </c>
      <c r="K114" s="683"/>
      <c r="L114" s="684"/>
      <c r="M114" s="753"/>
      <c r="N114" s="683">
        <v>0</v>
      </c>
      <c r="O114" s="686"/>
      <c r="P114" s="683">
        <v>0</v>
      </c>
      <c r="Q114" s="687">
        <f t="shared" si="1"/>
        <v>0</v>
      </c>
      <c r="R114" s="687"/>
      <c r="S114" s="687"/>
      <c r="T114" s="688">
        <v>0</v>
      </c>
      <c r="U114" s="693"/>
      <c r="V114" s="690">
        <f t="shared" si="31"/>
        <v>0</v>
      </c>
      <c r="W114" s="683"/>
      <c r="X114" s="474">
        <f t="shared" si="32"/>
        <v>0</v>
      </c>
      <c r="Y114" s="474">
        <f t="shared" si="33"/>
        <v>0</v>
      </c>
      <c r="Z114" s="475">
        <f t="shared" si="34"/>
        <v>0</v>
      </c>
      <c r="AA114" s="475">
        <v>0</v>
      </c>
      <c r="AB114" s="476">
        <v>0</v>
      </c>
      <c r="AC114" s="38">
        <f t="shared" si="35"/>
        <v>0</v>
      </c>
      <c r="AD114" s="692">
        <f t="shared" si="28"/>
        <v>16986.439999999999</v>
      </c>
      <c r="AE114" s="692">
        <f t="shared" si="29"/>
        <v>0</v>
      </c>
      <c r="AF114" s="692">
        <f t="shared" si="30"/>
        <v>0</v>
      </c>
      <c r="AG114" s="38"/>
      <c r="AH114" s="692">
        <f t="shared" si="36"/>
        <v>0</v>
      </c>
      <c r="AI114" s="692">
        <f t="shared" si="37"/>
        <v>0</v>
      </c>
      <c r="AJ114" s="692">
        <f t="shared" si="38"/>
        <v>0</v>
      </c>
      <c r="AL114" s="38">
        <f t="shared" si="39"/>
        <v>16986.439999999999</v>
      </c>
      <c r="AM114" s="123" t="s">
        <v>1000</v>
      </c>
    </row>
    <row r="115" spans="1:39" s="232" customFormat="1" ht="12" customHeight="1">
      <c r="A115" s="283"/>
      <c r="B115" s="283" t="s">
        <v>110</v>
      </c>
      <c r="C115" s="667"/>
      <c r="D115" s="123" t="s">
        <v>1001</v>
      </c>
      <c r="E115" s="679"/>
      <c r="F115" s="529">
        <f>VLOOKUP(D115,'Dec13 Revenue'!D:V,19,FALSE)</f>
        <v>0</v>
      </c>
      <c r="G115" s="680"/>
      <c r="H115" s="680"/>
      <c r="I115" s="755"/>
      <c r="J115" s="682">
        <f t="shared" si="27"/>
        <v>0</v>
      </c>
      <c r="K115" s="683"/>
      <c r="L115" s="684"/>
      <c r="M115" s="753"/>
      <c r="N115" s="683">
        <v>0</v>
      </c>
      <c r="O115" s="686"/>
      <c r="P115" s="683">
        <v>0</v>
      </c>
      <c r="Q115" s="687">
        <f t="shared" si="1"/>
        <v>0</v>
      </c>
      <c r="R115" s="687"/>
      <c r="S115" s="687"/>
      <c r="T115" s="688">
        <v>0</v>
      </c>
      <c r="U115" s="693"/>
      <c r="V115" s="690">
        <f t="shared" si="31"/>
        <v>0</v>
      </c>
      <c r="W115" s="683"/>
      <c r="X115" s="474">
        <f t="shared" si="32"/>
        <v>0</v>
      </c>
      <c r="Y115" s="474">
        <f t="shared" si="33"/>
        <v>0</v>
      </c>
      <c r="Z115" s="475">
        <f t="shared" si="34"/>
        <v>0</v>
      </c>
      <c r="AA115" s="475">
        <v>0</v>
      </c>
      <c r="AB115" s="476">
        <v>0</v>
      </c>
      <c r="AC115" s="38">
        <f t="shared" si="35"/>
        <v>0</v>
      </c>
      <c r="AD115" s="692">
        <f t="shared" si="28"/>
        <v>0</v>
      </c>
      <c r="AE115" s="692">
        <f t="shared" si="29"/>
        <v>0</v>
      </c>
      <c r="AF115" s="692">
        <f t="shared" si="30"/>
        <v>0</v>
      </c>
      <c r="AG115" s="38"/>
      <c r="AH115" s="692">
        <f t="shared" si="36"/>
        <v>0</v>
      </c>
      <c r="AI115" s="692">
        <f t="shared" si="37"/>
        <v>0</v>
      </c>
      <c r="AJ115" s="692">
        <f t="shared" si="38"/>
        <v>0</v>
      </c>
      <c r="AL115" s="38">
        <f t="shared" si="39"/>
        <v>0</v>
      </c>
      <c r="AM115" s="123" t="s">
        <v>1001</v>
      </c>
    </row>
    <row r="116" spans="1:39" s="24" customFormat="1" ht="12" customHeight="1">
      <c r="A116" s="32"/>
      <c r="B116" s="32" t="s">
        <v>110</v>
      </c>
      <c r="C116" s="667"/>
      <c r="D116" s="68" t="s">
        <v>588</v>
      </c>
      <c r="E116" s="679"/>
      <c r="F116" s="529">
        <f>VLOOKUP(D116,'Dec13 Revenue'!D:V,19,FALSE)</f>
        <v>0</v>
      </c>
      <c r="G116" s="680"/>
      <c r="H116" s="680"/>
      <c r="I116" s="755"/>
      <c r="J116" s="682">
        <f t="shared" si="27"/>
        <v>0</v>
      </c>
      <c r="K116" s="683"/>
      <c r="L116" s="684"/>
      <c r="M116" s="753"/>
      <c r="N116" s="698"/>
      <c r="O116" s="699"/>
      <c r="P116" s="698"/>
      <c r="Q116" s="687">
        <f t="shared" si="1"/>
        <v>0</v>
      </c>
      <c r="R116" s="687"/>
      <c r="S116" s="687"/>
      <c r="T116" s="688">
        <v>0</v>
      </c>
      <c r="U116" s="693"/>
      <c r="V116" s="690">
        <f t="shared" si="31"/>
        <v>0</v>
      </c>
      <c r="W116" s="683"/>
      <c r="X116" s="474">
        <f t="shared" si="32"/>
        <v>0</v>
      </c>
      <c r="Y116" s="474">
        <f t="shared" si="33"/>
        <v>0</v>
      </c>
      <c r="Z116" s="475">
        <f t="shared" si="34"/>
        <v>0</v>
      </c>
      <c r="AA116" s="475">
        <v>0</v>
      </c>
      <c r="AB116" s="476">
        <v>0</v>
      </c>
      <c r="AC116" s="38">
        <f t="shared" si="35"/>
        <v>0</v>
      </c>
      <c r="AD116" s="692">
        <f t="shared" si="28"/>
        <v>0</v>
      </c>
      <c r="AE116" s="692">
        <f t="shared" si="29"/>
        <v>0</v>
      </c>
      <c r="AF116" s="692">
        <f t="shared" si="30"/>
        <v>0</v>
      </c>
      <c r="AG116" s="38"/>
      <c r="AH116" s="692">
        <f t="shared" si="36"/>
        <v>0</v>
      </c>
      <c r="AI116" s="692">
        <f t="shared" si="37"/>
        <v>0</v>
      </c>
      <c r="AJ116" s="692">
        <f t="shared" si="38"/>
        <v>0</v>
      </c>
      <c r="AL116" s="38">
        <f t="shared" si="39"/>
        <v>0</v>
      </c>
      <c r="AM116" s="68" t="s">
        <v>588</v>
      </c>
    </row>
    <row r="117" spans="1:39" s="24" customFormat="1" ht="12" customHeight="1">
      <c r="A117" s="32"/>
      <c r="B117" s="32" t="s">
        <v>110</v>
      </c>
      <c r="C117" s="667"/>
      <c r="D117" s="68" t="s">
        <v>935</v>
      </c>
      <c r="E117" s="679">
        <v>4463.3100000000004</v>
      </c>
      <c r="F117" s="529">
        <f>VLOOKUP(D117,'Dec13 Revenue'!D:V,19,FALSE)</f>
        <v>-5257.5</v>
      </c>
      <c r="G117" s="680"/>
      <c r="H117" s="680"/>
      <c r="I117" s="755"/>
      <c r="J117" s="682">
        <f t="shared" si="27"/>
        <v>-794.1899999999996</v>
      </c>
      <c r="K117" s="683"/>
      <c r="L117" s="684"/>
      <c r="M117" s="753">
        <v>5000</v>
      </c>
      <c r="N117" s="698"/>
      <c r="O117" s="699"/>
      <c r="P117" s="698"/>
      <c r="Q117" s="687">
        <f t="shared" si="1"/>
        <v>5000</v>
      </c>
      <c r="R117" s="687"/>
      <c r="S117" s="687"/>
      <c r="T117" s="688">
        <v>4167.2</v>
      </c>
      <c r="U117" s="693"/>
      <c r="V117" s="690">
        <f t="shared" si="31"/>
        <v>-832.80000000000018</v>
      </c>
      <c r="W117" s="683"/>
      <c r="X117" s="474">
        <f t="shared" si="32"/>
        <v>5000</v>
      </c>
      <c r="Y117" s="474">
        <f t="shared" si="33"/>
        <v>0</v>
      </c>
      <c r="Z117" s="475">
        <f t="shared" si="34"/>
        <v>0</v>
      </c>
      <c r="AA117" s="475">
        <v>0</v>
      </c>
      <c r="AB117" s="476">
        <v>0</v>
      </c>
      <c r="AC117" s="38">
        <f t="shared" si="35"/>
        <v>0</v>
      </c>
      <c r="AD117" s="692">
        <f t="shared" si="28"/>
        <v>-794.1899999999996</v>
      </c>
      <c r="AE117" s="692">
        <f t="shared" si="29"/>
        <v>0</v>
      </c>
      <c r="AF117" s="692">
        <f t="shared" si="30"/>
        <v>0</v>
      </c>
      <c r="AG117" s="38"/>
      <c r="AH117" s="692">
        <f t="shared" si="36"/>
        <v>5000</v>
      </c>
      <c r="AI117" s="692">
        <f t="shared" si="37"/>
        <v>0</v>
      </c>
      <c r="AJ117" s="692">
        <f t="shared" si="38"/>
        <v>0</v>
      </c>
      <c r="AL117" s="38">
        <f t="shared" si="39"/>
        <v>4205.8100000000004</v>
      </c>
      <c r="AM117" s="68" t="s">
        <v>935</v>
      </c>
    </row>
    <row r="118" spans="1:39" ht="12" customHeight="1">
      <c r="A118" s="21"/>
      <c r="B118" s="21" t="s">
        <v>109</v>
      </c>
      <c r="C118" s="666" t="s">
        <v>548</v>
      </c>
      <c r="D118" s="68" t="s">
        <v>461</v>
      </c>
      <c r="E118" s="679"/>
      <c r="F118" s="529">
        <f>VLOOKUP(D118,'Dec13 Revenue'!D:V,19,FALSE)</f>
        <v>614.97</v>
      </c>
      <c r="G118" s="680"/>
      <c r="H118" s="680"/>
      <c r="I118" s="755"/>
      <c r="J118" s="682">
        <f t="shared" si="27"/>
        <v>614.97</v>
      </c>
      <c r="K118" s="683"/>
      <c r="L118" s="684"/>
      <c r="M118" s="753"/>
      <c r="N118" s="683">
        <v>0</v>
      </c>
      <c r="O118" s="686"/>
      <c r="P118" s="683">
        <v>0</v>
      </c>
      <c r="Q118" s="687">
        <f t="shared" si="1"/>
        <v>0</v>
      </c>
      <c r="R118" s="687"/>
      <c r="S118" s="687"/>
      <c r="T118" s="688">
        <v>0</v>
      </c>
      <c r="U118" s="693"/>
      <c r="V118" s="690">
        <f t="shared" si="31"/>
        <v>0</v>
      </c>
      <c r="W118" s="683"/>
      <c r="X118" s="474">
        <f t="shared" si="32"/>
        <v>0</v>
      </c>
      <c r="Y118" s="474">
        <f t="shared" si="33"/>
        <v>0</v>
      </c>
      <c r="Z118" s="475">
        <f t="shared" si="34"/>
        <v>0</v>
      </c>
      <c r="AA118" s="475">
        <v>0</v>
      </c>
      <c r="AB118" s="476">
        <v>0</v>
      </c>
      <c r="AC118" s="38">
        <f t="shared" si="35"/>
        <v>0</v>
      </c>
      <c r="AD118" s="692">
        <f t="shared" si="28"/>
        <v>0</v>
      </c>
      <c r="AE118" s="692">
        <f t="shared" si="29"/>
        <v>614.97</v>
      </c>
      <c r="AF118" s="692">
        <f t="shared" si="30"/>
        <v>0</v>
      </c>
      <c r="AG118" s="38"/>
      <c r="AH118" s="692">
        <f t="shared" si="36"/>
        <v>0</v>
      </c>
      <c r="AI118" s="692">
        <f t="shared" si="37"/>
        <v>0</v>
      </c>
      <c r="AJ118" s="692">
        <f t="shared" si="38"/>
        <v>0</v>
      </c>
      <c r="AL118" s="38">
        <f t="shared" si="39"/>
        <v>614.97</v>
      </c>
      <c r="AM118" s="68" t="s">
        <v>461</v>
      </c>
    </row>
    <row r="119" spans="1:39">
      <c r="A119" s="20"/>
      <c r="B119" s="20" t="s">
        <v>109</v>
      </c>
      <c r="C119" s="667" t="s">
        <v>549</v>
      </c>
      <c r="D119" s="68" t="s">
        <v>22</v>
      </c>
      <c r="E119" s="679"/>
      <c r="F119" s="529">
        <f>VLOOKUP(D119,'Dec13 Revenue'!D:V,19,FALSE)</f>
        <v>0</v>
      </c>
      <c r="G119" s="680"/>
      <c r="H119" s="680"/>
      <c r="I119" s="755"/>
      <c r="J119" s="682">
        <f t="shared" si="27"/>
        <v>0</v>
      </c>
      <c r="K119" s="683"/>
      <c r="L119" s="684"/>
      <c r="M119" s="753"/>
      <c r="N119" s="683">
        <v>0</v>
      </c>
      <c r="O119" s="686"/>
      <c r="P119" s="683">
        <v>0</v>
      </c>
      <c r="Q119" s="687">
        <f t="shared" si="1"/>
        <v>0</v>
      </c>
      <c r="R119" s="687"/>
      <c r="S119" s="687"/>
      <c r="T119" s="688">
        <v>0</v>
      </c>
      <c r="U119" s="693"/>
      <c r="V119" s="690">
        <f t="shared" si="31"/>
        <v>0</v>
      </c>
      <c r="W119" s="683"/>
      <c r="X119" s="474">
        <f t="shared" si="32"/>
        <v>0</v>
      </c>
      <c r="Y119" s="474">
        <f t="shared" si="33"/>
        <v>0</v>
      </c>
      <c r="Z119" s="475">
        <f t="shared" si="34"/>
        <v>0</v>
      </c>
      <c r="AA119" s="475">
        <v>0</v>
      </c>
      <c r="AB119" s="476">
        <v>0</v>
      </c>
      <c r="AC119" s="38">
        <f t="shared" si="35"/>
        <v>0</v>
      </c>
      <c r="AD119" s="692">
        <f t="shared" si="28"/>
        <v>0</v>
      </c>
      <c r="AE119" s="692">
        <f t="shared" si="29"/>
        <v>0</v>
      </c>
      <c r="AF119" s="692">
        <f t="shared" si="30"/>
        <v>0</v>
      </c>
      <c r="AG119" s="38"/>
      <c r="AH119" s="692">
        <f t="shared" si="36"/>
        <v>0</v>
      </c>
      <c r="AI119" s="692">
        <f t="shared" si="37"/>
        <v>0</v>
      </c>
      <c r="AJ119" s="692">
        <f t="shared" si="38"/>
        <v>0</v>
      </c>
      <c r="AL119" s="38">
        <f t="shared" si="39"/>
        <v>0</v>
      </c>
      <c r="AM119" s="68" t="s">
        <v>22</v>
      </c>
    </row>
    <row r="120" spans="1:39">
      <c r="A120" s="20"/>
      <c r="B120" s="20" t="s">
        <v>110</v>
      </c>
      <c r="C120" s="667"/>
      <c r="D120" s="68" t="s">
        <v>24</v>
      </c>
      <c r="E120" s="679">
        <v>10767.81</v>
      </c>
      <c r="F120" s="529">
        <f>VLOOKUP(D120,'Dec13 Revenue'!D:V,19,FALSE)</f>
        <v>12127.7</v>
      </c>
      <c r="G120" s="680"/>
      <c r="H120" s="680"/>
      <c r="I120" s="755"/>
      <c r="J120" s="682">
        <f t="shared" si="27"/>
        <v>22895.510000000002</v>
      </c>
      <c r="K120" s="683"/>
      <c r="L120" s="684"/>
      <c r="M120" s="753">
        <v>10000</v>
      </c>
      <c r="N120" s="683">
        <v>0</v>
      </c>
      <c r="O120" s="686"/>
      <c r="P120" s="683">
        <v>0</v>
      </c>
      <c r="Q120" s="687">
        <f t="shared" si="1"/>
        <v>10000</v>
      </c>
      <c r="R120" s="687"/>
      <c r="S120" s="687"/>
      <c r="T120" s="688">
        <v>9218.9500000000007</v>
      </c>
      <c r="U120" s="693"/>
      <c r="V120" s="690">
        <f t="shared" si="31"/>
        <v>-781.04999999999927</v>
      </c>
      <c r="W120" s="683"/>
      <c r="X120" s="474">
        <f t="shared" si="32"/>
        <v>10000</v>
      </c>
      <c r="Y120" s="474">
        <f t="shared" si="33"/>
        <v>0</v>
      </c>
      <c r="Z120" s="475">
        <f t="shared" si="34"/>
        <v>0</v>
      </c>
      <c r="AA120" s="475">
        <v>0</v>
      </c>
      <c r="AB120" s="476">
        <v>0</v>
      </c>
      <c r="AC120" s="38">
        <f t="shared" si="35"/>
        <v>0</v>
      </c>
      <c r="AD120" s="692">
        <f t="shared" si="28"/>
        <v>22895.510000000002</v>
      </c>
      <c r="AE120" s="692">
        <f t="shared" si="29"/>
        <v>0</v>
      </c>
      <c r="AF120" s="692">
        <f t="shared" si="30"/>
        <v>0</v>
      </c>
      <c r="AG120" s="38"/>
      <c r="AH120" s="692">
        <f t="shared" si="36"/>
        <v>10000</v>
      </c>
      <c r="AI120" s="692">
        <f t="shared" si="37"/>
        <v>0</v>
      </c>
      <c r="AJ120" s="692">
        <f t="shared" si="38"/>
        <v>0</v>
      </c>
      <c r="AL120" s="38">
        <f t="shared" si="39"/>
        <v>32895.51</v>
      </c>
      <c r="AM120" s="68" t="s">
        <v>24</v>
      </c>
    </row>
    <row r="121" spans="1:39">
      <c r="A121" s="21"/>
      <c r="B121" s="21" t="s">
        <v>110</v>
      </c>
      <c r="C121" s="666"/>
      <c r="D121" s="68" t="s">
        <v>1019</v>
      </c>
      <c r="E121" s="679"/>
      <c r="F121" s="529">
        <f>VLOOKUP(D121,'Dec13 Revenue'!D:V,19,FALSE)</f>
        <v>0</v>
      </c>
      <c r="G121" s="680"/>
      <c r="H121" s="680"/>
      <c r="I121" s="755"/>
      <c r="J121" s="682">
        <f t="shared" si="27"/>
        <v>0</v>
      </c>
      <c r="K121" s="683"/>
      <c r="L121" s="684"/>
      <c r="M121" s="753"/>
      <c r="N121" s="683">
        <v>0</v>
      </c>
      <c r="O121" s="686"/>
      <c r="P121" s="683">
        <v>0</v>
      </c>
      <c r="Q121" s="687">
        <f t="shared" si="1"/>
        <v>0</v>
      </c>
      <c r="R121" s="687"/>
      <c r="S121" s="687"/>
      <c r="T121" s="688">
        <v>0</v>
      </c>
      <c r="U121" s="693"/>
      <c r="V121" s="690">
        <f t="shared" si="31"/>
        <v>0</v>
      </c>
      <c r="W121" s="683"/>
      <c r="X121" s="474">
        <f t="shared" si="32"/>
        <v>0</v>
      </c>
      <c r="Y121" s="474">
        <f t="shared" si="33"/>
        <v>0</v>
      </c>
      <c r="Z121" s="475">
        <f t="shared" si="34"/>
        <v>0</v>
      </c>
      <c r="AA121" s="475">
        <v>0</v>
      </c>
      <c r="AB121" s="476">
        <v>0</v>
      </c>
      <c r="AC121" s="38">
        <f t="shared" si="35"/>
        <v>0</v>
      </c>
      <c r="AD121" s="692">
        <f t="shared" si="28"/>
        <v>0</v>
      </c>
      <c r="AE121" s="692">
        <f t="shared" si="29"/>
        <v>0</v>
      </c>
      <c r="AF121" s="692">
        <f t="shared" si="30"/>
        <v>0</v>
      </c>
      <c r="AG121" s="38"/>
      <c r="AH121" s="692">
        <f t="shared" si="36"/>
        <v>0</v>
      </c>
      <c r="AI121" s="692">
        <f t="shared" si="37"/>
        <v>0</v>
      </c>
      <c r="AJ121" s="692">
        <f t="shared" si="38"/>
        <v>0</v>
      </c>
      <c r="AL121" s="38">
        <f t="shared" si="39"/>
        <v>0</v>
      </c>
      <c r="AM121" s="68" t="s">
        <v>1019</v>
      </c>
    </row>
    <row r="122" spans="1:39">
      <c r="A122" s="21"/>
      <c r="B122" s="21" t="s">
        <v>110</v>
      </c>
      <c r="C122" s="666"/>
      <c r="D122" s="68" t="s">
        <v>937</v>
      </c>
      <c r="E122" s="679"/>
      <c r="F122" s="529">
        <f>VLOOKUP(D122,'Dec13 Revenue'!D:V,19,FALSE)</f>
        <v>0</v>
      </c>
      <c r="G122" s="680"/>
      <c r="H122" s="680"/>
      <c r="I122" s="755"/>
      <c r="J122" s="682">
        <f t="shared" si="27"/>
        <v>0</v>
      </c>
      <c r="K122" s="683"/>
      <c r="L122" s="684"/>
      <c r="M122" s="753">
        <v>10000</v>
      </c>
      <c r="N122" s="683">
        <v>0</v>
      </c>
      <c r="O122" s="686"/>
      <c r="P122" s="683">
        <v>0</v>
      </c>
      <c r="Q122" s="687">
        <f t="shared" si="1"/>
        <v>10000</v>
      </c>
      <c r="R122" s="687"/>
      <c r="S122" s="687"/>
      <c r="T122" s="688">
        <v>0</v>
      </c>
      <c r="U122" s="693"/>
      <c r="V122" s="690">
        <f t="shared" si="31"/>
        <v>-10000</v>
      </c>
      <c r="W122" s="683"/>
      <c r="X122" s="474">
        <f t="shared" si="32"/>
        <v>10000</v>
      </c>
      <c r="Y122" s="474">
        <f t="shared" si="33"/>
        <v>0</v>
      </c>
      <c r="Z122" s="475">
        <f t="shared" si="34"/>
        <v>0</v>
      </c>
      <c r="AA122" s="475">
        <v>0</v>
      </c>
      <c r="AB122" s="476">
        <v>0</v>
      </c>
      <c r="AC122" s="38">
        <f t="shared" si="35"/>
        <v>0</v>
      </c>
      <c r="AD122" s="692">
        <f t="shared" si="28"/>
        <v>0</v>
      </c>
      <c r="AE122" s="692">
        <f t="shared" si="29"/>
        <v>0</v>
      </c>
      <c r="AF122" s="692">
        <f t="shared" si="30"/>
        <v>0</v>
      </c>
      <c r="AG122" s="38"/>
      <c r="AH122" s="692">
        <f t="shared" si="36"/>
        <v>10000</v>
      </c>
      <c r="AI122" s="692">
        <f t="shared" si="37"/>
        <v>0</v>
      </c>
      <c r="AJ122" s="692">
        <f t="shared" si="38"/>
        <v>0</v>
      </c>
      <c r="AL122" s="38">
        <f t="shared" si="39"/>
        <v>10000</v>
      </c>
      <c r="AM122" s="68" t="s">
        <v>937</v>
      </c>
    </row>
    <row r="123" spans="1:39">
      <c r="A123" s="21"/>
      <c r="B123" s="21" t="s">
        <v>110</v>
      </c>
      <c r="C123" s="666"/>
      <c r="D123" s="68" t="s">
        <v>967</v>
      </c>
      <c r="E123" s="679"/>
      <c r="F123" s="529">
        <f>VLOOKUP(D123,'Dec13 Revenue'!D:V,19,FALSE)</f>
        <v>38365.829999999987</v>
      </c>
      <c r="G123" s="680"/>
      <c r="H123" s="680"/>
      <c r="I123" s="755"/>
      <c r="J123" s="682">
        <f t="shared" si="27"/>
        <v>38365.829999999987</v>
      </c>
      <c r="K123" s="683"/>
      <c r="L123" s="684"/>
      <c r="M123" s="753">
        <v>70000</v>
      </c>
      <c r="N123" s="683">
        <v>0</v>
      </c>
      <c r="O123" s="686"/>
      <c r="P123" s="683">
        <v>0</v>
      </c>
      <c r="Q123" s="687">
        <f t="shared" si="1"/>
        <v>70000</v>
      </c>
      <c r="R123" s="687"/>
      <c r="S123" s="687"/>
      <c r="T123" s="688">
        <v>0</v>
      </c>
      <c r="U123" s="693"/>
      <c r="V123" s="690">
        <f t="shared" si="31"/>
        <v>-70000</v>
      </c>
      <c r="W123" s="683"/>
      <c r="X123" s="474">
        <f t="shared" si="32"/>
        <v>70000</v>
      </c>
      <c r="Y123" s="474">
        <f t="shared" si="33"/>
        <v>0</v>
      </c>
      <c r="Z123" s="475">
        <f t="shared" si="34"/>
        <v>0</v>
      </c>
      <c r="AA123" s="475">
        <v>0</v>
      </c>
      <c r="AB123" s="476">
        <v>0</v>
      </c>
      <c r="AC123" s="38">
        <f t="shared" si="35"/>
        <v>0</v>
      </c>
      <c r="AD123" s="692">
        <f t="shared" si="28"/>
        <v>38365.829999999987</v>
      </c>
      <c r="AE123" s="692">
        <f t="shared" si="29"/>
        <v>0</v>
      </c>
      <c r="AF123" s="692">
        <f t="shared" si="30"/>
        <v>0</v>
      </c>
      <c r="AG123" s="38"/>
      <c r="AH123" s="692">
        <f t="shared" si="36"/>
        <v>70000</v>
      </c>
      <c r="AI123" s="692">
        <f t="shared" si="37"/>
        <v>0</v>
      </c>
      <c r="AJ123" s="692">
        <f t="shared" si="38"/>
        <v>0</v>
      </c>
      <c r="AL123" s="38">
        <f t="shared" si="39"/>
        <v>108365.82999999999</v>
      </c>
      <c r="AM123" s="68" t="s">
        <v>967</v>
      </c>
    </row>
    <row r="124" spans="1:39">
      <c r="A124" s="21"/>
      <c r="B124" s="21" t="s">
        <v>110</v>
      </c>
      <c r="C124" s="666"/>
      <c r="D124" s="68" t="s">
        <v>1002</v>
      </c>
      <c r="E124" s="679"/>
      <c r="F124" s="529">
        <f>VLOOKUP(D124,'Dec13 Revenue'!D:V,19,FALSE)</f>
        <v>0</v>
      </c>
      <c r="G124" s="680"/>
      <c r="H124" s="680"/>
      <c r="I124" s="755"/>
      <c r="J124" s="682">
        <f t="shared" si="27"/>
        <v>0</v>
      </c>
      <c r="K124" s="683"/>
      <c r="L124" s="684"/>
      <c r="M124" s="753"/>
      <c r="N124" s="683">
        <v>0</v>
      </c>
      <c r="O124" s="686"/>
      <c r="P124" s="683">
        <v>0</v>
      </c>
      <c r="Q124" s="687">
        <f t="shared" si="1"/>
        <v>0</v>
      </c>
      <c r="R124" s="687"/>
      <c r="S124" s="687"/>
      <c r="T124" s="688">
        <v>0</v>
      </c>
      <c r="U124" s="693"/>
      <c r="V124" s="690">
        <f t="shared" si="31"/>
        <v>0</v>
      </c>
      <c r="W124" s="683"/>
      <c r="X124" s="474">
        <f t="shared" si="32"/>
        <v>0</v>
      </c>
      <c r="Y124" s="474">
        <f t="shared" si="33"/>
        <v>0</v>
      </c>
      <c r="Z124" s="475">
        <f t="shared" si="34"/>
        <v>0</v>
      </c>
      <c r="AA124" s="475">
        <v>0</v>
      </c>
      <c r="AB124" s="476">
        <v>0</v>
      </c>
      <c r="AC124" s="38">
        <f t="shared" si="35"/>
        <v>0</v>
      </c>
      <c r="AD124" s="692">
        <f t="shared" si="28"/>
        <v>0</v>
      </c>
      <c r="AE124" s="692">
        <f t="shared" si="29"/>
        <v>0</v>
      </c>
      <c r="AF124" s="692">
        <f t="shared" si="30"/>
        <v>0</v>
      </c>
      <c r="AG124" s="38"/>
      <c r="AH124" s="692">
        <f t="shared" si="36"/>
        <v>0</v>
      </c>
      <c r="AI124" s="692">
        <f t="shared" si="37"/>
        <v>0</v>
      </c>
      <c r="AJ124" s="692">
        <f t="shared" si="38"/>
        <v>0</v>
      </c>
      <c r="AL124" s="38">
        <f t="shared" si="39"/>
        <v>0</v>
      </c>
      <c r="AM124" s="68" t="s">
        <v>1002</v>
      </c>
    </row>
    <row r="125" spans="1:39">
      <c r="A125" s="20"/>
      <c r="B125" s="20" t="s">
        <v>110</v>
      </c>
      <c r="C125" s="667"/>
      <c r="D125" s="68" t="s">
        <v>1013</v>
      </c>
      <c r="E125" s="679"/>
      <c r="F125" s="529">
        <f>VLOOKUP(D125,'Dec13 Revenue'!D:V,19,FALSE)</f>
        <v>0</v>
      </c>
      <c r="G125" s="680"/>
      <c r="H125" s="680"/>
      <c r="I125" s="755"/>
      <c r="J125" s="682">
        <f t="shared" si="27"/>
        <v>0</v>
      </c>
      <c r="K125" s="683"/>
      <c r="L125" s="684"/>
      <c r="M125" s="753"/>
      <c r="N125" s="683">
        <v>0</v>
      </c>
      <c r="O125" s="686"/>
      <c r="P125" s="683">
        <v>0</v>
      </c>
      <c r="Q125" s="687">
        <f t="shared" si="1"/>
        <v>0</v>
      </c>
      <c r="R125" s="687"/>
      <c r="S125" s="687"/>
      <c r="T125" s="688">
        <v>0</v>
      </c>
      <c r="U125" s="693"/>
      <c r="V125" s="690">
        <f t="shared" si="31"/>
        <v>0</v>
      </c>
      <c r="W125" s="683"/>
      <c r="X125" s="474">
        <f t="shared" si="32"/>
        <v>0</v>
      </c>
      <c r="Y125" s="474">
        <f t="shared" si="33"/>
        <v>0</v>
      </c>
      <c r="Z125" s="475">
        <f t="shared" si="34"/>
        <v>0</v>
      </c>
      <c r="AA125" s="475">
        <v>0</v>
      </c>
      <c r="AB125" s="476">
        <v>0</v>
      </c>
      <c r="AC125" s="38">
        <f t="shared" si="35"/>
        <v>0</v>
      </c>
      <c r="AD125" s="692">
        <f t="shared" si="28"/>
        <v>0</v>
      </c>
      <c r="AE125" s="692">
        <f t="shared" si="29"/>
        <v>0</v>
      </c>
      <c r="AF125" s="692">
        <f t="shared" si="30"/>
        <v>0</v>
      </c>
      <c r="AG125" s="38"/>
      <c r="AH125" s="692">
        <f t="shared" si="36"/>
        <v>0</v>
      </c>
      <c r="AI125" s="692">
        <f t="shared" si="37"/>
        <v>0</v>
      </c>
      <c r="AJ125" s="692">
        <f t="shared" si="38"/>
        <v>0</v>
      </c>
      <c r="AL125" s="38">
        <f t="shared" si="39"/>
        <v>0</v>
      </c>
      <c r="AM125" s="68" t="s">
        <v>1013</v>
      </c>
    </row>
    <row r="126" spans="1:39">
      <c r="A126" s="21"/>
      <c r="B126" s="21" t="s">
        <v>110</v>
      </c>
      <c r="C126" s="666" t="s">
        <v>550</v>
      </c>
      <c r="D126" s="68" t="s">
        <v>282</v>
      </c>
      <c r="E126" s="679"/>
      <c r="F126" s="529">
        <f>VLOOKUP(D126,'Dec13 Revenue'!D:V,19,FALSE)</f>
        <v>10765.739999999998</v>
      </c>
      <c r="G126" s="680"/>
      <c r="H126" s="680"/>
      <c r="I126" s="755"/>
      <c r="J126" s="682">
        <f t="shared" si="27"/>
        <v>10765.739999999998</v>
      </c>
      <c r="K126" s="683"/>
      <c r="L126" s="684"/>
      <c r="M126" s="753">
        <v>50000</v>
      </c>
      <c r="N126" s="683">
        <v>0</v>
      </c>
      <c r="O126" s="686"/>
      <c r="P126" s="683">
        <v>0</v>
      </c>
      <c r="Q126" s="687">
        <f t="shared" si="1"/>
        <v>50000</v>
      </c>
      <c r="R126" s="687"/>
      <c r="S126" s="687"/>
      <c r="T126" s="688">
        <v>55908.6</v>
      </c>
      <c r="U126" s="693"/>
      <c r="V126" s="690">
        <f t="shared" si="31"/>
        <v>5908.5999999999985</v>
      </c>
      <c r="W126" s="683"/>
      <c r="X126" s="474">
        <f t="shared" si="32"/>
        <v>50000</v>
      </c>
      <c r="Y126" s="474">
        <f t="shared" si="33"/>
        <v>0</v>
      </c>
      <c r="Z126" s="475">
        <f t="shared" si="34"/>
        <v>0</v>
      </c>
      <c r="AA126" s="475">
        <v>0</v>
      </c>
      <c r="AB126" s="476">
        <v>0</v>
      </c>
      <c r="AC126" s="38">
        <f t="shared" si="35"/>
        <v>0</v>
      </c>
      <c r="AD126" s="692">
        <f t="shared" si="28"/>
        <v>10765.739999999998</v>
      </c>
      <c r="AE126" s="692">
        <f t="shared" si="29"/>
        <v>0</v>
      </c>
      <c r="AF126" s="692">
        <f t="shared" si="30"/>
        <v>0</v>
      </c>
      <c r="AG126" s="38"/>
      <c r="AH126" s="692">
        <f t="shared" si="36"/>
        <v>50000</v>
      </c>
      <c r="AI126" s="692">
        <f t="shared" si="37"/>
        <v>0</v>
      </c>
      <c r="AJ126" s="692">
        <f t="shared" si="38"/>
        <v>0</v>
      </c>
      <c r="AL126" s="38">
        <f t="shared" si="39"/>
        <v>60765.74</v>
      </c>
      <c r="AM126" s="68" t="s">
        <v>282</v>
      </c>
    </row>
    <row r="127" spans="1:39">
      <c r="A127" s="21"/>
      <c r="B127" s="21" t="s">
        <v>109</v>
      </c>
      <c r="C127" s="666" t="s">
        <v>551</v>
      </c>
      <c r="D127" s="68" t="s">
        <v>499</v>
      </c>
      <c r="E127" s="679"/>
      <c r="F127" s="529">
        <f>VLOOKUP(D127,'Dec13 Revenue'!D:V,19,FALSE)</f>
        <v>0</v>
      </c>
      <c r="G127" s="680"/>
      <c r="H127" s="680"/>
      <c r="I127" s="755"/>
      <c r="J127" s="682">
        <f t="shared" si="27"/>
        <v>0</v>
      </c>
      <c r="K127" s="683"/>
      <c r="L127" s="684"/>
      <c r="M127" s="753"/>
      <c r="N127" s="683">
        <v>0</v>
      </c>
      <c r="O127" s="686"/>
      <c r="P127" s="683">
        <v>0</v>
      </c>
      <c r="Q127" s="687">
        <f t="shared" si="1"/>
        <v>0</v>
      </c>
      <c r="R127" s="687"/>
      <c r="S127" s="687"/>
      <c r="T127" s="688">
        <v>0</v>
      </c>
      <c r="U127" s="693"/>
      <c r="V127" s="690">
        <f t="shared" si="31"/>
        <v>0</v>
      </c>
      <c r="W127" s="683"/>
      <c r="X127" s="474">
        <f t="shared" si="32"/>
        <v>0</v>
      </c>
      <c r="Y127" s="474">
        <f t="shared" si="33"/>
        <v>0</v>
      </c>
      <c r="Z127" s="475">
        <f t="shared" si="34"/>
        <v>0</v>
      </c>
      <c r="AA127" s="475">
        <v>0</v>
      </c>
      <c r="AB127" s="476">
        <v>0</v>
      </c>
      <c r="AC127" s="38">
        <f t="shared" si="35"/>
        <v>0</v>
      </c>
      <c r="AD127" s="692">
        <f t="shared" si="28"/>
        <v>0</v>
      </c>
      <c r="AE127" s="692">
        <f t="shared" si="29"/>
        <v>0</v>
      </c>
      <c r="AF127" s="692">
        <f t="shared" si="30"/>
        <v>0</v>
      </c>
      <c r="AG127" s="38"/>
      <c r="AH127" s="692">
        <f t="shared" si="36"/>
        <v>0</v>
      </c>
      <c r="AI127" s="692">
        <f t="shared" si="37"/>
        <v>0</v>
      </c>
      <c r="AJ127" s="692">
        <f t="shared" si="38"/>
        <v>0</v>
      </c>
      <c r="AL127" s="38">
        <f t="shared" si="39"/>
        <v>0</v>
      </c>
      <c r="AM127" s="68" t="s">
        <v>499</v>
      </c>
    </row>
    <row r="128" spans="1:39">
      <c r="A128" s="21"/>
      <c r="B128" s="21" t="s">
        <v>110</v>
      </c>
      <c r="C128" s="666"/>
      <c r="D128" s="68" t="s">
        <v>1040</v>
      </c>
      <c r="E128" s="679"/>
      <c r="F128" s="529">
        <f>VLOOKUP(D128,'Dec13 Revenue'!D:V,19,FALSE)</f>
        <v>0</v>
      </c>
      <c r="G128" s="680"/>
      <c r="H128" s="680"/>
      <c r="I128" s="755"/>
      <c r="J128" s="682">
        <f t="shared" si="27"/>
        <v>0</v>
      </c>
      <c r="K128" s="683"/>
      <c r="L128" s="684"/>
      <c r="M128" s="753"/>
      <c r="N128" s="683">
        <v>0</v>
      </c>
      <c r="O128" s="686"/>
      <c r="P128" s="683">
        <v>0</v>
      </c>
      <c r="Q128" s="687">
        <f t="shared" si="1"/>
        <v>0</v>
      </c>
      <c r="R128" s="687"/>
      <c r="S128" s="687"/>
      <c r="T128" s="688">
        <v>0</v>
      </c>
      <c r="U128" s="693"/>
      <c r="V128" s="690">
        <f t="shared" si="31"/>
        <v>0</v>
      </c>
      <c r="W128" s="683"/>
      <c r="X128" s="474">
        <f t="shared" si="32"/>
        <v>0</v>
      </c>
      <c r="Y128" s="474">
        <f t="shared" si="33"/>
        <v>0</v>
      </c>
      <c r="Z128" s="475">
        <f t="shared" si="34"/>
        <v>0</v>
      </c>
      <c r="AA128" s="475">
        <v>0</v>
      </c>
      <c r="AB128" s="476">
        <v>0</v>
      </c>
      <c r="AC128" s="38">
        <f t="shared" si="35"/>
        <v>0</v>
      </c>
      <c r="AD128" s="692">
        <f t="shared" si="28"/>
        <v>0</v>
      </c>
      <c r="AE128" s="692">
        <f t="shared" si="29"/>
        <v>0</v>
      </c>
      <c r="AF128" s="692">
        <f t="shared" si="30"/>
        <v>0</v>
      </c>
      <c r="AG128" s="38"/>
      <c r="AH128" s="692">
        <f t="shared" si="36"/>
        <v>0</v>
      </c>
      <c r="AI128" s="692">
        <f t="shared" si="37"/>
        <v>0</v>
      </c>
      <c r="AJ128" s="692">
        <f t="shared" si="38"/>
        <v>0</v>
      </c>
      <c r="AL128" s="38">
        <f t="shared" ref="AL128" si="40">SUM(AD128:AJ128)</f>
        <v>0</v>
      </c>
      <c r="AM128" s="68" t="s">
        <v>1019</v>
      </c>
    </row>
    <row r="129" spans="1:39">
      <c r="A129" s="21"/>
      <c r="B129" s="21" t="s">
        <v>110</v>
      </c>
      <c r="C129" s="666"/>
      <c r="D129" s="68" t="s">
        <v>28</v>
      </c>
      <c r="E129" s="679"/>
      <c r="F129" s="529">
        <f>VLOOKUP(D129,'Dec13 Revenue'!D:V,19,FALSE)</f>
        <v>0</v>
      </c>
      <c r="G129" s="680"/>
      <c r="H129" s="680"/>
      <c r="I129" s="770">
        <v>12423.6</v>
      </c>
      <c r="J129" s="682">
        <f t="shared" si="27"/>
        <v>12423.6</v>
      </c>
      <c r="K129" s="683"/>
      <c r="L129" s="684"/>
      <c r="M129" s="753"/>
      <c r="N129" s="683">
        <v>0</v>
      </c>
      <c r="O129" s="686"/>
      <c r="P129" s="683">
        <v>0</v>
      </c>
      <c r="Q129" s="687">
        <f t="shared" si="1"/>
        <v>0</v>
      </c>
      <c r="R129" s="687"/>
      <c r="S129" s="687"/>
      <c r="T129" s="688">
        <v>0</v>
      </c>
      <c r="U129" s="693"/>
      <c r="V129" s="690">
        <f t="shared" si="31"/>
        <v>0</v>
      </c>
      <c r="W129" s="683"/>
      <c r="X129" s="474">
        <f t="shared" si="32"/>
        <v>0</v>
      </c>
      <c r="Y129" s="474">
        <f t="shared" si="33"/>
        <v>0</v>
      </c>
      <c r="Z129" s="475">
        <f t="shared" si="34"/>
        <v>0</v>
      </c>
      <c r="AA129" s="475">
        <v>0</v>
      </c>
      <c r="AB129" s="476">
        <v>0</v>
      </c>
      <c r="AC129" s="38">
        <f t="shared" si="35"/>
        <v>0</v>
      </c>
      <c r="AD129" s="692">
        <f t="shared" si="28"/>
        <v>12423.6</v>
      </c>
      <c r="AE129" s="692">
        <f t="shared" si="29"/>
        <v>0</v>
      </c>
      <c r="AF129" s="692">
        <f t="shared" si="30"/>
        <v>0</v>
      </c>
      <c r="AG129" s="38"/>
      <c r="AH129" s="692">
        <f t="shared" si="36"/>
        <v>0</v>
      </c>
      <c r="AI129" s="692">
        <f t="shared" si="37"/>
        <v>0</v>
      </c>
      <c r="AJ129" s="692">
        <f t="shared" si="38"/>
        <v>0</v>
      </c>
      <c r="AL129" s="38">
        <f t="shared" si="39"/>
        <v>12423.6</v>
      </c>
      <c r="AM129" s="68" t="s">
        <v>28</v>
      </c>
    </row>
    <row r="130" spans="1:39">
      <c r="A130" s="21"/>
      <c r="B130" s="21" t="s">
        <v>114</v>
      </c>
      <c r="C130" s="666" t="s">
        <v>552</v>
      </c>
      <c r="D130" s="68" t="s">
        <v>513</v>
      </c>
      <c r="E130" s="679"/>
      <c r="F130" s="529">
        <f>VLOOKUP(D130,'Dec13 Revenue'!D:V,19,FALSE)</f>
        <v>-5000</v>
      </c>
      <c r="G130" s="680"/>
      <c r="H130" s="680"/>
      <c r="I130" s="755"/>
      <c r="J130" s="682">
        <f t="shared" si="27"/>
        <v>-5000</v>
      </c>
      <c r="K130" s="683"/>
      <c r="L130" s="684"/>
      <c r="M130" s="753">
        <v>10000</v>
      </c>
      <c r="N130" s="683">
        <v>0</v>
      </c>
      <c r="O130" s="686"/>
      <c r="P130" s="683">
        <v>0</v>
      </c>
      <c r="Q130" s="687">
        <f>L130+M130</f>
        <v>10000</v>
      </c>
      <c r="R130" s="687"/>
      <c r="S130" s="687"/>
      <c r="T130" s="688">
        <v>0</v>
      </c>
      <c r="U130" s="693"/>
      <c r="V130" s="690">
        <f t="shared" si="31"/>
        <v>-10000</v>
      </c>
      <c r="W130" s="683"/>
      <c r="X130" s="474">
        <f t="shared" si="32"/>
        <v>0</v>
      </c>
      <c r="Y130" s="474">
        <f t="shared" si="33"/>
        <v>0</v>
      </c>
      <c r="Z130" s="475">
        <f t="shared" si="34"/>
        <v>10000</v>
      </c>
      <c r="AA130" s="475">
        <v>0</v>
      </c>
      <c r="AB130" s="476">
        <v>0</v>
      </c>
      <c r="AC130" s="38">
        <f t="shared" si="35"/>
        <v>0</v>
      </c>
      <c r="AD130" s="692">
        <f t="shared" si="28"/>
        <v>0</v>
      </c>
      <c r="AE130" s="692">
        <f t="shared" si="29"/>
        <v>0</v>
      </c>
      <c r="AF130" s="692">
        <f t="shared" si="30"/>
        <v>-5000</v>
      </c>
      <c r="AG130" s="38"/>
      <c r="AH130" s="692">
        <f t="shared" si="36"/>
        <v>0</v>
      </c>
      <c r="AI130" s="692">
        <f t="shared" si="37"/>
        <v>0</v>
      </c>
      <c r="AJ130" s="692">
        <f t="shared" si="38"/>
        <v>10000</v>
      </c>
      <c r="AL130" s="38">
        <f t="shared" si="39"/>
        <v>5000</v>
      </c>
      <c r="AM130" s="68" t="s">
        <v>513</v>
      </c>
    </row>
    <row r="131" spans="1:39">
      <c r="A131" s="21"/>
      <c r="B131" s="21" t="s">
        <v>109</v>
      </c>
      <c r="C131" s="666" t="s">
        <v>553</v>
      </c>
      <c r="D131" s="68" t="s">
        <v>308</v>
      </c>
      <c r="E131" s="679">
        <v>3146.88</v>
      </c>
      <c r="F131" s="529">
        <f>VLOOKUP(D131,'Dec13 Revenue'!D:V,19,FALSE)</f>
        <v>0</v>
      </c>
      <c r="G131" s="680"/>
      <c r="H131" s="680"/>
      <c r="I131" s="755"/>
      <c r="J131" s="682">
        <f t="shared" si="27"/>
        <v>3146.88</v>
      </c>
      <c r="K131" s="683"/>
      <c r="L131" s="684"/>
      <c r="M131" s="753"/>
      <c r="N131" s="683">
        <v>0</v>
      </c>
      <c r="O131" s="686"/>
      <c r="P131" s="683">
        <v>0</v>
      </c>
      <c r="Q131" s="687">
        <f t="shared" si="1"/>
        <v>0</v>
      </c>
      <c r="R131" s="687"/>
      <c r="S131" s="687"/>
      <c r="T131" s="688">
        <v>850.09</v>
      </c>
      <c r="U131" s="693"/>
      <c r="V131" s="690">
        <f t="shared" si="31"/>
        <v>850.09</v>
      </c>
      <c r="W131" s="683"/>
      <c r="X131" s="474">
        <f t="shared" si="32"/>
        <v>0</v>
      </c>
      <c r="Y131" s="474">
        <f t="shared" si="33"/>
        <v>0</v>
      </c>
      <c r="Z131" s="475">
        <f t="shared" si="34"/>
        <v>0</v>
      </c>
      <c r="AA131" s="475">
        <v>0</v>
      </c>
      <c r="AB131" s="476">
        <v>0</v>
      </c>
      <c r="AC131" s="38">
        <f t="shared" si="35"/>
        <v>0</v>
      </c>
      <c r="AD131" s="692">
        <f t="shared" si="28"/>
        <v>0</v>
      </c>
      <c r="AE131" s="692">
        <f t="shared" si="29"/>
        <v>3146.88</v>
      </c>
      <c r="AF131" s="692">
        <f t="shared" si="30"/>
        <v>0</v>
      </c>
      <c r="AG131" s="38"/>
      <c r="AH131" s="692">
        <f t="shared" si="36"/>
        <v>0</v>
      </c>
      <c r="AI131" s="692">
        <f t="shared" si="37"/>
        <v>0</v>
      </c>
      <c r="AJ131" s="692">
        <f t="shared" si="38"/>
        <v>0</v>
      </c>
      <c r="AL131" s="38">
        <f t="shared" si="39"/>
        <v>3146.88</v>
      </c>
      <c r="AM131" s="68" t="s">
        <v>308</v>
      </c>
    </row>
    <row r="132" spans="1:39" s="232" customFormat="1">
      <c r="A132" s="283" t="s">
        <v>211</v>
      </c>
      <c r="B132" s="283" t="s">
        <v>109</v>
      </c>
      <c r="C132" s="667" t="s">
        <v>554</v>
      </c>
      <c r="D132" s="123" t="s">
        <v>389</v>
      </c>
      <c r="E132" s="679"/>
      <c r="F132" s="529">
        <f>VLOOKUP(D132,'Dec13 Revenue'!D:V,19,FALSE)</f>
        <v>0</v>
      </c>
      <c r="G132" s="680"/>
      <c r="H132" s="680"/>
      <c r="I132" s="755"/>
      <c r="J132" s="682">
        <f t="shared" si="27"/>
        <v>0</v>
      </c>
      <c r="K132" s="683"/>
      <c r="L132" s="684"/>
      <c r="M132" s="753"/>
      <c r="N132" s="683">
        <v>0</v>
      </c>
      <c r="O132" s="686"/>
      <c r="P132" s="683">
        <v>0</v>
      </c>
      <c r="Q132" s="687">
        <f t="shared" si="1"/>
        <v>0</v>
      </c>
      <c r="R132" s="687"/>
      <c r="S132" s="687"/>
      <c r="T132" s="688">
        <v>0</v>
      </c>
      <c r="U132" s="693"/>
      <c r="V132" s="690">
        <f t="shared" si="31"/>
        <v>0</v>
      </c>
      <c r="W132" s="683"/>
      <c r="X132" s="474">
        <f t="shared" si="32"/>
        <v>0</v>
      </c>
      <c r="Y132" s="474">
        <f t="shared" si="33"/>
        <v>0</v>
      </c>
      <c r="Z132" s="475">
        <f t="shared" si="34"/>
        <v>0</v>
      </c>
      <c r="AA132" s="475">
        <v>0</v>
      </c>
      <c r="AB132" s="476">
        <v>0</v>
      </c>
      <c r="AC132" s="38">
        <f t="shared" si="35"/>
        <v>0</v>
      </c>
      <c r="AD132" s="692">
        <f t="shared" si="28"/>
        <v>0</v>
      </c>
      <c r="AE132" s="692">
        <f t="shared" si="29"/>
        <v>0</v>
      </c>
      <c r="AF132" s="692">
        <f t="shared" si="30"/>
        <v>0</v>
      </c>
      <c r="AG132" s="38"/>
      <c r="AH132" s="692">
        <f t="shared" si="36"/>
        <v>0</v>
      </c>
      <c r="AI132" s="692">
        <f t="shared" si="37"/>
        <v>0</v>
      </c>
      <c r="AJ132" s="692">
        <f t="shared" si="38"/>
        <v>0</v>
      </c>
      <c r="AL132" s="38">
        <f t="shared" si="39"/>
        <v>0</v>
      </c>
      <c r="AM132" s="123" t="s">
        <v>389</v>
      </c>
    </row>
    <row r="133" spans="1:39" s="232" customFormat="1">
      <c r="A133" s="283"/>
      <c r="B133" s="283" t="s">
        <v>110</v>
      </c>
      <c r="C133" s="667"/>
      <c r="D133" s="123" t="s">
        <v>807</v>
      </c>
      <c r="E133" s="679"/>
      <c r="F133" s="529">
        <f>VLOOKUP(D133,'Dec13 Revenue'!D:V,19,FALSE)</f>
        <v>0</v>
      </c>
      <c r="G133" s="680"/>
      <c r="H133" s="680"/>
      <c r="I133" s="755"/>
      <c r="J133" s="682">
        <f t="shared" si="27"/>
        <v>0</v>
      </c>
      <c r="K133" s="683"/>
      <c r="L133" s="684"/>
      <c r="M133" s="753">
        <v>5000</v>
      </c>
      <c r="N133" s="683">
        <v>0</v>
      </c>
      <c r="O133" s="686"/>
      <c r="P133" s="683">
        <v>0</v>
      </c>
      <c r="Q133" s="687">
        <f t="shared" si="1"/>
        <v>5000</v>
      </c>
      <c r="R133" s="687"/>
      <c r="S133" s="687"/>
      <c r="T133" s="688">
        <v>2620.1</v>
      </c>
      <c r="U133" s="693"/>
      <c r="V133" s="690">
        <f t="shared" si="31"/>
        <v>-2379.9</v>
      </c>
      <c r="W133" s="683"/>
      <c r="X133" s="474">
        <f t="shared" si="32"/>
        <v>5000</v>
      </c>
      <c r="Y133" s="474">
        <f t="shared" si="33"/>
        <v>0</v>
      </c>
      <c r="Z133" s="475">
        <f t="shared" si="34"/>
        <v>0</v>
      </c>
      <c r="AA133" s="475">
        <v>0</v>
      </c>
      <c r="AB133" s="476">
        <v>0</v>
      </c>
      <c r="AC133" s="38">
        <f t="shared" si="35"/>
        <v>0</v>
      </c>
      <c r="AD133" s="692">
        <f t="shared" si="28"/>
        <v>0</v>
      </c>
      <c r="AE133" s="692">
        <f t="shared" si="29"/>
        <v>0</v>
      </c>
      <c r="AF133" s="692">
        <f t="shared" si="30"/>
        <v>0</v>
      </c>
      <c r="AG133" s="38"/>
      <c r="AH133" s="692">
        <f t="shared" si="36"/>
        <v>5000</v>
      </c>
      <c r="AI133" s="692">
        <f t="shared" si="37"/>
        <v>0</v>
      </c>
      <c r="AJ133" s="692">
        <f t="shared" si="38"/>
        <v>0</v>
      </c>
      <c r="AL133" s="38">
        <f t="shared" si="39"/>
        <v>5000</v>
      </c>
      <c r="AM133" s="123" t="s">
        <v>807</v>
      </c>
    </row>
    <row r="134" spans="1:39" s="232" customFormat="1">
      <c r="A134" s="283"/>
      <c r="B134" s="283" t="s">
        <v>109</v>
      </c>
      <c r="C134" s="667"/>
      <c r="D134" s="123" t="s">
        <v>808</v>
      </c>
      <c r="E134" s="679"/>
      <c r="F134" s="529">
        <f>VLOOKUP(D134,'Dec13 Revenue'!D:V,19,FALSE)</f>
        <v>0</v>
      </c>
      <c r="G134" s="680"/>
      <c r="H134" s="680"/>
      <c r="I134" s="755"/>
      <c r="J134" s="682">
        <f t="shared" si="27"/>
        <v>0</v>
      </c>
      <c r="K134" s="683"/>
      <c r="L134" s="684"/>
      <c r="M134" s="753">
        <v>45000</v>
      </c>
      <c r="N134" s="683">
        <v>0</v>
      </c>
      <c r="O134" s="686"/>
      <c r="P134" s="683">
        <v>0</v>
      </c>
      <c r="Q134" s="687">
        <f t="shared" si="1"/>
        <v>45000</v>
      </c>
      <c r="R134" s="687"/>
      <c r="S134" s="687"/>
      <c r="T134" s="688">
        <f>31888.94+541.43+10374.55</f>
        <v>42804.92</v>
      </c>
      <c r="U134" s="693"/>
      <c r="V134" s="690">
        <f t="shared" si="31"/>
        <v>-2195.0800000000017</v>
      </c>
      <c r="W134" s="683"/>
      <c r="X134" s="474">
        <f t="shared" si="32"/>
        <v>0</v>
      </c>
      <c r="Y134" s="474">
        <f t="shared" si="33"/>
        <v>45000</v>
      </c>
      <c r="Z134" s="475">
        <f t="shared" si="34"/>
        <v>0</v>
      </c>
      <c r="AA134" s="475">
        <v>0</v>
      </c>
      <c r="AB134" s="476">
        <v>0</v>
      </c>
      <c r="AC134" s="38">
        <f t="shared" si="35"/>
        <v>0</v>
      </c>
      <c r="AD134" s="692">
        <f t="shared" si="28"/>
        <v>0</v>
      </c>
      <c r="AE134" s="692">
        <f t="shared" si="29"/>
        <v>0</v>
      </c>
      <c r="AF134" s="692">
        <f t="shared" si="30"/>
        <v>0</v>
      </c>
      <c r="AG134" s="38"/>
      <c r="AH134" s="692">
        <f t="shared" si="36"/>
        <v>0</v>
      </c>
      <c r="AI134" s="692">
        <f t="shared" si="37"/>
        <v>45000</v>
      </c>
      <c r="AJ134" s="692">
        <f t="shared" si="38"/>
        <v>0</v>
      </c>
      <c r="AL134" s="38">
        <f t="shared" si="39"/>
        <v>45000</v>
      </c>
      <c r="AM134" s="123" t="s">
        <v>808</v>
      </c>
    </row>
    <row r="135" spans="1:39" s="232" customFormat="1">
      <c r="A135" s="403"/>
      <c r="B135" s="403" t="s">
        <v>110</v>
      </c>
      <c r="C135" s="666" t="s">
        <v>563</v>
      </c>
      <c r="D135" s="123" t="s">
        <v>867</v>
      </c>
      <c r="E135" s="679"/>
      <c r="F135" s="529">
        <f>VLOOKUP(D135,'Dec13 Revenue'!D:V,19,FALSE)</f>
        <v>0</v>
      </c>
      <c r="G135" s="680"/>
      <c r="H135" s="680"/>
      <c r="I135" s="755"/>
      <c r="J135" s="682">
        <f t="shared" si="27"/>
        <v>0</v>
      </c>
      <c r="K135" s="683"/>
      <c r="L135" s="684"/>
      <c r="M135" s="753"/>
      <c r="N135" s="683">
        <v>0</v>
      </c>
      <c r="O135" s="686"/>
      <c r="P135" s="683">
        <v>0</v>
      </c>
      <c r="Q135" s="687">
        <f t="shared" si="1"/>
        <v>0</v>
      </c>
      <c r="R135" s="687"/>
      <c r="S135" s="687"/>
      <c r="T135" s="688">
        <v>1037.78</v>
      </c>
      <c r="U135" s="693"/>
      <c r="V135" s="690">
        <f t="shared" si="31"/>
        <v>1037.78</v>
      </c>
      <c r="W135" s="683"/>
      <c r="X135" s="474">
        <f t="shared" si="32"/>
        <v>0</v>
      </c>
      <c r="Y135" s="474">
        <f t="shared" si="33"/>
        <v>0</v>
      </c>
      <c r="Z135" s="475">
        <f t="shared" si="34"/>
        <v>0</v>
      </c>
      <c r="AA135" s="475">
        <v>0</v>
      </c>
      <c r="AB135" s="476">
        <v>0</v>
      </c>
      <c r="AC135" s="38">
        <f t="shared" si="35"/>
        <v>0</v>
      </c>
      <c r="AD135" s="692">
        <f t="shared" si="28"/>
        <v>0</v>
      </c>
      <c r="AE135" s="692">
        <f t="shared" si="29"/>
        <v>0</v>
      </c>
      <c r="AF135" s="692">
        <f t="shared" si="30"/>
        <v>0</v>
      </c>
      <c r="AG135" s="38"/>
      <c r="AH135" s="692">
        <f t="shared" si="36"/>
        <v>0</v>
      </c>
      <c r="AI135" s="692">
        <f t="shared" si="37"/>
        <v>0</v>
      </c>
      <c r="AJ135" s="692">
        <f t="shared" si="38"/>
        <v>0</v>
      </c>
      <c r="AL135" s="38">
        <f t="shared" si="39"/>
        <v>0</v>
      </c>
      <c r="AM135" s="123" t="s">
        <v>867</v>
      </c>
    </row>
    <row r="136" spans="1:39" s="232" customFormat="1">
      <c r="A136" s="283"/>
      <c r="B136" s="283" t="s">
        <v>110</v>
      </c>
      <c r="C136" s="667"/>
      <c r="D136" s="68" t="s">
        <v>488</v>
      </c>
      <c r="E136" s="679"/>
      <c r="F136" s="529">
        <f>VLOOKUP(D136,'Dec13 Revenue'!D:V,19,FALSE)</f>
        <v>0</v>
      </c>
      <c r="G136" s="680"/>
      <c r="H136" s="680"/>
      <c r="I136" s="755"/>
      <c r="J136" s="682">
        <f t="shared" si="27"/>
        <v>0</v>
      </c>
      <c r="K136" s="683"/>
      <c r="L136" s="684"/>
      <c r="M136" s="753"/>
      <c r="N136" s="683">
        <v>0</v>
      </c>
      <c r="O136" s="686"/>
      <c r="P136" s="683">
        <v>0</v>
      </c>
      <c r="Q136" s="687">
        <f t="shared" si="1"/>
        <v>0</v>
      </c>
      <c r="R136" s="687"/>
      <c r="S136" s="687"/>
      <c r="T136" s="688">
        <v>0</v>
      </c>
      <c r="U136" s="693"/>
      <c r="V136" s="690">
        <f t="shared" si="31"/>
        <v>0</v>
      </c>
      <c r="W136" s="683"/>
      <c r="X136" s="474">
        <f t="shared" si="32"/>
        <v>0</v>
      </c>
      <c r="Y136" s="474">
        <f t="shared" si="33"/>
        <v>0</v>
      </c>
      <c r="Z136" s="475">
        <f t="shared" si="34"/>
        <v>0</v>
      </c>
      <c r="AA136" s="475">
        <v>0</v>
      </c>
      <c r="AB136" s="476">
        <v>0</v>
      </c>
      <c r="AC136" s="38">
        <f t="shared" si="35"/>
        <v>0</v>
      </c>
      <c r="AD136" s="692">
        <f t="shared" si="28"/>
        <v>0</v>
      </c>
      <c r="AE136" s="692">
        <f t="shared" si="29"/>
        <v>0</v>
      </c>
      <c r="AF136" s="692">
        <f t="shared" si="30"/>
        <v>0</v>
      </c>
      <c r="AG136" s="38"/>
      <c r="AH136" s="692">
        <f t="shared" si="36"/>
        <v>0</v>
      </c>
      <c r="AI136" s="692">
        <f t="shared" si="37"/>
        <v>0</v>
      </c>
      <c r="AJ136" s="692">
        <f t="shared" si="38"/>
        <v>0</v>
      </c>
      <c r="AL136" s="38">
        <f t="shared" si="39"/>
        <v>0</v>
      </c>
      <c r="AM136" s="68" t="s">
        <v>488</v>
      </c>
    </row>
    <row r="137" spans="1:39" s="232" customFormat="1">
      <c r="A137" s="283"/>
      <c r="B137" s="283" t="s">
        <v>110</v>
      </c>
      <c r="C137" s="667" t="s">
        <v>555</v>
      </c>
      <c r="D137" s="123" t="s">
        <v>192</v>
      </c>
      <c r="E137" s="679">
        <f>7121.33+414.14</f>
        <v>7535.47</v>
      </c>
      <c r="F137" s="529">
        <f>VLOOKUP(D137,'Dec13 Revenue'!D:V,19,FALSE)</f>
        <v>-6508.82</v>
      </c>
      <c r="G137" s="680"/>
      <c r="H137" s="680"/>
      <c r="I137" s="755"/>
      <c r="J137" s="682">
        <f t="shared" si="27"/>
        <v>1026.6500000000005</v>
      </c>
      <c r="K137" s="683"/>
      <c r="L137" s="684"/>
      <c r="M137" s="753">
        <v>7000</v>
      </c>
      <c r="N137" s="683">
        <v>0</v>
      </c>
      <c r="O137" s="686"/>
      <c r="P137" s="683">
        <v>0</v>
      </c>
      <c r="Q137" s="687">
        <f t="shared" si="1"/>
        <v>7000</v>
      </c>
      <c r="R137" s="687"/>
      <c r="S137" s="687"/>
      <c r="T137" s="688">
        <f>5504.38+4531.58</f>
        <v>10035.959999999999</v>
      </c>
      <c r="U137" s="693"/>
      <c r="V137" s="690">
        <f t="shared" si="31"/>
        <v>3035.9599999999991</v>
      </c>
      <c r="W137" s="683"/>
      <c r="X137" s="474">
        <f t="shared" si="32"/>
        <v>7000</v>
      </c>
      <c r="Y137" s="474">
        <f t="shared" si="33"/>
        <v>0</v>
      </c>
      <c r="Z137" s="475">
        <f t="shared" si="34"/>
        <v>0</v>
      </c>
      <c r="AA137" s="475">
        <v>0</v>
      </c>
      <c r="AB137" s="476">
        <v>0</v>
      </c>
      <c r="AC137" s="38">
        <f t="shared" si="35"/>
        <v>0</v>
      </c>
      <c r="AD137" s="692">
        <f t="shared" si="28"/>
        <v>1026.6500000000005</v>
      </c>
      <c r="AE137" s="692">
        <f t="shared" si="29"/>
        <v>0</v>
      </c>
      <c r="AF137" s="692">
        <f t="shared" si="30"/>
        <v>0</v>
      </c>
      <c r="AG137" s="38"/>
      <c r="AH137" s="692">
        <f t="shared" si="36"/>
        <v>7000</v>
      </c>
      <c r="AI137" s="692">
        <f t="shared" si="37"/>
        <v>0</v>
      </c>
      <c r="AJ137" s="692">
        <f t="shared" si="38"/>
        <v>0</v>
      </c>
      <c r="AL137" s="38">
        <f t="shared" si="39"/>
        <v>8026.6500000000005</v>
      </c>
      <c r="AM137" s="123" t="s">
        <v>192</v>
      </c>
    </row>
    <row r="138" spans="1:39" s="232" customFormat="1" hidden="1">
      <c r="A138" s="283"/>
      <c r="B138" s="283" t="s">
        <v>110</v>
      </c>
      <c r="C138" s="667" t="s">
        <v>555</v>
      </c>
      <c r="D138" s="123" t="s">
        <v>193</v>
      </c>
      <c r="E138" s="679"/>
      <c r="F138" s="529">
        <f>VLOOKUP(D138,'Dec13 Revenue'!D:V,19,FALSE)</f>
        <v>0</v>
      </c>
      <c r="G138" s="680"/>
      <c r="H138" s="680"/>
      <c r="I138" s="755"/>
      <c r="J138" s="682">
        <f t="shared" si="27"/>
        <v>0</v>
      </c>
      <c r="K138" s="683"/>
      <c r="L138" s="684"/>
      <c r="M138" s="753"/>
      <c r="N138" s="683">
        <v>0</v>
      </c>
      <c r="O138" s="686"/>
      <c r="P138" s="683">
        <v>0</v>
      </c>
      <c r="Q138" s="687">
        <f t="shared" si="1"/>
        <v>0</v>
      </c>
      <c r="R138" s="687"/>
      <c r="S138" s="687"/>
      <c r="T138" s="688">
        <v>0</v>
      </c>
      <c r="U138" s="693"/>
      <c r="V138" s="690">
        <f t="shared" si="31"/>
        <v>0</v>
      </c>
      <c r="W138" s="683"/>
      <c r="X138" s="474">
        <f t="shared" si="32"/>
        <v>0</v>
      </c>
      <c r="Y138" s="474">
        <f t="shared" si="33"/>
        <v>0</v>
      </c>
      <c r="Z138" s="475">
        <f t="shared" si="34"/>
        <v>0</v>
      </c>
      <c r="AA138" s="475">
        <v>0</v>
      </c>
      <c r="AB138" s="476">
        <v>0</v>
      </c>
      <c r="AC138" s="38">
        <f t="shared" si="35"/>
        <v>0</v>
      </c>
      <c r="AD138" s="692">
        <f t="shared" si="28"/>
        <v>0</v>
      </c>
      <c r="AE138" s="692">
        <f t="shared" si="29"/>
        <v>0</v>
      </c>
      <c r="AF138" s="692">
        <f t="shared" si="30"/>
        <v>0</v>
      </c>
      <c r="AG138" s="38"/>
      <c r="AH138" s="692">
        <f t="shared" si="36"/>
        <v>0</v>
      </c>
      <c r="AI138" s="692">
        <f t="shared" si="37"/>
        <v>0</v>
      </c>
      <c r="AJ138" s="692">
        <f t="shared" si="38"/>
        <v>0</v>
      </c>
      <c r="AL138" s="38">
        <f t="shared" si="39"/>
        <v>0</v>
      </c>
      <c r="AM138" s="123" t="s">
        <v>193</v>
      </c>
    </row>
    <row r="139" spans="1:39" s="232" customFormat="1" hidden="1">
      <c r="A139" s="283"/>
      <c r="B139" s="283" t="s">
        <v>110</v>
      </c>
      <c r="C139" s="667" t="s">
        <v>555</v>
      </c>
      <c r="D139" s="123" t="s">
        <v>194</v>
      </c>
      <c r="E139" s="679"/>
      <c r="F139" s="529">
        <f>VLOOKUP(D139,'Dec13 Revenue'!D:V,19,FALSE)</f>
        <v>0</v>
      </c>
      <c r="G139" s="680"/>
      <c r="H139" s="680"/>
      <c r="I139" s="755"/>
      <c r="J139" s="682">
        <f t="shared" si="27"/>
        <v>0</v>
      </c>
      <c r="K139" s="683"/>
      <c r="L139" s="684"/>
      <c r="M139" s="753"/>
      <c r="N139" s="683">
        <v>0</v>
      </c>
      <c r="O139" s="686"/>
      <c r="P139" s="683">
        <v>0</v>
      </c>
      <c r="Q139" s="687">
        <f t="shared" si="1"/>
        <v>0</v>
      </c>
      <c r="R139" s="687"/>
      <c r="S139" s="687"/>
      <c r="T139" s="688">
        <v>0</v>
      </c>
      <c r="U139" s="693"/>
      <c r="V139" s="690">
        <f t="shared" si="31"/>
        <v>0</v>
      </c>
      <c r="W139" s="683"/>
      <c r="X139" s="474">
        <f t="shared" si="32"/>
        <v>0</v>
      </c>
      <c r="Y139" s="474">
        <f t="shared" si="33"/>
        <v>0</v>
      </c>
      <c r="Z139" s="475">
        <f t="shared" si="34"/>
        <v>0</v>
      </c>
      <c r="AA139" s="475">
        <v>0</v>
      </c>
      <c r="AB139" s="476">
        <v>0</v>
      </c>
      <c r="AC139" s="38">
        <f t="shared" si="35"/>
        <v>0</v>
      </c>
      <c r="AD139" s="692">
        <f t="shared" si="28"/>
        <v>0</v>
      </c>
      <c r="AE139" s="692">
        <f t="shared" si="29"/>
        <v>0</v>
      </c>
      <c r="AF139" s="692">
        <f t="shared" si="30"/>
        <v>0</v>
      </c>
      <c r="AG139" s="38"/>
      <c r="AH139" s="692">
        <f t="shared" si="36"/>
        <v>0</v>
      </c>
      <c r="AI139" s="692">
        <f t="shared" si="37"/>
        <v>0</v>
      </c>
      <c r="AJ139" s="692">
        <f t="shared" si="38"/>
        <v>0</v>
      </c>
      <c r="AL139" s="38">
        <f t="shared" si="39"/>
        <v>0</v>
      </c>
      <c r="AM139" s="123" t="s">
        <v>194</v>
      </c>
    </row>
    <row r="140" spans="1:39" s="232" customFormat="1" hidden="1">
      <c r="A140" s="283"/>
      <c r="B140" s="283" t="s">
        <v>110</v>
      </c>
      <c r="C140" s="667" t="s">
        <v>555</v>
      </c>
      <c r="D140" s="123" t="s">
        <v>195</v>
      </c>
      <c r="E140" s="679"/>
      <c r="F140" s="529">
        <f>VLOOKUP(D140,'Dec13 Revenue'!D:V,19,FALSE)</f>
        <v>0</v>
      </c>
      <c r="G140" s="680"/>
      <c r="H140" s="680"/>
      <c r="I140" s="755"/>
      <c r="J140" s="682">
        <f t="shared" si="27"/>
        <v>0</v>
      </c>
      <c r="K140" s="683"/>
      <c r="L140" s="684"/>
      <c r="M140" s="753"/>
      <c r="N140" s="683">
        <v>0</v>
      </c>
      <c r="O140" s="686"/>
      <c r="P140" s="683">
        <v>0</v>
      </c>
      <c r="Q140" s="687">
        <f t="shared" si="1"/>
        <v>0</v>
      </c>
      <c r="R140" s="687"/>
      <c r="S140" s="687"/>
      <c r="T140" s="688">
        <v>0</v>
      </c>
      <c r="U140" s="693"/>
      <c r="V140" s="690">
        <f t="shared" si="31"/>
        <v>0</v>
      </c>
      <c r="W140" s="683"/>
      <c r="X140" s="474">
        <f t="shared" si="32"/>
        <v>0</v>
      </c>
      <c r="Y140" s="474">
        <f t="shared" si="33"/>
        <v>0</v>
      </c>
      <c r="Z140" s="475">
        <f t="shared" si="34"/>
        <v>0</v>
      </c>
      <c r="AA140" s="475">
        <v>0</v>
      </c>
      <c r="AB140" s="476">
        <v>0</v>
      </c>
      <c r="AC140" s="38">
        <f t="shared" si="35"/>
        <v>0</v>
      </c>
      <c r="AD140" s="692">
        <f t="shared" si="28"/>
        <v>0</v>
      </c>
      <c r="AE140" s="692">
        <f t="shared" si="29"/>
        <v>0</v>
      </c>
      <c r="AF140" s="692">
        <f t="shared" si="30"/>
        <v>0</v>
      </c>
      <c r="AG140" s="38"/>
      <c r="AH140" s="692">
        <f t="shared" si="36"/>
        <v>0</v>
      </c>
      <c r="AI140" s="692">
        <f t="shared" si="37"/>
        <v>0</v>
      </c>
      <c r="AJ140" s="692">
        <f t="shared" si="38"/>
        <v>0</v>
      </c>
      <c r="AL140" s="38">
        <f t="shared" si="39"/>
        <v>0</v>
      </c>
      <c r="AM140" s="123" t="s">
        <v>195</v>
      </c>
    </row>
    <row r="141" spans="1:39" s="232" customFormat="1" hidden="1">
      <c r="A141" s="283"/>
      <c r="B141" s="283" t="s">
        <v>110</v>
      </c>
      <c r="C141" s="667" t="s">
        <v>555</v>
      </c>
      <c r="D141" s="123" t="s">
        <v>196</v>
      </c>
      <c r="E141" s="679"/>
      <c r="F141" s="529">
        <f>VLOOKUP(D141,'Dec13 Revenue'!D:V,19,FALSE)</f>
        <v>0</v>
      </c>
      <c r="G141" s="680"/>
      <c r="H141" s="680"/>
      <c r="I141" s="755"/>
      <c r="J141" s="682">
        <f t="shared" si="27"/>
        <v>0</v>
      </c>
      <c r="K141" s="683"/>
      <c r="L141" s="684"/>
      <c r="M141" s="753"/>
      <c r="N141" s="683">
        <v>0</v>
      </c>
      <c r="O141" s="686"/>
      <c r="P141" s="683">
        <v>0</v>
      </c>
      <c r="Q141" s="687">
        <f t="shared" si="1"/>
        <v>0</v>
      </c>
      <c r="R141" s="687"/>
      <c r="S141" s="687"/>
      <c r="T141" s="688">
        <v>0</v>
      </c>
      <c r="U141" s="693"/>
      <c r="V141" s="690">
        <f t="shared" si="31"/>
        <v>0</v>
      </c>
      <c r="W141" s="683"/>
      <c r="X141" s="474">
        <f t="shared" si="32"/>
        <v>0</v>
      </c>
      <c r="Y141" s="474">
        <f t="shared" si="33"/>
        <v>0</v>
      </c>
      <c r="Z141" s="475">
        <f t="shared" si="34"/>
        <v>0</v>
      </c>
      <c r="AA141" s="475">
        <v>0</v>
      </c>
      <c r="AB141" s="476">
        <v>0</v>
      </c>
      <c r="AC141" s="38">
        <f t="shared" si="35"/>
        <v>0</v>
      </c>
      <c r="AD141" s="692">
        <f t="shared" si="28"/>
        <v>0</v>
      </c>
      <c r="AE141" s="692">
        <f t="shared" si="29"/>
        <v>0</v>
      </c>
      <c r="AF141" s="692">
        <f t="shared" si="30"/>
        <v>0</v>
      </c>
      <c r="AG141" s="38"/>
      <c r="AH141" s="692">
        <f t="shared" si="36"/>
        <v>0</v>
      </c>
      <c r="AI141" s="692">
        <f t="shared" si="37"/>
        <v>0</v>
      </c>
      <c r="AJ141" s="692">
        <f t="shared" si="38"/>
        <v>0</v>
      </c>
      <c r="AL141" s="38">
        <f t="shared" si="39"/>
        <v>0</v>
      </c>
      <c r="AM141" s="123" t="s">
        <v>196</v>
      </c>
    </row>
    <row r="142" spans="1:39" s="232" customFormat="1" hidden="1">
      <c r="A142" s="283"/>
      <c r="B142" s="283" t="s">
        <v>110</v>
      </c>
      <c r="C142" s="667" t="s">
        <v>555</v>
      </c>
      <c r="D142" s="123" t="s">
        <v>197</v>
      </c>
      <c r="E142" s="679"/>
      <c r="F142" s="529">
        <f>VLOOKUP(D142,'Dec13 Revenue'!D:V,19,FALSE)</f>
        <v>0</v>
      </c>
      <c r="G142" s="680"/>
      <c r="H142" s="680"/>
      <c r="I142" s="755"/>
      <c r="J142" s="682">
        <f t="shared" si="27"/>
        <v>0</v>
      </c>
      <c r="K142" s="683"/>
      <c r="L142" s="684"/>
      <c r="M142" s="753"/>
      <c r="N142" s="683">
        <v>0</v>
      </c>
      <c r="O142" s="686"/>
      <c r="P142" s="683">
        <v>0</v>
      </c>
      <c r="Q142" s="687">
        <f t="shared" si="1"/>
        <v>0</v>
      </c>
      <c r="R142" s="687"/>
      <c r="S142" s="687"/>
      <c r="T142" s="688">
        <v>0</v>
      </c>
      <c r="U142" s="693"/>
      <c r="V142" s="690">
        <f t="shared" si="31"/>
        <v>0</v>
      </c>
      <c r="W142" s="683"/>
      <c r="X142" s="474">
        <f t="shared" si="32"/>
        <v>0</v>
      </c>
      <c r="Y142" s="474">
        <f t="shared" si="33"/>
        <v>0</v>
      </c>
      <c r="Z142" s="475">
        <f t="shared" si="34"/>
        <v>0</v>
      </c>
      <c r="AA142" s="475">
        <v>0</v>
      </c>
      <c r="AB142" s="476">
        <v>0</v>
      </c>
      <c r="AC142" s="38">
        <f t="shared" si="35"/>
        <v>0</v>
      </c>
      <c r="AD142" s="692">
        <f t="shared" si="28"/>
        <v>0</v>
      </c>
      <c r="AE142" s="692">
        <f t="shared" si="29"/>
        <v>0</v>
      </c>
      <c r="AF142" s="692">
        <f t="shared" si="30"/>
        <v>0</v>
      </c>
      <c r="AG142" s="38"/>
      <c r="AH142" s="692">
        <f t="shared" si="36"/>
        <v>0</v>
      </c>
      <c r="AI142" s="692">
        <f t="shared" si="37"/>
        <v>0</v>
      </c>
      <c r="AJ142" s="692">
        <f t="shared" si="38"/>
        <v>0</v>
      </c>
      <c r="AL142" s="38">
        <f t="shared" si="39"/>
        <v>0</v>
      </c>
      <c r="AM142" s="123" t="s">
        <v>197</v>
      </c>
    </row>
    <row r="143" spans="1:39" s="232" customFormat="1" hidden="1">
      <c r="A143" s="283"/>
      <c r="B143" s="283" t="s">
        <v>110</v>
      </c>
      <c r="C143" s="667" t="s">
        <v>555</v>
      </c>
      <c r="D143" s="123" t="s">
        <v>440</v>
      </c>
      <c r="E143" s="679"/>
      <c r="F143" s="529">
        <f>VLOOKUP(D143,'Dec13 Revenue'!D:V,19,FALSE)</f>
        <v>0</v>
      </c>
      <c r="G143" s="680"/>
      <c r="H143" s="680"/>
      <c r="I143" s="755"/>
      <c r="J143" s="682">
        <f t="shared" si="27"/>
        <v>0</v>
      </c>
      <c r="K143" s="683"/>
      <c r="L143" s="684"/>
      <c r="M143" s="753"/>
      <c r="N143" s="683">
        <v>0</v>
      </c>
      <c r="O143" s="686"/>
      <c r="P143" s="683">
        <v>0</v>
      </c>
      <c r="Q143" s="687">
        <f t="shared" si="1"/>
        <v>0</v>
      </c>
      <c r="R143" s="687"/>
      <c r="S143" s="687"/>
      <c r="T143" s="688">
        <v>0</v>
      </c>
      <c r="U143" s="693"/>
      <c r="V143" s="690">
        <f t="shared" si="31"/>
        <v>0</v>
      </c>
      <c r="W143" s="683"/>
      <c r="X143" s="474">
        <f t="shared" si="32"/>
        <v>0</v>
      </c>
      <c r="Y143" s="474">
        <f t="shared" si="33"/>
        <v>0</v>
      </c>
      <c r="Z143" s="475">
        <f t="shared" si="34"/>
        <v>0</v>
      </c>
      <c r="AA143" s="475">
        <v>0</v>
      </c>
      <c r="AB143" s="476">
        <v>0</v>
      </c>
      <c r="AC143" s="38">
        <f t="shared" si="35"/>
        <v>0</v>
      </c>
      <c r="AD143" s="692">
        <f t="shared" si="28"/>
        <v>0</v>
      </c>
      <c r="AE143" s="692">
        <f t="shared" si="29"/>
        <v>0</v>
      </c>
      <c r="AF143" s="692">
        <f t="shared" si="30"/>
        <v>0</v>
      </c>
      <c r="AG143" s="38"/>
      <c r="AH143" s="692">
        <f t="shared" si="36"/>
        <v>0</v>
      </c>
      <c r="AI143" s="692">
        <f t="shared" si="37"/>
        <v>0</v>
      </c>
      <c r="AJ143" s="692">
        <f t="shared" si="38"/>
        <v>0</v>
      </c>
      <c r="AL143" s="38">
        <f t="shared" si="39"/>
        <v>0</v>
      </c>
      <c r="AM143" s="123" t="s">
        <v>440</v>
      </c>
    </row>
    <row r="144" spans="1:39" s="232" customFormat="1">
      <c r="A144" s="283"/>
      <c r="B144" s="283" t="s">
        <v>110</v>
      </c>
      <c r="C144" s="667" t="s">
        <v>555</v>
      </c>
      <c r="D144" s="123" t="s">
        <v>481</v>
      </c>
      <c r="E144" s="679"/>
      <c r="F144" s="529">
        <f>VLOOKUP(D144,'Dec13 Revenue'!D:V,19,FALSE)</f>
        <v>0</v>
      </c>
      <c r="G144" s="680"/>
      <c r="H144" s="680"/>
      <c r="I144" s="755"/>
      <c r="J144" s="682">
        <f t="shared" si="27"/>
        <v>0</v>
      </c>
      <c r="K144" s="683"/>
      <c r="L144" s="684"/>
      <c r="M144" s="753"/>
      <c r="N144" s="683">
        <v>0</v>
      </c>
      <c r="O144" s="686"/>
      <c r="P144" s="683">
        <v>0</v>
      </c>
      <c r="Q144" s="687">
        <f t="shared" si="1"/>
        <v>0</v>
      </c>
      <c r="R144" s="687"/>
      <c r="S144" s="687"/>
      <c r="T144" s="688">
        <v>0</v>
      </c>
      <c r="U144" s="693"/>
      <c r="V144" s="690">
        <f t="shared" si="31"/>
        <v>0</v>
      </c>
      <c r="W144" s="683"/>
      <c r="X144" s="474">
        <f t="shared" si="32"/>
        <v>0</v>
      </c>
      <c r="Y144" s="474">
        <f t="shared" si="33"/>
        <v>0</v>
      </c>
      <c r="Z144" s="475">
        <f t="shared" si="34"/>
        <v>0</v>
      </c>
      <c r="AA144" s="475">
        <v>0</v>
      </c>
      <c r="AB144" s="476">
        <v>0</v>
      </c>
      <c r="AC144" s="38">
        <f t="shared" si="35"/>
        <v>0</v>
      </c>
      <c r="AD144" s="692">
        <f t="shared" si="28"/>
        <v>0</v>
      </c>
      <c r="AE144" s="692">
        <f t="shared" si="29"/>
        <v>0</v>
      </c>
      <c r="AF144" s="692">
        <f t="shared" si="30"/>
        <v>0</v>
      </c>
      <c r="AG144" s="38"/>
      <c r="AH144" s="692">
        <f t="shared" si="36"/>
        <v>0</v>
      </c>
      <c r="AI144" s="692">
        <f t="shared" si="37"/>
        <v>0</v>
      </c>
      <c r="AJ144" s="692">
        <f t="shared" si="38"/>
        <v>0</v>
      </c>
      <c r="AL144" s="38">
        <f t="shared" si="39"/>
        <v>0</v>
      </c>
      <c r="AM144" s="123" t="s">
        <v>481</v>
      </c>
    </row>
    <row r="145" spans="1:39" s="232" customFormat="1">
      <c r="A145" s="283"/>
      <c r="B145" s="283" t="s">
        <v>109</v>
      </c>
      <c r="C145" s="667" t="s">
        <v>555</v>
      </c>
      <c r="D145" s="123" t="s">
        <v>248</v>
      </c>
      <c r="E145" s="679"/>
      <c r="F145" s="529">
        <f>VLOOKUP(D145,'Dec13 Revenue'!D:V,19,FALSE)</f>
        <v>0</v>
      </c>
      <c r="G145" s="680"/>
      <c r="H145" s="680"/>
      <c r="I145" s="755"/>
      <c r="J145" s="682">
        <f>SUM(E145:I145)</f>
        <v>0</v>
      </c>
      <c r="K145" s="683"/>
      <c r="L145" s="684"/>
      <c r="M145" s="753"/>
      <c r="N145" s="683">
        <v>0</v>
      </c>
      <c r="O145" s="686"/>
      <c r="P145" s="683">
        <v>0</v>
      </c>
      <c r="Q145" s="687">
        <f t="shared" si="1"/>
        <v>0</v>
      </c>
      <c r="R145" s="687"/>
      <c r="S145" s="687"/>
      <c r="T145" s="688">
        <v>0</v>
      </c>
      <c r="U145" s="693"/>
      <c r="V145" s="690">
        <f t="shared" si="31"/>
        <v>0</v>
      </c>
      <c r="W145" s="683"/>
      <c r="X145" s="474">
        <f t="shared" si="32"/>
        <v>0</v>
      </c>
      <c r="Y145" s="474">
        <f t="shared" si="33"/>
        <v>0</v>
      </c>
      <c r="Z145" s="475">
        <f t="shared" si="34"/>
        <v>0</v>
      </c>
      <c r="AA145" s="475">
        <v>0</v>
      </c>
      <c r="AB145" s="476">
        <v>0</v>
      </c>
      <c r="AC145" s="38">
        <f t="shared" si="35"/>
        <v>0</v>
      </c>
      <c r="AD145" s="692">
        <f t="shared" si="28"/>
        <v>0</v>
      </c>
      <c r="AE145" s="692">
        <f t="shared" si="29"/>
        <v>0</v>
      </c>
      <c r="AF145" s="692">
        <f t="shared" si="30"/>
        <v>0</v>
      </c>
      <c r="AG145" s="38"/>
      <c r="AH145" s="692">
        <f t="shared" si="36"/>
        <v>0</v>
      </c>
      <c r="AI145" s="692">
        <f t="shared" si="37"/>
        <v>0</v>
      </c>
      <c r="AJ145" s="692">
        <f t="shared" si="38"/>
        <v>0</v>
      </c>
      <c r="AL145" s="38">
        <f t="shared" si="39"/>
        <v>0</v>
      </c>
      <c r="AM145" s="123" t="s">
        <v>248</v>
      </c>
    </row>
    <row r="146" spans="1:39" s="232" customFormat="1">
      <c r="A146" s="283"/>
      <c r="B146" s="20" t="s">
        <v>109</v>
      </c>
      <c r="C146" s="667"/>
      <c r="D146" s="68" t="s">
        <v>465</v>
      </c>
      <c r="E146" s="679"/>
      <c r="F146" s="529">
        <f>VLOOKUP(D146,'Dec13 Revenue'!D:V,19,FALSE)</f>
        <v>-25000</v>
      </c>
      <c r="G146" s="680"/>
      <c r="H146" s="680"/>
      <c r="I146" s="755"/>
      <c r="J146" s="682">
        <f t="shared" si="27"/>
        <v>-25000</v>
      </c>
      <c r="K146" s="683"/>
      <c r="L146" s="684"/>
      <c r="M146" s="753">
        <v>30000</v>
      </c>
      <c r="N146" s="683">
        <v>0</v>
      </c>
      <c r="O146" s="686"/>
      <c r="P146" s="683">
        <v>0</v>
      </c>
      <c r="Q146" s="687">
        <f t="shared" si="1"/>
        <v>30000</v>
      </c>
      <c r="R146" s="687"/>
      <c r="S146" s="687"/>
      <c r="T146" s="688">
        <v>0</v>
      </c>
      <c r="U146" s="693"/>
      <c r="V146" s="690">
        <f t="shared" si="31"/>
        <v>-30000</v>
      </c>
      <c r="W146" s="683"/>
      <c r="X146" s="474">
        <f t="shared" si="32"/>
        <v>0</v>
      </c>
      <c r="Y146" s="474">
        <f t="shared" si="33"/>
        <v>30000</v>
      </c>
      <c r="Z146" s="475">
        <f t="shared" si="34"/>
        <v>0</v>
      </c>
      <c r="AA146" s="475">
        <v>0</v>
      </c>
      <c r="AB146" s="476">
        <v>0</v>
      </c>
      <c r="AC146" s="38">
        <f t="shared" si="35"/>
        <v>0</v>
      </c>
      <c r="AD146" s="692">
        <f t="shared" si="28"/>
        <v>0</v>
      </c>
      <c r="AE146" s="692">
        <f t="shared" si="29"/>
        <v>-25000</v>
      </c>
      <c r="AF146" s="692">
        <f t="shared" si="30"/>
        <v>0</v>
      </c>
      <c r="AG146" s="38"/>
      <c r="AH146" s="692">
        <f t="shared" si="36"/>
        <v>0</v>
      </c>
      <c r="AI146" s="692">
        <f t="shared" si="37"/>
        <v>30000</v>
      </c>
      <c r="AJ146" s="692">
        <f t="shared" si="38"/>
        <v>0</v>
      </c>
      <c r="AL146" s="38">
        <f t="shared" si="39"/>
        <v>5000</v>
      </c>
      <c r="AM146" s="68" t="s">
        <v>465</v>
      </c>
    </row>
    <row r="147" spans="1:39">
      <c r="A147" s="21"/>
      <c r="B147" s="21" t="s">
        <v>110</v>
      </c>
      <c r="C147" s="666" t="s">
        <v>556</v>
      </c>
      <c r="D147" s="68" t="s">
        <v>261</v>
      </c>
      <c r="E147" s="679"/>
      <c r="F147" s="529">
        <f>VLOOKUP(D147,'Dec13 Revenue'!D:V,19,FALSE)</f>
        <v>60792.109999999986</v>
      </c>
      <c r="G147" s="680"/>
      <c r="H147" s="680"/>
      <c r="I147" s="755"/>
      <c r="J147" s="682">
        <f t="shared" si="27"/>
        <v>60792.109999999986</v>
      </c>
      <c r="K147" s="683"/>
      <c r="L147" s="684"/>
      <c r="M147" s="753">
        <v>285000</v>
      </c>
      <c r="N147" s="683">
        <v>0</v>
      </c>
      <c r="O147" s="686"/>
      <c r="P147" s="683">
        <v>0</v>
      </c>
      <c r="Q147" s="687">
        <f t="shared" si="1"/>
        <v>285000</v>
      </c>
      <c r="R147" s="687"/>
      <c r="S147" s="687"/>
      <c r="T147" s="688">
        <f>333288.11-T148</f>
        <v>316587.14</v>
      </c>
      <c r="U147" s="693"/>
      <c r="V147" s="690">
        <f t="shared" si="31"/>
        <v>31587.140000000014</v>
      </c>
      <c r="W147" s="683"/>
      <c r="X147" s="474">
        <f t="shared" si="32"/>
        <v>285000</v>
      </c>
      <c r="Y147" s="474">
        <f t="shared" si="33"/>
        <v>0</v>
      </c>
      <c r="Z147" s="475">
        <f t="shared" si="34"/>
        <v>0</v>
      </c>
      <c r="AA147" s="475">
        <v>0</v>
      </c>
      <c r="AB147" s="476">
        <v>0</v>
      </c>
      <c r="AC147" s="38">
        <f t="shared" si="35"/>
        <v>0</v>
      </c>
      <c r="AD147" s="692">
        <f t="shared" si="28"/>
        <v>60792.109999999986</v>
      </c>
      <c r="AE147" s="692">
        <f t="shared" si="29"/>
        <v>0</v>
      </c>
      <c r="AF147" s="692">
        <f t="shared" si="30"/>
        <v>0</v>
      </c>
      <c r="AG147" s="38"/>
      <c r="AH147" s="692">
        <f t="shared" si="36"/>
        <v>285000</v>
      </c>
      <c r="AI147" s="692">
        <f t="shared" si="37"/>
        <v>0</v>
      </c>
      <c r="AJ147" s="692">
        <f t="shared" si="38"/>
        <v>0</v>
      </c>
      <c r="AL147" s="38">
        <f t="shared" si="39"/>
        <v>345792.11</v>
      </c>
      <c r="AM147" s="68" t="s">
        <v>261</v>
      </c>
    </row>
    <row r="148" spans="1:39" s="269" customFormat="1">
      <c r="A148" s="21"/>
      <c r="B148" s="21" t="s">
        <v>110</v>
      </c>
      <c r="C148" s="666" t="s">
        <v>556</v>
      </c>
      <c r="D148" s="68" t="s">
        <v>262</v>
      </c>
      <c r="E148" s="679"/>
      <c r="F148" s="529">
        <f>VLOOKUP(D148,'Dec13 Revenue'!D:V,19,FALSE)</f>
        <v>-1538.4199999999983</v>
      </c>
      <c r="G148" s="680"/>
      <c r="H148" s="680"/>
      <c r="I148" s="755"/>
      <c r="J148" s="682">
        <f t="shared" si="27"/>
        <v>-1538.4199999999983</v>
      </c>
      <c r="K148" s="683"/>
      <c r="L148" s="684"/>
      <c r="M148" s="753">
        <v>15000</v>
      </c>
      <c r="N148" s="683">
        <v>0</v>
      </c>
      <c r="O148" s="686"/>
      <c r="P148" s="683">
        <v>0</v>
      </c>
      <c r="Q148" s="687">
        <f t="shared" si="1"/>
        <v>15000</v>
      </c>
      <c r="R148" s="687"/>
      <c r="S148" s="687"/>
      <c r="T148" s="688">
        <v>16700.97</v>
      </c>
      <c r="U148" s="693"/>
      <c r="V148" s="690">
        <f t="shared" si="31"/>
        <v>1700.9700000000012</v>
      </c>
      <c r="W148" s="683"/>
      <c r="X148" s="474">
        <f t="shared" si="32"/>
        <v>15000</v>
      </c>
      <c r="Y148" s="474">
        <f t="shared" si="33"/>
        <v>0</v>
      </c>
      <c r="Z148" s="475">
        <f t="shared" si="34"/>
        <v>0</v>
      </c>
      <c r="AA148" s="475">
        <v>0</v>
      </c>
      <c r="AB148" s="476">
        <v>0</v>
      </c>
      <c r="AC148" s="38">
        <f t="shared" si="35"/>
        <v>0</v>
      </c>
      <c r="AD148" s="692">
        <f t="shared" si="28"/>
        <v>-1538.4199999999983</v>
      </c>
      <c r="AE148" s="692">
        <f t="shared" si="29"/>
        <v>0</v>
      </c>
      <c r="AF148" s="692">
        <f t="shared" si="30"/>
        <v>0</v>
      </c>
      <c r="AG148" s="38"/>
      <c r="AH148" s="692">
        <f t="shared" si="36"/>
        <v>15000</v>
      </c>
      <c r="AI148" s="692">
        <f t="shared" si="37"/>
        <v>0</v>
      </c>
      <c r="AJ148" s="692">
        <f t="shared" si="38"/>
        <v>0</v>
      </c>
      <c r="AL148" s="38">
        <f t="shared" si="39"/>
        <v>13461.580000000002</v>
      </c>
      <c r="AM148" s="68" t="s">
        <v>262</v>
      </c>
    </row>
    <row r="149" spans="1:39" s="269" customFormat="1">
      <c r="A149" s="21"/>
      <c r="B149" s="21" t="s">
        <v>114</v>
      </c>
      <c r="C149" s="675" t="s">
        <v>619</v>
      </c>
      <c r="D149" s="68" t="s">
        <v>626</v>
      </c>
      <c r="E149" s="679"/>
      <c r="F149" s="529">
        <f>VLOOKUP(D149,'Dec13 Revenue'!D:V,19,FALSE)</f>
        <v>0</v>
      </c>
      <c r="G149" s="680"/>
      <c r="H149" s="680"/>
      <c r="I149" s="755"/>
      <c r="J149" s="682">
        <f t="shared" si="27"/>
        <v>0</v>
      </c>
      <c r="K149" s="683"/>
      <c r="L149" s="684"/>
      <c r="M149" s="753"/>
      <c r="N149" s="683">
        <v>0</v>
      </c>
      <c r="O149" s="686"/>
      <c r="P149" s="683">
        <v>0</v>
      </c>
      <c r="Q149" s="687">
        <f t="shared" ref="Q149:Q220" si="41">L149+M149</f>
        <v>0</v>
      </c>
      <c r="R149" s="687"/>
      <c r="S149" s="687"/>
      <c r="T149" s="688">
        <v>0</v>
      </c>
      <c r="U149" s="693"/>
      <c r="V149" s="690">
        <f t="shared" si="31"/>
        <v>0</v>
      </c>
      <c r="W149" s="683"/>
      <c r="X149" s="474">
        <f t="shared" si="32"/>
        <v>0</v>
      </c>
      <c r="Y149" s="474">
        <f t="shared" si="33"/>
        <v>0</v>
      </c>
      <c r="Z149" s="475">
        <f t="shared" si="34"/>
        <v>0</v>
      </c>
      <c r="AA149" s="475">
        <v>0</v>
      </c>
      <c r="AB149" s="476">
        <v>0</v>
      </c>
      <c r="AC149" s="38">
        <f t="shared" si="35"/>
        <v>0</v>
      </c>
      <c r="AD149" s="692">
        <f t="shared" si="28"/>
        <v>0</v>
      </c>
      <c r="AE149" s="692">
        <f t="shared" si="29"/>
        <v>0</v>
      </c>
      <c r="AF149" s="692">
        <f t="shared" si="30"/>
        <v>0</v>
      </c>
      <c r="AG149" s="38"/>
      <c r="AH149" s="692">
        <f t="shared" si="36"/>
        <v>0</v>
      </c>
      <c r="AI149" s="692">
        <f t="shared" si="37"/>
        <v>0</v>
      </c>
      <c r="AJ149" s="692">
        <f t="shared" si="38"/>
        <v>0</v>
      </c>
      <c r="AL149" s="38">
        <f t="shared" si="39"/>
        <v>0</v>
      </c>
      <c r="AM149" s="68" t="s">
        <v>626</v>
      </c>
    </row>
    <row r="150" spans="1:39">
      <c r="A150" s="21"/>
      <c r="B150" s="21" t="s">
        <v>109</v>
      </c>
      <c r="C150" s="666"/>
      <c r="D150" s="68" t="s">
        <v>396</v>
      </c>
      <c r="E150" s="679"/>
      <c r="F150" s="529">
        <f>VLOOKUP(D150,'Dec13 Revenue'!D:V,19,FALSE)</f>
        <v>0</v>
      </c>
      <c r="G150" s="680"/>
      <c r="H150" s="680"/>
      <c r="I150" s="755"/>
      <c r="J150" s="682">
        <f t="shared" si="27"/>
        <v>0</v>
      </c>
      <c r="K150" s="683"/>
      <c r="L150" s="684"/>
      <c r="M150" s="753"/>
      <c r="N150" s="683">
        <v>0</v>
      </c>
      <c r="O150" s="686"/>
      <c r="P150" s="683">
        <v>0</v>
      </c>
      <c r="Q150" s="687">
        <f t="shared" si="41"/>
        <v>0</v>
      </c>
      <c r="R150" s="687"/>
      <c r="S150" s="687"/>
      <c r="T150" s="688">
        <v>0</v>
      </c>
      <c r="U150" s="693"/>
      <c r="V150" s="690">
        <f t="shared" si="31"/>
        <v>0</v>
      </c>
      <c r="W150" s="683"/>
      <c r="X150" s="474">
        <f t="shared" si="32"/>
        <v>0</v>
      </c>
      <c r="Y150" s="474">
        <f t="shared" si="33"/>
        <v>0</v>
      </c>
      <c r="Z150" s="475">
        <f t="shared" si="34"/>
        <v>0</v>
      </c>
      <c r="AA150" s="475">
        <v>0</v>
      </c>
      <c r="AB150" s="476">
        <v>0</v>
      </c>
      <c r="AC150" s="38">
        <f t="shared" si="35"/>
        <v>0</v>
      </c>
      <c r="AD150" s="692">
        <f t="shared" si="28"/>
        <v>0</v>
      </c>
      <c r="AE150" s="692">
        <f t="shared" si="29"/>
        <v>0</v>
      </c>
      <c r="AF150" s="692">
        <f t="shared" si="30"/>
        <v>0</v>
      </c>
      <c r="AG150" s="38"/>
      <c r="AH150" s="692">
        <f t="shared" si="36"/>
        <v>0</v>
      </c>
      <c r="AI150" s="692">
        <f t="shared" si="37"/>
        <v>0</v>
      </c>
      <c r="AJ150" s="692">
        <f t="shared" si="38"/>
        <v>0</v>
      </c>
      <c r="AL150" s="38">
        <f t="shared" si="39"/>
        <v>0</v>
      </c>
      <c r="AM150" s="68" t="s">
        <v>396</v>
      </c>
    </row>
    <row r="151" spans="1:39">
      <c r="A151" s="20"/>
      <c r="B151" s="20" t="s">
        <v>109</v>
      </c>
      <c r="C151" s="667" t="s">
        <v>557</v>
      </c>
      <c r="D151" s="68" t="s">
        <v>32</v>
      </c>
      <c r="E151" s="679"/>
      <c r="F151" s="529">
        <f>VLOOKUP(D151,'Dec13 Revenue'!D:V,19,FALSE)</f>
        <v>284.67</v>
      </c>
      <c r="G151" s="680"/>
      <c r="H151" s="680"/>
      <c r="I151" s="755"/>
      <c r="J151" s="682">
        <f t="shared" si="27"/>
        <v>284.67</v>
      </c>
      <c r="K151" s="683"/>
      <c r="L151" s="684"/>
      <c r="M151" s="753"/>
      <c r="N151" s="683">
        <v>0</v>
      </c>
      <c r="O151" s="686"/>
      <c r="P151" s="683">
        <v>0</v>
      </c>
      <c r="Q151" s="687">
        <f t="shared" si="41"/>
        <v>0</v>
      </c>
      <c r="R151" s="687"/>
      <c r="S151" s="687"/>
      <c r="T151" s="688">
        <v>0</v>
      </c>
      <c r="U151" s="693"/>
      <c r="V151" s="690">
        <f t="shared" si="31"/>
        <v>0</v>
      </c>
      <c r="W151" s="683"/>
      <c r="X151" s="474">
        <f t="shared" si="32"/>
        <v>0</v>
      </c>
      <c r="Y151" s="474">
        <f t="shared" si="33"/>
        <v>0</v>
      </c>
      <c r="Z151" s="475">
        <f t="shared" si="34"/>
        <v>0</v>
      </c>
      <c r="AA151" s="475">
        <v>0</v>
      </c>
      <c r="AB151" s="476">
        <v>0</v>
      </c>
      <c r="AC151" s="38">
        <f t="shared" si="35"/>
        <v>0</v>
      </c>
      <c r="AD151" s="692">
        <f t="shared" si="28"/>
        <v>0</v>
      </c>
      <c r="AE151" s="692">
        <f t="shared" si="29"/>
        <v>284.67</v>
      </c>
      <c r="AF151" s="692">
        <f t="shared" si="30"/>
        <v>0</v>
      </c>
      <c r="AG151" s="38"/>
      <c r="AH151" s="692">
        <f t="shared" si="36"/>
        <v>0</v>
      </c>
      <c r="AI151" s="692">
        <f t="shared" si="37"/>
        <v>0</v>
      </c>
      <c r="AJ151" s="692">
        <f t="shared" si="38"/>
        <v>0</v>
      </c>
      <c r="AL151" s="38">
        <f t="shared" si="39"/>
        <v>284.67</v>
      </c>
      <c r="AM151" s="68" t="s">
        <v>32</v>
      </c>
    </row>
    <row r="152" spans="1:39">
      <c r="A152" s="21"/>
      <c r="B152" s="21" t="s">
        <v>110</v>
      </c>
      <c r="C152" s="666"/>
      <c r="D152" s="68" t="s">
        <v>448</v>
      </c>
      <c r="E152" s="679"/>
      <c r="F152" s="529">
        <f>VLOOKUP(D152,'Dec13 Revenue'!D:V,19,FALSE)</f>
        <v>0</v>
      </c>
      <c r="G152" s="680"/>
      <c r="H152" s="680"/>
      <c r="I152" s="755"/>
      <c r="J152" s="682">
        <f t="shared" si="27"/>
        <v>0</v>
      </c>
      <c r="K152" s="683"/>
      <c r="L152" s="684"/>
      <c r="M152" s="753"/>
      <c r="N152" s="683">
        <v>0</v>
      </c>
      <c r="O152" s="686"/>
      <c r="P152" s="683">
        <v>0</v>
      </c>
      <c r="Q152" s="687">
        <f t="shared" si="41"/>
        <v>0</v>
      </c>
      <c r="R152" s="687"/>
      <c r="S152" s="687"/>
      <c r="T152" s="688">
        <v>0</v>
      </c>
      <c r="U152" s="693"/>
      <c r="V152" s="690">
        <f t="shared" ref="V152:V215" si="42">IF(T152="","",T152-Q152)</f>
        <v>0</v>
      </c>
      <c r="W152" s="683"/>
      <c r="X152" s="474">
        <f t="shared" si="32"/>
        <v>0</v>
      </c>
      <c r="Y152" s="474">
        <f t="shared" si="33"/>
        <v>0</v>
      </c>
      <c r="Z152" s="475">
        <f t="shared" si="34"/>
        <v>0</v>
      </c>
      <c r="AA152" s="475">
        <v>0</v>
      </c>
      <c r="AB152" s="476">
        <v>0</v>
      </c>
      <c r="AC152" s="38">
        <f t="shared" si="35"/>
        <v>0</v>
      </c>
      <c r="AD152" s="692">
        <f t="shared" si="28"/>
        <v>0</v>
      </c>
      <c r="AE152" s="692">
        <f t="shared" si="29"/>
        <v>0</v>
      </c>
      <c r="AF152" s="692">
        <f t="shared" si="30"/>
        <v>0</v>
      </c>
      <c r="AG152" s="38"/>
      <c r="AH152" s="692">
        <f t="shared" si="36"/>
        <v>0</v>
      </c>
      <c r="AI152" s="692">
        <f t="shared" si="37"/>
        <v>0</v>
      </c>
      <c r="AJ152" s="692">
        <f t="shared" si="38"/>
        <v>0</v>
      </c>
      <c r="AL152" s="38">
        <f t="shared" si="39"/>
        <v>0</v>
      </c>
      <c r="AM152" s="68" t="s">
        <v>448</v>
      </c>
    </row>
    <row r="153" spans="1:39">
      <c r="A153" s="21"/>
      <c r="B153" s="21" t="s">
        <v>114</v>
      </c>
      <c r="C153" s="666"/>
      <c r="D153" s="68" t="s">
        <v>936</v>
      </c>
      <c r="E153" s="679"/>
      <c r="F153" s="529">
        <f>VLOOKUP(D153,'Dec13 Revenue'!D:V,19,FALSE)</f>
        <v>0</v>
      </c>
      <c r="G153" s="680"/>
      <c r="H153" s="680"/>
      <c r="I153" s="755"/>
      <c r="J153" s="682">
        <f t="shared" si="27"/>
        <v>0</v>
      </c>
      <c r="K153" s="683"/>
      <c r="L153" s="684"/>
      <c r="M153" s="753"/>
      <c r="N153" s="683">
        <v>0</v>
      </c>
      <c r="O153" s="686"/>
      <c r="P153" s="683">
        <v>0</v>
      </c>
      <c r="Q153" s="687">
        <f t="shared" si="41"/>
        <v>0</v>
      </c>
      <c r="R153" s="687"/>
      <c r="S153" s="687"/>
      <c r="T153" s="688">
        <v>0</v>
      </c>
      <c r="U153" s="693"/>
      <c r="V153" s="690">
        <f t="shared" si="42"/>
        <v>0</v>
      </c>
      <c r="W153" s="683"/>
      <c r="X153" s="474">
        <f t="shared" si="32"/>
        <v>0</v>
      </c>
      <c r="Y153" s="474">
        <f t="shared" si="33"/>
        <v>0</v>
      </c>
      <c r="Z153" s="475">
        <f t="shared" si="34"/>
        <v>0</v>
      </c>
      <c r="AA153" s="475">
        <v>0</v>
      </c>
      <c r="AB153" s="476">
        <v>0</v>
      </c>
      <c r="AC153" s="38">
        <f t="shared" si="35"/>
        <v>0</v>
      </c>
      <c r="AD153" s="692">
        <f t="shared" si="28"/>
        <v>0</v>
      </c>
      <c r="AE153" s="692">
        <f t="shared" si="29"/>
        <v>0</v>
      </c>
      <c r="AF153" s="692">
        <f t="shared" si="30"/>
        <v>0</v>
      </c>
      <c r="AG153" s="38"/>
      <c r="AH153" s="692">
        <f t="shared" si="36"/>
        <v>0</v>
      </c>
      <c r="AI153" s="692">
        <f t="shared" si="37"/>
        <v>0</v>
      </c>
      <c r="AJ153" s="692">
        <f t="shared" si="38"/>
        <v>0</v>
      </c>
      <c r="AL153" s="38">
        <f t="shared" si="39"/>
        <v>0</v>
      </c>
      <c r="AM153" s="68" t="s">
        <v>936</v>
      </c>
    </row>
    <row r="154" spans="1:39">
      <c r="A154" s="21"/>
      <c r="B154" s="21" t="s">
        <v>110</v>
      </c>
      <c r="C154" s="666"/>
      <c r="D154" s="68" t="s">
        <v>877</v>
      </c>
      <c r="E154" s="679"/>
      <c r="F154" s="529">
        <f>VLOOKUP(D154,'Dec13 Revenue'!D:V,19,FALSE)</f>
        <v>0</v>
      </c>
      <c r="G154" s="680"/>
      <c r="H154" s="680"/>
      <c r="I154" s="755"/>
      <c r="J154" s="682">
        <f t="shared" si="27"/>
        <v>0</v>
      </c>
      <c r="K154" s="683"/>
      <c r="L154" s="684"/>
      <c r="M154" s="753"/>
      <c r="N154" s="683">
        <v>0</v>
      </c>
      <c r="O154" s="686"/>
      <c r="P154" s="683">
        <v>0</v>
      </c>
      <c r="Q154" s="687">
        <f t="shared" si="41"/>
        <v>0</v>
      </c>
      <c r="R154" s="687"/>
      <c r="S154" s="687"/>
      <c r="T154" s="688">
        <v>0</v>
      </c>
      <c r="U154" s="693"/>
      <c r="V154" s="690">
        <f t="shared" si="42"/>
        <v>0</v>
      </c>
      <c r="W154" s="683"/>
      <c r="X154" s="474">
        <f t="shared" si="32"/>
        <v>0</v>
      </c>
      <c r="Y154" s="474">
        <f t="shared" si="33"/>
        <v>0</v>
      </c>
      <c r="Z154" s="475">
        <f t="shared" si="34"/>
        <v>0</v>
      </c>
      <c r="AA154" s="475">
        <v>0</v>
      </c>
      <c r="AB154" s="476">
        <v>0</v>
      </c>
      <c r="AC154" s="38">
        <f t="shared" si="35"/>
        <v>0</v>
      </c>
      <c r="AD154" s="692">
        <f t="shared" si="28"/>
        <v>0</v>
      </c>
      <c r="AE154" s="692">
        <f t="shared" si="29"/>
        <v>0</v>
      </c>
      <c r="AF154" s="692">
        <f t="shared" si="30"/>
        <v>0</v>
      </c>
      <c r="AG154" s="38"/>
      <c r="AH154" s="692">
        <f t="shared" si="36"/>
        <v>0</v>
      </c>
      <c r="AI154" s="692">
        <f t="shared" si="37"/>
        <v>0</v>
      </c>
      <c r="AJ154" s="692">
        <f t="shared" si="38"/>
        <v>0</v>
      </c>
      <c r="AL154" s="38">
        <f t="shared" si="39"/>
        <v>0</v>
      </c>
      <c r="AM154" s="68" t="s">
        <v>877</v>
      </c>
    </row>
    <row r="155" spans="1:39">
      <c r="A155" s="21"/>
      <c r="B155" s="21" t="s">
        <v>110</v>
      </c>
      <c r="C155" s="666" t="s">
        <v>558</v>
      </c>
      <c r="D155" s="68" t="s">
        <v>122</v>
      </c>
      <c r="E155" s="679"/>
      <c r="F155" s="529">
        <f>VLOOKUP(D155,'Dec13 Revenue'!D:V,19,FALSE)</f>
        <v>2863.97</v>
      </c>
      <c r="G155" s="680"/>
      <c r="H155" s="680"/>
      <c r="I155" s="755"/>
      <c r="J155" s="682">
        <f t="shared" si="27"/>
        <v>2863.97</v>
      </c>
      <c r="K155" s="683"/>
      <c r="L155" s="684"/>
      <c r="M155" s="753"/>
      <c r="N155" s="683">
        <v>0</v>
      </c>
      <c r="O155" s="686"/>
      <c r="P155" s="683">
        <v>0</v>
      </c>
      <c r="Q155" s="687">
        <f t="shared" si="41"/>
        <v>0</v>
      </c>
      <c r="R155" s="687"/>
      <c r="S155" s="687"/>
      <c r="T155" s="688">
        <v>0</v>
      </c>
      <c r="U155" s="693"/>
      <c r="V155" s="690">
        <f t="shared" si="42"/>
        <v>0</v>
      </c>
      <c r="W155" s="683"/>
      <c r="X155" s="474">
        <f t="shared" si="32"/>
        <v>0</v>
      </c>
      <c r="Y155" s="474">
        <f t="shared" si="33"/>
        <v>0</v>
      </c>
      <c r="Z155" s="475">
        <f t="shared" si="34"/>
        <v>0</v>
      </c>
      <c r="AA155" s="475">
        <v>0</v>
      </c>
      <c r="AB155" s="476">
        <v>0</v>
      </c>
      <c r="AC155" s="38">
        <f t="shared" si="35"/>
        <v>0</v>
      </c>
      <c r="AD155" s="692">
        <f t="shared" si="28"/>
        <v>2863.97</v>
      </c>
      <c r="AE155" s="692">
        <f t="shared" si="29"/>
        <v>0</v>
      </c>
      <c r="AF155" s="692">
        <f t="shared" si="30"/>
        <v>0</v>
      </c>
      <c r="AG155" s="38"/>
      <c r="AH155" s="692">
        <f t="shared" si="36"/>
        <v>0</v>
      </c>
      <c r="AI155" s="692">
        <f t="shared" si="37"/>
        <v>0</v>
      </c>
      <c r="AJ155" s="692">
        <f t="shared" si="38"/>
        <v>0</v>
      </c>
      <c r="AL155" s="38">
        <f t="shared" si="39"/>
        <v>2863.97</v>
      </c>
      <c r="AM155" s="68" t="s">
        <v>122</v>
      </c>
    </row>
    <row r="156" spans="1:39">
      <c r="A156" s="21"/>
      <c r="B156" s="21" t="s">
        <v>114</v>
      </c>
      <c r="C156" s="666" t="s">
        <v>558</v>
      </c>
      <c r="D156" s="68" t="s">
        <v>629</v>
      </c>
      <c r="E156" s="679"/>
      <c r="F156" s="529">
        <f>VLOOKUP(D156,'Dec13 Revenue'!D:V,19,FALSE)</f>
        <v>135.77000000000001</v>
      </c>
      <c r="G156" s="680"/>
      <c r="H156" s="680"/>
      <c r="I156" s="755"/>
      <c r="J156" s="682">
        <f t="shared" ref="J156:J224" si="43">SUM(E156:I156)</f>
        <v>135.77000000000001</v>
      </c>
      <c r="K156" s="683"/>
      <c r="L156" s="684"/>
      <c r="M156" s="753"/>
      <c r="N156" s="683">
        <v>0</v>
      </c>
      <c r="O156" s="686"/>
      <c r="P156" s="683">
        <v>0</v>
      </c>
      <c r="Q156" s="687">
        <f t="shared" si="41"/>
        <v>0</v>
      </c>
      <c r="R156" s="687"/>
      <c r="S156" s="687"/>
      <c r="T156" s="688">
        <v>0</v>
      </c>
      <c r="U156" s="693"/>
      <c r="V156" s="690">
        <f t="shared" si="42"/>
        <v>0</v>
      </c>
      <c r="W156" s="683"/>
      <c r="X156" s="474">
        <f t="shared" si="32"/>
        <v>0</v>
      </c>
      <c r="Y156" s="474">
        <f t="shared" si="33"/>
        <v>0</v>
      </c>
      <c r="Z156" s="475">
        <f t="shared" si="34"/>
        <v>0</v>
      </c>
      <c r="AA156" s="475">
        <v>0</v>
      </c>
      <c r="AB156" s="476">
        <v>0</v>
      </c>
      <c r="AC156" s="38">
        <f t="shared" si="35"/>
        <v>0</v>
      </c>
      <c r="AD156" s="692">
        <f t="shared" ref="AD156:AD224" si="44">IF(B156="D",J156,0)</f>
        <v>0</v>
      </c>
      <c r="AE156" s="692">
        <f t="shared" ref="AE156:AE224" si="45">IF(B156="M",J156,0)</f>
        <v>0</v>
      </c>
      <c r="AF156" s="692">
        <f t="shared" ref="AF156:AF224" si="46">IF(B156="V",J156,0)</f>
        <v>135.77000000000001</v>
      </c>
      <c r="AG156" s="38"/>
      <c r="AH156" s="692">
        <f t="shared" si="36"/>
        <v>0</v>
      </c>
      <c r="AI156" s="692">
        <f t="shared" si="37"/>
        <v>0</v>
      </c>
      <c r="AJ156" s="692">
        <f t="shared" si="38"/>
        <v>0</v>
      </c>
      <c r="AL156" s="38">
        <f t="shared" ref="AL156:AL224" si="47">SUM(AD156:AJ156)</f>
        <v>135.77000000000001</v>
      </c>
      <c r="AM156" s="68" t="s">
        <v>629</v>
      </c>
    </row>
    <row r="157" spans="1:39">
      <c r="A157" s="21"/>
      <c r="B157" s="21" t="s">
        <v>109</v>
      </c>
      <c r="C157" s="666" t="s">
        <v>559</v>
      </c>
      <c r="D157" s="68" t="s">
        <v>33</v>
      </c>
      <c r="E157" s="679"/>
      <c r="F157" s="529">
        <f>VLOOKUP(D157,'Dec13 Revenue'!D:V,19,FALSE)</f>
        <v>0</v>
      </c>
      <c r="G157" s="680"/>
      <c r="H157" s="680"/>
      <c r="I157" s="755"/>
      <c r="J157" s="682">
        <f t="shared" si="43"/>
        <v>0</v>
      </c>
      <c r="K157" s="683"/>
      <c r="L157" s="684"/>
      <c r="M157" s="753"/>
      <c r="N157" s="683">
        <v>0</v>
      </c>
      <c r="O157" s="686"/>
      <c r="P157" s="683">
        <v>0</v>
      </c>
      <c r="Q157" s="687">
        <f t="shared" si="41"/>
        <v>0</v>
      </c>
      <c r="R157" s="687"/>
      <c r="S157" s="687"/>
      <c r="T157" s="688">
        <v>0</v>
      </c>
      <c r="U157" s="693"/>
      <c r="V157" s="690">
        <f t="shared" si="42"/>
        <v>0</v>
      </c>
      <c r="W157" s="683"/>
      <c r="X157" s="474">
        <f t="shared" si="32"/>
        <v>0</v>
      </c>
      <c r="Y157" s="474">
        <f t="shared" si="33"/>
        <v>0</v>
      </c>
      <c r="Z157" s="475">
        <f t="shared" si="34"/>
        <v>0</v>
      </c>
      <c r="AA157" s="475">
        <v>0</v>
      </c>
      <c r="AB157" s="476">
        <v>0</v>
      </c>
      <c r="AC157" s="38">
        <f t="shared" si="35"/>
        <v>0</v>
      </c>
      <c r="AD157" s="692">
        <f t="shared" si="44"/>
        <v>0</v>
      </c>
      <c r="AE157" s="692">
        <f t="shared" si="45"/>
        <v>0</v>
      </c>
      <c r="AF157" s="692">
        <f t="shared" si="46"/>
        <v>0</v>
      </c>
      <c r="AG157" s="38"/>
      <c r="AH157" s="692">
        <f t="shared" ref="AH157:AH225" si="48">IF(B157="D",Q157,0)</f>
        <v>0</v>
      </c>
      <c r="AI157" s="692">
        <f t="shared" ref="AI157:AI225" si="49">IF(B157="M",Q157,0)</f>
        <v>0</v>
      </c>
      <c r="AJ157" s="692">
        <f t="shared" ref="AJ157:AJ225" si="50">IF(B157="V",Q157,0)</f>
        <v>0</v>
      </c>
      <c r="AL157" s="38">
        <f t="shared" si="47"/>
        <v>0</v>
      </c>
      <c r="AM157" s="68" t="s">
        <v>33</v>
      </c>
    </row>
    <row r="158" spans="1:39">
      <c r="A158" s="21"/>
      <c r="B158" s="21" t="s">
        <v>109</v>
      </c>
      <c r="C158" s="666" t="s">
        <v>560</v>
      </c>
      <c r="D158" s="68" t="s">
        <v>379</v>
      </c>
      <c r="E158" s="679">
        <v>108.6</v>
      </c>
      <c r="F158" s="529">
        <f>VLOOKUP(D158,'Dec13 Revenue'!D:V,19,FALSE)</f>
        <v>0</v>
      </c>
      <c r="G158" s="680"/>
      <c r="H158" s="680"/>
      <c r="I158" s="755"/>
      <c r="J158" s="682">
        <f t="shared" si="43"/>
        <v>108.6</v>
      </c>
      <c r="K158" s="683"/>
      <c r="L158" s="684"/>
      <c r="M158" s="753"/>
      <c r="N158" s="683">
        <v>0</v>
      </c>
      <c r="O158" s="686"/>
      <c r="P158" s="683">
        <v>0</v>
      </c>
      <c r="Q158" s="687">
        <f t="shared" si="41"/>
        <v>0</v>
      </c>
      <c r="R158" s="687"/>
      <c r="S158" s="687"/>
      <c r="T158" s="688">
        <v>103.4</v>
      </c>
      <c r="U158" s="693"/>
      <c r="V158" s="690">
        <f t="shared" si="42"/>
        <v>103.4</v>
      </c>
      <c r="W158" s="683"/>
      <c r="X158" s="474">
        <f t="shared" ref="X158:X226" si="51">IF(B158="D",Q158,0)</f>
        <v>0</v>
      </c>
      <c r="Y158" s="474">
        <f t="shared" ref="Y158:Y226" si="52">IF(B158="M",Q158,0)</f>
        <v>0</v>
      </c>
      <c r="Z158" s="475">
        <f t="shared" ref="Z158:Z226" si="53">IF(B158="V",Q158,0)</f>
        <v>0</v>
      </c>
      <c r="AA158" s="475">
        <v>0</v>
      </c>
      <c r="AB158" s="476">
        <v>0</v>
      </c>
      <c r="AC158" s="38">
        <f t="shared" ref="AC158:AC226" si="54">(L158+M158)-(X158+Y158+Z158+AA158+AB158)</f>
        <v>0</v>
      </c>
      <c r="AD158" s="692">
        <f t="shared" si="44"/>
        <v>0</v>
      </c>
      <c r="AE158" s="692">
        <f t="shared" si="45"/>
        <v>108.6</v>
      </c>
      <c r="AF158" s="692">
        <f t="shared" si="46"/>
        <v>0</v>
      </c>
      <c r="AG158" s="38"/>
      <c r="AH158" s="692">
        <f t="shared" si="48"/>
        <v>0</v>
      </c>
      <c r="AI158" s="692">
        <f t="shared" si="49"/>
        <v>0</v>
      </c>
      <c r="AJ158" s="692">
        <f t="shared" si="50"/>
        <v>0</v>
      </c>
      <c r="AL158" s="38">
        <f t="shared" si="47"/>
        <v>108.6</v>
      </c>
      <c r="AM158" s="68" t="s">
        <v>379</v>
      </c>
    </row>
    <row r="159" spans="1:39" s="232" customFormat="1">
      <c r="A159" s="283"/>
      <c r="B159" s="283" t="s">
        <v>114</v>
      </c>
      <c r="C159" s="667"/>
      <c r="D159" s="567" t="s">
        <v>408</v>
      </c>
      <c r="E159" s="679"/>
      <c r="F159" s="529">
        <f>VLOOKUP(D159,'Dec13 Revenue'!D:V,19,FALSE)</f>
        <v>0</v>
      </c>
      <c r="G159" s="680"/>
      <c r="H159" s="680"/>
      <c r="I159" s="770">
        <v>17400</v>
      </c>
      <c r="J159" s="682">
        <f t="shared" si="43"/>
        <v>17400</v>
      </c>
      <c r="K159" s="683"/>
      <c r="L159" s="684"/>
      <c r="M159" s="753"/>
      <c r="N159" s="683">
        <v>0</v>
      </c>
      <c r="O159" s="686"/>
      <c r="P159" s="683">
        <v>0</v>
      </c>
      <c r="Q159" s="687">
        <f t="shared" si="41"/>
        <v>0</v>
      </c>
      <c r="R159" s="687"/>
      <c r="S159" s="687"/>
      <c r="T159" s="688">
        <v>0</v>
      </c>
      <c r="U159" s="693"/>
      <c r="V159" s="690">
        <f t="shared" si="42"/>
        <v>0</v>
      </c>
      <c r="W159" s="683"/>
      <c r="X159" s="474">
        <f t="shared" si="51"/>
        <v>0</v>
      </c>
      <c r="Y159" s="474">
        <f t="shared" si="52"/>
        <v>0</v>
      </c>
      <c r="Z159" s="475">
        <f t="shared" si="53"/>
        <v>0</v>
      </c>
      <c r="AA159" s="475">
        <v>0</v>
      </c>
      <c r="AB159" s="476">
        <v>0</v>
      </c>
      <c r="AC159" s="38">
        <f t="shared" si="54"/>
        <v>0</v>
      </c>
      <c r="AD159" s="692">
        <f t="shared" si="44"/>
        <v>0</v>
      </c>
      <c r="AE159" s="692">
        <f t="shared" si="45"/>
        <v>0</v>
      </c>
      <c r="AF159" s="692">
        <f t="shared" si="46"/>
        <v>17400</v>
      </c>
      <c r="AG159" s="38"/>
      <c r="AH159" s="692">
        <f t="shared" si="48"/>
        <v>0</v>
      </c>
      <c r="AI159" s="692">
        <f t="shared" si="49"/>
        <v>0</v>
      </c>
      <c r="AJ159" s="692">
        <f t="shared" si="50"/>
        <v>0</v>
      </c>
      <c r="AL159" s="38">
        <f t="shared" si="47"/>
        <v>17400</v>
      </c>
      <c r="AM159" s="567" t="s">
        <v>408</v>
      </c>
    </row>
    <row r="160" spans="1:39" s="232" customFormat="1">
      <c r="A160" s="283"/>
      <c r="B160" s="283" t="s">
        <v>110</v>
      </c>
      <c r="C160" s="667"/>
      <c r="D160" s="567" t="s">
        <v>1053</v>
      </c>
      <c r="E160" s="679"/>
      <c r="F160" s="529">
        <f>VLOOKUP(D160,'Dec13 Revenue'!D:V,19,FALSE)</f>
        <v>34925.800000000003</v>
      </c>
      <c r="G160" s="680"/>
      <c r="H160" s="680"/>
      <c r="I160" s="770">
        <v>30432.5</v>
      </c>
      <c r="J160" s="682">
        <f t="shared" si="43"/>
        <v>65358.3</v>
      </c>
      <c r="K160" s="683"/>
      <c r="L160" s="684"/>
      <c r="M160" s="753"/>
      <c r="N160" s="683">
        <v>0</v>
      </c>
      <c r="O160" s="686"/>
      <c r="P160" s="683">
        <v>0</v>
      </c>
      <c r="Q160" s="687">
        <f t="shared" si="41"/>
        <v>0</v>
      </c>
      <c r="R160" s="687"/>
      <c r="S160" s="687"/>
      <c r="T160" s="688">
        <v>0</v>
      </c>
      <c r="U160" s="693"/>
      <c r="V160" s="690">
        <f t="shared" si="42"/>
        <v>0</v>
      </c>
      <c r="W160" s="683"/>
      <c r="X160" s="474">
        <f t="shared" si="51"/>
        <v>0</v>
      </c>
      <c r="Y160" s="474">
        <f t="shared" si="52"/>
        <v>0</v>
      </c>
      <c r="Z160" s="475">
        <f t="shared" si="53"/>
        <v>0</v>
      </c>
      <c r="AA160" s="475">
        <v>0</v>
      </c>
      <c r="AB160" s="476">
        <v>0</v>
      </c>
      <c r="AC160" s="38">
        <f t="shared" si="54"/>
        <v>0</v>
      </c>
      <c r="AD160" s="692">
        <f t="shared" si="44"/>
        <v>65358.3</v>
      </c>
      <c r="AE160" s="692">
        <f t="shared" si="45"/>
        <v>0</v>
      </c>
      <c r="AF160" s="692">
        <f t="shared" si="46"/>
        <v>0</v>
      </c>
      <c r="AG160" s="38"/>
      <c r="AH160" s="692">
        <f t="shared" si="48"/>
        <v>0</v>
      </c>
      <c r="AI160" s="692">
        <f t="shared" si="49"/>
        <v>0</v>
      </c>
      <c r="AJ160" s="692">
        <f t="shared" si="50"/>
        <v>0</v>
      </c>
      <c r="AL160" s="38">
        <f t="shared" si="47"/>
        <v>65358.3</v>
      </c>
      <c r="AM160" s="567" t="s">
        <v>445</v>
      </c>
    </row>
    <row r="161" spans="1:39" s="232" customFormat="1">
      <c r="A161" s="283"/>
      <c r="B161" s="283" t="s">
        <v>109</v>
      </c>
      <c r="C161" s="667" t="s">
        <v>562</v>
      </c>
      <c r="D161" s="567" t="s">
        <v>480</v>
      </c>
      <c r="E161" s="679"/>
      <c r="F161" s="529">
        <f>VLOOKUP(D161,'Dec13 Revenue'!D:V,19,FALSE)</f>
        <v>0</v>
      </c>
      <c r="G161" s="680"/>
      <c r="H161" s="680"/>
      <c r="I161" s="770">
        <v>11824.43</v>
      </c>
      <c r="J161" s="682">
        <f t="shared" si="43"/>
        <v>11824.43</v>
      </c>
      <c r="K161" s="683"/>
      <c r="L161" s="684"/>
      <c r="M161" s="753"/>
      <c r="N161" s="683">
        <v>0</v>
      </c>
      <c r="O161" s="686"/>
      <c r="P161" s="683">
        <v>0</v>
      </c>
      <c r="Q161" s="687">
        <f t="shared" si="41"/>
        <v>0</v>
      </c>
      <c r="R161" s="687"/>
      <c r="S161" s="687"/>
      <c r="T161" s="688">
        <v>0</v>
      </c>
      <c r="U161" s="693"/>
      <c r="V161" s="690">
        <f t="shared" si="42"/>
        <v>0</v>
      </c>
      <c r="W161" s="683"/>
      <c r="X161" s="474">
        <f t="shared" si="51"/>
        <v>0</v>
      </c>
      <c r="Y161" s="474">
        <f t="shared" si="52"/>
        <v>0</v>
      </c>
      <c r="Z161" s="475">
        <f t="shared" si="53"/>
        <v>0</v>
      </c>
      <c r="AA161" s="475">
        <v>0</v>
      </c>
      <c r="AB161" s="476">
        <v>0</v>
      </c>
      <c r="AC161" s="38">
        <f t="shared" si="54"/>
        <v>0</v>
      </c>
      <c r="AD161" s="692">
        <f t="shared" si="44"/>
        <v>0</v>
      </c>
      <c r="AE161" s="692">
        <f t="shared" si="45"/>
        <v>11824.43</v>
      </c>
      <c r="AF161" s="692">
        <f t="shared" si="46"/>
        <v>0</v>
      </c>
      <c r="AG161" s="38"/>
      <c r="AH161" s="692">
        <f t="shared" si="48"/>
        <v>0</v>
      </c>
      <c r="AI161" s="692">
        <f t="shared" si="49"/>
        <v>0</v>
      </c>
      <c r="AJ161" s="692">
        <f t="shared" si="50"/>
        <v>0</v>
      </c>
      <c r="AL161" s="38">
        <f t="shared" si="47"/>
        <v>11824.43</v>
      </c>
      <c r="AM161" s="567" t="s">
        <v>480</v>
      </c>
    </row>
    <row r="162" spans="1:39" s="232" customFormat="1">
      <c r="A162" s="403"/>
      <c r="B162" s="403" t="s">
        <v>109</v>
      </c>
      <c r="C162" s="666" t="s">
        <v>563</v>
      </c>
      <c r="D162" s="807" t="s">
        <v>327</v>
      </c>
      <c r="E162" s="679"/>
      <c r="F162" s="529">
        <f>VLOOKUP(D162,'Dec13 Revenue'!D:V,19,FALSE)</f>
        <v>-7763.5500000000029</v>
      </c>
      <c r="G162" s="680"/>
      <c r="H162" s="680"/>
      <c r="I162" s="755"/>
      <c r="J162" s="682">
        <f t="shared" si="43"/>
        <v>-7763.5500000000029</v>
      </c>
      <c r="K162" s="683"/>
      <c r="L162" s="684"/>
      <c r="M162" s="753">
        <v>45000</v>
      </c>
      <c r="N162" s="683">
        <v>0</v>
      </c>
      <c r="O162" s="686"/>
      <c r="P162" s="683">
        <v>0</v>
      </c>
      <c r="Q162" s="687">
        <f t="shared" si="41"/>
        <v>45000</v>
      </c>
      <c r="R162" s="687"/>
      <c r="S162" s="687"/>
      <c r="T162" s="688">
        <v>0</v>
      </c>
      <c r="U162" s="693"/>
      <c r="V162" s="690">
        <f t="shared" si="42"/>
        <v>-45000</v>
      </c>
      <c r="W162" s="683"/>
      <c r="X162" s="474">
        <f t="shared" si="51"/>
        <v>0</v>
      </c>
      <c r="Y162" s="474">
        <f t="shared" si="52"/>
        <v>45000</v>
      </c>
      <c r="Z162" s="475">
        <f t="shared" si="53"/>
        <v>0</v>
      </c>
      <c r="AA162" s="475">
        <v>0</v>
      </c>
      <c r="AB162" s="476">
        <v>0</v>
      </c>
      <c r="AC162" s="38">
        <f t="shared" si="54"/>
        <v>0</v>
      </c>
      <c r="AD162" s="692">
        <f t="shared" si="44"/>
        <v>0</v>
      </c>
      <c r="AE162" s="692">
        <f t="shared" si="45"/>
        <v>-7763.5500000000029</v>
      </c>
      <c r="AF162" s="692">
        <f t="shared" si="46"/>
        <v>0</v>
      </c>
      <c r="AG162" s="38"/>
      <c r="AH162" s="692">
        <f t="shared" si="48"/>
        <v>0</v>
      </c>
      <c r="AI162" s="692">
        <f t="shared" si="49"/>
        <v>45000</v>
      </c>
      <c r="AJ162" s="692">
        <f t="shared" si="50"/>
        <v>0</v>
      </c>
      <c r="AL162" s="38">
        <f t="shared" si="47"/>
        <v>37236.449999999997</v>
      </c>
      <c r="AM162" s="807" t="s">
        <v>327</v>
      </c>
    </row>
    <row r="163" spans="1:39" s="232" customFormat="1">
      <c r="A163" s="403"/>
      <c r="B163" s="403" t="s">
        <v>110</v>
      </c>
      <c r="C163" s="666" t="s">
        <v>563</v>
      </c>
      <c r="D163" s="123" t="s">
        <v>637</v>
      </c>
      <c r="E163" s="679"/>
      <c r="F163" s="529">
        <f>VLOOKUP(D163,'Dec13 Revenue'!D:V,19,FALSE)</f>
        <v>0</v>
      </c>
      <c r="G163" s="680"/>
      <c r="H163" s="680"/>
      <c r="I163" s="755"/>
      <c r="J163" s="682">
        <f t="shared" si="43"/>
        <v>0</v>
      </c>
      <c r="K163" s="683"/>
      <c r="L163" s="684"/>
      <c r="M163" s="753"/>
      <c r="N163" s="683">
        <v>0</v>
      </c>
      <c r="O163" s="686"/>
      <c r="P163" s="683">
        <v>0</v>
      </c>
      <c r="Q163" s="687">
        <f t="shared" si="41"/>
        <v>0</v>
      </c>
      <c r="R163" s="687"/>
      <c r="S163" s="687"/>
      <c r="T163" s="688">
        <v>0</v>
      </c>
      <c r="U163" s="693"/>
      <c r="V163" s="690">
        <f t="shared" si="42"/>
        <v>0</v>
      </c>
      <c r="W163" s="683"/>
      <c r="X163" s="474">
        <f t="shared" si="51"/>
        <v>0</v>
      </c>
      <c r="Y163" s="474">
        <f t="shared" si="52"/>
        <v>0</v>
      </c>
      <c r="Z163" s="475">
        <f t="shared" si="53"/>
        <v>0</v>
      </c>
      <c r="AA163" s="475">
        <v>0</v>
      </c>
      <c r="AB163" s="476">
        <v>0</v>
      </c>
      <c r="AC163" s="38">
        <f t="shared" si="54"/>
        <v>0</v>
      </c>
      <c r="AD163" s="692">
        <f t="shared" si="44"/>
        <v>0</v>
      </c>
      <c r="AE163" s="692">
        <f t="shared" si="45"/>
        <v>0</v>
      </c>
      <c r="AF163" s="692">
        <f t="shared" si="46"/>
        <v>0</v>
      </c>
      <c r="AG163" s="38"/>
      <c r="AH163" s="692">
        <f t="shared" si="48"/>
        <v>0</v>
      </c>
      <c r="AI163" s="692">
        <f t="shared" si="49"/>
        <v>0</v>
      </c>
      <c r="AJ163" s="692">
        <f t="shared" si="50"/>
        <v>0</v>
      </c>
      <c r="AL163" s="38">
        <f t="shared" si="47"/>
        <v>0</v>
      </c>
      <c r="AM163" s="123" t="s">
        <v>637</v>
      </c>
    </row>
    <row r="164" spans="1:39">
      <c r="A164" s="21" t="s">
        <v>212</v>
      </c>
      <c r="B164" s="21" t="s">
        <v>110</v>
      </c>
      <c r="C164" s="666"/>
      <c r="D164" s="68" t="s">
        <v>232</v>
      </c>
      <c r="E164" s="679"/>
      <c r="F164" s="529">
        <f>VLOOKUP(D164,'Dec13 Revenue'!D:V,19,FALSE)</f>
        <v>-15000</v>
      </c>
      <c r="G164" s="680"/>
      <c r="H164" s="680"/>
      <c r="I164" s="755"/>
      <c r="J164" s="682">
        <f t="shared" si="43"/>
        <v>-15000</v>
      </c>
      <c r="K164" s="683"/>
      <c r="L164" s="684"/>
      <c r="M164" s="753">
        <v>20000</v>
      </c>
      <c r="N164" s="683">
        <v>0</v>
      </c>
      <c r="O164" s="686"/>
      <c r="P164" s="683">
        <v>0</v>
      </c>
      <c r="Q164" s="687">
        <f t="shared" si="41"/>
        <v>20000</v>
      </c>
      <c r="R164" s="687"/>
      <c r="S164" s="687"/>
      <c r="T164" s="688">
        <v>0</v>
      </c>
      <c r="U164" s="693"/>
      <c r="V164" s="690">
        <f t="shared" si="42"/>
        <v>-20000</v>
      </c>
      <c r="W164" s="683"/>
      <c r="X164" s="474">
        <f t="shared" si="51"/>
        <v>20000</v>
      </c>
      <c r="Y164" s="474">
        <f t="shared" si="52"/>
        <v>0</v>
      </c>
      <c r="Z164" s="475">
        <f t="shared" si="53"/>
        <v>0</v>
      </c>
      <c r="AA164" s="475">
        <v>0</v>
      </c>
      <c r="AB164" s="476">
        <v>0</v>
      </c>
      <c r="AC164" s="38">
        <f t="shared" si="54"/>
        <v>0</v>
      </c>
      <c r="AD164" s="692">
        <f t="shared" si="44"/>
        <v>-15000</v>
      </c>
      <c r="AE164" s="692">
        <f t="shared" si="45"/>
        <v>0</v>
      </c>
      <c r="AF164" s="692">
        <f t="shared" si="46"/>
        <v>0</v>
      </c>
      <c r="AG164" s="38"/>
      <c r="AH164" s="692">
        <f t="shared" si="48"/>
        <v>20000</v>
      </c>
      <c r="AI164" s="692">
        <f t="shared" si="49"/>
        <v>0</v>
      </c>
      <c r="AJ164" s="692">
        <f t="shared" si="50"/>
        <v>0</v>
      </c>
      <c r="AL164" s="38">
        <f t="shared" si="47"/>
        <v>5000</v>
      </c>
      <c r="AM164" s="68" t="s">
        <v>232</v>
      </c>
    </row>
    <row r="165" spans="1:39" hidden="1">
      <c r="A165" s="21"/>
      <c r="B165" s="21" t="s">
        <v>109</v>
      </c>
      <c r="C165" s="666" t="s">
        <v>564</v>
      </c>
      <c r="D165" s="68" t="s">
        <v>876</v>
      </c>
      <c r="E165" s="679"/>
      <c r="F165" s="529">
        <f>VLOOKUP(D165,'Dec13 Revenue'!D:V,19,FALSE)</f>
        <v>0</v>
      </c>
      <c r="G165" s="680"/>
      <c r="H165" s="680"/>
      <c r="I165" s="755"/>
      <c r="J165" s="682">
        <f t="shared" si="43"/>
        <v>0</v>
      </c>
      <c r="K165" s="683"/>
      <c r="L165" s="684"/>
      <c r="M165" s="753"/>
      <c r="N165" s="683">
        <v>0</v>
      </c>
      <c r="O165" s="686"/>
      <c r="P165" s="683">
        <v>0</v>
      </c>
      <c r="Q165" s="687">
        <f t="shared" si="41"/>
        <v>0</v>
      </c>
      <c r="R165" s="687"/>
      <c r="S165" s="687"/>
      <c r="T165" s="688">
        <v>0</v>
      </c>
      <c r="U165" s="693"/>
      <c r="V165" s="690">
        <f t="shared" si="42"/>
        <v>0</v>
      </c>
      <c r="W165" s="683"/>
      <c r="X165" s="474">
        <f t="shared" si="51"/>
        <v>0</v>
      </c>
      <c r="Y165" s="474">
        <f t="shared" si="52"/>
        <v>0</v>
      </c>
      <c r="Z165" s="475">
        <f t="shared" si="53"/>
        <v>0</v>
      </c>
      <c r="AA165" s="475">
        <v>0</v>
      </c>
      <c r="AB165" s="476">
        <v>0</v>
      </c>
      <c r="AC165" s="38">
        <f t="shared" si="54"/>
        <v>0</v>
      </c>
      <c r="AD165" s="692">
        <f t="shared" si="44"/>
        <v>0</v>
      </c>
      <c r="AE165" s="692">
        <f t="shared" si="45"/>
        <v>0</v>
      </c>
      <c r="AF165" s="692">
        <f t="shared" si="46"/>
        <v>0</v>
      </c>
      <c r="AG165" s="38"/>
      <c r="AH165" s="692">
        <f t="shared" si="48"/>
        <v>0</v>
      </c>
      <c r="AI165" s="692">
        <f t="shared" si="49"/>
        <v>0</v>
      </c>
      <c r="AJ165" s="692">
        <f t="shared" si="50"/>
        <v>0</v>
      </c>
      <c r="AL165" s="38">
        <f t="shared" si="47"/>
        <v>0</v>
      </c>
      <c r="AM165" s="68" t="s">
        <v>876</v>
      </c>
    </row>
    <row r="166" spans="1:39" hidden="1">
      <c r="A166" s="21"/>
      <c r="B166" s="21" t="s">
        <v>109</v>
      </c>
      <c r="C166" s="666" t="s">
        <v>564</v>
      </c>
      <c r="D166" s="68" t="s">
        <v>307</v>
      </c>
      <c r="E166" s="679"/>
      <c r="F166" s="529">
        <f>VLOOKUP(D166,'Dec13 Revenue'!D:V,19,FALSE)</f>
        <v>0</v>
      </c>
      <c r="G166" s="680"/>
      <c r="H166" s="680"/>
      <c r="I166" s="755"/>
      <c r="J166" s="682">
        <f t="shared" si="43"/>
        <v>0</v>
      </c>
      <c r="K166" s="683"/>
      <c r="L166" s="684"/>
      <c r="M166" s="753"/>
      <c r="N166" s="683">
        <v>0</v>
      </c>
      <c r="O166" s="686"/>
      <c r="P166" s="683">
        <v>0</v>
      </c>
      <c r="Q166" s="687">
        <f t="shared" si="41"/>
        <v>0</v>
      </c>
      <c r="R166" s="687"/>
      <c r="S166" s="687"/>
      <c r="T166" s="688">
        <v>0</v>
      </c>
      <c r="U166" s="693"/>
      <c r="V166" s="690">
        <f t="shared" si="42"/>
        <v>0</v>
      </c>
      <c r="W166" s="683"/>
      <c r="X166" s="474">
        <f t="shared" si="51"/>
        <v>0</v>
      </c>
      <c r="Y166" s="474">
        <f t="shared" si="52"/>
        <v>0</v>
      </c>
      <c r="Z166" s="475">
        <f t="shared" si="53"/>
        <v>0</v>
      </c>
      <c r="AA166" s="475">
        <v>0</v>
      </c>
      <c r="AB166" s="476">
        <v>0</v>
      </c>
      <c r="AC166" s="38">
        <f t="shared" si="54"/>
        <v>0</v>
      </c>
      <c r="AD166" s="692">
        <f t="shared" si="44"/>
        <v>0</v>
      </c>
      <c r="AE166" s="692">
        <f t="shared" si="45"/>
        <v>0</v>
      </c>
      <c r="AF166" s="692">
        <f t="shared" si="46"/>
        <v>0</v>
      </c>
      <c r="AG166" s="38"/>
      <c r="AH166" s="692">
        <f t="shared" si="48"/>
        <v>0</v>
      </c>
      <c r="AI166" s="692">
        <f t="shared" si="49"/>
        <v>0</v>
      </c>
      <c r="AJ166" s="692">
        <f t="shared" si="50"/>
        <v>0</v>
      </c>
      <c r="AL166" s="38">
        <f t="shared" si="47"/>
        <v>0</v>
      </c>
      <c r="AM166" s="68" t="s">
        <v>307</v>
      </c>
    </row>
    <row r="167" spans="1:39">
      <c r="A167" s="21"/>
      <c r="B167" s="21" t="s">
        <v>109</v>
      </c>
      <c r="C167" s="666" t="s">
        <v>565</v>
      </c>
      <c r="D167" s="68" t="s">
        <v>485</v>
      </c>
      <c r="E167" s="679"/>
      <c r="F167" s="529">
        <f>VLOOKUP(D167,'Dec13 Revenue'!D:V,19,FALSE)</f>
        <v>34523.850000000006</v>
      </c>
      <c r="G167" s="680"/>
      <c r="H167" s="680"/>
      <c r="I167" s="755"/>
      <c r="J167" s="682">
        <f t="shared" si="43"/>
        <v>34523.850000000006</v>
      </c>
      <c r="K167" s="683"/>
      <c r="L167" s="684"/>
      <c r="M167" s="753">
        <v>70000</v>
      </c>
      <c r="N167" s="683"/>
      <c r="O167" s="686"/>
      <c r="P167" s="683"/>
      <c r="Q167" s="687">
        <f t="shared" si="41"/>
        <v>70000</v>
      </c>
      <c r="R167" s="687"/>
      <c r="S167" s="687"/>
      <c r="T167" s="749">
        <f>3266.99+2224.19+8931.77+1892.4+13759.15+10816.99+11377+1137.59+382.61+1456.13+65198.23</f>
        <v>120443.04999999999</v>
      </c>
      <c r="U167" s="693"/>
      <c r="V167" s="690">
        <f t="shared" si="42"/>
        <v>50443.049999999988</v>
      </c>
      <c r="W167" s="683"/>
      <c r="X167" s="474">
        <f t="shared" si="51"/>
        <v>0</v>
      </c>
      <c r="Y167" s="474">
        <f t="shared" si="52"/>
        <v>70000</v>
      </c>
      <c r="Z167" s="475">
        <f t="shared" si="53"/>
        <v>0</v>
      </c>
      <c r="AA167" s="475">
        <v>0</v>
      </c>
      <c r="AB167" s="476">
        <v>0</v>
      </c>
      <c r="AC167" s="38">
        <f t="shared" si="54"/>
        <v>0</v>
      </c>
      <c r="AD167" s="692">
        <f t="shared" si="44"/>
        <v>0</v>
      </c>
      <c r="AE167" s="692">
        <f t="shared" si="45"/>
        <v>34523.850000000006</v>
      </c>
      <c r="AF167" s="692">
        <f t="shared" si="46"/>
        <v>0</v>
      </c>
      <c r="AG167" s="38"/>
      <c r="AH167" s="692">
        <f t="shared" si="48"/>
        <v>0</v>
      </c>
      <c r="AI167" s="692">
        <f t="shared" si="49"/>
        <v>70000</v>
      </c>
      <c r="AJ167" s="692">
        <f t="shared" si="50"/>
        <v>0</v>
      </c>
      <c r="AL167" s="38">
        <f t="shared" si="47"/>
        <v>104523.85</v>
      </c>
      <c r="AM167" s="68" t="s">
        <v>485</v>
      </c>
    </row>
    <row r="168" spans="1:39" s="232" customFormat="1">
      <c r="A168" s="403"/>
      <c r="B168" s="403" t="s">
        <v>109</v>
      </c>
      <c r="C168" s="666"/>
      <c r="D168" s="123" t="s">
        <v>220</v>
      </c>
      <c r="E168" s="679"/>
      <c r="F168" s="529">
        <f>VLOOKUP(D168,'Dec13 Revenue'!D:V,19,FALSE)</f>
        <v>0</v>
      </c>
      <c r="G168" s="680"/>
      <c r="H168" s="680"/>
      <c r="I168" s="755"/>
      <c r="J168" s="682">
        <f t="shared" si="43"/>
        <v>0</v>
      </c>
      <c r="K168" s="683"/>
      <c r="L168" s="684"/>
      <c r="M168" s="753"/>
      <c r="N168" s="683">
        <v>0</v>
      </c>
      <c r="O168" s="686"/>
      <c r="P168" s="683">
        <v>0</v>
      </c>
      <c r="Q168" s="687">
        <f t="shared" si="41"/>
        <v>0</v>
      </c>
      <c r="R168" s="687"/>
      <c r="S168" s="687"/>
      <c r="T168" s="688">
        <v>0</v>
      </c>
      <c r="U168" s="693"/>
      <c r="V168" s="690">
        <f t="shared" si="42"/>
        <v>0</v>
      </c>
      <c r="W168" s="683"/>
      <c r="X168" s="474">
        <f t="shared" si="51"/>
        <v>0</v>
      </c>
      <c r="Y168" s="474">
        <f t="shared" si="52"/>
        <v>0</v>
      </c>
      <c r="Z168" s="475">
        <f t="shared" si="53"/>
        <v>0</v>
      </c>
      <c r="AA168" s="475">
        <v>0</v>
      </c>
      <c r="AB168" s="476">
        <v>0</v>
      </c>
      <c r="AC168" s="38">
        <f t="shared" si="54"/>
        <v>0</v>
      </c>
      <c r="AD168" s="692">
        <f t="shared" si="44"/>
        <v>0</v>
      </c>
      <c r="AE168" s="692">
        <f t="shared" si="45"/>
        <v>0</v>
      </c>
      <c r="AF168" s="692">
        <f t="shared" si="46"/>
        <v>0</v>
      </c>
      <c r="AG168" s="38"/>
      <c r="AH168" s="692">
        <f t="shared" si="48"/>
        <v>0</v>
      </c>
      <c r="AI168" s="692">
        <f t="shared" si="49"/>
        <v>0</v>
      </c>
      <c r="AJ168" s="692">
        <f t="shared" si="50"/>
        <v>0</v>
      </c>
      <c r="AL168" s="38">
        <f t="shared" si="47"/>
        <v>0</v>
      </c>
      <c r="AM168" s="123" t="s">
        <v>220</v>
      </c>
    </row>
    <row r="169" spans="1:39" s="24" customFormat="1">
      <c r="A169" s="472"/>
      <c r="B169" s="21" t="s">
        <v>110</v>
      </c>
      <c r="C169" s="666"/>
      <c r="D169" s="68" t="s">
        <v>1065</v>
      </c>
      <c r="E169" s="679"/>
      <c r="F169" s="529">
        <v>0</v>
      </c>
      <c r="G169" s="680"/>
      <c r="H169" s="680"/>
      <c r="I169" s="755"/>
      <c r="J169" s="682">
        <f t="shared" si="43"/>
        <v>0</v>
      </c>
      <c r="K169" s="698"/>
      <c r="L169" s="684"/>
      <c r="M169" s="753"/>
      <c r="N169" s="698">
        <v>0</v>
      </c>
      <c r="O169" s="686"/>
      <c r="P169" s="698">
        <v>0</v>
      </c>
      <c r="Q169" s="700">
        <f t="shared" si="41"/>
        <v>0</v>
      </c>
      <c r="R169" s="700"/>
      <c r="S169" s="700"/>
      <c r="T169" s="688">
        <v>53.6</v>
      </c>
      <c r="U169" s="701"/>
      <c r="V169" s="690">
        <f t="shared" si="42"/>
        <v>53.6</v>
      </c>
      <c r="W169" s="698"/>
      <c r="X169" s="474">
        <f t="shared" si="51"/>
        <v>0</v>
      </c>
      <c r="Y169" s="474">
        <f t="shared" si="52"/>
        <v>0</v>
      </c>
      <c r="Z169" s="475">
        <f t="shared" si="53"/>
        <v>0</v>
      </c>
      <c r="AA169" s="475">
        <v>0</v>
      </c>
      <c r="AB169" s="476">
        <v>0</v>
      </c>
      <c r="AC169" s="38">
        <f t="shared" si="54"/>
        <v>0</v>
      </c>
      <c r="AD169" s="692">
        <f t="shared" si="44"/>
        <v>0</v>
      </c>
      <c r="AE169" s="692">
        <f t="shared" si="45"/>
        <v>0</v>
      </c>
      <c r="AF169" s="692">
        <f t="shared" si="46"/>
        <v>0</v>
      </c>
      <c r="AG169" s="38"/>
      <c r="AH169" s="692">
        <f t="shared" si="48"/>
        <v>0</v>
      </c>
      <c r="AI169" s="692">
        <f t="shared" si="49"/>
        <v>0</v>
      </c>
      <c r="AJ169" s="692">
        <f t="shared" si="50"/>
        <v>0</v>
      </c>
      <c r="AL169" s="38">
        <f t="shared" si="47"/>
        <v>0</v>
      </c>
      <c r="AM169" s="68" t="s">
        <v>505</v>
      </c>
    </row>
    <row r="170" spans="1:39">
      <c r="A170" s="21"/>
      <c r="B170" s="21" t="s">
        <v>110</v>
      </c>
      <c r="C170" s="666"/>
      <c r="D170" s="68" t="s">
        <v>185</v>
      </c>
      <c r="E170" s="679"/>
      <c r="F170" s="529">
        <f>VLOOKUP(D170,'Dec13 Revenue'!D:V,19,FALSE)</f>
        <v>0</v>
      </c>
      <c r="G170" s="680"/>
      <c r="H170" s="680"/>
      <c r="I170" s="755"/>
      <c r="J170" s="682">
        <f t="shared" si="43"/>
        <v>0</v>
      </c>
      <c r="K170" s="683"/>
      <c r="L170" s="684"/>
      <c r="M170" s="753"/>
      <c r="N170" s="683">
        <v>0</v>
      </c>
      <c r="O170" s="686"/>
      <c r="P170" s="683">
        <v>0</v>
      </c>
      <c r="Q170" s="687">
        <f t="shared" si="41"/>
        <v>0</v>
      </c>
      <c r="R170" s="687"/>
      <c r="S170" s="687"/>
      <c r="T170" s="688">
        <v>0</v>
      </c>
      <c r="U170" s="693"/>
      <c r="V170" s="690">
        <f t="shared" si="42"/>
        <v>0</v>
      </c>
      <c r="W170" s="683"/>
      <c r="X170" s="474">
        <f t="shared" si="51"/>
        <v>0</v>
      </c>
      <c r="Y170" s="474">
        <f t="shared" si="52"/>
        <v>0</v>
      </c>
      <c r="Z170" s="475">
        <f t="shared" si="53"/>
        <v>0</v>
      </c>
      <c r="AA170" s="475">
        <v>0</v>
      </c>
      <c r="AB170" s="476">
        <v>0</v>
      </c>
      <c r="AC170" s="38">
        <f t="shared" si="54"/>
        <v>0</v>
      </c>
      <c r="AD170" s="692">
        <f t="shared" si="44"/>
        <v>0</v>
      </c>
      <c r="AE170" s="692">
        <f t="shared" si="45"/>
        <v>0</v>
      </c>
      <c r="AF170" s="692">
        <f t="shared" si="46"/>
        <v>0</v>
      </c>
      <c r="AG170" s="38"/>
      <c r="AH170" s="692">
        <f t="shared" si="48"/>
        <v>0</v>
      </c>
      <c r="AI170" s="692">
        <f t="shared" si="49"/>
        <v>0</v>
      </c>
      <c r="AJ170" s="692">
        <f t="shared" si="50"/>
        <v>0</v>
      </c>
      <c r="AL170" s="38">
        <f t="shared" si="47"/>
        <v>0</v>
      </c>
      <c r="AM170" s="68" t="s">
        <v>185</v>
      </c>
    </row>
    <row r="171" spans="1:39">
      <c r="A171" s="21"/>
      <c r="B171" s="21" t="s">
        <v>110</v>
      </c>
      <c r="C171" s="21"/>
      <c r="D171" s="68" t="s">
        <v>186</v>
      </c>
      <c r="E171" s="679"/>
      <c r="F171" s="529">
        <f>VLOOKUP(D171,'Dec13 Revenue'!D:V,19,FALSE)</f>
        <v>0</v>
      </c>
      <c r="G171" s="680"/>
      <c r="H171" s="680"/>
      <c r="I171" s="755"/>
      <c r="J171" s="682">
        <f t="shared" si="43"/>
        <v>0</v>
      </c>
      <c r="K171" s="683"/>
      <c r="L171" s="684"/>
      <c r="M171" s="753"/>
      <c r="N171" s="683">
        <v>0</v>
      </c>
      <c r="O171" s="686"/>
      <c r="P171" s="683">
        <v>0</v>
      </c>
      <c r="Q171" s="687">
        <f t="shared" si="41"/>
        <v>0</v>
      </c>
      <c r="R171" s="687"/>
      <c r="S171" s="687"/>
      <c r="T171" s="688">
        <v>0</v>
      </c>
      <c r="U171" s="693"/>
      <c r="V171" s="690">
        <f t="shared" si="42"/>
        <v>0</v>
      </c>
      <c r="W171" s="683"/>
      <c r="X171" s="474">
        <f t="shared" si="51"/>
        <v>0</v>
      </c>
      <c r="Y171" s="474">
        <f t="shared" si="52"/>
        <v>0</v>
      </c>
      <c r="Z171" s="475">
        <f t="shared" si="53"/>
        <v>0</v>
      </c>
      <c r="AA171" s="475">
        <v>0</v>
      </c>
      <c r="AB171" s="476">
        <v>0</v>
      </c>
      <c r="AC171" s="38">
        <f t="shared" si="54"/>
        <v>0</v>
      </c>
      <c r="AD171" s="692">
        <f t="shared" si="44"/>
        <v>0</v>
      </c>
      <c r="AE171" s="692">
        <f t="shared" si="45"/>
        <v>0</v>
      </c>
      <c r="AF171" s="692">
        <f t="shared" si="46"/>
        <v>0</v>
      </c>
      <c r="AG171" s="38"/>
      <c r="AH171" s="692">
        <f t="shared" si="48"/>
        <v>0</v>
      </c>
      <c r="AI171" s="692">
        <f t="shared" si="49"/>
        <v>0</v>
      </c>
      <c r="AJ171" s="692">
        <f t="shared" si="50"/>
        <v>0</v>
      </c>
      <c r="AL171" s="38">
        <f t="shared" si="47"/>
        <v>0</v>
      </c>
      <c r="AM171" s="68" t="s">
        <v>186</v>
      </c>
    </row>
    <row r="172" spans="1:39">
      <c r="A172" s="21"/>
      <c r="B172" s="21" t="s">
        <v>110</v>
      </c>
      <c r="C172" s="666"/>
      <c r="D172" s="68" t="s">
        <v>449</v>
      </c>
      <c r="E172" s="679"/>
      <c r="F172" s="529">
        <f>VLOOKUP(D172,'Dec13 Revenue'!D:V,19,FALSE)</f>
        <v>0</v>
      </c>
      <c r="G172" s="680"/>
      <c r="H172" s="680"/>
      <c r="I172" s="755"/>
      <c r="J172" s="682">
        <f t="shared" si="43"/>
        <v>0</v>
      </c>
      <c r="K172" s="683"/>
      <c r="L172" s="684"/>
      <c r="M172" s="753"/>
      <c r="N172" s="683">
        <v>0</v>
      </c>
      <c r="O172" s="686"/>
      <c r="P172" s="683">
        <v>0</v>
      </c>
      <c r="Q172" s="687">
        <f t="shared" si="41"/>
        <v>0</v>
      </c>
      <c r="R172" s="687"/>
      <c r="S172" s="687"/>
      <c r="T172" s="688">
        <v>0</v>
      </c>
      <c r="U172" s="693"/>
      <c r="V172" s="690">
        <f t="shared" si="42"/>
        <v>0</v>
      </c>
      <c r="W172" s="683"/>
      <c r="X172" s="474">
        <f t="shared" si="51"/>
        <v>0</v>
      </c>
      <c r="Y172" s="474">
        <f t="shared" si="52"/>
        <v>0</v>
      </c>
      <c r="Z172" s="475">
        <f t="shared" si="53"/>
        <v>0</v>
      </c>
      <c r="AA172" s="475">
        <v>0</v>
      </c>
      <c r="AB172" s="476">
        <v>0</v>
      </c>
      <c r="AC172" s="38">
        <f t="shared" si="54"/>
        <v>0</v>
      </c>
      <c r="AD172" s="692">
        <f t="shared" si="44"/>
        <v>0</v>
      </c>
      <c r="AE172" s="692">
        <f t="shared" si="45"/>
        <v>0</v>
      </c>
      <c r="AF172" s="692">
        <f t="shared" si="46"/>
        <v>0</v>
      </c>
      <c r="AG172" s="38"/>
      <c r="AH172" s="692">
        <f t="shared" si="48"/>
        <v>0</v>
      </c>
      <c r="AI172" s="692">
        <f t="shared" si="49"/>
        <v>0</v>
      </c>
      <c r="AJ172" s="692">
        <f t="shared" si="50"/>
        <v>0</v>
      </c>
      <c r="AL172" s="38">
        <f t="shared" si="47"/>
        <v>0</v>
      </c>
      <c r="AM172" s="68" t="s">
        <v>449</v>
      </c>
    </row>
    <row r="173" spans="1:39">
      <c r="A173" s="21"/>
      <c r="B173" s="21" t="s">
        <v>110</v>
      </c>
      <c r="C173" s="666" t="s">
        <v>566</v>
      </c>
      <c r="D173" s="68" t="s">
        <v>39</v>
      </c>
      <c r="E173" s="679"/>
      <c r="F173" s="529">
        <f>VLOOKUP(D173,'Dec13 Revenue'!D:V,19,FALSE)</f>
        <v>10909.82</v>
      </c>
      <c r="G173" s="680"/>
      <c r="H173" s="680"/>
      <c r="I173" s="755"/>
      <c r="J173" s="682">
        <f t="shared" si="43"/>
        <v>10909.82</v>
      </c>
      <c r="K173" s="683"/>
      <c r="L173" s="684"/>
      <c r="M173" s="753">
        <v>5000</v>
      </c>
      <c r="N173" s="683">
        <v>0</v>
      </c>
      <c r="O173" s="686"/>
      <c r="P173" s="683">
        <v>0</v>
      </c>
      <c r="Q173" s="687">
        <f t="shared" si="41"/>
        <v>5000</v>
      </c>
      <c r="R173" s="687"/>
      <c r="S173" s="687"/>
      <c r="T173" s="688">
        <v>8206.85</v>
      </c>
      <c r="U173" s="693"/>
      <c r="V173" s="690">
        <f t="shared" si="42"/>
        <v>3206.8500000000004</v>
      </c>
      <c r="W173" s="683"/>
      <c r="X173" s="474">
        <f t="shared" si="51"/>
        <v>5000</v>
      </c>
      <c r="Y173" s="474">
        <f t="shared" si="52"/>
        <v>0</v>
      </c>
      <c r="Z173" s="475">
        <f t="shared" si="53"/>
        <v>0</v>
      </c>
      <c r="AA173" s="475">
        <v>0</v>
      </c>
      <c r="AB173" s="476">
        <v>0</v>
      </c>
      <c r="AC173" s="38">
        <f t="shared" si="54"/>
        <v>0</v>
      </c>
      <c r="AD173" s="692">
        <f t="shared" si="44"/>
        <v>10909.82</v>
      </c>
      <c r="AE173" s="692">
        <f t="shared" si="45"/>
        <v>0</v>
      </c>
      <c r="AF173" s="692">
        <f t="shared" si="46"/>
        <v>0</v>
      </c>
      <c r="AG173" s="38"/>
      <c r="AH173" s="692">
        <f t="shared" si="48"/>
        <v>5000</v>
      </c>
      <c r="AI173" s="692">
        <f t="shared" si="49"/>
        <v>0</v>
      </c>
      <c r="AJ173" s="692">
        <f t="shared" si="50"/>
        <v>0</v>
      </c>
      <c r="AL173" s="38">
        <f t="shared" si="47"/>
        <v>15909.82</v>
      </c>
      <c r="AM173" s="68" t="s">
        <v>39</v>
      </c>
    </row>
    <row r="174" spans="1:39" s="232" customFormat="1">
      <c r="A174" s="403"/>
      <c r="B174" s="403" t="s">
        <v>109</v>
      </c>
      <c r="C174" s="666"/>
      <c r="D174" s="68" t="s">
        <v>1039</v>
      </c>
      <c r="E174" s="679"/>
      <c r="F174" s="529">
        <f>VLOOKUP(D174,'Dec13 Revenue'!D:V,19,FALSE)</f>
        <v>0</v>
      </c>
      <c r="G174" s="680"/>
      <c r="H174" s="680"/>
      <c r="I174" s="755"/>
      <c r="J174" s="682">
        <f t="shared" si="43"/>
        <v>0</v>
      </c>
      <c r="K174" s="683"/>
      <c r="L174" s="684"/>
      <c r="M174" s="753"/>
      <c r="N174" s="683">
        <v>0</v>
      </c>
      <c r="O174" s="686"/>
      <c r="P174" s="683">
        <v>0</v>
      </c>
      <c r="Q174" s="687">
        <f t="shared" si="41"/>
        <v>0</v>
      </c>
      <c r="R174" s="687"/>
      <c r="S174" s="687"/>
      <c r="T174" s="688">
        <v>0</v>
      </c>
      <c r="U174" s="693"/>
      <c r="V174" s="690">
        <f t="shared" si="42"/>
        <v>0</v>
      </c>
      <c r="W174" s="683"/>
      <c r="X174" s="474">
        <f t="shared" si="51"/>
        <v>0</v>
      </c>
      <c r="Y174" s="474">
        <f t="shared" si="52"/>
        <v>0</v>
      </c>
      <c r="Z174" s="475">
        <f t="shared" si="53"/>
        <v>0</v>
      </c>
      <c r="AA174" s="475">
        <v>0</v>
      </c>
      <c r="AB174" s="476">
        <v>0</v>
      </c>
      <c r="AC174" s="38">
        <f t="shared" si="54"/>
        <v>0</v>
      </c>
      <c r="AD174" s="692">
        <f t="shared" si="44"/>
        <v>0</v>
      </c>
      <c r="AE174" s="692">
        <f t="shared" si="45"/>
        <v>0</v>
      </c>
      <c r="AF174" s="692">
        <f t="shared" si="46"/>
        <v>0</v>
      </c>
      <c r="AG174" s="38"/>
      <c r="AH174" s="692">
        <f t="shared" si="48"/>
        <v>0</v>
      </c>
      <c r="AI174" s="692">
        <f t="shared" si="49"/>
        <v>0</v>
      </c>
      <c r="AJ174" s="692">
        <f t="shared" si="50"/>
        <v>0</v>
      </c>
      <c r="AL174" s="38">
        <f t="shared" si="47"/>
        <v>0</v>
      </c>
      <c r="AM174" s="123" t="s">
        <v>220</v>
      </c>
    </row>
    <row r="175" spans="1:39">
      <c r="A175" s="21"/>
      <c r="B175" s="21" t="s">
        <v>110</v>
      </c>
      <c r="C175" s="666" t="s">
        <v>567</v>
      </c>
      <c r="D175" s="68" t="s">
        <v>435</v>
      </c>
      <c r="E175" s="679"/>
      <c r="F175" s="529">
        <f>VLOOKUP(D175,'Dec13 Revenue'!D:V,19,FALSE)</f>
        <v>-1161.9900000000052</v>
      </c>
      <c r="G175" s="680"/>
      <c r="H175" s="680"/>
      <c r="I175" s="755"/>
      <c r="J175" s="682">
        <f t="shared" si="43"/>
        <v>-1161.9900000000052</v>
      </c>
      <c r="K175" s="683"/>
      <c r="L175" s="684"/>
      <c r="M175" s="753">
        <v>120000</v>
      </c>
      <c r="N175" s="683">
        <v>0</v>
      </c>
      <c r="O175" s="686"/>
      <c r="P175" s="683">
        <v>0</v>
      </c>
      <c r="Q175" s="687">
        <f t="shared" si="41"/>
        <v>120000</v>
      </c>
      <c r="R175" s="687"/>
      <c r="S175" s="687"/>
      <c r="T175" s="688">
        <v>117577.22</v>
      </c>
      <c r="U175" s="693"/>
      <c r="V175" s="690">
        <f t="shared" si="42"/>
        <v>-2422.7799999999988</v>
      </c>
      <c r="W175" s="683"/>
      <c r="X175" s="474">
        <f t="shared" si="51"/>
        <v>120000</v>
      </c>
      <c r="Y175" s="474">
        <f t="shared" si="52"/>
        <v>0</v>
      </c>
      <c r="Z175" s="475">
        <f t="shared" si="53"/>
        <v>0</v>
      </c>
      <c r="AA175" s="475">
        <v>0</v>
      </c>
      <c r="AB175" s="476">
        <v>0</v>
      </c>
      <c r="AC175" s="38">
        <f t="shared" si="54"/>
        <v>0</v>
      </c>
      <c r="AD175" s="692">
        <f t="shared" si="44"/>
        <v>-1161.9900000000052</v>
      </c>
      <c r="AE175" s="692">
        <f t="shared" si="45"/>
        <v>0</v>
      </c>
      <c r="AF175" s="692">
        <f t="shared" si="46"/>
        <v>0</v>
      </c>
      <c r="AG175" s="38"/>
      <c r="AH175" s="692">
        <f t="shared" si="48"/>
        <v>120000</v>
      </c>
      <c r="AI175" s="692">
        <f t="shared" si="49"/>
        <v>0</v>
      </c>
      <c r="AJ175" s="692">
        <f t="shared" si="50"/>
        <v>0</v>
      </c>
      <c r="AL175" s="38">
        <f t="shared" si="47"/>
        <v>118838.01</v>
      </c>
      <c r="AM175" s="68" t="s">
        <v>435</v>
      </c>
    </row>
    <row r="176" spans="1:39">
      <c r="A176" s="21"/>
      <c r="B176" s="21" t="s">
        <v>110</v>
      </c>
      <c r="C176" s="675" t="s">
        <v>584</v>
      </c>
      <c r="D176" s="806" t="s">
        <v>99</v>
      </c>
      <c r="E176" s="679">
        <v>9313.5400000000009</v>
      </c>
      <c r="F176" s="529">
        <f>VLOOKUP(D176,'Dec13 Revenue'!D:V,19,FALSE)</f>
        <v>-9542.34</v>
      </c>
      <c r="G176" s="680"/>
      <c r="H176" s="680"/>
      <c r="I176" s="755"/>
      <c r="J176" s="682">
        <f t="shared" si="43"/>
        <v>-228.79999999999927</v>
      </c>
      <c r="K176" s="683"/>
      <c r="L176" s="684"/>
      <c r="M176" s="753">
        <v>10000</v>
      </c>
      <c r="N176" s="683">
        <v>0</v>
      </c>
      <c r="O176" s="686"/>
      <c r="P176" s="683">
        <v>0</v>
      </c>
      <c r="Q176" s="687">
        <f t="shared" si="41"/>
        <v>10000</v>
      </c>
      <c r="R176" s="687"/>
      <c r="S176" s="687"/>
      <c r="T176" s="688">
        <v>0</v>
      </c>
      <c r="U176" s="693"/>
      <c r="V176" s="690">
        <f t="shared" si="42"/>
        <v>-10000</v>
      </c>
      <c r="W176" s="683"/>
      <c r="X176" s="474">
        <f t="shared" si="51"/>
        <v>10000</v>
      </c>
      <c r="Y176" s="474">
        <f t="shared" si="52"/>
        <v>0</v>
      </c>
      <c r="Z176" s="475">
        <f t="shared" si="53"/>
        <v>0</v>
      </c>
      <c r="AA176" s="475">
        <v>0</v>
      </c>
      <c r="AB176" s="476">
        <v>0</v>
      </c>
      <c r="AC176" s="38">
        <f t="shared" si="54"/>
        <v>0</v>
      </c>
      <c r="AD176" s="692">
        <f t="shared" si="44"/>
        <v>-228.79999999999927</v>
      </c>
      <c r="AE176" s="692">
        <f>IF(B176="M",J176,0)</f>
        <v>0</v>
      </c>
      <c r="AF176" s="692">
        <f t="shared" si="46"/>
        <v>0</v>
      </c>
      <c r="AG176" s="38"/>
      <c r="AH176" s="692">
        <f t="shared" si="48"/>
        <v>10000</v>
      </c>
      <c r="AI176" s="692">
        <f t="shared" si="49"/>
        <v>0</v>
      </c>
      <c r="AJ176" s="692">
        <f t="shared" si="50"/>
        <v>0</v>
      </c>
      <c r="AL176" s="38">
        <f t="shared" si="47"/>
        <v>9771.2000000000007</v>
      </c>
      <c r="AM176" s="806" t="s">
        <v>99</v>
      </c>
    </row>
    <row r="177" spans="1:39" s="232" customFormat="1">
      <c r="A177" s="403"/>
      <c r="B177" s="403" t="s">
        <v>110</v>
      </c>
      <c r="C177" s="666"/>
      <c r="D177" s="828" t="s">
        <v>966</v>
      </c>
      <c r="E177" s="679"/>
      <c r="F177" s="529">
        <f>VLOOKUP(D177,'Dec13 Revenue'!D:V,19,FALSE)</f>
        <v>0</v>
      </c>
      <c r="G177" s="680"/>
      <c r="H177" s="680"/>
      <c r="I177" s="755"/>
      <c r="J177" s="682">
        <f t="shared" si="43"/>
        <v>0</v>
      </c>
      <c r="K177" s="683"/>
      <c r="L177" s="684"/>
      <c r="M177" s="753"/>
      <c r="N177" s="683">
        <v>0</v>
      </c>
      <c r="O177" s="686"/>
      <c r="P177" s="683">
        <v>0</v>
      </c>
      <c r="Q177" s="687">
        <f t="shared" si="41"/>
        <v>0</v>
      </c>
      <c r="R177" s="687"/>
      <c r="S177" s="687"/>
      <c r="T177" s="688">
        <v>0</v>
      </c>
      <c r="U177" s="693"/>
      <c r="V177" s="690">
        <f t="shared" si="42"/>
        <v>0</v>
      </c>
      <c r="W177" s="683"/>
      <c r="X177" s="474">
        <f t="shared" si="51"/>
        <v>0</v>
      </c>
      <c r="Y177" s="474">
        <f t="shared" si="52"/>
        <v>0</v>
      </c>
      <c r="Z177" s="475">
        <f t="shared" si="53"/>
        <v>0</v>
      </c>
      <c r="AA177" s="475">
        <v>0</v>
      </c>
      <c r="AB177" s="476">
        <v>0</v>
      </c>
      <c r="AC177" s="38">
        <f t="shared" si="54"/>
        <v>0</v>
      </c>
      <c r="AD177" s="692">
        <f t="shared" si="44"/>
        <v>0</v>
      </c>
      <c r="AE177" s="692">
        <f t="shared" si="45"/>
        <v>0</v>
      </c>
      <c r="AF177" s="692">
        <f t="shared" si="46"/>
        <v>0</v>
      </c>
      <c r="AG177" s="38"/>
      <c r="AH177" s="692">
        <f t="shared" si="48"/>
        <v>0</v>
      </c>
      <c r="AI177" s="692">
        <f t="shared" si="49"/>
        <v>0</v>
      </c>
      <c r="AJ177" s="692">
        <f t="shared" si="50"/>
        <v>0</v>
      </c>
      <c r="AL177" s="38">
        <f t="shared" si="47"/>
        <v>0</v>
      </c>
      <c r="AM177" s="813" t="s">
        <v>966</v>
      </c>
    </row>
    <row r="178" spans="1:39" s="232" customFormat="1">
      <c r="A178" s="403"/>
      <c r="B178" s="403" t="s">
        <v>110</v>
      </c>
      <c r="C178" s="666" t="s">
        <v>568</v>
      </c>
      <c r="D178" s="807" t="s">
        <v>303</v>
      </c>
      <c r="E178" s="679">
        <v>232505.39</v>
      </c>
      <c r="F178" s="529">
        <f>VLOOKUP(D178,'Dec13 Revenue'!D:V,19,FALSE)</f>
        <v>-25261.119999999995</v>
      </c>
      <c r="G178" s="680"/>
      <c r="H178" s="680"/>
      <c r="I178" s="755"/>
      <c r="J178" s="682">
        <f t="shared" si="43"/>
        <v>207244.27000000002</v>
      </c>
      <c r="K178" s="683"/>
      <c r="L178" s="684"/>
      <c r="M178" s="753">
        <v>300000</v>
      </c>
      <c r="N178" s="683">
        <v>0</v>
      </c>
      <c r="O178" s="686"/>
      <c r="P178" s="683">
        <v>0</v>
      </c>
      <c r="Q178" s="687">
        <f t="shared" si="41"/>
        <v>300000</v>
      </c>
      <c r="R178" s="687"/>
      <c r="S178" s="687"/>
      <c r="T178" s="688">
        <v>0</v>
      </c>
      <c r="U178" s="693"/>
      <c r="V178" s="690">
        <f t="shared" si="42"/>
        <v>-300000</v>
      </c>
      <c r="W178" s="683"/>
      <c r="X178" s="474">
        <f t="shared" si="51"/>
        <v>300000</v>
      </c>
      <c r="Y178" s="474">
        <f t="shared" si="52"/>
        <v>0</v>
      </c>
      <c r="Z178" s="475">
        <f t="shared" si="53"/>
        <v>0</v>
      </c>
      <c r="AA178" s="475">
        <v>0</v>
      </c>
      <c r="AB178" s="476">
        <v>0</v>
      </c>
      <c r="AC178" s="38">
        <f t="shared" si="54"/>
        <v>0</v>
      </c>
      <c r="AD178" s="692">
        <f t="shared" si="44"/>
        <v>207244.27000000002</v>
      </c>
      <c r="AE178" s="692">
        <f t="shared" si="45"/>
        <v>0</v>
      </c>
      <c r="AF178" s="692">
        <f t="shared" si="46"/>
        <v>0</v>
      </c>
      <c r="AG178" s="38"/>
      <c r="AH178" s="692">
        <f t="shared" si="48"/>
        <v>300000</v>
      </c>
      <c r="AI178" s="692">
        <f t="shared" si="49"/>
        <v>0</v>
      </c>
      <c r="AJ178" s="692">
        <f t="shared" si="50"/>
        <v>0</v>
      </c>
      <c r="AL178" s="38">
        <f t="shared" si="47"/>
        <v>507244.27</v>
      </c>
      <c r="AM178" s="807" t="s">
        <v>303</v>
      </c>
    </row>
    <row r="179" spans="1:39" s="232" customFormat="1">
      <c r="A179" s="403"/>
      <c r="B179" s="403" t="s">
        <v>110</v>
      </c>
      <c r="C179" s="666"/>
      <c r="D179" s="807" t="s">
        <v>856</v>
      </c>
      <c r="E179" s="679"/>
      <c r="F179" s="529">
        <f>VLOOKUP(D179,'Dec13 Revenue'!D:V,19,FALSE)</f>
        <v>0</v>
      </c>
      <c r="G179" s="680"/>
      <c r="H179" s="680"/>
      <c r="I179" s="755"/>
      <c r="J179" s="682">
        <f t="shared" si="43"/>
        <v>0</v>
      </c>
      <c r="K179" s="683"/>
      <c r="L179" s="684"/>
      <c r="M179" s="753"/>
      <c r="N179" s="683">
        <v>0</v>
      </c>
      <c r="O179" s="686"/>
      <c r="P179" s="683">
        <v>0</v>
      </c>
      <c r="Q179" s="687">
        <f t="shared" si="41"/>
        <v>0</v>
      </c>
      <c r="R179" s="687"/>
      <c r="S179" s="687"/>
      <c r="T179" s="688">
        <v>0</v>
      </c>
      <c r="U179" s="693"/>
      <c r="V179" s="690">
        <f t="shared" si="42"/>
        <v>0</v>
      </c>
      <c r="W179" s="683"/>
      <c r="X179" s="474">
        <f t="shared" si="51"/>
        <v>0</v>
      </c>
      <c r="Y179" s="474">
        <f t="shared" si="52"/>
        <v>0</v>
      </c>
      <c r="Z179" s="475">
        <f t="shared" si="53"/>
        <v>0</v>
      </c>
      <c r="AA179" s="475">
        <v>0</v>
      </c>
      <c r="AB179" s="476">
        <v>0</v>
      </c>
      <c r="AC179" s="38">
        <f t="shared" si="54"/>
        <v>0</v>
      </c>
      <c r="AD179" s="692">
        <f t="shared" si="44"/>
        <v>0</v>
      </c>
      <c r="AE179" s="692">
        <f t="shared" si="45"/>
        <v>0</v>
      </c>
      <c r="AF179" s="692">
        <f t="shared" si="46"/>
        <v>0</v>
      </c>
      <c r="AG179" s="38"/>
      <c r="AH179" s="692">
        <f t="shared" si="48"/>
        <v>0</v>
      </c>
      <c r="AI179" s="692">
        <f t="shared" si="49"/>
        <v>0</v>
      </c>
      <c r="AJ179" s="692">
        <f t="shared" si="50"/>
        <v>0</v>
      </c>
      <c r="AL179" s="38">
        <f t="shared" si="47"/>
        <v>0</v>
      </c>
      <c r="AM179" s="807" t="s">
        <v>856</v>
      </c>
    </row>
    <row r="180" spans="1:39" s="232" customFormat="1">
      <c r="A180" s="403"/>
      <c r="B180" s="403" t="s">
        <v>109</v>
      </c>
      <c r="C180" s="666" t="s">
        <v>569</v>
      </c>
      <c r="D180" s="123" t="s">
        <v>468</v>
      </c>
      <c r="E180" s="679"/>
      <c r="F180" s="529">
        <f>VLOOKUP(D180,'Dec13 Revenue'!D:V,19,FALSE)</f>
        <v>0</v>
      </c>
      <c r="G180" s="680"/>
      <c r="H180" s="680"/>
      <c r="I180" s="755"/>
      <c r="J180" s="682">
        <f t="shared" si="43"/>
        <v>0</v>
      </c>
      <c r="K180" s="683"/>
      <c r="L180" s="684"/>
      <c r="M180" s="753"/>
      <c r="N180" s="683">
        <v>0</v>
      </c>
      <c r="O180" s="686"/>
      <c r="P180" s="683">
        <v>0</v>
      </c>
      <c r="Q180" s="687">
        <f t="shared" si="41"/>
        <v>0</v>
      </c>
      <c r="R180" s="687"/>
      <c r="S180" s="687"/>
      <c r="T180" s="688">
        <v>0</v>
      </c>
      <c r="U180" s="693"/>
      <c r="V180" s="690">
        <f t="shared" si="42"/>
        <v>0</v>
      </c>
      <c r="W180" s="683"/>
      <c r="X180" s="474">
        <f t="shared" si="51"/>
        <v>0</v>
      </c>
      <c r="Y180" s="474">
        <f t="shared" si="52"/>
        <v>0</v>
      </c>
      <c r="Z180" s="475">
        <f t="shared" si="53"/>
        <v>0</v>
      </c>
      <c r="AA180" s="475">
        <v>0</v>
      </c>
      <c r="AB180" s="476">
        <v>0</v>
      </c>
      <c r="AC180" s="38">
        <f t="shared" si="54"/>
        <v>0</v>
      </c>
      <c r="AD180" s="692">
        <f t="shared" si="44"/>
        <v>0</v>
      </c>
      <c r="AE180" s="692">
        <f t="shared" si="45"/>
        <v>0</v>
      </c>
      <c r="AF180" s="692">
        <f t="shared" si="46"/>
        <v>0</v>
      </c>
      <c r="AG180" s="38"/>
      <c r="AH180" s="692">
        <f t="shared" si="48"/>
        <v>0</v>
      </c>
      <c r="AI180" s="692">
        <f t="shared" si="49"/>
        <v>0</v>
      </c>
      <c r="AJ180" s="692">
        <f t="shared" si="50"/>
        <v>0</v>
      </c>
      <c r="AL180" s="38">
        <f t="shared" si="47"/>
        <v>0</v>
      </c>
      <c r="AM180" s="123" t="s">
        <v>468</v>
      </c>
    </row>
    <row r="181" spans="1:39">
      <c r="A181" s="20"/>
      <c r="B181" s="20" t="s">
        <v>110</v>
      </c>
      <c r="C181" s="676" t="s">
        <v>844</v>
      </c>
      <c r="D181" s="68" t="s">
        <v>845</v>
      </c>
      <c r="E181" s="679"/>
      <c r="F181" s="529">
        <f>VLOOKUP(D181,'Dec13 Revenue'!D:V,19,FALSE)</f>
        <v>0</v>
      </c>
      <c r="G181" s="680"/>
      <c r="H181" s="680"/>
      <c r="I181" s="755"/>
      <c r="J181" s="682">
        <f t="shared" si="43"/>
        <v>0</v>
      </c>
      <c r="K181" s="683"/>
      <c r="L181" s="684"/>
      <c r="M181" s="753"/>
      <c r="N181" s="683">
        <v>0</v>
      </c>
      <c r="O181" s="686"/>
      <c r="P181" s="683">
        <v>0</v>
      </c>
      <c r="Q181" s="687">
        <f t="shared" si="41"/>
        <v>0</v>
      </c>
      <c r="R181" s="687"/>
      <c r="S181" s="687"/>
      <c r="T181" s="688">
        <v>0</v>
      </c>
      <c r="U181" s="693"/>
      <c r="V181" s="690">
        <f t="shared" si="42"/>
        <v>0</v>
      </c>
      <c r="W181" s="683"/>
      <c r="X181" s="474">
        <f t="shared" si="51"/>
        <v>0</v>
      </c>
      <c r="Y181" s="474">
        <f t="shared" si="52"/>
        <v>0</v>
      </c>
      <c r="Z181" s="475">
        <f t="shared" si="53"/>
        <v>0</v>
      </c>
      <c r="AA181" s="475">
        <v>0</v>
      </c>
      <c r="AB181" s="476">
        <v>0</v>
      </c>
      <c r="AC181" s="38">
        <f t="shared" si="54"/>
        <v>0</v>
      </c>
      <c r="AD181" s="692">
        <f t="shared" si="44"/>
        <v>0</v>
      </c>
      <c r="AE181" s="692">
        <f t="shared" si="45"/>
        <v>0</v>
      </c>
      <c r="AF181" s="692">
        <f t="shared" si="46"/>
        <v>0</v>
      </c>
      <c r="AG181" s="38"/>
      <c r="AH181" s="692">
        <f t="shared" si="48"/>
        <v>0</v>
      </c>
      <c r="AI181" s="692">
        <f t="shared" si="49"/>
        <v>0</v>
      </c>
      <c r="AJ181" s="692">
        <f t="shared" si="50"/>
        <v>0</v>
      </c>
      <c r="AL181" s="38">
        <f t="shared" si="47"/>
        <v>0</v>
      </c>
      <c r="AM181" s="68" t="s">
        <v>845</v>
      </c>
    </row>
    <row r="182" spans="1:39">
      <c r="A182" s="20"/>
      <c r="B182" s="20" t="s">
        <v>110</v>
      </c>
      <c r="C182" s="676" t="s">
        <v>977</v>
      </c>
      <c r="D182" s="68" t="s">
        <v>978</v>
      </c>
      <c r="E182" s="679">
        <v>4812.84</v>
      </c>
      <c r="F182" s="529">
        <f>VLOOKUP(D182,'Dec13 Revenue'!D:V,19,FALSE)</f>
        <v>-1824.8000000000002</v>
      </c>
      <c r="G182" s="680"/>
      <c r="H182" s="680"/>
      <c r="I182" s="755"/>
      <c r="J182" s="682">
        <f t="shared" si="43"/>
        <v>2988.04</v>
      </c>
      <c r="K182" s="683"/>
      <c r="L182" s="684"/>
      <c r="M182" s="753">
        <v>5000</v>
      </c>
      <c r="N182" s="683">
        <v>0</v>
      </c>
      <c r="O182" s="686"/>
      <c r="P182" s="683">
        <v>0</v>
      </c>
      <c r="Q182" s="687">
        <f t="shared" si="41"/>
        <v>5000</v>
      </c>
      <c r="R182" s="687"/>
      <c r="S182" s="687"/>
      <c r="T182" s="688">
        <v>0</v>
      </c>
      <c r="U182" s="693"/>
      <c r="V182" s="690">
        <f t="shared" si="42"/>
        <v>-5000</v>
      </c>
      <c r="W182" s="683"/>
      <c r="X182" s="474">
        <f t="shared" si="51"/>
        <v>5000</v>
      </c>
      <c r="Y182" s="474">
        <f t="shared" si="52"/>
        <v>0</v>
      </c>
      <c r="Z182" s="475">
        <f t="shared" si="53"/>
        <v>0</v>
      </c>
      <c r="AA182" s="475">
        <v>0</v>
      </c>
      <c r="AB182" s="476">
        <v>0</v>
      </c>
      <c r="AC182" s="38">
        <f t="shared" si="54"/>
        <v>0</v>
      </c>
      <c r="AD182" s="692">
        <f t="shared" si="44"/>
        <v>2988.04</v>
      </c>
      <c r="AE182" s="692">
        <f t="shared" si="45"/>
        <v>0</v>
      </c>
      <c r="AF182" s="692">
        <f t="shared" si="46"/>
        <v>0</v>
      </c>
      <c r="AG182" s="38"/>
      <c r="AH182" s="692">
        <f t="shared" si="48"/>
        <v>5000</v>
      </c>
      <c r="AI182" s="692">
        <f t="shared" si="49"/>
        <v>0</v>
      </c>
      <c r="AJ182" s="692">
        <f t="shared" si="50"/>
        <v>0</v>
      </c>
      <c r="AL182" s="38">
        <f t="shared" si="47"/>
        <v>7988.04</v>
      </c>
      <c r="AM182" s="68" t="s">
        <v>978</v>
      </c>
    </row>
    <row r="183" spans="1:39">
      <c r="A183" s="20"/>
      <c r="B183" s="20" t="s">
        <v>109</v>
      </c>
      <c r="C183" s="667" t="s">
        <v>570</v>
      </c>
      <c r="D183" s="68" t="s">
        <v>221</v>
      </c>
      <c r="E183" s="679"/>
      <c r="F183" s="529">
        <f>VLOOKUP(D183,'Dec13 Revenue'!D:V,19,FALSE)</f>
        <v>0</v>
      </c>
      <c r="G183" s="680"/>
      <c r="H183" s="680"/>
      <c r="I183" s="755"/>
      <c r="J183" s="682">
        <f t="shared" si="43"/>
        <v>0</v>
      </c>
      <c r="K183" s="683"/>
      <c r="L183" s="684"/>
      <c r="M183" s="753"/>
      <c r="N183" s="683">
        <v>0</v>
      </c>
      <c r="O183" s="686"/>
      <c r="P183" s="683">
        <v>0</v>
      </c>
      <c r="Q183" s="687">
        <f t="shared" si="41"/>
        <v>0</v>
      </c>
      <c r="R183" s="687"/>
      <c r="S183" s="687"/>
      <c r="T183" s="688">
        <v>0</v>
      </c>
      <c r="U183" s="693"/>
      <c r="V183" s="690">
        <f t="shared" si="42"/>
        <v>0</v>
      </c>
      <c r="W183" s="683"/>
      <c r="X183" s="474">
        <f t="shared" si="51"/>
        <v>0</v>
      </c>
      <c r="Y183" s="474">
        <f t="shared" si="52"/>
        <v>0</v>
      </c>
      <c r="Z183" s="475">
        <f t="shared" si="53"/>
        <v>0</v>
      </c>
      <c r="AA183" s="475">
        <v>0</v>
      </c>
      <c r="AB183" s="476">
        <v>0</v>
      </c>
      <c r="AC183" s="38">
        <f t="shared" si="54"/>
        <v>0</v>
      </c>
      <c r="AD183" s="692">
        <f t="shared" si="44"/>
        <v>0</v>
      </c>
      <c r="AE183" s="692">
        <f t="shared" si="45"/>
        <v>0</v>
      </c>
      <c r="AF183" s="692">
        <f t="shared" si="46"/>
        <v>0</v>
      </c>
      <c r="AG183" s="38"/>
      <c r="AH183" s="692">
        <f t="shared" si="48"/>
        <v>0</v>
      </c>
      <c r="AI183" s="692">
        <f t="shared" si="49"/>
        <v>0</v>
      </c>
      <c r="AJ183" s="692">
        <f t="shared" si="50"/>
        <v>0</v>
      </c>
      <c r="AL183" s="38">
        <f t="shared" si="47"/>
        <v>0</v>
      </c>
      <c r="AM183" s="68" t="s">
        <v>221</v>
      </c>
    </row>
    <row r="184" spans="1:39">
      <c r="A184" s="21"/>
      <c r="B184" s="21" t="s">
        <v>110</v>
      </c>
      <c r="C184" s="666"/>
      <c r="D184" s="68" t="s">
        <v>985</v>
      </c>
      <c r="E184" s="679"/>
      <c r="F184" s="529">
        <f>VLOOKUP(D184,'Dec13 Revenue'!D:V,19,FALSE)</f>
        <v>0</v>
      </c>
      <c r="G184" s="680"/>
      <c r="H184" s="680"/>
      <c r="I184" s="755"/>
      <c r="J184" s="682">
        <f t="shared" si="43"/>
        <v>0</v>
      </c>
      <c r="K184" s="683"/>
      <c r="L184" s="684"/>
      <c r="M184" s="753"/>
      <c r="N184" s="683">
        <v>0</v>
      </c>
      <c r="O184" s="686"/>
      <c r="P184" s="683">
        <v>0</v>
      </c>
      <c r="Q184" s="687">
        <f t="shared" si="41"/>
        <v>0</v>
      </c>
      <c r="R184" s="687"/>
      <c r="S184" s="687"/>
      <c r="T184" s="688">
        <v>0</v>
      </c>
      <c r="U184" s="693"/>
      <c r="V184" s="690">
        <f t="shared" si="42"/>
        <v>0</v>
      </c>
      <c r="W184" s="683"/>
      <c r="X184" s="474">
        <f t="shared" si="51"/>
        <v>0</v>
      </c>
      <c r="Y184" s="474">
        <f t="shared" si="52"/>
        <v>0</v>
      </c>
      <c r="Z184" s="475">
        <f t="shared" si="53"/>
        <v>0</v>
      </c>
      <c r="AA184" s="475">
        <v>0</v>
      </c>
      <c r="AB184" s="476">
        <v>0</v>
      </c>
      <c r="AC184" s="38">
        <f t="shared" si="54"/>
        <v>0</v>
      </c>
      <c r="AD184" s="692">
        <f t="shared" si="44"/>
        <v>0</v>
      </c>
      <c r="AE184" s="692">
        <f t="shared" si="45"/>
        <v>0</v>
      </c>
      <c r="AF184" s="692">
        <f t="shared" si="46"/>
        <v>0</v>
      </c>
      <c r="AG184" s="38"/>
      <c r="AH184" s="692">
        <f t="shared" si="48"/>
        <v>0</v>
      </c>
      <c r="AI184" s="692">
        <f t="shared" si="49"/>
        <v>0</v>
      </c>
      <c r="AJ184" s="692">
        <f t="shared" si="50"/>
        <v>0</v>
      </c>
      <c r="AL184" s="38">
        <f t="shared" si="47"/>
        <v>0</v>
      </c>
      <c r="AM184" s="68" t="s">
        <v>985</v>
      </c>
    </row>
    <row r="185" spans="1:39">
      <c r="A185" s="21"/>
      <c r="B185" s="21" t="s">
        <v>109</v>
      </c>
      <c r="C185" s="666" t="s">
        <v>571</v>
      </c>
      <c r="D185" s="68" t="s">
        <v>44</v>
      </c>
      <c r="E185" s="679"/>
      <c r="F185" s="529">
        <f>VLOOKUP(D185,'Dec13 Revenue'!D:V,19,FALSE)</f>
        <v>0</v>
      </c>
      <c r="G185" s="680"/>
      <c r="H185" s="680"/>
      <c r="I185" s="755"/>
      <c r="J185" s="682">
        <f t="shared" si="43"/>
        <v>0</v>
      </c>
      <c r="K185" s="683"/>
      <c r="L185" s="684"/>
      <c r="M185" s="753"/>
      <c r="N185" s="683">
        <v>0</v>
      </c>
      <c r="O185" s="686"/>
      <c r="P185" s="683">
        <v>0</v>
      </c>
      <c r="Q185" s="687">
        <f t="shared" si="41"/>
        <v>0</v>
      </c>
      <c r="R185" s="687"/>
      <c r="S185" s="687"/>
      <c r="T185" s="688">
        <v>0</v>
      </c>
      <c r="U185" s="693"/>
      <c r="V185" s="690">
        <f t="shared" si="42"/>
        <v>0</v>
      </c>
      <c r="W185" s="683"/>
      <c r="X185" s="474">
        <f t="shared" si="51"/>
        <v>0</v>
      </c>
      <c r="Y185" s="474">
        <f t="shared" si="52"/>
        <v>0</v>
      </c>
      <c r="Z185" s="475">
        <f t="shared" si="53"/>
        <v>0</v>
      </c>
      <c r="AA185" s="475">
        <v>0</v>
      </c>
      <c r="AB185" s="476">
        <v>0</v>
      </c>
      <c r="AC185" s="38">
        <f t="shared" si="54"/>
        <v>0</v>
      </c>
      <c r="AD185" s="692">
        <f t="shared" si="44"/>
        <v>0</v>
      </c>
      <c r="AE185" s="692">
        <f t="shared" si="45"/>
        <v>0</v>
      </c>
      <c r="AF185" s="692">
        <f t="shared" si="46"/>
        <v>0</v>
      </c>
      <c r="AG185" s="38"/>
      <c r="AH185" s="692">
        <f t="shared" si="48"/>
        <v>0</v>
      </c>
      <c r="AI185" s="692">
        <f t="shared" si="49"/>
        <v>0</v>
      </c>
      <c r="AJ185" s="692">
        <f t="shared" si="50"/>
        <v>0</v>
      </c>
      <c r="AL185" s="38">
        <f t="shared" si="47"/>
        <v>0</v>
      </c>
      <c r="AM185" s="68" t="s">
        <v>44</v>
      </c>
    </row>
    <row r="186" spans="1:39">
      <c r="A186" s="21"/>
      <c r="B186" s="21" t="s">
        <v>114</v>
      </c>
      <c r="C186" s="666" t="s">
        <v>571</v>
      </c>
      <c r="D186" s="68" t="s">
        <v>44</v>
      </c>
      <c r="E186" s="679"/>
      <c r="F186" s="529">
        <f>VLOOKUP(D186,'Dec13 Revenue'!D:V,19,FALSE)</f>
        <v>0</v>
      </c>
      <c r="G186" s="680"/>
      <c r="H186" s="680"/>
      <c r="I186" s="755"/>
      <c r="J186" s="682">
        <f t="shared" si="43"/>
        <v>0</v>
      </c>
      <c r="K186" s="683"/>
      <c r="L186" s="684"/>
      <c r="M186" s="753"/>
      <c r="N186" s="683">
        <v>0</v>
      </c>
      <c r="O186" s="686"/>
      <c r="P186" s="683">
        <v>0</v>
      </c>
      <c r="Q186" s="687">
        <f t="shared" si="41"/>
        <v>0</v>
      </c>
      <c r="R186" s="687"/>
      <c r="S186" s="687"/>
      <c r="T186" s="688">
        <v>0</v>
      </c>
      <c r="U186" s="693"/>
      <c r="V186" s="690">
        <f t="shared" si="42"/>
        <v>0</v>
      </c>
      <c r="W186" s="683"/>
      <c r="X186" s="474">
        <f t="shared" si="51"/>
        <v>0</v>
      </c>
      <c r="Y186" s="474">
        <f t="shared" si="52"/>
        <v>0</v>
      </c>
      <c r="Z186" s="475">
        <f t="shared" si="53"/>
        <v>0</v>
      </c>
      <c r="AA186" s="475">
        <v>0</v>
      </c>
      <c r="AB186" s="476">
        <v>0</v>
      </c>
      <c r="AC186" s="38">
        <f t="shared" si="54"/>
        <v>0</v>
      </c>
      <c r="AD186" s="692">
        <f t="shared" si="44"/>
        <v>0</v>
      </c>
      <c r="AE186" s="692">
        <f t="shared" si="45"/>
        <v>0</v>
      </c>
      <c r="AF186" s="692">
        <f t="shared" si="46"/>
        <v>0</v>
      </c>
      <c r="AG186" s="38"/>
      <c r="AH186" s="692">
        <f t="shared" si="48"/>
        <v>0</v>
      </c>
      <c r="AI186" s="692">
        <f t="shared" si="49"/>
        <v>0</v>
      </c>
      <c r="AJ186" s="692">
        <f t="shared" si="50"/>
        <v>0</v>
      </c>
      <c r="AL186" s="38">
        <f t="shared" si="47"/>
        <v>0</v>
      </c>
      <c r="AM186" s="68" t="s">
        <v>44</v>
      </c>
    </row>
    <row r="187" spans="1:39">
      <c r="A187" s="21"/>
      <c r="B187" s="21" t="s">
        <v>110</v>
      </c>
      <c r="C187" s="666" t="s">
        <v>572</v>
      </c>
      <c r="D187" s="806" t="s">
        <v>388</v>
      </c>
      <c r="E187" s="679"/>
      <c r="F187" s="529">
        <f>VLOOKUP(D187,'Dec13 Revenue'!D:V,19,FALSE)</f>
        <v>0</v>
      </c>
      <c r="G187" s="680"/>
      <c r="H187" s="680"/>
      <c r="I187" s="755"/>
      <c r="J187" s="682">
        <f t="shared" si="43"/>
        <v>0</v>
      </c>
      <c r="K187" s="683"/>
      <c r="L187" s="684"/>
      <c r="M187" s="753"/>
      <c r="N187" s="683">
        <v>0</v>
      </c>
      <c r="O187" s="686"/>
      <c r="P187" s="683">
        <v>0</v>
      </c>
      <c r="Q187" s="687">
        <f t="shared" si="41"/>
        <v>0</v>
      </c>
      <c r="R187" s="687"/>
      <c r="S187" s="687"/>
      <c r="T187" s="688">
        <v>0</v>
      </c>
      <c r="U187" s="693"/>
      <c r="V187" s="690">
        <f t="shared" si="42"/>
        <v>0</v>
      </c>
      <c r="W187" s="683"/>
      <c r="X187" s="474">
        <f t="shared" si="51"/>
        <v>0</v>
      </c>
      <c r="Y187" s="474">
        <f t="shared" si="52"/>
        <v>0</v>
      </c>
      <c r="Z187" s="475">
        <f t="shared" si="53"/>
        <v>0</v>
      </c>
      <c r="AA187" s="475">
        <v>0</v>
      </c>
      <c r="AB187" s="476">
        <v>0</v>
      </c>
      <c r="AC187" s="38">
        <f t="shared" si="54"/>
        <v>0</v>
      </c>
      <c r="AD187" s="692">
        <f t="shared" si="44"/>
        <v>0</v>
      </c>
      <c r="AE187" s="692">
        <f t="shared" si="45"/>
        <v>0</v>
      </c>
      <c r="AF187" s="692">
        <f t="shared" si="46"/>
        <v>0</v>
      </c>
      <c r="AG187" s="38"/>
      <c r="AH187" s="692">
        <f t="shared" si="48"/>
        <v>0</v>
      </c>
      <c r="AI187" s="692">
        <f t="shared" si="49"/>
        <v>0</v>
      </c>
      <c r="AJ187" s="692">
        <f t="shared" si="50"/>
        <v>0</v>
      </c>
      <c r="AL187" s="38">
        <f t="shared" si="47"/>
        <v>0</v>
      </c>
      <c r="AM187" s="806" t="s">
        <v>388</v>
      </c>
    </row>
    <row r="188" spans="1:39">
      <c r="A188" s="20"/>
      <c r="B188" s="20" t="s">
        <v>109</v>
      </c>
      <c r="C188" s="667"/>
      <c r="D188" s="806" t="s">
        <v>842</v>
      </c>
      <c r="E188" s="679"/>
      <c r="F188" s="529">
        <f>VLOOKUP(D188,'Dec13 Revenue'!D:V,19,FALSE)</f>
        <v>-130000</v>
      </c>
      <c r="G188" s="680"/>
      <c r="H188" s="680"/>
      <c r="I188" s="755"/>
      <c r="J188" s="682">
        <f t="shared" si="43"/>
        <v>-130000</v>
      </c>
      <c r="K188" s="683"/>
      <c r="L188" s="684"/>
      <c r="M188" s="753">
        <v>135000</v>
      </c>
      <c r="N188" s="683">
        <v>0</v>
      </c>
      <c r="O188" s="686"/>
      <c r="P188" s="683">
        <v>0</v>
      </c>
      <c r="Q188" s="687">
        <f t="shared" si="41"/>
        <v>135000</v>
      </c>
      <c r="R188" s="687"/>
      <c r="S188" s="687"/>
      <c r="T188" s="688">
        <v>0</v>
      </c>
      <c r="U188" s="693"/>
      <c r="V188" s="690">
        <f t="shared" si="42"/>
        <v>-135000</v>
      </c>
      <c r="W188" s="683"/>
      <c r="X188" s="474">
        <f t="shared" si="51"/>
        <v>0</v>
      </c>
      <c r="Y188" s="474">
        <f t="shared" si="52"/>
        <v>135000</v>
      </c>
      <c r="Z188" s="475">
        <f t="shared" si="53"/>
        <v>0</v>
      </c>
      <c r="AA188" s="475">
        <v>0</v>
      </c>
      <c r="AB188" s="476">
        <v>0</v>
      </c>
      <c r="AC188" s="38">
        <f t="shared" si="54"/>
        <v>0</v>
      </c>
      <c r="AD188" s="692">
        <f t="shared" si="44"/>
        <v>0</v>
      </c>
      <c r="AE188" s="692">
        <f t="shared" si="45"/>
        <v>-130000</v>
      </c>
      <c r="AF188" s="692">
        <f t="shared" si="46"/>
        <v>0</v>
      </c>
      <c r="AG188" s="38"/>
      <c r="AH188" s="692">
        <f t="shared" si="48"/>
        <v>0</v>
      </c>
      <c r="AI188" s="692">
        <f t="shared" si="49"/>
        <v>135000</v>
      </c>
      <c r="AJ188" s="692">
        <f t="shared" si="50"/>
        <v>0</v>
      </c>
      <c r="AL188" s="38">
        <f t="shared" si="47"/>
        <v>5000</v>
      </c>
      <c r="AM188" s="806" t="s">
        <v>842</v>
      </c>
    </row>
    <row r="189" spans="1:39">
      <c r="A189" s="21"/>
      <c r="B189" s="21" t="s">
        <v>110</v>
      </c>
      <c r="C189" s="666"/>
      <c r="D189" s="68" t="s">
        <v>45</v>
      </c>
      <c r="E189" s="679"/>
      <c r="F189" s="529">
        <f>VLOOKUP(D189,'Dec13 Revenue'!D:V,19,FALSE)</f>
        <v>-1440.320000000007</v>
      </c>
      <c r="G189" s="680"/>
      <c r="H189" s="680"/>
      <c r="I189" s="755"/>
      <c r="J189" s="682">
        <f t="shared" si="43"/>
        <v>-1440.320000000007</v>
      </c>
      <c r="K189" s="683"/>
      <c r="L189" s="684"/>
      <c r="M189" s="753">
        <v>80000</v>
      </c>
      <c r="N189" s="683">
        <v>0</v>
      </c>
      <c r="O189" s="686"/>
      <c r="P189" s="683">
        <v>0</v>
      </c>
      <c r="Q189" s="687">
        <f t="shared" si="41"/>
        <v>80000</v>
      </c>
      <c r="R189" s="687"/>
      <c r="S189" s="687"/>
      <c r="T189" s="688">
        <f>69893.42+4104.53</f>
        <v>73997.95</v>
      </c>
      <c r="U189" s="693"/>
      <c r="V189" s="690">
        <f t="shared" si="42"/>
        <v>-6002.0500000000029</v>
      </c>
      <c r="W189" s="683"/>
      <c r="X189" s="474">
        <f t="shared" si="51"/>
        <v>80000</v>
      </c>
      <c r="Y189" s="474">
        <f t="shared" si="52"/>
        <v>0</v>
      </c>
      <c r="Z189" s="475">
        <f t="shared" si="53"/>
        <v>0</v>
      </c>
      <c r="AA189" s="475">
        <v>0</v>
      </c>
      <c r="AB189" s="476">
        <v>0</v>
      </c>
      <c r="AC189" s="38">
        <f t="shared" si="54"/>
        <v>0</v>
      </c>
      <c r="AD189" s="692">
        <f t="shared" si="44"/>
        <v>-1440.320000000007</v>
      </c>
      <c r="AE189" s="692">
        <f t="shared" si="45"/>
        <v>0</v>
      </c>
      <c r="AF189" s="692">
        <f t="shared" si="46"/>
        <v>0</v>
      </c>
      <c r="AG189" s="38"/>
      <c r="AH189" s="692">
        <f t="shared" si="48"/>
        <v>80000</v>
      </c>
      <c r="AI189" s="692">
        <f t="shared" si="49"/>
        <v>0</v>
      </c>
      <c r="AJ189" s="692">
        <f t="shared" si="50"/>
        <v>0</v>
      </c>
      <c r="AL189" s="38">
        <f t="shared" si="47"/>
        <v>78559.679999999993</v>
      </c>
      <c r="AM189" s="68" t="s">
        <v>45</v>
      </c>
    </row>
    <row r="190" spans="1:39">
      <c r="A190" s="20" t="s">
        <v>211</v>
      </c>
      <c r="B190" s="20" t="s">
        <v>109</v>
      </c>
      <c r="C190" s="667"/>
      <c r="D190" s="68" t="s">
        <v>923</v>
      </c>
      <c r="E190" s="679"/>
      <c r="F190" s="529">
        <f>VLOOKUP(D190,'Dec13 Revenue'!D:V,19,FALSE)</f>
        <v>0</v>
      </c>
      <c r="G190" s="680"/>
      <c r="H190" s="680"/>
      <c r="I190" s="755"/>
      <c r="J190" s="682">
        <f t="shared" si="43"/>
        <v>0</v>
      </c>
      <c r="K190" s="683"/>
      <c r="L190" s="684"/>
      <c r="M190" s="753"/>
      <c r="N190" s="683">
        <v>0</v>
      </c>
      <c r="O190" s="686"/>
      <c r="P190" s="683">
        <v>0</v>
      </c>
      <c r="Q190" s="687">
        <f t="shared" si="41"/>
        <v>0</v>
      </c>
      <c r="R190" s="687"/>
      <c r="S190" s="687"/>
      <c r="T190" s="688">
        <v>0</v>
      </c>
      <c r="U190" s="693"/>
      <c r="V190" s="690">
        <f t="shared" si="42"/>
        <v>0</v>
      </c>
      <c r="W190" s="697"/>
      <c r="X190" s="474">
        <f t="shared" si="51"/>
        <v>0</v>
      </c>
      <c r="Y190" s="474">
        <f t="shared" si="52"/>
        <v>0</v>
      </c>
      <c r="Z190" s="475">
        <f t="shared" si="53"/>
        <v>0</v>
      </c>
      <c r="AA190" s="475">
        <v>0</v>
      </c>
      <c r="AB190" s="476">
        <v>0</v>
      </c>
      <c r="AC190" s="38">
        <f t="shared" si="54"/>
        <v>0</v>
      </c>
      <c r="AD190" s="692">
        <f t="shared" si="44"/>
        <v>0</v>
      </c>
      <c r="AE190" s="692">
        <f t="shared" si="45"/>
        <v>0</v>
      </c>
      <c r="AF190" s="692">
        <f t="shared" si="46"/>
        <v>0</v>
      </c>
      <c r="AG190" s="38"/>
      <c r="AH190" s="692">
        <f t="shared" si="48"/>
        <v>0</v>
      </c>
      <c r="AI190" s="692">
        <f t="shared" si="49"/>
        <v>0</v>
      </c>
      <c r="AJ190" s="692">
        <f t="shared" si="50"/>
        <v>0</v>
      </c>
      <c r="AL190" s="38">
        <f t="shared" si="47"/>
        <v>0</v>
      </c>
      <c r="AM190" s="68" t="s">
        <v>923</v>
      </c>
    </row>
    <row r="191" spans="1:39">
      <c r="A191" s="20"/>
      <c r="B191" s="20" t="s">
        <v>110</v>
      </c>
      <c r="C191" s="667" t="s">
        <v>573</v>
      </c>
      <c r="D191" s="68" t="s">
        <v>102</v>
      </c>
      <c r="E191" s="820">
        <v>80975.179999999993</v>
      </c>
      <c r="F191" s="529">
        <f>VLOOKUP(D191,'Dec13 Revenue'!D:V,19,FALSE)</f>
        <v>0</v>
      </c>
      <c r="G191" s="680"/>
      <c r="H191" s="680"/>
      <c r="I191" s="770">
        <v>3631126.1307000001</v>
      </c>
      <c r="J191" s="682">
        <f t="shared" si="43"/>
        <v>3712101.3107000003</v>
      </c>
      <c r="K191" s="683"/>
      <c r="L191" s="684"/>
      <c r="M191" s="753"/>
      <c r="N191" s="683">
        <v>0</v>
      </c>
      <c r="O191" s="686"/>
      <c r="P191" s="683">
        <v>0</v>
      </c>
      <c r="Q191" s="687">
        <f t="shared" si="41"/>
        <v>0</v>
      </c>
      <c r="R191" s="687"/>
      <c r="S191" s="687"/>
      <c r="T191" s="688">
        <v>0</v>
      </c>
      <c r="U191" s="693"/>
      <c r="V191" s="690">
        <f t="shared" si="42"/>
        <v>0</v>
      </c>
      <c r="W191" s="697"/>
      <c r="X191" s="474">
        <f t="shared" si="51"/>
        <v>0</v>
      </c>
      <c r="Y191" s="474">
        <f t="shared" si="52"/>
        <v>0</v>
      </c>
      <c r="Z191" s="475">
        <f t="shared" si="53"/>
        <v>0</v>
      </c>
      <c r="AA191" s="475">
        <v>0</v>
      </c>
      <c r="AB191" s="476">
        <v>0</v>
      </c>
      <c r="AC191" s="38">
        <f t="shared" si="54"/>
        <v>0</v>
      </c>
      <c r="AD191" s="692">
        <f t="shared" si="44"/>
        <v>3712101.3107000003</v>
      </c>
      <c r="AE191" s="692">
        <f t="shared" si="45"/>
        <v>0</v>
      </c>
      <c r="AF191" s="692">
        <f t="shared" si="46"/>
        <v>0</v>
      </c>
      <c r="AG191" s="38"/>
      <c r="AH191" s="692">
        <f t="shared" si="48"/>
        <v>0</v>
      </c>
      <c r="AI191" s="692">
        <f t="shared" si="49"/>
        <v>0</v>
      </c>
      <c r="AJ191" s="692">
        <f t="shared" si="50"/>
        <v>0</v>
      </c>
      <c r="AL191" s="38">
        <f t="shared" si="47"/>
        <v>3712101.3107000003</v>
      </c>
      <c r="AM191" s="68" t="s">
        <v>102</v>
      </c>
    </row>
    <row r="192" spans="1:39">
      <c r="A192" s="20"/>
      <c r="B192" s="20" t="s">
        <v>110</v>
      </c>
      <c r="C192" s="667" t="s">
        <v>573</v>
      </c>
      <c r="D192" s="68" t="s">
        <v>1061</v>
      </c>
      <c r="E192" s="679"/>
      <c r="F192" s="529">
        <v>0</v>
      </c>
      <c r="G192" s="680"/>
      <c r="H192" s="680"/>
      <c r="I192" s="755"/>
      <c r="J192" s="682">
        <f t="shared" si="43"/>
        <v>0</v>
      </c>
      <c r="K192" s="683"/>
      <c r="L192" s="684"/>
      <c r="M192" s="753"/>
      <c r="N192" s="683">
        <v>0</v>
      </c>
      <c r="O192" s="686"/>
      <c r="P192" s="683">
        <v>0</v>
      </c>
      <c r="Q192" s="687">
        <f t="shared" si="41"/>
        <v>0</v>
      </c>
      <c r="R192" s="687"/>
      <c r="S192" s="687"/>
      <c r="T192" s="688">
        <v>0</v>
      </c>
      <c r="U192" s="693"/>
      <c r="V192" s="690">
        <f t="shared" si="42"/>
        <v>0</v>
      </c>
      <c r="W192" s="697"/>
      <c r="X192" s="474">
        <f t="shared" si="51"/>
        <v>0</v>
      </c>
      <c r="Y192" s="474">
        <f t="shared" si="52"/>
        <v>0</v>
      </c>
      <c r="Z192" s="475">
        <f t="shared" si="53"/>
        <v>0</v>
      </c>
      <c r="AA192" s="475">
        <v>0</v>
      </c>
      <c r="AB192" s="476">
        <v>0</v>
      </c>
      <c r="AC192" s="38">
        <f t="shared" si="54"/>
        <v>0</v>
      </c>
      <c r="AD192" s="692">
        <f t="shared" si="44"/>
        <v>0</v>
      </c>
      <c r="AE192" s="692">
        <f t="shared" si="45"/>
        <v>0</v>
      </c>
      <c r="AF192" s="692">
        <f t="shared" si="46"/>
        <v>0</v>
      </c>
      <c r="AG192" s="38"/>
      <c r="AH192" s="692">
        <f t="shared" si="48"/>
        <v>0</v>
      </c>
      <c r="AI192" s="692">
        <f t="shared" si="49"/>
        <v>0</v>
      </c>
      <c r="AJ192" s="692">
        <f t="shared" si="50"/>
        <v>0</v>
      </c>
      <c r="AL192" s="38">
        <f t="shared" si="47"/>
        <v>0</v>
      </c>
      <c r="AM192" s="68" t="s">
        <v>511</v>
      </c>
    </row>
    <row r="193" spans="1:39">
      <c r="A193" s="21"/>
      <c r="B193" s="21" t="s">
        <v>110</v>
      </c>
      <c r="C193" s="666"/>
      <c r="D193" s="68" t="s">
        <v>50</v>
      </c>
      <c r="E193" s="679"/>
      <c r="F193" s="529">
        <f>VLOOKUP(D193,'Dec13 Revenue'!D:V,19,FALSE)</f>
        <v>0</v>
      </c>
      <c r="G193" s="680"/>
      <c r="H193" s="680"/>
      <c r="I193" s="755"/>
      <c r="J193" s="682">
        <f t="shared" si="43"/>
        <v>0</v>
      </c>
      <c r="K193" s="683"/>
      <c r="L193" s="684"/>
      <c r="M193" s="753"/>
      <c r="N193" s="683">
        <v>0</v>
      </c>
      <c r="O193" s="686"/>
      <c r="P193" s="683">
        <v>0</v>
      </c>
      <c r="Q193" s="687">
        <f t="shared" si="41"/>
        <v>0</v>
      </c>
      <c r="R193" s="687"/>
      <c r="S193" s="687"/>
      <c r="T193" s="688">
        <v>0</v>
      </c>
      <c r="U193" s="693"/>
      <c r="V193" s="690">
        <f t="shared" si="42"/>
        <v>0</v>
      </c>
      <c r="W193" s="683"/>
      <c r="X193" s="474">
        <f t="shared" si="51"/>
        <v>0</v>
      </c>
      <c r="Y193" s="474">
        <f t="shared" si="52"/>
        <v>0</v>
      </c>
      <c r="Z193" s="475">
        <f t="shared" si="53"/>
        <v>0</v>
      </c>
      <c r="AA193" s="475">
        <v>0</v>
      </c>
      <c r="AB193" s="476">
        <v>0</v>
      </c>
      <c r="AC193" s="38">
        <f t="shared" si="54"/>
        <v>0</v>
      </c>
      <c r="AD193" s="692">
        <f t="shared" si="44"/>
        <v>0</v>
      </c>
      <c r="AE193" s="692">
        <f t="shared" si="45"/>
        <v>0</v>
      </c>
      <c r="AF193" s="692">
        <f t="shared" si="46"/>
        <v>0</v>
      </c>
      <c r="AG193" s="38"/>
      <c r="AH193" s="692">
        <f t="shared" si="48"/>
        <v>0</v>
      </c>
      <c r="AI193" s="692">
        <f t="shared" si="49"/>
        <v>0</v>
      </c>
      <c r="AJ193" s="692">
        <f t="shared" si="50"/>
        <v>0</v>
      </c>
      <c r="AL193" s="38">
        <f t="shared" si="47"/>
        <v>0</v>
      </c>
      <c r="AM193" s="68" t="s">
        <v>50</v>
      </c>
    </row>
    <row r="194" spans="1:39" hidden="1">
      <c r="A194" s="21"/>
      <c r="B194" s="21" t="s">
        <v>109</v>
      </c>
      <c r="C194" s="666"/>
      <c r="D194" s="68" t="s">
        <v>51</v>
      </c>
      <c r="E194" s="679"/>
      <c r="F194" s="529">
        <f>VLOOKUP(D194,'Dec13 Revenue'!D:V,19,FALSE)</f>
        <v>0</v>
      </c>
      <c r="G194" s="680"/>
      <c r="H194" s="680"/>
      <c r="I194" s="755"/>
      <c r="J194" s="682">
        <f t="shared" si="43"/>
        <v>0</v>
      </c>
      <c r="K194" s="683"/>
      <c r="L194" s="684"/>
      <c r="M194" s="753"/>
      <c r="N194" s="683">
        <v>0</v>
      </c>
      <c r="O194" s="686"/>
      <c r="P194" s="683">
        <v>0</v>
      </c>
      <c r="Q194" s="687">
        <f t="shared" si="41"/>
        <v>0</v>
      </c>
      <c r="R194" s="687"/>
      <c r="S194" s="687"/>
      <c r="T194" s="688">
        <v>0</v>
      </c>
      <c r="U194" s="693"/>
      <c r="V194" s="690">
        <f t="shared" si="42"/>
        <v>0</v>
      </c>
      <c r="W194" s="683"/>
      <c r="X194" s="474">
        <f t="shared" si="51"/>
        <v>0</v>
      </c>
      <c r="Y194" s="474">
        <f t="shared" si="52"/>
        <v>0</v>
      </c>
      <c r="Z194" s="475">
        <f t="shared" si="53"/>
        <v>0</v>
      </c>
      <c r="AA194" s="475">
        <v>0</v>
      </c>
      <c r="AB194" s="476">
        <v>0</v>
      </c>
      <c r="AC194" s="38">
        <f t="shared" si="54"/>
        <v>0</v>
      </c>
      <c r="AD194" s="692">
        <f t="shared" si="44"/>
        <v>0</v>
      </c>
      <c r="AE194" s="692">
        <f t="shared" si="45"/>
        <v>0</v>
      </c>
      <c r="AF194" s="692">
        <f t="shared" si="46"/>
        <v>0</v>
      </c>
      <c r="AG194" s="38"/>
      <c r="AH194" s="692">
        <f t="shared" si="48"/>
        <v>0</v>
      </c>
      <c r="AI194" s="692">
        <f t="shared" si="49"/>
        <v>0</v>
      </c>
      <c r="AJ194" s="692">
        <f t="shared" si="50"/>
        <v>0</v>
      </c>
      <c r="AL194" s="38">
        <f t="shared" si="47"/>
        <v>0</v>
      </c>
      <c r="AM194" s="68" t="s">
        <v>51</v>
      </c>
    </row>
    <row r="195" spans="1:39">
      <c r="A195" s="21"/>
      <c r="B195" s="21" t="s">
        <v>109</v>
      </c>
      <c r="C195" s="666"/>
      <c r="D195" s="68" t="s">
        <v>107</v>
      </c>
      <c r="E195" s="679"/>
      <c r="F195" s="529">
        <f>VLOOKUP(D195,'Dec13 Revenue'!D:V,19,FALSE)</f>
        <v>0</v>
      </c>
      <c r="G195" s="680"/>
      <c r="H195" s="680"/>
      <c r="I195" s="755"/>
      <c r="J195" s="682">
        <f t="shared" si="43"/>
        <v>0</v>
      </c>
      <c r="K195" s="683"/>
      <c r="L195" s="684"/>
      <c r="M195" s="753"/>
      <c r="N195" s="683">
        <v>0</v>
      </c>
      <c r="O195" s="686"/>
      <c r="P195" s="683">
        <v>0</v>
      </c>
      <c r="Q195" s="687">
        <f t="shared" si="41"/>
        <v>0</v>
      </c>
      <c r="R195" s="687"/>
      <c r="S195" s="687"/>
      <c r="T195" s="688">
        <v>0</v>
      </c>
      <c r="U195" s="693"/>
      <c r="V195" s="690">
        <f t="shared" si="42"/>
        <v>0</v>
      </c>
      <c r="W195" s="683"/>
      <c r="X195" s="474">
        <f t="shared" si="51"/>
        <v>0</v>
      </c>
      <c r="Y195" s="474">
        <f t="shared" si="52"/>
        <v>0</v>
      </c>
      <c r="Z195" s="475">
        <f t="shared" si="53"/>
        <v>0</v>
      </c>
      <c r="AA195" s="475">
        <v>0</v>
      </c>
      <c r="AB195" s="476">
        <v>0</v>
      </c>
      <c r="AC195" s="38">
        <f t="shared" si="54"/>
        <v>0</v>
      </c>
      <c r="AD195" s="692">
        <f t="shared" si="44"/>
        <v>0</v>
      </c>
      <c r="AE195" s="692">
        <f t="shared" si="45"/>
        <v>0</v>
      </c>
      <c r="AF195" s="692">
        <f t="shared" si="46"/>
        <v>0</v>
      </c>
      <c r="AG195" s="38"/>
      <c r="AH195" s="692">
        <f t="shared" si="48"/>
        <v>0</v>
      </c>
      <c r="AI195" s="692">
        <f t="shared" si="49"/>
        <v>0</v>
      </c>
      <c r="AJ195" s="692">
        <f t="shared" si="50"/>
        <v>0</v>
      </c>
      <c r="AL195" s="38">
        <f t="shared" si="47"/>
        <v>0</v>
      </c>
      <c r="AM195" s="68" t="s">
        <v>107</v>
      </c>
    </row>
    <row r="196" spans="1:39" hidden="1">
      <c r="A196" s="21"/>
      <c r="B196" s="21" t="s">
        <v>109</v>
      </c>
      <c r="C196" s="666"/>
      <c r="D196" s="68" t="s">
        <v>467</v>
      </c>
      <c r="E196" s="679"/>
      <c r="F196" s="529">
        <f>VLOOKUP(D196,'Dec13 Revenue'!D:V,19,FALSE)</f>
        <v>0</v>
      </c>
      <c r="G196" s="680"/>
      <c r="H196" s="680"/>
      <c r="I196" s="755"/>
      <c r="J196" s="682">
        <f t="shared" si="43"/>
        <v>0</v>
      </c>
      <c r="K196" s="683"/>
      <c r="L196" s="684"/>
      <c r="M196" s="753"/>
      <c r="N196" s="683">
        <v>0</v>
      </c>
      <c r="O196" s="686"/>
      <c r="P196" s="683">
        <v>0</v>
      </c>
      <c r="Q196" s="687">
        <f t="shared" si="41"/>
        <v>0</v>
      </c>
      <c r="R196" s="687"/>
      <c r="S196" s="687"/>
      <c r="T196" s="688">
        <v>0</v>
      </c>
      <c r="U196" s="693"/>
      <c r="V196" s="690">
        <f t="shared" si="42"/>
        <v>0</v>
      </c>
      <c r="W196" s="683"/>
      <c r="X196" s="474">
        <f t="shared" si="51"/>
        <v>0</v>
      </c>
      <c r="Y196" s="474">
        <f t="shared" si="52"/>
        <v>0</v>
      </c>
      <c r="Z196" s="475">
        <f t="shared" si="53"/>
        <v>0</v>
      </c>
      <c r="AA196" s="475">
        <v>0</v>
      </c>
      <c r="AB196" s="476">
        <v>0</v>
      </c>
      <c r="AC196" s="38">
        <f t="shared" si="54"/>
        <v>0</v>
      </c>
      <c r="AD196" s="692">
        <f t="shared" si="44"/>
        <v>0</v>
      </c>
      <c r="AE196" s="692">
        <f t="shared" si="45"/>
        <v>0</v>
      </c>
      <c r="AF196" s="692">
        <f t="shared" si="46"/>
        <v>0</v>
      </c>
      <c r="AG196" s="38"/>
      <c r="AH196" s="692">
        <f t="shared" si="48"/>
        <v>0</v>
      </c>
      <c r="AI196" s="692">
        <f t="shared" si="49"/>
        <v>0</v>
      </c>
      <c r="AJ196" s="692">
        <f t="shared" si="50"/>
        <v>0</v>
      </c>
      <c r="AL196" s="38">
        <f t="shared" si="47"/>
        <v>0</v>
      </c>
      <c r="AM196" s="68" t="s">
        <v>467</v>
      </c>
    </row>
    <row r="197" spans="1:39">
      <c r="A197" s="21"/>
      <c r="B197" s="21" t="s">
        <v>110</v>
      </c>
      <c r="C197" s="666"/>
      <c r="D197" s="68" t="s">
        <v>1012</v>
      </c>
      <c r="E197" s="679">
        <v>2066.46</v>
      </c>
      <c r="F197" s="529">
        <f>VLOOKUP(D197,'Dec13 Revenue'!D:V,19,FALSE)</f>
        <v>0</v>
      </c>
      <c r="G197" s="680"/>
      <c r="H197" s="680"/>
      <c r="I197" s="755"/>
      <c r="J197" s="682">
        <f t="shared" si="43"/>
        <v>2066.46</v>
      </c>
      <c r="K197" s="683"/>
      <c r="L197" s="684"/>
      <c r="M197" s="753"/>
      <c r="N197" s="683">
        <v>0</v>
      </c>
      <c r="O197" s="686"/>
      <c r="P197" s="683">
        <v>0</v>
      </c>
      <c r="Q197" s="687">
        <f t="shared" si="41"/>
        <v>0</v>
      </c>
      <c r="R197" s="687"/>
      <c r="S197" s="687"/>
      <c r="T197" s="688">
        <v>1885.12</v>
      </c>
      <c r="U197" s="693"/>
      <c r="V197" s="690">
        <f t="shared" si="42"/>
        <v>1885.12</v>
      </c>
      <c r="W197" s="683"/>
      <c r="X197" s="474">
        <f t="shared" si="51"/>
        <v>0</v>
      </c>
      <c r="Y197" s="474">
        <f t="shared" si="52"/>
        <v>0</v>
      </c>
      <c r="Z197" s="475">
        <f t="shared" si="53"/>
        <v>0</v>
      </c>
      <c r="AA197" s="475">
        <v>0</v>
      </c>
      <c r="AB197" s="476">
        <v>0</v>
      </c>
      <c r="AC197" s="38">
        <f t="shared" si="54"/>
        <v>0</v>
      </c>
      <c r="AD197" s="692">
        <f t="shared" si="44"/>
        <v>2066.46</v>
      </c>
      <c r="AE197" s="692">
        <f t="shared" si="45"/>
        <v>0</v>
      </c>
      <c r="AF197" s="692">
        <f t="shared" si="46"/>
        <v>0</v>
      </c>
      <c r="AG197" s="38"/>
      <c r="AH197" s="692">
        <f t="shared" si="48"/>
        <v>0</v>
      </c>
      <c r="AI197" s="692">
        <f t="shared" si="49"/>
        <v>0</v>
      </c>
      <c r="AJ197" s="692">
        <f t="shared" si="50"/>
        <v>0</v>
      </c>
      <c r="AL197" s="38">
        <f t="shared" si="47"/>
        <v>2066.46</v>
      </c>
      <c r="AM197" s="68" t="s">
        <v>1012</v>
      </c>
    </row>
    <row r="198" spans="1:39">
      <c r="A198" s="21"/>
      <c r="B198" s="21" t="s">
        <v>109</v>
      </c>
      <c r="C198" s="666" t="s">
        <v>575</v>
      </c>
      <c r="D198" s="68" t="s">
        <v>54</v>
      </c>
      <c r="E198" s="679"/>
      <c r="F198" s="529">
        <f>VLOOKUP(D198,'Dec13 Revenue'!D:V,19,FALSE)</f>
        <v>0</v>
      </c>
      <c r="G198" s="680"/>
      <c r="H198" s="680"/>
      <c r="I198" s="755"/>
      <c r="J198" s="682">
        <f t="shared" si="43"/>
        <v>0</v>
      </c>
      <c r="K198" s="683"/>
      <c r="L198" s="684"/>
      <c r="M198" s="753"/>
      <c r="N198" s="683">
        <v>0</v>
      </c>
      <c r="O198" s="686"/>
      <c r="P198" s="683">
        <v>0</v>
      </c>
      <c r="Q198" s="687">
        <f t="shared" si="41"/>
        <v>0</v>
      </c>
      <c r="R198" s="687"/>
      <c r="S198" s="687"/>
      <c r="T198" s="688">
        <v>0</v>
      </c>
      <c r="U198" s="693"/>
      <c r="V198" s="690">
        <f t="shared" si="42"/>
        <v>0</v>
      </c>
      <c r="W198" s="683"/>
      <c r="X198" s="474">
        <f t="shared" si="51"/>
        <v>0</v>
      </c>
      <c r="Y198" s="474">
        <f t="shared" si="52"/>
        <v>0</v>
      </c>
      <c r="Z198" s="475">
        <f t="shared" si="53"/>
        <v>0</v>
      </c>
      <c r="AA198" s="475">
        <v>0</v>
      </c>
      <c r="AB198" s="476">
        <v>0</v>
      </c>
      <c r="AC198" s="38">
        <f t="shared" si="54"/>
        <v>0</v>
      </c>
      <c r="AD198" s="692">
        <f t="shared" si="44"/>
        <v>0</v>
      </c>
      <c r="AE198" s="692">
        <f t="shared" si="45"/>
        <v>0</v>
      </c>
      <c r="AF198" s="692">
        <f t="shared" si="46"/>
        <v>0</v>
      </c>
      <c r="AG198" s="38"/>
      <c r="AH198" s="692">
        <f t="shared" si="48"/>
        <v>0</v>
      </c>
      <c r="AI198" s="692">
        <f t="shared" si="49"/>
        <v>0</v>
      </c>
      <c r="AJ198" s="692">
        <f t="shared" si="50"/>
        <v>0</v>
      </c>
      <c r="AL198" s="38">
        <f t="shared" si="47"/>
        <v>0</v>
      </c>
      <c r="AM198" s="68" t="s">
        <v>54</v>
      </c>
    </row>
    <row r="199" spans="1:39" hidden="1">
      <c r="A199" s="20"/>
      <c r="B199" s="20" t="s">
        <v>110</v>
      </c>
      <c r="C199" s="667" t="s">
        <v>576</v>
      </c>
      <c r="D199" s="68" t="s">
        <v>394</v>
      </c>
      <c r="E199" s="679"/>
      <c r="F199" s="529">
        <f>VLOOKUP(D199,'Dec13 Revenue'!D:V,19,FALSE)</f>
        <v>0</v>
      </c>
      <c r="G199" s="680"/>
      <c r="H199" s="680"/>
      <c r="I199" s="755"/>
      <c r="J199" s="682">
        <f t="shared" si="43"/>
        <v>0</v>
      </c>
      <c r="K199" s="683"/>
      <c r="L199" s="684"/>
      <c r="M199" s="753"/>
      <c r="N199" s="683">
        <v>0</v>
      </c>
      <c r="O199" s="686"/>
      <c r="P199" s="683">
        <v>0</v>
      </c>
      <c r="Q199" s="687">
        <f t="shared" si="41"/>
        <v>0</v>
      </c>
      <c r="R199" s="687"/>
      <c r="S199" s="687"/>
      <c r="T199" s="688">
        <v>0</v>
      </c>
      <c r="U199" s="693"/>
      <c r="V199" s="690">
        <f t="shared" si="42"/>
        <v>0</v>
      </c>
      <c r="W199" s="683"/>
      <c r="X199" s="474">
        <f t="shared" si="51"/>
        <v>0</v>
      </c>
      <c r="Y199" s="474">
        <f t="shared" si="52"/>
        <v>0</v>
      </c>
      <c r="Z199" s="475">
        <f t="shared" si="53"/>
        <v>0</v>
      </c>
      <c r="AA199" s="475">
        <v>0</v>
      </c>
      <c r="AB199" s="476">
        <v>0</v>
      </c>
      <c r="AC199" s="38">
        <f t="shared" si="54"/>
        <v>0</v>
      </c>
      <c r="AD199" s="692">
        <f t="shared" si="44"/>
        <v>0</v>
      </c>
      <c r="AE199" s="692">
        <f t="shared" si="45"/>
        <v>0</v>
      </c>
      <c r="AF199" s="692">
        <f t="shared" si="46"/>
        <v>0</v>
      </c>
      <c r="AG199" s="38"/>
      <c r="AH199" s="692">
        <f t="shared" si="48"/>
        <v>0</v>
      </c>
      <c r="AI199" s="692">
        <f t="shared" si="49"/>
        <v>0</v>
      </c>
      <c r="AJ199" s="692">
        <f t="shared" si="50"/>
        <v>0</v>
      </c>
      <c r="AL199" s="38">
        <f t="shared" si="47"/>
        <v>0</v>
      </c>
      <c r="AM199" s="68" t="s">
        <v>394</v>
      </c>
    </row>
    <row r="200" spans="1:39">
      <c r="A200" s="20"/>
      <c r="B200" s="20" t="s">
        <v>110</v>
      </c>
      <c r="C200" s="667"/>
      <c r="D200" s="68" t="s">
        <v>55</v>
      </c>
      <c r="E200" s="679"/>
      <c r="F200" s="529">
        <f>VLOOKUP(D200,'Dec13 Revenue'!D:V,19,FALSE)</f>
        <v>0</v>
      </c>
      <c r="G200" s="680"/>
      <c r="H200" s="680"/>
      <c r="I200" s="770">
        <v>382.14</v>
      </c>
      <c r="J200" s="682">
        <f t="shared" si="43"/>
        <v>382.14</v>
      </c>
      <c r="K200" s="683"/>
      <c r="L200" s="684"/>
      <c r="M200" s="753"/>
      <c r="N200" s="683">
        <v>0</v>
      </c>
      <c r="O200" s="686"/>
      <c r="P200" s="683">
        <v>0</v>
      </c>
      <c r="Q200" s="687">
        <f t="shared" si="41"/>
        <v>0</v>
      </c>
      <c r="R200" s="687"/>
      <c r="S200" s="687"/>
      <c r="T200" s="688">
        <v>0</v>
      </c>
      <c r="U200" s="693"/>
      <c r="V200" s="690">
        <f t="shared" si="42"/>
        <v>0</v>
      </c>
      <c r="W200" s="683"/>
      <c r="X200" s="474">
        <f t="shared" si="51"/>
        <v>0</v>
      </c>
      <c r="Y200" s="474">
        <f t="shared" si="52"/>
        <v>0</v>
      </c>
      <c r="Z200" s="475">
        <f t="shared" si="53"/>
        <v>0</v>
      </c>
      <c r="AA200" s="475">
        <v>0</v>
      </c>
      <c r="AB200" s="476">
        <v>0</v>
      </c>
      <c r="AC200" s="38">
        <f t="shared" si="54"/>
        <v>0</v>
      </c>
      <c r="AD200" s="692">
        <f t="shared" si="44"/>
        <v>382.14</v>
      </c>
      <c r="AE200" s="692">
        <f t="shared" si="45"/>
        <v>0</v>
      </c>
      <c r="AF200" s="692">
        <f t="shared" si="46"/>
        <v>0</v>
      </c>
      <c r="AG200" s="38"/>
      <c r="AH200" s="692">
        <f t="shared" si="48"/>
        <v>0</v>
      </c>
      <c r="AI200" s="692">
        <f t="shared" si="49"/>
        <v>0</v>
      </c>
      <c r="AJ200" s="692">
        <f t="shared" si="50"/>
        <v>0</v>
      </c>
      <c r="AL200" s="38">
        <f t="shared" si="47"/>
        <v>382.14</v>
      </c>
      <c r="AM200" s="68" t="s">
        <v>55</v>
      </c>
    </row>
    <row r="201" spans="1:39">
      <c r="A201" s="21"/>
      <c r="B201" s="21" t="s">
        <v>110</v>
      </c>
      <c r="C201" s="666"/>
      <c r="D201" s="68" t="s">
        <v>1052</v>
      </c>
      <c r="E201" s="679">
        <v>72198.27</v>
      </c>
      <c r="F201" s="529">
        <f>VLOOKUP(D201,'Dec13 Revenue'!D:V,19,FALSE)</f>
        <v>0</v>
      </c>
      <c r="G201" s="680"/>
      <c r="H201" s="680"/>
      <c r="I201" s="755"/>
      <c r="J201" s="682">
        <f t="shared" ref="J201" si="55">SUM(E201:I201)</f>
        <v>72198.27</v>
      </c>
      <c r="K201" s="683"/>
      <c r="L201" s="684"/>
      <c r="M201" s="753"/>
      <c r="N201" s="683">
        <v>0</v>
      </c>
      <c r="O201" s="686"/>
      <c r="P201" s="683">
        <v>0</v>
      </c>
      <c r="Q201" s="687">
        <f t="shared" ref="Q201" si="56">L201+M201</f>
        <v>0</v>
      </c>
      <c r="R201" s="687"/>
      <c r="S201" s="687"/>
      <c r="T201" s="688">
        <v>0</v>
      </c>
      <c r="U201" s="693"/>
      <c r="V201" s="690">
        <f t="shared" si="42"/>
        <v>0</v>
      </c>
      <c r="W201" s="683"/>
      <c r="X201" s="474">
        <f t="shared" ref="X201" si="57">IF(B201="D",Q201,0)</f>
        <v>0</v>
      </c>
      <c r="Y201" s="474">
        <f t="shared" ref="Y201" si="58">IF(B201="M",Q201,0)</f>
        <v>0</v>
      </c>
      <c r="Z201" s="475">
        <f t="shared" ref="Z201" si="59">IF(B201="V",Q201,0)</f>
        <v>0</v>
      </c>
      <c r="AA201" s="475">
        <v>0</v>
      </c>
      <c r="AB201" s="476">
        <v>0</v>
      </c>
      <c r="AC201" s="38">
        <f t="shared" ref="AC201" si="60">(L201+M201)-(X201+Y201+Z201+AA201+AB201)</f>
        <v>0</v>
      </c>
      <c r="AD201" s="692">
        <f t="shared" ref="AD201" si="61">IF(B201="D",J201,0)</f>
        <v>72198.27</v>
      </c>
      <c r="AE201" s="692">
        <f t="shared" ref="AE201" si="62">IF(B201="M",J201,0)</f>
        <v>0</v>
      </c>
      <c r="AF201" s="692">
        <f t="shared" ref="AF201" si="63">IF(B201="V",J201,0)</f>
        <v>0</v>
      </c>
      <c r="AG201" s="38"/>
      <c r="AH201" s="692">
        <f t="shared" ref="AH201" si="64">IF(B201="D",Q201,0)</f>
        <v>0</v>
      </c>
      <c r="AI201" s="692">
        <f t="shared" ref="AI201" si="65">IF(B201="M",Q201,0)</f>
        <v>0</v>
      </c>
      <c r="AJ201" s="692">
        <f t="shared" ref="AJ201" si="66">IF(B201="V",Q201,0)</f>
        <v>0</v>
      </c>
      <c r="AL201" s="38">
        <f t="shared" ref="AL201" si="67">SUM(AD201:AJ201)</f>
        <v>72198.27</v>
      </c>
      <c r="AM201" s="68" t="s">
        <v>985</v>
      </c>
    </row>
    <row r="202" spans="1:39">
      <c r="A202" s="20"/>
      <c r="B202" s="20" t="s">
        <v>110</v>
      </c>
      <c r="C202" s="676" t="s">
        <v>854</v>
      </c>
      <c r="D202" s="68" t="s">
        <v>855</v>
      </c>
      <c r="E202" s="679"/>
      <c r="F202" s="529">
        <f>VLOOKUP(D202,'Dec13 Revenue'!D:V,19,FALSE)</f>
        <v>0</v>
      </c>
      <c r="G202" s="680"/>
      <c r="H202" s="680"/>
      <c r="I202" s="755"/>
      <c r="J202" s="682">
        <f t="shared" si="43"/>
        <v>0</v>
      </c>
      <c r="K202" s="683"/>
      <c r="L202" s="684"/>
      <c r="M202" s="753"/>
      <c r="N202" s="683">
        <v>0</v>
      </c>
      <c r="O202" s="686"/>
      <c r="P202" s="683">
        <v>0</v>
      </c>
      <c r="Q202" s="687">
        <f t="shared" si="41"/>
        <v>0</v>
      </c>
      <c r="R202" s="687"/>
      <c r="S202" s="687"/>
      <c r="T202" s="688">
        <v>0</v>
      </c>
      <c r="U202" s="693"/>
      <c r="V202" s="690">
        <f t="shared" si="42"/>
        <v>0</v>
      </c>
      <c r="W202" s="683"/>
      <c r="X202" s="474">
        <f t="shared" si="51"/>
        <v>0</v>
      </c>
      <c r="Y202" s="474">
        <f t="shared" si="52"/>
        <v>0</v>
      </c>
      <c r="Z202" s="475">
        <f t="shared" si="53"/>
        <v>0</v>
      </c>
      <c r="AA202" s="475">
        <v>0</v>
      </c>
      <c r="AB202" s="476">
        <v>0</v>
      </c>
      <c r="AC202" s="38">
        <f t="shared" si="54"/>
        <v>0</v>
      </c>
      <c r="AD202" s="692">
        <f t="shared" si="44"/>
        <v>0</v>
      </c>
      <c r="AE202" s="692">
        <f t="shared" si="45"/>
        <v>0</v>
      </c>
      <c r="AF202" s="692">
        <f t="shared" si="46"/>
        <v>0</v>
      </c>
      <c r="AG202" s="38"/>
      <c r="AH202" s="692">
        <f t="shared" si="48"/>
        <v>0</v>
      </c>
      <c r="AI202" s="692">
        <f t="shared" si="49"/>
        <v>0</v>
      </c>
      <c r="AJ202" s="692">
        <f t="shared" si="50"/>
        <v>0</v>
      </c>
      <c r="AL202" s="38">
        <f t="shared" si="47"/>
        <v>0</v>
      </c>
      <c r="AM202" s="68" t="s">
        <v>855</v>
      </c>
    </row>
    <row r="203" spans="1:39">
      <c r="A203" s="21"/>
      <c r="B203" s="21" t="s">
        <v>110</v>
      </c>
      <c r="C203" s="666"/>
      <c r="D203" s="806" t="s">
        <v>1051</v>
      </c>
      <c r="E203" s="679"/>
      <c r="F203" s="529">
        <f>VLOOKUP(D203,'Dec13 Revenue'!D:V,19,FALSE)</f>
        <v>1106.8499999999999</v>
      </c>
      <c r="G203" s="680"/>
      <c r="H203" s="680"/>
      <c r="I203" s="755"/>
      <c r="J203" s="682">
        <f t="shared" ref="J203" si="68">SUM(E203:I203)</f>
        <v>1106.8499999999999</v>
      </c>
      <c r="K203" s="683"/>
      <c r="L203" s="684"/>
      <c r="M203" s="753"/>
      <c r="N203" s="683">
        <v>0</v>
      </c>
      <c r="O203" s="686"/>
      <c r="P203" s="683">
        <v>0</v>
      </c>
      <c r="Q203" s="687">
        <f t="shared" ref="Q203" si="69">L203+M203</f>
        <v>0</v>
      </c>
      <c r="R203" s="687"/>
      <c r="S203" s="687"/>
      <c r="T203" s="688">
        <v>796.3</v>
      </c>
      <c r="U203" s="693"/>
      <c r="V203" s="690">
        <f t="shared" si="42"/>
        <v>796.3</v>
      </c>
      <c r="W203" s="683"/>
      <c r="X203" s="474">
        <f t="shared" ref="X203" si="70">IF(B203="D",Q203,0)</f>
        <v>0</v>
      </c>
      <c r="Y203" s="474">
        <f t="shared" ref="Y203" si="71">IF(B203="M",Q203,0)</f>
        <v>0</v>
      </c>
      <c r="Z203" s="475">
        <f t="shared" ref="Z203" si="72">IF(B203="V",Q203,0)</f>
        <v>0</v>
      </c>
      <c r="AA203" s="475">
        <v>0</v>
      </c>
      <c r="AB203" s="476">
        <v>0</v>
      </c>
      <c r="AC203" s="38">
        <f t="shared" ref="AC203" si="73">(L203+M203)-(X203+Y203+Z203+AA203+AB203)</f>
        <v>0</v>
      </c>
      <c r="AD203" s="692">
        <f t="shared" ref="AD203" si="74">IF(B203="D",J203,0)</f>
        <v>1106.8499999999999</v>
      </c>
      <c r="AE203" s="692">
        <f t="shared" ref="AE203" si="75">IF(B203="M",J203,0)</f>
        <v>0</v>
      </c>
      <c r="AF203" s="692">
        <f t="shared" ref="AF203" si="76">IF(B203="V",J203,0)</f>
        <v>0</v>
      </c>
      <c r="AG203" s="38"/>
      <c r="AH203" s="692">
        <f t="shared" ref="AH203" si="77">IF(B203="D",Q203,0)</f>
        <v>0</v>
      </c>
      <c r="AI203" s="692">
        <f t="shared" ref="AI203" si="78">IF(B203="M",Q203,0)</f>
        <v>0</v>
      </c>
      <c r="AJ203" s="692">
        <f t="shared" ref="AJ203" si="79">IF(B203="V",Q203,0)</f>
        <v>0</v>
      </c>
      <c r="AL203" s="38">
        <f t="shared" ref="AL203" si="80">SUM(AD203:AJ203)</f>
        <v>1106.8499999999999</v>
      </c>
      <c r="AM203" s="806" t="s">
        <v>388</v>
      </c>
    </row>
    <row r="204" spans="1:39">
      <c r="A204" s="20"/>
      <c r="B204" s="20" t="s">
        <v>109</v>
      </c>
      <c r="C204" s="667" t="s">
        <v>577</v>
      </c>
      <c r="D204" s="68" t="s">
        <v>159</v>
      </c>
      <c r="E204" s="679"/>
      <c r="F204" s="529">
        <f>VLOOKUP(D204,'Dec13 Revenue'!D:V,19,FALSE)</f>
        <v>0</v>
      </c>
      <c r="G204" s="680"/>
      <c r="H204" s="680"/>
      <c r="I204" s="770">
        <v>11472.72</v>
      </c>
      <c r="J204" s="682">
        <f t="shared" si="43"/>
        <v>11472.72</v>
      </c>
      <c r="K204" s="683"/>
      <c r="L204" s="684"/>
      <c r="M204" s="753"/>
      <c r="N204" s="683">
        <v>0</v>
      </c>
      <c r="O204" s="686"/>
      <c r="P204" s="683">
        <v>0</v>
      </c>
      <c r="Q204" s="687">
        <f t="shared" si="41"/>
        <v>0</v>
      </c>
      <c r="R204" s="687"/>
      <c r="S204" s="687"/>
      <c r="T204" s="688">
        <v>0</v>
      </c>
      <c r="U204" s="693"/>
      <c r="V204" s="690">
        <f t="shared" si="42"/>
        <v>0</v>
      </c>
      <c r="W204" s="683"/>
      <c r="X204" s="474">
        <f t="shared" si="51"/>
        <v>0</v>
      </c>
      <c r="Y204" s="474">
        <f t="shared" si="52"/>
        <v>0</v>
      </c>
      <c r="Z204" s="475">
        <f t="shared" si="53"/>
        <v>0</v>
      </c>
      <c r="AA204" s="475">
        <v>0</v>
      </c>
      <c r="AB204" s="476">
        <v>0</v>
      </c>
      <c r="AC204" s="38">
        <f t="shared" si="54"/>
        <v>0</v>
      </c>
      <c r="AD204" s="692">
        <f t="shared" si="44"/>
        <v>0</v>
      </c>
      <c r="AE204" s="692">
        <f t="shared" si="45"/>
        <v>11472.72</v>
      </c>
      <c r="AF204" s="692">
        <f t="shared" si="46"/>
        <v>0</v>
      </c>
      <c r="AG204" s="38"/>
      <c r="AH204" s="692">
        <f t="shared" si="48"/>
        <v>0</v>
      </c>
      <c r="AI204" s="692">
        <f t="shared" si="49"/>
        <v>0</v>
      </c>
      <c r="AJ204" s="692">
        <f t="shared" si="50"/>
        <v>0</v>
      </c>
      <c r="AL204" s="38">
        <f t="shared" si="47"/>
        <v>11472.72</v>
      </c>
      <c r="AM204" s="68" t="s">
        <v>159</v>
      </c>
    </row>
    <row r="205" spans="1:39">
      <c r="A205" s="20"/>
      <c r="B205" s="20" t="s">
        <v>109</v>
      </c>
      <c r="C205" s="667" t="s">
        <v>577</v>
      </c>
      <c r="D205" s="68" t="s">
        <v>160</v>
      </c>
      <c r="E205" s="679"/>
      <c r="F205" s="529">
        <f>VLOOKUP(D205,'Dec13 Revenue'!D:V,19,FALSE)</f>
        <v>0</v>
      </c>
      <c r="G205" s="680"/>
      <c r="H205" s="680"/>
      <c r="I205" s="770">
        <v>9459.7000000000007</v>
      </c>
      <c r="J205" s="682">
        <f t="shared" si="43"/>
        <v>9459.7000000000007</v>
      </c>
      <c r="K205" s="683"/>
      <c r="L205" s="684"/>
      <c r="M205" s="753"/>
      <c r="N205" s="683">
        <v>0</v>
      </c>
      <c r="O205" s="686"/>
      <c r="P205" s="683">
        <v>0</v>
      </c>
      <c r="Q205" s="687">
        <f t="shared" si="41"/>
        <v>0</v>
      </c>
      <c r="R205" s="687"/>
      <c r="S205" s="687"/>
      <c r="T205" s="688">
        <v>0</v>
      </c>
      <c r="U205" s="693"/>
      <c r="V205" s="690">
        <f t="shared" si="42"/>
        <v>0</v>
      </c>
      <c r="W205" s="683"/>
      <c r="X205" s="474">
        <f t="shared" si="51"/>
        <v>0</v>
      </c>
      <c r="Y205" s="474">
        <f t="shared" si="52"/>
        <v>0</v>
      </c>
      <c r="Z205" s="475">
        <f t="shared" si="53"/>
        <v>0</v>
      </c>
      <c r="AA205" s="475">
        <v>0</v>
      </c>
      <c r="AB205" s="476">
        <v>0</v>
      </c>
      <c r="AC205" s="38">
        <f t="shared" si="54"/>
        <v>0</v>
      </c>
      <c r="AD205" s="692">
        <f t="shared" si="44"/>
        <v>0</v>
      </c>
      <c r="AE205" s="692">
        <f t="shared" si="45"/>
        <v>9459.7000000000007</v>
      </c>
      <c r="AF205" s="692">
        <f t="shared" si="46"/>
        <v>0</v>
      </c>
      <c r="AG205" s="38"/>
      <c r="AH205" s="692">
        <f t="shared" si="48"/>
        <v>0</v>
      </c>
      <c r="AI205" s="692">
        <f t="shared" si="49"/>
        <v>0</v>
      </c>
      <c r="AJ205" s="692">
        <f t="shared" si="50"/>
        <v>0</v>
      </c>
      <c r="AL205" s="38">
        <f t="shared" si="47"/>
        <v>9459.7000000000007</v>
      </c>
      <c r="AM205" s="68" t="s">
        <v>160</v>
      </c>
    </row>
    <row r="206" spans="1:39" hidden="1">
      <c r="A206" s="21"/>
      <c r="B206" s="21" t="s">
        <v>109</v>
      </c>
      <c r="C206" s="667" t="s">
        <v>577</v>
      </c>
      <c r="D206" s="68" t="s">
        <v>161</v>
      </c>
      <c r="E206" s="679"/>
      <c r="F206" s="529">
        <f>VLOOKUP(D206,'Dec13 Revenue'!D:V,19,FALSE)</f>
        <v>0</v>
      </c>
      <c r="G206" s="680"/>
      <c r="H206" s="680"/>
      <c r="I206" s="770"/>
      <c r="J206" s="682">
        <f t="shared" si="43"/>
        <v>0</v>
      </c>
      <c r="K206" s="683"/>
      <c r="L206" s="684"/>
      <c r="M206" s="753"/>
      <c r="N206" s="683">
        <v>0</v>
      </c>
      <c r="O206" s="686"/>
      <c r="P206" s="683">
        <v>0</v>
      </c>
      <c r="Q206" s="687">
        <f t="shared" si="41"/>
        <v>0</v>
      </c>
      <c r="R206" s="687"/>
      <c r="S206" s="687"/>
      <c r="T206" s="688">
        <v>0</v>
      </c>
      <c r="U206" s="693"/>
      <c r="V206" s="690">
        <f t="shared" si="42"/>
        <v>0</v>
      </c>
      <c r="W206" s="683"/>
      <c r="X206" s="474">
        <f t="shared" si="51"/>
        <v>0</v>
      </c>
      <c r="Y206" s="474">
        <f t="shared" si="52"/>
        <v>0</v>
      </c>
      <c r="Z206" s="475">
        <f t="shared" si="53"/>
        <v>0</v>
      </c>
      <c r="AA206" s="475">
        <v>0</v>
      </c>
      <c r="AB206" s="476">
        <v>0</v>
      </c>
      <c r="AC206" s="38">
        <f t="shared" si="54"/>
        <v>0</v>
      </c>
      <c r="AD206" s="692">
        <f t="shared" si="44"/>
        <v>0</v>
      </c>
      <c r="AE206" s="692">
        <f t="shared" si="45"/>
        <v>0</v>
      </c>
      <c r="AF206" s="692">
        <f t="shared" si="46"/>
        <v>0</v>
      </c>
      <c r="AG206" s="38"/>
      <c r="AH206" s="692">
        <f t="shared" si="48"/>
        <v>0</v>
      </c>
      <c r="AI206" s="692">
        <f t="shared" si="49"/>
        <v>0</v>
      </c>
      <c r="AJ206" s="692">
        <f t="shared" si="50"/>
        <v>0</v>
      </c>
      <c r="AL206" s="38">
        <f t="shared" si="47"/>
        <v>0</v>
      </c>
      <c r="AM206" s="68" t="s">
        <v>161</v>
      </c>
    </row>
    <row r="207" spans="1:39" hidden="1">
      <c r="A207" s="21"/>
      <c r="B207" s="21" t="s">
        <v>109</v>
      </c>
      <c r="C207" s="667" t="s">
        <v>577</v>
      </c>
      <c r="D207" s="68" t="s">
        <v>162</v>
      </c>
      <c r="E207" s="679"/>
      <c r="F207" s="529">
        <f>VLOOKUP(D207,'Dec13 Revenue'!D:V,19,FALSE)</f>
        <v>0</v>
      </c>
      <c r="G207" s="680"/>
      <c r="H207" s="680"/>
      <c r="I207" s="770"/>
      <c r="J207" s="682">
        <f t="shared" si="43"/>
        <v>0</v>
      </c>
      <c r="K207" s="683"/>
      <c r="L207" s="684"/>
      <c r="M207" s="753"/>
      <c r="N207" s="683">
        <v>0</v>
      </c>
      <c r="O207" s="686"/>
      <c r="P207" s="683">
        <v>0</v>
      </c>
      <c r="Q207" s="687">
        <f t="shared" si="41"/>
        <v>0</v>
      </c>
      <c r="R207" s="687"/>
      <c r="S207" s="687"/>
      <c r="T207" s="688">
        <v>0</v>
      </c>
      <c r="U207" s="693"/>
      <c r="V207" s="690">
        <f t="shared" si="42"/>
        <v>0</v>
      </c>
      <c r="W207" s="683"/>
      <c r="X207" s="474">
        <f t="shared" si="51"/>
        <v>0</v>
      </c>
      <c r="Y207" s="474">
        <f t="shared" si="52"/>
        <v>0</v>
      </c>
      <c r="Z207" s="475">
        <f t="shared" si="53"/>
        <v>0</v>
      </c>
      <c r="AA207" s="475">
        <v>0</v>
      </c>
      <c r="AB207" s="476">
        <v>0</v>
      </c>
      <c r="AC207" s="38">
        <f t="shared" si="54"/>
        <v>0</v>
      </c>
      <c r="AD207" s="692">
        <f t="shared" si="44"/>
        <v>0</v>
      </c>
      <c r="AE207" s="692">
        <f t="shared" si="45"/>
        <v>0</v>
      </c>
      <c r="AF207" s="692">
        <f t="shared" si="46"/>
        <v>0</v>
      </c>
      <c r="AG207" s="38"/>
      <c r="AH207" s="692">
        <f t="shared" si="48"/>
        <v>0</v>
      </c>
      <c r="AI207" s="692">
        <f t="shared" si="49"/>
        <v>0</v>
      </c>
      <c r="AJ207" s="692">
        <f t="shared" si="50"/>
        <v>0</v>
      </c>
      <c r="AL207" s="38">
        <f t="shared" si="47"/>
        <v>0</v>
      </c>
      <c r="AM207" s="68" t="s">
        <v>162</v>
      </c>
    </row>
    <row r="208" spans="1:39">
      <c r="A208" s="21"/>
      <c r="B208" s="21" t="s">
        <v>109</v>
      </c>
      <c r="C208" s="666"/>
      <c r="D208" s="68" t="s">
        <v>163</v>
      </c>
      <c r="E208" s="679"/>
      <c r="F208" s="529">
        <f>VLOOKUP(D208,'Dec13 Revenue'!D:V,19,FALSE)</f>
        <v>0</v>
      </c>
      <c r="G208" s="680"/>
      <c r="H208" s="680"/>
      <c r="I208" s="770">
        <v>3021.45</v>
      </c>
      <c r="J208" s="682">
        <f t="shared" si="43"/>
        <v>3021.45</v>
      </c>
      <c r="K208" s="683"/>
      <c r="L208" s="684"/>
      <c r="M208" s="753"/>
      <c r="N208" s="683">
        <v>0</v>
      </c>
      <c r="O208" s="686"/>
      <c r="P208" s="683">
        <v>0</v>
      </c>
      <c r="Q208" s="687">
        <f t="shared" si="41"/>
        <v>0</v>
      </c>
      <c r="R208" s="687"/>
      <c r="S208" s="687"/>
      <c r="T208" s="688">
        <v>3071.51</v>
      </c>
      <c r="U208" s="704"/>
      <c r="V208" s="690">
        <f t="shared" si="42"/>
        <v>3071.51</v>
      </c>
      <c r="W208" s="705"/>
      <c r="X208" s="474">
        <f t="shared" si="51"/>
        <v>0</v>
      </c>
      <c r="Y208" s="474">
        <f t="shared" si="52"/>
        <v>0</v>
      </c>
      <c r="Z208" s="475">
        <f t="shared" si="53"/>
        <v>0</v>
      </c>
      <c r="AA208" s="475">
        <v>0</v>
      </c>
      <c r="AB208" s="476">
        <v>0</v>
      </c>
      <c r="AC208" s="38">
        <f t="shared" si="54"/>
        <v>0</v>
      </c>
      <c r="AD208" s="692">
        <f t="shared" si="44"/>
        <v>0</v>
      </c>
      <c r="AE208" s="692">
        <f t="shared" si="45"/>
        <v>3021.45</v>
      </c>
      <c r="AF208" s="692">
        <f t="shared" si="46"/>
        <v>0</v>
      </c>
      <c r="AG208" s="38"/>
      <c r="AH208" s="692">
        <f t="shared" si="48"/>
        <v>0</v>
      </c>
      <c r="AI208" s="692">
        <f t="shared" si="49"/>
        <v>0</v>
      </c>
      <c r="AJ208" s="692">
        <f t="shared" si="50"/>
        <v>0</v>
      </c>
      <c r="AL208" s="38">
        <f t="shared" si="47"/>
        <v>3021.45</v>
      </c>
      <c r="AM208" s="68" t="s">
        <v>163</v>
      </c>
    </row>
    <row r="209" spans="1:39">
      <c r="A209" s="21"/>
      <c r="B209" s="21" t="s">
        <v>109</v>
      </c>
      <c r="C209" s="666"/>
      <c r="D209" s="412" t="s">
        <v>164</v>
      </c>
      <c r="E209" s="679"/>
      <c r="F209" s="529">
        <f>VLOOKUP(D209,'Dec13 Revenue'!D:V,19,FALSE)</f>
        <v>0</v>
      </c>
      <c r="G209" s="680"/>
      <c r="H209" s="680"/>
      <c r="I209" s="755"/>
      <c r="J209" s="682">
        <f t="shared" si="43"/>
        <v>0</v>
      </c>
      <c r="K209" s="683"/>
      <c r="L209" s="684"/>
      <c r="M209" s="753"/>
      <c r="N209" s="683">
        <v>0</v>
      </c>
      <c r="O209" s="686"/>
      <c r="P209" s="683">
        <v>0</v>
      </c>
      <c r="Q209" s="687">
        <f t="shared" si="41"/>
        <v>0</v>
      </c>
      <c r="R209" s="687"/>
      <c r="S209" s="687"/>
      <c r="T209" s="688">
        <v>0</v>
      </c>
      <c r="U209" s="704"/>
      <c r="V209" s="690">
        <f t="shared" si="42"/>
        <v>0</v>
      </c>
      <c r="W209" s="705"/>
      <c r="X209" s="474">
        <f t="shared" si="51"/>
        <v>0</v>
      </c>
      <c r="Y209" s="474">
        <f t="shared" si="52"/>
        <v>0</v>
      </c>
      <c r="Z209" s="475">
        <f t="shared" si="53"/>
        <v>0</v>
      </c>
      <c r="AA209" s="475">
        <v>0</v>
      </c>
      <c r="AB209" s="476">
        <v>0</v>
      </c>
      <c r="AC209" s="38">
        <f t="shared" si="54"/>
        <v>0</v>
      </c>
      <c r="AD209" s="692">
        <f t="shared" si="44"/>
        <v>0</v>
      </c>
      <c r="AE209" s="692">
        <f t="shared" si="45"/>
        <v>0</v>
      </c>
      <c r="AF209" s="692">
        <f t="shared" si="46"/>
        <v>0</v>
      </c>
      <c r="AG209" s="38"/>
      <c r="AH209" s="692">
        <f t="shared" si="48"/>
        <v>0</v>
      </c>
      <c r="AI209" s="692">
        <f t="shared" si="49"/>
        <v>0</v>
      </c>
      <c r="AJ209" s="692">
        <f t="shared" si="50"/>
        <v>0</v>
      </c>
      <c r="AL209" s="38">
        <f t="shared" si="47"/>
        <v>0</v>
      </c>
      <c r="AM209" s="412" t="s">
        <v>164</v>
      </c>
    </row>
    <row r="210" spans="1:39">
      <c r="A210" s="21" t="s">
        <v>109</v>
      </c>
      <c r="B210" s="21" t="s">
        <v>114</v>
      </c>
      <c r="C210" s="666" t="s">
        <v>578</v>
      </c>
      <c r="D210" s="412" t="s">
        <v>318</v>
      </c>
      <c r="E210" s="679">
        <v>73209.91</v>
      </c>
      <c r="F210" s="529">
        <f>VLOOKUP(D210,'Dec13 Revenue'!D:V,19,FALSE)</f>
        <v>-130000</v>
      </c>
      <c r="G210" s="680"/>
      <c r="H210" s="680"/>
      <c r="I210" s="755"/>
      <c r="J210" s="682">
        <f t="shared" si="43"/>
        <v>-56790.09</v>
      </c>
      <c r="K210" s="683"/>
      <c r="L210" s="684"/>
      <c r="M210" s="753">
        <v>140000</v>
      </c>
      <c r="N210" s="683">
        <v>0</v>
      </c>
      <c r="O210" s="686"/>
      <c r="P210" s="683">
        <v>0</v>
      </c>
      <c r="Q210" s="687">
        <f t="shared" si="41"/>
        <v>140000</v>
      </c>
      <c r="R210" s="687"/>
      <c r="S210" s="687"/>
      <c r="T210" s="688">
        <v>50291.85</v>
      </c>
      <c r="U210" s="704"/>
      <c r="V210" s="690">
        <f t="shared" si="42"/>
        <v>-89708.15</v>
      </c>
      <c r="W210" s="683"/>
      <c r="X210" s="474">
        <f t="shared" si="51"/>
        <v>0</v>
      </c>
      <c r="Y210" s="474">
        <f t="shared" si="52"/>
        <v>0</v>
      </c>
      <c r="Z210" s="475">
        <f t="shared" si="53"/>
        <v>140000</v>
      </c>
      <c r="AA210" s="475">
        <v>0</v>
      </c>
      <c r="AB210" s="476">
        <v>0</v>
      </c>
      <c r="AC210" s="38">
        <f t="shared" si="54"/>
        <v>0</v>
      </c>
      <c r="AD210" s="692">
        <f t="shared" si="44"/>
        <v>0</v>
      </c>
      <c r="AE210" s="692">
        <f t="shared" si="45"/>
        <v>0</v>
      </c>
      <c r="AF210" s="692">
        <f t="shared" si="46"/>
        <v>-56790.09</v>
      </c>
      <c r="AG210" s="38"/>
      <c r="AH210" s="692">
        <f t="shared" si="48"/>
        <v>0</v>
      </c>
      <c r="AI210" s="692">
        <f t="shared" si="49"/>
        <v>0</v>
      </c>
      <c r="AJ210" s="692">
        <f t="shared" si="50"/>
        <v>140000</v>
      </c>
      <c r="AL210" s="38">
        <f t="shared" si="47"/>
        <v>83209.91</v>
      </c>
      <c r="AM210" s="412" t="s">
        <v>318</v>
      </c>
    </row>
    <row r="211" spans="1:39">
      <c r="A211" s="20" t="s">
        <v>211</v>
      </c>
      <c r="B211" s="20" t="s">
        <v>109</v>
      </c>
      <c r="C211" s="667"/>
      <c r="D211" s="68" t="s">
        <v>57</v>
      </c>
      <c r="E211" s="679"/>
      <c r="F211" s="529">
        <f>VLOOKUP(D211,'Dec13 Revenue'!D:V,19,FALSE)</f>
        <v>0</v>
      </c>
      <c r="G211" s="680"/>
      <c r="H211" s="680"/>
      <c r="I211" s="755"/>
      <c r="J211" s="682">
        <f t="shared" si="43"/>
        <v>0</v>
      </c>
      <c r="K211" s="683"/>
      <c r="L211" s="684"/>
      <c r="M211" s="753"/>
      <c r="N211" s="683">
        <v>0</v>
      </c>
      <c r="O211" s="686"/>
      <c r="P211" s="683">
        <v>0</v>
      </c>
      <c r="Q211" s="687">
        <f t="shared" si="41"/>
        <v>0</v>
      </c>
      <c r="R211" s="687"/>
      <c r="S211" s="687"/>
      <c r="T211" s="688">
        <v>0</v>
      </c>
      <c r="U211" s="693"/>
      <c r="V211" s="690">
        <f t="shared" si="42"/>
        <v>0</v>
      </c>
      <c r="W211" s="683"/>
      <c r="X211" s="474">
        <f t="shared" si="51"/>
        <v>0</v>
      </c>
      <c r="Y211" s="474">
        <f t="shared" si="52"/>
        <v>0</v>
      </c>
      <c r="Z211" s="475">
        <f t="shared" si="53"/>
        <v>0</v>
      </c>
      <c r="AA211" s="475">
        <v>0</v>
      </c>
      <c r="AB211" s="476">
        <v>0</v>
      </c>
      <c r="AC211" s="38">
        <f t="shared" si="54"/>
        <v>0</v>
      </c>
      <c r="AD211" s="692">
        <f t="shared" si="44"/>
        <v>0</v>
      </c>
      <c r="AE211" s="692">
        <f t="shared" si="45"/>
        <v>0</v>
      </c>
      <c r="AF211" s="692">
        <f t="shared" si="46"/>
        <v>0</v>
      </c>
      <c r="AG211" s="38"/>
      <c r="AH211" s="692">
        <f t="shared" si="48"/>
        <v>0</v>
      </c>
      <c r="AI211" s="692">
        <f t="shared" si="49"/>
        <v>0</v>
      </c>
      <c r="AJ211" s="692">
        <f t="shared" si="50"/>
        <v>0</v>
      </c>
      <c r="AL211" s="38">
        <f t="shared" si="47"/>
        <v>0</v>
      </c>
      <c r="AM211" s="68" t="s">
        <v>57</v>
      </c>
    </row>
    <row r="212" spans="1:39">
      <c r="A212" s="21"/>
      <c r="B212" s="21" t="s">
        <v>110</v>
      </c>
      <c r="C212" s="666"/>
      <c r="D212" s="806" t="s">
        <v>1050</v>
      </c>
      <c r="E212" s="679"/>
      <c r="F212" s="529">
        <f>VLOOKUP(D212,'Dec13 Revenue'!D:V,19,FALSE)</f>
        <v>3947.57</v>
      </c>
      <c r="G212" s="680"/>
      <c r="H212" s="680"/>
      <c r="I212" s="755"/>
      <c r="J212" s="682">
        <f t="shared" ref="J212" si="81">SUM(E212:I212)</f>
        <v>3947.57</v>
      </c>
      <c r="K212" s="683"/>
      <c r="L212" s="684"/>
      <c r="M212" s="753"/>
      <c r="N212" s="683">
        <v>0</v>
      </c>
      <c r="O212" s="686"/>
      <c r="P212" s="683">
        <v>0</v>
      </c>
      <c r="Q212" s="687">
        <f t="shared" ref="Q212" si="82">L212+M212</f>
        <v>0</v>
      </c>
      <c r="R212" s="687"/>
      <c r="S212" s="687"/>
      <c r="T212" s="688">
        <v>0</v>
      </c>
      <c r="U212" s="693"/>
      <c r="V212" s="690">
        <f t="shared" si="42"/>
        <v>0</v>
      </c>
      <c r="W212" s="683"/>
      <c r="X212" s="474">
        <f t="shared" ref="X212" si="83">IF(B212="D",Q212,0)</f>
        <v>0</v>
      </c>
      <c r="Y212" s="474">
        <f t="shared" ref="Y212" si="84">IF(B212="M",Q212,0)</f>
        <v>0</v>
      </c>
      <c r="Z212" s="475">
        <f t="shared" ref="Z212" si="85">IF(B212="V",Q212,0)</f>
        <v>0</v>
      </c>
      <c r="AA212" s="475">
        <v>0</v>
      </c>
      <c r="AB212" s="476">
        <v>0</v>
      </c>
      <c r="AC212" s="38">
        <f t="shared" ref="AC212" si="86">(L212+M212)-(X212+Y212+Z212+AA212+AB212)</f>
        <v>0</v>
      </c>
      <c r="AD212" s="692">
        <f t="shared" ref="AD212" si="87">IF(B212="D",J212,0)</f>
        <v>3947.57</v>
      </c>
      <c r="AE212" s="692">
        <f t="shared" ref="AE212" si="88">IF(B212="M",J212,0)</f>
        <v>0</v>
      </c>
      <c r="AF212" s="692">
        <f t="shared" ref="AF212" si="89">IF(B212="V",J212,0)</f>
        <v>0</v>
      </c>
      <c r="AG212" s="38"/>
      <c r="AH212" s="692">
        <f t="shared" ref="AH212" si="90">IF(B212="D",Q212,0)</f>
        <v>0</v>
      </c>
      <c r="AI212" s="692">
        <f t="shared" ref="AI212" si="91">IF(B212="M",Q212,0)</f>
        <v>0</v>
      </c>
      <c r="AJ212" s="692">
        <f t="shared" ref="AJ212" si="92">IF(B212="V",Q212,0)</f>
        <v>0</v>
      </c>
      <c r="AL212" s="38">
        <f t="shared" ref="AL212" si="93">SUM(AD212:AJ212)</f>
        <v>3947.57</v>
      </c>
      <c r="AM212" s="806" t="s">
        <v>388</v>
      </c>
    </row>
    <row r="213" spans="1:39">
      <c r="A213" s="20"/>
      <c r="B213" s="20" t="s">
        <v>114</v>
      </c>
      <c r="C213" s="676" t="s">
        <v>621</v>
      </c>
      <c r="D213" s="68" t="s">
        <v>622</v>
      </c>
      <c r="E213" s="679"/>
      <c r="F213" s="529">
        <f>VLOOKUP(D213,'Dec13 Revenue'!D:V,19,FALSE)</f>
        <v>0</v>
      </c>
      <c r="G213" s="680"/>
      <c r="H213" s="680"/>
      <c r="I213" s="755"/>
      <c r="J213" s="682">
        <f t="shared" si="43"/>
        <v>0</v>
      </c>
      <c r="K213" s="683"/>
      <c r="L213" s="684"/>
      <c r="M213" s="753"/>
      <c r="N213" s="683">
        <v>0</v>
      </c>
      <c r="O213" s="686"/>
      <c r="P213" s="683">
        <v>0</v>
      </c>
      <c r="Q213" s="687">
        <f t="shared" si="41"/>
        <v>0</v>
      </c>
      <c r="R213" s="687"/>
      <c r="S213" s="687"/>
      <c r="T213" s="688">
        <v>0</v>
      </c>
      <c r="U213" s="704"/>
      <c r="V213" s="690">
        <f t="shared" si="42"/>
        <v>0</v>
      </c>
      <c r="W213" s="683"/>
      <c r="X213" s="474">
        <f t="shared" si="51"/>
        <v>0</v>
      </c>
      <c r="Y213" s="474">
        <f t="shared" si="52"/>
        <v>0</v>
      </c>
      <c r="Z213" s="475">
        <f t="shared" si="53"/>
        <v>0</v>
      </c>
      <c r="AA213" s="475">
        <v>0</v>
      </c>
      <c r="AB213" s="476">
        <v>0</v>
      </c>
      <c r="AC213" s="38">
        <f t="shared" si="54"/>
        <v>0</v>
      </c>
      <c r="AD213" s="692">
        <f t="shared" si="44"/>
        <v>0</v>
      </c>
      <c r="AE213" s="692">
        <f t="shared" si="45"/>
        <v>0</v>
      </c>
      <c r="AF213" s="692">
        <f t="shared" si="46"/>
        <v>0</v>
      </c>
      <c r="AG213" s="38"/>
      <c r="AH213" s="692">
        <f t="shared" si="48"/>
        <v>0</v>
      </c>
      <c r="AI213" s="692">
        <f t="shared" si="49"/>
        <v>0</v>
      </c>
      <c r="AJ213" s="692">
        <f t="shared" si="50"/>
        <v>0</v>
      </c>
      <c r="AL213" s="38">
        <f t="shared" si="47"/>
        <v>0</v>
      </c>
      <c r="AM213" s="68" t="s">
        <v>622</v>
      </c>
    </row>
    <row r="214" spans="1:39">
      <c r="A214" s="20"/>
      <c r="B214" s="20" t="s">
        <v>110</v>
      </c>
      <c r="C214" s="667"/>
      <c r="D214" s="68" t="s">
        <v>497</v>
      </c>
      <c r="E214" s="679"/>
      <c r="F214" s="529">
        <f>VLOOKUP(D214,'Dec13 Revenue'!D:V,19,FALSE)</f>
        <v>0</v>
      </c>
      <c r="G214" s="680"/>
      <c r="H214" s="680"/>
      <c r="I214" s="755"/>
      <c r="J214" s="682">
        <f t="shared" si="43"/>
        <v>0</v>
      </c>
      <c r="K214" s="683"/>
      <c r="L214" s="684"/>
      <c r="M214" s="753"/>
      <c r="N214" s="683">
        <v>0</v>
      </c>
      <c r="O214" s="686"/>
      <c r="P214" s="683">
        <v>0</v>
      </c>
      <c r="Q214" s="687">
        <f t="shared" si="41"/>
        <v>0</v>
      </c>
      <c r="R214" s="687"/>
      <c r="S214" s="687"/>
      <c r="T214" s="688">
        <v>0</v>
      </c>
      <c r="U214" s="693"/>
      <c r="V214" s="690">
        <f t="shared" si="42"/>
        <v>0</v>
      </c>
      <c r="W214" s="683"/>
      <c r="X214" s="474">
        <f t="shared" si="51"/>
        <v>0</v>
      </c>
      <c r="Y214" s="474">
        <f t="shared" si="52"/>
        <v>0</v>
      </c>
      <c r="Z214" s="475">
        <f t="shared" si="53"/>
        <v>0</v>
      </c>
      <c r="AA214" s="475">
        <v>0</v>
      </c>
      <c r="AB214" s="476">
        <v>0</v>
      </c>
      <c r="AC214" s="38">
        <f t="shared" si="54"/>
        <v>0</v>
      </c>
      <c r="AD214" s="692">
        <f t="shared" si="44"/>
        <v>0</v>
      </c>
      <c r="AE214" s="692">
        <f t="shared" si="45"/>
        <v>0</v>
      </c>
      <c r="AF214" s="692">
        <f t="shared" si="46"/>
        <v>0</v>
      </c>
      <c r="AG214" s="38"/>
      <c r="AH214" s="692">
        <f t="shared" si="48"/>
        <v>0</v>
      </c>
      <c r="AI214" s="692">
        <f t="shared" si="49"/>
        <v>0</v>
      </c>
      <c r="AJ214" s="692">
        <f t="shared" si="50"/>
        <v>0</v>
      </c>
      <c r="AL214" s="38">
        <f t="shared" si="47"/>
        <v>0</v>
      </c>
      <c r="AM214" s="68" t="s">
        <v>497</v>
      </c>
    </row>
    <row r="215" spans="1:39">
      <c r="A215" s="20"/>
      <c r="B215" s="20" t="s">
        <v>110</v>
      </c>
      <c r="C215" s="667"/>
      <c r="D215" s="68" t="s">
        <v>509</v>
      </c>
      <c r="E215" s="679"/>
      <c r="F215" s="529">
        <f>VLOOKUP(D215,'Dec13 Revenue'!D:V,19,FALSE)</f>
        <v>-30000</v>
      </c>
      <c r="G215" s="680"/>
      <c r="H215" s="680"/>
      <c r="I215" s="755"/>
      <c r="J215" s="682">
        <f t="shared" si="43"/>
        <v>-30000</v>
      </c>
      <c r="K215" s="683"/>
      <c r="L215" s="684"/>
      <c r="M215" s="753">
        <v>30000</v>
      </c>
      <c r="N215" s="683"/>
      <c r="O215" s="686"/>
      <c r="P215" s="683"/>
      <c r="Q215" s="687">
        <f t="shared" si="41"/>
        <v>30000</v>
      </c>
      <c r="R215" s="687"/>
      <c r="S215" s="687"/>
      <c r="T215" s="688">
        <v>0</v>
      </c>
      <c r="U215" s="693"/>
      <c r="V215" s="690">
        <f t="shared" si="42"/>
        <v>-30000</v>
      </c>
      <c r="W215" s="683"/>
      <c r="X215" s="474">
        <f t="shared" si="51"/>
        <v>30000</v>
      </c>
      <c r="Y215" s="474">
        <f t="shared" si="52"/>
        <v>0</v>
      </c>
      <c r="Z215" s="475">
        <f t="shared" si="53"/>
        <v>0</v>
      </c>
      <c r="AA215" s="475">
        <v>0</v>
      </c>
      <c r="AB215" s="476">
        <v>0</v>
      </c>
      <c r="AC215" s="38">
        <f t="shared" si="54"/>
        <v>0</v>
      </c>
      <c r="AD215" s="692">
        <f t="shared" si="44"/>
        <v>-30000</v>
      </c>
      <c r="AE215" s="692">
        <f t="shared" si="45"/>
        <v>0</v>
      </c>
      <c r="AF215" s="692">
        <f t="shared" si="46"/>
        <v>0</v>
      </c>
      <c r="AG215" s="38"/>
      <c r="AH215" s="692">
        <f t="shared" si="48"/>
        <v>30000</v>
      </c>
      <c r="AI215" s="692">
        <f t="shared" si="49"/>
        <v>0</v>
      </c>
      <c r="AJ215" s="692">
        <f t="shared" si="50"/>
        <v>0</v>
      </c>
      <c r="AL215" s="38">
        <f t="shared" si="47"/>
        <v>0</v>
      </c>
      <c r="AM215" s="68" t="s">
        <v>509</v>
      </c>
    </row>
    <row r="216" spans="1:39" s="627" customFormat="1">
      <c r="A216" s="610"/>
      <c r="B216" s="610" t="s">
        <v>110</v>
      </c>
      <c r="C216" s="667" t="s">
        <v>580</v>
      </c>
      <c r="D216" s="612" t="s">
        <v>476</v>
      </c>
      <c r="E216" s="679"/>
      <c r="F216" s="529">
        <f>VLOOKUP(D216,'Dec13 Revenue'!D:V,19,FALSE)</f>
        <v>0</v>
      </c>
      <c r="G216" s="680"/>
      <c r="H216" s="680"/>
      <c r="I216" s="755"/>
      <c r="J216" s="682">
        <f t="shared" si="43"/>
        <v>0</v>
      </c>
      <c r="K216" s="683"/>
      <c r="L216" s="684"/>
      <c r="M216" s="753"/>
      <c r="N216" s="683">
        <v>0</v>
      </c>
      <c r="O216" s="686"/>
      <c r="P216" s="683">
        <v>0</v>
      </c>
      <c r="Q216" s="687">
        <f t="shared" si="41"/>
        <v>0</v>
      </c>
      <c r="R216" s="687"/>
      <c r="S216" s="687"/>
      <c r="T216" s="688">
        <v>0</v>
      </c>
      <c r="U216" s="706"/>
      <c r="V216" s="690">
        <f t="shared" ref="V216:V234" si="94">IF(T216="","",T216-Q216)</f>
        <v>0</v>
      </c>
      <c r="W216" s="707"/>
      <c r="X216" s="474">
        <f t="shared" si="51"/>
        <v>0</v>
      </c>
      <c r="Y216" s="474">
        <f t="shared" si="52"/>
        <v>0</v>
      </c>
      <c r="Z216" s="475">
        <f t="shared" si="53"/>
        <v>0</v>
      </c>
      <c r="AA216" s="475">
        <v>0</v>
      </c>
      <c r="AB216" s="476">
        <v>0</v>
      </c>
      <c r="AC216" s="38">
        <f t="shared" si="54"/>
        <v>0</v>
      </c>
      <c r="AD216" s="692">
        <f t="shared" si="44"/>
        <v>0</v>
      </c>
      <c r="AE216" s="692">
        <f t="shared" si="45"/>
        <v>0</v>
      </c>
      <c r="AF216" s="692">
        <f t="shared" si="46"/>
        <v>0</v>
      </c>
      <c r="AG216" s="38"/>
      <c r="AH216" s="692">
        <f t="shared" si="48"/>
        <v>0</v>
      </c>
      <c r="AI216" s="692">
        <f t="shared" si="49"/>
        <v>0</v>
      </c>
      <c r="AJ216" s="692">
        <f t="shared" si="50"/>
        <v>0</v>
      </c>
      <c r="AL216" s="38">
        <f t="shared" si="47"/>
        <v>0</v>
      </c>
      <c r="AM216" s="612" t="s">
        <v>476</v>
      </c>
    </row>
    <row r="217" spans="1:39" s="232" customFormat="1">
      <c r="A217" s="283"/>
      <c r="B217" s="283" t="s">
        <v>114</v>
      </c>
      <c r="C217" s="667" t="s">
        <v>580</v>
      </c>
      <c r="D217" s="123" t="s">
        <v>371</v>
      </c>
      <c r="E217" s="679"/>
      <c r="F217" s="529">
        <f>VLOOKUP(D217,'Dec13 Revenue'!D:V,19,FALSE)</f>
        <v>-22780</v>
      </c>
      <c r="G217" s="680"/>
      <c r="H217" s="680"/>
      <c r="I217" s="755"/>
      <c r="J217" s="682">
        <f t="shared" si="43"/>
        <v>-22780</v>
      </c>
      <c r="K217" s="683"/>
      <c r="L217" s="684"/>
      <c r="M217" s="753">
        <v>15900</v>
      </c>
      <c r="N217" s="683">
        <v>0</v>
      </c>
      <c r="O217" s="686"/>
      <c r="P217" s="683">
        <v>0</v>
      </c>
      <c r="Q217" s="687">
        <f>L217+M217</f>
        <v>15900</v>
      </c>
      <c r="R217" s="687"/>
      <c r="S217" s="687"/>
      <c r="T217" s="688">
        <v>30227.8</v>
      </c>
      <c r="U217" s="693"/>
      <c r="V217" s="690">
        <f t="shared" si="94"/>
        <v>14327.8</v>
      </c>
      <c r="W217" s="683"/>
      <c r="X217" s="474">
        <f t="shared" si="51"/>
        <v>0</v>
      </c>
      <c r="Y217" s="474">
        <f t="shared" si="52"/>
        <v>0</v>
      </c>
      <c r="Z217" s="475">
        <f t="shared" si="53"/>
        <v>15900</v>
      </c>
      <c r="AA217" s="475">
        <v>0</v>
      </c>
      <c r="AB217" s="476">
        <v>0</v>
      </c>
      <c r="AC217" s="38">
        <f>(L217+M217)-(X217+Y217+Z217+AA217+AB217)</f>
        <v>0</v>
      </c>
      <c r="AD217" s="692">
        <f t="shared" si="44"/>
        <v>0</v>
      </c>
      <c r="AE217" s="692">
        <f t="shared" si="45"/>
        <v>0</v>
      </c>
      <c r="AF217" s="692">
        <f t="shared" si="46"/>
        <v>-22780</v>
      </c>
      <c r="AG217" s="38"/>
      <c r="AH217" s="692">
        <f t="shared" si="48"/>
        <v>0</v>
      </c>
      <c r="AI217" s="692">
        <f t="shared" si="49"/>
        <v>0</v>
      </c>
      <c r="AJ217" s="692">
        <f t="shared" si="50"/>
        <v>15900</v>
      </c>
      <c r="AL217" s="38">
        <f t="shared" si="47"/>
        <v>-6880</v>
      </c>
      <c r="AM217" s="123" t="s">
        <v>371</v>
      </c>
    </row>
    <row r="218" spans="1:39" s="232" customFormat="1">
      <c r="A218" s="283"/>
      <c r="B218" s="283" t="s">
        <v>110</v>
      </c>
      <c r="C218" s="667" t="s">
        <v>580</v>
      </c>
      <c r="D218" s="123" t="s">
        <v>422</v>
      </c>
      <c r="E218" s="679"/>
      <c r="F218" s="529">
        <f>VLOOKUP(D218,'Dec13 Revenue'!D:V,19,FALSE)</f>
        <v>0</v>
      </c>
      <c r="G218" s="680"/>
      <c r="H218" s="680"/>
      <c r="I218" s="755"/>
      <c r="J218" s="682">
        <f t="shared" si="43"/>
        <v>0</v>
      </c>
      <c r="K218" s="683"/>
      <c r="L218" s="684"/>
      <c r="M218" s="753"/>
      <c r="N218" s="683">
        <v>0</v>
      </c>
      <c r="O218" s="686"/>
      <c r="P218" s="683">
        <v>0</v>
      </c>
      <c r="Q218" s="687">
        <f t="shared" si="41"/>
        <v>0</v>
      </c>
      <c r="R218" s="687"/>
      <c r="S218" s="687"/>
      <c r="T218" s="688">
        <v>0</v>
      </c>
      <c r="U218" s="693"/>
      <c r="V218" s="690">
        <f t="shared" si="94"/>
        <v>0</v>
      </c>
      <c r="W218" s="683"/>
      <c r="X218" s="474">
        <f t="shared" si="51"/>
        <v>0</v>
      </c>
      <c r="Y218" s="474">
        <f t="shared" si="52"/>
        <v>0</v>
      </c>
      <c r="Z218" s="475">
        <f t="shared" si="53"/>
        <v>0</v>
      </c>
      <c r="AA218" s="475">
        <v>0</v>
      </c>
      <c r="AB218" s="476">
        <v>0</v>
      </c>
      <c r="AC218" s="38">
        <f t="shared" si="54"/>
        <v>0</v>
      </c>
      <c r="AD218" s="692">
        <f t="shared" si="44"/>
        <v>0</v>
      </c>
      <c r="AE218" s="692">
        <f t="shared" si="45"/>
        <v>0</v>
      </c>
      <c r="AF218" s="692">
        <f t="shared" si="46"/>
        <v>0</v>
      </c>
      <c r="AG218" s="38"/>
      <c r="AH218" s="692">
        <f t="shared" si="48"/>
        <v>0</v>
      </c>
      <c r="AI218" s="692">
        <f t="shared" si="49"/>
        <v>0</v>
      </c>
      <c r="AJ218" s="692">
        <f t="shared" si="50"/>
        <v>0</v>
      </c>
      <c r="AL218" s="38">
        <f t="shared" si="47"/>
        <v>0</v>
      </c>
      <c r="AM218" s="123" t="s">
        <v>422</v>
      </c>
    </row>
    <row r="219" spans="1:39" s="232" customFormat="1">
      <c r="A219" s="283"/>
      <c r="B219" s="283" t="s">
        <v>110</v>
      </c>
      <c r="C219" s="667" t="s">
        <v>580</v>
      </c>
      <c r="D219" s="123" t="s">
        <v>442</v>
      </c>
      <c r="E219" s="679"/>
      <c r="F219" s="529">
        <f>VLOOKUP(D219,'Dec13 Revenue'!D:V,19,FALSE)</f>
        <v>15972.339999999851</v>
      </c>
      <c r="G219" s="680"/>
      <c r="H219" s="680"/>
      <c r="I219" s="755"/>
      <c r="J219" s="682">
        <f t="shared" si="43"/>
        <v>15972.339999999851</v>
      </c>
      <c r="K219" s="683"/>
      <c r="L219" s="684">
        <v>468700</v>
      </c>
      <c r="M219" s="753">
        <v>785800</v>
      </c>
      <c r="N219" s="683">
        <v>0</v>
      </c>
      <c r="O219" s="686"/>
      <c r="P219" s="683">
        <v>0</v>
      </c>
      <c r="Q219" s="687">
        <f>L219+M219</f>
        <v>1254500</v>
      </c>
      <c r="R219" s="687"/>
      <c r="S219" s="687"/>
      <c r="T219" s="688">
        <f>785772.6+468695.72</f>
        <v>1254468.3199999998</v>
      </c>
      <c r="U219" s="693"/>
      <c r="V219" s="690">
        <f t="shared" si="94"/>
        <v>-31.680000000167638</v>
      </c>
      <c r="W219" s="683"/>
      <c r="X219" s="474">
        <f t="shared" si="51"/>
        <v>1254500</v>
      </c>
      <c r="Y219" s="474">
        <f t="shared" si="52"/>
        <v>0</v>
      </c>
      <c r="Z219" s="475">
        <f t="shared" si="53"/>
        <v>0</v>
      </c>
      <c r="AA219" s="475">
        <v>0</v>
      </c>
      <c r="AB219" s="476">
        <v>0</v>
      </c>
      <c r="AC219" s="38">
        <f>(L219+M219)-(X219+Y219+Z219+AA219+AB219)</f>
        <v>0</v>
      </c>
      <c r="AD219" s="692">
        <f t="shared" si="44"/>
        <v>15972.339999999851</v>
      </c>
      <c r="AE219" s="692">
        <f t="shared" si="45"/>
        <v>0</v>
      </c>
      <c r="AF219" s="692">
        <f t="shared" si="46"/>
        <v>0</v>
      </c>
      <c r="AG219" s="38"/>
      <c r="AH219" s="692">
        <f t="shared" si="48"/>
        <v>1254500</v>
      </c>
      <c r="AI219" s="692">
        <f t="shared" si="49"/>
        <v>0</v>
      </c>
      <c r="AJ219" s="692">
        <f t="shared" si="50"/>
        <v>0</v>
      </c>
      <c r="AL219" s="38">
        <f t="shared" si="47"/>
        <v>1270472.3399999999</v>
      </c>
      <c r="AM219" s="123" t="s">
        <v>442</v>
      </c>
    </row>
    <row r="220" spans="1:39" hidden="1">
      <c r="A220" s="21" t="s">
        <v>97</v>
      </c>
      <c r="B220" s="21" t="s">
        <v>109</v>
      </c>
      <c r="C220" s="666"/>
      <c r="D220" s="68" t="s">
        <v>381</v>
      </c>
      <c r="E220" s="679"/>
      <c r="F220" s="529">
        <f>VLOOKUP(D220,'Dec13 Revenue'!D:V,19,FALSE)</f>
        <v>0</v>
      </c>
      <c r="G220" s="680"/>
      <c r="H220" s="680"/>
      <c r="I220" s="755"/>
      <c r="J220" s="682">
        <f t="shared" si="43"/>
        <v>0</v>
      </c>
      <c r="K220" s="683"/>
      <c r="L220" s="684"/>
      <c r="M220" s="753"/>
      <c r="N220" s="683">
        <v>0</v>
      </c>
      <c r="O220" s="686"/>
      <c r="P220" s="683">
        <v>0</v>
      </c>
      <c r="Q220" s="687">
        <f t="shared" si="41"/>
        <v>0</v>
      </c>
      <c r="R220" s="687"/>
      <c r="S220" s="687"/>
      <c r="T220" s="688">
        <v>0</v>
      </c>
      <c r="U220" s="693"/>
      <c r="V220" s="690">
        <f t="shared" si="94"/>
        <v>0</v>
      </c>
      <c r="W220" s="683"/>
      <c r="X220" s="474">
        <f t="shared" si="51"/>
        <v>0</v>
      </c>
      <c r="Y220" s="474">
        <f t="shared" si="52"/>
        <v>0</v>
      </c>
      <c r="Z220" s="475">
        <f t="shared" si="53"/>
        <v>0</v>
      </c>
      <c r="AA220" s="475">
        <v>0</v>
      </c>
      <c r="AB220" s="476">
        <v>0</v>
      </c>
      <c r="AC220" s="38">
        <f t="shared" si="54"/>
        <v>0</v>
      </c>
      <c r="AD220" s="692">
        <f t="shared" si="44"/>
        <v>0</v>
      </c>
      <c r="AE220" s="692">
        <f t="shared" si="45"/>
        <v>0</v>
      </c>
      <c r="AF220" s="692">
        <f t="shared" si="46"/>
        <v>0</v>
      </c>
      <c r="AG220" s="38"/>
      <c r="AH220" s="692">
        <f t="shared" si="48"/>
        <v>0</v>
      </c>
      <c r="AI220" s="692">
        <f t="shared" si="49"/>
        <v>0</v>
      </c>
      <c r="AJ220" s="692">
        <f t="shared" si="50"/>
        <v>0</v>
      </c>
      <c r="AL220" s="38">
        <f t="shared" si="47"/>
        <v>0</v>
      </c>
      <c r="AM220" s="68" t="s">
        <v>381</v>
      </c>
    </row>
    <row r="221" spans="1:39" hidden="1">
      <c r="A221" s="21" t="s">
        <v>97</v>
      </c>
      <c r="B221" s="21" t="s">
        <v>114</v>
      </c>
      <c r="C221" s="666"/>
      <c r="D221" s="68" t="s">
        <v>376</v>
      </c>
      <c r="E221" s="679"/>
      <c r="F221" s="529">
        <f>VLOOKUP(D221,'Dec13 Revenue'!D:V,19,FALSE)</f>
        <v>0</v>
      </c>
      <c r="G221" s="680"/>
      <c r="H221" s="680"/>
      <c r="I221" s="755"/>
      <c r="J221" s="682">
        <f t="shared" si="43"/>
        <v>0</v>
      </c>
      <c r="K221" s="683"/>
      <c r="L221" s="684"/>
      <c r="M221" s="753"/>
      <c r="N221" s="683">
        <v>0</v>
      </c>
      <c r="O221" s="686"/>
      <c r="P221" s="683">
        <v>0</v>
      </c>
      <c r="Q221" s="687">
        <f t="shared" ref="Q221:Q235" si="95">L221+M221</f>
        <v>0</v>
      </c>
      <c r="R221" s="687"/>
      <c r="S221" s="687"/>
      <c r="T221" s="688">
        <v>0</v>
      </c>
      <c r="U221" s="693"/>
      <c r="V221" s="690">
        <f t="shared" si="94"/>
        <v>0</v>
      </c>
      <c r="W221" s="683"/>
      <c r="X221" s="474">
        <f t="shared" si="51"/>
        <v>0</v>
      </c>
      <c r="Y221" s="474">
        <f t="shared" si="52"/>
        <v>0</v>
      </c>
      <c r="Z221" s="475">
        <f t="shared" si="53"/>
        <v>0</v>
      </c>
      <c r="AA221" s="475">
        <v>0</v>
      </c>
      <c r="AB221" s="476">
        <v>0</v>
      </c>
      <c r="AC221" s="38">
        <f t="shared" si="54"/>
        <v>0</v>
      </c>
      <c r="AD221" s="692">
        <f t="shared" si="44"/>
        <v>0</v>
      </c>
      <c r="AE221" s="692">
        <f t="shared" si="45"/>
        <v>0</v>
      </c>
      <c r="AF221" s="692">
        <f t="shared" si="46"/>
        <v>0</v>
      </c>
      <c r="AG221" s="38"/>
      <c r="AH221" s="692">
        <f t="shared" si="48"/>
        <v>0</v>
      </c>
      <c r="AI221" s="692">
        <f t="shared" si="49"/>
        <v>0</v>
      </c>
      <c r="AJ221" s="692">
        <f t="shared" si="50"/>
        <v>0</v>
      </c>
      <c r="AL221" s="38">
        <f t="shared" si="47"/>
        <v>0</v>
      </c>
      <c r="AM221" s="68" t="s">
        <v>376</v>
      </c>
    </row>
    <row r="222" spans="1:39">
      <c r="A222" s="20"/>
      <c r="B222" s="20" t="s">
        <v>110</v>
      </c>
      <c r="C222" s="667"/>
      <c r="D222" s="68" t="s">
        <v>1032</v>
      </c>
      <c r="E222" s="679">
        <v>1957.77</v>
      </c>
      <c r="F222" s="529">
        <f>VLOOKUP(D222,'Dec13 Revenue'!D:V,19,FALSE)</f>
        <v>0</v>
      </c>
      <c r="G222" s="680"/>
      <c r="H222" s="680"/>
      <c r="I222" s="755"/>
      <c r="J222" s="682">
        <f t="shared" si="43"/>
        <v>1957.77</v>
      </c>
      <c r="K222" s="683"/>
      <c r="L222" s="684"/>
      <c r="M222" s="753"/>
      <c r="N222" s="683">
        <v>0</v>
      </c>
      <c r="O222" s="686"/>
      <c r="P222" s="683">
        <v>0</v>
      </c>
      <c r="Q222" s="687">
        <f>L222+M222</f>
        <v>0</v>
      </c>
      <c r="R222" s="687"/>
      <c r="S222" s="687"/>
      <c r="T222" s="688">
        <v>1010.01</v>
      </c>
      <c r="U222" s="693"/>
      <c r="V222" s="690">
        <f t="shared" si="94"/>
        <v>1010.01</v>
      </c>
      <c r="W222" s="683"/>
      <c r="X222" s="474">
        <f t="shared" si="51"/>
        <v>0</v>
      </c>
      <c r="Y222" s="474">
        <f t="shared" si="52"/>
        <v>0</v>
      </c>
      <c r="Z222" s="475">
        <f t="shared" si="53"/>
        <v>0</v>
      </c>
      <c r="AA222" s="475">
        <v>0</v>
      </c>
      <c r="AB222" s="476">
        <v>0</v>
      </c>
      <c r="AC222" s="38">
        <f>(L222+M222)-(X222+Y222+Z222+AA222+AB222)</f>
        <v>0</v>
      </c>
      <c r="AD222" s="692">
        <f t="shared" si="44"/>
        <v>1957.77</v>
      </c>
      <c r="AE222" s="692">
        <f t="shared" si="45"/>
        <v>0</v>
      </c>
      <c r="AF222" s="692">
        <f t="shared" si="46"/>
        <v>0</v>
      </c>
      <c r="AG222" s="38"/>
      <c r="AH222" s="692">
        <f t="shared" si="48"/>
        <v>0</v>
      </c>
      <c r="AI222" s="692">
        <f t="shared" si="49"/>
        <v>0</v>
      </c>
      <c r="AJ222" s="692">
        <f t="shared" si="50"/>
        <v>0</v>
      </c>
      <c r="AL222" s="38">
        <f t="shared" si="47"/>
        <v>1957.77</v>
      </c>
      <c r="AM222" s="68" t="s">
        <v>390</v>
      </c>
    </row>
    <row r="223" spans="1:39">
      <c r="A223" s="20"/>
      <c r="B223" s="20" t="s">
        <v>110</v>
      </c>
      <c r="C223" s="667" t="s">
        <v>581</v>
      </c>
      <c r="D223" s="123" t="s">
        <v>166</v>
      </c>
      <c r="E223" s="679"/>
      <c r="F223" s="529">
        <f>VLOOKUP(D223,'Dec13 Revenue'!D:V,19,FALSE)</f>
        <v>0</v>
      </c>
      <c r="G223" s="680"/>
      <c r="H223" s="680"/>
      <c r="I223" s="755"/>
      <c r="J223" s="682">
        <f t="shared" si="43"/>
        <v>0</v>
      </c>
      <c r="K223" s="683"/>
      <c r="L223" s="684"/>
      <c r="M223" s="753"/>
      <c r="N223" s="683">
        <v>0</v>
      </c>
      <c r="O223" s="686"/>
      <c r="P223" s="683">
        <v>0</v>
      </c>
      <c r="Q223" s="687">
        <f t="shared" si="95"/>
        <v>0</v>
      </c>
      <c r="R223" s="687"/>
      <c r="S223" s="687"/>
      <c r="T223" s="688">
        <v>0</v>
      </c>
      <c r="U223" s="693"/>
      <c r="V223" s="690">
        <f t="shared" si="94"/>
        <v>0</v>
      </c>
      <c r="W223" s="683"/>
      <c r="X223" s="474">
        <f t="shared" si="51"/>
        <v>0</v>
      </c>
      <c r="Y223" s="474">
        <f t="shared" si="52"/>
        <v>0</v>
      </c>
      <c r="Z223" s="475">
        <f t="shared" si="53"/>
        <v>0</v>
      </c>
      <c r="AA223" s="475">
        <v>0</v>
      </c>
      <c r="AB223" s="476">
        <v>0</v>
      </c>
      <c r="AC223" s="38">
        <f t="shared" si="54"/>
        <v>0</v>
      </c>
      <c r="AD223" s="692">
        <f t="shared" si="44"/>
        <v>0</v>
      </c>
      <c r="AE223" s="692">
        <f t="shared" si="45"/>
        <v>0</v>
      </c>
      <c r="AF223" s="692">
        <f t="shared" si="46"/>
        <v>0</v>
      </c>
      <c r="AG223" s="38"/>
      <c r="AH223" s="692">
        <f t="shared" si="48"/>
        <v>0</v>
      </c>
      <c r="AI223" s="692">
        <f t="shared" si="49"/>
        <v>0</v>
      </c>
      <c r="AJ223" s="692">
        <f t="shared" si="50"/>
        <v>0</v>
      </c>
      <c r="AL223" s="38">
        <f t="shared" si="47"/>
        <v>0</v>
      </c>
      <c r="AM223" s="123" t="s">
        <v>166</v>
      </c>
    </row>
    <row r="224" spans="1:39">
      <c r="A224" s="20"/>
      <c r="B224" s="20" t="s">
        <v>109</v>
      </c>
      <c r="C224" s="667" t="s">
        <v>581</v>
      </c>
      <c r="D224" s="123" t="s">
        <v>165</v>
      </c>
      <c r="E224" s="679"/>
      <c r="F224" s="529">
        <f>VLOOKUP(D224,'Dec13 Revenue'!D:V,19,FALSE)</f>
        <v>0</v>
      </c>
      <c r="G224" s="680"/>
      <c r="H224" s="680"/>
      <c r="I224" s="755"/>
      <c r="J224" s="682">
        <f t="shared" si="43"/>
        <v>0</v>
      </c>
      <c r="K224" s="683"/>
      <c r="L224" s="684"/>
      <c r="M224" s="753"/>
      <c r="N224" s="683">
        <v>0</v>
      </c>
      <c r="O224" s="686"/>
      <c r="P224" s="683">
        <v>0</v>
      </c>
      <c r="Q224" s="687">
        <f t="shared" si="95"/>
        <v>0</v>
      </c>
      <c r="R224" s="687"/>
      <c r="S224" s="687"/>
      <c r="T224" s="688">
        <v>0</v>
      </c>
      <c r="U224" s="693"/>
      <c r="V224" s="690">
        <f t="shared" si="94"/>
        <v>0</v>
      </c>
      <c r="W224" s="683"/>
      <c r="X224" s="474">
        <f t="shared" si="51"/>
        <v>0</v>
      </c>
      <c r="Y224" s="474">
        <f t="shared" si="52"/>
        <v>0</v>
      </c>
      <c r="Z224" s="475">
        <f t="shared" si="53"/>
        <v>0</v>
      </c>
      <c r="AA224" s="475">
        <v>0</v>
      </c>
      <c r="AB224" s="476">
        <v>0</v>
      </c>
      <c r="AC224" s="38">
        <f t="shared" si="54"/>
        <v>0</v>
      </c>
      <c r="AD224" s="692">
        <f t="shared" si="44"/>
        <v>0</v>
      </c>
      <c r="AE224" s="692">
        <f t="shared" si="45"/>
        <v>0</v>
      </c>
      <c r="AF224" s="692">
        <f t="shared" si="46"/>
        <v>0</v>
      </c>
      <c r="AG224" s="38"/>
      <c r="AH224" s="692">
        <f t="shared" si="48"/>
        <v>0</v>
      </c>
      <c r="AI224" s="692">
        <f t="shared" si="49"/>
        <v>0</v>
      </c>
      <c r="AJ224" s="692">
        <f t="shared" si="50"/>
        <v>0</v>
      </c>
      <c r="AL224" s="38">
        <f t="shared" si="47"/>
        <v>0</v>
      </c>
      <c r="AM224" s="123" t="s">
        <v>165</v>
      </c>
    </row>
    <row r="225" spans="1:39" hidden="1">
      <c r="A225" s="20"/>
      <c r="B225" s="20" t="s">
        <v>109</v>
      </c>
      <c r="C225" s="667"/>
      <c r="D225" s="123" t="s">
        <v>310</v>
      </c>
      <c r="E225" s="679"/>
      <c r="F225" s="529">
        <f>VLOOKUP(D225,'Dec13 Revenue'!D:V,19,FALSE)</f>
        <v>0</v>
      </c>
      <c r="G225" s="680"/>
      <c r="H225" s="680"/>
      <c r="I225" s="755"/>
      <c r="J225" s="682">
        <f t="shared" ref="J225:J235" si="96">SUM(E225:I225)</f>
        <v>0</v>
      </c>
      <c r="K225" s="683"/>
      <c r="L225" s="684"/>
      <c r="M225" s="753"/>
      <c r="N225" s="683">
        <v>0</v>
      </c>
      <c r="O225" s="686"/>
      <c r="P225" s="683">
        <v>0</v>
      </c>
      <c r="Q225" s="687">
        <f t="shared" si="95"/>
        <v>0</v>
      </c>
      <c r="R225" s="687"/>
      <c r="S225" s="687"/>
      <c r="T225" s="688">
        <v>0</v>
      </c>
      <c r="U225" s="693"/>
      <c r="V225" s="690">
        <f t="shared" si="94"/>
        <v>0</v>
      </c>
      <c r="W225" s="683"/>
      <c r="X225" s="474">
        <f t="shared" si="51"/>
        <v>0</v>
      </c>
      <c r="Y225" s="474">
        <f t="shared" si="52"/>
        <v>0</v>
      </c>
      <c r="Z225" s="475">
        <f t="shared" si="53"/>
        <v>0</v>
      </c>
      <c r="AA225" s="475">
        <v>0</v>
      </c>
      <c r="AB225" s="476">
        <v>0</v>
      </c>
      <c r="AC225" s="38">
        <f t="shared" si="54"/>
        <v>0</v>
      </c>
      <c r="AD225" s="692">
        <f t="shared" ref="AD225:AD235" si="97">IF(B225="D",J225,0)</f>
        <v>0</v>
      </c>
      <c r="AE225" s="692">
        <f t="shared" ref="AE225:AE235" si="98">IF(B225="M",J225,0)</f>
        <v>0</v>
      </c>
      <c r="AF225" s="692">
        <f t="shared" ref="AF225:AF235" si="99">IF(B225="V",J225,0)</f>
        <v>0</v>
      </c>
      <c r="AG225" s="38"/>
      <c r="AH225" s="692">
        <f t="shared" si="48"/>
        <v>0</v>
      </c>
      <c r="AI225" s="692">
        <f t="shared" si="49"/>
        <v>0</v>
      </c>
      <c r="AJ225" s="692">
        <f t="shared" si="50"/>
        <v>0</v>
      </c>
      <c r="AL225" s="38">
        <f t="shared" ref="AL225:AL235" si="100">SUM(AD225:AJ225)</f>
        <v>0</v>
      </c>
      <c r="AM225" s="123" t="s">
        <v>310</v>
      </c>
    </row>
    <row r="226" spans="1:39" hidden="1">
      <c r="A226" s="20"/>
      <c r="B226" s="20" t="s">
        <v>109</v>
      </c>
      <c r="C226" s="667"/>
      <c r="D226" s="123" t="s">
        <v>441</v>
      </c>
      <c r="E226" s="679"/>
      <c r="F226" s="529">
        <f>VLOOKUP(D226,'Dec13 Revenue'!D:V,19,FALSE)</f>
        <v>0</v>
      </c>
      <c r="G226" s="680"/>
      <c r="H226" s="680"/>
      <c r="I226" s="755"/>
      <c r="J226" s="682">
        <f t="shared" si="96"/>
        <v>0</v>
      </c>
      <c r="K226" s="683"/>
      <c r="L226" s="684"/>
      <c r="M226" s="753"/>
      <c r="N226" s="683">
        <v>0</v>
      </c>
      <c r="O226" s="686"/>
      <c r="P226" s="683">
        <v>0</v>
      </c>
      <c r="Q226" s="687">
        <f t="shared" si="95"/>
        <v>0</v>
      </c>
      <c r="R226" s="687"/>
      <c r="S226" s="687"/>
      <c r="T226" s="688">
        <v>0</v>
      </c>
      <c r="U226" s="693"/>
      <c r="V226" s="690">
        <f t="shared" si="94"/>
        <v>0</v>
      </c>
      <c r="W226" s="683"/>
      <c r="X226" s="474">
        <f t="shared" si="51"/>
        <v>0</v>
      </c>
      <c r="Y226" s="474">
        <f t="shared" si="52"/>
        <v>0</v>
      </c>
      <c r="Z226" s="475">
        <f t="shared" si="53"/>
        <v>0</v>
      </c>
      <c r="AA226" s="475">
        <v>0</v>
      </c>
      <c r="AB226" s="476">
        <v>0</v>
      </c>
      <c r="AC226" s="38">
        <f t="shared" si="54"/>
        <v>0</v>
      </c>
      <c r="AD226" s="692">
        <f t="shared" si="97"/>
        <v>0</v>
      </c>
      <c r="AE226" s="692">
        <f t="shared" si="98"/>
        <v>0</v>
      </c>
      <c r="AF226" s="692">
        <f t="shared" si="99"/>
        <v>0</v>
      </c>
      <c r="AG226" s="38"/>
      <c r="AH226" s="692">
        <f t="shared" ref="AH226:AH235" si="101">IF(B226="D",Q226,0)</f>
        <v>0</v>
      </c>
      <c r="AI226" s="692">
        <f t="shared" ref="AI226:AI235" si="102">IF(B226="M",Q226,0)</f>
        <v>0</v>
      </c>
      <c r="AJ226" s="692">
        <f t="shared" ref="AJ226:AJ235" si="103">IF(B226="V",Q226,0)</f>
        <v>0</v>
      </c>
      <c r="AL226" s="38">
        <f t="shared" si="100"/>
        <v>0</v>
      </c>
      <c r="AM226" s="123" t="s">
        <v>441</v>
      </c>
    </row>
    <row r="227" spans="1:39">
      <c r="A227" s="20"/>
      <c r="B227" s="20" t="s">
        <v>109</v>
      </c>
      <c r="C227" s="667"/>
      <c r="D227" s="68" t="s">
        <v>121</v>
      </c>
      <c r="E227" s="679"/>
      <c r="F227" s="529">
        <f>VLOOKUP(D227,'Dec13 Revenue'!D:V,19,FALSE)</f>
        <v>0</v>
      </c>
      <c r="G227" s="680"/>
      <c r="H227" s="680"/>
      <c r="I227" s="755"/>
      <c r="J227" s="682">
        <f t="shared" si="96"/>
        <v>0</v>
      </c>
      <c r="K227" s="683"/>
      <c r="L227" s="684"/>
      <c r="M227" s="753"/>
      <c r="N227" s="683">
        <v>0</v>
      </c>
      <c r="O227" s="686"/>
      <c r="P227" s="683">
        <v>0</v>
      </c>
      <c r="Q227" s="687">
        <f t="shared" si="95"/>
        <v>0</v>
      </c>
      <c r="R227" s="687"/>
      <c r="S227" s="687"/>
      <c r="T227" s="688">
        <v>0</v>
      </c>
      <c r="U227" s="693"/>
      <c r="V227" s="690">
        <f t="shared" si="94"/>
        <v>0</v>
      </c>
      <c r="W227" s="683"/>
      <c r="X227" s="474">
        <f t="shared" ref="X227:X235" si="104">IF(B227="D",Q227,0)</f>
        <v>0</v>
      </c>
      <c r="Y227" s="474">
        <f t="shared" ref="Y227:Y235" si="105">IF(B227="M",Q227,0)</f>
        <v>0</v>
      </c>
      <c r="Z227" s="475">
        <f t="shared" ref="Z227:Z235" si="106">IF(B227="V",Q227,0)</f>
        <v>0</v>
      </c>
      <c r="AA227" s="475">
        <v>0</v>
      </c>
      <c r="AB227" s="476">
        <v>0</v>
      </c>
      <c r="AC227" s="38">
        <f t="shared" ref="AC227:AC235" si="107">(L227+M227)-(X227+Y227+Z227+AA227+AB227)</f>
        <v>0</v>
      </c>
      <c r="AD227" s="692">
        <f t="shared" si="97"/>
        <v>0</v>
      </c>
      <c r="AE227" s="692">
        <f t="shared" si="98"/>
        <v>0</v>
      </c>
      <c r="AF227" s="692">
        <f t="shared" si="99"/>
        <v>0</v>
      </c>
      <c r="AG227" s="38"/>
      <c r="AH227" s="692">
        <f t="shared" si="101"/>
        <v>0</v>
      </c>
      <c r="AI227" s="692">
        <f t="shared" si="102"/>
        <v>0</v>
      </c>
      <c r="AJ227" s="692">
        <f t="shared" si="103"/>
        <v>0</v>
      </c>
      <c r="AL227" s="38">
        <f t="shared" si="100"/>
        <v>0</v>
      </c>
      <c r="AM227" s="68" t="s">
        <v>121</v>
      </c>
    </row>
    <row r="228" spans="1:39">
      <c r="A228" s="20"/>
      <c r="B228" s="20" t="s">
        <v>110</v>
      </c>
      <c r="C228" s="667"/>
      <c r="D228" s="68" t="s">
        <v>168</v>
      </c>
      <c r="E228" s="679"/>
      <c r="F228" s="529">
        <f>VLOOKUP(D228,'Dec13 Revenue'!D:V,19,FALSE)</f>
        <v>0</v>
      </c>
      <c r="G228" s="680"/>
      <c r="H228" s="680"/>
      <c r="I228" s="755"/>
      <c r="J228" s="682">
        <f t="shared" si="96"/>
        <v>0</v>
      </c>
      <c r="K228" s="683"/>
      <c r="L228" s="684"/>
      <c r="M228" s="753"/>
      <c r="N228" s="683">
        <v>0</v>
      </c>
      <c r="O228" s="686"/>
      <c r="P228" s="683">
        <v>0</v>
      </c>
      <c r="Q228" s="687">
        <f t="shared" si="95"/>
        <v>0</v>
      </c>
      <c r="R228" s="687"/>
      <c r="S228" s="687"/>
      <c r="T228" s="688">
        <v>0</v>
      </c>
      <c r="U228" s="693"/>
      <c r="V228" s="690">
        <f t="shared" si="94"/>
        <v>0</v>
      </c>
      <c r="W228" s="683"/>
      <c r="X228" s="474">
        <f t="shared" si="104"/>
        <v>0</v>
      </c>
      <c r="Y228" s="474">
        <f t="shared" si="105"/>
        <v>0</v>
      </c>
      <c r="Z228" s="475">
        <f t="shared" si="106"/>
        <v>0</v>
      </c>
      <c r="AA228" s="475">
        <v>0</v>
      </c>
      <c r="AB228" s="476">
        <v>0</v>
      </c>
      <c r="AC228" s="38">
        <f t="shared" si="107"/>
        <v>0</v>
      </c>
      <c r="AD228" s="692">
        <f t="shared" si="97"/>
        <v>0</v>
      </c>
      <c r="AE228" s="692">
        <f t="shared" si="98"/>
        <v>0</v>
      </c>
      <c r="AF228" s="692">
        <f t="shared" si="99"/>
        <v>0</v>
      </c>
      <c r="AG228" s="38"/>
      <c r="AH228" s="692">
        <f t="shared" si="101"/>
        <v>0</v>
      </c>
      <c r="AI228" s="692">
        <f t="shared" si="102"/>
        <v>0</v>
      </c>
      <c r="AJ228" s="692">
        <f t="shared" si="103"/>
        <v>0</v>
      </c>
      <c r="AL228" s="38">
        <f t="shared" si="100"/>
        <v>0</v>
      </c>
      <c r="AM228" s="68" t="s">
        <v>168</v>
      </c>
    </row>
    <row r="229" spans="1:39">
      <c r="A229" s="20"/>
      <c r="B229" s="20" t="s">
        <v>109</v>
      </c>
      <c r="C229" s="667" t="s">
        <v>582</v>
      </c>
      <c r="D229" s="68" t="s">
        <v>167</v>
      </c>
      <c r="E229" s="679"/>
      <c r="F229" s="529">
        <f>VLOOKUP(D229,'Dec13 Revenue'!D:V,19,FALSE)</f>
        <v>0</v>
      </c>
      <c r="G229" s="680"/>
      <c r="H229" s="680"/>
      <c r="I229" s="755"/>
      <c r="J229" s="682">
        <f t="shared" si="96"/>
        <v>0</v>
      </c>
      <c r="K229" s="683"/>
      <c r="L229" s="684"/>
      <c r="M229" s="753"/>
      <c r="N229" s="683">
        <v>0</v>
      </c>
      <c r="O229" s="686"/>
      <c r="P229" s="683">
        <v>0</v>
      </c>
      <c r="Q229" s="687">
        <f t="shared" si="95"/>
        <v>0</v>
      </c>
      <c r="R229" s="687"/>
      <c r="S229" s="687"/>
      <c r="T229" s="688">
        <v>0</v>
      </c>
      <c r="U229" s="693"/>
      <c r="V229" s="690">
        <f t="shared" si="94"/>
        <v>0</v>
      </c>
      <c r="W229" s="683"/>
      <c r="X229" s="474">
        <f t="shared" si="104"/>
        <v>0</v>
      </c>
      <c r="Y229" s="474">
        <f t="shared" si="105"/>
        <v>0</v>
      </c>
      <c r="Z229" s="475">
        <f t="shared" si="106"/>
        <v>0</v>
      </c>
      <c r="AA229" s="475">
        <v>0</v>
      </c>
      <c r="AB229" s="476">
        <v>0</v>
      </c>
      <c r="AC229" s="38">
        <f t="shared" si="107"/>
        <v>0</v>
      </c>
      <c r="AD229" s="692">
        <f t="shared" si="97"/>
        <v>0</v>
      </c>
      <c r="AE229" s="692">
        <f t="shared" si="98"/>
        <v>0</v>
      </c>
      <c r="AF229" s="692">
        <f t="shared" si="99"/>
        <v>0</v>
      </c>
      <c r="AG229" s="38"/>
      <c r="AH229" s="692">
        <f t="shared" si="101"/>
        <v>0</v>
      </c>
      <c r="AI229" s="692">
        <f t="shared" si="102"/>
        <v>0</v>
      </c>
      <c r="AJ229" s="692">
        <f t="shared" si="103"/>
        <v>0</v>
      </c>
      <c r="AL229" s="38">
        <f t="shared" si="100"/>
        <v>0</v>
      </c>
      <c r="AM229" s="68" t="s">
        <v>167</v>
      </c>
    </row>
    <row r="230" spans="1:39">
      <c r="A230" s="20" t="s">
        <v>218</v>
      </c>
      <c r="B230" s="20" t="s">
        <v>110</v>
      </c>
      <c r="C230" s="667"/>
      <c r="D230" s="68" t="s">
        <v>60</v>
      </c>
      <c r="E230" s="679"/>
      <c r="F230" s="529">
        <f>VLOOKUP(D230,'Dec13 Revenue'!D:V,19,FALSE)</f>
        <v>-18000</v>
      </c>
      <c r="G230" s="680"/>
      <c r="H230" s="680"/>
      <c r="I230" s="755"/>
      <c r="J230" s="682">
        <f t="shared" si="96"/>
        <v>-18000</v>
      </c>
      <c r="K230" s="683"/>
      <c r="L230" s="684"/>
      <c r="M230" s="753">
        <v>24000</v>
      </c>
      <c r="N230" s="683">
        <v>0</v>
      </c>
      <c r="O230" s="686"/>
      <c r="P230" s="683">
        <v>0</v>
      </c>
      <c r="Q230" s="687">
        <f t="shared" si="95"/>
        <v>24000</v>
      </c>
      <c r="R230" s="687"/>
      <c r="S230" s="687"/>
      <c r="T230" s="688">
        <v>0</v>
      </c>
      <c r="U230" s="693"/>
      <c r="V230" s="690">
        <f t="shared" si="94"/>
        <v>-24000</v>
      </c>
      <c r="W230" s="697"/>
      <c r="X230" s="474">
        <f t="shared" si="104"/>
        <v>24000</v>
      </c>
      <c r="Y230" s="474">
        <f t="shared" si="105"/>
        <v>0</v>
      </c>
      <c r="Z230" s="475">
        <f t="shared" si="106"/>
        <v>0</v>
      </c>
      <c r="AA230" s="475">
        <v>0</v>
      </c>
      <c r="AB230" s="476">
        <v>0</v>
      </c>
      <c r="AC230" s="38">
        <f t="shared" si="107"/>
        <v>0</v>
      </c>
      <c r="AD230" s="692">
        <f t="shared" si="97"/>
        <v>-18000</v>
      </c>
      <c r="AE230" s="692">
        <f t="shared" si="98"/>
        <v>0</v>
      </c>
      <c r="AF230" s="692">
        <f t="shared" si="99"/>
        <v>0</v>
      </c>
      <c r="AG230" s="38"/>
      <c r="AH230" s="692">
        <f t="shared" si="101"/>
        <v>24000</v>
      </c>
      <c r="AI230" s="692">
        <f t="shared" si="102"/>
        <v>0</v>
      </c>
      <c r="AJ230" s="692">
        <f t="shared" si="103"/>
        <v>0</v>
      </c>
      <c r="AL230" s="38">
        <f t="shared" si="100"/>
        <v>6000</v>
      </c>
      <c r="AM230" s="68" t="s">
        <v>60</v>
      </c>
    </row>
    <row r="231" spans="1:39">
      <c r="A231" s="20"/>
      <c r="B231" s="20" t="s">
        <v>110</v>
      </c>
      <c r="C231" s="667" t="s">
        <v>583</v>
      </c>
      <c r="D231" s="68" t="s">
        <v>169</v>
      </c>
      <c r="E231" s="679"/>
      <c r="F231" s="529">
        <f>VLOOKUP(D231,'Dec13 Revenue'!D:V,19,FALSE)</f>
        <v>0</v>
      </c>
      <c r="G231" s="680"/>
      <c r="H231" s="680"/>
      <c r="I231" s="755"/>
      <c r="J231" s="682">
        <f t="shared" si="96"/>
        <v>0</v>
      </c>
      <c r="K231" s="683"/>
      <c r="L231" s="684"/>
      <c r="M231" s="753"/>
      <c r="N231" s="683">
        <v>0</v>
      </c>
      <c r="O231" s="686"/>
      <c r="P231" s="683">
        <v>0</v>
      </c>
      <c r="Q231" s="687">
        <f t="shared" si="95"/>
        <v>0</v>
      </c>
      <c r="R231" s="687"/>
      <c r="S231" s="687"/>
      <c r="T231" s="688">
        <v>0</v>
      </c>
      <c r="U231" s="693"/>
      <c r="V231" s="690">
        <f t="shared" si="94"/>
        <v>0</v>
      </c>
      <c r="W231" s="683"/>
      <c r="X231" s="474">
        <f t="shared" si="104"/>
        <v>0</v>
      </c>
      <c r="Y231" s="474">
        <f t="shared" si="105"/>
        <v>0</v>
      </c>
      <c r="Z231" s="475">
        <f t="shared" si="106"/>
        <v>0</v>
      </c>
      <c r="AA231" s="475">
        <v>0</v>
      </c>
      <c r="AB231" s="476">
        <v>0</v>
      </c>
      <c r="AC231" s="38">
        <f t="shared" si="107"/>
        <v>0</v>
      </c>
      <c r="AD231" s="692">
        <f t="shared" si="97"/>
        <v>0</v>
      </c>
      <c r="AE231" s="692">
        <f t="shared" si="98"/>
        <v>0</v>
      </c>
      <c r="AF231" s="692">
        <f t="shared" si="99"/>
        <v>0</v>
      </c>
      <c r="AG231" s="38"/>
      <c r="AH231" s="692">
        <f t="shared" si="101"/>
        <v>0</v>
      </c>
      <c r="AI231" s="692">
        <f t="shared" si="102"/>
        <v>0</v>
      </c>
      <c r="AJ231" s="692">
        <f t="shared" si="103"/>
        <v>0</v>
      </c>
      <c r="AL231" s="38">
        <f t="shared" si="100"/>
        <v>0</v>
      </c>
      <c r="AM231" s="68" t="s">
        <v>169</v>
      </c>
    </row>
    <row r="232" spans="1:39">
      <c r="A232" s="21"/>
      <c r="B232" s="21" t="s">
        <v>110</v>
      </c>
      <c r="C232" s="666"/>
      <c r="D232" s="821" t="s">
        <v>981</v>
      </c>
      <c r="E232" s="679"/>
      <c r="F232" s="529">
        <f>VLOOKUP(D232,'Dec13 Revenue'!D:V,19,FALSE)</f>
        <v>0</v>
      </c>
      <c r="G232" s="680"/>
      <c r="H232" s="680"/>
      <c r="I232" s="755"/>
      <c r="J232" s="682">
        <f t="shared" si="96"/>
        <v>0</v>
      </c>
      <c r="K232" s="683"/>
      <c r="L232" s="684"/>
      <c r="M232" s="753"/>
      <c r="N232" s="683">
        <v>0</v>
      </c>
      <c r="O232" s="686"/>
      <c r="P232" s="683">
        <v>0</v>
      </c>
      <c r="Q232" s="687">
        <f t="shared" si="95"/>
        <v>0</v>
      </c>
      <c r="R232" s="687"/>
      <c r="S232" s="687"/>
      <c r="T232" s="688">
        <v>0</v>
      </c>
      <c r="U232" s="693"/>
      <c r="V232" s="690">
        <f t="shared" si="94"/>
        <v>0</v>
      </c>
      <c r="W232" s="683"/>
      <c r="X232" s="474">
        <f t="shared" si="104"/>
        <v>0</v>
      </c>
      <c r="Y232" s="474">
        <f t="shared" si="105"/>
        <v>0</v>
      </c>
      <c r="Z232" s="475">
        <f t="shared" si="106"/>
        <v>0</v>
      </c>
      <c r="AA232" s="475">
        <v>0</v>
      </c>
      <c r="AB232" s="476">
        <v>0</v>
      </c>
      <c r="AC232" s="38">
        <f t="shared" si="107"/>
        <v>0</v>
      </c>
      <c r="AD232" s="692">
        <f t="shared" si="97"/>
        <v>0</v>
      </c>
      <c r="AE232" s="692">
        <f t="shared" si="98"/>
        <v>0</v>
      </c>
      <c r="AF232" s="692">
        <f t="shared" si="99"/>
        <v>0</v>
      </c>
      <c r="AG232" s="38"/>
      <c r="AH232" s="692">
        <f t="shared" si="101"/>
        <v>0</v>
      </c>
      <c r="AI232" s="692">
        <f t="shared" si="102"/>
        <v>0</v>
      </c>
      <c r="AJ232" s="692">
        <f t="shared" si="103"/>
        <v>0</v>
      </c>
      <c r="AL232" s="38">
        <f t="shared" si="100"/>
        <v>0</v>
      </c>
      <c r="AM232" s="821" t="s">
        <v>981</v>
      </c>
    </row>
    <row r="233" spans="1:39">
      <c r="A233" s="21"/>
      <c r="B233" s="21" t="s">
        <v>114</v>
      </c>
      <c r="C233" s="666"/>
      <c r="D233" s="68" t="s">
        <v>591</v>
      </c>
      <c r="E233" s="679"/>
      <c r="F233" s="529">
        <f>VLOOKUP(D233,'Dec13 Revenue'!D:V,19,FALSE)</f>
        <v>-1867.6499999999996</v>
      </c>
      <c r="G233" s="680"/>
      <c r="H233" s="680"/>
      <c r="I233" s="755"/>
      <c r="J233" s="682">
        <f t="shared" si="96"/>
        <v>-1867.6499999999996</v>
      </c>
      <c r="K233" s="683"/>
      <c r="L233" s="684"/>
      <c r="M233" s="753"/>
      <c r="N233" s="683">
        <v>0</v>
      </c>
      <c r="O233" s="686"/>
      <c r="P233" s="683">
        <v>0</v>
      </c>
      <c r="Q233" s="687">
        <f t="shared" si="95"/>
        <v>0</v>
      </c>
      <c r="R233" s="687"/>
      <c r="S233" s="687"/>
      <c r="T233" s="688">
        <f>1788.84+246.31+456.95+884.08</f>
        <v>3376.18</v>
      </c>
      <c r="U233" s="693"/>
      <c r="V233" s="690">
        <f t="shared" si="94"/>
        <v>3376.18</v>
      </c>
      <c r="W233" s="683"/>
      <c r="X233" s="474">
        <f t="shared" si="104"/>
        <v>0</v>
      </c>
      <c r="Y233" s="474">
        <f t="shared" si="105"/>
        <v>0</v>
      </c>
      <c r="Z233" s="475">
        <f t="shared" si="106"/>
        <v>0</v>
      </c>
      <c r="AA233" s="475">
        <v>0</v>
      </c>
      <c r="AB233" s="476">
        <v>0</v>
      </c>
      <c r="AC233" s="38">
        <f t="shared" si="107"/>
        <v>0</v>
      </c>
      <c r="AD233" s="692">
        <f t="shared" si="97"/>
        <v>0</v>
      </c>
      <c r="AE233" s="692">
        <f t="shared" si="98"/>
        <v>0</v>
      </c>
      <c r="AF233" s="692">
        <f t="shared" si="99"/>
        <v>-1867.6499999999996</v>
      </c>
      <c r="AG233" s="38"/>
      <c r="AH233" s="692">
        <f t="shared" si="101"/>
        <v>0</v>
      </c>
      <c r="AI233" s="692">
        <f t="shared" si="102"/>
        <v>0</v>
      </c>
      <c r="AJ233" s="692">
        <f t="shared" si="103"/>
        <v>0</v>
      </c>
      <c r="AL233" s="38">
        <f t="shared" si="100"/>
        <v>-1867.6499999999996</v>
      </c>
      <c r="AM233" s="68" t="s">
        <v>591</v>
      </c>
    </row>
    <row r="234" spans="1:39">
      <c r="A234" s="21"/>
      <c r="B234" s="21" t="s">
        <v>114</v>
      </c>
      <c r="C234" s="672"/>
      <c r="D234" s="519" t="s">
        <v>433</v>
      </c>
      <c r="E234" s="679"/>
      <c r="F234" s="529">
        <f>VLOOKUP(D234,'Dec13 Revenue'!D:V,19,FALSE)</f>
        <v>0</v>
      </c>
      <c r="G234" s="680"/>
      <c r="H234" s="680"/>
      <c r="I234" s="755"/>
      <c r="J234" s="682">
        <f t="shared" si="96"/>
        <v>0</v>
      </c>
      <c r="K234" s="683"/>
      <c r="L234" s="684"/>
      <c r="M234" s="753"/>
      <c r="N234" s="683">
        <v>0</v>
      </c>
      <c r="O234" s="686"/>
      <c r="P234" s="683">
        <v>0</v>
      </c>
      <c r="Q234" s="687">
        <f t="shared" si="95"/>
        <v>0</v>
      </c>
      <c r="R234" s="687"/>
      <c r="S234" s="687"/>
      <c r="T234" s="688">
        <v>0</v>
      </c>
      <c r="U234" s="693"/>
      <c r="V234" s="690">
        <f t="shared" si="94"/>
        <v>0</v>
      </c>
      <c r="W234" s="683"/>
      <c r="X234" s="474">
        <f t="shared" si="104"/>
        <v>0</v>
      </c>
      <c r="Y234" s="474">
        <f t="shared" si="105"/>
        <v>0</v>
      </c>
      <c r="Z234" s="475">
        <f t="shared" si="106"/>
        <v>0</v>
      </c>
      <c r="AA234" s="475">
        <v>0</v>
      </c>
      <c r="AB234" s="476">
        <v>0</v>
      </c>
      <c r="AC234" s="38">
        <f t="shared" si="107"/>
        <v>0</v>
      </c>
      <c r="AD234" s="692">
        <f t="shared" si="97"/>
        <v>0</v>
      </c>
      <c r="AE234" s="692">
        <f t="shared" si="98"/>
        <v>0</v>
      </c>
      <c r="AF234" s="692">
        <f t="shared" si="99"/>
        <v>0</v>
      </c>
      <c r="AG234" s="38"/>
      <c r="AH234" s="692">
        <f t="shared" si="101"/>
        <v>0</v>
      </c>
      <c r="AI234" s="692">
        <f t="shared" si="102"/>
        <v>0</v>
      </c>
      <c r="AJ234" s="692">
        <f t="shared" si="103"/>
        <v>0</v>
      </c>
      <c r="AL234" s="38">
        <f t="shared" si="100"/>
        <v>0</v>
      </c>
      <c r="AM234" s="519" t="s">
        <v>433</v>
      </c>
    </row>
    <row r="235" spans="1:39" s="146" customFormat="1" ht="13" thickBot="1">
      <c r="A235" s="21"/>
      <c r="B235" s="21" t="s">
        <v>110</v>
      </c>
      <c r="C235" s="666"/>
      <c r="D235" s="68" t="s">
        <v>1020</v>
      </c>
      <c r="E235" s="679"/>
      <c r="F235" s="529">
        <f>VLOOKUP(D235,'Dec13 Revenue'!D:V,19,FALSE)</f>
        <v>0</v>
      </c>
      <c r="G235" s="680"/>
      <c r="H235" s="680"/>
      <c r="I235" s="755">
        <v>57.23</v>
      </c>
      <c r="J235" s="682">
        <f t="shared" si="96"/>
        <v>57.23</v>
      </c>
      <c r="K235" s="683"/>
      <c r="L235" s="684"/>
      <c r="M235" s="753"/>
      <c r="N235" s="683">
        <v>0</v>
      </c>
      <c r="O235" s="686"/>
      <c r="P235" s="683">
        <v>0</v>
      </c>
      <c r="Q235" s="687">
        <f t="shared" si="95"/>
        <v>0</v>
      </c>
      <c r="R235" s="687"/>
      <c r="S235" s="687"/>
      <c r="T235" s="688">
        <v>0</v>
      </c>
      <c r="U235" s="693"/>
      <c r="V235" s="690">
        <f t="shared" ref="V235" si="108">IF(T235="","",T235-Q235)</f>
        <v>0</v>
      </c>
      <c r="W235" s="683"/>
      <c r="X235" s="474">
        <f t="shared" si="104"/>
        <v>0</v>
      </c>
      <c r="Y235" s="474">
        <f t="shared" si="105"/>
        <v>0</v>
      </c>
      <c r="Z235" s="475">
        <f t="shared" si="106"/>
        <v>0</v>
      </c>
      <c r="AA235" s="475">
        <v>0</v>
      </c>
      <c r="AB235" s="476">
        <v>0</v>
      </c>
      <c r="AC235" s="38">
        <f t="shared" si="107"/>
        <v>0</v>
      </c>
      <c r="AD235" s="692">
        <f t="shared" si="97"/>
        <v>57.23</v>
      </c>
      <c r="AE235" s="692">
        <f t="shared" si="98"/>
        <v>0</v>
      </c>
      <c r="AF235" s="692">
        <f t="shared" si="99"/>
        <v>0</v>
      </c>
      <c r="AG235" s="38"/>
      <c r="AH235" s="692">
        <f t="shared" si="101"/>
        <v>0</v>
      </c>
      <c r="AI235" s="692">
        <f t="shared" si="102"/>
        <v>0</v>
      </c>
      <c r="AJ235" s="692">
        <f t="shared" si="103"/>
        <v>0</v>
      </c>
      <c r="AL235" s="38">
        <f t="shared" si="100"/>
        <v>57.23</v>
      </c>
      <c r="AM235" s="68" t="s">
        <v>593</v>
      </c>
    </row>
    <row r="236" spans="1:39" ht="13" thickBot="1">
      <c r="A236" s="107"/>
      <c r="B236" s="108"/>
      <c r="C236" s="673"/>
      <c r="D236" s="71" t="s">
        <v>86</v>
      </c>
      <c r="E236" s="454">
        <f t="shared" ref="E236:J236" si="109">SUM(E16:E235)</f>
        <v>647824.58000000007</v>
      </c>
      <c r="F236" s="454">
        <f t="shared" si="109"/>
        <v>-107712.81000000026</v>
      </c>
      <c r="G236" s="454">
        <f t="shared" si="109"/>
        <v>0</v>
      </c>
      <c r="H236" s="454">
        <f t="shared" si="109"/>
        <v>0</v>
      </c>
      <c r="I236" s="454">
        <f t="shared" si="109"/>
        <v>16475139.693438999</v>
      </c>
      <c r="J236" s="454">
        <f t="shared" si="109"/>
        <v>17015251.463438999</v>
      </c>
      <c r="K236" s="454"/>
      <c r="L236" s="454">
        <f>SUM(L16:L235)</f>
        <v>468700</v>
      </c>
      <c r="M236" s="454">
        <f>SUM(M16:M235)</f>
        <v>5612700</v>
      </c>
      <c r="N236" s="454">
        <f>SUM(N16:N235)</f>
        <v>0</v>
      </c>
      <c r="O236" s="100">
        <f>SUM(O16:O235)</f>
        <v>0</v>
      </c>
      <c r="P236" s="157">
        <f>SUM(P17:P235)</f>
        <v>0</v>
      </c>
      <c r="Q236" s="100">
        <f>SUM(Q16:Q235)</f>
        <v>6081400</v>
      </c>
      <c r="R236" s="100"/>
      <c r="S236" s="100"/>
      <c r="T236" s="100">
        <f>SUM(T16:T235)</f>
        <v>5142747.1899999995</v>
      </c>
      <c r="U236" s="708"/>
      <c r="V236" s="100">
        <f>SUM(V16:V235)</f>
        <v>-938652.81</v>
      </c>
      <c r="W236" s="683"/>
      <c r="X236" s="314">
        <f>SUM(X16:X235)</f>
        <v>5360500</v>
      </c>
      <c r="Y236" s="314">
        <f>SUM(Y16:Y235)</f>
        <v>490000</v>
      </c>
      <c r="Z236" s="314">
        <f>SUM(Z16:Z235)</f>
        <v>230900</v>
      </c>
      <c r="AA236" s="314">
        <f>SUM(AA16:AA235)</f>
        <v>0</v>
      </c>
      <c r="AB236" s="314">
        <f>SUM(AB16:AB235)</f>
        <v>0</v>
      </c>
      <c r="AC236" s="38"/>
      <c r="AD236" s="314">
        <f>SUM(AD16:AD235)</f>
        <v>16558833.533439001</v>
      </c>
      <c r="AE236" s="314">
        <f>SUM(AE16:AE235)</f>
        <v>468957.25000000012</v>
      </c>
      <c r="AF236" s="314">
        <f>SUM(AF16:AF235)</f>
        <v>-12539.319999999998</v>
      </c>
      <c r="AG236" s="38"/>
      <c r="AH236" s="314">
        <f>SUM(AH16:AH235)</f>
        <v>5360500</v>
      </c>
      <c r="AI236" s="314">
        <f>SUM(AI16:AI235)</f>
        <v>490000</v>
      </c>
      <c r="AJ236" s="314">
        <f>SUM(AJ16:AJ235)</f>
        <v>230900</v>
      </c>
    </row>
    <row r="237" spans="1:39" ht="13" thickBot="1">
      <c r="A237" s="65"/>
      <c r="B237" s="65"/>
      <c r="C237" s="674"/>
      <c r="D237" s="141"/>
      <c r="E237" s="709" t="s">
        <v>293</v>
      </c>
      <c r="F237" s="160">
        <f>F236+E236</f>
        <v>540111.76999999979</v>
      </c>
      <c r="G237" s="153"/>
      <c r="H237" s="153" t="s">
        <v>225</v>
      </c>
      <c r="I237" s="153">
        <f>I236+H236+G236</f>
        <v>16475139.693438999</v>
      </c>
      <c r="J237" s="323"/>
      <c r="K237" s="153"/>
      <c r="L237" s="153" t="s">
        <v>296</v>
      </c>
      <c r="M237" s="100">
        <f>M236+L236</f>
        <v>6081400</v>
      </c>
      <c r="N237" s="153"/>
      <c r="O237" s="641"/>
      <c r="P237" s="153"/>
      <c r="Q237" s="153"/>
      <c r="R237" s="153"/>
      <c r="S237" s="153"/>
      <c r="T237" s="153"/>
      <c r="U237" s="153"/>
      <c r="V237" s="153"/>
      <c r="W237" s="153"/>
      <c r="X237" s="139"/>
      <c r="Y237" s="139"/>
      <c r="Z237" s="139"/>
      <c r="AA237" s="139"/>
      <c r="AB237" s="104"/>
      <c r="AC237" s="38"/>
      <c r="AD237" s="711"/>
      <c r="AE237" s="711"/>
      <c r="AF237" s="711"/>
      <c r="AG237" s="38"/>
      <c r="AH237" s="38"/>
      <c r="AI237" s="38"/>
      <c r="AJ237" s="38"/>
    </row>
    <row r="238" spans="1:39" ht="13" thickBot="1">
      <c r="A238" s="65"/>
      <c r="B238" s="65"/>
      <c r="C238" s="674"/>
      <c r="E238" s="159"/>
      <c r="F238" s="153"/>
      <c r="G238" s="153"/>
      <c r="H238" s="153"/>
      <c r="I238" s="153"/>
      <c r="J238" s="153"/>
      <c r="K238" s="153"/>
      <c r="L238" s="153"/>
      <c r="M238" s="710"/>
      <c r="N238" s="153"/>
      <c r="O238" s="153"/>
      <c r="P238" s="153"/>
      <c r="Q238" s="153"/>
      <c r="R238" s="153"/>
      <c r="S238" s="153"/>
      <c r="T238" s="153"/>
      <c r="U238" s="153"/>
      <c r="V238" s="153"/>
      <c r="W238" s="153"/>
      <c r="X238" s="331" t="s">
        <v>345</v>
      </c>
      <c r="Y238" s="139"/>
      <c r="Z238" s="139"/>
      <c r="AA238" s="139"/>
      <c r="AB238" s="104"/>
      <c r="AC238" s="164" t="s">
        <v>633</v>
      </c>
      <c r="AD238" s="798"/>
      <c r="AE238" s="798"/>
      <c r="AF238" s="798"/>
      <c r="AG238" s="38"/>
      <c r="AH238" s="711"/>
      <c r="AI238" s="711"/>
      <c r="AJ238" s="711"/>
    </row>
    <row r="239" spans="1:39" ht="17" thickTop="1" thickBot="1">
      <c r="E239" s="712"/>
      <c r="F239" s="713"/>
      <c r="G239" s="714"/>
      <c r="H239" s="715"/>
      <c r="I239" s="715"/>
      <c r="J239" s="164"/>
      <c r="K239" s="169"/>
      <c r="L239" s="233"/>
      <c r="M239" s="233"/>
      <c r="N239" s="38"/>
      <c r="O239" s="642"/>
      <c r="P239" s="139"/>
      <c r="Q239" s="139"/>
      <c r="R239" s="139"/>
      <c r="S239" s="139"/>
      <c r="T239" s="33"/>
      <c r="U239" s="33"/>
      <c r="V239" s="33"/>
      <c r="W239" s="169"/>
      <c r="X239" s="332"/>
      <c r="Y239" s="333"/>
      <c r="Z239" s="491"/>
      <c r="AA239" s="491"/>
      <c r="AB239" s="334"/>
      <c r="AC239" s="164" t="s">
        <v>634</v>
      </c>
      <c r="AD239" s="798"/>
      <c r="AE239" s="798"/>
      <c r="AF239" s="802"/>
      <c r="AG239" s="38"/>
      <c r="AH239" s="38"/>
      <c r="AI239" s="38"/>
      <c r="AJ239" s="38"/>
    </row>
    <row r="240" spans="1:39" ht="17" thickBot="1">
      <c r="E240" s="712"/>
      <c r="F240" s="713"/>
      <c r="G240" s="714"/>
      <c r="H240" s="715"/>
      <c r="J240" s="79">
        <f>J236</f>
        <v>17015251.463438999</v>
      </c>
      <c r="K240" s="715" t="s">
        <v>1046</v>
      </c>
      <c r="L240" s="169"/>
      <c r="M240" s="493"/>
      <c r="N240" s="38"/>
      <c r="O240" s="80"/>
      <c r="P240" s="104"/>
      <c r="Q240" s="139"/>
      <c r="R240" s="139"/>
      <c r="S240" s="139"/>
      <c r="T240" s="33"/>
      <c r="U240" s="33"/>
      <c r="V240" s="33"/>
      <c r="W240" s="169"/>
      <c r="X240" s="487"/>
      <c r="Y240" s="488"/>
      <c r="Z240" s="492" t="s">
        <v>399</v>
      </c>
      <c r="AA240" s="492" t="s">
        <v>400</v>
      </c>
      <c r="AB240" s="488"/>
      <c r="AC240" s="717" t="s">
        <v>475</v>
      </c>
      <c r="AD240" s="718">
        <f>SUM(AD236:AD239)</f>
        <v>16558833.533439001</v>
      </c>
      <c r="AE240" s="718">
        <f>AE236</f>
        <v>468957.25000000012</v>
      </c>
      <c r="AF240" s="718">
        <f>SUM(AF236:AF239)</f>
        <v>-12539.319999999998</v>
      </c>
      <c r="AG240" s="718"/>
      <c r="AH240" s="718">
        <f>AH236</f>
        <v>5360500</v>
      </c>
      <c r="AI240" s="718">
        <f>AI236</f>
        <v>490000</v>
      </c>
      <c r="AJ240" s="719">
        <f>AJ236</f>
        <v>230900</v>
      </c>
      <c r="AL240" s="38">
        <f>SUM(AL17:AL239)</f>
        <v>23096001.883439004</v>
      </c>
    </row>
    <row r="241" spans="4:36" ht="15" thickBot="1">
      <c r="D241" s="143"/>
      <c r="E241" s="759"/>
      <c r="F241" s="713"/>
      <c r="G241" s="714"/>
      <c r="H241" s="720"/>
      <c r="J241" s="750" t="e">
        <f>SUM('June GL'!#REF!)</f>
        <v>#REF!</v>
      </c>
      <c r="K241" s="757" t="s">
        <v>251</v>
      </c>
      <c r="L241" s="722"/>
      <c r="M241" s="642"/>
      <c r="N241" s="33"/>
      <c r="O241" s="80"/>
      <c r="P241" s="104"/>
      <c r="Q241" s="139"/>
      <c r="R241" s="139"/>
      <c r="S241" s="139"/>
      <c r="T241" s="33"/>
      <c r="U241" s="33"/>
      <c r="V241" s="33"/>
      <c r="W241" s="169"/>
      <c r="X241" s="158" t="s">
        <v>609</v>
      </c>
      <c r="Y241" s="104" t="s">
        <v>352</v>
      </c>
      <c r="Z241" s="104">
        <f>X236+Y236+Z236</f>
        <v>6081400</v>
      </c>
      <c r="AA241" s="104"/>
      <c r="AB241" s="136"/>
      <c r="AC241" s="723"/>
      <c r="AD241" s="38"/>
      <c r="AE241" s="38"/>
      <c r="AF241" s="38"/>
      <c r="AG241" s="38"/>
      <c r="AH241" s="38"/>
      <c r="AI241" s="38"/>
      <c r="AJ241" s="38"/>
    </row>
    <row r="242" spans="4:36" ht="15" thickTop="1">
      <c r="D242" s="143"/>
      <c r="E242" s="712"/>
      <c r="F242" s="713"/>
      <c r="G242" s="714"/>
      <c r="H242" s="714" t="s">
        <v>249</v>
      </c>
      <c r="I242" s="35"/>
      <c r="J242" s="824" t="e">
        <f>J241+J240</f>
        <v>#REF!</v>
      </c>
      <c r="K242" s="714" t="s">
        <v>454</v>
      </c>
      <c r="L242" s="722"/>
      <c r="M242" s="80"/>
      <c r="N242" s="104"/>
      <c r="O242" s="824"/>
      <c r="P242" s="104"/>
      <c r="Q242" s="826"/>
      <c r="R242" s="139"/>
      <c r="S242" s="139"/>
      <c r="T242" s="139"/>
      <c r="U242" s="139"/>
      <c r="V242" s="139"/>
      <c r="W242" s="169"/>
      <c r="X242" s="158"/>
      <c r="Y242" s="104"/>
      <c r="Z242" s="104"/>
      <c r="AA242" s="104"/>
      <c r="AB242" s="136"/>
      <c r="AC242" s="723"/>
      <c r="AD242" s="38"/>
      <c r="AE242" s="38"/>
      <c r="AF242" s="38" t="s">
        <v>86</v>
      </c>
      <c r="AG242" s="38"/>
      <c r="AH242" s="233">
        <f>SUM(AD240+AH240)</f>
        <v>21919333.533439003</v>
      </c>
      <c r="AI242" s="233">
        <f t="shared" ref="AI242:AJ242" si="110">SUM(AE240+AI240)</f>
        <v>958957.25000000012</v>
      </c>
      <c r="AJ242" s="233">
        <f t="shared" si="110"/>
        <v>218360.68</v>
      </c>
    </row>
    <row r="243" spans="4:36" ht="14">
      <c r="D243" s="143"/>
      <c r="E243" s="712"/>
      <c r="F243" s="713"/>
      <c r="G243" s="714"/>
      <c r="H243" s="714"/>
      <c r="J243" s="80"/>
      <c r="K243" s="714"/>
      <c r="L243" s="722"/>
      <c r="M243" s="104"/>
      <c r="N243" s="38"/>
      <c r="O243" s="139"/>
      <c r="P243" s="104"/>
      <c r="Q243" s="139"/>
      <c r="R243" s="139"/>
      <c r="S243" s="139"/>
      <c r="T243" s="139"/>
      <c r="U243" s="139"/>
      <c r="V243" s="139"/>
      <c r="W243" s="169"/>
      <c r="X243" s="158" t="s">
        <v>600</v>
      </c>
      <c r="Y243" s="104" t="s">
        <v>355</v>
      </c>
      <c r="Z243" s="104"/>
      <c r="AA243" s="104">
        <f>X236</f>
        <v>5360500</v>
      </c>
      <c r="AB243" s="136"/>
      <c r="AC243" s="38"/>
      <c r="AD243" s="797" t="s">
        <v>882</v>
      </c>
      <c r="AE243" s="38"/>
      <c r="AF243" s="38"/>
      <c r="AG243" s="38"/>
      <c r="AH243" s="233"/>
      <c r="AI243" s="233"/>
      <c r="AJ243" s="233"/>
    </row>
    <row r="244" spans="4:36" ht="15" thickBot="1">
      <c r="D244" s="143" t="s">
        <v>823</v>
      </c>
      <c r="E244" s="712"/>
      <c r="F244" s="713"/>
      <c r="G244" s="714"/>
      <c r="H244" s="714"/>
      <c r="J244" s="661">
        <f>M237</f>
        <v>6081400</v>
      </c>
      <c r="K244" s="714" t="s">
        <v>1045</v>
      </c>
      <c r="L244" s="645"/>
      <c r="M244" s="173"/>
      <c r="N244" s="38"/>
      <c r="O244" s="139"/>
      <c r="P244" s="104"/>
      <c r="Q244" s="139"/>
      <c r="R244" s="139"/>
      <c r="S244" s="139"/>
      <c r="T244" s="726"/>
      <c r="U244" s="139"/>
      <c r="V244" s="727"/>
      <c r="W244" s="169"/>
      <c r="X244" s="158"/>
      <c r="Y244" s="104" t="s">
        <v>356</v>
      </c>
      <c r="Z244" s="104"/>
      <c r="AA244" s="104">
        <f>AA236</f>
        <v>0</v>
      </c>
      <c r="AB244" s="136"/>
      <c r="AC244" s="38"/>
      <c r="AD244" s="38"/>
      <c r="AE244" s="38"/>
      <c r="AF244" s="38"/>
      <c r="AG244" s="38"/>
      <c r="AH244" s="799" t="s">
        <v>897</v>
      </c>
      <c r="AI244" s="801">
        <f>SUM(AH242:AJ242)</f>
        <v>23096651.463439003</v>
      </c>
      <c r="AJ244" s="800"/>
    </row>
    <row r="245" spans="4:36" ht="16" thickTop="1" thickBot="1">
      <c r="D245" s="143"/>
      <c r="E245" s="712"/>
      <c r="F245" s="713"/>
      <c r="G245" s="714"/>
      <c r="H245" s="714"/>
      <c r="J245" s="824" t="e">
        <f>SUM(J242:J244)</f>
        <v>#REF!</v>
      </c>
      <c r="K245" s="714"/>
      <c r="L245" s="722"/>
      <c r="M245" s="173"/>
      <c r="N245" s="38"/>
      <c r="O245" s="33"/>
      <c r="P245" s="38"/>
      <c r="Q245" s="139"/>
      <c r="R245" s="139"/>
      <c r="S245" s="139"/>
      <c r="T245" s="139"/>
      <c r="U245" s="139"/>
      <c r="V245" s="139"/>
      <c r="W245" s="169"/>
      <c r="X245" s="158"/>
      <c r="Y245" s="104"/>
      <c r="Z245" s="104"/>
      <c r="AA245" s="104"/>
      <c r="AB245" s="136"/>
      <c r="AC245" s="38"/>
      <c r="AD245" s="38"/>
      <c r="AE245" s="38"/>
      <c r="AF245" s="38"/>
      <c r="AG245" s="38"/>
    </row>
    <row r="246" spans="4:36" ht="15" thickBot="1">
      <c r="E246" s="712"/>
      <c r="F246" s="713"/>
      <c r="G246" s="714"/>
      <c r="H246" s="714"/>
      <c r="J246" s="754">
        <f>J240+J244</f>
        <v>23096651.463438999</v>
      </c>
      <c r="K246" s="714" t="s">
        <v>1047</v>
      </c>
      <c r="L246" s="722"/>
      <c r="M246" s="173"/>
      <c r="N246" s="38"/>
      <c r="O246" s="33"/>
      <c r="P246" s="38"/>
      <c r="Q246" s="139"/>
      <c r="R246" s="139"/>
      <c r="S246" s="139"/>
      <c r="T246" s="139"/>
      <c r="U246" s="139"/>
      <c r="V246" s="139"/>
      <c r="W246" s="169"/>
      <c r="X246" s="158" t="s">
        <v>601</v>
      </c>
      <c r="Y246" s="104" t="s">
        <v>357</v>
      </c>
      <c r="Z246" s="104"/>
      <c r="AA246" s="104">
        <f>Y236</f>
        <v>490000</v>
      </c>
      <c r="AB246" s="136"/>
      <c r="AC246" s="38"/>
      <c r="AD246" s="38"/>
      <c r="AE246" s="38"/>
      <c r="AF246" s="38"/>
      <c r="AG246" s="38"/>
      <c r="AH246" s="796" t="s">
        <v>857</v>
      </c>
      <c r="AI246" s="38">
        <f>AI244-AJ242</f>
        <v>22878290.783439003</v>
      </c>
      <c r="AJ246" s="38"/>
    </row>
    <row r="247" spans="4:36">
      <c r="D247" s="161"/>
      <c r="E247" s="712"/>
      <c r="F247" s="713"/>
      <c r="G247" s="714"/>
      <c r="H247" s="714"/>
      <c r="J247" s="637"/>
      <c r="K247" s="714"/>
      <c r="L247" s="173"/>
      <c r="M247" s="731"/>
      <c r="N247" s="38"/>
      <c r="O247" s="33"/>
      <c r="P247" s="38"/>
      <c r="Q247" s="139"/>
      <c r="R247" s="139"/>
      <c r="S247" s="139"/>
      <c r="T247" s="139"/>
      <c r="U247" s="139"/>
      <c r="V247" s="139"/>
      <c r="W247" s="169"/>
      <c r="X247" s="415"/>
      <c r="Y247" s="104" t="s">
        <v>358</v>
      </c>
      <c r="Z247" s="104"/>
      <c r="AA247" s="104">
        <f>AB236</f>
        <v>0</v>
      </c>
      <c r="AB247" s="136"/>
      <c r="AC247" s="38"/>
      <c r="AD247" s="38"/>
      <c r="AE247" s="38"/>
      <c r="AF247" s="38"/>
      <c r="AG247" s="38"/>
      <c r="AH247" s="38"/>
      <c r="AI247" s="38"/>
      <c r="AJ247" s="38"/>
    </row>
    <row r="248" spans="4:36">
      <c r="E248" s="712"/>
      <c r="F248" s="713"/>
      <c r="G248" s="714"/>
      <c r="H248" s="714"/>
      <c r="J248" s="658">
        <f>SUM(AD240:AJ240)</f>
        <v>23096651.463439003</v>
      </c>
      <c r="K248" s="714" t="s">
        <v>518</v>
      </c>
      <c r="L248" s="732"/>
      <c r="M248" s="637"/>
      <c r="N248" s="38"/>
      <c r="O248" s="33"/>
      <c r="P248" s="38"/>
      <c r="Q248" s="139"/>
      <c r="R248" s="139"/>
      <c r="S248" s="139"/>
      <c r="T248" s="139"/>
      <c r="U248" s="139"/>
      <c r="V248" s="139"/>
      <c r="W248" s="169"/>
      <c r="X248" s="415"/>
      <c r="Y248" s="104"/>
      <c r="Z248" s="104"/>
      <c r="AA248" s="104"/>
      <c r="AB248" s="136"/>
      <c r="AC248" s="38"/>
      <c r="AD248" s="38"/>
      <c r="AE248" s="38"/>
      <c r="AF248" s="38"/>
      <c r="AG248" s="38"/>
      <c r="AH248" s="38"/>
      <c r="AI248" s="38"/>
      <c r="AJ248" s="38"/>
    </row>
    <row r="249" spans="4:36" ht="13" thickBot="1">
      <c r="E249" s="712"/>
      <c r="F249" s="713"/>
      <c r="G249" s="714"/>
      <c r="H249" s="714"/>
      <c r="J249" s="169"/>
      <c r="K249" s="714" t="s">
        <v>454</v>
      </c>
      <c r="L249" s="733"/>
      <c r="M249" s="795"/>
      <c r="N249" s="38"/>
      <c r="O249" s="33"/>
      <c r="P249" s="38"/>
      <c r="Q249" s="139"/>
      <c r="R249" s="139"/>
      <c r="S249" s="139"/>
      <c r="T249" s="139"/>
      <c r="U249" s="139"/>
      <c r="V249" s="139"/>
      <c r="W249" s="169"/>
      <c r="X249" s="158" t="s">
        <v>602</v>
      </c>
      <c r="Y249" s="488" t="s">
        <v>359</v>
      </c>
      <c r="Z249" s="488"/>
      <c r="AA249" s="488">
        <f>Z236</f>
        <v>230900</v>
      </c>
      <c r="AB249" s="414"/>
      <c r="AC249" s="38"/>
      <c r="AD249" s="38"/>
      <c r="AE249" s="38"/>
      <c r="AF249" s="38"/>
      <c r="AG249" s="38"/>
      <c r="AH249" s="38"/>
      <c r="AI249" s="38"/>
      <c r="AJ249" s="38"/>
    </row>
    <row r="250" spans="4:36" ht="15" thickBot="1">
      <c r="E250" s="712"/>
      <c r="F250" s="713"/>
      <c r="G250" s="714"/>
      <c r="H250" s="714"/>
      <c r="J250" s="736"/>
      <c r="K250" s="714" t="s">
        <v>519</v>
      </c>
      <c r="L250" s="169"/>
      <c r="M250" s="169"/>
      <c r="N250" s="38"/>
      <c r="O250" s="33"/>
      <c r="P250" s="38"/>
      <c r="Q250" s="33"/>
      <c r="R250" s="33"/>
      <c r="S250" s="33"/>
      <c r="T250" s="33"/>
      <c r="U250" s="33"/>
      <c r="V250" s="33"/>
      <c r="W250" s="169"/>
      <c r="X250" s="416"/>
      <c r="Y250" s="104"/>
      <c r="Z250" s="80">
        <f>SUM(Z241:Z249)</f>
        <v>6081400</v>
      </c>
      <c r="AA250" s="80">
        <f>SUM(AA241:AA249)</f>
        <v>6081400</v>
      </c>
      <c r="AB250" s="136"/>
      <c r="AC250" s="38"/>
      <c r="AD250" s="38"/>
      <c r="AE250" s="38"/>
      <c r="AF250" s="38"/>
      <c r="AG250" s="38"/>
      <c r="AH250" s="38"/>
      <c r="AI250" s="822">
        <f>SUM(AI242/AI246)</f>
        <v>4.1915598463070684E-2</v>
      </c>
      <c r="AJ250" s="38"/>
    </row>
    <row r="251" spans="4:36">
      <c r="E251" s="712"/>
      <c r="F251" s="713"/>
      <c r="G251" s="714"/>
      <c r="H251" s="714"/>
      <c r="I251" s="714"/>
      <c r="J251" s="169"/>
      <c r="K251" s="169"/>
      <c r="L251" s="169"/>
      <c r="M251" s="169"/>
      <c r="N251" s="38"/>
      <c r="O251" s="33"/>
      <c r="P251" s="38"/>
      <c r="Q251" s="33"/>
      <c r="R251" s="33"/>
      <c r="S251" s="33"/>
      <c r="T251" s="33"/>
      <c r="U251" s="33"/>
      <c r="V251" s="33"/>
      <c r="W251" s="169"/>
      <c r="X251" s="416"/>
      <c r="Y251" s="104"/>
      <c r="Z251" s="104"/>
      <c r="AA251" s="104"/>
      <c r="AB251" s="136"/>
      <c r="AC251" s="38"/>
      <c r="AD251" s="38"/>
      <c r="AE251" s="38"/>
      <c r="AF251" s="38"/>
      <c r="AG251" s="38"/>
      <c r="AH251" s="38"/>
      <c r="AI251" s="38"/>
      <c r="AJ251" s="38"/>
    </row>
    <row r="252" spans="4:36" ht="13" thickBot="1">
      <c r="E252" s="712"/>
      <c r="F252" s="713"/>
      <c r="G252" s="714"/>
      <c r="H252" s="714"/>
      <c r="I252" s="714"/>
      <c r="J252" s="169"/>
      <c r="K252" s="169"/>
      <c r="L252" s="169"/>
      <c r="M252" s="169"/>
      <c r="N252" s="38"/>
      <c r="O252" s="33"/>
      <c r="P252" s="38"/>
      <c r="Q252" s="33"/>
      <c r="R252" s="33"/>
      <c r="S252" s="33"/>
      <c r="T252" s="33"/>
      <c r="U252" s="33"/>
      <c r="V252" s="33"/>
      <c r="W252" s="169"/>
      <c r="X252" s="330"/>
      <c r="Y252" s="279"/>
      <c r="Z252" s="279"/>
      <c r="AA252" s="279"/>
      <c r="AB252" s="280"/>
      <c r="AC252" s="38"/>
      <c r="AD252" s="38"/>
      <c r="AE252" s="38"/>
      <c r="AF252" s="38"/>
      <c r="AG252" s="38"/>
      <c r="AH252" s="38"/>
      <c r="AI252" s="38"/>
      <c r="AJ252" s="38"/>
    </row>
    <row r="253" spans="4:36">
      <c r="E253" s="712"/>
      <c r="F253" s="713"/>
      <c r="G253" s="714"/>
      <c r="H253" s="714"/>
      <c r="I253" s="714"/>
      <c r="J253" s="169"/>
      <c r="K253" s="169"/>
      <c r="L253" s="169"/>
      <c r="M253" s="169"/>
      <c r="N253" s="38"/>
      <c r="O253" s="33"/>
      <c r="P253" s="38"/>
      <c r="Q253" s="33"/>
      <c r="R253" s="33"/>
      <c r="S253" s="33"/>
      <c r="T253" s="33"/>
      <c r="U253" s="33"/>
      <c r="V253" s="33"/>
      <c r="W253" s="169"/>
      <c r="X253" s="104"/>
      <c r="Y253" s="104"/>
      <c r="Z253" s="104"/>
      <c r="AA253" s="104"/>
      <c r="AB253" s="104"/>
      <c r="AC253" s="38"/>
      <c r="AD253" s="38"/>
      <c r="AE253" s="38"/>
      <c r="AF253" s="38"/>
      <c r="AG253" s="38"/>
      <c r="AH253" s="38"/>
      <c r="AI253" s="38"/>
      <c r="AJ253" s="38"/>
    </row>
    <row r="254" spans="4:36">
      <c r="E254" s="712"/>
      <c r="F254" s="713"/>
      <c r="G254" s="714"/>
      <c r="H254" s="714"/>
      <c r="I254" s="714"/>
      <c r="J254" s="169"/>
      <c r="K254" s="169"/>
      <c r="L254" s="169"/>
      <c r="M254" s="169"/>
      <c r="N254" s="38"/>
      <c r="O254" s="33"/>
      <c r="P254" s="38"/>
      <c r="Q254" s="33"/>
      <c r="R254" s="33"/>
      <c r="S254" s="33"/>
      <c r="T254" s="33"/>
      <c r="U254" s="33"/>
      <c r="V254" s="33"/>
      <c r="W254" s="169"/>
      <c r="AC254" s="38"/>
      <c r="AD254" s="38"/>
      <c r="AE254" s="38"/>
      <c r="AF254" s="38"/>
      <c r="AG254" s="38"/>
      <c r="AH254" s="38"/>
      <c r="AI254" s="38"/>
      <c r="AJ254" s="38"/>
    </row>
    <row r="255" spans="4:36">
      <c r="E255" s="712"/>
      <c r="F255" s="713"/>
      <c r="G255" s="714"/>
      <c r="H255" s="714"/>
      <c r="I255" s="714"/>
      <c r="J255" s="169"/>
      <c r="K255" s="169"/>
      <c r="L255" s="169"/>
      <c r="M255" s="169"/>
      <c r="N255" s="38"/>
      <c r="O255" s="33"/>
      <c r="P255" s="38"/>
      <c r="Q255" s="33"/>
      <c r="R255" s="33"/>
      <c r="S255" s="33"/>
      <c r="T255" s="33"/>
      <c r="U255" s="33"/>
      <c r="V255" s="33"/>
      <c r="W255" s="169"/>
      <c r="AC255" s="38"/>
      <c r="AD255" s="38"/>
      <c r="AE255" s="38"/>
      <c r="AF255" s="38"/>
      <c r="AG255" s="38"/>
      <c r="AH255" s="38"/>
      <c r="AI255" s="38"/>
      <c r="AJ255" s="38"/>
    </row>
    <row r="256" spans="4:36">
      <c r="E256" s="712"/>
      <c r="F256" s="713"/>
      <c r="G256" s="714"/>
      <c r="H256" s="714"/>
      <c r="I256" s="714"/>
      <c r="J256" s="169"/>
      <c r="K256" s="169"/>
      <c r="L256" s="169"/>
      <c r="M256" s="169"/>
      <c r="N256" s="38"/>
      <c r="O256" s="33"/>
      <c r="P256" s="38"/>
      <c r="Q256" s="33"/>
      <c r="R256" s="33"/>
      <c r="S256" s="33"/>
      <c r="T256" s="33"/>
      <c r="U256" s="33"/>
      <c r="V256" s="33"/>
      <c r="W256" s="169"/>
      <c r="AC256" s="38"/>
      <c r="AD256" s="38"/>
      <c r="AE256" s="38"/>
      <c r="AF256" s="38"/>
      <c r="AG256" s="38"/>
      <c r="AH256" s="38"/>
      <c r="AI256" s="38"/>
      <c r="AJ256" s="38"/>
    </row>
    <row r="257" spans="5:36">
      <c r="E257" s="712"/>
      <c r="F257" s="713"/>
      <c r="G257" s="714"/>
      <c r="H257" s="714"/>
      <c r="I257" s="714"/>
      <c r="J257" s="169"/>
      <c r="K257" s="169"/>
      <c r="L257" s="169"/>
      <c r="M257" s="169"/>
      <c r="N257" s="38"/>
      <c r="O257" s="33"/>
      <c r="P257" s="38"/>
      <c r="Q257" s="33"/>
      <c r="R257" s="33"/>
      <c r="S257" s="33"/>
      <c r="T257" s="33"/>
      <c r="U257" s="33"/>
      <c r="V257" s="33"/>
      <c r="W257" s="169"/>
      <c r="AC257" s="38"/>
      <c r="AD257" s="38"/>
      <c r="AE257" s="38"/>
      <c r="AF257" s="38"/>
      <c r="AG257" s="38"/>
      <c r="AH257" s="38"/>
      <c r="AI257" s="38"/>
      <c r="AJ257" s="38"/>
    </row>
    <row r="258" spans="5:36">
      <c r="E258" s="712"/>
      <c r="F258" s="713"/>
      <c r="G258" s="714"/>
      <c r="H258" s="714"/>
      <c r="I258" s="714"/>
      <c r="J258" s="169"/>
      <c r="K258" s="169"/>
      <c r="L258" s="169"/>
      <c r="M258" s="169"/>
      <c r="N258" s="38"/>
      <c r="O258" s="33"/>
      <c r="P258" s="38"/>
      <c r="Q258" s="33"/>
      <c r="R258" s="33"/>
      <c r="S258" s="33"/>
      <c r="T258" s="33"/>
      <c r="U258" s="33"/>
      <c r="V258" s="33"/>
      <c r="W258" s="169"/>
      <c r="AC258" s="38"/>
      <c r="AD258" s="38"/>
      <c r="AE258" s="38"/>
      <c r="AF258" s="38"/>
      <c r="AG258" s="38"/>
      <c r="AH258" s="38"/>
      <c r="AI258" s="38"/>
      <c r="AJ258" s="38"/>
    </row>
    <row r="259" spans="5:36">
      <c r="E259" s="712"/>
      <c r="F259" s="713"/>
      <c r="G259" s="714"/>
      <c r="H259" s="714"/>
      <c r="I259" s="714"/>
      <c r="J259" s="169"/>
      <c r="K259" s="169"/>
      <c r="L259" s="169"/>
      <c r="M259" s="169"/>
      <c r="N259" s="38"/>
      <c r="O259" s="33"/>
      <c r="P259" s="38"/>
      <c r="Q259" s="33"/>
      <c r="R259" s="33"/>
      <c r="S259" s="33"/>
      <c r="T259" s="33"/>
      <c r="U259" s="33"/>
      <c r="V259" s="33"/>
      <c r="W259" s="169"/>
      <c r="AC259" s="38"/>
      <c r="AD259" s="38"/>
      <c r="AE259" s="38"/>
      <c r="AF259" s="38"/>
      <c r="AG259" s="38"/>
      <c r="AH259" s="38"/>
      <c r="AI259" s="38"/>
      <c r="AJ259" s="38"/>
    </row>
  </sheetData>
  <pageMargins left="0.7" right="0.7" top="0.75" bottom="0.75" header="0.3" footer="0.3"/>
  <pageSetup orientation="portrait"/>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42</vt:i4>
      </vt:variant>
    </vt:vector>
  </HeadingPairs>
  <TitlesOfParts>
    <vt:vector size="42" baseType="lpstr">
      <vt:lpstr>Revenue Summary 2014</vt:lpstr>
      <vt:lpstr>Splits</vt:lpstr>
      <vt:lpstr>Jun14 Revenue</vt:lpstr>
      <vt:lpstr>June GL</vt:lpstr>
      <vt:lpstr>May14 Revenue</vt:lpstr>
      <vt:lpstr>Apr14 Revenue</vt:lpstr>
      <vt:lpstr>Mar14 Revenue</vt:lpstr>
      <vt:lpstr>Feb14 Revenue</vt:lpstr>
      <vt:lpstr>Jan14 Revenue</vt:lpstr>
      <vt:lpstr>Dec13 Revenue</vt:lpstr>
      <vt:lpstr>Nov13 Revenue</vt:lpstr>
      <vt:lpstr>Oct13 Revenue</vt:lpstr>
      <vt:lpstr>Sept13 Revenue</vt:lpstr>
      <vt:lpstr>Aug 2013 Revenue</vt:lpstr>
      <vt:lpstr>July 2013 Revenue</vt:lpstr>
      <vt:lpstr>June 2013 Revenue</vt:lpstr>
      <vt:lpstr>May 2013 Revenue</vt:lpstr>
      <vt:lpstr>Apr 2013 Revenue</vt:lpstr>
      <vt:lpstr>Mar 2013 Revenue</vt:lpstr>
      <vt:lpstr>Feb 2013 Revenue</vt:lpstr>
      <vt:lpstr>Jan 2013 Revenue</vt:lpstr>
      <vt:lpstr>Dec 2012 Revenue</vt:lpstr>
      <vt:lpstr>Nov 2012 Revenue</vt:lpstr>
      <vt:lpstr>Oct 2012 Revenue</vt:lpstr>
      <vt:lpstr>Sept 2012 Revenue</vt:lpstr>
      <vt:lpstr>Aug 2012 Revenue</vt:lpstr>
      <vt:lpstr>July 2012 DMV Revenue</vt:lpstr>
      <vt:lpstr>June 2012 DMV Revenue</vt:lpstr>
      <vt:lpstr>May 2012 DMV Revenue</vt:lpstr>
      <vt:lpstr>Sheet3</vt:lpstr>
      <vt:lpstr>Apr 2012 DMV Revenue</vt:lpstr>
      <vt:lpstr>Sheet2</vt:lpstr>
      <vt:lpstr>Q1 2012 DMV-Revenue</vt:lpstr>
      <vt:lpstr>Q4 DMV -  Revenue</vt:lpstr>
      <vt:lpstr>Q3 DMV -  Revenue</vt:lpstr>
      <vt:lpstr>Q2 DMV -  Revenue</vt:lpstr>
      <vt:lpstr>Q1 DMV -  Revenue</vt:lpstr>
      <vt:lpstr>Q4 DMV - Revenue</vt:lpstr>
      <vt:lpstr>Q3 DMV - Revenue</vt:lpstr>
      <vt:lpstr>Q2 DMV - Revenue</vt:lpstr>
      <vt:lpstr>Q1 DMV - Revenue</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Anastasia Lekkas</dc:creator>
  <cp:lastModifiedBy>RS</cp:lastModifiedBy>
  <cp:lastPrinted>2013-10-24T15:42:30Z</cp:lastPrinted>
  <dcterms:created xsi:type="dcterms:W3CDTF">2009-06-16T14:40:40Z</dcterms:created>
  <dcterms:modified xsi:type="dcterms:W3CDTF">2014-07-30T19:27:12Z</dcterms:modified>
</cp:coreProperties>
</file>